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4.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5.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6.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7.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8.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12.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13.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14.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drawings/drawing15.xml" ContentType="application/vnd.openxmlformats-officedocument.drawing+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drawings/drawing16.xml" ContentType="application/vnd.openxmlformats-officedocument.drawing+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updateLinks="never" codeName="ThisWorkbook"/>
  <mc:AlternateContent xmlns:mc="http://schemas.openxmlformats.org/markup-compatibility/2006">
    <mc:Choice Requires="x15">
      <x15ac:absPath xmlns:x15ac="http://schemas.microsoft.com/office/spreadsheetml/2010/11/ac" url="C:\Users\Matt\Dropbox\Work\New Green\2020 Development\working\Finals\"/>
    </mc:Choice>
  </mc:AlternateContent>
  <xr:revisionPtr revIDLastSave="0" documentId="13_ncr:1_{BF9A6CF7-B1E0-444D-86F9-034798506313}" xr6:coauthVersionLast="47" xr6:coauthVersionMax="47" xr10:uidLastSave="{00000000-0000-0000-0000-000000000000}"/>
  <workbookProtection workbookAlgorithmName="SHA-512" workbookHashValue="5gRe+4k5h8w/SEaDuMG2LTMT3qYJunBxi6jvvYTT63eEfbEH5C4nSp0xYyPV3iFpk3M1Sp47Wzy1AVW9IyZWvw==" workbookSaltValue="/E0auqENqOqh43Yo9rgOoA==" workbookSpinCount="100000" lockStructure="1"/>
  <bookViews>
    <workbookView xWindow="-120" yWindow="-120" windowWidth="29040" windowHeight="15840" tabRatio="851" xr2:uid="{00000000-000D-0000-FFFF-FFFF00000000}"/>
  </bookViews>
  <sheets>
    <sheet name="Info &amp; Intro" sheetId="6" r:id="rId1"/>
    <sheet name="Overview (Design)" sheetId="7" r:id="rId2"/>
    <sheet name="Geography" sheetId="4" state="veryHidden" r:id="rId3"/>
    <sheet name="Ch5" sheetId="8" r:id="rId4"/>
    <sheet name="Ch6" sheetId="24" r:id="rId5"/>
    <sheet name="Ch7" sheetId="25" r:id="rId6"/>
    <sheet name="Ch8" sheetId="27" r:id="rId7"/>
    <sheet name="Ch9" sheetId="28" r:id="rId8"/>
    <sheet name="Ch10" sheetId="29" r:id="rId9"/>
    <sheet name="Req. Doc." sheetId="80" r:id="rId10"/>
    <sheet name="Design Summ." sheetId="72" r:id="rId11"/>
    <sheet name="Badges (Design)" sheetId="85" r:id="rId12"/>
    <sheet name="WaterSense (Design)" sheetId="86" r:id="rId13"/>
    <sheet name="Dropdowns" sheetId="2" state="veryHidden" r:id="rId14"/>
    <sheet name="Points" sheetId="3" state="veryHidden" r:id="rId15"/>
    <sheet name="Formulas" sheetId="10" state="veryHidden" r:id="rId16"/>
    <sheet name="Overview (Verification)" sheetId="23" r:id="rId17"/>
    <sheet name="Verification Report" sheetId="16" r:id="rId18"/>
    <sheet name="Badges (Verification)" sheetId="84" r:id="rId19"/>
    <sheet name="WaterSense (Verification)" sheetId="87" r:id="rId20"/>
    <sheet name="Photo Review" sheetId="81" state="veryHidden" r:id="rId21"/>
    <sheet name="Rough Summary" sheetId="17" r:id="rId22"/>
    <sheet name="Final Summary" sheetId="18" r:id="rId23"/>
    <sheet name="Appendix B" sheetId="75" r:id="rId24"/>
    <sheet name="Table 602.1.12" sheetId="30" r:id="rId25"/>
    <sheet name="Table 604.1" sheetId="31" r:id="rId26"/>
    <sheet name="Table 610.1.2.1" sheetId="32" r:id="rId27"/>
    <sheet name="Table 610.1.2.2" sheetId="33" r:id="rId28"/>
    <sheet name="Figure 6(2)" sheetId="34" r:id="rId29"/>
    <sheet name="Figure 6(3)" sheetId="37" r:id="rId30"/>
    <sheet name="Table 701.4.3.2(2)" sheetId="39" r:id="rId31"/>
    <sheet name="Table 703.2.1(a)" sheetId="38" r:id="rId32"/>
    <sheet name="Table 703.2.1(b)" sheetId="40" r:id="rId33"/>
    <sheet name="Table 703.2.2" sheetId="41" r:id="rId34"/>
    <sheet name="Table 703.2.4" sheetId="43" r:id="rId35"/>
    <sheet name="Table 703.2.5.1" sheetId="44" r:id="rId36"/>
    <sheet name="Tables 703.2.5.2(a), (b) &amp; (c)" sheetId="45" r:id="rId37"/>
    <sheet name="Table 703.7.1(7)" sheetId="65" r:id="rId38"/>
    <sheet name="Table 801.1(1)" sheetId="67" r:id="rId39"/>
    <sheet name="Table 801.1(2)" sheetId="68" r:id="rId40"/>
    <sheet name="Table 901.9.1" sheetId="69" r:id="rId41"/>
    <sheet name="Table 901.9.2" sheetId="70" r:id="rId42"/>
    <sheet name="Table 901.10(3)" sheetId="71" r:id="rId43"/>
    <sheet name="Errata" sheetId="21" r:id="rId44"/>
  </sheets>
  <externalReferences>
    <externalReference r:id="rId45"/>
  </externalReferences>
  <definedNames>
    <definedName name="_xlnm._FilterDatabase" localSheetId="2" hidden="1">Geography!$A$1:$G$3255</definedName>
    <definedName name="_xlnm._FilterDatabase" localSheetId="20" hidden="1">'Photo Review'!$G$6:$G$2468</definedName>
    <definedName name="_xlnm._FilterDatabase" localSheetId="9" hidden="1">'Req. Doc.'!$A$6:$C$3118</definedName>
    <definedName name="_xlnm._FilterDatabase" localSheetId="17" hidden="1">'Verification Report'!$A$7:$H$2457</definedName>
    <definedName name="Ch10Add">Points!$M$20</definedName>
    <definedName name="Ch10AddFinal">Points!$V$20</definedName>
    <definedName name="Ch10AddGoal">Points!$X$20</definedName>
    <definedName name="Ch10GLevFinal">Points!$AA$20</definedName>
    <definedName name="Ch10Level">Points!$R$20</definedName>
    <definedName name="Ch10LevelFinal">Points!$AC$20</definedName>
    <definedName name="Ch10NLev">Points!$P$20</definedName>
    <definedName name="Ch10Points">Points!$H$20</definedName>
    <definedName name="Ch10PointsFinal">Points!$T$20</definedName>
    <definedName name="Ch5Add" localSheetId="14">Points!$M$15</definedName>
    <definedName name="Ch5AddFinal">Points!$V$15</definedName>
    <definedName name="Ch5AddGoal">Points!$X$15</definedName>
    <definedName name="Ch5Error">'Ch5'!$AI$3</definedName>
    <definedName name="Ch5GLevFinal">Points!$AA$15</definedName>
    <definedName name="Ch5Level" localSheetId="14">Points!$R$15</definedName>
    <definedName name="Ch5LevelFinal">Points!$AC$15</definedName>
    <definedName name="Ch5MandError">'Ch5'!$AG$3</definedName>
    <definedName name="Ch5NLev" localSheetId="14">Points!$P$15</definedName>
    <definedName name="Ch5Points" localSheetId="14">Points!$H$15</definedName>
    <definedName name="Ch5PointsFinal">Points!$T$15</definedName>
    <definedName name="Ch6Add">Points!$M$16</definedName>
    <definedName name="Ch6AddFinal">Points!$V$16</definedName>
    <definedName name="Ch6AddGoal">Points!$X$16</definedName>
    <definedName name="Ch6GLevFinal">Points!$AA$16</definedName>
    <definedName name="Ch6Level">Points!$R$16</definedName>
    <definedName name="Ch6LevelFinal">Points!$AC$16</definedName>
    <definedName name="Ch6NLev">Points!$P$16</definedName>
    <definedName name="Ch6Points">Points!$H$16</definedName>
    <definedName name="Ch6PointsFinal">Points!$T$16</definedName>
    <definedName name="Ch7Add">Points!$M$17</definedName>
    <definedName name="Ch7AddFinal">Points!$V$17</definedName>
    <definedName name="Ch7AddGoal">Points!$X$17</definedName>
    <definedName name="Ch7GLevFinal">Points!$AA$17</definedName>
    <definedName name="Ch7Level">Points!$R$17</definedName>
    <definedName name="Ch7LevelFinal">Points!$AC$17</definedName>
    <definedName name="Ch7Max">Points!$N$10</definedName>
    <definedName name="Ch7NLev">Points!$P$17</definedName>
    <definedName name="Ch7Path">Points!$N$9</definedName>
    <definedName name="Ch7Points">Points!$H$17</definedName>
    <definedName name="Ch7PointsFinal">Points!$T$17</definedName>
    <definedName name="Ch8Add">Points!$M$18</definedName>
    <definedName name="Ch8AddFinal">Points!$V$18</definedName>
    <definedName name="Ch8AddGoal">Points!$X$18</definedName>
    <definedName name="Ch8GLevFinal">Points!$AA$18</definedName>
    <definedName name="Ch8Level">Points!$R$18</definedName>
    <definedName name="Ch8LevelFinal">Points!$AC$18</definedName>
    <definedName name="Ch8Max">Points!$N$12</definedName>
    <definedName name="Ch8NLev">Points!$P$18</definedName>
    <definedName name="Ch8Points">Points!$H$18</definedName>
    <definedName name="Ch8PointsFinal">Points!$T$18</definedName>
    <definedName name="Ch9Add">Points!$M$19</definedName>
    <definedName name="Ch9AddFinal">Points!$V$19</definedName>
    <definedName name="Ch9AddGoal">Points!$X$19</definedName>
    <definedName name="Ch9GLevFinal">Points!$AA$19</definedName>
    <definedName name="Ch9Level">Points!$R$19</definedName>
    <definedName name="Ch9LevelFinal">Points!$AC$19</definedName>
    <definedName name="Ch9NLev">Points!$P$19</definedName>
    <definedName name="Ch9Points">Points!$H$19</definedName>
    <definedName name="Ch9PointsFinal">Points!$T$19</definedName>
    <definedName name="codChapter10">'Ch10'!$H$9:$H$214</definedName>
    <definedName name="codChapter5">'Ch5'!$H$9:$H$305</definedName>
    <definedName name="codChapter6">'Ch6'!$H$9:$H$544</definedName>
    <definedName name="codChapter7">'Ch7'!$H$9:$H$745</definedName>
    <definedName name="codChapter8">'Ch8'!$H$9:$H$235</definedName>
    <definedName name="codChapter9">'Ch9'!$H$9:$H$372</definedName>
    <definedName name="dbState">Geography!$A$1:$H$3255</definedName>
    <definedName name="dch1001_1_1">'Ch10'!$AQ$15</definedName>
    <definedName name="dch1001_1_10">'Ch10'!$AQ$30</definedName>
    <definedName name="dch1001_1_11">'Ch10'!$AQ$31</definedName>
    <definedName name="dch1001_1_12">'Ch10'!$AQ$32</definedName>
    <definedName name="dch1001_1_13">'Ch10'!$AQ$38</definedName>
    <definedName name="dch1001_1_14">'Ch10'!$AQ$42</definedName>
    <definedName name="dch1001_1_15">'Ch10'!$AQ$44</definedName>
    <definedName name="dch1001_1_16">'Ch10'!$AQ$46</definedName>
    <definedName name="dch1001_1_17">'Ch10'!$AQ$47</definedName>
    <definedName name="dch1001_1_18">'Ch10'!$AQ$49</definedName>
    <definedName name="dch1001_1_19">'Ch10'!$AQ$51</definedName>
    <definedName name="dch1001_1_2">'Ch10'!$AQ$16</definedName>
    <definedName name="dch1001_1_20">'Ch10'!$AQ$52</definedName>
    <definedName name="dch1001_1_21">'Ch10'!$AQ$54</definedName>
    <definedName name="dch1001_1_22">'Ch10'!$AQ$56</definedName>
    <definedName name="dch1001_1_23">'Ch10'!$AQ$58</definedName>
    <definedName name="dch1001_1_24">'Ch10'!$AQ$59</definedName>
    <definedName name="dch1001_1_3">'Ch10'!$AQ$17</definedName>
    <definedName name="dch1001_1_4">'Ch10'!$AQ$21</definedName>
    <definedName name="dch1001_1_5">'Ch10'!$AQ$22</definedName>
    <definedName name="dch1001_1_6">'Ch10'!$AQ$23</definedName>
    <definedName name="dch1001_1_7">'Ch10'!$AQ$25</definedName>
    <definedName name="dch1001_1_8">'Ch10'!$AQ$27</definedName>
    <definedName name="dch1001_1_9">'Ch10'!$AQ$28</definedName>
    <definedName name="dch1001_2">'Ch10'!$AQ$60</definedName>
    <definedName name="dch1002_1_1">'Ch10'!$AQ$82</definedName>
    <definedName name="dch1002_1_2">'Ch10'!$AQ$85</definedName>
    <definedName name="dch1002_1_3">'Ch10'!$AQ$88</definedName>
    <definedName name="dch1002_1_4">'Ch10'!$AQ$90</definedName>
    <definedName name="dch1002_1_5">'Ch10'!$AQ$91</definedName>
    <definedName name="dch1002_1_6">'Ch10'!$AQ$93</definedName>
    <definedName name="dch1002_1_7">'Ch10'!$AQ$94</definedName>
    <definedName name="dch1002_1_8">'Ch10'!$AQ$95</definedName>
    <definedName name="dch1002_2_1">'Ch10'!$AQ$101</definedName>
    <definedName name="dch1002_2_10">'Ch10'!$AQ$119</definedName>
    <definedName name="dch1002_2_11">'Ch10'!$AQ$122</definedName>
    <definedName name="dch1002_2_2">'Ch10'!$AQ$103</definedName>
    <definedName name="dch1002_2_3">'Ch10'!$AQ$106</definedName>
    <definedName name="dch1002_2_4">'Ch10'!$AQ$108</definedName>
    <definedName name="dch1002_2_5">'Ch10'!$AQ$111</definedName>
    <definedName name="dch1002_2_6">'Ch10'!$AQ$113</definedName>
    <definedName name="dch1002_2_7">'Ch10'!$AQ$114</definedName>
    <definedName name="dch1002_2_8">'Ch10'!$AQ$116</definedName>
    <definedName name="dch1002_2_9">'Ch10'!$AQ$118</definedName>
    <definedName name="dch1002_3_1">'Ch10'!$AQ$128</definedName>
    <definedName name="dch1002_3_10">'Ch10'!$AQ$149</definedName>
    <definedName name="dch1002_3_11">'Ch10'!$AQ$150</definedName>
    <definedName name="dch1002_3_2">'Ch10'!$AQ$130</definedName>
    <definedName name="dch1002_3_3">'Ch10'!$AQ$134</definedName>
    <definedName name="dch1002_3_4">'Ch10'!$AQ$141</definedName>
    <definedName name="dch1002_3_5">'Ch10'!$AQ$143</definedName>
    <definedName name="dch1002_3_6">'Ch10'!$AQ$144</definedName>
    <definedName name="dch1002_3_7">'Ch10'!$AQ$146</definedName>
    <definedName name="dch1002_3_8">'Ch10'!$AQ$147</definedName>
    <definedName name="dch1002_3_9">'Ch10'!$AQ$148</definedName>
    <definedName name="dch1002_4">'Ch10'!$AQ$152</definedName>
    <definedName name="dch1002_5_1">'Ch10'!$AQ$167</definedName>
    <definedName name="dch1002_5_2">'Ch10'!$AQ$168</definedName>
    <definedName name="dch1002_5_3">'Ch10'!$AQ$169</definedName>
    <definedName name="dch1002_5_4">'Ch10'!$AQ$171</definedName>
    <definedName name="dch1002_5_5">'Ch10'!$AQ$172</definedName>
    <definedName name="dch1002_5_6">'Ch10'!$AQ$173</definedName>
    <definedName name="dch1002_5_7">'Ch10'!$AQ$174</definedName>
    <definedName name="dch1002_5_8">'Ch10'!$AQ$175</definedName>
    <definedName name="dch1002_5_9">'Ch10'!$AQ$176</definedName>
    <definedName name="dch1002_6_1">'Ch10'!$AQ$181</definedName>
    <definedName name="dch1002_6_2">'Ch10'!$AQ$182</definedName>
    <definedName name="dch1002_6_3">'Ch10'!$AQ$183</definedName>
    <definedName name="dch1002_6_4">'Ch10'!$AQ$184</definedName>
    <definedName name="dch1002_6_5">'Ch10'!$AQ$185</definedName>
    <definedName name="dch1002_6_6">'Ch10'!$AQ$186</definedName>
    <definedName name="dch1002_6_7">'Ch10'!$AQ$187</definedName>
    <definedName name="dch1003_1_1">'Ch10'!$AQ$193</definedName>
    <definedName name="dch1003_1_2">'Ch10'!$AQ$195</definedName>
    <definedName name="dch1003_1_3">'Ch10'!$AQ$198</definedName>
    <definedName name="dch1004_1_1">'Ch10'!$AQ$211</definedName>
    <definedName name="dch1004_1_2">'Ch10'!$AQ$213</definedName>
    <definedName name="dch1005_1_1">'Ch10'!$AQ$217</definedName>
    <definedName name="dch1005_1_2">'Ch10'!$AQ$220</definedName>
    <definedName name="dch501_1_1">'Ch5'!$AQ$15</definedName>
    <definedName name="dch501_1_2_a">'Ch5'!$AQ$17</definedName>
    <definedName name="dch501_1_2_b">'Ch5'!$AQ$18</definedName>
    <definedName name="dch501_1_2_c">'Ch5'!$AQ$19</definedName>
    <definedName name="dch501_2_1">'Ch5'!$AQ$22</definedName>
    <definedName name="dch501_2_2">'Ch5'!$AQ$24</definedName>
    <definedName name="dch501_2_3">'Ch5'!$AQ$26</definedName>
    <definedName name="dch501_2_4">'Ch5'!$AQ$28</definedName>
    <definedName name="dch501_2_4_1">'Ch5'!$AQ$38</definedName>
    <definedName name="dch501_2_5">'Ch5'!$AQ$43</definedName>
    <definedName name="dch501_2_6">'Ch5'!$AQ$46</definedName>
    <definedName name="dch501_2_6_d">'Ch5'!$AQ$51</definedName>
    <definedName name="dch501_2_7">'Ch5'!$AQ$53</definedName>
    <definedName name="dch501_2_8">'Ch5'!$AQ$56</definedName>
    <definedName name="dch502_1">'Ch5'!$AQ$59</definedName>
    <definedName name="dch503_1_1">'Ch5'!$AQ$70</definedName>
    <definedName name="dch503_1_2">'Ch5'!$AQ$72</definedName>
    <definedName name="dch503_1_3">'Ch5'!$AQ$74</definedName>
    <definedName name="dch503_1_4">'Ch5'!$AQ$76</definedName>
    <definedName name="dch503_1_5">'Ch5'!$AQ$78</definedName>
    <definedName name="dch503_1_6">'Ch5'!$AQ$80</definedName>
    <definedName name="dch503_1_7">'Ch5'!$AQ$82</definedName>
    <definedName name="dch503_1_8">'Ch5'!$AQ$84</definedName>
    <definedName name="dch503_2">'Ch5'!$AQ$90</definedName>
    <definedName name="dch503_2_1">'Ch5'!$AQ$91</definedName>
    <definedName name="dch503_2_2">'Ch5'!$AQ$92</definedName>
    <definedName name="dch503_2_3">'Ch5'!$AQ$94</definedName>
    <definedName name="dch503_2_4">'Ch5'!$AQ$99</definedName>
    <definedName name="dch503_2_5">'Ch5'!$AQ$101</definedName>
    <definedName name="dch503_3_1">'Ch5'!$AQ$105</definedName>
    <definedName name="dch503_3_2_a">'Ch5'!$AQ$109</definedName>
    <definedName name="dch503_3_2_b">'Ch5'!$AQ$110</definedName>
    <definedName name="dch503_3_2_c">'Ch5'!$AQ$112</definedName>
    <definedName name="dch503_3_2_d">'Ch5'!$AQ$113</definedName>
    <definedName name="dch503_3_3">'Ch5'!$AQ$114</definedName>
    <definedName name="dch503_4_1">'Ch5'!$AQ$122</definedName>
    <definedName name="dch503_4_2">'Ch5'!$AQ$125</definedName>
    <definedName name="dch503_4_3">'Ch5'!$AQ$129</definedName>
    <definedName name="dch503_4_4">'Ch5'!$AQ$136</definedName>
    <definedName name="dch503_4_4_c_1">'Ch5'!$AQ$141</definedName>
    <definedName name="dch503_4_5">'Ch5'!$AQ$143</definedName>
    <definedName name="dch503_5">'Ch5'!$AQ$148</definedName>
    <definedName name="dch503_5_1">'Ch5'!$AQ$150</definedName>
    <definedName name="dch503_5_10">'Ch5'!$AQ$179</definedName>
    <definedName name="dch503_5_11">'Ch5'!$AQ$182</definedName>
    <definedName name="dch503_5_12">'Ch5'!$AQ$184</definedName>
    <definedName name="dch503_5_13">'Ch5'!$AQ$186</definedName>
    <definedName name="dch503_5_2">'Ch5'!$AQ$156</definedName>
    <definedName name="dch503_5_3">'Ch5'!$AQ$158</definedName>
    <definedName name="dch503_5_4">'Ch5'!$AQ$161</definedName>
    <definedName name="dch503_5_5">'Ch5'!$AQ$163</definedName>
    <definedName name="dch503_5_6">'Ch5'!$AQ$166</definedName>
    <definedName name="dch503_5_7">'Ch5'!$AQ$171</definedName>
    <definedName name="dch503_5_8">'Ch5'!$AQ$172</definedName>
    <definedName name="dch503_5_9">'Ch5'!$AQ$177</definedName>
    <definedName name="dch503_6_1">'Ch5'!$AQ$190</definedName>
    <definedName name="dch503_6_2">'Ch5'!$AQ$191</definedName>
    <definedName name="dch503_6_3">'Ch5'!$AQ$192</definedName>
    <definedName name="dch503_6_4">'Ch5'!$AQ$194</definedName>
    <definedName name="dch503_7">'Ch5'!$AQ$195</definedName>
    <definedName name="dch503_8">'Ch5'!$AQ$202</definedName>
    <definedName name="dch504_1">'Ch5'!$AQ$209</definedName>
    <definedName name="dch504_2_1">'Ch5'!$AQ$216</definedName>
    <definedName name="dch504_2_2">'Ch5'!$AQ$217</definedName>
    <definedName name="dch504_2_3">'Ch5'!$AQ$219</definedName>
    <definedName name="dch504_3_1">'Ch5'!$AQ$224</definedName>
    <definedName name="dch504_3_2">'Ch5'!$AQ$226</definedName>
    <definedName name="dch504_3_3">'Ch5'!$AQ$227</definedName>
    <definedName name="dch504_3_4">'Ch5'!$AQ$229</definedName>
    <definedName name="dch504_3_5">'Ch5'!$AQ$231</definedName>
    <definedName name="dch504_3_6">'Ch5'!$AQ$235</definedName>
    <definedName name="dch504_3_7">'Ch5'!$AQ$238</definedName>
    <definedName name="dch504_3_8a">'Ch5'!$AQ$240</definedName>
    <definedName name="dch504_3_8b">'Ch5'!$AQ$241</definedName>
    <definedName name="dch504_3_8c">'Ch5'!$AQ$242</definedName>
    <definedName name="dch504_3_8d">'Ch5'!$AQ$243</definedName>
    <definedName name="dch504_3_8e">'Ch5'!$AQ$244</definedName>
    <definedName name="dch504_3_8f">'Ch5'!$AQ$245</definedName>
    <definedName name="dch504_3_9">'Ch5'!$AQ$247</definedName>
    <definedName name="dch505_1_1">'Ch5'!$AQ$254</definedName>
    <definedName name="dch505_1_2">'Ch5'!$AQ$256</definedName>
    <definedName name="dch505_1_3">'Ch5'!$AQ$258</definedName>
    <definedName name="dch505_10_a">'Ch5'!$AQ$322</definedName>
    <definedName name="dch505_10_b">'Ch5'!$AQ$324</definedName>
    <definedName name="dch505_10_c">'Ch5'!$AQ$326</definedName>
    <definedName name="dch505_2_1_a">'Ch5'!$AQ$265</definedName>
    <definedName name="dch505_2_1_b">'Ch5'!$AQ$268</definedName>
    <definedName name="dch505_2_1_c">'Ch5'!$AQ$272</definedName>
    <definedName name="dch505_2_2">'Ch5'!$AQ$273</definedName>
    <definedName name="dch505_3_1">'Ch5'!$AQ$277</definedName>
    <definedName name="dch505_4_1">'Ch5'!$AQ$283</definedName>
    <definedName name="dch505_5_a">'Ch5'!$AQ$287</definedName>
    <definedName name="dch505_5_b">'Ch5'!$AQ$289</definedName>
    <definedName name="dch505_5_c">'Ch5'!$AQ$292</definedName>
    <definedName name="dch505_5_d">'Ch5'!$AQ$293</definedName>
    <definedName name="dch505_6">'Ch5'!$AQ$295</definedName>
    <definedName name="dch505_7">'Ch5'!$AQ$306</definedName>
    <definedName name="dch505_8">'Ch5'!$AQ$310</definedName>
    <definedName name="dch505_9_a">'Ch5'!$AQ$313</definedName>
    <definedName name="dch505_9_b">'Ch5'!$AQ$316</definedName>
    <definedName name="dch505_9_c">'Ch5'!$AQ$317</definedName>
    <definedName name="dch601_2_1">'Ch6'!$AQ$31</definedName>
    <definedName name="dch601_2_2">'Ch6'!$AQ$34</definedName>
    <definedName name="dch601_2_3">'Ch6'!$AQ$37</definedName>
    <definedName name="dch601_3_1">'Ch6'!$AQ$41</definedName>
    <definedName name="dch601_3_2">'Ch6'!$AQ$42</definedName>
    <definedName name="dch601_3_3">'Ch6'!$AQ$43</definedName>
    <definedName name="dch601_3_4">'Ch6'!$AQ$44</definedName>
    <definedName name="dch601_3_5">'Ch6'!$AQ$45</definedName>
    <definedName name="dch601_4">'Ch6'!$AQ$46</definedName>
    <definedName name="dch601_5_1">'Ch6'!$AQ$52</definedName>
    <definedName name="dch601_5_2">'Ch6'!$AQ$53</definedName>
    <definedName name="dch601_5_3">'Ch6'!$AQ$54</definedName>
    <definedName name="dch601_5_4">'Ch6'!$AQ$55</definedName>
    <definedName name="dch601_5_5">'Ch6'!$AQ$56</definedName>
    <definedName name="dch601_7_a">'Ch6'!$AQ$65</definedName>
    <definedName name="dch601_7_b">'Ch6'!$AQ$66</definedName>
    <definedName name="dch601_7_c">'Ch6'!$AQ$67</definedName>
    <definedName name="dch601_7_d">'Ch6'!$AQ$71</definedName>
    <definedName name="dch601_7_e">'Ch6'!$AQ$73</definedName>
    <definedName name="dch601_8">'Ch6'!$AQ$80</definedName>
    <definedName name="dch602_1_1_1">'Ch6'!$AQ$93</definedName>
    <definedName name="dch602_1_1_2">'Ch6'!$AQ$96</definedName>
    <definedName name="dch602_1_10">'Ch6'!$AQ$193</definedName>
    <definedName name="dch602_1_11">'Ch6'!$AQ$205</definedName>
    <definedName name="dch602_1_12">'Ch6'!$AQ$207</definedName>
    <definedName name="dch602_1_13">'Ch6'!$AQ$210</definedName>
    <definedName name="dch602_1_14_1">'Ch6'!$AQ$216</definedName>
    <definedName name="dch602_1_14_2">'Ch6'!$AQ$218</definedName>
    <definedName name="dch602_1_14_3">'Ch6'!$AQ$219</definedName>
    <definedName name="dch602_1_15">'Ch6'!$AQ$220</definedName>
    <definedName name="dch602_1_2__1">'Ch6'!$AQ$100</definedName>
    <definedName name="dch602_1_2__2">'Ch6'!$AQ$101</definedName>
    <definedName name="dch602_1_3_1">'Ch6'!$AQ$103</definedName>
    <definedName name="dch602_1_3_2">'Ch6'!$AQ$105</definedName>
    <definedName name="dch602_1_4_1_1">'Ch6'!$AQ$111</definedName>
    <definedName name="dch602_1_4_1_2">'Ch6'!$AQ$113</definedName>
    <definedName name="dch602_1_4_2_1">'Ch6'!$AQ$117</definedName>
    <definedName name="dch602_1_4_2_2">'Ch6'!$AQ$119</definedName>
    <definedName name="dch602_1_5">'Ch6'!$AQ$122</definedName>
    <definedName name="dch602_1_5_1">'Ch6'!$AQ$123</definedName>
    <definedName name="dch602_1_5_2">'Ch6'!$AQ$125</definedName>
    <definedName name="dch602_1_6_1">'Ch6'!$AQ$131</definedName>
    <definedName name="dch602_1_6_2">'Ch6'!$AQ$135</definedName>
    <definedName name="dch602_1_6_3">'Ch6'!$AQ$139</definedName>
    <definedName name="dch602_1_7_1_1">'Ch6'!$AQ$144</definedName>
    <definedName name="dch602_1_7_1_2">'Ch6'!$AQ$146</definedName>
    <definedName name="dch602_1_7_1_3">'Ch6'!$AQ$149</definedName>
    <definedName name="dch602_1_7_2">'Ch6'!$AQ$151</definedName>
    <definedName name="dch602_1_7_3">'Ch6'!$AQ$153</definedName>
    <definedName name="dch602_1_8">'Ch6'!$AQ$157</definedName>
    <definedName name="dch602_1_9_1">'Ch6'!$AQ$165</definedName>
    <definedName name="dch602_1_9_2">'Ch6'!$AQ$175</definedName>
    <definedName name="dch602_1_9_3">'Ch6'!$AQ$178</definedName>
    <definedName name="dch602_1_9_4">'Ch6'!$AQ$179</definedName>
    <definedName name="dch602_1_9_5">'Ch6'!$AQ$183</definedName>
    <definedName name="dch602_1_9_6">'Ch6'!$AQ$189</definedName>
    <definedName name="dch602_1_9_7">'Ch6'!$AQ$191</definedName>
    <definedName name="dch602_2_1">'Ch6'!$AQ$227</definedName>
    <definedName name="dch602_2_2">'Ch6'!$AQ$229</definedName>
    <definedName name="dch602_2_3">'Ch6'!$AQ$230</definedName>
    <definedName name="dch602_3">'Ch6'!$AQ$233</definedName>
    <definedName name="dch602_4_1">'Ch6'!$AQ$237</definedName>
    <definedName name="dch602_4_2">'Ch6'!$AQ$242</definedName>
    <definedName name="dch602_4_3">'Ch6'!$AQ$244</definedName>
    <definedName name="dch603_1">'Ch6'!$AQ$248</definedName>
    <definedName name="dch603_2">'Ch6'!$AQ$254</definedName>
    <definedName name="dch603_3">'Ch6'!$AQ$261</definedName>
    <definedName name="dch604_1a">'Ch6'!$AQ$266</definedName>
    <definedName name="dch604_1b">'Ch6'!$AQ$268</definedName>
    <definedName name="dch604_1c">'Ch6'!$AQ$270</definedName>
    <definedName name="dch604_1d">'Ch6'!$AQ$272</definedName>
    <definedName name="dch605_1">'Ch6'!$AQ$275</definedName>
    <definedName name="dch605_2">'Ch6'!$AQ$278</definedName>
    <definedName name="dch605_2_2">'Ch6'!$AQ$291</definedName>
    <definedName name="dch605_3">'Ch6'!$AQ$293</definedName>
    <definedName name="dch605_4_2_a">'Ch6'!$AQ$306</definedName>
    <definedName name="dch605_4_2_b">'Ch6'!$AQ$307</definedName>
    <definedName name="dch605_4_2_c">'Ch6'!$AQ$308</definedName>
    <definedName name="dch605_4_2_d">'Ch6'!$AQ$309</definedName>
    <definedName name="dch605_4_2_e">'Ch6'!$AQ$310</definedName>
    <definedName name="dch605_4_2_f">'Ch6'!$AQ$311</definedName>
    <definedName name="dch605_4_2_g">'Ch6'!$AQ$312</definedName>
    <definedName name="dch605_4_2_h">'Ch6'!$AQ$313</definedName>
    <definedName name="dch605_4_2_i">'Ch6'!$AQ$314</definedName>
    <definedName name="dch606_1_a">'Ch6'!$AQ$319</definedName>
    <definedName name="dch606_1_b">'Ch6'!$AQ$320</definedName>
    <definedName name="dch606_1_c">'Ch6'!$AQ$321</definedName>
    <definedName name="dch606_1_d">'Ch6'!$AQ$322</definedName>
    <definedName name="dch606_1_e">'Ch6'!$AQ$323</definedName>
    <definedName name="dch606_1_f">'Ch6'!$AQ$324</definedName>
    <definedName name="dch606_1_g">'Ch6'!$AQ$325</definedName>
    <definedName name="dch606_1_h">'Ch6'!$AQ$326</definedName>
    <definedName name="dch606_2_1a">'Ch6'!$AQ$350</definedName>
    <definedName name="dch606_2_1b">'Ch6'!$AQ$351</definedName>
    <definedName name="dch606_2_2a">'Ch6'!$AQ$353</definedName>
    <definedName name="dch606_2_2b">'Ch6'!$AQ$354</definedName>
    <definedName name="dch606_3">'Ch6'!$AQ$356</definedName>
    <definedName name="dch607_1_1">'Ch6'!$AQ$365</definedName>
    <definedName name="dch607_1_2">'Ch6'!$AQ$370</definedName>
    <definedName name="dch607_2">'Ch6'!$AQ$376</definedName>
    <definedName name="dch608_1">'Ch6'!$AQ$379</definedName>
    <definedName name="dch609_1_1">'Ch6'!$AQ$390</definedName>
    <definedName name="dch609_1_2">'Ch6'!$AQ$392</definedName>
    <definedName name="dch610_1_1_1">'Ch6'!$AQ$409</definedName>
    <definedName name="dch610_1_1_2">'Ch6'!$AQ$418</definedName>
    <definedName name="dch610_1_1_3">'Ch6'!$AQ$426</definedName>
    <definedName name="dch610_1_2_1a">'Ch6'!$AQ$434</definedName>
    <definedName name="dch610_1_2_1b">'Ch6'!$AQ$441</definedName>
    <definedName name="dch610_1_2_2_f">'Ch6'!$AQ$466</definedName>
    <definedName name="dch610_1_2_2a">'Ch6'!$AQ$447</definedName>
    <definedName name="dch610_1_2_2b">'Ch6'!$AQ$454</definedName>
    <definedName name="dch610_1_2_2c">'Ch6'!$AQ$460</definedName>
    <definedName name="dch611_1_1">'Ch6'!$AQ$478</definedName>
    <definedName name="dch611_1_2">'Ch6'!$AQ$489</definedName>
    <definedName name="dch612_1">'Ch6'!$AQ$495</definedName>
    <definedName name="dch612_2_1">'Ch6'!$AQ$506</definedName>
    <definedName name="dch612_2_2">'Ch6'!$AQ$507</definedName>
    <definedName name="dch612_2_3">'Ch6'!$AQ$509</definedName>
    <definedName name="dch612_2_4">'Ch6'!$AQ$511</definedName>
    <definedName name="dch612_2_5">'Ch6'!$AQ$513</definedName>
    <definedName name="dch612_2_6">'Ch6'!$AQ$515</definedName>
    <definedName name="dch612_2_7">'Ch6'!$AQ$517</definedName>
    <definedName name="dch612_3_1">'Ch6'!$AQ$521</definedName>
    <definedName name="dch612_3_2">'Ch6'!$AQ$526</definedName>
    <definedName name="dch612_3_3">'Ch6'!$AQ$530</definedName>
    <definedName name="dch612_3_4">'Ch6'!$AQ$532</definedName>
    <definedName name="dch612_3_5">'Ch6'!$AQ$534</definedName>
    <definedName name="dch612_3_6">'Ch6'!$AQ$535</definedName>
    <definedName name="dch612_3_7">'Ch6'!$AQ$536</definedName>
    <definedName name="dch612_3_8">'Ch6'!$AQ$540</definedName>
    <definedName name="dch612_3_9">'Ch6'!$AQ$542</definedName>
    <definedName name="dch613_1">'Ch6'!$AQ$546</definedName>
    <definedName name="dch701_1">'Ch7'!$AQ$12</definedName>
    <definedName name="dch701_1_">'Ch7'!$AQ$14</definedName>
    <definedName name="dch701_1_4">'Ch7'!$AQ$28</definedName>
    <definedName name="dch701_1_4_">'Ch7'!$AQ$30</definedName>
    <definedName name="dch701_1_6_1">'Ch7'!$AQ$41</definedName>
    <definedName name="dch701_1_6_2">'Ch7'!$AQ$42</definedName>
    <definedName name="dch701_1_6_3">'Ch7'!$AQ$44</definedName>
    <definedName name="dch701_1_6_4">'Ch7'!$AQ$45</definedName>
    <definedName name="dch701_1_6_5">'Ch7'!$AQ$47</definedName>
    <definedName name="dch701_1_6_6_a">'Ch7'!$AQ$50</definedName>
    <definedName name="dch701_1_6_6_b">'Ch7'!$AQ$51</definedName>
    <definedName name="dch701_1_6_6_c">'Ch7'!$AQ$52</definedName>
    <definedName name="dch701_1_6_7_a">'Ch7'!$AQ$54</definedName>
    <definedName name="dch701_1_6_7_b">'Ch7'!$AQ$55</definedName>
    <definedName name="dch701_1_6_7_c">'Ch7'!$AQ$56</definedName>
    <definedName name="dch701_1_6_8">'Ch7'!$AQ$57</definedName>
    <definedName name="dch701_1_6_9">'Ch7'!$AQ$59</definedName>
    <definedName name="dch701_3">'Ch7'!$AQ$63</definedName>
    <definedName name="dch701_4_1">'Ch7'!$AQ$77</definedName>
    <definedName name="dch701_4_1_1">'Ch7'!$AQ$68</definedName>
    <definedName name="dch701_4_1_2">'Ch7'!$AQ$71</definedName>
    <definedName name="dch701_4_2_2">'Ch7'!$AQ$80</definedName>
    <definedName name="dch701_4_2_3">'Ch7'!$AQ$81</definedName>
    <definedName name="dch701_4_3_1">'Ch7'!$AQ$85</definedName>
    <definedName name="dch701_4_3_1_a">'Ch7'!$AQ$88</definedName>
    <definedName name="dch701_4_3_1_b">'Ch7'!$AQ$89</definedName>
    <definedName name="dch701_4_3_1_c">'Ch7'!$AQ$90</definedName>
    <definedName name="dch701_4_3_1_d">'Ch7'!$AQ$91</definedName>
    <definedName name="dch701_4_3_1_e">'Ch7'!$AQ$92</definedName>
    <definedName name="dch701_4_3_1_f">'Ch7'!$AQ$93</definedName>
    <definedName name="dch701_4_3_1_g">'Ch7'!$AQ$94</definedName>
    <definedName name="dch701_4_3_1_h">'Ch7'!$AQ$95</definedName>
    <definedName name="dch701_4_3_1_i">'Ch7'!$AQ$96</definedName>
    <definedName name="dch701_4_3_1_j">'Ch7'!$AQ$97</definedName>
    <definedName name="dch701_4_3_1_k">'Ch7'!$AQ$98</definedName>
    <definedName name="dch701_4_3_1_l">'Ch7'!$AQ$99</definedName>
    <definedName name="dch701_4_3_1_m">'Ch7'!$AQ$100</definedName>
    <definedName name="dch701_4_3_2_1">'Ch7'!$AQ$124</definedName>
    <definedName name="dch701_4_3_2_1_">'Ch7'!$AQ$105</definedName>
    <definedName name="dch701_4_3_2_2">'Ch7'!$AQ$121</definedName>
    <definedName name="dch701_4_3_2e">'Ch7'!$AQ$108</definedName>
    <definedName name="dch701_4_3_4">'Ch7'!$AQ$150</definedName>
    <definedName name="dch701_4_3_5">'Ch7'!$AQ$160</definedName>
    <definedName name="dch701_4_4_1">'Ch7'!$AQ$170</definedName>
    <definedName name="dch701_4_4_2">'Ch7'!$AQ$172</definedName>
    <definedName name="dch701_4_5">'Ch7'!$AQ$173</definedName>
    <definedName name="dch702_2_1">'Ch7'!$AQ$179</definedName>
    <definedName name="dch702_2_2">'Ch7'!$AQ$185</definedName>
    <definedName name="dch703_1_1">'Ch7'!$AQ$196</definedName>
    <definedName name="dch703_1_2">'Ch7'!$AQ$211</definedName>
    <definedName name="dch703_1_3">'Ch7'!$AQ$214</definedName>
    <definedName name="dch703_1_3_1">'Ch7'!$AQ$216</definedName>
    <definedName name="dch703_1_3_2">'Ch7'!$AQ$218</definedName>
    <definedName name="dch703_2_1">'Ch7'!$AQ$220</definedName>
    <definedName name="dch703_2_1_2">'Ch7'!$AQ$222</definedName>
    <definedName name="dch703_2_2">'Ch7'!$AQ$228</definedName>
    <definedName name="dch703_2_3">'Ch7'!$AQ$229</definedName>
    <definedName name="dch703_2_5_1">'Ch7'!$AQ$236</definedName>
    <definedName name="dch703_2_5_1_1">'Ch7'!$AQ$244</definedName>
    <definedName name="dch703_2_5_2">'Ch7'!$AQ$252</definedName>
    <definedName name="dch703_2_5_2_1">'Ch7'!$AQ$260</definedName>
    <definedName name="dch703_3_0_1">'Ch7'!$AQ$271</definedName>
    <definedName name="dch703_3_0_2">'Ch7'!$AQ$278</definedName>
    <definedName name="dch703_3_1">'Ch7'!$AQ$284</definedName>
    <definedName name="dch703_3_2__1_1">'Ch7'!$AQ$291</definedName>
    <definedName name="dch703_3_2__2_1">'Ch7'!$AQ$297</definedName>
    <definedName name="dch703_3_2__3_1">'Ch7'!$AQ$300</definedName>
    <definedName name="dch703_3_2__4_1">'Ch7'!$AQ$305</definedName>
    <definedName name="dch703_3_3__1_1">'Ch7'!$AQ$311</definedName>
    <definedName name="dch703_3_3__2">'Ch7'!$AQ$316</definedName>
    <definedName name="dch703_3_3__3">'Ch7'!$AQ$318</definedName>
    <definedName name="dch703_3_4_1_1">'Ch7'!$AQ$323</definedName>
    <definedName name="dch703_3_4_1_6">'Ch7'!$AQ$328</definedName>
    <definedName name="dch703_3_4_2">'Ch7'!$AQ$330</definedName>
    <definedName name="dch703_3_5">'Ch7'!$AQ$331</definedName>
    <definedName name="dch703_3_6">'Ch7'!$AQ$336</definedName>
    <definedName name="dch703_3_7_1">'Ch7'!$AQ$341</definedName>
    <definedName name="dch703_3_7_2">'Ch7'!$AQ$343</definedName>
    <definedName name="dch703_3_8">'Ch7'!$AQ$348</definedName>
    <definedName name="dch703_4_1">'Ch7'!$AQ$354</definedName>
    <definedName name="dch703_4_2">'Ch7'!$AQ$356</definedName>
    <definedName name="dch703_4_3_1">'Ch7'!$AQ$359</definedName>
    <definedName name="dch703_4_3_2">'Ch7'!$AQ$360</definedName>
    <definedName name="dch703_4_3_3">'Ch7'!$AQ$362</definedName>
    <definedName name="dch703_4_4">'Ch7'!$AQ$364</definedName>
    <definedName name="dch703_5_1">'Ch7'!$AQ$375</definedName>
    <definedName name="dch703_5_1_1">'Ch7'!$AQ$381</definedName>
    <definedName name="dch703_5_1_1_a">'Ch7'!$AQ$383</definedName>
    <definedName name="dch703_5_1_2">'Ch7'!$AQ$400</definedName>
    <definedName name="dch703_5_1_2_a">'Ch7'!$AQ$402</definedName>
    <definedName name="dch703_5_1_3">'Ch7'!$AQ$422</definedName>
    <definedName name="dch703_5_2">'Ch7'!$AQ$423</definedName>
    <definedName name="dch703_5_3">'Ch7'!$AQ$425</definedName>
    <definedName name="dch703_5_4">'Ch7'!$AQ$427</definedName>
    <definedName name="dch703_5_5">'Ch7'!$AQ$429</definedName>
    <definedName name="dch703_5_5_a">'Ch7'!$AQ$431</definedName>
    <definedName name="dch703_6_1_1">'Ch7'!$AQ$448</definedName>
    <definedName name="dch703_6_1_2">'Ch7'!$AQ$450</definedName>
    <definedName name="dch703_6_1_3">'Ch7'!$AQ$452</definedName>
    <definedName name="dch703_6_2__1">'Ch7'!$AQ$455</definedName>
    <definedName name="dch703_6_2__2">'Ch7'!$AQ$456</definedName>
    <definedName name="dch703_6_2__3">'Ch7'!$AQ$457</definedName>
    <definedName name="dch703_7_1">'Ch7'!$AQ$460</definedName>
    <definedName name="dch703_7_2">'Ch7'!$AQ$487</definedName>
    <definedName name="dch703_7_3_1_a">'Ch7'!$AQ$495</definedName>
    <definedName name="dch703_7_3_1_b">'Ch7'!$AQ$497</definedName>
    <definedName name="dch703_7_3_1_c">'Ch7'!$AQ$498</definedName>
    <definedName name="dch703_7_3_1_d">'Ch7'!$AQ$499</definedName>
    <definedName name="dch703_7_3_2">'Ch7'!$AQ$501</definedName>
    <definedName name="dch703_7_3_3">'Ch7'!$AQ$504</definedName>
    <definedName name="dch703_7_3_4">'Ch7'!$AQ$506</definedName>
    <definedName name="dch703_7_3_5_a">'Ch7'!$AQ$511</definedName>
    <definedName name="dch703_7_3_5_b">'Ch7'!$AQ$513</definedName>
    <definedName name="dch703_7_3_6">'Ch7'!$AQ$515</definedName>
    <definedName name="dch703_7_4">'Ch7'!$AQ$517</definedName>
    <definedName name="dch704_2_1">'Ch7'!$AQ$547</definedName>
    <definedName name="dch704_2_2">'Ch7'!$AQ$549</definedName>
    <definedName name="dch705_2_1_1">'Ch7'!$AQ$557</definedName>
    <definedName name="dch705_2_1_2">'Ch7'!$AQ$561</definedName>
    <definedName name="dch705_2_1_3_1">'Ch7'!$AQ$564</definedName>
    <definedName name="dch705_2_1_3_2">'Ch7'!$AQ$568</definedName>
    <definedName name="dch705_2_1_4">'Ch7'!$AQ$573</definedName>
    <definedName name="dch705_2_2">'Ch7'!$AQ$578</definedName>
    <definedName name="dch705_2_3">'Ch7'!$AQ$581</definedName>
    <definedName name="dch705_2_4">'Ch7'!$AQ$584</definedName>
    <definedName name="dch705_3">'Ch7'!$AQ$586</definedName>
    <definedName name="dch705_4">'Ch7'!$AQ$587</definedName>
    <definedName name="dch705_5_1_1">'Ch7'!$AQ$592</definedName>
    <definedName name="dch705_5_1_2">'Ch7'!$AQ$595</definedName>
    <definedName name="dch705_5_2">'Ch7'!$AQ$597</definedName>
    <definedName name="dch705_5_3_1">'Ch7'!$AQ$606</definedName>
    <definedName name="dch705_5_3_2">'Ch7'!$AQ$608</definedName>
    <definedName name="dch705_6_2_1_1_1">'Ch7'!$AQ$623</definedName>
    <definedName name="dch705_6_2_1_1_2">'Ch7'!$AQ$625</definedName>
    <definedName name="dch705_6_2_1_2">'Ch7'!$AQ$626</definedName>
    <definedName name="dch705_6_2_2_1">'Ch7'!$AQ$632</definedName>
    <definedName name="dch705_6_2_2_2">'Ch7'!$AQ$634</definedName>
    <definedName name="dch705_6_2_3">'Ch7'!$AQ$637</definedName>
    <definedName name="dch705_6_3">'Ch7'!$AQ$643</definedName>
    <definedName name="dch705_6_3_1">'Ch7'!$AQ$645</definedName>
    <definedName name="dch705_6_4_1">'Ch7'!$AQ$655</definedName>
    <definedName name="dch705_6_4_2">'Ch7'!$AQ$657</definedName>
    <definedName name="dch705_7">'Ch7'!$AQ$659</definedName>
    <definedName name="dch706_1_1">'Ch7'!$AQ$666</definedName>
    <definedName name="dch706_1_2">'Ch7'!$AQ$667</definedName>
    <definedName name="dch706_1_3">'Ch7'!$AQ$668</definedName>
    <definedName name="dch706_1_4">'Ch7'!$AQ$669</definedName>
    <definedName name="dch706_1_5">'Ch7'!$AQ$671</definedName>
    <definedName name="dch706_10">'Ch7'!$AQ$741</definedName>
    <definedName name="dch706_11">'Ch7'!$AQ$746</definedName>
    <definedName name="dch706_12">'Ch7'!$AQ$748</definedName>
    <definedName name="dch706_13">'Ch7'!$AQ$752</definedName>
    <definedName name="dch706_14_1">'Ch7'!$AQ$757</definedName>
    <definedName name="dch706_14_2">'Ch7'!$AQ$761</definedName>
    <definedName name="dch706_15_1">'Ch7'!$AQ$766</definedName>
    <definedName name="dch706_15_2">'Ch7'!$AQ$767</definedName>
    <definedName name="dch706_2_1">'Ch7'!$AQ$674</definedName>
    <definedName name="dch706_2_2">'Ch7'!$AQ$679</definedName>
    <definedName name="dch706_3_1">'Ch7'!$AQ$694</definedName>
    <definedName name="dch706_3_2">'Ch7'!$AQ$695</definedName>
    <definedName name="dch706_3_3">'Ch7'!$AQ$696</definedName>
    <definedName name="dch706_3_4">'Ch7'!$AQ$697</definedName>
    <definedName name="dch706_3_5">'Ch7'!$AQ$698</definedName>
    <definedName name="dch706_3_6">'Ch7'!$AQ$699</definedName>
    <definedName name="dch706_3_7">'Ch7'!$AQ$700</definedName>
    <definedName name="dch706_3_8">'Ch7'!$AQ$701</definedName>
    <definedName name="dch706_4_1_1">'Ch7'!$AQ$704</definedName>
    <definedName name="dch706_4_1_2">'Ch7'!$AQ$706</definedName>
    <definedName name="dch706_4_2">'Ch7'!$AQ$708</definedName>
    <definedName name="dch706_5_1">'Ch7'!$AQ$711</definedName>
    <definedName name="dch706_5_2">'Ch7'!$AQ$713</definedName>
    <definedName name="dch706_5_3">'Ch7'!$AQ$715</definedName>
    <definedName name="dch706_6">'Ch7'!$AQ$725</definedName>
    <definedName name="dch706_7_1">'Ch7'!$AQ$729</definedName>
    <definedName name="dch706_7_2">'Ch7'!$AQ$730</definedName>
    <definedName name="dch706_8">'Ch7'!$AQ$733</definedName>
    <definedName name="dch706_9">'Ch7'!$AQ$736</definedName>
    <definedName name="dch801_1">'Ch8'!$AQ$13</definedName>
    <definedName name="dch802_1">'Ch8'!$AQ$21</definedName>
    <definedName name="dch802_1_6">'Ch8'!$AQ$50</definedName>
    <definedName name="dch802_10_1">'Ch8'!$AQ$208</definedName>
    <definedName name="dch802_10_1_1">'Ch8'!$AQ$211</definedName>
    <definedName name="dch802_2_1">'Ch8'!$AQ$55</definedName>
    <definedName name="dch802_2_2">'Ch8'!$AQ$56</definedName>
    <definedName name="dch802_3_1_a">'Ch8'!$AQ$64</definedName>
    <definedName name="dch802_3_1_b">'Ch8'!$AQ$66</definedName>
    <definedName name="dch802_3_2_a">'Ch8'!$AQ$73</definedName>
    <definedName name="dch802_3_2_b">'Ch8'!$AQ$75</definedName>
    <definedName name="dch802_4_1">'Ch8'!$AQ$80</definedName>
    <definedName name="dch802_4_2">'Ch8'!$AQ$92</definedName>
    <definedName name="dch802_4_3">'Ch8'!$AQ$97</definedName>
    <definedName name="dch802_5_1a">'Ch8'!$AQ$100</definedName>
    <definedName name="dch802_5_1b">'Ch8'!$AQ$102</definedName>
    <definedName name="dch802_5_2">'Ch8'!$AQ$112</definedName>
    <definedName name="dch802_5_3">'Ch8'!$AQ$117</definedName>
    <definedName name="dch802_5_4_2">'Ch8'!$AQ$124</definedName>
    <definedName name="dch802_5_4_3">'Ch8'!$AQ$131</definedName>
    <definedName name="dch802_5_4_4_a">'Ch8'!$AQ$134</definedName>
    <definedName name="dch802_5_4_4_b">'Ch8'!$AQ$138</definedName>
    <definedName name="dch802_5_4_4_c">'Ch8'!$AQ$140</definedName>
    <definedName name="dch802_6_1">'Ch8'!$AQ$143</definedName>
    <definedName name="dch802_6_2">'Ch8'!$AQ$145</definedName>
    <definedName name="dch802_6_3_1">'Ch8'!$AQ$149</definedName>
    <definedName name="dch802_6_3_2">'Ch8'!$AQ$150</definedName>
    <definedName name="dch802_6_3_3">'Ch8'!$AQ$151</definedName>
    <definedName name="dch802_6_4_1">'Ch8'!$AQ$156</definedName>
    <definedName name="dch802_6_4_2">'Ch8'!$AQ$158</definedName>
    <definedName name="dch802_6_5_1">'Ch8'!$AQ$164</definedName>
    <definedName name="dch802_6_5_2">'Ch8'!$AQ$166</definedName>
    <definedName name="dch802_6_5_3">'Ch8'!$AQ$168</definedName>
    <definedName name="dch802_6_5_4">'Ch8'!$AQ$169</definedName>
    <definedName name="dch802_6_5_5">'Ch8'!$AQ$171</definedName>
    <definedName name="dch802_7_1">'Ch8'!$AQ$175</definedName>
    <definedName name="dch802_7_2_1">'Ch8'!$AQ$189</definedName>
    <definedName name="dch802_7_2_2">'Ch8'!$AQ$191</definedName>
    <definedName name="dch802_8">'Ch8'!$AQ$192</definedName>
    <definedName name="dch802_9_1">'Ch8'!$AQ$195</definedName>
    <definedName name="dch802_9_2">'Ch8'!$AQ$203</definedName>
    <definedName name="dch803_1_1">'Ch8'!$AQ$217</definedName>
    <definedName name="dch803_1_2">'Ch8'!$AQ$219</definedName>
    <definedName name="dch803_2">'Ch8'!$AQ$221</definedName>
    <definedName name="dch803_3">'Ch8'!$AQ$223</definedName>
    <definedName name="dch803_4">'Ch8'!$AQ$228</definedName>
    <definedName name="dch803_5">'Ch8'!$AQ$231</definedName>
    <definedName name="dch803_6">'Ch8'!$AQ$233</definedName>
    <definedName name="dch804_2">'Ch8'!$AQ$239</definedName>
    <definedName name="dch901_1_1">'Ch9'!$AQ$12</definedName>
    <definedName name="dch901_1_2">'Ch9'!$AQ$18</definedName>
    <definedName name="dch901_1_3_1">'Ch9'!$AQ$23</definedName>
    <definedName name="dch901_1_3_2">'Ch9'!$AQ$26</definedName>
    <definedName name="dch901_1_4">'Ch9'!$AQ$29</definedName>
    <definedName name="dch901_1_5">'Ch9'!$AQ$34</definedName>
    <definedName name="dch901_1_6">'Ch9'!$AQ$37</definedName>
    <definedName name="dch901_10_1">'Ch9'!$AQ$149</definedName>
    <definedName name="dch901_10_2">'Ch9'!$AQ$154</definedName>
    <definedName name="dch901_10_3">'Ch9'!$AQ$155</definedName>
    <definedName name="dch901_11">'Ch9'!$AQ$159</definedName>
    <definedName name="dch901_12">'Ch9'!$AQ$164</definedName>
    <definedName name="dch901_13">'Ch9'!$AQ$168</definedName>
    <definedName name="dch901_14_1">'Ch9'!$AQ$172</definedName>
    <definedName name="dch901_14_2">'Ch9'!$AQ$173</definedName>
    <definedName name="dch901_15_1">'Ch9'!$AQ$176</definedName>
    <definedName name="dch901_15_2">'Ch9'!$AQ$178</definedName>
    <definedName name="dch901_2_1_1">'Ch9'!$AQ$43</definedName>
    <definedName name="dch901_2_1_2">'Ch9'!$AQ$46</definedName>
    <definedName name="dch901_2_1_3">'Ch9'!$AQ$48</definedName>
    <definedName name="dch901_2_1_4">'Ch9'!$AQ$51</definedName>
    <definedName name="dch901_2_1_5">'Ch9'!$AQ$53</definedName>
    <definedName name="dch901_2_2">'Ch9'!$AQ$55</definedName>
    <definedName name="dch901_3_1_a">'Ch9'!$AQ$58</definedName>
    <definedName name="dch901_3_1_b">'Ch9'!$AQ$60</definedName>
    <definedName name="dch901_3_1_c">'Ch9'!$AQ$62</definedName>
    <definedName name="dch901_3_2">'Ch9'!$AQ$68</definedName>
    <definedName name="dch901_4_1">'Ch9'!$AQ$72</definedName>
    <definedName name="dch901_4_a">'Ch9'!$AQ$77</definedName>
    <definedName name="dch901_4_b">'Ch9'!$AQ$78</definedName>
    <definedName name="dch901_4_c">'Ch9'!$AQ$79</definedName>
    <definedName name="dch901_4_d">'Ch9'!$AQ$80</definedName>
    <definedName name="dch901_5_1">'Ch9'!$AQ$91</definedName>
    <definedName name="dch901_5_2">'Ch9'!$AQ$93</definedName>
    <definedName name="dch901_6">'Ch9'!$AQ$96</definedName>
    <definedName name="dch901_7_1">'Ch9'!$AQ$105</definedName>
    <definedName name="dch901_7_2">'Ch9'!$AQ$115</definedName>
    <definedName name="dch901_7_3">'Ch9'!$AQ$116</definedName>
    <definedName name="dch901_8">'Ch9'!$AQ$119</definedName>
    <definedName name="dch901_9_1_1">'Ch9'!$AQ$130</definedName>
    <definedName name="dch901_9_1_2">'Ch9'!$AQ$132</definedName>
    <definedName name="dch901_9_1_3">'Ch9'!$AQ$133</definedName>
    <definedName name="dch901_9_2">'Ch9'!$AQ$135</definedName>
    <definedName name="dch901_9_3">'Ch9'!$AQ$140</definedName>
    <definedName name="dch902_1_1">'Ch9'!$AQ$184</definedName>
    <definedName name="dch902_1_1_a">'Ch9'!$AQ$186</definedName>
    <definedName name="dch902_1_2">'Ch9'!$AQ$188</definedName>
    <definedName name="dch902_1_2_">'Ch9'!$AQ$194</definedName>
    <definedName name="dch902_1_2_2">'Ch9'!$AQ$196</definedName>
    <definedName name="dch902_1_3">'Ch9'!$AQ$190</definedName>
    <definedName name="dch902_1_3_">'Ch9'!$AQ$197</definedName>
    <definedName name="dch902_1_4_1">'Ch9'!$AQ$203</definedName>
    <definedName name="dch902_1_4_2">'Ch9'!$AQ$205</definedName>
    <definedName name="dch902_1_5_1">'Ch9'!$AQ$208</definedName>
    <definedName name="dch902_1_5_2">'Ch9'!$AQ$210</definedName>
    <definedName name="dch902_1_5_3">'Ch9'!$AQ$212</definedName>
    <definedName name="dch902_1_6">'Ch9'!$AQ$215</definedName>
    <definedName name="dch902_2_1">'Ch9'!$AQ$219</definedName>
    <definedName name="dch902_2_2">'Ch9'!$AQ$230</definedName>
    <definedName name="dch902_2_3">'Ch9'!$AQ$232</definedName>
    <definedName name="dch902_2_4">'Ch9'!$AQ$235</definedName>
    <definedName name="dch902_3">'Ch9'!$AQ$238</definedName>
    <definedName name="dch902_3_2">'Ch9'!$AQ$286</definedName>
    <definedName name="dch902_3_2_1">'Ch9'!$AQ$288</definedName>
    <definedName name="dch902_3_2_1_b">'Ch9'!$AQ$290</definedName>
    <definedName name="dch902_4_1">'Ch9'!$AQ$314</definedName>
    <definedName name="dch902_4_2">'Ch9'!$AQ$316</definedName>
    <definedName name="dch902_4_3">'Ch9'!$AQ$319</definedName>
    <definedName name="dch902_5">'Ch9'!$AQ$322</definedName>
    <definedName name="dch902_6">'Ch9'!$AQ$324</definedName>
    <definedName name="dch903_1">'Ch9'!$AQ$328</definedName>
    <definedName name="dch903_2">'Ch9'!$AQ$332</definedName>
    <definedName name="dch903_3_1">'Ch9'!$AQ$338</definedName>
    <definedName name="dch903_3_2">'Ch9'!$AQ$339</definedName>
    <definedName name="dch904_1">'Ch9'!$AQ$344</definedName>
    <definedName name="dch904_2">'Ch9'!$AQ$349</definedName>
    <definedName name="dch904_3_1">'Ch9'!$AQ$354</definedName>
    <definedName name="dch904_3_2">'Ch9'!$AQ$362</definedName>
    <definedName name="dch905_1">'Ch9'!$AQ$366</definedName>
    <definedName name="dch905_2">'Ch9'!$AQ$371</definedName>
    <definedName name="dch905_3_1">'Ch9'!$AQ$374</definedName>
    <definedName name="dch905_3_2">'Ch9'!$AQ$375</definedName>
    <definedName name="dch905_4">'Ch9'!$AQ$377</definedName>
    <definedName name="dch905_6">'Ch9'!$AQ$382</definedName>
    <definedName name="dd13_102_1">Dropdowns!$FM$5:$FM$6</definedName>
    <definedName name="dd13_104_1_1">Dropdowns!$FN$5:$FN$7</definedName>
    <definedName name="dd13_104_1_2">Dropdowns!$FO$5:$FO$7</definedName>
    <definedName name="dd13_104_1_3">Dropdowns!$FP$5:$FP$7</definedName>
    <definedName name="dd13_104_1_4">Dropdowns!$FQ$5:$FQ$7</definedName>
    <definedName name="dd13_104_1_5_1">Dropdowns!$FR$5:$FR$7</definedName>
    <definedName name="dd13_104_1_5_10">Dropdowns!$GA$5:$GA$7</definedName>
    <definedName name="dd13_104_1_5_11">Dropdowns!$GB$5:$GB$7</definedName>
    <definedName name="dd13_104_1_5_12">Dropdowns!$GC$5:$GC$7</definedName>
    <definedName name="dd13_104_1_5_2">Dropdowns!$FS$5:$FS$7</definedName>
    <definedName name="dd13_104_1_5_3">Dropdowns!$FT$5:$FT$7</definedName>
    <definedName name="dd13_104_1_5_4">Dropdowns!$FU$5:$FU$7</definedName>
    <definedName name="dd13_104_1_5_5">Dropdowns!$FV$5:$FV$7</definedName>
    <definedName name="dd13_104_1_5_6">Dropdowns!$FW$5:$FW$7</definedName>
    <definedName name="dd13_104_1_5_7">Dropdowns!$FX$5:$FX$7</definedName>
    <definedName name="dd13_104_1_5_8">Dropdowns!$FY$5:$FY$7</definedName>
    <definedName name="dd13_104_1_5_9">Dropdowns!$FZ$5:$FZ$7</definedName>
    <definedName name="dd13_104_1_6">Dropdowns!$GD$5:$GD$7</definedName>
    <definedName name="dd13_104_1_7">Dropdowns!$GE$5:$GE$7</definedName>
    <definedName name="dd13_105_10">Dropdowns!$GS$5:$GS$7</definedName>
    <definedName name="dd13_105_11">Dropdowns!$GT$5:$GT$7</definedName>
    <definedName name="dd13_105_11_1">Dropdowns!$GU$5:$GU$7</definedName>
    <definedName name="dd13_105_11_2">Dropdowns!$GV$5:$GV$7</definedName>
    <definedName name="dd13_105_11_3">Dropdowns!$GW$5:$GW$7</definedName>
    <definedName name="dd13_105_12">Dropdowns!$GX$5:$GX$7</definedName>
    <definedName name="dd13_105_3_1">Dropdowns!$GF$5:$GF$7</definedName>
    <definedName name="dd13_105_3_10">Dropdowns!$GO$5:$GO$7</definedName>
    <definedName name="dd13_105_3_11">Dropdowns!$GP$5:$GP$7</definedName>
    <definedName name="dd13_105_3_12">Dropdowns!$GQ$5:$GQ$7</definedName>
    <definedName name="dd13_105_3_2">Dropdowns!$GG$5:$GG$7</definedName>
    <definedName name="dd13_105_3_3">Dropdowns!$GH$5:$GH$7</definedName>
    <definedName name="dd13_105_3_4">Dropdowns!$GI$5:$GI$7</definedName>
    <definedName name="dd13_105_3_5">Dropdowns!$GJ$5:$GJ$7</definedName>
    <definedName name="dd13_105_3_6">Dropdowns!$GK$5:$GK$7</definedName>
    <definedName name="dd13_105_3_7">Dropdowns!$GL$5:$GL$7</definedName>
    <definedName name="dd13_105_3_8">Dropdowns!$GM$5:$GM$7</definedName>
    <definedName name="dd13_105_3_9">Dropdowns!$GN$5:$GN$7</definedName>
    <definedName name="dd13_105_4">Dropdowns!$GR$5:$GR$7</definedName>
    <definedName name="dd13_106_3_1">Dropdowns!$GY$5:$GY$7</definedName>
    <definedName name="dd13_106_3_2">Dropdowns!$GZ$5:$GZ$7</definedName>
    <definedName name="dd13_106_3_3">Dropdowns!$HA$5:$HA$7</definedName>
    <definedName name="dd13_106_3_4">Dropdowns!$HB$5:$HB$7</definedName>
    <definedName name="dd13_106_4_1">Dropdowns!$HC$5:$HC$7</definedName>
    <definedName name="dd13_106_4_2">Dropdowns!$HD$5:$HD$7</definedName>
    <definedName name="dd13_106_4_3">Dropdowns!$HE$5:$HE$7</definedName>
    <definedName name="dd13_106_4_4">Dropdowns!$HF$5:$HF$7</definedName>
    <definedName name="dd13_106_5_1">Dropdowns!$HG$5:$HG$7</definedName>
    <definedName name="dd13_106_5_2">Dropdowns!$HH$5:$HH$7</definedName>
    <definedName name="dd13_106_5_3">Dropdowns!$HI$5:$HI$7</definedName>
    <definedName name="dd13_106_6">Dropdowns!$HJ$5:$HJ$7</definedName>
    <definedName name="dd13_107_1_1">Dropdowns!$HK$5:$HK$6</definedName>
    <definedName name="dd13_107_4">Dropdowns!$HL$5:$HL$7</definedName>
    <definedName name="dd13_107_4_1">Dropdowns!$HM$5:$HM$7</definedName>
    <definedName name="dd13_107_4_2">Dropdowns!$HN$5:$HN$7</definedName>
    <definedName name="dd13_107_4_2_1">Dropdowns!$HO$5:$HO$7</definedName>
    <definedName name="dd13_107_4_2_2">Dropdowns!$HP$5:$HP$7</definedName>
    <definedName name="dd13_107_4_2_3">Dropdowns!$HQ$5:$HQ$7</definedName>
    <definedName name="dd13_107_4_3">Dropdowns!$HR$5:$HR$7</definedName>
    <definedName name="dd13_107_4_4">Dropdowns!$HS$5:$HS$7</definedName>
    <definedName name="dd13_107_6_1">Dropdowns!$HT$5:$HT$7</definedName>
    <definedName name="dd13_107_6_2">Dropdowns!$HU$5:$HU$7</definedName>
    <definedName name="dd501_2_4_1">Dropdowns!$AD$5:$AD$6</definedName>
    <definedName name="dd501_2_6">Dropdowns!$AE$5:$AE$7</definedName>
    <definedName name="dd503_2_3">Dropdowns!$AF$5:$AF$7</definedName>
    <definedName name="dd503_4_3">Dropdowns!$AG$5:$AG$7</definedName>
    <definedName name="dd503_4_4">Dropdowns!$AH$5:$AH$7</definedName>
    <definedName name="dd503_5">Dropdowns!$AI$5:$AI$7</definedName>
    <definedName name="dd503_5_1">Dropdowns!$AJ$5:$AJ$8</definedName>
    <definedName name="dd503_5_6">Dropdowns!$AK$5:$AK$8</definedName>
    <definedName name="dd503_7">Dropdowns!$AL$5:$AL$6</definedName>
    <definedName name="dd503_8">Dropdowns!$AM$5:$AM$10</definedName>
    <definedName name="dd505_1_3">Dropdowns!$AN$5:$AN$7</definedName>
    <definedName name="dd505_3">Dropdowns!$AO$5:$AO$9</definedName>
    <definedName name="dd601_6">Dropdowns!$AP$5:$AP$7</definedName>
    <definedName name="dd601_7_a">Dropdowns!$AQ$5:$AQ$7</definedName>
    <definedName name="dd601_7_b">Dropdowns!$AR$5:$AR$7</definedName>
    <definedName name="dd601_7_c">Dropdowns!$AS$5:$AS$7</definedName>
    <definedName name="dd601_7_d">Dropdowns!$AT$5:$AT$7</definedName>
    <definedName name="dd601_7_e">Dropdowns!$AU$5:$AU$7</definedName>
    <definedName name="dd602_1_1_1">Dropdowns!$AV$5:$AV$7</definedName>
    <definedName name="dd602_1_10">Dropdowns!$BC$5:$BC$7</definedName>
    <definedName name="dd602_1_11">Dropdowns!$BD$5:$BD$7</definedName>
    <definedName name="dd602_1_13">Dropdowns!$BE$5:$BE$7</definedName>
    <definedName name="dd602_1_14_1">Dropdowns!$BF$5:$BF$7</definedName>
    <definedName name="dd602_1_4_1_2">Dropdowns!$AW$5:$AW$7</definedName>
    <definedName name="dd602_1_4_2_2">Dropdowns!$AX$5:$AX$7</definedName>
    <definedName name="dd602_1_5">Dropdowns!$AY$5:$AY$8</definedName>
    <definedName name="dd602_1_7_1_2">Dropdowns!$AZ$5:$AZ$7</definedName>
    <definedName name="dd602_1_8">Dropdowns!$BA$5:$BA$7</definedName>
    <definedName name="dd602_1_9_5">Dropdowns!$BB$5:$BB$6</definedName>
    <definedName name="dd606_1_a">Dropdowns!$BG$5:$BG$6</definedName>
    <definedName name="dd606_1_b">Dropdowns!$BH$5:$BH$6</definedName>
    <definedName name="dd606_1_c">Dropdowns!$BI$5:$BI$6</definedName>
    <definedName name="dd606_1_d">Dropdowns!$BJ$5:$BJ$6</definedName>
    <definedName name="dd606_1_e">Dropdowns!$BK$5:$BK$6</definedName>
    <definedName name="dd606_1_f">Dropdowns!$BL$5:$BL$6</definedName>
    <definedName name="dd606_1_g">Dropdowns!$BM$5:$BM$6</definedName>
    <definedName name="dd606_1_h">Dropdowns!$BN$5:$BN$6</definedName>
    <definedName name="dd606_2_1a">Dropdowns!$BO$5:$BO$12</definedName>
    <definedName name="dd606_2_1b">Dropdowns!$BP$5:$BP$12</definedName>
    <definedName name="dd606_2_2a">Dropdowns!$BQ$5:$BQ$12</definedName>
    <definedName name="dd606_2_2b">Dropdowns!$BR$5:$BR$12</definedName>
    <definedName name="dd606_3">Dropdowns!$BS$5:$BS$7</definedName>
    <definedName name="dd608_1">Dropdowns!$BT$5:$BT$7</definedName>
    <definedName name="dd609_1_1">Dropdowns!$BU$5:$BU$9</definedName>
    <definedName name="dd609_1_2">Dropdowns!$BV$5:$BV$14</definedName>
    <definedName name="dd610_1_2_1a">Dropdowns!$BW$5:$BW$9</definedName>
    <definedName name="dd610_1_2_1b">Dropdowns!$BX$5:$BX$9</definedName>
    <definedName name="dd610_1_2_2_f">Dropdowns!$CB$5:$CB$6</definedName>
    <definedName name="dd610_1_2_2a">Dropdowns!$BY$5:$BY$6</definedName>
    <definedName name="dd610_1_2_2b">Dropdowns!$BZ$5:$BZ$6</definedName>
    <definedName name="dd610_1_2_2c">Dropdowns!$CA$5:$CA$6</definedName>
    <definedName name="dd612_1">Dropdowns!$CC$5:$CC$14</definedName>
    <definedName name="dd612_3_9">Dropdowns!$CD$5:$CD$9</definedName>
    <definedName name="dd613_1">Dropdowns!$CE$5:$CE$10</definedName>
    <definedName name="dd701_1">Dropdowns!$CF$5:$CF$9</definedName>
    <definedName name="dd701_1_">Dropdowns!$CG$5:$CG$9</definedName>
    <definedName name="dd701_1_4">Dropdowns!$CH$5:$CH$6</definedName>
    <definedName name="dd701_1_6_2">Dropdowns!$CK$5:$CK$7</definedName>
    <definedName name="dd701_1_6_4">Dropdowns!$CL$5:$CL$7</definedName>
    <definedName name="dd701_4_1_2">Dropdowns!$CM$5:$CM$8</definedName>
    <definedName name="dd701_4_3_1_a">Dropdowns!$CN$5:$CN$7</definedName>
    <definedName name="dd701_4_3_1_b">Dropdowns!$CO$5:$CO$7</definedName>
    <definedName name="dd701_4_3_1_c">Dropdowns!$CP$5:$CP$7</definedName>
    <definedName name="dd701_4_3_1_d">Dropdowns!$CQ$5:$CQ$7</definedName>
    <definedName name="dd701_4_3_1_e">Dropdowns!$CR$5:$CR$7</definedName>
    <definedName name="dd701_4_3_1_f">Dropdowns!$CS$5:$CS$7</definedName>
    <definedName name="dd701_4_3_1_g">Dropdowns!$CT$5:$CT$7</definedName>
    <definedName name="dd701_4_3_1_h">Dropdowns!$CU$5:$CU$7</definedName>
    <definedName name="dd701_4_3_1_i">Dropdowns!$CV$5:$CV$7</definedName>
    <definedName name="dd701_4_3_1_j">Dropdowns!$CW$5:$CW$7</definedName>
    <definedName name="dd701_4_3_1_k">Dropdowns!$CX$5:$CX$7</definedName>
    <definedName name="dd701_4_3_1_l">Dropdowns!$CY$5:$CY$7</definedName>
    <definedName name="dd701_4_3_1_m">Dropdowns!$CZ$5:$CZ$7</definedName>
    <definedName name="dd701_4_3_5">Dropdowns!$DA$5:$DA$7</definedName>
    <definedName name="dd703_1_3">Dropdowns!$DB$5:$DB$6</definedName>
    <definedName name="dd703_2_5_1">Dropdowns!$DC$5:$DC$7</definedName>
    <definedName name="dd703_2_5_1_1">Dropdowns!$DD$5:$DD$7</definedName>
    <definedName name="dd703_2_5_2">Dropdowns!$DE$5:$DE$7</definedName>
    <definedName name="dd703_2_5_2_1">Dropdowns!$DF$5:$DF$7</definedName>
    <definedName name="dd703_3_0_1">Dropdowns!$DG$5:$DG$6</definedName>
    <definedName name="dd703_3_0_2">Dropdowns!$DH$5:$DH$6</definedName>
    <definedName name="dd703_4_4">Dropdowns!$DI$5:$DI$8</definedName>
    <definedName name="dd703_5_1">Dropdowns!$DJ$5:$DJ$7</definedName>
    <definedName name="dd703_5_1_1">Dropdowns!$DK$5:$DK$9</definedName>
    <definedName name="dd703_5_1_2">Dropdowns!$DL$5:$DL$9</definedName>
    <definedName name="dd703_5_5">Dropdowns!$DM$5:$DM$6</definedName>
    <definedName name="dd705_2_1_1">Dropdowns!$DN$5:$DN$6</definedName>
    <definedName name="dd705_2_1_3_1">Dropdowns!$DO$5:$DO$6</definedName>
    <definedName name="dd705_2_1_3_2">Dropdowns!$DP$5:$DP$6</definedName>
    <definedName name="dd705_2_1_4">Dropdowns!$DQ$5:$DQ$6</definedName>
    <definedName name="dd705_6_2_3">Dropdowns!$DR$5:$DR$6</definedName>
    <definedName name="dd706_13">Dropdowns!$DT$5:$DT$6</definedName>
    <definedName name="dd706_2_2">Dropdowns!$DS$5:$DS$6</definedName>
    <definedName name="dd801_1">Dropdowns!$DU$5:$DU$6</definedName>
    <definedName name="dd802_1">Dropdowns!$DV$5:$DV$10</definedName>
    <definedName name="dd802_10_1">Dropdowns!$EL$5:$EL$7</definedName>
    <definedName name="dd802_2_2">Dropdowns!$DW$5:$DW$6</definedName>
    <definedName name="dd802_4_1">Dropdowns!$DX$5:$DX$8</definedName>
    <definedName name="dd802_4_2">Dropdowns!$DY$5:$DY$6</definedName>
    <definedName name="dd802_4_3">Dropdowns!$DZ$5:$DZ$7</definedName>
    <definedName name="dd802_5_1a">Dropdowns!$EA$5:$EA$7</definedName>
    <definedName name="dd802_5_1b">Dropdowns!$EB$5:$EB$9</definedName>
    <definedName name="dd802_5_2">Dropdowns!$EC$5:$EC$6</definedName>
    <definedName name="dd802_5_3">Dropdowns!$ED$5:$ED$7</definedName>
    <definedName name="dd802_5_4_2">Dropdowns!$EE$5:$EE$7</definedName>
    <definedName name="dd802_5_4_4_a">Dropdowns!$EF$5:$EF$7</definedName>
    <definedName name="dd802_6_1">Dropdowns!$EG$5:$EG$7</definedName>
    <definedName name="dd802_7_1">Dropdowns!$EH$5:$EH$9</definedName>
    <definedName name="dd802_7_2_1">Dropdowns!$EI$5:$EI$7</definedName>
    <definedName name="dd802_9_1">Dropdowns!$EJ$5:$EJ$6</definedName>
    <definedName name="dd802_9_2">Dropdowns!$EK$5:$EK$6</definedName>
    <definedName name="dd803_1_1">Dropdowns!$EM$5:$EM$8</definedName>
    <definedName name="dd803_3">Dropdowns!$EN$5:$EN$6</definedName>
    <definedName name="dd901_1_3_1">Dropdowns!$EO$5:$EO$6</definedName>
    <definedName name="dd901_1_3_2">Dropdowns!$EP$5:$EP$6</definedName>
    <definedName name="dd901_1_4">Dropdowns!$EQ$5:$EQ$7</definedName>
    <definedName name="dd901_1_6">Dropdowns!$ER$5:$ER$6</definedName>
    <definedName name="dd901_13">Dropdowns!$FE$5:$FE$7</definedName>
    <definedName name="dd901_2_1_1_m">Dropdowns!$ES$5:$ES$7</definedName>
    <definedName name="dd901_2_1_2_m">Dropdowns!$ET$5:$ET$7</definedName>
    <definedName name="dd901_2_1_3_m">Dropdowns!$EU$5:$EU$7</definedName>
    <definedName name="dd901_2_1_4_m">Dropdowns!$EV$5:$EV$7</definedName>
    <definedName name="dd901_2_1_5_m">Dropdowns!$EW$5:$EW$7</definedName>
    <definedName name="dd901_3_1_a_m">Dropdowns!$EX$5:$EX$7</definedName>
    <definedName name="dd901_3_1_b_m">Dropdowns!$EY$5:$EY$7</definedName>
    <definedName name="dd901_4_1">Dropdowns!$EZ$5:$EZ$7</definedName>
    <definedName name="dd901_4_a">Dropdowns!$FA$5:$FA$9</definedName>
    <definedName name="dd901_4_b">Dropdowns!$FB$5:$FB$9</definedName>
    <definedName name="dd901_4_c">Dropdowns!$FC$5:$FC$9</definedName>
    <definedName name="dd901_4_d">Dropdowns!$FD$5:$FD$9</definedName>
    <definedName name="dd902_1_2">Dropdowns!$FF$5:$FF$7</definedName>
    <definedName name="dd902_2_1">Dropdowns!$FG$5:$FG$9</definedName>
    <definedName name="dd902_3">Dropdowns!$FH$5:$FH$8</definedName>
    <definedName name="dd903_1">Dropdowns!$FI$5:$FI$6</definedName>
    <definedName name="dd903_2">Dropdowns!$FJ$5:$FJ$6</definedName>
    <definedName name="ddAltBronze">Dropdowns!$CI$5:$CI$8</definedName>
    <definedName name="ddAltSilver">Dropdowns!$CJ$5:$CJ$7</definedName>
    <definedName name="ddAttachedGarage">Dropdowns!$T$5:$T$6</definedName>
    <definedName name="ddAttic">Dropdowns!$S$5:$S$8</definedName>
    <definedName name="ddBuildingCode">Dropdowns!$AB$5:$AB$10</definedName>
    <definedName name="ddBuildingCodeMF">Dropdowns!$AC$5:$AC$14</definedName>
    <definedName name="ddCDucts">Dropdowns!$P$5:$P$7</definedName>
    <definedName name="ddCommercial">Dropdowns!$F$5:$F$6</definedName>
    <definedName name="ddCool1">Dropdowns!$M$5:$M$10</definedName>
    <definedName name="ddCool2">Dropdowns!$N$5:$N$10</definedName>
    <definedName name="ddCool3">Dropdowns!$O$5:$O$10</definedName>
    <definedName name="ddCToilet">Dropdowns!$Z$5:$Z$6</definedName>
    <definedName name="ddEnergyCode">Dropdowns!$AA$5:$AA$10</definedName>
    <definedName name="ddFoundation">Dropdowns!$G$5:$G$12</definedName>
    <definedName name="ddFuel">Dropdowns!$K$5:$K$10</definedName>
    <definedName name="ddHDucts">Dropdowns!$L$5:$L$7</definedName>
    <definedName name="ddHeat1">Dropdowns!$H$5:$H$12</definedName>
    <definedName name="ddHeat2">Dropdowns!$I$5:$I$12</definedName>
    <definedName name="ddHeat3">Dropdowns!$J$5:$J$12</definedName>
    <definedName name="ddMassWalls">Dropdowns!$W$5:$W$6</definedName>
    <definedName name="ddMetNotMetNA">Dropdowns!$C$5:$C$7</definedName>
    <definedName name="ddPassiveSolar">Dropdowns!$V$5:$V$6</definedName>
    <definedName name="ddRadiantHydronic">Dropdowns!$X$5:$X$6</definedName>
    <definedName name="ddRecessedLighting">Dropdowns!$U$5:$U$6</definedName>
    <definedName name="ddRenewable">Dropdowns!$Q$5:$Q$10</definedName>
    <definedName name="ddSingleOrMulti">Dropdowns!$E$5:$E$6</definedName>
    <definedName name="ddTEInsulation">Dropdowns!$R$5:$R$13</definedName>
    <definedName name="ddTLWH">Dropdowns!$Y$5:$Y$6</definedName>
    <definedName name="ddWellnessException">Dropdowns!$D$5:$D$7</definedName>
    <definedName name="ddWS1">Dropdowns!$FK$5:$FK$6</definedName>
    <definedName name="desBadges703_7_2">'Badges (Design)'!$AQ$126</definedName>
    <definedName name="desBadges802_10_1_1">'Badges (Design)'!$AQ$154</definedName>
    <definedName name="desBadges802_6_4_1">'Badges (Design)'!$AQ$152</definedName>
    <definedName name="desBadges802_6_5_5">'Badges (Design)'!$AQ$153</definedName>
    <definedName name="desBadges803_3_1">'Badges (Design)'!$AQ$155</definedName>
    <definedName name="desBadges901_1_1">'Badges (Design)'!$AQ$203</definedName>
    <definedName name="desBadges901_1_5">'Badges (Design)'!$AQ$204</definedName>
    <definedName name="desBadges903_3">'Badges (Design)'!$AQ$256</definedName>
    <definedName name="desBadgesBuildingVent">'Badges (Design)'!$AQ$55</definedName>
    <definedName name="desBadgesElectricAC">'Badges (Design)'!$AQ$46</definedName>
    <definedName name="desBadgesElectricHeat">'Badges (Design)'!$AQ$44</definedName>
    <definedName name="desBadgesFloorRVal">'Badges (Design)'!$AQ$16</definedName>
    <definedName name="desBadgesGasBoiler">'Badges (Design)'!$AQ$41</definedName>
    <definedName name="desBadgesGEDHPHeating">'Badges (Design)'!$AQ$45</definedName>
    <definedName name="desBadgesGEHHPCooling">'Badges (Design)'!$AQ$47</definedName>
    <definedName name="desBadgesGeothermalEfficiency">'Badges (Design)'!$AQ$85</definedName>
    <definedName name="desBadgesGeothermalFieldArea">'Badges (Design)'!$AQ$83</definedName>
    <definedName name="desBadgesGeothermalPower">'Badges (Design)'!$AQ$80</definedName>
    <definedName name="desBadgesGeothermalResTemp">'Badges (Design)'!$AQ$82</definedName>
    <definedName name="desBadgesGeothermalSurfaceTemp">'Badges (Design)'!$AQ$81</definedName>
    <definedName name="desBadgesGeothermalWells">'Badges (Design)'!$AQ$84</definedName>
    <definedName name="desBadgesGroundSourceHP">'Badges (Design)'!$AQ$49</definedName>
    <definedName name="desBadgesOilBoiler">'Badges (Design)'!$AQ$42</definedName>
    <definedName name="desBadgesOilFurnace">'Badges (Design)'!$AQ$40</definedName>
    <definedName name="desBadgesPropane">'Badges (Design)'!$AQ$39</definedName>
    <definedName name="desBadgesRadiant">'Badges (Design)'!$AQ$43</definedName>
    <definedName name="desBadgesResilienceAdditional">'Badges (Design)'!$AQ$110</definedName>
    <definedName name="desBadgesRoofRVal">'Badges (Design)'!$AQ$15</definedName>
    <definedName name="desBadgesSHGC">'Badges (Design)'!$AQ$23</definedName>
    <definedName name="desBadgesSmartAdd">'Badges (Design)'!$AQ$166</definedName>
    <definedName name="desBadgesSolarThermalArea">'Badges (Design)'!$AQ$69</definedName>
    <definedName name="desBadgesSolarThermalEfficiency">'Badges (Design)'!$AQ$71</definedName>
    <definedName name="desBadgesSolarThermalHeatingRate">'Badges (Design)'!$AQ$73</definedName>
    <definedName name="desBadgesSolarThermalSlope">'Badges (Design)'!$AQ$70</definedName>
    <definedName name="desBadgesSolarThermalTankVolume">'Badges (Design)'!$AQ$72</definedName>
    <definedName name="desBadgesSpotVent">'Badges (Design)'!$AQ$54</definedName>
    <definedName name="desBadgesWallRVal">'Badges (Design)'!$AQ$17</definedName>
    <definedName name="desBadgesWaterSourceHC">'Badges (Design)'!$AQ$48</definedName>
    <definedName name="desBadgesWellnessException">'Badges (Design)'!$AQ$227</definedName>
    <definedName name="desBadgesWindowUVal">'Badges (Design)'!$AQ$22</definedName>
    <definedName name="desBadgesWindowWallRatio">'Badges (Design)'!$AQ$21</definedName>
    <definedName name="desGoalLevel">Points!$H$10</definedName>
    <definedName name="desWaterSenseClothesWasher">'WaterSense (Design)'!$AQ$110</definedName>
    <definedName name="desWaterSenseDishwasher">'WaterSense (Design)'!$AQ$115</definedName>
    <definedName name="desWaterSenseIrrigation">'WaterSense (Design)'!$AQ$55</definedName>
    <definedName name="desWaterSenseLavFaucet">'WaterSense (Design)'!$AQ$41</definedName>
    <definedName name="desWaterSenseLeaks1">'WaterSense (Design)'!$AQ$18</definedName>
    <definedName name="desWaterSenseLeaks2">'WaterSense (Design)'!$AQ$19</definedName>
    <definedName name="desWaterSenseLeaks3">'WaterSense (Design)'!$AQ$20</definedName>
    <definedName name="desWaterSenseLeaks4">'WaterSense (Design)'!$AQ$22</definedName>
    <definedName name="desWaterSenseLeaks5">'WaterSense (Design)'!$AQ$23</definedName>
    <definedName name="desWaterSenseLeaks6">'WaterSense (Design)'!$AQ$24</definedName>
    <definedName name="desWaterSenseLeaks7">'WaterSense (Design)'!$AQ$27</definedName>
    <definedName name="desWaterSenseLeaks8">'WaterSense (Design)'!$AQ$28</definedName>
    <definedName name="desWaterSenseOptionA">'WaterSense (Design)'!$AQ$132</definedName>
    <definedName name="desWaterSenseShowerheads">'WaterSense (Design)'!$AQ$48</definedName>
    <definedName name="desWaterSenseToilet">'WaterSense (Design)'!$AQ$34</definedName>
    <definedName name="dnt1001_1_1">'Ch10'!$AS$15</definedName>
    <definedName name="dnt1001_1_10">'Ch10'!$AS$30</definedName>
    <definedName name="dnt1001_1_11">'Ch10'!$AS$31</definedName>
    <definedName name="dnt1001_1_12">'Ch10'!$AS$32</definedName>
    <definedName name="dnt1001_1_13">'Ch10'!$AS$38</definedName>
    <definedName name="dnt1001_1_14">'Ch10'!$AS$42</definedName>
    <definedName name="dnt1001_1_15">'Ch10'!$AS$44</definedName>
    <definedName name="dnt1001_1_16">'Ch10'!$AS$46</definedName>
    <definedName name="dnt1001_1_17">'Ch10'!$AS$47</definedName>
    <definedName name="dnt1001_1_18">'Ch10'!$AS$49</definedName>
    <definedName name="dnt1001_1_19">'Ch10'!$AS$51</definedName>
    <definedName name="dnt1001_1_2">'Ch10'!$AS$16</definedName>
    <definedName name="dnt1001_1_20">'Ch10'!$AS$52</definedName>
    <definedName name="dnt1001_1_21">'Ch10'!$AS$54</definedName>
    <definedName name="dnt1001_1_22">'Ch10'!$AS$56</definedName>
    <definedName name="dnt1001_1_23">'Ch10'!$AS$58</definedName>
    <definedName name="dnt1001_1_24">'Ch10'!$AS$59</definedName>
    <definedName name="dnt1001_1_3">'Ch10'!$AS$17</definedName>
    <definedName name="dnt1001_1_4">'Ch10'!$AS$21</definedName>
    <definedName name="dnt1001_1_5">'Ch10'!$AS$22</definedName>
    <definedName name="dnt1001_1_6">'Ch10'!$AS$23</definedName>
    <definedName name="dnt1001_1_7">'Ch10'!$AS$25</definedName>
    <definedName name="dnt1001_1_8">'Ch10'!$AS$27</definedName>
    <definedName name="dnt1001_1_9">'Ch10'!$AS$28</definedName>
    <definedName name="dnt1001_2">'Ch10'!$AS$60</definedName>
    <definedName name="dnt1002_1_1">'Ch10'!$AS$82</definedName>
    <definedName name="dnt1002_1_2">'Ch10'!$AS$85</definedName>
    <definedName name="dnt1002_1_3">'Ch10'!$AS$88</definedName>
    <definedName name="dnt1002_1_4">'Ch10'!$AS$90</definedName>
    <definedName name="dnt1002_1_5">'Ch10'!$AS$91</definedName>
    <definedName name="dnt1002_1_6">'Ch10'!$AS$93</definedName>
    <definedName name="dnt1002_1_7">'Ch10'!$AS$94</definedName>
    <definedName name="dnt1002_1_8">'Ch10'!$AS$95</definedName>
    <definedName name="dnt1002_2_1">'Ch10'!$AS$101</definedName>
    <definedName name="dnt1002_2_10">'Ch10'!$AS$119</definedName>
    <definedName name="dnt1002_2_11">'Ch10'!$AS$122</definedName>
    <definedName name="dnt1002_2_2">'Ch10'!$AS$103</definedName>
    <definedName name="dnt1002_2_3">'Ch10'!$AS$106</definedName>
    <definedName name="dnt1002_2_4">'Ch10'!$AS$108</definedName>
    <definedName name="dnt1002_2_5">'Ch10'!$AS$111</definedName>
    <definedName name="dnt1002_2_6">'Ch10'!$AS$113</definedName>
    <definedName name="dnt1002_2_7">'Ch10'!$AS$114</definedName>
    <definedName name="dnt1002_2_8">'Ch10'!$AS$116</definedName>
    <definedName name="dnt1002_2_9">'Ch10'!$AS$118</definedName>
    <definedName name="dnt1002_3_1">'Ch10'!$AS$128</definedName>
    <definedName name="dnt1002_3_10">'Ch10'!$AS$149</definedName>
    <definedName name="dnt1002_3_11">'Ch10'!$AS$150</definedName>
    <definedName name="dnt1002_3_2">'Ch10'!$AS$130</definedName>
    <definedName name="dnt1002_3_3">'Ch10'!$AS$134</definedName>
    <definedName name="dnt1002_3_4">'Ch10'!$AS$141</definedName>
    <definedName name="dnt1002_3_5">'Ch10'!$AS$143</definedName>
    <definedName name="dnt1002_3_6">'Ch10'!$AS$144</definedName>
    <definedName name="dnt1002_3_7">'Ch10'!$AS$146</definedName>
    <definedName name="dnt1002_3_8">'Ch10'!$AS$147</definedName>
    <definedName name="dnt1002_3_9">'Ch10'!$AS$148</definedName>
    <definedName name="dnt1002_4">'Ch10'!$AS$152</definedName>
    <definedName name="dnt1002_5_1">'Ch10'!$AS$167</definedName>
    <definedName name="dnt1002_5_2">'Ch10'!$AS$168</definedName>
    <definedName name="dnt1002_5_3">'Ch10'!$AS$169</definedName>
    <definedName name="dnt1002_5_4">'Ch10'!$AS$171</definedName>
    <definedName name="dnt1002_5_5">'Ch10'!$AS$172</definedName>
    <definedName name="dnt1002_5_6">'Ch10'!$AS$173</definedName>
    <definedName name="dnt1002_5_7">'Ch10'!$AS$174</definedName>
    <definedName name="dnt1002_5_8">'Ch10'!$AS$175</definedName>
    <definedName name="dnt1002_5_9">'Ch10'!$AS$176</definedName>
    <definedName name="dnt1002_6_1">'Ch10'!$AS$181</definedName>
    <definedName name="dnt1002_6_2">'Ch10'!$AS$182</definedName>
    <definedName name="dnt1002_6_3">'Ch10'!$AS$183</definedName>
    <definedName name="dnt1002_6_4">'Ch10'!$AS$184</definedName>
    <definedName name="dnt1002_6_5">'Ch10'!$AS$185</definedName>
    <definedName name="dnt1002_6_6">'Ch10'!$AS$186</definedName>
    <definedName name="dnt1002_6_7">'Ch10'!$AS$187</definedName>
    <definedName name="dnt1003_1_1">'Ch10'!$AS$193</definedName>
    <definedName name="dnt1003_1_2">'Ch10'!$AS$195</definedName>
    <definedName name="dnt1003_1_3">'Ch10'!$AS$198</definedName>
    <definedName name="dnt1004_1_1">'Ch10'!$AS$211</definedName>
    <definedName name="dnt1004_1_2">'Ch10'!$AS$213</definedName>
    <definedName name="dnt1005_1_1">'Ch10'!$AS$217</definedName>
    <definedName name="dnt1005_1_2">'Ch10'!$AS$220</definedName>
    <definedName name="dnt501_1">'Ch5'!$AS$14</definedName>
    <definedName name="dnt501_2">'Ch5'!$AS$20</definedName>
    <definedName name="dnt501_2_1">'Ch5'!$AS$22</definedName>
    <definedName name="dnt501_2_2">'Ch5'!$AS$24</definedName>
    <definedName name="dnt501_2_3">'Ch5'!$AS$26</definedName>
    <definedName name="dnt501_2_4">'Ch5'!$AS$28</definedName>
    <definedName name="dnt501_2_4_1">'Ch5'!$AS$38</definedName>
    <definedName name="dnt501_2_5">'Ch5'!$AS$43</definedName>
    <definedName name="dnt501_2_6">'Ch5'!$AS$46</definedName>
    <definedName name="dnt501_2_6_d">'Ch5'!$AS$51</definedName>
    <definedName name="dnt501_2_7">'Ch5'!$AS$53</definedName>
    <definedName name="dnt501_2_8">'Ch5'!$AS$56</definedName>
    <definedName name="dnt502_1">'Ch5'!$AS$59</definedName>
    <definedName name="dnt503_0">'Ch5'!$AS$64</definedName>
    <definedName name="dnt503_1">'Ch5'!$AS$69</definedName>
    <definedName name="dnt503_2">'Ch5'!$AS$89</definedName>
    <definedName name="dnt503_3">'Ch5'!$AS$102</definedName>
    <definedName name="dnt503_4">'Ch5'!$AS$115</definedName>
    <definedName name="dnt503_4_1">'Ch5'!$AS$122</definedName>
    <definedName name="dnt503_4_2">'Ch5'!$AS$125</definedName>
    <definedName name="dnt503_4_3">'Ch5'!$AS$129</definedName>
    <definedName name="dnt503_4_4">'Ch5'!$AS$136</definedName>
    <definedName name="dnt503_4_4_c_1">'Ch5'!$AS$141</definedName>
    <definedName name="dnt503_4_5">'Ch5'!$AS$143</definedName>
    <definedName name="dnt503_5">'Ch5'!$AS$146</definedName>
    <definedName name="dnt503_5_1">'Ch5'!$AS$150</definedName>
    <definedName name="dnt503_5_10">'Ch5'!$AS$179</definedName>
    <definedName name="dnt503_5_11">'Ch5'!$AS$182</definedName>
    <definedName name="dnt503_5_12">'Ch5'!$AS$184</definedName>
    <definedName name="dnt503_5_13">'Ch5'!$AS$186</definedName>
    <definedName name="dnt503_5_2">'Ch5'!$AS$156</definedName>
    <definedName name="dnt503_5_3">'Ch5'!$AS$158</definedName>
    <definedName name="dnt503_5_4">'Ch5'!$AS$161</definedName>
    <definedName name="dnt503_5_5">'Ch5'!$AS$163</definedName>
    <definedName name="dnt503_5_6">'Ch5'!$AS$166</definedName>
    <definedName name="dnt503_5_7">'Ch5'!$AS$171</definedName>
    <definedName name="dnt503_5_8">'Ch5'!$AS$172</definedName>
    <definedName name="dnt503_5_9">'Ch5'!$AS$177</definedName>
    <definedName name="dnt503_6">'Ch5'!$AS$188</definedName>
    <definedName name="dnt503_7">'Ch5'!$AS$195</definedName>
    <definedName name="dnt503_8">'Ch5'!$AS$201</definedName>
    <definedName name="dnt504_1">'Ch5'!$AS$209</definedName>
    <definedName name="dnt504_2">'Ch5'!$AS$214</definedName>
    <definedName name="dnt504_3">'Ch5'!$AS$221</definedName>
    <definedName name="dnt504_3_1">'Ch5'!$AS$224</definedName>
    <definedName name="dnt504_3_2">'Ch5'!$AS$226</definedName>
    <definedName name="dnt504_3_3">'Ch5'!$AS$227</definedName>
    <definedName name="dnt504_3_4">'Ch5'!$AS$229</definedName>
    <definedName name="dnt504_3_5">'Ch5'!$AS$231</definedName>
    <definedName name="dnt504_3_6">'Ch5'!$AS$235</definedName>
    <definedName name="dnt504_3_7">'Ch5'!$AS$238</definedName>
    <definedName name="dnt504_3_8">'Ch5'!$AS$239</definedName>
    <definedName name="dnt504_3_9">'Ch5'!$AS$247</definedName>
    <definedName name="dnt505_1_1">'Ch5'!$AS$254</definedName>
    <definedName name="dnt505_1_2">'Ch5'!$AS$256</definedName>
    <definedName name="dnt505_1_3">'Ch5'!$AS$258</definedName>
    <definedName name="dnt505_10_a">'Ch5'!$AS$322</definedName>
    <definedName name="dnt505_10_b">'Ch5'!$AS$324</definedName>
    <definedName name="dnt505_10_c">'Ch5'!$AS$326</definedName>
    <definedName name="dnt505_2_1">'Ch5'!$AS$263</definedName>
    <definedName name="dnt505_2_2">'Ch5'!$AS$273</definedName>
    <definedName name="dnt505_3">'Ch5'!$AS$276</definedName>
    <definedName name="dnt505_4_1">'Ch5'!$AS$283</definedName>
    <definedName name="dnt505_5_a">'Ch5'!$AS$287</definedName>
    <definedName name="dnt505_5_b">'Ch5'!$AS$289</definedName>
    <definedName name="dnt505_5_c">'Ch5'!$AS$292</definedName>
    <definedName name="dnt505_5_d">'Ch5'!$AS$293</definedName>
    <definedName name="dnt505_6">'Ch5'!$AS$294</definedName>
    <definedName name="dnt505_7">'Ch5'!$AS$306</definedName>
    <definedName name="dnt505_8">'Ch5'!$AS$310</definedName>
    <definedName name="dnt505_9_a">'Ch5'!$AS$313</definedName>
    <definedName name="dnt505_9_b">'Ch5'!$AS$316</definedName>
    <definedName name="dnt505_9_c">'Ch5'!$AS$317</definedName>
    <definedName name="dnt601_1">'Ch6'!$AS$13</definedName>
    <definedName name="dnt601_2_1">'Ch6'!$AS$31</definedName>
    <definedName name="dnt601_2_2">'Ch6'!$AS$34</definedName>
    <definedName name="dnt601_2_3">'Ch6'!$AS$37</definedName>
    <definedName name="dnt601_3_1">'Ch6'!$AS$41</definedName>
    <definedName name="dnt601_3_2">'Ch6'!$AS$42</definedName>
    <definedName name="dnt601_3_3">'Ch6'!$AS$43</definedName>
    <definedName name="dnt601_3_4">'Ch6'!$AS$44</definedName>
    <definedName name="dnt601_3_5">'Ch6'!$AS$45</definedName>
    <definedName name="dnt601_4">'Ch6'!$AS$46</definedName>
    <definedName name="dnt601_5_1">'Ch6'!$AS$52</definedName>
    <definedName name="dnt601_5_2">'Ch6'!$AS$53</definedName>
    <definedName name="dnt601_5_3">'Ch6'!$AS$54</definedName>
    <definedName name="dnt601_5_4">'Ch6'!$AS$55</definedName>
    <definedName name="dnt601_5_5">'Ch6'!$AS$56</definedName>
    <definedName name="dnt601_6">'Ch6'!$AS$57</definedName>
    <definedName name="dnt601_7">'Ch6'!$AS$62</definedName>
    <definedName name="dnt601_8">'Ch6'!$AS$80</definedName>
    <definedName name="dnt602_1_1_1">'Ch6'!$AS$93</definedName>
    <definedName name="dnt602_1_1_2">'Ch6'!$AS$96</definedName>
    <definedName name="dnt602_1_10">'Ch6'!$AS$193</definedName>
    <definedName name="dnt602_1_11">'Ch6'!$AS$205</definedName>
    <definedName name="dnt602_1_12">'Ch6'!$AS$207</definedName>
    <definedName name="dnt602_1_13">'Ch6'!$AS$210</definedName>
    <definedName name="dnt602_1_14_1">'Ch6'!$AS$216</definedName>
    <definedName name="dnt602_1_14_2">'Ch6'!$AS$218</definedName>
    <definedName name="dnt602_1_14_3">'Ch6'!$AS$219</definedName>
    <definedName name="dnt602_1_15">'Ch6'!$AS$220</definedName>
    <definedName name="dnt602_1_2">'Ch6'!$AS$98</definedName>
    <definedName name="dnt602_1_3_1">'Ch6'!$AS$103</definedName>
    <definedName name="dnt602_1_3_2">'Ch6'!$AS$105</definedName>
    <definedName name="dnt602_1_4_1_1">'Ch6'!$AS$111</definedName>
    <definedName name="dnt602_1_4_1_2">'Ch6'!$AS$113</definedName>
    <definedName name="dnt602_1_4_2_1">'Ch6'!$AS$117</definedName>
    <definedName name="dnt602_1_4_2_2">'Ch6'!$AS$119</definedName>
    <definedName name="dnt602_1_5">'Ch6'!$AS$122</definedName>
    <definedName name="dnt602_1_6_1">'Ch6'!$AS$131</definedName>
    <definedName name="dnt602_1_7_1_1">'Ch6'!$AS$144</definedName>
    <definedName name="dnt602_1_7_1_2">'Ch6'!$AS$146</definedName>
    <definedName name="dnt602_1_7_1_3">'Ch6'!$AS$149</definedName>
    <definedName name="dnt602_1_7_2">'Ch6'!$AS$151</definedName>
    <definedName name="dnt602_1_7_3">'Ch6'!$AS$153</definedName>
    <definedName name="dnt602_1_8">'Ch6'!$AS$157</definedName>
    <definedName name="dnt602_1_9_1">'Ch6'!$AS$165</definedName>
    <definedName name="dnt602_1_9_2">'Ch6'!$AS$175</definedName>
    <definedName name="dnt602_1_9_3">'Ch6'!$AS$178</definedName>
    <definedName name="dnt602_1_9_4">'Ch6'!$AS$179</definedName>
    <definedName name="dnt602_1_9_5">'Ch6'!$AS$183</definedName>
    <definedName name="dnt602_1_9_6">'Ch6'!$AS$189</definedName>
    <definedName name="dnt602_1_9_7">'Ch6'!$AS$191</definedName>
    <definedName name="dnt602_2_1">'Ch6'!$AS$227</definedName>
    <definedName name="dnt602_2_2">'Ch6'!$AS$229</definedName>
    <definedName name="dnt602_2_3">'Ch6'!$AS$230</definedName>
    <definedName name="dnt602_3">'Ch6'!$AS$233</definedName>
    <definedName name="dnt602_4_1">'Ch6'!$AS$237</definedName>
    <definedName name="dnt602_4_2">'Ch6'!$AS$242</definedName>
    <definedName name="dnt602_4_3">'Ch6'!$AS$244</definedName>
    <definedName name="dnt603_1">'Ch6'!$AS$248</definedName>
    <definedName name="dnt603_2">'Ch6'!$AS$254</definedName>
    <definedName name="dnt603_3">'Ch6'!$AS$261</definedName>
    <definedName name="dnt604_1a">'Ch6'!$AS$265</definedName>
    <definedName name="dnt604_1b">'Ch6'!$AS$267</definedName>
    <definedName name="dnt604_1c">'Ch6'!$AS$269</definedName>
    <definedName name="dnt604_1d">'Ch6'!$AS$271</definedName>
    <definedName name="dnt605_1">'Ch6'!$AS$275</definedName>
    <definedName name="dnt605_2">'Ch6'!$AS$278</definedName>
    <definedName name="dnt605_3">'Ch6'!$AS$293</definedName>
    <definedName name="dnt605_4_2_a">'Ch6'!$AS$306</definedName>
    <definedName name="dnt605_4_2_h">'Ch6'!$AS$313</definedName>
    <definedName name="dnt605_4_2_i">'Ch6'!$AS$314</definedName>
    <definedName name="dnt606_1_a">'Ch6'!$AS$319</definedName>
    <definedName name="dnt606_2_1a">'Ch6'!$AS$350</definedName>
    <definedName name="dnt606_2_1b">'Ch6'!$AS$351</definedName>
    <definedName name="dnt606_2_2a">'Ch6'!$AS$353</definedName>
    <definedName name="dnt606_2_2b">'Ch6'!$AS$354</definedName>
    <definedName name="dnt606_3">'Ch6'!$AS$356</definedName>
    <definedName name="dnt607_1_1">'Ch6'!$AS$365</definedName>
    <definedName name="dnt607_1_2">'Ch6'!$AS$370</definedName>
    <definedName name="dnt607_2">'Ch6'!$AS$376</definedName>
    <definedName name="dnt608_1">'Ch6'!$AS$379</definedName>
    <definedName name="dnt609_1_1">'Ch6'!$AS$390</definedName>
    <definedName name="dnt609_1_2">'Ch6'!$AS$392</definedName>
    <definedName name="dnt610_1">'Ch6'!$AS$400</definedName>
    <definedName name="dnt610_1_1_1">'Ch6'!$AS$409</definedName>
    <definedName name="dnt610_1_1_2">'Ch6'!$AS$418</definedName>
    <definedName name="dnt610_1_1_3">'Ch6'!$AS$426</definedName>
    <definedName name="dnt610_1_2_1">'Ch6'!$AS$432</definedName>
    <definedName name="dnt610_1_2_1_e">'Ch6'!$AS$439</definedName>
    <definedName name="dnt610_1_2_2_e">'Ch6'!$AS$465</definedName>
    <definedName name="dnt610_1_2_2a">'Ch6'!$AS$446</definedName>
    <definedName name="dnt610_1_2_2b">'Ch6'!$AS$453</definedName>
    <definedName name="dnt610_1_2_2c">'Ch6'!$AS$459</definedName>
    <definedName name="dnt611_1_1">'Ch6'!$AS$477</definedName>
    <definedName name="dnt611_1_2">'Ch6'!$AS$487</definedName>
    <definedName name="dnt612_1">'Ch6'!$AS$495</definedName>
    <definedName name="dnt612_2_1">'Ch6'!$AS$506</definedName>
    <definedName name="dnt612_2_2">'Ch6'!$AS$507</definedName>
    <definedName name="dnt612_2_3">'Ch6'!$AS$509</definedName>
    <definedName name="dnt612_2_4">'Ch6'!$AS$511</definedName>
    <definedName name="dnt612_2_5">'Ch6'!$AS$513</definedName>
    <definedName name="dnt612_2_6">'Ch6'!$AS$515</definedName>
    <definedName name="dnt612_2_7">'Ch6'!$AS$517</definedName>
    <definedName name="dnt612_3_1">'Ch6'!$AS$521</definedName>
    <definedName name="dnt612_3_2">'Ch6'!$AS$526</definedName>
    <definedName name="dnt612_3_3">'Ch6'!$AS$530</definedName>
    <definedName name="dnt612_3_4">'Ch6'!$AS$532</definedName>
    <definedName name="dnt612_3_5">'Ch6'!$AS$534</definedName>
    <definedName name="dnt612_3_6">'Ch6'!$AS$535</definedName>
    <definedName name="dnt612_3_7">'Ch6'!$AS$536</definedName>
    <definedName name="dnt612_3_8">'Ch6'!$AS$540</definedName>
    <definedName name="dnt612_3_9">'Ch6'!$AS$542</definedName>
    <definedName name="dnt613_1">'Ch6'!$AS$546</definedName>
    <definedName name="dnt701_1_">'Ch7'!$AS$14</definedName>
    <definedName name="dnt701_1_1">'Ch7'!$AS$17</definedName>
    <definedName name="dnt701_1_2">'Ch7'!$AS$20</definedName>
    <definedName name="dnt701_1_3">'Ch7'!$AS$24</definedName>
    <definedName name="dnt701_1_4">'Ch7'!$AS$27</definedName>
    <definedName name="dnt701_1_6_1">'Ch7'!$AS$41</definedName>
    <definedName name="dnt701_1_6_2">'Ch7'!$AS$42</definedName>
    <definedName name="dnt701_1_6_3">'Ch7'!$AS$44</definedName>
    <definedName name="dnt701_1_6_4">'Ch7'!$AS$45</definedName>
    <definedName name="dnt701_1_6_5">'Ch7'!$AS$47</definedName>
    <definedName name="dnt701_1_6_6_a">'Ch7'!$AS$50</definedName>
    <definedName name="dnt701_1_6_6_b">'Ch7'!$AS$51</definedName>
    <definedName name="dnt701_1_6_6_c">'Ch7'!$AS$52</definedName>
    <definedName name="dnt701_1_6_7_a">'Ch7'!$AS$54</definedName>
    <definedName name="dnt701_1_6_7_b">'Ch7'!$AS$55</definedName>
    <definedName name="dnt701_1_6_7_c">'Ch7'!$AS$56</definedName>
    <definedName name="dnt701_1_6_8">'Ch7'!$AS$57</definedName>
    <definedName name="dnt701_1_6_9">'Ch7'!$AS$59</definedName>
    <definedName name="dnt701_3">'Ch7'!$AS$63</definedName>
    <definedName name="dnt701_4_1">'Ch7'!$AS$77</definedName>
    <definedName name="dnt701_4_1_1">'Ch7'!$AS$68</definedName>
    <definedName name="dnt701_4_1_2">'Ch7'!$AS$71</definedName>
    <definedName name="dnt701_4_2_2">'Ch7'!$AS$80</definedName>
    <definedName name="dnt701_4_2_3">'Ch7'!$AS$81</definedName>
    <definedName name="dnt701_4_3_1">'Ch7'!$AS$84</definedName>
    <definedName name="dnt701_4_3_1_a">'Ch7'!$AS$88</definedName>
    <definedName name="dnt701_4_3_1_b">'Ch7'!$AS$89</definedName>
    <definedName name="dnt701_4_3_1_c">'Ch7'!$AS$90</definedName>
    <definedName name="dnt701_4_3_1_d">'Ch7'!$AS$91</definedName>
    <definedName name="dnt701_4_3_1_e">'Ch7'!$AS$92</definedName>
    <definedName name="dnt701_4_3_1_f">'Ch7'!$AS$93</definedName>
    <definedName name="dnt701_4_3_1_g">'Ch7'!$AS$94</definedName>
    <definedName name="dnt701_4_3_1_h">'Ch7'!$AS$95</definedName>
    <definedName name="dnt701_4_3_1_i">'Ch7'!$AS$96</definedName>
    <definedName name="dnt701_4_3_1_j">'Ch7'!$AS$97</definedName>
    <definedName name="dnt701_4_3_1_k">'Ch7'!$AS$98</definedName>
    <definedName name="dnt701_4_3_1_l">'Ch7'!$AS$99</definedName>
    <definedName name="dnt701_4_3_1_m">'Ch7'!$AS$100</definedName>
    <definedName name="dnt701_4_3_2_1_">'Ch7'!$AS$105</definedName>
    <definedName name="dnt701_4_3_2_1_1">'Ch7'!$AS$128</definedName>
    <definedName name="dnt701_4_3_2_1_2">'Ch7'!$AS$129</definedName>
    <definedName name="dnt701_4_3_2_1_3">'Ch7'!$AS$133</definedName>
    <definedName name="dnt701_4_3_2_1_4">'Ch7'!$AS$135</definedName>
    <definedName name="dnt701_4_3_2_1_5">'Ch7'!$AS$138</definedName>
    <definedName name="dnt701_4_3_2_1_6">'Ch7'!$AS$140</definedName>
    <definedName name="dnt701_4_3_2_1_7">'Ch7'!$AS$141</definedName>
    <definedName name="dnt701_4_3_2_1_8">'Ch7'!$AS$142</definedName>
    <definedName name="dnt701_4_3_2_1_9">'Ch7'!$AS$145</definedName>
    <definedName name="dnt701_4_3_2_1_a">'Ch7'!$AS$110</definedName>
    <definedName name="dnt701_4_3_2_1_b">'Ch7'!$AS$111</definedName>
    <definedName name="dnt701_4_3_2_1_c">'Ch7'!$AS$113</definedName>
    <definedName name="dnt701_4_3_2_1_d">'Ch7'!$AS$114</definedName>
    <definedName name="dnt701_4_3_2_1_e">'Ch7'!$AS$116</definedName>
    <definedName name="dnt701_4_3_2_1_f">'Ch7'!$AS$117</definedName>
    <definedName name="dnt701_4_3_2_1_g">'Ch7'!$AS$118</definedName>
    <definedName name="dnt701_4_3_2_1_h">'Ch7'!$AS$119</definedName>
    <definedName name="dnt701_4_3_2_2">'Ch7'!$AS$121</definedName>
    <definedName name="dnt701_4_3_2e">'Ch7'!$AS$108</definedName>
    <definedName name="dnt701_4_3_3">'Ch7'!$AS$147</definedName>
    <definedName name="dnt701_4_3_4">'Ch7'!$AS$150</definedName>
    <definedName name="dnt701_4_3_5">'Ch7'!$AS$160</definedName>
    <definedName name="dnt701_4_4_1">'Ch7'!$AS$170</definedName>
    <definedName name="dnt701_4_4_2">'Ch7'!$AS$172</definedName>
    <definedName name="dnt701_4_5">'Ch7'!$AS$173</definedName>
    <definedName name="dnt702_2_1">'Ch7'!$AS$179</definedName>
    <definedName name="dnt702_2_2">'Ch7'!$AS$183</definedName>
    <definedName name="dnt702_2_2_m">'Ch7'!$AS$189</definedName>
    <definedName name="dnt702_2_3">'Ch7'!$AS$192</definedName>
    <definedName name="dnt703_1_1">'Ch7'!$AS$196</definedName>
    <definedName name="dnt703_1_2">'Ch7'!$AS$211</definedName>
    <definedName name="dnt703_1_3">'Ch7'!$AS$214</definedName>
    <definedName name="dnt703_2_1">'Ch7'!$AS$220</definedName>
    <definedName name="dnt703_2_2">'Ch7'!$AS$227</definedName>
    <definedName name="dnt703_2_3">'Ch7'!$AS$229</definedName>
    <definedName name="dnt703_2_4">'Ch7'!$AS$232</definedName>
    <definedName name="dnt703_2_5_1">'Ch7'!$AS$236</definedName>
    <definedName name="dnt703_2_5_1_1">'Ch7'!$AS$244</definedName>
    <definedName name="dnt703_2_5_2">'Ch7'!$AS$252</definedName>
    <definedName name="dnt703_2_5_2_1">'Ch7'!$AS$260</definedName>
    <definedName name="dnt703_3_0_1">'Ch7'!$AS$270</definedName>
    <definedName name="dnt703_3_0_2">'Ch7'!$AS$277</definedName>
    <definedName name="dnt703_3_1">'Ch7'!$AS$284</definedName>
    <definedName name="dnt703_3_2__1">'Ch7'!$AS$290</definedName>
    <definedName name="dnt703_3_2__2">'Ch7'!$AS$296</definedName>
    <definedName name="dnt703_3_2__3">'Ch7'!$AS$299</definedName>
    <definedName name="dnt703_3_2__4">'Ch7'!$AS$304</definedName>
    <definedName name="dnt703_3_3__1">'Ch7'!$AS$310</definedName>
    <definedName name="dnt703_3_3__2">'Ch7'!$AS$316</definedName>
    <definedName name="dnt703_3_3__3">'Ch7'!$AS$318</definedName>
    <definedName name="dnt703_3_4_1">'Ch7'!$AS$322</definedName>
    <definedName name="dnt703_3_4_1_6">'Ch7'!$AS$328</definedName>
    <definedName name="dnt703_3_4_2">'Ch7'!$AS$330</definedName>
    <definedName name="dnt703_3_5">'Ch7'!$AS$331</definedName>
    <definedName name="dnt703_3_6">'Ch7'!$AS$335</definedName>
    <definedName name="dnt703_3_7_1">'Ch7'!$AS$341</definedName>
    <definedName name="dnt703_3_8">'Ch7'!$AS$348</definedName>
    <definedName name="dnt703_4_1">'Ch7'!$AS$354</definedName>
    <definedName name="dnt703_4_2">'Ch7'!$AS$356</definedName>
    <definedName name="dnt703_4_3_1">'Ch7'!$AS$359</definedName>
    <definedName name="dnt703_4_3_2">'Ch7'!$AS$360</definedName>
    <definedName name="dnt703_4_3_3">'Ch7'!$AS$362</definedName>
    <definedName name="dnt703_4_4">'Ch7'!$AS$364</definedName>
    <definedName name="dnt703_5_1">'Ch7'!$AS$374</definedName>
    <definedName name="dnt703_5_2">'Ch7'!$AS$423</definedName>
    <definedName name="dnt703_5_3">'Ch7'!$AS$425</definedName>
    <definedName name="dnt703_5_4">'Ch7'!$AS$427</definedName>
    <definedName name="dnt703_5_5">'Ch7'!$AS$428</definedName>
    <definedName name="dnt703_6_1_1">'Ch7'!$AS$448</definedName>
    <definedName name="dnt703_6_1_2">'Ch7'!$AS$450</definedName>
    <definedName name="dnt703_6_1_3">'Ch7'!$AS$452</definedName>
    <definedName name="dnt703_6_2__1">'Ch7'!$AS$455</definedName>
    <definedName name="dnt703_6_2__2">'Ch7'!$AS$456</definedName>
    <definedName name="dnt703_6_2__3">'Ch7'!$AS$457</definedName>
    <definedName name="dnt703_7_1_1">'Ch7'!$AS$462</definedName>
    <definedName name="dnt703_7_1_2">'Ch7'!$AS$464</definedName>
    <definedName name="dnt703_7_1_3">'Ch7'!$AS$466</definedName>
    <definedName name="dnt703_7_1_4">'Ch7'!$AS$468</definedName>
    <definedName name="dnt703_7_1_5">'Ch7'!$AS$470</definedName>
    <definedName name="dnt703_7_1_6_a">'Ch7'!$AS$473</definedName>
    <definedName name="dnt703_7_1_6_b">'Ch7'!$AS$474</definedName>
    <definedName name="dnt703_7_1_6_c">'Ch7'!$AS$475</definedName>
    <definedName name="dnt703_7_1_7">'Ch7'!$AS$477</definedName>
    <definedName name="dnt703_7_1_8">'Ch7'!$AS$480</definedName>
    <definedName name="dnt703_7_1_9">'Ch7'!$AS$481</definedName>
    <definedName name="dnt703_7_1_9_m">'Ch7'!$AS$482</definedName>
    <definedName name="dnt703_7_2">'Ch7'!$AS$487</definedName>
    <definedName name="dnt703_7_3_1_a">'Ch7'!$AS$495</definedName>
    <definedName name="dnt703_7_3_1_b">'Ch7'!$AS$497</definedName>
    <definedName name="dnt703_7_3_1_c">'Ch7'!$AS$498</definedName>
    <definedName name="dnt703_7_3_1_d">'Ch7'!$AS$499</definedName>
    <definedName name="dnt703_7_3_2">'Ch7'!$AS$501</definedName>
    <definedName name="dnt703_7_3_3">'Ch7'!$AS$504</definedName>
    <definedName name="dnt703_7_3_4">'Ch7'!$AS$506</definedName>
    <definedName name="dnt703_7_3_5_a">'Ch7'!$AS$511</definedName>
    <definedName name="dnt703_7_3_5_b">'Ch7'!$AS$513</definedName>
    <definedName name="dnt703_7_3_6">'Ch7'!$AS$515</definedName>
    <definedName name="dnt703_7_4_1">'Ch7'!$AS$520</definedName>
    <definedName name="dnt703_7_4_2_a">'Ch7'!$AS$524</definedName>
    <definedName name="dnt703_7_4_2_b">'Ch7'!$AS$527</definedName>
    <definedName name="dnt703_7_4_2_c">'Ch7'!$AS$535</definedName>
    <definedName name="dnt703_7_4_3">'Ch7'!$AS$538</definedName>
    <definedName name="dnt704_1">'Ch7'!$AS$541</definedName>
    <definedName name="dnt705_2_1_1">'Ch7'!$AS$557</definedName>
    <definedName name="dnt705_2_1_2">'Ch7'!$AS$561</definedName>
    <definedName name="dnt705_2_1_3_1">'Ch7'!$AS$564</definedName>
    <definedName name="dnt705_2_1_3_2">'Ch7'!$AS$568</definedName>
    <definedName name="dnt705_2_1_4">'Ch7'!$AS$573</definedName>
    <definedName name="dnt705_2_2">'Ch7'!$AS$578</definedName>
    <definedName name="dnt705_2_3">'Ch7'!$AS$581</definedName>
    <definedName name="dnt705_2_4">'Ch7'!$AS$583</definedName>
    <definedName name="dnt705_3">'Ch7'!$AS$586</definedName>
    <definedName name="dnt705_4">'Ch7'!$AS$587</definedName>
    <definedName name="dnt705_5_1_1">'Ch7'!$AS$592</definedName>
    <definedName name="dnt705_5_1_2">'Ch7'!$AS$595</definedName>
    <definedName name="dnt705_5_2">'Ch7'!$AS$597</definedName>
    <definedName name="dnt705_5_2_1">'Ch7'!$AS$599</definedName>
    <definedName name="dnt705_5_2_2">'Ch7'!$AS$600</definedName>
    <definedName name="dnt705_5_2_3">'Ch7'!$AS$601</definedName>
    <definedName name="dnt705_5_2_4">'Ch7'!$AS$602</definedName>
    <definedName name="dnt705_5_2_5">'Ch7'!$AS$603</definedName>
    <definedName name="dnt705_5_2_6">'Ch7'!$AS$604</definedName>
    <definedName name="dnt705_5_3_1">'Ch7'!$AS$606</definedName>
    <definedName name="dnt705_5_3_2">'Ch7'!$AS$608</definedName>
    <definedName name="dnt705_6_1">'Ch7'!$AS$610</definedName>
    <definedName name="dnt705_6_2_1_1_1">'Ch7'!$AS$623</definedName>
    <definedName name="dnt705_6_2_1_2">'Ch7'!$AS$626</definedName>
    <definedName name="dnt705_6_2_2_1">'Ch7'!$AS$632</definedName>
    <definedName name="dnt705_6_2_2_2">'Ch7'!$AS$634</definedName>
    <definedName name="dnt705_6_2_3">'Ch7'!$AS$637</definedName>
    <definedName name="dnt705_6_3_a">'Ch7'!$AS$646</definedName>
    <definedName name="dnt705_6_3_b">'Ch7'!$AS$647</definedName>
    <definedName name="dnt705_6_3_c">'Ch7'!$AS$648</definedName>
    <definedName name="dnt705_6_3_d">'Ch7'!$AS$649</definedName>
    <definedName name="dnt705_6_3_e">'Ch7'!$AS$650</definedName>
    <definedName name="dnt705_6_3_f">'Ch7'!$AS$651</definedName>
    <definedName name="dnt705_6_3_g">'Ch7'!$AS$652</definedName>
    <definedName name="dnt705_6_4_1">'Ch7'!$AS$655</definedName>
    <definedName name="dnt705_6_4_2">'Ch7'!$AS$657</definedName>
    <definedName name="dnt705_7">'Ch7'!$AS$659</definedName>
    <definedName name="dnt706_1_1">'Ch7'!$AS$666</definedName>
    <definedName name="dnt706_1_2">'Ch7'!$AS$667</definedName>
    <definedName name="dnt706_1_3">'Ch7'!$AS$668</definedName>
    <definedName name="dnt706_1_4">'Ch7'!$AS$669</definedName>
    <definedName name="dnt706_1_5">'Ch7'!$AS$671</definedName>
    <definedName name="dnt706_10">'Ch7'!$AS$741</definedName>
    <definedName name="dnt706_11">'Ch7'!$AS$746</definedName>
    <definedName name="dnt706_12">'Ch7'!$AS$748</definedName>
    <definedName name="dnt706_13">'Ch7'!$AS$752</definedName>
    <definedName name="dnt706_14_1">'Ch7'!$AS$757</definedName>
    <definedName name="dnt706_14_2">'Ch7'!$AS$761</definedName>
    <definedName name="dnt706_15_1">'Ch7'!$AS$766</definedName>
    <definedName name="dnt706_15_2">'Ch7'!$AS$767</definedName>
    <definedName name="dnt706_2_1">'Ch7'!$AS$674</definedName>
    <definedName name="dnt706_2_2">'Ch7'!$AS$679</definedName>
    <definedName name="dnt706_3">'Ch7'!$AS$686</definedName>
    <definedName name="dnt706_3_1">'Ch7'!$AS$694</definedName>
    <definedName name="dnt706_3_2">'Ch7'!$AS$695</definedName>
    <definedName name="dnt706_3_3">'Ch7'!$AS$696</definedName>
    <definedName name="dnt706_3_4">'Ch7'!$AS$697</definedName>
    <definedName name="dnt706_3_5">'Ch7'!$AS$698</definedName>
    <definedName name="dnt706_3_6">'Ch7'!$AS$699</definedName>
    <definedName name="dnt706_3_7">'Ch7'!$AS$700</definedName>
    <definedName name="dnt706_3_8">'Ch7'!$AS$701</definedName>
    <definedName name="dnt706_4_1_1">'Ch7'!$AS$704</definedName>
    <definedName name="dnt706_4_1_2">'Ch7'!$AS$706</definedName>
    <definedName name="dnt706_4_2">'Ch7'!$AS$708</definedName>
    <definedName name="dnt706_5">'Ch7'!$AS$710</definedName>
    <definedName name="dnt706_6">'Ch7'!$AS$725</definedName>
    <definedName name="dnt706_7_1">'Ch7'!$AS$729</definedName>
    <definedName name="dnt706_7_2">'Ch7'!$AS$730</definedName>
    <definedName name="dnt706_8">'Ch7'!$AS$733</definedName>
    <definedName name="dnt706_9">'Ch7'!$AS$736</definedName>
    <definedName name="dnt801_1">'Ch8'!$AS$13</definedName>
    <definedName name="dnt802_1_1">'Ch8'!$AS$34</definedName>
    <definedName name="dnt802_1_5">'Ch8'!$AS$45</definedName>
    <definedName name="dnt802_1_6">'Ch8'!$AS$50</definedName>
    <definedName name="dnt802_10_1">'Ch8'!$AS$208</definedName>
    <definedName name="dnt802_10_1_1">'Ch8'!$AS$211</definedName>
    <definedName name="dnt802_2_1">'Ch8'!$AS$55</definedName>
    <definedName name="dnt802_2_2">'Ch8'!$AS$56</definedName>
    <definedName name="dnt802_3_1_a">'Ch8'!$AS$64</definedName>
    <definedName name="dnt802_3_1_b">'Ch8'!$AS$66</definedName>
    <definedName name="dnt802_3_2_a">'Ch8'!$AS$73</definedName>
    <definedName name="dnt802_3_2_b">'Ch8'!$AS$75</definedName>
    <definedName name="dnt802_4_1">'Ch8'!$AS$80</definedName>
    <definedName name="dnt802_4_2">'Ch8'!$AS$92</definedName>
    <definedName name="dnt802_4_3">'Ch8'!$AS$97</definedName>
    <definedName name="dnt802_5_1a">'Ch8'!$AS$100</definedName>
    <definedName name="dnt802_5_2">'Ch8'!$AS$112</definedName>
    <definedName name="dnt802_5_3">'Ch8'!$AS$117</definedName>
    <definedName name="dnt802_5_4_1">'Ch8'!$AS$122</definedName>
    <definedName name="dnt802_5_4_2">'Ch8'!$AS$124</definedName>
    <definedName name="dnt802_5_4_3">'Ch8'!$AS$131</definedName>
    <definedName name="dnt802_5_4_4_a">'Ch8'!$AS$134</definedName>
    <definedName name="dnt802_5_4_4_b">'Ch8'!$AS$138</definedName>
    <definedName name="dnt802_5_4_4_c">'Ch8'!$AS$140</definedName>
    <definedName name="dnt802_6_1">'Ch8'!$AS$143</definedName>
    <definedName name="dnt802_6_2">'Ch8'!$AS$145</definedName>
    <definedName name="dnt802_6_3_1">'Ch8'!$AS$149</definedName>
    <definedName name="dnt802_6_3_2">'Ch8'!$AS$150</definedName>
    <definedName name="dnt802_6_3_3">'Ch8'!$AS$151</definedName>
    <definedName name="dnt802_6_4_1">'Ch8'!$AS$156</definedName>
    <definedName name="dnt802_6_4_2">'Ch8'!$AS$158</definedName>
    <definedName name="dnt802_6_5_1">'Ch8'!$AS$164</definedName>
    <definedName name="dnt802_6_5_2">'Ch8'!$AS$166</definedName>
    <definedName name="dnt802_6_5_3">'Ch8'!$AS$168</definedName>
    <definedName name="dnt802_6_5_4">'Ch8'!$AS$169</definedName>
    <definedName name="dnt802_6_5_5">'Ch8'!$AS$171</definedName>
    <definedName name="dnt802_7_1">'Ch8'!$AS$175</definedName>
    <definedName name="dnt802_7_2_1">'Ch8'!$AS$189</definedName>
    <definedName name="dnt802_7_2_2">'Ch8'!$AS$191</definedName>
    <definedName name="dnt802_8">'Ch8'!$AS$192</definedName>
    <definedName name="dnt802_9_1">'Ch8'!$AS$195</definedName>
    <definedName name="dnt802_9_2">'Ch8'!$AS$203</definedName>
    <definedName name="dnt803_1_1">'Ch8'!$AS$217</definedName>
    <definedName name="dnt803_1_2">'Ch8'!$AS$219</definedName>
    <definedName name="dnt803_2">'Ch8'!$AS$220</definedName>
    <definedName name="dnt803_3">'Ch8'!$AS$223</definedName>
    <definedName name="dnt803_4">'Ch8'!$AS$228</definedName>
    <definedName name="dnt803_5">'Ch8'!$AS$231</definedName>
    <definedName name="dnt803_6">'Ch8'!$AS$233</definedName>
    <definedName name="dnt804_2">'Ch8'!$AS$239</definedName>
    <definedName name="dnt901_1_1">'Ch9'!$AS$12</definedName>
    <definedName name="dnt901_1_2">'Ch9'!$AS$18</definedName>
    <definedName name="dnt901_1_3_1">'Ch9'!$AS$23</definedName>
    <definedName name="dnt901_1_3_2">'Ch9'!$AS$26</definedName>
    <definedName name="dnt901_1_4">'Ch9'!$AS$29</definedName>
    <definedName name="dnt901_1_5">'Ch9'!$AS$34</definedName>
    <definedName name="dnt901_1_6">'Ch9'!$AS$37</definedName>
    <definedName name="dnt901_10_1">'Ch9'!$AS$149</definedName>
    <definedName name="dnt901_10_2">'Ch9'!$AS$154</definedName>
    <definedName name="dnt901_10_3">'Ch9'!$AS$155</definedName>
    <definedName name="dnt901_11">'Ch9'!$AS$159</definedName>
    <definedName name="dnt901_12">'Ch9'!$AS$164</definedName>
    <definedName name="dnt901_13">'Ch9'!$AS$168</definedName>
    <definedName name="dnt901_14">'Ch9'!$AS$170</definedName>
    <definedName name="dnt901_15_1">'Ch9'!$AS$176</definedName>
    <definedName name="dnt901_15_2">'Ch9'!$AS$178</definedName>
    <definedName name="dnt901_2_1_1">'Ch9'!$AS$43</definedName>
    <definedName name="dnt901_2_1_2">'Ch9'!$AS$46</definedName>
    <definedName name="dnt901_2_1_3">'Ch9'!$AS$48</definedName>
    <definedName name="dnt901_2_1_4">'Ch9'!$AS$51</definedName>
    <definedName name="dnt901_2_1_5">'Ch9'!$AS$53</definedName>
    <definedName name="dnt901_2_2">'Ch9'!$AS$55</definedName>
    <definedName name="dnt901_3_1_a">'Ch9'!$AS$58</definedName>
    <definedName name="dnt901_3_1_b">'Ch9'!$AS$60</definedName>
    <definedName name="dnt901_3_1_c">'Ch9'!$AS$62</definedName>
    <definedName name="dnt901_3_2">'Ch9'!$AS$68</definedName>
    <definedName name="dnt901_4_1">'Ch9'!$AS$72</definedName>
    <definedName name="dnt901_4_a">'Ch9'!$AS$77</definedName>
    <definedName name="dnt901_5_1">'Ch9'!$AS$91</definedName>
    <definedName name="dnt901_5_2">'Ch9'!$AS$93</definedName>
    <definedName name="dnt901_6">'Ch9'!$AS$96</definedName>
    <definedName name="dnt901_7_1">'Ch9'!$AS$105</definedName>
    <definedName name="dnt901_7_2">'Ch9'!$AS$115</definedName>
    <definedName name="dnt901_8">'Ch9'!$AS$119</definedName>
    <definedName name="dnt901_9">'Ch9'!$AS$125</definedName>
    <definedName name="dnt901_9_1_1">'Ch9'!$AS$130</definedName>
    <definedName name="dnt901_9_1_2">'Ch9'!$AS$132</definedName>
    <definedName name="dnt901_9_1_3">'Ch9'!$AS$133</definedName>
    <definedName name="dnt901_9_2">'Ch9'!$AS$135</definedName>
    <definedName name="dnt901_9_3">'Ch9'!$AS$140</definedName>
    <definedName name="dnt902_1_1">'Ch9'!$AS$184</definedName>
    <definedName name="dnt902_1_1_a">'Ch9'!$AS$186</definedName>
    <definedName name="dnt902_1_2">'Ch9'!$AS$188</definedName>
    <definedName name="dnt902_1_2_">'Ch9'!$AS$193</definedName>
    <definedName name="dnt902_1_3">'Ch9'!$AS$190</definedName>
    <definedName name="dnt902_1_3_">'Ch9'!$AS$197</definedName>
    <definedName name="dnt902_1_4">'Ch9'!$AS$201</definedName>
    <definedName name="dnt902_1_5_1">'Ch9'!$AS$208</definedName>
    <definedName name="dnt902_1_5_2">'Ch9'!$AS$210</definedName>
    <definedName name="dnt902_1_5_3">'Ch9'!$AS$212</definedName>
    <definedName name="dnt902_1_6">'Ch9'!$AS$215</definedName>
    <definedName name="dnt902_2_1">'Ch9'!$AS$219</definedName>
    <definedName name="dnt902_2_2">'Ch9'!$AS$230</definedName>
    <definedName name="dnt902_2_3">'Ch9'!$AS$232</definedName>
    <definedName name="dnt902_2_4">'Ch9'!$AS$235</definedName>
    <definedName name="dnt902_3">'Ch9'!$AS$238</definedName>
    <definedName name="dnt902_3_1">'Ch9'!$AS$247</definedName>
    <definedName name="dnt902_3_2_1">'Ch9'!$AS$288</definedName>
    <definedName name="dnt902_3_2_2">'Ch9'!$AS$310</definedName>
    <definedName name="dnt902_4_1">'Ch9'!$AS$314</definedName>
    <definedName name="dnt902_4_2">'Ch9'!$AS$316</definedName>
    <definedName name="dnt902_4_3">'Ch9'!$AS$319</definedName>
    <definedName name="dnt902_5">'Ch9'!$AS$322</definedName>
    <definedName name="dnt902_6">'Ch9'!$AS$324</definedName>
    <definedName name="dnt903_1">'Ch9'!$AS$328</definedName>
    <definedName name="dnt903_2">'Ch9'!$AS$332</definedName>
    <definedName name="dnt903_3">'Ch9'!$AS$336</definedName>
    <definedName name="dnt904_1">'Ch9'!$AS$344</definedName>
    <definedName name="dnt904_2">'Ch9'!$AS$349</definedName>
    <definedName name="dnt904_3_1">'Ch9'!$AS$354</definedName>
    <definedName name="dnt904_3_2">'Ch9'!$AS$362</definedName>
    <definedName name="dnt905_1">'Ch9'!$AS$366</definedName>
    <definedName name="dnt905_2">'Ch9'!$AS$371</definedName>
    <definedName name="dnt905_3_1">'Ch9'!$AS$374</definedName>
    <definedName name="dnt905_3_2">'Ch9'!$AS$375</definedName>
    <definedName name="dnt905_4">'Ch9'!$AS$377</definedName>
    <definedName name="dnt905_6">'Ch9'!$AS$382</definedName>
    <definedName name="dntBadgesAirLeakage">'Badges (Design)'!$AS$28</definedName>
    <definedName name="dntBadgesAirSealing">'Badges (Design)'!$AS$29</definedName>
    <definedName name="dntBadgesBatteryStorage">'Badges (Design)'!$AS$58</definedName>
    <definedName name="dntBadgesBuildingVent">'Badges (Design)'!$AS$55</definedName>
    <definedName name="dntBadgesDaylighting">'Badges (Design)'!$AS$34</definedName>
    <definedName name="dntBadgesElectricAC">'Badges (Design)'!$AS$46</definedName>
    <definedName name="dntBadgesElectricHeat">'Badges (Design)'!$AS$44</definedName>
    <definedName name="dntBadgesEnergyCredits">'Badges (Design)'!$AS$77</definedName>
    <definedName name="dntBadgesExteriorShading">'Badges (Design)'!$AS$27</definedName>
    <definedName name="dntBadgesFloorRVal">'Badges (Design)'!$AS$16</definedName>
    <definedName name="dntBadgesGasBoiler">'Badges (Design)'!$AS$41</definedName>
    <definedName name="dntBadgesGEDHPHeating">'Badges (Design)'!$AS$45</definedName>
    <definedName name="dntBadgesGEHHPCooling">'Badges (Design)'!$AS$47</definedName>
    <definedName name="dntBadgesGeothermalPower">'Badges (Design)'!$AS$80</definedName>
    <definedName name="dntBadgesGroundSourceHP">'Badges (Design)'!$AS$49</definedName>
    <definedName name="dntBadgesHVACDesc">'Badges (Design)'!$AS$50</definedName>
    <definedName name="dntBadgesLightingDesign">'Badges (Design)'!$AS$36</definedName>
    <definedName name="dntBadgesLightingType">'Badges (Design)'!$AS$33</definedName>
    <definedName name="dntBadgesOccSensor">'Badges (Design)'!$AS$35</definedName>
    <definedName name="dntBadgesOilBoiler">'Badges (Design)'!$AS$42</definedName>
    <definedName name="dntBadgesOilFurnace">'Badges (Design)'!$AS$40</definedName>
    <definedName name="dntBadgesPropane">'Badges (Design)'!$AS$39</definedName>
    <definedName name="dntBadgesRadiant">'Badges (Design)'!$AS$43</definedName>
    <definedName name="dntBadgesResilienceAdditional">'Badges (Design)'!$AS$110</definedName>
    <definedName name="dntBadgesResilienceSect1">'Badges (Design)'!$AS$97</definedName>
    <definedName name="dntBadgesResilienceSect2">'Badges (Design)'!$AS$106</definedName>
    <definedName name="dntBadgesRoofRVal">'Badges (Design)'!$AS$15</definedName>
    <definedName name="dntBadgesSHGC">'Badges (Design)'!$AS$23</definedName>
    <definedName name="dntBadgesSmartAdd">'Badges (Design)'!$AS$166</definedName>
    <definedName name="dntBadgesSmartSect1">'Badges (Design)'!$AS$125</definedName>
    <definedName name="dntBadgesSmartSect2">'Badges (Design)'!$AS$139</definedName>
    <definedName name="dntBadgesSmartSect3">'Badges (Design)'!$AS$152</definedName>
    <definedName name="dntBadgesSmartSect4">'Badges (Design)'!$AS$162</definedName>
    <definedName name="dntBadgesSolar">'Badges (Design)'!$AS$66</definedName>
    <definedName name="dntBadgesSolarThermalArea">'Badges (Design)'!$AS$69</definedName>
    <definedName name="dntBadgesSpotVent">'Badges (Design)'!$AS$54</definedName>
    <definedName name="dntBadgesWallDesc">'Badges (Design)'!$AS$18</definedName>
    <definedName name="dntBadgesWallRVal">'Badges (Design)'!$AS$17</definedName>
    <definedName name="dntBadgesWaterSourceHC">'Badges (Design)'!$AS$48</definedName>
    <definedName name="dntBadgesWellnessSect1">'Badges (Design)'!$AS$203</definedName>
    <definedName name="dntBadgesWellnessSect2">'Badges (Design)'!$AS$222</definedName>
    <definedName name="dntBadgesWellnessSect3">'Badges (Design)'!$AS$246</definedName>
    <definedName name="dntBadgesWellnessSect4">'Badges (Design)'!$AS$256</definedName>
    <definedName name="dntBadgesWellnessSect5">'Badges (Design)'!$AS$264</definedName>
    <definedName name="dntBadgesWellnessSect6">'Badges (Design)'!$AS$272</definedName>
    <definedName name="dntBadgesWellnessSect7">'Badges (Design)'!$AS$280</definedName>
    <definedName name="dntBadgesWellnessSect8">'Badges (Design)'!$AS$287</definedName>
    <definedName name="dntBadgesWellnessSect9">'Badges (Design)'!$AS$298</definedName>
    <definedName name="dntBadgesWind">'Badges (Design)'!$AS$74</definedName>
    <definedName name="dntBadgesWindowDesc">'Badges (Design)'!$AS$24</definedName>
    <definedName name="dntBadgesWindowUVal">'Badges (Design)'!$AS$22</definedName>
    <definedName name="dntBadgesWindowWallRatio">'Badges (Design)'!$AS$21</definedName>
    <definedName name="dntWaterSenseClothesWasher">'WaterSense (Design)'!$AS$110</definedName>
    <definedName name="dntWaterSenseDishwasher">'WaterSense (Design)'!$AS$115</definedName>
    <definedName name="dntWaterSenseIrrigation">'WaterSense (Design)'!$AS$55</definedName>
    <definedName name="dntWaterSenseLavFaucet">'WaterSense (Design)'!$AS$41</definedName>
    <definedName name="dntWaterSenseLeaks1">'WaterSense (Design)'!$AS$18</definedName>
    <definedName name="dntWaterSenseLeaks2">'WaterSense (Design)'!$AS$19</definedName>
    <definedName name="dntWaterSenseLeaks3">'WaterSense (Design)'!$AS$20</definedName>
    <definedName name="dntWaterSenseLeaks4">'WaterSense (Design)'!$AS$22</definedName>
    <definedName name="dntWaterSenseLeaks5">'WaterSense (Design)'!$AS$23</definedName>
    <definedName name="dntWaterSenseLeaks6">'WaterSense (Design)'!$AS$24</definedName>
    <definedName name="dntWaterSenseLeaks7">'WaterSense (Design)'!$AS$27</definedName>
    <definedName name="dntWaterSenseLeaks8">'WaterSense (Design)'!$AS$28</definedName>
    <definedName name="dntWaterSenseOptionA">'WaterSense (Design)'!$AS$132</definedName>
    <definedName name="dntWaterSenseShowerheads">'WaterSense (Design)'!$AS$48</definedName>
    <definedName name="dntWaterSenseToilet">'WaterSense (Design)'!$AS$34</definedName>
    <definedName name="dpa1001_1">'Ch10'!$AM$12</definedName>
    <definedName name="dpa1001_1_1">'Ch10'!$AM$15</definedName>
    <definedName name="dpa1001_1_2">'Ch10'!$AM$16</definedName>
    <definedName name="dpa1001_1_3">'Ch10'!$AM$17</definedName>
    <definedName name="dpa1001_1_9">'Ch10'!$AM$28</definedName>
    <definedName name="dpa1001_2">'Ch10'!$AM$62</definedName>
    <definedName name="dpa1001_2_m">'Ch10'!$AM$60</definedName>
    <definedName name="dpa1002_1">'Ch10'!$AM$79</definedName>
    <definedName name="dpa1002_1_1">'Ch10'!$AM$82</definedName>
    <definedName name="dpa1002_1_2">'Ch10'!$AM$85</definedName>
    <definedName name="dpa1002_1_3">'Ch10'!$AM$88</definedName>
    <definedName name="dpa1002_2">'Ch10'!$AM$97</definedName>
    <definedName name="dpa1002_2_1">'Ch10'!$AM$101</definedName>
    <definedName name="dpa1002_2_11">'Ch10'!$AM$122</definedName>
    <definedName name="dpa1002_2_2">'Ch10'!$AM$103</definedName>
    <definedName name="dpa1002_3">'Ch10'!$AM$124</definedName>
    <definedName name="dpa1002_3_1">'Ch10'!$AM$128</definedName>
    <definedName name="dpa1002_4">'Ch10'!$AM$154</definedName>
    <definedName name="dpa1002_4_m">'Ch10'!$AM$152</definedName>
    <definedName name="dpa1002_5">'Ch10'!$AM$165</definedName>
    <definedName name="dpa1002_5_1">'Ch10'!$AM$167</definedName>
    <definedName name="dpa1002_5_2">'Ch10'!$AM$168</definedName>
    <definedName name="dpa1002_5_3">'Ch10'!$AM$169</definedName>
    <definedName name="dpa1002_6">'Ch10'!$AM$177</definedName>
    <definedName name="dpa1003_1">'Ch10'!$AM$192</definedName>
    <definedName name="dpa1003_1_1">'Ch10'!$AM$193</definedName>
    <definedName name="dpa1003_1_2">'Ch10'!$AM$195</definedName>
    <definedName name="dpa1003_1_3">'Ch10'!$AM$198</definedName>
    <definedName name="dpa1004_1_1">'Ch10'!$AM$211</definedName>
    <definedName name="dpa1004_1_2">'Ch10'!$AM$213</definedName>
    <definedName name="dpa1005_1_1">'Ch10'!$AM$217</definedName>
    <definedName name="dpa1005_1_2">'Ch10'!$AM$220</definedName>
    <definedName name="dpa1005_1_3">'Ch10'!$AM$224</definedName>
    <definedName name="dpa501_1">'Ch5'!$AM$14</definedName>
    <definedName name="dpa501_1_2_a">'Ch5'!$AM$17</definedName>
    <definedName name="dpa501_1_2_b">'Ch5'!$AM$18</definedName>
    <definedName name="dpa501_1_2_c">'Ch5'!$AM$19</definedName>
    <definedName name="dpa501_2_1">'Ch5'!$AM$22</definedName>
    <definedName name="dpa501_2_2">'Ch5'!$AM$24</definedName>
    <definedName name="dpa501_2_3">'Ch5'!$AM$26</definedName>
    <definedName name="dpa501_2_4">'Ch5'!$AM$28</definedName>
    <definedName name="dpa501_2_4_1_a">'Ch5'!$AM$41</definedName>
    <definedName name="dpa501_2_4_1_b">'Ch5'!$AM$42</definedName>
    <definedName name="dpa501_2_5">'Ch5'!$AM$43</definedName>
    <definedName name="dpa501_2_6_a">'Ch5'!$AM$48</definedName>
    <definedName name="dpa501_2_6_b">'Ch5'!$AM$49</definedName>
    <definedName name="dpa501_2_6_c">'Ch5'!$AM$50</definedName>
    <definedName name="dpa501_2_6_d">'Ch5'!$AM$51</definedName>
    <definedName name="dpa501_2_7">'Ch5'!$AM$53</definedName>
    <definedName name="dpa501_2_8">'Ch5'!$AM$56</definedName>
    <definedName name="dpa502_1">'Ch5'!$AM$59</definedName>
    <definedName name="dpa503_1_1">'Ch5'!$AM$70</definedName>
    <definedName name="dpa503_1_2">'Ch5'!$AM$72</definedName>
    <definedName name="dpa503_1_3">'Ch5'!$AM$74</definedName>
    <definedName name="dpa503_1_4">'Ch5'!$AM$76</definedName>
    <definedName name="dpa503_1_5">'Ch5'!$AM$78</definedName>
    <definedName name="dpa503_1_6">'Ch5'!$AM$80</definedName>
    <definedName name="dpa503_1_7">'Ch5'!$AM$82</definedName>
    <definedName name="dpa503_1_8">'Ch5'!$AM$84</definedName>
    <definedName name="dpa503_2_1">'Ch5'!$AM$91</definedName>
    <definedName name="dpa503_2_2">'Ch5'!$AM$92</definedName>
    <definedName name="dpa503_2_3_a">'Ch5'!$AM$96</definedName>
    <definedName name="dpa503_2_3_b">'Ch5'!$AM$97</definedName>
    <definedName name="dpa503_2_3_c">'Ch5'!$AM$98</definedName>
    <definedName name="dpa503_2_4">'Ch5'!$AM$99</definedName>
    <definedName name="dpa503_2_5">'Ch5'!$AM$101</definedName>
    <definedName name="dpa503_3_1">'Ch5'!$AM$105</definedName>
    <definedName name="dpa503_3_2">'Ch5'!$AM$107</definedName>
    <definedName name="dpa503_3_3">'Ch5'!$AM$114</definedName>
    <definedName name="dpa503_4_1">'Ch5'!$AM$122</definedName>
    <definedName name="dpa503_4_2">'Ch5'!$AM$125</definedName>
    <definedName name="dpa503_4_3_a">'Ch5'!$AM$133</definedName>
    <definedName name="dpa503_4_3_b">'Ch5'!$AM$134</definedName>
    <definedName name="dpa503_4_3_c">'Ch5'!$AM$135</definedName>
    <definedName name="dpa503_4_4_a">'Ch5'!$AM$138</definedName>
    <definedName name="dpa503_4_4_b">'Ch5'!$AM$139</definedName>
    <definedName name="dpa503_4_4_c">'Ch5'!$AM$140</definedName>
    <definedName name="dpa503_4_4_c_1">'Ch5'!$AM$141</definedName>
    <definedName name="dpa503_4_5">'Ch5'!$AM$143</definedName>
    <definedName name="dpa503_5_1_a">'Ch5'!$AM$152</definedName>
    <definedName name="dpa503_5_1_b">'Ch5'!$AM$153</definedName>
    <definedName name="dpa503_5_1_c">'Ch5'!$AM$154</definedName>
    <definedName name="dpa503_5_1_d">'Ch5'!$AM$155</definedName>
    <definedName name="dpa503_5_10">'Ch5'!$AM$179</definedName>
    <definedName name="dpa503_5_11">'Ch5'!$AM$182</definedName>
    <definedName name="dpa503_5_12">'Ch5'!$AM$184</definedName>
    <definedName name="dpa503_5_13">'Ch5'!$AM$186</definedName>
    <definedName name="dpa503_5_2">'Ch5'!$AM$156</definedName>
    <definedName name="dpa503_5_3">'Ch5'!$AM$158</definedName>
    <definedName name="dpa503_5_4">'Ch5'!$AM$161</definedName>
    <definedName name="dpa503_5_5">'Ch5'!$AM$163</definedName>
    <definedName name="dpa503_5_6_a">'Ch5'!$AM$167</definedName>
    <definedName name="dpa503_5_6_b">'Ch5'!$AM$168</definedName>
    <definedName name="dpa503_5_6_c">'Ch5'!$AM$169</definedName>
    <definedName name="dpa503_5_6_d">'Ch5'!$AM$170</definedName>
    <definedName name="dpa503_5_7">'Ch5'!$AM$171</definedName>
    <definedName name="dpa503_5_8">'Ch5'!$AM$172</definedName>
    <definedName name="dpa503_5_9">'Ch5'!$AM$177</definedName>
    <definedName name="dpa503_6_1">'Ch5'!$AM$190</definedName>
    <definedName name="dpa503_6_2">'Ch5'!$AM$191</definedName>
    <definedName name="dpa503_6_3">'Ch5'!$AM$192</definedName>
    <definedName name="dpa503_6_4">'Ch5'!$AM$194</definedName>
    <definedName name="dpa503_7">'Ch5'!$AM$195</definedName>
    <definedName name="dpa503_8">'Ch5'!$AM$201</definedName>
    <definedName name="dpa503_8_1">'Ch5'!$AM$204</definedName>
    <definedName name="dpa504_1">'Ch5'!$AM$209</definedName>
    <definedName name="dpa504_2_1">'Ch5'!$AM$216</definedName>
    <definedName name="dpa504_2_2">'Ch5'!$AM$217</definedName>
    <definedName name="dpa504_2_3">'Ch5'!$AM$219</definedName>
    <definedName name="dpa504_3_1">'Ch5'!$AM$224</definedName>
    <definedName name="dpa504_3_2">'Ch5'!$AM$226</definedName>
    <definedName name="dpa504_3_3">'Ch5'!$AM$227</definedName>
    <definedName name="dpa504_3_4">'Ch5'!$AM$229</definedName>
    <definedName name="dpa504_3_5">'Ch5'!$AM$231</definedName>
    <definedName name="dpa504_3_6">'Ch5'!$AM$235</definedName>
    <definedName name="dpa504_3_7">'Ch5'!$AM$238</definedName>
    <definedName name="dpa504_3_8">'Ch5'!$AM$239</definedName>
    <definedName name="dpa504_3_9">'Ch5'!$AM$247</definedName>
    <definedName name="dpa505_1_1">'Ch5'!$AM$254</definedName>
    <definedName name="dpa505_1_2">'Ch5'!$AM$256</definedName>
    <definedName name="dpa505_1_3_a">'Ch5'!$AM$259</definedName>
    <definedName name="dpa505_1_3_b">'Ch5'!$AM$260</definedName>
    <definedName name="dpa505_1_3_c">'Ch5'!$AM$261</definedName>
    <definedName name="dpa505_10_a">'Ch5'!$AM$322</definedName>
    <definedName name="dpa505_10_b">'Ch5'!$AM$324</definedName>
    <definedName name="dpa505_10_c">'Ch5'!$AM$326</definedName>
    <definedName name="dpa505_2_1">'Ch5'!$AM$263</definedName>
    <definedName name="dpa505_2_2">'Ch5'!$AM$273</definedName>
    <definedName name="dpa505_3_1">'Ch5'!$AM$277</definedName>
    <definedName name="dpa505_3_2">'Ch5'!$AM$278</definedName>
    <definedName name="dpa505_3_3">'Ch5'!$AM$279</definedName>
    <definedName name="dpa505_3_4">'Ch5'!$AM$280</definedName>
    <definedName name="dpa505_3_5">'Ch5'!$AM$281</definedName>
    <definedName name="dpa505_4_1">'Ch5'!$AM$283</definedName>
    <definedName name="dpa505_5_a">'Ch5'!$AM$287</definedName>
    <definedName name="dpa505_5_b">'Ch5'!$AM$289</definedName>
    <definedName name="dpa505_5_c">'Ch5'!$AM$292</definedName>
    <definedName name="dpa505_5_d">'Ch5'!$AM$293</definedName>
    <definedName name="dpa505_6">'Ch5'!$AM$294</definedName>
    <definedName name="dpa505_7">'Ch5'!$AM$306</definedName>
    <definedName name="dpa505_8">'Ch5'!$AM$310</definedName>
    <definedName name="dpa505_9_a">'Ch5'!$AM$313</definedName>
    <definedName name="dpa505_9_b">'Ch5'!$AM$316</definedName>
    <definedName name="dpa505_9_c">'Ch5'!$AM$317</definedName>
    <definedName name="dpa601_1_1">'Ch6'!$AM$19</definedName>
    <definedName name="dpa601_1_2">'Ch6'!$AM$20</definedName>
    <definedName name="dpa601_1_3">'Ch6'!$AM$21</definedName>
    <definedName name="dpa601_1_4">'Ch6'!$AM$22</definedName>
    <definedName name="dpa601_1_5">'Ch6'!$AM$23</definedName>
    <definedName name="dpa601_2_1">'Ch6'!$AM$31</definedName>
    <definedName name="dpa601_2_2">'Ch6'!$AM$34</definedName>
    <definedName name="dpa601_2_3">'Ch6'!$AM$37</definedName>
    <definedName name="dpa601_3_1">'Ch6'!$AM$41</definedName>
    <definedName name="dpa601_3_2">'Ch6'!$AM$42</definedName>
    <definedName name="dpa601_3_3">'Ch6'!$AM$43</definedName>
    <definedName name="dpa601_3_4">'Ch6'!$AM$44</definedName>
    <definedName name="dpa601_3_5">'Ch6'!$AM$45</definedName>
    <definedName name="dpa601_4">'Ch6'!$AM$46</definedName>
    <definedName name="dpa601_5">'Ch6'!$AM$49</definedName>
    <definedName name="dpa601_5_1">'Ch6'!$AM$52</definedName>
    <definedName name="dpa601_5_2">'Ch6'!$AM$53</definedName>
    <definedName name="dpa601_5_3">'Ch6'!$AM$54</definedName>
    <definedName name="dpa601_5_4">'Ch6'!$AM$55</definedName>
    <definedName name="dpa601_5_5">'Ch6'!$AM$56</definedName>
    <definedName name="dpa601_6">'Ch6'!$AM$57</definedName>
    <definedName name="dpa601_6_1">'Ch6'!$AM$60</definedName>
    <definedName name="dpa601_6_2">'Ch6'!$AM$61</definedName>
    <definedName name="dpa601_7">'Ch6'!$AM$62</definedName>
    <definedName name="dpa601_7_1">'Ch6'!$AM$75</definedName>
    <definedName name="dpa601_7_2">'Ch6'!$AM$76</definedName>
    <definedName name="dpa601_7_3">'Ch6'!$AM$78</definedName>
    <definedName name="dpa601_8">'Ch6'!$AM$80</definedName>
    <definedName name="dpa602_1_1_1">'Ch6'!$AM$93</definedName>
    <definedName name="dpa602_1_1_2">'Ch6'!$AM$96</definedName>
    <definedName name="dpa602_1_10">'Ch6'!$AM$192</definedName>
    <definedName name="dpa602_1_11">'Ch6'!$AM$205</definedName>
    <definedName name="dpa602_1_12">'Ch6'!$AM$207</definedName>
    <definedName name="dpa602_1_13">'Ch6'!$AM$210</definedName>
    <definedName name="dpa602_1_14_1">'Ch6'!$AM$216</definedName>
    <definedName name="dpa602_1_14_2">'Ch6'!$AM$218</definedName>
    <definedName name="dpa602_1_14_3">'Ch6'!$AM$219</definedName>
    <definedName name="dpa602_1_15">'Ch6'!$AM$220</definedName>
    <definedName name="dpa602_1_2">'Ch6'!$AM$98</definedName>
    <definedName name="dpa602_1_3_1">'Ch6'!$AM$103</definedName>
    <definedName name="dpa602_1_3_2">'Ch6'!$AM$105</definedName>
    <definedName name="dpa602_1_4_1_1">'Ch6'!$AM$111</definedName>
    <definedName name="dpa602_1_4_1_2">'Ch6'!$AM$113</definedName>
    <definedName name="dpa602_1_4_2_1">'Ch6'!$AM$117</definedName>
    <definedName name="dpa602_1_4_2_2">'Ch6'!$AM$119</definedName>
    <definedName name="dpa602_1_5_1">'Ch6'!$AM$123</definedName>
    <definedName name="dpa602_1_5_2">'Ch6'!$AM$125</definedName>
    <definedName name="dpa602_1_6_1">'Ch6'!$AM$131</definedName>
    <definedName name="dpa602_1_6_2">'Ch6'!$AM$135</definedName>
    <definedName name="dpa602_1_6_3">'Ch6'!$AM$139</definedName>
    <definedName name="dpa602_1_7_1_1">'Ch6'!$AM$144</definedName>
    <definedName name="dpa602_1_7_1_2">'Ch6'!$AM$146</definedName>
    <definedName name="dpa602_1_7_1_3">'Ch6'!$AM$149</definedName>
    <definedName name="dpa602_1_7_2">'Ch6'!$AM$151</definedName>
    <definedName name="dpa602_1_7_3">'Ch6'!$AM$153</definedName>
    <definedName name="dpa602_1_8">'Ch6'!$AM$157</definedName>
    <definedName name="dpa602_1_9_1">'Ch6'!$AM$165</definedName>
    <definedName name="dpa602_1_9_2">'Ch6'!$AM$175</definedName>
    <definedName name="dpa602_1_9_3">'Ch6'!$AM$178</definedName>
    <definedName name="dpa602_1_9_4">'Ch6'!$AM$179</definedName>
    <definedName name="dpa602_1_9_5_a">'Ch6'!$AM$184</definedName>
    <definedName name="dpa602_1_9_5_b">'Ch6'!$AM$187</definedName>
    <definedName name="dpa602_1_9_6">'Ch6'!$AM$189</definedName>
    <definedName name="dpa602_1_9_7">'Ch6'!$AM$191</definedName>
    <definedName name="dpa602_2">'Ch6'!$AM$223</definedName>
    <definedName name="dpa602_3">'Ch6'!$AM$233</definedName>
    <definedName name="dpa602_4_1">'Ch6'!$AM$237</definedName>
    <definedName name="dpa602_4_2">'Ch6'!$AM$242</definedName>
    <definedName name="dpa602_4_3">'Ch6'!$AM$244</definedName>
    <definedName name="dpa603_1">'Ch6'!$AM$248</definedName>
    <definedName name="dpa603_2">'Ch6'!$AM$254</definedName>
    <definedName name="dpa603_3">'Ch6'!$AM$261</definedName>
    <definedName name="dpa604_1a">'Ch6'!$AM$265</definedName>
    <definedName name="dpa605_1">'Ch6'!$AM$275</definedName>
    <definedName name="dpa605_2">'Ch6'!$AM$278</definedName>
    <definedName name="dpa605_3">'Ch6'!$AM$293</definedName>
    <definedName name="dpa605_4">'Ch6'!$AM$302</definedName>
    <definedName name="dpa605_4_1">'Ch6'!$AM$304</definedName>
    <definedName name="dpa605_4_2">'Ch6'!$AM$305</definedName>
    <definedName name="dpa606_1_1">'Ch6'!$AM$329</definedName>
    <definedName name="dpa606_1_2">'Ch6'!$AM$331</definedName>
    <definedName name="dpa606_1_3">'Ch6'!$AM$333</definedName>
    <definedName name="dpa606_2_1a">'Ch6'!$AM$350</definedName>
    <definedName name="dpa606_2_2a">'Ch6'!$AM$353</definedName>
    <definedName name="dpa606_3">'Ch6'!$AM$356</definedName>
    <definedName name="dpa607_1_1">'Ch6'!$AM$365</definedName>
    <definedName name="dpa607_1_2">'Ch6'!$AM$370</definedName>
    <definedName name="dpa607_2">'Ch6'!$AM$376</definedName>
    <definedName name="dpa608_1">'Ch6'!$AM$379</definedName>
    <definedName name="dpa609_1">'Ch6'!$AM$388</definedName>
    <definedName name="dpa609_1_1">'Ch6'!$AM$390</definedName>
    <definedName name="dpa609_1_2">'Ch6'!$AM$392</definedName>
    <definedName name="dpa610_1_1_1">'Ch6'!$AM$409</definedName>
    <definedName name="dpa610_1_1_2">'Ch6'!$AM$418</definedName>
    <definedName name="dpa610_1_1_3">'Ch6'!$AM$426</definedName>
    <definedName name="dpa610_1_2">'Ch6'!$AM$428</definedName>
    <definedName name="dpa610_1_2_1">'Ch6'!$AM$432</definedName>
    <definedName name="dpa610_1_2_2a">'Ch6'!$AM$446</definedName>
    <definedName name="dpa611_1">'Ch6'!$AM$472</definedName>
    <definedName name="dpa612_1">'Ch6'!$AM$495</definedName>
    <definedName name="dpa612_2">'Ch6'!$AM$503</definedName>
    <definedName name="dpa612_2_1">'Ch6'!$AM$506</definedName>
    <definedName name="dpa612_2_2">'Ch6'!$AM$507</definedName>
    <definedName name="dpa612_2_3">'Ch6'!$AM$509</definedName>
    <definedName name="dpa612_2_4">'Ch6'!$AM$511</definedName>
    <definedName name="dpa612_2_5">'Ch6'!$AM$513</definedName>
    <definedName name="dpa612_2_6">'Ch6'!$AM$515</definedName>
    <definedName name="dpa612_2_7">'Ch6'!$AM$517</definedName>
    <definedName name="dpa612_3">'Ch6'!$AM$519</definedName>
    <definedName name="dpa612_3_1">'Ch6'!$AM$521</definedName>
    <definedName name="dpa612_3_2">'Ch6'!$AM$526</definedName>
    <definedName name="dpa612_3_3">'Ch6'!$AM$530</definedName>
    <definedName name="dpa612_3_4">'Ch6'!$AM$532</definedName>
    <definedName name="dpa612_3_5">'Ch6'!$AM$534</definedName>
    <definedName name="dpa612_3_6">'Ch6'!$AM$535</definedName>
    <definedName name="dpa612_3_7">'Ch6'!$AM$536</definedName>
    <definedName name="dpa612_3_8">'Ch6'!$AM$540</definedName>
    <definedName name="dpa612_3_9">'Ch6'!$AM$542</definedName>
    <definedName name="dpa613_1_a">'Ch6'!$AM$551</definedName>
    <definedName name="dpa613_1_b">'Ch6'!$AM$553</definedName>
    <definedName name="dpa613_1_c">'Ch6'!$AM$557</definedName>
    <definedName name="dpa613_1_d">'Ch6'!$AM$558</definedName>
    <definedName name="dpa613_1_e">'Ch6'!$AM$559</definedName>
    <definedName name="dpa613_1_f">'Ch6'!$AM$560</definedName>
    <definedName name="dpa701_1_6_1">'Ch7'!$AM$41</definedName>
    <definedName name="dpa701_1_6_2">'Ch7'!$AM$42</definedName>
    <definedName name="dpa701_1_6_3">'Ch7'!$AM$44</definedName>
    <definedName name="dpa701_1_6_4">'Ch7'!$AM$45</definedName>
    <definedName name="dpa701_1_6_5">'Ch7'!$AM$47</definedName>
    <definedName name="dpa701_1_6_6_a">'Ch7'!$AM$50</definedName>
    <definedName name="dpa701_1_6_6_b">'Ch7'!$AM$51</definedName>
    <definedName name="dpa701_1_6_6_c">'Ch7'!$AM$52</definedName>
    <definedName name="dpa701_1_6_7_a">'Ch7'!$AM$54</definedName>
    <definedName name="dpa701_1_6_7_b">'Ch7'!$AM$55</definedName>
    <definedName name="dpa701_1_6_7_c">'Ch7'!$AM$56</definedName>
    <definedName name="dpa701_1_6_8">'Ch7'!$AM$57</definedName>
    <definedName name="dpa701_1_6_9">'Ch7'!$AM$59</definedName>
    <definedName name="dpa701_4_1">'Ch7'!$AM$77</definedName>
    <definedName name="dpa701_4_1_1">'Ch7'!$AM$68</definedName>
    <definedName name="dpa701_4_1_2">'Ch7'!$AM$71</definedName>
    <definedName name="dpa701_4_2_2">'Ch7'!$AM$80</definedName>
    <definedName name="dpa701_4_2_3">'Ch7'!$AM$81</definedName>
    <definedName name="dpa701_4_3_1">'Ch7'!$AM$84</definedName>
    <definedName name="dpa701_4_3_2">'Ch7'!$AM$101</definedName>
    <definedName name="dpa701_4_3_2_1">'Ch7'!$AM$124</definedName>
    <definedName name="dpa701_4_3_4">'Ch7'!$AM$150</definedName>
    <definedName name="dpa701_4_3_5">'Ch7'!$AM$160</definedName>
    <definedName name="dpa701_4_4">'Ch7'!$AM$168</definedName>
    <definedName name="dpa701_4_5">'Ch7'!$AM$173</definedName>
    <definedName name="dpa702_2_1">'Ch7'!$AM$179</definedName>
    <definedName name="dpa702_2_2">'Ch7'!$AM$183</definedName>
    <definedName name="dpa703_1">'Ch7'!$AM$195</definedName>
    <definedName name="dpa703_1_1">'Ch7'!$AM$196</definedName>
    <definedName name="dpa703_1_2">'Ch7'!$AM$211</definedName>
    <definedName name="dpa703_1_3">'Ch7'!$AM$214</definedName>
    <definedName name="dpa703_2_1">'Ch7'!$AM$220</definedName>
    <definedName name="dpa703_2_2">'Ch7'!$AM$227</definedName>
    <definedName name="dpa703_2_3">'Ch7'!$AM$229</definedName>
    <definedName name="dpa703_2_4">'Ch7'!$AM$232</definedName>
    <definedName name="dpa703_2_5_1">'Ch7'!$AM$236</definedName>
    <definedName name="dpa703_2_5_2">'Ch7'!$AM$252</definedName>
    <definedName name="dpa703_2_5_2_a">'Ch7'!$AM$257</definedName>
    <definedName name="dpa703_2_5_2_b">'Ch7'!$AM$258</definedName>
    <definedName name="dpa703_2_5_2_c">'Ch7'!$AM$259</definedName>
    <definedName name="dpa703_3_1">'Ch7'!$AM$284</definedName>
    <definedName name="dpa703_3_2__1_1">'Ch7'!$AM$291</definedName>
    <definedName name="dpa703_3_2__1_2">'Ch7'!$AM$292</definedName>
    <definedName name="dpa703_3_2__1_3">'Ch7'!$AM$293</definedName>
    <definedName name="dpa703_3_2__1_4">'Ch7'!$AM$294</definedName>
    <definedName name="dpa703_3_2__1_5">'Ch7'!$AM$295</definedName>
    <definedName name="dpa703_3_2__2_1">'Ch7'!$AM$297</definedName>
    <definedName name="dpa703_3_2__2_2">'Ch7'!$AM$298</definedName>
    <definedName name="dpa703_3_2__3_1">'Ch7'!$AM$300</definedName>
    <definedName name="dpa703_3_2__3_2">'Ch7'!$AM$301</definedName>
    <definedName name="dpa703_3_2__3_3">'Ch7'!$AM$302</definedName>
    <definedName name="dpa703_3_2__3_4">'Ch7'!$AM$303</definedName>
    <definedName name="dpa703_3_2__4_1">'Ch7'!$AM$305</definedName>
    <definedName name="dpa703_3_2__4_2">'Ch7'!$AM$306</definedName>
    <definedName name="dpa703_3_3__1_1">'Ch7'!$AM$311</definedName>
    <definedName name="dpa703_3_3__1_2">'Ch7'!$AM$312</definedName>
    <definedName name="dpa703_3_3__1_3">'Ch7'!$AM$313</definedName>
    <definedName name="dpa703_3_3__1_4">'Ch7'!$AM$314</definedName>
    <definedName name="dpa703_3_3__1_5">'Ch7'!$AM$315</definedName>
    <definedName name="dpa703_3_3__2">'Ch7'!$AM$316</definedName>
    <definedName name="dpa703_3_3__3">'Ch7'!$AM$318</definedName>
    <definedName name="dpa703_3_4_1_1">'Ch7'!$AM$323</definedName>
    <definedName name="dpa703_3_4_1_2">'Ch7'!$AM$324</definedName>
    <definedName name="dpa703_3_4_1_3">'Ch7'!$AM$325</definedName>
    <definedName name="dpa703_3_4_1_4">'Ch7'!$AM$326</definedName>
    <definedName name="dpa703_3_4_1_5">'Ch7'!$AM$327</definedName>
    <definedName name="dpa703_3_4_1_6">'Ch7'!$AM$328</definedName>
    <definedName name="dpa703_3_4_2">'Ch7'!$AM$330</definedName>
    <definedName name="dpa703_3_5">'Ch7'!$AM$331</definedName>
    <definedName name="dpa703_3_6_1">'Ch7'!$AM$338</definedName>
    <definedName name="dpa703_3_6_2">'Ch7'!$AM$339</definedName>
    <definedName name="dpa703_3_6_3">'Ch7'!$AM$340</definedName>
    <definedName name="dpa703_3_7_1">'Ch7'!$AM$341</definedName>
    <definedName name="dpa703_3_8">'Ch7'!$AM$348</definedName>
    <definedName name="dpa703_4_1">'Ch7'!$AM$354</definedName>
    <definedName name="dpa703_4_2">'Ch7'!$AM$356</definedName>
    <definedName name="dpa703_4_3">'Ch7'!$AM$358</definedName>
    <definedName name="dpa703_4_4_1">'Ch7'!$AM$370</definedName>
    <definedName name="dpa703_4_4_2">'Ch7'!$AM$371</definedName>
    <definedName name="dpa703_4_4_3">'Ch7'!$AM$372</definedName>
    <definedName name="dpa703_5_1_1_a_1">'Ch7'!$AM$384</definedName>
    <definedName name="dpa703_5_1_1_a_2">'Ch7'!$AM$385</definedName>
    <definedName name="dpa703_5_1_1_b">'Ch7'!$AM$386</definedName>
    <definedName name="dpa703_5_1_1_c_1">'Ch7'!$AM$389</definedName>
    <definedName name="dpa703_5_1_1_c_2">'Ch7'!$AM$390</definedName>
    <definedName name="dpa703_5_1_1_d_1">'Ch7'!$AM$394</definedName>
    <definedName name="dpa703_5_1_1_d_2">'Ch7'!$AM$395</definedName>
    <definedName name="dpa703_5_1_1_e_1">'Ch7'!$AM$398</definedName>
    <definedName name="dpa703_5_1_1_e_2">'Ch7'!$AM$399</definedName>
    <definedName name="dpa703_5_1_2_a_1">'Ch7'!$AM$403</definedName>
    <definedName name="dpa703_5_1_2_a_2">'Ch7'!$AM$404</definedName>
    <definedName name="dpa703_5_1_2_a_3">'Ch7'!$AM$405</definedName>
    <definedName name="dpa703_5_1_2_a_4">'Ch7'!$AM$406</definedName>
    <definedName name="dpa703_5_1_2_a_5">'Ch7'!$AM$407</definedName>
    <definedName name="dpa703_5_1_2_a_6">'Ch7'!$AM$408</definedName>
    <definedName name="dpa703_5_1_2_a_7">'Ch7'!$AM$409</definedName>
    <definedName name="dpa703_5_1_2_b_1">'Ch7'!$AM$412</definedName>
    <definedName name="dpa703_5_1_2_b_2">'Ch7'!$AM$413</definedName>
    <definedName name="dpa703_5_1_2_b_3">'Ch7'!$AM$414</definedName>
    <definedName name="dpa703_5_1_2_b_4">'Ch7'!$AM$415</definedName>
    <definedName name="dpa703_5_1_2_c">'Ch7'!$AM$416</definedName>
    <definedName name="dpa703_5_1_2_d">'Ch7'!$AM$418</definedName>
    <definedName name="dpa703_5_1_2_e">'Ch7'!$AM$420</definedName>
    <definedName name="dpa703_5_1_3">'Ch7'!$AM$422</definedName>
    <definedName name="dpa703_5_2">'Ch7'!$AM$423</definedName>
    <definedName name="dpa703_5_3">'Ch7'!$AM$425</definedName>
    <definedName name="dpa703_5_4">'Ch7'!$AM$427</definedName>
    <definedName name="dpa703_5_5_a_1">'Ch7'!$AM$433</definedName>
    <definedName name="dpa703_5_5_a_2">'Ch7'!$AM$434</definedName>
    <definedName name="dpa703_5_5_a_3">'Ch7'!$AM$435</definedName>
    <definedName name="dpa703_5_5_a_4">'Ch7'!$AM$436</definedName>
    <definedName name="dpa703_5_5_a_5">'Ch7'!$AM$437</definedName>
    <definedName name="dpa703_5_5_b_1">'Ch7'!$AM$440</definedName>
    <definedName name="dpa703_5_5_b_2">'Ch7'!$AM$441</definedName>
    <definedName name="dpa703_5_5_b_3">'Ch7'!$AM$442</definedName>
    <definedName name="dpa703_5_5_b_4">'Ch7'!$AM$443</definedName>
    <definedName name="dpa703_5_5_b_5">'Ch7'!$AM$444</definedName>
    <definedName name="dpa703_6_1_1">'Ch7'!$AM$448</definedName>
    <definedName name="dpa703_6_1_2">'Ch7'!$AM$450</definedName>
    <definedName name="dpa703_6_1_3">'Ch7'!$AM$452</definedName>
    <definedName name="dpa703_6_2__1">'Ch7'!$AM$455</definedName>
    <definedName name="dpa703_6_2__2">'Ch7'!$AM$456</definedName>
    <definedName name="dpa703_6_2__3">'Ch7'!$AM$457</definedName>
    <definedName name="dpa703_7_1">'Ch7'!$AM$460</definedName>
    <definedName name="dpa703_7_2">'Ch7'!$AM$487</definedName>
    <definedName name="dpa703_7_3_1">'Ch7'!$AM$491</definedName>
    <definedName name="dpa703_7_3_2">'Ch7'!$AM$492</definedName>
    <definedName name="dpa703_7_4">'Ch7'!$AM$517</definedName>
    <definedName name="dpa705_2_1_1_1">'Ch7'!$AM$559</definedName>
    <definedName name="dpa705_2_1_1_2">'Ch7'!$AM$560</definedName>
    <definedName name="dpa705_2_1_2">'Ch7'!$AM$561</definedName>
    <definedName name="dpa705_2_1_3_1_a">'Ch7'!$AM$566</definedName>
    <definedName name="dpa705_2_1_3_1_b">'Ch7'!$AM$567</definedName>
    <definedName name="dpa705_2_1_3_2_a">'Ch7'!$AM$571</definedName>
    <definedName name="dpa705_2_1_3_2_b">'Ch7'!$AM$572</definedName>
    <definedName name="dpa705_2_1_4_1">'Ch7'!$AM$576</definedName>
    <definedName name="dpa705_2_1_4_2">'Ch7'!$AM$577</definedName>
    <definedName name="dpa705_2_2">'Ch7'!$AM$578</definedName>
    <definedName name="dpa705_2_3">'Ch7'!$AM$581</definedName>
    <definedName name="dpa705_2_4">'Ch7'!$AM$583</definedName>
    <definedName name="dpa705_3">'Ch7'!$AM$586</definedName>
    <definedName name="dpa705_4">'Ch7'!$AM$587</definedName>
    <definedName name="dpa705_5_1_1">'Ch7'!$AM$592</definedName>
    <definedName name="dpa705_5_1_2">'Ch7'!$AM$595</definedName>
    <definedName name="dpa705_5_2">'Ch7'!$AM$597</definedName>
    <definedName name="dpa705_5_3_1">'Ch7'!$AM$606</definedName>
    <definedName name="dpa705_5_3_2">'Ch7'!$AM$608</definedName>
    <definedName name="dpa705_6_1">'Ch7'!$AM$610</definedName>
    <definedName name="dpa705_6_2_1_1_1">'Ch7'!$AM$623</definedName>
    <definedName name="dpa705_6_2_1_2">'Ch7'!$AM$626</definedName>
    <definedName name="dpa705_6_2_2_1">'Ch7'!$AM$632</definedName>
    <definedName name="dpa705_6_2_2_2">'Ch7'!$AM$634</definedName>
    <definedName name="dpa705_6_2_3_1">'Ch7'!$AM$640</definedName>
    <definedName name="dpa705_6_2_3_2">'Ch7'!$AM$641</definedName>
    <definedName name="dpa705_6_3">'Ch7'!$AM$643</definedName>
    <definedName name="dpa705_6_4_1">'Ch7'!$AM$655</definedName>
    <definedName name="dpa705_6_4_2">'Ch7'!$AM$657</definedName>
    <definedName name="dpa705_7">'Ch7'!$AM$659</definedName>
    <definedName name="dpa706_1">'Ch7'!$AM$664</definedName>
    <definedName name="dpa706_1_1">'Ch7'!$AM$666</definedName>
    <definedName name="dpa706_1_2">'Ch7'!$AM$667</definedName>
    <definedName name="dpa706_1_3">'Ch7'!$AM$668</definedName>
    <definedName name="dpa706_1_4">'Ch7'!$AM$669</definedName>
    <definedName name="dpa706_1_5">'Ch7'!$AM$671</definedName>
    <definedName name="dpa706_10">'Ch7'!$AM$741</definedName>
    <definedName name="dpa706_11">'Ch7'!$AM$746</definedName>
    <definedName name="dpa706_12">'Ch7'!$AM$748</definedName>
    <definedName name="dpa706_13_1">'Ch7'!$AM$754</definedName>
    <definedName name="dpa706_13_2">'Ch7'!$AM$755</definedName>
    <definedName name="dpa706_14_1">'Ch7'!$AM$757</definedName>
    <definedName name="dpa706_14_2">'Ch7'!$AM$761</definedName>
    <definedName name="dpa706_15_1">'Ch7'!$AM$766</definedName>
    <definedName name="dpa706_15_2">'Ch7'!$AM$767</definedName>
    <definedName name="dpa706_2_1">'Ch7'!$AM$674</definedName>
    <definedName name="dpa706_2_2_a">'Ch7'!$AM$682</definedName>
    <definedName name="dpa706_2_2_b">'Ch7'!$AM$684</definedName>
    <definedName name="dpa706_3_a">'Ch7'!$AM$688</definedName>
    <definedName name="dpa706_3_b">'Ch7'!$AM$689</definedName>
    <definedName name="dpa706_4_1_1">'Ch7'!$AM$704</definedName>
    <definedName name="dpa706_4_1_2">'Ch7'!$AM$706</definedName>
    <definedName name="dpa706_4_2">'Ch7'!$AM$708</definedName>
    <definedName name="dpa706_5_1">'Ch7'!$AM$711</definedName>
    <definedName name="dpa706_5_2">'Ch7'!$AM$713</definedName>
    <definedName name="dpa706_5_3">'Ch7'!$AM$715</definedName>
    <definedName name="dpa706_6">'Ch7'!$AM$725</definedName>
    <definedName name="dpa706_7_1">'Ch7'!$AM$729</definedName>
    <definedName name="dpa706_7_2">'Ch7'!$AM$730</definedName>
    <definedName name="dpa706_8">'Ch7'!$AM$733</definedName>
    <definedName name="dpa706_9">'Ch7'!$AM$736</definedName>
    <definedName name="dpa802_1_1">'Ch8'!$AM$34</definedName>
    <definedName name="dpa802_1_2">'Ch8'!$AM$36</definedName>
    <definedName name="dpa802_1_3">'Ch8'!$AM$38</definedName>
    <definedName name="dpa802_1_4">'Ch8'!$AM$40</definedName>
    <definedName name="dpa802_1_4_a">'Ch8'!$AM$43</definedName>
    <definedName name="dpa802_1_5">'Ch8'!$AM$45</definedName>
    <definedName name="dpa802_1_6">'Ch8'!$AM$50</definedName>
    <definedName name="dpa802_10_1">'Ch8'!$AM$208</definedName>
    <definedName name="dpa802_10_1_1">'Ch8'!$AM$211</definedName>
    <definedName name="dpa802_2_1">'Ch8'!$AM$55</definedName>
    <definedName name="dpa802_2_2">'Ch8'!$AM$56</definedName>
    <definedName name="dpa802_2_3">'Ch8'!$AM$57</definedName>
    <definedName name="dpa802_3_1_a">'Ch8'!$AM$64</definedName>
    <definedName name="dpa802_3_1_b">'Ch8'!$AM$66</definedName>
    <definedName name="dpa802_3_2_a">'Ch8'!$AM$73</definedName>
    <definedName name="dpa802_3_2_b">'Ch8'!$AM$75</definedName>
    <definedName name="dpa802_4_1">'Ch8'!$AM$80</definedName>
    <definedName name="dpa802_4_1_1">'Ch8'!$AM$82</definedName>
    <definedName name="dpa802_4_1_2">'Ch8'!$AM$89</definedName>
    <definedName name="dpa802_4_2_a">'Ch8'!$AM$95</definedName>
    <definedName name="dpa802_4_2_b">'Ch8'!$AM$96</definedName>
    <definedName name="dpa802_4_3">'Ch8'!$AM$97</definedName>
    <definedName name="dpa802_5_1_1">'Ch8'!$AM$103</definedName>
    <definedName name="dpa802_5_1_2">'Ch8'!$AM$107</definedName>
    <definedName name="dpa802_5_1_3">'Ch8'!$AM$108</definedName>
    <definedName name="dpa802_5_1_4">'Ch8'!$AM$109</definedName>
    <definedName name="dpa802_5_1_5">'Ch8'!$AM$111</definedName>
    <definedName name="dpa802_5_2_1">'Ch8'!$AM$115</definedName>
    <definedName name="dpa802_5_2_2">'Ch8'!$AM$116</definedName>
    <definedName name="dpa802_5_3">'Ch8'!$AM$117</definedName>
    <definedName name="dpa802_5_4_2">'Ch8'!$AM$124</definedName>
    <definedName name="dpa802_5_4_3">'Ch8'!$AM$131</definedName>
    <definedName name="dpa802_5_4_4_a">'Ch8'!$AM$134</definedName>
    <definedName name="dpa802_5_4_4_b">'Ch8'!$AM$138</definedName>
    <definedName name="dpa802_5_4_4_c">'Ch8'!$AM$140</definedName>
    <definedName name="dpa802_6_1">'Ch8'!$AM$143</definedName>
    <definedName name="dpa802_6_2">'Ch8'!$AM$145</definedName>
    <definedName name="dpa802_6_3_1">'Ch8'!$AM$149</definedName>
    <definedName name="dpa802_6_3_2">'Ch8'!$AM$150</definedName>
    <definedName name="dpa802_6_3_3">'Ch8'!$AM$151</definedName>
    <definedName name="dpa802_6_4_1">'Ch8'!$AM$156</definedName>
    <definedName name="dpa802_6_4_2">'Ch8'!$AM$158</definedName>
    <definedName name="dpa802_6_5_1">'Ch8'!$AM$164</definedName>
    <definedName name="dpa802_6_5_2">'Ch8'!$AM$166</definedName>
    <definedName name="dpa802_6_5_3">'Ch8'!$AM$168</definedName>
    <definedName name="dpa802_6_5_4">'Ch8'!$AM$169</definedName>
    <definedName name="dpa802_6_5_5">'Ch8'!$AM$171</definedName>
    <definedName name="dpa802_7_1_1">'Ch8'!$AM$176</definedName>
    <definedName name="dpa802_7_1_2_a">'Ch8'!$AM$179</definedName>
    <definedName name="dpa802_7_1_2_b">'Ch8'!$AM$180</definedName>
    <definedName name="dpa802_7_1_2_c">'Ch8'!$AM$181</definedName>
    <definedName name="dpa802_7_1_2_d">'Ch8'!$AM$183</definedName>
    <definedName name="dpa802_7_2_1">'Ch8'!$AM$189</definedName>
    <definedName name="dpa802_7_2_2">'Ch8'!$AM$191</definedName>
    <definedName name="dpa802_8">'Ch8'!$AM$192</definedName>
    <definedName name="dpa802_9_1_1">'Ch8'!$AM$201</definedName>
    <definedName name="dpa802_9_1_2">'Ch8'!$AM$202</definedName>
    <definedName name="dpa802_9_2_1">'Ch8'!$AM$205</definedName>
    <definedName name="dpa802_9_2_2">'Ch8'!$AM$206</definedName>
    <definedName name="dpa803_1_1">'Ch8'!$AM$217</definedName>
    <definedName name="dpa803_1_2">'Ch8'!$AM$219</definedName>
    <definedName name="dpa803_2">'Ch8'!$AM$220</definedName>
    <definedName name="dpa803_3">'Ch8'!$AM$223</definedName>
    <definedName name="dpa803_4">'Ch8'!$AM$228</definedName>
    <definedName name="dpa803_5">'Ch8'!$AM$231</definedName>
    <definedName name="dpa803_6">'Ch8'!$AM$233</definedName>
    <definedName name="dpa901_1_1">'Ch9'!$AM$12</definedName>
    <definedName name="dpa901_1_2">'Ch9'!$AM$18</definedName>
    <definedName name="dpa901_1_3_1_a">'Ch9'!$AM$24</definedName>
    <definedName name="dpa901_1_3_1_b">'Ch9'!$AM$25</definedName>
    <definedName name="dpa901_1_3_2_a">'Ch9'!$AM$27</definedName>
    <definedName name="dpa901_1_3_2_b">'Ch9'!$AM$28</definedName>
    <definedName name="dpa901_1_4">'Ch9'!$AM$29</definedName>
    <definedName name="dpa901_1_5">'Ch9'!$AM$34</definedName>
    <definedName name="dpa901_1_6_1">'Ch9'!$AM$38</definedName>
    <definedName name="dpa901_1_6_2">'Ch9'!$AM$39</definedName>
    <definedName name="dpa901_10_1">'Ch9'!$AM$149</definedName>
    <definedName name="dpa901_10_2">'Ch9'!$AM$154</definedName>
    <definedName name="dpa901_10_3">'Ch9'!$AM$155</definedName>
    <definedName name="dpa901_11">'Ch9'!$AM$159</definedName>
    <definedName name="dpa901_12">'Ch9'!$AM$164</definedName>
    <definedName name="dpa901_13">'Ch9'!$AM$168</definedName>
    <definedName name="dpa901_14_1">'Ch9'!$AM$172</definedName>
    <definedName name="dpa901_14_2">'Ch9'!$AM$173</definedName>
    <definedName name="dpa901_15_1">'Ch9'!$AM$176</definedName>
    <definedName name="dpa901_15_2">'Ch9'!$AM$178</definedName>
    <definedName name="dpa901_2_1_1">'Ch9'!$AM$44</definedName>
    <definedName name="dpa901_2_1_1_m">'Ch9'!$AM$43</definedName>
    <definedName name="dpa901_2_1_2">'Ch9'!$AM$47</definedName>
    <definedName name="dpa901_2_1_2_m">'Ch9'!$AM$46</definedName>
    <definedName name="dpa901_2_1_3">'Ch9'!$AM$49</definedName>
    <definedName name="dpa901_2_1_3_m">'Ch9'!$AM$48</definedName>
    <definedName name="dpa901_2_1_4">'Ch9'!$AM$52</definedName>
    <definedName name="dpa901_2_1_4_m">'Ch9'!$AM$51</definedName>
    <definedName name="dpa901_2_1_5">'Ch9'!$AM$54</definedName>
    <definedName name="dpa901_2_1_5_m">'Ch9'!$AM$53</definedName>
    <definedName name="dpa901_2_2">'Ch9'!$AM$55</definedName>
    <definedName name="dpa901_3_1_a">'Ch9'!$AM$59</definedName>
    <definedName name="dpa901_3_1_a_m">'Ch9'!$AM$58</definedName>
    <definedName name="dpa901_3_1_b">'Ch9'!$AM$61</definedName>
    <definedName name="dpa901_3_1_b_m">'Ch9'!$AM$60</definedName>
    <definedName name="dpa901_3_1_c">'Ch9'!$AM$62</definedName>
    <definedName name="dpa901_3_2">'Ch9'!$AM$68</definedName>
    <definedName name="dpa901_4">'Ch9'!$AM$69</definedName>
    <definedName name="dpa901_4_1">'Ch9'!$AM$72</definedName>
    <definedName name="dpa901_4_2">'Ch9'!$AM$81</definedName>
    <definedName name="dpa901_4_3">'Ch9'!$AM$83</definedName>
    <definedName name="dpa901_4_4">'Ch9'!$AM$84</definedName>
    <definedName name="dpa901_4_5">'Ch9'!$AM$85</definedName>
    <definedName name="dpa901_4_6">'Ch9'!$AM$87</definedName>
    <definedName name="dpa901_5_1">'Ch9'!$AM$91</definedName>
    <definedName name="dpa901_5_2">'Ch9'!$AM$93</definedName>
    <definedName name="dpa901_6">'Ch9'!$AM$96</definedName>
    <definedName name="dpa901_7">'Ch9'!$AM$98</definedName>
    <definedName name="dpa901_8">'Ch9'!$AM$119</definedName>
    <definedName name="dpa901_9_1">'Ch9'!$AM$128</definedName>
    <definedName name="dpa901_9_2">'Ch9'!$AM$135</definedName>
    <definedName name="dpa901_9_3">'Ch9'!$AM$140</definedName>
    <definedName name="dpa902_1_1">'Ch9'!$AM$184</definedName>
    <definedName name="dpa902_1_1_a">'Ch9'!$AM$186</definedName>
    <definedName name="dpa902_1_2">'Ch9'!$AM$188</definedName>
    <definedName name="dpa902_1_2_">'Ch9'!$AM$193</definedName>
    <definedName name="dpa902_1_2_1">'Ch9'!$AM$195</definedName>
    <definedName name="dpa902_1_2_2">'Ch9'!$AM$196</definedName>
    <definedName name="dpa902_1_3">'Ch9'!$AM$190</definedName>
    <definedName name="dpa902_1_3_">'Ch9'!$AM$197</definedName>
    <definedName name="dpa902_1_4">'Ch9'!$AM$201</definedName>
    <definedName name="dpa902_1_4_1">'Ch9'!$AM$202</definedName>
    <definedName name="dpa902_1_4_2">'Ch9'!$AM$204</definedName>
    <definedName name="dpa902_1_5">'Ch9'!$AM$206</definedName>
    <definedName name="dpa902_1_6">'Ch9'!$AM$215</definedName>
    <definedName name="dpa902_2_1">'Ch9'!$AM$219</definedName>
    <definedName name="dpa902_2_1_1">'Ch9'!$AM$223</definedName>
    <definedName name="dpa902_2_1_2">'Ch9'!$AM$225</definedName>
    <definedName name="dpa902_2_1_3">'Ch9'!$AM$227</definedName>
    <definedName name="dpa902_2_1_4">'Ch9'!$AM$228</definedName>
    <definedName name="dpa902_2_1_5">'Ch9'!$AM$229</definedName>
    <definedName name="dpa902_2_2">'Ch9'!$AM$230</definedName>
    <definedName name="dpa902_2_3">'Ch9'!$AM$232</definedName>
    <definedName name="dpa902_2_4">'Ch9'!$AM$235</definedName>
    <definedName name="dpa902_3">'Ch9'!$AM$238</definedName>
    <definedName name="dpa902_3_1_a">'Ch9'!$AM$242</definedName>
    <definedName name="dpa902_3_1_b">'Ch9'!$AM$243</definedName>
    <definedName name="dpa902_3_2">'Ch9'!$AM$284</definedName>
    <definedName name="dpa902_3_2_1">'Ch9'!$AM$288</definedName>
    <definedName name="dpa902_3_2_2">'Ch9'!$AM$310</definedName>
    <definedName name="dpa902_3_2_a">'Ch9'!$AM$245</definedName>
    <definedName name="dpa902_3_2_b">'Ch9'!$AM$246</definedName>
    <definedName name="dpa902_4">'Ch9'!$AM$312</definedName>
    <definedName name="dpa902_5">'Ch9'!$AM$322</definedName>
    <definedName name="dpa902_6">'Ch9'!$AM$324</definedName>
    <definedName name="dpa903_1_1_1">'Ch9'!$AM$329</definedName>
    <definedName name="dpa903_1_2_2">'Ch9'!$AM$331</definedName>
    <definedName name="dpa903_2_1">'Ch9'!$AM$333</definedName>
    <definedName name="dpa903_2_2">'Ch9'!$AM$334</definedName>
    <definedName name="dpa903_3">'Ch9'!$AM$336</definedName>
    <definedName name="dpa904_1">'Ch9'!$AM$344</definedName>
    <definedName name="dpa904_2">'Ch9'!$AM$349</definedName>
    <definedName name="dpa904_3_1">'Ch9'!$AM$354</definedName>
    <definedName name="dpa904_3_2">'Ch9'!$AM$362</definedName>
    <definedName name="dpa905_1">'Ch9'!$AM$366</definedName>
    <definedName name="dpa905_2">'Ch9'!$AM$371</definedName>
    <definedName name="dpa905_3">'Ch9'!$AM$373</definedName>
    <definedName name="dpa905_4">'Ch9'!$AM$377</definedName>
    <definedName name="dpa905_6">'Ch9'!$AM$382</definedName>
    <definedName name="dpc1001_1">'Ch10'!$AO$12</definedName>
    <definedName name="dpc1001_2">'Ch10'!$AO$60</definedName>
    <definedName name="dpc1002_1">'Ch10'!$AO$79</definedName>
    <definedName name="dpc1002_2">'Ch10'!$AO$97</definedName>
    <definedName name="dpc1002_3">'Ch10'!$AO$124</definedName>
    <definedName name="dpc1002_4">'Ch10'!$AO$152</definedName>
    <definedName name="dpc1002_5">'Ch10'!$AO$165</definedName>
    <definedName name="dpc1002_6">'Ch10'!$AO$177</definedName>
    <definedName name="dpc1003_1">'Ch10'!$AO$192</definedName>
    <definedName name="dpc1004_1_1">'Ch10'!$AO$211</definedName>
    <definedName name="dpc1004_1_2">'Ch10'!$AO$213</definedName>
    <definedName name="dpc1005_1_1">'Ch10'!$AO$217</definedName>
    <definedName name="dpc1005_1_2">'Ch10'!$AO$220</definedName>
    <definedName name="dpc1005_1_3">'Ch10'!$AO$224</definedName>
    <definedName name="dpc501_1">'Ch5'!$AO$14</definedName>
    <definedName name="dpc501_2_1">'Ch5'!$AO$22</definedName>
    <definedName name="dpc501_2_2">'Ch5'!$AO$24</definedName>
    <definedName name="dpc501_2_3">'Ch5'!$AO$26</definedName>
    <definedName name="dpc501_2_4">'Ch5'!$AO$28</definedName>
    <definedName name="dpc501_2_4_1">'Ch5'!$AO$38</definedName>
    <definedName name="dpc501_2_5">'Ch5'!$AO$43</definedName>
    <definedName name="dpc501_2_6">'Ch5'!$AO$46</definedName>
    <definedName name="dpc501_2_6_d">'Ch5'!$AO$51</definedName>
    <definedName name="dpc501_2_7">'Ch5'!$AO$53</definedName>
    <definedName name="dpc501_2_8">'Ch5'!$AO$56</definedName>
    <definedName name="dpc502_1">'Ch5'!$AO$59</definedName>
    <definedName name="dpc503_1_1">'Ch5'!$AO$70</definedName>
    <definedName name="dpc503_1_2">'Ch5'!$AO$72</definedName>
    <definedName name="dpc503_1_3">'Ch5'!$AO$74</definedName>
    <definedName name="dpc503_1_4">'Ch5'!$AO$76</definedName>
    <definedName name="dpc503_1_5">'Ch5'!$AO$78</definedName>
    <definedName name="dpc503_1_6">'Ch5'!$AO$80</definedName>
    <definedName name="dpc503_1_7">'Ch5'!$AO$82</definedName>
    <definedName name="dpc503_1_8">'Ch5'!$AO$84</definedName>
    <definedName name="dpc503_2_1">'Ch5'!$AO$91</definedName>
    <definedName name="dpc503_2_2">'Ch5'!$AO$92</definedName>
    <definedName name="dpc503_2_3">'Ch5'!$AO$94</definedName>
    <definedName name="dpc503_2_4">'Ch5'!$AO$99</definedName>
    <definedName name="dpc503_2_5">'Ch5'!$AO$101</definedName>
    <definedName name="dpc503_3_1">'Ch5'!$AO$105</definedName>
    <definedName name="dpc503_3_2">'Ch5'!$AO$107</definedName>
    <definedName name="dpc503_3_3">'Ch5'!$AO$114</definedName>
    <definedName name="dpc503_4_1">'Ch5'!$AO$122</definedName>
    <definedName name="dpc503_4_2">'Ch5'!$AO$125</definedName>
    <definedName name="dpc503_4_3">'Ch5'!$AO$129</definedName>
    <definedName name="dpc503_4_4">'Ch5'!$AO$136</definedName>
    <definedName name="dpc503_4_4_c_1">'Ch5'!$AO$141</definedName>
    <definedName name="dpc503_4_5">'Ch5'!$AO$143</definedName>
    <definedName name="dpc503_5_1">'Ch5'!$AO$150</definedName>
    <definedName name="dpc503_5_10">'Ch5'!$AO$179</definedName>
    <definedName name="dpc503_5_11">'Ch5'!$AO$182</definedName>
    <definedName name="dpc503_5_12">'Ch5'!$AO$184</definedName>
    <definedName name="dpc503_5_13">'Ch5'!$AO$186</definedName>
    <definedName name="dpc503_5_2">'Ch5'!$AO$156</definedName>
    <definedName name="dpc503_5_3">'Ch5'!$AO$158</definedName>
    <definedName name="dpc503_5_4">'Ch5'!$AO$161</definedName>
    <definedName name="dpc503_5_5">'Ch5'!$AO$163</definedName>
    <definedName name="dpc503_5_6">'Ch5'!$AO$166</definedName>
    <definedName name="dpc503_5_7">'Ch5'!$AO$171</definedName>
    <definedName name="dpc503_5_8">'Ch5'!$AO$172</definedName>
    <definedName name="dpc503_5_9">'Ch5'!$AO$177</definedName>
    <definedName name="dpc503_6">'Ch5'!$AO$188</definedName>
    <definedName name="dpc503_7">'Ch5'!$AO$195</definedName>
    <definedName name="dpc503_8">'Ch5'!$AO$201</definedName>
    <definedName name="dpc504_1">'Ch5'!$AO$209</definedName>
    <definedName name="dpc504_2_1">'Ch5'!$AO$216</definedName>
    <definedName name="dpc504_2_2">'Ch5'!$AO$217</definedName>
    <definedName name="dpc504_2_3">'Ch5'!$AO$219</definedName>
    <definedName name="dpc504_3_1">'Ch5'!$AO$224</definedName>
    <definedName name="dpc504_3_2">'Ch5'!$AO$226</definedName>
    <definedName name="dpc504_3_3">'Ch5'!$AO$227</definedName>
    <definedName name="dpc504_3_4">'Ch5'!$AO$229</definedName>
    <definedName name="dpc504_3_5">'Ch5'!$AO$231</definedName>
    <definedName name="dpc504_3_6">'Ch5'!$AO$235</definedName>
    <definedName name="dpc504_3_7">'Ch5'!$AO$238</definedName>
    <definedName name="dpc504_3_8">'Ch5'!$AO$239</definedName>
    <definedName name="dpc504_3_9">'Ch5'!$AO$247</definedName>
    <definedName name="dpc505_1_1">'Ch5'!$AO$254</definedName>
    <definedName name="dpc505_1_2">'Ch5'!$AO$256</definedName>
    <definedName name="dpc505_1_3">'Ch5'!$AO$258</definedName>
    <definedName name="dpc505_10_a">'Ch5'!$AO$322</definedName>
    <definedName name="dpc505_10_b">'Ch5'!$AO$324</definedName>
    <definedName name="dpc505_10_c">'Ch5'!$AO$326</definedName>
    <definedName name="dpc505_2_1">'Ch5'!$AO$263</definedName>
    <definedName name="dpc505_2_2">'Ch5'!$AO$273</definedName>
    <definedName name="dpc505_3">'Ch5'!$AO$276</definedName>
    <definedName name="dpc505_4_1">'Ch5'!$AO$283</definedName>
    <definedName name="dpc505_5_a">'Ch5'!$AO$287</definedName>
    <definedName name="dpc505_5_b">'Ch5'!$AO$289</definedName>
    <definedName name="dpc505_5_c">'Ch5'!$AO$292</definedName>
    <definedName name="dpc505_5_d">'Ch5'!$AO$293</definedName>
    <definedName name="dpc505_6">'Ch5'!$AO$294</definedName>
    <definedName name="dpc505_7">'Ch5'!$AO$306</definedName>
    <definedName name="dpc505_8">'Ch5'!$AO$310</definedName>
    <definedName name="dpc505_9_a">'Ch5'!$AO$313</definedName>
    <definedName name="dpc505_9_b">'Ch5'!$AO$316</definedName>
    <definedName name="dpc505_9_c">'Ch5'!$AO$317</definedName>
    <definedName name="dpc601_1">'Ch6'!$AO$13</definedName>
    <definedName name="dpc601_2_1">'Ch6'!$AO$31</definedName>
    <definedName name="dpc601_2_2">'Ch6'!$AO$34</definedName>
    <definedName name="dpc601_2_3">'Ch6'!$AO$37</definedName>
    <definedName name="dpc601_3_1">'Ch6'!$AO$41</definedName>
    <definedName name="dpc601_3_2">'Ch6'!$AO$42</definedName>
    <definedName name="dpc601_3_3">'Ch6'!$AO$43</definedName>
    <definedName name="dpc601_3_4">'Ch6'!$AO$44</definedName>
    <definedName name="dpc601_3_5">'Ch6'!$AO$45</definedName>
    <definedName name="dpc601_4">'Ch6'!$AO$46</definedName>
    <definedName name="dpc601_5_1">'Ch6'!$AO$52</definedName>
    <definedName name="dpc601_5_2">'Ch6'!$AO$53</definedName>
    <definedName name="dpc601_5_3">'Ch6'!$AO$54</definedName>
    <definedName name="dpc601_5_4">'Ch6'!$AO$55</definedName>
    <definedName name="dpc601_5_5">'Ch6'!$AO$56</definedName>
    <definedName name="dpc601_6">'Ch6'!$AO$57</definedName>
    <definedName name="dpc601_7">'Ch6'!$AO$62</definedName>
    <definedName name="dpc601_8">'Ch6'!$AO$80</definedName>
    <definedName name="dpc602_1_1_2">'Ch6'!$AO$96</definedName>
    <definedName name="dpc602_1_10">'Ch6'!$AO$192</definedName>
    <definedName name="dpc602_1_12">'Ch6'!$AO$207</definedName>
    <definedName name="dpc602_1_14_1">'Ch6'!$AO$216</definedName>
    <definedName name="dpc602_1_14_2">'Ch6'!$AO$218</definedName>
    <definedName name="dpc602_1_14_3">'Ch6'!$AO$219</definedName>
    <definedName name="dpc602_1_15">'Ch6'!$AO$220</definedName>
    <definedName name="dpc602_1_2">'Ch6'!$AO$98</definedName>
    <definedName name="dpc602_1_3_2">'Ch6'!$AO$105</definedName>
    <definedName name="dpc602_1_4_1_1">'Ch6'!$AO$111</definedName>
    <definedName name="dpc602_1_4_2_1">'Ch6'!$AO$117</definedName>
    <definedName name="dpc602_1_5_1">'Ch6'!$AO$123</definedName>
    <definedName name="dpc602_1_5_2">'Ch6'!$AO$125</definedName>
    <definedName name="dpc602_1_6_1">'Ch6'!$AO$131</definedName>
    <definedName name="dpc602_1_6_2">'Ch6'!$AO$135</definedName>
    <definedName name="dpc602_1_6_3">'Ch6'!$AO$139</definedName>
    <definedName name="dpc602_1_7_1_1">'Ch6'!$AO$144</definedName>
    <definedName name="dpc602_1_7_1_2">'Ch6'!$AO$146</definedName>
    <definedName name="dpc602_1_7_1_3">'Ch6'!$AO$149</definedName>
    <definedName name="dpc602_1_7_2">'Ch6'!$AO$151</definedName>
    <definedName name="dpc602_1_7_3">'Ch6'!$AO$153</definedName>
    <definedName name="dpc602_1_9_2">'Ch6'!$AO$175</definedName>
    <definedName name="dpc602_1_9_3">'Ch6'!$AO$178</definedName>
    <definedName name="dpc602_1_9_4">'Ch6'!$AO$179</definedName>
    <definedName name="dpc602_1_9_5">'Ch6'!$AO$183</definedName>
    <definedName name="dpc602_1_9_6">'Ch6'!$AO$189</definedName>
    <definedName name="dpc602_1_9_7">'Ch6'!$AO$191</definedName>
    <definedName name="dpc602_2">'Ch6'!$AO$223</definedName>
    <definedName name="dpc602_3">'Ch6'!$AO$233</definedName>
    <definedName name="dpc602_4_2">'Ch6'!$AO$242</definedName>
    <definedName name="dpc602_4_3">'Ch6'!$AO$244</definedName>
    <definedName name="dpc603_1">'Ch6'!$AO$248</definedName>
    <definedName name="dpc603_2">'Ch6'!$AO$254</definedName>
    <definedName name="dpc603_3">'Ch6'!$AO$261</definedName>
    <definedName name="dpc604_1a">'Ch6'!$AO$265</definedName>
    <definedName name="dpc605_2">'Ch6'!$AO$278</definedName>
    <definedName name="dpc605_3">'Ch6'!$AO$293</definedName>
    <definedName name="dpc605_4">'Ch6'!$AO$302</definedName>
    <definedName name="dpc606_1">'Ch6'!$AO$318</definedName>
    <definedName name="dpc606_2_1a">'Ch6'!$AO$350</definedName>
    <definedName name="dpc606_2_2a">'Ch6'!$AO$353</definedName>
    <definedName name="dpc606_3">'Ch6'!$AO$356</definedName>
    <definedName name="dpc607_1_1">'Ch6'!$AO$365</definedName>
    <definedName name="dpc607_1_2">'Ch6'!$AO$370</definedName>
    <definedName name="dpc607_2">'Ch6'!$AO$376</definedName>
    <definedName name="dpc608_1">'Ch6'!$AO$379</definedName>
    <definedName name="dpc609_1">'Ch6'!$AO$388</definedName>
    <definedName name="dpc610_1_1_1">'Ch6'!$AO$409</definedName>
    <definedName name="dpc610_1_1_2">'Ch6'!$AO$418</definedName>
    <definedName name="dpc610_1_1_3">'Ch6'!$AO$426</definedName>
    <definedName name="dpc610_1_2">'Ch6'!$AO$428</definedName>
    <definedName name="dpc611_1">'Ch6'!$AO$472</definedName>
    <definedName name="dpc612_1">'Ch6'!$AO$495</definedName>
    <definedName name="dpc612_2">'Ch6'!$AO$503</definedName>
    <definedName name="dpc612_3">'Ch6'!$AO$519</definedName>
    <definedName name="dpc613_1">'Ch6'!$AO$546</definedName>
    <definedName name="dpc701_1_4">'Ch7'!$AO$27</definedName>
    <definedName name="dpc702_2_2">'Ch7'!$AO$183</definedName>
    <definedName name="dpc703_1">'Ch7'!$AO$195</definedName>
    <definedName name="dpc703_2_1">'Ch7'!$AO$220</definedName>
    <definedName name="dpc703_2_2">'Ch7'!$AO$227</definedName>
    <definedName name="dpc703_2_3">'Ch7'!$AO$229</definedName>
    <definedName name="dpc703_2_4">'Ch7'!$AO$232</definedName>
    <definedName name="dpc703_2_5_2">'Ch7'!$AO$252</definedName>
    <definedName name="dpc703_3_1">'Ch7'!$AO$284</definedName>
    <definedName name="dpc703_3_2__1">'Ch7'!$AO$290</definedName>
    <definedName name="dpc703_3_2__2">'Ch7'!$AO$296</definedName>
    <definedName name="dpc703_3_2__3">'Ch7'!$AO$299</definedName>
    <definedName name="dpc703_3_2__4">'Ch7'!$AO$304</definedName>
    <definedName name="dpc703_3_3__1">'Ch7'!$AO$310</definedName>
    <definedName name="dpc703_3_3__2">'Ch7'!$AO$316</definedName>
    <definedName name="dpc703_3_3__3">'Ch7'!$AO$318</definedName>
    <definedName name="dpc703_3_4_1">'Ch7'!$AO$322</definedName>
    <definedName name="dpc703_3_4_1_6">'Ch7'!$AO$328</definedName>
    <definedName name="dpc703_3_4_2">'Ch7'!$AO$330</definedName>
    <definedName name="dpc703_3_5">'Ch7'!$AO$331</definedName>
    <definedName name="dpc703_3_6">'Ch7'!$AO$335</definedName>
    <definedName name="dpc703_3_7_1">'Ch7'!$AO$341</definedName>
    <definedName name="dpc703_3_8">'Ch7'!$AO$348</definedName>
    <definedName name="dpc703_4_1">'Ch7'!$AO$354</definedName>
    <definedName name="dpc703_4_2">'Ch7'!$AO$356</definedName>
    <definedName name="dpc703_4_3">'Ch7'!$AO$358</definedName>
    <definedName name="dpc703_4_4">'Ch7'!$AO$364</definedName>
    <definedName name="dpc703_5_1_1_a">'Ch7'!$AO$382</definedName>
    <definedName name="dpc703_5_1_1_b">'Ch7'!$AO$386</definedName>
    <definedName name="dpc703_5_1_1_d">'Ch7'!$AO$391</definedName>
    <definedName name="dpc703_5_1_1_e">'Ch7'!$AO$396</definedName>
    <definedName name="dpc703_5_1_2_a">'Ch7'!$AO$401</definedName>
    <definedName name="dpc703_5_1_2_b">'Ch7'!$AO$410</definedName>
    <definedName name="dpc703_5_1_2_c">'Ch7'!$AO$416</definedName>
    <definedName name="dpc703_5_1_2_d">'Ch7'!$AO$418</definedName>
    <definedName name="dpc703_5_1_2_e">'Ch7'!$AO$420</definedName>
    <definedName name="dpc703_5_1_3">'Ch7'!$AO$422</definedName>
    <definedName name="dpc703_5_2">'Ch7'!$AO$423</definedName>
    <definedName name="dpc703_5_3">'Ch7'!$AO$425</definedName>
    <definedName name="dpc703_5_4">'Ch7'!$AO$427</definedName>
    <definedName name="dpc703_5_5_a">'Ch7'!$AO$431</definedName>
    <definedName name="dpc703_5_5_b">'Ch7'!$AO$438</definedName>
    <definedName name="dpc703_6_1_1">'Ch7'!$AO$448</definedName>
    <definedName name="dpc703_6_1_2">'Ch7'!$AO$450</definedName>
    <definedName name="dpc703_6_1_3">'Ch7'!$AO$452</definedName>
    <definedName name="dpc703_6_2__1">'Ch7'!$AO$455</definedName>
    <definedName name="dpc703_6_2__2">'Ch7'!$AO$456</definedName>
    <definedName name="dpc703_6_2__3">'Ch7'!$AO$457</definedName>
    <definedName name="dpc703_7_1">'Ch7'!$AO$460</definedName>
    <definedName name="dpc703_7_2">'Ch7'!$AO$487</definedName>
    <definedName name="dpc703_7_3">'Ch7'!$AO$489</definedName>
    <definedName name="dpc703_7_4">'Ch7'!$AO$517</definedName>
    <definedName name="dpc704_1">'Ch7'!$AO$541</definedName>
    <definedName name="dpc705_2_1_1">'Ch7'!$AO$557</definedName>
    <definedName name="dpc705_2_1_2">'Ch7'!$AO$561</definedName>
    <definedName name="dpc705_2_1_3_1">'Ch7'!$AO$564</definedName>
    <definedName name="dpc705_2_1_3_2">'Ch7'!$AO$568</definedName>
    <definedName name="dpc705_2_1_4">'Ch7'!$AO$573</definedName>
    <definedName name="dpc705_2_2">'Ch7'!$AO$578</definedName>
    <definedName name="dpc705_2_3">'Ch7'!$AO$581</definedName>
    <definedName name="dpc705_2_4">'Ch7'!$AO$583</definedName>
    <definedName name="dpc705_3">'Ch7'!$AO$586</definedName>
    <definedName name="dpc705_4">'Ch7'!$AO$587</definedName>
    <definedName name="dpc705_5_1_1">'Ch7'!$AO$592</definedName>
    <definedName name="dpc705_5_1_2">'Ch7'!$AO$595</definedName>
    <definedName name="dpc705_5_2">'Ch7'!$AO$597</definedName>
    <definedName name="dpc705_5_3_1">'Ch7'!$AO$606</definedName>
    <definedName name="dpc705_5_3_2">'Ch7'!$AO$608</definedName>
    <definedName name="dpc705_6_1">'Ch7'!$AO$610</definedName>
    <definedName name="dpc705_6_2_1_1_1">'Ch7'!$AO$623</definedName>
    <definedName name="dpc705_6_2_1_2">'Ch7'!$AO$626</definedName>
    <definedName name="dpc705_6_2_2_1">'Ch7'!$AO$632</definedName>
    <definedName name="dpc705_6_2_2_2">'Ch7'!$AO$634</definedName>
    <definedName name="dpc705_6_2_3">'Ch7'!$AO$637</definedName>
    <definedName name="dpc705_6_3">'Ch7'!$AO$643</definedName>
    <definedName name="dpc705_6_4_1">'Ch7'!$AO$655</definedName>
    <definedName name="dpc705_6_4_2">'Ch7'!$AO$657</definedName>
    <definedName name="dpc705_7">'Ch7'!$AO$659</definedName>
    <definedName name="dpc706_1">'Ch7'!$AO$664</definedName>
    <definedName name="dpc706_10">'Ch7'!$AO$741</definedName>
    <definedName name="dpc706_11">'Ch7'!$AO$746</definedName>
    <definedName name="dpc706_12">'Ch7'!$AO$748</definedName>
    <definedName name="dpc706_13">'Ch7'!$AO$752</definedName>
    <definedName name="dpc706_14_1">'Ch7'!$AO$757</definedName>
    <definedName name="dpc706_14_2">'Ch7'!$AO$761</definedName>
    <definedName name="dpc706_15_1">'Ch7'!$AO$766</definedName>
    <definedName name="dpc706_15_2">'Ch7'!$AO$767</definedName>
    <definedName name="dpc706_2_1">'Ch7'!$AO$674</definedName>
    <definedName name="dpc706_2_2">'Ch7'!$AO$679</definedName>
    <definedName name="dpc706_3">'Ch7'!$AO$686</definedName>
    <definedName name="dpc706_4_1_1">'Ch7'!$AO$704</definedName>
    <definedName name="dpc706_4_1_2">'Ch7'!$AO$706</definedName>
    <definedName name="dpc706_4_2">'Ch7'!$AO$708</definedName>
    <definedName name="dpc706_5_1">'Ch7'!$AO$711</definedName>
    <definedName name="dpc706_5_2">'Ch7'!$AO$713</definedName>
    <definedName name="dpc706_5_3">'Ch7'!$AO$715</definedName>
    <definedName name="dpc706_6">'Ch7'!$AO$725</definedName>
    <definedName name="dpc706_7_1">'Ch7'!$AO$729</definedName>
    <definedName name="dpc706_7_2">'Ch7'!$AO$730</definedName>
    <definedName name="dpc706_8">'Ch7'!$AO$733</definedName>
    <definedName name="dpc706_9">'Ch7'!$AO$736</definedName>
    <definedName name="dpc802_1">'Ch8'!$AO$20</definedName>
    <definedName name="dpc802_1_6">'Ch8'!$AO$50</definedName>
    <definedName name="dpc802_10_1_1">'Ch8'!$AO$211</definedName>
    <definedName name="dpc802_2_1">'Ch8'!$AO$55</definedName>
    <definedName name="dpc802_2_2">'Ch8'!$AO$56</definedName>
    <definedName name="dpc802_3_1_a">'Ch8'!$AO$64</definedName>
    <definedName name="dpc802_3_1_b">'Ch8'!$AO$66</definedName>
    <definedName name="dpc802_3_2_a">'Ch8'!$AO$73</definedName>
    <definedName name="dpc802_3_2_b">'Ch8'!$AO$75</definedName>
    <definedName name="dpc802_4_1">'Ch8'!$AO$80</definedName>
    <definedName name="dpc802_4_2">'Ch8'!$AO$92</definedName>
    <definedName name="dpc802_4_3">'Ch8'!$AO$97</definedName>
    <definedName name="dpc802_5_1a">'Ch8'!$AO$100</definedName>
    <definedName name="dpc802_5_2">'Ch8'!$AO$112</definedName>
    <definedName name="dpc802_5_3">'Ch8'!$AO$117</definedName>
    <definedName name="dpc802_5_4_2">'Ch8'!$AO$124</definedName>
    <definedName name="dpc802_5_4_3">'Ch8'!$AO$131</definedName>
    <definedName name="dpc802_5_4_4_a">'Ch8'!$AO$134</definedName>
    <definedName name="dpc802_5_4_4_b">'Ch8'!$AO$138</definedName>
    <definedName name="dpc802_5_4_4_c">'Ch8'!$AO$140</definedName>
    <definedName name="dpc802_6_2">'Ch8'!$AO$145</definedName>
    <definedName name="dpc802_6_3_1">'Ch8'!$AO$149</definedName>
    <definedName name="dpc802_6_3_2">'Ch8'!$AO$150</definedName>
    <definedName name="dpc802_6_3_3">'Ch8'!$AO$151</definedName>
    <definedName name="dpc802_6_4_1">'Ch8'!$AO$156</definedName>
    <definedName name="dpc802_6_4_2">'Ch8'!$AO$158</definedName>
    <definedName name="dpc802_6_5_1">'Ch8'!$AO$164</definedName>
    <definedName name="dpc802_6_5_2">'Ch8'!$AO$166</definedName>
    <definedName name="dpc802_6_5_3">'Ch8'!$AO$168</definedName>
    <definedName name="dpc802_6_5_4">'Ch8'!$AO$169</definedName>
    <definedName name="dpc802_6_5_5">'Ch8'!$AO$171</definedName>
    <definedName name="dpc802_7_1">'Ch8'!$AO$175</definedName>
    <definedName name="dpc802_7_2">'Ch8'!$AO$186</definedName>
    <definedName name="dpc802_8">'Ch8'!$AO$192</definedName>
    <definedName name="dpc802_9_1">'Ch8'!$AO$195</definedName>
    <definedName name="dpc802_9_2">'Ch8'!$AO$203</definedName>
    <definedName name="dpc803_1">'Ch8'!$AO$213</definedName>
    <definedName name="dpc803_2">'Ch8'!$AO$220</definedName>
    <definedName name="dpc803_3">'Ch8'!$AO$223</definedName>
    <definedName name="dpc803_4">'Ch8'!$AO$228</definedName>
    <definedName name="dpc803_5">'Ch8'!$AO$231</definedName>
    <definedName name="dpc803_6">'Ch8'!$AO$233</definedName>
    <definedName name="dpc804_3">'Ch8'!$AO$241</definedName>
    <definedName name="dpc901_1_1">'Ch9'!$AO$12</definedName>
    <definedName name="dpc901_1_2">'Ch9'!$AO$18</definedName>
    <definedName name="dpc901_1_3_1">'Ch9'!$AO$23</definedName>
    <definedName name="dpc901_1_3_2">'Ch9'!$AO$26</definedName>
    <definedName name="dpc901_1_5">'Ch9'!$AO$34</definedName>
    <definedName name="dpc901_1_6">'Ch9'!$AO$37</definedName>
    <definedName name="dpc901_10">'Ch9'!$AO$146</definedName>
    <definedName name="dpc901_11">'Ch9'!$AO$159</definedName>
    <definedName name="dpc901_12">'Ch9'!$AO$164</definedName>
    <definedName name="dpc901_14">'Ch9'!$AO$170</definedName>
    <definedName name="dpc901_15_1">'Ch9'!$AO$176</definedName>
    <definedName name="dpc901_15_2">'Ch9'!$AO$178</definedName>
    <definedName name="dpc901_2_1_1">'Ch9'!$AO$43</definedName>
    <definedName name="dpc901_2_1_2">'Ch9'!$AO$46</definedName>
    <definedName name="dpc901_2_1_3">'Ch9'!$AO$48</definedName>
    <definedName name="dpc901_2_1_4">'Ch9'!$AO$51</definedName>
    <definedName name="dpc901_2_1_5">'Ch9'!$AO$53</definedName>
    <definedName name="dpc901_2_2">'Ch9'!$AO$55</definedName>
    <definedName name="dpc901_3_1_a">'Ch9'!$AO$58</definedName>
    <definedName name="dpc901_3_1_b">'Ch9'!$AO$60</definedName>
    <definedName name="dpc901_3_1_c">'Ch9'!$AO$62</definedName>
    <definedName name="dpc901_3_2">'Ch9'!$AO$68</definedName>
    <definedName name="dpc901_4">'Ch9'!$AO$69</definedName>
    <definedName name="dpc901_5_1">'Ch9'!$AO$91</definedName>
    <definedName name="dpc901_5_2">'Ch9'!$AO$93</definedName>
    <definedName name="dpc901_7">'Ch9'!$AO$98</definedName>
    <definedName name="dpc901_8">'Ch9'!$AO$119</definedName>
    <definedName name="dpc901_9_1">'Ch9'!$AO$128</definedName>
    <definedName name="dpc901_9_2">'Ch9'!$AO$135</definedName>
    <definedName name="dpc901_9_3">'Ch9'!$AO$140</definedName>
    <definedName name="dpc902_1_1_a">'Ch9'!$AO$186</definedName>
    <definedName name="dpc902_1_2_">'Ch9'!$AO$193</definedName>
    <definedName name="dpc902_1_3">'Ch9'!$AO$190</definedName>
    <definedName name="dpc902_1_3_">'Ch9'!$AO$197</definedName>
    <definedName name="dpc902_1_4">'Ch9'!$AO$201</definedName>
    <definedName name="dpc902_1_5">'Ch9'!$AO$206</definedName>
    <definedName name="dpc902_1_6">'Ch9'!$AO$215</definedName>
    <definedName name="dpc902_2_1">'Ch9'!$AO$219</definedName>
    <definedName name="dpc902_2_2">'Ch9'!$AO$230</definedName>
    <definedName name="dpc902_2_3">'Ch9'!$AO$232</definedName>
    <definedName name="dpc902_2_4">'Ch9'!$AO$235</definedName>
    <definedName name="dpc902_3_1">'Ch9'!$AO$241</definedName>
    <definedName name="dpc902_3_2">'Ch9'!$AO$244</definedName>
    <definedName name="dpc902_3_2_1">'Ch9'!$AO$288</definedName>
    <definedName name="dpc902_3_2_2">'Ch9'!$AO$310</definedName>
    <definedName name="dpc902_4">'Ch9'!$AO$312</definedName>
    <definedName name="dpc902_5">'Ch9'!$AO$322</definedName>
    <definedName name="dpc903_1">'Ch9'!$AO$328</definedName>
    <definedName name="dpc903_2">'Ch9'!$AO$332</definedName>
    <definedName name="dpc903_3">'Ch9'!$AO$336</definedName>
    <definedName name="dpc904_1">'Ch9'!$AO$344</definedName>
    <definedName name="dpc904_2">'Ch9'!$AO$349</definedName>
    <definedName name="dpc905_1">'Ch9'!$AO$366</definedName>
    <definedName name="dpc905_2">'Ch9'!$AO$371</definedName>
    <definedName name="dpc905_3">'Ch9'!$AO$373</definedName>
    <definedName name="dpc905_4">'Ch9'!$AO$377</definedName>
    <definedName name="dpc905_6">'Ch9'!$AO$382</definedName>
    <definedName name="dstAGFloorArea">'Overview (Design)'!$G$25</definedName>
    <definedName name="dstAttachedGarage">'Overview (Design)'!$G$51</definedName>
    <definedName name="dstAttic">'Overview (Design)'!$G$50</definedName>
    <definedName name="dstBatch">'Overview (Design)'!$G$8</definedName>
    <definedName name="dstBuilderName">'Overview (Design)'!$G$10</definedName>
    <definedName name="dstBuildingCode">'Overview (Design)'!$G$62</definedName>
    <definedName name="dstCDucts">'Overview (Design)'!$G$42</definedName>
    <definedName name="dstCity">'Overview (Design)'!$G$13</definedName>
    <definedName name="dstCommercial">'Overview (Design)'!$G$20</definedName>
    <definedName name="dstCool1">'Overview (Design)'!$G$39</definedName>
    <definedName name="dstCool2">'Overview (Design)'!$G$40</definedName>
    <definedName name="dstCool3">'Overview (Design)'!$G$41</definedName>
    <definedName name="dstCounty">'Overview (Design)'!$G$15</definedName>
    <definedName name="dstCToilet">'Overview (Design)'!$G$59</definedName>
    <definedName name="dstDesigner">'Overview (Design)'!$G$64</definedName>
    <definedName name="dstElevation">'Overview (Design)'!$G$28</definedName>
    <definedName name="dstEnergyCode">'Overview (Design)'!$G$61</definedName>
    <definedName name="dstFloors">'Overview (Design)'!$G$27</definedName>
    <definedName name="dstFoundation">'Overview (Design)'!$G$32</definedName>
    <definedName name="dstFuel">'Overview (Design)'!$G$37</definedName>
    <definedName name="dstHDucts">'Overview (Design)'!$G$38</definedName>
    <definedName name="dstHeat1">'Overview (Design)'!$G$34</definedName>
    <definedName name="dstHeat2">'Overview (Design)'!$G$35</definedName>
    <definedName name="dstHeat3">'Overview (Design)'!$G$36</definedName>
    <definedName name="dstHomeAddress">'Overview (Design)'!$G$11</definedName>
    <definedName name="dstLot">'Overview (Design)'!$G$12</definedName>
    <definedName name="dstMassWalls">'Overview (Design)'!$G$56</definedName>
    <definedName name="dstPassiveSolar">'Overview (Design)'!$G$55</definedName>
    <definedName name="dstProjectDesc">'Overview (Design)'!$G$30</definedName>
    <definedName name="dstProjectName">'Overview (Design)'!$G$23</definedName>
    <definedName name="dstRadiantHydronic">'Overview (Design)'!$G$57</definedName>
    <definedName name="dstRecessedLighting">'Overview (Design)'!$G$52</definedName>
    <definedName name="dstRenewable">'Overview (Design)'!$G$48</definedName>
    <definedName name="dstSingleOrMulti">'Overview (Design)'!$G$18</definedName>
    <definedName name="dstsSHGC">'Overview (Design)'!$G$45</definedName>
    <definedName name="dstState">'Overview (Design)'!$G$14</definedName>
    <definedName name="dstsUV">'Overview (Design)'!$G$47</definedName>
    <definedName name="dstTCFloorArea">'Overview (Design)'!$G$26</definedName>
    <definedName name="dstTEInsulation">'Overview (Design)'!$G$49</definedName>
    <definedName name="dstTLWH">'Overview (Design)'!$G$58</definedName>
    <definedName name="dstUnits">'Overview (Design)'!$G$19</definedName>
    <definedName name="dstwdSHGC">'Overview (Design)'!$G$44</definedName>
    <definedName name="dstwdUV">'Overview (Design)'!$G$46</definedName>
    <definedName name="dstZIP">'Overview (Design)'!$G$16</definedName>
    <definedName name="fsgBatchSubmissionCity1">'Final Summary'!$E$87</definedName>
    <definedName name="fsgBatchSubmissionCity10">'Final Summary'!$E$96</definedName>
    <definedName name="fsgBatchSubmissionCity11">'Final Summary'!$E$97</definedName>
    <definedName name="fsgBatchSubmissionCity12">'Final Summary'!$E$98</definedName>
    <definedName name="fsgBatchSubmissionCity13">'Final Summary'!$E$99</definedName>
    <definedName name="fsgBatchSubmissionCity14">'Final Summary'!$E$100</definedName>
    <definedName name="fsgBatchSubmissionCity15">'Final Summary'!$E$101</definedName>
    <definedName name="fsgBatchSubmissionCity16">'Final Summary'!$E$102</definedName>
    <definedName name="fsgBatchSubmissionCity17">'Final Summary'!$E$103</definedName>
    <definedName name="fsgBatchSubmissionCity18">'Final Summary'!$E$104</definedName>
    <definedName name="fsgBatchSubmissionCity19">'Final Summary'!$E$105</definedName>
    <definedName name="fsgBatchSubmissionCity2">'Final Summary'!$E$88</definedName>
    <definedName name="fsgBatchSubmissionCity20">'Final Summary'!$E$106</definedName>
    <definedName name="fsgBatchSubmissionCity21">'Final Summary'!$E$107</definedName>
    <definedName name="fsgBatchSubmissionCity22">'Final Summary'!$E$108</definedName>
    <definedName name="fsgBatchSubmissionCity23">'Final Summary'!$E$109</definedName>
    <definedName name="fsgBatchSubmissionCity24">'Final Summary'!$E$110</definedName>
    <definedName name="fsgBatchSubmissionCity25">'Final Summary'!$E$111</definedName>
    <definedName name="fsgBatchSubmissionCity26">'Final Summary'!$E$112</definedName>
    <definedName name="fsgBatchSubmissionCity27">'Final Summary'!$E$113</definedName>
    <definedName name="fsgBatchSubmissionCity28">'Final Summary'!$E$114</definedName>
    <definedName name="fsgBatchSubmissionCity29">'Final Summary'!$E$115</definedName>
    <definedName name="fsgBatchSubmissionCity3">'Final Summary'!$E$89</definedName>
    <definedName name="fsgBatchSubmissionCity30">'Final Summary'!$E$116</definedName>
    <definedName name="fsgBatchSubmissionCity31">'Final Summary'!$E$117</definedName>
    <definedName name="fsgBatchSubmissionCity32">'Final Summary'!$E$118</definedName>
    <definedName name="fsgBatchSubmissionCity33">'Final Summary'!$E$119</definedName>
    <definedName name="fsgBatchSubmissionCity34">'Final Summary'!$E$120</definedName>
    <definedName name="fsgBatchSubmissionCity35">'Final Summary'!$E$121</definedName>
    <definedName name="fsgBatchSubmissionCity36">'Final Summary'!$E$122</definedName>
    <definedName name="fsgBatchSubmissionCity37">'Final Summary'!$E$123</definedName>
    <definedName name="fsgBatchSubmissionCity38">'Final Summary'!$E$124</definedName>
    <definedName name="fsgBatchSubmissionCity39">'Final Summary'!$E$125</definedName>
    <definedName name="fsgBatchSubmissionCity4">'Final Summary'!$E$90</definedName>
    <definedName name="fsgBatchSubmissionCity40">'Final Summary'!$E$126</definedName>
    <definedName name="fsgBatchSubmissionCity41">'Final Summary'!$E$127</definedName>
    <definedName name="fsgBatchSubmissionCity42">'Final Summary'!$E$128</definedName>
    <definedName name="fsgBatchSubmissionCity43">'Final Summary'!$E$129</definedName>
    <definedName name="fsgBatchSubmissionCity44">'Final Summary'!$E$130</definedName>
    <definedName name="fsgBatchSubmissionCity45">'Final Summary'!$E$131</definedName>
    <definedName name="fsgBatchSubmissionCity46">'Final Summary'!$E$132</definedName>
    <definedName name="fsgBatchSubmissionCity47">'Final Summary'!$E$133</definedName>
    <definedName name="fsgBatchSubmissionCity48">'Final Summary'!$E$134</definedName>
    <definedName name="fsgBatchSubmissionCity49">'Final Summary'!$E$135</definedName>
    <definedName name="fsgBatchSubmissionCity5">'Final Summary'!$E$91</definedName>
    <definedName name="fsgBatchSubmissionCity50">'Final Summary'!$E$136</definedName>
    <definedName name="fsgBatchSubmissionCity6">'Final Summary'!$E$92</definedName>
    <definedName name="fsgBatchSubmissionCity7">'Final Summary'!$E$93</definedName>
    <definedName name="fsgBatchSubmissionCity8">'Final Summary'!$E$94</definedName>
    <definedName name="fsgBatchSubmissionCity9">'Final Summary'!$E$95</definedName>
    <definedName name="fsgBatchSubmissionFinalAddress1">'Final Summary'!$C$87:$D$87</definedName>
    <definedName name="fsgBatchSubmissionFinalAddress10">'Final Summary'!$C$96:$D$96</definedName>
    <definedName name="fsgBatchSubmissionFinalAddress11">'Final Summary'!$C$97:$D$97</definedName>
    <definedName name="fsgBatchSubmissionFinalAddress12">'Final Summary'!$C$98:$D$98</definedName>
    <definedName name="fsgBatchSubmissionFinalAddress13">'Final Summary'!$C$99:$D$99</definedName>
    <definedName name="fsgBatchSubmissionFinalAddress14">'Final Summary'!$C$100:$D$100</definedName>
    <definedName name="fsgBatchSubmissionFinalAddress15">'Final Summary'!$C$101:$D$101</definedName>
    <definedName name="fsgBatchSubmissionFinalAddress16">'Final Summary'!$C$102:$D$102</definedName>
    <definedName name="fsgBatchSubmissionFinalAddress17">'Final Summary'!$C$103:$D$103</definedName>
    <definedName name="fsgBatchSubmissionFinalAddress18">'Final Summary'!$C$104:$D$104</definedName>
    <definedName name="fsgBatchSubmissionFinalAddress19">'Final Summary'!$C$105:$D$105</definedName>
    <definedName name="fsgBatchSubmissionFinalAddress2">'Final Summary'!$C$88:$D$88</definedName>
    <definedName name="fsgBatchSubmissionFinalAddress20">'Final Summary'!$C$106:$D$106</definedName>
    <definedName name="fsgBatchSubmissionFinalAddress21">'Final Summary'!$C$107:$D$107</definedName>
    <definedName name="fsgBatchSubmissionFinalAddress22">'Final Summary'!$C$108:$D$108</definedName>
    <definedName name="fsgBatchSubmissionFinalAddress23">'Final Summary'!$C$109:$D$109</definedName>
    <definedName name="fsgBatchSubmissionFinalAddress24">'Final Summary'!$C$110:$D$110</definedName>
    <definedName name="fsgBatchSubmissionFinalAddress25">'Final Summary'!$C$111:$D$111</definedName>
    <definedName name="fsgBatchSubmissionFinalAddress26">'Final Summary'!$C$112:$D$112</definedName>
    <definedName name="fsgBatchSubmissionFinalAddress27">'Final Summary'!$C$113:$D$113</definedName>
    <definedName name="fsgBatchSubmissionFinalAddress28">'Final Summary'!$C$114:$D$114</definedName>
    <definedName name="fsgBatchSubmissionFinalAddress29">'Final Summary'!$C$115:$D$115</definedName>
    <definedName name="fsgBatchSubmissionFinalAddress3">'Final Summary'!$C$89:$D$89</definedName>
    <definedName name="fsgBatchSubmissionFinalAddress30">'Final Summary'!$C$116:$D$116</definedName>
    <definedName name="fsgBatchSubmissionFinalAddress31">'Final Summary'!$C$117:$D$117</definedName>
    <definedName name="fsgBatchSubmissionFinalAddress32">'Final Summary'!$C$118:$D$118</definedName>
    <definedName name="fsgBatchSubmissionFinalAddress33">'Final Summary'!$C$119:$D$119</definedName>
    <definedName name="fsgBatchSubmissionFinalAddress34">'Final Summary'!$C$120:$D$120</definedName>
    <definedName name="fsgBatchSubmissionFinalAddress35">'Final Summary'!$C$121:$D$121</definedName>
    <definedName name="fsgBatchSubmissionFinalAddress36">'Final Summary'!$C$122:$D$122</definedName>
    <definedName name="fsgBatchSubmissionFinalAddress37">'Final Summary'!$C$123:$D$123</definedName>
    <definedName name="fsgBatchSubmissionFinalAddress38">'Final Summary'!$C$124:$D$124</definedName>
    <definedName name="fsgBatchSubmissionFinalAddress39">'Final Summary'!$C$125:$D$125</definedName>
    <definedName name="fsgBatchSubmissionFinalAddress4">'Final Summary'!$C$90:$D$90</definedName>
    <definedName name="fsgBatchSubmissionFinalAddress40">'Final Summary'!$C$126:$D$126</definedName>
    <definedName name="fsgBatchSubmissionFinalAddress41">'Final Summary'!$C$127:$D$127</definedName>
    <definedName name="fsgBatchSubmissionFinalAddress42">'Final Summary'!$C$128:$D$128</definedName>
    <definedName name="fsgBatchSubmissionFinalAddress43">'Final Summary'!$C$129:$D$129</definedName>
    <definedName name="fsgBatchSubmissionFinalAddress44">'Final Summary'!$C$130:$D$130</definedName>
    <definedName name="fsgBatchSubmissionFinalAddress45">'Final Summary'!$C$131:$D$131</definedName>
    <definedName name="fsgBatchSubmissionFinalAddress46">'Final Summary'!$C$132:$D$132</definedName>
    <definedName name="fsgBatchSubmissionFinalAddress47">'Final Summary'!$C$133:$D$133</definedName>
    <definedName name="fsgBatchSubmissionFinalAddress48">'Final Summary'!$C$134:$D$134</definedName>
    <definedName name="fsgBatchSubmissionFinalAddress49">'Final Summary'!$C$135:$D$135</definedName>
    <definedName name="fsgBatchSubmissionFinalAddress5">'Final Summary'!$C$91:$D$91</definedName>
    <definedName name="fsgBatchSubmissionFinalAddress50">'Final Summary'!$C$136:$D$136</definedName>
    <definedName name="fsgBatchSubmissionFinalAddress6">'Final Summary'!$C$92:$D$92</definedName>
    <definedName name="fsgBatchSubmissionFinalAddress7">'Final Summary'!$C$93:$D$93</definedName>
    <definedName name="fsgBatchSubmissionFinalAddress8">'Final Summary'!$C$94:$D$94</definedName>
    <definedName name="fsgBatchSubmissionFinalAddress9">'Final Summary'!$C$95:$D$95</definedName>
    <definedName name="fsgBatchSubmissionFinalWRI1">'Final Summary'!$I$87</definedName>
    <definedName name="fsgBatchSubmissionFinalWRI10">'Final Summary'!$I$96</definedName>
    <definedName name="fsgBatchSubmissionFinalWRI11">'Final Summary'!$I$97</definedName>
    <definedName name="fsgBatchSubmissionFinalWRI12">'Final Summary'!$I$98</definedName>
    <definedName name="fsgBatchSubmissionFinalWRI13">'Final Summary'!$I$99</definedName>
    <definedName name="fsgBatchSubmissionFinalWRI14">'Final Summary'!$I$100</definedName>
    <definedName name="fsgBatchSubmissionFinalWRI15">'Final Summary'!$I$101</definedName>
    <definedName name="fsgBatchSubmissionFinalWRI16">'Final Summary'!$I$102</definedName>
    <definedName name="fsgBatchSubmissionFinalWRI17">'Final Summary'!$I$103</definedName>
    <definedName name="fsgBatchSubmissionFinalWRI18">'Final Summary'!$I$104</definedName>
    <definedName name="fsgBatchSubmissionFinalWRI19">'Final Summary'!$I$105</definedName>
    <definedName name="fsgBatchSubmissionFinalWRI2">'Final Summary'!$I$88</definedName>
    <definedName name="fsgBatchSubmissionFinalWRI20">'Final Summary'!$I$106</definedName>
    <definedName name="fsgBatchSubmissionFinalWRI21">'Final Summary'!$I$107</definedName>
    <definedName name="fsgBatchSubmissionFinalWRI22">'Final Summary'!$I$108</definedName>
    <definedName name="fsgBatchSubmissionFinalWRI23">'Final Summary'!$I$109</definedName>
    <definedName name="fsgBatchSubmissionFinalWRI24">'Final Summary'!$I$110</definedName>
    <definedName name="fsgBatchSubmissionFinalWRI25">'Final Summary'!$I$111</definedName>
    <definedName name="fsgBatchSubmissionFinalWRI26">'Final Summary'!$I$112</definedName>
    <definedName name="fsgBatchSubmissionFinalWRI27">'Final Summary'!$I$113</definedName>
    <definedName name="fsgBatchSubmissionFinalWRI28">'Final Summary'!$I$114</definedName>
    <definedName name="fsgBatchSubmissionFinalWRI29">'Final Summary'!$I$115</definedName>
    <definedName name="fsgBatchSubmissionFinalWRI3">'Final Summary'!$I$89</definedName>
    <definedName name="fsgBatchSubmissionFinalWRI30">'Final Summary'!$I$116</definedName>
    <definedName name="fsgBatchSubmissionFinalWRI31">'Final Summary'!$I$117</definedName>
    <definedName name="fsgBatchSubmissionFinalWRI32">'Final Summary'!$I$118</definedName>
    <definedName name="fsgBatchSubmissionFinalWRI33">'Final Summary'!$I$119</definedName>
    <definedName name="fsgBatchSubmissionFinalWRI34">'Final Summary'!$I$120</definedName>
    <definedName name="fsgBatchSubmissionFinalWRI35">'Final Summary'!$I$121</definedName>
    <definedName name="fsgBatchSubmissionFinalWRI36">'Final Summary'!$I$122</definedName>
    <definedName name="fsgBatchSubmissionFinalWRI37">'Final Summary'!$I$123</definedName>
    <definedName name="fsgBatchSubmissionFinalWRI38">'Final Summary'!$I$124</definedName>
    <definedName name="fsgBatchSubmissionFinalWRI39">'Final Summary'!$I$125</definedName>
    <definedName name="fsgBatchSubmissionFinalWRI4">'Final Summary'!$I$90</definedName>
    <definedName name="fsgBatchSubmissionFinalWRI40">'Final Summary'!$I$126</definedName>
    <definedName name="fsgBatchSubmissionFinalWRI41">'Final Summary'!$I$127</definedName>
    <definedName name="fsgBatchSubmissionFinalWRI42">'Final Summary'!$I$128</definedName>
    <definedName name="fsgBatchSubmissionFinalWRI43">'Final Summary'!$I$129</definedName>
    <definedName name="fsgBatchSubmissionFinalWRI44">'Final Summary'!$I$130</definedName>
    <definedName name="fsgBatchSubmissionFinalWRI45">'Final Summary'!$I$131</definedName>
    <definedName name="fsgBatchSubmissionFinalWRI46">'Final Summary'!$I$132</definedName>
    <definedName name="fsgBatchSubmissionFinalWRI47">'Final Summary'!$I$133</definedName>
    <definedName name="fsgBatchSubmissionFinalWRI48">'Final Summary'!$I$134</definedName>
    <definedName name="fsgBatchSubmissionFinalWRI49">'Final Summary'!$I$135</definedName>
    <definedName name="fsgBatchSubmissionFinalWRI5">'Final Summary'!$I$91</definedName>
    <definedName name="fsgBatchSubmissionFinalWRI50">'Final Summary'!$I$136</definedName>
    <definedName name="fsgBatchSubmissionFinalWRI6">'Final Summary'!$I$92</definedName>
    <definedName name="fsgBatchSubmissionFinalWRI7">'Final Summary'!$I$93</definedName>
    <definedName name="fsgBatchSubmissionFinalWRI8">'Final Summary'!$I$94</definedName>
    <definedName name="fsgBatchSubmissionFinalWRI9">'Final Summary'!$I$95</definedName>
    <definedName name="fsgBatchSubmissionInspectionDate1">'Final Summary'!$J$87</definedName>
    <definedName name="fsgBatchSubmissionInspectionDate10">'Final Summary'!$J$96</definedName>
    <definedName name="fsgBatchSubmissionInspectionDate11">'Final Summary'!$J$97</definedName>
    <definedName name="fsgBatchSubmissionInspectionDate12">'Final Summary'!$J$98</definedName>
    <definedName name="fsgBatchSubmissionInspectionDate13">'Final Summary'!$J$99</definedName>
    <definedName name="fsgBatchSubmissionInspectionDate14">'Final Summary'!$J$100</definedName>
    <definedName name="fsgBatchSubmissionInspectionDate15">'Final Summary'!$J$101</definedName>
    <definedName name="fsgBatchSubmissionInspectionDate16">'Final Summary'!$J$102</definedName>
    <definedName name="fsgBatchSubmissionInspectionDate17">'Final Summary'!$J$103</definedName>
    <definedName name="fsgBatchSubmissionInspectionDate18">'Final Summary'!$J$104</definedName>
    <definedName name="fsgBatchSubmissionInspectionDate19">'Final Summary'!$J$105</definedName>
    <definedName name="fsgBatchSubmissionInspectionDate2">'Final Summary'!$J$88</definedName>
    <definedName name="fsgBatchSubmissionInspectionDate20">'Final Summary'!$J$106</definedName>
    <definedName name="fsgBatchSubmissionInspectionDate21">'Final Summary'!$J$107</definedName>
    <definedName name="fsgBatchSubmissionInspectionDate22">'Final Summary'!$J$108</definedName>
    <definedName name="fsgBatchSubmissionInspectionDate23">'Final Summary'!$J$109</definedName>
    <definedName name="fsgBatchSubmissionInspectionDate24">'Final Summary'!$J$110</definedName>
    <definedName name="fsgBatchSubmissionInspectionDate25">'Final Summary'!$J$111</definedName>
    <definedName name="fsgBatchSubmissionInspectionDate26">'Final Summary'!$J$112</definedName>
    <definedName name="fsgBatchSubmissionInspectionDate27">'Final Summary'!$J$113</definedName>
    <definedName name="fsgBatchSubmissionInspectionDate28">'Final Summary'!$J$114</definedName>
    <definedName name="fsgBatchSubmissionInspectionDate29">'Final Summary'!$J$115</definedName>
    <definedName name="fsgBatchSubmissionInspectionDate3">'Final Summary'!$J$89</definedName>
    <definedName name="fsgBatchSubmissionInspectionDate30">'Final Summary'!$J$116</definedName>
    <definedName name="fsgBatchSubmissionInspectionDate31">'Final Summary'!$J$117</definedName>
    <definedName name="fsgBatchSubmissionInspectionDate32">'Final Summary'!$J$118</definedName>
    <definedName name="fsgBatchSubmissionInspectionDate33">'Final Summary'!$J$119</definedName>
    <definedName name="fsgBatchSubmissionInspectionDate34">'Final Summary'!$J$120</definedName>
    <definedName name="fsgBatchSubmissionInspectionDate35">'Final Summary'!$J$121</definedName>
    <definedName name="fsgBatchSubmissionInspectionDate36">'Final Summary'!$J$122</definedName>
    <definedName name="fsgBatchSubmissionInspectionDate37">'Final Summary'!$J$123</definedName>
    <definedName name="fsgBatchSubmissionInspectionDate38">'Final Summary'!$J$124</definedName>
    <definedName name="fsgBatchSubmissionInspectionDate39">'Final Summary'!$J$125</definedName>
    <definedName name="fsgBatchSubmissionInspectionDate4">'Final Summary'!$J$90</definedName>
    <definedName name="fsgBatchSubmissionInspectionDate40">'Final Summary'!$J$126</definedName>
    <definedName name="fsgBatchSubmissionInspectionDate41">'Final Summary'!$J$127</definedName>
    <definedName name="fsgBatchSubmissionInspectionDate42">'Final Summary'!$J$128</definedName>
    <definedName name="fsgBatchSubmissionInspectionDate43">'Final Summary'!$J$129</definedName>
    <definedName name="fsgBatchSubmissionInspectionDate44">'Final Summary'!$J$130</definedName>
    <definedName name="fsgBatchSubmissionInspectionDate45">'Final Summary'!$J$131</definedName>
    <definedName name="fsgBatchSubmissionInspectionDate46">'Final Summary'!$J$132</definedName>
    <definedName name="fsgBatchSubmissionInspectionDate47">'Final Summary'!$J$133</definedName>
    <definedName name="fsgBatchSubmissionInspectionDate48">'Final Summary'!$J$134</definedName>
    <definedName name="fsgBatchSubmissionInspectionDate49">'Final Summary'!$J$135</definedName>
    <definedName name="fsgBatchSubmissionInspectionDate5">'Final Summary'!$J$91</definedName>
    <definedName name="fsgBatchSubmissionInspectionDate50">'Final Summary'!$J$136</definedName>
    <definedName name="fsgBatchSubmissionInspectionDate6">'Final Summary'!$J$92</definedName>
    <definedName name="fsgBatchSubmissionInspectionDate7">'Final Summary'!$J$93</definedName>
    <definedName name="fsgBatchSubmissionInspectionDate8">'Final Summary'!$J$94</definedName>
    <definedName name="fsgBatchSubmissionInspectionDate9">'Final Summary'!$J$95</definedName>
    <definedName name="fsgBatchSubmissionProjectID1">'Final Summary'!$H$87</definedName>
    <definedName name="fsgBatchSubmissionProjectID10">'Final Summary'!$H$96</definedName>
    <definedName name="fsgBatchSubmissionProjectID11">'Final Summary'!$H$97</definedName>
    <definedName name="fsgBatchSubmissionProjectID12">'Final Summary'!$H$98</definedName>
    <definedName name="fsgBatchSubmissionProjectID13">'Final Summary'!$H$99</definedName>
    <definedName name="fsgBatchSubmissionProjectID14">'Final Summary'!$H$100</definedName>
    <definedName name="fsgBatchSubmissionProjectID15">'Final Summary'!$H$101</definedName>
    <definedName name="fsgBatchSubmissionProjectID16">'Final Summary'!$H$102</definedName>
    <definedName name="fsgBatchSubmissionProjectID17">'Final Summary'!$H$103</definedName>
    <definedName name="fsgBatchSubmissionProjectID18">'Final Summary'!$H$104</definedName>
    <definedName name="fsgBatchSubmissionProjectID19">'Final Summary'!$H$105</definedName>
    <definedName name="fsgBatchSubmissionProjectID2">'Final Summary'!$H$88</definedName>
    <definedName name="fsgBatchSubmissionProjectID20">'Final Summary'!$H$106</definedName>
    <definedName name="fsgBatchSubmissionProjectID21">'Final Summary'!$H$107</definedName>
    <definedName name="fsgBatchSubmissionProjectID22">'Final Summary'!$H$108</definedName>
    <definedName name="fsgBatchSubmissionProjectID23">'Final Summary'!$H$109</definedName>
    <definedName name="fsgBatchSubmissionProjectID24">'Final Summary'!$H$110</definedName>
    <definedName name="fsgBatchSubmissionProjectID25">'Final Summary'!$H$111</definedName>
    <definedName name="fsgBatchSubmissionProjectID26">'Final Summary'!$H$112</definedName>
    <definedName name="fsgBatchSubmissionProjectID27">'Final Summary'!$H$113</definedName>
    <definedName name="fsgBatchSubmissionProjectID28">'Final Summary'!$H$114</definedName>
    <definedName name="fsgBatchSubmissionProjectID29">'Final Summary'!$H$115</definedName>
    <definedName name="fsgBatchSubmissionProjectID3">'Final Summary'!$H$89</definedName>
    <definedName name="fsgBatchSubmissionProjectID30">'Final Summary'!$H$116</definedName>
    <definedName name="fsgBatchSubmissionProjectID31">'Final Summary'!$H$117</definedName>
    <definedName name="fsgBatchSubmissionProjectID32">'Final Summary'!$H$118</definedName>
    <definedName name="fsgBatchSubmissionProjectID33">'Final Summary'!$H$119</definedName>
    <definedName name="fsgBatchSubmissionProjectID34">'Final Summary'!$H$120</definedName>
    <definedName name="fsgBatchSubmissionProjectID35">'Final Summary'!$H$121</definedName>
    <definedName name="fsgBatchSubmissionProjectID36">'Final Summary'!$H$122</definedName>
    <definedName name="fsgBatchSubmissionProjectID37">'Final Summary'!$H$123</definedName>
    <definedName name="fsgBatchSubmissionProjectID38">'Final Summary'!$H$124</definedName>
    <definedName name="fsgBatchSubmissionProjectID39">'Final Summary'!$H$125</definedName>
    <definedName name="fsgBatchSubmissionProjectID4">'Final Summary'!$H$90</definedName>
    <definedName name="fsgBatchSubmissionProjectID40">'Final Summary'!$H$126</definedName>
    <definedName name="fsgBatchSubmissionProjectID41">'Final Summary'!$H$127</definedName>
    <definedName name="fsgBatchSubmissionProjectID42">'Final Summary'!$H$128</definedName>
    <definedName name="fsgBatchSubmissionProjectID43">'Final Summary'!$H$129</definedName>
    <definedName name="fsgBatchSubmissionProjectID44">'Final Summary'!$H$130</definedName>
    <definedName name="fsgBatchSubmissionProjectID45">'Final Summary'!$H$131</definedName>
    <definedName name="fsgBatchSubmissionProjectID46">'Final Summary'!$H$132</definedName>
    <definedName name="fsgBatchSubmissionProjectID47">'Final Summary'!$H$133</definedName>
    <definedName name="fsgBatchSubmissionProjectID48">'Final Summary'!$H$134</definedName>
    <definedName name="fsgBatchSubmissionProjectID49">'Final Summary'!$H$135</definedName>
    <definedName name="fsgBatchSubmissionProjectID5">'Final Summary'!$H$91</definedName>
    <definedName name="fsgBatchSubmissionProjectID50">'Final Summary'!$H$136</definedName>
    <definedName name="fsgBatchSubmissionProjectID6">'Final Summary'!$H$92</definedName>
    <definedName name="fsgBatchSubmissionProjectID7">'Final Summary'!$H$93</definedName>
    <definedName name="fsgBatchSubmissionProjectID8">'Final Summary'!$H$94</definedName>
    <definedName name="fsgBatchSubmissionProjectID9">'Final Summary'!$H$95</definedName>
    <definedName name="fsgBatchSubmissionZIP1">'Final Summary'!$G$87</definedName>
    <definedName name="fsgBatchSubmissionZIP10">'Final Summary'!$G$96</definedName>
    <definedName name="fsgBatchSubmissionZIP11">'Final Summary'!$G$97</definedName>
    <definedName name="fsgBatchSubmissionZIP12">'Final Summary'!$G$98</definedName>
    <definedName name="fsgBatchSubmissionZIP13">'Final Summary'!$G$99</definedName>
    <definedName name="fsgBatchSubmissionZIP14">'Final Summary'!$G$100</definedName>
    <definedName name="fsgBatchSubmissionZIP15">'Final Summary'!$G$101</definedName>
    <definedName name="fsgBatchSubmissionZIP16">'Final Summary'!$G$102</definedName>
    <definedName name="fsgBatchSubmissionZIP17">'Final Summary'!$G$103</definedName>
    <definedName name="fsgBatchSubmissionZIP18">'Final Summary'!$G$104</definedName>
    <definedName name="fsgBatchSubmissionZIP19">'Final Summary'!$G$105</definedName>
    <definedName name="fsgBatchSubmissionZIP2">'Final Summary'!$G$88</definedName>
    <definedName name="fsgBatchSubmissionZIP20">'Final Summary'!$G$106</definedName>
    <definedName name="fsgBatchSubmissionZIP21">'Final Summary'!$G$107</definedName>
    <definedName name="fsgBatchSubmissionZIP22">'Final Summary'!$G$108</definedName>
    <definedName name="fsgBatchSubmissionZIP23">'Final Summary'!$G$109</definedName>
    <definedName name="fsgBatchSubmissionZIP24">'Final Summary'!$G$110</definedName>
    <definedName name="fsgBatchSubmissionZIP25">'Final Summary'!$G$111</definedName>
    <definedName name="fsgBatchSubmissionZIP26">'Final Summary'!$G$112</definedName>
    <definedName name="fsgBatchSubmissionZIP27">'Final Summary'!$G$113</definedName>
    <definedName name="fsgBatchSubmissionZIP28">'Final Summary'!$G$114</definedName>
    <definedName name="fsgBatchSubmissionZIP29">'Final Summary'!$G$115</definedName>
    <definedName name="fsgBatchSubmissionZIP3">'Final Summary'!$G$89</definedName>
    <definedName name="fsgBatchSubmissionZIP30">'Final Summary'!$G$116</definedName>
    <definedName name="fsgBatchSubmissionZIP31">'Final Summary'!$G$117</definedName>
    <definedName name="fsgBatchSubmissionZIP32">'Final Summary'!$G$118</definedName>
    <definedName name="fsgBatchSubmissionZIP33">'Final Summary'!$G$119</definedName>
    <definedName name="fsgBatchSubmissionZIP34">'Final Summary'!$G$120</definedName>
    <definedName name="fsgBatchSubmissionZIP35">'Final Summary'!$G$121</definedName>
    <definedName name="fsgBatchSubmissionZIP36">'Final Summary'!$G$122</definedName>
    <definedName name="fsgBatchSubmissionZIP37">'Final Summary'!$G$123</definedName>
    <definedName name="fsgBatchSubmissionZIP38">'Final Summary'!$G$124</definedName>
    <definedName name="fsgBatchSubmissionZIP39">'Final Summary'!$G$125</definedName>
    <definedName name="fsgBatchSubmissionZIP4">'Final Summary'!$G$90</definedName>
    <definedName name="fsgBatchSubmissionZIP40">'Final Summary'!$G$126</definedName>
    <definedName name="fsgBatchSubmissionZIP41">'Final Summary'!$G$127</definedName>
    <definedName name="fsgBatchSubmissionZIP42">'Final Summary'!$G$128</definedName>
    <definedName name="fsgBatchSubmissionZIP43">'Final Summary'!$G$129</definedName>
    <definedName name="fsgBatchSubmissionZIP44">'Final Summary'!$G$130</definedName>
    <definedName name="fsgBatchSubmissionZIP45">'Final Summary'!$G$131</definedName>
    <definedName name="fsgBatchSubmissionZIP46">'Final Summary'!$G$132</definedName>
    <definedName name="fsgBatchSubmissionZIP47">'Final Summary'!$G$133</definedName>
    <definedName name="fsgBatchSubmissionZIP48">'Final Summary'!$G$134</definedName>
    <definedName name="fsgBatchSubmissionZIP49">'Final Summary'!$G$135</definedName>
    <definedName name="fsgBatchSubmissionZIP5">'Final Summary'!$G$91</definedName>
    <definedName name="fsgBatchSubmissionZIP50">'Final Summary'!$G$136</definedName>
    <definedName name="fsgBatchSubmissionZIP6">'Final Summary'!$G$92</definedName>
    <definedName name="fsgBatchSubmissionZIP7">'Final Summary'!$G$93</definedName>
    <definedName name="fsgBatchSubmissionZIP8">'Final Summary'!$G$94</definedName>
    <definedName name="fsgBatchSubmissionZIP9">'Final Summary'!$G$95</definedName>
    <definedName name="fsgBuilderComments">'Final Summary'!$C$39</definedName>
    <definedName name="fsgBuilderDate">'Final Summary'!$C$49</definedName>
    <definedName name="fsgBuilderEmail">'Final Summary'!$C$45</definedName>
    <definedName name="fsgBuilderName">'Final Summary'!$C$43</definedName>
    <definedName name="fsgBuilderPhone">'Final Summary'!$C$47</definedName>
    <definedName name="fsgSampleDate1">'Final Summary'!$C$162</definedName>
    <definedName name="fsgSampleDate10">'Final Summary'!$C$171</definedName>
    <definedName name="fsgSampleDate11">'Final Summary'!$C$172</definedName>
    <definedName name="fsgSampleDate12">'Final Summary'!$C$173</definedName>
    <definedName name="fsgSampleDate13">'Final Summary'!$C$174</definedName>
    <definedName name="fsgSampleDate14">'Final Summary'!$C$175</definedName>
    <definedName name="fsgSampleDate15">'Final Summary'!$C$176</definedName>
    <definedName name="fsgSampleDate16">'Final Summary'!$C$177</definedName>
    <definedName name="fsgSampleDate2">'Final Summary'!$C$163</definedName>
    <definedName name="fsgSampleDate3">'Final Summary'!$C$164</definedName>
    <definedName name="fsgSampleDate4">'Final Summary'!$C$165</definedName>
    <definedName name="fsgSampleDate5">'Final Summary'!$C$166</definedName>
    <definedName name="fsgSampleDate6">'Final Summary'!$C$167</definedName>
    <definedName name="fsgSampleDate7">'Final Summary'!$C$168</definedName>
    <definedName name="fsgSampleDate8">'Final Summary'!$C$169</definedName>
    <definedName name="fsgSampleDate9">'Final Summary'!$C$170</definedName>
    <definedName name="fsgSampleNotes1">'Final Summary'!$F$162</definedName>
    <definedName name="fsgSampleNotes10">'Final Summary'!$F$171</definedName>
    <definedName name="fsgSampleNotes11">'Final Summary'!$F$172</definedName>
    <definedName name="fsgSampleNotes12">'Final Summary'!$F$173</definedName>
    <definedName name="fsgSampleNotes13">'Final Summary'!$F$174</definedName>
    <definedName name="fsgSampleNotes14">'Final Summary'!$F$175</definedName>
    <definedName name="fsgSampleNotes15">'Final Summary'!$F$176</definedName>
    <definedName name="fsgSampleNotes16">'Final Summary'!$F$177</definedName>
    <definedName name="fsgSampleNotes2">'Final Summary'!$F$163</definedName>
    <definedName name="fsgSampleNotes3">'Final Summary'!$F$164</definedName>
    <definedName name="fsgSampleNotes4">'Final Summary'!$F$165</definedName>
    <definedName name="fsgSampleNotes5">'Final Summary'!$F$166</definedName>
    <definedName name="fsgSampleNotes6">'Final Summary'!$F$167</definedName>
    <definedName name="fsgSampleNotes7">'Final Summary'!$F$168</definedName>
    <definedName name="fsgSampleNotes8">'Final Summary'!$F$169</definedName>
    <definedName name="fsgSampleNotes9">'Final Summary'!$F$170</definedName>
    <definedName name="fsgSampleUnitsAvailable1">'Final Summary'!$D$162</definedName>
    <definedName name="fsgSampleUnitsAvailable10">'Final Summary'!$D$171</definedName>
    <definedName name="fsgSampleUnitsAvailable11">'Final Summary'!$D$172</definedName>
    <definedName name="fsgSampleUnitsAvailable12">'Final Summary'!$D$173</definedName>
    <definedName name="fsgSampleUnitsAvailable13">'Final Summary'!$D$174</definedName>
    <definedName name="fsgSampleUnitsAvailable14">'Final Summary'!$D$175</definedName>
    <definedName name="fsgSampleUnitsAvailable15">'Final Summary'!$D$176</definedName>
    <definedName name="fsgSampleUnitsAvailable16">'Final Summary'!$D$177</definedName>
    <definedName name="fsgSampleUnitsAvailable2">'Final Summary'!$D$163</definedName>
    <definedName name="fsgSampleUnitsAvailable3">'Final Summary'!$D$164</definedName>
    <definedName name="fsgSampleUnitsAvailable4">'Final Summary'!$D$165</definedName>
    <definedName name="fsgSampleUnitsAvailable5">'Final Summary'!$D$166</definedName>
    <definedName name="fsgSampleUnitsAvailable6">'Final Summary'!$D$167</definedName>
    <definedName name="fsgSampleUnitsAvailable7">'Final Summary'!$D$168</definedName>
    <definedName name="fsgSampleUnitsAvailable8">'Final Summary'!$D$169</definedName>
    <definedName name="fsgSampleUnitsAvailable9">'Final Summary'!$D$170</definedName>
    <definedName name="fsgSampleUnitsInspected1">'Final Summary'!$E$162</definedName>
    <definedName name="fsgSampleUnitsInspected10">'Final Summary'!$E$171</definedName>
    <definedName name="fsgSampleUnitsInspected11">'Final Summary'!$E$172</definedName>
    <definedName name="fsgSampleUnitsInspected12">'Final Summary'!$E$173</definedName>
    <definedName name="fsgSampleUnitsInspected13">'Final Summary'!$E$174</definedName>
    <definedName name="fsgSampleUnitsInspected14">'Final Summary'!$E$175</definedName>
    <definedName name="fsgSampleUnitsInspected15">'Final Summary'!$E$176</definedName>
    <definedName name="fsgSampleUnitsInspected16">'Final Summary'!$E$177</definedName>
    <definedName name="fsgSampleUnitsInspected2">'Final Summary'!$E$163</definedName>
    <definedName name="fsgSampleUnitsInspected3">'Final Summary'!$E$164</definedName>
    <definedName name="fsgSampleUnitsInspected4">'Final Summary'!$E$165</definedName>
    <definedName name="fsgSampleUnitsInspected5">'Final Summary'!$E$166</definedName>
    <definedName name="fsgSampleUnitsInspected6">'Final Summary'!$E$167</definedName>
    <definedName name="fsgSampleUnitsInspected7">'Final Summary'!$E$168</definedName>
    <definedName name="fsgSampleUnitsInspected8">'Final Summary'!$E$169</definedName>
    <definedName name="fsgSampleUnitsInspected9">'Final Summary'!$E$170</definedName>
    <definedName name="fsgTeamVerifierElementsVerified1">'Final Summary'!$E$75</definedName>
    <definedName name="fsgTeamVerifierElementsVerified2">'Final Summary'!$E$76</definedName>
    <definedName name="fsgTeamVerifierElementsVerified3">'Final Summary'!$E$77</definedName>
    <definedName name="fsgTeamVerifierElementsVerified4">'Final Summary'!$E$78</definedName>
    <definedName name="fsgTeamVerifierElementsVerified5">'Final Summary'!$E$79</definedName>
    <definedName name="fsgTeamVerifierInspectionDate1">'Final Summary'!$G$75</definedName>
    <definedName name="fsgTeamVerifierInspectionDate2">'Final Summary'!$G$76</definedName>
    <definedName name="fsgTeamVerifierInspectionDate3">'Final Summary'!$G$77</definedName>
    <definedName name="fsgTeamVerifierInspectionDate4">'Final Summary'!$G$78</definedName>
    <definedName name="fsgTeamVerifierInspectionDate5">'Final Summary'!$G$79</definedName>
    <definedName name="fsgTeamVerifierName1">'Final Summary'!$C$75</definedName>
    <definedName name="fsgTeamVerifierName2">'Final Summary'!$C$76</definedName>
    <definedName name="fsgTeamVerifierName3">'Final Summary'!$C$77</definedName>
    <definedName name="fsgTeamVerifierName4">'Final Summary'!$C$78</definedName>
    <definedName name="fsgTeamVerifierName5">'Final Summary'!$C$79</definedName>
    <definedName name="fsgTeamVerifierRole1">'Final Summary'!$D$75</definedName>
    <definedName name="fsgTeamVerifierRole2">'Final Summary'!$D$76</definedName>
    <definedName name="fsgTeamVerifierRole3">'Final Summary'!$D$77</definedName>
    <definedName name="fsgTeamVerifierRole4">'Final Summary'!$D$78</definedName>
    <definedName name="fsgTeamVerifierRole5">'Final Summary'!$D$79</definedName>
    <definedName name="fsgVerifierComments">'Final Summary'!$C$53</definedName>
    <definedName name="fsgVerifierDate">'Final Summary'!$C$67</definedName>
    <definedName name="fsgVerifierEmail">'Final Summary'!$C$59</definedName>
    <definedName name="fsgVerifierEndTime">'Final Summary'!$C$65</definedName>
    <definedName name="fsgVerifierName">'Final Summary'!$C$57</definedName>
    <definedName name="fsgVerifierPhone">'Final Summary'!$C$61</definedName>
    <definedName name="fsgVerifierStartTime">'Final Summary'!$C$63</definedName>
    <definedName name="GoalLevel">'Verification Report'!$L$1</definedName>
    <definedName name="hid802.3.2">'Ch8'!$M$71</definedName>
    <definedName name="hid802.3.2ver">'Verification Report'!$M$1700</definedName>
    <definedName name="hidBadgeMandatoryMsg" localSheetId="11">'Badges (Design)'!$X$7</definedName>
    <definedName name="hidBadgeMandatoryMsg" localSheetId="18">'Badges (Verification)'!$X$7</definedName>
    <definedName name="hidBadgeMandatoryMsg" localSheetId="12">'WaterSense (Design)'!$X$7</definedName>
    <definedName name="hidBadgeMandatoryMsg" localSheetId="19">'WaterSense (Verification)'!$X$7</definedName>
    <definedName name="hidBadgeOverviewMsg" localSheetId="11">'Badges (Design)'!$X$6</definedName>
    <definedName name="hidBadgeOverviewMsg" localSheetId="18">'Badges (Verification)'!$X$6</definedName>
    <definedName name="hidBadgeOverviewMsg" localSheetId="12">'WaterSense (Design)'!$X$6</definedName>
    <definedName name="hidBadgeOverviewMsg" localSheetId="19">'WaterSense (Verification)'!$X$6</definedName>
    <definedName name="hidCh10ErrorsMsg">'Ch10'!$X$3</definedName>
    <definedName name="hidCh10MandatoryMsg">'Ch10'!$X$2</definedName>
    <definedName name="hidCh10OverviewMsg">'Ch10'!$X$1</definedName>
    <definedName name="hidCh5ErrorsMsg">'Ch5'!$X$3</definedName>
    <definedName name="hidCh5MandatoryMsg">'Ch5'!$X$2</definedName>
    <definedName name="hidCh5OverviewMsg">'Ch5'!$X$1</definedName>
    <definedName name="hidCh6ErrorsMsg">'Ch6'!$X$3</definedName>
    <definedName name="hidCh6MandatoryMsg">'Ch6'!$X$2</definedName>
    <definedName name="hidCh6OverviewMsg">'Ch6'!$X$1</definedName>
    <definedName name="hidCh7ErrorsMsg">'Ch7'!$X$3</definedName>
    <definedName name="hidCh7MandatoryMsg">'Ch7'!$X$2</definedName>
    <definedName name="hidCh7OverviewMsg">'Ch7'!$X$1</definedName>
    <definedName name="hidCh8ErrorsMsg">'Ch8'!$X$3</definedName>
    <definedName name="hidCh8MandatoryMsg">'Ch8'!$X$2</definedName>
    <definedName name="hidCh8OverviewMsg">'Ch8'!$X$1</definedName>
    <definedName name="hidCh9ErrorsMsg">'Ch9'!$X$3</definedName>
    <definedName name="hidCh9MandatoryMsg">'Ch9'!$X$2</definedName>
    <definedName name="hidCh9OverviewMsg">'Ch9'!$X$1</definedName>
    <definedName name="hidCity">'Overview (Verification)'!$T$13</definedName>
    <definedName name="hidCityInstruction">'Overview (Design)'!$K$13</definedName>
    <definedName name="hidDesBadgesErrorsMsg" localSheetId="12">'WaterSense (Design)'!$X$3</definedName>
    <definedName name="hidDesBadgesErrorsMsg">'Badges (Design)'!$X$3</definedName>
    <definedName name="hidDesBadgesMandatoryMsg" localSheetId="12">'WaterSense (Design)'!$X$2</definedName>
    <definedName name="hidDesBadgesMandatoryMsg">'Badges (Design)'!$X$2</definedName>
    <definedName name="hidDesBadgesOverviewMsg" localSheetId="12">'WaterSense (Design)'!$X$1</definedName>
    <definedName name="hidDesBadgesOverviewMsg">'Badges (Design)'!$X$1</definedName>
    <definedName name="hidElevationWarning">'Ch7'!$L$36</definedName>
    <definedName name="hidElevationWarning2">'Ch7'!$L$40</definedName>
    <definedName name="hidElevationWarning3">'Verification Report'!$L$906</definedName>
    <definedName name="hidElevationWarning4">'Verification Report'!$L$910</definedName>
    <definedName name="hidFinalSamp1">'Final Summary'!$C$178</definedName>
    <definedName name="hidFinalSamp2">'Final Summary'!$F$178</definedName>
    <definedName name="hidFSMandatoryMsg">'Final Summary'!$F$18</definedName>
    <definedName name="hidFSOverviewMsg">'Final Summary'!$C$18</definedName>
    <definedName name="hidIDInstruction">'Overview (Verification)'!$R$8</definedName>
    <definedName name="hidODClimateFormula">'Overview (Design)'!$N$15</definedName>
    <definedName name="hidODClimateLabel">'Overview (Design)'!$N$14</definedName>
    <definedName name="hidODCommercial">'Overview (Design)'!$A$20</definedName>
    <definedName name="hidODCountyFormula">'Overview (Design)'!$L$15</definedName>
    <definedName name="hidODCountyLabel">'Overview (Design)'!$L$14</definedName>
    <definedName name="hidODMoistFormula">'Overview (Design)'!$O$15</definedName>
    <definedName name="hidODMoistLabel">'Overview (Design)'!$O$14</definedName>
    <definedName name="hidODNumberUnitsLabel">'Overview (Design)'!$A$19</definedName>
    <definedName name="hidODProjectNameLabel">'Overview (Design)'!$A$23</definedName>
    <definedName name="hidODStateFormula">'Overview (Design)'!$K$15</definedName>
    <definedName name="hidODStateLabel">'Overview (Design)'!$K$14</definedName>
    <definedName name="hidODTropicalFormula">'Overview (Design)'!$Q$15</definedName>
    <definedName name="hidODTropicalLabel">'Overview (Design)'!$Q$14</definedName>
    <definedName name="hidODWarmFormula">'Overview (Design)'!$P$15</definedName>
    <definedName name="hidODWarmLabel">'Overview (Design)'!$P$14</definedName>
    <definedName name="hidOVClimateFormula">'Overview (Verification)'!$W$15</definedName>
    <definedName name="hidOVClimateLabel">'Overview (Verification)'!$W$14</definedName>
    <definedName name="hidOVCommercial">'Overview (Verification)'!$A$20</definedName>
    <definedName name="hidOVCountyFormula">'Overview (Verification)'!$U$15</definedName>
    <definedName name="hidOVCountyLabel">'Overview (Verification)'!$U$14</definedName>
    <definedName name="hidOVMoistFormula">'Overview (Verification)'!$X$15</definedName>
    <definedName name="hidOVMoistLabel">'Overview (Verification)'!$X$14</definedName>
    <definedName name="hidOVNumberUnitsLabel">'Overview (Verification)'!$A$19</definedName>
    <definedName name="hidOVProjectNameLabel">'Overview (Verification)'!$A$23</definedName>
    <definedName name="hidOVStateFormula">'Overview (Verification)'!$T$15</definedName>
    <definedName name="hidOVStateLabel">'Overview (Verification)'!$T$14</definedName>
    <definedName name="hidOVTropicalFormula">'Overview (Verification)'!$Z$15</definedName>
    <definedName name="hidOVTropicalLabel">'Overview (Verification)'!$Z$14</definedName>
    <definedName name="hidOVWarmFormula">'Overview (Verification)'!$Y$15</definedName>
    <definedName name="hidOVWarmLabel">'Overview (Verification)'!$Y$14</definedName>
    <definedName name="hidRoughCommNote">'Rough Summary'!$C$34</definedName>
    <definedName name="hidRoughSamp1">'Rough Summary'!$C$178</definedName>
    <definedName name="hidRoughSamp2">'Rough Summary'!$F$178</definedName>
    <definedName name="hidRSMandatoryMsg">'Rough Summary'!$F$18</definedName>
    <definedName name="hidRSOverviewMsg">'Rough Summary'!$C$18</definedName>
    <definedName name="hidVerBadgesErrorsMsg" localSheetId="19">'WaterSense (Verification)'!$X$3</definedName>
    <definedName name="hidVerBadgesErrorsMsg">'Badges (Verification)'!$X$3</definedName>
    <definedName name="hidVerBadgesMandatoryMsg" localSheetId="19">'WaterSense (Verification)'!$X$2</definedName>
    <definedName name="hidVerBadgesMandatoryMsg">'Badges (Verification)'!$X$2</definedName>
    <definedName name="hidVerBadgesOverviewMsg" localSheetId="19">'WaterSense (Verification)'!$X$1</definedName>
    <definedName name="hidVerBadgesOverviewMsg">'Badges (Verification)'!$X$1</definedName>
    <definedName name="hidVRErrorsMsg">'Verification Report'!$X$3</definedName>
    <definedName name="hidVRMandatoryMsg">'Verification Report'!$X$2</definedName>
    <definedName name="hidVROverviewMsg">'Verification Report'!$X$1</definedName>
    <definedName name="hidZip">'Overview (Verification)'!$Q$16</definedName>
    <definedName name="hidZIPInstruction">'Overview (Design)'!$K$16</definedName>
    <definedName name="hyptarg1">'Ch6'!$W$122</definedName>
    <definedName name="hyptarg2">'Ch6'!$W$131</definedName>
    <definedName name="hyptarg3">'Ch6'!$W$207</definedName>
    <definedName name="hyptarg4">'Ch6'!$W$266</definedName>
    <definedName name="hyptarg5">'Ch6'!$W$434</definedName>
    <definedName name="hyptarg6">'Ch6'!$W$447</definedName>
    <definedName name="hyptarg7.1">'Ch7'!$W$121</definedName>
    <definedName name="hyptarg7.2">'Ch7'!$W$220</definedName>
    <definedName name="hyptarg7.26">'Ch7'!$W$460</definedName>
    <definedName name="hyptarg7.3">'Ch7'!$W$228</definedName>
    <definedName name="hyptarg7.4">'Ch7'!$W$236</definedName>
    <definedName name="hyptarg7.5">'Ch7'!$W$252</definedName>
    <definedName name="hyptarg8.1">'Ch8'!$W$21</definedName>
    <definedName name="hyptarg9.1">'Ch9'!$W$133</definedName>
    <definedName name="hyptarg9.2">'Ch9'!$W$135</definedName>
    <definedName name="hyptarg9.3">'Ch9'!$W$155</definedName>
    <definedName name="Intro">'Info &amp; Intro'!$B$14</definedName>
    <definedName name="MFIntro">Formulas!$X$12</definedName>
    <definedName name="_xlnm.Print_Area" localSheetId="11">'Badges (Design)'!$A$1:$X$313</definedName>
    <definedName name="_xlnm.Print_Area" localSheetId="18">'Badges (Verification)'!$A$1:$Y$338</definedName>
    <definedName name="_xlnm.Print_Area" localSheetId="8">'Ch10'!$A$1:$X$234</definedName>
    <definedName name="_xlnm.Print_Area" localSheetId="3">'Ch5'!$D$1:$X$328</definedName>
    <definedName name="_xlnm.Print_Area" localSheetId="4">'Ch6'!$A$1:$X$561</definedName>
    <definedName name="_xlnm.Print_Area" localSheetId="6">'Ch8'!$A$1:$X$246</definedName>
    <definedName name="_xlnm.Print_Area" localSheetId="10">'Design Summ.'!$A$1:$M$26</definedName>
    <definedName name="_xlnm.Print_Area" localSheetId="1">'Overview (Design)'!$A$1:$U$66</definedName>
    <definedName name="_xlnm.Print_Area" localSheetId="16">'Overview (Verification)'!$A$1:$Y$64</definedName>
    <definedName name="_xlnm.Print_Area" localSheetId="17">'Verification Report'!$I$1:$Y$2476</definedName>
    <definedName name="_xlnm.Print_Area" localSheetId="12">'WaterSense (Design)'!$A$1:$X$30</definedName>
    <definedName name="_xlnm.Print_Area" localSheetId="19">'WaterSense (Verification)'!$A$1:$Y$170</definedName>
    <definedName name="ReportType" localSheetId="11">'Badges (Design)'!$R$3</definedName>
    <definedName name="ReportType" localSheetId="18">'Badges (Verification)'!$R$3</definedName>
    <definedName name="ReportType" localSheetId="17">'Verification Report'!$L$5</definedName>
    <definedName name="ReportType" localSheetId="12">'WaterSense (Design)'!$R$3</definedName>
    <definedName name="ReportType" localSheetId="19">'WaterSense (Verification)'!$R$3</definedName>
    <definedName name="ReportType">'Verification Report'!$L$5</definedName>
    <definedName name="ReportTypeRes">'Verification Report'!$L$5</definedName>
    <definedName name="rsgBatchSubmissionCity1">'Rough Summary'!$E$87</definedName>
    <definedName name="rsgBatchSubmissionCity10">'Rough Summary'!$E$96</definedName>
    <definedName name="rsgBatchSubmissionCity11">'Rough Summary'!$E$97</definedName>
    <definedName name="rsgBatchSubmissionCity12">'Rough Summary'!$E$98</definedName>
    <definedName name="rsgBatchSubmissionCity13">'Rough Summary'!$E$99</definedName>
    <definedName name="rsgBatchSubmissionCity14">'Rough Summary'!$E$100</definedName>
    <definedName name="rsgBatchSubmissionCity15">'Rough Summary'!$E$101</definedName>
    <definedName name="rsgBatchSubmissionCity16">'Rough Summary'!$E$102</definedName>
    <definedName name="rsgBatchSubmissionCity17">'Rough Summary'!$E$103</definedName>
    <definedName name="rsgBatchSubmissionCity18">'Rough Summary'!$E$104</definedName>
    <definedName name="rsgBatchSubmissionCity19">'Rough Summary'!$E$105</definedName>
    <definedName name="rsgBatchSubmissionCity2">'Rough Summary'!$E$88</definedName>
    <definedName name="rsgBatchSubmissionCity20">'Rough Summary'!$E$106</definedName>
    <definedName name="rsgBatchSubmissionCity21">'Rough Summary'!$E$107</definedName>
    <definedName name="rsgBatchSubmissionCity22">'Rough Summary'!$E$108</definedName>
    <definedName name="rsgBatchSubmissionCity23">'Rough Summary'!$E$109</definedName>
    <definedName name="rsgBatchSubmissionCity24">'Rough Summary'!$E$110</definedName>
    <definedName name="rsgBatchSubmissionCity25">'Rough Summary'!$E$111</definedName>
    <definedName name="rsgBatchSubmissionCity26">'Rough Summary'!$E$112</definedName>
    <definedName name="rsgBatchSubmissionCity27">'Rough Summary'!$E$113</definedName>
    <definedName name="rsgBatchSubmissionCity28">'Rough Summary'!$E$114</definedName>
    <definedName name="rsgBatchSubmissionCity29">'Rough Summary'!$E$115</definedName>
    <definedName name="rsgBatchSubmissionCity3">'Rough Summary'!$E$89</definedName>
    <definedName name="rsgBatchSubmissionCity30">'Rough Summary'!$E$116</definedName>
    <definedName name="rsgBatchSubmissionCity31">'Rough Summary'!$E$117</definedName>
    <definedName name="rsgBatchSubmissionCity32">'Rough Summary'!$E$118</definedName>
    <definedName name="rsgBatchSubmissionCity33">'Rough Summary'!$E$119</definedName>
    <definedName name="rsgBatchSubmissionCity34">'Rough Summary'!$E$120</definedName>
    <definedName name="rsgBatchSubmissionCity35">'Rough Summary'!$E$121</definedName>
    <definedName name="rsgBatchSubmissionCity36">'Rough Summary'!$E$122</definedName>
    <definedName name="rsgBatchSubmissionCity37">'Rough Summary'!$E$123</definedName>
    <definedName name="rsgBatchSubmissionCity38">'Rough Summary'!$E$124</definedName>
    <definedName name="rsgBatchSubmissionCity39">'Rough Summary'!$E$125</definedName>
    <definedName name="rsgBatchSubmissionCity4">'Rough Summary'!$E$90</definedName>
    <definedName name="rsgBatchSubmissionCity40">'Rough Summary'!$E$126</definedName>
    <definedName name="rsgBatchSubmissionCity41">'Rough Summary'!$E$127</definedName>
    <definedName name="rsgBatchSubmissionCity42">'Rough Summary'!$E$128</definedName>
    <definedName name="rsgBatchSubmissionCity43">'Rough Summary'!$E$129</definedName>
    <definedName name="rsgBatchSubmissionCity44">'Rough Summary'!$E$130</definedName>
    <definedName name="rsgBatchSubmissionCity45">'Rough Summary'!$E$131</definedName>
    <definedName name="rsgBatchSubmissionCity46">'Rough Summary'!$E$132</definedName>
    <definedName name="rsgBatchSubmissionCity47">'Rough Summary'!$E$133</definedName>
    <definedName name="rsgBatchSubmissionCity48">'Rough Summary'!$E$134</definedName>
    <definedName name="rsgBatchSubmissionCity49">'Rough Summary'!$E$135</definedName>
    <definedName name="rsgBatchSubmissionCity5">'Rough Summary'!$E$91</definedName>
    <definedName name="rsgBatchSubmissionCity50">'Rough Summary'!$E$136</definedName>
    <definedName name="rsgBatchSubmissionCity6">'Rough Summary'!$E$92</definedName>
    <definedName name="rsgBatchSubmissionCity7">'Rough Summary'!$E$93</definedName>
    <definedName name="rsgBatchSubmissionCity8">'Rough Summary'!$E$94</definedName>
    <definedName name="rsgBatchSubmissionCity9">'Rough Summary'!$E$95</definedName>
    <definedName name="rsgBatchSubmissionInspectionDate1">'Rough Summary'!$I$87</definedName>
    <definedName name="rsgBatchSubmissionInspectionDate10">'Rough Summary'!$I$96</definedName>
    <definedName name="rsgBatchSubmissionInspectionDate11">'Rough Summary'!$I$97</definedName>
    <definedName name="rsgBatchSubmissionInspectionDate12">'Rough Summary'!$I$98</definedName>
    <definedName name="rsgBatchSubmissionInspectionDate13">'Rough Summary'!$I$99</definedName>
    <definedName name="rsgBatchSubmissionInspectionDate14">'Rough Summary'!$I$100</definedName>
    <definedName name="rsgBatchSubmissionInspectionDate15">'Rough Summary'!$I$101</definedName>
    <definedName name="rsgBatchSubmissionInspectionDate16">'Rough Summary'!$I$102</definedName>
    <definedName name="rsgBatchSubmissionInspectionDate17">'Rough Summary'!$I$103</definedName>
    <definedName name="rsgBatchSubmissionInspectionDate18">'Rough Summary'!$I$104</definedName>
    <definedName name="rsgBatchSubmissionInspectionDate19">'Rough Summary'!$I$105</definedName>
    <definedName name="rsgBatchSubmissionInspectionDate2">'Rough Summary'!$I$88</definedName>
    <definedName name="rsgBatchSubmissionInspectionDate20">'Rough Summary'!$I$106</definedName>
    <definedName name="rsgBatchSubmissionInspectionDate21">'Rough Summary'!$I$107</definedName>
    <definedName name="rsgBatchSubmissionInspectionDate22">'Rough Summary'!$I$108</definedName>
    <definedName name="rsgBatchSubmissionInspectionDate23">'Rough Summary'!$I$109</definedName>
    <definedName name="rsgBatchSubmissionInspectionDate24">'Rough Summary'!$I$110</definedName>
    <definedName name="rsgBatchSubmissionInspectionDate25">'Rough Summary'!$I$111</definedName>
    <definedName name="rsgBatchSubmissionInspectionDate26">'Rough Summary'!$I$112</definedName>
    <definedName name="rsgBatchSubmissionInspectionDate27">'Rough Summary'!$I$113</definedName>
    <definedName name="rsgBatchSubmissionInspectionDate28">'Rough Summary'!$I$114</definedName>
    <definedName name="rsgBatchSubmissionInspectionDate29">'Rough Summary'!$I$115</definedName>
    <definedName name="rsgBatchSubmissionInspectionDate3">'Rough Summary'!$I$89</definedName>
    <definedName name="rsgBatchSubmissionInspectionDate30">'Rough Summary'!$I$116</definedName>
    <definedName name="rsgBatchSubmissionInspectionDate31">'Rough Summary'!$I$117</definedName>
    <definedName name="rsgBatchSubmissionInspectionDate32">'Rough Summary'!$I$118</definedName>
    <definedName name="rsgBatchSubmissionInspectionDate33">'Rough Summary'!$I$119</definedName>
    <definedName name="rsgBatchSubmissionInspectionDate34">'Rough Summary'!$I$120</definedName>
    <definedName name="rsgBatchSubmissionInspectionDate35">'Rough Summary'!$I$121</definedName>
    <definedName name="rsgBatchSubmissionInspectionDate36">'Rough Summary'!$I$122</definedName>
    <definedName name="rsgBatchSubmissionInspectionDate37">'Rough Summary'!$I$123</definedName>
    <definedName name="rsgBatchSubmissionInspectionDate38">'Rough Summary'!$I$124</definedName>
    <definedName name="rsgBatchSubmissionInspectionDate39">'Rough Summary'!$I$125</definedName>
    <definedName name="rsgBatchSubmissionInspectionDate4">'Rough Summary'!$I$90</definedName>
    <definedName name="rsgBatchSubmissionInspectionDate40">'Rough Summary'!$I$126</definedName>
    <definedName name="rsgBatchSubmissionInspectionDate41">'Rough Summary'!$I$127</definedName>
    <definedName name="rsgBatchSubmissionInspectionDate42">'Rough Summary'!$I$128</definedName>
    <definedName name="rsgBatchSubmissionInspectionDate43">'Rough Summary'!$I$129</definedName>
    <definedName name="rsgBatchSubmissionInspectionDate44">'Rough Summary'!$I$130</definedName>
    <definedName name="rsgBatchSubmissionInspectionDate45">'Rough Summary'!$I$131</definedName>
    <definedName name="rsgBatchSubmissionInspectionDate46">'Rough Summary'!$I$132</definedName>
    <definedName name="rsgBatchSubmissionInspectionDate47">'Rough Summary'!$I$133</definedName>
    <definedName name="rsgBatchSubmissionInspectionDate48">'Rough Summary'!$I$134</definedName>
    <definedName name="rsgBatchSubmissionInspectionDate49">'Rough Summary'!$I$135</definedName>
    <definedName name="rsgBatchSubmissionInspectionDate5">'Rough Summary'!$I$91</definedName>
    <definedName name="rsgBatchSubmissionInspectionDate50">'Rough Summary'!$I$136</definedName>
    <definedName name="rsgBatchSubmissionInspectionDate6">'Rough Summary'!$I$92</definedName>
    <definedName name="rsgBatchSubmissionInspectionDate7">'Rough Summary'!$I$93</definedName>
    <definedName name="rsgBatchSubmissionInspectionDate8">'Rough Summary'!$I$94</definedName>
    <definedName name="rsgBatchSubmissionInspectionDate9">'Rough Summary'!$I$95</definedName>
    <definedName name="rsgBatchSubmissionProjectID1">'Rough Summary'!$H$87</definedName>
    <definedName name="rsgBatchSubmissionProjectID10">'Rough Summary'!$H$96</definedName>
    <definedName name="rsgBatchSubmissionProjectID11">'Rough Summary'!$H$97</definedName>
    <definedName name="rsgBatchSubmissionProjectID12">'Rough Summary'!$H$98</definedName>
    <definedName name="rsgBatchSubmissionProjectID13">'Rough Summary'!$H$99</definedName>
    <definedName name="rsgBatchSubmissionProjectID14">'Rough Summary'!$H$100</definedName>
    <definedName name="rsgBatchSubmissionProjectID15">'Rough Summary'!$H$101</definedName>
    <definedName name="rsgBatchSubmissionProjectID16">'Rough Summary'!$H$102</definedName>
    <definedName name="rsgBatchSubmissionProjectID17">'Rough Summary'!$H$103</definedName>
    <definedName name="rsgBatchSubmissionProjectID18">'Rough Summary'!$H$104</definedName>
    <definedName name="rsgBatchSubmissionProjectID19">'Rough Summary'!$H$105</definedName>
    <definedName name="rsgBatchSubmissionProjectID2">'Rough Summary'!$H$88</definedName>
    <definedName name="rsgBatchSubmissionProjectID20">'Rough Summary'!$H$106</definedName>
    <definedName name="rsgBatchSubmissionProjectID21">'Rough Summary'!$H$107</definedName>
    <definedName name="rsgBatchSubmissionProjectID22">'Rough Summary'!$H$108</definedName>
    <definedName name="rsgBatchSubmissionProjectID23">'Rough Summary'!$H$109</definedName>
    <definedName name="rsgBatchSubmissionProjectID24">'Rough Summary'!$H$110</definedName>
    <definedName name="rsgBatchSubmissionProjectID25">'Rough Summary'!$H$111</definedName>
    <definedName name="rsgBatchSubmissionProjectID26">'Rough Summary'!$H$112</definedName>
    <definedName name="rsgBatchSubmissionProjectID27">'Rough Summary'!$H$113</definedName>
    <definedName name="rsgBatchSubmissionProjectID28">'Rough Summary'!$H$114</definedName>
    <definedName name="rsgBatchSubmissionProjectID29">'Rough Summary'!$H$115</definedName>
    <definedName name="rsgBatchSubmissionProjectID3">'Rough Summary'!$H$89</definedName>
    <definedName name="rsgBatchSubmissionProjectID30">'Rough Summary'!$H$116</definedName>
    <definedName name="rsgBatchSubmissionProjectID31">'Rough Summary'!$H$117</definedName>
    <definedName name="rsgBatchSubmissionProjectID32">'Rough Summary'!$H$118</definedName>
    <definedName name="rsgBatchSubmissionProjectID33">'Rough Summary'!$H$119</definedName>
    <definedName name="rsgBatchSubmissionProjectID34">'Rough Summary'!$H$120</definedName>
    <definedName name="rsgBatchSubmissionProjectID35">'Rough Summary'!$H$121</definedName>
    <definedName name="rsgBatchSubmissionProjectID36">'Rough Summary'!$H$122</definedName>
    <definedName name="rsgBatchSubmissionProjectID37">'Rough Summary'!$H$123</definedName>
    <definedName name="rsgBatchSubmissionProjectID38">'Rough Summary'!$H$124</definedName>
    <definedName name="rsgBatchSubmissionProjectID39">'Rough Summary'!$H$125</definedName>
    <definedName name="rsgBatchSubmissionProjectID4">'Rough Summary'!$H$90</definedName>
    <definedName name="rsgBatchSubmissionProjectID40">'Rough Summary'!$H$126</definedName>
    <definedName name="rsgBatchSubmissionProjectID41">'Rough Summary'!$H$127</definedName>
    <definedName name="rsgBatchSubmissionProjectID42">'Rough Summary'!$H$128</definedName>
    <definedName name="rsgBatchSubmissionProjectID43">'Rough Summary'!$H$129</definedName>
    <definedName name="rsgBatchSubmissionProjectID44">'Rough Summary'!$H$130</definedName>
    <definedName name="rsgBatchSubmissionProjectID45">'Rough Summary'!$H$131</definedName>
    <definedName name="rsgBatchSubmissionProjectID46">'Rough Summary'!$H$132</definedName>
    <definedName name="rsgBatchSubmissionProjectID47">'Rough Summary'!$H$133</definedName>
    <definedName name="rsgBatchSubmissionProjectID48">'Rough Summary'!$H$134</definedName>
    <definedName name="rsgBatchSubmissionProjectID49">'Rough Summary'!$H$135</definedName>
    <definedName name="rsgBatchSubmissionProjectID5">'Rough Summary'!$H$91</definedName>
    <definedName name="rsgBatchSubmissionProjectID50">'Rough Summary'!$H$136</definedName>
    <definedName name="rsgBatchSubmissionProjectID6">'Rough Summary'!$H$92</definedName>
    <definedName name="rsgBatchSubmissionProjectID7">'Rough Summary'!$H$93</definedName>
    <definedName name="rsgBatchSubmissionProjectID8">'Rough Summary'!$H$94</definedName>
    <definedName name="rsgBatchSubmissionProjectID9">'Rough Summary'!$H$95</definedName>
    <definedName name="rsgBatchSubmissionRoughAddress1">'Rough Summary'!$C$87:$D$87</definedName>
    <definedName name="rsgBatchSubmissionRoughAddress10">'Rough Summary'!$C$96:$D$96</definedName>
    <definedName name="rsgBatchSubmissionRoughAddress11">'Rough Summary'!$C$97:$D$97</definedName>
    <definedName name="rsgBatchSubmissionRoughAddress12">'Rough Summary'!$C$98:$D$98</definedName>
    <definedName name="rsgBatchSubmissionRoughAddress13">'Rough Summary'!$C$99:$D$99</definedName>
    <definedName name="rsgBatchSubmissionRoughAddress14">'Rough Summary'!$C$100:$D$100</definedName>
    <definedName name="rsgBatchSubmissionRoughAddress15">'Rough Summary'!$C$101:$D$101</definedName>
    <definedName name="rsgBatchSubmissionRoughAddress16">'Rough Summary'!$C$102:$D$102</definedName>
    <definedName name="rsgBatchSubmissionRoughAddress17">'Rough Summary'!$C$103:$D$103</definedName>
    <definedName name="rsgBatchSubmissionRoughAddress18">'Rough Summary'!$C$104:$D$104</definedName>
    <definedName name="rsgBatchSubmissionRoughAddress19">'Rough Summary'!$C$105:$D$105</definedName>
    <definedName name="rsgBatchSubmissionRoughAddress2">'Rough Summary'!$C$88:$D$88</definedName>
    <definedName name="rsgBatchSubmissionRoughAddress20">'Rough Summary'!$C$106:$D$106</definedName>
    <definedName name="rsgBatchSubmissionRoughAddress21">'Rough Summary'!$C$107:$D$107</definedName>
    <definedName name="rsgBatchSubmissionRoughAddress22">'Rough Summary'!$C$108:$D$108</definedName>
    <definedName name="rsgBatchSubmissionRoughAddress23">'Rough Summary'!$C$109:$D$109</definedName>
    <definedName name="rsgBatchSubmissionRoughAddress24">'Rough Summary'!$C$110:$D$110</definedName>
    <definedName name="rsgBatchSubmissionRoughAddress25">'Rough Summary'!$C$111:$D$111</definedName>
    <definedName name="rsgBatchSubmissionRoughAddress26">'Rough Summary'!$C$112:$D$112</definedName>
    <definedName name="rsgBatchSubmissionRoughAddress27">'Rough Summary'!$C$113:$D$113</definedName>
    <definedName name="rsgBatchSubmissionRoughAddress28">'Rough Summary'!$C$114:$D$114</definedName>
    <definedName name="rsgBatchSubmissionRoughAddress29">'Rough Summary'!$C$115:$D$115</definedName>
    <definedName name="rsgBatchSubmissionRoughAddress3">'Rough Summary'!$C$89:$D$89</definedName>
    <definedName name="rsgBatchSubmissionRoughAddress30">'Rough Summary'!$C$116:$D$116</definedName>
    <definedName name="rsgBatchSubmissionRoughAddress31">'Rough Summary'!$C$117:$D$117</definedName>
    <definedName name="rsgBatchSubmissionRoughAddress32">'Rough Summary'!$C$118:$D$118</definedName>
    <definedName name="rsgBatchSubmissionRoughAddress33">'Rough Summary'!$C$119:$D$119</definedName>
    <definedName name="rsgBatchSubmissionRoughAddress34">'Rough Summary'!$C$120:$D$120</definedName>
    <definedName name="rsgBatchSubmissionRoughAddress35">'Rough Summary'!$C$121:$D$121</definedName>
    <definedName name="rsgBatchSubmissionRoughAddress36">'Rough Summary'!$C$122:$D$122</definedName>
    <definedName name="rsgBatchSubmissionRoughAddress37">'Rough Summary'!$C$123:$D$123</definedName>
    <definedName name="rsgBatchSubmissionRoughAddress38">'Rough Summary'!$C$124:$D$124</definedName>
    <definedName name="rsgBatchSubmissionRoughAddress39">'Rough Summary'!$C$125:$D$125</definedName>
    <definedName name="rsgBatchSubmissionRoughAddress4">'Rough Summary'!$C$90:$D$90</definedName>
    <definedName name="rsgBatchSubmissionRoughAddress40">'Rough Summary'!$C$126:$D$126</definedName>
    <definedName name="rsgBatchSubmissionRoughAddress41">'Rough Summary'!$C$127:$D$127</definedName>
    <definedName name="rsgBatchSubmissionRoughAddress42">'Rough Summary'!$C$128:$D$128</definedName>
    <definedName name="rsgBatchSubmissionRoughAddress43">'Rough Summary'!$C$129:$D$129</definedName>
    <definedName name="rsgBatchSubmissionRoughAddress44">'Rough Summary'!$C$130:$D$130</definedName>
    <definedName name="rsgBatchSubmissionRoughAddress45">'Rough Summary'!$C$131:$D$131</definedName>
    <definedName name="rsgBatchSubmissionRoughAddress46">'Rough Summary'!$C$132:$D$132</definedName>
    <definedName name="rsgBatchSubmissionRoughAddress47">'Rough Summary'!$C$133:$D$133</definedName>
    <definedName name="rsgBatchSubmissionRoughAddress48">'Rough Summary'!$C$134:$D$134</definedName>
    <definedName name="rsgBatchSubmissionRoughAddress49">'Rough Summary'!$C$135:$D$135</definedName>
    <definedName name="rsgBatchSubmissionRoughAddress5">'Rough Summary'!$C$91:$D$91</definedName>
    <definedName name="rsgBatchSubmissionRoughAddress50">'Rough Summary'!$C$136:$D$136</definedName>
    <definedName name="rsgBatchSubmissionRoughAddress6">'Rough Summary'!$C$92:$D$92</definedName>
    <definedName name="rsgBatchSubmissionRoughAddress7">'Rough Summary'!$C$93:$D$93</definedName>
    <definedName name="rsgBatchSubmissionRoughAddress8">'Rough Summary'!$C$94:$D$94</definedName>
    <definedName name="rsgBatchSubmissionRoughAddress9">'Rough Summary'!$C$95:$D$95</definedName>
    <definedName name="rsgBatchSubmissionZIP1">'Rough Summary'!$G$87</definedName>
    <definedName name="rsgBatchSubmissionZIP10">'Rough Summary'!$G$96</definedName>
    <definedName name="rsgBatchSubmissionZIP11">'Rough Summary'!$G$97</definedName>
    <definedName name="rsgBatchSubmissionZIP12">'Rough Summary'!$G$98</definedName>
    <definedName name="rsgBatchSubmissionZIP13">'Rough Summary'!$G$99</definedName>
    <definedName name="rsgBatchSubmissionZIP14">'Rough Summary'!$G$100</definedName>
    <definedName name="rsgBatchSubmissionZIP15">'Rough Summary'!$G$101</definedName>
    <definedName name="rsgBatchSubmissionZIP16">'Rough Summary'!$G$102</definedName>
    <definedName name="rsgBatchSubmissionZIP17">'Rough Summary'!$G$103</definedName>
    <definedName name="rsgBatchSubmissionZIP18">'Rough Summary'!$G$104</definedName>
    <definedName name="rsgBatchSubmissionZIP19">'Rough Summary'!$G$105</definedName>
    <definedName name="rsgBatchSubmissionZIP2">'Rough Summary'!$G$88</definedName>
    <definedName name="rsgBatchSubmissionZIP20">'Rough Summary'!$G$106</definedName>
    <definedName name="rsgBatchSubmissionZIP21">'Rough Summary'!$G$107</definedName>
    <definedName name="rsgBatchSubmissionZIP22">'Rough Summary'!$G$108</definedName>
    <definedName name="rsgBatchSubmissionZIP23">'Rough Summary'!$G$109</definedName>
    <definedName name="rsgBatchSubmissionZIP24">'Rough Summary'!$G$110</definedName>
    <definedName name="rsgBatchSubmissionZIP25">'Rough Summary'!$G$111</definedName>
    <definedName name="rsgBatchSubmissionZIP26">'Rough Summary'!$G$112</definedName>
    <definedName name="rsgBatchSubmissionZIP27">'Rough Summary'!$G$113</definedName>
    <definedName name="rsgBatchSubmissionZIP28">'Rough Summary'!$G$114</definedName>
    <definedName name="rsgBatchSubmissionZIP29">'Rough Summary'!$G$115</definedName>
    <definedName name="rsgBatchSubmissionZIP3">'Rough Summary'!$G$89</definedName>
    <definedName name="rsgBatchSubmissionZIP30">'Rough Summary'!$G$116</definedName>
    <definedName name="rsgBatchSubmissionZIP31">'Rough Summary'!$G$117</definedName>
    <definedName name="rsgBatchSubmissionZIP32">'Rough Summary'!$G$118</definedName>
    <definedName name="rsgBatchSubmissionZIP33">'Rough Summary'!$G$119</definedName>
    <definedName name="rsgBatchSubmissionZIP34">'Rough Summary'!$G$120</definedName>
    <definedName name="rsgBatchSubmissionZIP35">'Rough Summary'!$G$121</definedName>
    <definedName name="rsgBatchSubmissionZIP36">'Rough Summary'!$G$122</definedName>
    <definedName name="rsgBatchSubmissionZIP37">'Rough Summary'!$G$123</definedName>
    <definedName name="rsgBatchSubmissionZIP38">'Rough Summary'!$G$124</definedName>
    <definedName name="rsgBatchSubmissionZIP39">'Rough Summary'!$G$125</definedName>
    <definedName name="rsgBatchSubmissionZIP4">'Rough Summary'!$G$90</definedName>
    <definedName name="rsgBatchSubmissionZIP40">'Rough Summary'!$G$126</definedName>
    <definedName name="rsgBatchSubmissionZIP41">'Rough Summary'!$G$127</definedName>
    <definedName name="rsgBatchSubmissionZIP42">'Rough Summary'!$G$128</definedName>
    <definedName name="rsgBatchSubmissionZIP43">'Rough Summary'!$G$129</definedName>
    <definedName name="rsgBatchSubmissionZIP44">'Rough Summary'!$G$130</definedName>
    <definedName name="rsgBatchSubmissionZIP45">'Rough Summary'!$G$131</definedName>
    <definedName name="rsgBatchSubmissionZIP46">'Rough Summary'!$G$132</definedName>
    <definedName name="rsgBatchSubmissionZIP47">'Rough Summary'!$G$133</definedName>
    <definedName name="rsgBatchSubmissionZIP48">'Rough Summary'!$G$134</definedName>
    <definedName name="rsgBatchSubmissionZIP49">'Rough Summary'!$G$135</definedName>
    <definedName name="rsgBatchSubmissionZIP5">'Rough Summary'!$G$91</definedName>
    <definedName name="rsgBatchSubmissionZIP50">'Rough Summary'!$G$136</definedName>
    <definedName name="rsgBatchSubmissionZIP6">'Rough Summary'!$G$92</definedName>
    <definedName name="rsgBatchSubmissionZIP7">'Rough Summary'!$G$93</definedName>
    <definedName name="rsgBatchSubmissionZIP8">'Rough Summary'!$G$94</definedName>
    <definedName name="rsgBatchSubmissionZIP9">'Rough Summary'!$G$95</definedName>
    <definedName name="rsgBuilderComments">'Rough Summary'!$C$39</definedName>
    <definedName name="rsgBuilderDate">'Rough Summary'!$C$49</definedName>
    <definedName name="rsgBuilderEmail">'Rough Summary'!$C$45</definedName>
    <definedName name="rsgBuilderName">'Rough Summary'!$C$43</definedName>
    <definedName name="rsgBuilderPhone">'Rough Summary'!$C$47</definedName>
    <definedName name="rsgSampleDate1">'Rough Summary'!$C$162</definedName>
    <definedName name="rsgSampleDate10">'Rough Summary'!$C$171</definedName>
    <definedName name="rsgSampleDate11">'Rough Summary'!$C$172</definedName>
    <definedName name="rsgSampleDate12">'Rough Summary'!$C$173</definedName>
    <definedName name="rsgSampleDate13">'Rough Summary'!$C$174</definedName>
    <definedName name="rsgSampleDate14">'Rough Summary'!$C$175</definedName>
    <definedName name="rsgSampleDate15">'Rough Summary'!$C$176</definedName>
    <definedName name="rsgSampleDate16">'Rough Summary'!$C$177</definedName>
    <definedName name="rsgSampleDate2">'Rough Summary'!$C$163</definedName>
    <definedName name="rsgSampleDate3">'Rough Summary'!$C$164</definedName>
    <definedName name="rsgSampleDate4">'Rough Summary'!$C$165</definedName>
    <definedName name="rsgSampleDate5">'Rough Summary'!$C$166</definedName>
    <definedName name="rsgSampleDate6">'Rough Summary'!$C$167</definedName>
    <definedName name="rsgSampleDate7">'Rough Summary'!$C$168</definedName>
    <definedName name="rsgSampleDate8">'Rough Summary'!$C$169</definedName>
    <definedName name="rsgSampleDate9">'Rough Summary'!$C$170</definedName>
    <definedName name="rsgSampleNotes1">'Rough Summary'!$F$162</definedName>
    <definedName name="rsgSampleNotes10">'Rough Summary'!$F$171</definedName>
    <definedName name="rsgSampleNotes11">'Rough Summary'!$F$172</definedName>
    <definedName name="rsgSampleNotes12">'Rough Summary'!$F$173</definedName>
    <definedName name="rsgSampleNotes13">'Rough Summary'!$F$174</definedName>
    <definedName name="rsgSampleNotes14">'Rough Summary'!$F$175</definedName>
    <definedName name="rsgSampleNotes15">'Rough Summary'!$F$176</definedName>
    <definedName name="rsgSampleNotes16">'Rough Summary'!$F$177</definedName>
    <definedName name="rsgSampleNotes2">'Rough Summary'!$F$163</definedName>
    <definedName name="rsgSampleNotes3">'Rough Summary'!$F$164</definedName>
    <definedName name="rsgSampleNotes4">'Rough Summary'!$F$165</definedName>
    <definedName name="rsgSampleNotes5">'Rough Summary'!$F$166</definedName>
    <definedName name="rsgSampleNotes6">'Rough Summary'!$F$167</definedName>
    <definedName name="rsgSampleNotes7">'Rough Summary'!$F$168</definedName>
    <definedName name="rsgSampleNotes8">'Rough Summary'!$F$169</definedName>
    <definedName name="rsgSampleNotes9">'Rough Summary'!$F$170</definedName>
    <definedName name="rsgSampleUnitsAvailable1">'Rough Summary'!$D$162</definedName>
    <definedName name="rsgSampleUnitsAvailable10">'Rough Summary'!$D$171</definedName>
    <definedName name="rsgSampleUnitsAvailable11">'Rough Summary'!$D$172</definedName>
    <definedName name="rsgSampleUnitsAvailable12">'Rough Summary'!$D$173</definedName>
    <definedName name="rsgSampleUnitsAvailable13">'Rough Summary'!$D$174</definedName>
    <definedName name="rsgSampleUnitsAvailable14">'Rough Summary'!$D$175</definedName>
    <definedName name="rsgSampleUnitsAvailable15">'Rough Summary'!$D$176</definedName>
    <definedName name="rsgSampleUnitsAvailable16">'Rough Summary'!$D$177</definedName>
    <definedName name="rsgSampleUnitsAvailable2">'Rough Summary'!$D$163</definedName>
    <definedName name="rsgSampleUnitsAvailable3">'Rough Summary'!$D$164</definedName>
    <definedName name="rsgSampleUnitsAvailable4">'Rough Summary'!$D$165</definedName>
    <definedName name="rsgSampleUnitsAvailable5">'Rough Summary'!$D$166</definedName>
    <definedName name="rsgSampleUnitsAvailable6">'Rough Summary'!$D$167</definedName>
    <definedName name="rsgSampleUnitsAvailable7">'Rough Summary'!$D$168</definedName>
    <definedName name="rsgSampleUnitsAvailable8">'Rough Summary'!$D$169</definedName>
    <definedName name="rsgSampleUnitsAvailable9">'Rough Summary'!$D$170</definedName>
    <definedName name="rsgSampleUnitsInspected1">'Rough Summary'!$E$162</definedName>
    <definedName name="rsgSampleUnitsInspected10">'Rough Summary'!$E$171</definedName>
    <definedName name="rsgSampleUnitsInspected11">'Rough Summary'!$E$172</definedName>
    <definedName name="rsgSampleUnitsInspected12">'Rough Summary'!$E$173</definedName>
    <definedName name="rsgSampleUnitsInspected13">'Rough Summary'!$E$174</definedName>
    <definedName name="rsgSampleUnitsInspected14">'Rough Summary'!$E$175</definedName>
    <definedName name="rsgSampleUnitsInspected15">'Rough Summary'!$E$176</definedName>
    <definedName name="rsgSampleUnitsInspected16">'Rough Summary'!$E$177</definedName>
    <definedName name="rsgSampleUnitsInspected2">'Rough Summary'!$E$163</definedName>
    <definedName name="rsgSampleUnitsInspected3">'Rough Summary'!$E$164</definedName>
    <definedName name="rsgSampleUnitsInspected4">'Rough Summary'!$E$165</definedName>
    <definedName name="rsgSampleUnitsInspected5">'Rough Summary'!$E$166</definedName>
    <definedName name="rsgSampleUnitsInspected6">'Rough Summary'!$E$167</definedName>
    <definedName name="rsgSampleUnitsInspected7">'Rough Summary'!$E$168</definedName>
    <definedName name="rsgSampleUnitsInspected8">'Rough Summary'!$E$169</definedName>
    <definedName name="rsgSampleUnitsInspected9">'Rough Summary'!$E$170</definedName>
    <definedName name="rsgTeamVerifierElementsVerified1">'Rough Summary'!$E$75</definedName>
    <definedName name="rsgTeamVerifierElementsVerified2">'Rough Summary'!$E$76</definedName>
    <definedName name="rsgTeamVerifierElementsVerified3">'Rough Summary'!$E$77</definedName>
    <definedName name="rsgTeamVerifierElementsVerified4">'Rough Summary'!$E$78</definedName>
    <definedName name="rsgTeamVerifierElementsVerified5">'Rough Summary'!$E$79</definedName>
    <definedName name="rsgTeamVerifierInspectionDate1">'Rough Summary'!$G$75</definedName>
    <definedName name="rsgTeamVerifierInspectionDate2">'Rough Summary'!$G$76</definedName>
    <definedName name="rsgTeamVerifierInspectionDate3">'Rough Summary'!$G$77</definedName>
    <definedName name="rsgTeamVerifierInspectionDate4">'Rough Summary'!$G$78</definedName>
    <definedName name="rsgTeamVerifierInspectionDate5">'Rough Summary'!$G$79</definedName>
    <definedName name="rsgTeamVerifierName1">'Rough Summary'!$C$75</definedName>
    <definedName name="rsgTeamVerifierName2">'Rough Summary'!$C$76</definedName>
    <definedName name="rsgTeamVerifierName3">'Rough Summary'!$C$77</definedName>
    <definedName name="rsgTeamVerifierName4">'Rough Summary'!$C$78</definedName>
    <definedName name="rsgTeamVerifierName5">'Rough Summary'!$C$79</definedName>
    <definedName name="rsgTeamVerifierRole1">'Rough Summary'!$D$75</definedName>
    <definedName name="rsgTeamVerifierRole2">'Rough Summary'!$D$76</definedName>
    <definedName name="rsgTeamVerifierRole3">'Rough Summary'!$D$77</definedName>
    <definedName name="rsgTeamVerifierRole4">'Rough Summary'!$D$78</definedName>
    <definedName name="rsgTeamVerifierRole5">'Rough Summary'!$D$79</definedName>
    <definedName name="rsgVerifierComments">'Rough Summary'!$C$53</definedName>
    <definedName name="rsgVerifierDate">'Rough Summary'!$C$67</definedName>
    <definedName name="rsgVerifierEmail">'Rough Summary'!$C$59</definedName>
    <definedName name="rsgVerifierEndTime">'Rough Summary'!$C$65</definedName>
    <definedName name="rsgVerifierName">'Rough Summary'!$C$57</definedName>
    <definedName name="rsgVerifierPhone">'Rough Summary'!$C$61</definedName>
    <definedName name="rsgVerifierStartTime">'Rough Summary'!$C$63</definedName>
    <definedName name="SFIntro">Formulas!$X$6</definedName>
    <definedName name="startError">Points!$B$3</definedName>
    <definedName name="TorF">Dropdowns!$B$5:$B$6</definedName>
    <definedName name="vch1001_1_1">'Verification Report'!$AQ$2258</definedName>
    <definedName name="vch1001_1_10">'Verification Report'!$AQ$2273</definedName>
    <definedName name="vch1001_1_11">'Verification Report'!$AQ$2274</definedName>
    <definedName name="vch1001_1_12">'Verification Report'!$AQ$2275</definedName>
    <definedName name="vch1001_1_13">'Verification Report'!$AQ$2281</definedName>
    <definedName name="vch1001_1_14">'Verification Report'!$AQ$2285</definedName>
    <definedName name="vch1001_1_15">'Verification Report'!$AQ$2287</definedName>
    <definedName name="vch1001_1_16">'Verification Report'!$AQ$2289</definedName>
    <definedName name="vch1001_1_17">'Verification Report'!$AQ$2290</definedName>
    <definedName name="vch1001_1_18">'Verification Report'!$AQ$2292</definedName>
    <definedName name="vch1001_1_19">'Verification Report'!$AQ$2294</definedName>
    <definedName name="vch1001_1_2">'Verification Report'!$AQ$2259</definedName>
    <definedName name="vch1001_1_20">'Verification Report'!$AQ$2295</definedName>
    <definedName name="vch1001_1_21">'Verification Report'!$AQ$2297</definedName>
    <definedName name="vch1001_1_22">'Verification Report'!$AQ$2299</definedName>
    <definedName name="vch1001_1_23">'Verification Report'!$AQ$2301</definedName>
    <definedName name="vch1001_1_24">'Verification Report'!$AQ$2302</definedName>
    <definedName name="vch1001_1_3">'Verification Report'!$AQ$2260</definedName>
    <definedName name="vch1001_1_4">'Verification Report'!$AQ$2264</definedName>
    <definedName name="vch1001_1_5">'Verification Report'!$AQ$2265</definedName>
    <definedName name="vch1001_1_6">'Verification Report'!$AQ$2266</definedName>
    <definedName name="vch1001_1_7">'Verification Report'!$AQ$2268</definedName>
    <definedName name="vch1001_1_8">'Verification Report'!$AQ$2270</definedName>
    <definedName name="vch1001_1_9">'Verification Report'!$AQ$2271</definedName>
    <definedName name="vch1001_2">'Verification Report'!$AQ$2303</definedName>
    <definedName name="vch1002_1_1">'Verification Report'!$AQ$2325</definedName>
    <definedName name="vch1002_1_2">'Verification Report'!$AQ$2328</definedName>
    <definedName name="vch1002_1_3">'Verification Report'!$AQ$2331</definedName>
    <definedName name="vch1002_1_4">'Verification Report'!$AQ$2333</definedName>
    <definedName name="vch1002_1_5">'Verification Report'!$AQ$2334</definedName>
    <definedName name="vch1002_1_6">'Verification Report'!$AQ$2336</definedName>
    <definedName name="vch1002_1_7">'Verification Report'!$AQ$2337</definedName>
    <definedName name="vch1002_1_8">'Verification Report'!$AQ$2338</definedName>
    <definedName name="vch1002_2_1">'Verification Report'!$AQ$2344</definedName>
    <definedName name="vch1002_2_10">'Verification Report'!$AQ$2362</definedName>
    <definedName name="vch1002_2_11">'Verification Report'!$AQ$2365</definedName>
    <definedName name="vch1002_2_2">'Verification Report'!$AQ$2346</definedName>
    <definedName name="vch1002_2_3">'Verification Report'!$AQ$2349</definedName>
    <definedName name="vch1002_2_4">'Verification Report'!$AQ$2351</definedName>
    <definedName name="vch1002_2_5">'Verification Report'!$AQ$2354</definedName>
    <definedName name="vch1002_2_6">'Verification Report'!$AQ$2356</definedName>
    <definedName name="vch1002_2_7">'Verification Report'!$AQ$2357</definedName>
    <definedName name="vch1002_2_8">'Verification Report'!$AQ$2359</definedName>
    <definedName name="vch1002_2_9">'Verification Report'!$AQ$2361</definedName>
    <definedName name="vch1002_3_1">'Verification Report'!$AQ$2371</definedName>
    <definedName name="vch1002_3_10">'Verification Report'!$AQ$2392</definedName>
    <definedName name="vch1002_3_11">'Verification Report'!$AQ$2393</definedName>
    <definedName name="vch1002_3_2">'Verification Report'!$AQ$2373</definedName>
    <definedName name="vch1002_3_3">'Verification Report'!$AQ$2377</definedName>
    <definedName name="vch1002_3_4">'Verification Report'!$AQ$2384</definedName>
    <definedName name="vch1002_3_5">'Verification Report'!$AQ$2386</definedName>
    <definedName name="vch1002_3_6">'Verification Report'!$AQ$2387</definedName>
    <definedName name="vch1002_3_7">'Verification Report'!$AQ$2389</definedName>
    <definedName name="vch1002_3_8">'Verification Report'!$AQ$2390</definedName>
    <definedName name="vch1002_3_9">'Verification Report'!$AQ$2391</definedName>
    <definedName name="vch1002_4">'Verification Report'!$AQ$2395</definedName>
    <definedName name="vch1002_5_1">'Verification Report'!$AQ$2410</definedName>
    <definedName name="vch1002_5_2">'Verification Report'!$AQ$2411</definedName>
    <definedName name="vch1002_5_3">'Verification Report'!$AQ$2412</definedName>
    <definedName name="vch1002_5_4">'Verification Report'!$AQ$2414</definedName>
    <definedName name="vch1002_5_5">'Verification Report'!$AQ$2415</definedName>
    <definedName name="vch1002_5_6">'Verification Report'!$AQ$2416</definedName>
    <definedName name="vch1002_5_7">'Verification Report'!$AQ$2417</definedName>
    <definedName name="vch1002_5_8">'Verification Report'!$AQ$2418</definedName>
    <definedName name="vch1002_5_9">'Verification Report'!$AQ$2419</definedName>
    <definedName name="vch1002_6_1">'Verification Report'!$AQ$2424</definedName>
    <definedName name="vch1002_6_2">'Verification Report'!$AQ$2425</definedName>
    <definedName name="vch1002_6_3">'Verification Report'!$AQ$2426</definedName>
    <definedName name="vch1002_6_4">'Verification Report'!$AQ$2427</definedName>
    <definedName name="vch1002_6_5">'Verification Report'!$AQ$2428</definedName>
    <definedName name="vch1002_6_6">'Verification Report'!$AQ$2429</definedName>
    <definedName name="vch1002_6_7">'Verification Report'!$AQ$2430</definedName>
    <definedName name="vch1003_1_1">'Verification Report'!$AQ$2436</definedName>
    <definedName name="vch1003_1_2">'Verification Report'!$AQ$2438</definedName>
    <definedName name="vch1003_1_3">'Verification Report'!$AQ$2441</definedName>
    <definedName name="vch1004_1_1">'Verification Report'!$AQ$2454</definedName>
    <definedName name="vch1004_1_2">'Verification Report'!$AQ$2456</definedName>
    <definedName name="vch1005_1_1">'Verification Report'!$AQ$2460</definedName>
    <definedName name="vch1005_1_2">'Verification Report'!$AQ$2463</definedName>
    <definedName name="vch501_1_1">'Verification Report'!$AQ$14</definedName>
    <definedName name="vch501_1_2_a">'Verification Report'!$AQ$16</definedName>
    <definedName name="vch501_1_2_b">'Verification Report'!$AQ$17</definedName>
    <definedName name="vch501_1_2_c">'Verification Report'!$AQ$18</definedName>
    <definedName name="vch501_2_1">'Verification Report'!$AQ$21</definedName>
    <definedName name="vch501_2_2">'Verification Report'!$AQ$23</definedName>
    <definedName name="vch501_2_3">'Verification Report'!$AQ$25</definedName>
    <definedName name="vch501_2_4">'Verification Report'!$AQ$27</definedName>
    <definedName name="vch501_2_4_1">'Verification Report'!$AQ$37</definedName>
    <definedName name="vch501_2_5">'Verification Report'!$AQ$42</definedName>
    <definedName name="vch501_2_6">'Verification Report'!$AQ$45</definedName>
    <definedName name="vch501_2_6_d">'Verification Report'!$AQ$50</definedName>
    <definedName name="vch501_2_7">'Verification Report'!$AQ$52</definedName>
    <definedName name="vch501_2_8">'Verification Report'!$AQ$55</definedName>
    <definedName name="vch502_1">'Verification Report'!$AQ$58</definedName>
    <definedName name="vch503_1_1">'Verification Report'!$AQ$69</definedName>
    <definedName name="vch503_1_2">'Verification Report'!$AQ$71</definedName>
    <definedName name="vch503_1_3">'Verification Report'!$AQ$73</definedName>
    <definedName name="vch503_1_4">'Verification Report'!$AQ$75</definedName>
    <definedName name="vch503_1_5">'Verification Report'!$AQ$77</definedName>
    <definedName name="vch503_1_6">'Verification Report'!$AQ$79</definedName>
    <definedName name="vch503_1_7">'Verification Report'!$AQ$81</definedName>
    <definedName name="vch503_1_8">'Verification Report'!$AQ$83</definedName>
    <definedName name="vch503_2">'Verification Report'!$AQ$89</definedName>
    <definedName name="vch503_2_1">'Verification Report'!$AQ$90</definedName>
    <definedName name="vch503_2_2">'Verification Report'!$AQ$91</definedName>
    <definedName name="vch503_2_3">'Verification Report'!$AQ$93</definedName>
    <definedName name="vch503_2_4">'Verification Report'!$AQ$98</definedName>
    <definedName name="vch503_2_5">'Verification Report'!$AQ$100</definedName>
    <definedName name="vch503_3_1">'Verification Report'!$AQ$104</definedName>
    <definedName name="vch503_3_2_a">'Verification Report'!$AQ$108</definedName>
    <definedName name="vch503_3_2_b">'Verification Report'!$AQ$109</definedName>
    <definedName name="vch503_3_2_c">'Verification Report'!$AQ$111</definedName>
    <definedName name="vch503_3_2_d">'Verification Report'!$AQ$112</definedName>
    <definedName name="vch503_3_3">'Verification Report'!$AQ$113</definedName>
    <definedName name="vch503_4_1">'Verification Report'!$AQ$121</definedName>
    <definedName name="vch503_4_2">'Verification Report'!$AQ$124</definedName>
    <definedName name="vch503_4_3">'Verification Report'!$AQ$128</definedName>
    <definedName name="vch503_4_4">'Verification Report'!$AQ$135</definedName>
    <definedName name="vch503_4_4_c_1">'Verification Report'!$AQ$140</definedName>
    <definedName name="vch503_4_5">'Verification Report'!$AQ$142</definedName>
    <definedName name="vch503_5">'Verification Report'!$AQ$147</definedName>
    <definedName name="vch503_5_1">'Verification Report'!$AQ$149</definedName>
    <definedName name="vch503_5_10">'Verification Report'!$AQ$178</definedName>
    <definedName name="vch503_5_11">'Verification Report'!$AQ$181</definedName>
    <definedName name="vch503_5_12">'Verification Report'!$AQ$183</definedName>
    <definedName name="vch503_5_13">'Verification Report'!$AQ$185</definedName>
    <definedName name="vch503_5_2">'Verification Report'!$AQ$155</definedName>
    <definedName name="vch503_5_3">'Verification Report'!$AQ$157</definedName>
    <definedName name="vch503_5_4">'Verification Report'!$AQ$160</definedName>
    <definedName name="vch503_5_5">'Verification Report'!$AQ$162</definedName>
    <definedName name="vch503_5_6">'Verification Report'!$AQ$165</definedName>
    <definedName name="vch503_5_7">'Verification Report'!$AQ$170</definedName>
    <definedName name="vch503_5_8">'Verification Report'!$AQ$171</definedName>
    <definedName name="vch503_5_9">'Verification Report'!$AQ$176</definedName>
    <definedName name="vch503_6_1">'Verification Report'!$AQ$189</definedName>
    <definedName name="vch503_6_2">'Verification Report'!$AQ$190</definedName>
    <definedName name="vch503_6_3">'Verification Report'!$AQ$191</definedName>
    <definedName name="vch503_6_4">'Verification Report'!$AQ$193</definedName>
    <definedName name="vch503_7">'Verification Report'!$AQ$194</definedName>
    <definedName name="vch503_8">'Verification Report'!$AQ$201</definedName>
    <definedName name="vch504_1">'Verification Report'!$AQ$208</definedName>
    <definedName name="vch504_2_1">'Verification Report'!$AQ$215</definedName>
    <definedName name="vch504_2_2">'Verification Report'!$AQ$216</definedName>
    <definedName name="vch504_2_3">'Verification Report'!$AQ$218</definedName>
    <definedName name="vch504_3_1">'Verification Report'!$AQ$223</definedName>
    <definedName name="vch504_3_2">'Verification Report'!$AQ$225</definedName>
    <definedName name="vch504_3_3">'Verification Report'!$AQ$226</definedName>
    <definedName name="vch504_3_4">'Verification Report'!$AQ$228</definedName>
    <definedName name="vch504_3_5">'Verification Report'!$AQ$230</definedName>
    <definedName name="vch504_3_6">'Verification Report'!$AQ$234</definedName>
    <definedName name="vch504_3_7">'Verification Report'!$AQ$237</definedName>
    <definedName name="vch504_3_8a">'Verification Report'!$AQ$239</definedName>
    <definedName name="vch504_3_8b">'Verification Report'!$AQ$240</definedName>
    <definedName name="vch504_3_8c">'Verification Report'!$AQ$241</definedName>
    <definedName name="vch504_3_8d">'Verification Report'!$AQ$242</definedName>
    <definedName name="vch504_3_8e">'Verification Report'!$AQ$243</definedName>
    <definedName name="vch504_3_8f">'Verification Report'!$AQ$244</definedName>
    <definedName name="vch504_3_9">'Verification Report'!$AQ$246</definedName>
    <definedName name="vch505_1_1">'Verification Report'!$AQ$253</definedName>
    <definedName name="vch505_1_2">'Verification Report'!$AQ$255</definedName>
    <definedName name="vch505_1_3">'Verification Report'!$AQ$257</definedName>
    <definedName name="vch505_10_a">'Verification Report'!$AQ$321</definedName>
    <definedName name="vch505_10_b">'Verification Report'!$AQ$323</definedName>
    <definedName name="vch505_10_c">'Verification Report'!$AQ$325</definedName>
    <definedName name="vch505_2_1_a">'Verification Report'!$AQ$264</definedName>
    <definedName name="vch505_2_1_b">'Verification Report'!$AQ$267</definedName>
    <definedName name="vch505_2_1_c">'Verification Report'!$AQ$271</definedName>
    <definedName name="vch505_2_2">'Verification Report'!$AQ$272</definedName>
    <definedName name="vch505_3_1">'Verification Report'!$AQ$276</definedName>
    <definedName name="vch505_4_1">'Verification Report'!$AQ$282</definedName>
    <definedName name="vch505_5_a">'Verification Report'!$AQ$286</definedName>
    <definedName name="vch505_5_b">'Verification Report'!$AQ$288</definedName>
    <definedName name="vch505_5_c">'Verification Report'!$AQ$291</definedName>
    <definedName name="vch505_5_d">'Verification Report'!$AQ$292</definedName>
    <definedName name="vch505_6">'Verification Report'!$AQ$294</definedName>
    <definedName name="vch505_7">'Verification Report'!$AQ$305</definedName>
    <definedName name="vch505_8">'Verification Report'!$AQ$309</definedName>
    <definedName name="vch505_9_a">'Verification Report'!$AQ$312</definedName>
    <definedName name="vch505_9_b">'Verification Report'!$AQ$315</definedName>
    <definedName name="vch505_9_c">'Verification Report'!$AQ$316</definedName>
    <definedName name="vch601_2_1">'Verification Report'!$AQ$349</definedName>
    <definedName name="vch601_2_2">'Verification Report'!$AQ$352</definedName>
    <definedName name="vch601_2_3">'Verification Report'!$AQ$355</definedName>
    <definedName name="vch601_3_1">'Verification Report'!$AQ$359</definedName>
    <definedName name="vch601_3_2">'Verification Report'!$AQ$360</definedName>
    <definedName name="vch601_3_3">'Verification Report'!$AQ$361</definedName>
    <definedName name="vch601_3_4">'Verification Report'!$AQ$362</definedName>
    <definedName name="vch601_3_5">'Verification Report'!$AQ$363</definedName>
    <definedName name="vch601_4">'Verification Report'!$AQ$364</definedName>
    <definedName name="vch601_5_1">'Verification Report'!$AQ$370</definedName>
    <definedName name="vch601_5_2">'Verification Report'!$AQ$371</definedName>
    <definedName name="vch601_5_3">'Verification Report'!$AQ$372</definedName>
    <definedName name="vch601_5_4">'Verification Report'!$AQ$373</definedName>
    <definedName name="vch601_5_5">'Verification Report'!$AQ$374</definedName>
    <definedName name="vch601_7_a">'Verification Report'!$AQ$383</definedName>
    <definedName name="vch601_7_b">'Verification Report'!$AQ$384</definedName>
    <definedName name="vch601_7_c">'Verification Report'!$AQ$385</definedName>
    <definedName name="vch601_7_d">'Verification Report'!$AQ$389</definedName>
    <definedName name="vch601_7_e">'Verification Report'!$AQ$391</definedName>
    <definedName name="vch601_8">'Verification Report'!$AQ$398</definedName>
    <definedName name="vch602_1_1_1">'Verification Report'!$AQ$411</definedName>
    <definedName name="vch602_1_1_2">'Verification Report'!$AQ$414</definedName>
    <definedName name="vch602_1_10">'Verification Report'!$AQ$511</definedName>
    <definedName name="vch602_1_11">'Verification Report'!$AQ$523</definedName>
    <definedName name="vch602_1_12">'Verification Report'!$AQ$525</definedName>
    <definedName name="vch602_1_13">'Verification Report'!$AQ$528</definedName>
    <definedName name="vch602_1_14_1">'Verification Report'!$AQ$534</definedName>
    <definedName name="vch602_1_14_2">'Verification Report'!$AQ$536</definedName>
    <definedName name="vch602_1_14_3">'Verification Report'!$AQ$537</definedName>
    <definedName name="vch602_1_15">'Verification Report'!$AQ$538</definedName>
    <definedName name="vch602_1_2__1">'Verification Report'!$AQ$418</definedName>
    <definedName name="vch602_1_2__2">'Verification Report'!$AQ$419</definedName>
    <definedName name="vch602_1_3_1">'Verification Report'!$AQ$421</definedName>
    <definedName name="vch602_1_3_2">'Verification Report'!$AQ$423</definedName>
    <definedName name="vch602_1_4_1_1">'Verification Report'!$AQ$429</definedName>
    <definedName name="vch602_1_4_1_2">'Verification Report'!$AQ$431</definedName>
    <definedName name="vch602_1_4_2_1">'Verification Report'!$AQ$435</definedName>
    <definedName name="vch602_1_4_2_2">'Verification Report'!$AQ$437</definedName>
    <definedName name="vch602_1_5">'Verification Report'!$AQ$440</definedName>
    <definedName name="vch602_1_5_1">'Verification Report'!$AQ$441</definedName>
    <definedName name="vch602_1_5_2">'Verification Report'!$AQ$443</definedName>
    <definedName name="vch602_1_6_1">'Verification Report'!$AQ$449</definedName>
    <definedName name="vch602_1_6_2">'Verification Report'!$AQ$453</definedName>
    <definedName name="vch602_1_6_3">'Verification Report'!$AQ$457</definedName>
    <definedName name="vch602_1_7_1_1">'Verification Report'!$AQ$462</definedName>
    <definedName name="vch602_1_7_1_2">'Verification Report'!$AQ$464</definedName>
    <definedName name="vch602_1_7_1_3">'Verification Report'!$AQ$467</definedName>
    <definedName name="vch602_1_7_2">'Verification Report'!$AQ$469</definedName>
    <definedName name="vch602_1_7_3">'Verification Report'!$AQ$471</definedName>
    <definedName name="vch602_1_8">'Verification Report'!$AQ$475</definedName>
    <definedName name="vch602_1_9_1">'Verification Report'!$AQ$483</definedName>
    <definedName name="vch602_1_9_2">'Verification Report'!$AQ$493</definedName>
    <definedName name="vch602_1_9_3">'Verification Report'!$AQ$496</definedName>
    <definedName name="vch602_1_9_4">'Verification Report'!$AQ$497</definedName>
    <definedName name="vch602_1_9_5">'Verification Report'!$AQ$501</definedName>
    <definedName name="vch602_1_9_6">'Verification Report'!$AQ$507</definedName>
    <definedName name="vch602_1_9_7">'Verification Report'!$AQ$509</definedName>
    <definedName name="vch602_2_1">'Verification Report'!$AQ$545</definedName>
    <definedName name="vch602_2_2">'Verification Report'!$AQ$547</definedName>
    <definedName name="vch602_2_3">'Verification Report'!$AQ$548</definedName>
    <definedName name="vch602_3">'Verification Report'!$AQ$551</definedName>
    <definedName name="vch602_4_1">'Verification Report'!$AQ$555</definedName>
    <definedName name="vch602_4_2">'Verification Report'!$AQ$560</definedName>
    <definedName name="vch602_4_3">'Verification Report'!$AQ$562</definedName>
    <definedName name="vch603_1">'Verification Report'!$AQ$566</definedName>
    <definedName name="vch603_2">'Verification Report'!$AQ$572</definedName>
    <definedName name="vch603_3">'Verification Report'!$AQ$579</definedName>
    <definedName name="vch604_1a">'Verification Report'!$AQ$584</definedName>
    <definedName name="vch604_1b">'Verification Report'!$AQ$586</definedName>
    <definedName name="vch604_1c">'Verification Report'!$AQ$588</definedName>
    <definedName name="vch604_1d">'Verification Report'!$AQ$590</definedName>
    <definedName name="vch605_1">'Verification Report'!$AQ$593</definedName>
    <definedName name="vch605_2">'Verification Report'!$AQ$596</definedName>
    <definedName name="vch605_2_2">'Verification Report'!$AQ$609</definedName>
    <definedName name="vch605_3">'Verification Report'!$AQ$611</definedName>
    <definedName name="vch605_4_2_a">'Verification Report'!$AQ$624</definedName>
    <definedName name="vch605_4_2_b">'Verification Report'!$AQ$625</definedName>
    <definedName name="vch605_4_2_c">'Verification Report'!$AQ$626</definedName>
    <definedName name="vch605_4_2_d">'Verification Report'!$AQ$627</definedName>
    <definedName name="vch605_4_2_e">'Verification Report'!$AQ$628</definedName>
    <definedName name="vch605_4_2_f">'Verification Report'!$AQ$629</definedName>
    <definedName name="vch605_4_2_g">'Verification Report'!$AQ$630</definedName>
    <definedName name="vch605_4_2_h">'Verification Report'!$AQ$631</definedName>
    <definedName name="vch605_4_2_i">'Verification Report'!$AQ$632</definedName>
    <definedName name="vch606_1_a">'Verification Report'!$AQ$637</definedName>
    <definedName name="vch606_1_b">'Verification Report'!$AQ$638</definedName>
    <definedName name="vch606_1_c">'Verification Report'!$AQ$639</definedName>
    <definedName name="vch606_1_d">'Verification Report'!$AQ$640</definedName>
    <definedName name="vch606_1_e">'Verification Report'!$AQ$641</definedName>
    <definedName name="vch606_1_f">'Verification Report'!$AQ$642</definedName>
    <definedName name="vch606_1_g">'Verification Report'!$AQ$643</definedName>
    <definedName name="vch606_1_h">'Verification Report'!$AQ$644</definedName>
    <definedName name="vch606_2_1a">'Verification Report'!$AQ$668</definedName>
    <definedName name="vch606_2_1b">'Verification Report'!$AQ$669</definedName>
    <definedName name="vch606_2_2a">'Verification Report'!$AQ$671</definedName>
    <definedName name="vch606_2_2b">'Verification Report'!$AQ$672</definedName>
    <definedName name="vch606_3">'Verification Report'!$AQ$674</definedName>
    <definedName name="vch607_1_1">'Verification Report'!$AQ$683</definedName>
    <definedName name="vch607_1_2">'Verification Report'!$AQ$688</definedName>
    <definedName name="vch607_2">'Verification Report'!$AQ$694</definedName>
    <definedName name="vch608_1">'Verification Report'!$AQ$697</definedName>
    <definedName name="vch609_1_1">'Verification Report'!$AQ$708</definedName>
    <definedName name="vch609_1_2">'Verification Report'!$AQ$710</definedName>
    <definedName name="vch610_1_1_1">'Verification Report'!$AQ$727</definedName>
    <definedName name="vch610_1_1_2">'Verification Report'!$AQ$736</definedName>
    <definedName name="vch610_1_1_3">'Verification Report'!$AQ$744</definedName>
    <definedName name="vch610_1_2_1a">'Verification Report'!$AQ$752</definedName>
    <definedName name="vch610_1_2_1b">'Verification Report'!$AQ$759</definedName>
    <definedName name="vch610_1_2_2_f">'Verification Report'!$AQ$784</definedName>
    <definedName name="vch610_1_2_2a">'Verification Report'!$AQ$765</definedName>
    <definedName name="vch610_1_2_2b">'Verification Report'!$AQ$772</definedName>
    <definedName name="vch610_1_2_2c">'Verification Report'!$AQ$778</definedName>
    <definedName name="vch611_1_1">'Verification Report'!$AQ$796</definedName>
    <definedName name="vch611_1_2">'Verification Report'!$AQ$807</definedName>
    <definedName name="vch612_1">'Verification Report'!$AQ$813</definedName>
    <definedName name="vch612_2_1">'Verification Report'!$AQ$824</definedName>
    <definedName name="vch612_2_2">'Verification Report'!$AQ$825</definedName>
    <definedName name="vch612_2_3">'Verification Report'!$AQ$827</definedName>
    <definedName name="vch612_2_4">'Verification Report'!$AQ$829</definedName>
    <definedName name="vch612_2_5">'Verification Report'!$AQ$831</definedName>
    <definedName name="vch612_2_6">'Verification Report'!$AQ$833</definedName>
    <definedName name="vch612_2_7">'Verification Report'!$AQ$835</definedName>
    <definedName name="vch612_3_1">'Verification Report'!$AQ$839</definedName>
    <definedName name="vch612_3_2">'Verification Report'!$AQ$844</definedName>
    <definedName name="vch612_3_3">'Verification Report'!$AQ$848</definedName>
    <definedName name="vch612_3_4">'Verification Report'!$AQ$850</definedName>
    <definedName name="vch612_3_5">'Verification Report'!$AQ$852</definedName>
    <definedName name="vch612_3_6">'Verification Report'!$AQ$853</definedName>
    <definedName name="vch612_3_7">'Verification Report'!$AQ$854</definedName>
    <definedName name="vch612_3_8">'Verification Report'!$AQ$858</definedName>
    <definedName name="vch612_3_9">'Verification Report'!$AQ$860</definedName>
    <definedName name="vch613_1">'Verification Report'!$AQ$864</definedName>
    <definedName name="vch701_1">'Verification Report'!$AQ$882</definedName>
    <definedName name="vch701_1_">'Verification Report'!$AQ$884</definedName>
    <definedName name="vch701_1_4">'Verification Report'!$AQ$898</definedName>
    <definedName name="vch701_1_4_">'Verification Report'!$AQ$900</definedName>
    <definedName name="vch701_1_6_1">'Verification Report'!$AQ$911</definedName>
    <definedName name="vch701_1_6_2">'Verification Report'!$AQ$912</definedName>
    <definedName name="vch701_1_6_3">'Verification Report'!$AQ$914</definedName>
    <definedName name="vch701_1_6_4">'Verification Report'!$AQ$915</definedName>
    <definedName name="vch701_1_6_5">'Verification Report'!$AQ$917</definedName>
    <definedName name="vch701_1_6_6_a">'Verification Report'!$AQ$920</definedName>
    <definedName name="vch701_1_6_6_b">'Verification Report'!$AQ$921</definedName>
    <definedName name="vch701_1_6_6_c">'Verification Report'!$AQ$922</definedName>
    <definedName name="vch701_1_6_7_a">'Verification Report'!$AQ$924</definedName>
    <definedName name="vch701_1_6_7_b">'Verification Report'!$AQ$925</definedName>
    <definedName name="vch701_1_6_7_c">'Verification Report'!$AQ$926</definedName>
    <definedName name="vch701_1_6_8">'Verification Report'!$AQ$927</definedName>
    <definedName name="vch701_1_6_9">'Verification Report'!$AQ$929</definedName>
    <definedName name="vch701_3">'Verification Report'!$AQ$933</definedName>
    <definedName name="vch701_4_1">'Verification Report'!$AQ$947</definedName>
    <definedName name="vch701_4_1_1">'Verification Report'!$AQ$938</definedName>
    <definedName name="vch701_4_1_2">'Verification Report'!$AQ$941</definedName>
    <definedName name="vch701_4_2_2">'Verification Report'!$AQ$950</definedName>
    <definedName name="vch701_4_2_3">'Verification Report'!$AQ$951</definedName>
    <definedName name="vch701_4_3_1">'Verification Report'!$AQ$955</definedName>
    <definedName name="vch701_4_3_1_a">'Verification Report'!$AQ$958</definedName>
    <definedName name="vch701_4_3_1_b">'Verification Report'!$AQ$959</definedName>
    <definedName name="vch701_4_3_1_c">'Verification Report'!$AQ$960</definedName>
    <definedName name="vch701_4_3_1_d">'Verification Report'!$AQ$961</definedName>
    <definedName name="vch701_4_3_1_e">'Verification Report'!$AQ$962</definedName>
    <definedName name="vch701_4_3_1_f">'Verification Report'!$AQ$963</definedName>
    <definedName name="vch701_4_3_1_g">'Verification Report'!$AQ$964</definedName>
    <definedName name="vch701_4_3_1_h">'Verification Report'!$AQ$965</definedName>
    <definedName name="vch701_4_3_1_i">'Verification Report'!$AQ$966</definedName>
    <definedName name="vch701_4_3_1_j">'Verification Report'!$AQ$967</definedName>
    <definedName name="vch701_4_3_1_k">'Verification Report'!$AQ$968</definedName>
    <definedName name="vch701_4_3_1_l">'Verification Report'!$AQ$969</definedName>
    <definedName name="vch701_4_3_1_m">'Verification Report'!$AQ$970</definedName>
    <definedName name="vch701_4_3_2_1">'Verification Report'!$AQ$994</definedName>
    <definedName name="vch701_4_3_2_1_">'Verification Report'!$AQ$975</definedName>
    <definedName name="vch701_4_3_2_2">'Verification Report'!$AQ$991</definedName>
    <definedName name="vch701_4_3_2e">'Verification Report'!$AQ$978</definedName>
    <definedName name="vch701_4_3_4">'Verification Report'!$AQ$1020</definedName>
    <definedName name="vch701_4_3_5">'Verification Report'!$AQ$1030</definedName>
    <definedName name="vch701_4_4_1">'Verification Report'!$AQ$1040</definedName>
    <definedName name="vch701_4_4_2">'Verification Report'!$AQ$1042</definedName>
    <definedName name="vch701_4_5">'Verification Report'!$AQ$1043</definedName>
    <definedName name="vch702_2_1">'Verification Report'!$AQ$1049</definedName>
    <definedName name="vch702_2_2">'Verification Report'!$AQ$1055</definedName>
    <definedName name="vch703_1_1">'Verification Report'!$AQ$1066</definedName>
    <definedName name="vch703_1_2">'Verification Report'!$AQ$1081</definedName>
    <definedName name="vch703_1_3">'Verification Report'!$AQ$1084</definedName>
    <definedName name="vch703_1_3_1">'Verification Report'!$AQ$1086</definedName>
    <definedName name="vch703_1_3_2">'Verification Report'!$AQ$1088</definedName>
    <definedName name="vch703_2_1">'Verification Report'!$AQ$1090</definedName>
    <definedName name="vch703_2_1_2">'Verification Report'!$AQ$1092</definedName>
    <definedName name="vch703_2_2">'Verification Report'!$AQ$1098</definedName>
    <definedName name="vch703_2_3">'Verification Report'!$AQ$1099</definedName>
    <definedName name="vch703_2_5_1">'Verification Report'!$AQ$1106</definedName>
    <definedName name="vch703_2_5_1_1">'Verification Report'!$AQ$1114</definedName>
    <definedName name="vch703_2_5_2">'Verification Report'!$AQ$1122</definedName>
    <definedName name="vch703_2_5_2_1">'Verification Report'!$AQ$1130</definedName>
    <definedName name="vch703_3_0_1">'Verification Report'!$AQ$1141</definedName>
    <definedName name="vch703_3_0_2">'Verification Report'!$AQ$1148</definedName>
    <definedName name="vch703_3_1">'Verification Report'!$AQ$1154</definedName>
    <definedName name="vch703_3_2__1_1">'Verification Report'!$AQ$1161</definedName>
    <definedName name="vch703_3_2__2_1">'Verification Report'!$AQ$1167</definedName>
    <definedName name="vch703_3_2__3_1">'Verification Report'!$AQ$1170</definedName>
    <definedName name="vch703_3_2__4_1">'Verification Report'!$AQ$1175</definedName>
    <definedName name="vch703_3_3__1_1">'Verification Report'!$AQ$1181</definedName>
    <definedName name="vch703_3_3__2">'Verification Report'!$AQ$1186</definedName>
    <definedName name="vch703_3_3__3">'Verification Report'!$AQ$1188</definedName>
    <definedName name="vch703_3_4_1_1">'Verification Report'!$AQ$1193</definedName>
    <definedName name="vch703_3_4_1_6">'Verification Report'!$AQ$1198</definedName>
    <definedName name="vch703_3_4_2">'Verification Report'!$AQ$1200</definedName>
    <definedName name="vch703_3_5">'Verification Report'!$AQ$1201</definedName>
    <definedName name="vch703_3_6">'Verification Report'!$AQ$1206</definedName>
    <definedName name="vch703_3_7_1">'Verification Report'!$AQ$1211</definedName>
    <definedName name="vch703_3_7_2">'Verification Report'!$AQ$1213</definedName>
    <definedName name="vch703_3_8">'Verification Report'!$AQ$1218</definedName>
    <definedName name="vch703_4_1">'Verification Report'!$AQ$1224</definedName>
    <definedName name="vch703_4_2">'Verification Report'!$AQ$1226</definedName>
    <definedName name="vch703_4_3_1">'Verification Report'!$AQ$1229</definedName>
    <definedName name="vch703_4_3_2">'Verification Report'!$AQ$1230</definedName>
    <definedName name="vch703_4_3_3">'Verification Report'!$AQ$1232</definedName>
    <definedName name="vch703_4_4">'Verification Report'!$AQ$1234</definedName>
    <definedName name="vch703_5_1">'Verification Report'!$AQ$1245</definedName>
    <definedName name="vch703_5_1_1">'Verification Report'!$AQ$1251</definedName>
    <definedName name="vch703_5_1_1_a">'Verification Report'!$AQ$1253</definedName>
    <definedName name="vch703_5_1_2">'Verification Report'!$AQ$1270</definedName>
    <definedName name="vch703_5_1_2_a">'Verification Report'!$AQ$1272</definedName>
    <definedName name="vch703_5_1_3">'Verification Report'!$AQ$1292</definedName>
    <definedName name="vch703_5_2">'Verification Report'!$AQ$1293</definedName>
    <definedName name="vch703_5_3">'Verification Report'!$AQ$1295</definedName>
    <definedName name="vch703_5_4">'Verification Report'!$AQ$1297</definedName>
    <definedName name="vch703_5_5">'Verification Report'!$AQ$1299</definedName>
    <definedName name="vch703_5_5_a">'Verification Report'!$AQ$1301</definedName>
    <definedName name="vch703_6_1_1">'Verification Report'!$AQ$1318</definedName>
    <definedName name="vch703_6_1_2">'Verification Report'!$AQ$1320</definedName>
    <definedName name="vch703_6_1_3">'Verification Report'!$AQ$1322</definedName>
    <definedName name="vch703_6_2__1">'Verification Report'!$AQ$1325</definedName>
    <definedName name="vch703_6_2__2">'Verification Report'!$AQ$1326</definedName>
    <definedName name="vch703_6_2__3">'Verification Report'!$AQ$1327</definedName>
    <definedName name="vch703_7_1">'Verification Report'!$AQ$1330</definedName>
    <definedName name="vch703_7_2">'Verification Report'!$AQ$1357</definedName>
    <definedName name="vch703_7_3_1_a">'Verification Report'!$AQ$1365</definedName>
    <definedName name="vch703_7_3_1_b">'Verification Report'!$AQ$1367</definedName>
    <definedName name="vch703_7_3_1_c">'Verification Report'!$AQ$1368</definedName>
    <definedName name="vch703_7_3_1_d">'Verification Report'!$AQ$1369</definedName>
    <definedName name="vch703_7_3_2">'Verification Report'!$AQ$1371</definedName>
    <definedName name="vch703_7_3_3">'Verification Report'!$AQ$1374</definedName>
    <definedName name="vch703_7_3_4">'Verification Report'!$AQ$1376</definedName>
    <definedName name="vch703_7_3_5_a">'Verification Report'!$AQ$1381</definedName>
    <definedName name="vch703_7_3_5_b">'Verification Report'!$AQ$1383</definedName>
    <definedName name="vch703_7_3_6">'Verification Report'!$AQ$1385</definedName>
    <definedName name="vch703_7_4">'Verification Report'!$AQ$1387</definedName>
    <definedName name="vch704_2_1">'Verification Report'!$AQ$1417</definedName>
    <definedName name="vch704_2_2">'Verification Report'!$AQ$1419</definedName>
    <definedName name="vch705_2_1_1">'Verification Report'!$AQ$1427</definedName>
    <definedName name="vch705_2_1_2">'Verification Report'!$AQ$1431</definedName>
    <definedName name="vch705_2_1_3_1">'Verification Report'!$AQ$1434</definedName>
    <definedName name="vch705_2_1_3_2">'Verification Report'!$AQ$1438</definedName>
    <definedName name="vch705_2_1_4">'Verification Report'!$AQ$1443</definedName>
    <definedName name="vch705_2_2">'Verification Report'!$AQ$1448</definedName>
    <definedName name="vch705_2_3">'Verification Report'!$AQ$1451</definedName>
    <definedName name="vch705_2_4">'Verification Report'!$AQ$1454</definedName>
    <definedName name="vch705_3">'Verification Report'!$AQ$1456</definedName>
    <definedName name="vch705_4">'Verification Report'!$AQ$1457</definedName>
    <definedName name="vch705_5_1_1">'Verification Report'!$AQ$1462</definedName>
    <definedName name="vch705_5_1_2">'Verification Report'!$AQ$1465</definedName>
    <definedName name="vch705_5_2">'Verification Report'!$AQ$1467</definedName>
    <definedName name="vch705_5_3_1">'Verification Report'!$AQ$1476</definedName>
    <definedName name="vch705_5_3_2">'Verification Report'!$AQ$1478</definedName>
    <definedName name="vch705_6_2_1_1_1">'Verification Report'!$AQ$1493</definedName>
    <definedName name="vch705_6_2_1_1_2">'Verification Report'!$AQ$1495</definedName>
    <definedName name="vch705_6_2_1_2">'Verification Report'!$AQ$1496</definedName>
    <definedName name="vch705_6_2_2_1">'Verification Report'!$AQ$1502</definedName>
    <definedName name="vch705_6_2_2_2">'Verification Report'!$AQ$1504</definedName>
    <definedName name="vch705_6_2_3">'Verification Report'!$AQ$1507</definedName>
    <definedName name="vch705_6_3">'Verification Report'!$AQ$1513</definedName>
    <definedName name="vch705_6_3_1">'Verification Report'!$AQ$1515</definedName>
    <definedName name="vch705_6_4_1">'Verification Report'!$AQ$1525</definedName>
    <definedName name="vch705_6_4_2">'Verification Report'!$AQ$1527</definedName>
    <definedName name="vch705_7">'Verification Report'!$AQ$1529</definedName>
    <definedName name="vch706_1_1">'Verification Report'!$AQ$1536</definedName>
    <definedName name="vch706_1_2">'Verification Report'!$AQ$1537</definedName>
    <definedName name="vch706_1_3">'Verification Report'!$AQ$1538</definedName>
    <definedName name="vch706_1_4">'Verification Report'!$AQ$1539</definedName>
    <definedName name="vch706_1_5">'Verification Report'!$AQ$1541</definedName>
    <definedName name="vch706_10">'Verification Report'!$AQ$1611</definedName>
    <definedName name="vch706_11">'Verification Report'!$AQ$1616</definedName>
    <definedName name="vch706_12">'Verification Report'!$AQ$1618</definedName>
    <definedName name="vch706_13">'Verification Report'!$AQ$1622</definedName>
    <definedName name="vch706_14_1">'Verification Report'!$AQ$1627</definedName>
    <definedName name="vch706_14_2">'Verification Report'!$AQ$1631</definedName>
    <definedName name="vch706_15_1">'Verification Report'!$AQ$1636</definedName>
    <definedName name="vch706_15_2">'Verification Report'!$AQ$1637</definedName>
    <definedName name="vch706_2_1">'Verification Report'!$AQ$1544</definedName>
    <definedName name="vch706_2_2">'Verification Report'!$AQ$1549</definedName>
    <definedName name="vch706_3_1">'Verification Report'!$AQ$1564</definedName>
    <definedName name="vch706_3_2">'Verification Report'!$AQ$1565</definedName>
    <definedName name="vch706_3_3">'Verification Report'!$AQ$1566</definedName>
    <definedName name="vch706_3_4">'Verification Report'!$AQ$1567</definedName>
    <definedName name="vch706_3_5">'Verification Report'!$AQ$1568</definedName>
    <definedName name="vch706_3_6">'Verification Report'!$AQ$1569</definedName>
    <definedName name="vch706_3_7">'Verification Report'!$AQ$1570</definedName>
    <definedName name="vch706_3_8">'Verification Report'!$AQ$1571</definedName>
    <definedName name="vch706_4_1_1">'Verification Report'!$AQ$1574</definedName>
    <definedName name="vch706_4_1_2">'Verification Report'!$AQ$1576</definedName>
    <definedName name="vch706_4_2">'Verification Report'!$AQ$1578</definedName>
    <definedName name="vch706_5_1">'Verification Report'!$AQ$1581</definedName>
    <definedName name="vch706_5_2">'Verification Report'!$AQ$1583</definedName>
    <definedName name="vch706_5_3">'Verification Report'!$AQ$1585</definedName>
    <definedName name="vch706_6">'Verification Report'!$AQ$1595</definedName>
    <definedName name="vch706_7_1">'Verification Report'!$AQ$1599</definedName>
    <definedName name="vch706_7_2">'Verification Report'!$AQ$1600</definedName>
    <definedName name="vch706_8">'Verification Report'!$AQ$1603</definedName>
    <definedName name="vch706_9">'Verification Report'!$AQ$1606</definedName>
    <definedName name="vch801_1">'Verification Report'!$AQ$1642</definedName>
    <definedName name="vch802_1">'Verification Report'!$AQ$1650</definedName>
    <definedName name="vch802_1_6">'Verification Report'!$AQ$1679</definedName>
    <definedName name="vch802_10_1">'Verification Report'!$AQ$1837</definedName>
    <definedName name="vch802_10_1_1">'Verification Report'!$AQ$1840</definedName>
    <definedName name="vch802_2_1">'Verification Report'!$AQ$1684</definedName>
    <definedName name="vch802_2_2">'Verification Report'!$AQ$1685</definedName>
    <definedName name="vch802_3_1_a">'Verification Report'!$AQ$1693</definedName>
    <definedName name="vch802_3_1_b">'Verification Report'!$AQ$1695</definedName>
    <definedName name="vch802_3_2_a">'Verification Report'!$AQ$1702</definedName>
    <definedName name="vch802_3_2_b">'Verification Report'!$AQ$1704</definedName>
    <definedName name="vch802_4_1">'Verification Report'!$AQ$1709</definedName>
    <definedName name="vch802_4_2">'Verification Report'!$AQ$1721</definedName>
    <definedName name="vch802_4_3">'Verification Report'!$AQ$1726</definedName>
    <definedName name="vch802_5_1a">'Verification Report'!$AQ$1729</definedName>
    <definedName name="vch802_5_1b">'Verification Report'!$AQ$1731</definedName>
    <definedName name="vch802_5_2">'Verification Report'!$AQ$1741</definedName>
    <definedName name="vch802_5_3">'Verification Report'!$AQ$1746</definedName>
    <definedName name="vch802_5_4_2">'Verification Report'!$AQ$1753</definedName>
    <definedName name="vch802_5_4_3">'Verification Report'!$AQ$1760</definedName>
    <definedName name="vch802_5_4_4_a">'Verification Report'!$AQ$1763</definedName>
    <definedName name="vch802_5_4_4_b">'Verification Report'!$AQ$1767</definedName>
    <definedName name="vch802_5_4_4_c">'Verification Report'!$AQ$1769</definedName>
    <definedName name="vch802_6_1">'Verification Report'!$AQ$1772</definedName>
    <definedName name="vch802_6_2">'Verification Report'!$AQ$1774</definedName>
    <definedName name="vch802_6_3_1">'Verification Report'!$AQ$1778</definedName>
    <definedName name="vch802_6_3_2">'Verification Report'!$AQ$1779</definedName>
    <definedName name="vch802_6_3_3">'Verification Report'!$AQ$1780</definedName>
    <definedName name="vch802_6_4_1">'Verification Report'!$AQ$1785</definedName>
    <definedName name="vch802_6_4_2">'Verification Report'!$AQ$1787</definedName>
    <definedName name="vch802_6_5_1">'Verification Report'!$AQ$1793</definedName>
    <definedName name="vch802_6_5_2">'Verification Report'!$AQ$1795</definedName>
    <definedName name="vch802_6_5_3">'Verification Report'!$AQ$1797</definedName>
    <definedName name="vch802_6_5_4">'Verification Report'!$AQ$1798</definedName>
    <definedName name="vch802_6_5_5">'Verification Report'!$AQ$1800</definedName>
    <definedName name="vch802_7_1">'Verification Report'!$AQ$1804</definedName>
    <definedName name="vch802_7_2_1">'Verification Report'!$AQ$1818</definedName>
    <definedName name="vch802_7_2_2">'Verification Report'!$AQ$1820</definedName>
    <definedName name="vch802_8">'Verification Report'!$AQ$1821</definedName>
    <definedName name="vch802_9_1">'Verification Report'!$AQ$1824</definedName>
    <definedName name="vch802_9_2">'Verification Report'!$AQ$1832</definedName>
    <definedName name="vch803_1_1">'Verification Report'!$AQ$1846</definedName>
    <definedName name="vch803_1_2">'Verification Report'!$AQ$1848</definedName>
    <definedName name="vch803_2">'Verification Report'!$AQ$1850</definedName>
    <definedName name="vch803_3">'Verification Report'!$AQ$1852</definedName>
    <definedName name="vch803_4">'Verification Report'!$AQ$1857</definedName>
    <definedName name="vch803_5">'Verification Report'!$AQ$1860</definedName>
    <definedName name="vch803_6">'Verification Report'!$AQ$1862</definedName>
    <definedName name="vch804_2">'Verification Report'!$AQ$1868</definedName>
    <definedName name="vch901_1_1">'Verification Report'!$AQ$1878</definedName>
    <definedName name="vch901_1_2">'Verification Report'!$AQ$1884</definedName>
    <definedName name="vch901_1_3_1">'Verification Report'!$AQ$1889</definedName>
    <definedName name="vch901_1_3_2">'Verification Report'!$AQ$1892</definedName>
    <definedName name="vch901_1_4">'Verification Report'!$AQ$1895</definedName>
    <definedName name="vch901_1_5">'Verification Report'!$AQ$1900</definedName>
    <definedName name="vch901_1_6">'Verification Report'!$AQ$1903</definedName>
    <definedName name="vch901_10_1">'Verification Report'!$AQ$2015</definedName>
    <definedName name="vch901_10_2">'Verification Report'!$AQ$2020</definedName>
    <definedName name="vch901_10_3">'Verification Report'!$AQ$2021</definedName>
    <definedName name="vch901_11">'Verification Report'!$AQ$2025</definedName>
    <definedName name="vch901_12">'Verification Report'!$AQ$2030</definedName>
    <definedName name="vch901_13">'Verification Report'!$AQ$2034</definedName>
    <definedName name="vch901_14_1">'Verification Report'!$AQ$2038</definedName>
    <definedName name="vch901_14_2">'Verification Report'!$AQ$2039</definedName>
    <definedName name="vch901_15_1">'Verification Report'!$AQ$2042</definedName>
    <definedName name="vch901_15_2">'Verification Report'!$AQ$2044</definedName>
    <definedName name="vch901_2_1_1">'Verification Report'!$AQ$1909</definedName>
    <definedName name="vch901_2_1_2">'Verification Report'!$AQ$1912</definedName>
    <definedName name="vch901_2_1_3">'Verification Report'!$AQ$1914</definedName>
    <definedName name="vch901_2_1_4">'Verification Report'!$AQ$1917</definedName>
    <definedName name="vch901_2_1_5">'Verification Report'!$AQ$1919</definedName>
    <definedName name="vch901_2_2">'Verification Report'!$AQ$1921</definedName>
    <definedName name="vch901_3_1_a">'Verification Report'!$AQ$1924</definedName>
    <definedName name="vch901_3_1_b">'Verification Report'!$AQ$1926</definedName>
    <definedName name="vch901_3_1_c">'Verification Report'!$AQ$1928</definedName>
    <definedName name="vch901_3_2">'Verification Report'!$AQ$1934</definedName>
    <definedName name="vch901_4_1">'Verification Report'!$AQ$1938</definedName>
    <definedName name="vch901_4_a">'Verification Report'!$AQ$1943</definedName>
    <definedName name="vch901_4_b">'Verification Report'!$AQ$1944</definedName>
    <definedName name="vch901_4_c">'Verification Report'!$AQ$1945</definedName>
    <definedName name="vch901_4_d">'Verification Report'!$AQ$1946</definedName>
    <definedName name="vch901_5_1">'Verification Report'!$AQ$1957</definedName>
    <definedName name="vch901_5_2">'Verification Report'!$AQ$1959</definedName>
    <definedName name="vch901_6">'Verification Report'!$AQ$1962</definedName>
    <definedName name="vch901_7_1">'Verification Report'!$AQ$1971</definedName>
    <definedName name="vch901_7_2">'Verification Report'!$AQ$1981</definedName>
    <definedName name="vch901_7_3">'Verification Report'!$AQ$1982</definedName>
    <definedName name="vch901_8">'Verification Report'!$AQ$1985</definedName>
    <definedName name="vch901_9_1_1">'Verification Report'!$AQ$1996</definedName>
    <definedName name="vch901_9_1_2">'Verification Report'!$AQ$1998</definedName>
    <definedName name="vch901_9_1_3">'Verification Report'!$AQ$1999</definedName>
    <definedName name="vch901_9_2">'Verification Report'!$AQ$2001</definedName>
    <definedName name="vch901_9_3">'Verification Report'!$AQ$2006</definedName>
    <definedName name="vch902_1_1">'Verification Report'!$AQ$2050</definedName>
    <definedName name="vch902_1_1_a">'Verification Report'!$AQ$2052</definedName>
    <definedName name="vch902_1_2">'Verification Report'!$AQ$2054</definedName>
    <definedName name="vch902_1_2_">'Verification Report'!$AQ$2060</definedName>
    <definedName name="vch902_1_2_2">'Verification Report'!$AQ$2062</definedName>
    <definedName name="vch902_1_3">'Verification Report'!$AQ$2056</definedName>
    <definedName name="vch902_1_3_">'Verification Report'!$AQ$2063</definedName>
    <definedName name="vch902_1_4_1">'Verification Report'!$AQ$2069</definedName>
    <definedName name="vch902_1_4_2">'Verification Report'!$AQ$2071</definedName>
    <definedName name="vch902_1_5_1">'Verification Report'!$AQ$2074</definedName>
    <definedName name="vch902_1_5_2">'Verification Report'!$AQ$2076</definedName>
    <definedName name="vch902_1_5_3">'Verification Report'!$AQ$2078</definedName>
    <definedName name="vch902_1_6">'Verification Report'!$AQ$2081</definedName>
    <definedName name="vch902_2_1">'Verification Report'!$AQ$2085</definedName>
    <definedName name="vch902_2_2">'Verification Report'!$AQ$2096</definedName>
    <definedName name="vch902_2_3">'Verification Report'!$AQ$2098</definedName>
    <definedName name="vch902_2_4">'Verification Report'!$AQ$2101</definedName>
    <definedName name="vch902_3">'Verification Report'!$AQ$2104</definedName>
    <definedName name="vch902_3_2">'Verification Report'!$AQ$2152</definedName>
    <definedName name="vch902_3_2_1">'Verification Report'!$AQ$2154</definedName>
    <definedName name="vch902_3_2_1_b">'Verification Report'!$AQ$2156</definedName>
    <definedName name="vch902_4_1">'Verification Report'!$AQ$2180</definedName>
    <definedName name="vch902_4_2">'Verification Report'!$AQ$2182</definedName>
    <definedName name="vch902_4_3">'Verification Report'!$AQ$2185</definedName>
    <definedName name="vch902_5">'Verification Report'!$AQ$2188</definedName>
    <definedName name="vch902_6">'Verification Report'!$AQ$2190</definedName>
    <definedName name="vch903_1">'Verification Report'!$AQ$2194</definedName>
    <definedName name="vch903_2">'Verification Report'!$AQ$2198</definedName>
    <definedName name="vch903_3_1">'Verification Report'!$AQ$2204</definedName>
    <definedName name="vch903_3_2">'Verification Report'!$AQ$2205</definedName>
    <definedName name="vch904_1">'Verification Report'!$AQ$2210</definedName>
    <definedName name="vch904_2">'Verification Report'!$AQ$2215</definedName>
    <definedName name="vch904_3_1">'Verification Report'!$AQ$2220</definedName>
    <definedName name="vch904_3_2">'Verification Report'!$AQ$2228</definedName>
    <definedName name="vch905_1">'Verification Report'!$AQ$2232</definedName>
    <definedName name="vch905_2">'Verification Report'!$AQ$2237</definedName>
    <definedName name="vch905_3_1">'Verification Report'!$AQ$2240</definedName>
    <definedName name="vch905_3_2">'Verification Report'!$AQ$2241</definedName>
    <definedName name="vch905_4">'Verification Report'!$AQ$2243</definedName>
    <definedName name="vch905_6">'Verification Report'!$AQ$2248</definedName>
    <definedName name="vchWaterSenseClothesWasher">'WaterSense (Verification)'!$AQ$110</definedName>
    <definedName name="vchWaterSenseDishwasher">'WaterSense (Verification)'!$AQ$115</definedName>
    <definedName name="vchWaterSenseIrrigation">'WaterSense (Verification)'!$AQ$55</definedName>
    <definedName name="vchWaterSenseLavFaucet">'WaterSense (Verification)'!$AQ$41</definedName>
    <definedName name="vchWaterSenseLeaks1">'WaterSense (Verification)'!$AQ$18</definedName>
    <definedName name="vchWaterSenseLeaks2">'WaterSense (Verification)'!$AQ$19</definedName>
    <definedName name="vchWaterSenseLeaks3">'WaterSense (Verification)'!$AQ$20</definedName>
    <definedName name="vchWaterSenseLeaks4">'WaterSense (Verification)'!$AQ$22</definedName>
    <definedName name="vchWaterSenseLeaks5">'WaterSense (Verification)'!$AQ$23</definedName>
    <definedName name="vchWaterSenseLeaks6">'WaterSense (Verification)'!$AQ$24</definedName>
    <definedName name="vchWaterSenseLeaks7">'WaterSense (Verification)'!$AQ$27</definedName>
    <definedName name="vchWaterSenseLeaks8">'WaterSense (Verification)'!$AQ$28</definedName>
    <definedName name="vchWaterSenseOptionA">'WaterSense (Verification)'!$AQ$132</definedName>
    <definedName name="vchWaterSenseShowerheads">'WaterSense (Verification)'!$AQ$48</definedName>
    <definedName name="vchWaterSenseToilet">'WaterSense (Verification)'!$AQ$34</definedName>
    <definedName name="verAGFloorArea">'Overview (Verification)'!$P$25</definedName>
    <definedName name="verAttachedGarage">'Overview (Verification)'!$P$51</definedName>
    <definedName name="verAttic">'Overview (Verification)'!$P$50</definedName>
    <definedName name="verBadges703_7_2">'Badges (Verification)'!$AQ$126</definedName>
    <definedName name="verBadges802_10_1_1">'Badges (Verification)'!$AQ$154</definedName>
    <definedName name="verBadges802_6_4_1">'Badges (Verification)'!$AQ$152</definedName>
    <definedName name="verBadges802_6_5_5">'Badges (Verification)'!$AQ$153</definedName>
    <definedName name="verBadges803_3_1">'Badges (Verification)'!$AQ$155</definedName>
    <definedName name="verBadges901_1_1">'Badges (Verification)'!$AQ$203</definedName>
    <definedName name="verBadges901_1_3">'Badges (Verification)'!$AQ$204</definedName>
    <definedName name="verBadges903_3">'Badges (Verification)'!$AQ$256</definedName>
    <definedName name="verBadgesBuildingVent">'Badges (Verification)'!$AQ$55</definedName>
    <definedName name="verBadgesElectricAC">'Badges (Verification)'!$AQ$46</definedName>
    <definedName name="verBadgesElectricHeat">'Badges (Verification)'!$AQ$44</definedName>
    <definedName name="verBadgesFloorRVal">'Badges (Verification)'!$AQ$16</definedName>
    <definedName name="verBadgesGasBoiler">'Badges (Verification)'!$AQ$41</definedName>
    <definedName name="verBadgesGEDHPHeating">'Badges (Verification)'!$AQ$45</definedName>
    <definedName name="verBadgesGEHHPCooling">'Badges (Verification)'!$AQ$47</definedName>
    <definedName name="verBadgesGeothermalEfficiency">'Badges (Verification)'!$AQ$85</definedName>
    <definedName name="verBadgesGeothermalFieldArea">'Badges (Verification)'!$AQ$83</definedName>
    <definedName name="verBadgesGeothermalPower">'Badges (Verification)'!$AQ$80</definedName>
    <definedName name="verBadgesGeothermalResTemp">'Badges (Verification)'!$AQ$82</definedName>
    <definedName name="verBadgesGeothermalSurfaceTemp">'Badges (Verification)'!$AQ$81</definedName>
    <definedName name="verBadgesGeothermalWells">'Badges (Verification)'!$AQ$84</definedName>
    <definedName name="verBadgesGroundSourceHP">'Badges (Verification)'!$AQ$49</definedName>
    <definedName name="verBadgesOilBoiler">'Badges (Verification)'!$AQ$42</definedName>
    <definedName name="verBadgesOilFurnace">'Badges (Verification)'!$AQ$40</definedName>
    <definedName name="verBadgesPropane">'Badges (Verification)'!$AQ$39</definedName>
    <definedName name="verBadgesRadiant">'Badges (Verification)'!$AQ$43</definedName>
    <definedName name="verBadgesResilienceAdditional">'Badges (Verification)'!$AQ$110</definedName>
    <definedName name="verBadgesRoofRVal">'Badges (Verification)'!$AQ$15</definedName>
    <definedName name="verBadgesSHGC">'Badges (Verification)'!$AQ$23</definedName>
    <definedName name="verBadgesSmartAdd">'Badges (Verification)'!$AQ$166</definedName>
    <definedName name="verBadgesSolarThermalArea">'Badges (Verification)'!$AQ$69</definedName>
    <definedName name="verBadgesSolarThermalEfficiency">'Badges (Verification)'!$AQ$71</definedName>
    <definedName name="verBadgesSolarThermalHeatingRate">'Badges (Verification)'!$AQ$73</definedName>
    <definedName name="verBadgesSolarThermalSlope">'Badges (Verification)'!$AQ$70</definedName>
    <definedName name="verBadgesSolarThermalTankVolume">'Badges (Verification)'!$AQ$72</definedName>
    <definedName name="verBadgesSpotVent">'Badges (Verification)'!$AQ$54</definedName>
    <definedName name="verBadgesVerifierComments">'Badges (Verification)'!$E$323</definedName>
    <definedName name="verBadgesVerifierDate">'Badges (Verification)'!$E$337</definedName>
    <definedName name="verBadgesVerifierEmail">'Badges (Verification)'!$E$329</definedName>
    <definedName name="verBadgesVerifierEndTime">'Badges (Verification)'!$E$335</definedName>
    <definedName name="verBadgesVerifierName">'Badges (Verification)'!$E$327</definedName>
    <definedName name="verBadgesVerifierPhone">'Badges (Verification)'!$E$331</definedName>
    <definedName name="verBadgesVerifierSign">'Badges (Verification)'!$E$320</definedName>
    <definedName name="verBadgesVerifierStartTime">'Badges (Verification)'!$E$333</definedName>
    <definedName name="verBadgesWallRVal">'Badges (Verification)'!$AQ$17</definedName>
    <definedName name="verBadgesWaterSourceHC">'Badges (Verification)'!$AQ$48</definedName>
    <definedName name="verBadgesWellnessException">'Badges (Verification)'!$AQ$227</definedName>
    <definedName name="verBadgesWindowUVal">'Badges (Verification)'!$AQ$22</definedName>
    <definedName name="verBadgesWindowWallRatio">'Badges (Verification)'!$AQ$21</definedName>
    <definedName name="verBuilderName">'Overview (Verification)'!$P$10</definedName>
    <definedName name="verBuildingCode">'Overview (Verification)'!$P$62</definedName>
    <definedName name="verBuildingCodeOther">'Overview (Verification)'!$T$62</definedName>
    <definedName name="verCDucts">'Overview (Verification)'!$P$42</definedName>
    <definedName name="verCity">'Overview (Verification)'!$P$13</definedName>
    <definedName name="verCommercial">'Overview (Verification)'!$P$20</definedName>
    <definedName name="verCool1">'Overview (Verification)'!$P$39</definedName>
    <definedName name="verCool1Other">'Overview (Verification)'!$T$39</definedName>
    <definedName name="verCool2">'Overview (Verification)'!$P$40</definedName>
    <definedName name="verCool2Other">'Overview (Verification)'!$T$40</definedName>
    <definedName name="verCool3">'Overview (Verification)'!$P$41</definedName>
    <definedName name="verCool3Other">'Overview (Verification)'!$T$41</definedName>
    <definedName name="verCounty">'Overview (Verification)'!$P$15</definedName>
    <definedName name="verCToilet">'Overview (Verification)'!$P$59</definedName>
    <definedName name="verElevation">'Overview (Verification)'!$P$28</definedName>
    <definedName name="verEnergyCode">'Overview (Verification)'!$P$61</definedName>
    <definedName name="verEnergyCodeOther">'Overview (Verification)'!$T$61</definedName>
    <definedName name="verFloors">'Overview (Verification)'!$P$27</definedName>
    <definedName name="verFoundation">'Overview (Verification)'!$P$32</definedName>
    <definedName name="verFuel">'Overview (Verification)'!$P$37</definedName>
    <definedName name="verFuelother">'Overview (Verification)'!$T$37</definedName>
    <definedName name="verGoalLevel">Points!$T$10</definedName>
    <definedName name="verHDucts">'Overview (Verification)'!$P$38</definedName>
    <definedName name="verHomeAddress">'Overview (Verification)'!$P$11</definedName>
    <definedName name="verHVAC1">'Overview (Verification)'!$P$34</definedName>
    <definedName name="verHVAC1Other">'Overview (Verification)'!$T$34</definedName>
    <definedName name="verHVAC2">'Overview (Verification)'!$P$35</definedName>
    <definedName name="verHVAC2Other">'Overview (Verification)'!$T$35</definedName>
    <definedName name="verHVAC3">'Overview (Verification)'!$P$36</definedName>
    <definedName name="verHVAC3Other">'Overview (Verification)'!$T$36</definedName>
    <definedName name="verLot">'Overview (Verification)'!$P$12</definedName>
    <definedName name="verMassWalls">'Overview (Verification)'!$P$56</definedName>
    <definedName name="verPassiveSolar">'Overview (Verification)'!$P$55</definedName>
    <definedName name="verProjectDesc">'Overview (Verification)'!$P$30</definedName>
    <definedName name="verProjectID">'Overview (Verification)'!$P$8</definedName>
    <definedName name="verProjectName">'Overview (Verification)'!$P$23</definedName>
    <definedName name="verRadiantHydronic">'Overview (Verification)'!$P$57</definedName>
    <definedName name="verRecessedLighting">'Overview (Verification)'!$P$52</definedName>
    <definedName name="verRenewable">'Overview (Verification)'!$P$48</definedName>
    <definedName name="verRenewableOther">'Overview (Verification)'!$T$48</definedName>
    <definedName name="verSingleOrMulti">'Overview (Verification)'!$P$18</definedName>
    <definedName name="VersionDate">'Info &amp; Intro'!$E$7</definedName>
    <definedName name="VersionNum">'Info &amp; Intro'!$B$7</definedName>
    <definedName name="versSHGC">'Overview (Verification)'!$P$45</definedName>
    <definedName name="verStartError">Points!$B$4</definedName>
    <definedName name="verState">'Overview (Verification)'!$P$14</definedName>
    <definedName name="versUV">'Overview (Verification)'!$P$47</definedName>
    <definedName name="verTCFloorArea">'Overview (Verification)'!$P$26</definedName>
    <definedName name="verTEInsulation">'Overview (Verification)'!$P$49</definedName>
    <definedName name="verTEInsulationOther">'Overview (Verification)'!$T$49</definedName>
    <definedName name="verTLWH">'Overview (Verification)'!$P$58</definedName>
    <definedName name="verUnits">'Overview (Verification)'!$P$19</definedName>
    <definedName name="verwdSHGC">'Overview (Verification)'!$P$44</definedName>
    <definedName name="verwdUV">'Overview (Verification)'!$P$46</definedName>
    <definedName name="verZIP">'Overview (Verification)'!$P$16</definedName>
    <definedName name="vnt1001_1_1">'Verification Report'!$AS$2258</definedName>
    <definedName name="vnt1001_1_10">'Verification Report'!$AS$2273</definedName>
    <definedName name="vnt1001_1_11">'Verification Report'!$AS$2274</definedName>
    <definedName name="vnt1001_1_12">'Verification Report'!$AS$2275</definedName>
    <definedName name="vnt1001_1_13">'Verification Report'!$AS$2281</definedName>
    <definedName name="vnt1001_1_14">'Verification Report'!$AS$2285</definedName>
    <definedName name="vnt1001_1_15">'Verification Report'!$AS$2287</definedName>
    <definedName name="vnt1001_1_16">'Verification Report'!$AS$2289</definedName>
    <definedName name="vnt1001_1_17">'Verification Report'!$AS$2290</definedName>
    <definedName name="vnt1001_1_18">'Verification Report'!$AS$2292</definedName>
    <definedName name="vnt1001_1_19">'Verification Report'!$AS$2294</definedName>
    <definedName name="vnt1001_1_2">'Verification Report'!$AS$2259</definedName>
    <definedName name="vnt1001_1_20">'Verification Report'!$AS$2295</definedName>
    <definedName name="vnt1001_1_21">'Verification Report'!$AS$2297</definedName>
    <definedName name="vnt1001_1_22">'Verification Report'!$AS$2299</definedName>
    <definedName name="vnt1001_1_23">'Verification Report'!$AS$2301</definedName>
    <definedName name="vnt1001_1_24">'Verification Report'!$AS$2302</definedName>
    <definedName name="vnt1001_1_3">'Verification Report'!$AS$2260</definedName>
    <definedName name="vnt1001_1_4">'Verification Report'!$AS$2264</definedName>
    <definedName name="vnt1001_1_5">'Verification Report'!$AS$2265</definedName>
    <definedName name="vnt1001_1_6">'Verification Report'!$AS$2266</definedName>
    <definedName name="vnt1001_1_7">'Verification Report'!$AS$2268</definedName>
    <definedName name="vnt1001_1_8">'Verification Report'!$AS$2270</definedName>
    <definedName name="vnt1001_1_9">'Verification Report'!$AS$2271</definedName>
    <definedName name="vnt1001_2">'Verification Report'!$AS$2303</definedName>
    <definedName name="vnt1002_1_1">'Verification Report'!$AS$2325</definedName>
    <definedName name="vnt1002_1_2">'Verification Report'!$AS$2328</definedName>
    <definedName name="vnt1002_1_3">'Verification Report'!$AS$2331</definedName>
    <definedName name="vnt1002_1_4">'Verification Report'!$AS$2333</definedName>
    <definedName name="vnt1002_1_5">'Verification Report'!$AS$2334</definedName>
    <definedName name="vnt1002_1_6">'Verification Report'!$AS$2336</definedName>
    <definedName name="vnt1002_1_7">'Verification Report'!$AS$2337</definedName>
    <definedName name="vnt1002_1_8">'Verification Report'!$AS$2338</definedName>
    <definedName name="vnt1002_2_1">'Verification Report'!$AS$2344</definedName>
    <definedName name="vnt1002_2_10">'Verification Report'!$AS$2362</definedName>
    <definedName name="vnt1002_2_11">'Verification Report'!$AS$2365</definedName>
    <definedName name="vnt1002_2_2">'Verification Report'!$AS$2346</definedName>
    <definedName name="vnt1002_2_3">'Verification Report'!$AS$2349</definedName>
    <definedName name="vnt1002_2_4">'Verification Report'!$AS$2351</definedName>
    <definedName name="vnt1002_2_5">'Verification Report'!$AS$2354</definedName>
    <definedName name="vnt1002_2_6">'Verification Report'!$AS$2356</definedName>
    <definedName name="vnt1002_2_7">'Verification Report'!$AS$2357</definedName>
    <definedName name="vnt1002_2_8">'Verification Report'!$AS$2359</definedName>
    <definedName name="vnt1002_2_9">'Verification Report'!$AS$2361</definedName>
    <definedName name="vnt1002_3_1">'Verification Report'!$AS$2371</definedName>
    <definedName name="vnt1002_3_10">'Verification Report'!$AS$2392</definedName>
    <definedName name="vnt1002_3_11">'Verification Report'!$AS$2393</definedName>
    <definedName name="vnt1002_3_2">'Verification Report'!$AS$2373</definedName>
    <definedName name="vnt1002_3_3">'Verification Report'!$AS$2377</definedName>
    <definedName name="vnt1002_3_4">'Verification Report'!$AS$2384</definedName>
    <definedName name="vnt1002_3_5">'Verification Report'!$AS$2386</definedName>
    <definedName name="vnt1002_3_6">'Verification Report'!$AS$2387</definedName>
    <definedName name="vnt1002_3_7">'Verification Report'!$AS$2389</definedName>
    <definedName name="vnt1002_3_8">'Verification Report'!$AS$2390</definedName>
    <definedName name="vnt1002_3_9">'Verification Report'!$AS$2391</definedName>
    <definedName name="vnt1002_4">'Verification Report'!$AS$2395</definedName>
    <definedName name="vnt1002_5_1">'Verification Report'!$AS$2410</definedName>
    <definedName name="vnt1002_5_2">'Verification Report'!$AS$2411</definedName>
    <definedName name="vnt1002_5_3">'Verification Report'!$AS$2412</definedName>
    <definedName name="vnt1002_5_4">'Verification Report'!$AS$2414</definedName>
    <definedName name="vnt1002_5_5">'Verification Report'!$AS$2415</definedName>
    <definedName name="vnt1002_5_6">'Verification Report'!$AS$2416</definedName>
    <definedName name="vnt1002_5_7">'Verification Report'!$AS$2417</definedName>
    <definedName name="vnt1002_5_8">'Verification Report'!$AS$2418</definedName>
    <definedName name="vnt1002_5_9">'Verification Report'!$AS$2419</definedName>
    <definedName name="vnt1002_6_1">'Verification Report'!$AS$2424</definedName>
    <definedName name="vnt1002_6_2">'Verification Report'!$AS$2425</definedName>
    <definedName name="vnt1002_6_3">'Verification Report'!$AS$2426</definedName>
    <definedName name="vnt1002_6_4">'Verification Report'!$AS$2427</definedName>
    <definedName name="vnt1002_6_5">'Verification Report'!$AS$2428</definedName>
    <definedName name="vnt1002_6_6">'Verification Report'!$AS$2429</definedName>
    <definedName name="vnt1002_6_7">'Verification Report'!$AS$2430</definedName>
    <definedName name="vnt1003_1_1">'Verification Report'!$AS$2436</definedName>
    <definedName name="vnt1003_1_2">'Verification Report'!$AS$2438</definedName>
    <definedName name="vnt1003_1_3">'Verification Report'!$AS$2441</definedName>
    <definedName name="vnt1004_1_1">'Verification Report'!$AS$2454</definedName>
    <definedName name="vnt1004_1_2">'Verification Report'!$AS$2456</definedName>
    <definedName name="vnt1005_1_1">'Verification Report'!$AS$2460</definedName>
    <definedName name="vnt1005_1_2">'Verification Report'!$AS$2463</definedName>
    <definedName name="vnt501_1">'Verification Report'!$AS$13</definedName>
    <definedName name="vnt501_2">'Verification Report'!$AS$19</definedName>
    <definedName name="vnt501_2_1">'Verification Report'!$AS$21</definedName>
    <definedName name="vnt501_2_2">'Verification Report'!$AS$23</definedName>
    <definedName name="vnt501_2_3">'Verification Report'!$AS$25</definedName>
    <definedName name="vnt501_2_4">'Verification Report'!$AS$27</definedName>
    <definedName name="vnt501_2_4_1">'Verification Report'!$AS$37</definedName>
    <definedName name="vnt501_2_5">'Verification Report'!$AS$42</definedName>
    <definedName name="vnt501_2_6">'Verification Report'!$AS$45</definedName>
    <definedName name="vnt501_2_6_d">'Verification Report'!$AS$50</definedName>
    <definedName name="vnt501_2_7">'Verification Report'!$AS$52</definedName>
    <definedName name="vnt501_2_8">'Verification Report'!$AS$55</definedName>
    <definedName name="vnt502_1">'Verification Report'!$AS$58</definedName>
    <definedName name="vnt503_0">'Verification Report'!$AS$63</definedName>
    <definedName name="vnt503_1">'Verification Report'!$AS$68</definedName>
    <definedName name="vnt503_2">'Verification Report'!$AS$88</definedName>
    <definedName name="vnt503_3">'Verification Report'!$AS$101</definedName>
    <definedName name="vnt503_4">'Verification Report'!$AS$114</definedName>
    <definedName name="vnt503_4_1">'Verification Report'!$AS$121</definedName>
    <definedName name="vnt503_4_2">'Verification Report'!$AS$124</definedName>
    <definedName name="vnt503_4_3">'Verification Report'!$AS$128</definedName>
    <definedName name="vnt503_4_4">'Verification Report'!$AS$135</definedName>
    <definedName name="vnt503_4_4_c_1">'Verification Report'!$AS$140</definedName>
    <definedName name="vnt503_4_5">'Verification Report'!$AS$142</definedName>
    <definedName name="vnt503_5">'Verification Report'!$AS$145</definedName>
    <definedName name="vnt503_5_1">'Verification Report'!$AS$149</definedName>
    <definedName name="vnt503_5_10">'Verification Report'!$AS$178</definedName>
    <definedName name="vnt503_5_11">'Verification Report'!$AS$181</definedName>
    <definedName name="vnt503_5_12">'Verification Report'!$AS$183</definedName>
    <definedName name="vnt503_5_13">'Verification Report'!$AS$185</definedName>
    <definedName name="vnt503_5_2">'Verification Report'!$AS$155</definedName>
    <definedName name="vnt503_5_3">'Verification Report'!$AS$157</definedName>
    <definedName name="vnt503_5_4">'Verification Report'!$AS$160</definedName>
    <definedName name="vnt503_5_5">'Verification Report'!$AS$162</definedName>
    <definedName name="vnt503_5_6">'Verification Report'!$AS$165</definedName>
    <definedName name="vnt503_5_7">'Verification Report'!$AS$170</definedName>
    <definedName name="vnt503_5_8">'Verification Report'!$AS$171</definedName>
    <definedName name="vnt503_5_9">'Verification Report'!$AS$176</definedName>
    <definedName name="vnt503_6">'Verification Report'!$AS$187</definedName>
    <definedName name="vnt503_7">'Verification Report'!$AS$194</definedName>
    <definedName name="vnt503_8">'Verification Report'!$AS$200</definedName>
    <definedName name="vnt504_1">'Verification Report'!$AS$208</definedName>
    <definedName name="vnt504_2">'Verification Report'!$AS$213</definedName>
    <definedName name="vnt504_3">'Verification Report'!$AS$220</definedName>
    <definedName name="vnt504_3_1">'Verification Report'!$AS$223</definedName>
    <definedName name="vnt504_3_2">'Verification Report'!$AS$225</definedName>
    <definedName name="vnt504_3_3">'Verification Report'!$AS$226</definedName>
    <definedName name="vnt504_3_4">'Verification Report'!$AS$228</definedName>
    <definedName name="vnt504_3_5">'Verification Report'!$AS$230</definedName>
    <definedName name="vnt504_3_6">'Verification Report'!$AS$234</definedName>
    <definedName name="vnt504_3_7">'Verification Report'!$AS$237</definedName>
    <definedName name="vnt504_3_8">'Verification Report'!$AS$238</definedName>
    <definedName name="vnt504_3_9">'Verification Report'!$AS$246</definedName>
    <definedName name="vnt505_1_1">'Verification Report'!$AS$253</definedName>
    <definedName name="vnt505_1_2">'Verification Report'!$AS$255</definedName>
    <definedName name="vnt505_1_3">'Verification Report'!$AS$257</definedName>
    <definedName name="vnt505_10_a">'Verification Report'!$AS$321</definedName>
    <definedName name="vnt505_10_b">'Verification Report'!$AS$323</definedName>
    <definedName name="vnt505_10_c">'Verification Report'!$AS$325</definedName>
    <definedName name="vnt505_2_1">'Verification Report'!$AS$262</definedName>
    <definedName name="vnt505_2_2">'Verification Report'!$AS$272</definedName>
    <definedName name="vnt505_3">'Verification Report'!$AS$275</definedName>
    <definedName name="vnt505_4_1">'Verification Report'!$AS$282</definedName>
    <definedName name="vnt505_5_a">'Verification Report'!$AS$286</definedName>
    <definedName name="vnt505_5_b">'Verification Report'!$AS$288</definedName>
    <definedName name="vnt505_5_c">'Verification Report'!$AS$291</definedName>
    <definedName name="vnt505_5_d">'Verification Report'!$AS$292</definedName>
    <definedName name="vnt505_6">'Verification Report'!$AS$293</definedName>
    <definedName name="vnt505_7">'Verification Report'!$AS$305</definedName>
    <definedName name="vnt505_8">'Verification Report'!$AS$309</definedName>
    <definedName name="vnt505_9_a">'Verification Report'!$AS$312</definedName>
    <definedName name="vnt505_9_b">'Verification Report'!$AS$315</definedName>
    <definedName name="vnt505_9_c">'Verification Report'!$AS$316</definedName>
    <definedName name="vnt601_1">'Verification Report'!$AS$331</definedName>
    <definedName name="vnt601_2_1">'Verification Report'!$AS$349</definedName>
    <definedName name="vnt601_2_2">'Verification Report'!$AS$352</definedName>
    <definedName name="vnt601_2_3">'Verification Report'!$AS$355</definedName>
    <definedName name="vnt601_3_1">'Verification Report'!$AS$359</definedName>
    <definedName name="vnt601_3_2">'Verification Report'!$AS$360</definedName>
    <definedName name="vnt601_3_3">'Verification Report'!$AS$361</definedName>
    <definedName name="vnt601_3_4">'Verification Report'!$AS$362</definedName>
    <definedName name="vnt601_3_5">'Verification Report'!$AS$363</definedName>
    <definedName name="vnt601_4">'Verification Report'!$AS$364</definedName>
    <definedName name="vnt601_5_1">'Verification Report'!$AS$370</definedName>
    <definedName name="vnt601_5_2">'Verification Report'!$AS$371</definedName>
    <definedName name="vnt601_5_3">'Verification Report'!$AS$372</definedName>
    <definedName name="vnt601_5_4">'Verification Report'!$AS$373</definedName>
    <definedName name="vnt601_5_5">'Verification Report'!$AS$374</definedName>
    <definedName name="vnt601_6">'Verification Report'!$AS$375</definedName>
    <definedName name="vnt601_7">'Verification Report'!$AS$380</definedName>
    <definedName name="vnt601_8">'Verification Report'!$AS$398</definedName>
    <definedName name="vnt602_1_1_1">'Verification Report'!$AS$411</definedName>
    <definedName name="vnt602_1_1_2">'Verification Report'!$AS$414</definedName>
    <definedName name="vnt602_1_10">'Verification Report'!$AS$511</definedName>
    <definedName name="vnt602_1_11">'Verification Report'!$AS$523</definedName>
    <definedName name="vnt602_1_12">'Verification Report'!$AS$525</definedName>
    <definedName name="vnt602_1_13">'Verification Report'!$AS$528</definedName>
    <definedName name="vnt602_1_14_1">'Verification Report'!$AS$534</definedName>
    <definedName name="vnt602_1_14_2">'Verification Report'!$AS$536</definedName>
    <definedName name="vnt602_1_14_3">'Verification Report'!$AS$537</definedName>
    <definedName name="vnt602_1_15">'Verification Report'!$AS$538</definedName>
    <definedName name="vnt602_1_2">'Verification Report'!$AS$416</definedName>
    <definedName name="vnt602_1_3_1">'Verification Report'!$AS$421</definedName>
    <definedName name="vnt602_1_3_2">'Verification Report'!$AS$423</definedName>
    <definedName name="vnt602_1_4_1_1">'Verification Report'!$AS$429</definedName>
    <definedName name="vnt602_1_4_1_2">'Verification Report'!$AS$431</definedName>
    <definedName name="vnt602_1_4_2_1">'Verification Report'!$AS$435</definedName>
    <definedName name="vnt602_1_4_2_2">'Verification Report'!$AS$437</definedName>
    <definedName name="vnt602_1_5">'Verification Report'!$AS$440</definedName>
    <definedName name="vnt602_1_6_1">'Verification Report'!$AS$449</definedName>
    <definedName name="vnt602_1_7_1_1">'Verification Report'!$AS$462</definedName>
    <definedName name="vnt602_1_7_1_2">'Verification Report'!$AS$464</definedName>
    <definedName name="vnt602_1_7_1_3">'Verification Report'!$AS$467</definedName>
    <definedName name="vnt602_1_7_2">'Verification Report'!$AS$469</definedName>
    <definedName name="vnt602_1_7_3">'Verification Report'!$AS$471</definedName>
    <definedName name="vnt602_1_8">'Verification Report'!$AS$475</definedName>
    <definedName name="vnt602_1_9_1">'Verification Report'!$AS$483</definedName>
    <definedName name="vnt602_1_9_2">'Verification Report'!$AS$493</definedName>
    <definedName name="vnt602_1_9_3">'Verification Report'!$AS$496</definedName>
    <definedName name="vnt602_1_9_4">'Verification Report'!$AS$497</definedName>
    <definedName name="vnt602_1_9_5">'Verification Report'!$AS$501</definedName>
    <definedName name="vnt602_1_9_6">'Verification Report'!$AS$507</definedName>
    <definedName name="vnt602_1_9_7">'Verification Report'!$AS$509</definedName>
    <definedName name="vnt602_2_1">'Verification Report'!$AS$545</definedName>
    <definedName name="vnt602_2_2">'Verification Report'!$AS$547</definedName>
    <definedName name="vnt602_2_3">'Verification Report'!$AS$548</definedName>
    <definedName name="vnt602_3">'Verification Report'!$AS$551</definedName>
    <definedName name="vnt602_4_1">'Verification Report'!$AS$555</definedName>
    <definedName name="vnt602_4_2">'Verification Report'!$AS$560</definedName>
    <definedName name="vnt602_4_3">'Verification Report'!$AS$562</definedName>
    <definedName name="vnt603_1">'Verification Report'!$AS$566</definedName>
    <definedName name="vnt603_2">'Verification Report'!$AS$572</definedName>
    <definedName name="vnt603_3">'Verification Report'!$AS$579</definedName>
    <definedName name="vnt604_1a">'Verification Report'!$AS$583</definedName>
    <definedName name="vnt604_1b">'Verification Report'!$AS$585</definedName>
    <definedName name="vnt604_1c">'Verification Report'!$AS$587</definedName>
    <definedName name="vnt604_1d">'Verification Report'!$AS$589</definedName>
    <definedName name="vnt605_1">'Verification Report'!$AS$593</definedName>
    <definedName name="vnt605_2">'Verification Report'!$AS$596</definedName>
    <definedName name="vnt605_3">'Verification Report'!$AS$611</definedName>
    <definedName name="vnt605_4_2_a">'Verification Report'!$AS$624</definedName>
    <definedName name="vnt605_4_2_h">'Verification Report'!$AS$631</definedName>
    <definedName name="vnt605_4_2_i">'Verification Report'!$AS$632</definedName>
    <definedName name="vnt606_1_a">'Verification Report'!$AS$637</definedName>
    <definedName name="vnt606_2_1a">'Verification Report'!$AS$668</definedName>
    <definedName name="vnt606_2_1b">'Verification Report'!$AS$669</definedName>
    <definedName name="vnt606_2_2a">'Verification Report'!$AS$671</definedName>
    <definedName name="vnt606_2_2b">'Verification Report'!$AS$672</definedName>
    <definedName name="vnt606_3">'Verification Report'!$AS$674</definedName>
    <definedName name="vnt607_1_1">'Verification Report'!$AS$683</definedName>
    <definedName name="vnt607_1_2">'Verification Report'!$AS$688</definedName>
    <definedName name="vnt607_2">'Verification Report'!$AS$694</definedName>
    <definedName name="vnt608_1">'Verification Report'!$AS$697</definedName>
    <definedName name="vnt609_1_1">'Verification Report'!$AS$708</definedName>
    <definedName name="vnt609_1_2">'Verification Report'!$AS$710</definedName>
    <definedName name="vnt610_1">'Verification Report'!$AS$718</definedName>
    <definedName name="vnt610_1_1_1">'Verification Report'!$AS$727</definedName>
    <definedName name="vnt610_1_1_2">'Verification Report'!$AS$736</definedName>
    <definedName name="vnt610_1_1_3">'Verification Report'!$AS$744</definedName>
    <definedName name="vnt610_1_2_1">'Verification Report'!$AS$750</definedName>
    <definedName name="vnt610_1_2_1_e">'Verification Report'!$AS$757</definedName>
    <definedName name="vnt610_1_2_2_e">'Verification Report'!$AS$783</definedName>
    <definedName name="vnt610_1_2_2a">'Verification Report'!$AS$764</definedName>
    <definedName name="vnt610_1_2_2b">'Verification Report'!$AS$771</definedName>
    <definedName name="vnt610_1_2_2c">'Verification Report'!$AS$777</definedName>
    <definedName name="vnt611_1_1">'Verification Report'!$AS$795</definedName>
    <definedName name="vnt611_1_2">'Verification Report'!$AS$805</definedName>
    <definedName name="vnt612_1">'Verification Report'!$AS$813</definedName>
    <definedName name="vnt612_2_1">'Verification Report'!$AS$824</definedName>
    <definedName name="vnt612_2_2">'Verification Report'!$AS$825</definedName>
    <definedName name="vnt612_2_3">'Verification Report'!$AS$827</definedName>
    <definedName name="vnt612_2_4">'Verification Report'!$AS$829</definedName>
    <definedName name="vnt612_2_5">'Verification Report'!$AS$831</definedName>
    <definedName name="vnt612_2_6">'Verification Report'!$AS$833</definedName>
    <definedName name="vnt612_2_7">'Verification Report'!$AS$835</definedName>
    <definedName name="vnt612_3_1">'Verification Report'!$AS$839</definedName>
    <definedName name="vnt612_3_2">'Verification Report'!$AS$844</definedName>
    <definedName name="vnt612_3_3">'Verification Report'!$AS$848</definedName>
    <definedName name="vnt612_3_4">'Verification Report'!$AS$850</definedName>
    <definedName name="vnt612_3_5">'Verification Report'!$AS$852</definedName>
    <definedName name="vnt612_3_6">'Verification Report'!$AS$853</definedName>
    <definedName name="vnt612_3_7">'Verification Report'!$AS$854</definedName>
    <definedName name="vnt612_3_8">'Verification Report'!$AS$858</definedName>
    <definedName name="vnt612_3_9">'Verification Report'!$AS$860</definedName>
    <definedName name="vnt613_1">'Verification Report'!$AS$864</definedName>
    <definedName name="vnt701_1_">'Verification Report'!$AS$884</definedName>
    <definedName name="vnt701_1_1">'Verification Report'!$AS$887</definedName>
    <definedName name="vnt701_1_2">'Verification Report'!$AS$890</definedName>
    <definedName name="vnt701_1_3">'Verification Report'!$AS$894</definedName>
    <definedName name="vnt701_1_4">'Verification Report'!$AS$897</definedName>
    <definedName name="vnt701_1_6_1">'Verification Report'!$AS$911</definedName>
    <definedName name="vnt701_1_6_2">'Verification Report'!$AS$912</definedName>
    <definedName name="vnt701_1_6_3">'Verification Report'!$AS$914</definedName>
    <definedName name="vnt701_1_6_4">'Verification Report'!$AS$915</definedName>
    <definedName name="vnt701_1_6_5">'Verification Report'!$AS$917</definedName>
    <definedName name="vnt701_1_6_6_a">'Verification Report'!$AS$920</definedName>
    <definedName name="vnt701_1_6_6_b">'Verification Report'!$AS$921</definedName>
    <definedName name="vnt701_1_6_6_c">'Verification Report'!$AS$922</definedName>
    <definedName name="vnt701_1_6_7_a">'Verification Report'!$AS$924</definedName>
    <definedName name="vnt701_1_6_7_b">'Verification Report'!$AS$925</definedName>
    <definedName name="vnt701_1_6_7_c">'Verification Report'!$AS$926</definedName>
    <definedName name="vnt701_1_6_8">'Verification Report'!$AS$927</definedName>
    <definedName name="vnt701_1_6_9">'Verification Report'!$AS$929</definedName>
    <definedName name="vnt701_3">'Verification Report'!$AS$933</definedName>
    <definedName name="vnt701_4_1">'Verification Report'!$AS$947</definedName>
    <definedName name="vnt701_4_1_1">'Verification Report'!$AS$938</definedName>
    <definedName name="vnt701_4_1_2">'Verification Report'!$AS$941</definedName>
    <definedName name="vnt701_4_2_2">'Verification Report'!$AS$950</definedName>
    <definedName name="vnt701_4_2_3">'Verification Report'!$AS$951</definedName>
    <definedName name="vnt701_4_3_1">'Verification Report'!$AS$954</definedName>
    <definedName name="vnt701_4_3_1_a">'Verification Report'!$AS$958</definedName>
    <definedName name="vnt701_4_3_1_b">'Verification Report'!$AS$959</definedName>
    <definedName name="vnt701_4_3_1_c">'Verification Report'!$AS$960</definedName>
    <definedName name="vnt701_4_3_1_d">'Verification Report'!$AS$961</definedName>
    <definedName name="vnt701_4_3_1_e">'Verification Report'!$AS$962</definedName>
    <definedName name="vnt701_4_3_1_f">'Verification Report'!$AS$963</definedName>
    <definedName name="vnt701_4_3_1_g">'Verification Report'!$AS$964</definedName>
    <definedName name="vnt701_4_3_1_h">'Verification Report'!$AS$965</definedName>
    <definedName name="vnt701_4_3_1_i">'Verification Report'!$AS$966</definedName>
    <definedName name="vnt701_4_3_1_j">'Verification Report'!$AS$967</definedName>
    <definedName name="vnt701_4_3_1_k">'Verification Report'!$AS$968</definedName>
    <definedName name="vnt701_4_3_1_l">'Verification Report'!$AS$969</definedName>
    <definedName name="vnt701_4_3_1_m">'Verification Report'!$AS$970</definedName>
    <definedName name="vnt701_4_3_2_1_">'Verification Report'!$AS$975</definedName>
    <definedName name="vnt701_4_3_2_1_1">'Verification Report'!$AS$998</definedName>
    <definedName name="vnt701_4_3_2_1_2">'Verification Report'!$AS$999</definedName>
    <definedName name="vnt701_4_3_2_1_3">'Verification Report'!$AS$1003</definedName>
    <definedName name="vnt701_4_3_2_1_4">'Verification Report'!$AS$1005</definedName>
    <definedName name="vnt701_4_3_2_1_5">'Verification Report'!$AS$1008</definedName>
    <definedName name="vnt701_4_3_2_1_6">'Verification Report'!$AS$1010</definedName>
    <definedName name="vnt701_4_3_2_1_7">'Verification Report'!$AS$1011</definedName>
    <definedName name="vnt701_4_3_2_1_8">'Verification Report'!$AS$1012</definedName>
    <definedName name="vnt701_4_3_2_1_9">'Verification Report'!$AS$1015</definedName>
    <definedName name="vnt701_4_3_2_1_a">'Verification Report'!$AS$980</definedName>
    <definedName name="vnt701_4_3_2_1_b">'Verification Report'!$AS$981</definedName>
    <definedName name="vnt701_4_3_2_1_c">'Verification Report'!$AS$983</definedName>
    <definedName name="vnt701_4_3_2_1_d">'Verification Report'!$AS$984</definedName>
    <definedName name="vnt701_4_3_2_1_e">'Verification Report'!$AS$986</definedName>
    <definedName name="vnt701_4_3_2_1_f">'Verification Report'!$AS$987</definedName>
    <definedName name="vnt701_4_3_2_1_g">'Verification Report'!$AS$988</definedName>
    <definedName name="vnt701_4_3_2_1_h">'Verification Report'!$AS$989</definedName>
    <definedName name="vnt701_4_3_2_2">'Verification Report'!$AS$991</definedName>
    <definedName name="vnt701_4_3_2e">'Verification Report'!$AS$978</definedName>
    <definedName name="vnt701_4_3_3">'Verification Report'!$AS$1017</definedName>
    <definedName name="vnt701_4_3_4">'Verification Report'!$AS$1020</definedName>
    <definedName name="vnt701_4_3_5">'Verification Report'!$AS$1030</definedName>
    <definedName name="vnt701_4_4_1">'Verification Report'!$AS$1040</definedName>
    <definedName name="vnt701_4_4_2">'Verification Report'!$AS$1042</definedName>
    <definedName name="vnt701_4_5">'Verification Report'!$AS$1043</definedName>
    <definedName name="vnt702_2_1">'Verification Report'!$AS$1049</definedName>
    <definedName name="vnt702_2_2">'Verification Report'!$AS$1053</definedName>
    <definedName name="vnt702_2_2_m">'Verification Report'!$AS$1059</definedName>
    <definedName name="vnt702_2_3">'Verification Report'!$AS$1062</definedName>
    <definedName name="vnt703_1_1">'Verification Report'!$AS$1066</definedName>
    <definedName name="vnt703_1_2">'Verification Report'!$AS$1081</definedName>
    <definedName name="vnt703_1_3">'Verification Report'!$AS$1084</definedName>
    <definedName name="vnt703_2_1">'Verification Report'!$AS$1090</definedName>
    <definedName name="vnt703_2_2">'Verification Report'!$AS$1097</definedName>
    <definedName name="vnt703_2_3">'Verification Report'!$AS$1099</definedName>
    <definedName name="vnt703_2_4">'Verification Report'!$AS$1102</definedName>
    <definedName name="vnt703_2_5_1">'Verification Report'!$AS$1106</definedName>
    <definedName name="vnt703_2_5_1_1">'Verification Report'!$AS$1114</definedName>
    <definedName name="vnt703_2_5_2">'Verification Report'!$AS$1122</definedName>
    <definedName name="vnt703_2_5_2_1">'Verification Report'!$AS$1130</definedName>
    <definedName name="vnt703_3_0_1">'Verification Report'!$AS$1140</definedName>
    <definedName name="vnt703_3_0_2">'Verification Report'!$AS$1147</definedName>
    <definedName name="vnt703_3_1">'Verification Report'!$AS$1154</definedName>
    <definedName name="vnt703_3_2__1">'Verification Report'!$AS$1160</definedName>
    <definedName name="vnt703_3_2__2">'Verification Report'!$AS$1166</definedName>
    <definedName name="vnt703_3_2__3">'Verification Report'!$AS$1169</definedName>
    <definedName name="vnt703_3_2__4">'Verification Report'!$AS$1174</definedName>
    <definedName name="vnt703_3_3__1">'Verification Report'!$AS$1180</definedName>
    <definedName name="vnt703_3_3__2">'Verification Report'!$AS$1186</definedName>
    <definedName name="vnt703_3_3__3">'Verification Report'!$AS$1188</definedName>
    <definedName name="vnt703_3_4_1">'Verification Report'!$AS$1192</definedName>
    <definedName name="vnt703_3_4_1_6">'Verification Report'!$AS$1198</definedName>
    <definedName name="vnt703_3_4_2">'Verification Report'!$AS$1200</definedName>
    <definedName name="vnt703_3_5">'Verification Report'!$AS$1201</definedName>
    <definedName name="vnt703_3_6">'Verification Report'!$AS$1205</definedName>
    <definedName name="vnt703_3_7_1">'Verification Report'!$AS$1211</definedName>
    <definedName name="vnt703_3_8">'Verification Report'!$AS$1218</definedName>
    <definedName name="vnt703_4_1">'Verification Report'!$AS$1224</definedName>
    <definedName name="vnt703_4_2">'Verification Report'!$AS$1226</definedName>
    <definedName name="vnt703_4_3_1">'Verification Report'!$AS$1229</definedName>
    <definedName name="vnt703_4_3_2">'Verification Report'!$AS$1230</definedName>
    <definedName name="vnt703_4_3_3">'Verification Report'!$AS$1232</definedName>
    <definedName name="vnt703_4_4">'Verification Report'!$AS$1234</definedName>
    <definedName name="vnt703_5_1">'Verification Report'!$AS$1244</definedName>
    <definedName name="vnt703_5_2">'Verification Report'!$AS$1293</definedName>
    <definedName name="vnt703_5_3">'Verification Report'!$AS$1295</definedName>
    <definedName name="vnt703_5_4">'Verification Report'!$AS$1297</definedName>
    <definedName name="vnt703_5_5">'Verification Report'!$AS$1298</definedName>
    <definedName name="vnt703_6_1_1">'Verification Report'!$AS$1318</definedName>
    <definedName name="vnt703_6_1_2">'Verification Report'!$AS$1320</definedName>
    <definedName name="vnt703_6_1_3">'Verification Report'!$AS$1322</definedName>
    <definedName name="vnt703_6_2__1">'Verification Report'!$AS$1325</definedName>
    <definedName name="vnt703_6_2__2">'Verification Report'!$AS$1326</definedName>
    <definedName name="vnt703_6_2__3">'Verification Report'!$AS$1327</definedName>
    <definedName name="vnt703_7_1_1">'Verification Report'!$AS$1332</definedName>
    <definedName name="vnt703_7_1_2">'Verification Report'!$AS$1334</definedName>
    <definedName name="vnt703_7_1_3">'Verification Report'!$AS$1336</definedName>
    <definedName name="vnt703_7_1_4">'Verification Report'!$AS$1338</definedName>
    <definedName name="vnt703_7_1_5">'Verification Report'!$AS$1340</definedName>
    <definedName name="vnt703_7_1_6_a">'Verification Report'!$AS$1343</definedName>
    <definedName name="vnt703_7_1_6_b">'Verification Report'!$AS$1344</definedName>
    <definedName name="vnt703_7_1_6_c">'Verification Report'!$AS$1345</definedName>
    <definedName name="vnt703_7_1_7">'Verification Report'!$AS$1347</definedName>
    <definedName name="vnt703_7_1_8">'Verification Report'!$AS$1350</definedName>
    <definedName name="vnt703_7_1_9">'Verification Report'!$AS$1351</definedName>
    <definedName name="vnt703_7_1_9_m">'Verification Report'!$AS$1352</definedName>
    <definedName name="vnt703_7_2">'Verification Report'!$AS$1357</definedName>
    <definedName name="vnt703_7_3_1_a">'Verification Report'!$AS$1365</definedName>
    <definedName name="vnt703_7_3_1_b">'Verification Report'!$AS$1367</definedName>
    <definedName name="vnt703_7_3_1_c">'Verification Report'!$AS$1368</definedName>
    <definedName name="vnt703_7_3_1_d">'Verification Report'!$AS$1369</definedName>
    <definedName name="vnt703_7_3_2">'Verification Report'!$AS$1371</definedName>
    <definedName name="vnt703_7_3_3">'Verification Report'!$AS$1374</definedName>
    <definedName name="vnt703_7_3_4">'Verification Report'!$AS$1376</definedName>
    <definedName name="vnt703_7_3_5_a">'Verification Report'!$AS$1381</definedName>
    <definedName name="vnt703_7_3_5_b">'Verification Report'!$AS$1383</definedName>
    <definedName name="vnt703_7_3_6">'Verification Report'!$AS$1385</definedName>
    <definedName name="vnt703_7_4_1">'Verification Report'!$AS$1390</definedName>
    <definedName name="vnt703_7_4_2_a">'Verification Report'!$AS$1394</definedName>
    <definedName name="vnt703_7_4_2_b">'Verification Report'!$AS$1397</definedName>
    <definedName name="vnt703_7_4_2_c">'Verification Report'!$AS$1405</definedName>
    <definedName name="vnt703_7_4_3">'Verification Report'!$AS$1408</definedName>
    <definedName name="vnt704_1">'Verification Report'!$AS$1411</definedName>
    <definedName name="vnt705_2_1_1">'Verification Report'!$AS$1427</definedName>
    <definedName name="vnt705_2_1_2">'Verification Report'!$AS$1431</definedName>
    <definedName name="vnt705_2_1_3_1">'Verification Report'!$AS$1434</definedName>
    <definedName name="vnt705_2_1_3_2">'Verification Report'!$AS$1438</definedName>
    <definedName name="vnt705_2_1_4">'Verification Report'!$AS$1443</definedName>
    <definedName name="vnt705_2_2">'Verification Report'!$AS$1448</definedName>
    <definedName name="vnt705_2_3">'Verification Report'!$AS$1451</definedName>
    <definedName name="vnt705_2_4">'Verification Report'!$AS$1453</definedName>
    <definedName name="vnt705_3">'Verification Report'!$AS$1456</definedName>
    <definedName name="vnt705_4">'Verification Report'!$AS$1457</definedName>
    <definedName name="vnt705_5_1_1">'Verification Report'!$AS$1462</definedName>
    <definedName name="vnt705_5_1_2">'Verification Report'!$AS$1465</definedName>
    <definedName name="vnt705_5_2">'Verification Report'!$AS$1467</definedName>
    <definedName name="vnt705_5_2_1">'Verification Report'!$AS$1469</definedName>
    <definedName name="vnt705_5_2_2">'Verification Report'!$AS$1470</definedName>
    <definedName name="vnt705_5_2_3">'Verification Report'!$AS$1471</definedName>
    <definedName name="vnt705_5_2_4">'Verification Report'!$AS$1472</definedName>
    <definedName name="vnt705_5_2_5">'Verification Report'!$AS$1473</definedName>
    <definedName name="vnt705_5_2_6">'Verification Report'!$AS$1474</definedName>
    <definedName name="vnt705_5_3_1">'Verification Report'!$AS$1476</definedName>
    <definedName name="vnt705_5_3_2">'Verification Report'!$AS$1478</definedName>
    <definedName name="vnt705_6_1">'Verification Report'!$AS$1480</definedName>
    <definedName name="vnt705_6_2_1_1_1">'Verification Report'!$AS$1493</definedName>
    <definedName name="vnt705_6_2_1_2">'Verification Report'!$AS$1496</definedName>
    <definedName name="vnt705_6_2_2_1">'Verification Report'!$AS$1502</definedName>
    <definedName name="vnt705_6_2_2_2">'Verification Report'!$AS$1504</definedName>
    <definedName name="vnt705_6_2_3">'Verification Report'!$AS$1507</definedName>
    <definedName name="vnt705_6_3_a">'Verification Report'!$AS$1516</definedName>
    <definedName name="vnt705_6_3_b">'Verification Report'!$AS$1517</definedName>
    <definedName name="vnt705_6_3_c">'Verification Report'!$AS$1518</definedName>
    <definedName name="vnt705_6_3_d">'Verification Report'!$AS$1519</definedName>
    <definedName name="vnt705_6_3_e">'Verification Report'!$AS$1520</definedName>
    <definedName name="vnt705_6_3_f">'Verification Report'!$AS$1521</definedName>
    <definedName name="vnt705_6_3_g">'Verification Report'!$AS$1522</definedName>
    <definedName name="vnt705_6_4_1">'Verification Report'!$AS$1525</definedName>
    <definedName name="vnt705_6_4_2">'Verification Report'!$AS$1527</definedName>
    <definedName name="vnt705_7">'Verification Report'!$AS$1529</definedName>
    <definedName name="vnt706_1_1">'Verification Report'!$AS$1536</definedName>
    <definedName name="vnt706_1_2">'Verification Report'!$AS$1537</definedName>
    <definedName name="vnt706_1_3">'Verification Report'!$AS$1538</definedName>
    <definedName name="vnt706_1_4">'Verification Report'!$AS$1539</definedName>
    <definedName name="vnt706_1_5">'Verification Report'!$AS$1541</definedName>
    <definedName name="vnt706_10">'Verification Report'!$AS$1611</definedName>
    <definedName name="vnt706_11">'Verification Report'!$AS$1616</definedName>
    <definedName name="vnt706_12">'Verification Report'!$AS$1618</definedName>
    <definedName name="vnt706_13">'Verification Report'!$AS$1622</definedName>
    <definedName name="vnt706_14_1">'Verification Report'!$AS$1627</definedName>
    <definedName name="vnt706_14_2">'Verification Report'!$AS$1631</definedName>
    <definedName name="vnt706_15_1">'Verification Report'!$AS$1636</definedName>
    <definedName name="vnt706_15_2">'Verification Report'!$AS$1637</definedName>
    <definedName name="vnt706_2_1">'Verification Report'!$AS$1544</definedName>
    <definedName name="vnt706_2_2">'Verification Report'!$AS$1549</definedName>
    <definedName name="vnt706_3">'Verification Report'!$AS$1556</definedName>
    <definedName name="vnt706_3_1">'Verification Report'!$AS$1564</definedName>
    <definedName name="vnt706_3_2">'Verification Report'!$AS$1565</definedName>
    <definedName name="vnt706_3_3">'Verification Report'!$AS$1566</definedName>
    <definedName name="vnt706_3_4">'Verification Report'!$AS$1567</definedName>
    <definedName name="vnt706_3_5">'Verification Report'!$AS$1568</definedName>
    <definedName name="vnt706_3_6">'Verification Report'!$AS$1569</definedName>
    <definedName name="vnt706_3_7">'Verification Report'!$AS$1570</definedName>
    <definedName name="vnt706_3_8">'Verification Report'!$AS$1571</definedName>
    <definedName name="vnt706_4_1_1">'Verification Report'!$AS$1574</definedName>
    <definedName name="vnt706_4_1_2">'Verification Report'!$AS$1576</definedName>
    <definedName name="vnt706_4_2">'Verification Report'!$AS$1578</definedName>
    <definedName name="vnt706_5">'Verification Report'!$AS$1580</definedName>
    <definedName name="vnt706_6">'Verification Report'!$AS$1595</definedName>
    <definedName name="vnt706_7_1">'Verification Report'!$AS$1599</definedName>
    <definedName name="vnt706_7_2">'Verification Report'!$AS$1600</definedName>
    <definedName name="vnt706_8">'Verification Report'!$AS$1603</definedName>
    <definedName name="vnt706_9">'Verification Report'!$AS$1606</definedName>
    <definedName name="vnt801_1">'Verification Report'!$AS$1642</definedName>
    <definedName name="vnt802_1_1">'Verification Report'!$AS$1663</definedName>
    <definedName name="vnt802_1_5">'Verification Report'!$AS$1674</definedName>
    <definedName name="vnt802_1_6">'Verification Report'!$AS$1679</definedName>
    <definedName name="vnt802_10_1">'Verification Report'!$AS$1837</definedName>
    <definedName name="vnt802_10_1_1">'Verification Report'!$AS$1840</definedName>
    <definedName name="vnt802_2_1">'Verification Report'!$AS$1684</definedName>
    <definedName name="vnt802_2_2">'Verification Report'!$AS$1685</definedName>
    <definedName name="vnt802_3_1_a">'Verification Report'!$AS$1693</definedName>
    <definedName name="vnt802_3_1_b">'Verification Report'!$AS$1695</definedName>
    <definedName name="vnt802_3_2_a">'Verification Report'!$AS$1702</definedName>
    <definedName name="vnt802_3_2_b">'Verification Report'!$AS$1704</definedName>
    <definedName name="vnt802_4_1">'Verification Report'!$AS$1709</definedName>
    <definedName name="vnt802_4_2">'Verification Report'!$AS$1721</definedName>
    <definedName name="vnt802_4_3">'Verification Report'!$AS$1726</definedName>
    <definedName name="vnt802_5_1a">'Verification Report'!$AS$1729</definedName>
    <definedName name="vnt802_5_2">'Verification Report'!$AS$1741</definedName>
    <definedName name="vnt802_5_3">'Verification Report'!$AS$1746</definedName>
    <definedName name="vnt802_5_4_1">'Verification Report'!$AS$1751</definedName>
    <definedName name="vnt802_5_4_2">'Verification Report'!$AS$1753</definedName>
    <definedName name="vnt802_5_4_3">'Verification Report'!$AS$1760</definedName>
    <definedName name="vnt802_5_4_4_a">'Verification Report'!$AS$1763</definedName>
    <definedName name="vnt802_5_4_4_b">'Verification Report'!$AS$1767</definedName>
    <definedName name="vnt802_5_4_4_c">'Verification Report'!$AS$1769</definedName>
    <definedName name="vnt802_6_1">'Verification Report'!$AS$1772</definedName>
    <definedName name="vnt802_6_2">'Verification Report'!$AS$1774</definedName>
    <definedName name="vnt802_6_3_1">'Verification Report'!$AS$1778</definedName>
    <definedName name="vnt802_6_3_2">'Verification Report'!$AS$1779</definedName>
    <definedName name="vnt802_6_3_3">'Verification Report'!$AS$1780</definedName>
    <definedName name="vnt802_6_4_1">'Verification Report'!$AS$1785</definedName>
    <definedName name="vnt802_6_4_2">'Verification Report'!$AS$1787</definedName>
    <definedName name="vnt802_6_5_1">'Verification Report'!$AS$1793</definedName>
    <definedName name="vnt802_6_5_2">'Verification Report'!$AS$1795</definedName>
    <definedName name="vnt802_6_5_3">'Verification Report'!$AS$1797</definedName>
    <definedName name="vnt802_6_5_4">'Verification Report'!$AS$1798</definedName>
    <definedName name="vnt802_6_5_5">'Verification Report'!$AS$1800</definedName>
    <definedName name="vnt802_7_1">'Verification Report'!$AS$1804</definedName>
    <definedName name="vnt802_7_2_1">'Verification Report'!$AS$1818</definedName>
    <definedName name="vnt802_7_2_2">'Verification Report'!$AS$1820</definedName>
    <definedName name="vnt802_8">'Verification Report'!$AS$1821</definedName>
    <definedName name="vnt802_9_1">'Verification Report'!$AS$1824</definedName>
    <definedName name="vnt802_9_2">'Verification Report'!$AS$1832</definedName>
    <definedName name="vnt803_1_1">'Verification Report'!$AS$1846</definedName>
    <definedName name="vnt803_1_2">'Verification Report'!$AS$1848</definedName>
    <definedName name="vnt803_2">'Verification Report'!$AS$1849</definedName>
    <definedName name="vnt803_3">'Verification Report'!$AS$1852</definedName>
    <definedName name="vnt803_4">'Verification Report'!$AS$1857</definedName>
    <definedName name="vnt803_5">'Verification Report'!$AS$1860</definedName>
    <definedName name="vnt803_6">'Verification Report'!$AS$1862</definedName>
    <definedName name="vnt804_2">'Verification Report'!$AS$1868</definedName>
    <definedName name="vnt901_1_1">'Verification Report'!$AS$1878</definedName>
    <definedName name="vnt901_1_2">'Verification Report'!$AS$1884</definedName>
    <definedName name="vnt901_1_3_1">'Verification Report'!$AS$1889</definedName>
    <definedName name="vnt901_1_3_2">'Verification Report'!$AS$1892</definedName>
    <definedName name="vnt901_1_4">'Verification Report'!$AS$1895</definedName>
    <definedName name="vnt901_1_5">'Verification Report'!$AS$1900</definedName>
    <definedName name="vnt901_1_6">'Verification Report'!$AS$1903</definedName>
    <definedName name="vnt901_10_1">'Verification Report'!$AS$2015</definedName>
    <definedName name="vnt901_10_2">'Verification Report'!$AS$2020</definedName>
    <definedName name="vnt901_10_3">'Verification Report'!$AS$2021</definedName>
    <definedName name="vnt901_11">'Verification Report'!$AS$2025</definedName>
    <definedName name="vnt901_12">'Verification Report'!$AS$2030</definedName>
    <definedName name="vnt901_13">'Verification Report'!$AS$2034</definedName>
    <definedName name="vnt901_14">'Verification Report'!$AS$2036</definedName>
    <definedName name="vnt901_15_1">'Verification Report'!$AS$2042</definedName>
    <definedName name="vnt901_15_2">'Verification Report'!$AS$2044</definedName>
    <definedName name="vnt901_2_1_1">'Verification Report'!$AS$1909</definedName>
    <definedName name="vnt901_2_1_2">'Verification Report'!$AS$1912</definedName>
    <definedName name="vnt901_2_1_3">'Verification Report'!$AS$1914</definedName>
    <definedName name="vnt901_2_1_4">'Verification Report'!$AS$1917</definedName>
    <definedName name="vnt901_2_1_5">'Verification Report'!$AS$1919</definedName>
    <definedName name="vnt901_2_2">'Verification Report'!$AS$1921</definedName>
    <definedName name="vnt901_3_1_a">'Verification Report'!$AS$1924</definedName>
    <definedName name="vnt901_3_1_b">'Verification Report'!$AS$1926</definedName>
    <definedName name="vnt901_3_1_c">'Verification Report'!$AS$1928</definedName>
    <definedName name="vnt901_3_2">'Verification Report'!$AS$1934</definedName>
    <definedName name="vnt901_4_1">'Verification Report'!$AS$1938</definedName>
    <definedName name="vnt901_4_a">'Verification Report'!$AS$1943</definedName>
    <definedName name="vnt901_5_1">'Verification Report'!$AS$1957</definedName>
    <definedName name="vnt901_5_2">'Verification Report'!$AS$1959</definedName>
    <definedName name="vnt901_6">'Verification Report'!$AS$1962</definedName>
    <definedName name="vnt901_7_1">'Verification Report'!$AS$1971</definedName>
    <definedName name="vnt901_7_2">'Verification Report'!$AS$1981</definedName>
    <definedName name="vnt901_8">'Verification Report'!$AS$1985</definedName>
    <definedName name="vnt901_9">'Verification Report'!$AS$1991</definedName>
    <definedName name="vnt901_9_1_1">'Verification Report'!$AS$1996</definedName>
    <definedName name="vnt901_9_1_2">'Verification Report'!$AS$1998</definedName>
    <definedName name="vnt901_9_1_3">'Verification Report'!$AS$1999</definedName>
    <definedName name="vnt901_9_2">'Verification Report'!$AS$2001</definedName>
    <definedName name="vnt901_9_3">'Verification Report'!$AS$2006</definedName>
    <definedName name="vnt902_1_1">'Verification Report'!$AS$2050</definedName>
    <definedName name="vnt902_1_1_a">'Verification Report'!$AS$2052</definedName>
    <definedName name="vnt902_1_2">'Verification Report'!$AS$2054</definedName>
    <definedName name="vnt902_1_2_">'Verification Report'!$AS$2059</definedName>
    <definedName name="vnt902_1_3">'Verification Report'!$AS$2056</definedName>
    <definedName name="vnt902_1_3_">'Verification Report'!$AS$2063</definedName>
    <definedName name="vnt902_1_4">'Verification Report'!$AS$2067</definedName>
    <definedName name="vnt902_1_5_1">'Verification Report'!$AS$2074</definedName>
    <definedName name="vnt902_1_5_2">'Verification Report'!$AS$2076</definedName>
    <definedName name="vnt902_1_5_3">'Verification Report'!$AS$2078</definedName>
    <definedName name="vnt902_1_6">'Verification Report'!$AS$2081</definedName>
    <definedName name="vnt902_2_1">'Verification Report'!$AS$2085</definedName>
    <definedName name="vnt902_2_2">'Verification Report'!$AS$2096</definedName>
    <definedName name="vnt902_2_3">'Verification Report'!$AS$2098</definedName>
    <definedName name="vnt902_2_4">'Verification Report'!$AS$2101</definedName>
    <definedName name="vnt902_3">'Verification Report'!$AS$2104</definedName>
    <definedName name="vnt902_3_1">'Verification Report'!$AS$2113</definedName>
    <definedName name="vnt902_3_2_1">'Verification Report'!$AS$2154</definedName>
    <definedName name="vnt902_3_2_2">'Verification Report'!$AS$2176</definedName>
    <definedName name="vnt902_4_1">'Verification Report'!$AS$2180</definedName>
    <definedName name="vnt902_4_2">'Verification Report'!$AS$2182</definedName>
    <definedName name="vnt902_4_3">'Verification Report'!$AS$2185</definedName>
    <definedName name="vnt902_5">'Verification Report'!$AS$2188</definedName>
    <definedName name="vnt902_6">'Verification Report'!$AS$2190</definedName>
    <definedName name="vnt903_1">'Verification Report'!$AS$2194</definedName>
    <definedName name="vnt903_2">'Verification Report'!$AS$2198</definedName>
    <definedName name="vnt903_3">'Verification Report'!$AS$2202</definedName>
    <definedName name="vnt904_1">'Verification Report'!$AS$2210</definedName>
    <definedName name="vnt904_2">'Verification Report'!$AS$2215</definedName>
    <definedName name="vnt904_3_1">'Verification Report'!$AS$2220</definedName>
    <definedName name="vnt904_3_2">'Verification Report'!$AS$2228</definedName>
    <definedName name="vnt905_1">'Verification Report'!$AS$2232</definedName>
    <definedName name="vnt905_2">'Verification Report'!$AS$2237</definedName>
    <definedName name="vnt905_3_1">'Verification Report'!$AS$2240</definedName>
    <definedName name="vnt905_3_2">'Verification Report'!$AS$2241</definedName>
    <definedName name="vnt905_4">'Verification Report'!$AS$2243</definedName>
    <definedName name="vnt905_6">'Verification Report'!$AS$2248</definedName>
    <definedName name="vntBadgesAirLeakage">'Badges (Verification)'!$AS$28</definedName>
    <definedName name="vntBadgesAirSealing">'Badges (Verification)'!$AS$29</definedName>
    <definedName name="vntBadgesBatteryStorage">'Badges (Verification)'!$AS$58</definedName>
    <definedName name="vntBadgesBuildingVent">'Badges (Verification)'!$AS$55</definedName>
    <definedName name="vntBadgesDaylighting">'Badges (Verification)'!$AS$34</definedName>
    <definedName name="vntBadgesElectricAC">'Badges (Verification)'!$AS$46</definedName>
    <definedName name="vntBadgesElectricHeat">'Badges (Verification)'!$AS$44</definedName>
    <definedName name="vntBadgesEnergyCredits">'Badges (Verification)'!$AS$77</definedName>
    <definedName name="vntBadgesExteriorShading">'Badges (Verification)'!$AS$27</definedName>
    <definedName name="vntBadgesFloorRVal">'Badges (Verification)'!$AS$16</definedName>
    <definedName name="vntBadgesGasBoiler">'Badges (Verification)'!$AS$41</definedName>
    <definedName name="vntBadgesGEDHPHeating">'Badges (Verification)'!$AS$45</definedName>
    <definedName name="vntBadgesGEHHPCooling">'Badges (Verification)'!$AS$47</definedName>
    <definedName name="vntBadgesGeothermalPower">'Badges (Verification)'!$AS$80</definedName>
    <definedName name="vntBadgesGroundSourceHP">'Badges (Verification)'!$AS$49</definedName>
    <definedName name="vntBadgesHVACDesc">'Badges (Verification)'!$AS$50</definedName>
    <definedName name="vntBadgesLightingDesign">'Badges (Verification)'!$AS$36</definedName>
    <definedName name="vntBadgesLightingType">'Badges (Verification)'!$AS$33</definedName>
    <definedName name="vntBadgesOccSensor">'Badges (Verification)'!$AS$35</definedName>
    <definedName name="vntBadgesOilBoiler">'Badges (Verification)'!$AS$42</definedName>
    <definedName name="vntBadgesOilFurnace">'Badges (Verification)'!$AS$40</definedName>
    <definedName name="vntBadgesPropane">'Badges (Verification)'!$AS$39</definedName>
    <definedName name="vntBadgesRadiant">'Badges (Verification)'!$AS$43</definedName>
    <definedName name="vntBadgesResilienceAdditional">'Badges (Verification)'!$AS$110</definedName>
    <definedName name="vntBadgesResilienceSect1">'Badges (Verification)'!$AS$97</definedName>
    <definedName name="vntBadgesResilienceSect2">'Badges (Verification)'!$AS$106</definedName>
    <definedName name="vntBadgesRoofRVal">'Badges (Verification)'!$AS$15</definedName>
    <definedName name="vntBadgesSHGC">'Badges (Verification)'!$AS$23</definedName>
    <definedName name="vntBadgesSmartAdd">'Badges (Verification)'!$AS$166</definedName>
    <definedName name="vntBadgesSmartSect1">'Badges (Verification)'!$AS$125</definedName>
    <definedName name="vntBadgesSmartSect2">'Badges (Verification)'!$AS$139</definedName>
    <definedName name="vntBadgesSmartSect3">'Badges (Verification)'!$AS$152</definedName>
    <definedName name="vntBadgesSmartSect4">'Badges (Verification)'!$AS$162</definedName>
    <definedName name="vntBadgesSolar">'Badges (Verification)'!$AS$66</definedName>
    <definedName name="vntBadgesSolarThermalArea">'Badges (Verification)'!$AS$69</definedName>
    <definedName name="vntBadgesSpotVent">'Badges (Verification)'!$AS$54</definedName>
    <definedName name="vntBadgesWallDesc">'Badges (Verification)'!$AS$18</definedName>
    <definedName name="vntBadgesWallRVal">'Badges (Verification)'!$AS$17</definedName>
    <definedName name="vntBadgesWaterSourceHC">'Badges (Verification)'!$AS$48</definedName>
    <definedName name="vntBadgesWellnessSect1">'Badges (Verification)'!$AS$203</definedName>
    <definedName name="vntBadgesWellnessSect2">'Badges (Verification)'!$AS$222</definedName>
    <definedName name="vntBadgesWellnessSect3">'Badges (Verification)'!$AS$246</definedName>
    <definedName name="vntBadgesWellnessSect4">'Badges (Verification)'!$AS$256</definedName>
    <definedName name="vntBadgesWellnessSect5">'Badges (Verification)'!$AS$264</definedName>
    <definedName name="vntBadgesWellnessSect6">'Badges (Verification)'!$AS$272</definedName>
    <definedName name="vntBadgesWellnessSect7">'Badges (Verification)'!$AS$280</definedName>
    <definedName name="vntBadgesWellnessSect8">'Badges (Verification)'!$AS$287</definedName>
    <definedName name="vntBadgesWellnessSect9">'Badges (Verification)'!$AS$298</definedName>
    <definedName name="vntBadgesWind">'Badges (Verification)'!$AS$74</definedName>
    <definedName name="vntBadgesWindowDesc">'Badges (Verification)'!$AS$24</definedName>
    <definedName name="vntBadgesWindowUVal">'Badges (Verification)'!$AS$22</definedName>
    <definedName name="vntBadgesWindowWallRatio">'Badges (Verification)'!$AS$21</definedName>
    <definedName name="vntWaterSenseClothesWasher">'WaterSense (Verification)'!$AS$110</definedName>
    <definedName name="vntWaterSenseDishwasher">'WaterSense (Verification)'!$AS$115</definedName>
    <definedName name="vntWaterSenseIrrigation">'WaterSense (Verification)'!$AS$55</definedName>
    <definedName name="vntWaterSenseLavFaucet">'WaterSense (Verification)'!$AS$41</definedName>
    <definedName name="vntWaterSenseLeaks1">'WaterSense (Verification)'!$AS$18</definedName>
    <definedName name="vntWaterSenseLeaks2">'WaterSense (Verification)'!$AS$19</definedName>
    <definedName name="vntWaterSenseLeaks3">'WaterSense (Verification)'!$AS$20</definedName>
    <definedName name="vntWaterSenseLeaks4">'WaterSense (Verification)'!$AS$22</definedName>
    <definedName name="vntWaterSenseLeaks5">'WaterSense (Verification)'!$AS$23</definedName>
    <definedName name="vntWaterSenseLeaks6">'WaterSense (Verification)'!$AS$24</definedName>
    <definedName name="vntWaterSenseLeaks7">'WaterSense (Verification)'!$AS$27</definedName>
    <definedName name="vntWaterSenseLeaks8">'WaterSense (Verification)'!$AS$28</definedName>
    <definedName name="vntWaterSenseOptionA">'WaterSense (Verification)'!$AS$132</definedName>
    <definedName name="vntWaterSenseShowerheads">'WaterSense (Verification)'!$AS$48</definedName>
    <definedName name="vntWaterSenseToilet">'WaterSense (Verification)'!$AS$34</definedName>
    <definedName name="vpa1001_1">'Verification Report'!$AM$2255</definedName>
    <definedName name="vpa1001_1_1">'Verification Report'!$AM$2258</definedName>
    <definedName name="vpa1001_1_2">'Verification Report'!$AM$2259</definedName>
    <definedName name="vpa1001_1_3">'Verification Report'!$AM$2260</definedName>
    <definedName name="vpa1001_1_9">'Verification Report'!$AM$2271</definedName>
    <definedName name="vpa1001_2">'Verification Report'!$AM$2305</definedName>
    <definedName name="vpa1001_2_m">'Verification Report'!$AM$2303</definedName>
    <definedName name="vpa1002_1">'Verification Report'!$AM$2322</definedName>
    <definedName name="vpa1002_1_1">'Verification Report'!$AM$2325</definedName>
    <definedName name="vpa1002_1_2">'Verification Report'!$AM$2328</definedName>
    <definedName name="vpa1002_1_3">'Verification Report'!$AM$2331</definedName>
    <definedName name="vpa1002_2">'Verification Report'!$AM$2340</definedName>
    <definedName name="vpa1002_2_1">'Verification Report'!$AM$2344</definedName>
    <definedName name="vpa1002_2_11">'Verification Report'!$AM$2365</definedName>
    <definedName name="vpa1002_2_2">'Verification Report'!$AM$2346</definedName>
    <definedName name="vpa1002_3">'Verification Report'!$AM$2367</definedName>
    <definedName name="vpa1002_3_1">'Verification Report'!$AM$2371</definedName>
    <definedName name="vpa1002_4">'Verification Report'!$AM$2397</definedName>
    <definedName name="vpa1002_4_m">'Verification Report'!$AM$2395</definedName>
    <definedName name="vpa1002_5">'Verification Report'!$AM$2408</definedName>
    <definedName name="vpa1002_5_1">'Verification Report'!$AM$2410</definedName>
    <definedName name="vpa1002_5_2">'Verification Report'!$AM$2411</definedName>
    <definedName name="vpa1002_5_3">'Verification Report'!$AM$2412</definedName>
    <definedName name="vpa1002_6">'Verification Report'!$AM$2420</definedName>
    <definedName name="vpa1003_1">'Verification Report'!$AM$2435</definedName>
    <definedName name="vpa1003_1_1">'Verification Report'!$AM$2436</definedName>
    <definedName name="vpa1003_1_2">'Verification Report'!$AM$2438</definedName>
    <definedName name="vpa1003_1_3">'Verification Report'!$AM$2441</definedName>
    <definedName name="vpa1004_1_1">'Verification Report'!$AM$2454</definedName>
    <definedName name="vpa1004_1_2">'Verification Report'!$AM$2456</definedName>
    <definedName name="vpa1005_1_1">'Verification Report'!$AM$2460</definedName>
    <definedName name="vpa1005_1_2">'Verification Report'!$AM$2463</definedName>
    <definedName name="vpa1005_1_3">'Verification Report'!$AM$2467</definedName>
    <definedName name="vpa501_1">'Verification Report'!$AM$13</definedName>
    <definedName name="vpa501_1_2_a">'Verification Report'!$AM$16</definedName>
    <definedName name="vpa501_1_2_b">'Verification Report'!$AM$17</definedName>
    <definedName name="vpa501_1_2_c">'Verification Report'!$AM$18</definedName>
    <definedName name="vpa501_2_1">'Verification Report'!$AM$21</definedName>
    <definedName name="vpa501_2_2">'Verification Report'!$AM$23</definedName>
    <definedName name="vpa501_2_3">'Verification Report'!$AM$25</definedName>
    <definedName name="vpa501_2_4">'Verification Report'!$AM$27</definedName>
    <definedName name="vpa501_2_4_1_a">'Verification Report'!$AM$40</definedName>
    <definedName name="vpa501_2_4_1_b">'Verification Report'!$AM$41</definedName>
    <definedName name="vpa501_2_5">'Verification Report'!$AM$42</definedName>
    <definedName name="vpa501_2_6_a">'Verification Report'!$AM$47</definedName>
    <definedName name="vpa501_2_6_b">'Verification Report'!$AM$48</definedName>
    <definedName name="vpa501_2_6_c">'Verification Report'!$AM$49</definedName>
    <definedName name="vpa501_2_6_d">'Verification Report'!$AM$50</definedName>
    <definedName name="vpa501_2_7">'Verification Report'!$AM$52</definedName>
    <definedName name="vpa501_2_8">'Verification Report'!$AM$55</definedName>
    <definedName name="vpa502_1">'Verification Report'!$AM$58</definedName>
    <definedName name="vpa503_1_1">'Verification Report'!$AM$69</definedName>
    <definedName name="vpa503_1_2">'Verification Report'!$AM$71</definedName>
    <definedName name="vpa503_1_3">'Verification Report'!$AM$73</definedName>
    <definedName name="vpa503_1_4">'Verification Report'!$AM$75</definedName>
    <definedName name="vpa503_1_5">'Verification Report'!$AM$77</definedName>
    <definedName name="vpa503_1_6">'Verification Report'!$AM$79</definedName>
    <definedName name="vpa503_1_7">'Verification Report'!$AM$81</definedName>
    <definedName name="vpa503_1_8">'Verification Report'!$AM$83</definedName>
    <definedName name="vpa503_2_1">'Verification Report'!$AM$90</definedName>
    <definedName name="vpa503_2_2">'Verification Report'!$AM$91</definedName>
    <definedName name="vpa503_2_3_a">'Verification Report'!$AM$95</definedName>
    <definedName name="vpa503_2_3_b">'Verification Report'!$AM$96</definedName>
    <definedName name="vpa503_2_3_c">'Verification Report'!$AM$97</definedName>
    <definedName name="vpa503_2_4">'Verification Report'!$AM$98</definedName>
    <definedName name="vpa503_2_5">'Verification Report'!$AM$100</definedName>
    <definedName name="vpa503_3_1">'Verification Report'!$AM$104</definedName>
    <definedName name="vpa503_3_2">'Verification Report'!$AM$106</definedName>
    <definedName name="vpa503_3_3">'Verification Report'!$AM$113</definedName>
    <definedName name="vpa503_4_1">'Verification Report'!$AM$121</definedName>
    <definedName name="vpa503_4_2">'Verification Report'!$AM$124</definedName>
    <definedName name="vpa503_4_3_a">'Verification Report'!$AM$132</definedName>
    <definedName name="vpa503_4_3_b">'Verification Report'!$AM$133</definedName>
    <definedName name="vpa503_4_3_c">'Verification Report'!$AM$134</definedName>
    <definedName name="vpa503_4_4_a">'Verification Report'!$AM$137</definedName>
    <definedName name="vpa503_4_4_b">'Verification Report'!$AM$138</definedName>
    <definedName name="vpa503_4_4_c">'Verification Report'!$AM$139</definedName>
    <definedName name="vpa503_4_4_c_1">'Verification Report'!$AM$140</definedName>
    <definedName name="vpa503_4_5">'Verification Report'!$AM$142</definedName>
    <definedName name="vpa503_5_1_a">'Verification Report'!$AM$151</definedName>
    <definedName name="vpa503_5_1_b">'Verification Report'!$AM$152</definedName>
    <definedName name="vpa503_5_1_c">'Verification Report'!$AM$153</definedName>
    <definedName name="vpa503_5_1_d">'Verification Report'!$AM$154</definedName>
    <definedName name="vpa503_5_10">'Verification Report'!$AM$178</definedName>
    <definedName name="vpa503_5_11">'Verification Report'!$AM$181</definedName>
    <definedName name="vpa503_5_12">'Verification Report'!$AM$183</definedName>
    <definedName name="vpa503_5_13">'Verification Report'!$AM$185</definedName>
    <definedName name="vpa503_5_2">'Verification Report'!$AM$155</definedName>
    <definedName name="vpa503_5_3">'Verification Report'!$AM$157</definedName>
    <definedName name="vpa503_5_4">'Verification Report'!$AM$160</definedName>
    <definedName name="vpa503_5_5">'Verification Report'!$AM$162</definedName>
    <definedName name="vpa503_5_6_a">'Verification Report'!$AM$166</definedName>
    <definedName name="vpa503_5_6_b">'Verification Report'!$AM$167</definedName>
    <definedName name="vpa503_5_6_c">'Verification Report'!$AM$168</definedName>
    <definedName name="vpa503_5_6_d">'Verification Report'!$AM$169</definedName>
    <definedName name="vpa503_5_7">'Verification Report'!$AM$170</definedName>
    <definedName name="vpa503_5_8">'Verification Report'!$AM$171</definedName>
    <definedName name="vpa503_5_9">'Verification Report'!$AM$176</definedName>
    <definedName name="vpa503_6_1">'Verification Report'!$AM$189</definedName>
    <definedName name="vpa503_6_2">'Verification Report'!$AM$190</definedName>
    <definedName name="vpa503_6_3">'Verification Report'!$AM$191</definedName>
    <definedName name="vpa503_6_4">'Verification Report'!$AM$193</definedName>
    <definedName name="vpa503_7">'Verification Report'!$AM$194</definedName>
    <definedName name="vpa503_8">'Verification Report'!$AM$200</definedName>
    <definedName name="vpa503_8_1">'Verification Report'!$AM$203</definedName>
    <definedName name="vpa504_1">'Verification Report'!$AM$208</definedName>
    <definedName name="vpa504_2_1">'Verification Report'!$AM$215</definedName>
    <definedName name="vpa504_2_2">'Verification Report'!$AM$216</definedName>
    <definedName name="vpa504_2_3">'Verification Report'!$AM$218</definedName>
    <definedName name="vpa504_3_1">'Verification Report'!$AM$223</definedName>
    <definedName name="vpa504_3_2">'Verification Report'!$AM$225</definedName>
    <definedName name="vpa504_3_3">'Verification Report'!$AM$226</definedName>
    <definedName name="vpa504_3_4">'Verification Report'!$AM$228</definedName>
    <definedName name="vpa504_3_5">'Verification Report'!$AM$230</definedName>
    <definedName name="vpa504_3_6">'Verification Report'!$AM$234</definedName>
    <definedName name="vpa504_3_7">'Verification Report'!$AM$237</definedName>
    <definedName name="vpa504_3_8">'Verification Report'!$AM$238</definedName>
    <definedName name="vpa504_3_9">'Verification Report'!$AM$246</definedName>
    <definedName name="vpa505_1_1">'Verification Report'!$AM$253</definedName>
    <definedName name="vpa505_1_2">'Verification Report'!$AM$255</definedName>
    <definedName name="vpa505_1_3_a">'Verification Report'!$AM$258</definedName>
    <definedName name="vpa505_1_3_b">'Verification Report'!$AM$259</definedName>
    <definedName name="vpa505_1_3_c">'Verification Report'!$AM$260</definedName>
    <definedName name="vpa505_10_a">'Verification Report'!$AM$321</definedName>
    <definedName name="vpa505_10_b">'Verification Report'!$AM$323</definedName>
    <definedName name="vpa505_10_c">'Verification Report'!$AM$325</definedName>
    <definedName name="vpa505_2_1">'Verification Report'!$AM$262</definedName>
    <definedName name="vpa505_2_2">'Verification Report'!$AM$272</definedName>
    <definedName name="vpa505_3_1">'Verification Report'!$AM$276</definedName>
    <definedName name="vpa505_3_2">'Verification Report'!$AM$277</definedName>
    <definedName name="vpa505_3_3">'Verification Report'!$AM$278</definedName>
    <definedName name="vpa505_3_4">'Verification Report'!$AM$279</definedName>
    <definedName name="vpa505_3_5">'Verification Report'!$AM$280</definedName>
    <definedName name="vpa505_4_1">'Verification Report'!$AM$282</definedName>
    <definedName name="vpa505_5_a">'Verification Report'!$AM$286</definedName>
    <definedName name="vpa505_5_b">'Verification Report'!$AM$288</definedName>
    <definedName name="vpa505_5_c">'Verification Report'!$AM$291</definedName>
    <definedName name="vpa505_5_d">'Verification Report'!$AM$292</definedName>
    <definedName name="vpa505_6">'Verification Report'!$AM$293</definedName>
    <definedName name="vpa505_7">'Verification Report'!$AM$305</definedName>
    <definedName name="vpa505_8">'Verification Report'!$AM$309</definedName>
    <definedName name="vpa505_9_a">'Verification Report'!$AM$312</definedName>
    <definedName name="vpa505_9_b">'Verification Report'!$AM$315</definedName>
    <definedName name="vpa505_9_c">'Verification Report'!$AM$316</definedName>
    <definedName name="vpa601_1_1">'Verification Report'!$AM$337</definedName>
    <definedName name="vpa601_1_2">'Verification Report'!$AM$338</definedName>
    <definedName name="vpa601_1_3">'Verification Report'!$AM$339</definedName>
    <definedName name="vpa601_1_4">'Verification Report'!$AM$340</definedName>
    <definedName name="vpa601_1_5">'Verification Report'!$AM$341</definedName>
    <definedName name="vpa601_2_1">'Verification Report'!$AM$349</definedName>
    <definedName name="vpa601_2_2">'Verification Report'!$AM$352</definedName>
    <definedName name="vpa601_2_3">'Verification Report'!$AM$355</definedName>
    <definedName name="vpa601_3_1">'Verification Report'!$AM$359</definedName>
    <definedName name="vpa601_3_2">'Verification Report'!$AM$360</definedName>
    <definedName name="vpa601_3_3">'Verification Report'!$AM$361</definedName>
    <definedName name="vpa601_3_4">'Verification Report'!$AM$362</definedName>
    <definedName name="vpa601_3_5">'Verification Report'!$AM$363</definedName>
    <definedName name="vpa601_4">'Verification Report'!$AM$364</definedName>
    <definedName name="vpa601_5">'Verification Report'!$AM$367</definedName>
    <definedName name="vpa601_5_1">'Verification Report'!$AM$370</definedName>
    <definedName name="vpa601_5_2">'Verification Report'!$AM$371</definedName>
    <definedName name="vpa601_5_3">'Verification Report'!$AM$372</definedName>
    <definedName name="vpa601_5_4">'Verification Report'!$AM$373</definedName>
    <definedName name="vpa601_5_5">'Verification Report'!$AM$374</definedName>
    <definedName name="vpa601_6">'Verification Report'!$AM$375</definedName>
    <definedName name="vpa601_6_1">'Verification Report'!$AM$378</definedName>
    <definedName name="vpa601_6_2">'Verification Report'!$AM$379</definedName>
    <definedName name="vpa601_7">'Verification Report'!$AM$380</definedName>
    <definedName name="vpa601_7_1">'Verification Report'!$AM$393</definedName>
    <definedName name="vpa601_7_2">'Verification Report'!$AM$394</definedName>
    <definedName name="vpa601_7_3">'Verification Report'!$AM$396</definedName>
    <definedName name="vpa601_8">'Verification Report'!$AM$398</definedName>
    <definedName name="vpa602_1_1_1">'Verification Report'!$AM$411</definedName>
    <definedName name="vpa602_1_1_2">'Verification Report'!$AM$414</definedName>
    <definedName name="vpa602_1_10">'Verification Report'!$AM$510</definedName>
    <definedName name="vpa602_1_11">'Verification Report'!$AM$523</definedName>
    <definedName name="vpa602_1_12">'Verification Report'!$AM$525</definedName>
    <definedName name="vpa602_1_13">'Verification Report'!$AM$528</definedName>
    <definedName name="vpa602_1_14_1">'Verification Report'!$AM$534</definedName>
    <definedName name="vpa602_1_14_2">'Verification Report'!$AM$536</definedName>
    <definedName name="vpa602_1_14_3">'Verification Report'!$AM$537</definedName>
    <definedName name="vpa602_1_15">'Verification Report'!$AM$538</definedName>
    <definedName name="vpa602_1_2">'Verification Report'!$AM$416</definedName>
    <definedName name="vpa602_1_3_1">'Verification Report'!$AM$421</definedName>
    <definedName name="vpa602_1_3_2">'Verification Report'!$AM$423</definedName>
    <definedName name="vpa602_1_4_1_1">'Verification Report'!$AM$429</definedName>
    <definedName name="vpa602_1_4_1_2">'Verification Report'!$AM$431</definedName>
    <definedName name="vpa602_1_4_2_1">'Verification Report'!$AM$435</definedName>
    <definedName name="vpa602_1_4_2_2">'Verification Report'!$AM$437</definedName>
    <definedName name="vpa602_1_5_1">'Verification Report'!$AM$441</definedName>
    <definedName name="vpa602_1_5_2">'Verification Report'!$AM$443</definedName>
    <definedName name="vpa602_1_6_1">'Verification Report'!$AM$449</definedName>
    <definedName name="vpa602_1_6_2">'Verification Report'!$AM$453</definedName>
    <definedName name="vpa602_1_6_3">'Verification Report'!$AM$457</definedName>
    <definedName name="vpa602_1_7_1_1">'Verification Report'!$AM$462</definedName>
    <definedName name="vpa602_1_7_1_2">'Verification Report'!$AM$464</definedName>
    <definedName name="vpa602_1_7_1_3">'Verification Report'!$AM$467</definedName>
    <definedName name="vpa602_1_7_2">'Verification Report'!$AM$469</definedName>
    <definedName name="vpa602_1_7_3">'Verification Report'!$AM$471</definedName>
    <definedName name="vpa602_1_8">'Verification Report'!$AM$475</definedName>
    <definedName name="vpa602_1_9_1">'Verification Report'!$AM$483</definedName>
    <definedName name="vpa602_1_9_2">'Verification Report'!$AM$493</definedName>
    <definedName name="vpa602_1_9_3">'Verification Report'!$AM$496</definedName>
    <definedName name="vpa602_1_9_4">'Verification Report'!$AM$497</definedName>
    <definedName name="vpa602_1_9_5_a">'Verification Report'!$AM$502</definedName>
    <definedName name="vpa602_1_9_5_b">'Verification Report'!$AM$505</definedName>
    <definedName name="vpa602_1_9_6">'Verification Report'!$AM$507</definedName>
    <definedName name="vpa602_1_9_7">'Verification Report'!$AM$509</definedName>
    <definedName name="vpa602_2">'Verification Report'!$AM$541</definedName>
    <definedName name="vpa602_3">'Verification Report'!$AM$551</definedName>
    <definedName name="vpa602_4_1">'Verification Report'!$AM$555</definedName>
    <definedName name="vpa602_4_2">'Verification Report'!$AM$560</definedName>
    <definedName name="vpa602_4_3">'Verification Report'!$AM$562</definedName>
    <definedName name="vpa603_1">'Verification Report'!$AM$566</definedName>
    <definedName name="vpa603_2">'Verification Report'!$AM$572</definedName>
    <definedName name="vpa603_3">'Verification Report'!$AM$579</definedName>
    <definedName name="vpa604_1a">'Verification Report'!$AM$583</definedName>
    <definedName name="vpa605_1">'Verification Report'!$AM$593</definedName>
    <definedName name="vpa605_2">'Verification Report'!$AM$596</definedName>
    <definedName name="vpa605_3">'Verification Report'!$AM$611</definedName>
    <definedName name="vpa605_4">'Verification Report'!$AM$620</definedName>
    <definedName name="vpa605_4_1">'Verification Report'!$AM$622</definedName>
    <definedName name="vpa605_4_2">'Verification Report'!$AM$623</definedName>
    <definedName name="vpa606_1_1">'Verification Report'!$AM$647</definedName>
    <definedName name="vpa606_1_2">'Verification Report'!$AM$649</definedName>
    <definedName name="vpa606_1_3">'Verification Report'!$AM$651</definedName>
    <definedName name="vpa606_2_1a">'Verification Report'!$AM$668</definedName>
    <definedName name="vpa606_2_2a">'Verification Report'!$AM$671</definedName>
    <definedName name="vpa606_3">'Verification Report'!$AM$674</definedName>
    <definedName name="vpa607_1_1">'Verification Report'!$AM$683</definedName>
    <definedName name="vpa607_1_2">'Verification Report'!$AM$688</definedName>
    <definedName name="vpa607_2">'Verification Report'!$AM$694</definedName>
    <definedName name="vpa608_1">'Verification Report'!$AM$697</definedName>
    <definedName name="vpa609_1">'Verification Report'!$AM$706</definedName>
    <definedName name="vpa609_1_1">'Verification Report'!$AM$708</definedName>
    <definedName name="vpa609_1_2">'Verification Report'!$AM$710</definedName>
    <definedName name="vpa610_1_1_1">'Verification Report'!$AM$727</definedName>
    <definedName name="vpa610_1_1_2">'Verification Report'!$AM$736</definedName>
    <definedName name="vpa610_1_1_3">'Verification Report'!$AM$744</definedName>
    <definedName name="vpa610_1_2">'Verification Report'!$AM$746</definedName>
    <definedName name="vpa610_1_2_1">'Verification Report'!$AM$750</definedName>
    <definedName name="vpa610_1_2_2a">'Verification Report'!$AM$764</definedName>
    <definedName name="vpa611_1">'Verification Report'!$AM$790</definedName>
    <definedName name="vpa612_1">'Verification Report'!$AM$813</definedName>
    <definedName name="vpa612_2">'Verification Report'!$AM$821</definedName>
    <definedName name="vpa612_2_1">'Verification Report'!$AM$824</definedName>
    <definedName name="vpa612_2_2">'Verification Report'!$AM$825</definedName>
    <definedName name="vpa612_2_3">'Verification Report'!$AM$827</definedName>
    <definedName name="vpa612_2_4">'Verification Report'!$AM$829</definedName>
    <definedName name="vpa612_2_5">'Verification Report'!$AM$831</definedName>
    <definedName name="vpa612_2_6">'Verification Report'!$AM$833</definedName>
    <definedName name="vpa612_2_7">'Verification Report'!$AM$835</definedName>
    <definedName name="vpa612_3">'Verification Report'!$AM$837</definedName>
    <definedName name="vpa612_3_1">'Verification Report'!$AM$839</definedName>
    <definedName name="vpa612_3_2">'Verification Report'!$AM$844</definedName>
    <definedName name="vpa612_3_3">'Verification Report'!$AM$848</definedName>
    <definedName name="vpa612_3_4">'Verification Report'!$AM$850</definedName>
    <definedName name="vpa612_3_5">'Verification Report'!$AM$852</definedName>
    <definedName name="vpa612_3_6">'Verification Report'!$AM$853</definedName>
    <definedName name="vpa612_3_7">'Verification Report'!$AM$854</definedName>
    <definedName name="vpa612_3_8">'Verification Report'!$AM$858</definedName>
    <definedName name="vpa612_3_9">'Verification Report'!$AM$860</definedName>
    <definedName name="vpa613_1_a">'Verification Report'!$AM$869</definedName>
    <definedName name="vpa613_1_b">'Verification Report'!$AM$871</definedName>
    <definedName name="vpa613_1_c">'Verification Report'!$AM$875</definedName>
    <definedName name="vpa613_1_d">'Verification Report'!$AM$876</definedName>
    <definedName name="vpa613_1_e">'Verification Report'!$AM$877</definedName>
    <definedName name="vpa613_1_f">'Verification Report'!$AM$878</definedName>
    <definedName name="vpa701_1_6_1">'Verification Report'!$AM$911</definedName>
    <definedName name="vpa701_1_6_2">'Verification Report'!$AM$912</definedName>
    <definedName name="vpa701_1_6_3">'Verification Report'!$AM$914</definedName>
    <definedName name="vpa701_1_6_4">'Verification Report'!$AM$915</definedName>
    <definedName name="vpa701_1_6_5">'Verification Report'!$AM$917</definedName>
    <definedName name="vpa701_1_6_6_a">'Verification Report'!$AM$920</definedName>
    <definedName name="vpa701_1_6_6_b">'Verification Report'!$AM$921</definedName>
    <definedName name="vpa701_1_6_6_c">'Verification Report'!$AM$922</definedName>
    <definedName name="vpa701_1_6_7_a">'Verification Report'!$AM$924</definedName>
    <definedName name="vpa701_1_6_7_b">'Verification Report'!$AM$925</definedName>
    <definedName name="vpa701_1_6_7_c">'Verification Report'!$AM$926</definedName>
    <definedName name="vpa701_1_6_8">'Verification Report'!$AM$927</definedName>
    <definedName name="vpa701_1_6_9">'Verification Report'!$AM$929</definedName>
    <definedName name="vpa701_4_1">'Verification Report'!$AM$947</definedName>
    <definedName name="vpa701_4_1_1">'Verification Report'!$AM$938</definedName>
    <definedName name="vpa701_4_1_2">'Verification Report'!$AM$941</definedName>
    <definedName name="vpa701_4_2_2">'Verification Report'!$AM$950</definedName>
    <definedName name="vpa701_4_2_3">'Verification Report'!$AM$951</definedName>
    <definedName name="vpa701_4_3_1">'Verification Report'!$AM$954</definedName>
    <definedName name="vpa701_4_3_2">'Verification Report'!$AM$971</definedName>
    <definedName name="vpa701_4_3_2_1">'Verification Report'!$AM$994</definedName>
    <definedName name="vpa701_4_3_4">'Verification Report'!$AM$1020</definedName>
    <definedName name="vpa701_4_3_5">'Verification Report'!$AM$1030</definedName>
    <definedName name="vpa701_4_4">'Verification Report'!$AM$1038</definedName>
    <definedName name="vpa701_4_5">'Verification Report'!$AM$1043</definedName>
    <definedName name="vpa702_2_1">'Verification Report'!$AM$1049</definedName>
    <definedName name="vpa702_2_2">'Verification Report'!$AM$1053</definedName>
    <definedName name="vpa703_1">'Verification Report'!$AM$1065</definedName>
    <definedName name="vpa703_1_1">'Verification Report'!$AM$1066</definedName>
    <definedName name="vpa703_1_2">'Verification Report'!$AM$1081</definedName>
    <definedName name="vpa703_1_3">'Verification Report'!$AM$1084</definedName>
    <definedName name="vpa703_2_1">'Verification Report'!$AM$1090</definedName>
    <definedName name="vpa703_2_2">'Verification Report'!$AM$1097</definedName>
    <definedName name="vpa703_2_3">'Verification Report'!$AM$1099</definedName>
    <definedName name="vpa703_2_4">'Verification Report'!$AM$1102</definedName>
    <definedName name="vpa703_2_5_1">'Verification Report'!$AM$1106</definedName>
    <definedName name="vpa703_2_5_2">'Verification Report'!$AM$1122</definedName>
    <definedName name="vpa703_2_5_2_a">'Verification Report'!$AM$1127</definedName>
    <definedName name="vpa703_2_5_2_b">'Verification Report'!$AM$1128</definedName>
    <definedName name="vpa703_2_5_2_c">'Verification Report'!$AM$1129</definedName>
    <definedName name="vpa703_3_1">'Verification Report'!$AM$1154</definedName>
    <definedName name="vpa703_3_2__1_1">'Verification Report'!$AM$1161</definedName>
    <definedName name="vpa703_3_2__1_2">'Verification Report'!$AM$1162</definedName>
    <definedName name="vpa703_3_2__1_3">'Verification Report'!$AM$1163</definedName>
    <definedName name="vpa703_3_2__1_4">'Verification Report'!$AM$1164</definedName>
    <definedName name="vpa703_3_2__1_5">'Verification Report'!$AM$1165</definedName>
    <definedName name="vpa703_3_2__2_1">'Verification Report'!$AM$1167</definedName>
    <definedName name="vpa703_3_2__2_2">'Verification Report'!$AM$1168</definedName>
    <definedName name="vpa703_3_2__3_1">'Verification Report'!$AM$1170</definedName>
    <definedName name="vpa703_3_2__3_2">'Verification Report'!$AM$1171</definedName>
    <definedName name="vpa703_3_2__3_3">'Verification Report'!$AM$1172</definedName>
    <definedName name="vpa703_3_2__3_4">'Verification Report'!$AM$1173</definedName>
    <definedName name="vpa703_3_2__4_1">'Verification Report'!$AM$1175</definedName>
    <definedName name="vpa703_3_2__4_2">'Verification Report'!$AM$1176</definedName>
    <definedName name="vpa703_3_3__1_1">'Verification Report'!$AM$1181</definedName>
    <definedName name="vpa703_3_3__1_2">'Verification Report'!$AM$1182</definedName>
    <definedName name="vpa703_3_3__1_3">'Verification Report'!$AM$1183</definedName>
    <definedName name="vpa703_3_3__1_4">'Verification Report'!$AM$1184</definedName>
    <definedName name="vpa703_3_3__1_5">'Verification Report'!$AM$1185</definedName>
    <definedName name="vpa703_3_3__2">'Verification Report'!$AM$1186</definedName>
    <definedName name="vpa703_3_3__3">'Verification Report'!$AM$1188</definedName>
    <definedName name="vpa703_3_4_1_1">'Verification Report'!$AM$1193</definedName>
    <definedName name="vpa703_3_4_1_2">'Verification Report'!$AM$1194</definedName>
    <definedName name="vpa703_3_4_1_3">'Verification Report'!$AM$1195</definedName>
    <definedName name="vpa703_3_4_1_4">'Verification Report'!$AM$1196</definedName>
    <definedName name="vpa703_3_4_1_5">'Verification Report'!$AM$1197</definedName>
    <definedName name="vpa703_3_4_1_6">'Verification Report'!$AM$1198</definedName>
    <definedName name="vpa703_3_4_2">'Verification Report'!$AM$1200</definedName>
    <definedName name="vpa703_3_5">'Verification Report'!$AM$1201</definedName>
    <definedName name="vpa703_3_6_1">'Verification Report'!$AM$1208</definedName>
    <definedName name="vpa703_3_6_2">'Verification Report'!$AM$1209</definedName>
    <definedName name="vpa703_3_6_3">'Verification Report'!$AM$1210</definedName>
    <definedName name="vpa703_3_7_1">'Verification Report'!$AM$1211</definedName>
    <definedName name="vpa703_3_8">'Verification Report'!$AM$1218</definedName>
    <definedName name="vpa703_4_1">'Verification Report'!$AM$1224</definedName>
    <definedName name="vpa703_4_2">'Verification Report'!$AM$1226</definedName>
    <definedName name="vpa703_4_3">'Verification Report'!$AM$1228</definedName>
    <definedName name="vpa703_4_4_1">'Verification Report'!$AM$1240</definedName>
    <definedName name="vpa703_4_4_2">'Verification Report'!$AM$1241</definedName>
    <definedName name="vpa703_4_4_3">'Verification Report'!$AM$1242</definedName>
    <definedName name="vpa703_5_1_1_a_1">'Verification Report'!$AM$1254</definedName>
    <definedName name="vpa703_5_1_1_a_2">'Verification Report'!$AM$1255</definedName>
    <definedName name="vpa703_5_1_1_b">'Verification Report'!$AM$1256</definedName>
    <definedName name="vpa703_5_1_1_c_1">'Verification Report'!$AM$1259</definedName>
    <definedName name="vpa703_5_1_1_c_2">'Verification Report'!$AM$1260</definedName>
    <definedName name="vpa703_5_1_1_d_1">'Verification Report'!$AM$1264</definedName>
    <definedName name="vpa703_5_1_1_d_2">'Verification Report'!$AM$1265</definedName>
    <definedName name="vpa703_5_1_1_e_1">'Verification Report'!$AM$1268</definedName>
    <definedName name="vpa703_5_1_1_e_2">'Verification Report'!$AM$1269</definedName>
    <definedName name="vpa703_5_1_2_a_1">'Verification Report'!$AM$1273</definedName>
    <definedName name="vpa703_5_1_2_a_2">'Verification Report'!$AM$1274</definedName>
    <definedName name="vpa703_5_1_2_a_3">'Verification Report'!$AM$1275</definedName>
    <definedName name="vpa703_5_1_2_a_4">'Verification Report'!$AM$1276</definedName>
    <definedName name="vpa703_5_1_2_a_5">'Verification Report'!$AM$1277</definedName>
    <definedName name="vpa703_5_1_2_a_6">'Verification Report'!$AM$1278</definedName>
    <definedName name="vpa703_5_1_2_a_7">'Verification Report'!$AM$1279</definedName>
    <definedName name="vpa703_5_1_2_b_1">'Verification Report'!$AM$1282</definedName>
    <definedName name="vpa703_5_1_2_b_2">'Verification Report'!$AM$1283</definedName>
    <definedName name="vpa703_5_1_2_b_3">'Verification Report'!$AM$1284</definedName>
    <definedName name="vpa703_5_1_2_b_4">'Verification Report'!$AM$1285</definedName>
    <definedName name="vpa703_5_1_2_c">'Verification Report'!$AM$1286</definedName>
    <definedName name="vpa703_5_1_2_d">'Verification Report'!$AM$1288</definedName>
    <definedName name="vpa703_5_1_2_e">'Verification Report'!$AM$1290</definedName>
    <definedName name="vpa703_5_1_3">'Verification Report'!$AM$1292</definedName>
    <definedName name="vpa703_5_2">'Verification Report'!$AM$1293</definedName>
    <definedName name="vpa703_5_3">'Verification Report'!$AM$1295</definedName>
    <definedName name="vpa703_5_4">'Verification Report'!$AM$1297</definedName>
    <definedName name="vpa703_5_5_a_1">'Verification Report'!$AM$1303</definedName>
    <definedName name="vpa703_5_5_a_2">'Verification Report'!$AM$1304</definedName>
    <definedName name="vpa703_5_5_a_3">'Verification Report'!$AM$1305</definedName>
    <definedName name="vpa703_5_5_a_4">'Verification Report'!$AM$1306</definedName>
    <definedName name="vpa703_5_5_a_5">'Verification Report'!$AM$1307</definedName>
    <definedName name="vpa703_5_5_b_1">'Verification Report'!$AM$1310</definedName>
    <definedName name="vpa703_5_5_b_2">'Verification Report'!$AM$1311</definedName>
    <definedName name="vpa703_5_5_b_3">'Verification Report'!$AM$1312</definedName>
    <definedName name="vpa703_5_5_b_4">'Verification Report'!$AM$1313</definedName>
    <definedName name="vpa703_5_5_b_5">'Verification Report'!$AM$1314</definedName>
    <definedName name="vpa703_6_1_1">'Verification Report'!$AM$1318</definedName>
    <definedName name="vpa703_6_1_2">'Verification Report'!$AM$1320</definedName>
    <definedName name="vpa703_6_1_3">'Verification Report'!$AM$1322</definedName>
    <definedName name="vpa703_6_2__1">'Verification Report'!$AM$1325</definedName>
    <definedName name="vpa703_6_2__2">'Verification Report'!$AM$1326</definedName>
    <definedName name="vpa703_6_2__3">'Verification Report'!$AM$1327</definedName>
    <definedName name="vpa703_7_1">'Verification Report'!$AM$1330</definedName>
    <definedName name="vpa703_7_2">'Verification Report'!$AM$1357</definedName>
    <definedName name="vpa703_7_3_1">'Verification Report'!$AM$1361</definedName>
    <definedName name="vpa703_7_3_2">'Verification Report'!$AM$1362</definedName>
    <definedName name="vpa703_7_4">'Verification Report'!$AM$1387</definedName>
    <definedName name="vpa705_2_1_1_1">'Verification Report'!$AM$1429</definedName>
    <definedName name="vpa705_2_1_1_2">'Verification Report'!$AM$1430</definedName>
    <definedName name="vpa705_2_1_2">'Verification Report'!$AM$1431</definedName>
    <definedName name="vpa705_2_1_3_1_a">'Verification Report'!$AM$1436</definedName>
    <definedName name="vpa705_2_1_3_1_b">'Verification Report'!$AM$1437</definedName>
    <definedName name="vpa705_2_1_3_2_a">'Verification Report'!$AM$1441</definedName>
    <definedName name="vpa705_2_1_3_2_b">'Verification Report'!$AM$1442</definedName>
    <definedName name="vpa705_2_1_4_1">'Verification Report'!$AM$1446</definedName>
    <definedName name="vpa705_2_1_4_2">'Verification Report'!$AM$1447</definedName>
    <definedName name="vpa705_2_2">'Verification Report'!$AM$1448</definedName>
    <definedName name="vpa705_2_3">'Verification Report'!$AM$1451</definedName>
    <definedName name="vpa705_2_4">'Verification Report'!$AM$1453</definedName>
    <definedName name="vpa705_3">'Verification Report'!$AM$1456</definedName>
    <definedName name="vpa705_4">'Verification Report'!$AM$1457</definedName>
    <definedName name="vpa705_5_1_1">'Verification Report'!$AM$1462</definedName>
    <definedName name="vpa705_5_1_2">'Verification Report'!$AM$1465</definedName>
    <definedName name="vpa705_5_2">'Verification Report'!$AM$1467</definedName>
    <definedName name="vpa705_5_3_1">'Verification Report'!$AM$1476</definedName>
    <definedName name="vpa705_5_3_2">'Verification Report'!$AM$1478</definedName>
    <definedName name="vpa705_6_1">'Verification Report'!$AM$1480</definedName>
    <definedName name="vpa705_6_2_1_1_1">'Verification Report'!$AM$1493</definedName>
    <definedName name="vpa705_6_2_1_2">'Verification Report'!$AM$1496</definedName>
    <definedName name="vpa705_6_2_2_1">'Verification Report'!$AM$1502</definedName>
    <definedName name="vpa705_6_2_2_2">'Verification Report'!$AM$1504</definedName>
    <definedName name="vpa705_6_2_3_1">'Verification Report'!$AM$1510</definedName>
    <definedName name="vpa705_6_2_3_2">'Verification Report'!$AM$1511</definedName>
    <definedName name="vpa705_6_3">'Verification Report'!$AM$1513</definedName>
    <definedName name="vpa705_6_4_1">'Verification Report'!$AM$1525</definedName>
    <definedName name="vpa705_6_4_2">'Verification Report'!$AM$1527</definedName>
    <definedName name="vpa705_7">'Verification Report'!$AM$1529</definedName>
    <definedName name="vpa706_1">'Verification Report'!$AM$1534</definedName>
    <definedName name="vpa706_1_1">'Verification Report'!$AM$1536</definedName>
    <definedName name="vpa706_1_2">'Verification Report'!$AM$1537</definedName>
    <definedName name="vpa706_1_3">'Verification Report'!$AM$1538</definedName>
    <definedName name="vpa706_1_4">'Verification Report'!$AM$1539</definedName>
    <definedName name="vpa706_1_5">'Verification Report'!$AM$1541</definedName>
    <definedName name="vpa706_10">'Verification Report'!$AM$1611</definedName>
    <definedName name="vpa706_11">'Verification Report'!$AM$1616</definedName>
    <definedName name="vpa706_12">'Verification Report'!$AM$1618</definedName>
    <definedName name="vpa706_13_1">'Verification Report'!$AM$1624</definedName>
    <definedName name="vpa706_13_2">'Verification Report'!$AM$1625</definedName>
    <definedName name="vpa706_14_1">'Verification Report'!$AM$1627</definedName>
    <definedName name="vpa706_14_2">'Verification Report'!$AM$1631</definedName>
    <definedName name="vpa706_15_1">'Verification Report'!$AM$1636</definedName>
    <definedName name="vpa706_15_2">'Verification Report'!$AM$1637</definedName>
    <definedName name="vpa706_2_1">'Verification Report'!$AM$1544</definedName>
    <definedName name="vpa706_2_2_a">'Verification Report'!$AM$1552</definedName>
    <definedName name="vpa706_2_2_b">'Verification Report'!$AM$1554</definedName>
    <definedName name="vpa706_3_a">'Verification Report'!$AM$1558</definedName>
    <definedName name="vpa706_3_b">'Verification Report'!$AM$1559</definedName>
    <definedName name="vpa706_4_1_1">'Verification Report'!$AM$1574</definedName>
    <definedName name="vpa706_4_1_2">'Verification Report'!$AM$1576</definedName>
    <definedName name="vpa706_4_2">'Verification Report'!$AM$1578</definedName>
    <definedName name="vpa706_5_1">'Verification Report'!$AM$1581</definedName>
    <definedName name="vpa706_5_2">'Verification Report'!$AM$1583</definedName>
    <definedName name="vpa706_5_3">'Verification Report'!$AM$1585</definedName>
    <definedName name="vpa706_6">'Verification Report'!$AM$1595</definedName>
    <definedName name="vpa706_7_1">'Verification Report'!$AM$1599</definedName>
    <definedName name="vpa706_7_2">'Verification Report'!$AM$1600</definedName>
    <definedName name="vpa706_8">'Verification Report'!$AM$1603</definedName>
    <definedName name="vpa706_9">'Verification Report'!$AM$1606</definedName>
    <definedName name="vpa802_1_1">'Verification Report'!$AM$1663</definedName>
    <definedName name="vpa802_1_2">'Verification Report'!$AM$1665</definedName>
    <definedName name="vpa802_1_3">'Verification Report'!$AM$1667</definedName>
    <definedName name="vpa802_1_4">'Verification Report'!$AM$1669</definedName>
    <definedName name="vpa802_1_4_a">'Verification Report'!$AM$1672</definedName>
    <definedName name="vpa802_1_5">'Verification Report'!$AM$1674</definedName>
    <definedName name="vpa802_1_6">'Verification Report'!$AM$1679</definedName>
    <definedName name="vpa802_10_1">'Verification Report'!$AM$1837</definedName>
    <definedName name="vpa802_10_1_1">'Verification Report'!$AM$1840</definedName>
    <definedName name="vpa802_2_1">'Verification Report'!$AM$1684</definedName>
    <definedName name="vpa802_2_2">'Verification Report'!$AM$1685</definedName>
    <definedName name="vpa802_2_3">'Verification Report'!$AM$1686</definedName>
    <definedName name="vpa802_3_1_a">'Verification Report'!$AM$1693</definedName>
    <definedName name="vpa802_3_1_b">'Verification Report'!$AM$1695</definedName>
    <definedName name="vpa802_3_2_a">'Verification Report'!$AM$1702</definedName>
    <definedName name="vpa802_3_2_b">'Verification Report'!$AM$1704</definedName>
    <definedName name="vpa802_4_1">'Verification Report'!$AM$1709</definedName>
    <definedName name="vpa802_4_1_1">'Verification Report'!$AM$1711</definedName>
    <definedName name="vpa802_4_1_2">'Verification Report'!$AM$1718</definedName>
    <definedName name="vpa802_4_2_a">'Verification Report'!$AM$1724</definedName>
    <definedName name="vpa802_4_2_b">'Verification Report'!$AM$1725</definedName>
    <definedName name="vpa802_4_3">'Verification Report'!$AM$1726</definedName>
    <definedName name="vpa802_5_1_1">'Verification Report'!$AM$1732</definedName>
    <definedName name="vpa802_5_1_2">'Verification Report'!$AM$1736</definedName>
    <definedName name="vpa802_5_1_3">'Verification Report'!$AM$1737</definedName>
    <definedName name="vpa802_5_1_4">'Verification Report'!$AM$1738</definedName>
    <definedName name="vpa802_5_1_5">'Verification Report'!$AM$1740</definedName>
    <definedName name="vpa802_5_2_1">'Verification Report'!$AM$1744</definedName>
    <definedName name="vpa802_5_2_2">'Verification Report'!$AM$1745</definedName>
    <definedName name="vpa802_5_3">'Verification Report'!$AM$1746</definedName>
    <definedName name="vpa802_5_4_2">'Verification Report'!$AM$1753</definedName>
    <definedName name="vpa802_5_4_3">'Verification Report'!$AM$1760</definedName>
    <definedName name="vpa802_5_4_4_a">'Verification Report'!$AM$1763</definedName>
    <definedName name="vpa802_5_4_4_b">'Verification Report'!$AM$1767</definedName>
    <definedName name="vpa802_5_4_4_c">'Verification Report'!$AM$1769</definedName>
    <definedName name="vpa802_6_1">'Verification Report'!$AM$1772</definedName>
    <definedName name="vpa802_6_2">'Verification Report'!$AM$1774</definedName>
    <definedName name="vpa802_6_3_1">'Verification Report'!$AM$1778</definedName>
    <definedName name="vpa802_6_3_2">'Verification Report'!$AM$1779</definedName>
    <definedName name="vpa802_6_3_3">'Verification Report'!$AM$1780</definedName>
    <definedName name="vpa802_6_4_1">'Verification Report'!$AM$1785</definedName>
    <definedName name="vpa802_6_4_2">'Verification Report'!$AM$1787</definedName>
    <definedName name="vpa802_6_5_1">'Verification Report'!$AM$1793</definedName>
    <definedName name="vpa802_6_5_2">'Verification Report'!$AM$1795</definedName>
    <definedName name="vpa802_6_5_3">'Verification Report'!$AM$1797</definedName>
    <definedName name="vpa802_6_5_4">'Verification Report'!$AM$1798</definedName>
    <definedName name="vpa802_6_5_5">'Verification Report'!$AM$1800</definedName>
    <definedName name="vpa802_7_1_1">'Verification Report'!$AM$1805</definedName>
    <definedName name="vpa802_7_1_2_a">'Verification Report'!$AM$1808</definedName>
    <definedName name="vpa802_7_1_2_b">'Verification Report'!$AM$1809</definedName>
    <definedName name="vpa802_7_1_2_c">'Verification Report'!$AM$1810</definedName>
    <definedName name="vpa802_7_1_2_d">'Verification Report'!$AM$1812</definedName>
    <definedName name="vpa802_7_2_1">'Verification Report'!$AM$1818</definedName>
    <definedName name="vpa802_7_2_2">'Verification Report'!$AM$1820</definedName>
    <definedName name="vpa802_8">'Verification Report'!$AM$1821</definedName>
    <definedName name="vpa802_9_1_1">'Verification Report'!$AM$1830</definedName>
    <definedName name="vpa802_9_1_2">'Verification Report'!$AM$1831</definedName>
    <definedName name="vpa802_9_2_1">'Verification Report'!$AM$1834</definedName>
    <definedName name="vpa802_9_2_2">'Verification Report'!$AM$1835</definedName>
    <definedName name="vpa803_1_1">'Verification Report'!$AM$1846</definedName>
    <definedName name="vpa803_1_2">'Verification Report'!$AM$1848</definedName>
    <definedName name="vpa803_2">'Verification Report'!$AM$1849</definedName>
    <definedName name="vpa803_3">'Verification Report'!$AM$1852</definedName>
    <definedName name="vpa803_4">'Verification Report'!$AM$1857</definedName>
    <definedName name="vpa803_5">'Verification Report'!$AM$1860</definedName>
    <definedName name="vpa803_6">'Verification Report'!$AM$1862</definedName>
    <definedName name="vpa901_1_1">'Verification Report'!$AM$1878</definedName>
    <definedName name="vpa901_1_2">'Verification Report'!$AM$1884</definedName>
    <definedName name="vpa901_1_3_1_a">'Verification Report'!$AM$1890</definedName>
    <definedName name="vpa901_1_3_1_b">'Verification Report'!$AM$1891</definedName>
    <definedName name="vpa901_1_3_2_a">'Verification Report'!$AM$1893</definedName>
    <definedName name="vpa901_1_3_2_b">'Verification Report'!$AM$1894</definedName>
    <definedName name="vpa901_1_4">'Verification Report'!$AM$1895</definedName>
    <definedName name="vpa901_1_5">'Verification Report'!$AM$1900</definedName>
    <definedName name="vpa901_1_6_1">'Verification Report'!$AM$1904</definedName>
    <definedName name="vpa901_1_6_2">'Verification Report'!$AM$1905</definedName>
    <definedName name="vpa901_10_1">'Verification Report'!$AM$2015</definedName>
    <definedName name="vpa901_10_2">'Verification Report'!$AM$2020</definedName>
    <definedName name="vpa901_10_3">'Verification Report'!$AM$2021</definedName>
    <definedName name="vpa901_11">'Verification Report'!$AM$2025</definedName>
    <definedName name="vpa901_12">'Verification Report'!$AM$2030</definedName>
    <definedName name="vpa901_13">'Verification Report'!$AM$2034</definedName>
    <definedName name="vpa901_14_1">'Verification Report'!$AM$2038</definedName>
    <definedName name="vpa901_14_2">'Verification Report'!$AM$2039</definedName>
    <definedName name="vpa901_15_1">'Verification Report'!$AM$2042</definedName>
    <definedName name="vpa901_15_2">'Verification Report'!$AM$2044</definedName>
    <definedName name="vpa901_2_1_1">'Verification Report'!$AM$1910</definedName>
    <definedName name="vpa901_2_1_1_m">'Verification Report'!$AM$1909</definedName>
    <definedName name="vpa901_2_1_2">'Verification Report'!$AM$1913</definedName>
    <definedName name="vpa901_2_1_2_m">'Verification Report'!$AM$1912</definedName>
    <definedName name="vpa901_2_1_3">'Verification Report'!$AM$1915</definedName>
    <definedName name="vpa901_2_1_3_m">'Verification Report'!$AM$1914</definedName>
    <definedName name="vpa901_2_1_4">'Verification Report'!$AM$1918</definedName>
    <definedName name="vpa901_2_1_4_m">'Verification Report'!$AM$1917</definedName>
    <definedName name="vpa901_2_1_5">'Verification Report'!$AM$1920</definedName>
    <definedName name="vpa901_2_1_5_m">'Verification Report'!$AM$1919</definedName>
    <definedName name="vpa901_2_2">'Verification Report'!$AM$1921</definedName>
    <definedName name="vpa901_3_1_a">'Verification Report'!$AM$1925</definedName>
    <definedName name="vpa901_3_1_a_m">'Verification Report'!$AM$1924</definedName>
    <definedName name="vpa901_3_1_b">'Verification Report'!$AM$1927</definedName>
    <definedName name="vpa901_3_1_b_m">'Verification Report'!$AM$1926</definedName>
    <definedName name="vpa901_3_1_c">'Verification Report'!$AM$1928</definedName>
    <definedName name="vpa901_3_2">'Verification Report'!$AM$1934</definedName>
    <definedName name="vpa901_4">'Verification Report'!$AM$1935</definedName>
    <definedName name="vpa901_4_1">'Verification Report'!$AM$1938</definedName>
    <definedName name="vpa901_4_2">'Verification Report'!$AM$1947</definedName>
    <definedName name="vpa901_4_3">'Verification Report'!$AM$1949</definedName>
    <definedName name="vpa901_4_4">'Verification Report'!$AM$1950</definedName>
    <definedName name="vpa901_4_5">'Verification Report'!$AM$1951</definedName>
    <definedName name="vpa901_4_6">'Verification Report'!$AM$1953</definedName>
    <definedName name="vpa901_5_1">'Verification Report'!$AM$1957</definedName>
    <definedName name="vpa901_5_2">'Verification Report'!$AM$1959</definedName>
    <definedName name="vpa901_6">'Verification Report'!$AM$1962</definedName>
    <definedName name="vpa901_7">'Verification Report'!$AM$1964</definedName>
    <definedName name="vpa901_8">'Verification Report'!$AM$1985</definedName>
    <definedName name="vpa901_9_1">'Verification Report'!$AM$1994</definedName>
    <definedName name="vpa901_9_2">'Verification Report'!$AM$2001</definedName>
    <definedName name="vpa901_9_3">'Verification Report'!$AM$2006</definedName>
    <definedName name="vpa902_1_1">'Verification Report'!$AM$2050</definedName>
    <definedName name="vpa902_1_1_a">'Verification Report'!$AM$2052</definedName>
    <definedName name="vpa902_1_2">'Verification Report'!$AM$2054</definedName>
    <definedName name="vpa902_1_2_">'Verification Report'!$AM$2059</definedName>
    <definedName name="vpa902_1_2_1">'Verification Report'!$AM$2061</definedName>
    <definedName name="vpa902_1_2_2">'Verification Report'!$AM$2062</definedName>
    <definedName name="vpa902_1_3">'Verification Report'!$AM$2056</definedName>
    <definedName name="vpa902_1_3_">'Verification Report'!$AM$2063</definedName>
    <definedName name="vpa902_1_4">'Verification Report'!$AM$2067</definedName>
    <definedName name="vpa902_1_4_1">'Verification Report'!$AM$2068</definedName>
    <definedName name="vpa902_1_4_2">'Verification Report'!$AM$2070</definedName>
    <definedName name="vpa902_1_5">'Verification Report'!$AM$2072</definedName>
    <definedName name="vpa902_1_6">'Verification Report'!$AM$2081</definedName>
    <definedName name="vpa902_2_1">'Verification Report'!$AM$2085</definedName>
    <definedName name="vpa902_2_1_1">'Verification Report'!$AM$2089</definedName>
    <definedName name="vpa902_2_1_2">'Verification Report'!$AM$2091</definedName>
    <definedName name="vpa902_2_1_3">'Verification Report'!$AM$2093</definedName>
    <definedName name="vpa902_2_1_4">'Verification Report'!$AM$2094</definedName>
    <definedName name="vpa902_2_1_5">'Verification Report'!$AM$2095</definedName>
    <definedName name="vpa902_2_2">'Verification Report'!$AM$2096</definedName>
    <definedName name="vpa902_2_3">'Verification Report'!$AM$2098</definedName>
    <definedName name="vpa902_2_4">'Verification Report'!$AM$2101</definedName>
    <definedName name="vpa902_3">'Verification Report'!$AM$2104</definedName>
    <definedName name="vpa902_3_1_a">'Verification Report'!$AM$2108</definedName>
    <definedName name="vpa902_3_1_b">'Verification Report'!$AM$2109</definedName>
    <definedName name="vpa902_3_2">'Verification Report'!$AM$2150</definedName>
    <definedName name="vpa902_3_2_1">'Verification Report'!$AM$2154</definedName>
    <definedName name="vpa902_3_2_2">'Verification Report'!$AM$2176</definedName>
    <definedName name="vpa902_3_2_a">'Verification Report'!$AM$2111</definedName>
    <definedName name="vpa902_3_2_b">'Verification Report'!$AM$2112</definedName>
    <definedName name="vpa902_4">'Verification Report'!$AM$2178</definedName>
    <definedName name="vpa902_5">'Verification Report'!$AM$2188</definedName>
    <definedName name="vpa902_6">'Verification Report'!$AM$2190</definedName>
    <definedName name="vpa903_1_1_1">'Verification Report'!$AM$2195</definedName>
    <definedName name="vpa903_1_2_2">'Verification Report'!$AM$2197</definedName>
    <definedName name="vpa903_2_1">'Verification Report'!$AM$2199</definedName>
    <definedName name="vpa903_2_2">'Verification Report'!$AM$2200</definedName>
    <definedName name="vpa903_3">'Verification Report'!$AM$2202</definedName>
    <definedName name="vpa904_1">'Verification Report'!$AM$2210</definedName>
    <definedName name="vpa904_2">'Verification Report'!$AM$2215</definedName>
    <definedName name="vpa904_3_1">'Verification Report'!$AM$2220</definedName>
    <definedName name="vpa904_3_2">'Verification Report'!$AM$2228</definedName>
    <definedName name="vpa905_1">'Verification Report'!$AM$2232</definedName>
    <definedName name="vpa905_2">'Verification Report'!$AM$2237</definedName>
    <definedName name="vpa905_3">'Verification Report'!$AM$2239</definedName>
    <definedName name="vpa905_4">'Verification Report'!$AM$2243</definedName>
    <definedName name="vpa905_6">'Verification Report'!$AM$2248</definedName>
    <definedName name="vpc1001_1">'Verification Report'!$AO$2255</definedName>
    <definedName name="vpc1001_2">'Verification Report'!$AO$2303</definedName>
    <definedName name="vpc1002_1">'Verification Report'!$AO$2322</definedName>
    <definedName name="vpc1002_2">'Verification Report'!$AO$2340</definedName>
    <definedName name="vpc1002_3">'Verification Report'!$AO$2367</definedName>
    <definedName name="vpc1002_4">'Verification Report'!$AO$2395</definedName>
    <definedName name="vpc1002_5">'Verification Report'!$AO$2408</definedName>
    <definedName name="vpc1002_6">'Verification Report'!$AO$2420</definedName>
    <definedName name="vpc1003_1">'Verification Report'!$AO$2435</definedName>
    <definedName name="vpc1004_1_1">'Verification Report'!$AO$2454</definedName>
    <definedName name="vpc1004_1_2">'Verification Report'!$AO$2456</definedName>
    <definedName name="vpc1005_1_1">'Verification Report'!$AO$2460</definedName>
    <definedName name="vpc1005_1_2">'Verification Report'!$AO$2463</definedName>
    <definedName name="vpc1005_1_3">'Verification Report'!$AO$2467</definedName>
    <definedName name="vpc501_1">'Verification Report'!$AO$13</definedName>
    <definedName name="vpc501_2_1">'Verification Report'!$AO$21</definedName>
    <definedName name="vpc501_2_2">'Verification Report'!$AO$23</definedName>
    <definedName name="vpc501_2_3">'Verification Report'!$AO$25</definedName>
    <definedName name="vpc501_2_4">'Verification Report'!$AO$27</definedName>
    <definedName name="vpc501_2_4_1">'Verification Report'!$AO$37</definedName>
    <definedName name="vpc501_2_5">'Verification Report'!$AO$42</definedName>
    <definedName name="vpc501_2_6">'Verification Report'!$AO$45</definedName>
    <definedName name="vpc501_2_6_d">'Verification Report'!$AO$50</definedName>
    <definedName name="vpc501_2_7">'Verification Report'!$AO$52</definedName>
    <definedName name="vpc501_2_8">'Verification Report'!$AO$55</definedName>
    <definedName name="vpc502_1">'Verification Report'!$AO$58</definedName>
    <definedName name="vpc503_1_1">'Verification Report'!$AO$69</definedName>
    <definedName name="vpc503_1_2">'Verification Report'!$AO$71</definedName>
    <definedName name="vpc503_1_3">'Verification Report'!$AO$73</definedName>
    <definedName name="vpc503_1_4">'Verification Report'!$AO$75</definedName>
    <definedName name="vpc503_1_5">'Verification Report'!$AO$77</definedName>
    <definedName name="vpc503_1_6">'Verification Report'!$AO$79</definedName>
    <definedName name="vpc503_1_7">'Verification Report'!$AO$81</definedName>
    <definedName name="vpc503_1_8">'Verification Report'!$AO$83</definedName>
    <definedName name="vpc503_2_1">'Verification Report'!$AO$90</definedName>
    <definedName name="vpc503_2_2">'Verification Report'!$AO$91</definedName>
    <definedName name="vpc503_2_3">'Verification Report'!$AO$93</definedName>
    <definedName name="vpc503_2_4">'Verification Report'!$AO$98</definedName>
    <definedName name="vpc503_2_5">'Verification Report'!$AO$100</definedName>
    <definedName name="vpc503_3_1">'Verification Report'!$AO$104</definedName>
    <definedName name="vpc503_3_2">'Verification Report'!$AO$106</definedName>
    <definedName name="vpc503_3_3">'Verification Report'!$AO$113</definedName>
    <definedName name="vpc503_4_1">'Verification Report'!$AO$121</definedName>
    <definedName name="vpc503_4_2">'Verification Report'!$AO$124</definedName>
    <definedName name="vpc503_4_3">'Verification Report'!$AO$128</definedName>
    <definedName name="vpc503_4_4">'Verification Report'!$AO$135</definedName>
    <definedName name="vpc503_4_4_c_1">'Verification Report'!$AO$140</definedName>
    <definedName name="vpc503_4_5">'Verification Report'!$AO$142</definedName>
    <definedName name="vpc503_5_1">'Verification Report'!$AO$149</definedName>
    <definedName name="vpc503_5_10">'Verification Report'!$AO$178</definedName>
    <definedName name="vpc503_5_11">'Verification Report'!$AO$181</definedName>
    <definedName name="vpc503_5_12">'Verification Report'!$AO$183</definedName>
    <definedName name="vpc503_5_13">'Verification Report'!$AO$185</definedName>
    <definedName name="vpc503_5_2">'Verification Report'!$AO$155</definedName>
    <definedName name="vpc503_5_3">'Verification Report'!$AO$157</definedName>
    <definedName name="vpc503_5_4">'Verification Report'!$AO$160</definedName>
    <definedName name="vpc503_5_5">'Verification Report'!$AO$162</definedName>
    <definedName name="vpc503_5_6">'Verification Report'!$AO$165</definedName>
    <definedName name="vpc503_5_7">'Verification Report'!$AO$170</definedName>
    <definedName name="vpc503_5_8">'Verification Report'!$AO$171</definedName>
    <definedName name="vpc503_5_9">'Verification Report'!$AO$176</definedName>
    <definedName name="vpc503_6">'Verification Report'!$AO$187</definedName>
    <definedName name="vpc503_7">'Verification Report'!$AO$194</definedName>
    <definedName name="vpc503_8">'Verification Report'!$AO$200</definedName>
    <definedName name="vpc504_1">'Verification Report'!$AO$208</definedName>
    <definedName name="vpc504_2_1">'Verification Report'!$AO$215</definedName>
    <definedName name="vpc504_2_2">'Verification Report'!$AO$216</definedName>
    <definedName name="vpc504_2_3">'Verification Report'!$AO$218</definedName>
    <definedName name="vpc504_3_1">'Verification Report'!$AO$223</definedName>
    <definedName name="vpc504_3_2">'Verification Report'!$AO$225</definedName>
    <definedName name="vpc504_3_3">'Verification Report'!$AO$226</definedName>
    <definedName name="vpc504_3_4">'Verification Report'!$AO$228</definedName>
    <definedName name="vpc504_3_5">'Verification Report'!$AO$230</definedName>
    <definedName name="vpc504_3_6">'Verification Report'!$AO$234</definedName>
    <definedName name="vpc504_3_7">'Verification Report'!$AO$237</definedName>
    <definedName name="vpc504_3_8">'Verification Report'!$AO$238</definedName>
    <definedName name="vpc504_3_9">'Verification Report'!$AO$246</definedName>
    <definedName name="vpc505_1_1">'Verification Report'!$AO$253</definedName>
    <definedName name="vpc505_1_2">'Verification Report'!$AO$255</definedName>
    <definedName name="vpc505_1_3">'Verification Report'!$AO$257</definedName>
    <definedName name="vpc505_10_a">'Verification Report'!$AO$321</definedName>
    <definedName name="vpc505_10_b">'Verification Report'!$AO$323</definedName>
    <definedName name="vpc505_10_c">'Verification Report'!$AO$325</definedName>
    <definedName name="vpc505_2_1">'Verification Report'!$AO$262</definedName>
    <definedName name="vpc505_2_2">'Verification Report'!$AO$272</definedName>
    <definedName name="vpc505_3">'Verification Report'!$AO$275</definedName>
    <definedName name="vpc505_4_1">'Verification Report'!$AO$282</definedName>
    <definedName name="vpc505_5_a">'Verification Report'!$AO$286</definedName>
    <definedName name="vpc505_5_b">'Verification Report'!$AO$288</definedName>
    <definedName name="vpc505_5_c">'Verification Report'!$AO$291</definedName>
    <definedName name="vpc505_5_d">'Verification Report'!$AO$292</definedName>
    <definedName name="vpc505_6">'Verification Report'!$AO$293</definedName>
    <definedName name="vpc505_7">'Verification Report'!$AO$305</definedName>
    <definedName name="vpc505_8">'Verification Report'!$AO$309</definedName>
    <definedName name="vpc505_9_a">'Verification Report'!$AO$312</definedName>
    <definedName name="vpc505_9_b">'Verification Report'!$AO$315</definedName>
    <definedName name="vpc505_9_c">'Verification Report'!$AO$316</definedName>
    <definedName name="vpc601_1">'Verification Report'!$AO$331</definedName>
    <definedName name="vpc601_2_1">'Verification Report'!$AO$349</definedName>
    <definedName name="vpc601_2_2">'Verification Report'!$AO$352</definedName>
    <definedName name="vpc601_2_3">'Verification Report'!$AO$355</definedName>
    <definedName name="vpc601_3_1">'Verification Report'!$AO$359</definedName>
    <definedName name="vpc601_3_2">'Verification Report'!$AO$360</definedName>
    <definedName name="vpc601_3_3">'Verification Report'!$AO$361</definedName>
    <definedName name="vpc601_3_4">'Verification Report'!$AO$362</definedName>
    <definedName name="vpc601_3_5">'Verification Report'!$AO$363</definedName>
    <definedName name="vpc601_4">'Verification Report'!$AO$364</definedName>
    <definedName name="vpc601_5_1">'Verification Report'!$AO$370</definedName>
    <definedName name="vpc601_5_2">'Verification Report'!$AO$371</definedName>
    <definedName name="vpc601_5_3">'Verification Report'!$AO$372</definedName>
    <definedName name="vpc601_5_4">'Verification Report'!$AO$373</definedName>
    <definedName name="vpc601_5_5">'Verification Report'!$AO$374</definedName>
    <definedName name="vpc601_6">'Verification Report'!$AO$375</definedName>
    <definedName name="vpc601_7">'Verification Report'!$AO$380</definedName>
    <definedName name="vpc601_8">'Verification Report'!$AO$398</definedName>
    <definedName name="vpc602_1_1_2">'Verification Report'!$AO$414</definedName>
    <definedName name="vpc602_1_10">'Verification Report'!$AO$510</definedName>
    <definedName name="vpc602_1_12">'Verification Report'!$AO$525</definedName>
    <definedName name="vpc602_1_14_1">'Verification Report'!$AO$534</definedName>
    <definedName name="vpc602_1_14_2">'Verification Report'!$AO$536</definedName>
    <definedName name="vpc602_1_14_3">'Verification Report'!$AO$537</definedName>
    <definedName name="vpc602_1_15">'Verification Report'!$AO$538</definedName>
    <definedName name="vpc602_1_2">'Verification Report'!$AO$416</definedName>
    <definedName name="vpc602_1_3_2">'Verification Report'!$AO$423</definedName>
    <definedName name="vpc602_1_4_1_1">'Verification Report'!$AO$429</definedName>
    <definedName name="vpc602_1_4_2_1">'Verification Report'!$AO$435</definedName>
    <definedName name="vpc602_1_5_1">'Verification Report'!$AO$441</definedName>
    <definedName name="vpc602_1_5_2">'Verification Report'!$AO$443</definedName>
    <definedName name="vpc602_1_6_1">'Verification Report'!$AO$449</definedName>
    <definedName name="vpc602_1_6_2">'Verification Report'!$AO$453</definedName>
    <definedName name="vpc602_1_6_3">'Verification Report'!$AO$457</definedName>
    <definedName name="vpc602_1_7_1_1">'Verification Report'!$AO$462</definedName>
    <definedName name="vpc602_1_7_1_2">'Verification Report'!$AO$464</definedName>
    <definedName name="vpc602_1_7_1_3">'Verification Report'!$AO$467</definedName>
    <definedName name="vpc602_1_7_2">'Verification Report'!$AO$469</definedName>
    <definedName name="vpc602_1_7_3">'Verification Report'!$AO$471</definedName>
    <definedName name="vpc602_1_9_2">'Verification Report'!$AO$493</definedName>
    <definedName name="vpc602_1_9_3">'Verification Report'!$AO$496</definedName>
    <definedName name="vpc602_1_9_4">'Verification Report'!$AO$497</definedName>
    <definedName name="vpc602_1_9_5">'Verification Report'!$AO$501</definedName>
    <definedName name="vpc602_1_9_6">'Verification Report'!$AO$507</definedName>
    <definedName name="vpc602_1_9_7">'Verification Report'!$AO$509</definedName>
    <definedName name="vpc602_2">'Verification Report'!$AO$541</definedName>
    <definedName name="vpc602_3">'Verification Report'!$AO$551</definedName>
    <definedName name="vpc602_4_2">'Verification Report'!$AO$560</definedName>
    <definedName name="vpc602_4_3">'Verification Report'!$AO$562</definedName>
    <definedName name="vpc603_1">'Verification Report'!$AO$566</definedName>
    <definedName name="vpc603_2">'Verification Report'!$AO$572</definedName>
    <definedName name="vpc603_3">'Verification Report'!$AO$579</definedName>
    <definedName name="vpc604_1a">'Verification Report'!$AO$583</definedName>
    <definedName name="vpc605_2">'Verification Report'!$AO$596</definedName>
    <definedName name="vpc605_3">'Verification Report'!$AO$611</definedName>
    <definedName name="vpc605_4">'Verification Report'!$AO$620</definedName>
    <definedName name="vpc606_1">'Verification Report'!$AO$636</definedName>
    <definedName name="vpc606_2_1a">'Verification Report'!$AO$668</definedName>
    <definedName name="vpc606_2_2a">'Verification Report'!$AO$671</definedName>
    <definedName name="vpc606_3">'Verification Report'!$AO$674</definedName>
    <definedName name="vpc607_1_1">'Verification Report'!$AO$683</definedName>
    <definedName name="vpc607_1_2">'Verification Report'!$AO$688</definedName>
    <definedName name="vpc607_2">'Verification Report'!$AO$694</definedName>
    <definedName name="vpc608_1">'Verification Report'!$AO$697</definedName>
    <definedName name="vpc609_1">'Verification Report'!$AO$706</definedName>
    <definedName name="vpc610_1_1_1">'Verification Report'!$AO$727</definedName>
    <definedName name="vpc610_1_1_2">'Verification Report'!$AO$736</definedName>
    <definedName name="vpc610_1_1_3">'Verification Report'!$AO$744</definedName>
    <definedName name="vpc610_1_2">'Verification Report'!$AO$746</definedName>
    <definedName name="vpc611_1">'Verification Report'!$AO$790</definedName>
    <definedName name="vpc612_1">'Verification Report'!$AO$813</definedName>
    <definedName name="vpc612_2">'Verification Report'!$AO$821</definedName>
    <definedName name="vpc612_3">'Verification Report'!$AO$837</definedName>
    <definedName name="vpc613_1">'Verification Report'!$AO$864</definedName>
    <definedName name="vpc701_1_4">'Verification Report'!$AO$897</definedName>
    <definedName name="vpc702_2_2">'Verification Report'!$AO$1053</definedName>
    <definedName name="vpc703_1">'Verification Report'!$AO$1065</definedName>
    <definedName name="vpc703_2_1">'Verification Report'!$AO$1090</definedName>
    <definedName name="vpc703_2_2">'Verification Report'!$AO$1097</definedName>
    <definedName name="vpc703_2_3">'Verification Report'!$AO$1099</definedName>
    <definedName name="vpc703_2_4">'Verification Report'!$AO$1102</definedName>
    <definedName name="vpc703_2_5_2">'Verification Report'!$AO$1122</definedName>
    <definedName name="vpc703_3_1">'Verification Report'!$AO$1154</definedName>
    <definedName name="vpc703_3_2__1">'Verification Report'!$AO$1160</definedName>
    <definedName name="vpc703_3_2__2">'Verification Report'!$AO$1166</definedName>
    <definedName name="vpc703_3_2__3">'Verification Report'!$AO$1169</definedName>
    <definedName name="vpc703_3_2__4">'Verification Report'!$AO$1174</definedName>
    <definedName name="vpc703_3_3__1">'Verification Report'!$AO$1180</definedName>
    <definedName name="vpc703_3_3__2">'Verification Report'!$AO$1186</definedName>
    <definedName name="vpc703_3_3__3">'Verification Report'!$AO$1188</definedName>
    <definedName name="vpc703_3_4_1">'Verification Report'!$AO$1192</definedName>
    <definedName name="vpc703_3_4_1_6">'Verification Report'!$AO$1198</definedName>
    <definedName name="vpc703_3_4_2">'Verification Report'!$AO$1200</definedName>
    <definedName name="vpc703_3_5">'Verification Report'!$AO$1201</definedName>
    <definedName name="vpc703_3_6">'Verification Report'!$AO$1205</definedName>
    <definedName name="vpc703_3_7_1">'Verification Report'!$AO$1211</definedName>
    <definedName name="vpc703_3_8">'Verification Report'!$AO$1218</definedName>
    <definedName name="vpc703_4_1">'Verification Report'!$AO$1224</definedName>
    <definedName name="vpc703_4_2">'Verification Report'!$AO$1226</definedName>
    <definedName name="vpc703_4_3">'Verification Report'!$AO$1228</definedName>
    <definedName name="vpc703_4_4">'Verification Report'!$AO$1234</definedName>
    <definedName name="vpc703_5_1_1_a">'Verification Report'!$AO$1252</definedName>
    <definedName name="vpc703_5_1_1_b">'Verification Report'!$AO$1256</definedName>
    <definedName name="vpc703_5_1_1_d">'Verification Report'!$AO$1261</definedName>
    <definedName name="vpc703_5_1_1_e">'Verification Report'!$AO$1266</definedName>
    <definedName name="vpc703_5_1_2_a">'Verification Report'!$AO$1271</definedName>
    <definedName name="vpc703_5_1_2_b">'Verification Report'!$AO$1280</definedName>
    <definedName name="vpc703_5_1_2_c">'Verification Report'!$AO$1286</definedName>
    <definedName name="vpc703_5_1_2_d">'Verification Report'!$AO$1288</definedName>
    <definedName name="vpc703_5_1_2_e">'Verification Report'!$AO$1290</definedName>
    <definedName name="vpc703_5_1_3">'Verification Report'!$AO$1292</definedName>
    <definedName name="vpc703_5_2">'Verification Report'!$AO$1293</definedName>
    <definedName name="vpc703_5_3">'Verification Report'!$AO$1295</definedName>
    <definedName name="vpc703_5_4">'Verification Report'!$AO$1297</definedName>
    <definedName name="vpc703_5_5_a">'Verification Report'!$AO$1301</definedName>
    <definedName name="vpc703_5_5_b">'Verification Report'!$AO$1308</definedName>
    <definedName name="vpc703_6_1_1">'Verification Report'!$AO$1318</definedName>
    <definedName name="vpc703_6_1_2">'Verification Report'!$AO$1320</definedName>
    <definedName name="vpc703_6_1_3">'Verification Report'!$AO$1322</definedName>
    <definedName name="vpc703_6_2__1">'Verification Report'!$AO$1325</definedName>
    <definedName name="vpc703_6_2__2">'Verification Report'!$AO$1326</definedName>
    <definedName name="vpc703_6_2__3">'Verification Report'!$AO$1327</definedName>
    <definedName name="vpc703_7_1">'Verification Report'!$AO$1330</definedName>
    <definedName name="vpc703_7_2">'Verification Report'!$AO$1357</definedName>
    <definedName name="vpc703_7_3">'Verification Report'!$AO$1359</definedName>
    <definedName name="vpc703_7_4">'Verification Report'!$AO$1387</definedName>
    <definedName name="vpc704_1">'Verification Report'!$AO$1411</definedName>
    <definedName name="vpc705_2_1_1">'Verification Report'!$AO$1427</definedName>
    <definedName name="vpc705_2_1_2">'Verification Report'!$AO$1431</definedName>
    <definedName name="vpc705_2_1_3_1">'Verification Report'!$AO$1434</definedName>
    <definedName name="vpc705_2_1_3_2">'Verification Report'!$AO$1438</definedName>
    <definedName name="vpc705_2_1_4">'Verification Report'!$AO$1443</definedName>
    <definedName name="vpc705_2_2">'Verification Report'!$AO$1448</definedName>
    <definedName name="vpc705_2_3">'Verification Report'!$AO$1451</definedName>
    <definedName name="vpc705_2_4">'Verification Report'!$AO$1453</definedName>
    <definedName name="vpc705_3">'Verification Report'!$AO$1456</definedName>
    <definedName name="vpc705_4">'Verification Report'!$AO$1457</definedName>
    <definedName name="vpc705_5_1_1">'Verification Report'!$AO$1462</definedName>
    <definedName name="vpc705_5_1_2">'Verification Report'!$AO$1465</definedName>
    <definedName name="vpc705_5_2">'Verification Report'!$AO$1467</definedName>
    <definedName name="vpc705_5_3_1">'Verification Report'!$AO$1476</definedName>
    <definedName name="vpc705_5_3_2">'Verification Report'!$AO$1478</definedName>
    <definedName name="vpc705_6_1">'Verification Report'!$AO$1480</definedName>
    <definedName name="vpc705_6_2_1_1_1">'Verification Report'!$AO$1493</definedName>
    <definedName name="vpc705_6_2_1_2">'Verification Report'!$AO$1496</definedName>
    <definedName name="vpc705_6_2_2_1">'Verification Report'!$AO$1502</definedName>
    <definedName name="vpc705_6_2_2_2">'Verification Report'!$AO$1504</definedName>
    <definedName name="vpc705_6_2_3">'Verification Report'!$AO$1507</definedName>
    <definedName name="vpc705_6_3">'Verification Report'!$AO$1513</definedName>
    <definedName name="vpc705_6_4_1">'Verification Report'!$AO$1525</definedName>
    <definedName name="vpc705_6_4_2">'Verification Report'!$AO$1527</definedName>
    <definedName name="vpc705_7">'Verification Report'!$AO$1529</definedName>
    <definedName name="vpc706_1">'Verification Report'!$AO$1534</definedName>
    <definedName name="vpc706_10">'Verification Report'!$AO$1611</definedName>
    <definedName name="vpc706_11">'Verification Report'!$AO$1616</definedName>
    <definedName name="vpc706_12">'Verification Report'!$AO$1618</definedName>
    <definedName name="vpc706_13">'Verification Report'!$AO$1622</definedName>
    <definedName name="vpc706_14_1">'Verification Report'!$AO$1627</definedName>
    <definedName name="vpc706_14_2">'Verification Report'!$AO$1631</definedName>
    <definedName name="vpc706_15_1">'Verification Report'!$AO$1636</definedName>
    <definedName name="vpc706_15_2">'Verification Report'!$AO$1637</definedName>
    <definedName name="vpc706_2_1">'Verification Report'!$AO$1544</definedName>
    <definedName name="vpc706_2_2">'Verification Report'!$AO$1549</definedName>
    <definedName name="vpc706_3">'Verification Report'!$AO$1556</definedName>
    <definedName name="vpc706_4_1_1">'Verification Report'!$AO$1574</definedName>
    <definedName name="vpc706_4_1_2">'Verification Report'!$AO$1576</definedName>
    <definedName name="vpc706_4_2">'Verification Report'!$AO$1578</definedName>
    <definedName name="vpc706_5_1">'Verification Report'!$AO$1581</definedName>
    <definedName name="vpc706_5_2">'Verification Report'!$AO$1583</definedName>
    <definedName name="vpc706_5_3">'Verification Report'!$AO$1585</definedName>
    <definedName name="vpc706_6">'Verification Report'!$AO$1595</definedName>
    <definedName name="vpc706_7_1">'Verification Report'!$AO$1599</definedName>
    <definedName name="vpc706_7_2">'Verification Report'!$AO$1600</definedName>
    <definedName name="vpc706_8">'Verification Report'!$AO$1603</definedName>
    <definedName name="vpc706_9">'Verification Report'!$AO$1606</definedName>
    <definedName name="vpc802_1">'Verification Report'!$AO$1649</definedName>
    <definedName name="vpc802_1_6">'Verification Report'!$AO$1679</definedName>
    <definedName name="vpc802_10_1_1">'Verification Report'!$AO$1840</definedName>
    <definedName name="vpc802_2_1">'Verification Report'!$AO$1684</definedName>
    <definedName name="vpc802_2_2">'Verification Report'!$AO$1685</definedName>
    <definedName name="vpc802_3_1_a">'Verification Report'!$AO$1693</definedName>
    <definedName name="vpc802_3_1_b">'Verification Report'!$AO$1695</definedName>
    <definedName name="vpc802_3_2_a">'Verification Report'!$AO$1702</definedName>
    <definedName name="vpc802_3_2_b">'Verification Report'!$AO$1704</definedName>
    <definedName name="vpc802_4_1">'Verification Report'!$AO$1709</definedName>
    <definedName name="vpc802_4_2">'Verification Report'!$AO$1721</definedName>
    <definedName name="vpc802_4_3">'Verification Report'!$AO$1726</definedName>
    <definedName name="vpc802_5_1a">'Verification Report'!$AO$1729</definedName>
    <definedName name="vpc802_5_2">'Verification Report'!$AO$1741</definedName>
    <definedName name="vpc802_5_3">'Verification Report'!$AO$1746</definedName>
    <definedName name="vpc802_5_4_2">'Verification Report'!$AO$1753</definedName>
    <definedName name="vpc802_5_4_3">'Verification Report'!$AO$1760</definedName>
    <definedName name="vpc802_5_4_4_a">'Verification Report'!$AO$1763</definedName>
    <definedName name="vpc802_5_4_4_b">'Verification Report'!$AO$1767</definedName>
    <definedName name="vpc802_5_4_4_c">'Verification Report'!$AO$1769</definedName>
    <definedName name="vpc802_6_2">'Verification Report'!$AO$1774</definedName>
    <definedName name="vpc802_6_3_1">'Verification Report'!$AO$1778</definedName>
    <definedName name="vpc802_6_3_2">'Verification Report'!$AO$1779</definedName>
    <definedName name="vpc802_6_3_3">'Verification Report'!$AO$1780</definedName>
    <definedName name="vpc802_6_4_1">'Verification Report'!$AO$1785</definedName>
    <definedName name="vpc802_6_4_2">'Verification Report'!$AO$1787</definedName>
    <definedName name="vpc802_6_5_1">'Verification Report'!$AO$1793</definedName>
    <definedName name="vpc802_6_5_2">'Verification Report'!$AO$1795</definedName>
    <definedName name="vpc802_6_5_3">'Verification Report'!$AO$1797</definedName>
    <definedName name="vpc802_6_5_4">'Verification Report'!$AO$1798</definedName>
    <definedName name="vpc802_6_5_5">'Verification Report'!$AO$1800</definedName>
    <definedName name="vpc802_7_1">'Verification Report'!$AO$1804</definedName>
    <definedName name="vpc802_7_2">'Verification Report'!$AO$1815</definedName>
    <definedName name="vpc802_8">'Verification Report'!$AO$1821</definedName>
    <definedName name="vpc802_9_1">'Verification Report'!$AO$1824</definedName>
    <definedName name="vpc802_9_2">'Verification Report'!$AO$1832</definedName>
    <definedName name="vpc803_1">'Verification Report'!$AO$1842</definedName>
    <definedName name="vpc803_2">'Verification Report'!$AO$1849</definedName>
    <definedName name="vpc803_3">'Verification Report'!$AO$1852</definedName>
    <definedName name="vpc803_4">'Verification Report'!$AO$1857</definedName>
    <definedName name="vpc803_5">'Verification Report'!$AO$1860</definedName>
    <definedName name="vpc803_6">'Verification Report'!$AO$1862</definedName>
    <definedName name="vpc804_3">'Verification Report'!$AO$1870</definedName>
    <definedName name="vpc901_1_1">'Verification Report'!$AO$1878</definedName>
    <definedName name="vpc901_1_2">'Verification Report'!$AO$1884</definedName>
    <definedName name="vpc901_1_3_1">'Verification Report'!$AO$1889</definedName>
    <definedName name="vpc901_1_3_2">'Verification Report'!$AO$1892</definedName>
    <definedName name="vpc901_1_5">'Verification Report'!$AO$1900</definedName>
    <definedName name="vpc901_1_6">'Verification Report'!$AO$1903</definedName>
    <definedName name="vpc901_10">'Verification Report'!$AO$2012</definedName>
    <definedName name="vpc901_11">'Verification Report'!$AO$2025</definedName>
    <definedName name="vpc901_12">'Verification Report'!$AO$2030</definedName>
    <definedName name="vpc901_14">'Verification Report'!$AO$2036</definedName>
    <definedName name="vpc901_15_1">'Verification Report'!$AO$2042</definedName>
    <definedName name="vpc901_15_2">'Verification Report'!$AO$2044</definedName>
    <definedName name="vpc901_2_1_1">'Verification Report'!$AO$1909</definedName>
    <definedName name="vpc901_2_1_2">'Verification Report'!$AO$1912</definedName>
    <definedName name="vpc901_2_1_3">'Verification Report'!$AO$1914</definedName>
    <definedName name="vpc901_2_1_4">'Verification Report'!$AO$1917</definedName>
    <definedName name="vpc901_2_1_5">'Verification Report'!$AO$1919</definedName>
    <definedName name="vpc901_2_2">'Verification Report'!$AO$1921</definedName>
    <definedName name="vpc901_3_1_a">'Verification Report'!$AO$1924</definedName>
    <definedName name="vpc901_3_1_b">'Verification Report'!$AO$1926</definedName>
    <definedName name="vpc901_3_1_c">'Verification Report'!$AO$1928</definedName>
    <definedName name="vpc901_3_2">'Verification Report'!$AO$1934</definedName>
    <definedName name="vpc901_4">'Verification Report'!$AO$1935</definedName>
    <definedName name="vpc901_5_1">'Verification Report'!$AO$1957</definedName>
    <definedName name="vpc901_5_2">'Verification Report'!$AO$1959</definedName>
    <definedName name="vpc901_7">'Verification Report'!$AO$1964</definedName>
    <definedName name="vpc901_8">'Verification Report'!$AO$1985</definedName>
    <definedName name="vpc901_9_1">'Verification Report'!$AO$1994</definedName>
    <definedName name="vpc901_9_2">'Verification Report'!$AO$2001</definedName>
    <definedName name="vpc901_9_3">'Verification Report'!$AO$2006</definedName>
    <definedName name="vpc902_1_1_a">'Verification Report'!$AO$2052</definedName>
    <definedName name="vpc902_1_2_">'Verification Report'!$AO$2059</definedName>
    <definedName name="vpc902_1_3">'Verification Report'!$AO$2056</definedName>
    <definedName name="vpc902_1_3_">'Verification Report'!$AO$2063</definedName>
    <definedName name="vpc902_1_4">'Verification Report'!$AO$2067</definedName>
    <definedName name="vpc902_1_5">'Verification Report'!$AO$2072</definedName>
    <definedName name="vpc902_1_6">'Verification Report'!$AO$2081</definedName>
    <definedName name="vpc902_2_1">'Verification Report'!$AO$2085</definedName>
    <definedName name="vpc902_2_2">'Verification Report'!$AO$2096</definedName>
    <definedName name="vpc902_2_3">'Verification Report'!$AO$2098</definedName>
    <definedName name="vpc902_2_4">'Verification Report'!$AO$2101</definedName>
    <definedName name="vpc902_3_1">'Verification Report'!$AO$2107</definedName>
    <definedName name="vpc902_3_2">'Verification Report'!$AO$2110</definedName>
    <definedName name="vpc902_3_2_1">'Verification Report'!$AO$2154</definedName>
    <definedName name="vpc902_3_2_2">'Verification Report'!$AO$2176</definedName>
    <definedName name="vpc902_4">'Verification Report'!$AO$2178</definedName>
    <definedName name="vpc902_5">'Verification Report'!$AO$2188</definedName>
    <definedName name="vpc903_1">'Verification Report'!$AO$2194</definedName>
    <definedName name="vpc903_2">'Verification Report'!$AO$2198</definedName>
    <definedName name="vpc903_3">'Verification Report'!$AO$2202</definedName>
    <definedName name="vpc904_1">'Verification Report'!$AO$2210</definedName>
    <definedName name="vpc904_2">'Verification Report'!$AO$2215</definedName>
    <definedName name="vpc905_1">'Verification Report'!$AO$2232</definedName>
    <definedName name="vpc905_2">'Verification Report'!$AO$2237</definedName>
    <definedName name="vpc905_3">'Verification Report'!$AO$2239</definedName>
    <definedName name="vpc905_4">'Verification Report'!$AO$2243</definedName>
    <definedName name="vpc905_6">'Verification Report'!$AO$2248</definedName>
    <definedName name="vscAGFloorArea">'Overview (Verification)'!$I$25</definedName>
    <definedName name="vscAttachedGarage">'Overview (Verification)'!$I$51</definedName>
    <definedName name="vscAttic">'Overview (Verification)'!$I$50</definedName>
    <definedName name="vscBuilderName">'Overview (Verification)'!$I$10</definedName>
    <definedName name="vscBuildingCode">'Overview (Verification)'!$I$62</definedName>
    <definedName name="vscCDucts">'Overview (Verification)'!$I$42</definedName>
    <definedName name="vscCity">'Overview (Verification)'!$I$13</definedName>
    <definedName name="vscCommercial">'Overview (Verification)'!$I$20</definedName>
    <definedName name="vscCool1">'Overview (Verification)'!$I$39</definedName>
    <definedName name="vscCool2">'Overview (Verification)'!$I$40</definedName>
    <definedName name="vscCool3">'Overview (Verification)'!$I$41</definedName>
    <definedName name="vscCounty">'Overview (Verification)'!$I$15</definedName>
    <definedName name="vscCToilet">'Overview (Verification)'!$I$59</definedName>
    <definedName name="vscEnergyCode">'Overview (Verification)'!$I$61</definedName>
    <definedName name="vscFloors">'Overview (Verification)'!$I$27</definedName>
    <definedName name="vscFoundation">'Overview (Verification)'!$I$32</definedName>
    <definedName name="vscFuel">'Overview (Verification)'!$I$37</definedName>
    <definedName name="vscHDucts">'Overview (Verification)'!$I$38</definedName>
    <definedName name="vscHomeAddress">'Overview (Verification)'!$I$11</definedName>
    <definedName name="vscHVAC1">'Overview (Verification)'!$I$34</definedName>
    <definedName name="vscHVAC2">'Overview (Verification)'!$I$35</definedName>
    <definedName name="vscHVAC3">'Overview (Verification)'!$I$36</definedName>
    <definedName name="vscLot">'Overview (Verification)'!$I$12</definedName>
    <definedName name="vscMassWalls">'Overview (Verification)'!$I$56</definedName>
    <definedName name="vscPassiveSolar">'Overview (Verification)'!$I$55</definedName>
    <definedName name="vscProjectDesc">'Overview (Verification)'!$I$30</definedName>
    <definedName name="vscProjectName">'Overview (Verification)'!$I$23</definedName>
    <definedName name="vscRadiantHydronic">'Overview (Verification)'!$I$57</definedName>
    <definedName name="vscRecessedLighting">'Overview (Verification)'!$I$52</definedName>
    <definedName name="vscRenewable">'Overview (Verification)'!$I$48</definedName>
    <definedName name="vscSingleOrMulti">'Overview (Verification)'!$I$18</definedName>
    <definedName name="vscsSHGC">'Overview (Verification)'!$I$45</definedName>
    <definedName name="vscState">'Overview (Verification)'!$I$14</definedName>
    <definedName name="vscsUV">'Overview (Verification)'!$I$47</definedName>
    <definedName name="vscTCFloorArea">'Overview (Verification)'!$I$26</definedName>
    <definedName name="vscTEInsulation">'Overview (Verification)'!$I$49</definedName>
    <definedName name="vscTLWH">'Overview (Verification)'!$I$58</definedName>
    <definedName name="vscUnits">'Overview (Verification)'!$I$19</definedName>
    <definedName name="vscwdSHGC">'Overview (Verification)'!$I$44</definedName>
    <definedName name="vscwdUV">'Overview (Verification)'!$I$46</definedName>
    <definedName name="vscZIP">'Overview (Verification)'!$I$16</definedName>
    <definedName name="vsfAGFloorArea">'Overview (Verification)'!$J$25</definedName>
    <definedName name="vsfAttachedGarage">'Overview (Verification)'!$J$51</definedName>
    <definedName name="vsfAttic">'Overview (Verification)'!$J$50</definedName>
    <definedName name="vsfBuilderName">'Overview (Verification)'!$J$10</definedName>
    <definedName name="vsfBuildingCode">'Overview (Verification)'!$J$62</definedName>
    <definedName name="vsfCDucts">'Overview (Verification)'!$J$42</definedName>
    <definedName name="vsfCity">'Overview (Verification)'!$J$13</definedName>
    <definedName name="vsfCommercial">'Overview (Verification)'!$J$20</definedName>
    <definedName name="vsfCool1">'Overview (Verification)'!$J$39</definedName>
    <definedName name="vsfCool2">'Overview (Verification)'!$J$40</definedName>
    <definedName name="vsfCool3">'Overview (Verification)'!$J$41</definedName>
    <definedName name="vsfCounty">'Overview (Verification)'!$J$15</definedName>
    <definedName name="vsfCToilet">'Overview (Verification)'!$J$59</definedName>
    <definedName name="vsfElevation">'Overview (Verification)'!$J$28</definedName>
    <definedName name="vsfEnergyCode">'Overview (Verification)'!$J$61</definedName>
    <definedName name="vsfFloors">'Overview (Verification)'!$J$27</definedName>
    <definedName name="vsfFoundation">'Overview (Verification)'!$J$32</definedName>
    <definedName name="vsfFuel">'Overview (Verification)'!$J$37</definedName>
    <definedName name="vsfHDucts">'Overview (Verification)'!$J$38</definedName>
    <definedName name="vsfHomeAddress">'Overview (Verification)'!$J$11</definedName>
    <definedName name="vsfHVAC1">'Overview (Verification)'!$J$34</definedName>
    <definedName name="vsfHVAC2">'Overview (Verification)'!$J$35</definedName>
    <definedName name="vsfHVAC3">'Overview (Verification)'!$J$36</definedName>
    <definedName name="vsfLot">'Overview (Verification)'!$J$12</definedName>
    <definedName name="vsfMassWalls">'Overview (Verification)'!$J$56</definedName>
    <definedName name="vsfPassiveSolar">'Overview (Verification)'!$J$55</definedName>
    <definedName name="vsfProjectDesc">'Overview (Verification)'!$J$30</definedName>
    <definedName name="vsfProjectID">'Overview (Verification)'!$J$8</definedName>
    <definedName name="vsfProjectName">'Overview (Verification)'!$J$23</definedName>
    <definedName name="vsfRadiantHydronic">'Overview (Verification)'!$J$57</definedName>
    <definedName name="vsfRecessedLighting">'Overview (Verification)'!$J$52</definedName>
    <definedName name="vsfRenewable">'Overview (Verification)'!$J$48</definedName>
    <definedName name="vsfSingleOrMulti">'Overview (Verification)'!$J$18</definedName>
    <definedName name="vsfsSHGC">'Overview (Verification)'!$J$45</definedName>
    <definedName name="vsfState">'Overview (Verification)'!$J$14</definedName>
    <definedName name="vsfsUV">'Overview (Verification)'!$J$47</definedName>
    <definedName name="vsfTCFloorArea">'Overview (Verification)'!$J$26</definedName>
    <definedName name="vsfTEInsulation">'Overview (Verification)'!$J$49</definedName>
    <definedName name="vsfTLWH">'Overview (Verification)'!$J$58</definedName>
    <definedName name="vsfUnits">'Overview (Verification)'!$J$19</definedName>
    <definedName name="vsfwdSHGC">'Overview (Verification)'!$J$44</definedName>
    <definedName name="vsfwdUV">'Overview (Verification)'!$J$46</definedName>
    <definedName name="vsfZIP">'Overview (Verification)'!$J$16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037" i="81" l="1"/>
  <c r="G1933" i="81"/>
  <c r="G1925" i="81"/>
  <c r="G1923" i="81"/>
  <c r="G1920" i="81"/>
  <c r="G1918" i="81"/>
  <c r="G1916" i="81"/>
  <c r="G1913" i="81"/>
  <c r="G1911" i="81"/>
  <c r="G1908" i="81"/>
  <c r="G1430" i="81"/>
  <c r="G1370" i="81"/>
  <c r="G1368" i="81"/>
  <c r="G1367" i="81"/>
  <c r="G1366" i="81"/>
  <c r="G1364" i="81"/>
  <c r="G838" i="81"/>
  <c r="G561" i="81"/>
  <c r="G559" i="81"/>
  <c r="G554" i="81"/>
  <c r="G550" i="81"/>
  <c r="G546" i="81"/>
  <c r="G540" i="81"/>
  <c r="G531" i="81"/>
  <c r="G477" i="81"/>
  <c r="G474" i="81"/>
  <c r="G330" i="81"/>
  <c r="G271" i="81"/>
  <c r="G266" i="81"/>
  <c r="G263" i="81"/>
  <c r="G261" i="81"/>
  <c r="G252" i="81"/>
  <c r="G227" i="81"/>
  <c r="G225" i="81"/>
  <c r="G224" i="81"/>
  <c r="G222" i="81"/>
  <c r="G214" i="81"/>
  <c r="G212" i="81"/>
  <c r="G197" i="81"/>
  <c r="G195" i="81"/>
  <c r="G192" i="81"/>
  <c r="G190" i="81"/>
  <c r="G189" i="81"/>
  <c r="G188" i="81"/>
  <c r="G186" i="81"/>
  <c r="G177" i="81"/>
  <c r="G141" i="81"/>
  <c r="G113" i="81" s="1"/>
  <c r="G97" i="81"/>
  <c r="G88" i="81"/>
  <c r="G87" i="81" s="1"/>
  <c r="G24" i="81"/>
  <c r="G18" i="81"/>
  <c r="G17" i="81"/>
  <c r="G16" i="81"/>
  <c r="G14" i="81" s="1"/>
  <c r="G15" i="81"/>
  <c r="G12" i="81"/>
  <c r="G2463" i="16"/>
  <c r="G2460" i="16"/>
  <c r="G2456" i="16"/>
  <c r="G2454" i="16"/>
  <c r="G2435" i="16"/>
  <c r="G2420" i="16"/>
  <c r="G2408" i="16"/>
  <c r="G2395" i="16"/>
  <c r="G2367" i="16"/>
  <c r="G2340" i="16"/>
  <c r="G2322" i="16"/>
  <c r="G2303" i="16"/>
  <c r="G2255" i="16"/>
  <c r="G2248" i="16"/>
  <c r="G2239" i="16"/>
  <c r="G2237" i="16"/>
  <c r="G2232" i="16"/>
  <c r="G2215" i="16"/>
  <c r="G2210" i="16"/>
  <c r="G2202" i="16"/>
  <c r="G2188" i="16"/>
  <c r="G2178" i="16"/>
  <c r="G2101" i="16"/>
  <c r="G2098" i="16"/>
  <c r="G2072" i="16"/>
  <c r="G2067" i="16"/>
  <c r="G2063" i="16"/>
  <c r="G2059" i="16"/>
  <c r="G2056" i="16"/>
  <c r="G2052" i="16"/>
  <c r="G2025" i="16"/>
  <c r="G2012" i="16"/>
  <c r="G2006" i="16"/>
  <c r="G2001" i="16"/>
  <c r="G1994" i="16"/>
  <c r="G1985" i="16"/>
  <c r="G1964" i="16"/>
  <c r="G1959" i="16"/>
  <c r="G1957" i="16"/>
  <c r="G1934" i="16"/>
  <c r="G1921" i="16"/>
  <c r="G1900" i="16"/>
  <c r="G1884" i="16"/>
  <c r="G1878" i="16"/>
  <c r="G1849" i="16"/>
  <c r="G1832" i="16"/>
  <c r="G1824" i="16"/>
  <c r="G1631" i="16"/>
  <c r="G1618" i="16"/>
  <c r="G1616" i="16"/>
  <c r="G1611" i="16"/>
  <c r="G1606" i="16"/>
  <c r="G1603" i="16"/>
  <c r="G1600" i="16"/>
  <c r="G1599" i="16"/>
  <c r="G1597" i="16"/>
  <c r="G1581" i="16"/>
  <c r="G1578" i="16"/>
  <c r="G1576" i="16"/>
  <c r="G1574" i="16"/>
  <c r="G1556" i="16"/>
  <c r="G1544" i="16"/>
  <c r="G1534" i="16"/>
  <c r="G1513" i="16"/>
  <c r="G1504" i="16"/>
  <c r="G1502" i="16"/>
  <c r="G1496" i="16"/>
  <c r="G1493" i="16"/>
  <c r="G1480" i="16"/>
  <c r="G1478" i="16"/>
  <c r="G1476" i="16"/>
  <c r="G1467" i="16"/>
  <c r="G1465" i="16"/>
  <c r="G1462" i="16"/>
  <c r="G1457" i="16"/>
  <c r="G1456" i="16"/>
  <c r="G1453" i="16"/>
  <c r="G1451" i="16"/>
  <c r="G1448" i="16"/>
  <c r="G1431" i="16"/>
  <c r="G1411" i="16"/>
  <c r="G1266" i="16"/>
  <c r="G1261" i="16"/>
  <c r="G1258" i="16"/>
  <c r="G1256" i="16"/>
  <c r="G1252" i="16"/>
  <c r="G1097" i="16"/>
  <c r="G1090" i="16"/>
  <c r="G821" i="16"/>
  <c r="G790" i="16"/>
  <c r="G744" i="16"/>
  <c r="G736" i="16"/>
  <c r="G727" i="16"/>
  <c r="G694" i="16"/>
  <c r="G688" i="16"/>
  <c r="G683" i="16"/>
  <c r="G671" i="16"/>
  <c r="G668" i="16"/>
  <c r="G620" i="16"/>
  <c r="G611" i="16"/>
  <c r="G596" i="16"/>
  <c r="G583" i="16"/>
  <c r="G579" i="16"/>
  <c r="G572" i="16"/>
  <c r="G566" i="16"/>
  <c r="G562" i="16"/>
  <c r="G560" i="16"/>
  <c r="G551" i="16"/>
  <c r="G541" i="16"/>
  <c r="G538" i="16"/>
  <c r="G537" i="16"/>
  <c r="G536" i="16"/>
  <c r="G509" i="16"/>
  <c r="G507" i="16"/>
  <c r="G497" i="16"/>
  <c r="G496" i="16"/>
  <c r="G493" i="16"/>
  <c r="G471" i="16"/>
  <c r="G469" i="16"/>
  <c r="G467" i="16"/>
  <c r="G462" i="16"/>
  <c r="G435" i="16"/>
  <c r="G429" i="16"/>
  <c r="G423" i="16"/>
  <c r="G416" i="16"/>
  <c r="G414" i="16"/>
  <c r="G398" i="16"/>
  <c r="G374" i="16"/>
  <c r="G373" i="16"/>
  <c r="G372" i="16"/>
  <c r="G371" i="16"/>
  <c r="G370" i="16"/>
  <c r="G367" i="16" s="1"/>
  <c r="G364" i="16"/>
  <c r="G363" i="16"/>
  <c r="G362" i="16"/>
  <c r="G361" i="16"/>
  <c r="G360" i="16"/>
  <c r="G356" i="16" s="1"/>
  <c r="G359" i="16"/>
  <c r="G355" i="16"/>
  <c r="G352" i="16"/>
  <c r="G349" i="16"/>
  <c r="G331" i="16"/>
  <c r="G309" i="16"/>
  <c r="G293" i="16"/>
  <c r="G272" i="16"/>
  <c r="G262" i="16"/>
  <c r="G253" i="16"/>
  <c r="G246" i="16"/>
  <c r="G238" i="16"/>
  <c r="G237" i="16"/>
  <c r="G234" i="16"/>
  <c r="G230" i="16"/>
  <c r="G228" i="16"/>
  <c r="G226" i="16"/>
  <c r="G225" i="16"/>
  <c r="G223" i="16"/>
  <c r="G218" i="16"/>
  <c r="G216" i="16"/>
  <c r="G215" i="16"/>
  <c r="G208" i="16"/>
  <c r="G198" i="16"/>
  <c r="G196" i="16"/>
  <c r="G187" i="16"/>
  <c r="G185" i="16"/>
  <c r="G183" i="16"/>
  <c r="G181" i="16"/>
  <c r="G178" i="16"/>
  <c r="G142" i="16"/>
  <c r="G124" i="16"/>
  <c r="G121" i="16"/>
  <c r="G113" i="16"/>
  <c r="G106" i="16"/>
  <c r="G104" i="16"/>
  <c r="G100" i="16"/>
  <c r="G98" i="16"/>
  <c r="G91" i="16"/>
  <c r="G90" i="16"/>
  <c r="G83" i="16"/>
  <c r="G81" i="16"/>
  <c r="G79" i="16"/>
  <c r="G77" i="16"/>
  <c r="G75" i="16"/>
  <c r="G73" i="16"/>
  <c r="G71" i="16"/>
  <c r="G69" i="16"/>
  <c r="G58" i="16"/>
  <c r="G55" i="16"/>
  <c r="G52" i="16"/>
  <c r="G42" i="16"/>
  <c r="G27" i="16"/>
  <c r="G25" i="16"/>
  <c r="G23" i="16"/>
  <c r="G21" i="16"/>
  <c r="G13" i="16"/>
  <c r="A3118" i="80"/>
  <c r="A3117" i="80"/>
  <c r="A3116" i="80"/>
  <c r="A3115" i="80"/>
  <c r="A3114" i="80"/>
  <c r="A3113" i="80"/>
  <c r="A3112" i="80"/>
  <c r="A3111" i="80"/>
  <c r="A3110" i="80"/>
  <c r="A3109" i="80"/>
  <c r="A3108" i="80"/>
  <c r="A3107" i="80"/>
  <c r="A3106" i="80"/>
  <c r="A3091" i="80"/>
  <c r="A3090" i="80"/>
  <c r="A3089" i="80"/>
  <c r="A3088" i="80"/>
  <c r="A3087" i="80"/>
  <c r="A3086" i="80"/>
  <c r="A3085" i="80"/>
  <c r="A3084" i="80"/>
  <c r="A3083" i="80"/>
  <c r="A3082" i="80"/>
  <c r="A3081" i="80"/>
  <c r="A3080" i="80"/>
  <c r="A3079" i="80"/>
  <c r="A3078" i="80"/>
  <c r="A3077" i="80"/>
  <c r="A3076" i="80"/>
  <c r="A3075" i="80"/>
  <c r="A3074" i="80"/>
  <c r="A3073" i="80"/>
  <c r="A3072" i="80"/>
  <c r="A3071" i="80"/>
  <c r="A3070" i="80"/>
  <c r="A3069" i="80"/>
  <c r="A3068" i="80"/>
  <c r="A3067" i="80"/>
  <c r="A3066" i="80"/>
  <c r="A3065" i="80"/>
  <c r="A3064" i="80"/>
  <c r="A3063" i="80"/>
  <c r="A3062" i="80"/>
  <c r="A3061" i="80"/>
  <c r="A3060" i="80"/>
  <c r="A3059" i="80"/>
  <c r="A3058" i="80"/>
  <c r="A3057" i="80"/>
  <c r="A3056" i="80"/>
  <c r="A3055" i="80"/>
  <c r="A3054" i="80"/>
  <c r="A3053" i="80"/>
  <c r="A3052" i="80"/>
  <c r="A3051" i="80"/>
  <c r="A3050" i="80"/>
  <c r="A3049" i="80"/>
  <c r="A3048" i="80"/>
  <c r="A3047" i="80"/>
  <c r="A3046" i="80"/>
  <c r="A3045" i="80"/>
  <c r="A3044" i="80"/>
  <c r="A3043" i="80"/>
  <c r="A3042" i="80"/>
  <c r="A3041" i="80"/>
  <c r="A3040" i="80"/>
  <c r="A3039" i="80"/>
  <c r="A3038" i="80"/>
  <c r="A3037" i="80"/>
  <c r="A3036" i="80"/>
  <c r="A3035" i="80"/>
  <c r="A3034" i="80"/>
  <c r="A3033" i="80"/>
  <c r="A3032" i="80"/>
  <c r="A3031" i="80"/>
  <c r="A3030" i="80"/>
  <c r="A3029" i="80"/>
  <c r="A3028" i="80"/>
  <c r="A3027" i="80"/>
  <c r="A3026" i="80"/>
  <c r="A3025" i="80"/>
  <c r="A3024" i="80"/>
  <c r="A3023" i="80"/>
  <c r="A3022" i="80"/>
  <c r="A3021" i="80"/>
  <c r="A3020" i="80"/>
  <c r="A3019" i="80"/>
  <c r="A3018" i="80"/>
  <c r="A3017" i="80"/>
  <c r="A3016" i="80"/>
  <c r="A3015" i="80"/>
  <c r="A3014" i="80"/>
  <c r="A3013" i="80"/>
  <c r="A3012" i="80"/>
  <c r="A3011" i="80"/>
  <c r="A3010" i="80"/>
  <c r="A3009" i="80"/>
  <c r="A3008" i="80"/>
  <c r="A3007" i="80"/>
  <c r="A3006" i="80"/>
  <c r="A3005" i="80"/>
  <c r="A3004" i="80"/>
  <c r="A3003" i="80"/>
  <c r="A3002" i="80"/>
  <c r="A3001" i="80"/>
  <c r="A3000" i="80"/>
  <c r="A2999" i="80"/>
  <c r="A2998" i="80"/>
  <c r="A2997" i="80"/>
  <c r="A2996" i="80"/>
  <c r="A2995" i="80"/>
  <c r="A2994" i="80"/>
  <c r="A2993" i="80"/>
  <c r="A2992" i="80"/>
  <c r="A2991" i="80"/>
  <c r="A2990" i="80"/>
  <c r="A2989" i="80"/>
  <c r="A2988" i="80"/>
  <c r="A2987" i="80"/>
  <c r="A2986" i="80"/>
  <c r="A2985" i="80"/>
  <c r="A2984" i="80"/>
  <c r="A2983" i="80"/>
  <c r="A2982" i="80"/>
  <c r="A2981" i="80"/>
  <c r="A2980" i="80"/>
  <c r="A2979" i="80"/>
  <c r="A2978" i="80"/>
  <c r="A2977" i="80"/>
  <c r="A2976" i="80"/>
  <c r="A2975" i="80"/>
  <c r="A2974" i="80"/>
  <c r="A2972" i="80"/>
  <c r="A2971" i="80"/>
  <c r="A2970" i="80"/>
  <c r="A2969" i="80"/>
  <c r="A2968" i="80"/>
  <c r="A2967" i="80"/>
  <c r="A2966" i="80"/>
  <c r="A2965" i="80"/>
  <c r="A2964" i="80"/>
  <c r="A2963" i="80"/>
  <c r="A2962" i="80"/>
  <c r="A2961" i="80"/>
  <c r="A2960" i="80"/>
  <c r="A2959" i="80"/>
  <c r="A2958" i="80"/>
  <c r="A2957" i="80"/>
  <c r="A2956" i="80"/>
  <c r="A2955" i="80"/>
  <c r="A2953" i="80"/>
  <c r="A2952" i="80"/>
  <c r="A2951" i="80"/>
  <c r="A2950" i="80"/>
  <c r="A2948" i="80"/>
  <c r="A2947" i="80"/>
  <c r="A2946" i="80"/>
  <c r="A2945" i="80"/>
  <c r="A2944" i="80"/>
  <c r="A2943" i="80"/>
  <c r="A2942" i="80"/>
  <c r="A2941" i="80"/>
  <c r="A2940" i="80"/>
  <c r="A2939" i="80"/>
  <c r="A2938" i="80"/>
  <c r="A2937" i="80"/>
  <c r="A2936" i="80"/>
  <c r="A2935" i="80"/>
  <c r="A2934" i="80"/>
  <c r="A2933" i="80"/>
  <c r="A2932" i="80"/>
  <c r="A2931" i="80"/>
  <c r="A2930" i="80"/>
  <c r="A2929" i="80"/>
  <c r="A2928" i="80"/>
  <c r="A2927" i="80"/>
  <c r="A2926" i="80"/>
  <c r="A2925" i="80"/>
  <c r="A2924" i="80"/>
  <c r="A2923" i="80"/>
  <c r="A2922" i="80"/>
  <c r="A2921" i="80"/>
  <c r="A2920" i="80"/>
  <c r="A2919" i="80"/>
  <c r="A2918" i="80"/>
  <c r="A2917" i="80"/>
  <c r="A2916" i="80"/>
  <c r="A2915" i="80"/>
  <c r="A2914" i="80"/>
  <c r="A2913" i="80"/>
  <c r="A2912" i="80"/>
  <c r="A2911" i="80"/>
  <c r="A2910" i="80"/>
  <c r="A2909" i="80"/>
  <c r="A2908" i="80"/>
  <c r="A2907" i="80"/>
  <c r="A2906" i="80"/>
  <c r="A2905" i="80"/>
  <c r="A2904" i="80"/>
  <c r="A2903" i="80"/>
  <c r="A2902" i="80"/>
  <c r="A2901" i="80"/>
  <c r="A2900" i="80"/>
  <c r="A2899" i="80"/>
  <c r="A2898" i="80"/>
  <c r="A2897" i="80"/>
  <c r="A2896" i="80"/>
  <c r="A2895" i="80"/>
  <c r="A2894" i="80"/>
  <c r="A2892" i="80"/>
  <c r="A2891" i="80"/>
  <c r="A2890" i="80"/>
  <c r="A2889" i="80"/>
  <c r="A2888" i="80"/>
  <c r="A2887" i="80"/>
  <c r="A2886" i="80"/>
  <c r="A2885" i="80"/>
  <c r="A2884" i="80"/>
  <c r="A2883" i="80"/>
  <c r="A2882" i="80"/>
  <c r="A2881" i="80"/>
  <c r="A2880" i="80"/>
  <c r="A2879" i="80"/>
  <c r="A2878" i="80"/>
  <c r="A2877" i="80"/>
  <c r="A2876" i="80"/>
  <c r="A2875" i="80"/>
  <c r="A2874" i="80"/>
  <c r="A2873" i="80"/>
  <c r="A2872" i="80"/>
  <c r="A2871" i="80"/>
  <c r="A2870" i="80"/>
  <c r="A2869" i="80"/>
  <c r="A2868" i="80"/>
  <c r="A2867" i="80"/>
  <c r="A2866" i="80"/>
  <c r="A2865" i="80"/>
  <c r="A2864" i="80"/>
  <c r="A2863" i="80"/>
  <c r="A2862" i="80"/>
  <c r="A2861" i="80"/>
  <c r="A2860" i="80"/>
  <c r="A2859" i="80"/>
  <c r="A2858" i="80"/>
  <c r="A2857" i="80"/>
  <c r="A2856" i="80"/>
  <c r="A2855" i="80"/>
  <c r="A2854" i="80"/>
  <c r="A2853" i="80"/>
  <c r="A2852" i="80"/>
  <c r="A2851" i="80"/>
  <c r="A2850" i="80"/>
  <c r="A2849" i="80"/>
  <c r="A2848" i="80"/>
  <c r="A2847" i="80"/>
  <c r="A2846" i="80"/>
  <c r="A2845" i="80"/>
  <c r="A2844" i="80"/>
  <c r="A2843" i="80"/>
  <c r="A2842" i="80"/>
  <c r="A2833" i="80"/>
  <c r="A2832" i="80"/>
  <c r="A2831" i="80"/>
  <c r="A2830" i="80"/>
  <c r="A2829" i="80"/>
  <c r="A2828" i="80"/>
  <c r="A2827" i="80"/>
  <c r="A2826" i="80"/>
  <c r="A2825" i="80"/>
  <c r="A2824" i="80"/>
  <c r="A2823" i="80"/>
  <c r="A2822" i="80"/>
  <c r="A2821" i="80"/>
  <c r="A2820" i="80"/>
  <c r="A2819" i="80"/>
  <c r="A2818" i="80"/>
  <c r="A2817" i="80"/>
  <c r="A2816" i="80"/>
  <c r="A2815" i="80"/>
  <c r="A2814" i="80"/>
  <c r="A2813" i="80"/>
  <c r="A2812" i="80"/>
  <c r="A2811" i="80"/>
  <c r="A2810" i="80"/>
  <c r="A2809" i="80"/>
  <c r="A2808" i="80"/>
  <c r="A2807" i="80"/>
  <c r="A2806" i="80"/>
  <c r="A2805" i="80"/>
  <c r="A2804" i="80"/>
  <c r="A2803" i="80"/>
  <c r="A2802" i="80"/>
  <c r="A2801" i="80"/>
  <c r="A2800" i="80"/>
  <c r="A2799" i="80"/>
  <c r="A2798" i="80"/>
  <c r="A2797" i="80"/>
  <c r="A2796" i="80"/>
  <c r="A2795" i="80"/>
  <c r="A2794" i="80"/>
  <c r="A2793" i="80"/>
  <c r="A2792" i="80"/>
  <c r="A2791" i="80"/>
  <c r="A2790" i="80"/>
  <c r="A2789" i="80"/>
  <c r="A2787" i="80"/>
  <c r="A2786" i="80"/>
  <c r="A2785" i="80"/>
  <c r="A2784" i="80"/>
  <c r="A2783" i="80"/>
  <c r="A2782" i="80"/>
  <c r="A2781" i="80"/>
  <c r="A2780" i="80"/>
  <c r="A2779" i="80"/>
  <c r="A2778" i="80"/>
  <c r="A2777" i="80"/>
  <c r="A2776" i="80"/>
  <c r="A2775" i="80"/>
  <c r="A2774" i="80"/>
  <c r="A2772" i="80"/>
  <c r="A2771" i="80"/>
  <c r="A2769" i="80"/>
  <c r="A2768" i="80"/>
  <c r="A2767" i="80"/>
  <c r="A2766" i="80"/>
  <c r="A2765" i="80"/>
  <c r="A2764" i="80"/>
  <c r="A2763" i="80"/>
  <c r="A2762" i="80"/>
  <c r="A2761" i="80"/>
  <c r="A2760" i="80"/>
  <c r="A2759" i="80"/>
  <c r="A2758" i="80"/>
  <c r="A2757" i="80"/>
  <c r="A2756" i="80"/>
  <c r="A2755" i="80"/>
  <c r="A2754" i="80"/>
  <c r="A2753" i="80"/>
  <c r="A2752" i="80"/>
  <c r="A2751" i="80"/>
  <c r="A2750" i="80"/>
  <c r="A2749" i="80"/>
  <c r="A2748" i="80"/>
  <c r="A2747" i="80"/>
  <c r="A2746" i="80"/>
  <c r="A2745" i="80"/>
  <c r="A2743" i="80"/>
  <c r="A2742" i="80"/>
  <c r="A2741" i="80"/>
  <c r="A2740" i="80"/>
  <c r="A2739" i="80"/>
  <c r="A2738" i="80"/>
  <c r="A2737" i="80"/>
  <c r="A2736" i="80"/>
  <c r="A2735" i="80"/>
  <c r="A2734" i="80"/>
  <c r="A2733" i="80"/>
  <c r="A2732" i="80"/>
  <c r="A2731" i="80"/>
  <c r="A2730" i="80"/>
  <c r="A2729" i="80"/>
  <c r="A2728" i="80"/>
  <c r="A2727" i="80"/>
  <c r="A2726" i="80"/>
  <c r="A2725" i="80"/>
  <c r="A2724" i="80"/>
  <c r="A2723" i="80"/>
  <c r="A2722" i="80"/>
  <c r="A2721" i="80"/>
  <c r="A2720" i="80"/>
  <c r="A2719" i="80"/>
  <c r="A2718" i="80"/>
  <c r="A2717" i="80"/>
  <c r="A2716" i="80"/>
  <c r="A2715" i="80"/>
  <c r="A2714" i="80"/>
  <c r="A2713" i="80"/>
  <c r="A2712" i="80"/>
  <c r="A2711" i="80"/>
  <c r="A2710" i="80"/>
  <c r="A2709" i="80"/>
  <c r="A2708" i="80"/>
  <c r="A2707" i="80"/>
  <c r="A2706" i="80"/>
  <c r="A2705" i="80"/>
  <c r="A2704" i="80"/>
  <c r="A2703" i="80"/>
  <c r="A2702" i="80"/>
  <c r="A2701" i="80"/>
  <c r="A2700" i="80"/>
  <c r="A2699" i="80"/>
  <c r="A2698" i="80"/>
  <c r="A2697" i="80"/>
  <c r="A2696" i="80"/>
  <c r="A2695" i="80"/>
  <c r="A2694" i="80"/>
  <c r="A2690" i="80"/>
  <c r="A2689" i="80"/>
  <c r="A2688" i="80"/>
  <c r="A2687" i="80"/>
  <c r="A2686" i="80"/>
  <c r="A2685" i="80"/>
  <c r="A2684" i="80"/>
  <c r="A2683" i="80"/>
  <c r="A2682" i="80"/>
  <c r="A2681" i="80"/>
  <c r="A2680" i="80"/>
  <c r="A2679" i="80"/>
  <c r="A2678" i="80"/>
  <c r="A2677" i="80"/>
  <c r="A2676" i="80"/>
  <c r="A2675" i="80"/>
  <c r="A2674" i="80"/>
  <c r="A2673" i="80"/>
  <c r="A2672" i="80"/>
  <c r="A2671" i="80"/>
  <c r="A2668" i="80"/>
  <c r="A2667" i="80"/>
  <c r="A2666" i="80"/>
  <c r="A2665" i="80"/>
  <c r="A2664" i="80"/>
  <c r="A2663" i="80"/>
  <c r="A2660" i="80"/>
  <c r="A2659" i="80"/>
  <c r="A2658" i="80"/>
  <c r="A2657" i="80"/>
  <c r="A2656" i="80"/>
  <c r="A2655" i="80"/>
  <c r="A2654" i="80"/>
  <c r="A2653" i="80"/>
  <c r="A2652" i="80"/>
  <c r="A2651" i="80"/>
  <c r="A2650" i="80"/>
  <c r="A2649" i="80"/>
  <c r="A2648" i="80"/>
  <c r="A2647" i="80"/>
  <c r="A2646" i="80"/>
  <c r="A2645" i="80"/>
  <c r="A2644" i="80"/>
  <c r="A2643" i="80"/>
  <c r="A2642" i="80"/>
  <c r="A2641" i="80"/>
  <c r="A2640" i="80"/>
  <c r="A2639" i="80"/>
  <c r="A2636" i="80"/>
  <c r="A2635" i="80"/>
  <c r="A2634" i="80"/>
  <c r="A2633" i="80"/>
  <c r="A2632" i="80"/>
  <c r="A2631" i="80"/>
  <c r="A2630" i="80"/>
  <c r="A2629" i="80"/>
  <c r="A2628" i="80"/>
  <c r="A2627" i="80"/>
  <c r="A2626" i="80"/>
  <c r="A2625" i="80"/>
  <c r="A2624" i="80"/>
  <c r="A2623" i="80"/>
  <c r="A2622" i="80"/>
  <c r="A2621" i="80"/>
  <c r="A2618" i="80"/>
  <c r="A2617" i="80"/>
  <c r="A2616" i="80"/>
  <c r="A2615" i="80"/>
  <c r="A2614" i="80"/>
  <c r="A2612" i="80"/>
  <c r="A2611" i="80"/>
  <c r="A2610" i="80"/>
  <c r="A2609" i="80"/>
  <c r="A2608" i="80"/>
  <c r="A2607" i="80"/>
  <c r="A2606" i="80"/>
  <c r="A2604" i="80"/>
  <c r="A2603" i="80"/>
  <c r="A2602" i="80"/>
  <c r="A2601" i="80"/>
  <c r="A2600" i="80"/>
  <c r="A2598" i="80"/>
  <c r="A2597" i="80"/>
  <c r="A2595" i="80"/>
  <c r="A2594" i="80"/>
  <c r="A2593" i="80"/>
  <c r="A2592" i="80"/>
  <c r="A2591" i="80"/>
  <c r="A2590" i="80"/>
  <c r="A2589" i="80"/>
  <c r="A2588" i="80"/>
  <c r="A2587" i="80"/>
  <c r="A2586" i="80"/>
  <c r="A2585" i="80"/>
  <c r="A2584" i="80"/>
  <c r="A2583" i="80"/>
  <c r="A2582" i="80"/>
  <c r="A2581" i="80"/>
  <c r="A2580" i="80"/>
  <c r="A2579" i="80"/>
  <c r="A2578" i="80"/>
  <c r="A2577" i="80"/>
  <c r="A2576" i="80"/>
  <c r="A2575" i="80"/>
  <c r="A2574" i="80"/>
  <c r="A2573" i="80"/>
  <c r="A2571" i="80"/>
  <c r="A2570" i="80"/>
  <c r="A2569" i="80"/>
  <c r="A2568" i="80"/>
  <c r="A2567" i="80"/>
  <c r="A2566" i="80"/>
  <c r="A2565" i="80"/>
  <c r="A2564" i="80"/>
  <c r="A2563" i="80"/>
  <c r="A2562" i="80"/>
  <c r="A2561" i="80"/>
  <c r="A2560" i="80"/>
  <c r="A2559" i="80"/>
  <c r="A2558" i="80"/>
  <c r="A2557" i="80"/>
  <c r="A2556" i="80"/>
  <c r="A2551" i="80"/>
  <c r="A2550" i="80"/>
  <c r="A2544" i="80"/>
  <c r="A2543" i="80"/>
  <c r="A2542" i="80"/>
  <c r="A2541" i="80"/>
  <c r="A2540" i="80"/>
  <c r="A2539" i="80"/>
  <c r="A2538" i="80"/>
  <c r="A2537" i="80"/>
  <c r="A2536" i="80"/>
  <c r="A2521" i="80"/>
  <c r="A2520" i="80"/>
  <c r="A2519" i="80"/>
  <c r="A2518" i="80"/>
  <c r="A2517" i="80"/>
  <c r="A2516" i="80"/>
  <c r="A2514" i="80"/>
  <c r="A2513" i="80"/>
  <c r="A2512" i="80"/>
  <c r="A2511" i="80"/>
  <c r="A2510" i="80"/>
  <c r="A2509" i="80"/>
  <c r="A2508" i="80"/>
  <c r="A2507" i="80"/>
  <c r="A2506" i="80"/>
  <c r="A2505" i="80"/>
  <c r="A2504" i="80"/>
  <c r="A2503" i="80"/>
  <c r="A2502" i="80"/>
  <c r="A2501" i="80"/>
  <c r="A2492" i="80"/>
  <c r="A2491" i="80"/>
  <c r="A2490" i="80"/>
  <c r="A2489" i="80"/>
  <c r="A2471" i="80"/>
  <c r="A2457" i="80"/>
  <c r="A2455" i="80"/>
  <c r="A2450" i="80"/>
  <c r="A2442" i="80"/>
  <c r="A2439" i="80"/>
  <c r="A2437" i="80"/>
  <c r="A2436" i="80"/>
  <c r="A2421" i="80"/>
  <c r="A2409" i="80"/>
  <c r="A2396" i="80"/>
  <c r="A2368" i="80"/>
  <c r="A2341" i="80"/>
  <c r="A2323" i="80"/>
  <c r="A2304" i="80"/>
  <c r="A2256" i="80"/>
  <c r="A2249" i="80"/>
  <c r="A2240" i="80"/>
  <c r="A2238" i="80"/>
  <c r="A2233" i="80"/>
  <c r="A2216" i="80"/>
  <c r="A2203" i="80"/>
  <c r="A2191" i="80"/>
  <c r="A2189" i="80"/>
  <c r="A2186" i="80"/>
  <c r="A2183" i="80"/>
  <c r="A2181" i="80"/>
  <c r="A2179" i="80"/>
  <c r="A2151" i="80"/>
  <c r="A2102" i="80"/>
  <c r="A2099" i="80"/>
  <c r="A2073" i="80"/>
  <c r="A2068" i="80"/>
  <c r="A2064" i="80"/>
  <c r="A2060" i="80"/>
  <c r="A2057" i="80"/>
  <c r="A2055" i="80"/>
  <c r="A2051" i="80"/>
  <c r="A2050" i="80"/>
  <c r="A2035" i="80"/>
  <c r="A2026" i="80"/>
  <c r="A2013" i="80"/>
  <c r="A2007" i="80"/>
  <c r="A2002" i="80"/>
  <c r="A1995" i="80"/>
  <c r="A1992" i="80"/>
  <c r="A1986" i="80"/>
  <c r="A1983" i="80"/>
  <c r="A1982" i="80"/>
  <c r="A1972" i="80"/>
  <c r="A1965" i="80"/>
  <c r="A1963" i="80"/>
  <c r="A1960" i="80"/>
  <c r="A1958" i="80"/>
  <c r="A1955" i="80"/>
  <c r="A1939" i="80"/>
  <c r="A1935" i="80"/>
  <c r="A1927" i="80"/>
  <c r="A1925" i="80"/>
  <c r="A1922" i="80"/>
  <c r="A1920" i="80"/>
  <c r="A1918" i="80"/>
  <c r="A1915" i="80"/>
  <c r="A1913" i="80"/>
  <c r="A1910" i="80"/>
  <c r="A1908" i="80"/>
  <c r="A1907" i="80"/>
  <c r="A1901" i="80"/>
  <c r="A1896" i="80"/>
  <c r="A1885" i="80"/>
  <c r="A1879" i="80"/>
  <c r="A1871" i="80"/>
  <c r="A1850" i="80"/>
  <c r="A1849" i="80"/>
  <c r="A1847" i="80"/>
  <c r="A1773" i="80"/>
  <c r="A1747" i="80"/>
  <c r="A1742" i="80"/>
  <c r="A1634" i="80"/>
  <c r="A1632" i="80"/>
  <c r="A1628" i="80"/>
  <c r="A1627" i="80"/>
  <c r="A1623" i="80"/>
  <c r="A1619" i="80"/>
  <c r="A1617" i="80"/>
  <c r="A1612" i="80"/>
  <c r="A1607" i="80"/>
  <c r="A1604" i="80"/>
  <c r="A1598" i="80"/>
  <c r="A1596" i="80"/>
  <c r="A1577" i="80"/>
  <c r="A1572" i="80"/>
  <c r="A1571" i="80"/>
  <c r="A1555" i="80"/>
  <c r="A1543" i="80"/>
  <c r="A1533" i="80"/>
  <c r="A1512" i="80"/>
  <c r="A1498" i="80"/>
  <c r="A1486" i="80"/>
  <c r="A1485" i="80"/>
  <c r="A1479" i="80"/>
  <c r="A1477" i="80"/>
  <c r="A1475" i="80"/>
  <c r="A1474" i="80"/>
  <c r="A1466" i="80"/>
  <c r="A1460" i="80"/>
  <c r="A1456" i="80"/>
  <c r="A1455" i="80"/>
  <c r="A1452" i="80"/>
  <c r="A1450" i="80"/>
  <c r="A1447" i="80"/>
  <c r="A1430" i="80"/>
  <c r="A1416" i="80"/>
  <c r="A1410" i="80"/>
  <c r="A1129" i="80"/>
  <c r="A1113" i="80"/>
  <c r="A1105" i="80"/>
  <c r="A1097" i="80"/>
  <c r="A1096" i="80"/>
  <c r="A1089" i="80"/>
  <c r="A1083" i="80"/>
  <c r="A1080" i="80"/>
  <c r="A1065" i="80"/>
  <c r="A1048" i="80"/>
  <c r="A1042" i="80"/>
  <c r="A1037" i="80"/>
  <c r="A1029" i="80"/>
  <c r="A1019" i="80"/>
  <c r="A993" i="80"/>
  <c r="A990" i="80"/>
  <c r="A974" i="80"/>
  <c r="A954" i="80"/>
  <c r="A953" i="80"/>
  <c r="A950" i="80"/>
  <c r="A949" i="80"/>
  <c r="A946" i="80"/>
  <c r="A940" i="80"/>
  <c r="A937" i="80"/>
  <c r="A820" i="80"/>
  <c r="A806" i="80"/>
  <c r="A804" i="80" s="1"/>
  <c r="A795" i="80"/>
  <c r="A794" i="80" s="1"/>
  <c r="A789" i="80"/>
  <c r="A763" i="80"/>
  <c r="A749" i="80"/>
  <c r="A724" i="80"/>
  <c r="A693" i="80"/>
  <c r="A680" i="80"/>
  <c r="A652" i="80"/>
  <c r="A619" i="80"/>
  <c r="A610" i="80"/>
  <c r="A595" i="80"/>
  <c r="A582" i="80"/>
  <c r="A578" i="80"/>
  <c r="A571" i="80"/>
  <c r="A565" i="80"/>
  <c r="A561" i="80"/>
  <c r="A559" i="80"/>
  <c r="A554" i="80"/>
  <c r="A550" i="80"/>
  <c r="A547" i="80"/>
  <c r="A546" i="80"/>
  <c r="A544" i="80"/>
  <c r="A540" i="80"/>
  <c r="A537" i="80"/>
  <c r="A531" i="80"/>
  <c r="A527" i="80"/>
  <c r="A522" i="80"/>
  <c r="A482" i="80"/>
  <c r="A477" i="80" s="1"/>
  <c r="A474" i="80"/>
  <c r="A470" i="80"/>
  <c r="A468" i="80"/>
  <c r="A466" i="80"/>
  <c r="A463" i="80"/>
  <c r="A461" i="80"/>
  <c r="A460" i="80"/>
  <c r="A436" i="80"/>
  <c r="A434" i="80"/>
  <c r="A425" i="80"/>
  <c r="A422" i="80"/>
  <c r="A420" i="80"/>
  <c r="A415" i="80"/>
  <c r="A413" i="80"/>
  <c r="A410" i="80"/>
  <c r="A397" i="80"/>
  <c r="A373" i="80"/>
  <c r="A372" i="80"/>
  <c r="A371" i="80"/>
  <c r="A370" i="80"/>
  <c r="A369" i="80"/>
  <c r="A366" i="80" s="1"/>
  <c r="A363" i="80"/>
  <c r="A355" i="80"/>
  <c r="A354" i="80"/>
  <c r="A351" i="80"/>
  <c r="A348" i="80"/>
  <c r="A346" i="80"/>
  <c r="A330" i="80"/>
  <c r="A308" i="80"/>
  <c r="A271" i="80"/>
  <c r="A261" i="80"/>
  <c r="A260" i="80"/>
  <c r="A252" i="80"/>
  <c r="A245" i="80"/>
  <c r="A237" i="80"/>
  <c r="A236" i="80"/>
  <c r="A233" i="80"/>
  <c r="A229" i="80"/>
  <c r="A227" i="80"/>
  <c r="A225" i="80"/>
  <c r="A224" i="80"/>
  <c r="A222" i="80"/>
  <c r="A219" i="80"/>
  <c r="A217" i="80"/>
  <c r="A215" i="80"/>
  <c r="A214" i="80"/>
  <c r="A212" i="80"/>
  <c r="A207" i="80"/>
  <c r="A197" i="80"/>
  <c r="A195" i="80"/>
  <c r="A193" i="80"/>
  <c r="A186" i="80"/>
  <c r="A184" i="80"/>
  <c r="A182" i="80"/>
  <c r="A180" i="80"/>
  <c r="A177" i="80"/>
  <c r="A141" i="80"/>
  <c r="A123" i="80"/>
  <c r="A120" i="80"/>
  <c r="A112" i="80"/>
  <c r="A105" i="80"/>
  <c r="A103" i="80"/>
  <c r="A100" i="80"/>
  <c r="A99" i="80"/>
  <c r="A97" i="80"/>
  <c r="A90" i="80"/>
  <c r="A89" i="80"/>
  <c r="A82" i="80"/>
  <c r="A80" i="80"/>
  <c r="A78" i="80"/>
  <c r="A76" i="80"/>
  <c r="A74" i="80"/>
  <c r="A72" i="80"/>
  <c r="A70" i="80"/>
  <c r="A68" i="80"/>
  <c r="A67" i="80"/>
  <c r="A57" i="80"/>
  <c r="A54" i="80"/>
  <c r="A51" i="80"/>
  <c r="A41" i="80"/>
  <c r="A26" i="80"/>
  <c r="A24" i="80"/>
  <c r="A22" i="80"/>
  <c r="A20" i="80"/>
  <c r="A17" i="80"/>
  <c r="A16" i="80"/>
  <c r="A15" i="80"/>
  <c r="A14" i="80"/>
  <c r="A12" i="80"/>
  <c r="U275" i="16"/>
  <c r="AO4" i="2"/>
  <c r="U276" i="8"/>
  <c r="O276" i="8"/>
  <c r="O275" i="16"/>
  <c r="AP132" i="87" l="1"/>
  <c r="AP115" i="87"/>
  <c r="AP110" i="87"/>
  <c r="AP55" i="87"/>
  <c r="AP48" i="87"/>
  <c r="AP41" i="87"/>
  <c r="AP34" i="87"/>
  <c r="AP28" i="87"/>
  <c r="AP27" i="87"/>
  <c r="AP24" i="87"/>
  <c r="AP23" i="87"/>
  <c r="AP22" i="87"/>
  <c r="AP20" i="87"/>
  <c r="AP19" i="87"/>
  <c r="AP18" i="87"/>
  <c r="T234" i="25"/>
  <c r="S234" i="25"/>
  <c r="T1104" i="16"/>
  <c r="S1104" i="16"/>
  <c r="M87" i="18" l="1"/>
  <c r="M88" i="18"/>
  <c r="M136" i="18"/>
  <c r="M135" i="18"/>
  <c r="M134" i="18"/>
  <c r="M133" i="18"/>
  <c r="M132" i="18"/>
  <c r="M131" i="18"/>
  <c r="M130" i="18"/>
  <c r="M129" i="18"/>
  <c r="M128" i="18"/>
  <c r="M127" i="18"/>
  <c r="M126" i="18"/>
  <c r="M125" i="18"/>
  <c r="M124" i="18"/>
  <c r="M123" i="18"/>
  <c r="M122" i="18"/>
  <c r="M121" i="18"/>
  <c r="M120" i="18"/>
  <c r="M119" i="18"/>
  <c r="M118" i="18"/>
  <c r="M117" i="18"/>
  <c r="M116" i="18"/>
  <c r="M115" i="18"/>
  <c r="M114" i="18"/>
  <c r="M113" i="18"/>
  <c r="M112" i="18"/>
  <c r="M111" i="18"/>
  <c r="M110" i="18"/>
  <c r="M109" i="18"/>
  <c r="M108" i="18"/>
  <c r="M107" i="18"/>
  <c r="M106" i="18"/>
  <c r="M105" i="18"/>
  <c r="M104" i="18"/>
  <c r="M103" i="18"/>
  <c r="M102" i="18"/>
  <c r="M101" i="18"/>
  <c r="M100" i="18"/>
  <c r="M99" i="18"/>
  <c r="M98" i="18"/>
  <c r="M97" i="18"/>
  <c r="M96" i="18"/>
  <c r="M95" i="18"/>
  <c r="M94" i="18"/>
  <c r="M93" i="18"/>
  <c r="M92" i="18"/>
  <c r="M91" i="18"/>
  <c r="M90" i="18"/>
  <c r="M89" i="18"/>
  <c r="L88" i="17"/>
  <c r="K88" i="17" s="1"/>
  <c r="L89" i="17"/>
  <c r="K89" i="17" s="1"/>
  <c r="L90" i="17"/>
  <c r="K90" i="17" s="1"/>
  <c r="L91" i="17"/>
  <c r="K91" i="17" s="1"/>
  <c r="L92" i="17"/>
  <c r="K92" i="17" s="1"/>
  <c r="L93" i="17"/>
  <c r="K93" i="17" s="1"/>
  <c r="L94" i="17"/>
  <c r="K94" i="17" s="1"/>
  <c r="L95" i="17"/>
  <c r="K95" i="17" s="1"/>
  <c r="L96" i="17"/>
  <c r="K96" i="17" s="1"/>
  <c r="L97" i="17"/>
  <c r="K97" i="17" s="1"/>
  <c r="L98" i="17"/>
  <c r="K98" i="17" s="1"/>
  <c r="L99" i="17"/>
  <c r="K99" i="17" s="1"/>
  <c r="L100" i="17"/>
  <c r="K100" i="17" s="1"/>
  <c r="L101" i="17"/>
  <c r="K101" i="17" s="1"/>
  <c r="L102" i="17"/>
  <c r="K102" i="17" s="1"/>
  <c r="L103" i="17"/>
  <c r="K103" i="17" s="1"/>
  <c r="L104" i="17"/>
  <c r="K104" i="17" s="1"/>
  <c r="L105" i="17"/>
  <c r="K105" i="17" s="1"/>
  <c r="L106" i="17"/>
  <c r="K106" i="17" s="1"/>
  <c r="L107" i="17"/>
  <c r="K107" i="17" s="1"/>
  <c r="L108" i="17"/>
  <c r="K108" i="17" s="1"/>
  <c r="L109" i="17"/>
  <c r="K109" i="17" s="1"/>
  <c r="L110" i="17"/>
  <c r="K110" i="17" s="1"/>
  <c r="L111" i="17"/>
  <c r="K111" i="17" s="1"/>
  <c r="L112" i="17"/>
  <c r="K112" i="17" s="1"/>
  <c r="L113" i="17"/>
  <c r="K113" i="17" s="1"/>
  <c r="L114" i="17"/>
  <c r="K114" i="17" s="1"/>
  <c r="L115" i="17"/>
  <c r="K115" i="17" s="1"/>
  <c r="L116" i="17"/>
  <c r="K116" i="17" s="1"/>
  <c r="L117" i="17"/>
  <c r="K117" i="17" s="1"/>
  <c r="L118" i="17"/>
  <c r="K118" i="17" s="1"/>
  <c r="L119" i="17"/>
  <c r="K119" i="17" s="1"/>
  <c r="L120" i="17"/>
  <c r="K120" i="17" s="1"/>
  <c r="L121" i="17"/>
  <c r="K121" i="17" s="1"/>
  <c r="L122" i="17"/>
  <c r="K122" i="17" s="1"/>
  <c r="L123" i="17"/>
  <c r="K123" i="17" s="1"/>
  <c r="L124" i="17"/>
  <c r="K124" i="17" s="1"/>
  <c r="L125" i="17"/>
  <c r="K125" i="17" s="1"/>
  <c r="L126" i="17"/>
  <c r="K126" i="17" s="1"/>
  <c r="L127" i="17"/>
  <c r="K127" i="17" s="1"/>
  <c r="L128" i="17"/>
  <c r="K128" i="17" s="1"/>
  <c r="L129" i="17"/>
  <c r="K129" i="17" s="1"/>
  <c r="L130" i="17"/>
  <c r="K130" i="17" s="1"/>
  <c r="L131" i="17"/>
  <c r="K131" i="17" s="1"/>
  <c r="L132" i="17"/>
  <c r="K132" i="17" s="1"/>
  <c r="L133" i="17"/>
  <c r="K133" i="17" s="1"/>
  <c r="L134" i="17"/>
  <c r="K134" i="17" s="1"/>
  <c r="L135" i="17"/>
  <c r="K135" i="17" s="1"/>
  <c r="L136" i="17"/>
  <c r="K136" i="17" s="1"/>
  <c r="L87" i="17"/>
  <c r="K87" i="17" s="1"/>
  <c r="U1084" i="16" l="1"/>
  <c r="DB4" i="2"/>
  <c r="U214" i="25"/>
  <c r="AS80" i="84"/>
  <c r="AS69" i="84"/>
  <c r="AQ85" i="84"/>
  <c r="AQ84" i="84"/>
  <c r="AQ83" i="84"/>
  <c r="AQ82" i="84"/>
  <c r="AQ81" i="84"/>
  <c r="AQ80" i="84"/>
  <c r="AQ73" i="84"/>
  <c r="AQ72" i="84"/>
  <c r="AQ71" i="84"/>
  <c r="AQ70" i="84"/>
  <c r="AQ69" i="84"/>
  <c r="AQ227" i="84"/>
  <c r="Y80" i="84"/>
  <c r="Y69" i="84"/>
  <c r="AQ227" i="85"/>
  <c r="AE227" i="85"/>
  <c r="AF227" i="85" s="1"/>
  <c r="S223" i="85"/>
  <c r="R202" i="85"/>
  <c r="AQ85" i="85"/>
  <c r="AQ84" i="85"/>
  <c r="AQ83" i="85"/>
  <c r="AQ82" i="85"/>
  <c r="AQ81" i="85"/>
  <c r="AS80" i="85"/>
  <c r="AQ80" i="85"/>
  <c r="AQ73" i="85"/>
  <c r="AQ72" i="85"/>
  <c r="AQ71" i="85"/>
  <c r="AQ70" i="85"/>
  <c r="AS69" i="85"/>
  <c r="AQ69" i="85"/>
  <c r="S584" i="25"/>
  <c r="S1454" i="16"/>
  <c r="B1087" i="80"/>
  <c r="B1086" i="80"/>
  <c r="B1085" i="80"/>
  <c r="B1084" i="80"/>
  <c r="Y9" i="3"/>
  <c r="R1088" i="16"/>
  <c r="R216" i="25"/>
  <c r="R1086" i="16"/>
  <c r="R218" i="25"/>
  <c r="U411" i="16" l="1"/>
  <c r="AQ1088" i="16"/>
  <c r="AP1088" i="16"/>
  <c r="AQ1086" i="16"/>
  <c r="AP1086" i="16"/>
  <c r="AQ218" i="25"/>
  <c r="AP218" i="25"/>
  <c r="AQ216" i="25"/>
  <c r="AP216" i="25"/>
  <c r="AE146" i="24"/>
  <c r="AV4" i="2"/>
  <c r="U93" i="24"/>
  <c r="W14" i="87"/>
  <c r="AS132" i="87"/>
  <c r="AR132" i="87"/>
  <c r="AQ132" i="87"/>
  <c r="AS115" i="87"/>
  <c r="AR115" i="87"/>
  <c r="AQ115" i="87"/>
  <c r="AS110" i="87"/>
  <c r="AR110" i="87"/>
  <c r="AQ110" i="87"/>
  <c r="AS55" i="87"/>
  <c r="AR55" i="87"/>
  <c r="AQ55" i="87"/>
  <c r="AS48" i="87"/>
  <c r="AR48" i="87"/>
  <c r="AQ48" i="87"/>
  <c r="AS41" i="87"/>
  <c r="AR41" i="87"/>
  <c r="AQ41" i="87"/>
  <c r="AS34" i="87"/>
  <c r="AR34" i="87"/>
  <c r="AQ34" i="87"/>
  <c r="AS28" i="87"/>
  <c r="AR28" i="87"/>
  <c r="AQ28" i="87"/>
  <c r="AS27" i="87"/>
  <c r="AR27" i="87"/>
  <c r="AQ27" i="87"/>
  <c r="AS24" i="87"/>
  <c r="AR24" i="87"/>
  <c r="AQ24" i="87"/>
  <c r="AS23" i="87"/>
  <c r="AR23" i="87"/>
  <c r="AQ23" i="87"/>
  <c r="AS22" i="87"/>
  <c r="AR22" i="87"/>
  <c r="AQ22" i="87"/>
  <c r="AS20" i="87"/>
  <c r="AR20" i="87"/>
  <c r="AQ20" i="87"/>
  <c r="AS19" i="87"/>
  <c r="AR19" i="87"/>
  <c r="AQ19" i="87"/>
  <c r="AR18" i="87"/>
  <c r="AY65" i="87"/>
  <c r="AX65" i="87"/>
  <c r="AY63" i="87"/>
  <c r="AX63" i="87"/>
  <c r="AY62" i="87"/>
  <c r="AX62" i="87"/>
  <c r="AY60" i="87"/>
  <c r="AX60" i="87"/>
  <c r="AY59" i="87"/>
  <c r="AX59" i="87"/>
  <c r="AY58" i="87"/>
  <c r="AX58" i="87"/>
  <c r="AY57" i="87"/>
  <c r="AX57" i="87"/>
  <c r="AY56" i="87"/>
  <c r="AX56" i="87"/>
  <c r="AY55" i="87"/>
  <c r="AX55" i="87"/>
  <c r="AY53" i="87"/>
  <c r="AX53" i="87"/>
  <c r="AY52" i="87"/>
  <c r="AX52" i="87"/>
  <c r="AY51" i="87"/>
  <c r="AX51" i="87"/>
  <c r="AY50" i="87"/>
  <c r="AX50" i="87"/>
  <c r="AY49" i="87"/>
  <c r="AX49" i="87"/>
  <c r="AY48" i="87"/>
  <c r="AX48" i="87"/>
  <c r="AY47" i="87"/>
  <c r="AX47" i="87"/>
  <c r="AY46" i="87"/>
  <c r="AX46" i="87"/>
  <c r="AY45" i="87"/>
  <c r="AX45" i="87"/>
  <c r="AY43" i="87"/>
  <c r="AX43" i="87"/>
  <c r="AY42" i="87"/>
  <c r="AX42" i="87"/>
  <c r="AY41" i="87"/>
  <c r="AX41" i="87"/>
  <c r="AY40" i="87"/>
  <c r="AX40" i="87"/>
  <c r="AY39" i="87"/>
  <c r="AX39" i="87"/>
  <c r="AY38" i="87"/>
  <c r="AX38" i="87"/>
  <c r="AY37" i="87"/>
  <c r="AX37" i="87"/>
  <c r="AY36" i="87"/>
  <c r="AX36" i="87"/>
  <c r="AY35" i="87"/>
  <c r="AX35" i="87"/>
  <c r="AY33" i="87"/>
  <c r="AX33" i="87"/>
  <c r="AY31" i="87"/>
  <c r="AX31" i="87"/>
  <c r="AY29" i="87"/>
  <c r="AX29" i="87"/>
  <c r="AY28" i="87"/>
  <c r="AX28" i="87"/>
  <c r="AY27" i="87"/>
  <c r="AX27" i="87"/>
  <c r="AY26" i="87"/>
  <c r="AX26" i="87"/>
  <c r="AY24" i="87"/>
  <c r="AX24" i="87"/>
  <c r="AY21" i="87"/>
  <c r="AX21" i="87"/>
  <c r="AY20" i="87"/>
  <c r="AX20" i="87"/>
  <c r="AY19" i="87"/>
  <c r="AX19" i="87"/>
  <c r="AS18" i="87"/>
  <c r="AQ18" i="87"/>
  <c r="AY17" i="87"/>
  <c r="AX17" i="87"/>
  <c r="AY16" i="87"/>
  <c r="AX16" i="87"/>
  <c r="AY15" i="87"/>
  <c r="AX15" i="87"/>
  <c r="AY14" i="87"/>
  <c r="AX14" i="87"/>
  <c r="AY13" i="87"/>
  <c r="AX13" i="87"/>
  <c r="AY12" i="87"/>
  <c r="AX12" i="87"/>
  <c r="AY11" i="87"/>
  <c r="AX11" i="87"/>
  <c r="AE132" i="87"/>
  <c r="AD132" i="87"/>
  <c r="AE115" i="87"/>
  <c r="AD115" i="87"/>
  <c r="AC115" i="87" s="1"/>
  <c r="AE110" i="87"/>
  <c r="AD110" i="87"/>
  <c r="AE55" i="87"/>
  <c r="AD55" i="87"/>
  <c r="AD48" i="87"/>
  <c r="AD41" i="87"/>
  <c r="AD34" i="87"/>
  <c r="AD28" i="87"/>
  <c r="AD27" i="87"/>
  <c r="AD24" i="87"/>
  <c r="AD23" i="87"/>
  <c r="AD22" i="87"/>
  <c r="AD20" i="87"/>
  <c r="AD19" i="87"/>
  <c r="AD18" i="87"/>
  <c r="Y132" i="87"/>
  <c r="Y115" i="87"/>
  <c r="Y110" i="87"/>
  <c r="Y55" i="87"/>
  <c r="Y48" i="87"/>
  <c r="Y41" i="87"/>
  <c r="Y34" i="87"/>
  <c r="Y28" i="87"/>
  <c r="Y27" i="87"/>
  <c r="Y24" i="87"/>
  <c r="Y23" i="87"/>
  <c r="Y22" i="87"/>
  <c r="Y20" i="87"/>
  <c r="Y19" i="87"/>
  <c r="Y18" i="87"/>
  <c r="X5" i="87"/>
  <c r="X4" i="87"/>
  <c r="R3" i="87"/>
  <c r="AS132" i="86"/>
  <c r="AR132" i="86"/>
  <c r="AQ132" i="86"/>
  <c r="AP132" i="86"/>
  <c r="AS115" i="86"/>
  <c r="AR115" i="86"/>
  <c r="AQ115" i="86"/>
  <c r="AP115" i="86"/>
  <c r="AS110" i="86"/>
  <c r="AR110" i="86"/>
  <c r="AQ110" i="86"/>
  <c r="AP110" i="86"/>
  <c r="AS55" i="86"/>
  <c r="AR55" i="86"/>
  <c r="AQ55" i="86"/>
  <c r="AP55" i="86"/>
  <c r="AS48" i="86"/>
  <c r="AR48" i="86"/>
  <c r="AQ48" i="86"/>
  <c r="AP48" i="86"/>
  <c r="AS41" i="86"/>
  <c r="AR41" i="86"/>
  <c r="AQ41" i="86"/>
  <c r="AP41" i="86"/>
  <c r="AS34" i="86"/>
  <c r="AR34" i="86"/>
  <c r="AQ34" i="86"/>
  <c r="AP34" i="86"/>
  <c r="AS28" i="86"/>
  <c r="AR28" i="86"/>
  <c r="AQ28" i="86"/>
  <c r="AP28" i="86"/>
  <c r="AS27" i="86"/>
  <c r="AR27" i="86"/>
  <c r="AQ27" i="86"/>
  <c r="AP27" i="86"/>
  <c r="AS24" i="86"/>
  <c r="AR24" i="86"/>
  <c r="AQ24" i="86"/>
  <c r="AP24" i="86"/>
  <c r="AS23" i="86"/>
  <c r="AR23" i="86"/>
  <c r="AQ23" i="86"/>
  <c r="AP23" i="86"/>
  <c r="AS22" i="86"/>
  <c r="AR22" i="86"/>
  <c r="AQ22" i="86"/>
  <c r="AP22" i="86"/>
  <c r="AS20" i="86"/>
  <c r="AR20" i="86"/>
  <c r="AQ20" i="86"/>
  <c r="AP20" i="86"/>
  <c r="AS19" i="86"/>
  <c r="AR19" i="86"/>
  <c r="AQ19" i="86"/>
  <c r="AP19" i="86"/>
  <c r="AR18" i="86"/>
  <c r="AP18" i="86"/>
  <c r="AS18" i="86"/>
  <c r="AQ18" i="86"/>
  <c r="AE132" i="86"/>
  <c r="AD132" i="86"/>
  <c r="AC132" i="86"/>
  <c r="AE115" i="86"/>
  <c r="AD115" i="86"/>
  <c r="AC115" i="86"/>
  <c r="AE110" i="86"/>
  <c r="AC110" i="86" s="1"/>
  <c r="AD110" i="86"/>
  <c r="AE55" i="86"/>
  <c r="AD55" i="86"/>
  <c r="AC55" i="86" s="1"/>
  <c r="AD48" i="86"/>
  <c r="AD41" i="86"/>
  <c r="AD34" i="86"/>
  <c r="AD28" i="86"/>
  <c r="AD27" i="86"/>
  <c r="AD24" i="86"/>
  <c r="AD23" i="86"/>
  <c r="AD22" i="86"/>
  <c r="AD20" i="86"/>
  <c r="AD19" i="86"/>
  <c r="AD18" i="86"/>
  <c r="S101" i="8"/>
  <c r="AX12" i="86"/>
  <c r="AY12" i="86"/>
  <c r="AX13" i="86"/>
  <c r="AY13" i="86"/>
  <c r="AX14" i="86"/>
  <c r="AY14" i="86"/>
  <c r="AX15" i="86"/>
  <c r="AY15" i="86"/>
  <c r="AX16" i="86"/>
  <c r="AY16" i="86"/>
  <c r="AX17" i="86"/>
  <c r="AY17" i="86"/>
  <c r="AX19" i="86"/>
  <c r="AY19" i="86"/>
  <c r="AX20" i="86"/>
  <c r="AY20" i="86"/>
  <c r="AX21" i="86"/>
  <c r="AY21" i="86"/>
  <c r="AX24" i="86"/>
  <c r="AY24" i="86"/>
  <c r="AX26" i="86"/>
  <c r="AY26" i="86"/>
  <c r="AX27" i="86"/>
  <c r="AY27" i="86"/>
  <c r="AX28" i="86"/>
  <c r="AY28" i="86"/>
  <c r="AX29" i="86"/>
  <c r="AY29" i="86"/>
  <c r="AX31" i="86"/>
  <c r="AY31" i="86"/>
  <c r="AX33" i="86"/>
  <c r="AY33" i="86"/>
  <c r="AX35" i="86"/>
  <c r="AY35" i="86"/>
  <c r="AX36" i="86"/>
  <c r="AY36" i="86"/>
  <c r="AX37" i="86"/>
  <c r="AY37" i="86"/>
  <c r="AX38" i="86"/>
  <c r="AY38" i="86"/>
  <c r="AX39" i="86"/>
  <c r="AY39" i="86"/>
  <c r="AX40" i="86"/>
  <c r="AY40" i="86"/>
  <c r="AX41" i="86"/>
  <c r="AY41" i="86"/>
  <c r="AX42" i="86"/>
  <c r="AY42" i="86"/>
  <c r="AX43" i="86"/>
  <c r="AY43" i="86"/>
  <c r="AX45" i="86"/>
  <c r="AY45" i="86"/>
  <c r="AX46" i="86"/>
  <c r="AY46" i="86"/>
  <c r="AX47" i="86"/>
  <c r="AY47" i="86"/>
  <c r="AX48" i="86"/>
  <c r="AY48" i="86"/>
  <c r="AX49" i="86"/>
  <c r="AY49" i="86"/>
  <c r="AX50" i="86"/>
  <c r="AY50" i="86"/>
  <c r="AX51" i="86"/>
  <c r="AY51" i="86"/>
  <c r="AX52" i="86"/>
  <c r="AY52" i="86"/>
  <c r="AX53" i="86"/>
  <c r="AY53" i="86"/>
  <c r="AX55" i="86"/>
  <c r="AY55" i="86"/>
  <c r="AX56" i="86"/>
  <c r="AY56" i="86"/>
  <c r="AX57" i="86"/>
  <c r="AY57" i="86"/>
  <c r="AX58" i="86"/>
  <c r="AY58" i="86"/>
  <c r="AX59" i="86"/>
  <c r="AY59" i="86"/>
  <c r="AX60" i="86"/>
  <c r="AY60" i="86"/>
  <c r="AX62" i="86"/>
  <c r="AY62" i="86"/>
  <c r="AX63" i="86"/>
  <c r="AY63" i="86"/>
  <c r="AX65" i="86"/>
  <c r="AY65" i="86"/>
  <c r="AY11" i="86"/>
  <c r="AX11" i="86"/>
  <c r="O14" i="8"/>
  <c r="N13" i="16" s="1"/>
  <c r="B909" i="80"/>
  <c r="C909" i="80" s="1"/>
  <c r="B905" i="80"/>
  <c r="AQ900" i="16"/>
  <c r="AP900" i="16"/>
  <c r="AQ30" i="25"/>
  <c r="AP30" i="25"/>
  <c r="S900" i="16"/>
  <c r="R900" i="16" s="1"/>
  <c r="AE900" i="16" s="1"/>
  <c r="S30" i="25"/>
  <c r="R30" i="25" s="1"/>
  <c r="AE30" i="25" s="1"/>
  <c r="AX2272" i="16"/>
  <c r="AX1895" i="16"/>
  <c r="AX1658" i="16"/>
  <c r="AX899" i="16"/>
  <c r="AX347" i="16"/>
  <c r="AX28" i="16"/>
  <c r="AY29" i="8"/>
  <c r="AX29" i="8"/>
  <c r="AY29" i="24"/>
  <c r="AX29" i="24"/>
  <c r="AY29" i="25"/>
  <c r="AX29" i="25"/>
  <c r="AY29" i="27"/>
  <c r="AX29" i="27"/>
  <c r="AY29" i="28"/>
  <c r="AX29" i="28"/>
  <c r="AX29" i="29"/>
  <c r="AY29" i="29"/>
  <c r="P28" i="23"/>
  <c r="AY2272" i="16" s="1"/>
  <c r="E28" i="23"/>
  <c r="W14" i="86"/>
  <c r="R202" i="84"/>
  <c r="R203" i="84" s="1"/>
  <c r="D515" i="81"/>
  <c r="AA2038" i="16"/>
  <c r="AA1934" i="16"/>
  <c r="AA1922" i="16"/>
  <c r="AA1921" i="16"/>
  <c r="AA1907" i="16"/>
  <c r="AA1595" i="16"/>
  <c r="AA1583" i="16"/>
  <c r="AA1431" i="16"/>
  <c r="AA1371" i="16"/>
  <c r="AA1363" i="16"/>
  <c r="AA1357" i="16"/>
  <c r="AA839" i="16"/>
  <c r="AA562" i="16"/>
  <c r="AA560" i="16"/>
  <c r="AA555" i="16"/>
  <c r="AA552" i="16"/>
  <c r="AA547" i="16"/>
  <c r="AA532" i="16"/>
  <c r="AA525" i="16"/>
  <c r="AA510" i="16"/>
  <c r="AA478" i="16"/>
  <c r="AA475" i="16"/>
  <c r="AA375" i="16"/>
  <c r="AA331" i="16"/>
  <c r="AA281" i="16"/>
  <c r="AA275" i="16"/>
  <c r="AA272" i="16"/>
  <c r="AA267" i="16"/>
  <c r="AA264" i="16"/>
  <c r="AA257" i="16"/>
  <c r="AA253" i="16"/>
  <c r="AA228" i="16"/>
  <c r="AA226" i="16"/>
  <c r="AA225" i="16"/>
  <c r="AA223" i="16"/>
  <c r="AA214" i="16"/>
  <c r="AA194" i="16"/>
  <c r="AA187" i="16"/>
  <c r="AA178" i="16"/>
  <c r="AA176" i="16"/>
  <c r="AA171" i="16"/>
  <c r="AA170" i="16"/>
  <c r="AA165" i="16"/>
  <c r="AA162" i="16"/>
  <c r="AA160" i="16"/>
  <c r="AA157" i="16"/>
  <c r="AA155" i="16"/>
  <c r="AA142" i="16"/>
  <c r="AA98" i="16"/>
  <c r="AA89" i="16"/>
  <c r="AA25" i="16"/>
  <c r="AA15" i="16"/>
  <c r="S15" i="86"/>
  <c r="S15" i="87"/>
  <c r="S103" i="27"/>
  <c r="Y10" i="3"/>
  <c r="O38" i="8"/>
  <c r="AC110" i="87" l="1"/>
  <c r="AC132" i="87"/>
  <c r="AC55" i="87"/>
  <c r="C41" i="87"/>
  <c r="S125" i="87"/>
  <c r="W125" i="87" s="1"/>
  <c r="S117" i="87"/>
  <c r="W117" i="87" s="1"/>
  <c r="S84" i="87"/>
  <c r="W84" i="87" s="1"/>
  <c r="S50" i="87"/>
  <c r="W50" i="87" s="1"/>
  <c r="S24" i="87"/>
  <c r="R24" i="87" s="1"/>
  <c r="AE24" i="87" s="1"/>
  <c r="AC24" i="87" s="1"/>
  <c r="S19" i="87"/>
  <c r="R19" i="87" s="1"/>
  <c r="AE19" i="87" s="1"/>
  <c r="AC19" i="87" s="1"/>
  <c r="S105" i="87"/>
  <c r="W105" i="87" s="1"/>
  <c r="S59" i="87"/>
  <c r="W59" i="87" s="1"/>
  <c r="S20" i="87"/>
  <c r="R20" i="87" s="1"/>
  <c r="AE20" i="87" s="1"/>
  <c r="AC20" i="87" s="1"/>
  <c r="S48" i="87"/>
  <c r="R48" i="87" s="1"/>
  <c r="AE48" i="87" s="1"/>
  <c r="AC48" i="87" s="1"/>
  <c r="S36" i="87"/>
  <c r="W36" i="87" s="1"/>
  <c r="S63" i="87"/>
  <c r="W63" i="87" s="1"/>
  <c r="S98" i="87"/>
  <c r="W98" i="87" s="1"/>
  <c r="S112" i="87"/>
  <c r="W112" i="87" s="1"/>
  <c r="S74" i="87"/>
  <c r="W74" i="87" s="1"/>
  <c r="S34" i="87"/>
  <c r="R34" i="87" s="1"/>
  <c r="AE34" i="87" s="1"/>
  <c r="AC34" i="87" s="1"/>
  <c r="S23" i="87"/>
  <c r="R23" i="87" s="1"/>
  <c r="AE23" i="87" s="1"/>
  <c r="AC23" i="87" s="1"/>
  <c r="S18" i="87"/>
  <c r="R18" i="87" s="1"/>
  <c r="AE18" i="87" s="1"/>
  <c r="AC18" i="87" s="1"/>
  <c r="G10" i="87" a="1"/>
  <c r="G10" i="87" s="1"/>
  <c r="D2" i="87" s="1"/>
  <c r="S27" i="87"/>
  <c r="R27" i="87" s="1"/>
  <c r="AE27" i="87" s="1"/>
  <c r="AC27" i="87" s="1"/>
  <c r="S43" i="87"/>
  <c r="W43" i="87" s="1"/>
  <c r="S28" i="87"/>
  <c r="R28" i="87" s="1"/>
  <c r="AE28" i="87" s="1"/>
  <c r="AC28" i="87" s="1"/>
  <c r="S22" i="87"/>
  <c r="R22" i="87" s="1"/>
  <c r="AE22" i="87" s="1"/>
  <c r="AC22" i="87" s="1"/>
  <c r="S41" i="87"/>
  <c r="R41" i="87" s="1"/>
  <c r="AE41" i="87" s="1"/>
  <c r="AC41" i="87" s="1"/>
  <c r="AI3" i="87"/>
  <c r="AY899" i="16"/>
  <c r="AY1658" i="16"/>
  <c r="AY28" i="16"/>
  <c r="AY1895" i="16"/>
  <c r="AY347" i="16"/>
  <c r="FK4" i="2"/>
  <c r="S130" i="87"/>
  <c r="W130" i="87" l="1"/>
  <c r="S143" i="87"/>
  <c r="W143" i="87" s="1"/>
  <c r="S136" i="87"/>
  <c r="W136" i="87" s="1"/>
  <c r="T10" i="87"/>
  <c r="AI3" i="86"/>
  <c r="X5" i="86"/>
  <c r="X4" i="86"/>
  <c r="AG3" i="87" l="1"/>
  <c r="S125" i="86"/>
  <c r="S117" i="86"/>
  <c r="S84" i="86"/>
  <c r="W84" i="86" s="1"/>
  <c r="S74" i="86"/>
  <c r="S112" i="86"/>
  <c r="S63" i="86"/>
  <c r="S59" i="86"/>
  <c r="S50" i="86"/>
  <c r="C41" i="86"/>
  <c r="S105" i="86"/>
  <c r="S98" i="86"/>
  <c r="W98" i="86" s="1"/>
  <c r="S48" i="86"/>
  <c r="R48" i="86" s="1"/>
  <c r="AE48" i="86" s="1"/>
  <c r="AC48" i="86" s="1"/>
  <c r="S28" i="86"/>
  <c r="R28" i="86" s="1"/>
  <c r="AE28" i="86" s="1"/>
  <c r="AC28" i="86" s="1"/>
  <c r="S27" i="86"/>
  <c r="R27" i="86" s="1"/>
  <c r="AE27" i="86" s="1"/>
  <c r="AC27" i="86" s="1"/>
  <c r="S24" i="86"/>
  <c r="R24" i="86" s="1"/>
  <c r="AE24" i="86" s="1"/>
  <c r="AC24" i="86" s="1"/>
  <c r="S23" i="86"/>
  <c r="R23" i="86" s="1"/>
  <c r="AE23" i="86" s="1"/>
  <c r="AC23" i="86" s="1"/>
  <c r="S22" i="86"/>
  <c r="R22" i="86" s="1"/>
  <c r="AE22" i="86" s="1"/>
  <c r="AC22" i="86" s="1"/>
  <c r="S20" i="86"/>
  <c r="R20" i="86" s="1"/>
  <c r="AE20" i="86" s="1"/>
  <c r="AC20" i="86" s="1"/>
  <c r="S19" i="86"/>
  <c r="R19" i="86" s="1"/>
  <c r="AE19" i="86" s="1"/>
  <c r="AC19" i="86" s="1"/>
  <c r="S18" i="86"/>
  <c r="R18" i="86" s="1"/>
  <c r="AE18" i="86" s="1"/>
  <c r="S43" i="86"/>
  <c r="W43" i="86" s="1"/>
  <c r="S36" i="86"/>
  <c r="S41" i="86"/>
  <c r="R41" i="86" s="1"/>
  <c r="AE41" i="86" s="1"/>
  <c r="AC41" i="86" s="1"/>
  <c r="S34" i="86"/>
  <c r="R34" i="86" s="1"/>
  <c r="AE34" i="86" s="1"/>
  <c r="AC34" i="86" s="1"/>
  <c r="O1849" i="16"/>
  <c r="U1852" i="16"/>
  <c r="U1846" i="16"/>
  <c r="U1837" i="16"/>
  <c r="T1837" i="16"/>
  <c r="R1837" i="16"/>
  <c r="U1832" i="16"/>
  <c r="U1824" i="16"/>
  <c r="U1818" i="16"/>
  <c r="U1804" i="16"/>
  <c r="U1772" i="16"/>
  <c r="R1772" i="16"/>
  <c r="U1763" i="16"/>
  <c r="U1753" i="16"/>
  <c r="U1746" i="16"/>
  <c r="U1741" i="16"/>
  <c r="U1731" i="16"/>
  <c r="U1729" i="16"/>
  <c r="U1726" i="16"/>
  <c r="U1721" i="16"/>
  <c r="U1709" i="16"/>
  <c r="U1650" i="16"/>
  <c r="U1642" i="16"/>
  <c r="S130" i="86"/>
  <c r="S1732" i="16"/>
  <c r="S1730" i="16"/>
  <c r="S1643" i="16"/>
  <c r="AC18" i="86" l="1"/>
  <c r="AG3" i="86"/>
  <c r="S143" i="86"/>
  <c r="S136" i="86"/>
  <c r="S1852" i="16"/>
  <c r="S1850" i="16"/>
  <c r="T1850" i="16" s="1"/>
  <c r="S1860" i="16"/>
  <c r="S1848" i="16"/>
  <c r="T1848" i="16" s="1"/>
  <c r="S1857" i="16"/>
  <c r="S1862" i="16"/>
  <c r="S1846" i="16"/>
  <c r="S1840" i="16"/>
  <c r="S1832" i="16"/>
  <c r="S1818" i="16"/>
  <c r="S1824" i="16"/>
  <c r="S1821" i="16"/>
  <c r="S1804" i="16"/>
  <c r="S1820" i="16"/>
  <c r="T1820" i="16" s="1"/>
  <c r="S1800" i="16"/>
  <c r="S1793" i="16"/>
  <c r="S1798" i="16"/>
  <c r="S1797" i="16"/>
  <c r="S1795" i="16"/>
  <c r="S1778" i="16"/>
  <c r="S1785" i="16"/>
  <c r="S1774" i="16"/>
  <c r="S1780" i="16"/>
  <c r="S1779" i="16"/>
  <c r="S1760" i="16"/>
  <c r="T1760" i="16" s="1"/>
  <c r="S1753" i="16"/>
  <c r="S1731" i="16"/>
  <c r="T1731" i="16" s="1"/>
  <c r="S1746" i="16"/>
  <c r="S1741" i="16"/>
  <c r="S1729" i="16"/>
  <c r="T1729" i="16" s="1"/>
  <c r="S1726" i="16"/>
  <c r="S1709" i="16"/>
  <c r="S1721" i="16"/>
  <c r="S1685" i="16"/>
  <c r="T1685" i="16" s="1"/>
  <c r="S1684" i="16"/>
  <c r="T2104" i="16"/>
  <c r="AD2104" i="16" s="1"/>
  <c r="AQ2156" i="16"/>
  <c r="AP2156" i="16"/>
  <c r="S2156" i="16"/>
  <c r="AQ290" i="28"/>
  <c r="AP290" i="28"/>
  <c r="T238" i="28"/>
  <c r="AD238" i="28" s="1"/>
  <c r="S290" i="28"/>
  <c r="R2156" i="16" l="1"/>
  <c r="AE2156" i="16" s="1"/>
  <c r="O2176" i="16"/>
  <c r="T290" i="28"/>
  <c r="AD290" i="28" s="1"/>
  <c r="O310" i="28"/>
  <c r="T1774" i="16"/>
  <c r="O1774" i="16"/>
  <c r="T1684" i="16"/>
  <c r="O1684" i="16"/>
  <c r="T1741" i="16"/>
  <c r="T1746" i="16"/>
  <c r="T1778" i="16"/>
  <c r="O1778" i="16"/>
  <c r="T1821" i="16"/>
  <c r="O1821" i="16"/>
  <c r="T1795" i="16"/>
  <c r="O1795" i="16"/>
  <c r="T1824" i="16"/>
  <c r="T1860" i="16"/>
  <c r="O1860" i="16"/>
  <c r="T1797" i="16"/>
  <c r="O1797" i="16"/>
  <c r="T1785" i="16"/>
  <c r="O1785" i="16"/>
  <c r="T1804" i="16"/>
  <c r="T1857" i="16"/>
  <c r="O1857" i="16"/>
  <c r="T1753" i="16"/>
  <c r="T1818" i="16"/>
  <c r="T1721" i="16"/>
  <c r="T1798" i="16"/>
  <c r="O1798" i="16"/>
  <c r="T1832" i="16"/>
  <c r="T1852" i="16"/>
  <c r="O1852" i="16"/>
  <c r="T1709" i="16"/>
  <c r="T1779" i="16"/>
  <c r="O1779" i="16"/>
  <c r="T1793" i="16"/>
  <c r="O1793" i="16"/>
  <c r="T1840" i="16"/>
  <c r="O1840" i="16"/>
  <c r="T1726" i="16"/>
  <c r="T1780" i="16"/>
  <c r="O1780" i="16"/>
  <c r="T1800" i="16"/>
  <c r="O1800" i="16"/>
  <c r="T1846" i="16"/>
  <c r="T1862" i="16"/>
  <c r="O1862" i="16"/>
  <c r="S1769" i="16"/>
  <c r="S1763" i="16"/>
  <c r="S1767" i="16"/>
  <c r="T2156" i="16"/>
  <c r="AD2156" i="16" s="1"/>
  <c r="AC2156" i="16" s="1"/>
  <c r="R290" i="28"/>
  <c r="AE290" i="28" s="1"/>
  <c r="AQ1478" i="16"/>
  <c r="AP1478" i="16"/>
  <c r="AQ1476" i="16"/>
  <c r="AP1476" i="16"/>
  <c r="AQ608" i="25"/>
  <c r="AP608" i="25"/>
  <c r="AQ606" i="25"/>
  <c r="AP606" i="25"/>
  <c r="O1729" i="16"/>
  <c r="O1726" i="16"/>
  <c r="O1824" i="16"/>
  <c r="O1709" i="16"/>
  <c r="O1746" i="16"/>
  <c r="O1741" i="16"/>
  <c r="O1753" i="16"/>
  <c r="O1842" i="16"/>
  <c r="O1832" i="16"/>
  <c r="O1721" i="16"/>
  <c r="O1804" i="16"/>
  <c r="O1815" i="16"/>
  <c r="AC290" i="28" l="1"/>
  <c r="T1767" i="16"/>
  <c r="O1767" i="16"/>
  <c r="T1769" i="16"/>
  <c r="O1769" i="16"/>
  <c r="T1763" i="16"/>
  <c r="O1763" i="16"/>
  <c r="AD256" i="84" l="1"/>
  <c r="AD204" i="84"/>
  <c r="AD203" i="84"/>
  <c r="R256" i="84"/>
  <c r="AE256" i="84" s="1"/>
  <c r="AF256" i="84" s="1"/>
  <c r="AD256" i="85"/>
  <c r="AD204" i="85"/>
  <c r="AD203" i="85"/>
  <c r="R256" i="85"/>
  <c r="AE256" i="85" s="1"/>
  <c r="AQ256" i="84"/>
  <c r="AQ204" i="84"/>
  <c r="AQ203" i="84"/>
  <c r="AQ256" i="85"/>
  <c r="AQ204" i="85"/>
  <c r="AQ203" i="85"/>
  <c r="AC256" i="84" l="1"/>
  <c r="R204" i="84"/>
  <c r="AE204" i="84" s="1"/>
  <c r="AE203" i="84"/>
  <c r="AF203" i="84" s="1"/>
  <c r="AF256" i="85"/>
  <c r="AC256" i="85"/>
  <c r="R203" i="85"/>
  <c r="R204" i="85"/>
  <c r="AE204" i="85" s="1"/>
  <c r="AF204" i="84" l="1"/>
  <c r="AC204" i="84"/>
  <c r="AC203" i="84"/>
  <c r="AE203" i="85"/>
  <c r="AC203" i="85" s="1"/>
  <c r="AC204" i="85"/>
  <c r="AF204" i="85"/>
  <c r="AQ194" i="16"/>
  <c r="AP194" i="16"/>
  <c r="AN194" i="16"/>
  <c r="AM194" i="16"/>
  <c r="AL194" i="16"/>
  <c r="U194" i="16"/>
  <c r="O194" i="16"/>
  <c r="AO194" i="16" s="1"/>
  <c r="AQ195" i="8"/>
  <c r="AP195" i="8"/>
  <c r="AN195" i="8"/>
  <c r="AM195" i="8"/>
  <c r="AL195" i="8"/>
  <c r="O195" i="8"/>
  <c r="AO195" i="8" s="1"/>
  <c r="U195" i="8"/>
  <c r="AL4" i="2" s="1"/>
  <c r="N194" i="16" l="1"/>
  <c r="AF203" i="85"/>
  <c r="AS239" i="27"/>
  <c r="AR239" i="27"/>
  <c r="AQ239" i="27"/>
  <c r="AP239" i="27"/>
  <c r="AS1868" i="16"/>
  <c r="AR1868" i="16"/>
  <c r="AQ1868" i="16"/>
  <c r="AP1868" i="16"/>
  <c r="AN1870" i="16"/>
  <c r="M1870" i="16" l="1"/>
  <c r="T1869" i="16"/>
  <c r="M1866" i="16" s="1"/>
  <c r="Y1868" i="16"/>
  <c r="W311" i="84"/>
  <c r="G307" i="84" s="1"/>
  <c r="W311" i="85" l="1"/>
  <c r="G307" i="85" s="1"/>
  <c r="M237" i="27" l="1"/>
  <c r="B885" i="80" l="1"/>
  <c r="C885" i="80" s="1"/>
  <c r="B883" i="80"/>
  <c r="C883" i="80" s="1"/>
  <c r="AS884" i="16"/>
  <c r="AR884" i="16"/>
  <c r="AQ884" i="16"/>
  <c r="AP884" i="16"/>
  <c r="Y884" i="16"/>
  <c r="U884" i="16"/>
  <c r="AS14" i="25"/>
  <c r="AR14" i="25"/>
  <c r="AQ14" i="25"/>
  <c r="AP14" i="25"/>
  <c r="U14" i="25"/>
  <c r="CG4" i="2" s="1"/>
  <c r="B2088" i="80" l="1"/>
  <c r="K178" i="17" l="1"/>
  <c r="X5" i="85" l="1"/>
  <c r="X4" i="85"/>
  <c r="G10" i="84" l="1"/>
  <c r="G10" i="85"/>
  <c r="Y298" i="84" l="1"/>
  <c r="Y287" i="84"/>
  <c r="Y280" i="84"/>
  <c r="Y272" i="84"/>
  <c r="Y264" i="84"/>
  <c r="Y256" i="84"/>
  <c r="Y246" i="84"/>
  <c r="Y222" i="84"/>
  <c r="Y203" i="84"/>
  <c r="Y166" i="84"/>
  <c r="Y162" i="84"/>
  <c r="Y152" i="84"/>
  <c r="Y139" i="84"/>
  <c r="Y125" i="84"/>
  <c r="Y110" i="84"/>
  <c r="Y106" i="84"/>
  <c r="Y97" i="84"/>
  <c r="Y77" i="84"/>
  <c r="Y74" i="84"/>
  <c r="Y66" i="84"/>
  <c r="Y58" i="84"/>
  <c r="Y55" i="84"/>
  <c r="Y54" i="84"/>
  <c r="Y50" i="84"/>
  <c r="Y49" i="84"/>
  <c r="Y48" i="84"/>
  <c r="Y47" i="84"/>
  <c r="Y46" i="84"/>
  <c r="Y45" i="84"/>
  <c r="Y44" i="84"/>
  <c r="Y43" i="84"/>
  <c r="Y42" i="84"/>
  <c r="Y41" i="84"/>
  <c r="Y40" i="84"/>
  <c r="Y39" i="84"/>
  <c r="Y36" i="84"/>
  <c r="Y35" i="84"/>
  <c r="Y34" i="84"/>
  <c r="Y33" i="84"/>
  <c r="Y29" i="84"/>
  <c r="Y28" i="84"/>
  <c r="Y27" i="84"/>
  <c r="Y24" i="84"/>
  <c r="Y23" i="84"/>
  <c r="Y22" i="84"/>
  <c r="Y21" i="84"/>
  <c r="Y18" i="84"/>
  <c r="Y17" i="84"/>
  <c r="Y16" i="84"/>
  <c r="Y15" i="84"/>
  <c r="AY18" i="85" l="1"/>
  <c r="W300" i="85"/>
  <c r="W299" i="85"/>
  <c r="W298" i="85"/>
  <c r="W273" i="85"/>
  <c r="S226" i="85"/>
  <c r="S225" i="85"/>
  <c r="W189" i="85"/>
  <c r="W188" i="85"/>
  <c r="W187" i="85"/>
  <c r="W186" i="85"/>
  <c r="W185" i="85"/>
  <c r="W184" i="85"/>
  <c r="W183" i="85"/>
  <c r="W182" i="85"/>
  <c r="W181" i="85"/>
  <c r="W139" i="85"/>
  <c r="W125" i="85"/>
  <c r="AS298" i="85"/>
  <c r="AS287" i="85"/>
  <c r="AS280" i="85"/>
  <c r="AS272" i="85"/>
  <c r="AS264" i="85"/>
  <c r="AS256" i="85"/>
  <c r="AS246" i="85"/>
  <c r="AS222" i="85"/>
  <c r="AS203" i="85"/>
  <c r="AS166" i="85"/>
  <c r="AQ166" i="85"/>
  <c r="AS162" i="85"/>
  <c r="AQ155" i="85"/>
  <c r="AQ154" i="85"/>
  <c r="AQ153" i="85"/>
  <c r="AS152" i="85"/>
  <c r="AQ152" i="85"/>
  <c r="AS139" i="85"/>
  <c r="AQ126" i="85"/>
  <c r="AS125" i="85"/>
  <c r="AS110" i="85"/>
  <c r="AQ110" i="85"/>
  <c r="AS106" i="85"/>
  <c r="AS97" i="85"/>
  <c r="AS77" i="85"/>
  <c r="AS74" i="85"/>
  <c r="AS66" i="85"/>
  <c r="AS58" i="85"/>
  <c r="AS55" i="85"/>
  <c r="AQ55" i="85"/>
  <c r="AD55" i="85"/>
  <c r="S55" i="85"/>
  <c r="AS54" i="85"/>
  <c r="AQ54" i="85"/>
  <c r="AD54" i="85"/>
  <c r="S54" i="85"/>
  <c r="AS50" i="85"/>
  <c r="AS49" i="85"/>
  <c r="AQ49" i="85"/>
  <c r="AS48" i="85"/>
  <c r="AQ48" i="85"/>
  <c r="AS47" i="85"/>
  <c r="AQ47" i="85"/>
  <c r="AS46" i="85"/>
  <c r="AQ46" i="85"/>
  <c r="AS45" i="85"/>
  <c r="AQ45" i="85"/>
  <c r="AS44" i="85"/>
  <c r="AQ44" i="85"/>
  <c r="AS43" i="85"/>
  <c r="AQ43" i="85"/>
  <c r="AS42" i="85"/>
  <c r="AQ42" i="85"/>
  <c r="AS41" i="85"/>
  <c r="AQ41" i="85"/>
  <c r="AS40" i="85"/>
  <c r="AQ40" i="85"/>
  <c r="AS39" i="85"/>
  <c r="AQ39" i="85"/>
  <c r="AS36" i="85"/>
  <c r="AS35" i="85"/>
  <c r="AS34" i="85"/>
  <c r="AS33" i="85"/>
  <c r="AS29" i="85"/>
  <c r="AS28" i="85"/>
  <c r="AS27" i="85"/>
  <c r="AS24" i="85"/>
  <c r="AS23" i="85"/>
  <c r="AQ23" i="85"/>
  <c r="AD23" i="85"/>
  <c r="AS22" i="85"/>
  <c r="AQ22" i="85"/>
  <c r="AD22" i="85"/>
  <c r="AS21" i="85"/>
  <c r="AQ21" i="85"/>
  <c r="AD21" i="85"/>
  <c r="AX18" i="85"/>
  <c r="AS18" i="85"/>
  <c r="AS17" i="85"/>
  <c r="AQ17" i="85"/>
  <c r="AD17" i="85"/>
  <c r="AS16" i="85"/>
  <c r="AQ16" i="85"/>
  <c r="AD16" i="85"/>
  <c r="AS15" i="85"/>
  <c r="AQ15" i="85"/>
  <c r="AD15" i="85"/>
  <c r="R14" i="85"/>
  <c r="AQ155" i="84"/>
  <c r="AQ154" i="84"/>
  <c r="AQ153" i="84"/>
  <c r="AQ126" i="84"/>
  <c r="AS298" i="84"/>
  <c r="AS287" i="84"/>
  <c r="AS280" i="84"/>
  <c r="AS272" i="84"/>
  <c r="AS264" i="84"/>
  <c r="AS256" i="84"/>
  <c r="AS246" i="84"/>
  <c r="AS222" i="84"/>
  <c r="AS203" i="84"/>
  <c r="AS162" i="84"/>
  <c r="AS139" i="84"/>
  <c r="AS125" i="84"/>
  <c r="AS106" i="84"/>
  <c r="AS97" i="84"/>
  <c r="AS77" i="84"/>
  <c r="AS74" i="84"/>
  <c r="AS66" i="84"/>
  <c r="AS58" i="84"/>
  <c r="AS50" i="84"/>
  <c r="AS36" i="84"/>
  <c r="AS35" i="84"/>
  <c r="AS34" i="84"/>
  <c r="AS33" i="84"/>
  <c r="AS29" i="84"/>
  <c r="AS28" i="84"/>
  <c r="AS27" i="84"/>
  <c r="AS24" i="84"/>
  <c r="AS18" i="84"/>
  <c r="AS166" i="84"/>
  <c r="AQ166" i="84"/>
  <c r="AS152" i="84"/>
  <c r="AQ152" i="84"/>
  <c r="AS110" i="84"/>
  <c r="AQ110" i="84"/>
  <c r="AS55" i="84"/>
  <c r="AQ55" i="84"/>
  <c r="AS54" i="84"/>
  <c r="AQ54" i="84"/>
  <c r="AS49" i="84"/>
  <c r="AQ49" i="84"/>
  <c r="AS48" i="84"/>
  <c r="AQ48" i="84"/>
  <c r="AS47" i="84"/>
  <c r="AQ47" i="84"/>
  <c r="AS46" i="84"/>
  <c r="AQ46" i="84"/>
  <c r="AS45" i="84"/>
  <c r="AQ45" i="84"/>
  <c r="AS44" i="84"/>
  <c r="AQ44" i="84"/>
  <c r="AS43" i="84"/>
  <c r="AQ43" i="84"/>
  <c r="AS42" i="84"/>
  <c r="AQ42" i="84"/>
  <c r="AS41" i="84"/>
  <c r="AQ41" i="84"/>
  <c r="AS40" i="84"/>
  <c r="AQ40" i="84"/>
  <c r="AS39" i="84"/>
  <c r="AQ39" i="84"/>
  <c r="AS23" i="84"/>
  <c r="AQ23" i="84"/>
  <c r="AS22" i="84"/>
  <c r="AQ22" i="84"/>
  <c r="AS21" i="84"/>
  <c r="AQ21" i="84"/>
  <c r="AS17" i="84"/>
  <c r="AQ17" i="84"/>
  <c r="AS16" i="84"/>
  <c r="AQ16" i="84"/>
  <c r="AQ15" i="84"/>
  <c r="AS15" i="84"/>
  <c r="S227" i="85"/>
  <c r="S235" i="85"/>
  <c r="S265" i="85"/>
  <c r="S208" i="85"/>
  <c r="S264" i="85"/>
  <c r="T227" i="85" l="1"/>
  <c r="AD227" i="85" s="1"/>
  <c r="AC227" i="85" s="1"/>
  <c r="R16" i="85"/>
  <c r="AE16" i="85" s="1"/>
  <c r="AF16" i="85" s="1"/>
  <c r="R15" i="85"/>
  <c r="AE15" i="85" s="1"/>
  <c r="AC15" i="85" s="1"/>
  <c r="R18" i="85"/>
  <c r="AE18" i="85" s="1"/>
  <c r="AC18" i="85" s="1"/>
  <c r="R54" i="85"/>
  <c r="AE54" i="85" s="1"/>
  <c r="AF54" i="85" s="1"/>
  <c r="AC16" i="85"/>
  <c r="R21" i="85"/>
  <c r="AE21" i="85" s="1"/>
  <c r="AC21" i="85" s="1"/>
  <c r="R23" i="85"/>
  <c r="AE23" i="85" s="1"/>
  <c r="AF23" i="85" s="1"/>
  <c r="R27" i="85"/>
  <c r="AE27" i="85" s="1"/>
  <c r="AC27" i="85" s="1"/>
  <c r="R17" i="85"/>
  <c r="AE17" i="85" s="1"/>
  <c r="AF17" i="85" s="1"/>
  <c r="G173" i="85"/>
  <c r="D5" i="85" s="1"/>
  <c r="R22" i="85"/>
  <c r="AE22" i="85" s="1"/>
  <c r="AF22" i="85" s="1"/>
  <c r="R28" i="85"/>
  <c r="AE28" i="85" s="1"/>
  <c r="AF28" i="85" s="1"/>
  <c r="R34" i="85"/>
  <c r="AE34" i="85" s="1"/>
  <c r="AC34" i="85" s="1"/>
  <c r="AF21" i="85"/>
  <c r="R35" i="85"/>
  <c r="AE35" i="85" s="1"/>
  <c r="AF15" i="85"/>
  <c r="R24" i="85"/>
  <c r="AE24" i="85" s="1"/>
  <c r="R33" i="85"/>
  <c r="AE33" i="85" s="1"/>
  <c r="R50" i="85"/>
  <c r="AE50" i="85" s="1"/>
  <c r="R55" i="85"/>
  <c r="AE55" i="85" s="1"/>
  <c r="AF55" i="85" s="1"/>
  <c r="R29" i="85"/>
  <c r="AE29" i="85" s="1"/>
  <c r="R36" i="85"/>
  <c r="AE36" i="85" s="1"/>
  <c r="R58" i="85"/>
  <c r="AE58" i="85" s="1"/>
  <c r="AI3" i="85"/>
  <c r="S154" i="85"/>
  <c r="S130" i="85"/>
  <c r="S247" i="85"/>
  <c r="S291" i="85"/>
  <c r="S131" i="85"/>
  <c r="S238" i="85"/>
  <c r="AF27" i="85" l="1"/>
  <c r="AC54" i="85"/>
  <c r="AC22" i="85"/>
  <c r="AF18" i="85"/>
  <c r="AF34" i="85"/>
  <c r="AG3" i="85"/>
  <c r="AC23" i="85"/>
  <c r="AC55" i="85"/>
  <c r="AC28" i="85"/>
  <c r="AC17" i="85"/>
  <c r="AC58" i="85"/>
  <c r="AF58" i="85"/>
  <c r="AC29" i="85"/>
  <c r="AF29" i="85"/>
  <c r="AF24" i="85"/>
  <c r="AC24" i="85"/>
  <c r="AF50" i="85"/>
  <c r="AC50" i="85"/>
  <c r="AF35" i="85"/>
  <c r="AC35" i="85"/>
  <c r="AC36" i="85"/>
  <c r="AF36" i="85"/>
  <c r="AF33" i="85"/>
  <c r="AC33" i="85"/>
  <c r="AX18" i="84" l="1"/>
  <c r="AD23" i="84"/>
  <c r="AD22" i="84"/>
  <c r="AD21" i="84"/>
  <c r="AD17" i="84"/>
  <c r="AD16" i="84"/>
  <c r="AD55" i="84"/>
  <c r="AD54" i="84"/>
  <c r="AD49" i="84"/>
  <c r="AD48" i="84"/>
  <c r="AD47" i="84"/>
  <c r="AD46" i="84"/>
  <c r="AD45" i="84"/>
  <c r="AD44" i="84"/>
  <c r="AD43" i="84"/>
  <c r="AD42" i="84"/>
  <c r="AD41" i="84"/>
  <c r="AD40" i="84"/>
  <c r="AD39" i="84"/>
  <c r="AE49" i="84"/>
  <c r="AF49" i="84" s="1"/>
  <c r="AE48" i="84"/>
  <c r="AE47" i="84"/>
  <c r="AF47" i="84" s="1"/>
  <c r="AE46" i="84"/>
  <c r="AF46" i="84" s="1"/>
  <c r="AE45" i="84"/>
  <c r="AF45" i="84" s="1"/>
  <c r="AE44" i="84"/>
  <c r="AF44" i="84" s="1"/>
  <c r="AE43" i="84"/>
  <c r="AF43" i="84" s="1"/>
  <c r="AE42" i="84"/>
  <c r="AF42" i="84" s="1"/>
  <c r="AE41" i="84"/>
  <c r="AF41" i="84" s="1"/>
  <c r="AE40" i="84"/>
  <c r="AF40" i="84" s="1"/>
  <c r="AE39" i="84"/>
  <c r="AF39" i="84" s="1"/>
  <c r="AD15" i="84"/>
  <c r="R14" i="84"/>
  <c r="S55" i="84"/>
  <c r="S54" i="84"/>
  <c r="AC42" i="84" l="1"/>
  <c r="AC43" i="84"/>
  <c r="AC44" i="84"/>
  <c r="R58" i="84"/>
  <c r="AE58" i="84" s="1"/>
  <c r="AF58" i="84" s="1"/>
  <c r="R15" i="84"/>
  <c r="AE15" i="84" s="1"/>
  <c r="AF15" i="84" s="1"/>
  <c r="AC48" i="84"/>
  <c r="AC45" i="84"/>
  <c r="AC40" i="84"/>
  <c r="AF48" i="84"/>
  <c r="AC41" i="84"/>
  <c r="AI3" i="84"/>
  <c r="AC46" i="84"/>
  <c r="AC47" i="84"/>
  <c r="AC49" i="84"/>
  <c r="AC58" i="84"/>
  <c r="AC39" i="84"/>
  <c r="R18" i="84"/>
  <c r="AE18" i="84" s="1"/>
  <c r="AF18" i="84" s="1"/>
  <c r="R21" i="84"/>
  <c r="AE21" i="84" s="1"/>
  <c r="R33" i="84"/>
  <c r="AE33" i="84" s="1"/>
  <c r="R22" i="84"/>
  <c r="AE22" i="84" s="1"/>
  <c r="R34" i="84"/>
  <c r="AE34" i="84" s="1"/>
  <c r="R23" i="84"/>
  <c r="AE23" i="84" s="1"/>
  <c r="R35" i="84"/>
  <c r="AE35" i="84" s="1"/>
  <c r="R36" i="84"/>
  <c r="AE36" i="84" s="1"/>
  <c r="R24" i="84"/>
  <c r="AE24" i="84" s="1"/>
  <c r="R50" i="84"/>
  <c r="AE50" i="84" s="1"/>
  <c r="R55" i="84"/>
  <c r="AE55" i="84" s="1"/>
  <c r="R27" i="84"/>
  <c r="AE27" i="84" s="1"/>
  <c r="R54" i="84"/>
  <c r="AE54" i="84" s="1"/>
  <c r="R16" i="84"/>
  <c r="AE16" i="84" s="1"/>
  <c r="R28" i="84"/>
  <c r="AE28" i="84" s="1"/>
  <c r="R17" i="84"/>
  <c r="AE17" i="84" s="1"/>
  <c r="AF17" i="84" s="1"/>
  <c r="R29" i="84"/>
  <c r="AE29" i="84" s="1"/>
  <c r="AC15" i="84" l="1"/>
  <c r="AC18" i="84"/>
  <c r="AF28" i="84"/>
  <c r="AC28" i="84"/>
  <c r="AC54" i="84"/>
  <c r="AF54" i="84"/>
  <c r="AF34" i="84"/>
  <c r="AC34" i="84"/>
  <c r="AC17" i="84"/>
  <c r="AF24" i="84"/>
  <c r="AC24" i="84"/>
  <c r="AF27" i="84"/>
  <c r="AC27" i="84"/>
  <c r="AF22" i="84"/>
  <c r="AC22" i="84"/>
  <c r="AC23" i="84"/>
  <c r="AF23" i="84"/>
  <c r="AF55" i="84"/>
  <c r="AC55" i="84"/>
  <c r="AF33" i="84"/>
  <c r="AC33" i="84"/>
  <c r="AC29" i="84"/>
  <c r="AF29" i="84"/>
  <c r="AF36" i="84"/>
  <c r="AC36" i="84"/>
  <c r="AF35" i="84"/>
  <c r="AC35" i="84"/>
  <c r="AC16" i="84"/>
  <c r="AF16" i="84"/>
  <c r="AC50" i="84"/>
  <c r="AF50" i="84"/>
  <c r="AC21" i="84"/>
  <c r="AF21" i="84"/>
  <c r="S226" i="84"/>
  <c r="S225" i="84"/>
  <c r="S223" i="84"/>
  <c r="W139" i="84"/>
  <c r="W125" i="84"/>
  <c r="W299" i="84" l="1"/>
  <c r="W300" i="84"/>
  <c r="W298" i="84"/>
  <c r="W273" i="84"/>
  <c r="W189" i="84" l="1"/>
  <c r="W188" i="84"/>
  <c r="W187" i="84"/>
  <c r="W186" i="84"/>
  <c r="W185" i="84"/>
  <c r="W184" i="84"/>
  <c r="W183" i="84"/>
  <c r="W182" i="84"/>
  <c r="W181" i="84"/>
  <c r="G173" i="84" l="1"/>
  <c r="D5" i="84" s="1"/>
  <c r="R3" i="84"/>
  <c r="AG3" i="84" s="1"/>
  <c r="E14" i="23" l="1"/>
  <c r="E15" i="23"/>
  <c r="AN241" i="27"/>
  <c r="AQ1419" i="16" l="1"/>
  <c r="AP1419" i="16"/>
  <c r="F1418" i="81"/>
  <c r="O1411" i="16"/>
  <c r="H1418" i="80"/>
  <c r="AQ549" i="25"/>
  <c r="AP549" i="25"/>
  <c r="O541" i="25" l="1"/>
  <c r="F1836" i="81" l="1"/>
  <c r="AS1837" i="16"/>
  <c r="AR1837" i="16"/>
  <c r="AQ1837" i="16"/>
  <c r="AP1837" i="16"/>
  <c r="AL1837" i="16"/>
  <c r="Y1837" i="16"/>
  <c r="H1838" i="80"/>
  <c r="AS208" i="27"/>
  <c r="AR208" i="27"/>
  <c r="AQ208" i="27"/>
  <c r="AP208" i="27"/>
  <c r="AL208" i="27"/>
  <c r="U208" i="27"/>
  <c r="EL4" i="2" s="1"/>
  <c r="L178" i="18" l="1"/>
  <c r="F2462" i="81" l="1"/>
  <c r="F2459" i="81"/>
  <c r="F2455" i="81"/>
  <c r="F2453" i="81"/>
  <c r="F2440" i="81"/>
  <c r="F2437" i="81"/>
  <c r="F2435" i="81"/>
  <c r="F2429" i="81"/>
  <c r="F2428" i="81"/>
  <c r="F2427" i="81"/>
  <c r="F2426" i="81"/>
  <c r="F2425" i="81"/>
  <c r="F2424" i="81"/>
  <c r="F2423" i="81"/>
  <c r="F2418" i="81"/>
  <c r="F2417" i="81"/>
  <c r="F2416" i="81"/>
  <c r="F2415" i="81"/>
  <c r="F2414" i="81"/>
  <c r="F2413" i="81"/>
  <c r="F2410" i="81"/>
  <c r="F2411" i="81"/>
  <c r="F2409" i="81"/>
  <c r="F2394" i="81"/>
  <c r="F2392" i="81"/>
  <c r="F2391" i="81"/>
  <c r="F2390" i="81"/>
  <c r="F2389" i="81"/>
  <c r="F2388" i="81"/>
  <c r="F2386" i="81"/>
  <c r="F2385" i="81"/>
  <c r="F2383" i="81"/>
  <c r="F2376" i="81"/>
  <c r="F2372" i="81"/>
  <c r="F2370" i="81"/>
  <c r="F2364" i="81"/>
  <c r="F2361" i="81"/>
  <c r="F2360" i="81"/>
  <c r="F2358" i="81"/>
  <c r="F2356" i="81"/>
  <c r="F2355" i="81"/>
  <c r="F2353" i="81"/>
  <c r="F2350" i="81"/>
  <c r="F2348" i="81"/>
  <c r="F2345" i="81"/>
  <c r="F2343" i="81"/>
  <c r="F2336" i="81"/>
  <c r="F2337" i="81"/>
  <c r="F2335" i="81"/>
  <c r="F2333" i="81"/>
  <c r="F2332" i="81"/>
  <c r="F2330" i="81"/>
  <c r="F2327" i="81"/>
  <c r="F2324" i="81"/>
  <c r="F2301" i="81"/>
  <c r="F2302" i="81"/>
  <c r="F2300" i="81"/>
  <c r="F2298" i="81"/>
  <c r="F2296" i="81"/>
  <c r="F2294" i="81"/>
  <c r="F2293" i="81"/>
  <c r="F2291" i="81"/>
  <c r="F2289" i="81"/>
  <c r="F2288" i="81"/>
  <c r="F2286" i="81"/>
  <c r="F2284" i="81"/>
  <c r="F2280" i="81"/>
  <c r="F2273" i="81"/>
  <c r="F2274" i="81"/>
  <c r="F2272" i="81"/>
  <c r="F2270" i="81"/>
  <c r="F2269" i="81"/>
  <c r="F2267" i="81"/>
  <c r="F2265" i="81"/>
  <c r="F2264" i="81"/>
  <c r="F2263" i="81"/>
  <c r="F2259" i="81"/>
  <c r="F2258" i="81"/>
  <c r="F2257" i="81"/>
  <c r="F2247" i="81"/>
  <c r="F2242" i="81"/>
  <c r="F2240" i="81"/>
  <c r="F2239" i="81"/>
  <c r="F2236" i="81"/>
  <c r="F2231" i="81"/>
  <c r="F2227" i="81"/>
  <c r="F2219" i="81"/>
  <c r="F2214" i="81"/>
  <c r="F2209" i="81"/>
  <c r="F2204" i="81"/>
  <c r="F2203" i="81"/>
  <c r="F2197" i="81"/>
  <c r="F2193" i="81"/>
  <c r="F2189" i="81"/>
  <c r="F2187" i="81"/>
  <c r="F2184" i="81"/>
  <c r="F2181" i="81"/>
  <c r="F2179" i="81"/>
  <c r="F2175" i="81"/>
  <c r="F2153" i="81"/>
  <c r="F2151" i="81"/>
  <c r="F2103" i="81"/>
  <c r="F2100" i="81"/>
  <c r="F2097" i="81"/>
  <c r="F2095" i="81"/>
  <c r="F2084" i="81"/>
  <c r="F2080" i="81"/>
  <c r="F2077" i="81"/>
  <c r="F2075" i="81"/>
  <c r="F2073" i="81"/>
  <c r="F2070" i="81"/>
  <c r="F2068" i="81"/>
  <c r="F2062" i="81"/>
  <c r="F2061" i="81"/>
  <c r="F2059" i="81"/>
  <c r="F2055" i="81"/>
  <c r="F2053" i="81"/>
  <c r="F2051" i="81"/>
  <c r="F2049" i="81"/>
  <c r="F2043" i="81"/>
  <c r="F2041" i="81"/>
  <c r="F2038" i="81"/>
  <c r="F2037" i="81"/>
  <c r="F2033" i="81"/>
  <c r="F2029" i="81"/>
  <c r="F2024" i="81"/>
  <c r="F2020" i="81"/>
  <c r="F2019" i="81"/>
  <c r="F2014" i="81"/>
  <c r="F2005" i="81"/>
  <c r="F2000" i="81"/>
  <c r="F1998" i="81"/>
  <c r="F1997" i="81"/>
  <c r="F1995" i="81"/>
  <c r="F1984" i="81"/>
  <c r="F1981" i="81"/>
  <c r="F1980" i="81"/>
  <c r="F1970" i="81"/>
  <c r="F1961" i="81"/>
  <c r="F1958" i="81"/>
  <c r="F1956" i="81"/>
  <c r="F1945" i="81"/>
  <c r="F1944" i="81"/>
  <c r="F1943" i="81"/>
  <c r="F1942" i="81"/>
  <c r="F1937" i="81"/>
  <c r="F1933" i="81"/>
  <c r="F1927" i="81"/>
  <c r="F1925" i="81"/>
  <c r="F1923" i="81"/>
  <c r="F1920" i="81"/>
  <c r="F1918" i="81"/>
  <c r="F1916" i="81"/>
  <c r="F1913" i="81"/>
  <c r="F1911" i="81"/>
  <c r="F1908" i="81"/>
  <c r="F1902" i="81"/>
  <c r="F1899" i="81"/>
  <c r="F1894" i="81"/>
  <c r="F1891" i="81"/>
  <c r="F1888" i="81"/>
  <c r="F1883" i="81"/>
  <c r="F1877" i="81"/>
  <c r="F1861" i="81"/>
  <c r="F1859" i="81"/>
  <c r="F1856" i="81"/>
  <c r="F1851" i="81"/>
  <c r="F1849" i="81"/>
  <c r="F1847" i="81"/>
  <c r="F1845" i="81"/>
  <c r="F1839" i="81"/>
  <c r="F1831" i="81"/>
  <c r="F1823" i="81"/>
  <c r="F1820" i="81"/>
  <c r="F1819" i="81"/>
  <c r="F1817" i="81"/>
  <c r="F1803" i="81"/>
  <c r="F1799" i="81"/>
  <c r="F1797" i="81"/>
  <c r="F1796" i="81"/>
  <c r="F1794" i="81"/>
  <c r="F1792" i="81"/>
  <c r="F1786" i="81"/>
  <c r="F1784" i="81"/>
  <c r="F1778" i="81"/>
  <c r="F1779" i="81"/>
  <c r="F1777" i="81"/>
  <c r="F1773" i="81"/>
  <c r="F1771" i="81"/>
  <c r="F1768" i="81"/>
  <c r="F1766" i="81"/>
  <c r="F1762" i="81"/>
  <c r="F1759" i="81"/>
  <c r="F1752" i="81"/>
  <c r="F1745" i="81"/>
  <c r="F1740" i="81"/>
  <c r="F1730" i="81"/>
  <c r="F1728" i="81"/>
  <c r="F1725" i="81"/>
  <c r="F1720" i="81"/>
  <c r="F1708" i="81"/>
  <c r="F1703" i="81"/>
  <c r="F1701" i="81"/>
  <c r="F1694" i="81"/>
  <c r="F1692" i="81"/>
  <c r="F1684" i="81"/>
  <c r="F1683" i="81"/>
  <c r="F1678" i="81"/>
  <c r="F1649" i="81"/>
  <c r="F1641" i="81"/>
  <c r="F1636" i="81"/>
  <c r="F1635" i="81"/>
  <c r="F1630" i="81"/>
  <c r="F1626" i="81"/>
  <c r="F1621" i="81"/>
  <c r="F1617" i="81"/>
  <c r="F1615" i="81"/>
  <c r="F1610" i="81"/>
  <c r="F1605" i="81"/>
  <c r="F1602" i="81"/>
  <c r="F1599" i="81"/>
  <c r="F1598" i="81"/>
  <c r="F1594" i="81"/>
  <c r="F1584" i="81"/>
  <c r="F1582" i="81"/>
  <c r="F1580" i="81"/>
  <c r="F1577" i="81"/>
  <c r="F1575" i="81"/>
  <c r="F1573" i="81"/>
  <c r="F1570" i="81"/>
  <c r="F1569" i="81"/>
  <c r="F1568" i="81"/>
  <c r="F1567" i="81"/>
  <c r="F1566" i="81"/>
  <c r="F1565" i="81"/>
  <c r="F1564" i="81"/>
  <c r="F1563" i="81"/>
  <c r="F1548" i="81"/>
  <c r="F1543" i="81"/>
  <c r="F1540" i="81"/>
  <c r="F1538" i="81"/>
  <c r="F1537" i="81"/>
  <c r="F1536" i="81"/>
  <c r="F1535" i="81"/>
  <c r="F1528" i="81"/>
  <c r="F1526" i="81"/>
  <c r="F1524" i="81"/>
  <c r="F1514" i="81"/>
  <c r="F1512" i="81"/>
  <c r="F1506" i="81"/>
  <c r="F1503" i="81"/>
  <c r="F1501" i="81"/>
  <c r="F1495" i="81"/>
  <c r="F1494" i="81"/>
  <c r="F1492" i="81"/>
  <c r="F1477" i="81"/>
  <c r="F1475" i="81"/>
  <c r="F1466" i="81"/>
  <c r="F1464" i="81"/>
  <c r="F1461" i="81"/>
  <c r="F1456" i="81"/>
  <c r="F1455" i="81"/>
  <c r="F1453" i="81"/>
  <c r="F1450" i="81"/>
  <c r="F1447" i="81"/>
  <c r="F1442" i="81"/>
  <c r="F1437" i="81"/>
  <c r="F1433" i="81"/>
  <c r="F1430" i="81"/>
  <c r="F1426" i="81"/>
  <c r="F1416" i="81"/>
  <c r="F1386" i="81"/>
  <c r="F1384" i="81"/>
  <c r="F1382" i="81"/>
  <c r="F1380" i="81"/>
  <c r="F1375" i="81"/>
  <c r="F1373" i="81"/>
  <c r="F1370" i="81"/>
  <c r="F1368" i="81"/>
  <c r="F1367" i="81"/>
  <c r="F1366" i="81"/>
  <c r="F1364" i="81"/>
  <c r="F1356" i="81"/>
  <c r="F1329" i="81"/>
  <c r="F1325" i="81"/>
  <c r="F1326" i="81"/>
  <c r="F1324" i="81"/>
  <c r="F1321" i="81"/>
  <c r="F1319" i="81"/>
  <c r="F1317" i="81"/>
  <c r="F1300" i="81"/>
  <c r="F1298" i="81"/>
  <c r="F1296" i="81"/>
  <c r="F1294" i="81"/>
  <c r="F1292" i="81"/>
  <c r="F1291" i="81"/>
  <c r="F1271" i="81"/>
  <c r="F1269" i="81"/>
  <c r="F1252" i="81"/>
  <c r="F1250" i="81"/>
  <c r="F1244" i="81"/>
  <c r="F1233" i="81"/>
  <c r="F1231" i="81"/>
  <c r="F1229" i="81"/>
  <c r="F1228" i="81"/>
  <c r="F1225" i="81"/>
  <c r="F1223" i="81"/>
  <c r="F1217" i="81"/>
  <c r="F1212" i="81"/>
  <c r="F1210" i="81"/>
  <c r="F1205" i="81"/>
  <c r="F1200" i="81"/>
  <c r="F1199" i="81"/>
  <c r="F1197" i="81"/>
  <c r="F1192" i="81"/>
  <c r="F1187" i="81"/>
  <c r="F1185" i="81"/>
  <c r="F1180" i="81"/>
  <c r="F1174" i="81"/>
  <c r="F1169" i="81"/>
  <c r="F1166" i="81"/>
  <c r="F1160" i="81"/>
  <c r="F1153" i="81"/>
  <c r="F1147" i="81"/>
  <c r="F1140" i="81"/>
  <c r="F1129" i="81"/>
  <c r="F1121" i="81"/>
  <c r="F1113" i="81"/>
  <c r="F1105" i="81"/>
  <c r="F1098" i="81"/>
  <c r="F1097" i="81"/>
  <c r="F1091" i="81"/>
  <c r="F1089" i="81"/>
  <c r="F1083" i="81"/>
  <c r="F1080" i="81"/>
  <c r="F1065" i="81"/>
  <c r="F1054" i="81"/>
  <c r="F1048" i="81"/>
  <c r="F1042" i="81"/>
  <c r="F1041" i="81"/>
  <c r="F1039" i="81"/>
  <c r="F1029" i="81"/>
  <c r="F1019" i="81"/>
  <c r="F993" i="81"/>
  <c r="F990" i="81"/>
  <c r="F977" i="81"/>
  <c r="F974" i="81"/>
  <c r="F969" i="81"/>
  <c r="F968" i="81"/>
  <c r="F967" i="81"/>
  <c r="F966" i="81"/>
  <c r="F965" i="81"/>
  <c r="F964" i="81"/>
  <c r="F963" i="81"/>
  <c r="F962" i="81"/>
  <c r="F961" i="81"/>
  <c r="F960" i="81"/>
  <c r="F959" i="81"/>
  <c r="F958" i="81"/>
  <c r="F957" i="81"/>
  <c r="F954" i="81"/>
  <c r="F950" i="81"/>
  <c r="F949" i="81"/>
  <c r="F946" i="81"/>
  <c r="F940" i="81"/>
  <c r="F937" i="81"/>
  <c r="F932" i="81"/>
  <c r="F928" i="81"/>
  <c r="F926" i="81"/>
  <c r="F925" i="81"/>
  <c r="F924" i="81"/>
  <c r="F923" i="81"/>
  <c r="F920" i="81"/>
  <c r="F921" i="81"/>
  <c r="F919" i="81"/>
  <c r="F916" i="81"/>
  <c r="F914" i="81"/>
  <c r="F913" i="81"/>
  <c r="F911" i="81"/>
  <c r="F910" i="81"/>
  <c r="F897" i="81"/>
  <c r="F881" i="81"/>
  <c r="F863" i="81"/>
  <c r="F859" i="81"/>
  <c r="F857" i="81"/>
  <c r="F853" i="81"/>
  <c r="F852" i="81"/>
  <c r="F851" i="81"/>
  <c r="F849" i="81"/>
  <c r="F847" i="81"/>
  <c r="F843" i="81"/>
  <c r="F838" i="81"/>
  <c r="F834" i="81"/>
  <c r="F832" i="81"/>
  <c r="F830" i="81"/>
  <c r="F828" i="81"/>
  <c r="F826" i="81"/>
  <c r="F824" i="81"/>
  <c r="F823" i="81"/>
  <c r="F812" i="81"/>
  <c r="F806" i="81"/>
  <c r="F795" i="81"/>
  <c r="F783" i="81"/>
  <c r="F777" i="81"/>
  <c r="F771" i="81"/>
  <c r="F764" i="81"/>
  <c r="F758" i="81"/>
  <c r="F751" i="81"/>
  <c r="F743" i="81"/>
  <c r="F735" i="81"/>
  <c r="F726" i="81"/>
  <c r="F709" i="81"/>
  <c r="F707" i="81"/>
  <c r="F696" i="81"/>
  <c r="F693" i="81"/>
  <c r="F687" i="81"/>
  <c r="F682" i="81"/>
  <c r="F673" i="81"/>
  <c r="F671" i="81"/>
  <c r="F670" i="81"/>
  <c r="F668" i="81"/>
  <c r="F667" i="81"/>
  <c r="F643" i="81"/>
  <c r="F642" i="81"/>
  <c r="F641" i="81"/>
  <c r="F640" i="81"/>
  <c r="F639" i="81"/>
  <c r="F638" i="81"/>
  <c r="F637" i="81"/>
  <c r="F636" i="81"/>
  <c r="F631" i="81"/>
  <c r="F630" i="81"/>
  <c r="F629" i="81"/>
  <c r="F628" i="81"/>
  <c r="F627" i="81"/>
  <c r="F626" i="81"/>
  <c r="F625" i="81"/>
  <c r="F624" i="81"/>
  <c r="F623" i="81"/>
  <c r="F610" i="81"/>
  <c r="F608" i="81"/>
  <c r="F595" i="81"/>
  <c r="F592" i="81"/>
  <c r="F589" i="81"/>
  <c r="F587" i="81"/>
  <c r="F585" i="81"/>
  <c r="F583" i="81"/>
  <c r="F578" i="81"/>
  <c r="F571" i="81"/>
  <c r="F565" i="81"/>
  <c r="F561" i="81"/>
  <c r="F559" i="81"/>
  <c r="F554" i="81"/>
  <c r="F550" i="81"/>
  <c r="F547" i="81"/>
  <c r="F546" i="81"/>
  <c r="F544" i="81"/>
  <c r="F536" i="81"/>
  <c r="F537" i="81"/>
  <c r="F535" i="81"/>
  <c r="F533" i="81"/>
  <c r="F527" i="81"/>
  <c r="F524" i="81"/>
  <c r="F522" i="81"/>
  <c r="F510" i="81"/>
  <c r="F508" i="81"/>
  <c r="F506" i="81"/>
  <c r="F500" i="81"/>
  <c r="F496" i="81"/>
  <c r="F495" i="81"/>
  <c r="F492" i="81"/>
  <c r="F482" i="81"/>
  <c r="F474" i="81"/>
  <c r="F470" i="81"/>
  <c r="F468" i="81"/>
  <c r="F466" i="81"/>
  <c r="F463" i="81"/>
  <c r="F461" i="81"/>
  <c r="F456" i="81"/>
  <c r="F452" i="81"/>
  <c r="F448" i="81"/>
  <c r="F442" i="81"/>
  <c r="F440" i="81"/>
  <c r="F439" i="81"/>
  <c r="F436" i="81"/>
  <c r="F434" i="81"/>
  <c r="F430" i="81"/>
  <c r="F428" i="81"/>
  <c r="F422" i="81"/>
  <c r="F420" i="81"/>
  <c r="F418" i="81"/>
  <c r="F417" i="81"/>
  <c r="F413" i="81"/>
  <c r="F410" i="81"/>
  <c r="F397" i="81"/>
  <c r="F390" i="81"/>
  <c r="F388" i="81"/>
  <c r="F384" i="81"/>
  <c r="F383" i="81"/>
  <c r="F382" i="81"/>
  <c r="F373" i="81"/>
  <c r="F372" i="81"/>
  <c r="F371" i="81"/>
  <c r="F370" i="81"/>
  <c r="F369" i="81"/>
  <c r="F363" i="81"/>
  <c r="F362" i="81"/>
  <c r="F361" i="81"/>
  <c r="F360" i="81"/>
  <c r="F359" i="81"/>
  <c r="F358" i="81"/>
  <c r="F354" i="81"/>
  <c r="F351" i="81"/>
  <c r="F348" i="81"/>
  <c r="F324" i="81"/>
  <c r="F322" i="81"/>
  <c r="F320" i="81"/>
  <c r="F315" i="81"/>
  <c r="F314" i="81"/>
  <c r="F311" i="81"/>
  <c r="F308" i="81"/>
  <c r="F304" i="81"/>
  <c r="F293" i="81"/>
  <c r="F291" i="81"/>
  <c r="F290" i="81"/>
  <c r="F287" i="81"/>
  <c r="F285" i="81"/>
  <c r="F281" i="81"/>
  <c r="F275" i="81"/>
  <c r="F271" i="81"/>
  <c r="F270" i="81"/>
  <c r="F266" i="81"/>
  <c r="F263" i="81"/>
  <c r="F256" i="81"/>
  <c r="F254" i="81"/>
  <c r="F252" i="81"/>
  <c r="F245" i="81"/>
  <c r="F243" i="81"/>
  <c r="F242" i="81"/>
  <c r="F241" i="81"/>
  <c r="F240" i="81"/>
  <c r="F239" i="81"/>
  <c r="F238" i="81"/>
  <c r="F236" i="81"/>
  <c r="F233" i="81"/>
  <c r="F229" i="81"/>
  <c r="F227" i="81"/>
  <c r="F225" i="81"/>
  <c r="F224" i="81"/>
  <c r="F222" i="81"/>
  <c r="F217" i="81"/>
  <c r="F215" i="81"/>
  <c r="F214" i="81"/>
  <c r="F207" i="81"/>
  <c r="F200" i="81"/>
  <c r="F197" i="81"/>
  <c r="F195" i="81"/>
  <c r="F192" i="81"/>
  <c r="F189" i="81"/>
  <c r="F190" i="81"/>
  <c r="F188" i="81"/>
  <c r="F184" i="81"/>
  <c r="F182" i="81"/>
  <c r="F180" i="81"/>
  <c r="F177" i="81"/>
  <c r="F175" i="81"/>
  <c r="F170" i="81"/>
  <c r="F169" i="81"/>
  <c r="F164" i="81"/>
  <c r="F161" i="81"/>
  <c r="F159" i="81"/>
  <c r="F156" i="81"/>
  <c r="F154" i="81"/>
  <c r="F148" i="81"/>
  <c r="F146" i="81"/>
  <c r="F141" i="81"/>
  <c r="F139" i="81"/>
  <c r="F134" i="81"/>
  <c r="F127" i="81"/>
  <c r="F123" i="81"/>
  <c r="F120" i="81"/>
  <c r="F112" i="81"/>
  <c r="F111" i="81"/>
  <c r="F110" i="81"/>
  <c r="F108" i="81"/>
  <c r="F107" i="81"/>
  <c r="F103" i="81"/>
  <c r="F99" i="81"/>
  <c r="F97" i="81"/>
  <c r="F92" i="81"/>
  <c r="F90" i="81"/>
  <c r="F89" i="81"/>
  <c r="F88" i="81"/>
  <c r="F82" i="81"/>
  <c r="F80" i="81"/>
  <c r="F78" i="81"/>
  <c r="F76" i="81"/>
  <c r="F74" i="81"/>
  <c r="F72" i="81"/>
  <c r="F70" i="81"/>
  <c r="F68" i="81"/>
  <c r="F57" i="81"/>
  <c r="F54" i="81"/>
  <c r="F51" i="81"/>
  <c r="F49" i="81"/>
  <c r="F44" i="81"/>
  <c r="F41" i="81"/>
  <c r="F36" i="81"/>
  <c r="F26" i="81"/>
  <c r="F24" i="81"/>
  <c r="F22" i="81"/>
  <c r="F20" i="81"/>
  <c r="F17" i="81"/>
  <c r="F16" i="81"/>
  <c r="F15" i="81"/>
  <c r="F13" i="81"/>
  <c r="B891" i="80" l="1"/>
  <c r="B887" i="80"/>
  <c r="B877" i="80"/>
  <c r="B876" i="80"/>
  <c r="B875" i="80"/>
  <c r="B874" i="80"/>
  <c r="B873" i="80"/>
  <c r="B872" i="80"/>
  <c r="B871" i="80"/>
  <c r="B870" i="80"/>
  <c r="B869" i="80"/>
  <c r="B868" i="80"/>
  <c r="B867" i="80"/>
  <c r="B866" i="80"/>
  <c r="B865" i="80"/>
  <c r="B864" i="80"/>
  <c r="B863" i="80"/>
  <c r="B862" i="80"/>
  <c r="B861" i="80"/>
  <c r="B860" i="80"/>
  <c r="B859" i="80"/>
  <c r="B858" i="80"/>
  <c r="B857" i="80"/>
  <c r="B856" i="80"/>
  <c r="B855" i="80"/>
  <c r="B854" i="80"/>
  <c r="B853" i="80"/>
  <c r="B852" i="80"/>
  <c r="B851" i="80"/>
  <c r="B850" i="80"/>
  <c r="B849" i="80"/>
  <c r="B848" i="80"/>
  <c r="B847" i="80"/>
  <c r="B846" i="80"/>
  <c r="B845" i="80"/>
  <c r="B844" i="80"/>
  <c r="B843" i="80"/>
  <c r="B842" i="80"/>
  <c r="B841" i="80"/>
  <c r="B840" i="80"/>
  <c r="B839" i="80"/>
  <c r="B838" i="80"/>
  <c r="B837" i="80"/>
  <c r="B836" i="80"/>
  <c r="B835" i="80"/>
  <c r="B834" i="80"/>
  <c r="B833" i="80"/>
  <c r="B832" i="80"/>
  <c r="B831" i="80"/>
  <c r="B830" i="80"/>
  <c r="B829" i="80"/>
  <c r="B828" i="80"/>
  <c r="B827" i="80"/>
  <c r="B826" i="80"/>
  <c r="B825" i="80"/>
  <c r="B824" i="80"/>
  <c r="B823" i="80"/>
  <c r="B822" i="80"/>
  <c r="B821" i="80"/>
  <c r="B820" i="80"/>
  <c r="B819" i="80"/>
  <c r="B818" i="80"/>
  <c r="B817" i="80"/>
  <c r="B816" i="80"/>
  <c r="B815" i="80"/>
  <c r="B814" i="80"/>
  <c r="B813" i="80"/>
  <c r="B812" i="80"/>
  <c r="B811" i="80"/>
  <c r="B810" i="80"/>
  <c r="B809" i="80"/>
  <c r="B808" i="80"/>
  <c r="B807" i="80"/>
  <c r="B806" i="80"/>
  <c r="B805" i="80"/>
  <c r="B804" i="80"/>
  <c r="B803" i="80"/>
  <c r="B802" i="80"/>
  <c r="B801" i="80"/>
  <c r="B800" i="80"/>
  <c r="B799" i="80"/>
  <c r="B798" i="80"/>
  <c r="B797" i="80"/>
  <c r="B796" i="80"/>
  <c r="B795" i="80"/>
  <c r="B794" i="80"/>
  <c r="B793" i="80"/>
  <c r="B792" i="80"/>
  <c r="B791" i="80"/>
  <c r="B790" i="80"/>
  <c r="B789" i="80"/>
  <c r="B788" i="80"/>
  <c r="B787" i="80"/>
  <c r="B786" i="80"/>
  <c r="B785" i="80"/>
  <c r="B784" i="80"/>
  <c r="B783" i="80"/>
  <c r="B782" i="80"/>
  <c r="B781" i="80"/>
  <c r="B780" i="80"/>
  <c r="B779" i="80"/>
  <c r="B778" i="80"/>
  <c r="B777" i="80"/>
  <c r="B776" i="80"/>
  <c r="B775" i="80"/>
  <c r="B774" i="80"/>
  <c r="B773" i="80"/>
  <c r="B772" i="80"/>
  <c r="B771" i="80"/>
  <c r="B770" i="80"/>
  <c r="B769" i="80"/>
  <c r="B768" i="80"/>
  <c r="B767" i="80"/>
  <c r="B766" i="80"/>
  <c r="B765" i="80"/>
  <c r="B764" i="80"/>
  <c r="B763" i="80"/>
  <c r="B762" i="80"/>
  <c r="B761" i="80"/>
  <c r="B760" i="80"/>
  <c r="B759" i="80"/>
  <c r="B758" i="80"/>
  <c r="B757" i="80"/>
  <c r="B756" i="80"/>
  <c r="B755" i="80"/>
  <c r="B754" i="80"/>
  <c r="B753" i="80"/>
  <c r="B752" i="80"/>
  <c r="B751" i="80"/>
  <c r="B750" i="80"/>
  <c r="B749" i="80"/>
  <c r="B748" i="80"/>
  <c r="B747" i="80"/>
  <c r="B746" i="80"/>
  <c r="B745" i="80"/>
  <c r="B744" i="80"/>
  <c r="B743" i="80"/>
  <c r="B742" i="80"/>
  <c r="B741" i="80"/>
  <c r="B740" i="80"/>
  <c r="B739" i="80"/>
  <c r="B738" i="80"/>
  <c r="B737" i="80"/>
  <c r="B736" i="80"/>
  <c r="B735" i="80"/>
  <c r="B734" i="80"/>
  <c r="B733" i="80"/>
  <c r="B732" i="80"/>
  <c r="B731" i="80"/>
  <c r="B730" i="80"/>
  <c r="B729" i="80"/>
  <c r="B728" i="80"/>
  <c r="B727" i="80"/>
  <c r="B726" i="80"/>
  <c r="B725" i="80"/>
  <c r="B724" i="80"/>
  <c r="B723" i="80"/>
  <c r="B722" i="80"/>
  <c r="B721" i="80"/>
  <c r="B720" i="80"/>
  <c r="B719" i="80"/>
  <c r="B718" i="80"/>
  <c r="B717" i="80"/>
  <c r="B716" i="80"/>
  <c r="B715" i="80"/>
  <c r="B714" i="80"/>
  <c r="B713" i="80"/>
  <c r="B712" i="80"/>
  <c r="B711" i="80"/>
  <c r="B710" i="80"/>
  <c r="B709" i="80"/>
  <c r="B708" i="80"/>
  <c r="B707" i="80"/>
  <c r="B706" i="80"/>
  <c r="B705" i="80"/>
  <c r="B704" i="80"/>
  <c r="B703" i="80"/>
  <c r="B702" i="80"/>
  <c r="B701" i="80"/>
  <c r="B700" i="80"/>
  <c r="B699" i="80"/>
  <c r="B698" i="80"/>
  <c r="B697" i="80"/>
  <c r="B696" i="80"/>
  <c r="B695" i="80"/>
  <c r="B694" i="80"/>
  <c r="B693" i="80"/>
  <c r="B692" i="80"/>
  <c r="B691" i="80"/>
  <c r="B690" i="80"/>
  <c r="B689" i="80"/>
  <c r="B688" i="80"/>
  <c r="B687" i="80"/>
  <c r="B686" i="80"/>
  <c r="B685" i="80"/>
  <c r="B684" i="80"/>
  <c r="B683" i="80"/>
  <c r="B682" i="80"/>
  <c r="B681" i="80"/>
  <c r="B680" i="80"/>
  <c r="B679" i="80"/>
  <c r="B678" i="80"/>
  <c r="B677" i="80"/>
  <c r="B676" i="80"/>
  <c r="B675" i="80"/>
  <c r="B674" i="80"/>
  <c r="B673" i="80"/>
  <c r="B672" i="80"/>
  <c r="B671" i="80"/>
  <c r="B670" i="80"/>
  <c r="B669" i="80"/>
  <c r="B668" i="80"/>
  <c r="B667" i="80"/>
  <c r="B666" i="80"/>
  <c r="B665" i="80"/>
  <c r="B664" i="80"/>
  <c r="B663" i="80"/>
  <c r="B662" i="80"/>
  <c r="B661" i="80"/>
  <c r="B660" i="80"/>
  <c r="B659" i="80"/>
  <c r="B658" i="80"/>
  <c r="B657" i="80"/>
  <c r="B656" i="80"/>
  <c r="B655" i="80"/>
  <c r="B654" i="80"/>
  <c r="B653" i="80"/>
  <c r="B652" i="80"/>
  <c r="B651" i="80"/>
  <c r="B650" i="80"/>
  <c r="B649" i="80"/>
  <c r="B648" i="80"/>
  <c r="B647" i="80"/>
  <c r="B646" i="80"/>
  <c r="B645" i="80"/>
  <c r="B644" i="80"/>
  <c r="B643" i="80"/>
  <c r="B642" i="80"/>
  <c r="B641" i="80"/>
  <c r="B640" i="80"/>
  <c r="B639" i="80"/>
  <c r="B638" i="80"/>
  <c r="B637" i="80"/>
  <c r="B636" i="80"/>
  <c r="B635" i="80"/>
  <c r="B634" i="80"/>
  <c r="B633" i="80"/>
  <c r="B632" i="80"/>
  <c r="B631" i="80"/>
  <c r="B630" i="80"/>
  <c r="B629" i="80"/>
  <c r="B628" i="80"/>
  <c r="B627" i="80"/>
  <c r="B626" i="80"/>
  <c r="B625" i="80"/>
  <c r="B624" i="80"/>
  <c r="B623" i="80"/>
  <c r="B622" i="80"/>
  <c r="B621" i="80"/>
  <c r="B620" i="80"/>
  <c r="B619" i="80"/>
  <c r="B618" i="80"/>
  <c r="B617" i="80"/>
  <c r="B616" i="80"/>
  <c r="B615" i="80"/>
  <c r="B614" i="80"/>
  <c r="B613" i="80"/>
  <c r="B612" i="80"/>
  <c r="B611" i="80"/>
  <c r="B610" i="80"/>
  <c r="B609" i="80"/>
  <c r="B608" i="80"/>
  <c r="B607" i="80"/>
  <c r="B606" i="80"/>
  <c r="B605" i="80"/>
  <c r="B604" i="80"/>
  <c r="B603" i="80"/>
  <c r="B602" i="80"/>
  <c r="B601" i="80"/>
  <c r="B600" i="80"/>
  <c r="B599" i="80"/>
  <c r="B598" i="80"/>
  <c r="B597" i="80"/>
  <c r="B596" i="80"/>
  <c r="B595" i="80"/>
  <c r="B594" i="80"/>
  <c r="B593" i="80"/>
  <c r="B592" i="80"/>
  <c r="B591" i="80"/>
  <c r="B590" i="80"/>
  <c r="B589" i="80"/>
  <c r="B588" i="80"/>
  <c r="B587" i="80"/>
  <c r="B586" i="80"/>
  <c r="B585" i="80"/>
  <c r="B584" i="80"/>
  <c r="B583" i="80"/>
  <c r="B582" i="80"/>
  <c r="B581" i="80"/>
  <c r="B580" i="80"/>
  <c r="B579" i="80"/>
  <c r="B578" i="80"/>
  <c r="B577" i="80"/>
  <c r="B576" i="80"/>
  <c r="B575" i="80"/>
  <c r="B574" i="80"/>
  <c r="B573" i="80"/>
  <c r="B572" i="80"/>
  <c r="B571" i="80"/>
  <c r="B570" i="80"/>
  <c r="B569" i="80"/>
  <c r="B568" i="80"/>
  <c r="B567" i="80"/>
  <c r="B566" i="80"/>
  <c r="B565" i="80"/>
  <c r="B564" i="80"/>
  <c r="B563" i="80"/>
  <c r="B562" i="80"/>
  <c r="B561" i="80"/>
  <c r="B560" i="80"/>
  <c r="B559" i="80"/>
  <c r="B558" i="80"/>
  <c r="B557" i="80"/>
  <c r="B556" i="80"/>
  <c r="B555" i="80"/>
  <c r="B554" i="80"/>
  <c r="B553" i="80"/>
  <c r="B552" i="80"/>
  <c r="B551" i="80"/>
  <c r="B550" i="80"/>
  <c r="B549" i="80"/>
  <c r="B548" i="80"/>
  <c r="B547" i="80"/>
  <c r="B546" i="80"/>
  <c r="B545" i="80"/>
  <c r="B544" i="80"/>
  <c r="B543" i="80"/>
  <c r="B542" i="80"/>
  <c r="B541" i="80"/>
  <c r="B540" i="80"/>
  <c r="B539" i="80"/>
  <c r="B538" i="80"/>
  <c r="B537" i="80"/>
  <c r="B536" i="80"/>
  <c r="B535" i="80"/>
  <c r="B534" i="80"/>
  <c r="B533" i="80"/>
  <c r="B532" i="80"/>
  <c r="B531" i="80"/>
  <c r="B530" i="80"/>
  <c r="B529" i="80"/>
  <c r="B528" i="80"/>
  <c r="B527" i="80"/>
  <c r="B526" i="80"/>
  <c r="B525" i="80"/>
  <c r="B524" i="80"/>
  <c r="B523" i="80"/>
  <c r="B522" i="80"/>
  <c r="B521" i="80"/>
  <c r="B520" i="80"/>
  <c r="B519" i="80"/>
  <c r="B518" i="80"/>
  <c r="B517" i="80"/>
  <c r="B516" i="80"/>
  <c r="B515" i="80"/>
  <c r="B514" i="80"/>
  <c r="B513" i="80"/>
  <c r="B512" i="80"/>
  <c r="B511" i="80"/>
  <c r="B510" i="80"/>
  <c r="B509" i="80"/>
  <c r="B508" i="80"/>
  <c r="B507" i="80"/>
  <c r="B506" i="80"/>
  <c r="B505" i="80"/>
  <c r="B504" i="80"/>
  <c r="B503" i="80"/>
  <c r="B502" i="80"/>
  <c r="B501" i="80"/>
  <c r="B500" i="80"/>
  <c r="B499" i="80"/>
  <c r="B498" i="80"/>
  <c r="B497" i="80"/>
  <c r="B496" i="80"/>
  <c r="B495" i="80"/>
  <c r="B494" i="80"/>
  <c r="B493" i="80"/>
  <c r="B492" i="80"/>
  <c r="B491" i="80"/>
  <c r="B490" i="80"/>
  <c r="B489" i="80"/>
  <c r="B488" i="80"/>
  <c r="B487" i="80"/>
  <c r="B486" i="80"/>
  <c r="B485" i="80"/>
  <c r="B484" i="80"/>
  <c r="B483" i="80"/>
  <c r="B482" i="80"/>
  <c r="B481" i="80"/>
  <c r="B480" i="80"/>
  <c r="B479" i="80"/>
  <c r="B478" i="80"/>
  <c r="B477" i="80"/>
  <c r="B476" i="80"/>
  <c r="B475" i="80"/>
  <c r="B474" i="80"/>
  <c r="B473" i="80"/>
  <c r="B472" i="80"/>
  <c r="B471" i="80"/>
  <c r="B470" i="80"/>
  <c r="B469" i="80"/>
  <c r="B468" i="80"/>
  <c r="B467" i="80"/>
  <c r="B466" i="80"/>
  <c r="B465" i="80"/>
  <c r="B464" i="80"/>
  <c r="B463" i="80"/>
  <c r="B462" i="80"/>
  <c r="B461" i="80"/>
  <c r="B460" i="80"/>
  <c r="B459" i="80"/>
  <c r="B458" i="80"/>
  <c r="B457" i="80"/>
  <c r="B456" i="80"/>
  <c r="B455" i="80"/>
  <c r="B454" i="80"/>
  <c r="B453" i="80"/>
  <c r="B452" i="80"/>
  <c r="B451" i="80"/>
  <c r="B450" i="80"/>
  <c r="B449" i="80"/>
  <c r="B448" i="80"/>
  <c r="B447" i="80"/>
  <c r="B446" i="80"/>
  <c r="B445" i="80"/>
  <c r="B444" i="80"/>
  <c r="B443" i="80"/>
  <c r="B442" i="80"/>
  <c r="B441" i="80"/>
  <c r="B440" i="80"/>
  <c r="B439" i="80"/>
  <c r="B438" i="80"/>
  <c r="B437" i="80"/>
  <c r="B436" i="80"/>
  <c r="B435" i="80"/>
  <c r="B434" i="80"/>
  <c r="B433" i="80"/>
  <c r="B432" i="80"/>
  <c r="B431" i="80"/>
  <c r="B430" i="80"/>
  <c r="B429" i="80"/>
  <c r="B428" i="80"/>
  <c r="B427" i="80"/>
  <c r="B426" i="80"/>
  <c r="B425" i="80"/>
  <c r="B424" i="80"/>
  <c r="B423" i="80"/>
  <c r="B422" i="80"/>
  <c r="B421" i="80"/>
  <c r="B420" i="80"/>
  <c r="B419" i="80"/>
  <c r="B418" i="80"/>
  <c r="B417" i="80"/>
  <c r="B416" i="80"/>
  <c r="B415" i="80"/>
  <c r="B414" i="80"/>
  <c r="B413" i="80"/>
  <c r="B412" i="80"/>
  <c r="B411" i="80"/>
  <c r="B410" i="80"/>
  <c r="B409" i="80"/>
  <c r="B408" i="80"/>
  <c r="B407" i="80"/>
  <c r="B406" i="80"/>
  <c r="B405" i="80"/>
  <c r="B404" i="80"/>
  <c r="B403" i="80"/>
  <c r="B402" i="80"/>
  <c r="B401" i="80"/>
  <c r="B400" i="80"/>
  <c r="B399" i="80"/>
  <c r="B398" i="80"/>
  <c r="B397" i="80"/>
  <c r="B396" i="80"/>
  <c r="B395" i="80"/>
  <c r="B394" i="80"/>
  <c r="B393" i="80"/>
  <c r="B392" i="80"/>
  <c r="B391" i="80"/>
  <c r="B390" i="80"/>
  <c r="B389" i="80"/>
  <c r="B388" i="80"/>
  <c r="B387" i="80"/>
  <c r="B386" i="80"/>
  <c r="B385" i="80"/>
  <c r="B384" i="80"/>
  <c r="B383" i="80"/>
  <c r="B382" i="80"/>
  <c r="B381" i="80"/>
  <c r="B380" i="80"/>
  <c r="B379" i="80"/>
  <c r="B378" i="80"/>
  <c r="B377" i="80"/>
  <c r="B376" i="80"/>
  <c r="B375" i="80"/>
  <c r="B374" i="80"/>
  <c r="B373" i="80"/>
  <c r="B372" i="80"/>
  <c r="B371" i="80"/>
  <c r="B370" i="80"/>
  <c r="B369" i="80"/>
  <c r="B368" i="80"/>
  <c r="B367" i="80"/>
  <c r="B366" i="80"/>
  <c r="B365" i="80"/>
  <c r="B364" i="80"/>
  <c r="B363" i="80"/>
  <c r="B362" i="80"/>
  <c r="B361" i="80"/>
  <c r="B360" i="80"/>
  <c r="B359" i="80"/>
  <c r="B358" i="80"/>
  <c r="B357" i="80"/>
  <c r="B356" i="80"/>
  <c r="B355" i="80"/>
  <c r="B354" i="80"/>
  <c r="B353" i="80"/>
  <c r="B352" i="80"/>
  <c r="B351" i="80"/>
  <c r="B350" i="80"/>
  <c r="B349" i="80"/>
  <c r="B348" i="80"/>
  <c r="B347" i="80"/>
  <c r="B346" i="80"/>
  <c r="B345" i="80"/>
  <c r="B344" i="80"/>
  <c r="B343" i="80"/>
  <c r="B342" i="80"/>
  <c r="B341" i="80"/>
  <c r="B340" i="80"/>
  <c r="B339" i="80"/>
  <c r="B338" i="80"/>
  <c r="B337" i="80"/>
  <c r="B336" i="80"/>
  <c r="B335" i="80"/>
  <c r="B334" i="80"/>
  <c r="B333" i="80"/>
  <c r="B332" i="80"/>
  <c r="B331" i="80"/>
  <c r="B330" i="80"/>
  <c r="B329" i="80"/>
  <c r="B328" i="80"/>
  <c r="B327" i="80"/>
  <c r="C3105" i="80" l="1"/>
  <c r="C2471" i="80"/>
  <c r="C2483" i="80" l="1"/>
  <c r="C2521" i="80"/>
  <c r="C2561" i="80"/>
  <c r="C2619" i="80"/>
  <c r="C2657" i="80"/>
  <c r="C2700" i="80"/>
  <c r="C2738" i="80"/>
  <c r="C2776" i="80"/>
  <c r="C2821" i="80"/>
  <c r="C2872" i="80"/>
  <c r="C2920" i="80"/>
  <c r="C2993" i="80"/>
  <c r="C3091" i="80"/>
  <c r="C2484" i="80"/>
  <c r="C2545" i="80"/>
  <c r="C2583" i="80"/>
  <c r="C2643" i="80"/>
  <c r="C2664" i="80"/>
  <c r="C2719" i="80"/>
  <c r="C2762" i="80"/>
  <c r="C2823" i="80"/>
  <c r="C2873" i="80"/>
  <c r="C2946" i="80"/>
  <c r="C2994" i="80"/>
  <c r="C3092" i="80"/>
  <c r="C2488" i="80"/>
  <c r="C2546" i="80"/>
  <c r="C2584" i="80"/>
  <c r="C2644" i="80"/>
  <c r="C2703" i="80"/>
  <c r="C2763" i="80"/>
  <c r="C2826" i="80"/>
  <c r="C2922" i="80"/>
  <c r="C2506" i="80"/>
  <c r="C2544" i="80"/>
  <c r="C2581" i="80"/>
  <c r="C2602" i="80"/>
  <c r="C2640" i="80"/>
  <c r="C2680" i="80"/>
  <c r="C2717" i="80"/>
  <c r="C2755" i="80"/>
  <c r="C2800" i="80"/>
  <c r="C2847" i="80"/>
  <c r="C2895" i="80"/>
  <c r="C2945" i="80"/>
  <c r="C2968" i="80"/>
  <c r="C3018" i="80"/>
  <c r="C3041" i="80"/>
  <c r="C3066" i="80"/>
  <c r="C2507" i="80"/>
  <c r="C2603" i="80"/>
  <c r="C2701" i="80"/>
  <c r="C2801" i="80"/>
  <c r="C2921" i="80"/>
  <c r="C3042" i="80"/>
  <c r="C2508" i="80"/>
  <c r="C2607" i="80"/>
  <c r="C2682" i="80"/>
  <c r="C2740" i="80"/>
  <c r="C2802" i="80"/>
  <c r="C2849" i="80"/>
  <c r="C2899" i="80"/>
  <c r="C2947" i="80"/>
  <c r="C2972" i="80"/>
  <c r="C2995" i="80"/>
  <c r="C3020" i="80"/>
  <c r="C3045" i="80"/>
  <c r="C3068" i="80"/>
  <c r="C3093" i="80"/>
  <c r="C2472" i="80"/>
  <c r="C2492" i="80"/>
  <c r="C2509" i="80"/>
  <c r="C2530" i="80"/>
  <c r="C2547" i="80"/>
  <c r="C2570" i="80"/>
  <c r="C2591" i="80"/>
  <c r="C2608" i="80"/>
  <c r="C2628" i="80"/>
  <c r="C2645" i="80"/>
  <c r="C2666" i="80"/>
  <c r="C2689" i="80"/>
  <c r="C2704" i="80"/>
  <c r="C2727" i="80"/>
  <c r="C2744" i="80"/>
  <c r="C2764" i="80"/>
  <c r="C2785" i="80"/>
  <c r="C2810" i="80"/>
  <c r="C2827" i="80"/>
  <c r="C2850" i="80"/>
  <c r="C2875" i="80"/>
  <c r="C2900" i="80"/>
  <c r="C2923" i="80"/>
  <c r="C2948" i="80"/>
  <c r="C2973" i="80"/>
  <c r="C2996" i="80"/>
  <c r="C3021" i="80"/>
  <c r="C3047" i="80"/>
  <c r="C3069" i="80"/>
  <c r="C3095" i="80"/>
  <c r="C2473" i="80"/>
  <c r="C2493" i="80"/>
  <c r="C2511" i="80"/>
  <c r="C2533" i="80"/>
  <c r="C2554" i="80"/>
  <c r="C2571" i="80"/>
  <c r="C2592" i="80"/>
  <c r="C2609" i="80"/>
  <c r="C2629" i="80"/>
  <c r="C2652" i="80"/>
  <c r="C2667" i="80"/>
  <c r="C2690" i="80"/>
  <c r="C2707" i="80"/>
  <c r="C2728" i="80"/>
  <c r="C2748" i="80"/>
  <c r="C2765" i="80"/>
  <c r="C2786" i="80"/>
  <c r="C2811" i="80"/>
  <c r="C2835" i="80"/>
  <c r="C2858" i="80"/>
  <c r="C2883" i="80"/>
  <c r="C2908" i="80"/>
  <c r="C2931" i="80"/>
  <c r="C2956" i="80"/>
  <c r="C2981" i="80"/>
  <c r="C3004" i="80"/>
  <c r="C3029" i="80"/>
  <c r="C3055" i="80"/>
  <c r="C3077" i="80"/>
  <c r="C3103" i="80"/>
  <c r="C2474" i="80"/>
  <c r="C2497" i="80"/>
  <c r="C2517" i="80"/>
  <c r="C2535" i="80"/>
  <c r="C2555" i="80"/>
  <c r="C2572" i="80"/>
  <c r="C2593" i="80"/>
  <c r="C2616" i="80"/>
  <c r="C2631" i="80"/>
  <c r="C2653" i="80"/>
  <c r="C2671" i="80"/>
  <c r="C2691" i="80"/>
  <c r="C2712" i="80"/>
  <c r="C2729" i="80"/>
  <c r="C2749" i="80"/>
  <c r="C2767" i="80"/>
  <c r="C2789" i="80"/>
  <c r="C2812" i="80"/>
  <c r="C2836" i="80"/>
  <c r="C2859" i="80"/>
  <c r="C2884" i="80"/>
  <c r="C2909" i="80"/>
  <c r="C2932" i="80"/>
  <c r="C2957" i="80"/>
  <c r="C2983" i="80"/>
  <c r="C3005" i="80"/>
  <c r="C3031" i="80"/>
  <c r="C3056" i="80"/>
  <c r="C3079" i="80"/>
  <c r="C3104" i="80"/>
  <c r="C2481" i="80"/>
  <c r="C2498" i="80"/>
  <c r="C2519" i="80"/>
  <c r="C2536" i="80"/>
  <c r="C2556" i="80"/>
  <c r="C2579" i="80"/>
  <c r="C2594" i="80"/>
  <c r="C2617" i="80"/>
  <c r="C2634" i="80"/>
  <c r="C2655" i="80"/>
  <c r="C2675" i="80"/>
  <c r="C2692" i="80"/>
  <c r="C2713" i="80"/>
  <c r="C2730" i="80"/>
  <c r="C2753" i="80"/>
  <c r="C2773" i="80"/>
  <c r="C2791" i="80"/>
  <c r="C2813" i="80"/>
  <c r="C2837" i="80"/>
  <c r="C2863" i="80"/>
  <c r="C2885" i="80"/>
  <c r="C2911" i="80"/>
  <c r="C2936" i="80"/>
  <c r="C2959" i="80"/>
  <c r="C2984" i="80"/>
  <c r="C3009" i="80"/>
  <c r="C3032" i="80"/>
  <c r="C3057" i="80"/>
  <c r="C3082" i="80"/>
  <c r="C3118" i="80"/>
  <c r="C3117" i="80"/>
  <c r="C3108" i="80"/>
  <c r="C3099" i="80"/>
  <c r="C3090" i="80"/>
  <c r="C3081" i="80"/>
  <c r="C3072" i="80"/>
  <c r="C3063" i="80"/>
  <c r="C3053" i="80"/>
  <c r="C3044" i="80"/>
  <c r="C3035" i="80"/>
  <c r="C3026" i="80"/>
  <c r="C3017" i="80"/>
  <c r="C3008" i="80"/>
  <c r="C2999" i="80"/>
  <c r="C2989" i="80"/>
  <c r="C2980" i="80"/>
  <c r="C2971" i="80"/>
  <c r="C2962" i="80"/>
  <c r="C2953" i="80"/>
  <c r="C2944" i="80"/>
  <c r="C2935" i="80"/>
  <c r="C2925" i="80"/>
  <c r="C2916" i="80"/>
  <c r="C2907" i="80"/>
  <c r="C2898" i="80"/>
  <c r="C2889" i="80"/>
  <c r="C2880" i="80"/>
  <c r="C2871" i="80"/>
  <c r="C2861" i="80"/>
  <c r="C2852" i="80"/>
  <c r="C2843" i="80"/>
  <c r="C2834" i="80"/>
  <c r="C2825" i="80"/>
  <c r="C2816" i="80"/>
  <c r="C2807" i="80"/>
  <c r="C2797" i="80"/>
  <c r="C2788" i="80"/>
  <c r="C2779" i="80"/>
  <c r="C2770" i="80"/>
  <c r="C2761" i="80"/>
  <c r="C2752" i="80"/>
  <c r="C2743" i="80"/>
  <c r="C2733" i="80"/>
  <c r="C2724" i="80"/>
  <c r="C2715" i="80"/>
  <c r="C2706" i="80"/>
  <c r="C2697" i="80"/>
  <c r="C2688" i="80"/>
  <c r="C2679" i="80"/>
  <c r="C2669" i="80"/>
  <c r="C2660" i="80"/>
  <c r="C2651" i="80"/>
  <c r="C2642" i="80"/>
  <c r="C2633" i="80"/>
  <c r="C2624" i="80"/>
  <c r="C2615" i="80"/>
  <c r="C2605" i="80"/>
  <c r="C2596" i="80"/>
  <c r="C2587" i="80"/>
  <c r="C2578" i="80"/>
  <c r="C2569" i="80"/>
  <c r="C2560" i="80"/>
  <c r="C2551" i="80"/>
  <c r="C2541" i="80"/>
  <c r="C2532" i="80"/>
  <c r="C2523" i="80"/>
  <c r="C2514" i="80"/>
  <c r="C2505" i="80"/>
  <c r="C2496" i="80"/>
  <c r="C2487" i="80"/>
  <c r="C2477" i="80"/>
  <c r="C2577" i="80"/>
  <c r="C2568" i="80"/>
  <c r="C2559" i="80"/>
  <c r="C2549" i="80"/>
  <c r="C2540" i="80"/>
  <c r="C2531" i="80"/>
  <c r="C2522" i="80"/>
  <c r="C2513" i="80"/>
  <c r="C2504" i="80"/>
  <c r="C2495" i="80"/>
  <c r="C2485" i="80"/>
  <c r="C2476" i="80"/>
  <c r="C3115" i="80"/>
  <c r="C3106" i="80"/>
  <c r="C3116" i="80"/>
  <c r="C3107" i="80"/>
  <c r="C3098" i="80"/>
  <c r="C3089" i="80"/>
  <c r="C3080" i="80"/>
  <c r="C3071" i="80"/>
  <c r="C3061" i="80"/>
  <c r="C3052" i="80"/>
  <c r="C3043" i="80"/>
  <c r="C3034" i="80"/>
  <c r="C3025" i="80"/>
  <c r="C3016" i="80"/>
  <c r="C3007" i="80"/>
  <c r="C2997" i="80"/>
  <c r="C2988" i="80"/>
  <c r="C2979" i="80"/>
  <c r="C2970" i="80"/>
  <c r="C2961" i="80"/>
  <c r="C2952" i="80"/>
  <c r="C2943" i="80"/>
  <c r="C2933" i="80"/>
  <c r="C2924" i="80"/>
  <c r="C2915" i="80"/>
  <c r="C2906" i="80"/>
  <c r="C2897" i="80"/>
  <c r="C2888" i="80"/>
  <c r="C2879" i="80"/>
  <c r="C2869" i="80"/>
  <c r="C2860" i="80"/>
  <c r="C2851" i="80"/>
  <c r="C2842" i="80"/>
  <c r="C2833" i="80"/>
  <c r="C2824" i="80"/>
  <c r="C2815" i="80"/>
  <c r="C2805" i="80"/>
  <c r="C2796" i="80"/>
  <c r="C2787" i="80"/>
  <c r="C2778" i="80"/>
  <c r="C2769" i="80"/>
  <c r="C2760" i="80"/>
  <c r="C2751" i="80"/>
  <c r="C2741" i="80"/>
  <c r="C2732" i="80"/>
  <c r="C2723" i="80"/>
  <c r="C2714" i="80"/>
  <c r="C2705" i="80"/>
  <c r="C2696" i="80"/>
  <c r="C2687" i="80"/>
  <c r="C2677" i="80"/>
  <c r="C2668" i="80"/>
  <c r="C2659" i="80"/>
  <c r="C2650" i="80"/>
  <c r="C2641" i="80"/>
  <c r="C2632" i="80"/>
  <c r="C2623" i="80"/>
  <c r="C2613" i="80"/>
  <c r="C2604" i="80"/>
  <c r="C2595" i="80"/>
  <c r="C2586" i="80"/>
  <c r="C3114" i="80"/>
  <c r="C3101" i="80"/>
  <c r="C3088" i="80"/>
  <c r="C3076" i="80"/>
  <c r="C3065" i="80"/>
  <c r="C3051" i="80"/>
  <c r="C3040" i="80"/>
  <c r="C3028" i="80"/>
  <c r="C3015" i="80"/>
  <c r="C3003" i="80"/>
  <c r="C2992" i="80"/>
  <c r="C2978" i="80"/>
  <c r="C2967" i="80"/>
  <c r="C2955" i="80"/>
  <c r="C2941" i="80"/>
  <c r="C2930" i="80"/>
  <c r="C2919" i="80"/>
  <c r="C2905" i="80"/>
  <c r="C2893" i="80"/>
  <c r="C2882" i="80"/>
  <c r="C2868" i="80"/>
  <c r="C2857" i="80"/>
  <c r="C2845" i="80"/>
  <c r="C2832" i="80"/>
  <c r="C2820" i="80"/>
  <c r="C2809" i="80"/>
  <c r="C2795" i="80"/>
  <c r="C2784" i="80"/>
  <c r="C2772" i="80"/>
  <c r="C2759" i="80"/>
  <c r="C2747" i="80"/>
  <c r="C2736" i="80"/>
  <c r="C2722" i="80"/>
  <c r="C2711" i="80"/>
  <c r="C2699" i="80"/>
  <c r="C2685" i="80"/>
  <c r="C2674" i="80"/>
  <c r="C2663" i="80"/>
  <c r="C2649" i="80"/>
  <c r="C2637" i="80"/>
  <c r="C2626" i="80"/>
  <c r="C2612" i="80"/>
  <c r="C2601" i="80"/>
  <c r="C2589" i="80"/>
  <c r="C2576" i="80"/>
  <c r="C2564" i="80"/>
  <c r="C2553" i="80"/>
  <c r="C2539" i="80"/>
  <c r="C2528" i="80"/>
  <c r="C2516" i="80"/>
  <c r="C2503" i="80"/>
  <c r="C2491" i="80"/>
  <c r="C2480" i="80"/>
  <c r="C3074" i="80"/>
  <c r="C3001" i="80"/>
  <c r="C2964" i="80"/>
  <c r="C2939" i="80"/>
  <c r="C2891" i="80"/>
  <c r="C2866" i="80"/>
  <c r="C2841" i="80"/>
  <c r="C2804" i="80"/>
  <c r="C2768" i="80"/>
  <c r="C2745" i="80"/>
  <c r="C2720" i="80"/>
  <c r="C2683" i="80"/>
  <c r="C2658" i="80"/>
  <c r="C2635" i="80"/>
  <c r="C2610" i="80"/>
  <c r="C2585" i="80"/>
  <c r="C2548" i="80"/>
  <c r="C2525" i="80"/>
  <c r="C2500" i="80"/>
  <c r="C2475" i="80"/>
  <c r="C3096" i="80"/>
  <c r="C3073" i="80"/>
  <c r="C3048" i="80"/>
  <c r="C3023" i="80"/>
  <c r="C3000" i="80"/>
  <c r="C2963" i="80"/>
  <c r="C2938" i="80"/>
  <c r="C2913" i="80"/>
  <c r="C2876" i="80"/>
  <c r="C2853" i="80"/>
  <c r="C2828" i="80"/>
  <c r="C2792" i="80"/>
  <c r="C3113" i="80"/>
  <c r="C3100" i="80"/>
  <c r="C3087" i="80"/>
  <c r="C3075" i="80"/>
  <c r="C3064" i="80"/>
  <c r="C3050" i="80"/>
  <c r="C3039" i="80"/>
  <c r="C3027" i="80"/>
  <c r="C3013" i="80"/>
  <c r="C3002" i="80"/>
  <c r="C2991" i="80"/>
  <c r="C2977" i="80"/>
  <c r="C2965" i="80"/>
  <c r="C2954" i="80"/>
  <c r="C2940" i="80"/>
  <c r="C2929" i="80"/>
  <c r="C2917" i="80"/>
  <c r="C2904" i="80"/>
  <c r="C2892" i="80"/>
  <c r="C2881" i="80"/>
  <c r="C2867" i="80"/>
  <c r="C2856" i="80"/>
  <c r="C2844" i="80"/>
  <c r="C2831" i="80"/>
  <c r="C2819" i="80"/>
  <c r="C2808" i="80"/>
  <c r="C2794" i="80"/>
  <c r="C2783" i="80"/>
  <c r="C2771" i="80"/>
  <c r="C2757" i="80"/>
  <c r="C2746" i="80"/>
  <c r="C2735" i="80"/>
  <c r="C2721" i="80"/>
  <c r="C2709" i="80"/>
  <c r="C2698" i="80"/>
  <c r="C2684" i="80"/>
  <c r="C2673" i="80"/>
  <c r="C2661" i="80"/>
  <c r="C2648" i="80"/>
  <c r="C2636" i="80"/>
  <c r="C2625" i="80"/>
  <c r="C2611" i="80"/>
  <c r="C2600" i="80"/>
  <c r="C2588" i="80"/>
  <c r="C2575" i="80"/>
  <c r="C2563" i="80"/>
  <c r="C2552" i="80"/>
  <c r="C2538" i="80"/>
  <c r="C2527" i="80"/>
  <c r="C2515" i="80"/>
  <c r="C2501" i="80"/>
  <c r="C2490" i="80"/>
  <c r="C2479" i="80"/>
  <c r="C3060" i="80"/>
  <c r="C2987" i="80"/>
  <c r="C2951" i="80"/>
  <c r="C2928" i="80"/>
  <c r="C2903" i="80"/>
  <c r="C2877" i="80"/>
  <c r="C2855" i="80"/>
  <c r="C2829" i="80"/>
  <c r="C2793" i="80"/>
  <c r="C2781" i="80"/>
  <c r="C2756" i="80"/>
  <c r="C2731" i="80"/>
  <c r="C2695" i="80"/>
  <c r="C2672" i="80"/>
  <c r="C2647" i="80"/>
  <c r="C2621" i="80"/>
  <c r="C2599" i="80"/>
  <c r="C2562" i="80"/>
  <c r="C2537" i="80"/>
  <c r="C2512" i="80"/>
  <c r="C2489" i="80"/>
  <c r="C3111" i="80"/>
  <c r="C3059" i="80"/>
  <c r="C3036" i="80"/>
  <c r="C3011" i="80"/>
  <c r="C2975" i="80"/>
  <c r="C2949" i="80"/>
  <c r="C2927" i="80"/>
  <c r="C2890" i="80"/>
  <c r="C2865" i="80"/>
  <c r="C2840" i="80"/>
  <c r="C2803" i="80"/>
  <c r="C3112" i="80"/>
  <c r="C3097" i="80"/>
  <c r="C3085" i="80"/>
  <c r="C3049" i="80"/>
  <c r="C3037" i="80"/>
  <c r="C3024" i="80"/>
  <c r="C3012" i="80"/>
  <c r="C2976" i="80"/>
  <c r="C2914" i="80"/>
  <c r="C2818" i="80"/>
  <c r="C2708" i="80"/>
  <c r="C2573" i="80"/>
  <c r="C3084" i="80"/>
  <c r="C2986" i="80"/>
  <c r="C2901" i="80"/>
  <c r="C2524" i="80"/>
  <c r="C2565" i="80"/>
  <c r="C2620" i="80"/>
  <c r="C2681" i="80"/>
  <c r="C2739" i="80"/>
  <c r="C2777" i="80"/>
  <c r="C2848" i="80"/>
  <c r="C2896" i="80"/>
  <c r="C2969" i="80"/>
  <c r="C3019" i="80"/>
  <c r="C3067" i="80"/>
  <c r="C2529" i="80"/>
  <c r="C2567" i="80"/>
  <c r="C2627" i="80"/>
  <c r="C2665" i="80"/>
  <c r="C2725" i="80"/>
  <c r="C2780" i="80"/>
  <c r="C2874" i="80"/>
  <c r="C2482" i="80"/>
  <c r="C2499" i="80"/>
  <c r="C2520" i="80"/>
  <c r="C2543" i="80"/>
  <c r="C2557" i="80"/>
  <c r="C2580" i="80"/>
  <c r="C2597" i="80"/>
  <c r="C2618" i="80"/>
  <c r="C2639" i="80"/>
  <c r="C2656" i="80"/>
  <c r="C2676" i="80"/>
  <c r="C2693" i="80"/>
  <c r="C2716" i="80"/>
  <c r="C2737" i="80"/>
  <c r="C2754" i="80"/>
  <c r="C2775" i="80"/>
  <c r="C2799" i="80"/>
  <c r="C2817" i="80"/>
  <c r="C2839" i="80"/>
  <c r="C2864" i="80"/>
  <c r="C2887" i="80"/>
  <c r="C2912" i="80"/>
  <c r="C2937" i="80"/>
  <c r="C2960" i="80"/>
  <c r="C2985" i="80"/>
  <c r="C3010" i="80"/>
  <c r="C3033" i="80"/>
  <c r="C3058" i="80"/>
  <c r="C3083" i="80"/>
  <c r="C3109" i="80"/>
  <c r="C2478" i="80"/>
  <c r="C2486" i="80"/>
  <c r="C2494" i="80"/>
  <c r="C2502" i="80"/>
  <c r="C2510" i="80"/>
  <c r="C2518" i="80"/>
  <c r="C2526" i="80"/>
  <c r="C2534" i="80"/>
  <c r="C2542" i="80"/>
  <c r="C2550" i="80"/>
  <c r="C2558" i="80"/>
  <c r="C2566" i="80"/>
  <c r="C2574" i="80"/>
  <c r="C2582" i="80"/>
  <c r="C2590" i="80"/>
  <c r="C2598" i="80"/>
  <c r="C2606" i="80"/>
  <c r="C2614" i="80"/>
  <c r="C2622" i="80"/>
  <c r="C2630" i="80"/>
  <c r="C2638" i="80"/>
  <c r="C2646" i="80"/>
  <c r="C2654" i="80"/>
  <c r="C2662" i="80"/>
  <c r="C2670" i="80"/>
  <c r="C2678" i="80"/>
  <c r="C2686" i="80"/>
  <c r="C2694" i="80"/>
  <c r="C2702" i="80"/>
  <c r="C2710" i="80"/>
  <c r="C2718" i="80"/>
  <c r="C2726" i="80"/>
  <c r="C2734" i="80"/>
  <c r="C2742" i="80"/>
  <c r="C2750" i="80"/>
  <c r="C2758" i="80"/>
  <c r="C2766" i="80"/>
  <c r="C2774" i="80"/>
  <c r="C2782" i="80"/>
  <c r="C2790" i="80"/>
  <c r="C2798" i="80"/>
  <c r="C2806" i="80"/>
  <c r="C2814" i="80"/>
  <c r="C2822" i="80"/>
  <c r="C2830" i="80"/>
  <c r="C2838" i="80"/>
  <c r="C2846" i="80"/>
  <c r="C2854" i="80"/>
  <c r="C2862" i="80"/>
  <c r="C2870" i="80"/>
  <c r="C2878" i="80"/>
  <c r="C2886" i="80"/>
  <c r="C2894" i="80"/>
  <c r="C2902" i="80"/>
  <c r="C2910" i="80"/>
  <c r="C2918" i="80"/>
  <c r="C2926" i="80"/>
  <c r="C2934" i="80"/>
  <c r="C2942" i="80"/>
  <c r="C2950" i="80"/>
  <c r="C2958" i="80"/>
  <c r="C2966" i="80"/>
  <c r="C2974" i="80"/>
  <c r="C2982" i="80"/>
  <c r="C2990" i="80"/>
  <c r="C2998" i="80"/>
  <c r="C3006" i="80"/>
  <c r="C3014" i="80"/>
  <c r="C3022" i="80"/>
  <c r="C3030" i="80"/>
  <c r="C3038" i="80"/>
  <c r="C3046" i="80"/>
  <c r="C3054" i="80"/>
  <c r="C3062" i="80"/>
  <c r="C3070" i="80"/>
  <c r="C3078" i="80"/>
  <c r="C3086" i="80"/>
  <c r="C3094" i="80"/>
  <c r="C3102" i="80"/>
  <c r="C3110" i="80"/>
  <c r="U1106" i="16" l="1"/>
  <c r="U236" i="25"/>
  <c r="DC4" i="2" s="1"/>
  <c r="HJ4" i="2" l="1"/>
  <c r="AR2463" i="16" l="1"/>
  <c r="AR2460" i="16"/>
  <c r="AR2456" i="16"/>
  <c r="AR2454" i="16"/>
  <c r="AR2441" i="16"/>
  <c r="AR2438" i="16"/>
  <c r="AR2436" i="16"/>
  <c r="AR2430" i="16"/>
  <c r="AR2429" i="16"/>
  <c r="AR2428" i="16"/>
  <c r="AR2427" i="16"/>
  <c r="AR2426" i="16"/>
  <c r="AR2425" i="16"/>
  <c r="AR2424" i="16"/>
  <c r="AR2419" i="16"/>
  <c r="AR2418" i="16"/>
  <c r="AR2417" i="16"/>
  <c r="AR2416" i="16"/>
  <c r="AR2415" i="16"/>
  <c r="AR2414" i="16"/>
  <c r="AR2412" i="16"/>
  <c r="AR2411" i="16"/>
  <c r="AR2410" i="16"/>
  <c r="AR2395" i="16"/>
  <c r="AR2393" i="16"/>
  <c r="AR2392" i="16"/>
  <c r="AR2391" i="16"/>
  <c r="AR2390" i="16"/>
  <c r="AR2389" i="16"/>
  <c r="AR2387" i="16"/>
  <c r="AR2386" i="16"/>
  <c r="AR2384" i="16"/>
  <c r="AR2377" i="16"/>
  <c r="AR2373" i="16"/>
  <c r="AR2371" i="16"/>
  <c r="AR2365" i="16"/>
  <c r="AR2362" i="16"/>
  <c r="AR2361" i="16"/>
  <c r="AR2359" i="16"/>
  <c r="AR2357" i="16"/>
  <c r="AR2356" i="16"/>
  <c r="AR2354" i="16"/>
  <c r="AR2351" i="16"/>
  <c r="AR2349" i="16"/>
  <c r="AR2346" i="16"/>
  <c r="AR2344" i="16"/>
  <c r="AR2338" i="16"/>
  <c r="AR2337" i="16"/>
  <c r="AR2336" i="16"/>
  <c r="AR2334" i="16"/>
  <c r="AR2333" i="16"/>
  <c r="AR2331" i="16"/>
  <c r="AR2328" i="16"/>
  <c r="AR2325" i="16"/>
  <c r="AR2303" i="16"/>
  <c r="AR2302" i="16"/>
  <c r="AR2301" i="16"/>
  <c r="AR2299" i="16"/>
  <c r="AR2297" i="16"/>
  <c r="AR2295" i="16"/>
  <c r="AR2294" i="16"/>
  <c r="AR2292" i="16"/>
  <c r="AR2290" i="16"/>
  <c r="AR2289" i="16"/>
  <c r="AR2287" i="16"/>
  <c r="AR2285" i="16"/>
  <c r="AR2281" i="16"/>
  <c r="AR2275" i="16"/>
  <c r="AR2274" i="16"/>
  <c r="AR2273" i="16"/>
  <c r="AR2271" i="16"/>
  <c r="AR2270" i="16"/>
  <c r="AR2268" i="16"/>
  <c r="AR2266" i="16"/>
  <c r="AR2265" i="16"/>
  <c r="AR2264" i="16"/>
  <c r="AR2260" i="16"/>
  <c r="AR2259" i="16"/>
  <c r="AR2258" i="16"/>
  <c r="AR2248" i="16"/>
  <c r="AR2243" i="16"/>
  <c r="AR2241" i="16"/>
  <c r="AR2240" i="16"/>
  <c r="AR2237" i="16"/>
  <c r="AR2232" i="16"/>
  <c r="AR2228" i="16"/>
  <c r="AR2220" i="16"/>
  <c r="AR2215" i="16"/>
  <c r="AR2210" i="16"/>
  <c r="AR2202" i="16"/>
  <c r="AR2198" i="16"/>
  <c r="AR2194" i="16"/>
  <c r="AR2190" i="16"/>
  <c r="AR2188" i="16"/>
  <c r="AR2185" i="16"/>
  <c r="AR2182" i="16"/>
  <c r="AR2180" i="16"/>
  <c r="AR2176" i="16"/>
  <c r="AR2154" i="16"/>
  <c r="AR2113" i="16"/>
  <c r="AR2104" i="16"/>
  <c r="AR2101" i="16"/>
  <c r="AR2098" i="16"/>
  <c r="AR2096" i="16"/>
  <c r="AR2085" i="16"/>
  <c r="AR2081" i="16"/>
  <c r="AR2078" i="16"/>
  <c r="AR2076" i="16"/>
  <c r="AR2074" i="16"/>
  <c r="AR2067" i="16"/>
  <c r="AR2063" i="16"/>
  <c r="AR2059" i="16"/>
  <c r="AR2056" i="16"/>
  <c r="AR2054" i="16"/>
  <c r="AR2052" i="16"/>
  <c r="AR2050" i="16"/>
  <c r="AR2044" i="16"/>
  <c r="AR2042" i="16"/>
  <c r="AR2036" i="16"/>
  <c r="AR2034" i="16"/>
  <c r="AR2030" i="16"/>
  <c r="AR2025" i="16"/>
  <c r="AR2021" i="16"/>
  <c r="AR2020" i="16"/>
  <c r="AR2015" i="16"/>
  <c r="AR2006" i="16"/>
  <c r="AR2001" i="16"/>
  <c r="AR1999" i="16"/>
  <c r="AR1998" i="16"/>
  <c r="AR1996" i="16"/>
  <c r="AR1991" i="16"/>
  <c r="AR1985" i="16"/>
  <c r="AR1981" i="16"/>
  <c r="AR1971" i="16"/>
  <c r="AR1962" i="16"/>
  <c r="AR1959" i="16"/>
  <c r="AR1957" i="16"/>
  <c r="AR1943" i="16"/>
  <c r="AR1938" i="16"/>
  <c r="AR1934" i="16"/>
  <c r="AR1928" i="16"/>
  <c r="AR1926" i="16"/>
  <c r="AR1924" i="16"/>
  <c r="AR1921" i="16"/>
  <c r="AR1919" i="16"/>
  <c r="AR1917" i="16"/>
  <c r="AR1914" i="16"/>
  <c r="AR1912" i="16"/>
  <c r="AR1909" i="16"/>
  <c r="AR1903" i="16"/>
  <c r="AR1900" i="16"/>
  <c r="AR1895" i="16"/>
  <c r="AR1892" i="16"/>
  <c r="AR1889" i="16"/>
  <c r="AR1884" i="16"/>
  <c r="AR1878" i="16"/>
  <c r="AR1862" i="16"/>
  <c r="AR1860" i="16"/>
  <c r="AR1857" i="16"/>
  <c r="AR1852" i="16"/>
  <c r="AR1849" i="16"/>
  <c r="AR1848" i="16"/>
  <c r="AR1846" i="16"/>
  <c r="AR1840" i="16"/>
  <c r="AR1832" i="16"/>
  <c r="AR1824" i="16"/>
  <c r="AR1821" i="16"/>
  <c r="AR1820" i="16"/>
  <c r="AR1818" i="16"/>
  <c r="AR1804" i="16"/>
  <c r="AR1800" i="16"/>
  <c r="AR1798" i="16"/>
  <c r="AR1797" i="16"/>
  <c r="AR1795" i="16"/>
  <c r="AR1793" i="16"/>
  <c r="AR1787" i="16"/>
  <c r="AR1785" i="16"/>
  <c r="AR1780" i="16"/>
  <c r="AR1779" i="16"/>
  <c r="AR1778" i="16"/>
  <c r="AR1774" i="16"/>
  <c r="AR1772" i="16"/>
  <c r="AR1769" i="16"/>
  <c r="AR1767" i="16"/>
  <c r="AR1763" i="16"/>
  <c r="AR1760" i="16"/>
  <c r="AR1753" i="16"/>
  <c r="AR1751" i="16"/>
  <c r="AR1746" i="16"/>
  <c r="AR1741" i="16"/>
  <c r="AR1729" i="16"/>
  <c r="AR1726" i="16"/>
  <c r="AR1721" i="16"/>
  <c r="AR1709" i="16"/>
  <c r="AR1704" i="16"/>
  <c r="AR1702" i="16"/>
  <c r="AR1695" i="16"/>
  <c r="AR1693" i="16"/>
  <c r="AR1685" i="16"/>
  <c r="AR1684" i="16"/>
  <c r="AR1679" i="16"/>
  <c r="AR1674" i="16"/>
  <c r="AR1663" i="16"/>
  <c r="AR1642" i="16"/>
  <c r="AR1637" i="16"/>
  <c r="AR1636" i="16"/>
  <c r="AR1631" i="16"/>
  <c r="AR1627" i="16"/>
  <c r="AR1622" i="16"/>
  <c r="AR1618" i="16"/>
  <c r="AR1616" i="16"/>
  <c r="AR1611" i="16"/>
  <c r="AR1606" i="16"/>
  <c r="AR1603" i="16"/>
  <c r="AR1600" i="16"/>
  <c r="AR1599" i="16"/>
  <c r="AR1595" i="16"/>
  <c r="AR1580" i="16"/>
  <c r="AR1578" i="16"/>
  <c r="AR1576" i="16"/>
  <c r="AR1574" i="16"/>
  <c r="AR1571" i="16"/>
  <c r="AR1570" i="16"/>
  <c r="AR1569" i="16"/>
  <c r="AR1568" i="16"/>
  <c r="AR1567" i="16"/>
  <c r="AR1566" i="16"/>
  <c r="AR1565" i="16"/>
  <c r="AR1564" i="16"/>
  <c r="AR1556" i="16"/>
  <c r="AR1549" i="16"/>
  <c r="AR1544" i="16"/>
  <c r="AR1541" i="16"/>
  <c r="AR1539" i="16"/>
  <c r="AR1538" i="16"/>
  <c r="AR1537" i="16"/>
  <c r="AR1536" i="16"/>
  <c r="AR1529" i="16"/>
  <c r="AR1527" i="16"/>
  <c r="AR1525" i="16"/>
  <c r="AR1522" i="16"/>
  <c r="AR1521" i="16"/>
  <c r="AR1520" i="16"/>
  <c r="AR1519" i="16"/>
  <c r="AR1518" i="16"/>
  <c r="AR1517" i="16"/>
  <c r="AR1516" i="16"/>
  <c r="AR1507" i="16"/>
  <c r="AR1504" i="16"/>
  <c r="AR1502" i="16"/>
  <c r="AR1496" i="16"/>
  <c r="AR1493" i="16"/>
  <c r="AR1480" i="16"/>
  <c r="AR1478" i="16"/>
  <c r="AR1476" i="16"/>
  <c r="AR1474" i="16"/>
  <c r="AR1473" i="16"/>
  <c r="AR1472" i="16"/>
  <c r="AR1471" i="16"/>
  <c r="AR1470" i="16"/>
  <c r="AR1469" i="16"/>
  <c r="AR1467" i="16"/>
  <c r="AR1465" i="16"/>
  <c r="AR1462" i="16"/>
  <c r="AR1457" i="16"/>
  <c r="AR1456" i="16"/>
  <c r="AR1453" i="16"/>
  <c r="AR1451" i="16"/>
  <c r="AR1448" i="16"/>
  <c r="AR1443" i="16"/>
  <c r="AR1438" i="16"/>
  <c r="AR1434" i="16"/>
  <c r="AR1431" i="16"/>
  <c r="AR1427" i="16"/>
  <c r="AR1411" i="16"/>
  <c r="AR1408" i="16"/>
  <c r="AR1405" i="16"/>
  <c r="AR1397" i="16"/>
  <c r="AR1394" i="16"/>
  <c r="AR1390" i="16"/>
  <c r="AR1385" i="16"/>
  <c r="AR1383" i="16"/>
  <c r="AR1381" i="16"/>
  <c r="AR1376" i="16"/>
  <c r="AR1374" i="16"/>
  <c r="AR1371" i="16"/>
  <c r="AR1369" i="16"/>
  <c r="AR1368" i="16"/>
  <c r="AR1367" i="16"/>
  <c r="AR1365" i="16"/>
  <c r="AR1357" i="16"/>
  <c r="AR1352" i="16"/>
  <c r="AR1351" i="16"/>
  <c r="AR1350" i="16"/>
  <c r="AR1347" i="16"/>
  <c r="AR1345" i="16"/>
  <c r="AR1344" i="16"/>
  <c r="AR1343" i="16"/>
  <c r="AR1340" i="16"/>
  <c r="AR1338" i="16"/>
  <c r="AR1336" i="16"/>
  <c r="AR1334" i="16"/>
  <c r="AR1332" i="16"/>
  <c r="AR1327" i="16"/>
  <c r="AR1326" i="16"/>
  <c r="AR1325" i="16"/>
  <c r="AR1322" i="16"/>
  <c r="AR1320" i="16"/>
  <c r="AR1318" i="16"/>
  <c r="AR1298" i="16"/>
  <c r="AR1297" i="16"/>
  <c r="AR1295" i="16"/>
  <c r="AR1293" i="16"/>
  <c r="AR1244" i="16"/>
  <c r="AR1234" i="16"/>
  <c r="AR1232" i="16"/>
  <c r="AR1230" i="16"/>
  <c r="AR1229" i="16"/>
  <c r="AR1226" i="16"/>
  <c r="AR1224" i="16"/>
  <c r="AR1218" i="16"/>
  <c r="AR1211" i="16"/>
  <c r="AR1205" i="16"/>
  <c r="AR1201" i="16"/>
  <c r="AR1200" i="16"/>
  <c r="AR1198" i="16"/>
  <c r="AR1192" i="16"/>
  <c r="AR1188" i="16"/>
  <c r="AR1186" i="16"/>
  <c r="AR1180" i="16"/>
  <c r="AR1174" i="16"/>
  <c r="AR1169" i="16"/>
  <c r="AR1166" i="16"/>
  <c r="AR1160" i="16"/>
  <c r="AR1154" i="16"/>
  <c r="AR1147" i="16"/>
  <c r="AR1140" i="16"/>
  <c r="AR1130" i="16"/>
  <c r="AR1122" i="16"/>
  <c r="AR1114" i="16"/>
  <c r="AR1106" i="16"/>
  <c r="AR1102" i="16"/>
  <c r="AR1099" i="16"/>
  <c r="AR1097" i="16"/>
  <c r="AR1090" i="16"/>
  <c r="AR1084" i="16"/>
  <c r="AR1081" i="16"/>
  <c r="AR1066" i="16"/>
  <c r="AR1062" i="16"/>
  <c r="AR1059" i="16"/>
  <c r="AR1053" i="16"/>
  <c r="AR1049" i="16"/>
  <c r="AR1043" i="16"/>
  <c r="AR1042" i="16"/>
  <c r="AR1040" i="16"/>
  <c r="AR1030" i="16"/>
  <c r="AR1020" i="16"/>
  <c r="AR1017" i="16"/>
  <c r="AR1015" i="16"/>
  <c r="AR1012" i="16"/>
  <c r="AR1011" i="16"/>
  <c r="AR1010" i="16"/>
  <c r="AR1008" i="16"/>
  <c r="AR1005" i="16"/>
  <c r="AR1003" i="16"/>
  <c r="AR999" i="16"/>
  <c r="AR998" i="16"/>
  <c r="AR991" i="16"/>
  <c r="AR989" i="16"/>
  <c r="AR988" i="16"/>
  <c r="AR987" i="16"/>
  <c r="AR986" i="16"/>
  <c r="AR984" i="16"/>
  <c r="AR983" i="16"/>
  <c r="AR981" i="16"/>
  <c r="AR980" i="16"/>
  <c r="AR978" i="16"/>
  <c r="AR975" i="16"/>
  <c r="AR970" i="16"/>
  <c r="AR969" i="16"/>
  <c r="AR968" i="16"/>
  <c r="AR967" i="16"/>
  <c r="AR966" i="16"/>
  <c r="AR965" i="16"/>
  <c r="AR964" i="16"/>
  <c r="AR963" i="16"/>
  <c r="AR962" i="16"/>
  <c r="AR961" i="16"/>
  <c r="AR960" i="16"/>
  <c r="AR959" i="16"/>
  <c r="AR958" i="16"/>
  <c r="AR954" i="16"/>
  <c r="AR951" i="16"/>
  <c r="AR950" i="16"/>
  <c r="AR947" i="16"/>
  <c r="AR941" i="16"/>
  <c r="AR938" i="16"/>
  <c r="AR933" i="16"/>
  <c r="AR929" i="16"/>
  <c r="AR927" i="16"/>
  <c r="AR926" i="16"/>
  <c r="AR925" i="16"/>
  <c r="AR924" i="16"/>
  <c r="AR922" i="16"/>
  <c r="AR921" i="16"/>
  <c r="AR920" i="16"/>
  <c r="AR917" i="16"/>
  <c r="AR915" i="16"/>
  <c r="AR914" i="16"/>
  <c r="AR912" i="16"/>
  <c r="AR911" i="16"/>
  <c r="AR897" i="16"/>
  <c r="AR894" i="16"/>
  <c r="AR890" i="16"/>
  <c r="AR887" i="16"/>
  <c r="AR864" i="16"/>
  <c r="AR860" i="16"/>
  <c r="AR858" i="16"/>
  <c r="AR854" i="16"/>
  <c r="AR853" i="16"/>
  <c r="AR852" i="16"/>
  <c r="AR850" i="16"/>
  <c r="AR848" i="16"/>
  <c r="AR844" i="16"/>
  <c r="AR839" i="16"/>
  <c r="AR835" i="16"/>
  <c r="AR833" i="16"/>
  <c r="AR831" i="16"/>
  <c r="AR829" i="16"/>
  <c r="AR827" i="16"/>
  <c r="AR825" i="16"/>
  <c r="AR824" i="16"/>
  <c r="AR813" i="16"/>
  <c r="AR805" i="16"/>
  <c r="AR795" i="16"/>
  <c r="AR783" i="16"/>
  <c r="AR777" i="16"/>
  <c r="AR771" i="16"/>
  <c r="AR764" i="16"/>
  <c r="AR757" i="16"/>
  <c r="AR750" i="16"/>
  <c r="AR744" i="16"/>
  <c r="AR736" i="16"/>
  <c r="AR727" i="16"/>
  <c r="AR718" i="16"/>
  <c r="AR710" i="16"/>
  <c r="AR708" i="16"/>
  <c r="AR697" i="16"/>
  <c r="AR694" i="16"/>
  <c r="AR688" i="16"/>
  <c r="AR683" i="16"/>
  <c r="AR674" i="16"/>
  <c r="AR672" i="16"/>
  <c r="AR671" i="16"/>
  <c r="AR669" i="16"/>
  <c r="AR668" i="16"/>
  <c r="AR637" i="16"/>
  <c r="AR632" i="16"/>
  <c r="AR631" i="16"/>
  <c r="AR624" i="16"/>
  <c r="AR611" i="16"/>
  <c r="AR596" i="16"/>
  <c r="AR593" i="16"/>
  <c r="AR589" i="16"/>
  <c r="AR587" i="16"/>
  <c r="AR585" i="16"/>
  <c r="AR583" i="16"/>
  <c r="AR579" i="16"/>
  <c r="AR572" i="16"/>
  <c r="AR566" i="16"/>
  <c r="AR562" i="16"/>
  <c r="AR560" i="16"/>
  <c r="AR555" i="16"/>
  <c r="AR551" i="16"/>
  <c r="AR548" i="16"/>
  <c r="AR547" i="16"/>
  <c r="AR545" i="16"/>
  <c r="AR538" i="16"/>
  <c r="AR537" i="16"/>
  <c r="AR536" i="16"/>
  <c r="AR534" i="16"/>
  <c r="AR528" i="16"/>
  <c r="AR525" i="16"/>
  <c r="AR523" i="16"/>
  <c r="AR511" i="16"/>
  <c r="AR509" i="16"/>
  <c r="AR507" i="16"/>
  <c r="AR501" i="16"/>
  <c r="AR497" i="16"/>
  <c r="AR496" i="16"/>
  <c r="AR493" i="16"/>
  <c r="AR483" i="16"/>
  <c r="AR475" i="16"/>
  <c r="AR471" i="16"/>
  <c r="AR469" i="16"/>
  <c r="AR467" i="16"/>
  <c r="AR464" i="16"/>
  <c r="AR462" i="16"/>
  <c r="AR449" i="16"/>
  <c r="AR440" i="16"/>
  <c r="AR437" i="16"/>
  <c r="AR435" i="16"/>
  <c r="AR431" i="16"/>
  <c r="AR429" i="16"/>
  <c r="AR423" i="16"/>
  <c r="AR421" i="16"/>
  <c r="AR416" i="16"/>
  <c r="AR414" i="16"/>
  <c r="AR411" i="16"/>
  <c r="AR398" i="16"/>
  <c r="AR380" i="16"/>
  <c r="AR375" i="16"/>
  <c r="AR374" i="16"/>
  <c r="AR373" i="16"/>
  <c r="AR372" i="16"/>
  <c r="AR371" i="16"/>
  <c r="AR370" i="16"/>
  <c r="AR364" i="16"/>
  <c r="AR363" i="16"/>
  <c r="AR362" i="16"/>
  <c r="AR361" i="16"/>
  <c r="AR360" i="16"/>
  <c r="AR359" i="16"/>
  <c r="AR355" i="16"/>
  <c r="AR352" i="16"/>
  <c r="AR349" i="16"/>
  <c r="AR331" i="16"/>
  <c r="AR325" i="16"/>
  <c r="AR323" i="16"/>
  <c r="AR321" i="16"/>
  <c r="AR316" i="16"/>
  <c r="AR315" i="16"/>
  <c r="AR312" i="16"/>
  <c r="AR309" i="16"/>
  <c r="AR305" i="16"/>
  <c r="AR293" i="16"/>
  <c r="AR292" i="16"/>
  <c r="AR291" i="16"/>
  <c r="AR288" i="16"/>
  <c r="AR286" i="16"/>
  <c r="AR282" i="16"/>
  <c r="AR275" i="16"/>
  <c r="AR272" i="16"/>
  <c r="AR262" i="16"/>
  <c r="AR257" i="16"/>
  <c r="AR255" i="16"/>
  <c r="AR253" i="16"/>
  <c r="AR246" i="16"/>
  <c r="AR238" i="16"/>
  <c r="AR237" i="16"/>
  <c r="AR234" i="16"/>
  <c r="AR230" i="16"/>
  <c r="AR228" i="16"/>
  <c r="AR226" i="16"/>
  <c r="AR225" i="16"/>
  <c r="AR223" i="16"/>
  <c r="AR220" i="16"/>
  <c r="AR213" i="16"/>
  <c r="AR208" i="16"/>
  <c r="AR200" i="16"/>
  <c r="AR194" i="16"/>
  <c r="AR187" i="16"/>
  <c r="AR185" i="16"/>
  <c r="AR183" i="16"/>
  <c r="AR181" i="16"/>
  <c r="AR178" i="16"/>
  <c r="AR176" i="16"/>
  <c r="AR171" i="16"/>
  <c r="AR170" i="16"/>
  <c r="AR165" i="16"/>
  <c r="AR162" i="16"/>
  <c r="AR160" i="16"/>
  <c r="AR157" i="16"/>
  <c r="AR155" i="16"/>
  <c r="AR149" i="16"/>
  <c r="AR145" i="16"/>
  <c r="AR142" i="16"/>
  <c r="AR140" i="16"/>
  <c r="AR135" i="16"/>
  <c r="AR128" i="16"/>
  <c r="AR124" i="16"/>
  <c r="AR121" i="16"/>
  <c r="AR114" i="16"/>
  <c r="AR101" i="16"/>
  <c r="AR88" i="16"/>
  <c r="AR68" i="16"/>
  <c r="AR63" i="16"/>
  <c r="AR58" i="16"/>
  <c r="AR55" i="16"/>
  <c r="AR52" i="16"/>
  <c r="AR50" i="16"/>
  <c r="AR45" i="16"/>
  <c r="AR42" i="16"/>
  <c r="AR37" i="16"/>
  <c r="AR27" i="16"/>
  <c r="AR25" i="16"/>
  <c r="AR23" i="16"/>
  <c r="AR21" i="16"/>
  <c r="AR19" i="16"/>
  <c r="AR13" i="16"/>
  <c r="AP2463" i="16"/>
  <c r="AP2460" i="16"/>
  <c r="AP2456" i="16"/>
  <c r="AP2454" i="16"/>
  <c r="AP2441" i="16"/>
  <c r="AP2438" i="16"/>
  <c r="AP2436" i="16"/>
  <c r="AP2430" i="16"/>
  <c r="AP2429" i="16"/>
  <c r="AP2428" i="16"/>
  <c r="AP2427" i="16"/>
  <c r="AP2426" i="16"/>
  <c r="AP2425" i="16"/>
  <c r="AP2424" i="16"/>
  <c r="AP2419" i="16"/>
  <c r="AP2418" i="16"/>
  <c r="AP2417" i="16"/>
  <c r="AP2416" i="16"/>
  <c r="AP2415" i="16"/>
  <c r="AP2414" i="16"/>
  <c r="AP2412" i="16"/>
  <c r="AP2411" i="16"/>
  <c r="AP2410" i="16"/>
  <c r="AP2395" i="16"/>
  <c r="AP2393" i="16"/>
  <c r="AP2392" i="16"/>
  <c r="AP2391" i="16"/>
  <c r="AP2390" i="16"/>
  <c r="AP2389" i="16"/>
  <c r="AP2387" i="16"/>
  <c r="AP2386" i="16"/>
  <c r="AP2384" i="16"/>
  <c r="AP2377" i="16"/>
  <c r="AP2373" i="16"/>
  <c r="AP2371" i="16"/>
  <c r="AP2365" i="16"/>
  <c r="AP2362" i="16"/>
  <c r="AP2361" i="16"/>
  <c r="AP2359" i="16"/>
  <c r="AP2357" i="16"/>
  <c r="AP2356" i="16"/>
  <c r="AP2354" i="16"/>
  <c r="AP2351" i="16"/>
  <c r="AP2349" i="16"/>
  <c r="AP2346" i="16"/>
  <c r="AP2344" i="16"/>
  <c r="AP2338" i="16"/>
  <c r="AP2337" i="16"/>
  <c r="AP2336" i="16"/>
  <c r="AP2334" i="16"/>
  <c r="AP2333" i="16"/>
  <c r="AP2331" i="16"/>
  <c r="AP2328" i="16"/>
  <c r="AP2325" i="16"/>
  <c r="AP2303" i="16"/>
  <c r="AP2302" i="16"/>
  <c r="AP2301" i="16"/>
  <c r="AP2299" i="16"/>
  <c r="AP2297" i="16"/>
  <c r="AP2295" i="16"/>
  <c r="AP2294" i="16"/>
  <c r="AP2292" i="16"/>
  <c r="AP2290" i="16"/>
  <c r="AP2289" i="16"/>
  <c r="AP2287" i="16"/>
  <c r="AP2285" i="16"/>
  <c r="AP2281" i="16"/>
  <c r="AP2275" i="16"/>
  <c r="AP2274" i="16"/>
  <c r="AP2273" i="16"/>
  <c r="AP2271" i="16"/>
  <c r="AP2270" i="16"/>
  <c r="AP2268" i="16"/>
  <c r="AP2266" i="16"/>
  <c r="AP2265" i="16"/>
  <c r="AP2264" i="16"/>
  <c r="AP2260" i="16"/>
  <c r="AP2259" i="16"/>
  <c r="AP2258" i="16"/>
  <c r="AP2248" i="16"/>
  <c r="AP2243" i="16"/>
  <c r="AP2241" i="16"/>
  <c r="AP2240" i="16"/>
  <c r="AP2237" i="16"/>
  <c r="AP2232" i="16"/>
  <c r="AP2228" i="16"/>
  <c r="AP2220" i="16"/>
  <c r="AP2215" i="16"/>
  <c r="AP2210" i="16"/>
  <c r="AP2205" i="16"/>
  <c r="AP2204" i="16"/>
  <c r="AP2198" i="16"/>
  <c r="AP2194" i="16"/>
  <c r="AP2190" i="16"/>
  <c r="AP2188" i="16"/>
  <c r="AP2185" i="16"/>
  <c r="AP2182" i="16"/>
  <c r="AP2180" i="16"/>
  <c r="AP2154" i="16"/>
  <c r="AP2152" i="16"/>
  <c r="AP2104" i="16"/>
  <c r="AP2101" i="16"/>
  <c r="AP2098" i="16"/>
  <c r="AP2096" i="16"/>
  <c r="AP2085" i="16"/>
  <c r="AP2081" i="16"/>
  <c r="AP2078" i="16"/>
  <c r="AP2076" i="16"/>
  <c r="AP2074" i="16"/>
  <c r="AP2071" i="16"/>
  <c r="AP2069" i="16"/>
  <c r="AP2063" i="16"/>
  <c r="AP2062" i="16"/>
  <c r="AP2060" i="16"/>
  <c r="AP2056" i="16"/>
  <c r="AP2054" i="16"/>
  <c r="AP2052" i="16"/>
  <c r="AP2050" i="16"/>
  <c r="AP2044" i="16"/>
  <c r="AP2042" i="16"/>
  <c r="AP2039" i="16"/>
  <c r="AP2038" i="16"/>
  <c r="AP2034" i="16"/>
  <c r="AP2030" i="16"/>
  <c r="AP2025" i="16"/>
  <c r="AP2021" i="16"/>
  <c r="AP2020" i="16"/>
  <c r="AP2015" i="16"/>
  <c r="AP2006" i="16"/>
  <c r="AP2001" i="16"/>
  <c r="AP1999" i="16"/>
  <c r="AP1998" i="16"/>
  <c r="AP1996" i="16"/>
  <c r="AP1985" i="16"/>
  <c r="AP1982" i="16"/>
  <c r="AP1981" i="16"/>
  <c r="AP1971" i="16"/>
  <c r="AP1962" i="16"/>
  <c r="AP1959" i="16"/>
  <c r="AP1957" i="16"/>
  <c r="AP1946" i="16"/>
  <c r="AP1945" i="16"/>
  <c r="AP1944" i="16"/>
  <c r="AP1943" i="16"/>
  <c r="AP1938" i="16"/>
  <c r="AP1934" i="16"/>
  <c r="AP1928" i="16"/>
  <c r="AP1926" i="16"/>
  <c r="AP1924" i="16"/>
  <c r="AP1921" i="16"/>
  <c r="AP1919" i="16"/>
  <c r="AP1917" i="16"/>
  <c r="AP1914" i="16"/>
  <c r="AP1912" i="16"/>
  <c r="AP1909" i="16"/>
  <c r="AP1903" i="16"/>
  <c r="AP1900" i="16"/>
  <c r="AP1895" i="16"/>
  <c r="AP1892" i="16"/>
  <c r="AP1889" i="16"/>
  <c r="AP1884" i="16"/>
  <c r="AP1878" i="16"/>
  <c r="AP1862" i="16"/>
  <c r="AP1860" i="16"/>
  <c r="AP1857" i="16"/>
  <c r="AP1852" i="16"/>
  <c r="AP1850" i="16"/>
  <c r="AP1848" i="16"/>
  <c r="AP1846" i="16"/>
  <c r="AP1840" i="16"/>
  <c r="AP1832" i="16"/>
  <c r="AP1824" i="16"/>
  <c r="AP1821" i="16"/>
  <c r="AP1820" i="16"/>
  <c r="AP1818" i="16"/>
  <c r="AP1804" i="16"/>
  <c r="AP1800" i="16"/>
  <c r="AP1798" i="16"/>
  <c r="AP1797" i="16"/>
  <c r="AP1795" i="16"/>
  <c r="AP1793" i="16"/>
  <c r="AP1787" i="16"/>
  <c r="AP1785" i="16"/>
  <c r="AP1780" i="16"/>
  <c r="AP1779" i="16"/>
  <c r="AP1778" i="16"/>
  <c r="AP1774" i="16"/>
  <c r="AP1772" i="16"/>
  <c r="AP1769" i="16"/>
  <c r="AP1767" i="16"/>
  <c r="AP1763" i="16"/>
  <c r="AP1760" i="16"/>
  <c r="AP1753" i="16"/>
  <c r="AP1746" i="16"/>
  <c r="AP1741" i="16"/>
  <c r="AP1731" i="16"/>
  <c r="AP1729" i="16"/>
  <c r="AP1726" i="16"/>
  <c r="AP1721" i="16"/>
  <c r="AP1709" i="16"/>
  <c r="AP1704" i="16"/>
  <c r="AP1702" i="16"/>
  <c r="AP1695" i="16"/>
  <c r="AP1693" i="16"/>
  <c r="AP1685" i="16"/>
  <c r="AP1684" i="16"/>
  <c r="AP1679" i="16"/>
  <c r="AP1650" i="16"/>
  <c r="AP1642" i="16"/>
  <c r="AP1637" i="16"/>
  <c r="AP1636" i="16"/>
  <c r="AP1631" i="16"/>
  <c r="AP1627" i="16"/>
  <c r="AP1622" i="16"/>
  <c r="AP1618" i="16"/>
  <c r="AP1616" i="16"/>
  <c r="AP1611" i="16"/>
  <c r="AP1606" i="16"/>
  <c r="AP1603" i="16"/>
  <c r="AP1600" i="16"/>
  <c r="AP1599" i="16"/>
  <c r="AP1595" i="16"/>
  <c r="AP1585" i="16"/>
  <c r="AP1583" i="16"/>
  <c r="AP1581" i="16"/>
  <c r="AP1578" i="16"/>
  <c r="AP1576" i="16"/>
  <c r="AP1574" i="16"/>
  <c r="AP1571" i="16"/>
  <c r="AP1570" i="16"/>
  <c r="AP1569" i="16"/>
  <c r="AP1568" i="16"/>
  <c r="AP1567" i="16"/>
  <c r="AP1566" i="16"/>
  <c r="AP1565" i="16"/>
  <c r="AP1564" i="16"/>
  <c r="AP1549" i="16"/>
  <c r="AP1544" i="16"/>
  <c r="AP1541" i="16"/>
  <c r="AP1539" i="16"/>
  <c r="AP1538" i="16"/>
  <c r="AP1537" i="16"/>
  <c r="AP1536" i="16"/>
  <c r="AP1529" i="16"/>
  <c r="AP1527" i="16"/>
  <c r="AP1525" i="16"/>
  <c r="AP1515" i="16"/>
  <c r="AP1513" i="16"/>
  <c r="AP1507" i="16"/>
  <c r="AP1504" i="16"/>
  <c r="AP1502" i="16"/>
  <c r="AP1496" i="16"/>
  <c r="AP1495" i="16"/>
  <c r="AP1493" i="16"/>
  <c r="AP1467" i="16"/>
  <c r="AP1465" i="16"/>
  <c r="AP1462" i="16"/>
  <c r="AP1457" i="16"/>
  <c r="AP1456" i="16"/>
  <c r="AP1454" i="16"/>
  <c r="AP1451" i="16"/>
  <c r="AP1448" i="16"/>
  <c r="AP1443" i="16"/>
  <c r="AP1438" i="16"/>
  <c r="AP1434" i="16"/>
  <c r="AP1431" i="16"/>
  <c r="AP1427" i="16"/>
  <c r="AP1417" i="16"/>
  <c r="AP1387" i="16"/>
  <c r="AP1385" i="16"/>
  <c r="AP1383" i="16"/>
  <c r="AP1381" i="16"/>
  <c r="AP1376" i="16"/>
  <c r="AP1374" i="16"/>
  <c r="AP1371" i="16"/>
  <c r="AP1369" i="16"/>
  <c r="AP1368" i="16"/>
  <c r="AP1367" i="16"/>
  <c r="AP1365" i="16"/>
  <c r="AP1357" i="16"/>
  <c r="AP1330" i="16"/>
  <c r="AP1327" i="16"/>
  <c r="AP1326" i="16"/>
  <c r="AP1325" i="16"/>
  <c r="AP1322" i="16"/>
  <c r="AP1320" i="16"/>
  <c r="AP1318" i="16"/>
  <c r="AP1301" i="16"/>
  <c r="AP1299" i="16"/>
  <c r="AP1297" i="16"/>
  <c r="AP1295" i="16"/>
  <c r="AP1293" i="16"/>
  <c r="AP1292" i="16"/>
  <c r="AP1272" i="16"/>
  <c r="AP1270" i="16"/>
  <c r="AP1253" i="16"/>
  <c r="AP1251" i="16"/>
  <c r="AP1245" i="16"/>
  <c r="AP1234" i="16"/>
  <c r="AP1232" i="16"/>
  <c r="AP1230" i="16"/>
  <c r="AP1229" i="16"/>
  <c r="AP1226" i="16"/>
  <c r="AP1224" i="16"/>
  <c r="AP1218" i="16"/>
  <c r="AP1213" i="16"/>
  <c r="AP1211" i="16"/>
  <c r="AP1206" i="16"/>
  <c r="AP1201" i="16"/>
  <c r="AP1200" i="16"/>
  <c r="AP1198" i="16"/>
  <c r="AP1193" i="16"/>
  <c r="AP1188" i="16"/>
  <c r="AP1186" i="16"/>
  <c r="AP1181" i="16"/>
  <c r="AP1175" i="16"/>
  <c r="AP1170" i="16"/>
  <c r="AP1167" i="16"/>
  <c r="AP1161" i="16"/>
  <c r="AP1154" i="16"/>
  <c r="AP1148" i="16"/>
  <c r="AP1141" i="16"/>
  <c r="AP1130" i="16"/>
  <c r="AP1122" i="16"/>
  <c r="AP1114" i="16"/>
  <c r="AP1106" i="16"/>
  <c r="AP1099" i="16"/>
  <c r="AP1098" i="16"/>
  <c r="AP1092" i="16"/>
  <c r="AP1090" i="16"/>
  <c r="AP1084" i="16"/>
  <c r="AP1081" i="16"/>
  <c r="AP1066" i="16"/>
  <c r="AP1055" i="16"/>
  <c r="AP1049" i="16"/>
  <c r="AP1043" i="16"/>
  <c r="AP1042" i="16"/>
  <c r="AP1040" i="16"/>
  <c r="AP1030" i="16"/>
  <c r="AP1020" i="16"/>
  <c r="AP994" i="16"/>
  <c r="AP991" i="16"/>
  <c r="AP978" i="16"/>
  <c r="AP975" i="16"/>
  <c r="AP970" i="16"/>
  <c r="AP969" i="16"/>
  <c r="AP968" i="16"/>
  <c r="AP967" i="16"/>
  <c r="AP966" i="16"/>
  <c r="AP965" i="16"/>
  <c r="AP964" i="16"/>
  <c r="AP963" i="16"/>
  <c r="AP962" i="16"/>
  <c r="AP961" i="16"/>
  <c r="AP960" i="16"/>
  <c r="AP959" i="16"/>
  <c r="AP958" i="16"/>
  <c r="AP955" i="16"/>
  <c r="AP951" i="16"/>
  <c r="AP950" i="16"/>
  <c r="AP947" i="16"/>
  <c r="AP941" i="16"/>
  <c r="AP938" i="16"/>
  <c r="AP933" i="16"/>
  <c r="AP929" i="16"/>
  <c r="AP927" i="16"/>
  <c r="AP926" i="16"/>
  <c r="AP925" i="16"/>
  <c r="AP924" i="16"/>
  <c r="AP922" i="16"/>
  <c r="AP921" i="16"/>
  <c r="AP920" i="16"/>
  <c r="AP917" i="16"/>
  <c r="AP915" i="16"/>
  <c r="AP914" i="16"/>
  <c r="AP912" i="16"/>
  <c r="AP911" i="16"/>
  <c r="AP898" i="16"/>
  <c r="AP882" i="16"/>
  <c r="AP864" i="16"/>
  <c r="AP860" i="16"/>
  <c r="AP858" i="16"/>
  <c r="AP854" i="16"/>
  <c r="AP853" i="16"/>
  <c r="AP852" i="16"/>
  <c r="AP850" i="16"/>
  <c r="AP848" i="16"/>
  <c r="AP844" i="16"/>
  <c r="AP839" i="16"/>
  <c r="AP835" i="16"/>
  <c r="AP833" i="16"/>
  <c r="AP831" i="16"/>
  <c r="AP829" i="16"/>
  <c r="AP827" i="16"/>
  <c r="AP825" i="16"/>
  <c r="AP824" i="16"/>
  <c r="AP813" i="16"/>
  <c r="AP807" i="16"/>
  <c r="AP796" i="16"/>
  <c r="AP784" i="16"/>
  <c r="AP778" i="16"/>
  <c r="AP772" i="16"/>
  <c r="AP765" i="16"/>
  <c r="AP759" i="16"/>
  <c r="AP752" i="16"/>
  <c r="AP744" i="16"/>
  <c r="AP736" i="16"/>
  <c r="AP727" i="16"/>
  <c r="AP710" i="16"/>
  <c r="AP708" i="16"/>
  <c r="AP697" i="16"/>
  <c r="AP694" i="16"/>
  <c r="AP688" i="16"/>
  <c r="AP683" i="16"/>
  <c r="AP674" i="16"/>
  <c r="AP672" i="16"/>
  <c r="AP671" i="16"/>
  <c r="AP669" i="16"/>
  <c r="AP668" i="16"/>
  <c r="AP644" i="16"/>
  <c r="AP643" i="16"/>
  <c r="AP642" i="16"/>
  <c r="AP641" i="16"/>
  <c r="AP640" i="16"/>
  <c r="AP639" i="16"/>
  <c r="AP638" i="16"/>
  <c r="AP637" i="16"/>
  <c r="AP632" i="16"/>
  <c r="AP631" i="16"/>
  <c r="AP630" i="16"/>
  <c r="AP629" i="16"/>
  <c r="AP628" i="16"/>
  <c r="AP627" i="16"/>
  <c r="AP626" i="16"/>
  <c r="AP625" i="16"/>
  <c r="AP624" i="16"/>
  <c r="AP611" i="16"/>
  <c r="AP609" i="16"/>
  <c r="AP596" i="16"/>
  <c r="AP593" i="16"/>
  <c r="AP590" i="16"/>
  <c r="AP588" i="16"/>
  <c r="AP586" i="16"/>
  <c r="AP584" i="16"/>
  <c r="AP579" i="16"/>
  <c r="AP572" i="16"/>
  <c r="AP566" i="16"/>
  <c r="AP562" i="16"/>
  <c r="AP560" i="16"/>
  <c r="AP555" i="16"/>
  <c r="AP551" i="16"/>
  <c r="AP548" i="16"/>
  <c r="AP547" i="16"/>
  <c r="AP545" i="16"/>
  <c r="AP538" i="16"/>
  <c r="AP537" i="16"/>
  <c r="AP536" i="16"/>
  <c r="AP534" i="16"/>
  <c r="AP528" i="16"/>
  <c r="AP525" i="16"/>
  <c r="AP523" i="16"/>
  <c r="AP511" i="16"/>
  <c r="AP509" i="16"/>
  <c r="AP507" i="16"/>
  <c r="AP501" i="16"/>
  <c r="AP497" i="16"/>
  <c r="AP496" i="16"/>
  <c r="AP493" i="16"/>
  <c r="AP483" i="16"/>
  <c r="AP475" i="16"/>
  <c r="AP471" i="16"/>
  <c r="AP469" i="16"/>
  <c r="AP467" i="16"/>
  <c r="AP464" i="16"/>
  <c r="AP462" i="16"/>
  <c r="AP457" i="16"/>
  <c r="AP453" i="16"/>
  <c r="AP449" i="16"/>
  <c r="AP443" i="16"/>
  <c r="AP441" i="16"/>
  <c r="AP440" i="16"/>
  <c r="AP437" i="16"/>
  <c r="AP435" i="16"/>
  <c r="AP431" i="16"/>
  <c r="AP429" i="16"/>
  <c r="AP423" i="16"/>
  <c r="AP421" i="16"/>
  <c r="AP419" i="16"/>
  <c r="AP418" i="16"/>
  <c r="AP414" i="16"/>
  <c r="AP411" i="16"/>
  <c r="AP398" i="16"/>
  <c r="AP391" i="16"/>
  <c r="AP389" i="16"/>
  <c r="AP385" i="16"/>
  <c r="AP384" i="16"/>
  <c r="AP383" i="16"/>
  <c r="AP374" i="16"/>
  <c r="AP373" i="16"/>
  <c r="AP372" i="16"/>
  <c r="AP371" i="16"/>
  <c r="AP370" i="16"/>
  <c r="AP364" i="16"/>
  <c r="AP363" i="16"/>
  <c r="AP362" i="16"/>
  <c r="AP361" i="16"/>
  <c r="AP360" i="16"/>
  <c r="AP359" i="16"/>
  <c r="AP355" i="16"/>
  <c r="AP352" i="16"/>
  <c r="AP349" i="16"/>
  <c r="AP325" i="16"/>
  <c r="AP323" i="16"/>
  <c r="AP321" i="16"/>
  <c r="AP316" i="16"/>
  <c r="AP315" i="16"/>
  <c r="AP312" i="16"/>
  <c r="AP309" i="16"/>
  <c r="AP305" i="16"/>
  <c r="AP294" i="16"/>
  <c r="AP292" i="16"/>
  <c r="AP291" i="16"/>
  <c r="AP288" i="16"/>
  <c r="AP286" i="16"/>
  <c r="AP282" i="16"/>
  <c r="AP276" i="16"/>
  <c r="AP272" i="16"/>
  <c r="AP271" i="16"/>
  <c r="AP267" i="16"/>
  <c r="AP264" i="16"/>
  <c r="AP257" i="16"/>
  <c r="AP255" i="16"/>
  <c r="AP253" i="16"/>
  <c r="AP246" i="16"/>
  <c r="AP244" i="16"/>
  <c r="AP243" i="16"/>
  <c r="AP242" i="16"/>
  <c r="AP241" i="16"/>
  <c r="AP240" i="16"/>
  <c r="AP239" i="16"/>
  <c r="AP237" i="16"/>
  <c r="AP234" i="16"/>
  <c r="AP230" i="16"/>
  <c r="AP228" i="16"/>
  <c r="AP226" i="16"/>
  <c r="AP225" i="16"/>
  <c r="AP223" i="16"/>
  <c r="AP218" i="16"/>
  <c r="AP216" i="16"/>
  <c r="AP215" i="16"/>
  <c r="AP208" i="16"/>
  <c r="AP201" i="16"/>
  <c r="AP193" i="16"/>
  <c r="AP191" i="16"/>
  <c r="AP190" i="16"/>
  <c r="AP189" i="16"/>
  <c r="AP185" i="16"/>
  <c r="AP183" i="16"/>
  <c r="AP181" i="16"/>
  <c r="AP178" i="16"/>
  <c r="AP176" i="16"/>
  <c r="AP171" i="16"/>
  <c r="AP170" i="16"/>
  <c r="AP165" i="16"/>
  <c r="AP162" i="16"/>
  <c r="AP160" i="16"/>
  <c r="AP157" i="16"/>
  <c r="AP155" i="16"/>
  <c r="AP149" i="16"/>
  <c r="AP147" i="16"/>
  <c r="AP142" i="16"/>
  <c r="AP140" i="16"/>
  <c r="AP135" i="16"/>
  <c r="AP128" i="16"/>
  <c r="AP124" i="16"/>
  <c r="AP121" i="16"/>
  <c r="AP113" i="16"/>
  <c r="AP112" i="16"/>
  <c r="AP111" i="16"/>
  <c r="AP109" i="16"/>
  <c r="AP108" i="16"/>
  <c r="AP104" i="16"/>
  <c r="AP100" i="16"/>
  <c r="AP98" i="16"/>
  <c r="AP93" i="16"/>
  <c r="AP91" i="16"/>
  <c r="AP90" i="16"/>
  <c r="AP89" i="16"/>
  <c r="AP83" i="16"/>
  <c r="AP81" i="16"/>
  <c r="AP79" i="16"/>
  <c r="AP77" i="16"/>
  <c r="AP75" i="16"/>
  <c r="AP73" i="16"/>
  <c r="AP71" i="16"/>
  <c r="AP69" i="16"/>
  <c r="AP58" i="16"/>
  <c r="AP55" i="16"/>
  <c r="AP52" i="16"/>
  <c r="AP50" i="16"/>
  <c r="AP45" i="16"/>
  <c r="AP42" i="16"/>
  <c r="AP37" i="16"/>
  <c r="AP27" i="16"/>
  <c r="AP25" i="16"/>
  <c r="AP23" i="16"/>
  <c r="AP21" i="16"/>
  <c r="AP18" i="16"/>
  <c r="AP17" i="16"/>
  <c r="AP16" i="16"/>
  <c r="AP14" i="16"/>
  <c r="AN2467" i="16"/>
  <c r="AN2463" i="16"/>
  <c r="AN2460" i="16"/>
  <c r="AN2456" i="16"/>
  <c r="AN2454" i="16"/>
  <c r="AN2435" i="16"/>
  <c r="AN2420" i="16"/>
  <c r="AN2408" i="16"/>
  <c r="AN2395" i="16"/>
  <c r="AN2367" i="16"/>
  <c r="AN2340" i="16"/>
  <c r="AN2322" i="16"/>
  <c r="AN2303" i="16"/>
  <c r="AN2255" i="16"/>
  <c r="AN2248" i="16"/>
  <c r="AN2243" i="16"/>
  <c r="AN2239" i="16"/>
  <c r="AN2237" i="16"/>
  <c r="AN2232" i="16"/>
  <c r="AN2215" i="16"/>
  <c r="AN2210" i="16"/>
  <c r="AN2202" i="16"/>
  <c r="AN2198" i="16"/>
  <c r="AN2194" i="16"/>
  <c r="AN2188" i="16"/>
  <c r="AN2178" i="16"/>
  <c r="AN2176" i="16"/>
  <c r="AN2154" i="16"/>
  <c r="AN2110" i="16"/>
  <c r="AN2107" i="16"/>
  <c r="AN2101" i="16"/>
  <c r="AN2098" i="16"/>
  <c r="AN2096" i="16"/>
  <c r="AN2085" i="16"/>
  <c r="AN2081" i="16"/>
  <c r="AN2072" i="16"/>
  <c r="AN2067" i="16"/>
  <c r="AN2063" i="16"/>
  <c r="AN2059" i="16"/>
  <c r="AN2056" i="16"/>
  <c r="AN2052" i="16"/>
  <c r="AN2044" i="16"/>
  <c r="AN2042" i="16"/>
  <c r="AN2036" i="16"/>
  <c r="AN2030" i="16"/>
  <c r="AN2025" i="16"/>
  <c r="AN2012" i="16"/>
  <c r="AN2006" i="16"/>
  <c r="AN2001" i="16"/>
  <c r="AN1994" i="16"/>
  <c r="AN1985" i="16"/>
  <c r="AN1964" i="16"/>
  <c r="AN1959" i="16"/>
  <c r="AN1957" i="16"/>
  <c r="AN1935" i="16"/>
  <c r="AN1934" i="16"/>
  <c r="AN1928" i="16"/>
  <c r="AN1926" i="16"/>
  <c r="AN1924" i="16"/>
  <c r="AN1921" i="16"/>
  <c r="AN1919" i="16"/>
  <c r="AN1917" i="16"/>
  <c r="AN1914" i="16"/>
  <c r="AN1912" i="16"/>
  <c r="AN1909" i="16"/>
  <c r="AN1903" i="16"/>
  <c r="AN1900" i="16"/>
  <c r="AN1892" i="16"/>
  <c r="AN1889" i="16"/>
  <c r="AN1884" i="16"/>
  <c r="AN1878" i="16"/>
  <c r="AN1862" i="16"/>
  <c r="AN1860" i="16"/>
  <c r="AN1857" i="16"/>
  <c r="AN1852" i="16"/>
  <c r="AN1849" i="16"/>
  <c r="AN1842" i="16"/>
  <c r="AN1840" i="16"/>
  <c r="AN1832" i="16"/>
  <c r="AN1824" i="16"/>
  <c r="AN1821" i="16"/>
  <c r="AN1815" i="16"/>
  <c r="AN1804" i="16"/>
  <c r="AN1800" i="16"/>
  <c r="AN1798" i="16"/>
  <c r="AN1797" i="16"/>
  <c r="AN1795" i="16"/>
  <c r="AN1793" i="16"/>
  <c r="AN1787" i="16"/>
  <c r="AN1785" i="16"/>
  <c r="AN1780" i="16"/>
  <c r="AN1779" i="16"/>
  <c r="AN1778" i="16"/>
  <c r="AN1774" i="16"/>
  <c r="AN1769" i="16"/>
  <c r="AN1767" i="16"/>
  <c r="AN1763" i="16"/>
  <c r="AN1760" i="16"/>
  <c r="AN1753" i="16"/>
  <c r="AN1746" i="16"/>
  <c r="AN1741" i="16"/>
  <c r="AN1729" i="16"/>
  <c r="AN1726" i="16"/>
  <c r="AN1721" i="16"/>
  <c r="AN1709" i="16"/>
  <c r="AN1704" i="16"/>
  <c r="AN1702" i="16"/>
  <c r="AN1695" i="16"/>
  <c r="AN1693" i="16"/>
  <c r="AN1685" i="16"/>
  <c r="AN1684" i="16"/>
  <c r="AN1679" i="16"/>
  <c r="AN1649" i="16"/>
  <c r="AN1637" i="16"/>
  <c r="AN1636" i="16"/>
  <c r="AN1631" i="16"/>
  <c r="AN1627" i="16"/>
  <c r="AN1622" i="16"/>
  <c r="AN1618" i="16"/>
  <c r="AN1616" i="16"/>
  <c r="AN1611" i="16"/>
  <c r="AN1606" i="16"/>
  <c r="AN1603" i="16"/>
  <c r="AN1600" i="16"/>
  <c r="AN1599" i="16"/>
  <c r="AN1595" i="16"/>
  <c r="AN1585" i="16"/>
  <c r="AN1583" i="16"/>
  <c r="AN1581" i="16"/>
  <c r="AN1578" i="16"/>
  <c r="AN1576" i="16"/>
  <c r="AN1574" i="16"/>
  <c r="AN1556" i="16"/>
  <c r="AN1549" i="16"/>
  <c r="AN1544" i="16"/>
  <c r="AN1534" i="16"/>
  <c r="AN1529" i="16"/>
  <c r="AN1527" i="16"/>
  <c r="AN1525" i="16"/>
  <c r="AN1513" i="16"/>
  <c r="AN1507" i="16"/>
  <c r="AN1504" i="16"/>
  <c r="AN1502" i="16"/>
  <c r="AN1496" i="16"/>
  <c r="AN1493" i="16"/>
  <c r="AN1480" i="16"/>
  <c r="AN1478" i="16"/>
  <c r="AN1476" i="16"/>
  <c r="AN1467" i="16"/>
  <c r="AN1465" i="16"/>
  <c r="AN1462" i="16"/>
  <c r="AN1457" i="16"/>
  <c r="AN1456" i="16"/>
  <c r="AN1453" i="16"/>
  <c r="AN1451" i="16"/>
  <c r="AN1448" i="16"/>
  <c r="AN1443" i="16"/>
  <c r="AN1438" i="16"/>
  <c r="AN1434" i="16"/>
  <c r="AN1431" i="16"/>
  <c r="AN1427" i="16"/>
  <c r="AN1411" i="16"/>
  <c r="AN1387" i="16"/>
  <c r="AN1359" i="16"/>
  <c r="AN1357" i="16"/>
  <c r="AN1330" i="16"/>
  <c r="AN1327" i="16"/>
  <c r="AN1326" i="16"/>
  <c r="AN1325" i="16"/>
  <c r="AN1322" i="16"/>
  <c r="AN1320" i="16"/>
  <c r="AN1318" i="16"/>
  <c r="AN1308" i="16"/>
  <c r="AN1301" i="16"/>
  <c r="AN1297" i="16"/>
  <c r="AN1295" i="16"/>
  <c r="AN1293" i="16"/>
  <c r="AN1292" i="16"/>
  <c r="AN1290" i="16"/>
  <c r="AN1288" i="16"/>
  <c r="AN1286" i="16"/>
  <c r="AN1280" i="16"/>
  <c r="AN1271" i="16"/>
  <c r="AN1266" i="16"/>
  <c r="AN1261" i="16"/>
  <c r="AN1256" i="16"/>
  <c r="AN1252" i="16"/>
  <c r="AN1234" i="16"/>
  <c r="AN1228" i="16"/>
  <c r="AN1226" i="16"/>
  <c r="AN1224" i="16"/>
  <c r="AN1218" i="16"/>
  <c r="AN1211" i="16"/>
  <c r="AN1205" i="16"/>
  <c r="AN1201" i="16"/>
  <c r="AN1200" i="16"/>
  <c r="AN1198" i="16"/>
  <c r="AN1192" i="16"/>
  <c r="AN1188" i="16"/>
  <c r="AN1186" i="16"/>
  <c r="AN1180" i="16"/>
  <c r="AN1174" i="16"/>
  <c r="AN1169" i="16"/>
  <c r="AN1166" i="16"/>
  <c r="AN1160" i="16"/>
  <c r="AN1154" i="16"/>
  <c r="AN1122" i="16"/>
  <c r="AN1102" i="16"/>
  <c r="AN1099" i="16"/>
  <c r="AN1097" i="16"/>
  <c r="AN1090" i="16"/>
  <c r="AN1065" i="16"/>
  <c r="AN1053" i="16"/>
  <c r="AN897" i="16"/>
  <c r="AN864" i="16"/>
  <c r="AN837" i="16"/>
  <c r="AN821" i="16"/>
  <c r="AN813" i="16"/>
  <c r="AN790" i="16"/>
  <c r="AN746" i="16"/>
  <c r="AN744" i="16"/>
  <c r="AN736" i="16"/>
  <c r="AN727" i="16"/>
  <c r="AN706" i="16"/>
  <c r="AN697" i="16"/>
  <c r="AN694" i="16"/>
  <c r="AN688" i="16"/>
  <c r="AN683" i="16"/>
  <c r="AN674" i="16"/>
  <c r="AN671" i="16"/>
  <c r="AN668" i="16"/>
  <c r="AN636" i="16"/>
  <c r="AN620" i="16"/>
  <c r="AN611" i="16"/>
  <c r="AN596" i="16"/>
  <c r="AN583" i="16"/>
  <c r="AN579" i="16"/>
  <c r="AN572" i="16"/>
  <c r="AN566" i="16"/>
  <c r="AN562" i="16"/>
  <c r="AN560" i="16"/>
  <c r="AN551" i="16"/>
  <c r="AN541" i="16"/>
  <c r="AN538" i="16"/>
  <c r="AN537" i="16"/>
  <c r="AN536" i="16"/>
  <c r="AN534" i="16"/>
  <c r="AN525" i="16"/>
  <c r="AN510" i="16"/>
  <c r="AN509" i="16"/>
  <c r="AN507" i="16"/>
  <c r="AN501" i="16"/>
  <c r="AN497" i="16"/>
  <c r="AN496" i="16"/>
  <c r="AN493" i="16"/>
  <c r="AN471" i="16"/>
  <c r="AN469" i="16"/>
  <c r="AN467" i="16"/>
  <c r="AN464" i="16"/>
  <c r="AN462" i="16"/>
  <c r="AN457" i="16"/>
  <c r="AN453" i="16"/>
  <c r="AN449" i="16"/>
  <c r="AN443" i="16"/>
  <c r="AN441" i="16"/>
  <c r="AN435" i="16"/>
  <c r="AN429" i="16"/>
  <c r="AN423" i="16"/>
  <c r="AN416" i="16"/>
  <c r="AN414" i="16"/>
  <c r="AN398" i="16"/>
  <c r="AN380" i="16"/>
  <c r="AN375" i="16"/>
  <c r="AN374" i="16"/>
  <c r="AN373" i="16"/>
  <c r="AN372" i="16"/>
  <c r="AN371" i="16"/>
  <c r="AN370" i="16"/>
  <c r="AN364" i="16"/>
  <c r="AN363" i="16"/>
  <c r="AN362" i="16"/>
  <c r="AN361" i="16"/>
  <c r="AN360" i="16"/>
  <c r="AN359" i="16"/>
  <c r="AN355" i="16"/>
  <c r="AN352" i="16"/>
  <c r="AN349" i="16"/>
  <c r="AN331" i="16"/>
  <c r="AN325" i="16"/>
  <c r="AN323" i="16"/>
  <c r="AN321" i="16"/>
  <c r="AN316" i="16"/>
  <c r="AN315" i="16"/>
  <c r="AN312" i="16"/>
  <c r="AN309" i="16"/>
  <c r="AN305" i="16"/>
  <c r="AN293" i="16"/>
  <c r="AN292" i="16"/>
  <c r="AN291" i="16"/>
  <c r="AN288" i="16"/>
  <c r="AN286" i="16"/>
  <c r="AN282" i="16"/>
  <c r="AN275" i="16"/>
  <c r="AN272" i="16"/>
  <c r="AN262" i="16"/>
  <c r="AN257" i="16"/>
  <c r="AN255" i="16"/>
  <c r="AN253" i="16"/>
  <c r="AN246" i="16"/>
  <c r="AN238" i="16"/>
  <c r="AN237" i="16"/>
  <c r="AN234" i="16"/>
  <c r="AN230" i="16"/>
  <c r="AN228" i="16"/>
  <c r="AN226" i="16"/>
  <c r="AN225" i="16"/>
  <c r="AN223" i="16"/>
  <c r="AN218" i="16"/>
  <c r="AN216" i="16"/>
  <c r="AN215" i="16"/>
  <c r="AN208" i="16"/>
  <c r="AN200" i="16"/>
  <c r="AN187" i="16"/>
  <c r="AN185" i="16"/>
  <c r="AN183" i="16"/>
  <c r="AN181" i="16"/>
  <c r="AN178" i="16"/>
  <c r="AN176" i="16"/>
  <c r="AN171" i="16"/>
  <c r="AN170" i="16"/>
  <c r="AN165" i="16"/>
  <c r="AN162" i="16"/>
  <c r="AN160" i="16"/>
  <c r="AN157" i="16"/>
  <c r="AN155" i="16"/>
  <c r="AN149" i="16"/>
  <c r="AN142" i="16"/>
  <c r="AN140" i="16"/>
  <c r="AN135" i="16"/>
  <c r="AN128" i="16"/>
  <c r="AN124" i="16"/>
  <c r="AN121" i="16"/>
  <c r="AN113" i="16"/>
  <c r="AN106" i="16"/>
  <c r="AN104" i="16"/>
  <c r="AN100" i="16"/>
  <c r="AN98" i="16"/>
  <c r="AN93" i="16"/>
  <c r="AN91" i="16"/>
  <c r="AN90" i="16"/>
  <c r="AN83" i="16"/>
  <c r="AN81" i="16"/>
  <c r="AN79" i="16"/>
  <c r="AN77" i="16"/>
  <c r="AN75" i="16"/>
  <c r="AN73" i="16"/>
  <c r="AN71" i="16"/>
  <c r="AN69" i="16"/>
  <c r="AN58" i="16"/>
  <c r="AN55" i="16"/>
  <c r="AN52" i="16"/>
  <c r="AN50" i="16"/>
  <c r="AN45" i="16"/>
  <c r="AN42" i="16"/>
  <c r="AN37" i="16"/>
  <c r="AN27" i="16"/>
  <c r="AN25" i="16"/>
  <c r="AN23" i="16"/>
  <c r="AN21" i="16"/>
  <c r="AN13" i="16"/>
  <c r="AL2467" i="16"/>
  <c r="AL2463" i="16"/>
  <c r="AL2460" i="16"/>
  <c r="AL2456" i="16"/>
  <c r="AL2454" i="16"/>
  <c r="AL2441" i="16"/>
  <c r="AL2438" i="16"/>
  <c r="AL2436" i="16"/>
  <c r="AL2435" i="16"/>
  <c r="AL2420" i="16"/>
  <c r="AL2412" i="16"/>
  <c r="AL2411" i="16"/>
  <c r="AL2410" i="16"/>
  <c r="AL2408" i="16"/>
  <c r="AL2397" i="16"/>
  <c r="AL2395" i="16"/>
  <c r="AL2371" i="16"/>
  <c r="AL2367" i="16"/>
  <c r="AL2365" i="16"/>
  <c r="AL2346" i="16"/>
  <c r="AL2344" i="16"/>
  <c r="AL2340" i="16"/>
  <c r="AL2331" i="16"/>
  <c r="AL2328" i="16"/>
  <c r="AL2325" i="16"/>
  <c r="AL2322" i="16"/>
  <c r="AL2305" i="16"/>
  <c r="AL2303" i="16"/>
  <c r="AL2271" i="16"/>
  <c r="AL2260" i="16"/>
  <c r="AL2259" i="16"/>
  <c r="AL2258" i="16"/>
  <c r="AL2255" i="16"/>
  <c r="AL2248" i="16"/>
  <c r="AL2243" i="16"/>
  <c r="AL2239" i="16"/>
  <c r="AL2237" i="16"/>
  <c r="AL2232" i="16"/>
  <c r="AL2228" i="16"/>
  <c r="AL2220" i="16"/>
  <c r="AL2215" i="16"/>
  <c r="AL2210" i="16"/>
  <c r="AL2202" i="16"/>
  <c r="AL2200" i="16"/>
  <c r="AL2199" i="16"/>
  <c r="AL2197" i="16"/>
  <c r="AL2195" i="16"/>
  <c r="AL2190" i="16"/>
  <c r="AL2188" i="16"/>
  <c r="AL2178" i="16"/>
  <c r="AL2176" i="16"/>
  <c r="AL2154" i="16"/>
  <c r="AL2150" i="16"/>
  <c r="AL2112" i="16"/>
  <c r="AL2111" i="16"/>
  <c r="AL2109" i="16"/>
  <c r="AL2108" i="16"/>
  <c r="AL2104" i="16"/>
  <c r="AL2101" i="16"/>
  <c r="AL2098" i="16"/>
  <c r="AL2096" i="16"/>
  <c r="AL2095" i="16"/>
  <c r="AL2094" i="16"/>
  <c r="AL2093" i="16"/>
  <c r="AL2091" i="16"/>
  <c r="AL2089" i="16"/>
  <c r="AL2085" i="16"/>
  <c r="AL2081" i="16"/>
  <c r="AL2072" i="16"/>
  <c r="AL2070" i="16"/>
  <c r="AL2068" i="16"/>
  <c r="AL2067" i="16"/>
  <c r="AL2063" i="16"/>
  <c r="AL2062" i="16"/>
  <c r="AL2061" i="16"/>
  <c r="AL2059" i="16"/>
  <c r="AL2056" i="16"/>
  <c r="AL2054" i="16"/>
  <c r="AL2052" i="16"/>
  <c r="AL2050" i="16"/>
  <c r="AL2044" i="16"/>
  <c r="AL2042" i="16"/>
  <c r="AL2039" i="16"/>
  <c r="AL2038" i="16"/>
  <c r="AL2034" i="16"/>
  <c r="AL2030" i="16"/>
  <c r="AL2025" i="16"/>
  <c r="AL2021" i="16"/>
  <c r="AL2020" i="16"/>
  <c r="AL2015" i="16"/>
  <c r="AL2006" i="16"/>
  <c r="AL2001" i="16"/>
  <c r="AL1994" i="16"/>
  <c r="AL1985" i="16"/>
  <c r="AL1964" i="16"/>
  <c r="AL1962" i="16"/>
  <c r="AL1959" i="16"/>
  <c r="AL1957" i="16"/>
  <c r="AL1953" i="16"/>
  <c r="AL1951" i="16"/>
  <c r="AL1950" i="16"/>
  <c r="AL1949" i="16"/>
  <c r="AL1947" i="16"/>
  <c r="AL1938" i="16"/>
  <c r="AL1935" i="16"/>
  <c r="AL1934" i="16"/>
  <c r="AL1928" i="16"/>
  <c r="AL1927" i="16"/>
  <c r="AL1926" i="16"/>
  <c r="AL1925" i="16"/>
  <c r="AL1924" i="16"/>
  <c r="AL1921" i="16"/>
  <c r="AL1920" i="16"/>
  <c r="AL1919" i="16"/>
  <c r="AL1918" i="16"/>
  <c r="AL1917" i="16"/>
  <c r="AL1915" i="16"/>
  <c r="AL1914" i="16"/>
  <c r="AL1913" i="16"/>
  <c r="AL1912" i="16"/>
  <c r="AL1910" i="16"/>
  <c r="AL1909" i="16"/>
  <c r="AL1905" i="16"/>
  <c r="AL1904" i="16"/>
  <c r="AL1900" i="16"/>
  <c r="AL1895" i="16"/>
  <c r="AL1894" i="16"/>
  <c r="AL1893" i="16"/>
  <c r="AL1891" i="16"/>
  <c r="AL1890" i="16"/>
  <c r="AL1884" i="16"/>
  <c r="AL1878" i="16"/>
  <c r="AL1862" i="16"/>
  <c r="AL1860" i="16"/>
  <c r="AL1857" i="16"/>
  <c r="AL1852" i="16"/>
  <c r="AL1849" i="16"/>
  <c r="AL1848" i="16"/>
  <c r="AL1846" i="16"/>
  <c r="AL1840" i="16"/>
  <c r="AL1835" i="16"/>
  <c r="AL1834" i="16"/>
  <c r="AL1831" i="16"/>
  <c r="AL1830" i="16"/>
  <c r="AL1821" i="16"/>
  <c r="AL1820" i="16"/>
  <c r="AL1818" i="16"/>
  <c r="AL1812" i="16"/>
  <c r="AL1810" i="16"/>
  <c r="AL1809" i="16"/>
  <c r="AL1808" i="16"/>
  <c r="AL1805" i="16"/>
  <c r="AL1800" i="16"/>
  <c r="AL1798" i="16"/>
  <c r="AL1797" i="16"/>
  <c r="AL1795" i="16"/>
  <c r="AL1793" i="16"/>
  <c r="AL1787" i="16"/>
  <c r="AL1785" i="16"/>
  <c r="AL1780" i="16"/>
  <c r="AL1779" i="16"/>
  <c r="AL1778" i="16"/>
  <c r="AL1774" i="16"/>
  <c r="AL1772" i="16"/>
  <c r="AL1769" i="16"/>
  <c r="AL1767" i="16"/>
  <c r="AL1763" i="16"/>
  <c r="AL1760" i="16"/>
  <c r="AL1753" i="16"/>
  <c r="AL1746" i="16"/>
  <c r="AL1745" i="16"/>
  <c r="AL1744" i="16"/>
  <c r="AL1740" i="16"/>
  <c r="AL1738" i="16"/>
  <c r="AL1737" i="16"/>
  <c r="AL1736" i="16"/>
  <c r="AL1732" i="16"/>
  <c r="AL1726" i="16"/>
  <c r="AL1725" i="16"/>
  <c r="AL1724" i="16"/>
  <c r="AL1718" i="16"/>
  <c r="AL1711" i="16"/>
  <c r="AL1709" i="16"/>
  <c r="AL1704" i="16"/>
  <c r="AL1702" i="16"/>
  <c r="AL1695" i="16"/>
  <c r="AL1693" i="16"/>
  <c r="AL1686" i="16"/>
  <c r="AL1685" i="16"/>
  <c r="AL1684" i="16"/>
  <c r="AL1679" i="16"/>
  <c r="AL1674" i="16"/>
  <c r="AL1672" i="16"/>
  <c r="AL1669" i="16"/>
  <c r="AL1667" i="16"/>
  <c r="AL1665" i="16"/>
  <c r="AL1663" i="16"/>
  <c r="AL1637" i="16"/>
  <c r="AL1636" i="16"/>
  <c r="AL1631" i="16"/>
  <c r="AL1627" i="16"/>
  <c r="AL1625" i="16"/>
  <c r="AL1624" i="16"/>
  <c r="AL1618" i="16"/>
  <c r="AL1616" i="16"/>
  <c r="AL1611" i="16"/>
  <c r="AL1606" i="16"/>
  <c r="AL1603" i="16"/>
  <c r="AL1600" i="16"/>
  <c r="AL1599" i="16"/>
  <c r="AL1595" i="16"/>
  <c r="AL1585" i="16"/>
  <c r="AL1583" i="16"/>
  <c r="AL1581" i="16"/>
  <c r="AL1578" i="16"/>
  <c r="AL1576" i="16"/>
  <c r="AL1574" i="16"/>
  <c r="AL1559" i="16"/>
  <c r="AL1558" i="16"/>
  <c r="AL1554" i="16"/>
  <c r="AL1552" i="16"/>
  <c r="AL1544" i="16"/>
  <c r="AL1541" i="16"/>
  <c r="AL1539" i="16"/>
  <c r="AL1538" i="16"/>
  <c r="AL1537" i="16"/>
  <c r="AL1536" i="16"/>
  <c r="AL1534" i="16"/>
  <c r="AL1529" i="16"/>
  <c r="AL1527" i="16"/>
  <c r="AL1525" i="16"/>
  <c r="AL1513" i="16"/>
  <c r="AL1511" i="16"/>
  <c r="AL1510" i="16"/>
  <c r="AL1504" i="16"/>
  <c r="AL1502" i="16"/>
  <c r="AL1496" i="16"/>
  <c r="AL1493" i="16"/>
  <c r="AL1480" i="16"/>
  <c r="AL1478" i="16"/>
  <c r="AL1476" i="16"/>
  <c r="AL1467" i="16"/>
  <c r="AL1465" i="16"/>
  <c r="AL1462" i="16"/>
  <c r="AL1457" i="16"/>
  <c r="AL1456" i="16"/>
  <c r="AL1453" i="16"/>
  <c r="AL1451" i="16"/>
  <c r="AL1448" i="16"/>
  <c r="AL1447" i="16"/>
  <c r="AL1446" i="16"/>
  <c r="AL1442" i="16"/>
  <c r="AL1441" i="16"/>
  <c r="AL1437" i="16"/>
  <c r="AL1436" i="16"/>
  <c r="AL1431" i="16"/>
  <c r="AL1430" i="16"/>
  <c r="AL1429" i="16"/>
  <c r="AL1387" i="16"/>
  <c r="AL1362" i="16"/>
  <c r="AL1361" i="16"/>
  <c r="AL1357" i="16"/>
  <c r="AL1330" i="16"/>
  <c r="AL1327" i="16"/>
  <c r="AL1326" i="16"/>
  <c r="AL1325" i="16"/>
  <c r="AL1322" i="16"/>
  <c r="AL1320" i="16"/>
  <c r="AL1318" i="16"/>
  <c r="AL1314" i="16"/>
  <c r="AL1313" i="16"/>
  <c r="AL1312" i="16"/>
  <c r="AL1311" i="16"/>
  <c r="AL1310" i="16"/>
  <c r="AL1307" i="16"/>
  <c r="AL1306" i="16"/>
  <c r="AL1305" i="16"/>
  <c r="AL1304" i="16"/>
  <c r="AL1303" i="16"/>
  <c r="AL1297" i="16"/>
  <c r="AL1295" i="16"/>
  <c r="AL1293" i="16"/>
  <c r="AL1292" i="16"/>
  <c r="AL1290" i="16"/>
  <c r="AL1288" i="16"/>
  <c r="AL1286" i="16"/>
  <c r="AL1285" i="16"/>
  <c r="AL1284" i="16"/>
  <c r="AL1283" i="16"/>
  <c r="AL1282" i="16"/>
  <c r="AL1279" i="16"/>
  <c r="AL1278" i="16"/>
  <c r="AL1277" i="16"/>
  <c r="AL1276" i="16"/>
  <c r="AL1275" i="16"/>
  <c r="AL1274" i="16"/>
  <c r="AL1273" i="16"/>
  <c r="AL1269" i="16"/>
  <c r="AL1268" i="16"/>
  <c r="AL1265" i="16"/>
  <c r="AL1264" i="16"/>
  <c r="AL1260" i="16"/>
  <c r="AL1259" i="16"/>
  <c r="AL1256" i="16"/>
  <c r="AL1255" i="16"/>
  <c r="AL1254" i="16"/>
  <c r="AL1242" i="16"/>
  <c r="AL1241" i="16"/>
  <c r="AL1240" i="16"/>
  <c r="AL1228" i="16"/>
  <c r="AL1226" i="16"/>
  <c r="AL1224" i="16"/>
  <c r="AL1218" i="16"/>
  <c r="AL1211" i="16"/>
  <c r="AL1210" i="16"/>
  <c r="AL1209" i="16"/>
  <c r="AL1208" i="16"/>
  <c r="AL1201" i="16"/>
  <c r="AL1200" i="16"/>
  <c r="AL1198" i="16"/>
  <c r="AL1197" i="16"/>
  <c r="AL1196" i="16"/>
  <c r="AL1195" i="16"/>
  <c r="AL1194" i="16"/>
  <c r="AL1193" i="16"/>
  <c r="AL1188" i="16"/>
  <c r="AL1186" i="16"/>
  <c r="AL1185" i="16"/>
  <c r="AL1184" i="16"/>
  <c r="AL1183" i="16"/>
  <c r="AL1182" i="16"/>
  <c r="AL1181" i="16"/>
  <c r="AL1176" i="16"/>
  <c r="AL1175" i="16"/>
  <c r="AL1173" i="16"/>
  <c r="AL1172" i="16"/>
  <c r="AL1171" i="16"/>
  <c r="AL1170" i="16"/>
  <c r="AL1168" i="16"/>
  <c r="AL1167" i="16"/>
  <c r="AL1165" i="16"/>
  <c r="AL1164" i="16"/>
  <c r="AL1163" i="16"/>
  <c r="AL1162" i="16"/>
  <c r="AL1161" i="16"/>
  <c r="AL1154" i="16"/>
  <c r="AL1129" i="16"/>
  <c r="AL1128" i="16"/>
  <c r="AL1127" i="16"/>
  <c r="AL1122" i="16"/>
  <c r="AL1106" i="16"/>
  <c r="AL1102" i="16"/>
  <c r="AL1099" i="16"/>
  <c r="AL1097" i="16"/>
  <c r="AL1090" i="16"/>
  <c r="AL1084" i="16"/>
  <c r="AL1081" i="16"/>
  <c r="AL1066" i="16"/>
  <c r="AL1065" i="16"/>
  <c r="AL1053" i="16"/>
  <c r="AL1049" i="16"/>
  <c r="AL1043" i="16"/>
  <c r="AL1038" i="16"/>
  <c r="AL1030" i="16"/>
  <c r="AL1020" i="16"/>
  <c r="AL994" i="16"/>
  <c r="AL971" i="16"/>
  <c r="AL954" i="16"/>
  <c r="AL951" i="16"/>
  <c r="AL950" i="16"/>
  <c r="AL947" i="16"/>
  <c r="AL941" i="16"/>
  <c r="AL938" i="16"/>
  <c r="AL929" i="16"/>
  <c r="AL927" i="16"/>
  <c r="AL926" i="16"/>
  <c r="AL925" i="16"/>
  <c r="AL924" i="16"/>
  <c r="AL922" i="16"/>
  <c r="AL921" i="16"/>
  <c r="AL920" i="16"/>
  <c r="AL917" i="16"/>
  <c r="AL915" i="16"/>
  <c r="AL914" i="16"/>
  <c r="AL912" i="16"/>
  <c r="AL911" i="16"/>
  <c r="AL878" i="16"/>
  <c r="AL877" i="16"/>
  <c r="AL876" i="16"/>
  <c r="AL875" i="16"/>
  <c r="AL871" i="16"/>
  <c r="AL869" i="16"/>
  <c r="AL860" i="16"/>
  <c r="AL858" i="16"/>
  <c r="AL854" i="16"/>
  <c r="AL853" i="16"/>
  <c r="AL852" i="16"/>
  <c r="AL850" i="16"/>
  <c r="AL848" i="16"/>
  <c r="AL844" i="16"/>
  <c r="AL839" i="16"/>
  <c r="AL837" i="16"/>
  <c r="AL835" i="16"/>
  <c r="AL833" i="16"/>
  <c r="AL831" i="16"/>
  <c r="AL829" i="16"/>
  <c r="AL827" i="16"/>
  <c r="AL825" i="16"/>
  <c r="AL824" i="16"/>
  <c r="AL821" i="16"/>
  <c r="AL813" i="16"/>
  <c r="AL790" i="16"/>
  <c r="AL764" i="16"/>
  <c r="AL750" i="16"/>
  <c r="AL746" i="16"/>
  <c r="AL744" i="16"/>
  <c r="AL736" i="16"/>
  <c r="AL727" i="16"/>
  <c r="AL710" i="16"/>
  <c r="AL708" i="16"/>
  <c r="AL706" i="16"/>
  <c r="AL697" i="16"/>
  <c r="AL694" i="16"/>
  <c r="AL688" i="16"/>
  <c r="AL683" i="16"/>
  <c r="AL674" i="16"/>
  <c r="AL671" i="16"/>
  <c r="AL668" i="16"/>
  <c r="AL651" i="16"/>
  <c r="AL649" i="16"/>
  <c r="AL647" i="16"/>
  <c r="AL623" i="16"/>
  <c r="AL622" i="16"/>
  <c r="AL620" i="16"/>
  <c r="AL611" i="16"/>
  <c r="AL596" i="16"/>
  <c r="AL593" i="16"/>
  <c r="AL583" i="16"/>
  <c r="AL579" i="16"/>
  <c r="AL572" i="16"/>
  <c r="AL566" i="16"/>
  <c r="AL562" i="16"/>
  <c r="AL560" i="16"/>
  <c r="AL555" i="16"/>
  <c r="AL551" i="16"/>
  <c r="AL541" i="16"/>
  <c r="AL538" i="16"/>
  <c r="AL537" i="16"/>
  <c r="AL536" i="16"/>
  <c r="AL534" i="16"/>
  <c r="AL528" i="16"/>
  <c r="AL525" i="16"/>
  <c r="AL523" i="16"/>
  <c r="AL510" i="16"/>
  <c r="AL509" i="16"/>
  <c r="AL507" i="16"/>
  <c r="AL505" i="16"/>
  <c r="AL502" i="16"/>
  <c r="AL497" i="16"/>
  <c r="AL496" i="16"/>
  <c r="AL493" i="16"/>
  <c r="AL483" i="16"/>
  <c r="AL475" i="16"/>
  <c r="AL471" i="16"/>
  <c r="AL469" i="16"/>
  <c r="AL467" i="16"/>
  <c r="AL464" i="16"/>
  <c r="AL462" i="16"/>
  <c r="AL457" i="16"/>
  <c r="AL453" i="16"/>
  <c r="AL449" i="16"/>
  <c r="AL443" i="16"/>
  <c r="AL441" i="16"/>
  <c r="AL437" i="16"/>
  <c r="AL435" i="16"/>
  <c r="AL431" i="16"/>
  <c r="AL429" i="16"/>
  <c r="AL423" i="16"/>
  <c r="AL421" i="16"/>
  <c r="AL416" i="16"/>
  <c r="AL414" i="16"/>
  <c r="AL411" i="16"/>
  <c r="AL398" i="16"/>
  <c r="AL396" i="16"/>
  <c r="AL394" i="16"/>
  <c r="AL393" i="16"/>
  <c r="AL380" i="16"/>
  <c r="AL379" i="16"/>
  <c r="AL378" i="16"/>
  <c r="AL375" i="16"/>
  <c r="AL374" i="16"/>
  <c r="AL373" i="16"/>
  <c r="AL372" i="16"/>
  <c r="AL371" i="16"/>
  <c r="AL370" i="16"/>
  <c r="AL367" i="16"/>
  <c r="AL364" i="16"/>
  <c r="AL363" i="16"/>
  <c r="AL362" i="16"/>
  <c r="AL361" i="16"/>
  <c r="AL360" i="16"/>
  <c r="AL359" i="16"/>
  <c r="AL355" i="16"/>
  <c r="AL352" i="16"/>
  <c r="AL349" i="16"/>
  <c r="AL341" i="16"/>
  <c r="AL340" i="16"/>
  <c r="AL339" i="16"/>
  <c r="AL338" i="16"/>
  <c r="AL337" i="16"/>
  <c r="AL325" i="16"/>
  <c r="AL323" i="16"/>
  <c r="AL321" i="16"/>
  <c r="AL316" i="16"/>
  <c r="AL315" i="16"/>
  <c r="AL312" i="16"/>
  <c r="AL309" i="16"/>
  <c r="AL305" i="16"/>
  <c r="AL293" i="16"/>
  <c r="AL292" i="16"/>
  <c r="AL291" i="16"/>
  <c r="AL288" i="16"/>
  <c r="AL286" i="16"/>
  <c r="AL282" i="16"/>
  <c r="AL280" i="16"/>
  <c r="AL279" i="16"/>
  <c r="AL278" i="16"/>
  <c r="AL277" i="16"/>
  <c r="AL276" i="16"/>
  <c r="AL272" i="16"/>
  <c r="AL262" i="16"/>
  <c r="AL260" i="16"/>
  <c r="AL259" i="16"/>
  <c r="AL258" i="16"/>
  <c r="AL255" i="16"/>
  <c r="AL253" i="16"/>
  <c r="AL246" i="16"/>
  <c r="AL238" i="16"/>
  <c r="AL237" i="16"/>
  <c r="AL234" i="16"/>
  <c r="AL230" i="16"/>
  <c r="AL228" i="16"/>
  <c r="AL226" i="16"/>
  <c r="AL225" i="16"/>
  <c r="AL223" i="16"/>
  <c r="AL218" i="16"/>
  <c r="AL216" i="16"/>
  <c r="AL215" i="16"/>
  <c r="AL208" i="16"/>
  <c r="AL203" i="16"/>
  <c r="AL200" i="16"/>
  <c r="AL193" i="16"/>
  <c r="AL191" i="16"/>
  <c r="AL190" i="16"/>
  <c r="AL189" i="16"/>
  <c r="AL185" i="16"/>
  <c r="AL183" i="16"/>
  <c r="AL181" i="16"/>
  <c r="AL178" i="16"/>
  <c r="AL176" i="16"/>
  <c r="AL171" i="16"/>
  <c r="AL170" i="16"/>
  <c r="AL169" i="16"/>
  <c r="AL168" i="16"/>
  <c r="AL167" i="16"/>
  <c r="AL166" i="16"/>
  <c r="AL162" i="16"/>
  <c r="AL160" i="16"/>
  <c r="AL157" i="16"/>
  <c r="AL155" i="16"/>
  <c r="AL154" i="16"/>
  <c r="AL153" i="16"/>
  <c r="AL152" i="16"/>
  <c r="AL151" i="16"/>
  <c r="AL142" i="16"/>
  <c r="AL140" i="16"/>
  <c r="AL139" i="16"/>
  <c r="AL138" i="16"/>
  <c r="AL137" i="16"/>
  <c r="AL134" i="16"/>
  <c r="AL133" i="16"/>
  <c r="AL132" i="16"/>
  <c r="AL124" i="16"/>
  <c r="AL121" i="16"/>
  <c r="AL113" i="16"/>
  <c r="AL106" i="16"/>
  <c r="AL104" i="16"/>
  <c r="AL100" i="16"/>
  <c r="AL98" i="16"/>
  <c r="AL97" i="16"/>
  <c r="AL96" i="16"/>
  <c r="AL95" i="16"/>
  <c r="AL91" i="16"/>
  <c r="AL90" i="16"/>
  <c r="AL83" i="16"/>
  <c r="AL81" i="16"/>
  <c r="AL79" i="16"/>
  <c r="AL77" i="16"/>
  <c r="AL75" i="16"/>
  <c r="AL73" i="16"/>
  <c r="AL71" i="16"/>
  <c r="AL69" i="16"/>
  <c r="AL58" i="16"/>
  <c r="AL55" i="16"/>
  <c r="AL52" i="16"/>
  <c r="AL50" i="16"/>
  <c r="AL49" i="16"/>
  <c r="AL48" i="16"/>
  <c r="AL47" i="16"/>
  <c r="AL42" i="16"/>
  <c r="AL41" i="16"/>
  <c r="AL40" i="16"/>
  <c r="AL27" i="16"/>
  <c r="AL25" i="16"/>
  <c r="AL23" i="16"/>
  <c r="AL21" i="16"/>
  <c r="AL18" i="16"/>
  <c r="AL17" i="16"/>
  <c r="AL16" i="16"/>
  <c r="AL13" i="16"/>
  <c r="AM2467" i="16"/>
  <c r="AS2463" i="16"/>
  <c r="AQ2463" i="16"/>
  <c r="AM2463" i="16"/>
  <c r="AS2460" i="16"/>
  <c r="AQ2460" i="16"/>
  <c r="AM2460" i="16"/>
  <c r="AS2456" i="16"/>
  <c r="AQ2456" i="16"/>
  <c r="AM2456" i="16"/>
  <c r="AS2454" i="16"/>
  <c r="AQ2454" i="16"/>
  <c r="AM2454" i="16"/>
  <c r="AS2441" i="16"/>
  <c r="AQ2441" i="16"/>
  <c r="AM2441" i="16"/>
  <c r="AS2438" i="16"/>
  <c r="AQ2438" i="16"/>
  <c r="AM2438" i="16"/>
  <c r="AS2436" i="16"/>
  <c r="AQ2436" i="16"/>
  <c r="AM2436" i="16"/>
  <c r="AM2435" i="16"/>
  <c r="AS2430" i="16"/>
  <c r="AQ2430" i="16"/>
  <c r="AS2429" i="16"/>
  <c r="AQ2429" i="16"/>
  <c r="AS2428" i="16"/>
  <c r="AQ2428" i="16"/>
  <c r="AS2427" i="16"/>
  <c r="AQ2427" i="16"/>
  <c r="AS2426" i="16"/>
  <c r="AQ2426" i="16"/>
  <c r="AS2425" i="16"/>
  <c r="AQ2425" i="16"/>
  <c r="AS2424" i="16"/>
  <c r="AQ2424" i="16"/>
  <c r="AM2420" i="16"/>
  <c r="AS2419" i="16"/>
  <c r="AQ2419" i="16"/>
  <c r="AS2418" i="16"/>
  <c r="AQ2418" i="16"/>
  <c r="AS2417" i="16"/>
  <c r="AQ2417" i="16"/>
  <c r="AS2416" i="16"/>
  <c r="AQ2416" i="16"/>
  <c r="AS2415" i="16"/>
  <c r="AQ2415" i="16"/>
  <c r="AS2414" i="16"/>
  <c r="AQ2414" i="16"/>
  <c r="AS2412" i="16"/>
  <c r="AQ2412" i="16"/>
  <c r="AS2411" i="16"/>
  <c r="AQ2411" i="16"/>
  <c r="AS2410" i="16"/>
  <c r="AQ2410" i="16"/>
  <c r="AM2408" i="16"/>
  <c r="AM2397" i="16"/>
  <c r="AS2395" i="16"/>
  <c r="AQ2395" i="16"/>
  <c r="AS2393" i="16"/>
  <c r="AQ2393" i="16"/>
  <c r="AS2392" i="16"/>
  <c r="AQ2392" i="16"/>
  <c r="AS2391" i="16"/>
  <c r="AQ2391" i="16"/>
  <c r="AS2390" i="16"/>
  <c r="AQ2390" i="16"/>
  <c r="AS2389" i="16"/>
  <c r="AQ2389" i="16"/>
  <c r="AS2387" i="16"/>
  <c r="AQ2387" i="16"/>
  <c r="AS2386" i="16"/>
  <c r="AQ2386" i="16"/>
  <c r="AS2384" i="16"/>
  <c r="AQ2384" i="16"/>
  <c r="AS2377" i="16"/>
  <c r="AQ2377" i="16"/>
  <c r="AS2373" i="16"/>
  <c r="AQ2373" i="16"/>
  <c r="AS2371" i="16"/>
  <c r="AQ2371" i="16"/>
  <c r="AM2367" i="16"/>
  <c r="AS2365" i="16"/>
  <c r="AQ2365" i="16"/>
  <c r="AS2362" i="16"/>
  <c r="AQ2362" i="16"/>
  <c r="AS2361" i="16"/>
  <c r="AQ2361" i="16"/>
  <c r="AS2359" i="16"/>
  <c r="AQ2359" i="16"/>
  <c r="AS2357" i="16"/>
  <c r="AQ2357" i="16"/>
  <c r="AS2356" i="16"/>
  <c r="AQ2356" i="16"/>
  <c r="AS2354" i="16"/>
  <c r="AQ2354" i="16"/>
  <c r="AS2351" i="16"/>
  <c r="AQ2351" i="16"/>
  <c r="AS2349" i="16"/>
  <c r="AQ2349" i="16"/>
  <c r="AS2346" i="16"/>
  <c r="AQ2346" i="16"/>
  <c r="AS2344" i="16"/>
  <c r="AQ2344" i="16"/>
  <c r="AM2340" i="16"/>
  <c r="AS2338" i="16"/>
  <c r="AQ2338" i="16"/>
  <c r="AS2337" i="16"/>
  <c r="AQ2337" i="16"/>
  <c r="AS2336" i="16"/>
  <c r="AQ2336" i="16"/>
  <c r="AS2334" i="16"/>
  <c r="AQ2334" i="16"/>
  <c r="AS2333" i="16"/>
  <c r="AQ2333" i="16"/>
  <c r="AS2331" i="16"/>
  <c r="AQ2331" i="16"/>
  <c r="AS2328" i="16"/>
  <c r="AQ2328" i="16"/>
  <c r="AS2325" i="16"/>
  <c r="AQ2325" i="16"/>
  <c r="AM2322" i="16"/>
  <c r="AM2305" i="16"/>
  <c r="AS2303" i="16"/>
  <c r="AQ2303" i="16"/>
  <c r="AS2302" i="16"/>
  <c r="AQ2302" i="16"/>
  <c r="AS2301" i="16"/>
  <c r="AQ2301" i="16"/>
  <c r="AS2299" i="16"/>
  <c r="AQ2299" i="16"/>
  <c r="AS2297" i="16"/>
  <c r="AQ2297" i="16"/>
  <c r="AS2295" i="16"/>
  <c r="AQ2295" i="16"/>
  <c r="AS2294" i="16"/>
  <c r="AQ2294" i="16"/>
  <c r="AS2292" i="16"/>
  <c r="AQ2292" i="16"/>
  <c r="AS2290" i="16"/>
  <c r="AQ2290" i="16"/>
  <c r="AS2289" i="16"/>
  <c r="AQ2289" i="16"/>
  <c r="AS2287" i="16"/>
  <c r="AQ2287" i="16"/>
  <c r="AS2285" i="16"/>
  <c r="AQ2285" i="16"/>
  <c r="AS2281" i="16"/>
  <c r="AQ2281" i="16"/>
  <c r="AS2275" i="16"/>
  <c r="AQ2275" i="16"/>
  <c r="AS2274" i="16"/>
  <c r="AQ2274" i="16"/>
  <c r="AS2273" i="16"/>
  <c r="AQ2273" i="16"/>
  <c r="AS2271" i="16"/>
  <c r="AQ2271" i="16"/>
  <c r="AS2270" i="16"/>
  <c r="AQ2270" i="16"/>
  <c r="AS2268" i="16"/>
  <c r="AQ2268" i="16"/>
  <c r="AS2266" i="16"/>
  <c r="AQ2266" i="16"/>
  <c r="AS2265" i="16"/>
  <c r="AQ2265" i="16"/>
  <c r="AS2264" i="16"/>
  <c r="AQ2264" i="16"/>
  <c r="AS2260" i="16"/>
  <c r="AQ2260" i="16"/>
  <c r="AS2259" i="16"/>
  <c r="AQ2259" i="16"/>
  <c r="AS2258" i="16"/>
  <c r="AQ2258" i="16"/>
  <c r="AM2255" i="16"/>
  <c r="AS2248" i="16"/>
  <c r="AQ2248" i="16"/>
  <c r="AM2248" i="16"/>
  <c r="AS2243" i="16"/>
  <c r="AQ2243" i="16"/>
  <c r="AM2243" i="16"/>
  <c r="AS2241" i="16"/>
  <c r="AQ2241" i="16"/>
  <c r="AS2240" i="16"/>
  <c r="AQ2240" i="16"/>
  <c r="AM2239" i="16"/>
  <c r="AS2237" i="16"/>
  <c r="AQ2237" i="16"/>
  <c r="AM2237" i="16"/>
  <c r="AS2232" i="16"/>
  <c r="AQ2232" i="16"/>
  <c r="AM2232" i="16"/>
  <c r="AS2228" i="16"/>
  <c r="AQ2228" i="16"/>
  <c r="AS2220" i="16"/>
  <c r="AQ2220" i="16"/>
  <c r="AS2215" i="16"/>
  <c r="AQ2215" i="16"/>
  <c r="AM2215" i="16"/>
  <c r="AS2210" i="16"/>
  <c r="AQ2210" i="16"/>
  <c r="AM2210" i="16"/>
  <c r="AQ2205" i="16"/>
  <c r="AQ2204" i="16"/>
  <c r="AS2202" i="16"/>
  <c r="AM2202" i="16"/>
  <c r="AM2200" i="16"/>
  <c r="AM2199" i="16"/>
  <c r="AS2198" i="16"/>
  <c r="AQ2198" i="16"/>
  <c r="AM2197" i="16"/>
  <c r="AM2195" i="16"/>
  <c r="AS2194" i="16"/>
  <c r="AQ2194" i="16"/>
  <c r="AS2190" i="16"/>
  <c r="AQ2190" i="16"/>
  <c r="AS2188" i="16"/>
  <c r="AQ2188" i="16"/>
  <c r="AM2188" i="16"/>
  <c r="AS2185" i="16"/>
  <c r="AQ2185" i="16"/>
  <c r="AS2182" i="16"/>
  <c r="AQ2182" i="16"/>
  <c r="AS2180" i="16"/>
  <c r="AQ2180" i="16"/>
  <c r="AM2178" i="16"/>
  <c r="AS2176" i="16"/>
  <c r="AM2176" i="16"/>
  <c r="AS2154" i="16"/>
  <c r="AQ2154" i="16"/>
  <c r="AM2154" i="16"/>
  <c r="AQ2152" i="16"/>
  <c r="AS2113" i="16"/>
  <c r="AM2112" i="16"/>
  <c r="AM2111" i="16"/>
  <c r="AM2109" i="16"/>
  <c r="AS2104" i="16"/>
  <c r="AQ2104" i="16"/>
  <c r="AS2101" i="16"/>
  <c r="AQ2101" i="16"/>
  <c r="AM2101" i="16"/>
  <c r="AS2098" i="16"/>
  <c r="AQ2098" i="16"/>
  <c r="AM2098" i="16"/>
  <c r="AS2096" i="16"/>
  <c r="AQ2096" i="16"/>
  <c r="AM2096" i="16"/>
  <c r="AM2095" i="16"/>
  <c r="AM2094" i="16"/>
  <c r="AM2093" i="16"/>
  <c r="AM2091" i="16"/>
  <c r="AM2089" i="16"/>
  <c r="AS2085" i="16"/>
  <c r="AQ2085" i="16"/>
  <c r="AS2081" i="16"/>
  <c r="AQ2081" i="16"/>
  <c r="AM2081" i="16"/>
  <c r="AS2078" i="16"/>
  <c r="AQ2078" i="16"/>
  <c r="AS2076" i="16"/>
  <c r="AQ2076" i="16"/>
  <c r="AS2074" i="16"/>
  <c r="AQ2074" i="16"/>
  <c r="AM2072" i="16"/>
  <c r="AQ2071" i="16"/>
  <c r="AM2070" i="16"/>
  <c r="AQ2069" i="16"/>
  <c r="AM2068" i="16"/>
  <c r="AS2067" i="16"/>
  <c r="AM2067" i="16"/>
  <c r="AS2063" i="16"/>
  <c r="AQ2063" i="16"/>
  <c r="AM2063" i="16"/>
  <c r="AQ2062" i="16"/>
  <c r="AM2062" i="16"/>
  <c r="AM2061" i="16"/>
  <c r="AQ2060" i="16"/>
  <c r="AS2059" i="16"/>
  <c r="AM2059" i="16"/>
  <c r="AS2056" i="16"/>
  <c r="AQ2056" i="16"/>
  <c r="AM2056" i="16"/>
  <c r="AS2054" i="16"/>
  <c r="AQ2054" i="16"/>
  <c r="AS2052" i="16"/>
  <c r="AQ2052" i="16"/>
  <c r="AM2052" i="16"/>
  <c r="AS2050" i="16"/>
  <c r="AQ2050" i="16"/>
  <c r="AS2044" i="16"/>
  <c r="AQ2044" i="16"/>
  <c r="AM2044" i="16"/>
  <c r="AS2042" i="16"/>
  <c r="AQ2042" i="16"/>
  <c r="AM2042" i="16"/>
  <c r="AQ2039" i="16"/>
  <c r="AM2039" i="16"/>
  <c r="AQ2038" i="16"/>
  <c r="AM2038" i="16"/>
  <c r="AS2036" i="16"/>
  <c r="AS2034" i="16"/>
  <c r="AQ2034" i="16"/>
  <c r="AS2030" i="16"/>
  <c r="AQ2030" i="16"/>
  <c r="AM2030" i="16"/>
  <c r="AS2025" i="16"/>
  <c r="AQ2025" i="16"/>
  <c r="AM2025" i="16"/>
  <c r="AS2021" i="16"/>
  <c r="AQ2021" i="16"/>
  <c r="AM2021" i="16"/>
  <c r="AS2020" i="16"/>
  <c r="AQ2020" i="16"/>
  <c r="AM2020" i="16"/>
  <c r="AS2015" i="16"/>
  <c r="AQ2015" i="16"/>
  <c r="AM2015" i="16"/>
  <c r="AS2006" i="16"/>
  <c r="AQ2006" i="16"/>
  <c r="AM2006" i="16"/>
  <c r="AS2001" i="16"/>
  <c r="AQ2001" i="16"/>
  <c r="AM2001" i="16"/>
  <c r="AS1999" i="16"/>
  <c r="AQ1999" i="16"/>
  <c r="AS1998" i="16"/>
  <c r="AQ1998" i="16"/>
  <c r="AS1996" i="16"/>
  <c r="AQ1996" i="16"/>
  <c r="AM1994" i="16"/>
  <c r="AS1991" i="16"/>
  <c r="AS1985" i="16"/>
  <c r="AQ1985" i="16"/>
  <c r="AM1985" i="16"/>
  <c r="AQ1982" i="16"/>
  <c r="AS1981" i="16"/>
  <c r="AQ1981" i="16"/>
  <c r="AS1971" i="16"/>
  <c r="AQ1971" i="16"/>
  <c r="AM1964" i="16"/>
  <c r="AS1962" i="16"/>
  <c r="AQ1962" i="16"/>
  <c r="AS1959" i="16"/>
  <c r="AQ1959" i="16"/>
  <c r="AM1959" i="16"/>
  <c r="AS1957" i="16"/>
  <c r="AQ1957" i="16"/>
  <c r="AM1957" i="16"/>
  <c r="AM1953" i="16"/>
  <c r="AM1951" i="16"/>
  <c r="AM1950" i="16"/>
  <c r="AM1949" i="16"/>
  <c r="AM1947" i="16"/>
  <c r="AQ1946" i="16"/>
  <c r="AQ1945" i="16"/>
  <c r="AQ1944" i="16"/>
  <c r="AS1943" i="16"/>
  <c r="AQ1943" i="16"/>
  <c r="AS1938" i="16"/>
  <c r="AQ1938" i="16"/>
  <c r="AM1935" i="16"/>
  <c r="AS1934" i="16"/>
  <c r="AQ1934" i="16"/>
  <c r="AM1934" i="16"/>
  <c r="AS1928" i="16"/>
  <c r="AQ1928" i="16"/>
  <c r="AM1928" i="16"/>
  <c r="AM1927" i="16"/>
  <c r="AS1926" i="16"/>
  <c r="AQ1926" i="16"/>
  <c r="AM1925" i="16"/>
  <c r="AS1924" i="16"/>
  <c r="AQ1924" i="16"/>
  <c r="AS1921" i="16"/>
  <c r="AQ1921" i="16"/>
  <c r="AM1921" i="16"/>
  <c r="AM1920" i="16"/>
  <c r="AS1919" i="16"/>
  <c r="AQ1919" i="16"/>
  <c r="AM1918" i="16"/>
  <c r="AS1917" i="16"/>
  <c r="AQ1917" i="16"/>
  <c r="AM1915" i="16"/>
  <c r="AS1914" i="16"/>
  <c r="AQ1914" i="16"/>
  <c r="AM1913" i="16"/>
  <c r="AS1912" i="16"/>
  <c r="AQ1912" i="16"/>
  <c r="AM1910" i="16"/>
  <c r="AS1909" i="16"/>
  <c r="AQ1909" i="16"/>
  <c r="AM1905" i="16"/>
  <c r="AM1904" i="16"/>
  <c r="AS1903" i="16"/>
  <c r="AQ1903" i="16"/>
  <c r="AS1900" i="16"/>
  <c r="AQ1900" i="16"/>
  <c r="AM1900" i="16"/>
  <c r="AS1895" i="16"/>
  <c r="AQ1895" i="16"/>
  <c r="AM1894" i="16"/>
  <c r="AM1893" i="16"/>
  <c r="AS1892" i="16"/>
  <c r="AQ1892" i="16"/>
  <c r="AM1891" i="16"/>
  <c r="AM1890" i="16"/>
  <c r="AS1889" i="16"/>
  <c r="AQ1889" i="16"/>
  <c r="AS1884" i="16"/>
  <c r="AQ1884" i="16"/>
  <c r="AM1884" i="16"/>
  <c r="AS1878" i="16"/>
  <c r="AQ1878" i="16"/>
  <c r="AM1878" i="16"/>
  <c r="AS1862" i="16"/>
  <c r="AQ1862" i="16"/>
  <c r="AM1862" i="16"/>
  <c r="AS1860" i="16"/>
  <c r="AQ1860" i="16"/>
  <c r="AM1860" i="16"/>
  <c r="AS1857" i="16"/>
  <c r="AQ1857" i="16"/>
  <c r="AM1857" i="16"/>
  <c r="AS1852" i="16"/>
  <c r="AQ1852" i="16"/>
  <c r="AM1852" i="16"/>
  <c r="AQ1850" i="16"/>
  <c r="AS1849" i="16"/>
  <c r="AM1849" i="16"/>
  <c r="AS1848" i="16"/>
  <c r="AQ1848" i="16"/>
  <c r="AM1848" i="16"/>
  <c r="AS1846" i="16"/>
  <c r="AQ1846" i="16"/>
  <c r="AM1846" i="16"/>
  <c r="AS1840" i="16"/>
  <c r="AQ1840" i="16"/>
  <c r="AM1840" i="16"/>
  <c r="AM1835" i="16"/>
  <c r="AM1834" i="16"/>
  <c r="AS1832" i="16"/>
  <c r="AQ1832" i="16"/>
  <c r="AM1831" i="16"/>
  <c r="AM1830" i="16"/>
  <c r="AS1824" i="16"/>
  <c r="AQ1824" i="16"/>
  <c r="AS1821" i="16"/>
  <c r="AQ1821" i="16"/>
  <c r="AM1821" i="16"/>
  <c r="AS1820" i="16"/>
  <c r="AQ1820" i="16"/>
  <c r="AM1820" i="16"/>
  <c r="AS1818" i="16"/>
  <c r="AQ1818" i="16"/>
  <c r="AM1818" i="16"/>
  <c r="AM1812" i="16"/>
  <c r="AM1810" i="16"/>
  <c r="AM1809" i="16"/>
  <c r="AM1808" i="16"/>
  <c r="AM1805" i="16"/>
  <c r="AS1804" i="16"/>
  <c r="AQ1804" i="16"/>
  <c r="AS1800" i="16"/>
  <c r="AQ1800" i="16"/>
  <c r="AM1800" i="16"/>
  <c r="AS1798" i="16"/>
  <c r="AQ1798" i="16"/>
  <c r="AM1798" i="16"/>
  <c r="AS1797" i="16"/>
  <c r="AQ1797" i="16"/>
  <c r="AM1797" i="16"/>
  <c r="AS1795" i="16"/>
  <c r="AQ1795" i="16"/>
  <c r="AM1795" i="16"/>
  <c r="AS1793" i="16"/>
  <c r="AQ1793" i="16"/>
  <c r="AM1793" i="16"/>
  <c r="AS1787" i="16"/>
  <c r="AQ1787" i="16"/>
  <c r="AM1787" i="16"/>
  <c r="AS1785" i="16"/>
  <c r="AQ1785" i="16"/>
  <c r="AM1785" i="16"/>
  <c r="AS1780" i="16"/>
  <c r="AQ1780" i="16"/>
  <c r="AM1780" i="16"/>
  <c r="AS1779" i="16"/>
  <c r="AQ1779" i="16"/>
  <c r="AM1779" i="16"/>
  <c r="AS1778" i="16"/>
  <c r="AQ1778" i="16"/>
  <c r="AM1778" i="16"/>
  <c r="AS1774" i="16"/>
  <c r="AQ1774" i="16"/>
  <c r="AM1774" i="16"/>
  <c r="AS1772" i="16"/>
  <c r="AQ1772" i="16"/>
  <c r="AS1769" i="16"/>
  <c r="AQ1769" i="16"/>
  <c r="AM1769" i="16"/>
  <c r="AS1767" i="16"/>
  <c r="AQ1767" i="16"/>
  <c r="AM1767" i="16"/>
  <c r="AS1763" i="16"/>
  <c r="AQ1763" i="16"/>
  <c r="AM1763" i="16"/>
  <c r="AS1760" i="16"/>
  <c r="AQ1760" i="16"/>
  <c r="AS1753" i="16"/>
  <c r="AQ1753" i="16"/>
  <c r="AM1753" i="16"/>
  <c r="AS1751" i="16"/>
  <c r="AS1746" i="16"/>
  <c r="AQ1746" i="16"/>
  <c r="AM1746" i="16"/>
  <c r="AM1745" i="16"/>
  <c r="AM1744" i="16"/>
  <c r="AS1741" i="16"/>
  <c r="AQ1741" i="16"/>
  <c r="AM1740" i="16"/>
  <c r="AM1738" i="16"/>
  <c r="AM1737" i="16"/>
  <c r="AM1736" i="16"/>
  <c r="AM1732" i="16"/>
  <c r="AQ1731" i="16"/>
  <c r="AS1729" i="16"/>
  <c r="AQ1729" i="16"/>
  <c r="AS1726" i="16"/>
  <c r="AQ1726" i="16"/>
  <c r="AM1726" i="16"/>
  <c r="AM1725" i="16"/>
  <c r="AM1724" i="16"/>
  <c r="AS1721" i="16"/>
  <c r="AQ1721" i="16"/>
  <c r="AM1718" i="16"/>
  <c r="AM1711" i="16"/>
  <c r="AS1709" i="16"/>
  <c r="AQ1709" i="16"/>
  <c r="AM1709" i="16"/>
  <c r="AS1704" i="16"/>
  <c r="AQ1704" i="16"/>
  <c r="AM1704" i="16"/>
  <c r="AS1702" i="16"/>
  <c r="AQ1702" i="16"/>
  <c r="AM1702" i="16"/>
  <c r="AS1695" i="16"/>
  <c r="AQ1695" i="16"/>
  <c r="AM1695" i="16"/>
  <c r="AS1693" i="16"/>
  <c r="AQ1693" i="16"/>
  <c r="AM1693" i="16"/>
  <c r="AM1686" i="16"/>
  <c r="AS1685" i="16"/>
  <c r="AQ1685" i="16"/>
  <c r="AM1685" i="16"/>
  <c r="AS1684" i="16"/>
  <c r="AQ1684" i="16"/>
  <c r="AM1684" i="16"/>
  <c r="AS1679" i="16"/>
  <c r="AQ1679" i="16"/>
  <c r="AM1679" i="16"/>
  <c r="AS1674" i="16"/>
  <c r="AM1674" i="16"/>
  <c r="AM1672" i="16"/>
  <c r="AM1669" i="16"/>
  <c r="AM1667" i="16"/>
  <c r="AM1665" i="16"/>
  <c r="AS1663" i="16"/>
  <c r="AM1663" i="16"/>
  <c r="AQ1650" i="16"/>
  <c r="AS1642" i="16"/>
  <c r="AQ1642" i="16"/>
  <c r="AS1637" i="16"/>
  <c r="AQ1637" i="16"/>
  <c r="AM1637" i="16"/>
  <c r="AS1636" i="16"/>
  <c r="AQ1636" i="16"/>
  <c r="AM1636" i="16"/>
  <c r="AS1631" i="16"/>
  <c r="AQ1631" i="16"/>
  <c r="AM1631" i="16"/>
  <c r="AS1627" i="16"/>
  <c r="AQ1627" i="16"/>
  <c r="AM1627" i="16"/>
  <c r="AM1625" i="16"/>
  <c r="AM1624" i="16"/>
  <c r="AS1622" i="16"/>
  <c r="AQ1622" i="16"/>
  <c r="AS1618" i="16"/>
  <c r="AQ1618" i="16"/>
  <c r="AM1618" i="16"/>
  <c r="AS1616" i="16"/>
  <c r="AQ1616" i="16"/>
  <c r="AM1616" i="16"/>
  <c r="AS1611" i="16"/>
  <c r="AQ1611" i="16"/>
  <c r="AM1611" i="16"/>
  <c r="AS1606" i="16"/>
  <c r="AQ1606" i="16"/>
  <c r="AM1606" i="16"/>
  <c r="AS1603" i="16"/>
  <c r="AQ1603" i="16"/>
  <c r="AM1603" i="16"/>
  <c r="AS1600" i="16"/>
  <c r="AQ1600" i="16"/>
  <c r="AM1600" i="16"/>
  <c r="AS1599" i="16"/>
  <c r="AQ1599" i="16"/>
  <c r="AM1599" i="16"/>
  <c r="AS1595" i="16"/>
  <c r="AQ1595" i="16"/>
  <c r="AM1595" i="16"/>
  <c r="AQ1585" i="16"/>
  <c r="AM1585" i="16"/>
  <c r="AQ1583" i="16"/>
  <c r="AM1583" i="16"/>
  <c r="AQ1581" i="16"/>
  <c r="AM1581" i="16"/>
  <c r="AS1580" i="16"/>
  <c r="AS1578" i="16"/>
  <c r="AQ1578" i="16"/>
  <c r="AM1578" i="16"/>
  <c r="AS1576" i="16"/>
  <c r="AQ1576" i="16"/>
  <c r="AM1576" i="16"/>
  <c r="AS1574" i="16"/>
  <c r="AQ1574" i="16"/>
  <c r="AM1574" i="16"/>
  <c r="AS1571" i="16"/>
  <c r="AQ1571" i="16"/>
  <c r="AS1570" i="16"/>
  <c r="AQ1570" i="16"/>
  <c r="AS1569" i="16"/>
  <c r="AQ1569" i="16"/>
  <c r="AS1568" i="16"/>
  <c r="AQ1568" i="16"/>
  <c r="AS1567" i="16"/>
  <c r="AQ1567" i="16"/>
  <c r="AS1566" i="16"/>
  <c r="AQ1566" i="16"/>
  <c r="AS1565" i="16"/>
  <c r="AQ1565" i="16"/>
  <c r="AS1564" i="16"/>
  <c r="AQ1564" i="16"/>
  <c r="AM1559" i="16"/>
  <c r="AM1558" i="16"/>
  <c r="AS1556" i="16"/>
  <c r="AM1554" i="16"/>
  <c r="AM1552" i="16"/>
  <c r="AS1549" i="16"/>
  <c r="AQ1549" i="16"/>
  <c r="AS1544" i="16"/>
  <c r="AQ1544" i="16"/>
  <c r="AM1544" i="16"/>
  <c r="AS1541" i="16"/>
  <c r="AQ1541" i="16"/>
  <c r="AM1541" i="16"/>
  <c r="AS1539" i="16"/>
  <c r="AQ1539" i="16"/>
  <c r="AM1539" i="16"/>
  <c r="AS1538" i="16"/>
  <c r="AQ1538" i="16"/>
  <c r="AM1538" i="16"/>
  <c r="AS1537" i="16"/>
  <c r="AQ1537" i="16"/>
  <c r="AM1537" i="16"/>
  <c r="AS1536" i="16"/>
  <c r="AQ1536" i="16"/>
  <c r="AM1536" i="16"/>
  <c r="AM1534" i="16"/>
  <c r="AS1529" i="16"/>
  <c r="AQ1529" i="16"/>
  <c r="AM1529" i="16"/>
  <c r="AS1527" i="16"/>
  <c r="AQ1527" i="16"/>
  <c r="AM1527" i="16"/>
  <c r="AS1525" i="16"/>
  <c r="AQ1525" i="16"/>
  <c r="AM1525" i="16"/>
  <c r="AS1522" i="16"/>
  <c r="AS1521" i="16"/>
  <c r="AS1520" i="16"/>
  <c r="AS1519" i="16"/>
  <c r="AS1518" i="16"/>
  <c r="AS1517" i="16"/>
  <c r="AS1516" i="16"/>
  <c r="AQ1515" i="16"/>
  <c r="AQ1513" i="16"/>
  <c r="AM1513" i="16"/>
  <c r="AM1511" i="16"/>
  <c r="AM1510" i="16"/>
  <c r="AS1507" i="16"/>
  <c r="AQ1507" i="16"/>
  <c r="AS1504" i="16"/>
  <c r="AQ1504" i="16"/>
  <c r="AM1504" i="16"/>
  <c r="AS1502" i="16"/>
  <c r="AQ1502" i="16"/>
  <c r="AM1502" i="16"/>
  <c r="AS1496" i="16"/>
  <c r="AQ1496" i="16"/>
  <c r="AM1496" i="16"/>
  <c r="AQ1495" i="16"/>
  <c r="AS1493" i="16"/>
  <c r="AQ1493" i="16"/>
  <c r="AM1493" i="16"/>
  <c r="AS1480" i="16"/>
  <c r="AM1480" i="16"/>
  <c r="AS1478" i="16"/>
  <c r="AM1478" i="16"/>
  <c r="AS1476" i="16"/>
  <c r="AM1476" i="16"/>
  <c r="AS1474" i="16"/>
  <c r="AS1473" i="16"/>
  <c r="AS1472" i="16"/>
  <c r="AS1471" i="16"/>
  <c r="AS1470" i="16"/>
  <c r="AS1469" i="16"/>
  <c r="AS1467" i="16"/>
  <c r="AQ1467" i="16"/>
  <c r="AM1467" i="16"/>
  <c r="AS1465" i="16"/>
  <c r="AQ1465" i="16"/>
  <c r="AM1465" i="16"/>
  <c r="AS1462" i="16"/>
  <c r="AQ1462" i="16"/>
  <c r="AM1462" i="16"/>
  <c r="AS1457" i="16"/>
  <c r="AQ1457" i="16"/>
  <c r="AM1457" i="16"/>
  <c r="AS1456" i="16"/>
  <c r="AQ1456" i="16"/>
  <c r="AM1456" i="16"/>
  <c r="AQ1454" i="16"/>
  <c r="AS1453" i="16"/>
  <c r="AM1453" i="16"/>
  <c r="AS1451" i="16"/>
  <c r="AQ1451" i="16"/>
  <c r="AM1451" i="16"/>
  <c r="AS1448" i="16"/>
  <c r="AQ1448" i="16"/>
  <c r="AM1448" i="16"/>
  <c r="AM1447" i="16"/>
  <c r="AM1446" i="16"/>
  <c r="AS1443" i="16"/>
  <c r="AQ1443" i="16"/>
  <c r="AM1442" i="16"/>
  <c r="AM1441" i="16"/>
  <c r="AS1438" i="16"/>
  <c r="AQ1438" i="16"/>
  <c r="AM1437" i="16"/>
  <c r="AM1436" i="16"/>
  <c r="AS1434" i="16"/>
  <c r="AQ1434" i="16"/>
  <c r="AS1431" i="16"/>
  <c r="AQ1431" i="16"/>
  <c r="AM1431" i="16"/>
  <c r="AM1430" i="16"/>
  <c r="AM1429" i="16"/>
  <c r="AS1427" i="16"/>
  <c r="AQ1427" i="16"/>
  <c r="AQ1417" i="16"/>
  <c r="AS1411" i="16"/>
  <c r="AS1408" i="16"/>
  <c r="AS1405" i="16"/>
  <c r="AS1397" i="16"/>
  <c r="AS1394" i="16"/>
  <c r="AS1390" i="16"/>
  <c r="AQ1387" i="16"/>
  <c r="AM1387" i="16"/>
  <c r="AS1385" i="16"/>
  <c r="AQ1385" i="16"/>
  <c r="AS1383" i="16"/>
  <c r="AQ1383" i="16"/>
  <c r="AS1381" i="16"/>
  <c r="AQ1381" i="16"/>
  <c r="AS1376" i="16"/>
  <c r="AQ1376" i="16"/>
  <c r="AS1374" i="16"/>
  <c r="AQ1374" i="16"/>
  <c r="AS1371" i="16"/>
  <c r="AQ1371" i="16"/>
  <c r="AS1369" i="16"/>
  <c r="AQ1369" i="16"/>
  <c r="AS1368" i="16"/>
  <c r="AQ1368" i="16"/>
  <c r="AS1367" i="16"/>
  <c r="AQ1367" i="16"/>
  <c r="AS1365" i="16"/>
  <c r="AQ1365" i="16"/>
  <c r="AM1362" i="16"/>
  <c r="AM1361" i="16"/>
  <c r="AS1357" i="16"/>
  <c r="AQ1357" i="16"/>
  <c r="AM1357" i="16"/>
  <c r="AS1352" i="16"/>
  <c r="AS1351" i="16"/>
  <c r="AS1350" i="16"/>
  <c r="AS1347" i="16"/>
  <c r="AS1345" i="16"/>
  <c r="AS1344" i="16"/>
  <c r="AS1343" i="16"/>
  <c r="AS1340" i="16"/>
  <c r="AS1338" i="16"/>
  <c r="AS1336" i="16"/>
  <c r="AS1334" i="16"/>
  <c r="AS1332" i="16"/>
  <c r="AQ1330" i="16"/>
  <c r="AM1330" i="16"/>
  <c r="AS1327" i="16"/>
  <c r="AQ1327" i="16"/>
  <c r="AM1327" i="16"/>
  <c r="AS1326" i="16"/>
  <c r="AQ1326" i="16"/>
  <c r="AM1326" i="16"/>
  <c r="AS1325" i="16"/>
  <c r="AQ1325" i="16"/>
  <c r="AM1325" i="16"/>
  <c r="AS1322" i="16"/>
  <c r="AQ1322" i="16"/>
  <c r="AM1322" i="16"/>
  <c r="AS1320" i="16"/>
  <c r="AQ1320" i="16"/>
  <c r="AM1320" i="16"/>
  <c r="AS1318" i="16"/>
  <c r="AQ1318" i="16"/>
  <c r="AQ1301" i="16"/>
  <c r="AQ1299" i="16"/>
  <c r="AS1298" i="16"/>
  <c r="AS1297" i="16"/>
  <c r="AQ1297" i="16"/>
  <c r="AM1297" i="16"/>
  <c r="AS1295" i="16"/>
  <c r="AQ1295" i="16"/>
  <c r="AM1295" i="16"/>
  <c r="AS1293" i="16"/>
  <c r="AQ1293" i="16"/>
  <c r="AQ1292" i="16"/>
  <c r="AM1292" i="16"/>
  <c r="AM1290" i="16"/>
  <c r="AM1288" i="16"/>
  <c r="AM1286" i="16"/>
  <c r="AM1273" i="16"/>
  <c r="AQ1272" i="16"/>
  <c r="AQ1270" i="16"/>
  <c r="AM1264" i="16"/>
  <c r="AM1256" i="16"/>
  <c r="AQ1253" i="16"/>
  <c r="AQ1251" i="16"/>
  <c r="AQ1245" i="16"/>
  <c r="AS1244" i="16"/>
  <c r="AS1234" i="16"/>
  <c r="AQ1234" i="16"/>
  <c r="AS1232" i="16"/>
  <c r="AQ1232" i="16"/>
  <c r="AS1230" i="16"/>
  <c r="AQ1230" i="16"/>
  <c r="AS1229" i="16"/>
  <c r="AQ1229" i="16"/>
  <c r="AS1226" i="16"/>
  <c r="AQ1226" i="16"/>
  <c r="AS1224" i="16"/>
  <c r="AQ1224" i="16"/>
  <c r="AS1218" i="16"/>
  <c r="AQ1218" i="16"/>
  <c r="AQ1213" i="16"/>
  <c r="AS1211" i="16"/>
  <c r="AQ1211" i="16"/>
  <c r="AM1211" i="16"/>
  <c r="AQ1206" i="16"/>
  <c r="AS1205" i="16"/>
  <c r="AS1201" i="16"/>
  <c r="AQ1201" i="16"/>
  <c r="AS1200" i="16"/>
  <c r="AQ1200" i="16"/>
  <c r="AS1198" i="16"/>
  <c r="AQ1198" i="16"/>
  <c r="AM1198" i="16"/>
  <c r="AQ1193" i="16"/>
  <c r="AS1192" i="16"/>
  <c r="AS1188" i="16"/>
  <c r="AQ1188" i="16"/>
  <c r="AS1186" i="16"/>
  <c r="AQ1186" i="16"/>
  <c r="AQ1181" i="16"/>
  <c r="AS1180" i="16"/>
  <c r="AQ1175" i="16"/>
  <c r="AS1174" i="16"/>
  <c r="AQ1170" i="16"/>
  <c r="AS1169" i="16"/>
  <c r="AQ1167" i="16"/>
  <c r="AS1166" i="16"/>
  <c r="AQ1161" i="16"/>
  <c r="AS1160" i="16"/>
  <c r="AS1154" i="16"/>
  <c r="AQ1154" i="16"/>
  <c r="AM1154" i="16"/>
  <c r="AQ1148" i="16"/>
  <c r="AS1147" i="16"/>
  <c r="AQ1141" i="16"/>
  <c r="AS1140" i="16"/>
  <c r="AS1130" i="16"/>
  <c r="AQ1130" i="16"/>
  <c r="AS1122" i="16"/>
  <c r="AQ1122" i="16"/>
  <c r="AM1122" i="16"/>
  <c r="AS1114" i="16"/>
  <c r="AQ1114" i="16"/>
  <c r="AS1106" i="16"/>
  <c r="AQ1106" i="16"/>
  <c r="AS1102" i="16"/>
  <c r="AM1102" i="16"/>
  <c r="AS1099" i="16"/>
  <c r="AQ1099" i="16"/>
  <c r="AQ1098" i="16"/>
  <c r="AS1097" i="16"/>
  <c r="AM1097" i="16"/>
  <c r="AQ1092" i="16"/>
  <c r="AS1090" i="16"/>
  <c r="AQ1090" i="16"/>
  <c r="AM1090" i="16"/>
  <c r="AS1084" i="16"/>
  <c r="AQ1084" i="16"/>
  <c r="AS1081" i="16"/>
  <c r="AQ1081" i="16"/>
  <c r="AS1066" i="16"/>
  <c r="AQ1066" i="16"/>
  <c r="AM1065" i="16"/>
  <c r="AS1062" i="16"/>
  <c r="AS1059" i="16"/>
  <c r="AQ1055" i="16"/>
  <c r="AS1053" i="16"/>
  <c r="AM1053" i="16"/>
  <c r="AS1049" i="16"/>
  <c r="AQ1049" i="16"/>
  <c r="AS1043" i="16"/>
  <c r="AQ1043" i="16"/>
  <c r="AS1042" i="16"/>
  <c r="AQ1042" i="16"/>
  <c r="AS1040" i="16"/>
  <c r="AQ1040" i="16"/>
  <c r="AS1030" i="16"/>
  <c r="AQ1030" i="16"/>
  <c r="AS1020" i="16"/>
  <c r="AQ1020" i="16"/>
  <c r="AS1017" i="16"/>
  <c r="AS1015" i="16"/>
  <c r="AS1012" i="16"/>
  <c r="AS1011" i="16"/>
  <c r="AS1010" i="16"/>
  <c r="AS1008" i="16"/>
  <c r="AS1005" i="16"/>
  <c r="AS1003" i="16"/>
  <c r="AS999" i="16"/>
  <c r="AS998" i="16"/>
  <c r="AQ994" i="16"/>
  <c r="AS991" i="16"/>
  <c r="AQ991" i="16"/>
  <c r="AS989" i="16"/>
  <c r="AS988" i="16"/>
  <c r="AS987" i="16"/>
  <c r="AS986" i="16"/>
  <c r="AS984" i="16"/>
  <c r="AS983" i="16"/>
  <c r="AS981" i="16"/>
  <c r="AS980" i="16"/>
  <c r="AS978" i="16"/>
  <c r="AQ978" i="16"/>
  <c r="AS975" i="16"/>
  <c r="AQ975" i="16"/>
  <c r="AS970" i="16"/>
  <c r="AQ970" i="16"/>
  <c r="AS969" i="16"/>
  <c r="AQ969" i="16"/>
  <c r="AS968" i="16"/>
  <c r="AQ968" i="16"/>
  <c r="AS967" i="16"/>
  <c r="AQ967" i="16"/>
  <c r="AS966" i="16"/>
  <c r="AQ966" i="16"/>
  <c r="AS965" i="16"/>
  <c r="AQ965" i="16"/>
  <c r="AS964" i="16"/>
  <c r="AQ964" i="16"/>
  <c r="AS963" i="16"/>
  <c r="AQ963" i="16"/>
  <c r="AS962" i="16"/>
  <c r="AQ962" i="16"/>
  <c r="AS961" i="16"/>
  <c r="AQ961" i="16"/>
  <c r="AS960" i="16"/>
  <c r="AQ960" i="16"/>
  <c r="AS959" i="16"/>
  <c r="AQ959" i="16"/>
  <c r="AS958" i="16"/>
  <c r="AQ958" i="16"/>
  <c r="AQ955" i="16"/>
  <c r="AS954" i="16"/>
  <c r="AS951" i="16"/>
  <c r="AQ951" i="16"/>
  <c r="AS950" i="16"/>
  <c r="AQ950" i="16"/>
  <c r="AS947" i="16"/>
  <c r="AQ947" i="16"/>
  <c r="AS941" i="16"/>
  <c r="AQ941" i="16"/>
  <c r="AS938" i="16"/>
  <c r="AQ938" i="16"/>
  <c r="AS933" i="16"/>
  <c r="AQ933" i="16"/>
  <c r="AS929" i="16"/>
  <c r="AQ929" i="16"/>
  <c r="AS927" i="16"/>
  <c r="AQ927" i="16"/>
  <c r="AS926" i="16"/>
  <c r="AQ926" i="16"/>
  <c r="AS925" i="16"/>
  <c r="AQ925" i="16"/>
  <c r="AS924" i="16"/>
  <c r="AQ924" i="16"/>
  <c r="AS922" i="16"/>
  <c r="AQ922" i="16"/>
  <c r="AS921" i="16"/>
  <c r="AQ921" i="16"/>
  <c r="AS920" i="16"/>
  <c r="AQ920" i="16"/>
  <c r="AS917" i="16"/>
  <c r="AQ917" i="16"/>
  <c r="AS915" i="16"/>
  <c r="AQ915" i="16"/>
  <c r="AS914" i="16"/>
  <c r="AQ914" i="16"/>
  <c r="AS912" i="16"/>
  <c r="AQ912" i="16"/>
  <c r="AS911" i="16"/>
  <c r="AQ911" i="16"/>
  <c r="AQ898" i="16"/>
  <c r="AS897" i="16"/>
  <c r="AS894" i="16"/>
  <c r="AS890" i="16"/>
  <c r="AS887" i="16"/>
  <c r="AQ882" i="16"/>
  <c r="AM878" i="16"/>
  <c r="AM877" i="16"/>
  <c r="AM876" i="16"/>
  <c r="AM875" i="16"/>
  <c r="AM871" i="16"/>
  <c r="AM869" i="16"/>
  <c r="AS864" i="16"/>
  <c r="AQ864" i="16"/>
  <c r="AS860" i="16"/>
  <c r="AQ860" i="16"/>
  <c r="AM860" i="16"/>
  <c r="AS858" i="16"/>
  <c r="AQ858" i="16"/>
  <c r="AM858" i="16"/>
  <c r="AS854" i="16"/>
  <c r="AQ854" i="16"/>
  <c r="AM854" i="16"/>
  <c r="AS853" i="16"/>
  <c r="AQ853" i="16"/>
  <c r="AM853" i="16"/>
  <c r="AS852" i="16"/>
  <c r="AQ852" i="16"/>
  <c r="AM852" i="16"/>
  <c r="AS850" i="16"/>
  <c r="AQ850" i="16"/>
  <c r="AM850" i="16"/>
  <c r="AS848" i="16"/>
  <c r="AQ848" i="16"/>
  <c r="AM848" i="16"/>
  <c r="AS844" i="16"/>
  <c r="AQ844" i="16"/>
  <c r="AM844" i="16"/>
  <c r="AS839" i="16"/>
  <c r="AQ839" i="16"/>
  <c r="AM839" i="16"/>
  <c r="AM837" i="16"/>
  <c r="AS835" i="16"/>
  <c r="AQ835" i="16"/>
  <c r="AM835" i="16"/>
  <c r="AS833" i="16"/>
  <c r="AQ833" i="16"/>
  <c r="AM833" i="16"/>
  <c r="AS831" i="16"/>
  <c r="AQ831" i="16"/>
  <c r="AM831" i="16"/>
  <c r="AS829" i="16"/>
  <c r="AQ829" i="16"/>
  <c r="AM829" i="16"/>
  <c r="AS827" i="16"/>
  <c r="AQ827" i="16"/>
  <c r="AM827" i="16"/>
  <c r="AS825" i="16"/>
  <c r="AQ825" i="16"/>
  <c r="AM825" i="16"/>
  <c r="AS824" i="16"/>
  <c r="AQ824" i="16"/>
  <c r="AM824" i="16"/>
  <c r="AM821" i="16"/>
  <c r="AS813" i="16"/>
  <c r="AQ813" i="16"/>
  <c r="AM813" i="16"/>
  <c r="AQ807" i="16"/>
  <c r="AS805" i="16"/>
  <c r="AQ796" i="16"/>
  <c r="AS795" i="16"/>
  <c r="AM790" i="16"/>
  <c r="AQ784" i="16"/>
  <c r="AS783" i="16"/>
  <c r="AQ778" i="16"/>
  <c r="AS777" i="16"/>
  <c r="AQ772" i="16"/>
  <c r="AS771" i="16"/>
  <c r="AQ765" i="16"/>
  <c r="AS764" i="16"/>
  <c r="AM764" i="16"/>
  <c r="AQ759" i="16"/>
  <c r="AS757" i="16"/>
  <c r="AQ752" i="16"/>
  <c r="AS750" i="16"/>
  <c r="AM750" i="16"/>
  <c r="AM746" i="16"/>
  <c r="AS744" i="16"/>
  <c r="AQ744" i="16"/>
  <c r="AM744" i="16"/>
  <c r="AS736" i="16"/>
  <c r="AQ736" i="16"/>
  <c r="AM736" i="16"/>
  <c r="AS727" i="16"/>
  <c r="AQ727" i="16"/>
  <c r="AM727" i="16"/>
  <c r="AS718" i="16"/>
  <c r="AS710" i="16"/>
  <c r="AQ710" i="16"/>
  <c r="AM710" i="16"/>
  <c r="AS708" i="16"/>
  <c r="AQ708" i="16"/>
  <c r="AM708" i="16"/>
  <c r="AM706" i="16"/>
  <c r="AS697" i="16"/>
  <c r="AQ697" i="16"/>
  <c r="AM697" i="16"/>
  <c r="AS694" i="16"/>
  <c r="AQ694" i="16"/>
  <c r="AM694" i="16"/>
  <c r="AS688" i="16"/>
  <c r="AQ688" i="16"/>
  <c r="AM688" i="16"/>
  <c r="AS683" i="16"/>
  <c r="AQ683" i="16"/>
  <c r="AM683" i="16"/>
  <c r="AS674" i="16"/>
  <c r="AQ674" i="16"/>
  <c r="AM674" i="16"/>
  <c r="AS672" i="16"/>
  <c r="AQ672" i="16"/>
  <c r="AS671" i="16"/>
  <c r="AQ671" i="16"/>
  <c r="AM671" i="16"/>
  <c r="AS669" i="16"/>
  <c r="AQ669" i="16"/>
  <c r="AS668" i="16"/>
  <c r="AQ668" i="16"/>
  <c r="AM668" i="16"/>
  <c r="AM651" i="16"/>
  <c r="AM649" i="16"/>
  <c r="AM647" i="16"/>
  <c r="AQ644" i="16"/>
  <c r="AQ643" i="16"/>
  <c r="AQ642" i="16"/>
  <c r="AQ641" i="16"/>
  <c r="AQ640" i="16"/>
  <c r="AQ639" i="16"/>
  <c r="AQ638" i="16"/>
  <c r="AS637" i="16"/>
  <c r="AQ637" i="16"/>
  <c r="AS632" i="16"/>
  <c r="AQ632" i="16"/>
  <c r="AS631" i="16"/>
  <c r="AQ631" i="16"/>
  <c r="AQ630" i="16"/>
  <c r="AQ629" i="16"/>
  <c r="AQ628" i="16"/>
  <c r="AQ627" i="16"/>
  <c r="AQ626" i="16"/>
  <c r="AQ625" i="16"/>
  <c r="AS624" i="16"/>
  <c r="AQ624" i="16"/>
  <c r="AM623" i="16"/>
  <c r="AM622" i="16"/>
  <c r="AM620" i="16"/>
  <c r="AS611" i="16"/>
  <c r="AQ611" i="16"/>
  <c r="AM611" i="16"/>
  <c r="AQ609" i="16"/>
  <c r="AS596" i="16"/>
  <c r="AQ596" i="16"/>
  <c r="AM596" i="16"/>
  <c r="AS593" i="16"/>
  <c r="AQ593" i="16"/>
  <c r="AQ590" i="16"/>
  <c r="AS589" i="16"/>
  <c r="AQ588" i="16"/>
  <c r="AS587" i="16"/>
  <c r="AQ586" i="16"/>
  <c r="AS585" i="16"/>
  <c r="AQ584" i="16"/>
  <c r="AS583" i="16"/>
  <c r="AM583" i="16"/>
  <c r="AS579" i="16"/>
  <c r="AQ579" i="16"/>
  <c r="AM579" i="16"/>
  <c r="AS572" i="16"/>
  <c r="AQ572" i="16"/>
  <c r="AM572" i="16"/>
  <c r="AS566" i="16"/>
  <c r="AQ566" i="16"/>
  <c r="AM566" i="16"/>
  <c r="AS562" i="16"/>
  <c r="AQ562" i="16"/>
  <c r="AM562" i="16"/>
  <c r="AS560" i="16"/>
  <c r="AQ560" i="16"/>
  <c r="AM560" i="16"/>
  <c r="AS555" i="16"/>
  <c r="AQ555" i="16"/>
  <c r="AS551" i="16"/>
  <c r="AQ551" i="16"/>
  <c r="AM551" i="16"/>
  <c r="AS548" i="16"/>
  <c r="AQ548" i="16"/>
  <c r="AS547" i="16"/>
  <c r="AQ547" i="16"/>
  <c r="AS545" i="16"/>
  <c r="AQ545" i="16"/>
  <c r="AM541" i="16"/>
  <c r="AS538" i="16"/>
  <c r="AQ538" i="16"/>
  <c r="AM538" i="16"/>
  <c r="AS537" i="16"/>
  <c r="AQ537" i="16"/>
  <c r="AM537" i="16"/>
  <c r="AS536" i="16"/>
  <c r="AQ536" i="16"/>
  <c r="AM536" i="16"/>
  <c r="AS534" i="16"/>
  <c r="AQ534" i="16"/>
  <c r="AS528" i="16"/>
  <c r="AQ528" i="16"/>
  <c r="AS525" i="16"/>
  <c r="AQ525" i="16"/>
  <c r="AM525" i="16"/>
  <c r="AS523" i="16"/>
  <c r="AQ523" i="16"/>
  <c r="AS511" i="16"/>
  <c r="AQ511" i="16"/>
  <c r="AM510" i="16"/>
  <c r="AS509" i="16"/>
  <c r="AQ509" i="16"/>
  <c r="AM509" i="16"/>
  <c r="AS507" i="16"/>
  <c r="AQ507" i="16"/>
  <c r="AM507" i="16"/>
  <c r="AM505" i="16"/>
  <c r="AM502" i="16"/>
  <c r="AS501" i="16"/>
  <c r="AQ501" i="16"/>
  <c r="AS497" i="16"/>
  <c r="AQ497" i="16"/>
  <c r="AM497" i="16"/>
  <c r="AS496" i="16"/>
  <c r="AQ496" i="16"/>
  <c r="AM496" i="16"/>
  <c r="AS493" i="16"/>
  <c r="AQ493" i="16"/>
  <c r="AM493" i="16"/>
  <c r="AS483" i="16"/>
  <c r="AQ483" i="16"/>
  <c r="AS475" i="16"/>
  <c r="AQ475" i="16"/>
  <c r="AS471" i="16"/>
  <c r="AQ471" i="16"/>
  <c r="AM471" i="16"/>
  <c r="AS469" i="16"/>
  <c r="AQ469" i="16"/>
  <c r="AM469" i="16"/>
  <c r="AS467" i="16"/>
  <c r="AQ467" i="16"/>
  <c r="AM467" i="16"/>
  <c r="AS464" i="16"/>
  <c r="AQ464" i="16"/>
  <c r="AS462" i="16"/>
  <c r="AQ462" i="16"/>
  <c r="AM462" i="16"/>
  <c r="AQ457" i="16"/>
  <c r="AM457" i="16"/>
  <c r="AQ453" i="16"/>
  <c r="AM453" i="16"/>
  <c r="AS449" i="16"/>
  <c r="AQ449" i="16"/>
  <c r="AM449" i="16"/>
  <c r="AQ443" i="16"/>
  <c r="AM443" i="16"/>
  <c r="AQ441" i="16"/>
  <c r="AM441" i="16"/>
  <c r="AS440" i="16"/>
  <c r="AQ440" i="16"/>
  <c r="AS437" i="16"/>
  <c r="AQ437" i="16"/>
  <c r="AS435" i="16"/>
  <c r="AQ435" i="16"/>
  <c r="AM435" i="16"/>
  <c r="AS431" i="16"/>
  <c r="AQ431" i="16"/>
  <c r="AS429" i="16"/>
  <c r="AQ429" i="16"/>
  <c r="AM429" i="16"/>
  <c r="AS423" i="16"/>
  <c r="AQ423" i="16"/>
  <c r="AM423" i="16"/>
  <c r="AS421" i="16"/>
  <c r="AQ421" i="16"/>
  <c r="AQ419" i="16"/>
  <c r="AQ418" i="16"/>
  <c r="AS416" i="16"/>
  <c r="AM416" i="16"/>
  <c r="AS414" i="16"/>
  <c r="AQ414" i="16"/>
  <c r="AM414" i="16"/>
  <c r="AS411" i="16"/>
  <c r="AQ411" i="16"/>
  <c r="AS398" i="16"/>
  <c r="AQ398" i="16"/>
  <c r="AM398" i="16"/>
  <c r="AM396" i="16"/>
  <c r="AM394" i="16"/>
  <c r="AM393" i="16"/>
  <c r="AQ391" i="16"/>
  <c r="AQ389" i="16"/>
  <c r="AQ385" i="16"/>
  <c r="AQ384" i="16"/>
  <c r="AQ383" i="16"/>
  <c r="AS380" i="16"/>
  <c r="AM380" i="16"/>
  <c r="AM379" i="16"/>
  <c r="AM378" i="16"/>
  <c r="AS375" i="16"/>
  <c r="AM375" i="16"/>
  <c r="AS374" i="16"/>
  <c r="AQ374" i="16"/>
  <c r="AM374" i="16"/>
  <c r="AS373" i="16"/>
  <c r="AQ373" i="16"/>
  <c r="AM373" i="16"/>
  <c r="AS372" i="16"/>
  <c r="AQ372" i="16"/>
  <c r="AM372" i="16"/>
  <c r="AS371" i="16"/>
  <c r="AQ371" i="16"/>
  <c r="AM371" i="16"/>
  <c r="AS370" i="16"/>
  <c r="AQ370" i="16"/>
  <c r="AM370" i="16"/>
  <c r="AM367" i="16"/>
  <c r="AS364" i="16"/>
  <c r="AQ364" i="16"/>
  <c r="AM364" i="16"/>
  <c r="AS363" i="16"/>
  <c r="AQ363" i="16"/>
  <c r="AM363" i="16"/>
  <c r="AS362" i="16"/>
  <c r="AQ362" i="16"/>
  <c r="AM362" i="16"/>
  <c r="AS361" i="16"/>
  <c r="AQ361" i="16"/>
  <c r="AM361" i="16"/>
  <c r="AS360" i="16"/>
  <c r="AQ360" i="16"/>
  <c r="AM360" i="16"/>
  <c r="AS359" i="16"/>
  <c r="AQ359" i="16"/>
  <c r="AM359" i="16"/>
  <c r="AS355" i="16"/>
  <c r="AQ355" i="16"/>
  <c r="AM355" i="16"/>
  <c r="AS352" i="16"/>
  <c r="AQ352" i="16"/>
  <c r="AM352" i="16"/>
  <c r="AS349" i="16"/>
  <c r="AQ349" i="16"/>
  <c r="AM349" i="16"/>
  <c r="AM341" i="16"/>
  <c r="AM340" i="16"/>
  <c r="AM339" i="16"/>
  <c r="AM338" i="16"/>
  <c r="AM337" i="16"/>
  <c r="AS331" i="16"/>
  <c r="AS325" i="16"/>
  <c r="AQ325" i="16"/>
  <c r="AM325" i="16"/>
  <c r="AS323" i="16"/>
  <c r="AQ323" i="16"/>
  <c r="AM323" i="16"/>
  <c r="AS321" i="16"/>
  <c r="AQ321" i="16"/>
  <c r="AM321" i="16"/>
  <c r="AS316" i="16"/>
  <c r="AQ316" i="16"/>
  <c r="AM316" i="16"/>
  <c r="AS315" i="16"/>
  <c r="AQ315" i="16"/>
  <c r="AM315" i="16"/>
  <c r="AS312" i="16"/>
  <c r="AQ312" i="16"/>
  <c r="AM312" i="16"/>
  <c r="AS309" i="16"/>
  <c r="AQ309" i="16"/>
  <c r="AM309" i="16"/>
  <c r="AS305" i="16"/>
  <c r="AQ305" i="16"/>
  <c r="AM305" i="16"/>
  <c r="AQ294" i="16"/>
  <c r="AS293" i="16"/>
  <c r="AO293" i="16"/>
  <c r="AM293" i="16"/>
  <c r="AS292" i="16"/>
  <c r="AQ292" i="16"/>
  <c r="AM292" i="16"/>
  <c r="AS291" i="16"/>
  <c r="AQ291" i="16"/>
  <c r="AM291" i="16"/>
  <c r="AS288" i="16"/>
  <c r="AQ288" i="16"/>
  <c r="AM288" i="16"/>
  <c r="AS286" i="16"/>
  <c r="AQ286" i="16"/>
  <c r="AM286" i="16"/>
  <c r="AS282" i="16"/>
  <c r="AQ282" i="16"/>
  <c r="AM282" i="16"/>
  <c r="AM280" i="16"/>
  <c r="AM279" i="16"/>
  <c r="AM278" i="16"/>
  <c r="AM277" i="16"/>
  <c r="AQ276" i="16"/>
  <c r="AM276" i="16"/>
  <c r="AS275" i="16"/>
  <c r="AS272" i="16"/>
  <c r="AQ272" i="16"/>
  <c r="AM272" i="16"/>
  <c r="AQ271" i="16"/>
  <c r="AQ267" i="16"/>
  <c r="AQ264" i="16"/>
  <c r="AS262" i="16"/>
  <c r="AM262" i="16"/>
  <c r="AM260" i="16"/>
  <c r="AM259" i="16"/>
  <c r="AM258" i="16"/>
  <c r="AS257" i="16"/>
  <c r="AQ257" i="16"/>
  <c r="AS255" i="16"/>
  <c r="AQ255" i="16"/>
  <c r="AM255" i="16"/>
  <c r="AS253" i="16"/>
  <c r="AQ253" i="16"/>
  <c r="AM253" i="16"/>
  <c r="AS246" i="16"/>
  <c r="AQ246" i="16"/>
  <c r="AM246" i="16"/>
  <c r="AQ244" i="16"/>
  <c r="AQ243" i="16"/>
  <c r="AQ242" i="16"/>
  <c r="AQ241" i="16"/>
  <c r="AQ240" i="16"/>
  <c r="AQ239" i="16"/>
  <c r="AS238" i="16"/>
  <c r="AM238" i="16"/>
  <c r="AS237" i="16"/>
  <c r="AQ237" i="16"/>
  <c r="AM237" i="16"/>
  <c r="AS234" i="16"/>
  <c r="AQ234" i="16"/>
  <c r="AM234" i="16"/>
  <c r="AS230" i="16"/>
  <c r="AQ230" i="16"/>
  <c r="AM230" i="16"/>
  <c r="AS228" i="16"/>
  <c r="AQ228" i="16"/>
  <c r="AM228" i="16"/>
  <c r="AS226" i="16"/>
  <c r="AQ226" i="16"/>
  <c r="AM226" i="16"/>
  <c r="AS225" i="16"/>
  <c r="AQ225" i="16"/>
  <c r="AM225" i="16"/>
  <c r="AS223" i="16"/>
  <c r="AQ223" i="16"/>
  <c r="AM223" i="16"/>
  <c r="AS220" i="16"/>
  <c r="AQ218" i="16"/>
  <c r="AM218" i="16"/>
  <c r="AQ216" i="16"/>
  <c r="AM216" i="16"/>
  <c r="AQ215" i="16"/>
  <c r="AM215" i="16"/>
  <c r="AS213" i="16"/>
  <c r="AS208" i="16"/>
  <c r="AQ208" i="16"/>
  <c r="AM208" i="16"/>
  <c r="AM203" i="16"/>
  <c r="AQ201" i="16"/>
  <c r="AS200" i="16"/>
  <c r="AM200" i="16"/>
  <c r="AS194" i="16"/>
  <c r="AQ193" i="16"/>
  <c r="AM193" i="16"/>
  <c r="AQ191" i="16"/>
  <c r="AM191" i="16"/>
  <c r="AQ190" i="16"/>
  <c r="AM190" i="16"/>
  <c r="AQ189" i="16"/>
  <c r="AM189" i="16"/>
  <c r="AS187" i="16"/>
  <c r="AS185" i="16"/>
  <c r="AQ185" i="16"/>
  <c r="AM185" i="16"/>
  <c r="AS183" i="16"/>
  <c r="AQ183" i="16"/>
  <c r="AM183" i="16"/>
  <c r="AS181" i="16"/>
  <c r="AQ181" i="16"/>
  <c r="AM181" i="16"/>
  <c r="AS178" i="16"/>
  <c r="AQ178" i="16"/>
  <c r="AM178" i="16"/>
  <c r="AS176" i="16"/>
  <c r="AQ176" i="16"/>
  <c r="AS171" i="16"/>
  <c r="AQ171" i="16"/>
  <c r="AS170" i="16"/>
  <c r="AQ170" i="16"/>
  <c r="AS165" i="16"/>
  <c r="AQ165" i="16"/>
  <c r="AS162" i="16"/>
  <c r="AQ162" i="16"/>
  <c r="AS160" i="16"/>
  <c r="AQ160" i="16"/>
  <c r="AS157" i="16"/>
  <c r="AQ157" i="16"/>
  <c r="AS155" i="16"/>
  <c r="AQ155" i="16"/>
  <c r="AS149" i="16"/>
  <c r="AQ149" i="16"/>
  <c r="AQ147" i="16"/>
  <c r="AS145" i="16"/>
  <c r="AS142" i="16"/>
  <c r="AQ142" i="16"/>
  <c r="AM142" i="16"/>
  <c r="AS140" i="16"/>
  <c r="AQ140" i="16"/>
  <c r="AM139" i="16"/>
  <c r="AM138" i="16"/>
  <c r="AM137" i="16"/>
  <c r="AS135" i="16"/>
  <c r="AQ135" i="16"/>
  <c r="AM134" i="16"/>
  <c r="AM133" i="16"/>
  <c r="AM132" i="16"/>
  <c r="AS128" i="16"/>
  <c r="AQ128" i="16"/>
  <c r="AS124" i="16"/>
  <c r="AQ124" i="16"/>
  <c r="AM124" i="16"/>
  <c r="AS121" i="16"/>
  <c r="AQ121" i="16"/>
  <c r="AM121" i="16"/>
  <c r="AS114" i="16"/>
  <c r="AQ113" i="16"/>
  <c r="AM113" i="16"/>
  <c r="AQ112" i="16"/>
  <c r="AQ111" i="16"/>
  <c r="AQ109" i="16"/>
  <c r="AQ108" i="16"/>
  <c r="AM106" i="16"/>
  <c r="AQ104" i="16"/>
  <c r="AM104" i="16"/>
  <c r="AS101" i="16"/>
  <c r="AQ100" i="16"/>
  <c r="AM100" i="16"/>
  <c r="AQ98" i="16"/>
  <c r="AM98" i="16"/>
  <c r="AM97" i="16"/>
  <c r="AM96" i="16"/>
  <c r="AM95" i="16"/>
  <c r="AQ93" i="16"/>
  <c r="AQ91" i="16"/>
  <c r="AM91" i="16"/>
  <c r="AQ90" i="16"/>
  <c r="AM90" i="16"/>
  <c r="AQ89" i="16"/>
  <c r="AS88" i="16"/>
  <c r="AQ83" i="16"/>
  <c r="AM83" i="16"/>
  <c r="AQ81" i="16"/>
  <c r="AM81" i="16"/>
  <c r="AQ79" i="16"/>
  <c r="AM79" i="16"/>
  <c r="AQ77" i="16"/>
  <c r="AM77" i="16"/>
  <c r="AQ75" i="16"/>
  <c r="AM75" i="16"/>
  <c r="AQ73" i="16"/>
  <c r="AM73" i="16"/>
  <c r="AQ71" i="16"/>
  <c r="AM71" i="16"/>
  <c r="AQ69" i="16"/>
  <c r="AM69" i="16"/>
  <c r="AS68" i="16"/>
  <c r="AS63" i="16"/>
  <c r="AS58" i="16"/>
  <c r="AQ58" i="16"/>
  <c r="AM58" i="16"/>
  <c r="AS55" i="16"/>
  <c r="AQ55" i="16"/>
  <c r="AM55" i="16"/>
  <c r="AS52" i="16"/>
  <c r="AQ52" i="16"/>
  <c r="AM52" i="16"/>
  <c r="AS50" i="16"/>
  <c r="AQ50" i="16"/>
  <c r="AM50" i="16"/>
  <c r="AM49" i="16"/>
  <c r="AM48" i="16"/>
  <c r="AM47" i="16"/>
  <c r="AS45" i="16"/>
  <c r="AQ45" i="16"/>
  <c r="AS42" i="16"/>
  <c r="AQ42" i="16"/>
  <c r="AM42" i="16"/>
  <c r="AM41" i="16"/>
  <c r="AM40" i="16"/>
  <c r="AS37" i="16"/>
  <c r="AQ37" i="16"/>
  <c r="AS27" i="16"/>
  <c r="AQ27" i="16"/>
  <c r="AM27" i="16"/>
  <c r="AS25" i="16"/>
  <c r="AQ25" i="16"/>
  <c r="AM25" i="16"/>
  <c r="AS23" i="16"/>
  <c r="AQ23" i="16"/>
  <c r="AM23" i="16"/>
  <c r="AS21" i="16"/>
  <c r="AQ21" i="16"/>
  <c r="AM21" i="16"/>
  <c r="AS19" i="16"/>
  <c r="AQ18" i="16"/>
  <c r="AM18" i="16"/>
  <c r="AQ17" i="16"/>
  <c r="AM17" i="16"/>
  <c r="AQ16" i="16"/>
  <c r="AM16" i="16"/>
  <c r="AQ14" i="16"/>
  <c r="AS13" i="16"/>
  <c r="AM13" i="16"/>
  <c r="G1371" i="81" l="1"/>
  <c r="G1369" i="81"/>
  <c r="G839" i="81"/>
  <c r="G840" i="81" s="1"/>
  <c r="G841" i="81" s="1"/>
  <c r="G842" i="81" s="1"/>
  <c r="G555" i="81"/>
  <c r="G556" i="81" s="1"/>
  <c r="G557" i="81" s="1"/>
  <c r="G558" i="81" s="1"/>
  <c r="G478" i="81"/>
  <c r="G479" i="81" s="1"/>
  <c r="G480" i="81" s="1"/>
  <c r="G481" i="81" s="1"/>
  <c r="G475" i="81"/>
  <c r="G267" i="81"/>
  <c r="G268" i="81" s="1"/>
  <c r="G269" i="81" s="1"/>
  <c r="G264" i="81"/>
  <c r="G265" i="81" s="1"/>
  <c r="G191" i="81"/>
  <c r="G1365" i="81" l="1"/>
  <c r="G532" i="81"/>
  <c r="I1871" i="80"/>
  <c r="G1362" i="81" l="1"/>
  <c r="G1363" i="81" s="1"/>
  <c r="A1872" i="80"/>
  <c r="A1873" i="80" s="1"/>
  <c r="H2464" i="80"/>
  <c r="H2461" i="80"/>
  <c r="H2457" i="80"/>
  <c r="H2455" i="80"/>
  <c r="H2442" i="80"/>
  <c r="A2443" i="80" s="1"/>
  <c r="A2444" i="80" s="1"/>
  <c r="H2439" i="80"/>
  <c r="A2440" i="80" s="1"/>
  <c r="A2441" i="80" s="1"/>
  <c r="H2437" i="80"/>
  <c r="H2431" i="80"/>
  <c r="H2430" i="80"/>
  <c r="H2429" i="80"/>
  <c r="H2428" i="80"/>
  <c r="H2427" i="80"/>
  <c r="H2426" i="80"/>
  <c r="H2425" i="80"/>
  <c r="H2420" i="80"/>
  <c r="H2419" i="80"/>
  <c r="H2418" i="80"/>
  <c r="H2417" i="80"/>
  <c r="H2416" i="80"/>
  <c r="H2415" i="80"/>
  <c r="H2413" i="80"/>
  <c r="H2412" i="80"/>
  <c r="H2411" i="80"/>
  <c r="H2396" i="80"/>
  <c r="H2394" i="80"/>
  <c r="H2393" i="80"/>
  <c r="H2392" i="80"/>
  <c r="H2391" i="80"/>
  <c r="H2390" i="80"/>
  <c r="H2388" i="80"/>
  <c r="H2387" i="80"/>
  <c r="H2385" i="80"/>
  <c r="H2378" i="80"/>
  <c r="H2374" i="80"/>
  <c r="H2372" i="80"/>
  <c r="H2366" i="80"/>
  <c r="H2363" i="80"/>
  <c r="H2362" i="80"/>
  <c r="H2360" i="80"/>
  <c r="H2358" i="80"/>
  <c r="H2357" i="80"/>
  <c r="H2355" i="80"/>
  <c r="H2352" i="80"/>
  <c r="H2350" i="80"/>
  <c r="H2347" i="80"/>
  <c r="H2345" i="80"/>
  <c r="H2339" i="80"/>
  <c r="H2338" i="80"/>
  <c r="H2337" i="80"/>
  <c r="H2335" i="80"/>
  <c r="H2334" i="80"/>
  <c r="H2332" i="80"/>
  <c r="H2329" i="80"/>
  <c r="H2326" i="80"/>
  <c r="H2304" i="80"/>
  <c r="H2303" i="80"/>
  <c r="H2302" i="80"/>
  <c r="H2300" i="80"/>
  <c r="H2298" i="80"/>
  <c r="H2296" i="80"/>
  <c r="H2295" i="80"/>
  <c r="H2293" i="80"/>
  <c r="H2291" i="80"/>
  <c r="H2290" i="80"/>
  <c r="H2288" i="80"/>
  <c r="H2286" i="80"/>
  <c r="H2282" i="80"/>
  <c r="H2275" i="80"/>
  <c r="H2276" i="80"/>
  <c r="H2274" i="80"/>
  <c r="H2272" i="80"/>
  <c r="H2271" i="80"/>
  <c r="H2269" i="80"/>
  <c r="H2266" i="80"/>
  <c r="H2267" i="80"/>
  <c r="H2265" i="80"/>
  <c r="H2261" i="80"/>
  <c r="H2260" i="80"/>
  <c r="H2259" i="80"/>
  <c r="H2249" i="80"/>
  <c r="H2244" i="80"/>
  <c r="H2242" i="80"/>
  <c r="H2241" i="80"/>
  <c r="H2238" i="80"/>
  <c r="H2233" i="80"/>
  <c r="H2229" i="80"/>
  <c r="H2221" i="80"/>
  <c r="H2216" i="80"/>
  <c r="H2211" i="80"/>
  <c r="H2206" i="80"/>
  <c r="H2205" i="80"/>
  <c r="H2199" i="80"/>
  <c r="H2195" i="80"/>
  <c r="H2191" i="80"/>
  <c r="A2192" i="80" s="1"/>
  <c r="H2189" i="80"/>
  <c r="H2186" i="80"/>
  <c r="H2183" i="80"/>
  <c r="A2184" i="80" s="1"/>
  <c r="A2185" i="80" s="1"/>
  <c r="H2181" i="80"/>
  <c r="A2182" i="80" s="1"/>
  <c r="H2177" i="80"/>
  <c r="H2155" i="80"/>
  <c r="H2153" i="80"/>
  <c r="H2105" i="80"/>
  <c r="H2102" i="80"/>
  <c r="H2099" i="80"/>
  <c r="H2097" i="80"/>
  <c r="H2086" i="80"/>
  <c r="H2082" i="80"/>
  <c r="H2079" i="80"/>
  <c r="H2077" i="80"/>
  <c r="H2075" i="80"/>
  <c r="H2072" i="80"/>
  <c r="H2070" i="80"/>
  <c r="H2064" i="80"/>
  <c r="H2063" i="80"/>
  <c r="H2061" i="80"/>
  <c r="H2057" i="80"/>
  <c r="H2055" i="80"/>
  <c r="A2056" i="80" s="1"/>
  <c r="H2053" i="80"/>
  <c r="H2051" i="80"/>
  <c r="H2045" i="80"/>
  <c r="H2043" i="80"/>
  <c r="H2040" i="80"/>
  <c r="H2039" i="80"/>
  <c r="H2035" i="80"/>
  <c r="H2031" i="80"/>
  <c r="H2026" i="80"/>
  <c r="H2022" i="80"/>
  <c r="H2021" i="80"/>
  <c r="H2016" i="80"/>
  <c r="H2007" i="80"/>
  <c r="H2002" i="80"/>
  <c r="H2000" i="80"/>
  <c r="H1999" i="80"/>
  <c r="H1997" i="80"/>
  <c r="H1986" i="80"/>
  <c r="H1983" i="80"/>
  <c r="H1982" i="80"/>
  <c r="H1972" i="80"/>
  <c r="H1963" i="80"/>
  <c r="A1964" i="80" s="1"/>
  <c r="H1960" i="80"/>
  <c r="H1958" i="80"/>
  <c r="H1946" i="80"/>
  <c r="H1945" i="80"/>
  <c r="H1947" i="80"/>
  <c r="H1944" i="80"/>
  <c r="H1939" i="80"/>
  <c r="A1940" i="80" s="1"/>
  <c r="H1935" i="80"/>
  <c r="H1929" i="80"/>
  <c r="H1927" i="80"/>
  <c r="H1925" i="80"/>
  <c r="H1922" i="80"/>
  <c r="H1920" i="80"/>
  <c r="H1918" i="80"/>
  <c r="H1915" i="80"/>
  <c r="H1913" i="80"/>
  <c r="H1910" i="80"/>
  <c r="H1904" i="80"/>
  <c r="H1901" i="80"/>
  <c r="H1896" i="80"/>
  <c r="A1897" i="80" s="1"/>
  <c r="A1898" i="80" s="1"/>
  <c r="A1899" i="80" s="1"/>
  <c r="H1893" i="80"/>
  <c r="H1890" i="80"/>
  <c r="H1885" i="80"/>
  <c r="H1879" i="80"/>
  <c r="H1863" i="80"/>
  <c r="H1861" i="80"/>
  <c r="H1858" i="80"/>
  <c r="H1853" i="80"/>
  <c r="H1851" i="80"/>
  <c r="H1849" i="80"/>
  <c r="H1847" i="80"/>
  <c r="H1841" i="80"/>
  <c r="H1833" i="80"/>
  <c r="H1825" i="80"/>
  <c r="H1822" i="80"/>
  <c r="H1821" i="80"/>
  <c r="H1819" i="80"/>
  <c r="H1805" i="80"/>
  <c r="H1801" i="80"/>
  <c r="H1799" i="80"/>
  <c r="H1798" i="80"/>
  <c r="H1796" i="80"/>
  <c r="H1794" i="80"/>
  <c r="H1788" i="80"/>
  <c r="H1786" i="80"/>
  <c r="H1780" i="80"/>
  <c r="H1781" i="80"/>
  <c r="H1779" i="80"/>
  <c r="H1775" i="80"/>
  <c r="H1773" i="80"/>
  <c r="A1774" i="80" s="1"/>
  <c r="H1770" i="80"/>
  <c r="H1768" i="80"/>
  <c r="H1764" i="80"/>
  <c r="H1761" i="80"/>
  <c r="H1754" i="80"/>
  <c r="H1747" i="80"/>
  <c r="A1748" i="80" s="1"/>
  <c r="H1742" i="80"/>
  <c r="A1743" i="80" s="1"/>
  <c r="A1744" i="80" s="1"/>
  <c r="H1732" i="80"/>
  <c r="H1730" i="80"/>
  <c r="H1727" i="80"/>
  <c r="H1722" i="80"/>
  <c r="H1710" i="80"/>
  <c r="H1705" i="80"/>
  <c r="H1703" i="80"/>
  <c r="H1696" i="80"/>
  <c r="H1694" i="80"/>
  <c r="H1686" i="80"/>
  <c r="H1685" i="80"/>
  <c r="H1680" i="80"/>
  <c r="H1651" i="80"/>
  <c r="H1643" i="80"/>
  <c r="H1638" i="80"/>
  <c r="H1637" i="80"/>
  <c r="H1632" i="80"/>
  <c r="H1628" i="80"/>
  <c r="H1623" i="80"/>
  <c r="H1619" i="80"/>
  <c r="H1617" i="80"/>
  <c r="H1612" i="80"/>
  <c r="H1607" i="80"/>
  <c r="H1604" i="80"/>
  <c r="H1601" i="80"/>
  <c r="H1600" i="80"/>
  <c r="H1596" i="80"/>
  <c r="H1584" i="80"/>
  <c r="H1582" i="80"/>
  <c r="H1580" i="80"/>
  <c r="H1577" i="80"/>
  <c r="H1575" i="80"/>
  <c r="H1573" i="80"/>
  <c r="H1569" i="80"/>
  <c r="H1568" i="80"/>
  <c r="H1567" i="80"/>
  <c r="H1566" i="80"/>
  <c r="H1565" i="80"/>
  <c r="H1564" i="80"/>
  <c r="H1570" i="80"/>
  <c r="H1563" i="80"/>
  <c r="H1548" i="80"/>
  <c r="H1543" i="80"/>
  <c r="H1540" i="80"/>
  <c r="H1537" i="80"/>
  <c r="H1536" i="80"/>
  <c r="H1538" i="80"/>
  <c r="H1535" i="80"/>
  <c r="H1528" i="80"/>
  <c r="H1526" i="80"/>
  <c r="H1524" i="80"/>
  <c r="H1514" i="80"/>
  <c r="H1512" i="80"/>
  <c r="H1506" i="80"/>
  <c r="H1503" i="80"/>
  <c r="H1501" i="80"/>
  <c r="H1495" i="80"/>
  <c r="H1494" i="80"/>
  <c r="H1492" i="80"/>
  <c r="H1477" i="80"/>
  <c r="H1475" i="80"/>
  <c r="H1466" i="80"/>
  <c r="H1464" i="80"/>
  <c r="H1461" i="80"/>
  <c r="H1456" i="80"/>
  <c r="H1455" i="80"/>
  <c r="H1453" i="80"/>
  <c r="H1450" i="80"/>
  <c r="H1447" i="80"/>
  <c r="H1442" i="80"/>
  <c r="H1437" i="80"/>
  <c r="H1433" i="80"/>
  <c r="H1430" i="80"/>
  <c r="H1426" i="80"/>
  <c r="H1416" i="80"/>
  <c r="A1417" i="80" s="1"/>
  <c r="H1386" i="80"/>
  <c r="H1384" i="80"/>
  <c r="H1382" i="80"/>
  <c r="H1380" i="80"/>
  <c r="H1375" i="80"/>
  <c r="H1373" i="80"/>
  <c r="H1370" i="80"/>
  <c r="H1367" i="80"/>
  <c r="H1368" i="80"/>
  <c r="H1366" i="80"/>
  <c r="H1364" i="80"/>
  <c r="H1356" i="80"/>
  <c r="H1329" i="80"/>
  <c r="H1325" i="80"/>
  <c r="H1326" i="80"/>
  <c r="H1324" i="80"/>
  <c r="H1321" i="80"/>
  <c r="H1319" i="80"/>
  <c r="H1317" i="80"/>
  <c r="H1300" i="80"/>
  <c r="H1298" i="80"/>
  <c r="H1296" i="80"/>
  <c r="H1294" i="80"/>
  <c r="H1292" i="80"/>
  <c r="H1291" i="80"/>
  <c r="H1271" i="80"/>
  <c r="H1269" i="80"/>
  <c r="H1252" i="80"/>
  <c r="H1250" i="80"/>
  <c r="H1244" i="80"/>
  <c r="H1233" i="80"/>
  <c r="H1231" i="80"/>
  <c r="H1229" i="80"/>
  <c r="H1228" i="80"/>
  <c r="H1225" i="80"/>
  <c r="H1223" i="80"/>
  <c r="H1217" i="80"/>
  <c r="H1212" i="80"/>
  <c r="H1210" i="80"/>
  <c r="H1205" i="80"/>
  <c r="H1200" i="80"/>
  <c r="H1199" i="80"/>
  <c r="H1197" i="80"/>
  <c r="H1192" i="80"/>
  <c r="H1187" i="80"/>
  <c r="H1185" i="80"/>
  <c r="H1180" i="80"/>
  <c r="H1174" i="80"/>
  <c r="H1169" i="80"/>
  <c r="H1166" i="80"/>
  <c r="H1160" i="80"/>
  <c r="H1153" i="80"/>
  <c r="H1147" i="80"/>
  <c r="H1140" i="80"/>
  <c r="H1129" i="80"/>
  <c r="H1121" i="80"/>
  <c r="H1113" i="80"/>
  <c r="H1105" i="80"/>
  <c r="A1106" i="80" s="1"/>
  <c r="H1098" i="80"/>
  <c r="H1097" i="80"/>
  <c r="H1091" i="80"/>
  <c r="H1089" i="80"/>
  <c r="A1090" i="80" s="1"/>
  <c r="H1083" i="80"/>
  <c r="A1084" i="80" s="1"/>
  <c r="H1080" i="80"/>
  <c r="H1065" i="80"/>
  <c r="H1054" i="80"/>
  <c r="H1048" i="80"/>
  <c r="H1042" i="80"/>
  <c r="H1041" i="80"/>
  <c r="H1039" i="80"/>
  <c r="H1029" i="80"/>
  <c r="A1030" i="80" s="1"/>
  <c r="A1031" i="80" s="1"/>
  <c r="H1019" i="80"/>
  <c r="A1020" i="80" s="1"/>
  <c r="A1021" i="80" s="1"/>
  <c r="A1022" i="80" s="1"/>
  <c r="H993" i="80"/>
  <c r="H990" i="80"/>
  <c r="A991" i="80" s="1"/>
  <c r="H977" i="80"/>
  <c r="H974" i="80"/>
  <c r="H969" i="80"/>
  <c r="H968" i="80"/>
  <c r="H967" i="80"/>
  <c r="H966" i="80"/>
  <c r="H965" i="80"/>
  <c r="H964" i="80"/>
  <c r="H963" i="80"/>
  <c r="H962" i="80"/>
  <c r="H961" i="80"/>
  <c r="H960" i="80"/>
  <c r="H959" i="80"/>
  <c r="H958" i="80"/>
  <c r="H957" i="80"/>
  <c r="H954" i="80"/>
  <c r="H950" i="80"/>
  <c r="A951" i="80" s="1"/>
  <c r="H949" i="80"/>
  <c r="H946" i="80"/>
  <c r="H940" i="80"/>
  <c r="A941" i="80" s="1"/>
  <c r="H937" i="80"/>
  <c r="H932" i="80"/>
  <c r="H928" i="80"/>
  <c r="H925" i="80"/>
  <c r="H924" i="80"/>
  <c r="H926" i="80"/>
  <c r="H923" i="80"/>
  <c r="H920" i="80"/>
  <c r="H921" i="80"/>
  <c r="H919" i="80"/>
  <c r="H916" i="80"/>
  <c r="H914" i="80"/>
  <c r="H913" i="80"/>
  <c r="H911" i="80"/>
  <c r="H910" i="80"/>
  <c r="H897" i="80"/>
  <c r="H881" i="80"/>
  <c r="H863" i="80"/>
  <c r="H859" i="80"/>
  <c r="H857" i="80"/>
  <c r="H852" i="80"/>
  <c r="H853" i="80"/>
  <c r="H851" i="80"/>
  <c r="H849" i="80"/>
  <c r="H847" i="80"/>
  <c r="H843" i="80"/>
  <c r="H838" i="80"/>
  <c r="H834" i="80"/>
  <c r="H832" i="80"/>
  <c r="H830" i="80"/>
  <c r="H828" i="80"/>
  <c r="H826" i="80"/>
  <c r="H824" i="80"/>
  <c r="H823" i="80"/>
  <c r="H812" i="80"/>
  <c r="H806" i="80"/>
  <c r="H795" i="80"/>
  <c r="H783" i="80"/>
  <c r="H777" i="80"/>
  <c r="H771" i="80"/>
  <c r="H764" i="80"/>
  <c r="A764" i="80" s="1"/>
  <c r="A765" i="80" s="1"/>
  <c r="H758" i="80"/>
  <c r="H751" i="80"/>
  <c r="H743" i="80"/>
  <c r="H735" i="80"/>
  <c r="H726" i="80"/>
  <c r="H709" i="80"/>
  <c r="H707" i="80"/>
  <c r="H696" i="80"/>
  <c r="H693" i="80"/>
  <c r="H687" i="80"/>
  <c r="H682" i="80"/>
  <c r="H673" i="80"/>
  <c r="H671" i="80"/>
  <c r="H670" i="80"/>
  <c r="H668" i="80"/>
  <c r="H667" i="80"/>
  <c r="H642" i="80"/>
  <c r="H641" i="80"/>
  <c r="H640" i="80"/>
  <c r="H639" i="80"/>
  <c r="H638" i="80"/>
  <c r="H637" i="80"/>
  <c r="H643" i="80"/>
  <c r="H636" i="80"/>
  <c r="H631" i="80"/>
  <c r="H630" i="80"/>
  <c r="H629" i="80"/>
  <c r="H628" i="80"/>
  <c r="H627" i="80"/>
  <c r="H626" i="80"/>
  <c r="H625" i="80"/>
  <c r="H624" i="80"/>
  <c r="H623" i="80"/>
  <c r="H610" i="80"/>
  <c r="H608" i="80"/>
  <c r="H595" i="80"/>
  <c r="H592" i="80"/>
  <c r="H589" i="80"/>
  <c r="H587" i="80"/>
  <c r="H585" i="80"/>
  <c r="H583" i="80"/>
  <c r="H578" i="80"/>
  <c r="H571" i="80"/>
  <c r="H565" i="80"/>
  <c r="H561" i="80"/>
  <c r="H559" i="80"/>
  <c r="A560" i="80" s="1"/>
  <c r="H554" i="80"/>
  <c r="C554" i="80" s="1"/>
  <c r="H550" i="80"/>
  <c r="A551" i="80" s="1"/>
  <c r="A552" i="80" s="1"/>
  <c r="C552" i="80" s="1"/>
  <c r="H547" i="80"/>
  <c r="A548" i="80" s="1"/>
  <c r="A549" i="80" s="1"/>
  <c r="C549" i="80" s="1"/>
  <c r="H546" i="80"/>
  <c r="H544" i="80"/>
  <c r="H536" i="80"/>
  <c r="H537" i="80"/>
  <c r="H535" i="80"/>
  <c r="H533" i="80"/>
  <c r="H527" i="80"/>
  <c r="A528" i="80" s="1"/>
  <c r="H524" i="80"/>
  <c r="H522" i="80"/>
  <c r="A523" i="80" s="1"/>
  <c r="H510" i="80"/>
  <c r="H508" i="80"/>
  <c r="H506" i="80"/>
  <c r="H500" i="80"/>
  <c r="H496" i="80"/>
  <c r="H495" i="80"/>
  <c r="H492" i="80"/>
  <c r="H482" i="80"/>
  <c r="C482" i="80" s="1"/>
  <c r="H474" i="80"/>
  <c r="A475" i="80" s="1"/>
  <c r="C475" i="80" s="1"/>
  <c r="H470" i="80"/>
  <c r="H468" i="80"/>
  <c r="H466" i="80"/>
  <c r="H463" i="80"/>
  <c r="H461" i="80"/>
  <c r="H456" i="80"/>
  <c r="H452" i="80"/>
  <c r="H448" i="80"/>
  <c r="H442" i="80"/>
  <c r="H440" i="80"/>
  <c r="H439" i="80"/>
  <c r="H436" i="80"/>
  <c r="A437" i="80" s="1"/>
  <c r="H434" i="80"/>
  <c r="C434" i="80" s="1"/>
  <c r="H430" i="80"/>
  <c r="H428" i="80"/>
  <c r="H422" i="80"/>
  <c r="H420" i="80"/>
  <c r="C420" i="80" s="1"/>
  <c r="H418" i="80"/>
  <c r="H417" i="80"/>
  <c r="H413" i="80"/>
  <c r="H410" i="80"/>
  <c r="H397" i="80"/>
  <c r="H390" i="80"/>
  <c r="H388" i="80"/>
  <c r="H383" i="80"/>
  <c r="H384" i="80"/>
  <c r="H382" i="80"/>
  <c r="H370" i="80"/>
  <c r="H371" i="80"/>
  <c r="H372" i="80"/>
  <c r="H373" i="80"/>
  <c r="H369" i="80"/>
  <c r="H362" i="80"/>
  <c r="H361" i="80"/>
  <c r="H360" i="80"/>
  <c r="H359" i="80"/>
  <c r="H363" i="80"/>
  <c r="A364" i="80" s="1"/>
  <c r="H358" i="80"/>
  <c r="H354" i="80"/>
  <c r="H351" i="80"/>
  <c r="H348" i="80"/>
  <c r="H324" i="80"/>
  <c r="H322" i="80"/>
  <c r="H320" i="80"/>
  <c r="H315" i="80"/>
  <c r="H314" i="80"/>
  <c r="H311" i="80"/>
  <c r="H308" i="80"/>
  <c r="H304" i="80"/>
  <c r="H293" i="80"/>
  <c r="H291" i="80"/>
  <c r="H290" i="80"/>
  <c r="H287" i="80"/>
  <c r="H285" i="80"/>
  <c r="H281" i="80"/>
  <c r="H275" i="80"/>
  <c r="H271" i="80"/>
  <c r="H270" i="80"/>
  <c r="H266" i="80"/>
  <c r="H263" i="80"/>
  <c r="H256" i="80"/>
  <c r="H254" i="80"/>
  <c r="H252" i="80"/>
  <c r="H245" i="80"/>
  <c r="H242" i="80"/>
  <c r="H241" i="80"/>
  <c r="H240" i="80"/>
  <c r="H239" i="80"/>
  <c r="H243" i="80"/>
  <c r="H238" i="80"/>
  <c r="H236" i="80"/>
  <c r="H233" i="80"/>
  <c r="H229" i="80"/>
  <c r="H227" i="80"/>
  <c r="H225" i="80"/>
  <c r="H224" i="80"/>
  <c r="H222" i="80"/>
  <c r="H217" i="80"/>
  <c r="H215" i="80"/>
  <c r="H214" i="80"/>
  <c r="H207" i="80"/>
  <c r="H200" i="80"/>
  <c r="H197" i="80"/>
  <c r="H195" i="80"/>
  <c r="H192" i="80"/>
  <c r="H189" i="80"/>
  <c r="H190" i="80"/>
  <c r="H188" i="80"/>
  <c r="H184" i="80"/>
  <c r="H182" i="80"/>
  <c r="H180" i="80"/>
  <c r="H177" i="80"/>
  <c r="H175" i="80"/>
  <c r="H170" i="80"/>
  <c r="H169" i="80"/>
  <c r="H164" i="80"/>
  <c r="H161" i="80"/>
  <c r="H159" i="80"/>
  <c r="H156" i="80"/>
  <c r="H154" i="80"/>
  <c r="H148" i="80"/>
  <c r="H146" i="80"/>
  <c r="H141" i="80"/>
  <c r="H139" i="80"/>
  <c r="H134" i="80"/>
  <c r="H127" i="80"/>
  <c r="H123" i="80"/>
  <c r="H120" i="80"/>
  <c r="H111" i="80"/>
  <c r="H112" i="80"/>
  <c r="H110" i="80"/>
  <c r="H108" i="80"/>
  <c r="H107" i="80"/>
  <c r="H103" i="80"/>
  <c r="H99" i="80"/>
  <c r="H97" i="80"/>
  <c r="H92" i="80"/>
  <c r="H89" i="80"/>
  <c r="H90" i="80"/>
  <c r="H88" i="80"/>
  <c r="H82" i="80"/>
  <c r="H80" i="80"/>
  <c r="H78" i="80"/>
  <c r="H76" i="80"/>
  <c r="H74" i="80"/>
  <c r="H72" i="80"/>
  <c r="H70" i="80"/>
  <c r="H68" i="80"/>
  <c r="H57" i="80"/>
  <c r="H54" i="80"/>
  <c r="H51" i="80"/>
  <c r="H49" i="80"/>
  <c r="H44" i="80"/>
  <c r="H41" i="80"/>
  <c r="H36" i="80"/>
  <c r="H26" i="80"/>
  <c r="H24" i="80"/>
  <c r="H22" i="80"/>
  <c r="H20" i="80"/>
  <c r="H17" i="80"/>
  <c r="H16" i="80"/>
  <c r="H15" i="80"/>
  <c r="H13" i="80"/>
  <c r="B2470" i="80"/>
  <c r="B2469" i="80"/>
  <c r="B2468" i="80"/>
  <c r="B2467" i="80"/>
  <c r="C2467" i="80" s="1"/>
  <c r="B2466" i="80"/>
  <c r="B2465" i="80"/>
  <c r="C2465" i="80" s="1"/>
  <c r="B2464" i="80"/>
  <c r="C2464" i="80" s="1"/>
  <c r="B2463" i="80"/>
  <c r="C2463" i="80" s="1"/>
  <c r="B2462" i="80"/>
  <c r="B2461" i="80"/>
  <c r="B2460" i="80"/>
  <c r="C2460" i="80" s="1"/>
  <c r="B2459" i="80"/>
  <c r="C2459" i="80" s="1"/>
  <c r="B2458" i="80"/>
  <c r="B2457" i="80"/>
  <c r="B2456" i="80"/>
  <c r="B2455" i="80"/>
  <c r="B2454" i="80"/>
  <c r="B2453" i="80"/>
  <c r="B2452" i="80"/>
  <c r="B2451" i="80"/>
  <c r="B2450" i="80"/>
  <c r="B2449" i="80"/>
  <c r="C2449" i="80" s="1"/>
  <c r="B2448" i="80"/>
  <c r="C2448" i="80" s="1"/>
  <c r="B2447" i="80"/>
  <c r="C2447" i="80" s="1"/>
  <c r="B2446" i="80"/>
  <c r="B2445" i="80"/>
  <c r="B2444" i="80"/>
  <c r="B2443" i="80"/>
  <c r="B2442" i="80"/>
  <c r="B2441" i="80"/>
  <c r="B2440" i="80"/>
  <c r="B2439" i="80"/>
  <c r="B2438" i="80"/>
  <c r="B2437" i="80"/>
  <c r="B2436" i="80"/>
  <c r="B2435" i="80"/>
  <c r="C2435" i="80" s="1"/>
  <c r="B2434" i="80"/>
  <c r="C2434" i="80" s="1"/>
  <c r="B2433" i="80"/>
  <c r="C2433" i="80" s="1"/>
  <c r="B2432" i="80"/>
  <c r="C2432" i="80" s="1"/>
  <c r="B2431" i="80"/>
  <c r="C2431" i="80" s="1"/>
  <c r="B2430" i="80"/>
  <c r="B2429" i="80"/>
  <c r="B2428" i="80"/>
  <c r="B2427" i="80"/>
  <c r="C2427" i="80" s="1"/>
  <c r="B2426" i="80"/>
  <c r="C2426" i="80" s="1"/>
  <c r="B2425" i="80"/>
  <c r="C2425" i="80" s="1"/>
  <c r="B2424" i="80"/>
  <c r="B2423" i="80"/>
  <c r="B2422" i="80"/>
  <c r="B2421" i="80"/>
  <c r="B2420" i="80"/>
  <c r="B2419" i="80"/>
  <c r="B2418" i="80"/>
  <c r="C2418" i="80" s="1"/>
  <c r="B2417" i="80"/>
  <c r="C2417" i="80" s="1"/>
  <c r="B2416" i="80"/>
  <c r="C2416" i="80" s="1"/>
  <c r="B2415" i="80"/>
  <c r="C2415" i="80" s="1"/>
  <c r="B2414" i="80"/>
  <c r="B2413" i="80"/>
  <c r="B2412" i="80"/>
  <c r="B2411" i="80"/>
  <c r="C2411" i="80" s="1"/>
  <c r="B2410" i="80"/>
  <c r="B2409" i="80"/>
  <c r="B2408" i="80"/>
  <c r="C2408" i="80" s="1"/>
  <c r="B2407" i="80"/>
  <c r="C2407" i="80" s="1"/>
  <c r="B2406" i="80"/>
  <c r="B2405" i="80"/>
  <c r="B2404" i="80"/>
  <c r="B2403" i="80"/>
  <c r="C2403" i="80" s="1"/>
  <c r="B2402" i="80"/>
  <c r="C2402" i="80" s="1"/>
  <c r="B2401" i="80"/>
  <c r="C2401" i="80" s="1"/>
  <c r="B2400" i="80"/>
  <c r="B2399" i="80"/>
  <c r="B2398" i="80"/>
  <c r="B2397" i="80"/>
  <c r="B2396" i="80"/>
  <c r="B2395" i="80"/>
  <c r="B2394" i="80"/>
  <c r="C2394" i="80" s="1"/>
  <c r="B2393" i="80"/>
  <c r="C2393" i="80" s="1"/>
  <c r="B2392" i="80"/>
  <c r="C2392" i="80" s="1"/>
  <c r="B2391" i="80"/>
  <c r="C2391" i="80" s="1"/>
  <c r="B2390" i="80"/>
  <c r="B2389" i="80"/>
  <c r="B2388" i="80"/>
  <c r="B2387" i="80"/>
  <c r="C2387" i="80" s="1"/>
  <c r="B2386" i="80"/>
  <c r="C2386" i="80" s="1"/>
  <c r="B2385" i="80"/>
  <c r="C2385" i="80" s="1"/>
  <c r="B2384" i="80"/>
  <c r="C2384" i="80" s="1"/>
  <c r="B2383" i="80"/>
  <c r="C2383" i="80" s="1"/>
  <c r="B2382" i="80"/>
  <c r="B2381" i="80"/>
  <c r="B2380" i="80"/>
  <c r="B2379" i="80"/>
  <c r="C2379" i="80" s="1"/>
  <c r="B2378" i="80"/>
  <c r="C2378" i="80" s="1"/>
  <c r="B2377" i="80"/>
  <c r="C2377" i="80" s="1"/>
  <c r="B2376" i="80"/>
  <c r="C2376" i="80" s="1"/>
  <c r="B2375" i="80"/>
  <c r="C2375" i="80" s="1"/>
  <c r="B2374" i="80"/>
  <c r="B2373" i="80"/>
  <c r="B2372" i="80"/>
  <c r="B2371" i="80"/>
  <c r="C2371" i="80" s="1"/>
  <c r="B2370" i="80"/>
  <c r="B2369" i="80"/>
  <c r="B2368" i="80"/>
  <c r="B2367" i="80"/>
  <c r="C2367" i="80" s="1"/>
  <c r="B2366" i="80"/>
  <c r="B2365" i="80"/>
  <c r="B2364" i="80"/>
  <c r="B2363" i="80"/>
  <c r="C2363" i="80" s="1"/>
  <c r="B2362" i="80"/>
  <c r="C2362" i="80" s="1"/>
  <c r="B2361" i="80"/>
  <c r="C2361" i="80" s="1"/>
  <c r="B2360" i="80"/>
  <c r="C2360" i="80" s="1"/>
  <c r="B2359" i="80"/>
  <c r="C2359" i="80" s="1"/>
  <c r="B2358" i="80"/>
  <c r="B2357" i="80"/>
  <c r="B2356" i="80"/>
  <c r="B2355" i="80"/>
  <c r="C2355" i="80" s="1"/>
  <c r="B2354" i="80"/>
  <c r="C2354" i="80" s="1"/>
  <c r="B2353" i="80"/>
  <c r="C2353" i="80" s="1"/>
  <c r="B2352" i="80"/>
  <c r="C2352" i="80" s="1"/>
  <c r="B2351" i="80"/>
  <c r="C2351" i="80" s="1"/>
  <c r="B2350" i="80"/>
  <c r="B2349" i="80"/>
  <c r="B2348" i="80"/>
  <c r="B2347" i="80"/>
  <c r="C2347" i="80" s="1"/>
  <c r="B2346" i="80"/>
  <c r="C2346" i="80" s="1"/>
  <c r="B2345" i="80"/>
  <c r="C2345" i="80" s="1"/>
  <c r="B2344" i="80"/>
  <c r="C2344" i="80" s="1"/>
  <c r="B2343" i="80"/>
  <c r="B2342" i="80"/>
  <c r="B2341" i="80"/>
  <c r="B2340" i="80"/>
  <c r="B2339" i="80"/>
  <c r="C2339" i="80" s="1"/>
  <c r="B2338" i="80"/>
  <c r="C2338" i="80" s="1"/>
  <c r="B2337" i="80"/>
  <c r="C2337" i="80" s="1"/>
  <c r="B2336" i="80"/>
  <c r="C2336" i="80" s="1"/>
  <c r="B2335" i="80"/>
  <c r="C2335" i="80" s="1"/>
  <c r="B2334" i="80"/>
  <c r="B2333" i="80"/>
  <c r="B2332" i="80"/>
  <c r="B2331" i="80"/>
  <c r="C2331" i="80" s="1"/>
  <c r="B2330" i="80"/>
  <c r="C2330" i="80" s="1"/>
  <c r="B2329" i="80"/>
  <c r="C2329" i="80" s="1"/>
  <c r="B2328" i="80"/>
  <c r="C2328" i="80" s="1"/>
  <c r="B2327" i="80"/>
  <c r="C2327" i="80" s="1"/>
  <c r="B2326" i="80"/>
  <c r="B2325" i="80"/>
  <c r="B2324" i="80"/>
  <c r="B2323" i="80"/>
  <c r="B2322" i="80"/>
  <c r="C2322" i="80" s="1"/>
  <c r="B2321" i="80"/>
  <c r="C2321" i="80" s="1"/>
  <c r="B2320" i="80"/>
  <c r="C2320" i="80" s="1"/>
  <c r="B2319" i="80"/>
  <c r="C2319" i="80" s="1"/>
  <c r="B2318" i="80"/>
  <c r="B2317" i="80"/>
  <c r="B2316" i="80"/>
  <c r="B2315" i="80"/>
  <c r="C2315" i="80" s="1"/>
  <c r="B2314" i="80"/>
  <c r="C2314" i="80" s="1"/>
  <c r="B2313" i="80"/>
  <c r="C2313" i="80" s="1"/>
  <c r="B2312" i="80"/>
  <c r="C2312" i="80" s="1"/>
  <c r="B2311" i="80"/>
  <c r="C2311" i="80" s="1"/>
  <c r="B2310" i="80"/>
  <c r="B2309" i="80"/>
  <c r="B2308" i="80"/>
  <c r="B2307" i="80"/>
  <c r="B2306" i="80"/>
  <c r="B2305" i="80"/>
  <c r="B2304" i="80"/>
  <c r="B2303" i="80"/>
  <c r="C2303" i="80" s="1"/>
  <c r="B2302" i="80"/>
  <c r="B2301" i="80"/>
  <c r="B2300" i="80"/>
  <c r="C2300" i="80" s="1"/>
  <c r="B2299" i="80"/>
  <c r="C2299" i="80" s="1"/>
  <c r="B2298" i="80"/>
  <c r="C2298" i="80" s="1"/>
  <c r="B2297" i="80"/>
  <c r="C2297" i="80" s="1"/>
  <c r="B2296" i="80"/>
  <c r="C2296" i="80" s="1"/>
  <c r="B2295" i="80"/>
  <c r="C2295" i="80" s="1"/>
  <c r="B2294" i="80"/>
  <c r="B2293" i="80"/>
  <c r="B2292" i="80"/>
  <c r="B2291" i="80"/>
  <c r="C2291" i="80" s="1"/>
  <c r="B2290" i="80"/>
  <c r="C2290" i="80" s="1"/>
  <c r="B2289" i="80"/>
  <c r="C2289" i="80" s="1"/>
  <c r="B2288" i="80"/>
  <c r="C2288" i="80" s="1"/>
  <c r="B2287" i="80"/>
  <c r="C2287" i="80" s="1"/>
  <c r="B2286" i="80"/>
  <c r="B2285" i="80"/>
  <c r="B2284" i="80"/>
  <c r="B2283" i="80"/>
  <c r="C2283" i="80" s="1"/>
  <c r="B2282" i="80"/>
  <c r="C2282" i="80" s="1"/>
  <c r="B2281" i="80"/>
  <c r="C2281" i="80" s="1"/>
  <c r="B2280" i="80"/>
  <c r="C2280" i="80" s="1"/>
  <c r="B2279" i="80"/>
  <c r="C2279" i="80" s="1"/>
  <c r="B2278" i="80"/>
  <c r="B2277" i="80"/>
  <c r="B2276" i="80"/>
  <c r="B2275" i="80"/>
  <c r="C2275" i="80" s="1"/>
  <c r="B2274" i="80"/>
  <c r="C2274" i="80" s="1"/>
  <c r="B2273" i="80"/>
  <c r="C2273" i="80" s="1"/>
  <c r="B2272" i="80"/>
  <c r="C2272" i="80" s="1"/>
  <c r="B2271" i="80"/>
  <c r="C2271" i="80" s="1"/>
  <c r="B2270" i="80"/>
  <c r="B2269" i="80"/>
  <c r="B2268" i="80"/>
  <c r="B2267" i="80"/>
  <c r="C2267" i="80" s="1"/>
  <c r="B2266" i="80"/>
  <c r="C2266" i="80" s="1"/>
  <c r="B2265" i="80"/>
  <c r="C2265" i="80" s="1"/>
  <c r="B2264" i="80"/>
  <c r="C2264" i="80" s="1"/>
  <c r="B2263" i="80"/>
  <c r="C2263" i="80" s="1"/>
  <c r="B2262" i="80"/>
  <c r="B2261" i="80"/>
  <c r="B2260" i="80"/>
  <c r="B2259" i="80"/>
  <c r="C2259" i="80" s="1"/>
  <c r="B2258" i="80"/>
  <c r="C2258" i="80" s="1"/>
  <c r="B2257" i="80"/>
  <c r="B2256" i="80"/>
  <c r="B2255" i="80"/>
  <c r="C2255" i="80" s="1"/>
  <c r="B2254" i="80"/>
  <c r="B2253" i="80"/>
  <c r="C2253" i="80" s="1"/>
  <c r="B2252" i="80"/>
  <c r="B2251" i="80"/>
  <c r="B2250" i="80"/>
  <c r="B2249" i="80"/>
  <c r="B2248" i="80"/>
  <c r="B2247" i="80"/>
  <c r="B2246" i="80"/>
  <c r="B2245" i="80"/>
  <c r="B2244" i="80"/>
  <c r="B2243" i="80"/>
  <c r="C2243" i="80" s="1"/>
  <c r="B2242" i="80"/>
  <c r="C2242" i="80" s="1"/>
  <c r="B2241" i="80"/>
  <c r="C2241" i="80" s="1"/>
  <c r="B2240" i="80"/>
  <c r="B2239" i="80"/>
  <c r="B2238" i="80"/>
  <c r="B2237" i="80"/>
  <c r="B2236" i="80"/>
  <c r="B2235" i="80"/>
  <c r="B2234" i="80"/>
  <c r="B2233" i="80"/>
  <c r="B2232" i="80"/>
  <c r="C2232" i="80" s="1"/>
  <c r="B2231" i="80"/>
  <c r="C2231" i="80" s="1"/>
  <c r="B2230" i="80"/>
  <c r="C2230" i="80" s="1"/>
  <c r="B2229" i="80"/>
  <c r="B2228" i="80"/>
  <c r="B2227" i="80"/>
  <c r="C2227" i="80" s="1"/>
  <c r="B2226" i="80"/>
  <c r="C2226" i="80" s="1"/>
  <c r="B2225" i="80"/>
  <c r="C2225" i="80" s="1"/>
  <c r="B2224" i="80"/>
  <c r="C2224" i="80" s="1"/>
  <c r="B2223" i="80"/>
  <c r="C2223" i="80" s="1"/>
  <c r="B2222" i="80"/>
  <c r="C2222" i="80" s="1"/>
  <c r="B2221" i="80"/>
  <c r="C2221" i="80" s="1"/>
  <c r="B2220" i="80"/>
  <c r="C2220" i="80" s="1"/>
  <c r="B2219" i="80"/>
  <c r="C2219" i="80" s="1"/>
  <c r="B2218" i="80"/>
  <c r="B2217" i="80"/>
  <c r="B2216" i="80"/>
  <c r="B2215" i="80"/>
  <c r="C2215" i="80" s="1"/>
  <c r="B2214" i="80"/>
  <c r="C2214" i="80" s="1"/>
  <c r="B2213" i="80"/>
  <c r="C2213" i="80" s="1"/>
  <c r="B2212" i="80"/>
  <c r="C2212" i="80" s="1"/>
  <c r="B2211" i="80"/>
  <c r="C2211" i="80" s="1"/>
  <c r="B2210" i="80"/>
  <c r="C2210" i="80" s="1"/>
  <c r="B2209" i="80"/>
  <c r="C2209" i="80" s="1"/>
  <c r="B2208" i="80"/>
  <c r="C2208" i="80" s="1"/>
  <c r="B2207" i="80"/>
  <c r="C2207" i="80" s="1"/>
  <c r="B2206" i="80"/>
  <c r="C2206" i="80" s="1"/>
  <c r="B2205" i="80"/>
  <c r="B2204" i="80"/>
  <c r="B2203" i="80"/>
  <c r="B2202" i="80"/>
  <c r="C2202" i="80" s="1"/>
  <c r="B2201" i="80"/>
  <c r="C2201" i="80" s="1"/>
  <c r="B2200" i="80"/>
  <c r="C2200" i="80" s="1"/>
  <c r="B2199" i="80"/>
  <c r="B2198" i="80"/>
  <c r="B2197" i="80"/>
  <c r="B2196" i="80"/>
  <c r="B2195" i="80"/>
  <c r="B2194" i="80"/>
  <c r="B2193" i="80"/>
  <c r="C2193" i="80" s="1"/>
  <c r="B2192" i="80"/>
  <c r="C2192" i="80" s="1"/>
  <c r="B2191" i="80"/>
  <c r="B2190" i="80"/>
  <c r="B2189" i="80"/>
  <c r="B2188" i="80"/>
  <c r="B2187" i="80"/>
  <c r="B2186" i="80"/>
  <c r="B2185" i="80"/>
  <c r="B2184" i="80"/>
  <c r="B2183" i="80"/>
  <c r="B2182" i="80"/>
  <c r="B2181" i="80"/>
  <c r="B2180" i="80"/>
  <c r="B2179" i="80"/>
  <c r="B2178" i="80"/>
  <c r="C2178" i="80" s="1"/>
  <c r="B2177" i="80"/>
  <c r="C2177" i="80" s="1"/>
  <c r="B2176" i="80"/>
  <c r="C2176" i="80" s="1"/>
  <c r="B2175" i="80"/>
  <c r="C2175" i="80" s="1"/>
  <c r="B2174" i="80"/>
  <c r="C2174" i="80" s="1"/>
  <c r="B2173" i="80"/>
  <c r="B2172" i="80"/>
  <c r="C2172" i="80" s="1"/>
  <c r="B2171" i="80"/>
  <c r="C2171" i="80" s="1"/>
  <c r="B2170" i="80"/>
  <c r="C2170" i="80" s="1"/>
  <c r="B2169" i="80"/>
  <c r="C2169" i="80" s="1"/>
  <c r="B2168" i="80"/>
  <c r="C2168" i="80" s="1"/>
  <c r="B2167" i="80"/>
  <c r="C2167" i="80" s="1"/>
  <c r="B2166" i="80"/>
  <c r="C2166" i="80" s="1"/>
  <c r="B2165" i="80"/>
  <c r="B2164" i="80"/>
  <c r="B2163" i="80"/>
  <c r="C2163" i="80" s="1"/>
  <c r="B2162" i="80"/>
  <c r="C2162" i="80" s="1"/>
  <c r="B2161" i="80"/>
  <c r="C2161" i="80" s="1"/>
  <c r="B2160" i="80"/>
  <c r="C2160" i="80" s="1"/>
  <c r="B2159" i="80"/>
  <c r="C2159" i="80" s="1"/>
  <c r="B2158" i="80"/>
  <c r="C2158" i="80" s="1"/>
  <c r="B2157" i="80"/>
  <c r="B2156" i="80"/>
  <c r="B2155" i="80"/>
  <c r="C2155" i="80" s="1"/>
  <c r="B2154" i="80"/>
  <c r="B2153" i="80"/>
  <c r="B2152" i="80"/>
  <c r="B2151" i="80"/>
  <c r="B2150" i="80"/>
  <c r="C2150" i="80" s="1"/>
  <c r="B2149" i="80"/>
  <c r="C2149" i="80" s="1"/>
  <c r="B2148" i="80"/>
  <c r="C2148" i="80" s="1"/>
  <c r="B2147" i="80"/>
  <c r="C2147" i="80" s="1"/>
  <c r="B2146" i="80"/>
  <c r="C2146" i="80" s="1"/>
  <c r="B2145" i="80"/>
  <c r="C2145" i="80" s="1"/>
  <c r="B2144" i="80"/>
  <c r="C2144" i="80" s="1"/>
  <c r="B2143" i="80"/>
  <c r="C2143" i="80" s="1"/>
  <c r="B2142" i="80"/>
  <c r="C2142" i="80" s="1"/>
  <c r="B2141" i="80"/>
  <c r="B2140" i="80"/>
  <c r="B2139" i="80"/>
  <c r="C2139" i="80" s="1"/>
  <c r="B2138" i="80"/>
  <c r="C2138" i="80" s="1"/>
  <c r="B2137" i="80"/>
  <c r="C2137" i="80" s="1"/>
  <c r="B2136" i="80"/>
  <c r="C2136" i="80" s="1"/>
  <c r="B2135" i="80"/>
  <c r="C2135" i="80" s="1"/>
  <c r="B2134" i="80"/>
  <c r="C2134" i="80" s="1"/>
  <c r="B2133" i="80"/>
  <c r="B2132" i="80"/>
  <c r="B2131" i="80"/>
  <c r="C2131" i="80" s="1"/>
  <c r="B2130" i="80"/>
  <c r="C2130" i="80" s="1"/>
  <c r="B2129" i="80"/>
  <c r="C2129" i="80" s="1"/>
  <c r="B2128" i="80"/>
  <c r="C2128" i="80" s="1"/>
  <c r="B2127" i="80"/>
  <c r="C2127" i="80" s="1"/>
  <c r="B2126" i="80"/>
  <c r="C2126" i="80" s="1"/>
  <c r="B2125" i="80"/>
  <c r="C2125" i="80" s="1"/>
  <c r="B2124" i="80"/>
  <c r="C2124" i="80" s="1"/>
  <c r="B2123" i="80"/>
  <c r="C2123" i="80" s="1"/>
  <c r="B2122" i="80"/>
  <c r="C2122" i="80" s="1"/>
  <c r="B2121" i="80"/>
  <c r="C2121" i="80" s="1"/>
  <c r="B2120" i="80"/>
  <c r="C2120" i="80" s="1"/>
  <c r="B2119" i="80"/>
  <c r="C2119" i="80" s="1"/>
  <c r="B2118" i="80"/>
  <c r="C2118" i="80" s="1"/>
  <c r="B2117" i="80"/>
  <c r="B2116" i="80"/>
  <c r="B2115" i="80"/>
  <c r="C2115" i="80" s="1"/>
  <c r="B2114" i="80"/>
  <c r="C2114" i="80" s="1"/>
  <c r="B2113" i="80"/>
  <c r="C2113" i="80" s="1"/>
  <c r="B2112" i="80"/>
  <c r="C2112" i="80" s="1"/>
  <c r="B2111" i="80"/>
  <c r="C2111" i="80" s="1"/>
  <c r="B2110" i="80"/>
  <c r="C2110" i="80" s="1"/>
  <c r="B2109" i="80"/>
  <c r="B2108" i="80"/>
  <c r="C2108" i="80" s="1"/>
  <c r="B2107" i="80"/>
  <c r="B2106" i="80"/>
  <c r="B2105" i="80"/>
  <c r="B2104" i="80"/>
  <c r="B2103" i="80"/>
  <c r="B2102" i="80"/>
  <c r="B2101" i="80"/>
  <c r="B2100" i="80"/>
  <c r="B2099" i="80"/>
  <c r="B2098" i="80"/>
  <c r="B2097" i="80"/>
  <c r="B2096" i="80"/>
  <c r="C2096" i="80" s="1"/>
  <c r="B2095" i="80"/>
  <c r="C2095" i="80" s="1"/>
  <c r="B2094" i="80"/>
  <c r="C2094" i="80" s="1"/>
  <c r="B2093" i="80"/>
  <c r="C2093" i="80" s="1"/>
  <c r="B2092" i="80"/>
  <c r="C2092" i="80" s="1"/>
  <c r="B2091" i="80"/>
  <c r="C2091" i="80" s="1"/>
  <c r="B2090" i="80"/>
  <c r="C2090" i="80" s="1"/>
  <c r="B2089" i="80"/>
  <c r="B2087" i="80"/>
  <c r="B2086" i="80"/>
  <c r="B2085" i="80"/>
  <c r="B2084" i="80"/>
  <c r="B2083" i="80"/>
  <c r="B2082" i="80"/>
  <c r="B2081" i="80"/>
  <c r="C2081" i="80" s="1"/>
  <c r="B2080" i="80"/>
  <c r="C2080" i="80" s="1"/>
  <c r="B2079" i="80"/>
  <c r="C2079" i="80" s="1"/>
  <c r="B2078" i="80"/>
  <c r="C2078" i="80" s="1"/>
  <c r="B2077" i="80"/>
  <c r="C2077" i="80" s="1"/>
  <c r="B2076" i="80"/>
  <c r="B2075" i="80"/>
  <c r="B2074" i="80"/>
  <c r="B2073" i="80"/>
  <c r="B2072" i="80"/>
  <c r="C2072" i="80" s="1"/>
  <c r="B2071" i="80"/>
  <c r="C2071" i="80" s="1"/>
  <c r="B2070" i="80"/>
  <c r="C2070" i="80" s="1"/>
  <c r="B2069" i="80"/>
  <c r="C2069" i="80" s="1"/>
  <c r="B2068" i="80"/>
  <c r="B2067" i="80"/>
  <c r="C2067" i="80" s="1"/>
  <c r="B2066" i="80"/>
  <c r="C2066" i="80" s="1"/>
  <c r="B2065" i="80"/>
  <c r="B2064" i="80"/>
  <c r="B2063" i="80"/>
  <c r="C2063" i="80" s="1"/>
  <c r="B2062" i="80"/>
  <c r="C2062" i="80" s="1"/>
  <c r="B2061" i="80"/>
  <c r="B2060" i="80"/>
  <c r="B2059" i="80"/>
  <c r="B2058" i="80"/>
  <c r="B2057" i="80"/>
  <c r="B2056" i="80"/>
  <c r="B2055" i="80"/>
  <c r="B2054" i="80"/>
  <c r="C2054" i="80" s="1"/>
  <c r="B2053" i="80"/>
  <c r="C2053" i="80" s="1"/>
  <c r="B2052" i="80"/>
  <c r="B2051" i="80"/>
  <c r="B2050" i="80"/>
  <c r="B2049" i="80"/>
  <c r="B2048" i="80"/>
  <c r="C2048" i="80" s="1"/>
  <c r="B2047" i="80"/>
  <c r="C2047" i="80" s="1"/>
  <c r="B2046" i="80"/>
  <c r="C2046" i="80" s="1"/>
  <c r="B2045" i="80"/>
  <c r="B2044" i="80"/>
  <c r="C2044" i="80" s="1"/>
  <c r="B2043" i="80"/>
  <c r="C2043" i="80" s="1"/>
  <c r="B2042" i="80"/>
  <c r="B2041" i="80"/>
  <c r="B2040" i="80"/>
  <c r="C2040" i="80" s="1"/>
  <c r="B2039" i="80"/>
  <c r="C2039" i="80" s="1"/>
  <c r="B2038" i="80"/>
  <c r="B2037" i="80"/>
  <c r="B2036" i="80"/>
  <c r="B2035" i="80"/>
  <c r="B2034" i="80"/>
  <c r="B2033" i="80"/>
  <c r="B2032" i="80"/>
  <c r="B2031" i="80"/>
  <c r="B2030" i="80"/>
  <c r="B2029" i="80"/>
  <c r="B2028" i="80"/>
  <c r="B2027" i="80"/>
  <c r="B2026" i="80"/>
  <c r="B2025" i="80"/>
  <c r="C2025" i="80" s="1"/>
  <c r="B2024" i="80"/>
  <c r="C2024" i="80" s="1"/>
  <c r="B2023" i="80"/>
  <c r="C2023" i="80" s="1"/>
  <c r="B2022" i="80"/>
  <c r="C2022" i="80" s="1"/>
  <c r="B2021" i="80"/>
  <c r="C2021" i="80" s="1"/>
  <c r="B2020" i="80"/>
  <c r="B2019" i="80"/>
  <c r="B2018" i="80"/>
  <c r="C2018" i="80" s="1"/>
  <c r="B2017" i="80"/>
  <c r="C2017" i="80" s="1"/>
  <c r="B2016" i="80"/>
  <c r="C2016" i="80" s="1"/>
  <c r="B2015" i="80"/>
  <c r="B2014" i="80"/>
  <c r="B2013" i="80"/>
  <c r="B2012" i="80"/>
  <c r="B2011" i="80"/>
  <c r="B2010" i="80"/>
  <c r="B2009" i="80"/>
  <c r="B2008" i="80"/>
  <c r="B2007" i="80"/>
  <c r="B2006" i="80"/>
  <c r="C2006" i="80" s="1"/>
  <c r="B2005" i="80"/>
  <c r="C2005" i="80" s="1"/>
  <c r="B2004" i="80"/>
  <c r="B2003" i="80"/>
  <c r="B2002" i="80"/>
  <c r="B2001" i="80"/>
  <c r="C2001" i="80" s="1"/>
  <c r="B2000" i="80"/>
  <c r="C2000" i="80" s="1"/>
  <c r="B1999" i="80"/>
  <c r="C1999" i="80" s="1"/>
  <c r="B1998" i="80"/>
  <c r="C1998" i="80" s="1"/>
  <c r="B1997" i="80"/>
  <c r="C1997" i="80" s="1"/>
  <c r="B1996" i="80"/>
  <c r="B1995" i="80"/>
  <c r="B1994" i="80"/>
  <c r="B1993" i="80"/>
  <c r="B1992" i="80"/>
  <c r="B1991" i="80"/>
  <c r="B1990" i="80"/>
  <c r="B1989" i="80"/>
  <c r="B1988" i="80"/>
  <c r="B1987" i="80"/>
  <c r="B1986" i="80"/>
  <c r="B1985" i="80"/>
  <c r="C1985" i="80" s="1"/>
  <c r="B1984" i="80"/>
  <c r="C1984" i="80" s="1"/>
  <c r="B1983" i="80"/>
  <c r="B1982" i="80"/>
  <c r="B1981" i="80"/>
  <c r="C1981" i="80" s="1"/>
  <c r="B1980" i="80"/>
  <c r="C1980" i="80" s="1"/>
  <c r="B1979" i="80"/>
  <c r="C1979" i="80" s="1"/>
  <c r="B1978" i="80"/>
  <c r="C1978" i="80" s="1"/>
  <c r="B1977" i="80"/>
  <c r="C1977" i="80" s="1"/>
  <c r="B1976" i="80"/>
  <c r="C1976" i="80" s="1"/>
  <c r="B1975" i="80"/>
  <c r="B1974" i="80"/>
  <c r="B1973" i="80"/>
  <c r="B1972" i="80"/>
  <c r="B1971" i="80"/>
  <c r="C1971" i="80" s="1"/>
  <c r="B1970" i="80"/>
  <c r="C1970" i="80" s="1"/>
  <c r="B1969" i="80"/>
  <c r="B1968" i="80"/>
  <c r="B1967" i="80"/>
  <c r="B1966" i="80"/>
  <c r="B1965" i="80"/>
  <c r="B1964" i="80"/>
  <c r="B1963" i="80"/>
  <c r="B1962" i="80"/>
  <c r="B1961" i="80"/>
  <c r="B1960" i="80"/>
  <c r="B1959" i="80"/>
  <c r="B1958" i="80"/>
  <c r="B1957" i="80"/>
  <c r="C1957" i="80" s="1"/>
  <c r="B1956" i="80"/>
  <c r="B1955" i="80"/>
  <c r="B1954" i="80"/>
  <c r="B1953" i="80"/>
  <c r="B1952" i="80"/>
  <c r="B1951" i="80"/>
  <c r="B1950" i="80"/>
  <c r="B1949" i="80"/>
  <c r="B1948" i="80"/>
  <c r="B1947" i="80"/>
  <c r="B1946" i="80"/>
  <c r="B1945" i="80"/>
  <c r="B1944" i="80"/>
  <c r="B1943" i="80"/>
  <c r="C1943" i="80" s="1"/>
  <c r="B1942" i="80"/>
  <c r="B1941" i="80"/>
  <c r="B1940" i="80"/>
  <c r="B1939" i="80"/>
  <c r="B1938" i="80"/>
  <c r="B1937" i="80"/>
  <c r="B1936" i="80"/>
  <c r="B1935" i="80"/>
  <c r="B1934" i="80"/>
  <c r="B1933" i="80"/>
  <c r="B1932" i="80"/>
  <c r="B1931" i="80"/>
  <c r="B1930" i="80"/>
  <c r="B1929" i="80"/>
  <c r="B1928" i="80"/>
  <c r="B1927" i="80"/>
  <c r="B1926" i="80"/>
  <c r="B1925" i="80"/>
  <c r="B1924" i="80"/>
  <c r="B1923" i="80"/>
  <c r="B1922" i="80"/>
  <c r="B1921" i="80"/>
  <c r="B1920" i="80"/>
  <c r="B1919" i="80"/>
  <c r="B1918" i="80"/>
  <c r="B1917" i="80"/>
  <c r="B1916" i="80"/>
  <c r="B1915" i="80"/>
  <c r="B1914" i="80"/>
  <c r="B1913" i="80"/>
  <c r="B1912" i="80"/>
  <c r="B1911" i="80"/>
  <c r="B1910" i="80"/>
  <c r="B1909" i="80"/>
  <c r="B1908" i="80"/>
  <c r="B1907" i="80"/>
  <c r="B1906" i="80"/>
  <c r="C1906" i="80" s="1"/>
  <c r="B1905" i="80"/>
  <c r="C1905" i="80" s="1"/>
  <c r="B1904" i="80"/>
  <c r="B1903" i="80"/>
  <c r="B1902" i="80"/>
  <c r="B1901" i="80"/>
  <c r="B1900" i="80"/>
  <c r="B1899" i="80"/>
  <c r="B1898" i="80"/>
  <c r="B1897" i="80"/>
  <c r="B1896" i="80"/>
  <c r="B1895" i="80"/>
  <c r="C1895" i="80" s="1"/>
  <c r="B1894" i="80"/>
  <c r="C1894" i="80" s="1"/>
  <c r="B1893" i="80"/>
  <c r="C1893" i="80" s="1"/>
  <c r="B1892" i="80"/>
  <c r="C1892" i="80" s="1"/>
  <c r="B1891" i="80"/>
  <c r="B1890" i="80"/>
  <c r="C1890" i="80" s="1"/>
  <c r="B1889" i="80"/>
  <c r="B1888" i="80"/>
  <c r="B1887" i="80"/>
  <c r="C1887" i="80" s="1"/>
  <c r="B1886" i="80"/>
  <c r="B1885" i="80"/>
  <c r="B1884" i="80"/>
  <c r="C1884" i="80" s="1"/>
  <c r="B1883" i="80"/>
  <c r="C1883" i="80" s="1"/>
  <c r="B1882" i="80"/>
  <c r="B1881" i="80"/>
  <c r="B1880" i="80"/>
  <c r="B1879" i="80"/>
  <c r="B1878" i="80"/>
  <c r="B1877" i="80"/>
  <c r="C1877" i="80" s="1"/>
  <c r="B1876" i="80"/>
  <c r="C1876" i="80" s="1"/>
  <c r="B1875" i="80"/>
  <c r="B1874" i="80"/>
  <c r="C1874" i="80" s="1"/>
  <c r="B1873" i="80"/>
  <c r="C1873" i="80" s="1"/>
  <c r="B1872" i="80"/>
  <c r="C1872" i="80" s="1"/>
  <c r="B1871" i="80"/>
  <c r="C1871" i="80" s="1"/>
  <c r="B1870" i="80"/>
  <c r="C1870" i="80" s="1"/>
  <c r="B1869" i="80"/>
  <c r="C1869" i="80" s="1"/>
  <c r="B1868" i="80"/>
  <c r="B1867" i="80"/>
  <c r="B1866" i="80"/>
  <c r="C1866" i="80" s="1"/>
  <c r="B1865" i="80"/>
  <c r="C1865" i="80" s="1"/>
  <c r="B1864" i="80"/>
  <c r="B1863" i="80"/>
  <c r="B1862" i="80"/>
  <c r="B1861" i="80"/>
  <c r="B1860" i="80"/>
  <c r="B1859" i="80"/>
  <c r="B1858" i="80"/>
  <c r="B1857" i="80"/>
  <c r="C1857" i="80" s="1"/>
  <c r="B1856" i="80"/>
  <c r="C1856" i="80" s="1"/>
  <c r="B1855" i="80"/>
  <c r="B1854" i="80"/>
  <c r="B1853" i="80"/>
  <c r="B1852" i="80"/>
  <c r="B1851" i="80"/>
  <c r="B1850" i="80"/>
  <c r="B1849" i="80"/>
  <c r="B1848" i="80"/>
  <c r="B1847" i="80"/>
  <c r="B1846" i="80"/>
  <c r="C1846" i="80" s="1"/>
  <c r="B1845" i="80"/>
  <c r="C1845" i="80" s="1"/>
  <c r="B1844" i="80"/>
  <c r="B1843" i="80"/>
  <c r="B1842" i="80"/>
  <c r="C1842" i="80" s="1"/>
  <c r="B1841" i="80"/>
  <c r="C1841" i="80" s="1"/>
  <c r="B1840" i="80"/>
  <c r="B1839" i="80"/>
  <c r="B1838" i="80"/>
  <c r="B1837" i="80"/>
  <c r="B1836" i="80"/>
  <c r="B1835" i="80"/>
  <c r="B1834" i="80"/>
  <c r="B1833" i="80"/>
  <c r="B1832" i="80"/>
  <c r="C1832" i="80" s="1"/>
  <c r="B1831" i="80"/>
  <c r="C1831" i="80" s="1"/>
  <c r="B1830" i="80"/>
  <c r="B1829" i="80"/>
  <c r="B1828" i="80"/>
  <c r="B1827" i="80"/>
  <c r="B1826" i="80"/>
  <c r="B1825" i="80"/>
  <c r="B1824" i="80"/>
  <c r="B1823" i="80"/>
  <c r="B1822" i="80"/>
  <c r="B1821" i="80"/>
  <c r="C1821" i="80" s="1"/>
  <c r="B1820" i="80"/>
  <c r="B1819" i="80"/>
  <c r="B1818" i="80"/>
  <c r="B1817" i="80"/>
  <c r="B1816" i="80"/>
  <c r="B1815" i="80"/>
  <c r="C1815" i="80" s="1"/>
  <c r="B1814" i="80"/>
  <c r="C1814" i="80" s="1"/>
  <c r="B1813" i="80"/>
  <c r="C1813" i="80" s="1"/>
  <c r="B1812" i="80"/>
  <c r="B1811" i="80"/>
  <c r="B1810" i="80"/>
  <c r="C1810" i="80" s="1"/>
  <c r="B1809" i="80"/>
  <c r="C1809" i="80" s="1"/>
  <c r="B1808" i="80"/>
  <c r="C1808" i="80" s="1"/>
  <c r="B1807" i="80"/>
  <c r="C1807" i="80" s="1"/>
  <c r="B1806" i="80"/>
  <c r="C1806" i="80" s="1"/>
  <c r="B1805" i="80"/>
  <c r="B1804" i="80"/>
  <c r="B1803" i="80"/>
  <c r="B1802" i="80"/>
  <c r="C1802" i="80" s="1"/>
  <c r="B1801" i="80"/>
  <c r="C1801" i="80" s="1"/>
  <c r="B1800" i="80"/>
  <c r="C1800" i="80" s="1"/>
  <c r="B1799" i="80"/>
  <c r="C1799" i="80" s="1"/>
  <c r="B1798" i="80"/>
  <c r="C1798" i="80" s="1"/>
  <c r="B1797" i="80"/>
  <c r="B1796" i="80"/>
  <c r="B1795" i="80"/>
  <c r="B1794" i="80"/>
  <c r="C1794" i="80" s="1"/>
  <c r="B1793" i="80"/>
  <c r="B1792" i="80"/>
  <c r="B1791" i="80"/>
  <c r="C1791" i="80" s="1"/>
  <c r="B1790" i="80"/>
  <c r="C1790" i="80" s="1"/>
  <c r="B1789" i="80"/>
  <c r="C1789" i="80" s="1"/>
  <c r="B1788" i="80"/>
  <c r="B1787" i="80"/>
  <c r="B1786" i="80"/>
  <c r="C1786" i="80" s="1"/>
  <c r="B1785" i="80"/>
  <c r="C1785" i="80" s="1"/>
  <c r="B1784" i="80"/>
  <c r="B1783" i="80"/>
  <c r="B1782" i="80"/>
  <c r="C1782" i="80" s="1"/>
  <c r="B1781" i="80"/>
  <c r="C1781" i="80" s="1"/>
  <c r="B1780" i="80"/>
  <c r="C1780" i="80" s="1"/>
  <c r="B1779" i="80"/>
  <c r="B1778" i="80"/>
  <c r="B1777" i="80"/>
  <c r="B1776" i="80"/>
  <c r="B1775" i="80"/>
  <c r="B1774" i="80"/>
  <c r="B1773" i="80"/>
  <c r="B1772" i="80"/>
  <c r="B1771" i="80"/>
  <c r="B1770" i="80"/>
  <c r="C1770" i="80" s="1"/>
  <c r="B1769" i="80"/>
  <c r="C1769" i="80" s="1"/>
  <c r="B1768" i="80"/>
  <c r="C1768" i="80" s="1"/>
  <c r="B1767" i="80"/>
  <c r="C1767" i="80" s="1"/>
  <c r="B1766" i="80"/>
  <c r="C1766" i="80" s="1"/>
  <c r="B1765" i="80"/>
  <c r="C1765" i="80" s="1"/>
  <c r="B1764" i="80"/>
  <c r="B1763" i="80"/>
  <c r="B1762" i="80"/>
  <c r="C1762" i="80" s="1"/>
  <c r="B1761" i="80"/>
  <c r="C1761" i="80" s="1"/>
  <c r="B1760" i="80"/>
  <c r="C1760" i="80" s="1"/>
  <c r="B1759" i="80"/>
  <c r="C1759" i="80" s="1"/>
  <c r="B1758" i="80"/>
  <c r="C1758" i="80" s="1"/>
  <c r="B1757" i="80"/>
  <c r="B1756" i="80"/>
  <c r="B1755" i="80"/>
  <c r="B1754" i="80"/>
  <c r="C1754" i="80" s="1"/>
  <c r="B1753" i="80"/>
  <c r="C1753" i="80" s="1"/>
  <c r="B1752" i="80"/>
  <c r="C1752" i="80" s="1"/>
  <c r="B1751" i="80"/>
  <c r="B1750" i="80"/>
  <c r="B1749" i="80"/>
  <c r="C1749" i="80" s="1"/>
  <c r="B1748" i="80"/>
  <c r="B1747" i="80"/>
  <c r="B1746" i="80"/>
  <c r="C1746" i="80" s="1"/>
  <c r="B1745" i="80"/>
  <c r="C1745" i="80" s="1"/>
  <c r="B1744" i="80"/>
  <c r="B1743" i="80"/>
  <c r="B1742" i="80"/>
  <c r="B1741" i="80"/>
  <c r="C1741" i="80" s="1"/>
  <c r="B1740" i="80"/>
  <c r="B1739" i="80"/>
  <c r="B1738" i="80"/>
  <c r="C1738" i="80" s="1"/>
  <c r="B1737" i="80"/>
  <c r="C1737" i="80" s="1"/>
  <c r="B1736" i="80"/>
  <c r="C1736" i="80" s="1"/>
  <c r="B1735" i="80"/>
  <c r="C1735" i="80" s="1"/>
  <c r="B1734" i="80"/>
  <c r="C1734" i="80" s="1"/>
  <c r="B1733" i="80"/>
  <c r="C1733" i="80" s="1"/>
  <c r="B1732" i="80"/>
  <c r="B1731" i="80"/>
  <c r="B1730" i="80"/>
  <c r="B1729" i="80"/>
  <c r="B1728" i="80"/>
  <c r="C1728" i="80" s="1"/>
  <c r="B1727" i="80"/>
  <c r="C1727" i="80" s="1"/>
  <c r="B1726" i="80"/>
  <c r="C1726" i="80" s="1"/>
  <c r="B1725" i="80"/>
  <c r="C1725" i="80" s="1"/>
  <c r="B1724" i="80"/>
  <c r="B1723" i="80"/>
  <c r="B1722" i="80"/>
  <c r="C1722" i="80" s="1"/>
  <c r="B1721" i="80"/>
  <c r="C1721" i="80" s="1"/>
  <c r="B1720" i="80"/>
  <c r="C1720" i="80" s="1"/>
  <c r="B1719" i="80"/>
  <c r="C1719" i="80" s="1"/>
  <c r="B1718" i="80"/>
  <c r="B1717" i="80"/>
  <c r="B1716" i="80"/>
  <c r="B1715" i="80"/>
  <c r="B1714" i="80"/>
  <c r="B1713" i="80"/>
  <c r="B1712" i="80"/>
  <c r="B1711" i="80"/>
  <c r="C1711" i="80" s="1"/>
  <c r="B1710" i="80"/>
  <c r="C1710" i="80" s="1"/>
  <c r="B1709" i="80"/>
  <c r="B1708" i="80"/>
  <c r="B1707" i="80"/>
  <c r="B1706" i="80"/>
  <c r="C1706" i="80" s="1"/>
  <c r="B1705" i="80"/>
  <c r="C1705" i="80" s="1"/>
  <c r="B1704" i="80"/>
  <c r="C1704" i="80" s="1"/>
  <c r="B1703" i="80"/>
  <c r="C1703" i="80" s="1"/>
  <c r="B1702" i="80"/>
  <c r="C1702" i="80" s="1"/>
  <c r="B1701" i="80"/>
  <c r="C1701" i="80" s="1"/>
  <c r="B1700" i="80"/>
  <c r="B1699" i="80"/>
  <c r="B1698" i="80"/>
  <c r="C1698" i="80" s="1"/>
  <c r="B1697" i="80"/>
  <c r="C1697" i="80" s="1"/>
  <c r="B1696" i="80"/>
  <c r="C1696" i="80" s="1"/>
  <c r="B1695" i="80"/>
  <c r="C1695" i="80" s="1"/>
  <c r="B1694" i="80"/>
  <c r="C1694" i="80" s="1"/>
  <c r="B1693" i="80"/>
  <c r="C1693" i="80" s="1"/>
  <c r="B1692" i="80"/>
  <c r="B1691" i="80"/>
  <c r="B1690" i="80"/>
  <c r="C1690" i="80" s="1"/>
  <c r="B1689" i="80"/>
  <c r="C1689" i="80" s="1"/>
  <c r="B1688" i="80"/>
  <c r="C1688" i="80" s="1"/>
  <c r="B1687" i="80"/>
  <c r="C1687" i="80" s="1"/>
  <c r="B1686" i="80"/>
  <c r="C1686" i="80" s="1"/>
  <c r="B1685" i="80"/>
  <c r="C1685" i="80" s="1"/>
  <c r="B1684" i="80"/>
  <c r="B1683" i="80"/>
  <c r="B1682" i="80"/>
  <c r="C1682" i="80" s="1"/>
  <c r="B1681" i="80"/>
  <c r="C1681" i="80" s="1"/>
  <c r="B1680" i="80"/>
  <c r="C1680" i="80" s="1"/>
  <c r="B1679" i="80"/>
  <c r="C1679" i="80" s="1"/>
  <c r="B1678" i="80"/>
  <c r="C1678" i="80" s="1"/>
  <c r="B1677" i="80"/>
  <c r="C1677" i="80" s="1"/>
  <c r="B1676" i="80"/>
  <c r="B1675" i="80"/>
  <c r="B1674" i="80"/>
  <c r="C1674" i="80" s="1"/>
  <c r="B1673" i="80"/>
  <c r="C1673" i="80" s="1"/>
  <c r="B1672" i="80"/>
  <c r="C1672" i="80" s="1"/>
  <c r="B1671" i="80"/>
  <c r="C1671" i="80" s="1"/>
  <c r="B1670" i="80"/>
  <c r="C1670" i="80" s="1"/>
  <c r="B1669" i="80"/>
  <c r="C1669" i="80" s="1"/>
  <c r="B1668" i="80"/>
  <c r="B1667" i="80"/>
  <c r="B1666" i="80"/>
  <c r="C1666" i="80" s="1"/>
  <c r="B1665" i="80"/>
  <c r="C1665" i="80" s="1"/>
  <c r="B1664" i="80"/>
  <c r="C1664" i="80" s="1"/>
  <c r="B1663" i="80"/>
  <c r="C1663" i="80" s="1"/>
  <c r="B1662" i="80"/>
  <c r="C1662" i="80" s="1"/>
  <c r="B1661" i="80"/>
  <c r="C1661" i="80" s="1"/>
  <c r="B1660" i="80"/>
  <c r="B1659" i="80"/>
  <c r="B1658" i="80"/>
  <c r="C1658" i="80" s="1"/>
  <c r="B1657" i="80"/>
  <c r="C1657" i="80" s="1"/>
  <c r="B1656" i="80"/>
  <c r="C1656" i="80" s="1"/>
  <c r="B1655" i="80"/>
  <c r="C1655" i="80" s="1"/>
  <c r="B1654" i="80"/>
  <c r="B1653" i="80"/>
  <c r="B1652" i="80"/>
  <c r="B1651" i="80"/>
  <c r="B1650" i="80"/>
  <c r="B1649" i="80"/>
  <c r="C1649" i="80" s="1"/>
  <c r="B1648" i="80"/>
  <c r="B1647" i="80"/>
  <c r="B1646" i="80"/>
  <c r="B1645" i="80"/>
  <c r="B1644" i="80"/>
  <c r="B1643" i="80"/>
  <c r="B1642" i="80"/>
  <c r="C1642" i="80" s="1"/>
  <c r="B1641" i="80"/>
  <c r="C1641" i="80" s="1"/>
  <c r="B1640" i="80"/>
  <c r="C1640" i="80" s="1"/>
  <c r="B1639" i="80"/>
  <c r="C1639" i="80" s="1"/>
  <c r="B1638" i="80"/>
  <c r="B1637" i="80"/>
  <c r="B1636" i="80"/>
  <c r="B1635" i="80"/>
  <c r="B1634" i="80"/>
  <c r="B1633" i="80"/>
  <c r="B1632" i="80"/>
  <c r="B1631" i="80"/>
  <c r="B1630" i="80"/>
  <c r="B1629" i="80"/>
  <c r="B1628" i="80"/>
  <c r="B1627" i="80"/>
  <c r="B1626" i="80"/>
  <c r="C1626" i="80" s="1"/>
  <c r="B1625" i="80"/>
  <c r="C1625" i="80" s="1"/>
  <c r="B1624" i="80"/>
  <c r="B1623" i="80"/>
  <c r="B1622" i="80"/>
  <c r="B1621" i="80"/>
  <c r="B1620" i="80"/>
  <c r="B1619" i="80"/>
  <c r="B1618" i="80"/>
  <c r="B1617" i="80"/>
  <c r="B1616" i="80"/>
  <c r="C1616" i="80" s="1"/>
  <c r="B1615" i="80"/>
  <c r="C1615" i="80" s="1"/>
  <c r="B1614" i="80"/>
  <c r="B1613" i="80"/>
  <c r="B1612" i="80"/>
  <c r="B1611" i="80"/>
  <c r="B1610" i="80"/>
  <c r="B1609" i="80"/>
  <c r="B1608" i="80"/>
  <c r="B1607" i="80"/>
  <c r="B1606" i="80"/>
  <c r="B1605" i="80"/>
  <c r="B1604" i="80"/>
  <c r="B1603" i="80"/>
  <c r="B1602" i="80"/>
  <c r="C1602" i="80" s="1"/>
  <c r="B1601" i="80"/>
  <c r="C1601" i="80" s="1"/>
  <c r="B1600" i="80"/>
  <c r="C1600" i="80" s="1"/>
  <c r="B1599" i="80"/>
  <c r="B1598" i="80"/>
  <c r="B1597" i="80"/>
  <c r="B1596" i="80"/>
  <c r="B1595" i="80"/>
  <c r="B1594" i="80"/>
  <c r="C1594" i="80" s="1"/>
  <c r="B1593" i="80"/>
  <c r="C1593" i="80" s="1"/>
  <c r="B1592" i="80"/>
  <c r="C1592" i="80" s="1"/>
  <c r="B1591" i="80"/>
  <c r="C1591" i="80" s="1"/>
  <c r="B1590" i="80"/>
  <c r="C1590" i="80" s="1"/>
  <c r="B1589" i="80"/>
  <c r="B1588" i="80"/>
  <c r="C1588" i="80" s="1"/>
  <c r="B1587" i="80"/>
  <c r="C1587" i="80" s="1"/>
  <c r="B1586" i="80"/>
  <c r="C1586" i="80" s="1"/>
  <c r="B1585" i="80"/>
  <c r="C1585" i="80" s="1"/>
  <c r="B1584" i="80"/>
  <c r="C1584" i="80" s="1"/>
  <c r="B1583" i="80"/>
  <c r="C1583" i="80" s="1"/>
  <c r="B1582" i="80"/>
  <c r="C1582" i="80" s="1"/>
  <c r="B1581" i="80"/>
  <c r="B1580" i="80"/>
  <c r="C1580" i="80" s="1"/>
  <c r="B1579" i="80"/>
  <c r="B1578" i="80"/>
  <c r="B1577" i="80"/>
  <c r="B1576" i="80"/>
  <c r="C1576" i="80" s="1"/>
  <c r="B1575" i="80"/>
  <c r="C1575" i="80" s="1"/>
  <c r="B1574" i="80"/>
  <c r="C1574" i="80" s="1"/>
  <c r="B1573" i="80"/>
  <c r="C1573" i="80" s="1"/>
  <c r="B1572" i="80"/>
  <c r="B1571" i="80"/>
  <c r="B1570" i="80"/>
  <c r="C1570" i="80" s="1"/>
  <c r="B1569" i="80"/>
  <c r="C1569" i="80" s="1"/>
  <c r="B1568" i="80"/>
  <c r="C1568" i="80" s="1"/>
  <c r="B1567" i="80"/>
  <c r="C1567" i="80" s="1"/>
  <c r="B1566" i="80"/>
  <c r="C1566" i="80" s="1"/>
  <c r="B1565" i="80"/>
  <c r="C1565" i="80" s="1"/>
  <c r="B1564" i="80"/>
  <c r="C1564" i="80" s="1"/>
  <c r="B1563" i="80"/>
  <c r="C1563" i="80" s="1"/>
  <c r="B1562" i="80"/>
  <c r="C1562" i="80" s="1"/>
  <c r="B1561" i="80"/>
  <c r="C1561" i="80" s="1"/>
  <c r="B1560" i="80"/>
  <c r="C1560" i="80" s="1"/>
  <c r="B1559" i="80"/>
  <c r="C1559" i="80" s="1"/>
  <c r="B1558" i="80"/>
  <c r="C1558" i="80" s="1"/>
  <c r="B1557" i="80"/>
  <c r="B1556" i="80"/>
  <c r="B1555" i="80"/>
  <c r="B1554" i="80"/>
  <c r="C1554" i="80" s="1"/>
  <c r="B1553" i="80"/>
  <c r="C1553" i="80" s="1"/>
  <c r="B1552" i="80"/>
  <c r="C1552" i="80" s="1"/>
  <c r="B1551" i="80"/>
  <c r="C1551" i="80" s="1"/>
  <c r="B1550" i="80"/>
  <c r="B1549" i="80"/>
  <c r="B1548" i="80"/>
  <c r="B1547" i="80"/>
  <c r="B1546" i="80"/>
  <c r="B1545" i="80"/>
  <c r="B1544" i="80"/>
  <c r="B1543" i="80"/>
  <c r="B1542" i="80"/>
  <c r="B1541" i="80"/>
  <c r="B1540" i="80"/>
  <c r="C1540" i="80" s="1"/>
  <c r="B1539" i="80"/>
  <c r="C1539" i="80" s="1"/>
  <c r="B1538" i="80"/>
  <c r="C1538" i="80" s="1"/>
  <c r="B1537" i="80"/>
  <c r="C1537" i="80" s="1"/>
  <c r="B1536" i="80"/>
  <c r="C1536" i="80" s="1"/>
  <c r="B1535" i="80"/>
  <c r="C1535" i="80" s="1"/>
  <c r="B1534" i="80"/>
  <c r="B1533" i="80"/>
  <c r="B1532" i="80"/>
  <c r="C1532" i="80" s="1"/>
  <c r="B1531" i="80"/>
  <c r="B1530" i="80"/>
  <c r="B1529" i="80"/>
  <c r="B1528" i="80"/>
  <c r="B1527" i="80"/>
  <c r="B1526" i="80"/>
  <c r="B1525" i="80"/>
  <c r="B1524" i="80"/>
  <c r="B1523" i="80"/>
  <c r="B1522" i="80"/>
  <c r="C1522" i="80" s="1"/>
  <c r="B1521" i="80"/>
  <c r="C1521" i="80" s="1"/>
  <c r="B1520" i="80"/>
  <c r="C1520" i="80" s="1"/>
  <c r="B1519" i="80"/>
  <c r="C1519" i="80" s="1"/>
  <c r="B1518" i="80"/>
  <c r="C1518" i="80" s="1"/>
  <c r="B1517" i="80"/>
  <c r="B1516" i="80"/>
  <c r="B1515" i="80"/>
  <c r="B1514" i="80"/>
  <c r="C1514" i="80" s="1"/>
  <c r="B1513" i="80"/>
  <c r="B1512" i="80"/>
  <c r="B1511" i="80"/>
  <c r="C1511" i="80" s="1"/>
  <c r="B1510" i="80"/>
  <c r="C1510" i="80" s="1"/>
  <c r="B1509" i="80"/>
  <c r="B1508" i="80"/>
  <c r="B1507" i="80"/>
  <c r="C1507" i="80" s="1"/>
  <c r="B1506" i="80"/>
  <c r="B1505" i="80"/>
  <c r="C1505" i="80" s="1"/>
  <c r="B1504" i="80"/>
  <c r="C1504" i="80" s="1"/>
  <c r="B1503" i="80"/>
  <c r="C1503" i="80" s="1"/>
  <c r="B1502" i="80"/>
  <c r="C1502" i="80" s="1"/>
  <c r="B1501" i="80"/>
  <c r="B1500" i="80"/>
  <c r="B1499" i="80"/>
  <c r="B1498" i="80"/>
  <c r="B1497" i="80"/>
  <c r="C1497" i="80" s="1"/>
  <c r="B1496" i="80"/>
  <c r="C1496" i="80" s="1"/>
  <c r="B1495" i="80"/>
  <c r="C1495" i="80" s="1"/>
  <c r="B1494" i="80"/>
  <c r="C1494" i="80" s="1"/>
  <c r="B1493" i="80"/>
  <c r="C1493" i="80" s="1"/>
  <c r="B1492" i="80"/>
  <c r="C1492" i="80" s="1"/>
  <c r="B1491" i="80"/>
  <c r="C1491" i="80" s="1"/>
  <c r="B1490" i="80"/>
  <c r="C1490" i="80" s="1"/>
  <c r="B1489" i="80"/>
  <c r="C1489" i="80" s="1"/>
  <c r="B1488" i="80"/>
  <c r="B1487" i="80"/>
  <c r="B1486" i="80"/>
  <c r="B1485" i="80"/>
  <c r="B1484" i="80"/>
  <c r="B1483" i="80"/>
  <c r="B1482" i="80"/>
  <c r="B1481" i="80"/>
  <c r="B1480" i="80"/>
  <c r="B1479" i="80"/>
  <c r="B1478" i="80"/>
  <c r="B1477" i="80"/>
  <c r="B1476" i="80"/>
  <c r="B1475" i="80"/>
  <c r="B1474" i="80"/>
  <c r="B1473" i="80"/>
  <c r="C1473" i="80" s="1"/>
  <c r="B1472" i="80"/>
  <c r="C1472" i="80" s="1"/>
  <c r="B1471" i="80"/>
  <c r="C1471" i="80" s="1"/>
  <c r="B1470" i="80"/>
  <c r="C1470" i="80" s="1"/>
  <c r="B1469" i="80"/>
  <c r="C1469" i="80" s="1"/>
  <c r="B1468" i="80"/>
  <c r="C1468" i="80" s="1"/>
  <c r="B1467" i="80"/>
  <c r="B1466" i="80"/>
  <c r="B1465" i="80"/>
  <c r="C1465" i="80" s="1"/>
  <c r="B1464" i="80"/>
  <c r="C1464" i="80" s="1"/>
  <c r="B1463" i="80"/>
  <c r="C1463" i="80" s="1"/>
  <c r="B1462" i="80"/>
  <c r="C1462" i="80" s="1"/>
  <c r="B1461" i="80"/>
  <c r="C1461" i="80" s="1"/>
  <c r="B1460" i="80"/>
  <c r="B1459" i="80"/>
  <c r="B1458" i="80"/>
  <c r="B1457" i="80"/>
  <c r="B1456" i="80"/>
  <c r="B1455" i="80"/>
  <c r="B1454" i="80"/>
  <c r="B1453" i="80"/>
  <c r="B1452" i="80"/>
  <c r="B1451" i="80"/>
  <c r="B1450" i="80"/>
  <c r="B1449" i="80"/>
  <c r="C1449" i="80" s="1"/>
  <c r="B1448" i="80"/>
  <c r="B1447" i="80"/>
  <c r="B1446" i="80"/>
  <c r="C1446" i="80" s="1"/>
  <c r="B1445" i="80"/>
  <c r="C1445" i="80" s="1"/>
  <c r="B1444" i="80"/>
  <c r="B1443" i="80"/>
  <c r="B1442" i="80"/>
  <c r="B1441" i="80"/>
  <c r="C1441" i="80" s="1"/>
  <c r="B1440" i="80"/>
  <c r="C1440" i="80" s="1"/>
  <c r="B1439" i="80"/>
  <c r="C1439" i="80" s="1"/>
  <c r="B1438" i="80"/>
  <c r="C1438" i="80" s="1"/>
  <c r="B1437" i="80"/>
  <c r="C1437" i="80" s="1"/>
  <c r="B1436" i="80"/>
  <c r="C1436" i="80" s="1"/>
  <c r="B1435" i="80"/>
  <c r="C1435" i="80" s="1"/>
  <c r="B1434" i="80"/>
  <c r="C1434" i="80" s="1"/>
  <c r="B1433" i="80"/>
  <c r="C1433" i="80" s="1"/>
  <c r="B1432" i="80"/>
  <c r="B1431" i="80"/>
  <c r="B1430" i="80"/>
  <c r="B1429" i="80"/>
  <c r="C1429" i="80" s="1"/>
  <c r="B1428" i="80"/>
  <c r="B1427" i="80"/>
  <c r="B1426" i="80"/>
  <c r="B1425" i="80"/>
  <c r="C1425" i="80" s="1"/>
  <c r="B1424" i="80"/>
  <c r="C1424" i="80" s="1"/>
  <c r="B1423" i="80"/>
  <c r="B1422" i="80"/>
  <c r="B1421" i="80"/>
  <c r="C1421" i="80" s="1"/>
  <c r="B1420" i="80"/>
  <c r="B1419" i="80"/>
  <c r="B1418" i="80"/>
  <c r="B1417" i="80"/>
  <c r="B1416" i="80"/>
  <c r="B1415" i="80"/>
  <c r="C1415" i="80" s="1"/>
  <c r="B1414" i="80"/>
  <c r="C1414" i="80" s="1"/>
  <c r="B1413" i="80"/>
  <c r="B1412" i="80"/>
  <c r="B1411" i="80"/>
  <c r="B1410" i="80"/>
  <c r="B1409" i="80"/>
  <c r="C1409" i="80" s="1"/>
  <c r="B1408" i="80"/>
  <c r="C1408" i="80" s="1"/>
  <c r="B1407" i="80"/>
  <c r="C1407" i="80" s="1"/>
  <c r="B1406" i="80"/>
  <c r="C1406" i="80" s="1"/>
  <c r="B1405" i="80"/>
  <c r="C1405" i="80" s="1"/>
  <c r="B1404" i="80"/>
  <c r="B1403" i="80"/>
  <c r="C1403" i="80" s="1"/>
  <c r="B1402" i="80"/>
  <c r="C1402" i="80" s="1"/>
  <c r="B1401" i="80"/>
  <c r="C1401" i="80" s="1"/>
  <c r="B1400" i="80"/>
  <c r="C1400" i="80" s="1"/>
  <c r="B1399" i="80"/>
  <c r="C1399" i="80" s="1"/>
  <c r="B1398" i="80"/>
  <c r="C1398" i="80" s="1"/>
  <c r="B1397" i="80"/>
  <c r="C1397" i="80" s="1"/>
  <c r="B1396" i="80"/>
  <c r="B1395" i="80"/>
  <c r="B1394" i="80"/>
  <c r="C1394" i="80" s="1"/>
  <c r="B1393" i="80"/>
  <c r="C1393" i="80" s="1"/>
  <c r="B1392" i="80"/>
  <c r="C1392" i="80" s="1"/>
  <c r="B1391" i="80"/>
  <c r="C1391" i="80" s="1"/>
  <c r="B1390" i="80"/>
  <c r="C1390" i="80" s="1"/>
  <c r="B1389" i="80"/>
  <c r="B1388" i="80"/>
  <c r="B1387" i="80"/>
  <c r="B1386" i="80"/>
  <c r="B1385" i="80"/>
  <c r="C1385" i="80" s="1"/>
  <c r="B1384" i="80"/>
  <c r="C1384" i="80" s="1"/>
  <c r="B1383" i="80"/>
  <c r="C1383" i="80" s="1"/>
  <c r="B1382" i="80"/>
  <c r="C1382" i="80" s="1"/>
  <c r="B1381" i="80"/>
  <c r="C1381" i="80" s="1"/>
  <c r="B1380" i="80"/>
  <c r="B1379" i="80"/>
  <c r="C1379" i="80" s="1"/>
  <c r="B1378" i="80"/>
  <c r="C1378" i="80" s="1"/>
  <c r="B1377" i="80"/>
  <c r="C1377" i="80" s="1"/>
  <c r="B1376" i="80"/>
  <c r="C1376" i="80" s="1"/>
  <c r="B1375" i="80"/>
  <c r="C1375" i="80" s="1"/>
  <c r="B1374" i="80"/>
  <c r="C1374" i="80" s="1"/>
  <c r="B1373" i="80"/>
  <c r="C1373" i="80" s="1"/>
  <c r="B1372" i="80"/>
  <c r="C1372" i="80" s="1"/>
  <c r="B1371" i="80"/>
  <c r="C1371" i="80" s="1"/>
  <c r="B1370" i="80"/>
  <c r="C1370" i="80" s="1"/>
  <c r="B1369" i="80"/>
  <c r="C1369" i="80" s="1"/>
  <c r="B1368" i="80"/>
  <c r="C1368" i="80" s="1"/>
  <c r="B1367" i="80"/>
  <c r="C1367" i="80" s="1"/>
  <c r="B1366" i="80"/>
  <c r="C1366" i="80" s="1"/>
  <c r="B1365" i="80"/>
  <c r="C1365" i="80" s="1"/>
  <c r="B1364" i="80"/>
  <c r="C1364" i="80" s="1"/>
  <c r="B1363" i="80"/>
  <c r="C1363" i="80" s="1"/>
  <c r="B1362" i="80"/>
  <c r="C1362" i="80" s="1"/>
  <c r="B1361" i="80"/>
  <c r="C1361" i="80" s="1"/>
  <c r="B1360" i="80"/>
  <c r="C1360" i="80" s="1"/>
  <c r="B1359" i="80"/>
  <c r="B1358" i="80"/>
  <c r="B1357" i="80"/>
  <c r="B1356" i="80"/>
  <c r="B1355" i="80"/>
  <c r="C1355" i="80" s="1"/>
  <c r="B1354" i="80"/>
  <c r="C1354" i="80" s="1"/>
  <c r="B1353" i="80"/>
  <c r="C1353" i="80" s="1"/>
  <c r="B1352" i="80"/>
  <c r="C1352" i="80" s="1"/>
  <c r="B1351" i="80"/>
  <c r="C1351" i="80" s="1"/>
  <c r="B1350" i="80"/>
  <c r="C1350" i="80" s="1"/>
  <c r="B1349" i="80"/>
  <c r="C1349" i="80" s="1"/>
  <c r="B1348" i="80"/>
  <c r="C1348" i="80" s="1"/>
  <c r="B1347" i="80"/>
  <c r="B1346" i="80"/>
  <c r="C1346" i="80" s="1"/>
  <c r="B1345" i="80"/>
  <c r="C1345" i="80" s="1"/>
  <c r="B1344" i="80"/>
  <c r="C1344" i="80" s="1"/>
  <c r="B1343" i="80"/>
  <c r="C1343" i="80" s="1"/>
  <c r="B1342" i="80"/>
  <c r="C1342" i="80" s="1"/>
  <c r="B1341" i="80"/>
  <c r="B1340" i="80"/>
  <c r="C1340" i="80" s="1"/>
  <c r="B1339" i="80"/>
  <c r="C1339" i="80" s="1"/>
  <c r="B1338" i="80"/>
  <c r="C1338" i="80" s="1"/>
  <c r="B1337" i="80"/>
  <c r="C1337" i="80" s="1"/>
  <c r="B1336" i="80"/>
  <c r="C1336" i="80" s="1"/>
  <c r="B1335" i="80"/>
  <c r="C1335" i="80" s="1"/>
  <c r="B1334" i="80"/>
  <c r="C1334" i="80" s="1"/>
  <c r="B1333" i="80"/>
  <c r="C1333" i="80" s="1"/>
  <c r="B1332" i="80"/>
  <c r="B1331" i="80"/>
  <c r="C1331" i="80" s="1"/>
  <c r="B1330" i="80"/>
  <c r="B1329" i="80"/>
  <c r="B1328" i="80"/>
  <c r="B1327" i="80"/>
  <c r="C1327" i="80" s="1"/>
  <c r="B1326" i="80"/>
  <c r="C1326" i="80" s="1"/>
  <c r="B1325" i="80"/>
  <c r="C1325" i="80" s="1"/>
  <c r="B1324" i="80"/>
  <c r="C1324" i="80" s="1"/>
  <c r="B1323" i="80"/>
  <c r="B1322" i="80"/>
  <c r="C1322" i="80" s="1"/>
  <c r="B1321" i="80"/>
  <c r="C1321" i="80" s="1"/>
  <c r="B1320" i="80"/>
  <c r="C1320" i="80" s="1"/>
  <c r="B1319" i="80"/>
  <c r="C1319" i="80" s="1"/>
  <c r="B1318" i="80"/>
  <c r="C1318" i="80" s="1"/>
  <c r="B1317" i="80"/>
  <c r="C1317" i="80" s="1"/>
  <c r="B1316" i="80"/>
  <c r="B1315" i="80"/>
  <c r="B1314" i="80"/>
  <c r="B1313" i="80"/>
  <c r="C1313" i="80" s="1"/>
  <c r="B1312" i="80"/>
  <c r="C1312" i="80" s="1"/>
  <c r="B1311" i="80"/>
  <c r="C1311" i="80" s="1"/>
  <c r="B1310" i="80"/>
  <c r="C1310" i="80" s="1"/>
  <c r="B1309" i="80"/>
  <c r="C1309" i="80" s="1"/>
  <c r="B1308" i="80"/>
  <c r="B1307" i="80"/>
  <c r="C1307" i="80" s="1"/>
  <c r="B1306" i="80"/>
  <c r="C1306" i="80" s="1"/>
  <c r="B1305" i="80"/>
  <c r="C1305" i="80" s="1"/>
  <c r="B1304" i="80"/>
  <c r="C1304" i="80" s="1"/>
  <c r="B1303" i="80"/>
  <c r="C1303" i="80" s="1"/>
  <c r="B1302" i="80"/>
  <c r="C1302" i="80" s="1"/>
  <c r="B1301" i="80"/>
  <c r="C1301" i="80" s="1"/>
  <c r="B1300" i="80"/>
  <c r="C1300" i="80" s="1"/>
  <c r="B1299" i="80"/>
  <c r="B1298" i="80"/>
  <c r="B1297" i="80"/>
  <c r="B1296" i="80"/>
  <c r="B1295" i="80"/>
  <c r="C1295" i="80" s="1"/>
  <c r="B1294" i="80"/>
  <c r="B1293" i="80"/>
  <c r="B1292" i="80"/>
  <c r="B1291" i="80"/>
  <c r="C1291" i="80" s="1"/>
  <c r="B1290" i="80"/>
  <c r="C1290" i="80" s="1"/>
  <c r="B1289" i="80"/>
  <c r="C1289" i="80" s="1"/>
  <c r="B1288" i="80"/>
  <c r="C1288" i="80" s="1"/>
  <c r="B1287" i="80"/>
  <c r="C1287" i="80" s="1"/>
  <c r="B1286" i="80"/>
  <c r="C1286" i="80" s="1"/>
  <c r="B1285" i="80"/>
  <c r="C1285" i="80" s="1"/>
  <c r="B1284" i="80"/>
  <c r="B1283" i="80"/>
  <c r="C1283" i="80" s="1"/>
  <c r="B1282" i="80"/>
  <c r="C1282" i="80" s="1"/>
  <c r="B1281" i="80"/>
  <c r="C1281" i="80" s="1"/>
  <c r="B1280" i="80"/>
  <c r="C1280" i="80" s="1"/>
  <c r="B1279" i="80"/>
  <c r="C1279" i="80" s="1"/>
  <c r="B1278" i="80"/>
  <c r="C1278" i="80" s="1"/>
  <c r="B1277" i="80"/>
  <c r="C1277" i="80" s="1"/>
  <c r="B1276" i="80"/>
  <c r="C1276" i="80" s="1"/>
  <c r="B1275" i="80"/>
  <c r="C1275" i="80" s="1"/>
  <c r="B1274" i="80"/>
  <c r="C1274" i="80" s="1"/>
  <c r="B1273" i="80"/>
  <c r="C1273" i="80" s="1"/>
  <c r="B1272" i="80"/>
  <c r="C1272" i="80" s="1"/>
  <c r="B1271" i="80"/>
  <c r="C1271" i="80" s="1"/>
  <c r="B1270" i="80"/>
  <c r="C1270" i="80" s="1"/>
  <c r="B1269" i="80"/>
  <c r="C1269" i="80" s="1"/>
  <c r="B1268" i="80"/>
  <c r="C1268" i="80" s="1"/>
  <c r="B1267" i="80"/>
  <c r="C1267" i="80" s="1"/>
  <c r="B1266" i="80"/>
  <c r="C1266" i="80" s="1"/>
  <c r="B1265" i="80"/>
  <c r="C1265" i="80" s="1"/>
  <c r="B1264" i="80"/>
  <c r="C1264" i="80" s="1"/>
  <c r="B1263" i="80"/>
  <c r="C1263" i="80" s="1"/>
  <c r="B1262" i="80"/>
  <c r="C1262" i="80" s="1"/>
  <c r="B1261" i="80"/>
  <c r="C1261" i="80" s="1"/>
  <c r="B1260" i="80"/>
  <c r="C1260" i="80" s="1"/>
  <c r="B1259" i="80"/>
  <c r="B1258" i="80"/>
  <c r="C1258" i="80" s="1"/>
  <c r="B1257" i="80"/>
  <c r="C1257" i="80" s="1"/>
  <c r="B1256" i="80"/>
  <c r="C1256" i="80" s="1"/>
  <c r="B1255" i="80"/>
  <c r="C1255" i="80" s="1"/>
  <c r="B1254" i="80"/>
  <c r="C1254" i="80" s="1"/>
  <c r="B1253" i="80"/>
  <c r="C1253" i="80" s="1"/>
  <c r="B1252" i="80"/>
  <c r="B1251" i="80"/>
  <c r="C1251" i="80" s="1"/>
  <c r="B1250" i="80"/>
  <c r="C1250" i="80" s="1"/>
  <c r="B1249" i="80"/>
  <c r="C1249" i="80" s="1"/>
  <c r="B1248" i="80"/>
  <c r="C1248" i="80" s="1"/>
  <c r="B1247" i="80"/>
  <c r="C1247" i="80" s="1"/>
  <c r="B1246" i="80"/>
  <c r="C1246" i="80" s="1"/>
  <c r="B1245" i="80"/>
  <c r="C1245" i="80" s="1"/>
  <c r="B1244" i="80"/>
  <c r="C1244" i="80" s="1"/>
  <c r="B1243" i="80"/>
  <c r="B1242" i="80"/>
  <c r="B1241" i="80"/>
  <c r="C1241" i="80" s="1"/>
  <c r="B1240" i="80"/>
  <c r="C1240" i="80" s="1"/>
  <c r="B1239" i="80"/>
  <c r="C1239" i="80" s="1"/>
  <c r="B1238" i="80"/>
  <c r="C1238" i="80" s="1"/>
  <c r="B1237" i="80"/>
  <c r="B1236" i="80"/>
  <c r="B1235" i="80"/>
  <c r="B1234" i="80"/>
  <c r="B1233" i="80"/>
  <c r="B1232" i="80"/>
  <c r="C1232" i="80" s="1"/>
  <c r="B1231" i="80"/>
  <c r="C1231" i="80" s="1"/>
  <c r="B1230" i="80"/>
  <c r="C1230" i="80" s="1"/>
  <c r="B1229" i="80"/>
  <c r="C1229" i="80" s="1"/>
  <c r="B1228" i="80"/>
  <c r="C1228" i="80" s="1"/>
  <c r="B1227" i="80"/>
  <c r="B1226" i="80"/>
  <c r="C1226" i="80" s="1"/>
  <c r="B1225" i="80"/>
  <c r="B1224" i="80"/>
  <c r="C1224" i="80" s="1"/>
  <c r="B1223" i="80"/>
  <c r="B1222" i="80"/>
  <c r="B1221" i="80"/>
  <c r="C1221" i="80" s="1"/>
  <c r="B1220" i="80"/>
  <c r="C1220" i="80" s="1"/>
  <c r="B1219" i="80"/>
  <c r="C1219" i="80" s="1"/>
  <c r="B1218" i="80"/>
  <c r="B1217" i="80"/>
  <c r="B1216" i="80"/>
  <c r="C1216" i="80" s="1"/>
  <c r="B1215" i="80"/>
  <c r="B1214" i="80"/>
  <c r="B1213" i="80"/>
  <c r="B1212" i="80"/>
  <c r="B1211" i="80"/>
  <c r="B1210" i="80"/>
  <c r="B1209" i="80"/>
  <c r="C1209" i="80" s="1"/>
  <c r="B1208" i="80"/>
  <c r="C1208" i="80" s="1"/>
  <c r="B1207" i="80"/>
  <c r="C1207" i="80" s="1"/>
  <c r="B1206" i="80"/>
  <c r="B1205" i="80"/>
  <c r="B1204" i="80"/>
  <c r="B1203" i="80"/>
  <c r="C1203" i="80" s="1"/>
  <c r="B1202" i="80"/>
  <c r="B1201" i="80"/>
  <c r="B1200" i="80"/>
  <c r="B1199" i="80"/>
  <c r="C1199" i="80" s="1"/>
  <c r="B1198" i="80"/>
  <c r="C1198" i="80" s="1"/>
  <c r="B1197" i="80"/>
  <c r="C1197" i="80" s="1"/>
  <c r="B1196" i="80"/>
  <c r="C1196" i="80" s="1"/>
  <c r="B1195" i="80"/>
  <c r="C1195" i="80" s="1"/>
  <c r="B1194" i="80"/>
  <c r="C1194" i="80" s="1"/>
  <c r="B1193" i="80"/>
  <c r="C1193" i="80" s="1"/>
  <c r="B1192" i="80"/>
  <c r="C1192" i="80" s="1"/>
  <c r="B1191" i="80"/>
  <c r="C1191" i="80" s="1"/>
  <c r="B1190" i="80"/>
  <c r="B1189" i="80"/>
  <c r="B1188" i="80"/>
  <c r="B1187" i="80"/>
  <c r="C1187" i="80" s="1"/>
  <c r="B1186" i="80"/>
  <c r="C1186" i="80" s="1"/>
  <c r="B1185" i="80"/>
  <c r="C1185" i="80" s="1"/>
  <c r="B1184" i="80"/>
  <c r="C1184" i="80" s="1"/>
  <c r="B1183" i="80"/>
  <c r="C1183" i="80" s="1"/>
  <c r="B1182" i="80"/>
  <c r="C1182" i="80" s="1"/>
  <c r="B1181" i="80"/>
  <c r="C1181" i="80" s="1"/>
  <c r="B1180" i="80"/>
  <c r="C1180" i="80" s="1"/>
  <c r="B1179" i="80"/>
  <c r="C1179" i="80" s="1"/>
  <c r="B1178" i="80"/>
  <c r="B1177" i="80"/>
  <c r="B1176" i="80"/>
  <c r="B1175" i="80"/>
  <c r="C1175" i="80" s="1"/>
  <c r="B1174" i="80"/>
  <c r="C1174" i="80" s="1"/>
  <c r="B1173" i="80"/>
  <c r="C1173" i="80" s="1"/>
  <c r="B1172" i="80"/>
  <c r="C1172" i="80" s="1"/>
  <c r="B1171" i="80"/>
  <c r="C1171" i="80" s="1"/>
  <c r="B1170" i="80"/>
  <c r="C1170" i="80" s="1"/>
  <c r="B1169" i="80"/>
  <c r="C1169" i="80" s="1"/>
  <c r="B1168" i="80"/>
  <c r="C1168" i="80" s="1"/>
  <c r="B1167" i="80"/>
  <c r="C1167" i="80" s="1"/>
  <c r="B1166" i="80"/>
  <c r="C1166" i="80" s="1"/>
  <c r="B1165" i="80"/>
  <c r="C1165" i="80" s="1"/>
  <c r="B1164" i="80"/>
  <c r="C1164" i="80" s="1"/>
  <c r="B1163" i="80"/>
  <c r="C1163" i="80" s="1"/>
  <c r="B1162" i="80"/>
  <c r="C1162" i="80" s="1"/>
  <c r="B1161" i="80"/>
  <c r="C1161" i="80" s="1"/>
  <c r="B1160" i="80"/>
  <c r="C1160" i="80" s="1"/>
  <c r="B1159" i="80"/>
  <c r="C1159" i="80" s="1"/>
  <c r="B1158" i="80"/>
  <c r="B1157" i="80"/>
  <c r="B1156" i="80"/>
  <c r="B1155" i="80"/>
  <c r="B1154" i="80"/>
  <c r="B1153" i="80"/>
  <c r="B1152" i="80"/>
  <c r="C1152" i="80" s="1"/>
  <c r="B1151" i="80"/>
  <c r="C1151" i="80" s="1"/>
  <c r="B1150" i="80"/>
  <c r="C1150" i="80" s="1"/>
  <c r="B1149" i="80"/>
  <c r="C1149" i="80" s="1"/>
  <c r="B1148" i="80"/>
  <c r="B1147" i="80"/>
  <c r="C1147" i="80" s="1"/>
  <c r="B1146" i="80"/>
  <c r="C1146" i="80" s="1"/>
  <c r="B1145" i="80"/>
  <c r="C1145" i="80" s="1"/>
  <c r="B1144" i="80"/>
  <c r="C1144" i="80" s="1"/>
  <c r="B1143" i="80"/>
  <c r="C1143" i="80" s="1"/>
  <c r="B1142" i="80"/>
  <c r="C1142" i="80" s="1"/>
  <c r="B1141" i="80"/>
  <c r="C1141" i="80" s="1"/>
  <c r="B1140" i="80"/>
  <c r="C1140" i="80" s="1"/>
  <c r="B1139" i="80"/>
  <c r="C1139" i="80" s="1"/>
  <c r="B1138" i="80"/>
  <c r="B1137" i="80"/>
  <c r="B1136" i="80"/>
  <c r="B1135" i="80"/>
  <c r="B1134" i="80"/>
  <c r="B1133" i="80"/>
  <c r="B1132" i="80"/>
  <c r="B1131" i="80"/>
  <c r="B1130" i="80"/>
  <c r="B1129" i="80"/>
  <c r="B1128" i="80"/>
  <c r="C1128" i="80" s="1"/>
  <c r="B1127" i="80"/>
  <c r="C1127" i="80" s="1"/>
  <c r="B1126" i="80"/>
  <c r="C1126" i="80" s="1"/>
  <c r="B1125" i="80"/>
  <c r="B1124" i="80"/>
  <c r="B1123" i="80"/>
  <c r="B1122" i="80"/>
  <c r="B1121" i="80"/>
  <c r="B1120" i="80"/>
  <c r="B1119" i="80"/>
  <c r="B1118" i="80"/>
  <c r="B1117" i="80"/>
  <c r="B1116" i="80"/>
  <c r="B1115" i="80"/>
  <c r="B1114" i="80"/>
  <c r="B1113" i="80"/>
  <c r="B1112" i="80"/>
  <c r="C1112" i="80" s="1"/>
  <c r="B1111" i="80"/>
  <c r="B1110" i="80"/>
  <c r="B1109" i="80"/>
  <c r="B1108" i="80"/>
  <c r="B1107" i="80"/>
  <c r="B1106" i="80"/>
  <c r="B1105" i="80"/>
  <c r="B1104" i="80"/>
  <c r="B1103" i="80"/>
  <c r="B1102" i="80"/>
  <c r="B1101" i="80"/>
  <c r="B1100" i="80"/>
  <c r="B1099" i="80"/>
  <c r="B1098" i="80"/>
  <c r="B1097" i="80"/>
  <c r="B1096" i="80"/>
  <c r="B1095" i="80"/>
  <c r="C1095" i="80" s="1"/>
  <c r="B1094" i="80"/>
  <c r="B1093" i="80"/>
  <c r="B1092" i="80"/>
  <c r="B1091" i="80"/>
  <c r="B1090" i="80"/>
  <c r="B1089" i="80"/>
  <c r="C1089" i="80" s="1"/>
  <c r="B1088" i="80"/>
  <c r="B1083" i="80"/>
  <c r="B1082" i="80"/>
  <c r="C1082" i="80" s="1"/>
  <c r="B1081" i="80"/>
  <c r="B1080" i="80"/>
  <c r="B1079" i="80"/>
  <c r="B1078" i="80"/>
  <c r="B1077" i="80"/>
  <c r="B1076" i="80"/>
  <c r="B1075" i="80"/>
  <c r="B1074" i="80"/>
  <c r="B1073" i="80"/>
  <c r="B1072" i="80"/>
  <c r="B1071" i="80"/>
  <c r="B1070" i="80"/>
  <c r="B1069" i="80"/>
  <c r="B1068" i="80"/>
  <c r="B1067" i="80"/>
  <c r="B1066" i="80"/>
  <c r="B1065" i="80"/>
  <c r="B1064" i="80"/>
  <c r="B1063" i="80"/>
  <c r="C1063" i="80" s="1"/>
  <c r="B1062" i="80"/>
  <c r="B1061" i="80"/>
  <c r="B1060" i="80"/>
  <c r="B1059" i="80"/>
  <c r="B1058" i="80"/>
  <c r="B1057" i="80"/>
  <c r="B1056" i="80"/>
  <c r="B1055" i="80"/>
  <c r="B1054" i="80"/>
  <c r="B1053" i="80"/>
  <c r="B1052" i="80"/>
  <c r="B1051" i="80"/>
  <c r="B1050" i="80"/>
  <c r="B1049" i="80"/>
  <c r="B1048" i="80"/>
  <c r="B1047" i="80"/>
  <c r="B1046" i="80"/>
  <c r="C1046" i="80" s="1"/>
  <c r="B1045" i="80"/>
  <c r="C1045" i="80" s="1"/>
  <c r="B1044" i="80"/>
  <c r="C1044" i="80" s="1"/>
  <c r="B1043" i="80"/>
  <c r="B1042" i="80"/>
  <c r="B1041" i="80"/>
  <c r="C1041" i="80" s="1"/>
  <c r="B1040" i="80"/>
  <c r="C1040" i="80" s="1"/>
  <c r="B1039" i="80"/>
  <c r="C1039" i="80" s="1"/>
  <c r="B1038" i="80"/>
  <c r="B1037" i="80"/>
  <c r="B1036" i="80"/>
  <c r="B1035" i="80"/>
  <c r="B1034" i="80"/>
  <c r="B1033" i="80"/>
  <c r="B1032" i="80"/>
  <c r="B1031" i="80"/>
  <c r="B1030" i="80"/>
  <c r="B1029" i="80"/>
  <c r="B1028" i="80"/>
  <c r="C1028" i="80" s="1"/>
  <c r="B1027" i="80"/>
  <c r="C1027" i="80" s="1"/>
  <c r="B1026" i="80"/>
  <c r="C1026" i="80" s="1"/>
  <c r="B1025" i="80"/>
  <c r="B1024" i="80"/>
  <c r="B1023" i="80"/>
  <c r="B1022" i="80"/>
  <c r="B1021" i="80"/>
  <c r="B1020" i="80"/>
  <c r="B1019" i="80"/>
  <c r="B1018" i="80"/>
  <c r="B1017" i="80"/>
  <c r="C1017" i="80" s="1"/>
  <c r="B1016" i="80"/>
  <c r="C1016" i="80" s="1"/>
  <c r="B1015" i="80"/>
  <c r="C1015" i="80" s="1"/>
  <c r="B1014" i="80"/>
  <c r="C1014" i="80" s="1"/>
  <c r="B1013" i="80"/>
  <c r="C1013" i="80" s="1"/>
  <c r="B1012" i="80"/>
  <c r="C1012" i="80" s="1"/>
  <c r="B1011" i="80"/>
  <c r="C1011" i="80" s="1"/>
  <c r="B1010" i="80"/>
  <c r="C1010" i="80" s="1"/>
  <c r="B1009" i="80"/>
  <c r="C1009" i="80" s="1"/>
  <c r="B1008" i="80"/>
  <c r="C1008" i="80" s="1"/>
  <c r="B1007" i="80"/>
  <c r="C1007" i="80" s="1"/>
  <c r="B1006" i="80"/>
  <c r="C1006" i="80" s="1"/>
  <c r="B1005" i="80"/>
  <c r="C1005" i="80" s="1"/>
  <c r="B1004" i="80"/>
  <c r="C1004" i="80" s="1"/>
  <c r="B1003" i="80"/>
  <c r="C1003" i="80" s="1"/>
  <c r="B1002" i="80"/>
  <c r="C1002" i="80" s="1"/>
  <c r="B1001" i="80"/>
  <c r="B1000" i="80"/>
  <c r="C1000" i="80" s="1"/>
  <c r="B999" i="80"/>
  <c r="C999" i="80" s="1"/>
  <c r="B998" i="80"/>
  <c r="C998" i="80" s="1"/>
  <c r="B997" i="80"/>
  <c r="C997" i="80" s="1"/>
  <c r="B996" i="80"/>
  <c r="B995" i="80"/>
  <c r="B994" i="80"/>
  <c r="B993" i="80"/>
  <c r="B992" i="80"/>
  <c r="C992" i="80" s="1"/>
  <c r="B991" i="80"/>
  <c r="B990" i="80"/>
  <c r="B989" i="80"/>
  <c r="C989" i="80" s="1"/>
  <c r="B988" i="80"/>
  <c r="C988" i="80" s="1"/>
  <c r="B987" i="80"/>
  <c r="C987" i="80" s="1"/>
  <c r="B986" i="80"/>
  <c r="C986" i="80" s="1"/>
  <c r="B985" i="80"/>
  <c r="C985" i="80" s="1"/>
  <c r="B984" i="80"/>
  <c r="C984" i="80" s="1"/>
  <c r="B983" i="80"/>
  <c r="C983" i="80" s="1"/>
  <c r="B982" i="80"/>
  <c r="C982" i="80" s="1"/>
  <c r="B981" i="80"/>
  <c r="C981" i="80" s="1"/>
  <c r="B980" i="80"/>
  <c r="C980" i="80" s="1"/>
  <c r="B979" i="80"/>
  <c r="C979" i="80" s="1"/>
  <c r="B978" i="80"/>
  <c r="B977" i="80"/>
  <c r="B976" i="80"/>
  <c r="B975" i="80"/>
  <c r="B974" i="80"/>
  <c r="B973" i="80"/>
  <c r="B972" i="80"/>
  <c r="B971" i="80"/>
  <c r="B970" i="80"/>
  <c r="B969" i="80"/>
  <c r="B968" i="80"/>
  <c r="C968" i="80" s="1"/>
  <c r="B967" i="80"/>
  <c r="C967" i="80" s="1"/>
  <c r="B966" i="80"/>
  <c r="C966" i="80" s="1"/>
  <c r="B965" i="80"/>
  <c r="C965" i="80" s="1"/>
  <c r="B964" i="80"/>
  <c r="C964" i="80" s="1"/>
  <c r="B963" i="80"/>
  <c r="C963" i="80" s="1"/>
  <c r="B962" i="80"/>
  <c r="C962" i="80" s="1"/>
  <c r="B961" i="80"/>
  <c r="C961" i="80" s="1"/>
  <c r="B960" i="80"/>
  <c r="C960" i="80" s="1"/>
  <c r="B959" i="80"/>
  <c r="C959" i="80" s="1"/>
  <c r="B958" i="80"/>
  <c r="C958" i="80" s="1"/>
  <c r="B957" i="80"/>
  <c r="C957" i="80" s="1"/>
  <c r="B956" i="80"/>
  <c r="B955" i="80"/>
  <c r="B954" i="80"/>
  <c r="B953" i="80"/>
  <c r="B952" i="80"/>
  <c r="C952" i="80" s="1"/>
  <c r="B951" i="80"/>
  <c r="B950" i="80"/>
  <c r="B949" i="80"/>
  <c r="B948" i="80"/>
  <c r="B947" i="80"/>
  <c r="B946" i="80"/>
  <c r="B945" i="80"/>
  <c r="B944" i="80"/>
  <c r="B943" i="80"/>
  <c r="B942" i="80"/>
  <c r="B941" i="80"/>
  <c r="B940" i="80"/>
  <c r="B939" i="80"/>
  <c r="B938" i="80"/>
  <c r="B937" i="80"/>
  <c r="B936" i="80"/>
  <c r="B935" i="80"/>
  <c r="B934" i="80"/>
  <c r="C934" i="80" s="1"/>
  <c r="B933" i="80"/>
  <c r="C933" i="80" s="1"/>
  <c r="B932" i="80"/>
  <c r="C932" i="80" s="1"/>
  <c r="B931" i="80"/>
  <c r="C931" i="80" s="1"/>
  <c r="B930" i="80"/>
  <c r="C930" i="80" s="1"/>
  <c r="B929" i="80"/>
  <c r="C929" i="80" s="1"/>
  <c r="B928" i="80"/>
  <c r="C928" i="80" s="1"/>
  <c r="B927" i="80"/>
  <c r="C927" i="80" s="1"/>
  <c r="B926" i="80"/>
  <c r="C926" i="80" s="1"/>
  <c r="B925" i="80"/>
  <c r="C925" i="80" s="1"/>
  <c r="B924" i="80"/>
  <c r="C924" i="80" s="1"/>
  <c r="B923" i="80"/>
  <c r="C923" i="80" s="1"/>
  <c r="B922" i="80"/>
  <c r="C922" i="80" s="1"/>
  <c r="B921" i="80"/>
  <c r="C921" i="80" s="1"/>
  <c r="B920" i="80"/>
  <c r="C920" i="80" s="1"/>
  <c r="B919" i="80"/>
  <c r="C919" i="80" s="1"/>
  <c r="B918" i="80"/>
  <c r="C918" i="80" s="1"/>
  <c r="B917" i="80"/>
  <c r="C917" i="80" s="1"/>
  <c r="B916" i="80"/>
  <c r="C916" i="80" s="1"/>
  <c r="B915" i="80"/>
  <c r="C915" i="80" s="1"/>
  <c r="B914" i="80"/>
  <c r="C914" i="80" s="1"/>
  <c r="B913" i="80"/>
  <c r="C913" i="80" s="1"/>
  <c r="B912" i="80"/>
  <c r="C912" i="80" s="1"/>
  <c r="B911" i="80"/>
  <c r="C911" i="80" s="1"/>
  <c r="B910" i="80"/>
  <c r="C910" i="80" s="1"/>
  <c r="B908" i="80"/>
  <c r="C908" i="80" s="1"/>
  <c r="B907" i="80"/>
  <c r="C907" i="80" s="1"/>
  <c r="B906" i="80"/>
  <c r="C906" i="80" s="1"/>
  <c r="B904" i="80"/>
  <c r="B903" i="80"/>
  <c r="B902" i="80"/>
  <c r="B901" i="80"/>
  <c r="B900" i="80"/>
  <c r="B899" i="80"/>
  <c r="B898" i="80"/>
  <c r="B897" i="80"/>
  <c r="B896" i="80"/>
  <c r="B895" i="80"/>
  <c r="B894" i="80"/>
  <c r="B893" i="80"/>
  <c r="B892" i="80"/>
  <c r="B890" i="80"/>
  <c r="B889" i="80"/>
  <c r="B888" i="80"/>
  <c r="B886" i="80"/>
  <c r="B882" i="80"/>
  <c r="B881" i="80"/>
  <c r="B880" i="80"/>
  <c r="C880" i="80" s="1"/>
  <c r="B879" i="80"/>
  <c r="C879" i="80" s="1"/>
  <c r="B878" i="80"/>
  <c r="C878" i="80" s="1"/>
  <c r="C877" i="80"/>
  <c r="C871" i="80"/>
  <c r="C870" i="80"/>
  <c r="C869" i="80"/>
  <c r="C862" i="80"/>
  <c r="C861" i="80"/>
  <c r="C856" i="80"/>
  <c r="C854" i="80"/>
  <c r="C853" i="80"/>
  <c r="C847" i="80"/>
  <c r="C844" i="80"/>
  <c r="C838" i="80"/>
  <c r="C831" i="80"/>
  <c r="C829" i="80"/>
  <c r="C823" i="80"/>
  <c r="C783" i="80"/>
  <c r="C782" i="80"/>
  <c r="C781" i="80"/>
  <c r="C775" i="80"/>
  <c r="C774" i="80"/>
  <c r="C773" i="80"/>
  <c r="C759" i="80"/>
  <c r="C758" i="80"/>
  <c r="C757" i="80"/>
  <c r="C756" i="80"/>
  <c r="C743" i="80"/>
  <c r="C735" i="80"/>
  <c r="C734" i="80"/>
  <c r="C733" i="80"/>
  <c r="C732" i="80"/>
  <c r="C727" i="80"/>
  <c r="C726" i="80"/>
  <c r="C716" i="80"/>
  <c r="C711" i="80"/>
  <c r="C709" i="80"/>
  <c r="C703" i="80"/>
  <c r="C702" i="80"/>
  <c r="C701" i="80"/>
  <c r="C700" i="80"/>
  <c r="C695" i="80"/>
  <c r="C688" i="80"/>
  <c r="C687" i="80"/>
  <c r="C679" i="80"/>
  <c r="C677" i="80"/>
  <c r="C671" i="80"/>
  <c r="C670" i="80"/>
  <c r="C669" i="80"/>
  <c r="C663" i="80"/>
  <c r="C662" i="80"/>
  <c r="C661" i="80"/>
  <c r="C655" i="80"/>
  <c r="C647" i="80"/>
  <c r="C646" i="80"/>
  <c r="C645" i="80"/>
  <c r="C644" i="80"/>
  <c r="C637" i="80"/>
  <c r="C631" i="80"/>
  <c r="C630" i="80"/>
  <c r="C629" i="80"/>
  <c r="C628" i="80"/>
  <c r="C627" i="80"/>
  <c r="C626" i="80"/>
  <c r="C625" i="80"/>
  <c r="C624" i="80"/>
  <c r="C623" i="80"/>
  <c r="C622" i="80"/>
  <c r="C621" i="80"/>
  <c r="C615" i="80"/>
  <c r="C614" i="80"/>
  <c r="C613" i="80"/>
  <c r="C607" i="80"/>
  <c r="C606" i="80"/>
  <c r="C605" i="80"/>
  <c r="C591" i="80"/>
  <c r="C590" i="80"/>
  <c r="C589" i="80"/>
  <c r="C588" i="80"/>
  <c r="C581" i="80"/>
  <c r="C575" i="80"/>
  <c r="C574" i="80"/>
  <c r="C564" i="80"/>
  <c r="C535" i="80"/>
  <c r="C534" i="80"/>
  <c r="C533" i="80"/>
  <c r="C526" i="80"/>
  <c r="C519" i="80"/>
  <c r="C518" i="80"/>
  <c r="C517" i="80"/>
  <c r="C503" i="80"/>
  <c r="C502" i="80"/>
  <c r="C501" i="80"/>
  <c r="C495" i="80"/>
  <c r="C493" i="80"/>
  <c r="C455" i="80"/>
  <c r="C453" i="80"/>
  <c r="C447" i="80"/>
  <c r="C444" i="80"/>
  <c r="C439" i="80"/>
  <c r="C430" i="80"/>
  <c r="C429" i="80"/>
  <c r="C407" i="80"/>
  <c r="C406" i="80"/>
  <c r="C405" i="80"/>
  <c r="C396" i="80"/>
  <c r="C391" i="80"/>
  <c r="C390" i="80"/>
  <c r="C389" i="80"/>
  <c r="C383" i="80"/>
  <c r="C382" i="80"/>
  <c r="C381" i="80"/>
  <c r="C359" i="80"/>
  <c r="C358" i="80"/>
  <c r="C343" i="80"/>
  <c r="C342" i="80"/>
  <c r="C341" i="80"/>
  <c r="C327" i="80"/>
  <c r="B326" i="80"/>
  <c r="C326" i="80" s="1"/>
  <c r="B325" i="80"/>
  <c r="C325" i="80" s="1"/>
  <c r="B324" i="80"/>
  <c r="C324" i="80" s="1"/>
  <c r="B323" i="80"/>
  <c r="C323" i="80" s="1"/>
  <c r="B322" i="80"/>
  <c r="C322" i="80" s="1"/>
  <c r="B321" i="80"/>
  <c r="B320" i="80"/>
  <c r="C320" i="80" s="1"/>
  <c r="B319" i="80"/>
  <c r="B318" i="80"/>
  <c r="B317" i="80"/>
  <c r="B316" i="80"/>
  <c r="C316" i="80" s="1"/>
  <c r="B315" i="80"/>
  <c r="C315" i="80" s="1"/>
  <c r="B314" i="80"/>
  <c r="C314" i="80" s="1"/>
  <c r="B313" i="80"/>
  <c r="C313" i="80" s="1"/>
  <c r="B312" i="80"/>
  <c r="C312" i="80" s="1"/>
  <c r="B311" i="80"/>
  <c r="B310" i="80"/>
  <c r="B309" i="80"/>
  <c r="B308" i="80"/>
  <c r="B307" i="80"/>
  <c r="B306" i="80"/>
  <c r="B305" i="80"/>
  <c r="B304" i="80"/>
  <c r="B303" i="80"/>
  <c r="B302" i="80"/>
  <c r="C302" i="80" s="1"/>
  <c r="B301" i="80"/>
  <c r="C301" i="80" s="1"/>
  <c r="B300" i="80"/>
  <c r="C300" i="80" s="1"/>
  <c r="B299" i="80"/>
  <c r="C299" i="80" s="1"/>
  <c r="B298" i="80"/>
  <c r="C298" i="80" s="1"/>
  <c r="B297" i="80"/>
  <c r="B296" i="80"/>
  <c r="C296" i="80" s="1"/>
  <c r="B295" i="80"/>
  <c r="B294" i="80"/>
  <c r="B293" i="80"/>
  <c r="B292" i="80"/>
  <c r="B291" i="80"/>
  <c r="B290" i="80"/>
  <c r="B289" i="80"/>
  <c r="B288" i="80"/>
  <c r="B287" i="80"/>
  <c r="B286" i="80"/>
  <c r="B285" i="80"/>
  <c r="B284" i="80"/>
  <c r="B283" i="80"/>
  <c r="B282" i="80"/>
  <c r="B281" i="80"/>
  <c r="B280" i="80"/>
  <c r="B279" i="80"/>
  <c r="B278" i="80"/>
  <c r="B277" i="80"/>
  <c r="B276" i="80"/>
  <c r="C276" i="80" s="1"/>
  <c r="B275" i="80"/>
  <c r="C275" i="80" s="1"/>
  <c r="B274" i="80"/>
  <c r="B273" i="80"/>
  <c r="B272" i="80"/>
  <c r="B271" i="80"/>
  <c r="B270" i="80"/>
  <c r="C270" i="80" s="1"/>
  <c r="B269" i="80"/>
  <c r="B268" i="80"/>
  <c r="B267" i="80"/>
  <c r="C267" i="80" s="1"/>
  <c r="B266" i="80"/>
  <c r="C266" i="80" s="1"/>
  <c r="B265" i="80"/>
  <c r="C265" i="80" s="1"/>
  <c r="B264" i="80"/>
  <c r="C264" i="80" s="1"/>
  <c r="B263" i="80"/>
  <c r="B262" i="80"/>
  <c r="B261" i="80"/>
  <c r="B260" i="80"/>
  <c r="B259" i="80"/>
  <c r="C259" i="80" s="1"/>
  <c r="B258" i="80"/>
  <c r="C258" i="80" s="1"/>
  <c r="B257" i="80"/>
  <c r="B256" i="80"/>
  <c r="B255" i="80"/>
  <c r="B254" i="80"/>
  <c r="B253" i="80"/>
  <c r="B252" i="80"/>
  <c r="B251" i="80"/>
  <c r="B250" i="80"/>
  <c r="B249" i="80"/>
  <c r="B248" i="80"/>
  <c r="C248" i="80" s="1"/>
  <c r="B247" i="80"/>
  <c r="B246" i="80"/>
  <c r="C246" i="80" s="1"/>
  <c r="B245" i="80"/>
  <c r="B244" i="80"/>
  <c r="C244" i="80" s="1"/>
  <c r="B243" i="80"/>
  <c r="C243" i="80" s="1"/>
  <c r="B242" i="80"/>
  <c r="C242" i="80" s="1"/>
  <c r="B241" i="80"/>
  <c r="C241" i="80" s="1"/>
  <c r="B240" i="80"/>
  <c r="C240" i="80" s="1"/>
  <c r="B239" i="80"/>
  <c r="B238" i="80"/>
  <c r="C238" i="80" s="1"/>
  <c r="B237" i="80"/>
  <c r="B236" i="80"/>
  <c r="B235" i="80"/>
  <c r="B234" i="80"/>
  <c r="B233" i="80"/>
  <c r="B232" i="80"/>
  <c r="B231" i="80"/>
  <c r="B230" i="80"/>
  <c r="B229" i="80"/>
  <c r="B228" i="80"/>
  <c r="B227" i="80"/>
  <c r="B226" i="80"/>
  <c r="B225" i="80"/>
  <c r="B224" i="80"/>
  <c r="B223" i="80"/>
  <c r="B222" i="80"/>
  <c r="B221" i="80"/>
  <c r="B220" i="80"/>
  <c r="B219" i="80"/>
  <c r="B218" i="80"/>
  <c r="B217" i="80"/>
  <c r="B216" i="80"/>
  <c r="B215" i="80"/>
  <c r="B214" i="80"/>
  <c r="B213" i="80"/>
  <c r="B212" i="80"/>
  <c r="B211" i="80"/>
  <c r="C211" i="80" s="1"/>
  <c r="B210" i="80"/>
  <c r="B209" i="80"/>
  <c r="B208" i="80"/>
  <c r="B207" i="80"/>
  <c r="B206" i="80"/>
  <c r="C206" i="80" s="1"/>
  <c r="B205" i="80"/>
  <c r="C205" i="80" s="1"/>
  <c r="B204" i="80"/>
  <c r="C204" i="80" s="1"/>
  <c r="B203" i="80"/>
  <c r="C203" i="80" s="1"/>
  <c r="B202" i="80"/>
  <c r="C202" i="80" s="1"/>
  <c r="B201" i="80"/>
  <c r="B200" i="80"/>
  <c r="B199" i="80"/>
  <c r="B198" i="80"/>
  <c r="B197" i="80"/>
  <c r="B196" i="80"/>
  <c r="B195" i="80"/>
  <c r="B194" i="80"/>
  <c r="B193" i="80"/>
  <c r="B192" i="80"/>
  <c r="B191" i="80"/>
  <c r="B190" i="80"/>
  <c r="B189" i="80"/>
  <c r="B188" i="80"/>
  <c r="C188" i="80" s="1"/>
  <c r="B187" i="80"/>
  <c r="B186" i="80"/>
  <c r="B185" i="80"/>
  <c r="B184" i="80"/>
  <c r="B183" i="80"/>
  <c r="B182" i="80"/>
  <c r="B181" i="80"/>
  <c r="B180" i="80"/>
  <c r="B179" i="80"/>
  <c r="B178" i="80"/>
  <c r="B177" i="80"/>
  <c r="B176" i="80"/>
  <c r="B175" i="80"/>
  <c r="B174" i="80"/>
  <c r="B173" i="80"/>
  <c r="B172" i="80"/>
  <c r="B171" i="80"/>
  <c r="B170" i="80"/>
  <c r="B169" i="80"/>
  <c r="B168" i="80"/>
  <c r="C168" i="80" s="1"/>
  <c r="B167" i="80"/>
  <c r="B166" i="80"/>
  <c r="C166" i="80" s="1"/>
  <c r="B165" i="80"/>
  <c r="C165" i="80" s="1"/>
  <c r="B164" i="80"/>
  <c r="B163" i="80"/>
  <c r="B162" i="80"/>
  <c r="B161" i="80"/>
  <c r="B160" i="80"/>
  <c r="B159" i="80"/>
  <c r="B158" i="80"/>
  <c r="B157" i="80"/>
  <c r="B156" i="80"/>
  <c r="B155" i="80"/>
  <c r="B154" i="80"/>
  <c r="B153" i="80"/>
  <c r="C153" i="80" s="1"/>
  <c r="B152" i="80"/>
  <c r="C152" i="80" s="1"/>
  <c r="B151" i="80"/>
  <c r="B150" i="80"/>
  <c r="C150" i="80" s="1"/>
  <c r="B149" i="80"/>
  <c r="B148" i="80"/>
  <c r="B147" i="80"/>
  <c r="C147" i="80" s="1"/>
  <c r="B146" i="80"/>
  <c r="C146" i="80" s="1"/>
  <c r="B145" i="80"/>
  <c r="B144" i="80"/>
  <c r="B143" i="80"/>
  <c r="B142" i="80"/>
  <c r="B141" i="80"/>
  <c r="B140" i="80"/>
  <c r="C140" i="80" s="1"/>
  <c r="B139" i="80"/>
  <c r="C139" i="80" s="1"/>
  <c r="B138" i="80"/>
  <c r="C138" i="80" s="1"/>
  <c r="B137" i="80"/>
  <c r="B136" i="80"/>
  <c r="C136" i="80" s="1"/>
  <c r="B135" i="80"/>
  <c r="B134" i="80"/>
  <c r="B133" i="80"/>
  <c r="C133" i="80" s="1"/>
  <c r="B132" i="80"/>
  <c r="C132" i="80" s="1"/>
  <c r="B131" i="80"/>
  <c r="C131" i="80" s="1"/>
  <c r="B130" i="80"/>
  <c r="B129" i="80"/>
  <c r="B128" i="80"/>
  <c r="B127" i="80"/>
  <c r="B126" i="80"/>
  <c r="B125" i="80"/>
  <c r="B124" i="80"/>
  <c r="B123" i="80"/>
  <c r="B122" i="80"/>
  <c r="B121" i="80"/>
  <c r="B120" i="80"/>
  <c r="B119" i="80"/>
  <c r="B118" i="80"/>
  <c r="C118" i="80" s="1"/>
  <c r="B117" i="80"/>
  <c r="C117" i="80" s="1"/>
  <c r="B116" i="80"/>
  <c r="B115" i="80"/>
  <c r="B114" i="80"/>
  <c r="B113" i="80"/>
  <c r="B112" i="80"/>
  <c r="B111" i="80"/>
  <c r="B110" i="80"/>
  <c r="C110" i="80" s="1"/>
  <c r="B109" i="80"/>
  <c r="C109" i="80" s="1"/>
  <c r="B108" i="80"/>
  <c r="C108" i="80" s="1"/>
  <c r="B107" i="80"/>
  <c r="C107" i="80" s="1"/>
  <c r="B106" i="80"/>
  <c r="B105" i="80"/>
  <c r="B104" i="80"/>
  <c r="B103" i="80"/>
  <c r="B102" i="80"/>
  <c r="C102" i="80" s="1"/>
  <c r="B101" i="80"/>
  <c r="B100" i="80"/>
  <c r="B99" i="80"/>
  <c r="B98" i="80"/>
  <c r="B97" i="80"/>
  <c r="B96" i="80"/>
  <c r="C96" i="80" s="1"/>
  <c r="B95" i="80"/>
  <c r="B94" i="80"/>
  <c r="C94" i="80" s="1"/>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C66" i="80" s="1"/>
  <c r="B65" i="80"/>
  <c r="C65" i="80" s="1"/>
  <c r="B64" i="80"/>
  <c r="C64" i="80" s="1"/>
  <c r="B63" i="80"/>
  <c r="B62" i="80"/>
  <c r="C62" i="80" s="1"/>
  <c r="B61" i="80"/>
  <c r="C61" i="80" s="1"/>
  <c r="B60" i="80"/>
  <c r="B59" i="80"/>
  <c r="B58" i="80"/>
  <c r="B57" i="80"/>
  <c r="B56" i="80"/>
  <c r="C56" i="80" s="1"/>
  <c r="B55" i="80"/>
  <c r="B54" i="80"/>
  <c r="B53" i="80"/>
  <c r="C53" i="80" s="1"/>
  <c r="B52" i="80"/>
  <c r="B51" i="80"/>
  <c r="B50" i="80"/>
  <c r="C50" i="80" s="1"/>
  <c r="B49" i="80"/>
  <c r="C49" i="80" s="1"/>
  <c r="B48" i="80"/>
  <c r="C48" i="80" s="1"/>
  <c r="B47" i="80"/>
  <c r="C47" i="80" s="1"/>
  <c r="B46" i="80"/>
  <c r="C46" i="80" s="1"/>
  <c r="B45" i="80"/>
  <c r="B44" i="80"/>
  <c r="B43" i="80"/>
  <c r="B42" i="80"/>
  <c r="B41" i="80"/>
  <c r="B40" i="80"/>
  <c r="B39" i="80"/>
  <c r="B38" i="80"/>
  <c r="B37" i="80"/>
  <c r="B36" i="80"/>
  <c r="B35" i="80"/>
  <c r="B34" i="80"/>
  <c r="C34" i="80" s="1"/>
  <c r="B33" i="80"/>
  <c r="C33" i="80" s="1"/>
  <c r="B32" i="80"/>
  <c r="C32" i="80" s="1"/>
  <c r="B31" i="80"/>
  <c r="C31" i="80" s="1"/>
  <c r="B30" i="80"/>
  <c r="C30" i="80" s="1"/>
  <c r="B29" i="80"/>
  <c r="B28" i="80"/>
  <c r="B27" i="80"/>
  <c r="B26" i="80"/>
  <c r="B25" i="80"/>
  <c r="B24" i="80"/>
  <c r="B23" i="80"/>
  <c r="B22" i="80"/>
  <c r="B21" i="80"/>
  <c r="B20" i="80"/>
  <c r="B19" i="80"/>
  <c r="B18" i="80"/>
  <c r="B17" i="80"/>
  <c r="B16" i="80"/>
  <c r="B15" i="80"/>
  <c r="B14" i="80"/>
  <c r="B13" i="80"/>
  <c r="B12" i="80"/>
  <c r="B11" i="80"/>
  <c r="C11" i="80" s="1"/>
  <c r="B10" i="80"/>
  <c r="C10" i="80" s="1"/>
  <c r="B9" i="80"/>
  <c r="C9" i="80" s="1"/>
  <c r="B8" i="80"/>
  <c r="C8" i="80" s="1"/>
  <c r="C2470" i="80"/>
  <c r="C2469" i="80"/>
  <c r="C2468" i="80"/>
  <c r="C2466" i="80"/>
  <c r="C2462" i="80"/>
  <c r="C2461" i="80"/>
  <c r="C2446" i="80"/>
  <c r="C2445" i="80"/>
  <c r="C2430" i="80"/>
  <c r="C2429" i="80"/>
  <c r="C2428" i="80"/>
  <c r="C2420" i="80"/>
  <c r="C2419" i="80"/>
  <c r="C2414" i="80"/>
  <c r="C2413" i="80"/>
  <c r="C2412" i="80"/>
  <c r="C2406" i="80"/>
  <c r="C2405" i="80"/>
  <c r="C2404" i="80"/>
  <c r="C2395" i="80"/>
  <c r="C2390" i="80"/>
  <c r="C2389" i="80"/>
  <c r="C2388" i="80"/>
  <c r="C2382" i="80"/>
  <c r="C2381" i="80"/>
  <c r="C2380" i="80"/>
  <c r="C2374" i="80"/>
  <c r="C2373" i="80"/>
  <c r="C2372" i="80"/>
  <c r="C2366" i="80"/>
  <c r="C2365" i="80"/>
  <c r="C2364" i="80"/>
  <c r="C2358" i="80"/>
  <c r="C2357" i="80"/>
  <c r="C2356" i="80"/>
  <c r="C2350" i="80"/>
  <c r="C2349" i="80"/>
  <c r="C2348" i="80"/>
  <c r="C2340" i="80"/>
  <c r="C2334" i="80"/>
  <c r="C2333" i="80"/>
  <c r="C2332" i="80"/>
  <c r="C2326" i="80"/>
  <c r="C2318" i="80"/>
  <c r="C2317" i="80"/>
  <c r="C2316" i="80"/>
  <c r="C2310" i="80"/>
  <c r="C2309" i="80"/>
  <c r="C2308" i="80"/>
  <c r="C2302" i="80"/>
  <c r="C2301" i="80"/>
  <c r="C2294" i="80"/>
  <c r="C2293" i="80"/>
  <c r="C2292" i="80"/>
  <c r="C2286" i="80"/>
  <c r="C2285" i="80"/>
  <c r="C2284" i="80"/>
  <c r="C2278" i="80"/>
  <c r="C2277" i="80"/>
  <c r="C2276" i="80"/>
  <c r="C2270" i="80"/>
  <c r="C2269" i="80"/>
  <c r="C2268" i="80"/>
  <c r="C2262" i="80"/>
  <c r="C2261" i="80"/>
  <c r="C2260" i="80"/>
  <c r="C2254" i="80"/>
  <c r="C2229" i="80"/>
  <c r="C2228" i="80"/>
  <c r="C2205" i="80"/>
  <c r="C2181" i="80"/>
  <c r="C2173" i="80"/>
  <c r="C2165" i="80"/>
  <c r="C2164" i="80"/>
  <c r="C2157" i="80"/>
  <c r="C2156" i="80"/>
  <c r="C2141" i="80"/>
  <c r="C2140" i="80"/>
  <c r="C2133" i="80"/>
  <c r="C2132" i="80"/>
  <c r="C2117" i="80"/>
  <c r="C2116" i="80"/>
  <c r="C2109" i="80"/>
  <c r="C2076" i="80"/>
  <c r="C2075" i="80"/>
  <c r="C2020" i="80"/>
  <c r="C2019" i="80"/>
  <c r="C2004" i="80"/>
  <c r="C1963" i="80"/>
  <c r="C1891" i="80"/>
  <c r="C1875" i="80"/>
  <c r="C1868" i="80"/>
  <c r="C1867" i="80"/>
  <c r="C1836" i="80"/>
  <c r="C1835" i="80"/>
  <c r="C1820" i="80"/>
  <c r="C1819" i="80"/>
  <c r="C1812" i="80"/>
  <c r="C1811" i="80"/>
  <c r="C1796" i="80"/>
  <c r="C1795" i="80"/>
  <c r="C1788" i="80"/>
  <c r="C1787" i="80"/>
  <c r="C1779" i="80"/>
  <c r="C1771" i="80"/>
  <c r="C1764" i="80"/>
  <c r="C1763" i="80"/>
  <c r="C1755" i="80"/>
  <c r="C1748" i="80"/>
  <c r="C1747" i="80"/>
  <c r="C1740" i="80"/>
  <c r="C1739" i="80"/>
  <c r="C1724" i="80"/>
  <c r="C1723" i="80"/>
  <c r="C1708" i="80"/>
  <c r="C1707" i="80"/>
  <c r="C1700" i="80"/>
  <c r="C1699" i="80"/>
  <c r="C1691" i="80"/>
  <c r="C1676" i="80"/>
  <c r="C1675" i="80"/>
  <c r="C1668" i="80"/>
  <c r="C1667" i="80"/>
  <c r="C1660" i="80"/>
  <c r="C1659" i="80"/>
  <c r="C1644" i="80"/>
  <c r="C1643" i="80"/>
  <c r="C1638" i="80"/>
  <c r="C1637" i="80"/>
  <c r="C1603" i="80"/>
  <c r="C1595" i="80"/>
  <c r="C1589" i="80"/>
  <c r="C1581" i="80"/>
  <c r="C1557" i="80"/>
  <c r="C1517" i="80"/>
  <c r="C1516" i="80"/>
  <c r="C1515" i="80"/>
  <c r="C1509" i="80"/>
  <c r="C1508" i="80"/>
  <c r="C1501" i="80"/>
  <c r="C1428" i="80"/>
  <c r="C1404" i="80"/>
  <c r="C1396" i="80"/>
  <c r="C1395" i="80"/>
  <c r="C1389" i="80"/>
  <c r="C1388" i="80"/>
  <c r="C1380" i="80"/>
  <c r="C1347" i="80"/>
  <c r="C1341" i="80"/>
  <c r="C1332" i="80"/>
  <c r="C1308" i="80"/>
  <c r="C1284" i="80"/>
  <c r="C1259" i="80"/>
  <c r="C1252" i="80"/>
  <c r="C1148" i="80"/>
  <c r="C1001" i="80"/>
  <c r="C969" i="80"/>
  <c r="C876" i="80"/>
  <c r="C875" i="80"/>
  <c r="C874" i="80"/>
  <c r="C873" i="80"/>
  <c r="C872" i="80"/>
  <c r="C868" i="80"/>
  <c r="C860" i="80"/>
  <c r="C859" i="80"/>
  <c r="C858" i="80"/>
  <c r="C857" i="80"/>
  <c r="C852" i="80"/>
  <c r="C851" i="80"/>
  <c r="C850" i="80"/>
  <c r="C849" i="80"/>
  <c r="C848" i="80"/>
  <c r="C843" i="80"/>
  <c r="C835" i="80"/>
  <c r="C834" i="80"/>
  <c r="C833" i="80"/>
  <c r="C832" i="80"/>
  <c r="C830" i="80"/>
  <c r="C828" i="80"/>
  <c r="C827" i="80"/>
  <c r="C826" i="80"/>
  <c r="C825" i="80"/>
  <c r="C824" i="80"/>
  <c r="C819" i="80"/>
  <c r="C818" i="80"/>
  <c r="C817" i="80"/>
  <c r="C811" i="80"/>
  <c r="C810" i="80"/>
  <c r="C788" i="80"/>
  <c r="C787" i="80"/>
  <c r="C786" i="80"/>
  <c r="C785" i="80"/>
  <c r="C784" i="80"/>
  <c r="C780" i="80"/>
  <c r="C779" i="80"/>
  <c r="C778" i="80"/>
  <c r="C777" i="80"/>
  <c r="C776" i="80"/>
  <c r="C772" i="80"/>
  <c r="C762" i="80"/>
  <c r="C761" i="80"/>
  <c r="C760" i="80"/>
  <c r="C755" i="80"/>
  <c r="C754" i="80"/>
  <c r="C753" i="80"/>
  <c r="C752" i="80"/>
  <c r="C744" i="80"/>
  <c r="C739" i="80"/>
  <c r="C738" i="80"/>
  <c r="C737" i="80"/>
  <c r="C736" i="80"/>
  <c r="C731" i="80"/>
  <c r="C730" i="80"/>
  <c r="C729" i="80"/>
  <c r="C728" i="80"/>
  <c r="C723" i="80"/>
  <c r="C715" i="80"/>
  <c r="C714" i="80"/>
  <c r="C713" i="80"/>
  <c r="C712" i="80"/>
  <c r="C710" i="80"/>
  <c r="C708" i="80"/>
  <c r="C707" i="80"/>
  <c r="C704" i="80"/>
  <c r="C699" i="80"/>
  <c r="C683" i="80"/>
  <c r="C682" i="80"/>
  <c r="C678" i="80"/>
  <c r="C672" i="80"/>
  <c r="C668" i="80"/>
  <c r="C667" i="80"/>
  <c r="C666" i="80"/>
  <c r="C665" i="80"/>
  <c r="C664" i="80"/>
  <c r="C660" i="80"/>
  <c r="C659" i="80"/>
  <c r="C658" i="80"/>
  <c r="C657" i="80"/>
  <c r="C656" i="80"/>
  <c r="C654" i="80"/>
  <c r="C651" i="80"/>
  <c r="C650" i="80"/>
  <c r="C649" i="80"/>
  <c r="C648" i="80"/>
  <c r="C643" i="80"/>
  <c r="C642" i="80"/>
  <c r="C641" i="80"/>
  <c r="C640" i="80"/>
  <c r="C638" i="80"/>
  <c r="C634" i="80"/>
  <c r="C633" i="80"/>
  <c r="C632" i="80"/>
  <c r="C618" i="80"/>
  <c r="C617" i="80"/>
  <c r="C616" i="80"/>
  <c r="C612" i="80"/>
  <c r="C609" i="80"/>
  <c r="C608" i="80"/>
  <c r="C604" i="80"/>
  <c r="C603" i="80"/>
  <c r="C602" i="80"/>
  <c r="C601" i="80"/>
  <c r="C594" i="80"/>
  <c r="C593" i="80"/>
  <c r="C592" i="80"/>
  <c r="C587" i="80"/>
  <c r="C586" i="80"/>
  <c r="C585" i="80"/>
  <c r="C584" i="80"/>
  <c r="C580" i="80"/>
  <c r="C577" i="80"/>
  <c r="C576" i="80"/>
  <c r="C570" i="80"/>
  <c r="C569" i="80"/>
  <c r="C568" i="80"/>
  <c r="C563" i="80"/>
  <c r="C562" i="80"/>
  <c r="C561" i="80"/>
  <c r="C539" i="80"/>
  <c r="C536" i="80"/>
  <c r="C521" i="80"/>
  <c r="C520" i="80"/>
  <c r="C516" i="80"/>
  <c r="C515" i="80"/>
  <c r="C508" i="80"/>
  <c r="C507" i="80"/>
  <c r="C506" i="80"/>
  <c r="C505" i="80"/>
  <c r="C504" i="80"/>
  <c r="C500" i="80"/>
  <c r="C499" i="80"/>
  <c r="C498" i="80"/>
  <c r="C497" i="80"/>
  <c r="C496" i="80"/>
  <c r="C494" i="80"/>
  <c r="C492" i="80"/>
  <c r="C476" i="80"/>
  <c r="C474" i="80"/>
  <c r="C465" i="80"/>
  <c r="C458" i="80"/>
  <c r="C457" i="80"/>
  <c r="C456" i="80"/>
  <c r="C454" i="80"/>
  <c r="C452" i="80"/>
  <c r="C451" i="80"/>
  <c r="C450" i="80"/>
  <c r="C449" i="80"/>
  <c r="C448" i="80"/>
  <c r="C443" i="80"/>
  <c r="C442" i="80"/>
  <c r="C441" i="80"/>
  <c r="C440" i="80"/>
  <c r="C428" i="80"/>
  <c r="C418" i="80"/>
  <c r="C417" i="80"/>
  <c r="C404" i="80"/>
  <c r="C403" i="80"/>
  <c r="C402" i="80"/>
  <c r="C395" i="80"/>
  <c r="C394" i="80"/>
  <c r="C393" i="80"/>
  <c r="C392" i="80"/>
  <c r="C388" i="80"/>
  <c r="C387" i="80"/>
  <c r="C386" i="80"/>
  <c r="C385" i="80"/>
  <c r="C384" i="80"/>
  <c r="C378" i="80"/>
  <c r="C377" i="80"/>
  <c r="C362" i="80"/>
  <c r="C361" i="80"/>
  <c r="C360" i="80"/>
  <c r="C345" i="80"/>
  <c r="C344" i="80"/>
  <c r="C340" i="80"/>
  <c r="C339" i="80"/>
  <c r="C338" i="80"/>
  <c r="C337" i="80"/>
  <c r="C336" i="80"/>
  <c r="C329" i="80"/>
  <c r="C328" i="80"/>
  <c r="C321" i="80"/>
  <c r="C311" i="80"/>
  <c r="C303" i="80"/>
  <c r="C297" i="80"/>
  <c r="C263" i="80"/>
  <c r="C257" i="80"/>
  <c r="C249" i="80"/>
  <c r="C247" i="80"/>
  <c r="C239" i="80"/>
  <c r="C167" i="80"/>
  <c r="C151" i="80"/>
  <c r="C137" i="80"/>
  <c r="C119" i="80"/>
  <c r="C111" i="80"/>
  <c r="C95" i="80"/>
  <c r="C63" i="80"/>
  <c r="C55" i="80"/>
  <c r="A1091" i="80" l="1"/>
  <c r="A1085" i="80"/>
  <c r="C1084" i="80"/>
  <c r="C2442" i="80"/>
  <c r="C2443" i="80"/>
  <c r="C436" i="80"/>
  <c r="C974" i="80"/>
  <c r="C806" i="80"/>
  <c r="C1849" i="80"/>
  <c r="C550" i="80"/>
  <c r="A1973" i="80"/>
  <c r="A1974" i="80" s="1"/>
  <c r="A1975" i="80" s="1"/>
  <c r="C1975" i="80" s="1"/>
  <c r="C1972" i="80"/>
  <c r="C1986" i="80"/>
  <c r="C2444" i="80"/>
  <c r="C522" i="80"/>
  <c r="C990" i="80"/>
  <c r="C1983" i="80"/>
  <c r="C363" i="80"/>
  <c r="C1982" i="80"/>
  <c r="C763" i="80"/>
  <c r="A545" i="80"/>
  <c r="C545" i="80" s="1"/>
  <c r="C544" i="80"/>
  <c r="A365" i="80"/>
  <c r="C365" i="80" s="1"/>
  <c r="C364" i="80"/>
  <c r="A529" i="80"/>
  <c r="A530" i="80" s="1"/>
  <c r="C530" i="80" s="1"/>
  <c r="C528" i="80"/>
  <c r="A2036" i="80"/>
  <c r="C2036" i="80" s="1"/>
  <c r="C2035" i="80"/>
  <c r="C1896" i="80"/>
  <c r="C2184" i="80"/>
  <c r="C14" i="80"/>
  <c r="C547" i="80"/>
  <c r="C2185" i="80"/>
  <c r="C560" i="80"/>
  <c r="C1744" i="80"/>
  <c r="C437" i="80"/>
  <c r="C1939" i="80"/>
  <c r="C17" i="80"/>
  <c r="C1964" i="80"/>
  <c r="C2055" i="80"/>
  <c r="C548" i="80"/>
  <c r="C1897" i="80"/>
  <c r="C1774" i="80"/>
  <c r="C2183" i="80"/>
  <c r="C2191" i="80"/>
  <c r="C523" i="80"/>
  <c r="C546" i="80"/>
  <c r="A421" i="80"/>
  <c r="A1941" i="80"/>
  <c r="A1942" i="80" s="1"/>
  <c r="A1944" i="80" s="1"/>
  <c r="C1940" i="80"/>
  <c r="A2438" i="80"/>
  <c r="C2438" i="80" s="1"/>
  <c r="C2437" i="80"/>
  <c r="A1848" i="80"/>
  <c r="C1848" i="80" s="1"/>
  <c r="C1847" i="80"/>
  <c r="A2052" i="80"/>
  <c r="C2051" i="80"/>
  <c r="A411" i="80"/>
  <c r="C15" i="80"/>
  <c r="C410" i="80"/>
  <c r="C1742" i="80"/>
  <c r="C2439" i="80"/>
  <c r="C13" i="80"/>
  <c r="A483" i="80"/>
  <c r="A478" i="80"/>
  <c r="A2187" i="80"/>
  <c r="C2186" i="80"/>
  <c r="C1743" i="80"/>
  <c r="C2440" i="80"/>
  <c r="C2441" i="80"/>
  <c r="A435" i="80"/>
  <c r="C2056" i="80"/>
  <c r="C527" i="80"/>
  <c r="C551" i="80"/>
  <c r="C559" i="80"/>
  <c r="A555" i="80"/>
  <c r="A1987" i="80"/>
  <c r="A1038" i="80"/>
  <c r="C1038" i="80" s="1"/>
  <c r="C16" i="80"/>
  <c r="C1773" i="80"/>
  <c r="C2182" i="80"/>
  <c r="C951" i="80"/>
  <c r="A1049" i="80"/>
  <c r="C1048" i="80"/>
  <c r="C953" i="80"/>
  <c r="C954" i="80"/>
  <c r="A1130" i="80"/>
  <c r="C1130" i="80" s="1"/>
  <c r="C1129" i="80"/>
  <c r="C1105" i="80"/>
  <c r="C949" i="80"/>
  <c r="C991" i="80"/>
  <c r="C1019" i="80"/>
  <c r="C950" i="80"/>
  <c r="C1030" i="80"/>
  <c r="C1097" i="80"/>
  <c r="C1020" i="80"/>
  <c r="C941" i="80"/>
  <c r="A942" i="80"/>
  <c r="A943" i="80" s="1"/>
  <c r="A947" i="80"/>
  <c r="C946" i="80"/>
  <c r="C1083" i="80"/>
  <c r="C1042" i="80"/>
  <c r="A1043" i="80"/>
  <c r="C1043" i="80" s="1"/>
  <c r="C937" i="80"/>
  <c r="A938" i="80"/>
  <c r="A1107" i="80"/>
  <c r="C1107" i="80" s="1"/>
  <c r="C1106" i="80"/>
  <c r="A994" i="80"/>
  <c r="C993" i="80"/>
  <c r="C1065" i="80"/>
  <c r="A1066" i="80"/>
  <c r="A1114" i="80"/>
  <c r="A1115" i="80" s="1"/>
  <c r="A1116" i="80" s="1"/>
  <c r="C1113" i="80"/>
  <c r="C940" i="80"/>
  <c r="C1080" i="80"/>
  <c r="A1081" i="80"/>
  <c r="C1081" i="80" s="1"/>
  <c r="A1418" i="80"/>
  <c r="C1417" i="80"/>
  <c r="C1029" i="80"/>
  <c r="C1416" i="80"/>
  <c r="A955" i="80"/>
  <c r="A956" i="80" s="1"/>
  <c r="C956" i="80" s="1"/>
  <c r="C1018" i="80"/>
  <c r="C764" i="80"/>
  <c r="C1899" i="80"/>
  <c r="A1900" i="80"/>
  <c r="C1900" i="80" s="1"/>
  <c r="C1898" i="80"/>
  <c r="C1091" i="80"/>
  <c r="A1092" i="80"/>
  <c r="C1090" i="80"/>
  <c r="C882" i="80"/>
  <c r="C881" i="80"/>
  <c r="C765" i="80"/>
  <c r="A766" i="80"/>
  <c r="C286" i="80"/>
  <c r="C285" i="80"/>
  <c r="C189" i="80"/>
  <c r="C88" i="80"/>
  <c r="C1797" i="80"/>
  <c r="C1756" i="80"/>
  <c r="C1757" i="80"/>
  <c r="C1712" i="80"/>
  <c r="C1648" i="80"/>
  <c r="C1647" i="80"/>
  <c r="C1645" i="80"/>
  <c r="C1646" i="80"/>
  <c r="A1032" i="80"/>
  <c r="C1031" i="80"/>
  <c r="C1022" i="80"/>
  <c r="A1023" i="80"/>
  <c r="C1021" i="80"/>
  <c r="C855" i="80"/>
  <c r="C846" i="80"/>
  <c r="C845" i="80"/>
  <c r="C840" i="80"/>
  <c r="C839" i="80"/>
  <c r="C740" i="80"/>
  <c r="C684" i="80"/>
  <c r="C279" i="80"/>
  <c r="C278" i="80"/>
  <c r="C277" i="80"/>
  <c r="C269" i="80"/>
  <c r="C268" i="80"/>
  <c r="C2045" i="80"/>
  <c r="C639" i="80"/>
  <c r="I1638" i="80"/>
  <c r="I1637" i="80"/>
  <c r="I1632" i="80"/>
  <c r="A1633" i="80" s="1"/>
  <c r="C1633" i="80" s="1"/>
  <c r="I1628" i="80"/>
  <c r="I1623" i="80"/>
  <c r="I1619" i="80"/>
  <c r="I1612" i="80"/>
  <c r="I1607" i="80"/>
  <c r="I1604" i="80"/>
  <c r="I1601" i="80"/>
  <c r="I1600" i="80"/>
  <c r="I1596" i="80"/>
  <c r="G515" i="80"/>
  <c r="B7" i="80"/>
  <c r="C7" i="80" s="1"/>
  <c r="C2052" i="80" l="1"/>
  <c r="C435" i="80"/>
  <c r="A431" i="80"/>
  <c r="A948" i="80"/>
  <c r="C948" i="80" s="1"/>
  <c r="A945" i="80"/>
  <c r="A1050" i="80"/>
  <c r="A1051" i="80" s="1"/>
  <c r="C1051" i="80" s="1"/>
  <c r="C421" i="80"/>
  <c r="A419" i="80"/>
  <c r="A1086" i="80"/>
  <c r="C1085" i="80"/>
  <c r="A975" i="80"/>
  <c r="C1974" i="80"/>
  <c r="C1973" i="80"/>
  <c r="C1942" i="80"/>
  <c r="C1941" i="80"/>
  <c r="A807" i="80"/>
  <c r="A808" i="80" s="1"/>
  <c r="A809" i="80" s="1"/>
  <c r="C809" i="80" s="1"/>
  <c r="C1037" i="80"/>
  <c r="C529" i="80"/>
  <c r="C477" i="80"/>
  <c r="A479" i="80"/>
  <c r="C478" i="80"/>
  <c r="A484" i="80"/>
  <c r="C483" i="80"/>
  <c r="C1049" i="80"/>
  <c r="C947" i="80"/>
  <c r="C555" i="80"/>
  <c r="A556" i="80"/>
  <c r="A412" i="80"/>
  <c r="A409" i="80" s="1"/>
  <c r="C411" i="80"/>
  <c r="A1988" i="80"/>
  <c r="C1987" i="80"/>
  <c r="C2187" i="80"/>
  <c r="A2188" i="80"/>
  <c r="C2188" i="80" s="1"/>
  <c r="I1634" i="80"/>
  <c r="C1634" i="80" s="1"/>
  <c r="C1050" i="80"/>
  <c r="A1108" i="80"/>
  <c r="A1109" i="80" s="1"/>
  <c r="A1131" i="80"/>
  <c r="A1132" i="80" s="1"/>
  <c r="C1607" i="80"/>
  <c r="A1608" i="80"/>
  <c r="C1115" i="80"/>
  <c r="A1067" i="80"/>
  <c r="C1067" i="80" s="1"/>
  <c r="C1066" i="80"/>
  <c r="A1613" i="80"/>
  <c r="C1612" i="80"/>
  <c r="C955" i="80"/>
  <c r="C1604" i="80"/>
  <c r="A1605" i="80"/>
  <c r="C1418" i="80"/>
  <c r="A1419" i="80"/>
  <c r="C994" i="80"/>
  <c r="A995" i="80"/>
  <c r="C945" i="80"/>
  <c r="C938" i="80"/>
  <c r="A939" i="80"/>
  <c r="C939" i="80" s="1"/>
  <c r="A1620" i="80"/>
  <c r="C1619" i="80"/>
  <c r="C1632" i="80"/>
  <c r="C943" i="80"/>
  <c r="A944" i="80"/>
  <c r="C944" i="80" s="1"/>
  <c r="C1114" i="80"/>
  <c r="A1624" i="80"/>
  <c r="C1624" i="80" s="1"/>
  <c r="C1623" i="80"/>
  <c r="A1597" i="80"/>
  <c r="C1597" i="80" s="1"/>
  <c r="C1596" i="80"/>
  <c r="I1598" i="80"/>
  <c r="I1627" i="80"/>
  <c r="C1627" i="80" s="1"/>
  <c r="C942" i="80"/>
  <c r="A1093" i="80"/>
  <c r="C1092" i="80"/>
  <c r="A767" i="80"/>
  <c r="C766" i="80"/>
  <c r="C287" i="80"/>
  <c r="C190" i="80"/>
  <c r="C1713" i="80"/>
  <c r="A1117" i="80"/>
  <c r="C1116" i="80"/>
  <c r="A1033" i="80"/>
  <c r="C1032" i="80"/>
  <c r="A1024" i="80"/>
  <c r="C1023" i="80"/>
  <c r="C842" i="80"/>
  <c r="C841" i="80"/>
  <c r="C742" i="80"/>
  <c r="C741" i="80"/>
  <c r="C689" i="80"/>
  <c r="C686" i="80"/>
  <c r="C685" i="80"/>
  <c r="T2154" i="16"/>
  <c r="T2152" i="16"/>
  <c r="C975" i="80" l="1"/>
  <c r="A1087" i="80"/>
  <c r="C1087" i="80" s="1"/>
  <c r="C1086" i="80"/>
  <c r="A976" i="80"/>
  <c r="C976" i="80" s="1"/>
  <c r="C807" i="80"/>
  <c r="C808" i="80"/>
  <c r="C412" i="80"/>
  <c r="A480" i="80"/>
  <c r="C479" i="80"/>
  <c r="A1989" i="80"/>
  <c r="C1988" i="80"/>
  <c r="C556" i="80"/>
  <c r="A557" i="80"/>
  <c r="A485" i="80"/>
  <c r="C484" i="80"/>
  <c r="C1108" i="80"/>
  <c r="C1131" i="80"/>
  <c r="A1635" i="80"/>
  <c r="C1605" i="80"/>
  <c r="A1606" i="80"/>
  <c r="C1606" i="80" s="1"/>
  <c r="A996" i="80"/>
  <c r="C996" i="80" s="1"/>
  <c r="C995" i="80"/>
  <c r="C1628" i="80"/>
  <c r="A1629" i="80"/>
  <c r="C1620" i="80"/>
  <c r="A1621" i="80"/>
  <c r="A1420" i="80"/>
  <c r="C1420" i="80" s="1"/>
  <c r="C1419" i="80"/>
  <c r="A1614" i="80"/>
  <c r="C1614" i="80" s="1"/>
  <c r="C1613" i="80"/>
  <c r="A1609" i="80"/>
  <c r="C1608" i="80"/>
  <c r="A1599" i="80"/>
  <c r="C1599" i="80" s="1"/>
  <c r="C1598" i="80"/>
  <c r="A1094" i="80"/>
  <c r="C1094" i="80" s="1"/>
  <c r="C1093" i="80"/>
  <c r="A768" i="80"/>
  <c r="C767" i="80"/>
  <c r="C288" i="80"/>
  <c r="C192" i="80"/>
  <c r="C191" i="80"/>
  <c r="C1714" i="80"/>
  <c r="C1132" i="80"/>
  <c r="A1133" i="80"/>
  <c r="A1118" i="80"/>
  <c r="C1117" i="80"/>
  <c r="A1110" i="80"/>
  <c r="C1109" i="80"/>
  <c r="A1034" i="80"/>
  <c r="C1033" i="80"/>
  <c r="A1025" i="80"/>
  <c r="C1025" i="80" s="1"/>
  <c r="C1024" i="80"/>
  <c r="C690" i="80"/>
  <c r="AL310" i="28"/>
  <c r="AN310" i="28"/>
  <c r="A977" i="80" l="1"/>
  <c r="C977" i="80" s="1"/>
  <c r="A481" i="80"/>
  <c r="C481" i="80" s="1"/>
  <c r="C480" i="80"/>
  <c r="A558" i="80"/>
  <c r="A553" i="80" s="1"/>
  <c r="C557" i="80"/>
  <c r="A1990" i="80"/>
  <c r="C1989" i="80"/>
  <c r="A486" i="80"/>
  <c r="C485" i="80"/>
  <c r="A1636" i="80"/>
  <c r="C1636" i="80" s="1"/>
  <c r="C1635" i="80"/>
  <c r="A1610" i="80"/>
  <c r="C1609" i="80"/>
  <c r="A1630" i="80"/>
  <c r="C1629" i="80"/>
  <c r="C1110" i="80"/>
  <c r="A1111" i="80"/>
  <c r="C1111" i="80" s="1"/>
  <c r="A1622" i="80"/>
  <c r="C1622" i="80" s="1"/>
  <c r="C1621" i="80"/>
  <c r="C768" i="80"/>
  <c r="A769" i="80"/>
  <c r="C289" i="80"/>
  <c r="C1715" i="80"/>
  <c r="A1134" i="80"/>
  <c r="C1133" i="80"/>
  <c r="A1119" i="80"/>
  <c r="C1118" i="80"/>
  <c r="A1035" i="80"/>
  <c r="C1034" i="80"/>
  <c r="C692" i="80"/>
  <c r="C691" i="80"/>
  <c r="G294" i="16"/>
  <c r="G295" i="16" s="1"/>
  <c r="G296" i="16" s="1"/>
  <c r="G297" i="16" s="1"/>
  <c r="G298" i="16" s="1"/>
  <c r="G299" i="16" s="1"/>
  <c r="G300" i="16" s="1"/>
  <c r="G301" i="16" s="1"/>
  <c r="G302" i="16" s="1"/>
  <c r="G303" i="16" s="1"/>
  <c r="G304" i="16" s="1"/>
  <c r="A970" i="80" l="1"/>
  <c r="A978" i="80"/>
  <c r="C978" i="80" s="1"/>
  <c r="A487" i="80"/>
  <c r="C486" i="80"/>
  <c r="A1991" i="80"/>
  <c r="C1991" i="80" s="1"/>
  <c r="C1990" i="80"/>
  <c r="C558" i="80"/>
  <c r="C553" i="80"/>
  <c r="C1630" i="80"/>
  <c r="A1631" i="80"/>
  <c r="C1631" i="80" s="1"/>
  <c r="C1610" i="80"/>
  <c r="A1611" i="80"/>
  <c r="C1611" i="80" s="1"/>
  <c r="C769" i="80"/>
  <c r="A770" i="80"/>
  <c r="C291" i="80"/>
  <c r="C290" i="80"/>
  <c r="C1716" i="80"/>
  <c r="A1135" i="80"/>
  <c r="C1134" i="80"/>
  <c r="A1120" i="80"/>
  <c r="C1120" i="80" s="1"/>
  <c r="C1119" i="80"/>
  <c r="A1036" i="80"/>
  <c r="C1036" i="80" s="1"/>
  <c r="C1035" i="80"/>
  <c r="AS220" i="29"/>
  <c r="AS217" i="29"/>
  <c r="AS213" i="29"/>
  <c r="AS211" i="29"/>
  <c r="AS198" i="29"/>
  <c r="AS195" i="29"/>
  <c r="AS193" i="29"/>
  <c r="AS186" i="29"/>
  <c r="AS185" i="29"/>
  <c r="AS184" i="29"/>
  <c r="AS183" i="29"/>
  <c r="AS182" i="29"/>
  <c r="AS187" i="29"/>
  <c r="AS181" i="29"/>
  <c r="AS175" i="29"/>
  <c r="AS174" i="29"/>
  <c r="AS173" i="29"/>
  <c r="AS172" i="29"/>
  <c r="AS176" i="29"/>
  <c r="AS171" i="29"/>
  <c r="AS168" i="29"/>
  <c r="AS169" i="29"/>
  <c r="AS167" i="29"/>
  <c r="AS152" i="29"/>
  <c r="AS149" i="29"/>
  <c r="AS148" i="29"/>
  <c r="AS147" i="29"/>
  <c r="AS150" i="29"/>
  <c r="AS146" i="29"/>
  <c r="AS144" i="29"/>
  <c r="AS143" i="29"/>
  <c r="AS141" i="29"/>
  <c r="AS134" i="29"/>
  <c r="AS130" i="29"/>
  <c r="AS128" i="29"/>
  <c r="AS122" i="29"/>
  <c r="AS119" i="29"/>
  <c r="AS118" i="29"/>
  <c r="AS116" i="29"/>
  <c r="AS114" i="29"/>
  <c r="AS113" i="29"/>
  <c r="AS111" i="29"/>
  <c r="AS108" i="29"/>
  <c r="AS106" i="29"/>
  <c r="AS103" i="29"/>
  <c r="AS101" i="29"/>
  <c r="AS94" i="29"/>
  <c r="AS95" i="29"/>
  <c r="AS93" i="29"/>
  <c r="AS91" i="29"/>
  <c r="AS90" i="29"/>
  <c r="AS88" i="29"/>
  <c r="AS85" i="29"/>
  <c r="AS82" i="29"/>
  <c r="AS59" i="29"/>
  <c r="AS60" i="29"/>
  <c r="AS58" i="29"/>
  <c r="AS56" i="29"/>
  <c r="AS54" i="29"/>
  <c r="AS52" i="29"/>
  <c r="AS51" i="29"/>
  <c r="AS49" i="29"/>
  <c r="AS47" i="29"/>
  <c r="AS46" i="29"/>
  <c r="AS44" i="29"/>
  <c r="AS42" i="29"/>
  <c r="AS38" i="29"/>
  <c r="AS31" i="29"/>
  <c r="AS32" i="29"/>
  <c r="AS30" i="29"/>
  <c r="AS28" i="29"/>
  <c r="AS27" i="29"/>
  <c r="AS25" i="29"/>
  <c r="AS23" i="29"/>
  <c r="AS22" i="29"/>
  <c r="AS21" i="29"/>
  <c r="AS17" i="29"/>
  <c r="AS16" i="29"/>
  <c r="AS15" i="29"/>
  <c r="AQ220" i="29"/>
  <c r="AQ217" i="29"/>
  <c r="AQ213" i="29"/>
  <c r="AQ211" i="29"/>
  <c r="AQ198" i="29"/>
  <c r="AQ195" i="29"/>
  <c r="AQ193" i="29"/>
  <c r="AQ186" i="29"/>
  <c r="AQ185" i="29"/>
  <c r="AQ184" i="29"/>
  <c r="AQ183" i="29"/>
  <c r="AQ182" i="29"/>
  <c r="AQ187" i="29"/>
  <c r="AQ181" i="29"/>
  <c r="AQ175" i="29"/>
  <c r="AQ174" i="29"/>
  <c r="AQ173" i="29"/>
  <c r="AQ172" i="29"/>
  <c r="AQ176" i="29"/>
  <c r="AQ171" i="29"/>
  <c r="AQ168" i="29"/>
  <c r="AQ169" i="29"/>
  <c r="AQ167" i="29"/>
  <c r="AQ152" i="29"/>
  <c r="AQ149" i="29"/>
  <c r="AQ148" i="29"/>
  <c r="AQ147" i="29"/>
  <c r="AQ150" i="29"/>
  <c r="AQ146" i="29"/>
  <c r="AQ144" i="29"/>
  <c r="AQ143" i="29"/>
  <c r="AQ141" i="29"/>
  <c r="AQ134" i="29"/>
  <c r="AQ130" i="29"/>
  <c r="AQ128" i="29"/>
  <c r="AQ122" i="29"/>
  <c r="AQ119" i="29"/>
  <c r="AQ118" i="29"/>
  <c r="AQ116" i="29"/>
  <c r="AQ114" i="29"/>
  <c r="AQ113" i="29"/>
  <c r="AQ111" i="29"/>
  <c r="AQ108" i="29"/>
  <c r="AQ106" i="29"/>
  <c r="AQ103" i="29"/>
  <c r="AQ101" i="29"/>
  <c r="AQ94" i="29"/>
  <c r="AQ95" i="29"/>
  <c r="AQ93" i="29"/>
  <c r="AQ91" i="29"/>
  <c r="AQ90" i="29"/>
  <c r="AQ88" i="29"/>
  <c r="AQ85" i="29"/>
  <c r="AQ82" i="29"/>
  <c r="AQ59" i="29"/>
  <c r="AQ60" i="29"/>
  <c r="AQ58" i="29"/>
  <c r="AQ56" i="29"/>
  <c r="AQ54" i="29"/>
  <c r="AQ52" i="29"/>
  <c r="AQ51" i="29"/>
  <c r="AQ49" i="29"/>
  <c r="AQ47" i="29"/>
  <c r="AQ46" i="29"/>
  <c r="AQ44" i="29"/>
  <c r="AQ42" i="29"/>
  <c r="AQ38" i="29"/>
  <c r="AQ31" i="29"/>
  <c r="AQ32" i="29"/>
  <c r="AQ30" i="29"/>
  <c r="AQ28" i="29"/>
  <c r="AQ27" i="29"/>
  <c r="AQ25" i="29"/>
  <c r="AQ22" i="29"/>
  <c r="AQ23" i="29"/>
  <c r="AQ21" i="29"/>
  <c r="AQ17" i="29"/>
  <c r="AQ16" i="29"/>
  <c r="AQ15" i="29"/>
  <c r="AS382" i="28"/>
  <c r="AS377" i="28"/>
  <c r="AS375" i="28"/>
  <c r="AS374" i="28"/>
  <c r="AS371" i="28"/>
  <c r="AS366" i="28"/>
  <c r="AS362" i="28"/>
  <c r="AS354" i="28"/>
  <c r="AS349" i="28"/>
  <c r="AS344" i="28"/>
  <c r="AS336" i="28"/>
  <c r="AS332" i="28"/>
  <c r="AS328" i="28"/>
  <c r="AS324" i="28"/>
  <c r="AS322" i="28"/>
  <c r="AS319" i="28"/>
  <c r="AS316" i="28"/>
  <c r="AS314" i="28"/>
  <c r="AS310" i="28"/>
  <c r="AS288" i="28"/>
  <c r="AS247" i="28"/>
  <c r="AS238" i="28"/>
  <c r="AS235" i="28"/>
  <c r="AS232" i="28"/>
  <c r="AS230" i="28"/>
  <c r="AS219" i="28"/>
  <c r="AS215" i="28"/>
  <c r="AS212" i="28"/>
  <c r="AS210" i="28"/>
  <c r="AS208" i="28"/>
  <c r="AS201" i="28"/>
  <c r="AS197" i="28"/>
  <c r="AS193" i="28"/>
  <c r="AS190" i="28"/>
  <c r="AS188" i="28"/>
  <c r="AS186" i="28"/>
  <c r="AS184" i="28"/>
  <c r="AS178" i="28"/>
  <c r="AS176" i="28"/>
  <c r="AS170" i="28"/>
  <c r="AS168" i="28"/>
  <c r="AS164" i="28"/>
  <c r="AS159" i="28"/>
  <c r="AS155" i="28"/>
  <c r="AS154" i="28"/>
  <c r="AS149" i="28"/>
  <c r="AS140" i="28"/>
  <c r="AS135" i="28"/>
  <c r="AS133" i="28"/>
  <c r="AS132" i="28"/>
  <c r="AS130" i="28"/>
  <c r="AS125" i="28"/>
  <c r="AS119" i="28"/>
  <c r="AS115" i="28"/>
  <c r="AS105" i="28"/>
  <c r="AS96" i="28"/>
  <c r="AS93" i="28"/>
  <c r="AS91" i="28"/>
  <c r="AS77" i="28"/>
  <c r="AS72" i="28"/>
  <c r="AS68" i="28"/>
  <c r="AS62" i="28"/>
  <c r="AS60" i="28"/>
  <c r="AS58" i="28"/>
  <c r="AS55" i="28"/>
  <c r="AS53" i="28"/>
  <c r="AS51" i="28"/>
  <c r="AS48" i="28"/>
  <c r="AS46" i="28"/>
  <c r="AS43" i="28"/>
  <c r="AS37" i="28"/>
  <c r="AS34" i="28"/>
  <c r="AS29" i="28"/>
  <c r="AS26" i="28"/>
  <c r="AS23" i="28"/>
  <c r="AS18" i="28"/>
  <c r="AS12" i="28"/>
  <c r="AQ382" i="28"/>
  <c r="AQ377" i="28"/>
  <c r="AQ375" i="28"/>
  <c r="AQ374" i="28"/>
  <c r="AQ371" i="28"/>
  <c r="AQ366" i="28"/>
  <c r="AQ362" i="28"/>
  <c r="AQ354" i="28"/>
  <c r="AQ349" i="28"/>
  <c r="AQ344" i="28"/>
  <c r="AQ339" i="28"/>
  <c r="AQ338" i="28"/>
  <c r="AQ332" i="28"/>
  <c r="AQ328" i="28"/>
  <c r="AQ324" i="28"/>
  <c r="AQ322" i="28"/>
  <c r="AQ319" i="28"/>
  <c r="AQ316" i="28"/>
  <c r="AQ314" i="28"/>
  <c r="AQ288" i="28"/>
  <c r="AQ286" i="28"/>
  <c r="AQ238" i="28"/>
  <c r="AQ235" i="28"/>
  <c r="AQ232" i="28"/>
  <c r="AQ230" i="28"/>
  <c r="AQ219" i="28"/>
  <c r="AQ215" i="28"/>
  <c r="AQ212" i="28"/>
  <c r="AQ210" i="28"/>
  <c r="AQ208" i="28"/>
  <c r="AQ205" i="28"/>
  <c r="AQ203" i="28"/>
  <c r="AQ197" i="28"/>
  <c r="AQ196" i="28"/>
  <c r="AQ194" i="28"/>
  <c r="AQ190" i="28"/>
  <c r="AQ188" i="28"/>
  <c r="AQ186" i="28"/>
  <c r="AQ184" i="28"/>
  <c r="AQ178" i="28"/>
  <c r="AQ176" i="28"/>
  <c r="AQ173" i="28"/>
  <c r="AQ172" i="28"/>
  <c r="AQ168" i="28"/>
  <c r="AQ164" i="28"/>
  <c r="AQ159" i="28"/>
  <c r="AQ155" i="28"/>
  <c r="AQ154" i="28"/>
  <c r="AQ149" i="28"/>
  <c r="AQ140" i="28"/>
  <c r="AQ135" i="28"/>
  <c r="AQ133" i="28"/>
  <c r="AQ132" i="28"/>
  <c r="AQ130" i="28"/>
  <c r="AQ119" i="28"/>
  <c r="AQ116" i="28"/>
  <c r="AQ115" i="28"/>
  <c r="AQ105" i="28"/>
  <c r="AQ96" i="28"/>
  <c r="AQ93" i="28"/>
  <c r="AQ91" i="28"/>
  <c r="AQ79" i="28"/>
  <c r="AQ78" i="28"/>
  <c r="AQ80" i="28"/>
  <c r="AQ77" i="28"/>
  <c r="AQ72" i="28"/>
  <c r="AQ68" i="28"/>
  <c r="AQ62" i="28"/>
  <c r="AQ60" i="28"/>
  <c r="AQ58" i="28"/>
  <c r="AQ55" i="28"/>
  <c r="AQ53" i="28"/>
  <c r="AQ51" i="28"/>
  <c r="AQ48" i="28"/>
  <c r="AQ46" i="28"/>
  <c r="AQ43" i="28"/>
  <c r="AQ37" i="28"/>
  <c r="AQ34" i="28"/>
  <c r="AQ29" i="28"/>
  <c r="AQ26" i="28"/>
  <c r="AQ23" i="28"/>
  <c r="AQ18" i="28"/>
  <c r="AQ12" i="28"/>
  <c r="AS233" i="27"/>
  <c r="AS231" i="27"/>
  <c r="AS228" i="27"/>
  <c r="AS223" i="27"/>
  <c r="AS220" i="27"/>
  <c r="AS219" i="27"/>
  <c r="AS217" i="27"/>
  <c r="AS211" i="27"/>
  <c r="AS203" i="27"/>
  <c r="AS195" i="27"/>
  <c r="AS192" i="27"/>
  <c r="AS191" i="27"/>
  <c r="AS189" i="27"/>
  <c r="AS175" i="27"/>
  <c r="AS171" i="27"/>
  <c r="AS169" i="27"/>
  <c r="AS168" i="27"/>
  <c r="AS166" i="27"/>
  <c r="AS164" i="27"/>
  <c r="AS158" i="27"/>
  <c r="AS156" i="27"/>
  <c r="AS150" i="27"/>
  <c r="AS151" i="27"/>
  <c r="AS149" i="27"/>
  <c r="AS145" i="27"/>
  <c r="AS143" i="27"/>
  <c r="AS140" i="27"/>
  <c r="AS138" i="27"/>
  <c r="AS134" i="27"/>
  <c r="AS131" i="27"/>
  <c r="AS124" i="27"/>
  <c r="AS122" i="27"/>
  <c r="AS117" i="27"/>
  <c r="AS112" i="27"/>
  <c r="AS100" i="27"/>
  <c r="AS97" i="27"/>
  <c r="AS92" i="27"/>
  <c r="AS80" i="27"/>
  <c r="AS75" i="27"/>
  <c r="AS73" i="27"/>
  <c r="AS66" i="27"/>
  <c r="AS64" i="27"/>
  <c r="AS56" i="27"/>
  <c r="AS55" i="27"/>
  <c r="AS50" i="27"/>
  <c r="AS45" i="27"/>
  <c r="AS34" i="27"/>
  <c r="AS13" i="27"/>
  <c r="AQ233" i="27"/>
  <c r="AQ231" i="27"/>
  <c r="AQ228" i="27"/>
  <c r="AQ223" i="27"/>
  <c r="AQ221" i="27"/>
  <c r="AQ219" i="27"/>
  <c r="AQ217" i="27"/>
  <c r="AQ211" i="27"/>
  <c r="AQ203" i="27"/>
  <c r="AQ195" i="27"/>
  <c r="AQ192" i="27"/>
  <c r="AQ191" i="27"/>
  <c r="AQ189" i="27"/>
  <c r="AQ175" i="27"/>
  <c r="AQ171" i="27"/>
  <c r="AQ169" i="27"/>
  <c r="AQ168" i="27"/>
  <c r="AQ166" i="27"/>
  <c r="AQ164" i="27"/>
  <c r="AQ158" i="27"/>
  <c r="AQ156" i="27"/>
  <c r="AQ150" i="27"/>
  <c r="AQ151" i="27"/>
  <c r="AQ149" i="27"/>
  <c r="AQ145" i="27"/>
  <c r="AQ143" i="27"/>
  <c r="AQ140" i="27"/>
  <c r="AQ138" i="27"/>
  <c r="AQ134" i="27"/>
  <c r="AQ131" i="27"/>
  <c r="AQ124" i="27"/>
  <c r="AQ117" i="27"/>
  <c r="AQ112" i="27"/>
  <c r="AQ102" i="27"/>
  <c r="AQ100" i="27"/>
  <c r="AQ97" i="27"/>
  <c r="AQ92" i="27"/>
  <c r="AQ80" i="27"/>
  <c r="AQ75" i="27"/>
  <c r="AQ73" i="27"/>
  <c r="AQ66" i="27"/>
  <c r="AQ64" i="27"/>
  <c r="AQ56" i="27"/>
  <c r="AQ55" i="27"/>
  <c r="AQ50" i="27"/>
  <c r="AQ21" i="27"/>
  <c r="AQ13" i="27"/>
  <c r="AS767" i="25"/>
  <c r="AS766" i="25"/>
  <c r="AS761" i="25"/>
  <c r="AS757" i="25"/>
  <c r="AS752" i="25"/>
  <c r="AS748" i="25"/>
  <c r="AS746" i="25"/>
  <c r="AS741" i="25"/>
  <c r="AS736" i="25"/>
  <c r="AS733" i="25"/>
  <c r="AS730" i="25"/>
  <c r="AS729" i="25"/>
  <c r="AS725" i="25"/>
  <c r="AS710" i="25"/>
  <c r="AS708" i="25"/>
  <c r="AS706" i="25"/>
  <c r="AS704" i="25"/>
  <c r="AS701" i="25"/>
  <c r="AS700" i="25"/>
  <c r="AS699" i="25"/>
  <c r="AS698" i="25"/>
  <c r="AS697" i="25"/>
  <c r="AS696" i="25"/>
  <c r="AS695" i="25"/>
  <c r="AS694" i="25"/>
  <c r="AS686" i="25"/>
  <c r="AS679" i="25"/>
  <c r="AS674" i="25"/>
  <c r="AS671" i="25"/>
  <c r="AS669" i="25"/>
  <c r="AS668" i="25"/>
  <c r="AS667" i="25"/>
  <c r="AS666" i="25"/>
  <c r="AS659" i="25"/>
  <c r="AS657" i="25"/>
  <c r="AS655" i="25"/>
  <c r="AS651" i="25"/>
  <c r="AS650" i="25"/>
  <c r="AS649" i="25"/>
  <c r="AS648" i="25"/>
  <c r="AS647" i="25"/>
  <c r="AS652" i="25"/>
  <c r="AS646" i="25"/>
  <c r="AS637" i="25"/>
  <c r="AS634" i="25"/>
  <c r="AS632" i="25"/>
  <c r="AS626" i="25"/>
  <c r="AS623" i="25"/>
  <c r="AS610" i="25"/>
  <c r="AS608" i="25"/>
  <c r="AS606" i="25"/>
  <c r="AS604" i="25"/>
  <c r="AS603" i="25"/>
  <c r="AS602" i="25"/>
  <c r="AS601" i="25"/>
  <c r="AS600" i="25"/>
  <c r="AS599" i="25"/>
  <c r="AS597" i="25"/>
  <c r="AS595" i="25"/>
  <c r="AS592" i="25"/>
  <c r="AS587" i="25"/>
  <c r="AS586" i="25"/>
  <c r="AS583" i="25"/>
  <c r="AS581" i="25"/>
  <c r="AS578" i="25"/>
  <c r="AS573" i="25"/>
  <c r="AS568" i="25"/>
  <c r="AS564" i="25"/>
  <c r="AS561" i="25"/>
  <c r="AS557" i="25"/>
  <c r="AS541" i="25"/>
  <c r="AS538" i="25"/>
  <c r="AS535" i="25"/>
  <c r="AS527" i="25"/>
  <c r="AS524" i="25"/>
  <c r="AS520" i="25"/>
  <c r="AS515" i="25"/>
  <c r="AS513" i="25"/>
  <c r="AS511" i="25"/>
  <c r="AS506" i="25"/>
  <c r="AS504" i="25"/>
  <c r="AS501" i="25"/>
  <c r="AS498" i="25"/>
  <c r="AS499" i="25"/>
  <c r="AS497" i="25"/>
  <c r="AS495" i="25"/>
  <c r="AS487" i="25"/>
  <c r="AS481" i="25"/>
  <c r="AS482" i="25"/>
  <c r="AS480" i="25"/>
  <c r="AS477" i="25"/>
  <c r="AS474" i="25"/>
  <c r="AS475" i="25"/>
  <c r="AS473" i="25"/>
  <c r="AS470" i="25"/>
  <c r="AS468" i="25"/>
  <c r="AS466" i="25"/>
  <c r="AS464" i="25"/>
  <c r="AS462" i="25"/>
  <c r="AS456" i="25"/>
  <c r="AS457" i="25"/>
  <c r="AS455" i="25"/>
  <c r="AS452" i="25"/>
  <c r="AS450" i="25"/>
  <c r="AS448" i="25"/>
  <c r="AS428" i="25"/>
  <c r="AS427" i="25"/>
  <c r="AS425" i="25"/>
  <c r="AS423" i="25"/>
  <c r="AS374" i="25"/>
  <c r="AS364" i="25"/>
  <c r="AS362" i="25"/>
  <c r="AS360" i="25"/>
  <c r="AS359" i="25"/>
  <c r="AS356" i="25"/>
  <c r="AS354" i="25"/>
  <c r="AS348" i="25"/>
  <c r="AS341" i="25"/>
  <c r="AS335" i="25"/>
  <c r="AS331" i="25"/>
  <c r="AS330" i="25"/>
  <c r="AS328" i="25"/>
  <c r="AS322" i="25"/>
  <c r="AS318" i="25"/>
  <c r="AS316" i="25"/>
  <c r="AS310" i="25"/>
  <c r="AS304" i="25"/>
  <c r="AS299" i="25"/>
  <c r="AS296" i="25"/>
  <c r="AS290" i="25"/>
  <c r="AS284" i="25"/>
  <c r="AS277" i="25"/>
  <c r="AS270" i="25"/>
  <c r="AS260" i="25"/>
  <c r="AS252" i="25"/>
  <c r="AS244" i="25"/>
  <c r="AS236" i="25"/>
  <c r="AS232" i="25"/>
  <c r="AS229" i="25"/>
  <c r="AS227" i="25"/>
  <c r="AS220" i="25"/>
  <c r="AS214" i="25"/>
  <c r="AS211" i="25"/>
  <c r="AS196" i="25"/>
  <c r="AS192" i="25"/>
  <c r="AS189" i="25"/>
  <c r="AS183" i="25"/>
  <c r="AS179" i="25"/>
  <c r="AS173" i="25"/>
  <c r="AS172" i="25"/>
  <c r="AS170" i="25"/>
  <c r="AS160" i="25"/>
  <c r="AS150" i="25"/>
  <c r="AS147" i="25"/>
  <c r="AS145" i="25"/>
  <c r="AS141" i="25"/>
  <c r="AS142" i="25"/>
  <c r="AS140" i="25"/>
  <c r="AS138" i="25"/>
  <c r="AS135" i="25"/>
  <c r="AS133" i="25"/>
  <c r="AS129" i="25"/>
  <c r="AS128" i="25"/>
  <c r="AS121" i="25"/>
  <c r="AS118" i="25"/>
  <c r="AS117" i="25"/>
  <c r="AS119" i="25"/>
  <c r="AS116" i="25"/>
  <c r="AS114" i="25"/>
  <c r="AS113" i="25"/>
  <c r="AS111" i="25"/>
  <c r="AS110" i="25"/>
  <c r="AS108" i="25"/>
  <c r="AS105" i="25"/>
  <c r="AS99" i="25"/>
  <c r="AS98" i="25"/>
  <c r="AS97" i="25"/>
  <c r="AS96" i="25"/>
  <c r="AS95" i="25"/>
  <c r="AS94" i="25"/>
  <c r="AS93" i="25"/>
  <c r="AS92" i="25"/>
  <c r="AS91" i="25"/>
  <c r="AS90" i="25"/>
  <c r="AS89" i="25"/>
  <c r="AS100" i="25"/>
  <c r="AS88" i="25"/>
  <c r="AS84" i="25"/>
  <c r="AS81" i="25"/>
  <c r="AS80" i="25"/>
  <c r="AS77" i="25"/>
  <c r="AS71" i="25"/>
  <c r="AS68" i="25"/>
  <c r="AS63" i="25"/>
  <c r="AS59" i="25"/>
  <c r="AS56" i="25"/>
  <c r="AS55" i="25"/>
  <c r="AS57" i="25"/>
  <c r="AS54" i="25"/>
  <c r="AS51" i="25"/>
  <c r="AS52" i="25"/>
  <c r="AS50" i="25"/>
  <c r="AS47" i="25"/>
  <c r="AS45" i="25"/>
  <c r="AS44" i="25"/>
  <c r="AS42" i="25"/>
  <c r="AS41" i="25"/>
  <c r="AS27" i="25"/>
  <c r="AS24" i="25"/>
  <c r="AS20" i="25"/>
  <c r="AS17" i="25"/>
  <c r="AQ767" i="25"/>
  <c r="AQ766" i="25"/>
  <c r="AQ761" i="25"/>
  <c r="AQ757" i="25"/>
  <c r="AQ752" i="25"/>
  <c r="AQ748" i="25"/>
  <c r="AQ746" i="25"/>
  <c r="AQ741" i="25"/>
  <c r="AQ736" i="25"/>
  <c r="AQ733" i="25"/>
  <c r="AQ730" i="25"/>
  <c r="AQ729" i="25"/>
  <c r="AQ725" i="25"/>
  <c r="AQ715" i="25"/>
  <c r="AQ713" i="25"/>
  <c r="AQ711" i="25"/>
  <c r="AQ708" i="25"/>
  <c r="AQ706" i="25"/>
  <c r="AQ704" i="25"/>
  <c r="AQ700" i="25"/>
  <c r="AQ699" i="25"/>
  <c r="AQ698" i="25"/>
  <c r="AQ697" i="25"/>
  <c r="AQ696" i="25"/>
  <c r="AQ695" i="25"/>
  <c r="AQ701" i="25"/>
  <c r="AQ694" i="25"/>
  <c r="AQ679" i="25"/>
  <c r="AQ674" i="25"/>
  <c r="AQ671" i="25"/>
  <c r="AQ668" i="25"/>
  <c r="AQ667" i="25"/>
  <c r="AQ669" i="25"/>
  <c r="AQ666" i="25"/>
  <c r="AQ659" i="25"/>
  <c r="AQ657" i="25"/>
  <c r="AQ655" i="25"/>
  <c r="AQ645" i="25"/>
  <c r="AQ643" i="25"/>
  <c r="AQ637" i="25"/>
  <c r="AQ634" i="25"/>
  <c r="AQ632" i="25"/>
  <c r="AQ626" i="25"/>
  <c r="AQ625" i="25"/>
  <c r="AQ623" i="25"/>
  <c r="AQ597" i="25"/>
  <c r="AQ595" i="25"/>
  <c r="AQ592" i="25"/>
  <c r="AQ587" i="25"/>
  <c r="AQ586" i="25"/>
  <c r="AQ584" i="25"/>
  <c r="AQ581" i="25"/>
  <c r="AQ578" i="25"/>
  <c r="AQ573" i="25"/>
  <c r="AQ568" i="25"/>
  <c r="AQ564" i="25"/>
  <c r="AQ561" i="25"/>
  <c r="AQ557" i="25"/>
  <c r="AQ547" i="25"/>
  <c r="AQ517" i="25"/>
  <c r="AQ515" i="25"/>
  <c r="AQ513" i="25"/>
  <c r="AQ511" i="25"/>
  <c r="AQ506" i="25"/>
  <c r="AQ504" i="25"/>
  <c r="AQ501" i="25"/>
  <c r="AQ498" i="25"/>
  <c r="AQ499" i="25"/>
  <c r="AQ497" i="25"/>
  <c r="AQ495" i="25"/>
  <c r="AQ487" i="25"/>
  <c r="AQ460" i="25"/>
  <c r="AQ456" i="25"/>
  <c r="AQ457" i="25"/>
  <c r="AQ455" i="25"/>
  <c r="AQ452" i="25"/>
  <c r="AQ450" i="25"/>
  <c r="AQ448" i="25"/>
  <c r="AQ431" i="25"/>
  <c r="AQ429" i="25"/>
  <c r="AQ427" i="25"/>
  <c r="AQ425" i="25"/>
  <c r="AQ423" i="25"/>
  <c r="AQ422" i="25"/>
  <c r="AQ402" i="25"/>
  <c r="AQ400" i="25"/>
  <c r="AQ383" i="25"/>
  <c r="AQ381" i="25"/>
  <c r="AQ375" i="25"/>
  <c r="AQ364" i="25"/>
  <c r="AQ362" i="25"/>
  <c r="AQ360" i="25"/>
  <c r="AQ359" i="25"/>
  <c r="AQ356" i="25"/>
  <c r="AQ354" i="25"/>
  <c r="AQ348" i="25"/>
  <c r="AQ343" i="25"/>
  <c r="AQ341" i="25"/>
  <c r="AQ336" i="25"/>
  <c r="AQ331" i="25"/>
  <c r="AQ330" i="25"/>
  <c r="AQ328" i="25"/>
  <c r="AQ323" i="25"/>
  <c r="AQ318" i="25"/>
  <c r="AQ316" i="25"/>
  <c r="AQ311" i="25"/>
  <c r="AQ305" i="25"/>
  <c r="AQ300" i="25"/>
  <c r="AQ297" i="25"/>
  <c r="AQ291" i="25"/>
  <c r="AQ284" i="25"/>
  <c r="AQ278" i="25"/>
  <c r="AQ271" i="25"/>
  <c r="AQ260" i="25"/>
  <c r="AQ252" i="25"/>
  <c r="AQ244" i="25"/>
  <c r="AQ236" i="25"/>
  <c r="AQ229" i="25"/>
  <c r="AQ228" i="25"/>
  <c r="AQ222" i="25"/>
  <c r="AQ220" i="25"/>
  <c r="AQ214" i="25"/>
  <c r="AQ211" i="25"/>
  <c r="AQ196" i="25"/>
  <c r="AQ185" i="25"/>
  <c r="AQ179" i="25"/>
  <c r="AQ173" i="25"/>
  <c r="AQ172" i="25"/>
  <c r="AQ170" i="25"/>
  <c r="AQ160" i="25"/>
  <c r="AQ150" i="25"/>
  <c r="AQ124" i="25"/>
  <c r="AQ121" i="25"/>
  <c r="AQ108" i="25"/>
  <c r="AQ105" i="25"/>
  <c r="AQ99" i="25"/>
  <c r="AQ98" i="25"/>
  <c r="AQ97" i="25"/>
  <c r="AQ96" i="25"/>
  <c r="AQ95" i="25"/>
  <c r="AQ94" i="25"/>
  <c r="AQ93" i="25"/>
  <c r="AQ92" i="25"/>
  <c r="AQ91" i="25"/>
  <c r="AQ90" i="25"/>
  <c r="AQ89" i="25"/>
  <c r="AQ100" i="25"/>
  <c r="AQ88" i="25"/>
  <c r="AQ85" i="25"/>
  <c r="AQ81" i="25"/>
  <c r="AQ80" i="25"/>
  <c r="AQ77" i="25"/>
  <c r="AQ71" i="25"/>
  <c r="AQ68" i="25"/>
  <c r="AQ63" i="25"/>
  <c r="AQ59" i="25"/>
  <c r="AQ56" i="25"/>
  <c r="AQ55" i="25"/>
  <c r="AQ57" i="25"/>
  <c r="AQ54" i="25"/>
  <c r="AQ51" i="25"/>
  <c r="AQ52" i="25"/>
  <c r="AQ50" i="25"/>
  <c r="AQ47" i="25"/>
  <c r="AQ45" i="25"/>
  <c r="AQ44" i="25"/>
  <c r="AQ42" i="25"/>
  <c r="AQ41" i="25"/>
  <c r="AQ28" i="25"/>
  <c r="AQ12" i="25"/>
  <c r="AS546" i="24"/>
  <c r="AS542" i="24"/>
  <c r="AS540" i="24"/>
  <c r="AS535" i="24"/>
  <c r="AS536" i="24"/>
  <c r="AS534" i="24"/>
  <c r="AS532" i="24"/>
  <c r="AS530" i="24"/>
  <c r="AS526" i="24"/>
  <c r="AS521" i="24"/>
  <c r="AS517" i="24"/>
  <c r="AS515" i="24"/>
  <c r="AS513" i="24"/>
  <c r="AS511" i="24"/>
  <c r="AS509" i="24"/>
  <c r="AS507" i="24"/>
  <c r="AS506" i="24"/>
  <c r="AS495" i="24"/>
  <c r="AS487" i="24"/>
  <c r="AS477" i="24"/>
  <c r="AS465" i="24"/>
  <c r="AS459" i="24"/>
  <c r="AS453" i="24"/>
  <c r="AS446" i="24"/>
  <c r="AS439" i="24"/>
  <c r="AS432" i="24"/>
  <c r="AS426" i="24"/>
  <c r="AS418" i="24"/>
  <c r="AS409" i="24"/>
  <c r="AS400" i="24"/>
  <c r="AS392" i="24"/>
  <c r="AS390" i="24"/>
  <c r="AS379" i="24"/>
  <c r="AS376" i="24"/>
  <c r="AS370" i="24"/>
  <c r="AS365" i="24"/>
  <c r="AS356" i="24"/>
  <c r="AS354" i="24"/>
  <c r="AS353" i="24"/>
  <c r="AS351" i="24"/>
  <c r="AS350" i="24"/>
  <c r="AS319" i="24"/>
  <c r="AS314" i="24"/>
  <c r="AS313" i="24"/>
  <c r="AS306" i="24"/>
  <c r="AS293" i="24"/>
  <c r="AS278" i="24"/>
  <c r="AS275" i="24"/>
  <c r="AS271" i="24"/>
  <c r="AS269" i="24"/>
  <c r="AS267" i="24"/>
  <c r="AS265" i="24"/>
  <c r="AS261" i="24"/>
  <c r="AS254" i="24"/>
  <c r="AS248" i="24"/>
  <c r="AS244" i="24"/>
  <c r="AS242" i="24"/>
  <c r="AS237" i="24"/>
  <c r="AS233" i="24"/>
  <c r="AS230" i="24"/>
  <c r="AS229" i="24"/>
  <c r="AS227" i="24"/>
  <c r="AS220" i="24"/>
  <c r="AS219" i="24"/>
  <c r="AS218" i="24"/>
  <c r="AS216" i="24"/>
  <c r="AS210" i="24"/>
  <c r="AS207" i="24"/>
  <c r="AS205" i="24"/>
  <c r="AS193" i="24"/>
  <c r="AS191" i="24"/>
  <c r="AS189" i="24"/>
  <c r="AS183" i="24"/>
  <c r="AS179" i="24"/>
  <c r="AS178" i="24"/>
  <c r="AS175" i="24"/>
  <c r="AS165" i="24"/>
  <c r="AS157" i="24"/>
  <c r="AS153" i="24"/>
  <c r="AS151" i="24"/>
  <c r="AS149" i="24"/>
  <c r="AS146" i="24"/>
  <c r="AS144" i="24"/>
  <c r="AS131" i="24"/>
  <c r="AS122" i="24"/>
  <c r="AS119" i="24"/>
  <c r="AS117" i="24"/>
  <c r="AS113" i="24"/>
  <c r="AS111" i="24"/>
  <c r="AS105" i="24"/>
  <c r="AS103" i="24"/>
  <c r="AS98" i="24"/>
  <c r="AS96" i="24"/>
  <c r="AS93" i="24"/>
  <c r="AS80" i="24"/>
  <c r="AS62" i="24"/>
  <c r="AS54" i="24"/>
  <c r="AS55" i="24"/>
  <c r="AS56" i="24"/>
  <c r="AS57" i="24"/>
  <c r="AS53" i="24"/>
  <c r="AS52" i="24"/>
  <c r="AS45" i="24"/>
  <c r="AS44" i="24"/>
  <c r="AS43" i="24"/>
  <c r="AS42" i="24"/>
  <c r="AS46" i="24"/>
  <c r="AS41" i="24"/>
  <c r="AS37" i="24"/>
  <c r="AS34" i="24"/>
  <c r="AS31" i="24"/>
  <c r="AS13" i="24"/>
  <c r="AQ546" i="24"/>
  <c r="AQ542" i="24"/>
  <c r="AQ540" i="24"/>
  <c r="AQ535" i="24"/>
  <c r="AQ536" i="24"/>
  <c r="AQ534" i="24"/>
  <c r="AQ532" i="24"/>
  <c r="AQ530" i="24"/>
  <c r="AQ526" i="24"/>
  <c r="AQ521" i="24"/>
  <c r="AQ517" i="24"/>
  <c r="AQ515" i="24"/>
  <c r="AQ513" i="24"/>
  <c r="AQ511" i="24"/>
  <c r="AQ509" i="24"/>
  <c r="AQ507" i="24"/>
  <c r="AQ506" i="24"/>
  <c r="AQ495" i="24"/>
  <c r="AQ489" i="24"/>
  <c r="AQ478" i="24"/>
  <c r="AQ466" i="24"/>
  <c r="AQ460" i="24"/>
  <c r="AQ454" i="24"/>
  <c r="AQ447" i="24"/>
  <c r="AQ441" i="24"/>
  <c r="AQ434" i="24"/>
  <c r="AQ426" i="24"/>
  <c r="AQ418" i="24"/>
  <c r="AQ409" i="24"/>
  <c r="AQ392" i="24"/>
  <c r="AQ390" i="24"/>
  <c r="AQ379" i="24"/>
  <c r="AQ376" i="24"/>
  <c r="AQ370" i="24"/>
  <c r="AQ365" i="24"/>
  <c r="AQ356" i="24"/>
  <c r="AQ354" i="24"/>
  <c r="AQ353" i="24"/>
  <c r="AQ351" i="24"/>
  <c r="AQ350" i="24"/>
  <c r="AQ326" i="24"/>
  <c r="AQ325" i="24"/>
  <c r="AQ324" i="24"/>
  <c r="AQ323" i="24"/>
  <c r="AQ322" i="24"/>
  <c r="AQ321" i="24"/>
  <c r="AQ320" i="24"/>
  <c r="AQ319" i="24"/>
  <c r="AQ314" i="24"/>
  <c r="AQ313" i="24"/>
  <c r="AQ312" i="24"/>
  <c r="AQ311" i="24"/>
  <c r="AQ310" i="24"/>
  <c r="AQ309" i="24"/>
  <c r="AQ308" i="24"/>
  <c r="AQ307" i="24"/>
  <c r="AQ306" i="24"/>
  <c r="AQ293" i="24"/>
  <c r="AQ291" i="24"/>
  <c r="AQ278" i="24"/>
  <c r="AQ275" i="24"/>
  <c r="AQ272" i="24"/>
  <c r="AQ270" i="24"/>
  <c r="AQ268" i="24"/>
  <c r="AQ266" i="24"/>
  <c r="AQ261" i="24"/>
  <c r="AQ254" i="24"/>
  <c r="AQ248" i="24"/>
  <c r="AQ244" i="24"/>
  <c r="AQ242" i="24"/>
  <c r="AQ237" i="24"/>
  <c r="AQ233" i="24"/>
  <c r="AQ230" i="24"/>
  <c r="AQ229" i="24"/>
  <c r="AQ227" i="24"/>
  <c r="AQ219" i="24"/>
  <c r="AQ220" i="24"/>
  <c r="AQ218" i="24"/>
  <c r="AQ216" i="24"/>
  <c r="AQ210" i="24"/>
  <c r="AQ207" i="24"/>
  <c r="AQ205" i="24"/>
  <c r="AQ193" i="24"/>
  <c r="AQ191" i="24"/>
  <c r="AQ189" i="24"/>
  <c r="AQ183" i="24"/>
  <c r="AQ179" i="24"/>
  <c r="AQ178" i="24"/>
  <c r="AQ175" i="24"/>
  <c r="AQ165" i="24"/>
  <c r="AQ157" i="24"/>
  <c r="AQ153" i="24"/>
  <c r="AQ151" i="24"/>
  <c r="AQ149" i="24"/>
  <c r="AQ146" i="24"/>
  <c r="AQ144" i="24"/>
  <c r="AQ139" i="24"/>
  <c r="AQ135" i="24"/>
  <c r="AQ131" i="24"/>
  <c r="AQ125" i="24"/>
  <c r="AQ123" i="24"/>
  <c r="AQ122" i="24"/>
  <c r="AQ119" i="24"/>
  <c r="AQ117" i="24"/>
  <c r="AQ113" i="24"/>
  <c r="AQ111" i="24"/>
  <c r="AQ105" i="24"/>
  <c r="AQ103" i="24"/>
  <c r="AQ101" i="24"/>
  <c r="AQ100" i="24"/>
  <c r="AQ96" i="24"/>
  <c r="AQ93" i="24"/>
  <c r="AQ80" i="24"/>
  <c r="AQ73" i="24"/>
  <c r="AQ71" i="24"/>
  <c r="AQ67" i="24"/>
  <c r="AQ66" i="24"/>
  <c r="AQ65" i="24"/>
  <c r="AQ56" i="24"/>
  <c r="AQ55" i="24"/>
  <c r="AQ54" i="24"/>
  <c r="AQ53" i="24"/>
  <c r="AQ52" i="24"/>
  <c r="AQ46" i="24"/>
  <c r="AQ45" i="24"/>
  <c r="AQ44" i="24"/>
  <c r="AQ43" i="24"/>
  <c r="AQ42" i="24"/>
  <c r="AQ41" i="24"/>
  <c r="AQ37" i="24"/>
  <c r="AQ34" i="24"/>
  <c r="AQ31" i="24"/>
  <c r="AS326" i="8"/>
  <c r="AS324" i="8"/>
  <c r="AS322" i="8"/>
  <c r="AS317" i="8"/>
  <c r="AS316" i="8"/>
  <c r="AS313" i="8"/>
  <c r="AS310" i="8"/>
  <c r="AS306" i="8"/>
  <c r="AS293" i="8"/>
  <c r="AS294" i="8"/>
  <c r="AS292" i="8"/>
  <c r="AS289" i="8"/>
  <c r="AS287" i="8"/>
  <c r="AS283" i="8"/>
  <c r="AS276" i="8"/>
  <c r="AS273" i="8"/>
  <c r="AS263" i="8"/>
  <c r="AS258" i="8"/>
  <c r="AS256" i="8"/>
  <c r="AS254" i="8"/>
  <c r="AS247" i="8"/>
  <c r="AS239" i="8"/>
  <c r="AS238" i="8"/>
  <c r="AS235" i="8"/>
  <c r="AS231" i="8"/>
  <c r="AS229" i="8"/>
  <c r="AS227" i="8"/>
  <c r="AS226" i="8"/>
  <c r="AS224" i="8"/>
  <c r="AS221" i="8"/>
  <c r="AS214" i="8"/>
  <c r="AS209" i="8"/>
  <c r="AS201" i="8"/>
  <c r="AS195" i="8"/>
  <c r="AS188" i="8"/>
  <c r="AS186" i="8"/>
  <c r="AS184" i="8"/>
  <c r="AS182" i="8"/>
  <c r="AS179" i="8"/>
  <c r="AS177" i="8"/>
  <c r="AS172" i="8"/>
  <c r="AS171" i="8"/>
  <c r="AS166" i="8"/>
  <c r="AS163" i="8"/>
  <c r="AS161" i="8"/>
  <c r="AS158" i="8"/>
  <c r="AS156" i="8"/>
  <c r="AS150" i="8"/>
  <c r="AS146" i="8"/>
  <c r="AS143" i="8"/>
  <c r="AS141" i="8"/>
  <c r="AS136" i="8"/>
  <c r="AS129" i="8"/>
  <c r="AS125" i="8"/>
  <c r="AS122" i="8"/>
  <c r="AS115" i="8"/>
  <c r="AS102" i="8"/>
  <c r="AS89" i="8"/>
  <c r="AS69" i="8"/>
  <c r="AS64" i="8"/>
  <c r="AS59" i="8"/>
  <c r="AS56" i="8"/>
  <c r="AS53" i="8"/>
  <c r="AS51" i="8"/>
  <c r="AS46" i="8"/>
  <c r="AS43" i="8"/>
  <c r="AS38" i="8"/>
  <c r="AS28" i="8"/>
  <c r="AS26" i="8"/>
  <c r="AS24" i="8"/>
  <c r="AS22" i="8"/>
  <c r="AS20" i="8"/>
  <c r="AS14" i="8"/>
  <c r="AQ18" i="8"/>
  <c r="AQ17" i="8"/>
  <c r="AQ15" i="8"/>
  <c r="AQ19" i="8"/>
  <c r="AQ22" i="8"/>
  <c r="AQ24" i="8"/>
  <c r="AQ26" i="8"/>
  <c r="AQ28" i="8"/>
  <c r="AQ38" i="8"/>
  <c r="AQ43" i="8"/>
  <c r="AQ46" i="8"/>
  <c r="AQ51" i="8"/>
  <c r="AQ53" i="8"/>
  <c r="AQ56" i="8"/>
  <c r="AQ59" i="8"/>
  <c r="AQ70" i="8"/>
  <c r="AQ72" i="8"/>
  <c r="AQ74" i="8"/>
  <c r="AQ78" i="8"/>
  <c r="AQ76" i="8"/>
  <c r="AQ80" i="8"/>
  <c r="AQ82" i="8"/>
  <c r="AQ84" i="8"/>
  <c r="AQ91" i="8"/>
  <c r="AQ90" i="8"/>
  <c r="AQ92" i="8"/>
  <c r="AQ94" i="8"/>
  <c r="AQ99" i="8"/>
  <c r="AQ101" i="8"/>
  <c r="AQ105" i="8"/>
  <c r="AQ109" i="8"/>
  <c r="AQ110" i="8"/>
  <c r="AQ113" i="8"/>
  <c r="AQ112" i="8"/>
  <c r="AQ114" i="8"/>
  <c r="AQ122" i="8"/>
  <c r="AQ125" i="8"/>
  <c r="AQ129" i="8"/>
  <c r="AQ136" i="8"/>
  <c r="AQ141" i="8"/>
  <c r="AQ143" i="8"/>
  <c r="AQ148" i="8"/>
  <c r="AQ150" i="8"/>
  <c r="AQ156" i="8"/>
  <c r="AQ158" i="8"/>
  <c r="AQ161" i="8"/>
  <c r="AQ163" i="8"/>
  <c r="AQ166" i="8"/>
  <c r="AQ171" i="8"/>
  <c r="AQ172" i="8"/>
  <c r="AQ177" i="8"/>
  <c r="AQ179" i="8"/>
  <c r="AQ182" i="8"/>
  <c r="AQ184" i="8"/>
  <c r="AQ186" i="8"/>
  <c r="AQ191" i="8"/>
  <c r="AQ190" i="8"/>
  <c r="AQ192" i="8"/>
  <c r="AQ194" i="8"/>
  <c r="AQ202" i="8"/>
  <c r="AQ209" i="8"/>
  <c r="AQ216" i="8"/>
  <c r="AQ217" i="8"/>
  <c r="AQ219" i="8"/>
  <c r="AQ224" i="8"/>
  <c r="AQ226" i="8"/>
  <c r="AQ227" i="8"/>
  <c r="AQ229" i="8"/>
  <c r="AQ231" i="8"/>
  <c r="AQ235" i="8"/>
  <c r="AQ238" i="8"/>
  <c r="AQ244" i="8"/>
  <c r="AQ243" i="8"/>
  <c r="AQ242" i="8"/>
  <c r="AQ241" i="8"/>
  <c r="AQ240" i="8"/>
  <c r="AQ245" i="8"/>
  <c r="AQ247" i="8"/>
  <c r="AQ254" i="8"/>
  <c r="AQ256" i="8"/>
  <c r="AQ258" i="8"/>
  <c r="AQ265" i="8"/>
  <c r="AQ268" i="8"/>
  <c r="AQ326" i="8"/>
  <c r="AQ324" i="8"/>
  <c r="AQ322" i="8"/>
  <c r="AQ317" i="8"/>
  <c r="AQ316" i="8"/>
  <c r="AQ313" i="8"/>
  <c r="AQ310" i="8"/>
  <c r="AQ306" i="8"/>
  <c r="AQ295" i="8"/>
  <c r="AQ293" i="8"/>
  <c r="AQ292" i="8"/>
  <c r="AQ289" i="8"/>
  <c r="AQ287" i="8"/>
  <c r="AQ283" i="8"/>
  <c r="AQ277" i="8"/>
  <c r="AQ273" i="8"/>
  <c r="AQ272" i="8"/>
  <c r="A488" i="80" l="1"/>
  <c r="C487" i="80"/>
  <c r="A771" i="80"/>
  <c r="C771" i="80" s="1"/>
  <c r="C770" i="80"/>
  <c r="C1718" i="80"/>
  <c r="C1717" i="80"/>
  <c r="A1136" i="80"/>
  <c r="C1135" i="80"/>
  <c r="Y718" i="16"/>
  <c r="AR400" i="24"/>
  <c r="A489" i="80" l="1"/>
  <c r="C488" i="80"/>
  <c r="A1137" i="80"/>
  <c r="C1137" i="80" s="1"/>
  <c r="C1136" i="80"/>
  <c r="AR220" i="29"/>
  <c r="AR217" i="29"/>
  <c r="AR213" i="29"/>
  <c r="AR211" i="29"/>
  <c r="AR198" i="29"/>
  <c r="AR195" i="29"/>
  <c r="AR193" i="29"/>
  <c r="AR187" i="29"/>
  <c r="AR186" i="29"/>
  <c r="AR185" i="29"/>
  <c r="AR184" i="29"/>
  <c r="AR183" i="29"/>
  <c r="AR182" i="29"/>
  <c r="AR181" i="29"/>
  <c r="AR176" i="29"/>
  <c r="AR175" i="29"/>
  <c r="AR174" i="29"/>
  <c r="AR173" i="29"/>
  <c r="AR172" i="29"/>
  <c r="AR171" i="29"/>
  <c r="AR169" i="29"/>
  <c r="AR168" i="29"/>
  <c r="AR167" i="29"/>
  <c r="AR152" i="29"/>
  <c r="AR150" i="29"/>
  <c r="AR149" i="29"/>
  <c r="AR148" i="29"/>
  <c r="AR147" i="29"/>
  <c r="AR146" i="29"/>
  <c r="AR144" i="29"/>
  <c r="AR143" i="29"/>
  <c r="AR141" i="29"/>
  <c r="AR134" i="29"/>
  <c r="AR130" i="29"/>
  <c r="AR128" i="29"/>
  <c r="AR122" i="29"/>
  <c r="AR119" i="29"/>
  <c r="AR118" i="29"/>
  <c r="AR116" i="29"/>
  <c r="AR114" i="29"/>
  <c r="AR113" i="29"/>
  <c r="AR111" i="29"/>
  <c r="AR108" i="29"/>
  <c r="AR106" i="29"/>
  <c r="AR103" i="29"/>
  <c r="AR101" i="29"/>
  <c r="AR94" i="29"/>
  <c r="AR95" i="29"/>
  <c r="AR93" i="29"/>
  <c r="AR91" i="29"/>
  <c r="AR90" i="29"/>
  <c r="AR88" i="29"/>
  <c r="AR85" i="29"/>
  <c r="AR82" i="29"/>
  <c r="AR59" i="29"/>
  <c r="AR60" i="29"/>
  <c r="AR58" i="29"/>
  <c r="AR56" i="29"/>
  <c r="AR54" i="29"/>
  <c r="AR52" i="29"/>
  <c r="AR51" i="29"/>
  <c r="AR49" i="29"/>
  <c r="AR47" i="29"/>
  <c r="AR46" i="29"/>
  <c r="AR44" i="29"/>
  <c r="AR42" i="29"/>
  <c r="AR38" i="29"/>
  <c r="AR32" i="29"/>
  <c r="AR31" i="29"/>
  <c r="AR30" i="29"/>
  <c r="AR28" i="29"/>
  <c r="AR27" i="29"/>
  <c r="AR25" i="29"/>
  <c r="AR23" i="29"/>
  <c r="AR22" i="29"/>
  <c r="AR21" i="29"/>
  <c r="AR16" i="29"/>
  <c r="AR17" i="29"/>
  <c r="AR15" i="29"/>
  <c r="AP220" i="29"/>
  <c r="AP217" i="29"/>
  <c r="AP213" i="29"/>
  <c r="AP211" i="29"/>
  <c r="AP198" i="29"/>
  <c r="AP195" i="29"/>
  <c r="AP193" i="29"/>
  <c r="AP187" i="29"/>
  <c r="AP186" i="29"/>
  <c r="AP185" i="29"/>
  <c r="AP184" i="29"/>
  <c r="AP183" i="29"/>
  <c r="AP182" i="29"/>
  <c r="AP181" i="29"/>
  <c r="AP176" i="29"/>
  <c r="AP175" i="29"/>
  <c r="AP174" i="29"/>
  <c r="AP173" i="29"/>
  <c r="AP172" i="29"/>
  <c r="AP171" i="29"/>
  <c r="AP168" i="29"/>
  <c r="AP169" i="29"/>
  <c r="AP167" i="29"/>
  <c r="AP152" i="29"/>
  <c r="AP150" i="29"/>
  <c r="AP149" i="29"/>
  <c r="AP148" i="29"/>
  <c r="AP147" i="29"/>
  <c r="AP146" i="29"/>
  <c r="AP144" i="29"/>
  <c r="AP143" i="29"/>
  <c r="AP141" i="29"/>
  <c r="AP134" i="29"/>
  <c r="AP130" i="29"/>
  <c r="AP128" i="29"/>
  <c r="AP122" i="29"/>
  <c r="AP119" i="29"/>
  <c r="AP118" i="29"/>
  <c r="AP116" i="29"/>
  <c r="AP114" i="29"/>
  <c r="AP113" i="29"/>
  <c r="AP111" i="29"/>
  <c r="AP108" i="29"/>
  <c r="AP106" i="29"/>
  <c r="AP103" i="29"/>
  <c r="AP101" i="29"/>
  <c r="AP94" i="29"/>
  <c r="AP95" i="29"/>
  <c r="AP93" i="29"/>
  <c r="AP91" i="29"/>
  <c r="AP90" i="29"/>
  <c r="AP88" i="29"/>
  <c r="AP85" i="29"/>
  <c r="AP82" i="29"/>
  <c r="AP60" i="29"/>
  <c r="AP59" i="29"/>
  <c r="AP58" i="29"/>
  <c r="AP56" i="29"/>
  <c r="AP54" i="29"/>
  <c r="AP52" i="29"/>
  <c r="AP51" i="29"/>
  <c r="AP49" i="29"/>
  <c r="AP47" i="29"/>
  <c r="AP46" i="29"/>
  <c r="AP44" i="29"/>
  <c r="AP42" i="29"/>
  <c r="AP38" i="29"/>
  <c r="AP32" i="29"/>
  <c r="AP31" i="29"/>
  <c r="AP30" i="29"/>
  <c r="AP28" i="29"/>
  <c r="AP27" i="29"/>
  <c r="AP25" i="29"/>
  <c r="AP23" i="29"/>
  <c r="AP22" i="29"/>
  <c r="AP21" i="29"/>
  <c r="AP17" i="29"/>
  <c r="AP16" i="29"/>
  <c r="AP15" i="29"/>
  <c r="AN224" i="29"/>
  <c r="AN220" i="29"/>
  <c r="AN217" i="29"/>
  <c r="AN213" i="29"/>
  <c r="AN211" i="29"/>
  <c r="AN192" i="29"/>
  <c r="AN177" i="29"/>
  <c r="AN165" i="29"/>
  <c r="AN152" i="29"/>
  <c r="AN124" i="29"/>
  <c r="AN97" i="29"/>
  <c r="AN79" i="29"/>
  <c r="AN60" i="29"/>
  <c r="AN12" i="29"/>
  <c r="AL224" i="29"/>
  <c r="AL220" i="29"/>
  <c r="AL217" i="29"/>
  <c r="AL213" i="29"/>
  <c r="AL211" i="29"/>
  <c r="AL198" i="29"/>
  <c r="AL195" i="29"/>
  <c r="AL193" i="29"/>
  <c r="AL192" i="29"/>
  <c r="AL177" i="29"/>
  <c r="AL168" i="29"/>
  <c r="AL169" i="29"/>
  <c r="AL167" i="29"/>
  <c r="AL165" i="29"/>
  <c r="AL154" i="29"/>
  <c r="AL128" i="29"/>
  <c r="AL124" i="29"/>
  <c r="AL122" i="29"/>
  <c r="AL103" i="29"/>
  <c r="AL101" i="29"/>
  <c r="AL97" i="29"/>
  <c r="AL88" i="29"/>
  <c r="AL85" i="29"/>
  <c r="AL82" i="29"/>
  <c r="AL79" i="29"/>
  <c r="AL62" i="29"/>
  <c r="AL28" i="29"/>
  <c r="AL17" i="29"/>
  <c r="AL16" i="29"/>
  <c r="AL15" i="29"/>
  <c r="AL12" i="29"/>
  <c r="AL152" i="29"/>
  <c r="AL60" i="29"/>
  <c r="AR382" i="28"/>
  <c r="AR377" i="28"/>
  <c r="AR375" i="28"/>
  <c r="AR374" i="28"/>
  <c r="AR371" i="28"/>
  <c r="AR366" i="28"/>
  <c r="AR362" i="28"/>
  <c r="AR354" i="28"/>
  <c r="AR349" i="28"/>
  <c r="AR344" i="28"/>
  <c r="AR336" i="28"/>
  <c r="AR332" i="28"/>
  <c r="AR328" i="28"/>
  <c r="AR324" i="28"/>
  <c r="AR322" i="28"/>
  <c r="AR319" i="28"/>
  <c r="AR316" i="28"/>
  <c r="AR314" i="28"/>
  <c r="AR310" i="28"/>
  <c r="AR288" i="28"/>
  <c r="AR247" i="28"/>
  <c r="AR238" i="28"/>
  <c r="AR235" i="28"/>
  <c r="AR232" i="28"/>
  <c r="AR230" i="28"/>
  <c r="AR219" i="28"/>
  <c r="AR215" i="28"/>
  <c r="AR212" i="28"/>
  <c r="AR210" i="28"/>
  <c r="AR208" i="28"/>
  <c r="AR201" i="28"/>
  <c r="AR197" i="28"/>
  <c r="AR193" i="28"/>
  <c r="AR190" i="28"/>
  <c r="AR188" i="28"/>
  <c r="AR186" i="28"/>
  <c r="AR184" i="28"/>
  <c r="AR178" i="28"/>
  <c r="AR176" i="28"/>
  <c r="AR170" i="28"/>
  <c r="AR168" i="28"/>
  <c r="AR164" i="28"/>
  <c r="AR159" i="28"/>
  <c r="AR155" i="28"/>
  <c r="AR154" i="28"/>
  <c r="AR149" i="28"/>
  <c r="AR140" i="28"/>
  <c r="AR135" i="28"/>
  <c r="AR133" i="28"/>
  <c r="AR132" i="28"/>
  <c r="AR130" i="28"/>
  <c r="AR125" i="28"/>
  <c r="AR119" i="28"/>
  <c r="AR115" i="28"/>
  <c r="AR105" i="28"/>
  <c r="AR96" i="28"/>
  <c r="AR93" i="28"/>
  <c r="AR91" i="28"/>
  <c r="AR77" i="28"/>
  <c r="AR72" i="28"/>
  <c r="AR68" i="28"/>
  <c r="AR62" i="28"/>
  <c r="AR60" i="28"/>
  <c r="AR58" i="28"/>
  <c r="AR55" i="28"/>
  <c r="AR53" i="28"/>
  <c r="AR51" i="28"/>
  <c r="AR48" i="28"/>
  <c r="AR46" i="28"/>
  <c r="AR43" i="28"/>
  <c r="AR37" i="28"/>
  <c r="AR34" i="28"/>
  <c r="AR29" i="28"/>
  <c r="AR26" i="28"/>
  <c r="AR23" i="28"/>
  <c r="AR18" i="28"/>
  <c r="AR12" i="28"/>
  <c r="AP382" i="28"/>
  <c r="AP377" i="28"/>
  <c r="AP375" i="28"/>
  <c r="AP374" i="28"/>
  <c r="AP371" i="28"/>
  <c r="AP366" i="28"/>
  <c r="AP362" i="28"/>
  <c r="AP354" i="28"/>
  <c r="AP349" i="28"/>
  <c r="AP344" i="28"/>
  <c r="AP339" i="28"/>
  <c r="AP338" i="28"/>
  <c r="AP332" i="28"/>
  <c r="AP328" i="28"/>
  <c r="AP324" i="28"/>
  <c r="AP322" i="28"/>
  <c r="AP319" i="28"/>
  <c r="AP316" i="28"/>
  <c r="AP314" i="28"/>
  <c r="AP288" i="28"/>
  <c r="AP286" i="28"/>
  <c r="AP238" i="28"/>
  <c r="AP235" i="28"/>
  <c r="AP232" i="28"/>
  <c r="AP230" i="28"/>
  <c r="AP219" i="28"/>
  <c r="AP215" i="28"/>
  <c r="AP212" i="28"/>
  <c r="AP210" i="28"/>
  <c r="AP208" i="28"/>
  <c r="AP205" i="28"/>
  <c r="AP203" i="28"/>
  <c r="AP197" i="28"/>
  <c r="AP196" i="28"/>
  <c r="AP194" i="28"/>
  <c r="AP190" i="28"/>
  <c r="AP188" i="28"/>
  <c r="AP186" i="28"/>
  <c r="AP184" i="28"/>
  <c r="AP178" i="28"/>
  <c r="AP176" i="28"/>
  <c r="AP173" i="28"/>
  <c r="AP172" i="28"/>
  <c r="AP168" i="28"/>
  <c r="AP164" i="28"/>
  <c r="AP159" i="28"/>
  <c r="AP155" i="28"/>
  <c r="AP154" i="28"/>
  <c r="AP149" i="28"/>
  <c r="AP140" i="28"/>
  <c r="AP135" i="28"/>
  <c r="AP133" i="28"/>
  <c r="AP132" i="28"/>
  <c r="AP130" i="28"/>
  <c r="AP119" i="28"/>
  <c r="AP116" i="28"/>
  <c r="AP115" i="28"/>
  <c r="AP105" i="28"/>
  <c r="AP96" i="28"/>
  <c r="AP93" i="28"/>
  <c r="AP91" i="28"/>
  <c r="AP80" i="28"/>
  <c r="AP79" i="28"/>
  <c r="AP78" i="28"/>
  <c r="AP77" i="28"/>
  <c r="AP72" i="28"/>
  <c r="AP68" i="28"/>
  <c r="AP62" i="28"/>
  <c r="AP60" i="28"/>
  <c r="AP58" i="28"/>
  <c r="AP55" i="28"/>
  <c r="AP53" i="28"/>
  <c r="AP51" i="28"/>
  <c r="AP48" i="28"/>
  <c r="AP46" i="28"/>
  <c r="AP43" i="28"/>
  <c r="AP37" i="28"/>
  <c r="AP34" i="28"/>
  <c r="AP29" i="28"/>
  <c r="AP26" i="28"/>
  <c r="AP23" i="28"/>
  <c r="AP18" i="28"/>
  <c r="AP12" i="28"/>
  <c r="AN382" i="28"/>
  <c r="AN377" i="28"/>
  <c r="AN373" i="28"/>
  <c r="AN371" i="28"/>
  <c r="AN366" i="28"/>
  <c r="AN349" i="28"/>
  <c r="AN344" i="28"/>
  <c r="AN336" i="28"/>
  <c r="AN332" i="28"/>
  <c r="AN328" i="28"/>
  <c r="AN322" i="28"/>
  <c r="AN312" i="28"/>
  <c r="AN288" i="28"/>
  <c r="AN244" i="28"/>
  <c r="AN241" i="28"/>
  <c r="AN235" i="28"/>
  <c r="AN232" i="28"/>
  <c r="AN230" i="28"/>
  <c r="AN219" i="28"/>
  <c r="AN215" i="28"/>
  <c r="AN206" i="28"/>
  <c r="AN201" i="28"/>
  <c r="AN197" i="28"/>
  <c r="AN193" i="28"/>
  <c r="AN190" i="28"/>
  <c r="AN186" i="28"/>
  <c r="AN178" i="28"/>
  <c r="AN176" i="28"/>
  <c r="AN170" i="28"/>
  <c r="AN164" i="28"/>
  <c r="AN159" i="28"/>
  <c r="AN146" i="28"/>
  <c r="AN140" i="28"/>
  <c r="AN135" i="28"/>
  <c r="AN128" i="28"/>
  <c r="AN119" i="28"/>
  <c r="AN98" i="28"/>
  <c r="AN93" i="28"/>
  <c r="AN91" i="28"/>
  <c r="AN69" i="28"/>
  <c r="AN68" i="28"/>
  <c r="AN62" i="28"/>
  <c r="AN60" i="28"/>
  <c r="AN58" i="28"/>
  <c r="AN55" i="28"/>
  <c r="AN53" i="28"/>
  <c r="AN51" i="28"/>
  <c r="AN48" i="28"/>
  <c r="AN46" i="28"/>
  <c r="AN43" i="28"/>
  <c r="AN37" i="28"/>
  <c r="AN34" i="28"/>
  <c r="AN26" i="28"/>
  <c r="AN23" i="28"/>
  <c r="AN18" i="28"/>
  <c r="AN12" i="28"/>
  <c r="AL382" i="28"/>
  <c r="AL377" i="28"/>
  <c r="AL373" i="28"/>
  <c r="AL371" i="28"/>
  <c r="AL366" i="28"/>
  <c r="AL362" i="28"/>
  <c r="AL354" i="28"/>
  <c r="AL349" i="28"/>
  <c r="AL344" i="28"/>
  <c r="AL336" i="28"/>
  <c r="AL334" i="28"/>
  <c r="AL333" i="28"/>
  <c r="AL331" i="28"/>
  <c r="AL329" i="28"/>
  <c r="AL324" i="28"/>
  <c r="AL322" i="28"/>
  <c r="AL312" i="28"/>
  <c r="AL288" i="28"/>
  <c r="AL284" i="28"/>
  <c r="AL246" i="28"/>
  <c r="AL245" i="28"/>
  <c r="AL243" i="28"/>
  <c r="AL242" i="28"/>
  <c r="AL238" i="28"/>
  <c r="AL235" i="28"/>
  <c r="AL232" i="28"/>
  <c r="AL230" i="28"/>
  <c r="AL229" i="28"/>
  <c r="AL228" i="28"/>
  <c r="AL227" i="28"/>
  <c r="AL225" i="28"/>
  <c r="AL223" i="28"/>
  <c r="AL219" i="28"/>
  <c r="AL215" i="28"/>
  <c r="AL206" i="28"/>
  <c r="AL204" i="28"/>
  <c r="AL202" i="28"/>
  <c r="AL201" i="28"/>
  <c r="AL196" i="28"/>
  <c r="AL197" i="28"/>
  <c r="AL195" i="28"/>
  <c r="AL193" i="28"/>
  <c r="AL190" i="28"/>
  <c r="AL188" i="28"/>
  <c r="AL186" i="28"/>
  <c r="AL184" i="28"/>
  <c r="AL178" i="28"/>
  <c r="AL176" i="28"/>
  <c r="AL173" i="28"/>
  <c r="AL172" i="28"/>
  <c r="AL168" i="28"/>
  <c r="AL164" i="28"/>
  <c r="AL159" i="28"/>
  <c r="AL155" i="28"/>
  <c r="AL154" i="28"/>
  <c r="AL149" i="28"/>
  <c r="AL140" i="28"/>
  <c r="AL135" i="28"/>
  <c r="AL128" i="28"/>
  <c r="AL119" i="28"/>
  <c r="AL98" i="28"/>
  <c r="AL96" i="28"/>
  <c r="AL93" i="28"/>
  <c r="AL91" i="28"/>
  <c r="AL87" i="28"/>
  <c r="AL84" i="28"/>
  <c r="AL85" i="28"/>
  <c r="AL83" i="28"/>
  <c r="AL81" i="28"/>
  <c r="AL72" i="28"/>
  <c r="AL69" i="28"/>
  <c r="AL68" i="28"/>
  <c r="AL62" i="28"/>
  <c r="AL61" i="28"/>
  <c r="AL59" i="28"/>
  <c r="AL55" i="28"/>
  <c r="AL54" i="28"/>
  <c r="AL52" i="28"/>
  <c r="AL49" i="28"/>
  <c r="AL47" i="28"/>
  <c r="AL44" i="28"/>
  <c r="AL39" i="28"/>
  <c r="AL38" i="28"/>
  <c r="AL34" i="28"/>
  <c r="AL28" i="28"/>
  <c r="AL29" i="28"/>
  <c r="AL27" i="28"/>
  <c r="AL25" i="28"/>
  <c r="AL24" i="28"/>
  <c r="AL18" i="28"/>
  <c r="AL12" i="28"/>
  <c r="AL60" i="28"/>
  <c r="AL58" i="28"/>
  <c r="AL53" i="28"/>
  <c r="AL51" i="28"/>
  <c r="AL48" i="28"/>
  <c r="AL46" i="28"/>
  <c r="AL43" i="28"/>
  <c r="AR233" i="27"/>
  <c r="AR231" i="27"/>
  <c r="AR228" i="27"/>
  <c r="AR223" i="27"/>
  <c r="AR220" i="27"/>
  <c r="AR219" i="27"/>
  <c r="AR217" i="27"/>
  <c r="AR211" i="27"/>
  <c r="AR203" i="27"/>
  <c r="AR195" i="27"/>
  <c r="AR192" i="27"/>
  <c r="AR191" i="27"/>
  <c r="AR189" i="27"/>
  <c r="AR175" i="27"/>
  <c r="AR171" i="27"/>
  <c r="AR169" i="27"/>
  <c r="AR168" i="27"/>
  <c r="AR166" i="27"/>
  <c r="AR164" i="27"/>
  <c r="AR158" i="27"/>
  <c r="AR156" i="27"/>
  <c r="AR150" i="27"/>
  <c r="AR151" i="27"/>
  <c r="AR149" i="27"/>
  <c r="AR145" i="27"/>
  <c r="AR143" i="27"/>
  <c r="AR140" i="27"/>
  <c r="AR138" i="27"/>
  <c r="AR134" i="27"/>
  <c r="AR131" i="27"/>
  <c r="AR124" i="27"/>
  <c r="AR122" i="27"/>
  <c r="AR117" i="27"/>
  <c r="AR112" i="27"/>
  <c r="AR100" i="27"/>
  <c r="AR97" i="27"/>
  <c r="AR92" i="27"/>
  <c r="AR80" i="27"/>
  <c r="AR75" i="27"/>
  <c r="AR73" i="27"/>
  <c r="AR66" i="27"/>
  <c r="AR64" i="27"/>
  <c r="AR56" i="27"/>
  <c r="AR55" i="27"/>
  <c r="AR50" i="27"/>
  <c r="AR45" i="27"/>
  <c r="AR34" i="27"/>
  <c r="AR13" i="27"/>
  <c r="AP233" i="27"/>
  <c r="AP231" i="27"/>
  <c r="AP228" i="27"/>
  <c r="AP223" i="27"/>
  <c r="AP221" i="27"/>
  <c r="AP219" i="27"/>
  <c r="AP217" i="27"/>
  <c r="AP211" i="27"/>
  <c r="AP203" i="27"/>
  <c r="AP195" i="27"/>
  <c r="AP192" i="27"/>
  <c r="AP191" i="27"/>
  <c r="AP189" i="27"/>
  <c r="AP175" i="27"/>
  <c r="AP171" i="27"/>
  <c r="AP169" i="27"/>
  <c r="AP168" i="27"/>
  <c r="AP166" i="27"/>
  <c r="AP164" i="27"/>
  <c r="AP158" i="27"/>
  <c r="AP156" i="27"/>
  <c r="AP150" i="27"/>
  <c r="AP151" i="27"/>
  <c r="AP149" i="27"/>
  <c r="AP145" i="27"/>
  <c r="AP143" i="27"/>
  <c r="AP140" i="27"/>
  <c r="AP138" i="27"/>
  <c r="AP134" i="27"/>
  <c r="AP131" i="27"/>
  <c r="AP124" i="27"/>
  <c r="AP117" i="27"/>
  <c r="AP112" i="27"/>
  <c r="AP102" i="27"/>
  <c r="AP100" i="27"/>
  <c r="AP97" i="27"/>
  <c r="AP92" i="27"/>
  <c r="AP80" i="27"/>
  <c r="AP75" i="27"/>
  <c r="AP73" i="27"/>
  <c r="AP66" i="27"/>
  <c r="AP64" i="27"/>
  <c r="AP56" i="27"/>
  <c r="AP55" i="27"/>
  <c r="AP50" i="27"/>
  <c r="AP21" i="27"/>
  <c r="AP13" i="27"/>
  <c r="AN233" i="27"/>
  <c r="AN231" i="27"/>
  <c r="AN228" i="27"/>
  <c r="AN223" i="27"/>
  <c r="AN220" i="27"/>
  <c r="AN213" i="27"/>
  <c r="AN211" i="27"/>
  <c r="AN203" i="27"/>
  <c r="AN195" i="27"/>
  <c r="AN192" i="27"/>
  <c r="AN186" i="27"/>
  <c r="AN175" i="27"/>
  <c r="AN171" i="27"/>
  <c r="AN169" i="27"/>
  <c r="AN168" i="27"/>
  <c r="AN166" i="27"/>
  <c r="AN164" i="27"/>
  <c r="AN158" i="27"/>
  <c r="AN156" i="27"/>
  <c r="AN150" i="27"/>
  <c r="AN151" i="27"/>
  <c r="AN149" i="27"/>
  <c r="AN145" i="27"/>
  <c r="AN140" i="27"/>
  <c r="AN138" i="27"/>
  <c r="AN134" i="27"/>
  <c r="AN131" i="27"/>
  <c r="AN124" i="27"/>
  <c r="AN117" i="27"/>
  <c r="AN112" i="27"/>
  <c r="AN100" i="27"/>
  <c r="AN97" i="27"/>
  <c r="AN92" i="27"/>
  <c r="AN80" i="27"/>
  <c r="AN75" i="27"/>
  <c r="AN73" i="27"/>
  <c r="AN66" i="27"/>
  <c r="AN64" i="27"/>
  <c r="AN56" i="27"/>
  <c r="AN55" i="27"/>
  <c r="AN50" i="27"/>
  <c r="AN20" i="27"/>
  <c r="AL233" i="27"/>
  <c r="AL231" i="27"/>
  <c r="AL228" i="27"/>
  <c r="AL223" i="27"/>
  <c r="AL220" i="27"/>
  <c r="AL219" i="27"/>
  <c r="AL217" i="27"/>
  <c r="AL211" i="27"/>
  <c r="AL206" i="27"/>
  <c r="AL205" i="27"/>
  <c r="AL202" i="27"/>
  <c r="AL201" i="27"/>
  <c r="AL192" i="27"/>
  <c r="AL191" i="27"/>
  <c r="AL189" i="27"/>
  <c r="AL183" i="27"/>
  <c r="AL180" i="27"/>
  <c r="AL181" i="27"/>
  <c r="AL179" i="27"/>
  <c r="AL176" i="27"/>
  <c r="AL171" i="27"/>
  <c r="AL169" i="27"/>
  <c r="AL168" i="27"/>
  <c r="AL166" i="27"/>
  <c r="AL164" i="27"/>
  <c r="AL158" i="27"/>
  <c r="AL156" i="27"/>
  <c r="AL151" i="27"/>
  <c r="AL150" i="27"/>
  <c r="AL149" i="27"/>
  <c r="AL145" i="27"/>
  <c r="AL143" i="27"/>
  <c r="AL140" i="27"/>
  <c r="AL138" i="27"/>
  <c r="AL134" i="27"/>
  <c r="AL131" i="27"/>
  <c r="AL124" i="27"/>
  <c r="AL116" i="27"/>
  <c r="AL117" i="27"/>
  <c r="AL115" i="27"/>
  <c r="AL111" i="27"/>
  <c r="AL108" i="27"/>
  <c r="AL109" i="27"/>
  <c r="AL107" i="27"/>
  <c r="AL103" i="27"/>
  <c r="AL97" i="27"/>
  <c r="AL96" i="27"/>
  <c r="AL95" i="27"/>
  <c r="AL89" i="27"/>
  <c r="AL82" i="27"/>
  <c r="AL80" i="27"/>
  <c r="AL75" i="27"/>
  <c r="AL73" i="27"/>
  <c r="AL66" i="27"/>
  <c r="AL64" i="27"/>
  <c r="AL56" i="27"/>
  <c r="AL57" i="27"/>
  <c r="AL55" i="27"/>
  <c r="AL50" i="27"/>
  <c r="AL45" i="27"/>
  <c r="AL43" i="27"/>
  <c r="AL40" i="27"/>
  <c r="AL38" i="27"/>
  <c r="AL36" i="27"/>
  <c r="AL34" i="27"/>
  <c r="AR767" i="25"/>
  <c r="AR766" i="25"/>
  <c r="AR761" i="25"/>
  <c r="AR757" i="25"/>
  <c r="AR752" i="25"/>
  <c r="AR748" i="25"/>
  <c r="AR746" i="25"/>
  <c r="AR741" i="25"/>
  <c r="AR736" i="25"/>
  <c r="AR733" i="25"/>
  <c r="AR730" i="25"/>
  <c r="AR729" i="25"/>
  <c r="AR725" i="25"/>
  <c r="AR710" i="25"/>
  <c r="AR708" i="25"/>
  <c r="AR706" i="25"/>
  <c r="AR704" i="25"/>
  <c r="AR701" i="25"/>
  <c r="AR700" i="25"/>
  <c r="AR699" i="25"/>
  <c r="AR698" i="25"/>
  <c r="AR697" i="25"/>
  <c r="AR696" i="25"/>
  <c r="AR695" i="25"/>
  <c r="AR694" i="25"/>
  <c r="AR686" i="25"/>
  <c r="AR679" i="25"/>
  <c r="AR674" i="25"/>
  <c r="AR671" i="25"/>
  <c r="AR669" i="25"/>
  <c r="AR668" i="25"/>
  <c r="AR667" i="25"/>
  <c r="AR666" i="25"/>
  <c r="AR659" i="25"/>
  <c r="AR657" i="25"/>
  <c r="AR655" i="25"/>
  <c r="AR652" i="25"/>
  <c r="AR651" i="25"/>
  <c r="AR650" i="25"/>
  <c r="AR649" i="25"/>
  <c r="AR648" i="25"/>
  <c r="AR647" i="25"/>
  <c r="AR646" i="25"/>
  <c r="AR637" i="25"/>
  <c r="AR634" i="25"/>
  <c r="AR632" i="25"/>
  <c r="AR626" i="25"/>
  <c r="AR623" i="25"/>
  <c r="AR610" i="25"/>
  <c r="AR608" i="25"/>
  <c r="AR606" i="25"/>
  <c r="AR604" i="25"/>
  <c r="AR603" i="25"/>
  <c r="AR602" i="25"/>
  <c r="AR601" i="25"/>
  <c r="AR600" i="25"/>
  <c r="AR599" i="25"/>
  <c r="AR597" i="25"/>
  <c r="AR595" i="25"/>
  <c r="AR592" i="25"/>
  <c r="AR587" i="25"/>
  <c r="AR586" i="25"/>
  <c r="AR583" i="25"/>
  <c r="AR581" i="25"/>
  <c r="AR578" i="25"/>
  <c r="AR573" i="25"/>
  <c r="AR568" i="25"/>
  <c r="AR564" i="25"/>
  <c r="AR561" i="25"/>
  <c r="AR557" i="25"/>
  <c r="AR541" i="25"/>
  <c r="AR538" i="25"/>
  <c r="AR535" i="25"/>
  <c r="AR527" i="25"/>
  <c r="AR524" i="25"/>
  <c r="AR520" i="25"/>
  <c r="AR515" i="25"/>
  <c r="AR513" i="25"/>
  <c r="AR511" i="25"/>
  <c r="AR506" i="25"/>
  <c r="AR504" i="25"/>
  <c r="AR501" i="25"/>
  <c r="AR498" i="25"/>
  <c r="AR499" i="25"/>
  <c r="AR497" i="25"/>
  <c r="AR495" i="25"/>
  <c r="AR487" i="25"/>
  <c r="AR481" i="25"/>
  <c r="AR482" i="25"/>
  <c r="AR480" i="25"/>
  <c r="AR477" i="25"/>
  <c r="AR474" i="25"/>
  <c r="AR475" i="25"/>
  <c r="AR473" i="25"/>
  <c r="AR470" i="25"/>
  <c r="AR468" i="25"/>
  <c r="AR466" i="25"/>
  <c r="AR464" i="25"/>
  <c r="AR462" i="25"/>
  <c r="AR456" i="25"/>
  <c r="AR457" i="25"/>
  <c r="AR455" i="25"/>
  <c r="AR452" i="25"/>
  <c r="AR450" i="25"/>
  <c r="AR448" i="25"/>
  <c r="AR428" i="25"/>
  <c r="AR427" i="25"/>
  <c r="AR425" i="25"/>
  <c r="AR423" i="25"/>
  <c r="AR374" i="25"/>
  <c r="AR364" i="25"/>
  <c r="AR362" i="25"/>
  <c r="AR360" i="25"/>
  <c r="AR359" i="25"/>
  <c r="AR356" i="25"/>
  <c r="AR354" i="25"/>
  <c r="AR348" i="25"/>
  <c r="AR341" i="25"/>
  <c r="AR335" i="25"/>
  <c r="AR331" i="25"/>
  <c r="AR330" i="25"/>
  <c r="AR328" i="25"/>
  <c r="AR322" i="25"/>
  <c r="AR318" i="25"/>
  <c r="AR316" i="25"/>
  <c r="AR310" i="25"/>
  <c r="AR304" i="25"/>
  <c r="AR299" i="25"/>
  <c r="AR296" i="25"/>
  <c r="AR290" i="25"/>
  <c r="AR284" i="25"/>
  <c r="AR277" i="25"/>
  <c r="AR270" i="25"/>
  <c r="AR260" i="25"/>
  <c r="AR252" i="25"/>
  <c r="AR244" i="25"/>
  <c r="AR236" i="25"/>
  <c r="AR232" i="25"/>
  <c r="AR229" i="25"/>
  <c r="AR227" i="25"/>
  <c r="AR220" i="25"/>
  <c r="AR214" i="25"/>
  <c r="AR211" i="25"/>
  <c r="AR196" i="25"/>
  <c r="AR192" i="25"/>
  <c r="AR189" i="25"/>
  <c r="AR183" i="25"/>
  <c r="AR179" i="25"/>
  <c r="AR173" i="25"/>
  <c r="AR172" i="25"/>
  <c r="AR170" i="25"/>
  <c r="AR160" i="25"/>
  <c r="AR150" i="25"/>
  <c r="AR147" i="25"/>
  <c r="AR145" i="25"/>
  <c r="AR141" i="25"/>
  <c r="AR142" i="25"/>
  <c r="AR140" i="25"/>
  <c r="AR138" i="25"/>
  <c r="AR135" i="25"/>
  <c r="AR133" i="25"/>
  <c r="AR129" i="25"/>
  <c r="AR128" i="25"/>
  <c r="AR121" i="25"/>
  <c r="AR119" i="25"/>
  <c r="AR118" i="25"/>
  <c r="AR117" i="25"/>
  <c r="AR116" i="25"/>
  <c r="AR114" i="25"/>
  <c r="AR113" i="25"/>
  <c r="AR111" i="25"/>
  <c r="AR110" i="25"/>
  <c r="AR108" i="25"/>
  <c r="AR105" i="25"/>
  <c r="AR100" i="25"/>
  <c r="AR99" i="25"/>
  <c r="AR98" i="25"/>
  <c r="AR97" i="25"/>
  <c r="AR96" i="25"/>
  <c r="AR95" i="25"/>
  <c r="AR94" i="25"/>
  <c r="AR93" i="25"/>
  <c r="AR92" i="25"/>
  <c r="AR91" i="25"/>
  <c r="AR90" i="25"/>
  <c r="AR89" i="25"/>
  <c r="AR88" i="25"/>
  <c r="AR84" i="25"/>
  <c r="AR81" i="25"/>
  <c r="AR80" i="25"/>
  <c r="AR77" i="25"/>
  <c r="AR71" i="25"/>
  <c r="AR68" i="25"/>
  <c r="AR63" i="25"/>
  <c r="AR59" i="25"/>
  <c r="AR55" i="25"/>
  <c r="AR56" i="25"/>
  <c r="AR57" i="25"/>
  <c r="AR54" i="25"/>
  <c r="AR51" i="25"/>
  <c r="AR52" i="25"/>
  <c r="AR50" i="25"/>
  <c r="AR47" i="25"/>
  <c r="AR45" i="25"/>
  <c r="AR44" i="25"/>
  <c r="AR42" i="25"/>
  <c r="AR41" i="25"/>
  <c r="AR27" i="25"/>
  <c r="AR24" i="25"/>
  <c r="AR20" i="25"/>
  <c r="AR17" i="25"/>
  <c r="AP767" i="25"/>
  <c r="AP766" i="25"/>
  <c r="AP761" i="25"/>
  <c r="AP757" i="25"/>
  <c r="AP752" i="25"/>
  <c r="AP748" i="25"/>
  <c r="AP746" i="25"/>
  <c r="AP741" i="25"/>
  <c r="AP736" i="25"/>
  <c r="AP733" i="25"/>
  <c r="AP730" i="25"/>
  <c r="AP729" i="25"/>
  <c r="AP725" i="25"/>
  <c r="AP715" i="25"/>
  <c r="AP713" i="25"/>
  <c r="AP711" i="25"/>
  <c r="AP708" i="25"/>
  <c r="AP706" i="25"/>
  <c r="AP704" i="25"/>
  <c r="AP701" i="25"/>
  <c r="AP700" i="25"/>
  <c r="AP699" i="25"/>
  <c r="AP698" i="25"/>
  <c r="AP697" i="25"/>
  <c r="AP696" i="25"/>
  <c r="AP695" i="25"/>
  <c r="AP694" i="25"/>
  <c r="AP679" i="25"/>
  <c r="AP674" i="25"/>
  <c r="AP671" i="25"/>
  <c r="AP669" i="25"/>
  <c r="AP668" i="25"/>
  <c r="AP667" i="25"/>
  <c r="AP666" i="25"/>
  <c r="AP659" i="25"/>
  <c r="AP657" i="25"/>
  <c r="AP655" i="25"/>
  <c r="AP645" i="25"/>
  <c r="AP643" i="25"/>
  <c r="AP637" i="25"/>
  <c r="AP634" i="25"/>
  <c r="AP632" i="25"/>
  <c r="AP626" i="25"/>
  <c r="AP625" i="25"/>
  <c r="AP623" i="25"/>
  <c r="AP597" i="25"/>
  <c r="AP595" i="25"/>
  <c r="AP592" i="25"/>
  <c r="AP587" i="25"/>
  <c r="AP586" i="25"/>
  <c r="AP584" i="25"/>
  <c r="AP581" i="25"/>
  <c r="AP578" i="25"/>
  <c r="AP573" i="25"/>
  <c r="AP568" i="25"/>
  <c r="AP564" i="25"/>
  <c r="AP557" i="25"/>
  <c r="AP547" i="25"/>
  <c r="AP517" i="25"/>
  <c r="AP515" i="25"/>
  <c r="AP513" i="25"/>
  <c r="AP511" i="25"/>
  <c r="AP506" i="25"/>
  <c r="AP504" i="25"/>
  <c r="AP501" i="25"/>
  <c r="AP498" i="25"/>
  <c r="AP499" i="25"/>
  <c r="AP497" i="25"/>
  <c r="AP495" i="25"/>
  <c r="AP487" i="25"/>
  <c r="AP460" i="25"/>
  <c r="AP456" i="25"/>
  <c r="AP457" i="25"/>
  <c r="AP455" i="25"/>
  <c r="AP452" i="25"/>
  <c r="AP450" i="25"/>
  <c r="AP448" i="25"/>
  <c r="AP431" i="25"/>
  <c r="AP429" i="25"/>
  <c r="AP427" i="25"/>
  <c r="AP425" i="25"/>
  <c r="AP423" i="25"/>
  <c r="AP422" i="25"/>
  <c r="AP402" i="25"/>
  <c r="AP400" i="25"/>
  <c r="AP383" i="25"/>
  <c r="AP381" i="25"/>
  <c r="AP375" i="25"/>
  <c r="AP364" i="25"/>
  <c r="AP362" i="25"/>
  <c r="AP360" i="25"/>
  <c r="AP359" i="25"/>
  <c r="AP356" i="25"/>
  <c r="AP354" i="25"/>
  <c r="AP348" i="25"/>
  <c r="AP343" i="25"/>
  <c r="AP341" i="25"/>
  <c r="AP336" i="25"/>
  <c r="AP331" i="25"/>
  <c r="AP330" i="25"/>
  <c r="AP328" i="25"/>
  <c r="AP323" i="25"/>
  <c r="AP318" i="25"/>
  <c r="AP316" i="25"/>
  <c r="AP311" i="25"/>
  <c r="AP305" i="25"/>
  <c r="AP300" i="25"/>
  <c r="AP297" i="25"/>
  <c r="AP291" i="25"/>
  <c r="AP284" i="25"/>
  <c r="AP278" i="25"/>
  <c r="AP271" i="25"/>
  <c r="AP260" i="25"/>
  <c r="AP252" i="25"/>
  <c r="AP244" i="25"/>
  <c r="AP236" i="25"/>
  <c r="AP229" i="25"/>
  <c r="AP228" i="25"/>
  <c r="AP222" i="25"/>
  <c r="AP220" i="25"/>
  <c r="AP214" i="25"/>
  <c r="AP211" i="25"/>
  <c r="AP196" i="25"/>
  <c r="AP185" i="25"/>
  <c r="AP179" i="25"/>
  <c r="AP173" i="25"/>
  <c r="AP172" i="25"/>
  <c r="AP170" i="25"/>
  <c r="AP160" i="25"/>
  <c r="AP150" i="25"/>
  <c r="AP124" i="25"/>
  <c r="AP121" i="25"/>
  <c r="AP108" i="25"/>
  <c r="AP105" i="25"/>
  <c r="AP100" i="25"/>
  <c r="AP99" i="25"/>
  <c r="AP98" i="25"/>
  <c r="AP97" i="25"/>
  <c r="AP96" i="25"/>
  <c r="AP95" i="25"/>
  <c r="AP94" i="25"/>
  <c r="AP93" i="25"/>
  <c r="AP92" i="25"/>
  <c r="AP91" i="25"/>
  <c r="AP90" i="25"/>
  <c r="AP89" i="25"/>
  <c r="AP88" i="25"/>
  <c r="AP85" i="25"/>
  <c r="AP81" i="25"/>
  <c r="AP80" i="25"/>
  <c r="AP77" i="25"/>
  <c r="AP71" i="25"/>
  <c r="AP68" i="25"/>
  <c r="AP63" i="25"/>
  <c r="AP59" i="25"/>
  <c r="AP56" i="25"/>
  <c r="AP55" i="25"/>
  <c r="AP57" i="25"/>
  <c r="AP54" i="25"/>
  <c r="AP51" i="25"/>
  <c r="AP52" i="25"/>
  <c r="AP50" i="25"/>
  <c r="AP47" i="25"/>
  <c r="AP45" i="25"/>
  <c r="AP44" i="25"/>
  <c r="AP42" i="25"/>
  <c r="AP41" i="25"/>
  <c r="AP28" i="25"/>
  <c r="AP12" i="25"/>
  <c r="AN767" i="25"/>
  <c r="AN766" i="25"/>
  <c r="AN761" i="25"/>
  <c r="AN757" i="25"/>
  <c r="AN752" i="25"/>
  <c r="AN748" i="25"/>
  <c r="AN746" i="25"/>
  <c r="AN741" i="25"/>
  <c r="AN736" i="25"/>
  <c r="AN733" i="25"/>
  <c r="AN730" i="25"/>
  <c r="AN729" i="25"/>
  <c r="AN725" i="25"/>
  <c r="AN715" i="25"/>
  <c r="AN713" i="25"/>
  <c r="AN711" i="25"/>
  <c r="AN708" i="25"/>
  <c r="AN706" i="25"/>
  <c r="AN704" i="25"/>
  <c r="AN686" i="25"/>
  <c r="AN679" i="25"/>
  <c r="AN674" i="25"/>
  <c r="AN664" i="25"/>
  <c r="AN659" i="25"/>
  <c r="AN657" i="25"/>
  <c r="AN655" i="25"/>
  <c r="AN643" i="25"/>
  <c r="AN637" i="25"/>
  <c r="AN634" i="25"/>
  <c r="AN632" i="25"/>
  <c r="AN626" i="25"/>
  <c r="AN623" i="25"/>
  <c r="AN610" i="25"/>
  <c r="AN608" i="25"/>
  <c r="AN606" i="25"/>
  <c r="AN597" i="25"/>
  <c r="AN595" i="25"/>
  <c r="AN592" i="25"/>
  <c r="AN587" i="25"/>
  <c r="AN586" i="25"/>
  <c r="AN583" i="25"/>
  <c r="AN581" i="25"/>
  <c r="AN578" i="25"/>
  <c r="AN573" i="25"/>
  <c r="AN568" i="25"/>
  <c r="AN564" i="25"/>
  <c r="AN561" i="25"/>
  <c r="AN557" i="25"/>
  <c r="AN541" i="25"/>
  <c r="AN517" i="25"/>
  <c r="AN487" i="25"/>
  <c r="AN489" i="25"/>
  <c r="AN460" i="25"/>
  <c r="AN456" i="25"/>
  <c r="AN457" i="25"/>
  <c r="AN455" i="25"/>
  <c r="AN452" i="25"/>
  <c r="AN450" i="25"/>
  <c r="AN448" i="25"/>
  <c r="AN438" i="25"/>
  <c r="AN431" i="25"/>
  <c r="AN427" i="25"/>
  <c r="AN425" i="25"/>
  <c r="AN423" i="25"/>
  <c r="AN422" i="25"/>
  <c r="AN420" i="25"/>
  <c r="AN418" i="25"/>
  <c r="AN416" i="25"/>
  <c r="AN410" i="25"/>
  <c r="AN401" i="25"/>
  <c r="AN396" i="25"/>
  <c r="AN391" i="25"/>
  <c r="AN386" i="25"/>
  <c r="AN382" i="25"/>
  <c r="AN364" i="25"/>
  <c r="AN358" i="25"/>
  <c r="AN356" i="25"/>
  <c r="AN354" i="25"/>
  <c r="AN348" i="25"/>
  <c r="AN341" i="25"/>
  <c r="AN335" i="25"/>
  <c r="AN331" i="25"/>
  <c r="AN330" i="25"/>
  <c r="AN328" i="25"/>
  <c r="AN322" i="25"/>
  <c r="AN318" i="25"/>
  <c r="AN316" i="25"/>
  <c r="AN310" i="25"/>
  <c r="AN304" i="25"/>
  <c r="AN299" i="25"/>
  <c r="AN296" i="25"/>
  <c r="AN290" i="25"/>
  <c r="AN284" i="25"/>
  <c r="AN252" i="25"/>
  <c r="AN232" i="25"/>
  <c r="AN229" i="25"/>
  <c r="AN227" i="25"/>
  <c r="AN220" i="25"/>
  <c r="AN195" i="25"/>
  <c r="AN183" i="25"/>
  <c r="AN27" i="25"/>
  <c r="AL767" i="25"/>
  <c r="AL766" i="25"/>
  <c r="AL761" i="25"/>
  <c r="AL757" i="25"/>
  <c r="AL755" i="25"/>
  <c r="AL754" i="25"/>
  <c r="AL748" i="25"/>
  <c r="AL746" i="25"/>
  <c r="AL741" i="25"/>
  <c r="AL736" i="25"/>
  <c r="AL733" i="25"/>
  <c r="AL730" i="25"/>
  <c r="AL729" i="25"/>
  <c r="AL725" i="25"/>
  <c r="AL715" i="25"/>
  <c r="AL713" i="25"/>
  <c r="AL711" i="25"/>
  <c r="AL708" i="25"/>
  <c r="AL706" i="25"/>
  <c r="AL704" i="25"/>
  <c r="AL689" i="25"/>
  <c r="AL688" i="25"/>
  <c r="AL684" i="25"/>
  <c r="AL682" i="25"/>
  <c r="AL674" i="25"/>
  <c r="AL671" i="25"/>
  <c r="AL668" i="25"/>
  <c r="AL667" i="25"/>
  <c r="AL669" i="25"/>
  <c r="AL666" i="25"/>
  <c r="AL664" i="25"/>
  <c r="AL659" i="25"/>
  <c r="AL657" i="25"/>
  <c r="AL655" i="25"/>
  <c r="AL643" i="25"/>
  <c r="AL641" i="25"/>
  <c r="AL640" i="25"/>
  <c r="AL634" i="25"/>
  <c r="AL632" i="25"/>
  <c r="AL626" i="25"/>
  <c r="AL623" i="25"/>
  <c r="AL610" i="25"/>
  <c r="AL608" i="25"/>
  <c r="AL606" i="25"/>
  <c r="AL597" i="25"/>
  <c r="AL595" i="25"/>
  <c r="AL592" i="25"/>
  <c r="AL587" i="25"/>
  <c r="AL586" i="25"/>
  <c r="AL583" i="25"/>
  <c r="AL581" i="25"/>
  <c r="AL577" i="25"/>
  <c r="AL578" i="25"/>
  <c r="AL576" i="25"/>
  <c r="AL572" i="25"/>
  <c r="AL571" i="25"/>
  <c r="AL567" i="25"/>
  <c r="AL566" i="25"/>
  <c r="AL561" i="25"/>
  <c r="AL560" i="25"/>
  <c r="AL559" i="25"/>
  <c r="AL517" i="25"/>
  <c r="AL492" i="25"/>
  <c r="AL491" i="25"/>
  <c r="AL487" i="25"/>
  <c r="AL460" i="25"/>
  <c r="AL456" i="25"/>
  <c r="AL457" i="25"/>
  <c r="AL455" i="25"/>
  <c r="AL452" i="25"/>
  <c r="AL450" i="25"/>
  <c r="AL448" i="25"/>
  <c r="AL444" i="25"/>
  <c r="AL443" i="25"/>
  <c r="AL442" i="25"/>
  <c r="AL441" i="25"/>
  <c r="AL440" i="25"/>
  <c r="AL437" i="25"/>
  <c r="AL436" i="25"/>
  <c r="AL435" i="25"/>
  <c r="AL434" i="25"/>
  <c r="AL433" i="25"/>
  <c r="AL427" i="25"/>
  <c r="AL425" i="25"/>
  <c r="AL423" i="25"/>
  <c r="AL422" i="25"/>
  <c r="AL420" i="25"/>
  <c r="AL418" i="25"/>
  <c r="AL416" i="25"/>
  <c r="AL415" i="25"/>
  <c r="AL414" i="25"/>
  <c r="AL413" i="25"/>
  <c r="AL412" i="25"/>
  <c r="AL409" i="25"/>
  <c r="AL408" i="25"/>
  <c r="AL407" i="25"/>
  <c r="AL406" i="25"/>
  <c r="AL405" i="25"/>
  <c r="AL404" i="25"/>
  <c r="AL403" i="25"/>
  <c r="AL399" i="25"/>
  <c r="AL398" i="25"/>
  <c r="AL395" i="25"/>
  <c r="AL394" i="25"/>
  <c r="AL390" i="25"/>
  <c r="AL389" i="25"/>
  <c r="AL386" i="25"/>
  <c r="AL385" i="25"/>
  <c r="AL384" i="25"/>
  <c r="AL372" i="25"/>
  <c r="AL371" i="25"/>
  <c r="AL370" i="25"/>
  <c r="AL358" i="25"/>
  <c r="AL356" i="25"/>
  <c r="AL354" i="25"/>
  <c r="AL348" i="25"/>
  <c r="AL341" i="25"/>
  <c r="AL340" i="25"/>
  <c r="AL339" i="25"/>
  <c r="AL338" i="25"/>
  <c r="AL331" i="25"/>
  <c r="AL330" i="25"/>
  <c r="AL328" i="25"/>
  <c r="AL327" i="25"/>
  <c r="AL326" i="25"/>
  <c r="AL325" i="25"/>
  <c r="AL324" i="25"/>
  <c r="AL323" i="25"/>
  <c r="AL318" i="25"/>
  <c r="AL316" i="25"/>
  <c r="AL315" i="25"/>
  <c r="AL314" i="25"/>
  <c r="AL313" i="25"/>
  <c r="AL312" i="25"/>
  <c r="AL311" i="25"/>
  <c r="AL306" i="25"/>
  <c r="AL305" i="25"/>
  <c r="AL303" i="25"/>
  <c r="AL302" i="25"/>
  <c r="AL301" i="25"/>
  <c r="AL300" i="25"/>
  <c r="AL298" i="25"/>
  <c r="AL297" i="25"/>
  <c r="AL295" i="25"/>
  <c r="AL294" i="25"/>
  <c r="AL293" i="25"/>
  <c r="AL292" i="25"/>
  <c r="AL291" i="25"/>
  <c r="AL284" i="25"/>
  <c r="AL258" i="25"/>
  <c r="AL259" i="25"/>
  <c r="AL257" i="25"/>
  <c r="AL252" i="25"/>
  <c r="AL236" i="25"/>
  <c r="AL232" i="25"/>
  <c r="AL229" i="25"/>
  <c r="AL227" i="25"/>
  <c r="AL220" i="25"/>
  <c r="AL214" i="25"/>
  <c r="AL211" i="25"/>
  <c r="AL196" i="25"/>
  <c r="AL195" i="25"/>
  <c r="AL183" i="25"/>
  <c r="AL179" i="25"/>
  <c r="AL173" i="25"/>
  <c r="AL168" i="25"/>
  <c r="AL160" i="25"/>
  <c r="AL150" i="25"/>
  <c r="AL124" i="25"/>
  <c r="AL101" i="25"/>
  <c r="AL84" i="25"/>
  <c r="AL81" i="25"/>
  <c r="AL80" i="25"/>
  <c r="AL77" i="25"/>
  <c r="AL71" i="25"/>
  <c r="AL68" i="25"/>
  <c r="AL59" i="25"/>
  <c r="AL57" i="25"/>
  <c r="AL56" i="25"/>
  <c r="AL55" i="25"/>
  <c r="AL54" i="25"/>
  <c r="AL51" i="25"/>
  <c r="AL52" i="25"/>
  <c r="AL50" i="25"/>
  <c r="AL47" i="25"/>
  <c r="AL45" i="25"/>
  <c r="AL44" i="25"/>
  <c r="AL42" i="25"/>
  <c r="AL41" i="25"/>
  <c r="AR546" i="24"/>
  <c r="AR542" i="24"/>
  <c r="AR540" i="24"/>
  <c r="AR535" i="24"/>
  <c r="AR536" i="24"/>
  <c r="AR534" i="24"/>
  <c r="AR532" i="24"/>
  <c r="AR530" i="24"/>
  <c r="AR526" i="24"/>
  <c r="AR521" i="24"/>
  <c r="AR517" i="24"/>
  <c r="AR515" i="24"/>
  <c r="AR513" i="24"/>
  <c r="AR511" i="24"/>
  <c r="AR509" i="24"/>
  <c r="AR507" i="24"/>
  <c r="AR506" i="24"/>
  <c r="AR495" i="24"/>
  <c r="AR487" i="24"/>
  <c r="AR477" i="24"/>
  <c r="AR465" i="24"/>
  <c r="AR459" i="24"/>
  <c r="AR453" i="24"/>
  <c r="AR446" i="24"/>
  <c r="AR439" i="24"/>
  <c r="AR432" i="24"/>
  <c r="AR426" i="24"/>
  <c r="AR418" i="24"/>
  <c r="AR409" i="24"/>
  <c r="AR392" i="24"/>
  <c r="AR390" i="24"/>
  <c r="AR379" i="24"/>
  <c r="AR376" i="24"/>
  <c r="AR370" i="24"/>
  <c r="AR365" i="24"/>
  <c r="AR356" i="24"/>
  <c r="AR354" i="24"/>
  <c r="AR353" i="24"/>
  <c r="AR351" i="24"/>
  <c r="AR350" i="24"/>
  <c r="AR319" i="24"/>
  <c r="AR314" i="24"/>
  <c r="AR313" i="24"/>
  <c r="AR306" i="24"/>
  <c r="AR293" i="24"/>
  <c r="AR278" i="24"/>
  <c r="AR275" i="24"/>
  <c r="AR271" i="24"/>
  <c r="AR269" i="24"/>
  <c r="AR267" i="24"/>
  <c r="AR265" i="24"/>
  <c r="AR261" i="24"/>
  <c r="AR254" i="24"/>
  <c r="AR248" i="24"/>
  <c r="AR244" i="24"/>
  <c r="AR242" i="24"/>
  <c r="AR237" i="24"/>
  <c r="AR233" i="24"/>
  <c r="AR230" i="24"/>
  <c r="AR229" i="24"/>
  <c r="AR227" i="24"/>
  <c r="AR219" i="24"/>
  <c r="AR220" i="24"/>
  <c r="AR218" i="24"/>
  <c r="AR216" i="24"/>
  <c r="AR210" i="24"/>
  <c r="AR207" i="24"/>
  <c r="AR205" i="24"/>
  <c r="AR193" i="24"/>
  <c r="AR191" i="24"/>
  <c r="AR189" i="24"/>
  <c r="AR183" i="24"/>
  <c r="AR179" i="24"/>
  <c r="AR178" i="24"/>
  <c r="AR175" i="24"/>
  <c r="AR165" i="24"/>
  <c r="AR157" i="24"/>
  <c r="AR153" i="24"/>
  <c r="AR151" i="24"/>
  <c r="AR149" i="24"/>
  <c r="AR146" i="24"/>
  <c r="AR144" i="24"/>
  <c r="AR131" i="24"/>
  <c r="AR122" i="24"/>
  <c r="AR119" i="24"/>
  <c r="AR117" i="24"/>
  <c r="AR113" i="24"/>
  <c r="AR111" i="24"/>
  <c r="AR105" i="24"/>
  <c r="AR103" i="24"/>
  <c r="AR98" i="24"/>
  <c r="AR96" i="24"/>
  <c r="AR93" i="24"/>
  <c r="AR80" i="24"/>
  <c r="AR62" i="24"/>
  <c r="AR57" i="24"/>
  <c r="AR56" i="24"/>
  <c r="AR55" i="24"/>
  <c r="AR54" i="24"/>
  <c r="AR53" i="24"/>
  <c r="AR52" i="24"/>
  <c r="AR46" i="24"/>
  <c r="AR45" i="24"/>
  <c r="AR44" i="24"/>
  <c r="AR43" i="24"/>
  <c r="AR42" i="24"/>
  <c r="AR41" i="24"/>
  <c r="AR37" i="24"/>
  <c r="AR34" i="24"/>
  <c r="AR31" i="24"/>
  <c r="AR13" i="24"/>
  <c r="AP546" i="24"/>
  <c r="AP542" i="24"/>
  <c r="AP540" i="24"/>
  <c r="AP535" i="24"/>
  <c r="AP536" i="24"/>
  <c r="AP534" i="24"/>
  <c r="AP532" i="24"/>
  <c r="AP530" i="24"/>
  <c r="AP526" i="24"/>
  <c r="AP521" i="24"/>
  <c r="AP517" i="24"/>
  <c r="AP515" i="24"/>
  <c r="AP513" i="24"/>
  <c r="AP511" i="24"/>
  <c r="AP509" i="24"/>
  <c r="AP507" i="24"/>
  <c r="AP506" i="24"/>
  <c r="AP495" i="24"/>
  <c r="AP489" i="24"/>
  <c r="AP478" i="24"/>
  <c r="AP466" i="24"/>
  <c r="AP460" i="24"/>
  <c r="AP454" i="24"/>
  <c r="AP447" i="24"/>
  <c r="AP441" i="24"/>
  <c r="AP434" i="24"/>
  <c r="AP426" i="24"/>
  <c r="AP418" i="24"/>
  <c r="AP409" i="24"/>
  <c r="AP392" i="24"/>
  <c r="AP390" i="24"/>
  <c r="AP379" i="24"/>
  <c r="AP376" i="24"/>
  <c r="AP370" i="24"/>
  <c r="AP365" i="24"/>
  <c r="AP356" i="24"/>
  <c r="AP354" i="24"/>
  <c r="AP353" i="24"/>
  <c r="AP351" i="24"/>
  <c r="AP350" i="24"/>
  <c r="AP326" i="24"/>
  <c r="AP325" i="24"/>
  <c r="AP324" i="24"/>
  <c r="AP323" i="24"/>
  <c r="AP322" i="24"/>
  <c r="AP321" i="24"/>
  <c r="AP320" i="24"/>
  <c r="AP319" i="24"/>
  <c r="AP314" i="24"/>
  <c r="AP313" i="24"/>
  <c r="AP312" i="24"/>
  <c r="AP311" i="24"/>
  <c r="AP310" i="24"/>
  <c r="AP309" i="24"/>
  <c r="AP308" i="24"/>
  <c r="AP307" i="24"/>
  <c r="AP306" i="24"/>
  <c r="AP293" i="24"/>
  <c r="AP291" i="24"/>
  <c r="AP278" i="24"/>
  <c r="AP275" i="24"/>
  <c r="AP272" i="24"/>
  <c r="AP270" i="24"/>
  <c r="AP268" i="24"/>
  <c r="AP266" i="24"/>
  <c r="AP261" i="24"/>
  <c r="AP254" i="24"/>
  <c r="AP248" i="24"/>
  <c r="AP244" i="24"/>
  <c r="AP242" i="24"/>
  <c r="AP237" i="24"/>
  <c r="AP233" i="24"/>
  <c r="AP230" i="24"/>
  <c r="AP229" i="24"/>
  <c r="AP227" i="24"/>
  <c r="AP219" i="24"/>
  <c r="AP220" i="24"/>
  <c r="AP218" i="24"/>
  <c r="AP216" i="24"/>
  <c r="AP210" i="24"/>
  <c r="AP207" i="24"/>
  <c r="AP205" i="24"/>
  <c r="AP193" i="24"/>
  <c r="AP191" i="24"/>
  <c r="AP189" i="24"/>
  <c r="AP183" i="24"/>
  <c r="AP179" i="24"/>
  <c r="AP178" i="24"/>
  <c r="AP175" i="24"/>
  <c r="AP165" i="24"/>
  <c r="AP157" i="24"/>
  <c r="AP153" i="24"/>
  <c r="AP151" i="24"/>
  <c r="AP149" i="24"/>
  <c r="AP146" i="24"/>
  <c r="AP144" i="24"/>
  <c r="AP139" i="24"/>
  <c r="AP135" i="24"/>
  <c r="AP131" i="24"/>
  <c r="AP125" i="24"/>
  <c r="AP123" i="24"/>
  <c r="AP122" i="24"/>
  <c r="AP119" i="24"/>
  <c r="AP117" i="24"/>
  <c r="AP113" i="24"/>
  <c r="AP111" i="24"/>
  <c r="AP105" i="24"/>
  <c r="AP103" i="24"/>
  <c r="AP101" i="24"/>
  <c r="AP100" i="24"/>
  <c r="AP96" i="24"/>
  <c r="AP93" i="24"/>
  <c r="AP80" i="24"/>
  <c r="AP73" i="24"/>
  <c r="AP71" i="24"/>
  <c r="AP67" i="24"/>
  <c r="AP66" i="24"/>
  <c r="AP65" i="24"/>
  <c r="AP56" i="24"/>
  <c r="AP55" i="24"/>
  <c r="AP54" i="24"/>
  <c r="AP53" i="24"/>
  <c r="AP52" i="24"/>
  <c r="AP46" i="24"/>
  <c r="AP45" i="24"/>
  <c r="AP44" i="24"/>
  <c r="AP43" i="24"/>
  <c r="AP42" i="24"/>
  <c r="AP41" i="24"/>
  <c r="AP37" i="24"/>
  <c r="AP34" i="24"/>
  <c r="AP31" i="24"/>
  <c r="AN546" i="24"/>
  <c r="AN519" i="24"/>
  <c r="AN503" i="24"/>
  <c r="AN495" i="24"/>
  <c r="AN472" i="24"/>
  <c r="AN428" i="24"/>
  <c r="AN426" i="24"/>
  <c r="AN418" i="24"/>
  <c r="AN409" i="24"/>
  <c r="AN388" i="24"/>
  <c r="AN379" i="24"/>
  <c r="AN376" i="24"/>
  <c r="AN370" i="24"/>
  <c r="AN365" i="24"/>
  <c r="AN356" i="24"/>
  <c r="AN353" i="24"/>
  <c r="AN350" i="24"/>
  <c r="AN318" i="24"/>
  <c r="AN302" i="24"/>
  <c r="AN293" i="24"/>
  <c r="AN278" i="24"/>
  <c r="AN265" i="24"/>
  <c r="AN261" i="24"/>
  <c r="AN254" i="24"/>
  <c r="AN248" i="24"/>
  <c r="AN244" i="24"/>
  <c r="AN242" i="24"/>
  <c r="AN233" i="24"/>
  <c r="AN223" i="24"/>
  <c r="AN220" i="24"/>
  <c r="AN219" i="24"/>
  <c r="AN218" i="24"/>
  <c r="AN216" i="24"/>
  <c r="AN207" i="24"/>
  <c r="AN192" i="24"/>
  <c r="AN191" i="24"/>
  <c r="AN189" i="24"/>
  <c r="AN183" i="24"/>
  <c r="AN179" i="24"/>
  <c r="AN178" i="24"/>
  <c r="AN175" i="24"/>
  <c r="AN153" i="24"/>
  <c r="AN151" i="24"/>
  <c r="AN149" i="24"/>
  <c r="AN146" i="24"/>
  <c r="AN144" i="24"/>
  <c r="AN139" i="24"/>
  <c r="AN135" i="24"/>
  <c r="AN131" i="24"/>
  <c r="AN125" i="24"/>
  <c r="AN123" i="24"/>
  <c r="AN117" i="24"/>
  <c r="AN111" i="24"/>
  <c r="AN105" i="24"/>
  <c r="AN98" i="24"/>
  <c r="AN96" i="24"/>
  <c r="AN80" i="24"/>
  <c r="AN62" i="24"/>
  <c r="AN57" i="24"/>
  <c r="AN56" i="24"/>
  <c r="AN55" i="24"/>
  <c r="AN54" i="24"/>
  <c r="AN53" i="24"/>
  <c r="AN52" i="24"/>
  <c r="AN46" i="24"/>
  <c r="AN45" i="24"/>
  <c r="AN44" i="24"/>
  <c r="AN43" i="24"/>
  <c r="AN42" i="24"/>
  <c r="AN41" i="24"/>
  <c r="AN37" i="24"/>
  <c r="AN34" i="24"/>
  <c r="AN31" i="24"/>
  <c r="AN13" i="24"/>
  <c r="AL559" i="24"/>
  <c r="AL558" i="24"/>
  <c r="AL560" i="24"/>
  <c r="AL557" i="24"/>
  <c r="AL553" i="24"/>
  <c r="AL551" i="24"/>
  <c r="AL542" i="24"/>
  <c r="AL540" i="24"/>
  <c r="AL535" i="24"/>
  <c r="AL536" i="24"/>
  <c r="AL534" i="24"/>
  <c r="AL532" i="24"/>
  <c r="AL530" i="24"/>
  <c r="AL526" i="24"/>
  <c r="AL521" i="24"/>
  <c r="AL519" i="24"/>
  <c r="AL517" i="24"/>
  <c r="AL515" i="24"/>
  <c r="AL513" i="24"/>
  <c r="AL511" i="24"/>
  <c r="AL509" i="24"/>
  <c r="AL507" i="24"/>
  <c r="AL506" i="24"/>
  <c r="AL503" i="24"/>
  <c r="AL495" i="24"/>
  <c r="AL472" i="24"/>
  <c r="AL446" i="24"/>
  <c r="AL432" i="24"/>
  <c r="AL428" i="24"/>
  <c r="AL426" i="24"/>
  <c r="AL418" i="24"/>
  <c r="AL409" i="24"/>
  <c r="AL392" i="24"/>
  <c r="AL390" i="24"/>
  <c r="AL388" i="24"/>
  <c r="AL379" i="24"/>
  <c r="AL376" i="24"/>
  <c r="AL370" i="24"/>
  <c r="AL365" i="24"/>
  <c r="AL356" i="24"/>
  <c r="AL353" i="24"/>
  <c r="AL350" i="24"/>
  <c r="AL333" i="24"/>
  <c r="AL331" i="24"/>
  <c r="AL329" i="24"/>
  <c r="AL305" i="24"/>
  <c r="AL304" i="24"/>
  <c r="AL302" i="24"/>
  <c r="AL293" i="24"/>
  <c r="AL278" i="24"/>
  <c r="AL275" i="24"/>
  <c r="AL265" i="24"/>
  <c r="AL261" i="24"/>
  <c r="AL254" i="24"/>
  <c r="AL248" i="24"/>
  <c r="AL244" i="24"/>
  <c r="AL242" i="24"/>
  <c r="AL237" i="24"/>
  <c r="AL233" i="24"/>
  <c r="AL223" i="24"/>
  <c r="AL219" i="24"/>
  <c r="AL220" i="24"/>
  <c r="AL218" i="24"/>
  <c r="AL216" i="24"/>
  <c r="AL210" i="24"/>
  <c r="AL207" i="24"/>
  <c r="AL205" i="24"/>
  <c r="AL192" i="24"/>
  <c r="AL191" i="24"/>
  <c r="AL189" i="24"/>
  <c r="AL187" i="24"/>
  <c r="AL184" i="24"/>
  <c r="AL179" i="24"/>
  <c r="AL178" i="24"/>
  <c r="AL175" i="24"/>
  <c r="AL165" i="24"/>
  <c r="AL157" i="24"/>
  <c r="AL153" i="24"/>
  <c r="AL151" i="24"/>
  <c r="AL149" i="24"/>
  <c r="AL146" i="24"/>
  <c r="AL144" i="24"/>
  <c r="AL139" i="24"/>
  <c r="AL135" i="24"/>
  <c r="AL131" i="24"/>
  <c r="AL125" i="24"/>
  <c r="AL123" i="24"/>
  <c r="AL119" i="24"/>
  <c r="AL117" i="24"/>
  <c r="AL113" i="24"/>
  <c r="AL111" i="24"/>
  <c r="AL105" i="24"/>
  <c r="AL103" i="24"/>
  <c r="AL98" i="24"/>
  <c r="AL96" i="24"/>
  <c r="AL93" i="24"/>
  <c r="AL80" i="24"/>
  <c r="AL78" i="24"/>
  <c r="AL76" i="24"/>
  <c r="AL75" i="24"/>
  <c r="AL61" i="24"/>
  <c r="AL62" i="24"/>
  <c r="AL60" i="24"/>
  <c r="AL57" i="24"/>
  <c r="AL56" i="24"/>
  <c r="AL55" i="24"/>
  <c r="AL54" i="24"/>
  <c r="AL53" i="24"/>
  <c r="AL52" i="24"/>
  <c r="AL49" i="24"/>
  <c r="AL46" i="24"/>
  <c r="AL45" i="24"/>
  <c r="AL44" i="24"/>
  <c r="AL43" i="24"/>
  <c r="AL42" i="24"/>
  <c r="AL41" i="24"/>
  <c r="AL37" i="24"/>
  <c r="AL34" i="24"/>
  <c r="AL31" i="24"/>
  <c r="AL23" i="24"/>
  <c r="AL22" i="24"/>
  <c r="AL21" i="24"/>
  <c r="AL20" i="24"/>
  <c r="AL19" i="24"/>
  <c r="AR326" i="8"/>
  <c r="AR324" i="8"/>
  <c r="AR322" i="8"/>
  <c r="AR317" i="8"/>
  <c r="AR316" i="8"/>
  <c r="AR313" i="8"/>
  <c r="AR310" i="8"/>
  <c r="AR306" i="8"/>
  <c r="AR293" i="8"/>
  <c r="AR294" i="8"/>
  <c r="AR292" i="8"/>
  <c r="AR289" i="8"/>
  <c r="AR287" i="8"/>
  <c r="AR283" i="8"/>
  <c r="AR276" i="8"/>
  <c r="AR273" i="8"/>
  <c r="AR263" i="8"/>
  <c r="AR258" i="8"/>
  <c r="AR256" i="8"/>
  <c r="AR254" i="8"/>
  <c r="AR247" i="8"/>
  <c r="AR239" i="8"/>
  <c r="AR238" i="8"/>
  <c r="AR235" i="8"/>
  <c r="AR231" i="8"/>
  <c r="AR229" i="8"/>
  <c r="AR227" i="8"/>
  <c r="AR226" i="8"/>
  <c r="AR224" i="8"/>
  <c r="AR221" i="8"/>
  <c r="AR214" i="8"/>
  <c r="AR209" i="8"/>
  <c r="AR201" i="8"/>
  <c r="AR195" i="8"/>
  <c r="AR188" i="8"/>
  <c r="AR186" i="8"/>
  <c r="AR184" i="8"/>
  <c r="AR182" i="8"/>
  <c r="AR179" i="8"/>
  <c r="AR177" i="8"/>
  <c r="AR172" i="8"/>
  <c r="AR171" i="8"/>
  <c r="AR166" i="8"/>
  <c r="AR163" i="8"/>
  <c r="AR161" i="8"/>
  <c r="AR158" i="8"/>
  <c r="AR156" i="8"/>
  <c r="AR150" i="8"/>
  <c r="AR146" i="8"/>
  <c r="AR143" i="8"/>
  <c r="AR141" i="8"/>
  <c r="AR136" i="8"/>
  <c r="AR129" i="8"/>
  <c r="AR125" i="8"/>
  <c r="AR122" i="8"/>
  <c r="AR115" i="8"/>
  <c r="AR102" i="8"/>
  <c r="AR89" i="8"/>
  <c r="AR69" i="8"/>
  <c r="AR64" i="8"/>
  <c r="AR59" i="8"/>
  <c r="AR56" i="8"/>
  <c r="AR53" i="8"/>
  <c r="AR51" i="8"/>
  <c r="AR46" i="8"/>
  <c r="AR43" i="8"/>
  <c r="AR38" i="8"/>
  <c r="AR28" i="8"/>
  <c r="AR26" i="8"/>
  <c r="AR24" i="8"/>
  <c r="AR22" i="8"/>
  <c r="AR20" i="8"/>
  <c r="A490" i="80" l="1"/>
  <c r="C489" i="80"/>
  <c r="AR14" i="8"/>
  <c r="AP326" i="8"/>
  <c r="AP324" i="8"/>
  <c r="AP322" i="8"/>
  <c r="AP317" i="8"/>
  <c r="AP316" i="8"/>
  <c r="AP313" i="8"/>
  <c r="AP310" i="8"/>
  <c r="AP306" i="8"/>
  <c r="AP295" i="8"/>
  <c r="AP293" i="8"/>
  <c r="AP292" i="8"/>
  <c r="AP289" i="8"/>
  <c r="AP287" i="8"/>
  <c r="AP283" i="8"/>
  <c r="AP277" i="8"/>
  <c r="AP273" i="8"/>
  <c r="AP272" i="8"/>
  <c r="AP268" i="8"/>
  <c r="AP265" i="8"/>
  <c r="AP258" i="8"/>
  <c r="AP256" i="8"/>
  <c r="AP254" i="8"/>
  <c r="AP247" i="8"/>
  <c r="AP245" i="8"/>
  <c r="AP244" i="8"/>
  <c r="AP243" i="8"/>
  <c r="AP242" i="8"/>
  <c r="AP241" i="8"/>
  <c r="AP240" i="8"/>
  <c r="AP238" i="8"/>
  <c r="AP235" i="8"/>
  <c r="AP231" i="8"/>
  <c r="AP229" i="8"/>
  <c r="AP227" i="8"/>
  <c r="AP226" i="8"/>
  <c r="AP224" i="8"/>
  <c r="AP219" i="8"/>
  <c r="AP217" i="8"/>
  <c r="AP216" i="8"/>
  <c r="AP209" i="8"/>
  <c r="AP202" i="8"/>
  <c r="AP194" i="8"/>
  <c r="AP191" i="8"/>
  <c r="AP192" i="8"/>
  <c r="AP190" i="8"/>
  <c r="AP186" i="8"/>
  <c r="AP184" i="8"/>
  <c r="AP182" i="8"/>
  <c r="AP179" i="8"/>
  <c r="AP177" i="8"/>
  <c r="AP172" i="8"/>
  <c r="AP171" i="8"/>
  <c r="AP166" i="8"/>
  <c r="AP163" i="8"/>
  <c r="AP161" i="8"/>
  <c r="AP158" i="8"/>
  <c r="AP156" i="8"/>
  <c r="AP150" i="8"/>
  <c r="AP148" i="8"/>
  <c r="AP143" i="8"/>
  <c r="AP141" i="8"/>
  <c r="AP136" i="8"/>
  <c r="AP129" i="8"/>
  <c r="AP125" i="8"/>
  <c r="AP122" i="8"/>
  <c r="AP113" i="8"/>
  <c r="AP114" i="8"/>
  <c r="AP112" i="8"/>
  <c r="AP110" i="8"/>
  <c r="AP109" i="8"/>
  <c r="AP105" i="8"/>
  <c r="AP101" i="8"/>
  <c r="AP99" i="8"/>
  <c r="AP94" i="8"/>
  <c r="AP92" i="8"/>
  <c r="AP91" i="8"/>
  <c r="AP90" i="8"/>
  <c r="AP84" i="8"/>
  <c r="AP82" i="8"/>
  <c r="AP78" i="8"/>
  <c r="AP80" i="8"/>
  <c r="AP76" i="8"/>
  <c r="AP74" i="8"/>
  <c r="AP72" i="8"/>
  <c r="AP70" i="8"/>
  <c r="AP59" i="8"/>
  <c r="AP56" i="8"/>
  <c r="AP53" i="8"/>
  <c r="AP51" i="8"/>
  <c r="AP46" i="8"/>
  <c r="AP43" i="8"/>
  <c r="AP38" i="8"/>
  <c r="AP28" i="8"/>
  <c r="AP26" i="8"/>
  <c r="AP24" i="8"/>
  <c r="AP22" i="8"/>
  <c r="AP19" i="8"/>
  <c r="AP18" i="8"/>
  <c r="AP17" i="8"/>
  <c r="AP15" i="8"/>
  <c r="AN326" i="8"/>
  <c r="AN324" i="8"/>
  <c r="AN322" i="8"/>
  <c r="AN317" i="8"/>
  <c r="AN316" i="8"/>
  <c r="AN313" i="8"/>
  <c r="AN310" i="8"/>
  <c r="AN306" i="8"/>
  <c r="AN293" i="8"/>
  <c r="AN294" i="8"/>
  <c r="AN292" i="8"/>
  <c r="AN289" i="8"/>
  <c r="AN287" i="8"/>
  <c r="AN283" i="8"/>
  <c r="AN276" i="8"/>
  <c r="AN273" i="8"/>
  <c r="AN263" i="8"/>
  <c r="AN258" i="8"/>
  <c r="AN256" i="8"/>
  <c r="AN254" i="8"/>
  <c r="AN247" i="8"/>
  <c r="AN239" i="8"/>
  <c r="AN238" i="8"/>
  <c r="AN235" i="8"/>
  <c r="AN231" i="8"/>
  <c r="AN229" i="8"/>
  <c r="AN227" i="8"/>
  <c r="AN226" i="8"/>
  <c r="AN224" i="8"/>
  <c r="AN219" i="8"/>
  <c r="AN217" i="8"/>
  <c r="AN216" i="8"/>
  <c r="AN209" i="8"/>
  <c r="AN201" i="8"/>
  <c r="AN188" i="8"/>
  <c r="AN186" i="8"/>
  <c r="AN184" i="8"/>
  <c r="AN182" i="8"/>
  <c r="AN179" i="8"/>
  <c r="AN177" i="8"/>
  <c r="AN172" i="8"/>
  <c r="AN171" i="8"/>
  <c r="AN166" i="8"/>
  <c r="AN163" i="8"/>
  <c r="AN161" i="8"/>
  <c r="AN158" i="8"/>
  <c r="AN156" i="8"/>
  <c r="AN150" i="8"/>
  <c r="AN143" i="8"/>
  <c r="AN141" i="8"/>
  <c r="AN136" i="8"/>
  <c r="AN129" i="8"/>
  <c r="AN125" i="8"/>
  <c r="AN122" i="8"/>
  <c r="AN114" i="8"/>
  <c r="AN107" i="8"/>
  <c r="AN105" i="8"/>
  <c r="AN101" i="8"/>
  <c r="AN99" i="8"/>
  <c r="AN94" i="8"/>
  <c r="AN92" i="8"/>
  <c r="AN91" i="8"/>
  <c r="AN84" i="8"/>
  <c r="AN82" i="8"/>
  <c r="AN78" i="8"/>
  <c r="AN80" i="8"/>
  <c r="AN76" i="8"/>
  <c r="AN74" i="8"/>
  <c r="AN72" i="8"/>
  <c r="AN70" i="8"/>
  <c r="AN59" i="8"/>
  <c r="AN56" i="8"/>
  <c r="AN53" i="8"/>
  <c r="AN51" i="8"/>
  <c r="AN46" i="8"/>
  <c r="AN43" i="8"/>
  <c r="AN38" i="8"/>
  <c r="AN28" i="8"/>
  <c r="AN26" i="8"/>
  <c r="AN24" i="8"/>
  <c r="AN22" i="8"/>
  <c r="AN14" i="8"/>
  <c r="AL326" i="8"/>
  <c r="AL324" i="8"/>
  <c r="AL322" i="8"/>
  <c r="AL317" i="8"/>
  <c r="AL316" i="8"/>
  <c r="AL313" i="8"/>
  <c r="AL310" i="8"/>
  <c r="AL306" i="8"/>
  <c r="AL293" i="8"/>
  <c r="AL294" i="8"/>
  <c r="AL292" i="8"/>
  <c r="AL289" i="8"/>
  <c r="AL287" i="8"/>
  <c r="AL283" i="8"/>
  <c r="AL281" i="8"/>
  <c r="AL280" i="8"/>
  <c r="AL279" i="8"/>
  <c r="AL278" i="8"/>
  <c r="AL277" i="8"/>
  <c r="AL273" i="8"/>
  <c r="AL263" i="8"/>
  <c r="AL261" i="8"/>
  <c r="AL260" i="8"/>
  <c r="AL259" i="8"/>
  <c r="AL256" i="8"/>
  <c r="AL254" i="8"/>
  <c r="AL247" i="8"/>
  <c r="AL239" i="8"/>
  <c r="AL238" i="8"/>
  <c r="AL235" i="8"/>
  <c r="AL231" i="8"/>
  <c r="AL229" i="8"/>
  <c r="AL227" i="8"/>
  <c r="AL226" i="8"/>
  <c r="AL224" i="8"/>
  <c r="AL219" i="8"/>
  <c r="AL217" i="8"/>
  <c r="AL216" i="8"/>
  <c r="AL209" i="8"/>
  <c r="AL204" i="8"/>
  <c r="AL201" i="8"/>
  <c r="AL194" i="8"/>
  <c r="AL192" i="8"/>
  <c r="AL191" i="8"/>
  <c r="AL190" i="8"/>
  <c r="AL186" i="8"/>
  <c r="AL184" i="8"/>
  <c r="AL182" i="8"/>
  <c r="AL179" i="8"/>
  <c r="AL177" i="8"/>
  <c r="AL172" i="8"/>
  <c r="AL171" i="8"/>
  <c r="AL170" i="8"/>
  <c r="AL169" i="8"/>
  <c r="AL168" i="8"/>
  <c r="AL167" i="8"/>
  <c r="AL163" i="8"/>
  <c r="AL161" i="8"/>
  <c r="AL158" i="8"/>
  <c r="AL156" i="8"/>
  <c r="AL155" i="8"/>
  <c r="AL154" i="8"/>
  <c r="AL153" i="8"/>
  <c r="AL152" i="8"/>
  <c r="AL143" i="8"/>
  <c r="AL141" i="8"/>
  <c r="AL140" i="8"/>
  <c r="AL139" i="8"/>
  <c r="AL138" i="8"/>
  <c r="AL135" i="8"/>
  <c r="AL134" i="8"/>
  <c r="AL133" i="8"/>
  <c r="AL125" i="8"/>
  <c r="AL122" i="8"/>
  <c r="AL114" i="8"/>
  <c r="AL107" i="8"/>
  <c r="AL105" i="8"/>
  <c r="AL101" i="8"/>
  <c r="AL99" i="8"/>
  <c r="AL98" i="8"/>
  <c r="AL97" i="8"/>
  <c r="AL96" i="8"/>
  <c r="AL92" i="8"/>
  <c r="AL91" i="8"/>
  <c r="AL84" i="8"/>
  <c r="AL82" i="8"/>
  <c r="AL80" i="8"/>
  <c r="AL78" i="8"/>
  <c r="AL76" i="8"/>
  <c r="AL74" i="8"/>
  <c r="AL72" i="8"/>
  <c r="AL70" i="8"/>
  <c r="AL59" i="8"/>
  <c r="AL56" i="8"/>
  <c r="AL53" i="8"/>
  <c r="AL51" i="8"/>
  <c r="AL50" i="8"/>
  <c r="AL49" i="8"/>
  <c r="AL48" i="8"/>
  <c r="AL42" i="8"/>
  <c r="AL43" i="8"/>
  <c r="AL41" i="8"/>
  <c r="AL28" i="8"/>
  <c r="AL26" i="8"/>
  <c r="AL24" i="8"/>
  <c r="AL22" i="8"/>
  <c r="AL19" i="8"/>
  <c r="AL18" i="8"/>
  <c r="AL17" i="8"/>
  <c r="AL14" i="8"/>
  <c r="AM224" i="29"/>
  <c r="AM220" i="29"/>
  <c r="AM217" i="29"/>
  <c r="AM213" i="29"/>
  <c r="AM211" i="29"/>
  <c r="AM198" i="29"/>
  <c r="AM195" i="29"/>
  <c r="AM193" i="29"/>
  <c r="AM192" i="29"/>
  <c r="AM177" i="29"/>
  <c r="AM165" i="29"/>
  <c r="AM154" i="29"/>
  <c r="AM124" i="29"/>
  <c r="AM97" i="29"/>
  <c r="AM79" i="29"/>
  <c r="AM62" i="29"/>
  <c r="AM382" i="28"/>
  <c r="AM377" i="28"/>
  <c r="AM373" i="28"/>
  <c r="AM310" i="28"/>
  <c r="AM288" i="28"/>
  <c r="AM246" i="28"/>
  <c r="AM245" i="28"/>
  <c r="AM243" i="28"/>
  <c r="AM229" i="28"/>
  <c r="AM215" i="28"/>
  <c r="AM164" i="28"/>
  <c r="A491" i="80" l="1"/>
  <c r="C491" i="80" s="1"/>
  <c r="C490" i="80"/>
  <c r="AM211" i="27"/>
  <c r="AM206" i="27"/>
  <c r="AM205" i="27"/>
  <c r="AM202" i="27"/>
  <c r="AM201" i="27"/>
  <c r="AM171" i="27"/>
  <c r="AM169" i="27"/>
  <c r="AM168" i="27"/>
  <c r="AM166" i="27"/>
  <c r="AM116" i="27"/>
  <c r="AM115" i="27"/>
  <c r="AM111" i="27"/>
  <c r="AM109" i="27"/>
  <c r="AM108" i="27"/>
  <c r="AM107" i="27"/>
  <c r="AM103" i="27"/>
  <c r="AM89" i="27"/>
  <c r="AM82" i="27"/>
  <c r="AM75" i="27"/>
  <c r="AM73" i="27"/>
  <c r="AM66" i="27"/>
  <c r="AM64" i="27"/>
  <c r="AM767" i="25"/>
  <c r="AM766" i="25"/>
  <c r="AM761" i="25"/>
  <c r="AM757" i="25"/>
  <c r="AM755" i="25"/>
  <c r="AM754" i="25"/>
  <c r="AM748" i="25"/>
  <c r="AM746" i="25"/>
  <c r="AM736" i="25"/>
  <c r="AM715" i="25"/>
  <c r="AM713" i="25"/>
  <c r="AM711" i="25"/>
  <c r="AM634" i="25"/>
  <c r="AM632" i="25"/>
  <c r="AM608" i="25"/>
  <c r="AM606" i="25"/>
  <c r="AM416" i="25"/>
  <c r="AM403" i="25"/>
  <c r="AM394" i="25"/>
  <c r="AM386" i="25"/>
  <c r="AM560" i="24"/>
  <c r="AM559" i="24"/>
  <c r="AM558" i="24"/>
  <c r="AM557" i="24"/>
  <c r="AM553" i="24"/>
  <c r="AM551" i="24"/>
  <c r="AM392" i="24"/>
  <c r="AM390" i="24"/>
  <c r="AM220" i="24"/>
  <c r="AM326" i="8"/>
  <c r="AM324" i="8"/>
  <c r="AM322" i="8"/>
  <c r="AM317" i="8"/>
  <c r="AM316" i="8"/>
  <c r="AM313" i="8"/>
  <c r="AM310" i="8"/>
  <c r="AM306" i="8"/>
  <c r="AM293" i="8"/>
  <c r="AM292" i="8"/>
  <c r="AM289" i="8"/>
  <c r="AM287" i="8"/>
  <c r="AM204" i="8"/>
  <c r="AM143" i="8"/>
  <c r="AM84" i="8"/>
  <c r="AM56" i="8"/>
  <c r="AM53" i="8"/>
  <c r="AM51" i="8"/>
  <c r="AM42" i="8"/>
  <c r="AM41" i="8"/>
  <c r="U710" i="16" l="1"/>
  <c r="U708" i="16"/>
  <c r="U392" i="24"/>
  <c r="BV4" i="2" s="1"/>
  <c r="U390" i="24"/>
  <c r="BU4" i="2" s="1"/>
  <c r="O706" i="16"/>
  <c r="AO706" i="16" l="1"/>
  <c r="E705" i="81"/>
  <c r="O388" i="24"/>
  <c r="I705" i="80" l="1"/>
  <c r="U2104" i="16"/>
  <c r="M2104" i="16"/>
  <c r="AM2104" i="16" s="1"/>
  <c r="A705" i="80" l="1"/>
  <c r="C705" i="80" s="1"/>
  <c r="Y1852" i="16"/>
  <c r="U223" i="27"/>
  <c r="EN4" i="2" s="1"/>
  <c r="E178" i="18"/>
  <c r="D178" i="18"/>
  <c r="Y1186" i="16"/>
  <c r="A706" i="80" l="1"/>
  <c r="C706" i="80" s="1"/>
  <c r="U155" i="84"/>
  <c r="U155" i="85"/>
  <c r="O25" i="10"/>
  <c r="N25" i="10"/>
  <c r="O6" i="10"/>
  <c r="N6" i="10"/>
  <c r="U970" i="16"/>
  <c r="U969" i="16"/>
  <c r="U968" i="16"/>
  <c r="U967" i="16"/>
  <c r="U966" i="16"/>
  <c r="U965" i="16"/>
  <c r="U964" i="16"/>
  <c r="U963" i="16"/>
  <c r="U962" i="16"/>
  <c r="U961" i="16"/>
  <c r="U960" i="16"/>
  <c r="U959" i="16"/>
  <c r="U958" i="16"/>
  <c r="U92" i="25"/>
  <c r="CR4" i="2" s="1"/>
  <c r="U93" i="25"/>
  <c r="CS4" i="2" s="1"/>
  <c r="U94" i="25"/>
  <c r="CT4" i="2" s="1"/>
  <c r="U95" i="25"/>
  <c r="CU4" i="2" s="1"/>
  <c r="U96" i="25"/>
  <c r="CV4" i="2" s="1"/>
  <c r="U97" i="25"/>
  <c r="CW4" i="2" s="1"/>
  <c r="U98" i="25"/>
  <c r="CX4" i="2" s="1"/>
  <c r="U99" i="25"/>
  <c r="CY4" i="2" s="1"/>
  <c r="U100" i="25"/>
  <c r="CZ4" i="2" s="1"/>
  <c r="U91" i="25"/>
  <c r="CQ4" i="2" s="1"/>
  <c r="U90" i="25"/>
  <c r="CP4" i="2" s="1"/>
  <c r="U89" i="25"/>
  <c r="CO4" i="2" s="1"/>
  <c r="U88" i="25"/>
  <c r="CN4" i="2" s="1"/>
  <c r="GS4" i="2" l="1"/>
  <c r="E62" i="7"/>
  <c r="F4" i="2"/>
  <c r="AX2264" i="16"/>
  <c r="AX1887" i="16"/>
  <c r="AX1650" i="16"/>
  <c r="AX891" i="16"/>
  <c r="AX339" i="16"/>
  <c r="AX20" i="16"/>
  <c r="AX21" i="29"/>
  <c r="AY21" i="29"/>
  <c r="AX21" i="28"/>
  <c r="AY21" i="28"/>
  <c r="AX21" i="27"/>
  <c r="AY21" i="27"/>
  <c r="AX21" i="25"/>
  <c r="AY21" i="25"/>
  <c r="AX21" i="24"/>
  <c r="AY21" i="24"/>
  <c r="AX21" i="8"/>
  <c r="AY21" i="8"/>
  <c r="P20" i="23"/>
  <c r="E20" i="23"/>
  <c r="AY20" i="16" l="1"/>
  <c r="AY1650" i="16"/>
  <c r="AY339" i="16"/>
  <c r="AY1887" i="16"/>
  <c r="AY2264" i="16"/>
  <c r="AY891" i="16"/>
  <c r="U1270" i="16"/>
  <c r="U1251" i="16"/>
  <c r="U1245" i="16"/>
  <c r="S1246" i="16"/>
  <c r="O1256" i="16"/>
  <c r="O1271" i="16"/>
  <c r="AO1256" i="16" l="1"/>
  <c r="AO1271" i="16"/>
  <c r="E1270" i="81"/>
  <c r="E1255" i="81"/>
  <c r="U400" i="25"/>
  <c r="DL4" i="2" s="1"/>
  <c r="U381" i="25"/>
  <c r="DK4" i="2" s="1"/>
  <c r="O1288" i="16"/>
  <c r="O1252" i="16"/>
  <c r="O1266" i="16"/>
  <c r="O1261" i="16"/>
  <c r="O401" i="25"/>
  <c r="O1280" i="16"/>
  <c r="O1290" i="16"/>
  <c r="O416" i="25"/>
  <c r="O1286" i="16"/>
  <c r="O1258" i="16"/>
  <c r="E1257" i="81" l="1"/>
  <c r="E1265" i="81"/>
  <c r="AO1266" i="16"/>
  <c r="AO1252" i="16"/>
  <c r="E1251" i="81"/>
  <c r="E1285" i="81"/>
  <c r="AO1286" i="16"/>
  <c r="AO1280" i="16"/>
  <c r="E1279" i="81"/>
  <c r="AO1261" i="16"/>
  <c r="E1260" i="81"/>
  <c r="E1287" i="81"/>
  <c r="AO1288" i="16"/>
  <c r="AO1290" i="16"/>
  <c r="E1289" i="81"/>
  <c r="I1285" i="80"/>
  <c r="I1270" i="80"/>
  <c r="AO416" i="25"/>
  <c r="AO401" i="25"/>
  <c r="E20" i="18"/>
  <c r="D178" i="17"/>
  <c r="E178" i="17"/>
  <c r="U376" i="16"/>
  <c r="O418" i="25"/>
  <c r="O410" i="25"/>
  <c r="O420" i="25"/>
  <c r="I1279" i="80" l="1"/>
  <c r="AO410" i="25"/>
  <c r="I1287" i="80"/>
  <c r="I1289" i="80"/>
  <c r="S2087" i="16"/>
  <c r="S221" i="28"/>
  <c r="O1493" i="16"/>
  <c r="O623" i="25"/>
  <c r="N1493" i="16" l="1"/>
  <c r="I1492" i="80"/>
  <c r="E1492" i="81"/>
  <c r="AO1493" i="16"/>
  <c r="FM4" i="2" l="1"/>
  <c r="HU4" i="2"/>
  <c r="HT4" i="2"/>
  <c r="HS4" i="2"/>
  <c r="HR4" i="2"/>
  <c r="HQ4" i="2"/>
  <c r="HP4" i="2"/>
  <c r="HO4" i="2"/>
  <c r="HN4" i="2"/>
  <c r="HM4" i="2"/>
  <c r="HL4" i="2"/>
  <c r="HK4" i="2"/>
  <c r="HE4" i="2"/>
  <c r="HF4" i="2"/>
  <c r="HG4" i="2"/>
  <c r="HH4" i="2"/>
  <c r="HI4" i="2"/>
  <c r="HD4" i="2"/>
  <c r="HC4" i="2"/>
  <c r="HB4" i="2"/>
  <c r="HA4" i="2"/>
  <c r="GZ4" i="2"/>
  <c r="GY4" i="2"/>
  <c r="GX4" i="2"/>
  <c r="GW4" i="2"/>
  <c r="GV4" i="2"/>
  <c r="GU4" i="2"/>
  <c r="GT4" i="2"/>
  <c r="GR4" i="2"/>
  <c r="GQ4" i="2"/>
  <c r="GP4" i="2"/>
  <c r="GO4" i="2"/>
  <c r="GN4" i="2"/>
  <c r="GM4" i="2"/>
  <c r="GL4" i="2"/>
  <c r="GK4" i="2"/>
  <c r="GJ4" i="2"/>
  <c r="GI4" i="2"/>
  <c r="GH4" i="2"/>
  <c r="GG4" i="2"/>
  <c r="GF4" i="2"/>
  <c r="GE4" i="2"/>
  <c r="GD4" i="2"/>
  <c r="GC4" i="2"/>
  <c r="GB4" i="2"/>
  <c r="GA4" i="2"/>
  <c r="FZ4" i="2"/>
  <c r="FY4" i="2"/>
  <c r="FX4" i="2"/>
  <c r="FW4" i="2"/>
  <c r="FV4" i="2"/>
  <c r="FU4" i="2"/>
  <c r="FT4" i="2"/>
  <c r="FS4" i="2"/>
  <c r="FR4" i="2"/>
  <c r="FP4" i="2"/>
  <c r="FO4" i="2"/>
  <c r="FN4" i="2"/>
  <c r="FQ4" i="2" l="1"/>
  <c r="O2467" i="16"/>
  <c r="O2463" i="16"/>
  <c r="O2460" i="16"/>
  <c r="O2456" i="16"/>
  <c r="W142" i="84" s="1"/>
  <c r="O2454" i="16"/>
  <c r="O2435" i="16"/>
  <c r="O2420" i="16"/>
  <c r="O2408" i="16"/>
  <c r="M2372" i="16"/>
  <c r="M2348" i="16"/>
  <c r="M2347" i="16"/>
  <c r="M2345" i="16"/>
  <c r="M2332" i="16"/>
  <c r="M2330" i="16"/>
  <c r="M2329" i="16"/>
  <c r="M2327" i="16"/>
  <c r="M2326" i="16"/>
  <c r="M2263" i="16"/>
  <c r="M2262" i="16"/>
  <c r="M2261" i="16"/>
  <c r="O2248" i="16"/>
  <c r="O2239" i="16"/>
  <c r="O2237" i="16"/>
  <c r="O2232" i="16"/>
  <c r="O2188" i="16"/>
  <c r="O2178" i="16"/>
  <c r="W210" i="84" s="1"/>
  <c r="O2072" i="16"/>
  <c r="O2067" i="16"/>
  <c r="O2063" i="16"/>
  <c r="O2059" i="16"/>
  <c r="O2056" i="16"/>
  <c r="O2025" i="16"/>
  <c r="O2012" i="16"/>
  <c r="O1985" i="16"/>
  <c r="W290" i="84" s="1"/>
  <c r="O1964" i="16"/>
  <c r="W289" i="84" s="1"/>
  <c r="O1959" i="16"/>
  <c r="O1957" i="16"/>
  <c r="O1884" i="16"/>
  <c r="O1878" i="16"/>
  <c r="M2228" i="16"/>
  <c r="AM2228" i="16" s="1"/>
  <c r="M2220" i="16"/>
  <c r="AM2220" i="16" s="1"/>
  <c r="O1631" i="16"/>
  <c r="O1618" i="16"/>
  <c r="O1616" i="16"/>
  <c r="W141" i="84" s="1"/>
  <c r="O1606" i="16"/>
  <c r="O1603" i="16"/>
  <c r="O1581" i="16"/>
  <c r="O1578" i="16"/>
  <c r="O1576" i="16"/>
  <c r="O1574" i="16"/>
  <c r="O1544" i="16"/>
  <c r="O1534" i="16"/>
  <c r="W143" i="84" s="1"/>
  <c r="O1513" i="16"/>
  <c r="O1504" i="16"/>
  <c r="O1502" i="16"/>
  <c r="O1478" i="16"/>
  <c r="O1476" i="16"/>
  <c r="O1467" i="16"/>
  <c r="O1465" i="16"/>
  <c r="O1462" i="16"/>
  <c r="O1457" i="16"/>
  <c r="O1456" i="16"/>
  <c r="O1451" i="16"/>
  <c r="W129" i="84" s="1"/>
  <c r="O1448" i="16"/>
  <c r="O1431" i="16"/>
  <c r="W128" i="84" s="1"/>
  <c r="O1097" i="16"/>
  <c r="O821" i="16"/>
  <c r="W287" i="84" s="1"/>
  <c r="O790" i="16"/>
  <c r="O694" i="16"/>
  <c r="O688" i="16"/>
  <c r="O683" i="16"/>
  <c r="O671" i="16"/>
  <c r="O668" i="16"/>
  <c r="O620" i="16"/>
  <c r="O611" i="16"/>
  <c r="O596" i="16"/>
  <c r="O583" i="16"/>
  <c r="O579" i="16"/>
  <c r="O572" i="16"/>
  <c r="O566" i="16"/>
  <c r="O562" i="16"/>
  <c r="O560" i="16"/>
  <c r="O551" i="16"/>
  <c r="O541" i="16"/>
  <c r="O538" i="16"/>
  <c r="O537" i="16"/>
  <c r="O536" i="16"/>
  <c r="O534" i="16"/>
  <c r="O509" i="16"/>
  <c r="O507" i="16"/>
  <c r="O497" i="16"/>
  <c r="O496" i="16"/>
  <c r="O493" i="16"/>
  <c r="O471" i="16"/>
  <c r="O469" i="16"/>
  <c r="O467" i="16"/>
  <c r="O464" i="16"/>
  <c r="O462" i="16"/>
  <c r="O423" i="16"/>
  <c r="O414" i="16"/>
  <c r="O364" i="16"/>
  <c r="O363" i="16"/>
  <c r="O362" i="16"/>
  <c r="O361" i="16"/>
  <c r="O360" i="16"/>
  <c r="O359" i="16"/>
  <c r="O355" i="16"/>
  <c r="O352" i="16"/>
  <c r="O349" i="16"/>
  <c r="O309" i="16"/>
  <c r="O272" i="16"/>
  <c r="O262" i="16"/>
  <c r="O253" i="16"/>
  <c r="O246" i="16"/>
  <c r="O238" i="16"/>
  <c r="O237" i="16"/>
  <c r="O234" i="16"/>
  <c r="O230" i="16"/>
  <c r="O228" i="16"/>
  <c r="O226" i="16"/>
  <c r="O225" i="16"/>
  <c r="O223" i="16"/>
  <c r="O218" i="16"/>
  <c r="O216" i="16"/>
  <c r="O215" i="16"/>
  <c r="O187" i="16"/>
  <c r="O142" i="16"/>
  <c r="O124" i="16"/>
  <c r="O121" i="16"/>
  <c r="O113" i="16"/>
  <c r="O106" i="16"/>
  <c r="O104" i="16"/>
  <c r="O83" i="16"/>
  <c r="O81" i="16"/>
  <c r="O79" i="16"/>
  <c r="O77" i="16"/>
  <c r="O75" i="16"/>
  <c r="O69" i="16"/>
  <c r="O58" i="16"/>
  <c r="O55" i="16"/>
  <c r="W237" i="84" s="1"/>
  <c r="O52" i="16"/>
  <c r="O42" i="16"/>
  <c r="W234" i="84" s="1"/>
  <c r="O27" i="16"/>
  <c r="O25" i="16"/>
  <c r="O23" i="16"/>
  <c r="O21" i="16"/>
  <c r="W236" i="84" s="1"/>
  <c r="G1833" i="16"/>
  <c r="G1834" i="16" s="1"/>
  <c r="G1835" i="16" s="1"/>
  <c r="G1825" i="16"/>
  <c r="O608" i="25"/>
  <c r="O606" i="25"/>
  <c r="AE2228" i="16"/>
  <c r="AC2228" i="16" s="1"/>
  <c r="AE2220" i="16"/>
  <c r="AC2220" i="16" s="1"/>
  <c r="AE2104" i="16"/>
  <c r="AF2104" i="16" s="1"/>
  <c r="AD2054" i="16"/>
  <c r="AD2050" i="16"/>
  <c r="AD1938" i="16"/>
  <c r="AE1934" i="16"/>
  <c r="AD1895" i="16"/>
  <c r="AD1637" i="16"/>
  <c r="AC1637" i="16" s="1"/>
  <c r="AD1636" i="16"/>
  <c r="AC1636" i="16" s="1"/>
  <c r="AD1627" i="16"/>
  <c r="AC1627" i="16" s="1"/>
  <c r="AE1549" i="16"/>
  <c r="AD1549" i="16"/>
  <c r="AE1544" i="16"/>
  <c r="AD1544" i="16"/>
  <c r="AE1504" i="16"/>
  <c r="AC1504" i="16" s="1"/>
  <c r="AE1496" i="16"/>
  <c r="AE882" i="16"/>
  <c r="AE813" i="16"/>
  <c r="AC813" i="16" s="1"/>
  <c r="AE807" i="16"/>
  <c r="AC807" i="16" s="1"/>
  <c r="AE796" i="16"/>
  <c r="AC796" i="16" s="1"/>
  <c r="AE784" i="16"/>
  <c r="AE778" i="16"/>
  <c r="AE772" i="16"/>
  <c r="AE765" i="16"/>
  <c r="AE759" i="16"/>
  <c r="AE752" i="16"/>
  <c r="AE710" i="16"/>
  <c r="AC710" i="16" s="1"/>
  <c r="AE708" i="16"/>
  <c r="AC708" i="16" s="1"/>
  <c r="AE697" i="16"/>
  <c r="AC697" i="16" s="1"/>
  <c r="AE674" i="16"/>
  <c r="AC674" i="16" s="1"/>
  <c r="AE672" i="16"/>
  <c r="AC672" i="16" s="1"/>
  <c r="AE671" i="16"/>
  <c r="AC671" i="16" s="1"/>
  <c r="AE669" i="16"/>
  <c r="AC669" i="16" s="1"/>
  <c r="AE668" i="16"/>
  <c r="AC668" i="16" s="1"/>
  <c r="AE644" i="16"/>
  <c r="AC644" i="16" s="1"/>
  <c r="AE632" i="16"/>
  <c r="AC632" i="16" s="1"/>
  <c r="AE631" i="16"/>
  <c r="AC631" i="16" s="1"/>
  <c r="AE590" i="16"/>
  <c r="AC590" i="16" s="1"/>
  <c r="AE588" i="16"/>
  <c r="AC588" i="16" s="1"/>
  <c r="AE586" i="16"/>
  <c r="AC586" i="16" s="1"/>
  <c r="AE584" i="16"/>
  <c r="AC584" i="16" s="1"/>
  <c r="AE579" i="16"/>
  <c r="AC579" i="16" s="1"/>
  <c r="AE572" i="16"/>
  <c r="AC572" i="16" s="1"/>
  <c r="AE566" i="16"/>
  <c r="AC566" i="16" s="1"/>
  <c r="AD555" i="16"/>
  <c r="AE538" i="16"/>
  <c r="AC538" i="16" s="1"/>
  <c r="AE398" i="16"/>
  <c r="AC398" i="16" s="1"/>
  <c r="AE244" i="16"/>
  <c r="AC244" i="16" s="1"/>
  <c r="AE55" i="16"/>
  <c r="AC55" i="16" s="1"/>
  <c r="AE52" i="16"/>
  <c r="AC52" i="16" s="1"/>
  <c r="AE27" i="16"/>
  <c r="AC27" i="16" s="1"/>
  <c r="AE354" i="28"/>
  <c r="AC354" i="28" s="1"/>
  <c r="AD674" i="25"/>
  <c r="AE674" i="25"/>
  <c r="AD679" i="25"/>
  <c r="AE679" i="25"/>
  <c r="AE634" i="25"/>
  <c r="AC634" i="25" s="1"/>
  <c r="G1826" i="16" l="1"/>
  <c r="G1827" i="16" s="1"/>
  <c r="G1828" i="16" s="1"/>
  <c r="G1829" i="16" s="1"/>
  <c r="G1830" i="16" s="1"/>
  <c r="G1831" i="16" s="1"/>
  <c r="G1823" i="16"/>
  <c r="W246" i="84"/>
  <c r="AC1549" i="16"/>
  <c r="AC1544" i="16"/>
  <c r="AC2104" i="16"/>
  <c r="W257" i="84"/>
  <c r="W163" i="84"/>
  <c r="W162" i="84"/>
  <c r="W213" i="84"/>
  <c r="W288" i="84"/>
  <c r="E470" i="81"/>
  <c r="AO471" i="16"/>
  <c r="E1501" i="81"/>
  <c r="AO1502" i="16"/>
  <c r="E2459" i="81"/>
  <c r="AO2460" i="16"/>
  <c r="E105" i="81"/>
  <c r="AO106" i="16"/>
  <c r="E233" i="81"/>
  <c r="AO234" i="16"/>
  <c r="E536" i="81"/>
  <c r="AO537" i="16"/>
  <c r="E1450" i="81"/>
  <c r="AO1451" i="16"/>
  <c r="E20" i="81"/>
  <c r="AO21" i="16"/>
  <c r="E68" i="81"/>
  <c r="AO69" i="16"/>
  <c r="E112" i="81"/>
  <c r="AO113" i="16"/>
  <c r="E236" i="81"/>
  <c r="AO237" i="16"/>
  <c r="E348" i="81"/>
  <c r="AO349" i="16"/>
  <c r="E492" i="81"/>
  <c r="AO493" i="16"/>
  <c r="E537" i="81"/>
  <c r="AO538" i="16"/>
  <c r="E582" i="81"/>
  <c r="AO583" i="16"/>
  <c r="E693" i="81"/>
  <c r="AO694" i="16"/>
  <c r="E1455" i="81"/>
  <c r="AO1456" i="16"/>
  <c r="E1503" i="81"/>
  <c r="AO1504" i="16"/>
  <c r="E1602" i="81"/>
  <c r="AO1603" i="16"/>
  <c r="E1859" i="81"/>
  <c r="AO1860" i="16"/>
  <c r="E1984" i="81"/>
  <c r="AO1985" i="16"/>
  <c r="E2177" i="81"/>
  <c r="AO2178" i="16"/>
  <c r="E2462" i="81"/>
  <c r="AO2463" i="16"/>
  <c r="E215" i="81"/>
  <c r="AO216" i="16"/>
  <c r="E22" i="81"/>
  <c r="AO23" i="16"/>
  <c r="E74" i="81"/>
  <c r="AO75" i="16"/>
  <c r="E120" i="81"/>
  <c r="AO121" i="16"/>
  <c r="E217" i="81"/>
  <c r="AO218" i="16"/>
  <c r="E237" i="81"/>
  <c r="AO238" i="16"/>
  <c r="E351" i="81"/>
  <c r="AO352" i="16"/>
  <c r="E413" i="81"/>
  <c r="AO414" i="16"/>
  <c r="E495" i="81"/>
  <c r="AO496" i="16"/>
  <c r="E540" i="81"/>
  <c r="G541" i="81" s="1"/>
  <c r="G542" i="81" s="1"/>
  <c r="G543" i="81" s="1"/>
  <c r="AO541" i="16"/>
  <c r="E595" i="81"/>
  <c r="AO596" i="16"/>
  <c r="E789" i="81"/>
  <c r="AO790" i="16"/>
  <c r="E1456" i="81"/>
  <c r="AO1457" i="16"/>
  <c r="E1512" i="81"/>
  <c r="AO1513" i="16"/>
  <c r="E1605" i="81"/>
  <c r="AO1606" i="16"/>
  <c r="E2011" i="81"/>
  <c r="AO2012" i="16"/>
  <c r="E2187" i="81"/>
  <c r="AO2188" i="16"/>
  <c r="E2466" i="81"/>
  <c r="AO2467" i="16"/>
  <c r="E57" i="81"/>
  <c r="AO58" i="16"/>
  <c r="E214" i="81"/>
  <c r="G213" i="81" s="1"/>
  <c r="AO215" i="16"/>
  <c r="E578" i="81"/>
  <c r="AO579" i="16"/>
  <c r="E687" i="81"/>
  <c r="AO688" i="16"/>
  <c r="E76" i="81"/>
  <c r="AO77" i="16"/>
  <c r="E222" i="81"/>
  <c r="G223" i="81" s="1"/>
  <c r="G219" i="81" s="1"/>
  <c r="AO223" i="16"/>
  <c r="E354" i="81"/>
  <c r="AO355" i="16"/>
  <c r="E422" i="81"/>
  <c r="AO423" i="16"/>
  <c r="E496" i="81"/>
  <c r="AO497" i="16"/>
  <c r="E550" i="81"/>
  <c r="G551" i="81" s="1"/>
  <c r="G552" i="81" s="1"/>
  <c r="AO551" i="16"/>
  <c r="E610" i="81"/>
  <c r="AO611" i="16"/>
  <c r="E820" i="81"/>
  <c r="AO821" i="16"/>
  <c r="E1461" i="81"/>
  <c r="AO1462" i="16"/>
  <c r="E1533" i="81"/>
  <c r="AO1534" i="16"/>
  <c r="E1615" i="81"/>
  <c r="AO1616" i="16"/>
  <c r="E2024" i="81"/>
  <c r="AO2025" i="16"/>
  <c r="E2231" i="81"/>
  <c r="AO2232" i="16"/>
  <c r="E2407" i="81"/>
  <c r="AO2408" i="16"/>
  <c r="E1580" i="81"/>
  <c r="AO1581" i="16"/>
  <c r="E24" i="81"/>
  <c r="G25" i="81" s="1"/>
  <c r="AO25" i="16"/>
  <c r="E123" i="81"/>
  <c r="AO124" i="16"/>
  <c r="AF2228" i="16"/>
  <c r="E26" i="81"/>
  <c r="AO27" i="16"/>
  <c r="E78" i="81"/>
  <c r="AO79" i="16"/>
  <c r="E141" i="81"/>
  <c r="AO142" i="16"/>
  <c r="E224" i="81"/>
  <c r="AO225" i="16"/>
  <c r="E252" i="81"/>
  <c r="G253" i="81" s="1"/>
  <c r="AO253" i="16"/>
  <c r="E461" i="81"/>
  <c r="AO462" i="16"/>
  <c r="E506" i="81"/>
  <c r="AO507" i="16"/>
  <c r="E559" i="81"/>
  <c r="G560" i="81" s="1"/>
  <c r="AO560" i="16"/>
  <c r="E619" i="81"/>
  <c r="AO620" i="16"/>
  <c r="E1464" i="81"/>
  <c r="AO1465" i="16"/>
  <c r="E1543" i="81"/>
  <c r="AO1544" i="16"/>
  <c r="E1617" i="81"/>
  <c r="AO1618" i="16"/>
  <c r="E1877" i="81"/>
  <c r="AO1878" i="16"/>
  <c r="E2055" i="81"/>
  <c r="AO2056" i="16"/>
  <c r="E2236" i="81"/>
  <c r="AO2237" i="16"/>
  <c r="E2419" i="81"/>
  <c r="AO2420" i="16"/>
  <c r="E1856" i="81"/>
  <c r="AO1857" i="16"/>
  <c r="E245" i="81"/>
  <c r="AO246" i="16"/>
  <c r="I1475" i="80"/>
  <c r="AO606" i="25"/>
  <c r="E41" i="81"/>
  <c r="AO42" i="16"/>
  <c r="E80" i="81"/>
  <c r="AO81" i="16"/>
  <c r="E186" i="81"/>
  <c r="G187" i="81" s="1"/>
  <c r="AO187" i="16"/>
  <c r="E225" i="81"/>
  <c r="G226" i="81" s="1"/>
  <c r="AO226" i="16"/>
  <c r="E261" i="81"/>
  <c r="G262" i="81" s="1"/>
  <c r="G260" i="81" s="1"/>
  <c r="AO262" i="16"/>
  <c r="E463" i="81"/>
  <c r="AO464" i="16"/>
  <c r="E508" i="81"/>
  <c r="AO509" i="16"/>
  <c r="E561" i="81"/>
  <c r="AO562" i="16"/>
  <c r="E667" i="81"/>
  <c r="AO668" i="16"/>
  <c r="E1410" i="81"/>
  <c r="AO1411" i="16"/>
  <c r="E1466" i="81"/>
  <c r="AO1467" i="16"/>
  <c r="E1573" i="81"/>
  <c r="AO1574" i="16"/>
  <c r="E1630" i="81"/>
  <c r="AO1631" i="16"/>
  <c r="E1883" i="81"/>
  <c r="AO1884" i="16"/>
  <c r="E2058" i="81"/>
  <c r="AO2059" i="16"/>
  <c r="E2238" i="81"/>
  <c r="AO2239" i="16"/>
  <c r="E2434" i="81"/>
  <c r="AO2435" i="16"/>
  <c r="E2071" i="81"/>
  <c r="AO2072" i="16"/>
  <c r="N1478" i="16"/>
  <c r="I1477" i="80"/>
  <c r="C1477" i="80" s="1"/>
  <c r="AO608" i="25"/>
  <c r="E51" i="81"/>
  <c r="AO52" i="16"/>
  <c r="E82" i="81"/>
  <c r="AO83" i="16"/>
  <c r="E195" i="81"/>
  <c r="G196" i="81" s="1"/>
  <c r="G193" i="81" s="1"/>
  <c r="E227" i="81"/>
  <c r="G228" i="81" s="1"/>
  <c r="AO228" i="16"/>
  <c r="E271" i="81"/>
  <c r="G272" i="81" s="1"/>
  <c r="G273" i="81" s="1"/>
  <c r="AO272" i="16"/>
  <c r="E466" i="81"/>
  <c r="AO467" i="16"/>
  <c r="E533" i="81"/>
  <c r="AO534" i="16"/>
  <c r="E565" i="81"/>
  <c r="AO566" i="16"/>
  <c r="E670" i="81"/>
  <c r="AO671" i="16"/>
  <c r="E1430" i="81"/>
  <c r="G1431" i="81" s="1"/>
  <c r="AO1431" i="16"/>
  <c r="E1475" i="81"/>
  <c r="AO1476" i="16"/>
  <c r="E1575" i="81"/>
  <c r="AO1576" i="16"/>
  <c r="E1683" i="81"/>
  <c r="AO1684" i="16"/>
  <c r="E1956" i="81"/>
  <c r="AO1957" i="16"/>
  <c r="E2062" i="81"/>
  <c r="AO2063" i="16"/>
  <c r="E2247" i="81"/>
  <c r="AO2248" i="16"/>
  <c r="E2453" i="81"/>
  <c r="AO2454" i="16"/>
  <c r="E1963" i="81"/>
  <c r="AO1964" i="16"/>
  <c r="E54" i="81"/>
  <c r="AO55" i="16"/>
  <c r="E103" i="81"/>
  <c r="AO104" i="16"/>
  <c r="E197" i="81"/>
  <c r="G198" i="81" s="1"/>
  <c r="E229" i="81"/>
  <c r="AO230" i="16"/>
  <c r="E468" i="81"/>
  <c r="AO469" i="16"/>
  <c r="E535" i="81"/>
  <c r="AO536" i="16"/>
  <c r="E571" i="81"/>
  <c r="AO572" i="16"/>
  <c r="E682" i="81"/>
  <c r="AO683" i="16"/>
  <c r="E1447" i="81"/>
  <c r="AO1448" i="16"/>
  <c r="E1477" i="81"/>
  <c r="AO1478" i="16"/>
  <c r="E1577" i="81"/>
  <c r="AO1578" i="16"/>
  <c r="E1848" i="81"/>
  <c r="AO1849" i="16"/>
  <c r="E1958" i="81"/>
  <c r="AO1959" i="16"/>
  <c r="E2066" i="81"/>
  <c r="AO2067" i="16"/>
  <c r="E2455" i="81"/>
  <c r="AO2456" i="16"/>
  <c r="E308" i="81"/>
  <c r="AO309" i="16"/>
  <c r="E363" i="81"/>
  <c r="AO364" i="16"/>
  <c r="E362" i="81"/>
  <c r="AO363" i="16"/>
  <c r="E360" i="81"/>
  <c r="AO361" i="16"/>
  <c r="E361" i="81"/>
  <c r="AO362" i="16"/>
  <c r="E358" i="81"/>
  <c r="AO359" i="16"/>
  <c r="E1096" i="81"/>
  <c r="AO1097" i="16"/>
  <c r="E359" i="81"/>
  <c r="AO360" i="16"/>
  <c r="AC674" i="25"/>
  <c r="AC679" i="25"/>
  <c r="AF2220" i="16"/>
  <c r="Y2463" i="16"/>
  <c r="Y2460" i="16"/>
  <c r="Y2430" i="16"/>
  <c r="Y2429" i="16"/>
  <c r="Y2428" i="16"/>
  <c r="Y2427" i="16"/>
  <c r="Y2426" i="16"/>
  <c r="Y2425" i="16"/>
  <c r="Y2424" i="16"/>
  <c r="Y2419" i="16"/>
  <c r="Y2418" i="16"/>
  <c r="Y2417" i="16"/>
  <c r="Y2416" i="16"/>
  <c r="Y2415" i="16"/>
  <c r="Y2414" i="16"/>
  <c r="Y2412" i="16"/>
  <c r="Y2411" i="16"/>
  <c r="Y2410" i="16"/>
  <c r="Y2393" i="16"/>
  <c r="Y2248" i="16"/>
  <c r="Y2243" i="16"/>
  <c r="Y2241" i="16"/>
  <c r="Y2240" i="16"/>
  <c r="Y2228" i="16"/>
  <c r="Y2220" i="16"/>
  <c r="Y2185" i="16"/>
  <c r="Y2154" i="16"/>
  <c r="Y2176" i="16"/>
  <c r="Y2081" i="16"/>
  <c r="Y2030" i="16"/>
  <c r="G142" i="81" l="1"/>
  <c r="G143" i="81" s="1"/>
  <c r="G194" i="81"/>
  <c r="I1474" i="80"/>
  <c r="C1474" i="80" s="1"/>
  <c r="O2154" i="16"/>
  <c r="AO2154" i="16" s="1"/>
  <c r="AD2154" i="16"/>
  <c r="AD2152" i="16"/>
  <c r="AC2152" i="16" s="1"/>
  <c r="Y1840" i="16"/>
  <c r="Y1832" i="16"/>
  <c r="Y1824" i="16"/>
  <c r="Y1800" i="16"/>
  <c r="Y1798" i="16"/>
  <c r="Y1797" i="16"/>
  <c r="Y1795" i="16"/>
  <c r="Y1793" i="16"/>
  <c r="Y1774" i="16"/>
  <c r="Y1772" i="16"/>
  <c r="Y1741" i="16"/>
  <c r="Y1729" i="16"/>
  <c r="Y1704" i="16"/>
  <c r="Y1702" i="16"/>
  <c r="Y1695" i="16"/>
  <c r="Y1693" i="16"/>
  <c r="AD1772" i="16"/>
  <c r="Y1642" i="16"/>
  <c r="Y325" i="16"/>
  <c r="Y323" i="16"/>
  <c r="Y321" i="16"/>
  <c r="Y316" i="16"/>
  <c r="Y315" i="16"/>
  <c r="Y312" i="16"/>
  <c r="Y309" i="16"/>
  <c r="Y305" i="16"/>
  <c r="Y292" i="16"/>
  <c r="Y291" i="16"/>
  <c r="Y288" i="16"/>
  <c r="Y286" i="16"/>
  <c r="Y162" i="16"/>
  <c r="Y142" i="16"/>
  <c r="Y140" i="16"/>
  <c r="Y55" i="16"/>
  <c r="Y52" i="16"/>
  <c r="Y50" i="16"/>
  <c r="Y37" i="16"/>
  <c r="Y864" i="16"/>
  <c r="Y593" i="16"/>
  <c r="Y538" i="16"/>
  <c r="Y1637" i="16"/>
  <c r="Y1636" i="16"/>
  <c r="Y1631" i="16"/>
  <c r="Y1627" i="16"/>
  <c r="Y1622" i="16"/>
  <c r="Y1618" i="16"/>
  <c r="Y1616" i="16"/>
  <c r="Y1606" i="16"/>
  <c r="Y1504" i="16"/>
  <c r="Y1502" i="16"/>
  <c r="Y1478" i="16"/>
  <c r="Y1476" i="16"/>
  <c r="Y1465" i="16"/>
  <c r="Y1462" i="16"/>
  <c r="Y969" i="16"/>
  <c r="Y929" i="16"/>
  <c r="Y927" i="16"/>
  <c r="Y926" i="16"/>
  <c r="Y925" i="16"/>
  <c r="Y924" i="16"/>
  <c r="Y922" i="16"/>
  <c r="Y921" i="16"/>
  <c r="Y920" i="16"/>
  <c r="Y917" i="16"/>
  <c r="Y915" i="16"/>
  <c r="Y914" i="16"/>
  <c r="Y912" i="16"/>
  <c r="Y911" i="16"/>
  <c r="U1622" i="16"/>
  <c r="O736" i="25"/>
  <c r="AO736" i="25" s="1"/>
  <c r="S1611" i="16"/>
  <c r="S1585" i="16"/>
  <c r="T1585" i="16" s="1"/>
  <c r="AD1585" i="16" s="1"/>
  <c r="AC1585" i="16" s="1"/>
  <c r="O1622" i="16"/>
  <c r="N1606" i="16" l="1"/>
  <c r="G1607" i="16" s="1"/>
  <c r="G1608" i="16" s="1"/>
  <c r="G1609" i="16" s="1"/>
  <c r="G1610" i="16" s="1"/>
  <c r="S1868" i="16"/>
  <c r="Y11" i="3"/>
  <c r="C1475" i="80"/>
  <c r="A1476" i="80"/>
  <c r="C1476" i="80" s="1"/>
  <c r="AO1622" i="16"/>
  <c r="E2153" i="81"/>
  <c r="E1621" i="81"/>
  <c r="N85" i="18"/>
  <c r="M1772" i="16"/>
  <c r="AM1772" i="16" s="1"/>
  <c r="AE1772" i="16"/>
  <c r="AC1772" i="16" s="1"/>
  <c r="T1611" i="16"/>
  <c r="AD1611" i="16" s="1"/>
  <c r="AC1611" i="16" s="1"/>
  <c r="O1611" i="16"/>
  <c r="W140" i="84" s="1"/>
  <c r="AD1820" i="16"/>
  <c r="AC1820" i="16" s="1"/>
  <c r="AD1731" i="16"/>
  <c r="AC1731" i="16" s="1"/>
  <c r="L87" i="18" l="1"/>
  <c r="L88" i="18"/>
  <c r="L96" i="18"/>
  <c r="L104" i="18"/>
  <c r="L112" i="18"/>
  <c r="L120" i="18"/>
  <c r="L128" i="18"/>
  <c r="L136" i="18"/>
  <c r="L99" i="18"/>
  <c r="L115" i="18"/>
  <c r="L92" i="18"/>
  <c r="L124" i="18"/>
  <c r="L109" i="18"/>
  <c r="L117" i="18"/>
  <c r="L110" i="18"/>
  <c r="L126" i="18"/>
  <c r="L103" i="18"/>
  <c r="L119" i="18"/>
  <c r="L89" i="18"/>
  <c r="L97" i="18"/>
  <c r="L105" i="18"/>
  <c r="L113" i="18"/>
  <c r="L121" i="18"/>
  <c r="L129" i="18"/>
  <c r="L91" i="18"/>
  <c r="L131" i="18"/>
  <c r="L108" i="18"/>
  <c r="L132" i="18"/>
  <c r="L93" i="18"/>
  <c r="L125" i="18"/>
  <c r="L94" i="18"/>
  <c r="L118" i="18"/>
  <c r="L111" i="18"/>
  <c r="L135" i="18"/>
  <c r="L90" i="18"/>
  <c r="L98" i="18"/>
  <c r="L106" i="18"/>
  <c r="L114" i="18"/>
  <c r="L122" i="18"/>
  <c r="L130" i="18"/>
  <c r="L107" i="18"/>
  <c r="L123" i="18"/>
  <c r="L100" i="18"/>
  <c r="L116" i="18"/>
  <c r="L101" i="18"/>
  <c r="L133" i="18"/>
  <c r="L102" i="18"/>
  <c r="L134" i="18"/>
  <c r="L95" i="18"/>
  <c r="L127" i="18"/>
  <c r="O1870" i="16"/>
  <c r="AO1870" i="16" s="1"/>
  <c r="T1868" i="16"/>
  <c r="AD1868" i="16" s="1"/>
  <c r="AC1868" i="16" s="1"/>
  <c r="E1784" i="81"/>
  <c r="S152" i="84"/>
  <c r="R152" i="84" s="1"/>
  <c r="R1868" i="16"/>
  <c r="AD1837" i="16"/>
  <c r="E2175" i="81"/>
  <c r="AO2176" i="16"/>
  <c r="E1610" i="81"/>
  <c r="AO1611" i="16"/>
  <c r="AO1729" i="16"/>
  <c r="AO1726" i="16"/>
  <c r="AO1832" i="16"/>
  <c r="AO1741" i="16"/>
  <c r="AO1709" i="16"/>
  <c r="AO1721" i="16"/>
  <c r="AO1824" i="16"/>
  <c r="E1794" i="81"/>
  <c r="AO1795" i="16"/>
  <c r="E1839" i="81"/>
  <c r="AO1840" i="16"/>
  <c r="E1773" i="81"/>
  <c r="AO1774" i="16"/>
  <c r="E1778" i="81"/>
  <c r="AO1779" i="16"/>
  <c r="E1792" i="81"/>
  <c r="AO1793" i="16"/>
  <c r="E1777" i="81"/>
  <c r="AO1778" i="16"/>
  <c r="E1796" i="81"/>
  <c r="AO1797" i="16"/>
  <c r="E1820" i="81"/>
  <c r="AO1821" i="16"/>
  <c r="E1797" i="81"/>
  <c r="AO1798" i="16"/>
  <c r="E1799" i="81"/>
  <c r="AO1800" i="16"/>
  <c r="E1779" i="81"/>
  <c r="AO1780" i="16"/>
  <c r="E1831" i="81"/>
  <c r="E1823" i="81"/>
  <c r="E1740" i="81"/>
  <c r="E1728" i="81"/>
  <c r="E1725" i="81"/>
  <c r="E1720" i="81"/>
  <c r="E1708" i="81"/>
  <c r="AD1852" i="16"/>
  <c r="AC1852" i="16" s="1"/>
  <c r="AD1746" i="16"/>
  <c r="AC1746" i="16" s="1"/>
  <c r="AD1818" i="16"/>
  <c r="AC1818" i="16" s="1"/>
  <c r="AD1821" i="16"/>
  <c r="AC1821" i="16" s="1"/>
  <c r="AD1832" i="16"/>
  <c r="AC1832" i="16" s="1"/>
  <c r="AD1824" i="16"/>
  <c r="AC1824" i="16" s="1"/>
  <c r="AD1840" i="16"/>
  <c r="AC1840" i="16" s="1"/>
  <c r="AD1795" i="16"/>
  <c r="AC1795" i="16" s="1"/>
  <c r="AD1798" i="16"/>
  <c r="AC1798" i="16" s="1"/>
  <c r="AD1797" i="16"/>
  <c r="AC1797" i="16" s="1"/>
  <c r="AD1793" i="16"/>
  <c r="AC1793" i="16" s="1"/>
  <c r="AD1800" i="16"/>
  <c r="AC1800" i="16" s="1"/>
  <c r="AD1774" i="16"/>
  <c r="AC1774" i="16" s="1"/>
  <c r="AD1785" i="16"/>
  <c r="AC1785" i="16" s="1"/>
  <c r="AD1778" i="16"/>
  <c r="AC1778" i="16" s="1"/>
  <c r="AD1780" i="16"/>
  <c r="AC1780" i="16" s="1"/>
  <c r="AD1779" i="16"/>
  <c r="AC1779" i="16" s="1"/>
  <c r="AD1729" i="16"/>
  <c r="AC1729" i="16" s="1"/>
  <c r="AD1741" i="16"/>
  <c r="AC1741" i="16" s="1"/>
  <c r="AD1709" i="16"/>
  <c r="AC1709" i="16" s="1"/>
  <c r="AD1721" i="16"/>
  <c r="AC1721" i="16" s="1"/>
  <c r="AD1726" i="16"/>
  <c r="AC1726" i="16" s="1"/>
  <c r="AO1785" i="16" l="1"/>
  <c r="M1837" i="16"/>
  <c r="AM1837" i="16" s="1"/>
  <c r="AE1837" i="16"/>
  <c r="AC1837" i="16" s="1"/>
  <c r="AO1746" i="16"/>
  <c r="E1851" i="81"/>
  <c r="AO1852" i="16"/>
  <c r="E1745" i="81"/>
  <c r="U1299" i="16"/>
  <c r="N1252" i="16"/>
  <c r="N1256" i="16"/>
  <c r="G1257" i="16" s="1"/>
  <c r="N1258" i="16"/>
  <c r="G1259" i="16" s="1"/>
  <c r="G1260" i="16" s="1"/>
  <c r="N1261" i="16"/>
  <c r="G1262" i="16" s="1"/>
  <c r="G1263" i="16" s="1"/>
  <c r="G1264" i="16" s="1"/>
  <c r="G1265" i="16" s="1"/>
  <c r="N1266" i="16"/>
  <c r="U47" i="25"/>
  <c r="U44" i="25"/>
  <c r="U917" i="16"/>
  <c r="U914" i="16"/>
  <c r="S1302" i="16"/>
  <c r="G1253" i="16" l="1"/>
  <c r="O1301" i="16"/>
  <c r="U864" i="16"/>
  <c r="U860" i="16"/>
  <c r="R593" i="16"/>
  <c r="S162" i="16"/>
  <c r="T140" i="16"/>
  <c r="AD140" i="16" s="1"/>
  <c r="AC140" i="16" s="1"/>
  <c r="S140" i="16"/>
  <c r="U37" i="16"/>
  <c r="S37" i="16"/>
  <c r="T37" i="16" s="1"/>
  <c r="AD37" i="16" s="1"/>
  <c r="AC37" i="16" s="1"/>
  <c r="S1308" i="16"/>
  <c r="O864" i="16"/>
  <c r="O37" i="16"/>
  <c r="G1254" i="16" l="1"/>
  <c r="O1308" i="16"/>
  <c r="E1307" i="81" s="1"/>
  <c r="S224" i="84"/>
  <c r="W223" i="84" s="1"/>
  <c r="W97" i="84"/>
  <c r="E1300" i="81"/>
  <c r="AO1301" i="16"/>
  <c r="AO864" i="16"/>
  <c r="AO37" i="16"/>
  <c r="E863" i="81"/>
  <c r="E36" i="81"/>
  <c r="AE593" i="16"/>
  <c r="M593" i="16"/>
  <c r="AM593" i="16" s="1"/>
  <c r="T162" i="16"/>
  <c r="AD162" i="16" s="1"/>
  <c r="AC162" i="16" s="1"/>
  <c r="AX364" i="16"/>
  <c r="AX365" i="16"/>
  <c r="AX366" i="16"/>
  <c r="AX357" i="16"/>
  <c r="AX358" i="16"/>
  <c r="AX359" i="16"/>
  <c r="AX360" i="16"/>
  <c r="AX361" i="16"/>
  <c r="AX363" i="16"/>
  <c r="AX346" i="16"/>
  <c r="AO1308" i="16" l="1"/>
  <c r="AC593" i="16"/>
  <c r="AF593" i="16"/>
  <c r="O224" i="29"/>
  <c r="O220" i="29"/>
  <c r="O217" i="29"/>
  <c r="O177" i="29"/>
  <c r="O165" i="29"/>
  <c r="O382" i="28"/>
  <c r="O373" i="28"/>
  <c r="AE362" i="28"/>
  <c r="M362" i="28"/>
  <c r="AM362" i="28" s="1"/>
  <c r="M354" i="28"/>
  <c r="AM354" i="28" s="1"/>
  <c r="O312" i="28"/>
  <c r="AE238" i="28"/>
  <c r="W210" i="85" l="1"/>
  <c r="I2179" i="80"/>
  <c r="AO312" i="28"/>
  <c r="I2464" i="80"/>
  <c r="AO220" i="29"/>
  <c r="N2463" i="16"/>
  <c r="G2464" i="16" s="1"/>
  <c r="G2465" i="16" s="1"/>
  <c r="G2466" i="16" s="1"/>
  <c r="I2468" i="80"/>
  <c r="AO224" i="29"/>
  <c r="N2467" i="16"/>
  <c r="I2240" i="80"/>
  <c r="C2240" i="80" s="1"/>
  <c r="AO373" i="28"/>
  <c r="N2239" i="16"/>
  <c r="G2240" i="16" s="1"/>
  <c r="G2241" i="16" s="1"/>
  <c r="G2242" i="16" s="1"/>
  <c r="I2421" i="80"/>
  <c r="AO177" i="29"/>
  <c r="N2420" i="16"/>
  <c r="G2421" i="16" s="1"/>
  <c r="G2422" i="16" s="1"/>
  <c r="G2423" i="16" s="1"/>
  <c r="G2424" i="16" s="1"/>
  <c r="G2425" i="16" s="1"/>
  <c r="G2426" i="16" s="1"/>
  <c r="G2427" i="16" s="1"/>
  <c r="G2428" i="16" s="1"/>
  <c r="G2429" i="16" s="1"/>
  <c r="G2430" i="16" s="1"/>
  <c r="I2461" i="80"/>
  <c r="AO217" i="29"/>
  <c r="N2460" i="16"/>
  <c r="G2461" i="16" s="1"/>
  <c r="G2462" i="16" s="1"/>
  <c r="I2249" i="80"/>
  <c r="AO382" i="28"/>
  <c r="N2248" i="16"/>
  <c r="G2249" i="16" s="1"/>
  <c r="G2250" i="16" s="1"/>
  <c r="G2251" i="16" s="1"/>
  <c r="I2409" i="80"/>
  <c r="AO165" i="29"/>
  <c r="N2408" i="16"/>
  <c r="G2409" i="16" s="1"/>
  <c r="G2410" i="16" s="1"/>
  <c r="G2411" i="16" s="1"/>
  <c r="G2412" i="16" s="1"/>
  <c r="G2413" i="16" s="1"/>
  <c r="G2414" i="16" s="1"/>
  <c r="G2415" i="16" s="1"/>
  <c r="G2416" i="16" s="1"/>
  <c r="G2417" i="16" s="1"/>
  <c r="G2418" i="16" s="1"/>
  <c r="G2419" i="16" s="1"/>
  <c r="AC238" i="28"/>
  <c r="AC362" i="28"/>
  <c r="U238" i="28"/>
  <c r="FH4" i="2" s="1"/>
  <c r="M238" i="28"/>
  <c r="AM238" i="28" s="1"/>
  <c r="U203" i="27"/>
  <c r="EK4" i="2" s="1"/>
  <c r="U195" i="27"/>
  <c r="EJ4" i="2" s="1"/>
  <c r="U102" i="27"/>
  <c r="EB4" i="2" s="1"/>
  <c r="U100" i="27"/>
  <c r="EA4" i="2" s="1"/>
  <c r="U112" i="27"/>
  <c r="EC4" i="2" s="1"/>
  <c r="AM96" i="27"/>
  <c r="A2422" i="80" l="1"/>
  <c r="C2421" i="80"/>
  <c r="A2410" i="80"/>
  <c r="C2410" i="80" s="1"/>
  <c r="C2409" i="80"/>
  <c r="A2250" i="80"/>
  <c r="C2249" i="80"/>
  <c r="A2180" i="80"/>
  <c r="C2180" i="80" s="1"/>
  <c r="C2179" i="80"/>
  <c r="T288" i="28"/>
  <c r="AD288" i="28" s="1"/>
  <c r="T286" i="28"/>
  <c r="AD286" i="28" s="1"/>
  <c r="AC286" i="28" s="1"/>
  <c r="O288" i="28"/>
  <c r="I2155" i="80" s="1"/>
  <c r="S101" i="27"/>
  <c r="A2423" i="80" l="1"/>
  <c r="C2422" i="80"/>
  <c r="A2251" i="80"/>
  <c r="C2250" i="80"/>
  <c r="AO288" i="28"/>
  <c r="N2154" i="16"/>
  <c r="U13" i="27"/>
  <c r="DU4" i="2" s="1"/>
  <c r="A2252" i="80" l="1"/>
  <c r="C2252" i="80" s="1"/>
  <c r="C2251" i="80"/>
  <c r="A2424" i="80"/>
  <c r="C2424" i="80" s="1"/>
  <c r="C2423" i="80"/>
  <c r="S14" i="27"/>
  <c r="S164" i="27" l="1"/>
  <c r="S131" i="27"/>
  <c r="S134" i="27" s="1"/>
  <c r="N11" i="3"/>
  <c r="S211" i="27"/>
  <c r="O211" i="27" s="1"/>
  <c r="S100" i="27"/>
  <c r="T100" i="27" s="1"/>
  <c r="AD100" i="27" s="1"/>
  <c r="AC100" i="27" s="1"/>
  <c r="S221" i="27"/>
  <c r="S150" i="27"/>
  <c r="S56" i="27"/>
  <c r="S203" i="27"/>
  <c r="T203" i="27" s="1"/>
  <c r="AD203" i="27" s="1"/>
  <c r="AC203" i="27" s="1"/>
  <c r="S97" i="27"/>
  <c r="S192" i="27"/>
  <c r="T192" i="27" s="1"/>
  <c r="S149" i="27"/>
  <c r="S55" i="27"/>
  <c r="S195" i="27"/>
  <c r="S191" i="27"/>
  <c r="T191" i="27" s="1"/>
  <c r="S145" i="27"/>
  <c r="S171" i="27"/>
  <c r="O171" i="27" s="1"/>
  <c r="S219" i="27"/>
  <c r="S175" i="27"/>
  <c r="S166" i="27"/>
  <c r="T166" i="27" s="1"/>
  <c r="AD166" i="27" s="1"/>
  <c r="AC166" i="27" s="1"/>
  <c r="S156" i="27"/>
  <c r="S92" i="27"/>
  <c r="S102" i="27"/>
  <c r="T102" i="27" s="1"/>
  <c r="AD102" i="27" s="1"/>
  <c r="AC102" i="27" s="1"/>
  <c r="S80" i="27"/>
  <c r="S112" i="27"/>
  <c r="T112" i="27" s="1"/>
  <c r="AD112" i="27" s="1"/>
  <c r="AC112" i="27" s="1"/>
  <c r="S169" i="27"/>
  <c r="O169" i="27" s="1"/>
  <c r="S217" i="27"/>
  <c r="S124" i="27"/>
  <c r="S239" i="27"/>
  <c r="O241" i="27" s="1"/>
  <c r="S189" i="27"/>
  <c r="S223" i="27"/>
  <c r="O223" i="27" s="1"/>
  <c r="I1853" i="80" s="1"/>
  <c r="A1853" i="80" s="1"/>
  <c r="S151" i="27"/>
  <c r="S168" i="27"/>
  <c r="O168" i="27" s="1"/>
  <c r="S233" i="27"/>
  <c r="S117" i="27"/>
  <c r="T117" i="27" s="1"/>
  <c r="S231" i="27"/>
  <c r="S228" i="27"/>
  <c r="I2177" i="80"/>
  <c r="I2151" i="80" s="1"/>
  <c r="N2176" i="16"/>
  <c r="AO310" i="28"/>
  <c r="O195" i="27"/>
  <c r="T239" i="27" l="1"/>
  <c r="AD239" i="27" s="1"/>
  <c r="AC239" i="27" s="1"/>
  <c r="O156" i="27"/>
  <c r="S152" i="85"/>
  <c r="R152" i="85" s="1"/>
  <c r="T208" i="27"/>
  <c r="AD208" i="27" s="1"/>
  <c r="R208" i="27"/>
  <c r="T223" i="27"/>
  <c r="AD223" i="27" s="1"/>
  <c r="AC223" i="27" s="1"/>
  <c r="T211" i="27"/>
  <c r="AD211" i="27" s="1"/>
  <c r="AC211" i="27" s="1"/>
  <c r="O166" i="27"/>
  <c r="N1795" i="16" s="1"/>
  <c r="T168" i="27"/>
  <c r="AD168" i="27" s="1"/>
  <c r="AC168" i="27" s="1"/>
  <c r="R239" i="27"/>
  <c r="AO195" i="27"/>
  <c r="I1825" i="80"/>
  <c r="T169" i="27"/>
  <c r="AD169" i="27" s="1"/>
  <c r="AC169" i="27" s="1"/>
  <c r="S138" i="27"/>
  <c r="O138" i="27" s="1"/>
  <c r="I1768" i="80" s="1"/>
  <c r="S140" i="27"/>
  <c r="O140" i="27" s="1"/>
  <c r="I1770" i="80" s="1"/>
  <c r="T171" i="27"/>
  <c r="AD171" i="27" s="1"/>
  <c r="AC171" i="27" s="1"/>
  <c r="T195" i="27"/>
  <c r="AD195" i="27" s="1"/>
  <c r="AC195" i="27" s="1"/>
  <c r="A1854" i="80"/>
  <c r="C1853" i="80"/>
  <c r="AO211" i="27"/>
  <c r="I1841" i="80"/>
  <c r="I1837" i="80" s="1"/>
  <c r="A1837" i="80" s="1"/>
  <c r="AO171" i="27"/>
  <c r="I1801" i="80"/>
  <c r="AO169" i="27"/>
  <c r="I1799" i="80"/>
  <c r="AO168" i="27"/>
  <c r="I1798" i="80"/>
  <c r="N1798" i="16"/>
  <c r="N1800" i="16"/>
  <c r="N1840" i="16"/>
  <c r="G1840" i="16" s="1"/>
  <c r="N1797" i="16"/>
  <c r="G1797" i="16" s="1"/>
  <c r="AD767" i="25"/>
  <c r="AC767" i="25" s="1"/>
  <c r="AD766" i="25"/>
  <c r="AC766" i="25" s="1"/>
  <c r="AD757" i="25"/>
  <c r="AC757" i="25" s="1"/>
  <c r="U752" i="25"/>
  <c r="DT4" i="2" s="1"/>
  <c r="O203" i="27"/>
  <c r="O100" i="27"/>
  <c r="O112" i="27"/>
  <c r="G1800" i="16" l="1"/>
  <c r="G1801" i="16" s="1"/>
  <c r="G1798" i="16"/>
  <c r="G1799" i="16" s="1"/>
  <c r="G1795" i="16"/>
  <c r="G1796" i="16" s="1"/>
  <c r="A1825" i="80"/>
  <c r="A1826" i="80" s="1"/>
  <c r="AO156" i="27"/>
  <c r="W74" i="86"/>
  <c r="W105" i="86"/>
  <c r="I1786" i="80"/>
  <c r="N1785" i="16"/>
  <c r="AE208" i="27"/>
  <c r="AC208" i="27" s="1"/>
  <c r="M208" i="27"/>
  <c r="AM208" i="27" s="1"/>
  <c r="I1730" i="80"/>
  <c r="N1729" i="16"/>
  <c r="G1729" i="16" s="1"/>
  <c r="AO100" i="27"/>
  <c r="AO112" i="27"/>
  <c r="N1741" i="16"/>
  <c r="I1742" i="80"/>
  <c r="I1833" i="80"/>
  <c r="AO203" i="27"/>
  <c r="I1796" i="80"/>
  <c r="AO166" i="27"/>
  <c r="A1855" i="80"/>
  <c r="C1855" i="80" s="1"/>
  <c r="C1854" i="80"/>
  <c r="S715" i="25"/>
  <c r="T715" i="25" s="1"/>
  <c r="AD715" i="25" s="1"/>
  <c r="AC715" i="25" s="1"/>
  <c r="O752" i="25"/>
  <c r="C1825" i="80" l="1"/>
  <c r="G1785" i="16"/>
  <c r="G1741" i="16"/>
  <c r="G1742" i="16" s="1"/>
  <c r="G1743" i="16" s="1"/>
  <c r="G1744" i="16" s="1"/>
  <c r="G1745" i="16" s="1"/>
  <c r="A1827" i="80"/>
  <c r="C1827" i="80" s="1"/>
  <c r="C1826" i="80"/>
  <c r="A1833" i="80"/>
  <c r="C1833" i="80" s="1"/>
  <c r="A1730" i="80"/>
  <c r="A1731" i="80" s="1"/>
  <c r="I1824" i="80"/>
  <c r="N1622" i="16"/>
  <c r="AO752" i="25"/>
  <c r="O634" i="25"/>
  <c r="I1503" i="80" s="1"/>
  <c r="O632" i="25"/>
  <c r="I1501" i="80" s="1"/>
  <c r="A1828" i="80" l="1"/>
  <c r="C1730" i="80"/>
  <c r="A1834" i="80"/>
  <c r="C1834" i="80" s="1"/>
  <c r="G1622" i="16"/>
  <c r="G1623" i="16" s="1"/>
  <c r="G1624" i="16" s="1"/>
  <c r="G1625" i="16" s="1"/>
  <c r="G1786" i="16"/>
  <c r="A1732" i="80"/>
  <c r="C1732" i="80" s="1"/>
  <c r="C1731" i="80"/>
  <c r="A1824" i="80"/>
  <c r="C1824" i="80" s="1"/>
  <c r="I1498" i="80"/>
  <c r="A1499" i="80" s="1"/>
  <c r="A1829" i="80"/>
  <c r="C1828" i="80"/>
  <c r="N1504" i="16"/>
  <c r="G1505" i="16" s="1"/>
  <c r="AO634" i="25"/>
  <c r="N1502" i="16"/>
  <c r="G1503" i="16" s="1"/>
  <c r="G1499" i="16" s="1"/>
  <c r="AO632" i="25"/>
  <c r="N1476" i="16"/>
  <c r="AM595" i="25"/>
  <c r="AM592" i="25"/>
  <c r="O595" i="25"/>
  <c r="I1464" i="80" s="1"/>
  <c r="O592" i="25"/>
  <c r="I1461" i="80" s="1"/>
  <c r="I1460" i="80" s="1"/>
  <c r="U429" i="25"/>
  <c r="DM4" i="2" s="1"/>
  <c r="C1498" i="80" l="1"/>
  <c r="A1500" i="80"/>
  <c r="C1500" i="80" s="1"/>
  <c r="C1499" i="80"/>
  <c r="C1460" i="80"/>
  <c r="A1830" i="80"/>
  <c r="C1830" i="80" s="1"/>
  <c r="C1829" i="80"/>
  <c r="AO592" i="25"/>
  <c r="N1462" i="16"/>
  <c r="AO595" i="25"/>
  <c r="N1465" i="16"/>
  <c r="G1477" i="16"/>
  <c r="G1475" i="16" s="1"/>
  <c r="S432" i="25"/>
  <c r="S438" i="25"/>
  <c r="O438" i="25" l="1"/>
  <c r="AO438" i="25" s="1"/>
  <c r="O431" i="25"/>
  <c r="I1300" i="80" s="1"/>
  <c r="CL4" i="2"/>
  <c r="CK4" i="2"/>
  <c r="U546" i="24"/>
  <c r="CE4" i="2" s="1"/>
  <c r="U542" i="24"/>
  <c r="CD4" i="2" s="1"/>
  <c r="R275" i="24"/>
  <c r="AE220" i="24"/>
  <c r="AC220" i="24" s="1"/>
  <c r="O220" i="24"/>
  <c r="O310" i="8"/>
  <c r="S163" i="8"/>
  <c r="T163" i="8" s="1"/>
  <c r="AD163" i="8" s="1"/>
  <c r="AC163" i="8" s="1"/>
  <c r="O143" i="8"/>
  <c r="T141" i="8"/>
  <c r="AD141" i="8" s="1"/>
  <c r="AC141" i="8" s="1"/>
  <c r="S141" i="8"/>
  <c r="O546" i="24"/>
  <c r="W97" i="85" l="1"/>
  <c r="N1301" i="16"/>
  <c r="AO431" i="25"/>
  <c r="I1307" i="80"/>
  <c r="I1297" i="80" s="1"/>
  <c r="A1297" i="80" s="1"/>
  <c r="N538" i="16"/>
  <c r="G539" i="16" s="1"/>
  <c r="G540" i="16" s="1"/>
  <c r="I537" i="80"/>
  <c r="AO220" i="24"/>
  <c r="N1308" i="16"/>
  <c r="I141" i="80"/>
  <c r="AO143" i="8"/>
  <c r="N142" i="16"/>
  <c r="G143" i="16" s="1"/>
  <c r="G144" i="16" s="1"/>
  <c r="I308" i="80"/>
  <c r="C308" i="80" s="1"/>
  <c r="AO310" i="8"/>
  <c r="N309" i="16"/>
  <c r="I863" i="80"/>
  <c r="A863" i="80" s="1"/>
  <c r="AO546" i="24"/>
  <c r="M275" i="24"/>
  <c r="AM275" i="24" s="1"/>
  <c r="AE275" i="24"/>
  <c r="N864" i="16"/>
  <c r="AC275" i="24"/>
  <c r="G1308" i="16" l="1"/>
  <c r="G1309" i="16" s="1"/>
  <c r="G1310" i="16" s="1"/>
  <c r="G1311" i="16" s="1"/>
  <c r="G1312" i="16" s="1"/>
  <c r="G1313" i="16" s="1"/>
  <c r="G1314" i="16" s="1"/>
  <c r="G864" i="16"/>
  <c r="G865" i="16" s="1"/>
  <c r="G866" i="16" s="1"/>
  <c r="G867" i="16" s="1"/>
  <c r="G868" i="16" s="1"/>
  <c r="G869" i="16" s="1"/>
  <c r="G870" i="16" s="1"/>
  <c r="G871" i="16" s="1"/>
  <c r="G872" i="16" s="1"/>
  <c r="G873" i="16" s="1"/>
  <c r="G874" i="16" s="1"/>
  <c r="G875" i="16" s="1"/>
  <c r="G876" i="16" s="1"/>
  <c r="G877" i="16" s="1"/>
  <c r="G878" i="16" s="1"/>
  <c r="G1301" i="16"/>
  <c r="A538" i="80"/>
  <c r="C538" i="80" s="1"/>
  <c r="C537" i="80"/>
  <c r="A142" i="80"/>
  <c r="C141" i="80"/>
  <c r="A864" i="80"/>
  <c r="C863" i="80"/>
  <c r="O84" i="8"/>
  <c r="O56" i="8"/>
  <c r="W237" i="85" s="1"/>
  <c r="O53" i="8"/>
  <c r="AE56" i="8"/>
  <c r="AC56" i="8" s="1"/>
  <c r="AE53" i="8"/>
  <c r="AC53" i="8" s="1"/>
  <c r="S28" i="8"/>
  <c r="T28" i="8" s="1"/>
  <c r="U38" i="8"/>
  <c r="AD4" i="2" s="1"/>
  <c r="S38" i="8"/>
  <c r="T38" i="8" s="1"/>
  <c r="AD38" i="8" s="1"/>
  <c r="AC38" i="8" s="1"/>
  <c r="G1302" i="16" l="1"/>
  <c r="G1303" i="16" s="1"/>
  <c r="I51" i="80"/>
  <c r="AO53" i="8"/>
  <c r="N52" i="16"/>
  <c r="G53" i="16" s="1"/>
  <c r="G54" i="16" s="1"/>
  <c r="C142" i="80"/>
  <c r="A143" i="80"/>
  <c r="C143" i="80" s="1"/>
  <c r="I54" i="80"/>
  <c r="C54" i="80" s="1"/>
  <c r="AO56" i="8"/>
  <c r="N55" i="16"/>
  <c r="G56" i="16" s="1"/>
  <c r="I82" i="80"/>
  <c r="AO84" i="8"/>
  <c r="N83" i="16"/>
  <c r="G84" i="16" s="1"/>
  <c r="G85" i="16" s="1"/>
  <c r="G86" i="16" s="1"/>
  <c r="G87" i="16" s="1"/>
  <c r="A865" i="80"/>
  <c r="C864" i="80"/>
  <c r="O28" i="8"/>
  <c r="I26" i="80" s="1"/>
  <c r="S224" i="85" l="1"/>
  <c r="W223" i="85" s="1"/>
  <c r="I36" i="80"/>
  <c r="AO38" i="8"/>
  <c r="N37" i="16"/>
  <c r="A83" i="80"/>
  <c r="C82" i="80"/>
  <c r="A52" i="80"/>
  <c r="C52" i="80" s="1"/>
  <c r="C51" i="80"/>
  <c r="A27" i="80"/>
  <c r="C26" i="80"/>
  <c r="C865" i="80"/>
  <c r="A866" i="80"/>
  <c r="L57" i="18"/>
  <c r="M76" i="18"/>
  <c r="M77" i="18"/>
  <c r="M78" i="18"/>
  <c r="M79" i="18"/>
  <c r="M75" i="18"/>
  <c r="G37" i="16" l="1"/>
  <c r="G38" i="16" s="1"/>
  <c r="G39" i="16" s="1"/>
  <c r="G40" i="16" s="1"/>
  <c r="G41" i="16" s="1"/>
  <c r="I35" i="80"/>
  <c r="A35" i="80" s="1"/>
  <c r="A36" i="80"/>
  <c r="A37" i="80" s="1"/>
  <c r="C37" i="80" s="1"/>
  <c r="C83" i="80"/>
  <c r="A84" i="80"/>
  <c r="A28" i="80"/>
  <c r="C27" i="80"/>
  <c r="C866" i="80"/>
  <c r="A867" i="80"/>
  <c r="C867" i="80" s="1"/>
  <c r="A38" i="80" l="1"/>
  <c r="C38" i="80" s="1"/>
  <c r="C36" i="80"/>
  <c r="A85" i="80"/>
  <c r="C84" i="80"/>
  <c r="C28" i="80"/>
  <c r="A29" i="80"/>
  <c r="C29" i="80" s="1"/>
  <c r="K57" i="17"/>
  <c r="L75" i="18"/>
  <c r="L76" i="18"/>
  <c r="L77" i="18"/>
  <c r="L78" i="18"/>
  <c r="L79" i="18"/>
  <c r="A39" i="80" l="1"/>
  <c r="C39" i="80" s="1"/>
  <c r="C85" i="80"/>
  <c r="A86" i="80"/>
  <c r="C86" i="80" s="1"/>
  <c r="L76" i="17"/>
  <c r="K76" i="17" s="1"/>
  <c r="L77" i="17"/>
  <c r="K77" i="17" s="1"/>
  <c r="L78" i="17"/>
  <c r="K78" i="17" s="1"/>
  <c r="L79" i="17"/>
  <c r="K79" i="17" s="1"/>
  <c r="L75" i="17"/>
  <c r="K75" i="17" s="1"/>
  <c r="A40" i="80" l="1"/>
  <c r="C40" i="80" s="1"/>
  <c r="AF443" i="16"/>
  <c r="AF441" i="16"/>
  <c r="AF374" i="16"/>
  <c r="AF373" i="16"/>
  <c r="AF372" i="16"/>
  <c r="AF371" i="16"/>
  <c r="AF370" i="16"/>
  <c r="S1653" i="16" l="1"/>
  <c r="S1652" i="16"/>
  <c r="S24" i="27"/>
  <c r="S23" i="27"/>
  <c r="S1650" i="16" l="1"/>
  <c r="S1679" i="16" s="1"/>
  <c r="S21" i="27"/>
  <c r="S50" i="27" s="1"/>
  <c r="O50" i="27" s="1"/>
  <c r="I1680" i="80" s="1"/>
  <c r="S1921" i="16"/>
  <c r="O1921" i="16" s="1"/>
  <c r="W209" i="84" s="1"/>
  <c r="S55" i="28"/>
  <c r="O643" i="25"/>
  <c r="I1512" i="80" s="1"/>
  <c r="T1679" i="16" l="1"/>
  <c r="O1679" i="16"/>
  <c r="A1513" i="80"/>
  <c r="C1513" i="80" s="1"/>
  <c r="C1512" i="80"/>
  <c r="E1920" i="81"/>
  <c r="AO1921" i="16"/>
  <c r="S1926" i="16"/>
  <c r="R1926" i="16" s="1"/>
  <c r="S1924" i="16"/>
  <c r="E8" i="72"/>
  <c r="F9" i="72"/>
  <c r="K15" i="7"/>
  <c r="L15" i="7"/>
  <c r="F8" i="72"/>
  <c r="N38" i="10"/>
  <c r="C26" i="10"/>
  <c r="O7" i="10"/>
  <c r="Y978" i="16"/>
  <c r="AY26" i="24"/>
  <c r="O13" i="24" s="1"/>
  <c r="I330" i="80" s="1"/>
  <c r="AY33" i="24"/>
  <c r="AZ33" i="24" s="1"/>
  <c r="S111" i="24" s="1"/>
  <c r="T111" i="24" s="1"/>
  <c r="AD111" i="24" s="1"/>
  <c r="AC111" i="24" s="1"/>
  <c r="AY27" i="25"/>
  <c r="W585" i="25" s="1"/>
  <c r="O583" i="25" s="1"/>
  <c r="I1452" i="80" s="1"/>
  <c r="AY19" i="29"/>
  <c r="S31" i="29" s="1"/>
  <c r="T31" i="29" s="1"/>
  <c r="AD31" i="29" s="1"/>
  <c r="AC31" i="29" s="1"/>
  <c r="U143" i="27"/>
  <c r="EG4" i="2" s="1"/>
  <c r="P11" i="23"/>
  <c r="P13" i="23"/>
  <c r="P16" i="23"/>
  <c r="P19" i="23"/>
  <c r="P23" i="23"/>
  <c r="P25" i="23"/>
  <c r="P26" i="23"/>
  <c r="P27" i="23"/>
  <c r="P32" i="23"/>
  <c r="P34" i="23"/>
  <c r="P38" i="23"/>
  <c r="P39" i="23"/>
  <c r="P42" i="23"/>
  <c r="P44" i="23"/>
  <c r="P46" i="23"/>
  <c r="P50" i="23"/>
  <c r="BD1644" i="16"/>
  <c r="BD1881" i="16"/>
  <c r="BD2258" i="16"/>
  <c r="BC2258" i="16"/>
  <c r="BC1881" i="16"/>
  <c r="BC1644" i="16"/>
  <c r="T1454" i="16"/>
  <c r="AD1454" i="16" s="1"/>
  <c r="AC1454" i="16" s="1"/>
  <c r="U45" i="16"/>
  <c r="AP561" i="25"/>
  <c r="U46" i="8"/>
  <c r="AE4" i="2" s="1"/>
  <c r="Y45" i="16"/>
  <c r="Y42" i="16"/>
  <c r="Y27" i="16"/>
  <c r="Y25" i="16"/>
  <c r="Y23" i="16"/>
  <c r="Y21" i="16"/>
  <c r="Y19" i="16"/>
  <c r="Y13" i="16"/>
  <c r="K67" i="17"/>
  <c r="K65" i="17"/>
  <c r="K63" i="17"/>
  <c r="K61" i="17"/>
  <c r="K59" i="17"/>
  <c r="L67" i="18"/>
  <c r="L65" i="18"/>
  <c r="L63" i="18"/>
  <c r="L61" i="18"/>
  <c r="L59" i="18"/>
  <c r="L49" i="18"/>
  <c r="L47" i="18"/>
  <c r="L45" i="18"/>
  <c r="L43" i="18"/>
  <c r="E20" i="17"/>
  <c r="AX2306" i="16"/>
  <c r="AX2305" i="16"/>
  <c r="AX2303" i="16"/>
  <c r="AX2302" i="16"/>
  <c r="AX2301" i="16"/>
  <c r="AX2300" i="16"/>
  <c r="AX2299" i="16"/>
  <c r="AX2298" i="16"/>
  <c r="AX2296" i="16"/>
  <c r="AX2295" i="16"/>
  <c r="AX2294" i="16"/>
  <c r="AX2293" i="16"/>
  <c r="AX2292" i="16"/>
  <c r="AX2291" i="16"/>
  <c r="AX2290" i="16"/>
  <c r="AX2289" i="16"/>
  <c r="AX2288" i="16"/>
  <c r="AX2286" i="16"/>
  <c r="AX2285" i="16"/>
  <c r="AX2284" i="16"/>
  <c r="AX2283" i="16"/>
  <c r="AX2282" i="16"/>
  <c r="AX2281" i="16"/>
  <c r="AX2280" i="16"/>
  <c r="AX2279" i="16"/>
  <c r="AX2278" i="16"/>
  <c r="AX2276" i="16"/>
  <c r="AX2274" i="16"/>
  <c r="AX2271" i="16"/>
  <c r="AX2270" i="16"/>
  <c r="AX2269" i="16"/>
  <c r="AX2267" i="16"/>
  <c r="AX2263" i="16"/>
  <c r="AX2262" i="16"/>
  <c r="AX2260" i="16"/>
  <c r="AX2259" i="16"/>
  <c r="AX2258" i="16"/>
  <c r="AX2257" i="16"/>
  <c r="AX2256" i="16"/>
  <c r="AX2255" i="16"/>
  <c r="AX2254" i="16"/>
  <c r="AX1929" i="16"/>
  <c r="AX1928" i="16"/>
  <c r="AX1926" i="16"/>
  <c r="AX1925" i="16"/>
  <c r="AX1924" i="16"/>
  <c r="AX1923" i="16"/>
  <c r="AX1922" i="16"/>
  <c r="AX1921" i="16"/>
  <c r="AX1919" i="16"/>
  <c r="AX1918" i="16"/>
  <c r="AX1917" i="16"/>
  <c r="AX1916" i="16"/>
  <c r="AX1915" i="16"/>
  <c r="AX1914" i="16"/>
  <c r="AX1913" i="16"/>
  <c r="AX1912" i="16"/>
  <c r="AX1911" i="16"/>
  <c r="AX1909" i="16"/>
  <c r="AX1908" i="16"/>
  <c r="AX1907" i="16"/>
  <c r="AX1906" i="16"/>
  <c r="AX1905" i="16"/>
  <c r="AX1904" i="16"/>
  <c r="AX1903" i="16"/>
  <c r="AX1902" i="16"/>
  <c r="AX1901" i="16"/>
  <c r="AX1899" i="16"/>
  <c r="AX1897" i="16"/>
  <c r="AX1894" i="16"/>
  <c r="AX1893" i="16"/>
  <c r="AX1892" i="16"/>
  <c r="AX1890" i="16"/>
  <c r="AX1886" i="16"/>
  <c r="AX1885" i="16"/>
  <c r="AX1883" i="16"/>
  <c r="AX1882" i="16"/>
  <c r="AX1881" i="16"/>
  <c r="AX1880" i="16"/>
  <c r="AX1879" i="16"/>
  <c r="AX1878" i="16"/>
  <c r="AX1877" i="16"/>
  <c r="AX1692" i="16"/>
  <c r="AX1691" i="16"/>
  <c r="AX1689" i="16"/>
  <c r="AX1688" i="16"/>
  <c r="AX1687" i="16"/>
  <c r="AX1686" i="16"/>
  <c r="AX1685" i="16"/>
  <c r="AX1684" i="16"/>
  <c r="AX1682" i="16"/>
  <c r="AX1681" i="16"/>
  <c r="AX1680" i="16"/>
  <c r="AX1679" i="16"/>
  <c r="AX1678" i="16"/>
  <c r="AX1677" i="16"/>
  <c r="AX1676" i="16"/>
  <c r="AX1675" i="16"/>
  <c r="AX1674" i="16"/>
  <c r="AX1672" i="16"/>
  <c r="AX1671" i="16"/>
  <c r="AX1670" i="16"/>
  <c r="AX1669" i="16"/>
  <c r="AX1668" i="16"/>
  <c r="AX1667" i="16"/>
  <c r="AX1666" i="16"/>
  <c r="AX1665" i="16"/>
  <c r="AX1664" i="16"/>
  <c r="AX1662" i="16"/>
  <c r="AX1660" i="16"/>
  <c r="AX1657" i="16"/>
  <c r="AX1656" i="16"/>
  <c r="AX1655" i="16"/>
  <c r="AX1653" i="16"/>
  <c r="AX1649" i="16"/>
  <c r="AX1648" i="16"/>
  <c r="AX1641" i="16"/>
  <c r="AX1642" i="16"/>
  <c r="AX1643" i="16"/>
  <c r="AX1644" i="16"/>
  <c r="AX1645" i="16"/>
  <c r="AX1646" i="16"/>
  <c r="AX1640" i="16"/>
  <c r="I5" i="29"/>
  <c r="O192" i="27"/>
  <c r="I1822" i="80" s="1"/>
  <c r="A1822" i="80" s="1"/>
  <c r="O674" i="25"/>
  <c r="S2086" i="16"/>
  <c r="R2085" i="16" s="1"/>
  <c r="T2211" i="16"/>
  <c r="Y2456" i="16"/>
  <c r="Y2454" i="16"/>
  <c r="Y2441" i="16"/>
  <c r="Y2438" i="16"/>
  <c r="Y2436" i="16"/>
  <c r="Y2395" i="16"/>
  <c r="Y2392" i="16"/>
  <c r="Y2391" i="16"/>
  <c r="Y2390" i="16"/>
  <c r="Y2389" i="16"/>
  <c r="Y2387" i="16"/>
  <c r="Y2386" i="16"/>
  <c r="Y2384" i="16"/>
  <c r="Y2377" i="16"/>
  <c r="Y2373" i="16"/>
  <c r="Y2371" i="16"/>
  <c r="Y2365" i="16"/>
  <c r="Y2362" i="16"/>
  <c r="Y2361" i="16"/>
  <c r="Y2359" i="16"/>
  <c r="Y2357" i="16"/>
  <c r="Y2356" i="16"/>
  <c r="Y2354" i="16"/>
  <c r="Y2351" i="16"/>
  <c r="Y2349" i="16"/>
  <c r="Y2346" i="16"/>
  <c r="Y2344" i="16"/>
  <c r="Y2338" i="16"/>
  <c r="Y2337" i="16"/>
  <c r="Y2336" i="16"/>
  <c r="Y2334" i="16"/>
  <c r="Y2333" i="16"/>
  <c r="Y2331" i="16"/>
  <c r="Y2328" i="16"/>
  <c r="Y2325" i="16"/>
  <c r="Y2303" i="16"/>
  <c r="Y2302" i="16"/>
  <c r="Y2301" i="16"/>
  <c r="Y2299" i="16"/>
  <c r="Y2297" i="16"/>
  <c r="Y2295" i="16"/>
  <c r="Y2294" i="16"/>
  <c r="Y2292" i="16"/>
  <c r="Y2290" i="16"/>
  <c r="Y2289" i="16"/>
  <c r="Y2287" i="16"/>
  <c r="Y2285" i="16"/>
  <c r="Y2281" i="16"/>
  <c r="Y2275" i="16"/>
  <c r="Y2274" i="16"/>
  <c r="Y2273" i="16"/>
  <c r="Y2271" i="16"/>
  <c r="Y2270" i="16"/>
  <c r="Y2268" i="16"/>
  <c r="Y2266" i="16"/>
  <c r="Y2265" i="16"/>
  <c r="Y2264" i="16"/>
  <c r="Y2260" i="16"/>
  <c r="Y2259" i="16"/>
  <c r="Y2258" i="16"/>
  <c r="Y2237" i="16"/>
  <c r="Y2232" i="16"/>
  <c r="Y2215" i="16"/>
  <c r="Y2210" i="16"/>
  <c r="Y2202" i="16"/>
  <c r="Y2198" i="16"/>
  <c r="Y2194" i="16"/>
  <c r="Y2190" i="16"/>
  <c r="Y2188" i="16"/>
  <c r="Y2182" i="16"/>
  <c r="Y2180" i="16"/>
  <c r="Y2104" i="16"/>
  <c r="Y2101" i="16"/>
  <c r="Y2098" i="16"/>
  <c r="Y2096" i="16"/>
  <c r="Y2085" i="16"/>
  <c r="Y2078" i="16"/>
  <c r="Y2076" i="16"/>
  <c r="Y2074" i="16"/>
  <c r="Y2067" i="16"/>
  <c r="Y2063" i="16"/>
  <c r="Y2059" i="16"/>
  <c r="Y2056" i="16"/>
  <c r="Y2054" i="16"/>
  <c r="Y2052" i="16"/>
  <c r="Y2050" i="16"/>
  <c r="Y2044" i="16"/>
  <c r="Y2042" i="16"/>
  <c r="Y2036" i="16"/>
  <c r="Y2034" i="16"/>
  <c r="Y2025" i="16"/>
  <c r="Y2021" i="16"/>
  <c r="Y2020" i="16"/>
  <c r="Y2015" i="16"/>
  <c r="Y2006" i="16"/>
  <c r="Y2001" i="16"/>
  <c r="Y1999" i="16"/>
  <c r="Y1998" i="16"/>
  <c r="Y1996" i="16"/>
  <c r="Y1991" i="16"/>
  <c r="Y1985" i="16"/>
  <c r="Y1981" i="16"/>
  <c r="Y1971" i="16"/>
  <c r="Y1962" i="16"/>
  <c r="Y1959" i="16"/>
  <c r="Y1957" i="16"/>
  <c r="Y1943" i="16"/>
  <c r="Y1938" i="16"/>
  <c r="Y1934" i="16"/>
  <c r="Y1928" i="16"/>
  <c r="Y1926" i="16"/>
  <c r="Y1924" i="16"/>
  <c r="Y1921" i="16"/>
  <c r="Y1919" i="16"/>
  <c r="Y1917" i="16"/>
  <c r="Y1914" i="16"/>
  <c r="Y1912" i="16"/>
  <c r="Y1909" i="16"/>
  <c r="Y1903" i="16"/>
  <c r="Y1900" i="16"/>
  <c r="Y1895" i="16"/>
  <c r="Y1892" i="16"/>
  <c r="Y1889" i="16"/>
  <c r="Y1884" i="16"/>
  <c r="Y1878" i="16"/>
  <c r="Y1862" i="16"/>
  <c r="Y1860" i="16"/>
  <c r="Y1857" i="16"/>
  <c r="Y1849" i="16"/>
  <c r="Y1848" i="16"/>
  <c r="Y1846" i="16"/>
  <c r="Y1821" i="16"/>
  <c r="Y1820" i="16"/>
  <c r="Y1818" i="16"/>
  <c r="Y1804" i="16"/>
  <c r="Y1787" i="16"/>
  <c r="Y1785" i="16"/>
  <c r="Y1780" i="16"/>
  <c r="Y1779" i="16"/>
  <c r="Y1778" i="16"/>
  <c r="Y1769" i="16"/>
  <c r="Y1767" i="16"/>
  <c r="Y1763" i="16"/>
  <c r="Y1760" i="16"/>
  <c r="Y1753" i="16"/>
  <c r="Y1751" i="16"/>
  <c r="Y1746" i="16"/>
  <c r="Y1726" i="16"/>
  <c r="Y1721" i="16"/>
  <c r="Y1709" i="16"/>
  <c r="Y1685" i="16"/>
  <c r="Y1684" i="16"/>
  <c r="Y1679" i="16"/>
  <c r="Y1674" i="16"/>
  <c r="Y1663" i="16"/>
  <c r="U2198" i="16"/>
  <c r="U2194" i="16"/>
  <c r="R2190" i="16"/>
  <c r="U2085" i="16"/>
  <c r="U2054" i="16"/>
  <c r="R2054" i="16"/>
  <c r="S2052" i="16"/>
  <c r="R2050" i="16"/>
  <c r="U2034" i="16"/>
  <c r="R2034" i="16"/>
  <c r="S2006" i="16"/>
  <c r="O2006" i="16" s="1"/>
  <c r="S2001" i="16"/>
  <c r="O2001" i="16" s="1"/>
  <c r="S1999" i="16"/>
  <c r="T1999" i="16" s="1"/>
  <c r="AD1999" i="16" s="1"/>
  <c r="AC1999" i="16" s="1"/>
  <c r="S1998" i="16"/>
  <c r="T1998" i="16" s="1"/>
  <c r="AD1998" i="16" s="1"/>
  <c r="AC1998" i="16" s="1"/>
  <c r="S1996" i="16"/>
  <c r="T1982" i="16"/>
  <c r="AD1982" i="16" s="1"/>
  <c r="AC1982" i="16" s="1"/>
  <c r="T1981" i="16"/>
  <c r="AD1981" i="16" s="1"/>
  <c r="AC1981" i="16" s="1"/>
  <c r="T1971" i="16"/>
  <c r="AD1971" i="16" s="1"/>
  <c r="AC1971" i="16" s="1"/>
  <c r="R1962" i="16"/>
  <c r="U1946" i="16"/>
  <c r="U1945" i="16"/>
  <c r="U1944" i="16"/>
  <c r="U1943" i="16"/>
  <c r="U1938" i="16"/>
  <c r="R1938" i="16"/>
  <c r="S1934" i="16"/>
  <c r="U1926" i="16"/>
  <c r="U1924" i="16"/>
  <c r="T1921" i="16"/>
  <c r="AD1921" i="16" s="1"/>
  <c r="AC1921" i="16" s="1"/>
  <c r="U1919" i="16"/>
  <c r="S1919" i="16"/>
  <c r="U1917" i="16"/>
  <c r="S1917" i="16"/>
  <c r="O1917" i="16" s="1"/>
  <c r="U1914" i="16"/>
  <c r="S1914" i="16"/>
  <c r="O1914" i="16" s="1"/>
  <c r="U1912" i="16"/>
  <c r="S1912" i="16"/>
  <c r="O1912" i="16" s="1"/>
  <c r="U1909" i="16"/>
  <c r="S1909" i="16"/>
  <c r="O1909" i="16" s="1"/>
  <c r="U1903" i="16"/>
  <c r="S1900" i="16"/>
  <c r="U1895" i="16"/>
  <c r="R1895" i="16"/>
  <c r="U1892" i="16"/>
  <c r="U1889" i="16"/>
  <c r="AD1860" i="16"/>
  <c r="AC1860" i="16" s="1"/>
  <c r="AD1857" i="16"/>
  <c r="AC1857" i="16" s="1"/>
  <c r="AD1850" i="16"/>
  <c r="AC1850" i="16" s="1"/>
  <c r="AD1848" i="16"/>
  <c r="AC1848" i="16" s="1"/>
  <c r="AD1846" i="16"/>
  <c r="AC1846" i="16" s="1"/>
  <c r="AD1804" i="16"/>
  <c r="AC1804" i="16" s="1"/>
  <c r="AD1753" i="16"/>
  <c r="AC1753" i="16" s="1"/>
  <c r="U1685" i="16"/>
  <c r="AD1685" i="16"/>
  <c r="AC1685" i="16" s="1"/>
  <c r="AD1684" i="16"/>
  <c r="AC1684" i="16" s="1"/>
  <c r="T2085" i="16"/>
  <c r="AD2085" i="16" s="1"/>
  <c r="Y1201" i="16"/>
  <c r="Y1611" i="16"/>
  <c r="Y1603" i="16"/>
  <c r="Y1600" i="16"/>
  <c r="Y1599" i="16"/>
  <c r="Y1595" i="16"/>
  <c r="Y1580" i="16"/>
  <c r="Y1578" i="16"/>
  <c r="Y1576" i="16"/>
  <c r="Y1574" i="16"/>
  <c r="Y1571" i="16"/>
  <c r="Y1570" i="16"/>
  <c r="Y1569" i="16"/>
  <c r="Y1568" i="16"/>
  <c r="Y1567" i="16"/>
  <c r="Y1566" i="16"/>
  <c r="Y1565" i="16"/>
  <c r="Y1564" i="16"/>
  <c r="Y1556" i="16"/>
  <c r="Y1549" i="16"/>
  <c r="Y1544" i="16"/>
  <c r="Y1541" i="16"/>
  <c r="Y1539" i="16"/>
  <c r="Y1538" i="16"/>
  <c r="Y1537" i="16"/>
  <c r="Y1536" i="16"/>
  <c r="Y1529" i="16"/>
  <c r="Y1527" i="16"/>
  <c r="Y1525" i="16"/>
  <c r="Y1522" i="16"/>
  <c r="Y1521" i="16"/>
  <c r="Y1520" i="16"/>
  <c r="Y1519" i="16"/>
  <c r="Y1518" i="16"/>
  <c r="Y1517" i="16"/>
  <c r="Y1516" i="16"/>
  <c r="Y1507" i="16"/>
  <c r="Y1496" i="16"/>
  <c r="Y1493" i="16"/>
  <c r="Y1480" i="16"/>
  <c r="Y1474" i="16"/>
  <c r="Y1473" i="16"/>
  <c r="Y1472" i="16"/>
  <c r="Y1471" i="16"/>
  <c r="Y1470" i="16"/>
  <c r="Y1469" i="16"/>
  <c r="Y1467" i="16"/>
  <c r="Y1457" i="16"/>
  <c r="Y1456" i="16"/>
  <c r="Y1453" i="16"/>
  <c r="Y1451" i="16"/>
  <c r="Y1448" i="16"/>
  <c r="Y1443" i="16"/>
  <c r="Y1438" i="16"/>
  <c r="Y1434" i="16"/>
  <c r="Y1431" i="16"/>
  <c r="Y1427" i="16"/>
  <c r="Y1411" i="16"/>
  <c r="Y1408" i="16"/>
  <c r="Y1405" i="16"/>
  <c r="Y1397" i="16"/>
  <c r="Y1394" i="16"/>
  <c r="Y1390" i="16"/>
  <c r="Y1385" i="16"/>
  <c r="Y1383" i="16"/>
  <c r="Y1381" i="16"/>
  <c r="Y1376" i="16"/>
  <c r="Y1374" i="16"/>
  <c r="Y1371" i="16"/>
  <c r="Y1369" i="16"/>
  <c r="Y1368" i="16"/>
  <c r="Y1367" i="16"/>
  <c r="Y1365" i="16"/>
  <c r="Y1357" i="16"/>
  <c r="Y1352" i="16"/>
  <c r="Y1351" i="16"/>
  <c r="Y1350" i="16"/>
  <c r="Y1347" i="16"/>
  <c r="Y1345" i="16"/>
  <c r="Y1344" i="16"/>
  <c r="Y1343" i="16"/>
  <c r="Y1340" i="16"/>
  <c r="Y1338" i="16"/>
  <c r="Y1336" i="16"/>
  <c r="Y1334" i="16"/>
  <c r="Y1332" i="16"/>
  <c r="Y1327" i="16"/>
  <c r="Y1326" i="16"/>
  <c r="Y1325" i="16"/>
  <c r="Y1322" i="16"/>
  <c r="Y1320" i="16"/>
  <c r="Y1318" i="16"/>
  <c r="Y1298" i="16"/>
  <c r="Y1297" i="16"/>
  <c r="Y1295" i="16"/>
  <c r="Y1293" i="16"/>
  <c r="Y1244" i="16"/>
  <c r="Y1234" i="16"/>
  <c r="Y1232" i="16"/>
  <c r="Y1230" i="16"/>
  <c r="Y1229" i="16"/>
  <c r="Y1226" i="16"/>
  <c r="Y1224" i="16"/>
  <c r="Y1218" i="16"/>
  <c r="Y1211" i="16"/>
  <c r="Y1205" i="16"/>
  <c r="Y1200" i="16"/>
  <c r="Y1198" i="16"/>
  <c r="Y1192" i="16"/>
  <c r="Y1188" i="16"/>
  <c r="Y1180" i="16"/>
  <c r="Y1174" i="16"/>
  <c r="Y1169" i="16"/>
  <c r="Y1166" i="16"/>
  <c r="Y1160" i="16"/>
  <c r="Y1154" i="16"/>
  <c r="Y1147" i="16"/>
  <c r="Y1140" i="16"/>
  <c r="Y1130" i="16"/>
  <c r="Y1122" i="16"/>
  <c r="Y1114" i="16"/>
  <c r="Y1106" i="16"/>
  <c r="Y1102" i="16"/>
  <c r="Y1099" i="16"/>
  <c r="Y1097" i="16"/>
  <c r="Y1090" i="16"/>
  <c r="Y1084" i="16"/>
  <c r="Y1081" i="16"/>
  <c r="Y1066" i="16"/>
  <c r="Y1062" i="16"/>
  <c r="Y1059" i="16"/>
  <c r="Y1053" i="16"/>
  <c r="Y1049" i="16"/>
  <c r="Y1043" i="16"/>
  <c r="Y1042" i="16"/>
  <c r="Y1040" i="16"/>
  <c r="Y1030" i="16"/>
  <c r="Y1020" i="16"/>
  <c r="Y1017" i="16"/>
  <c r="Y1015" i="16"/>
  <c r="Y1012" i="16"/>
  <c r="Y1011" i="16"/>
  <c r="Y1010" i="16"/>
  <c r="Y1008" i="16"/>
  <c r="Y1005" i="16"/>
  <c r="Y1003" i="16"/>
  <c r="Y999" i="16"/>
  <c r="Y998" i="16"/>
  <c r="Y991" i="16"/>
  <c r="Y989" i="16"/>
  <c r="Y988" i="16"/>
  <c r="Y987" i="16"/>
  <c r="Y986" i="16"/>
  <c r="Y984" i="16"/>
  <c r="Y983" i="16"/>
  <c r="Y981" i="16"/>
  <c r="Y980" i="16"/>
  <c r="Y975" i="16"/>
  <c r="Y970" i="16"/>
  <c r="Y968" i="16"/>
  <c r="Y967" i="16"/>
  <c r="Y966" i="16"/>
  <c r="Y965" i="16"/>
  <c r="Y964" i="16"/>
  <c r="Y963" i="16"/>
  <c r="Y962" i="16"/>
  <c r="Y961" i="16"/>
  <c r="Y960" i="16"/>
  <c r="Y959" i="16"/>
  <c r="Y958" i="16"/>
  <c r="Y954" i="16"/>
  <c r="Y951" i="16"/>
  <c r="Y950" i="16"/>
  <c r="Y947" i="16"/>
  <c r="Y941" i="16"/>
  <c r="Y938" i="16"/>
  <c r="Y933" i="16"/>
  <c r="Y897" i="16"/>
  <c r="Y894" i="16"/>
  <c r="Y890" i="16"/>
  <c r="Y887" i="16"/>
  <c r="BD885" i="16"/>
  <c r="BC885" i="16"/>
  <c r="AX889" i="16"/>
  <c r="AX890" i="16"/>
  <c r="AX894" i="16"/>
  <c r="AX896" i="16"/>
  <c r="AX897" i="16"/>
  <c r="AX898" i="16"/>
  <c r="AX901" i="16"/>
  <c r="AX903" i="16"/>
  <c r="AX905" i="16"/>
  <c r="AX906" i="16"/>
  <c r="AX907" i="16"/>
  <c r="AX908" i="16"/>
  <c r="AX909" i="16"/>
  <c r="AX910" i="16"/>
  <c r="AX911" i="16"/>
  <c r="AX912" i="16"/>
  <c r="AX913" i="16"/>
  <c r="AX915" i="16"/>
  <c r="AX916" i="16"/>
  <c r="AX917" i="16"/>
  <c r="AX918" i="16"/>
  <c r="AX919" i="16"/>
  <c r="AX920" i="16"/>
  <c r="AX921" i="16"/>
  <c r="AX922" i="16"/>
  <c r="AX923" i="16"/>
  <c r="AX926" i="16"/>
  <c r="AX927" i="16"/>
  <c r="AX928" i="16"/>
  <c r="AX929" i="16"/>
  <c r="AX930" i="16"/>
  <c r="AX932" i="16"/>
  <c r="AX933" i="16"/>
  <c r="AX882" i="16"/>
  <c r="AX883" i="16"/>
  <c r="AX884" i="16"/>
  <c r="AX885" i="16"/>
  <c r="AX886" i="16"/>
  <c r="AX887" i="16"/>
  <c r="AX881" i="16"/>
  <c r="S1600" i="16"/>
  <c r="O1600" i="16" s="1"/>
  <c r="S1599" i="16"/>
  <c r="O1599" i="16" s="1"/>
  <c r="S1571" i="16"/>
  <c r="T1571" i="16" s="1"/>
  <c r="AD1571" i="16" s="1"/>
  <c r="AC1571" i="16" s="1"/>
  <c r="S1570" i="16"/>
  <c r="T1570" i="16" s="1"/>
  <c r="AD1570" i="16" s="1"/>
  <c r="AC1570" i="16" s="1"/>
  <c r="S1569" i="16"/>
  <c r="T1569" i="16" s="1"/>
  <c r="AD1569" i="16" s="1"/>
  <c r="AC1569" i="16" s="1"/>
  <c r="S1568" i="16"/>
  <c r="T1568" i="16" s="1"/>
  <c r="AD1568" i="16" s="1"/>
  <c r="AC1568" i="16" s="1"/>
  <c r="S1567" i="16"/>
  <c r="T1567" i="16" s="1"/>
  <c r="AD1567" i="16" s="1"/>
  <c r="AC1567" i="16" s="1"/>
  <c r="S1566" i="16"/>
  <c r="T1566" i="16" s="1"/>
  <c r="AD1566" i="16" s="1"/>
  <c r="AC1566" i="16" s="1"/>
  <c r="S1565" i="16"/>
  <c r="T1565" i="16" s="1"/>
  <c r="AD1565" i="16" s="1"/>
  <c r="AC1565" i="16" s="1"/>
  <c r="S1564" i="16"/>
  <c r="U1549" i="16"/>
  <c r="U1507" i="16"/>
  <c r="S1480" i="16"/>
  <c r="O1480" i="16" s="1"/>
  <c r="U1443" i="16"/>
  <c r="U1438" i="16"/>
  <c r="U1434" i="16"/>
  <c r="U1427" i="16"/>
  <c r="U1234" i="16"/>
  <c r="U1148" i="16"/>
  <c r="U1141" i="16"/>
  <c r="U1130" i="16"/>
  <c r="U1122" i="16"/>
  <c r="U1114" i="16"/>
  <c r="U1030" i="16"/>
  <c r="U941" i="16"/>
  <c r="U898" i="16"/>
  <c r="AF882" i="16"/>
  <c r="U882" i="16"/>
  <c r="T882" i="16"/>
  <c r="AD882" i="16" s="1"/>
  <c r="AC882" i="16" s="1"/>
  <c r="AM12" i="29"/>
  <c r="AM371" i="28"/>
  <c r="AM366" i="28"/>
  <c r="AM349" i="28"/>
  <c r="AM344" i="28"/>
  <c r="AM336" i="28"/>
  <c r="AM334" i="28"/>
  <c r="AM333" i="28"/>
  <c r="AM331" i="28"/>
  <c r="AM329" i="28"/>
  <c r="AM322" i="28"/>
  <c r="AM312" i="28"/>
  <c r="AM235" i="28"/>
  <c r="AM232" i="28"/>
  <c r="AM230" i="28"/>
  <c r="AM228" i="28"/>
  <c r="AM227" i="28"/>
  <c r="AM225" i="28"/>
  <c r="AM223" i="28"/>
  <c r="AM206" i="28"/>
  <c r="AM204" i="28"/>
  <c r="AM202" i="28"/>
  <c r="AM201" i="28"/>
  <c r="AM197" i="28"/>
  <c r="AM196" i="28"/>
  <c r="AM195" i="28"/>
  <c r="AM193" i="28"/>
  <c r="AM190" i="28"/>
  <c r="AM186" i="28"/>
  <c r="AM178" i="28"/>
  <c r="AM176" i="28"/>
  <c r="AM173" i="28"/>
  <c r="AM172" i="28"/>
  <c r="AM159" i="28"/>
  <c r="AM155" i="28"/>
  <c r="AM154" i="28"/>
  <c r="AM149" i="28"/>
  <c r="AM140" i="28"/>
  <c r="AM135" i="28"/>
  <c r="AM128" i="28"/>
  <c r="AM119" i="28"/>
  <c r="AM98" i="28"/>
  <c r="AM93" i="28"/>
  <c r="AM91" i="28"/>
  <c r="AM87" i="28"/>
  <c r="AM85" i="28"/>
  <c r="AM84" i="28"/>
  <c r="AM83" i="28"/>
  <c r="AM81" i="28"/>
  <c r="AM69" i="28"/>
  <c r="AM68" i="28"/>
  <c r="AM62" i="28"/>
  <c r="AM61" i="28"/>
  <c r="AM59" i="28"/>
  <c r="AM55" i="28"/>
  <c r="AM54" i="28"/>
  <c r="AM52" i="28"/>
  <c r="AM49" i="28"/>
  <c r="AM47" i="28"/>
  <c r="AM44" i="28"/>
  <c r="AM39" i="28"/>
  <c r="AM38" i="28"/>
  <c r="AM34" i="28"/>
  <c r="AM27" i="28"/>
  <c r="AM28" i="28"/>
  <c r="AM25" i="28"/>
  <c r="AM24" i="28"/>
  <c r="AM18" i="28"/>
  <c r="AM12" i="28"/>
  <c r="U278" i="25"/>
  <c r="DH4" i="2" s="1"/>
  <c r="AM741" i="25"/>
  <c r="AM733" i="25"/>
  <c r="AM730" i="25"/>
  <c r="AM729" i="25"/>
  <c r="AM725" i="25"/>
  <c r="AM708" i="25"/>
  <c r="AM706" i="25"/>
  <c r="AM704" i="25"/>
  <c r="AM689" i="25"/>
  <c r="AM688" i="25"/>
  <c r="AM684" i="25"/>
  <c r="AM682" i="25"/>
  <c r="AM674" i="25"/>
  <c r="AM671" i="25"/>
  <c r="AM669" i="25"/>
  <c r="AM668" i="25"/>
  <c r="AM667" i="25"/>
  <c r="AM666" i="25"/>
  <c r="AM664" i="25"/>
  <c r="AM659" i="25"/>
  <c r="AM657" i="25"/>
  <c r="AM655" i="25"/>
  <c r="AM643" i="25"/>
  <c r="AM641" i="25"/>
  <c r="AM640" i="25"/>
  <c r="AM626" i="25"/>
  <c r="AM623" i="25"/>
  <c r="AM610" i="25"/>
  <c r="AM597" i="25"/>
  <c r="AM587" i="25"/>
  <c r="AM586" i="25"/>
  <c r="AM583" i="25"/>
  <c r="AM581" i="25"/>
  <c r="AM578" i="25"/>
  <c r="AM577" i="25"/>
  <c r="AM576" i="25"/>
  <c r="AM572" i="25"/>
  <c r="AM571" i="25"/>
  <c r="AM567" i="25"/>
  <c r="AM566" i="25"/>
  <c r="AM561" i="25"/>
  <c r="AM560" i="25"/>
  <c r="AM559" i="25"/>
  <c r="AM517" i="25"/>
  <c r="AM492" i="25"/>
  <c r="AM491" i="25"/>
  <c r="AM487" i="25"/>
  <c r="AM460" i="25"/>
  <c r="AM457" i="25"/>
  <c r="AM456" i="25"/>
  <c r="AM455" i="25"/>
  <c r="AM452" i="25"/>
  <c r="AM450" i="25"/>
  <c r="AM427" i="25"/>
  <c r="AM425" i="25"/>
  <c r="AM422" i="25"/>
  <c r="AM420" i="25"/>
  <c r="AM418" i="25"/>
  <c r="AM341" i="25"/>
  <c r="AM328" i="25"/>
  <c r="AM284" i="25"/>
  <c r="AM252" i="25"/>
  <c r="AM232" i="25"/>
  <c r="AM227" i="25"/>
  <c r="AM220" i="25"/>
  <c r="AM195" i="25"/>
  <c r="AM183" i="25"/>
  <c r="U168" i="28"/>
  <c r="FE4" i="2" s="1"/>
  <c r="AE626" i="25"/>
  <c r="P8" i="23"/>
  <c r="AX11" i="29"/>
  <c r="AY11" i="29"/>
  <c r="AX12" i="29"/>
  <c r="AY12" i="29"/>
  <c r="AX13" i="29"/>
  <c r="AY13" i="29"/>
  <c r="AX14" i="29"/>
  <c r="AY14" i="29"/>
  <c r="AX15" i="29"/>
  <c r="AY15" i="29"/>
  <c r="BC15" i="29"/>
  <c r="BD15" i="29"/>
  <c r="AX16" i="29"/>
  <c r="AY16" i="29"/>
  <c r="AX17" i="29"/>
  <c r="AY17" i="29"/>
  <c r="AX19" i="29"/>
  <c r="AX20" i="29"/>
  <c r="AY20" i="29"/>
  <c r="AX24" i="29"/>
  <c r="AY24" i="29"/>
  <c r="AX26" i="29"/>
  <c r="AY26" i="29"/>
  <c r="AX27" i="29"/>
  <c r="AY27" i="29"/>
  <c r="AX28" i="29"/>
  <c r="AY28" i="29"/>
  <c r="AX31" i="29"/>
  <c r="AY31" i="29"/>
  <c r="AX34" i="29"/>
  <c r="AY34" i="29"/>
  <c r="AX36" i="29"/>
  <c r="AY36" i="29"/>
  <c r="AX37" i="29"/>
  <c r="AY37" i="29"/>
  <c r="AX38" i="29"/>
  <c r="AY38" i="29"/>
  <c r="AX39" i="29"/>
  <c r="AY39" i="29"/>
  <c r="AX40" i="29"/>
  <c r="AY40" i="29"/>
  <c r="AX41" i="29"/>
  <c r="AY41" i="29"/>
  <c r="AX42" i="29"/>
  <c r="AY42" i="29"/>
  <c r="AX43" i="29"/>
  <c r="AY43" i="29"/>
  <c r="AX44" i="29"/>
  <c r="AY44" i="29"/>
  <c r="AX46" i="29"/>
  <c r="AY46" i="29"/>
  <c r="AX47" i="29"/>
  <c r="AY47" i="29"/>
  <c r="AX48" i="29"/>
  <c r="AY48" i="29"/>
  <c r="AX49" i="29"/>
  <c r="AY49" i="29"/>
  <c r="AX50" i="29"/>
  <c r="AY50" i="29"/>
  <c r="AX51" i="29"/>
  <c r="AY51" i="29"/>
  <c r="AX52" i="29"/>
  <c r="AY52" i="29"/>
  <c r="AX53" i="29"/>
  <c r="AY53" i="29"/>
  <c r="AX54" i="29"/>
  <c r="AY54" i="29"/>
  <c r="AX56" i="29"/>
  <c r="AY56" i="29"/>
  <c r="AX57" i="29"/>
  <c r="AY57" i="29"/>
  <c r="AX58" i="29"/>
  <c r="AY58" i="29"/>
  <c r="AX59" i="29"/>
  <c r="AY59" i="29"/>
  <c r="AX60" i="29"/>
  <c r="AY60" i="29"/>
  <c r="AX61" i="29"/>
  <c r="AY61" i="29"/>
  <c r="AX63" i="29"/>
  <c r="AY63" i="29"/>
  <c r="AX64" i="29"/>
  <c r="AY64" i="29"/>
  <c r="G20" i="72"/>
  <c r="G21" i="72" s="1"/>
  <c r="F20" i="72"/>
  <c r="F21" i="72" s="1"/>
  <c r="E20" i="72"/>
  <c r="E21" i="72" s="1"/>
  <c r="D20" i="72"/>
  <c r="D21" i="72" s="1"/>
  <c r="A21" i="3"/>
  <c r="D21" i="3" s="1"/>
  <c r="AX62" i="16"/>
  <c r="AX57" i="16"/>
  <c r="AX58" i="16"/>
  <c r="AX59" i="16"/>
  <c r="AX61" i="16"/>
  <c r="AX34" i="16"/>
  <c r="AX35" i="16"/>
  <c r="AX36" i="16"/>
  <c r="AX37" i="16"/>
  <c r="AX38" i="16"/>
  <c r="AX39" i="16"/>
  <c r="AX40" i="16"/>
  <c r="AX41" i="16"/>
  <c r="AX42" i="16"/>
  <c r="AX44" i="16"/>
  <c r="AX45" i="16"/>
  <c r="AX46" i="16"/>
  <c r="AX47" i="16"/>
  <c r="AX48" i="16"/>
  <c r="AX49" i="16"/>
  <c r="AX50" i="16"/>
  <c r="AX51" i="16"/>
  <c r="AX52" i="16"/>
  <c r="AX54" i="16"/>
  <c r="AX55" i="16"/>
  <c r="AX56" i="16"/>
  <c r="AX27" i="16"/>
  <c r="Q38" i="23"/>
  <c r="Q39" i="23"/>
  <c r="P40" i="23"/>
  <c r="Q40" i="23"/>
  <c r="P41" i="23"/>
  <c r="Q41" i="23"/>
  <c r="Q42" i="23"/>
  <c r="P45" i="23"/>
  <c r="P47" i="23"/>
  <c r="E46" i="23"/>
  <c r="E47" i="23"/>
  <c r="E38" i="23"/>
  <c r="E39" i="23"/>
  <c r="E40" i="23"/>
  <c r="E41" i="23"/>
  <c r="E42" i="23"/>
  <c r="E44" i="23"/>
  <c r="E45" i="23"/>
  <c r="E27" i="23"/>
  <c r="AX39" i="27"/>
  <c r="AY39" i="27"/>
  <c r="AX40" i="27"/>
  <c r="AY40" i="27"/>
  <c r="AX41" i="27"/>
  <c r="AY41" i="27"/>
  <c r="AX42" i="27"/>
  <c r="AY42" i="27"/>
  <c r="AX43" i="27"/>
  <c r="AY43" i="27"/>
  <c r="AX44" i="27"/>
  <c r="AY44" i="27"/>
  <c r="AX45" i="27"/>
  <c r="AY45" i="27"/>
  <c r="AX46" i="27"/>
  <c r="AY46" i="27"/>
  <c r="AX47" i="27"/>
  <c r="AY47" i="27"/>
  <c r="AX48" i="27"/>
  <c r="AY48" i="27"/>
  <c r="AX28" i="27"/>
  <c r="AY28" i="27"/>
  <c r="AX39" i="24"/>
  <c r="AY39" i="24"/>
  <c r="AX40" i="24"/>
  <c r="AY40" i="24"/>
  <c r="AX41" i="24"/>
  <c r="AY41" i="24"/>
  <c r="AX42" i="24"/>
  <c r="AY42" i="24"/>
  <c r="AX43" i="24"/>
  <c r="AY43" i="24"/>
  <c r="AX45" i="24"/>
  <c r="AY45" i="24"/>
  <c r="AX46" i="24"/>
  <c r="AY46" i="24"/>
  <c r="AX47" i="24"/>
  <c r="AY47" i="24"/>
  <c r="AX48" i="24"/>
  <c r="AY48" i="24"/>
  <c r="AX28" i="24"/>
  <c r="AY28" i="24"/>
  <c r="S60" i="24" s="1"/>
  <c r="AX39" i="8"/>
  <c r="AY39" i="8"/>
  <c r="AX40" i="8"/>
  <c r="AY40" i="8"/>
  <c r="AX41" i="8"/>
  <c r="AY41" i="8"/>
  <c r="AX42" i="8"/>
  <c r="AY42" i="8"/>
  <c r="AX43" i="8"/>
  <c r="AY43" i="8"/>
  <c r="AX45" i="8"/>
  <c r="AY45" i="8"/>
  <c r="AX46" i="8"/>
  <c r="AY46" i="8"/>
  <c r="AX47" i="8"/>
  <c r="AY47" i="8"/>
  <c r="AX48" i="8"/>
  <c r="AY48" i="8"/>
  <c r="AX28" i="8"/>
  <c r="AY28" i="8"/>
  <c r="O146" i="28"/>
  <c r="U260" i="25"/>
  <c r="DF4" i="2" s="1"/>
  <c r="U252" i="25"/>
  <c r="DE4" i="2" s="1"/>
  <c r="U244" i="25"/>
  <c r="DD4" i="2" s="1"/>
  <c r="U271" i="25"/>
  <c r="DG4" i="2" s="1"/>
  <c r="AD29" i="28"/>
  <c r="AD72" i="28"/>
  <c r="AD188" i="28"/>
  <c r="AD184" i="28"/>
  <c r="AE68" i="28"/>
  <c r="T345" i="28"/>
  <c r="S349" i="28" s="1"/>
  <c r="O371" i="28"/>
  <c r="O366" i="28"/>
  <c r="O322" i="28"/>
  <c r="S220" i="28"/>
  <c r="R219" i="28" s="1"/>
  <c r="N7" i="10"/>
  <c r="S626" i="25"/>
  <c r="O626" i="25" s="1"/>
  <c r="I1495" i="80" s="1"/>
  <c r="I1486" i="80" s="1"/>
  <c r="N26" i="10"/>
  <c r="O206" i="28"/>
  <c r="O201" i="28"/>
  <c r="O197" i="28"/>
  <c r="O193" i="28"/>
  <c r="O190" i="28"/>
  <c r="N2056" i="16" s="1"/>
  <c r="G2057" i="16" s="1"/>
  <c r="G2058" i="16" s="1"/>
  <c r="S186" i="28"/>
  <c r="O159" i="28"/>
  <c r="S133" i="28"/>
  <c r="T133" i="28" s="1"/>
  <c r="AD133" i="28" s="1"/>
  <c r="S132" i="28"/>
  <c r="T132" i="28" s="1"/>
  <c r="AD132" i="28" s="1"/>
  <c r="S130" i="28"/>
  <c r="T130" i="28" s="1"/>
  <c r="AD130" i="28" s="1"/>
  <c r="S135" i="28"/>
  <c r="O135" i="28" s="1"/>
  <c r="S140" i="28"/>
  <c r="T140" i="28" s="1"/>
  <c r="AD140" i="28" s="1"/>
  <c r="O119" i="28"/>
  <c r="O98" i="28"/>
  <c r="T116" i="28"/>
  <c r="AD116" i="28" s="1"/>
  <c r="AC116" i="28" s="1"/>
  <c r="T115" i="28"/>
  <c r="AD115" i="28" s="1"/>
  <c r="T105" i="28"/>
  <c r="AD105" i="28" s="1"/>
  <c r="R168" i="28"/>
  <c r="R184" i="28"/>
  <c r="M184" i="28" s="1"/>
  <c r="AM184" i="28" s="1"/>
  <c r="R188" i="28"/>
  <c r="R324" i="28"/>
  <c r="M324" i="28" s="1"/>
  <c r="AM324" i="28" s="1"/>
  <c r="R96" i="28"/>
  <c r="AE96" i="28" s="1"/>
  <c r="O93" i="28"/>
  <c r="O91" i="28"/>
  <c r="R72" i="28"/>
  <c r="M72" i="28" s="1"/>
  <c r="AM72" i="28" s="1"/>
  <c r="S68" i="28"/>
  <c r="S60" i="28"/>
  <c r="S58" i="28"/>
  <c r="R58" i="28" s="1"/>
  <c r="AE58" i="28" s="1"/>
  <c r="O55" i="28"/>
  <c r="S53" i="28"/>
  <c r="T53" i="28" s="1"/>
  <c r="AD53" i="28" s="1"/>
  <c r="S51" i="28"/>
  <c r="T51" i="28" s="1"/>
  <c r="AD51" i="28" s="1"/>
  <c r="S48" i="28"/>
  <c r="S46" i="28"/>
  <c r="T46" i="28" s="1"/>
  <c r="AD46" i="28" s="1"/>
  <c r="S43" i="28"/>
  <c r="T43" i="28" s="1"/>
  <c r="O18" i="28"/>
  <c r="N1884" i="16" s="1"/>
  <c r="G1885" i="16" s="1"/>
  <c r="G1886" i="16" s="1"/>
  <c r="O12" i="28"/>
  <c r="I1879" i="80" s="1"/>
  <c r="R29" i="28"/>
  <c r="M29" i="28" s="1"/>
  <c r="AM29" i="28" s="1"/>
  <c r="S34" i="28"/>
  <c r="T34" i="28" s="1"/>
  <c r="AD34" i="28" s="1"/>
  <c r="AX46" i="28"/>
  <c r="AY46" i="28"/>
  <c r="AX47" i="28"/>
  <c r="AY47" i="28"/>
  <c r="AX48" i="28"/>
  <c r="AY48" i="28"/>
  <c r="AX39" i="28"/>
  <c r="AY39" i="28"/>
  <c r="AX40" i="28"/>
  <c r="AY40" i="28"/>
  <c r="AX41" i="28"/>
  <c r="AY41" i="28"/>
  <c r="AX42" i="28"/>
  <c r="AY42" i="28"/>
  <c r="AX43" i="28"/>
  <c r="AY43" i="28"/>
  <c r="S235" i="28" s="1"/>
  <c r="T235" i="28" s="1"/>
  <c r="AD235" i="28" s="1"/>
  <c r="AX45" i="28"/>
  <c r="AY45" i="28"/>
  <c r="AX28" i="28"/>
  <c r="AY28" i="28"/>
  <c r="U80" i="28"/>
  <c r="FD4" i="2" s="1"/>
  <c r="U79" i="28"/>
  <c r="FC4" i="2" s="1"/>
  <c r="U78" i="28"/>
  <c r="FB4" i="2" s="1"/>
  <c r="U77" i="28"/>
  <c r="FA4" i="2" s="1"/>
  <c r="U332" i="28"/>
  <c r="FJ4" i="2" s="1"/>
  <c r="U328" i="28"/>
  <c r="FI4" i="2" s="1"/>
  <c r="U219" i="28"/>
  <c r="U188" i="28"/>
  <c r="FF4" i="2" s="1"/>
  <c r="U72" i="28"/>
  <c r="EZ4" i="2" s="1"/>
  <c r="U60" i="28"/>
  <c r="EY4" i="2" s="1"/>
  <c r="U58" i="28"/>
  <c r="EX4" i="2" s="1"/>
  <c r="U53" i="28"/>
  <c r="EW4" i="2" s="1"/>
  <c r="U51" i="28"/>
  <c r="EV4" i="2" s="1"/>
  <c r="U48" i="28"/>
  <c r="EU4" i="2" s="1"/>
  <c r="U46" i="28"/>
  <c r="ET4" i="2" s="1"/>
  <c r="U43" i="28"/>
  <c r="ES4" i="2" s="1"/>
  <c r="U37" i="28"/>
  <c r="ER4" i="2" s="1"/>
  <c r="U29" i="28"/>
  <c r="EQ4" i="2" s="1"/>
  <c r="U26" i="28"/>
  <c r="EP4" i="2" s="1"/>
  <c r="U23" i="28"/>
  <c r="EO4" i="2" s="1"/>
  <c r="U364" i="25"/>
  <c r="DI4" i="2" s="1"/>
  <c r="U375" i="25"/>
  <c r="M129" i="29"/>
  <c r="M105" i="29"/>
  <c r="M104" i="29"/>
  <c r="M102" i="29"/>
  <c r="M89" i="29"/>
  <c r="M87" i="29"/>
  <c r="M86" i="29"/>
  <c r="M84" i="29"/>
  <c r="M83" i="29"/>
  <c r="M20" i="29"/>
  <c r="M19" i="29"/>
  <c r="M18" i="29"/>
  <c r="U71" i="25"/>
  <c r="CM4" i="2" s="1"/>
  <c r="U160" i="25"/>
  <c r="DA4" i="2" s="1"/>
  <c r="U568" i="25"/>
  <c r="DP4" i="2" s="1"/>
  <c r="U679" i="25"/>
  <c r="DS4" i="2" s="1"/>
  <c r="U637" i="25"/>
  <c r="DR4" i="2" s="1"/>
  <c r="S610" i="25"/>
  <c r="O610" i="25" s="1"/>
  <c r="O597" i="25"/>
  <c r="I1466" i="80" s="1"/>
  <c r="G1463" i="16"/>
  <c r="O587" i="25"/>
  <c r="O586" i="25"/>
  <c r="O581" i="25"/>
  <c r="N1451" i="16" s="1"/>
  <c r="G1452" i="16" s="1"/>
  <c r="O578" i="25"/>
  <c r="I1447" i="80" s="1"/>
  <c r="O561" i="25"/>
  <c r="W128" i="85" s="1"/>
  <c r="U573" i="25"/>
  <c r="DQ4" i="2" s="1"/>
  <c r="U564" i="25"/>
  <c r="DO4" i="2" s="1"/>
  <c r="U557" i="25"/>
  <c r="DN4" i="2" s="1"/>
  <c r="I1410" i="80"/>
  <c r="S700" i="25"/>
  <c r="T700" i="25" s="1"/>
  <c r="AD700" i="25" s="1"/>
  <c r="S699" i="25"/>
  <c r="T699" i="25" s="1"/>
  <c r="AD699" i="25" s="1"/>
  <c r="S698" i="25"/>
  <c r="T698" i="25" s="1"/>
  <c r="AD698" i="25" s="1"/>
  <c r="S697" i="25"/>
  <c r="T697" i="25" s="1"/>
  <c r="AD697" i="25" s="1"/>
  <c r="S696" i="25"/>
  <c r="T696" i="25" s="1"/>
  <c r="AD696" i="25" s="1"/>
  <c r="S695" i="25"/>
  <c r="T695" i="25" s="1"/>
  <c r="AD695" i="25" s="1"/>
  <c r="S694" i="25"/>
  <c r="T694" i="25" s="1"/>
  <c r="AD694" i="25" s="1"/>
  <c r="S701" i="25"/>
  <c r="T701" i="25" s="1"/>
  <c r="AD701" i="25" s="1"/>
  <c r="S730" i="25"/>
  <c r="S741" i="25"/>
  <c r="T741" i="25" s="1"/>
  <c r="AD741" i="25" s="1"/>
  <c r="AC741" i="25" s="1"/>
  <c r="S729" i="25"/>
  <c r="T729" i="25" s="1"/>
  <c r="AD729" i="25" s="1"/>
  <c r="O733" i="25"/>
  <c r="AO733" i="25" s="1"/>
  <c r="O704" i="25"/>
  <c r="I1573" i="80" s="1"/>
  <c r="O706" i="25"/>
  <c r="I1575" i="80" s="1"/>
  <c r="O708" i="25"/>
  <c r="O664" i="25"/>
  <c r="AM233" i="27"/>
  <c r="AM231" i="27"/>
  <c r="AM228" i="27"/>
  <c r="AM223" i="27"/>
  <c r="AM220" i="27"/>
  <c r="AM219" i="27"/>
  <c r="AM217" i="27"/>
  <c r="AM192" i="27"/>
  <c r="AM191" i="27"/>
  <c r="AM189" i="27"/>
  <c r="AM183" i="27"/>
  <c r="AM181" i="27"/>
  <c r="AM180" i="27"/>
  <c r="AM179" i="27"/>
  <c r="AM176" i="27"/>
  <c r="AM164" i="27"/>
  <c r="AM158" i="27"/>
  <c r="AM156" i="27"/>
  <c r="AM151" i="27"/>
  <c r="AM150" i="27"/>
  <c r="AM149" i="27"/>
  <c r="AM145" i="27"/>
  <c r="AM140" i="27"/>
  <c r="AM138" i="27"/>
  <c r="AM134" i="27"/>
  <c r="AM124" i="27"/>
  <c r="AM117" i="27"/>
  <c r="AM97" i="27"/>
  <c r="AM95" i="27"/>
  <c r="AM80" i="27"/>
  <c r="AM57" i="27"/>
  <c r="AM56" i="27"/>
  <c r="AM55" i="27"/>
  <c r="AM50" i="27"/>
  <c r="AM45" i="27"/>
  <c r="AM43" i="27"/>
  <c r="AM40" i="27"/>
  <c r="AM38" i="27"/>
  <c r="AM36" i="27"/>
  <c r="AM34" i="27"/>
  <c r="T221" i="27"/>
  <c r="AD221" i="27" s="1"/>
  <c r="AC221" i="27" s="1"/>
  <c r="T189" i="27"/>
  <c r="AD189" i="27" s="1"/>
  <c r="AC189" i="27" s="1"/>
  <c r="T175" i="27"/>
  <c r="AD175" i="27" s="1"/>
  <c r="AC175" i="27" s="1"/>
  <c r="AD192" i="27"/>
  <c r="AC192" i="27" s="1"/>
  <c r="AD191" i="27"/>
  <c r="AC191" i="27" s="1"/>
  <c r="T219" i="27"/>
  <c r="AD219" i="27" s="1"/>
  <c r="AC219" i="27" s="1"/>
  <c r="T217" i="27"/>
  <c r="AD217" i="27" s="1"/>
  <c r="AC217" i="27" s="1"/>
  <c r="T228" i="27"/>
  <c r="AD228" i="27" s="1"/>
  <c r="AC228" i="27" s="1"/>
  <c r="T231" i="27"/>
  <c r="AD231" i="27" s="1"/>
  <c r="AC231" i="27" s="1"/>
  <c r="T233" i="27"/>
  <c r="AD233" i="27" s="1"/>
  <c r="AC233" i="27" s="1"/>
  <c r="O220" i="27"/>
  <c r="I1850" i="80" s="1"/>
  <c r="U217" i="27"/>
  <c r="EM4" i="2" s="1"/>
  <c r="O231" i="27"/>
  <c r="I1861" i="80" s="1"/>
  <c r="A1861" i="80" s="1"/>
  <c r="O228" i="27"/>
  <c r="I1858" i="80" s="1"/>
  <c r="A1858" i="80" s="1"/>
  <c r="U189" i="27"/>
  <c r="EI4" i="2" s="1"/>
  <c r="O164" i="27"/>
  <c r="T150" i="27"/>
  <c r="AD150" i="27" s="1"/>
  <c r="AC150" i="27" s="1"/>
  <c r="AD117" i="27"/>
  <c r="AC117" i="27" s="1"/>
  <c r="AD143" i="27"/>
  <c r="R143" i="27"/>
  <c r="AE143" i="27" s="1"/>
  <c r="T145" i="27"/>
  <c r="AD145" i="27" s="1"/>
  <c r="AC145" i="27" s="1"/>
  <c r="O145" i="27"/>
  <c r="I1775" i="80" s="1"/>
  <c r="A1775" i="80" s="1"/>
  <c r="T149" i="27"/>
  <c r="AD149" i="27" s="1"/>
  <c r="AC149" i="27" s="1"/>
  <c r="T151" i="27"/>
  <c r="AD151" i="27" s="1"/>
  <c r="AC151" i="27" s="1"/>
  <c r="T156" i="27"/>
  <c r="AD156" i="27" s="1"/>
  <c r="AC156" i="27" s="1"/>
  <c r="T124" i="27"/>
  <c r="AD124" i="27" s="1"/>
  <c r="U134" i="27"/>
  <c r="U124" i="27"/>
  <c r="T131" i="27"/>
  <c r="AD131" i="27" s="1"/>
  <c r="AC131" i="27" s="1"/>
  <c r="T134" i="27"/>
  <c r="AD134" i="27" s="1"/>
  <c r="U117" i="27"/>
  <c r="ED4" i="2" s="1"/>
  <c r="T97" i="27"/>
  <c r="AD97" i="27" s="1"/>
  <c r="T80" i="27"/>
  <c r="AD80" i="27" s="1"/>
  <c r="T56" i="27"/>
  <c r="AD56" i="27" s="1"/>
  <c r="T55" i="27"/>
  <c r="AD55" i="27" s="1"/>
  <c r="AC55" i="27" s="1"/>
  <c r="U97" i="27"/>
  <c r="DZ4" i="2" s="1"/>
  <c r="T92" i="27"/>
  <c r="AD92" i="27" s="1"/>
  <c r="U92" i="27"/>
  <c r="U80" i="27"/>
  <c r="DX4" i="2" s="1"/>
  <c r="O55" i="27"/>
  <c r="O227" i="25"/>
  <c r="I1096" i="80" s="1"/>
  <c r="C1096" i="80" s="1"/>
  <c r="C7" i="10"/>
  <c r="AX39" i="25"/>
  <c r="AY39" i="25"/>
  <c r="AX40" i="25"/>
  <c r="AY40" i="25"/>
  <c r="AX41" i="25"/>
  <c r="AY41" i="25"/>
  <c r="AX42" i="25"/>
  <c r="AY42" i="25"/>
  <c r="AX43" i="25"/>
  <c r="AY43" i="25"/>
  <c r="AX45" i="25"/>
  <c r="AY45" i="25"/>
  <c r="AX46" i="25"/>
  <c r="AY46" i="25"/>
  <c r="AX47" i="25"/>
  <c r="AY47" i="25"/>
  <c r="AX48" i="25"/>
  <c r="AY48" i="25"/>
  <c r="AX28" i="25"/>
  <c r="AY28" i="25"/>
  <c r="I4" i="8"/>
  <c r="I4" i="24"/>
  <c r="I4" i="28"/>
  <c r="I4" i="29"/>
  <c r="Z14" i="23"/>
  <c r="BI885" i="16" s="1"/>
  <c r="Q14" i="7"/>
  <c r="BI15" i="25" s="1"/>
  <c r="P4" i="2"/>
  <c r="L4" i="2"/>
  <c r="M4" i="2"/>
  <c r="N4" i="2"/>
  <c r="O4" i="2"/>
  <c r="S90" i="16"/>
  <c r="S91" i="8"/>
  <c r="O91" i="8" s="1"/>
  <c r="I89" i="80" s="1"/>
  <c r="C89" i="80" s="1"/>
  <c r="S18" i="16"/>
  <c r="T18" i="16" s="1"/>
  <c r="AD18" i="16" s="1"/>
  <c r="AC18" i="16" s="1"/>
  <c r="S17" i="16"/>
  <c r="O13" i="16" s="1"/>
  <c r="S19" i="8"/>
  <c r="T19" i="8" s="1"/>
  <c r="AD19" i="8" s="1"/>
  <c r="AC19" i="8" s="1"/>
  <c r="S18" i="8"/>
  <c r="T18" i="8" s="1"/>
  <c r="AD18" i="8" s="1"/>
  <c r="AC18" i="8" s="1"/>
  <c r="Y272" i="16"/>
  <c r="Y262" i="16"/>
  <c r="Y257" i="16"/>
  <c r="Y255" i="16"/>
  <c r="Y253" i="16"/>
  <c r="AE478" i="24"/>
  <c r="AC478" i="24" s="1"/>
  <c r="AX351" i="16"/>
  <c r="AX353" i="16"/>
  <c r="AX354" i="16"/>
  <c r="AX355" i="16"/>
  <c r="AX356" i="16"/>
  <c r="AX367" i="16"/>
  <c r="AX368" i="16"/>
  <c r="AX369" i="16"/>
  <c r="AX370" i="16"/>
  <c r="AX371" i="16"/>
  <c r="AX373" i="16"/>
  <c r="AX374" i="16"/>
  <c r="AX375" i="16"/>
  <c r="AX376" i="16"/>
  <c r="AX377" i="16"/>
  <c r="AX378" i="16"/>
  <c r="AX380" i="16"/>
  <c r="AX381" i="16"/>
  <c r="Y805" i="16"/>
  <c r="Y795" i="16"/>
  <c r="Y860" i="16"/>
  <c r="Y858" i="16"/>
  <c r="Y854" i="16"/>
  <c r="Y853" i="16"/>
  <c r="Y852" i="16"/>
  <c r="Y850" i="16"/>
  <c r="Y848" i="16"/>
  <c r="Y844" i="16"/>
  <c r="Y839" i="16"/>
  <c r="Y835" i="16"/>
  <c r="Y833" i="16"/>
  <c r="Y831" i="16"/>
  <c r="Y829" i="16"/>
  <c r="Y827" i="16"/>
  <c r="Y825" i="16"/>
  <c r="Y824" i="16"/>
  <c r="Y813" i="16"/>
  <c r="Y783" i="16"/>
  <c r="Y777" i="16"/>
  <c r="Y771" i="16"/>
  <c r="Y764" i="16"/>
  <c r="Y757" i="16"/>
  <c r="Y750" i="16"/>
  <c r="Y744" i="16"/>
  <c r="Y736" i="16"/>
  <c r="Y727" i="16"/>
  <c r="Y710" i="16"/>
  <c r="Y708" i="16"/>
  <c r="Y697" i="16"/>
  <c r="Y694" i="16"/>
  <c r="Y688" i="16"/>
  <c r="Y683" i="16"/>
  <c r="Y674" i="16"/>
  <c r="Y672" i="16"/>
  <c r="Y671" i="16"/>
  <c r="Y669" i="16"/>
  <c r="Y668" i="16"/>
  <c r="Y637" i="16"/>
  <c r="Y632" i="16"/>
  <c r="Y631" i="16"/>
  <c r="Y624" i="16"/>
  <c r="Y611" i="16"/>
  <c r="Y596" i="16"/>
  <c r="Y589" i="16"/>
  <c r="Y587" i="16"/>
  <c r="Y585" i="16"/>
  <c r="Y583" i="16"/>
  <c r="Y579" i="16"/>
  <c r="Y572" i="16"/>
  <c r="Y566" i="16"/>
  <c r="Y562" i="16"/>
  <c r="Y560" i="16"/>
  <c r="Y555" i="16"/>
  <c r="Y551" i="16"/>
  <c r="Y548" i="16"/>
  <c r="Y547" i="16"/>
  <c r="Y545" i="16"/>
  <c r="Y537" i="16"/>
  <c r="Y536" i="16"/>
  <c r="Y534" i="16"/>
  <c r="Y528" i="16"/>
  <c r="Y525" i="16"/>
  <c r="Y523" i="16"/>
  <c r="Y511" i="16"/>
  <c r="Y509" i="16"/>
  <c r="Y507" i="16"/>
  <c r="Y501" i="16"/>
  <c r="Y497" i="16"/>
  <c r="Y496" i="16"/>
  <c r="Y493" i="16"/>
  <c r="Y483" i="16"/>
  <c r="Y475" i="16"/>
  <c r="Y471" i="16"/>
  <c r="Y469" i="16"/>
  <c r="Y467" i="16"/>
  <c r="Y464" i="16"/>
  <c r="Y462" i="16"/>
  <c r="Y449" i="16"/>
  <c r="Y440" i="16"/>
  <c r="Y437" i="16"/>
  <c r="Y435" i="16"/>
  <c r="Y431" i="16"/>
  <c r="Y429" i="16"/>
  <c r="Y423" i="16"/>
  <c r="Y421" i="16"/>
  <c r="Y416" i="16"/>
  <c r="Y414" i="16"/>
  <c r="Y411" i="16"/>
  <c r="Y398" i="16"/>
  <c r="Y380" i="16"/>
  <c r="Y375" i="16"/>
  <c r="Y374" i="16"/>
  <c r="Y373" i="16"/>
  <c r="Y372" i="16"/>
  <c r="Y371" i="16"/>
  <c r="Y370" i="16"/>
  <c r="Y364" i="16"/>
  <c r="Y363" i="16"/>
  <c r="Y362" i="16"/>
  <c r="Y361" i="16"/>
  <c r="Y360" i="16"/>
  <c r="Y359" i="16"/>
  <c r="Y355" i="16"/>
  <c r="Y352" i="16"/>
  <c r="Y349" i="16"/>
  <c r="Y293" i="16"/>
  <c r="Y282" i="16"/>
  <c r="Y275" i="16"/>
  <c r="Y246" i="16"/>
  <c r="Y238" i="16"/>
  <c r="Y237" i="16"/>
  <c r="Y234" i="16"/>
  <c r="Y230" i="16"/>
  <c r="Y228" i="16"/>
  <c r="Y226" i="16"/>
  <c r="Y225" i="16"/>
  <c r="Y223" i="16"/>
  <c r="Y220" i="16"/>
  <c r="Y213" i="16"/>
  <c r="Y208" i="16"/>
  <c r="Y200" i="16"/>
  <c r="Y194" i="16"/>
  <c r="Y187" i="16"/>
  <c r="Y185" i="16"/>
  <c r="Y183" i="16"/>
  <c r="Y181" i="16"/>
  <c r="Y178" i="16"/>
  <c r="Y176" i="16"/>
  <c r="Y171" i="16"/>
  <c r="Y170" i="16"/>
  <c r="Y165" i="16"/>
  <c r="Y160" i="16"/>
  <c r="Y157" i="16"/>
  <c r="Y155" i="16"/>
  <c r="Y149" i="16"/>
  <c r="Y145" i="16"/>
  <c r="Y135" i="16"/>
  <c r="Y128" i="16"/>
  <c r="Y124" i="16"/>
  <c r="Y121" i="16"/>
  <c r="Y114" i="16"/>
  <c r="Y101" i="16"/>
  <c r="Y88" i="16"/>
  <c r="Y68" i="16"/>
  <c r="Y63" i="16"/>
  <c r="Y58" i="16"/>
  <c r="Y331" i="16"/>
  <c r="S844" i="16"/>
  <c r="S848" i="16"/>
  <c r="T848" i="16" s="1"/>
  <c r="AD848" i="16" s="1"/>
  <c r="AC848" i="16" s="1"/>
  <c r="BD333" i="16"/>
  <c r="BC333" i="16"/>
  <c r="AX349" i="16"/>
  <c r="AX345" i="16"/>
  <c r="AX344" i="16"/>
  <c r="AX342" i="16"/>
  <c r="AX338" i="16"/>
  <c r="AX337" i="16"/>
  <c r="AX335" i="16"/>
  <c r="AX334" i="16"/>
  <c r="AX333" i="16"/>
  <c r="AX332" i="16"/>
  <c r="AX331" i="16"/>
  <c r="AX330" i="16"/>
  <c r="AX329" i="16"/>
  <c r="AF784" i="16"/>
  <c r="AF778" i="16"/>
  <c r="AF772" i="16"/>
  <c r="AF759" i="16"/>
  <c r="AF752" i="16"/>
  <c r="AF566" i="16"/>
  <c r="AF398" i="16"/>
  <c r="U813" i="16"/>
  <c r="U784" i="16"/>
  <c r="S784" i="16"/>
  <c r="T784" i="16" s="1"/>
  <c r="AD784" i="16" s="1"/>
  <c r="AC784" i="16" s="1"/>
  <c r="U778" i="16"/>
  <c r="S778" i="16"/>
  <c r="T778" i="16" s="1"/>
  <c r="AD778" i="16" s="1"/>
  <c r="AC778" i="16" s="1"/>
  <c r="U772" i="16"/>
  <c r="S772" i="16"/>
  <c r="T772" i="16" s="1"/>
  <c r="AD772" i="16" s="1"/>
  <c r="AC772" i="16" s="1"/>
  <c r="U765" i="16"/>
  <c r="S765" i="16"/>
  <c r="T765" i="16" s="1"/>
  <c r="AD765" i="16" s="1"/>
  <c r="AC765" i="16" s="1"/>
  <c r="U759" i="16"/>
  <c r="S759" i="16"/>
  <c r="T759" i="16" s="1"/>
  <c r="AD759" i="16" s="1"/>
  <c r="AC759" i="16" s="1"/>
  <c r="U752" i="16"/>
  <c r="S752" i="16"/>
  <c r="T752" i="16" s="1"/>
  <c r="AD752" i="16" s="1"/>
  <c r="AC752" i="16" s="1"/>
  <c r="S744" i="16"/>
  <c r="O744" i="16" s="1"/>
  <c r="S736" i="16"/>
  <c r="S727" i="16"/>
  <c r="O727" i="16" s="1"/>
  <c r="U697" i="16"/>
  <c r="U674" i="16"/>
  <c r="U672" i="16"/>
  <c r="U671" i="16"/>
  <c r="U669" i="16"/>
  <c r="U668" i="16"/>
  <c r="U644" i="16"/>
  <c r="U643" i="16"/>
  <c r="U642" i="16"/>
  <c r="U641" i="16"/>
  <c r="U640" i="16"/>
  <c r="U639" i="16"/>
  <c r="U638" i="16"/>
  <c r="U637" i="16"/>
  <c r="S637" i="16"/>
  <c r="T637" i="16" s="1"/>
  <c r="AD637" i="16" s="1"/>
  <c r="AC637" i="16" s="1"/>
  <c r="R555" i="16"/>
  <c r="U534" i="16"/>
  <c r="R534" i="16"/>
  <c r="U528" i="16"/>
  <c r="R528" i="16"/>
  <c r="U523" i="16"/>
  <c r="R523" i="16"/>
  <c r="U511" i="16"/>
  <c r="U501" i="16"/>
  <c r="R483" i="16"/>
  <c r="U475" i="16"/>
  <c r="R475" i="16"/>
  <c r="U464" i="16"/>
  <c r="R464" i="16"/>
  <c r="U440" i="16"/>
  <c r="U437" i="16"/>
  <c r="U431" i="16"/>
  <c r="U391" i="16"/>
  <c r="U389" i="16"/>
  <c r="U385" i="16"/>
  <c r="U384" i="16"/>
  <c r="U383" i="16"/>
  <c r="S374" i="16"/>
  <c r="O374" i="16" s="1"/>
  <c r="S373" i="16"/>
  <c r="S372" i="16"/>
  <c r="S371" i="16"/>
  <c r="S370" i="16"/>
  <c r="AX10" i="16"/>
  <c r="AF27" i="16"/>
  <c r="U257" i="16"/>
  <c r="U201" i="16"/>
  <c r="S185" i="16"/>
  <c r="S183" i="16"/>
  <c r="S181" i="16"/>
  <c r="S178" i="16"/>
  <c r="O178" i="16" s="1"/>
  <c r="S176" i="16"/>
  <c r="S171" i="16"/>
  <c r="S170" i="16"/>
  <c r="U165" i="16"/>
  <c r="S165" i="16"/>
  <c r="S160" i="16"/>
  <c r="S157" i="16"/>
  <c r="S155" i="16"/>
  <c r="U149" i="16"/>
  <c r="S149" i="16"/>
  <c r="U147" i="16"/>
  <c r="U135" i="16"/>
  <c r="U128" i="16"/>
  <c r="U93" i="16"/>
  <c r="S73" i="16"/>
  <c r="S71" i="16"/>
  <c r="O293" i="24"/>
  <c r="I610" i="80" s="1"/>
  <c r="AM45" i="24"/>
  <c r="AM472" i="24"/>
  <c r="AM542" i="24"/>
  <c r="AM540" i="24"/>
  <c r="AM536" i="24"/>
  <c r="AM535" i="24"/>
  <c r="AM534" i="24"/>
  <c r="AM532" i="24"/>
  <c r="AM530" i="24"/>
  <c r="AM526" i="24"/>
  <c r="AM521" i="24"/>
  <c r="AM519" i="24"/>
  <c r="AM517" i="24"/>
  <c r="AM515" i="24"/>
  <c r="AM513" i="24"/>
  <c r="AM511" i="24"/>
  <c r="AM509" i="24"/>
  <c r="AM507" i="24"/>
  <c r="AM506" i="24"/>
  <c r="AM503" i="24"/>
  <c r="AM495" i="24"/>
  <c r="AM446" i="24"/>
  <c r="AM432" i="24"/>
  <c r="AM428" i="24"/>
  <c r="AM426" i="24"/>
  <c r="AM418" i="24"/>
  <c r="AM409" i="24"/>
  <c r="AM388" i="24"/>
  <c r="AM379" i="24"/>
  <c r="AM376" i="24"/>
  <c r="AM370" i="24"/>
  <c r="AM365" i="24"/>
  <c r="AM356" i="24"/>
  <c r="AM353" i="24"/>
  <c r="AM350" i="24"/>
  <c r="AM333" i="24"/>
  <c r="AM331" i="24"/>
  <c r="AM329" i="24"/>
  <c r="AM305" i="24"/>
  <c r="AM304" i="24"/>
  <c r="AM302" i="24"/>
  <c r="AM293" i="24"/>
  <c r="AM278" i="24"/>
  <c r="AM265" i="24"/>
  <c r="AM261" i="24"/>
  <c r="AM254" i="24"/>
  <c r="AM248" i="24"/>
  <c r="AM244" i="24"/>
  <c r="AM242" i="24"/>
  <c r="AM233" i="24"/>
  <c r="AM223" i="24"/>
  <c r="AM219" i="24"/>
  <c r="AM218" i="24"/>
  <c r="AM207" i="24"/>
  <c r="AM192" i="24"/>
  <c r="AM191" i="24"/>
  <c r="AM189" i="24"/>
  <c r="AM187" i="24"/>
  <c r="AM184" i="24"/>
  <c r="AM179" i="24"/>
  <c r="AM178" i="24"/>
  <c r="AM175" i="24"/>
  <c r="AM153" i="24"/>
  <c r="AM151" i="24"/>
  <c r="AM149" i="24"/>
  <c r="AM144" i="24"/>
  <c r="AM139" i="24"/>
  <c r="AM135" i="24"/>
  <c r="AM131" i="24"/>
  <c r="AM125" i="24"/>
  <c r="AM123" i="24"/>
  <c r="AM117" i="24"/>
  <c r="AM111" i="24"/>
  <c r="AM105" i="24"/>
  <c r="AM98" i="24"/>
  <c r="AM96" i="24"/>
  <c r="AM80" i="24"/>
  <c r="AM78" i="24"/>
  <c r="AM76" i="24"/>
  <c r="AM75" i="24"/>
  <c r="AM62" i="24"/>
  <c r="AM61" i="24"/>
  <c r="AM60" i="24"/>
  <c r="AM57" i="24"/>
  <c r="AM56" i="24"/>
  <c r="AM55" i="24"/>
  <c r="AM54" i="24"/>
  <c r="AM53" i="24"/>
  <c r="AM52" i="24"/>
  <c r="AM49" i="24"/>
  <c r="AM46" i="24"/>
  <c r="AM44" i="24"/>
  <c r="AM43" i="24"/>
  <c r="AM42" i="24"/>
  <c r="AM41" i="24"/>
  <c r="AM37" i="24"/>
  <c r="AM34" i="24"/>
  <c r="AM23" i="24"/>
  <c r="AM22" i="24"/>
  <c r="AM21" i="24"/>
  <c r="AM20" i="24"/>
  <c r="AM19" i="24"/>
  <c r="AM31" i="24"/>
  <c r="O213" i="29"/>
  <c r="W142" i="85" s="1"/>
  <c r="O211" i="29"/>
  <c r="O192" i="29"/>
  <c r="AE489" i="24"/>
  <c r="AC489" i="24" s="1"/>
  <c r="O472" i="24"/>
  <c r="I789" i="80" s="1"/>
  <c r="S530" i="24"/>
  <c r="T530" i="24" s="1"/>
  <c r="AD530" i="24" s="1"/>
  <c r="AC530" i="24" s="1"/>
  <c r="S526" i="24"/>
  <c r="AE495" i="24"/>
  <c r="AC495" i="24" s="1"/>
  <c r="U495" i="24"/>
  <c r="S426" i="24"/>
  <c r="T426" i="24" s="1"/>
  <c r="AD426" i="24" s="1"/>
  <c r="AC426" i="24" s="1"/>
  <c r="S418" i="24"/>
  <c r="O418" i="24" s="1"/>
  <c r="I735" i="80" s="1"/>
  <c r="S409" i="24"/>
  <c r="O409" i="24" s="1"/>
  <c r="S466" i="24"/>
  <c r="T466" i="24" s="1"/>
  <c r="AD466" i="24" s="1"/>
  <c r="S460" i="24"/>
  <c r="T460" i="24" s="1"/>
  <c r="AD460" i="24" s="1"/>
  <c r="S454" i="24"/>
  <c r="T454" i="24" s="1"/>
  <c r="AD454" i="24" s="1"/>
  <c r="S447" i="24"/>
  <c r="T447" i="24" s="1"/>
  <c r="AD447" i="24" s="1"/>
  <c r="S441" i="24"/>
  <c r="T441" i="24" s="1"/>
  <c r="AD441" i="24" s="1"/>
  <c r="S434" i="24"/>
  <c r="T434" i="24" s="1"/>
  <c r="AD434" i="24" s="1"/>
  <c r="AE466" i="24"/>
  <c r="AE460" i="24"/>
  <c r="AE454" i="24"/>
  <c r="AE447" i="24"/>
  <c r="U466" i="24"/>
  <c r="CB4" i="2" s="1"/>
  <c r="U460" i="24"/>
  <c r="CA4" i="2" s="1"/>
  <c r="U454" i="24"/>
  <c r="BZ4" i="2" s="1"/>
  <c r="U447" i="24"/>
  <c r="BY4" i="2" s="1"/>
  <c r="AE441" i="24"/>
  <c r="AE434" i="24"/>
  <c r="U441" i="24"/>
  <c r="BX4" i="2" s="1"/>
  <c r="U434" i="24"/>
  <c r="BW4" i="2" s="1"/>
  <c r="AE392" i="24"/>
  <c r="AC392" i="24" s="1"/>
  <c r="AE390" i="24"/>
  <c r="AC390" i="24" s="1"/>
  <c r="AE379" i="24"/>
  <c r="AC379" i="24" s="1"/>
  <c r="U379" i="24"/>
  <c r="BT4" i="2" s="1"/>
  <c r="AE356" i="24"/>
  <c r="AC356" i="24" s="1"/>
  <c r="U356" i="24"/>
  <c r="BS4" i="2" s="1"/>
  <c r="AE354" i="24"/>
  <c r="AC354" i="24" s="1"/>
  <c r="AE353" i="24"/>
  <c r="AC353" i="24" s="1"/>
  <c r="AE351" i="24"/>
  <c r="AC351" i="24" s="1"/>
  <c r="AE350" i="24"/>
  <c r="AC350" i="24" s="1"/>
  <c r="S319" i="24"/>
  <c r="T319" i="24" s="1"/>
  <c r="AD319" i="24" s="1"/>
  <c r="AC319" i="24" s="1"/>
  <c r="O353" i="24"/>
  <c r="O350" i="24"/>
  <c r="U354" i="24"/>
  <c r="BR4" i="2" s="1"/>
  <c r="U353" i="24"/>
  <c r="BQ4" i="2" s="1"/>
  <c r="U351" i="24"/>
  <c r="BP4" i="2" s="1"/>
  <c r="U350" i="24"/>
  <c r="BO4" i="2" s="1"/>
  <c r="AE314" i="24"/>
  <c r="AC314" i="24" s="1"/>
  <c r="AE313" i="24"/>
  <c r="AC313" i="24" s="1"/>
  <c r="O302" i="24"/>
  <c r="I619" i="80" s="1"/>
  <c r="O278" i="24"/>
  <c r="O265" i="24"/>
  <c r="AE272" i="24"/>
  <c r="AC272" i="24" s="1"/>
  <c r="AE270" i="24"/>
  <c r="AC270" i="24" s="1"/>
  <c r="AE268" i="24"/>
  <c r="AC268" i="24" s="1"/>
  <c r="AE266" i="24"/>
  <c r="AC266" i="24" s="1"/>
  <c r="AE254" i="24"/>
  <c r="AC254" i="24" s="1"/>
  <c r="O254" i="24"/>
  <c r="O248" i="24"/>
  <c r="AE248" i="24"/>
  <c r="AC248" i="24" s="1"/>
  <c r="AE261" i="24"/>
  <c r="AC261" i="24" s="1"/>
  <c r="O219" i="24"/>
  <c r="I536" i="80" s="1"/>
  <c r="O218" i="24"/>
  <c r="O216" i="24"/>
  <c r="I533" i="80" s="1"/>
  <c r="R210" i="24"/>
  <c r="M210" i="24" s="1"/>
  <c r="AM210" i="24" s="1"/>
  <c r="U210" i="24"/>
  <c r="BE4" i="2" s="1"/>
  <c r="U193" i="24"/>
  <c r="BC4" i="2" s="1"/>
  <c r="R157" i="24"/>
  <c r="O153" i="24"/>
  <c r="I470" i="80" s="1"/>
  <c r="O151" i="24"/>
  <c r="I468" i="80" s="1"/>
  <c r="O149" i="24"/>
  <c r="I466" i="80" s="1"/>
  <c r="O144" i="24"/>
  <c r="O146" i="24"/>
  <c r="O105" i="24"/>
  <c r="U119" i="24"/>
  <c r="AX4" i="2" s="1"/>
  <c r="U113" i="24"/>
  <c r="AW4" i="2" s="1"/>
  <c r="O96" i="24"/>
  <c r="R237" i="24"/>
  <c r="R216" i="24"/>
  <c r="AE216" i="24" s="1"/>
  <c r="R205" i="24"/>
  <c r="R165" i="24"/>
  <c r="R146" i="24"/>
  <c r="AE80" i="24"/>
  <c r="AC80" i="24" s="1"/>
  <c r="AE12" i="25"/>
  <c r="U28" i="25"/>
  <c r="AM239" i="8"/>
  <c r="AE245" i="8"/>
  <c r="AC245" i="8" s="1"/>
  <c r="O239" i="8"/>
  <c r="I237" i="80" s="1"/>
  <c r="C237" i="80" s="1"/>
  <c r="U175" i="27"/>
  <c r="EH4" i="2" s="1"/>
  <c r="O150" i="27"/>
  <c r="I1780" i="80" s="1"/>
  <c r="U56" i="27"/>
  <c r="U21" i="27"/>
  <c r="DV4" i="2" s="1"/>
  <c r="U12" i="25"/>
  <c r="O376" i="24"/>
  <c r="O370" i="24"/>
  <c r="I687" i="80" s="1"/>
  <c r="O365" i="24"/>
  <c r="I682" i="80" s="1"/>
  <c r="AE326" i="24"/>
  <c r="AC326" i="24" s="1"/>
  <c r="O503" i="24"/>
  <c r="W287" i="85" s="1"/>
  <c r="U326" i="24"/>
  <c r="BN4" i="2" s="1"/>
  <c r="U325" i="24"/>
  <c r="BM4" i="2" s="1"/>
  <c r="U324" i="24"/>
  <c r="BL4" i="2" s="1"/>
  <c r="U323" i="24"/>
  <c r="BK4" i="2" s="1"/>
  <c r="U322" i="24"/>
  <c r="BJ4" i="2" s="1"/>
  <c r="U321" i="24"/>
  <c r="BI4" i="2" s="1"/>
  <c r="U320" i="24"/>
  <c r="BH4" i="2" s="1"/>
  <c r="U319" i="24"/>
  <c r="BG4" i="2" s="1"/>
  <c r="O261" i="24"/>
  <c r="I578" i="80" s="1"/>
  <c r="O244" i="24"/>
  <c r="O242" i="24"/>
  <c r="O233" i="24"/>
  <c r="AD237" i="24"/>
  <c r="O223" i="24"/>
  <c r="U216" i="24"/>
  <c r="BF4" i="2" s="1"/>
  <c r="U205" i="24"/>
  <c r="BD4" i="2" s="1"/>
  <c r="O191" i="24"/>
  <c r="I508" i="80" s="1"/>
  <c r="O189" i="24"/>
  <c r="I506" i="80" s="1"/>
  <c r="O179" i="24"/>
  <c r="O178" i="24"/>
  <c r="I495" i="80" s="1"/>
  <c r="O175" i="24"/>
  <c r="I492" i="80" s="1"/>
  <c r="U183" i="24"/>
  <c r="BB4" i="2" s="1"/>
  <c r="U157" i="24"/>
  <c r="BA4" i="2" s="1"/>
  <c r="U122" i="24"/>
  <c r="AY4" i="2" s="1"/>
  <c r="U146" i="24"/>
  <c r="AZ4" i="2" s="1"/>
  <c r="U73" i="24"/>
  <c r="AU4" i="2" s="1"/>
  <c r="U71" i="24"/>
  <c r="AT4" i="2" s="1"/>
  <c r="U67" i="24"/>
  <c r="AS4" i="2" s="1"/>
  <c r="U66" i="24"/>
  <c r="AR4" i="2" s="1"/>
  <c r="U65" i="24"/>
  <c r="AQ4" i="2" s="1"/>
  <c r="U58" i="24"/>
  <c r="AP4" i="2" s="1"/>
  <c r="S56" i="24"/>
  <c r="O56" i="24" s="1"/>
  <c r="I373" i="80" s="1"/>
  <c r="C373" i="80" s="1"/>
  <c r="S55" i="24"/>
  <c r="T55" i="24" s="1"/>
  <c r="AD55" i="24" s="1"/>
  <c r="AC55" i="24" s="1"/>
  <c r="S54" i="24"/>
  <c r="T54" i="24" s="1"/>
  <c r="AD54" i="24" s="1"/>
  <c r="AC54" i="24" s="1"/>
  <c r="S53" i="24"/>
  <c r="O53" i="24" s="1"/>
  <c r="I370" i="80" s="1"/>
  <c r="C370" i="80" s="1"/>
  <c r="S52" i="24"/>
  <c r="O52" i="24" s="1"/>
  <c r="I369" i="80" s="1"/>
  <c r="O46" i="24"/>
  <c r="I363" i="80" s="1"/>
  <c r="O45" i="24"/>
  <c r="O44" i="24"/>
  <c r="I361" i="80" s="1"/>
  <c r="O43" i="24"/>
  <c r="O42" i="24"/>
  <c r="I359" i="80" s="1"/>
  <c r="O41" i="24"/>
  <c r="I358" i="80" s="1"/>
  <c r="O37" i="24"/>
  <c r="I354" i="80" s="1"/>
  <c r="C354" i="80" s="1"/>
  <c r="O34" i="24"/>
  <c r="I351" i="80" s="1"/>
  <c r="O31" i="24"/>
  <c r="I348" i="80" s="1"/>
  <c r="AM294" i="8"/>
  <c r="AM283" i="8"/>
  <c r="AM281" i="8"/>
  <c r="AM280" i="8"/>
  <c r="AM279" i="8"/>
  <c r="AM278" i="8"/>
  <c r="AM277" i="8"/>
  <c r="AM273" i="8"/>
  <c r="AM263" i="8"/>
  <c r="AM261" i="8"/>
  <c r="AM260" i="8"/>
  <c r="AM259" i="8"/>
  <c r="AM256" i="8"/>
  <c r="AM254" i="8"/>
  <c r="AM247" i="8"/>
  <c r="AM238" i="8"/>
  <c r="AM235" i="8"/>
  <c r="AM231" i="8"/>
  <c r="AM229" i="8"/>
  <c r="AM227" i="8"/>
  <c r="AM226" i="8"/>
  <c r="AM224" i="8"/>
  <c r="AM219" i="8"/>
  <c r="AM217" i="8"/>
  <c r="AM216" i="8"/>
  <c r="AM209" i="8"/>
  <c r="AM201" i="8"/>
  <c r="AM194" i="8"/>
  <c r="AM192" i="8"/>
  <c r="AM191" i="8"/>
  <c r="AM190" i="8"/>
  <c r="AM186" i="8"/>
  <c r="AM184" i="8"/>
  <c r="AM182" i="8"/>
  <c r="AM179" i="8"/>
  <c r="AM140" i="8"/>
  <c r="AM139" i="8"/>
  <c r="AM138" i="8"/>
  <c r="AM135" i="8"/>
  <c r="AM134" i="8"/>
  <c r="AM133" i="8"/>
  <c r="AM125" i="8"/>
  <c r="AM122" i="8"/>
  <c r="O254" i="8"/>
  <c r="I252" i="80" s="1"/>
  <c r="S186" i="8"/>
  <c r="O186" i="8" s="1"/>
  <c r="I184" i="80" s="1"/>
  <c r="S184" i="8"/>
  <c r="T184" i="8" s="1"/>
  <c r="AD184" i="8" s="1"/>
  <c r="AC184" i="8" s="1"/>
  <c r="S182" i="8"/>
  <c r="T182" i="8" s="1"/>
  <c r="AD182" i="8" s="1"/>
  <c r="AC182" i="8" s="1"/>
  <c r="S179" i="8"/>
  <c r="O179" i="8" s="1"/>
  <c r="I177" i="80" s="1"/>
  <c r="S177" i="8"/>
  <c r="T177" i="8" s="1"/>
  <c r="AD177" i="8" s="1"/>
  <c r="AC177" i="8" s="1"/>
  <c r="S172" i="8"/>
  <c r="T172" i="8" s="1"/>
  <c r="AD172" i="8" s="1"/>
  <c r="AC172" i="8" s="1"/>
  <c r="S171" i="8"/>
  <c r="T171" i="8" s="1"/>
  <c r="AD171" i="8" s="1"/>
  <c r="AC171" i="8" s="1"/>
  <c r="S166" i="8"/>
  <c r="T166" i="8" s="1"/>
  <c r="AD166" i="8" s="1"/>
  <c r="AC166" i="8" s="1"/>
  <c r="S161" i="8"/>
  <c r="T161" i="8" s="1"/>
  <c r="AD161" i="8" s="1"/>
  <c r="AC161" i="8" s="1"/>
  <c r="S158" i="8"/>
  <c r="T158" i="8" s="1"/>
  <c r="AD158" i="8" s="1"/>
  <c r="AC158" i="8" s="1"/>
  <c r="S156" i="8"/>
  <c r="T156" i="8" s="1"/>
  <c r="AD156" i="8" s="1"/>
  <c r="AC156" i="8" s="1"/>
  <c r="S150" i="8"/>
  <c r="T150" i="8" s="1"/>
  <c r="AD150" i="8" s="1"/>
  <c r="AC150" i="8" s="1"/>
  <c r="O219" i="8"/>
  <c r="I217" i="80" s="1"/>
  <c r="O217" i="8"/>
  <c r="I215" i="80" s="1"/>
  <c r="O216" i="8"/>
  <c r="I214" i="80" s="1"/>
  <c r="I197" i="80"/>
  <c r="I195" i="80"/>
  <c r="O188" i="8"/>
  <c r="N187" i="16" s="1"/>
  <c r="G188" i="16" s="1"/>
  <c r="G189" i="16" s="1"/>
  <c r="G190" i="16" s="1"/>
  <c r="G191" i="16" s="1"/>
  <c r="G192" i="16" s="1"/>
  <c r="G193" i="16" s="1"/>
  <c r="O125" i="8"/>
  <c r="O122" i="8"/>
  <c r="I120" i="80" s="1"/>
  <c r="O273" i="8"/>
  <c r="I271" i="80" s="1"/>
  <c r="O263" i="8"/>
  <c r="I261" i="80" s="1"/>
  <c r="O226" i="8"/>
  <c r="I224" i="80" s="1"/>
  <c r="C224" i="80" s="1"/>
  <c r="O231" i="8"/>
  <c r="I229" i="80" s="1"/>
  <c r="O235" i="8"/>
  <c r="I233" i="80" s="1"/>
  <c r="O247" i="8"/>
  <c r="O238" i="8"/>
  <c r="O229" i="8"/>
  <c r="I227" i="80" s="1"/>
  <c r="O227" i="8"/>
  <c r="N226" i="16" s="1"/>
  <c r="G227" i="16" s="1"/>
  <c r="O224" i="8"/>
  <c r="I222" i="80" s="1"/>
  <c r="U202" i="8"/>
  <c r="U148" i="8"/>
  <c r="AY63" i="28"/>
  <c r="AX63" i="28"/>
  <c r="AY62" i="28"/>
  <c r="AX62" i="28"/>
  <c r="AY60" i="28"/>
  <c r="AX60" i="28"/>
  <c r="AY59" i="28"/>
  <c r="AX59" i="28"/>
  <c r="AY58" i="28"/>
  <c r="AX58" i="28"/>
  <c r="AY57" i="28"/>
  <c r="AX57" i="28"/>
  <c r="AY56" i="28"/>
  <c r="AX56" i="28"/>
  <c r="AY55" i="28"/>
  <c r="AX55" i="28"/>
  <c r="AY53" i="28"/>
  <c r="AX53" i="28"/>
  <c r="AY52" i="28"/>
  <c r="AX52" i="28"/>
  <c r="AY51" i="28"/>
  <c r="AX51" i="28"/>
  <c r="AY50" i="28"/>
  <c r="AX50" i="28"/>
  <c r="AY49" i="28"/>
  <c r="AX49" i="28"/>
  <c r="AY38" i="28"/>
  <c r="AX38" i="28"/>
  <c r="AY37" i="28"/>
  <c r="AX37" i="28"/>
  <c r="AY36" i="28"/>
  <c r="AX36" i="28"/>
  <c r="AY35" i="28"/>
  <c r="AX35" i="28"/>
  <c r="AY33" i="28"/>
  <c r="AX33" i="28"/>
  <c r="AY31" i="28"/>
  <c r="AX31" i="28"/>
  <c r="AY27" i="28"/>
  <c r="AX27" i="28"/>
  <c r="AY26" i="28"/>
  <c r="AX26" i="28"/>
  <c r="AY24" i="28"/>
  <c r="AX24" i="28"/>
  <c r="AY20" i="28"/>
  <c r="AX20" i="28"/>
  <c r="AY19" i="28"/>
  <c r="AX19" i="28"/>
  <c r="AY17" i="28"/>
  <c r="AX17" i="28"/>
  <c r="AY16" i="28"/>
  <c r="AX16" i="28"/>
  <c r="BD15" i="28"/>
  <c r="BC15" i="28"/>
  <c r="AY15" i="28"/>
  <c r="AX15" i="28"/>
  <c r="AY14" i="28"/>
  <c r="AX14" i="28"/>
  <c r="AY13" i="28"/>
  <c r="AX13" i="28"/>
  <c r="AY12" i="28"/>
  <c r="AX12" i="28"/>
  <c r="AY11" i="28"/>
  <c r="AX11" i="28"/>
  <c r="AY63" i="27"/>
  <c r="AX63" i="27"/>
  <c r="AY62" i="27"/>
  <c r="AX62" i="27"/>
  <c r="AY60" i="27"/>
  <c r="AX60" i="27"/>
  <c r="AY59" i="27"/>
  <c r="AX59" i="27"/>
  <c r="AY58" i="27"/>
  <c r="AX58" i="27"/>
  <c r="AY57" i="27"/>
  <c r="AX57" i="27"/>
  <c r="AY56" i="27"/>
  <c r="AX56" i="27"/>
  <c r="AY55" i="27"/>
  <c r="AX55" i="27"/>
  <c r="AY53" i="27"/>
  <c r="AX53" i="27"/>
  <c r="AY52" i="27"/>
  <c r="AX52" i="27"/>
  <c r="AY51" i="27"/>
  <c r="AX51" i="27"/>
  <c r="AY50" i="27"/>
  <c r="AX50" i="27"/>
  <c r="AY49" i="27"/>
  <c r="AX49" i="27"/>
  <c r="AY38" i="27"/>
  <c r="AX38" i="27"/>
  <c r="AY37" i="27"/>
  <c r="AX37" i="27"/>
  <c r="AY36" i="27"/>
  <c r="AX36" i="27"/>
  <c r="AY35" i="27"/>
  <c r="AX35" i="27"/>
  <c r="AY33" i="27"/>
  <c r="AX33" i="27"/>
  <c r="AY31" i="27"/>
  <c r="AX31" i="27"/>
  <c r="AY27" i="27"/>
  <c r="AX27" i="27"/>
  <c r="AY26" i="27"/>
  <c r="AX26" i="27"/>
  <c r="AY24" i="27"/>
  <c r="AX24" i="27"/>
  <c r="AY20" i="27"/>
  <c r="AX20" i="27"/>
  <c r="AY19" i="27"/>
  <c r="AX19" i="27"/>
  <c r="AY17" i="27"/>
  <c r="AX17" i="27"/>
  <c r="AY16" i="27"/>
  <c r="AX16" i="27"/>
  <c r="BD15" i="27"/>
  <c r="BC15" i="27"/>
  <c r="AY15" i="27"/>
  <c r="AX15" i="27"/>
  <c r="AY14" i="27"/>
  <c r="AX14" i="27"/>
  <c r="AY13" i="27"/>
  <c r="AX13" i="27"/>
  <c r="AY12" i="27"/>
  <c r="AX12" i="27"/>
  <c r="AY11" i="27"/>
  <c r="AX11" i="27"/>
  <c r="AY63" i="25"/>
  <c r="AX63" i="25"/>
  <c r="AY62" i="25"/>
  <c r="AX62" i="25"/>
  <c r="AY60" i="25"/>
  <c r="AX60" i="25"/>
  <c r="AY59" i="25"/>
  <c r="AX59" i="25"/>
  <c r="AY58" i="25"/>
  <c r="AX58" i="25"/>
  <c r="AY57" i="25"/>
  <c r="AX57" i="25"/>
  <c r="AY56" i="25"/>
  <c r="AX56" i="25"/>
  <c r="AY55" i="25"/>
  <c r="AX55" i="25"/>
  <c r="AY53" i="25"/>
  <c r="AX53" i="25"/>
  <c r="AY52" i="25"/>
  <c r="AX52" i="25"/>
  <c r="AY51" i="25"/>
  <c r="AX51" i="25"/>
  <c r="AY50" i="25"/>
  <c r="AX50" i="25"/>
  <c r="AY49" i="25"/>
  <c r="AX49" i="25"/>
  <c r="AY38" i="25"/>
  <c r="AX38" i="25"/>
  <c r="AY37" i="25"/>
  <c r="AX37" i="25"/>
  <c r="AY36" i="25"/>
  <c r="AX36" i="25"/>
  <c r="AY35" i="25"/>
  <c r="AX35" i="25"/>
  <c r="AY33" i="25"/>
  <c r="AX33" i="25"/>
  <c r="AY31" i="25"/>
  <c r="AX31" i="25"/>
  <c r="AX27" i="25"/>
  <c r="AY26" i="25"/>
  <c r="AX26" i="25"/>
  <c r="AY24" i="25"/>
  <c r="AX24" i="25"/>
  <c r="AY20" i="25"/>
  <c r="AX20" i="25"/>
  <c r="AY19" i="25"/>
  <c r="T287" i="25" s="1"/>
  <c r="AX19" i="25"/>
  <c r="AY17" i="25"/>
  <c r="AX17" i="25"/>
  <c r="AY16" i="25"/>
  <c r="AX16" i="25"/>
  <c r="BD15" i="25"/>
  <c r="BC15" i="25"/>
  <c r="AY15" i="25"/>
  <c r="AX15" i="25"/>
  <c r="AY14" i="25"/>
  <c r="AX14" i="25"/>
  <c r="AY13" i="25"/>
  <c r="AX13" i="25"/>
  <c r="AY12" i="25"/>
  <c r="AX12" i="25"/>
  <c r="AY11" i="25"/>
  <c r="AX11" i="25"/>
  <c r="O59" i="8"/>
  <c r="I57" i="80" s="1"/>
  <c r="AM114" i="8"/>
  <c r="AM107" i="8"/>
  <c r="AM105" i="8"/>
  <c r="AM101" i="8"/>
  <c r="AM99" i="8"/>
  <c r="AM98" i="8"/>
  <c r="AM97" i="8"/>
  <c r="AM96" i="8"/>
  <c r="AM92" i="8"/>
  <c r="AM91" i="8"/>
  <c r="AM82" i="8"/>
  <c r="AM80" i="8"/>
  <c r="AM78" i="8"/>
  <c r="AM76" i="8"/>
  <c r="AM74" i="8"/>
  <c r="AM72" i="8"/>
  <c r="AM70" i="8"/>
  <c r="AM59" i="8"/>
  <c r="S74" i="8"/>
  <c r="O74" i="8" s="1"/>
  <c r="S72" i="8"/>
  <c r="T72" i="8" s="1"/>
  <c r="AD72" i="8" s="1"/>
  <c r="AC72" i="8" s="1"/>
  <c r="O114" i="8"/>
  <c r="I112" i="80" s="1"/>
  <c r="C112" i="80" s="1"/>
  <c r="O107" i="8"/>
  <c r="I105" i="80" s="1"/>
  <c r="O105" i="8"/>
  <c r="O82" i="8"/>
  <c r="I80" i="80" s="1"/>
  <c r="O80" i="8"/>
  <c r="O78" i="8"/>
  <c r="I76" i="80" s="1"/>
  <c r="O76" i="8"/>
  <c r="AO76" i="8" s="1"/>
  <c r="O70" i="8"/>
  <c r="AY63" i="24"/>
  <c r="AX63" i="24"/>
  <c r="AY62" i="24"/>
  <c r="AX62" i="24"/>
  <c r="AY60" i="24"/>
  <c r="AX60" i="24"/>
  <c r="AY59" i="24"/>
  <c r="AX59" i="24"/>
  <c r="AY58" i="24"/>
  <c r="AX58" i="24"/>
  <c r="AY57" i="24"/>
  <c r="AX57" i="24"/>
  <c r="AY56" i="24"/>
  <c r="AX56" i="24"/>
  <c r="AY55" i="24"/>
  <c r="AX55" i="24"/>
  <c r="AY53" i="24"/>
  <c r="AX53" i="24"/>
  <c r="AY52" i="24"/>
  <c r="AX52" i="24"/>
  <c r="AY51" i="24"/>
  <c r="AX51" i="24"/>
  <c r="AY50" i="24"/>
  <c r="AX50" i="24"/>
  <c r="AY49" i="24"/>
  <c r="AX49" i="24"/>
  <c r="AY38" i="24"/>
  <c r="AX38" i="24"/>
  <c r="AY37" i="24"/>
  <c r="AX37" i="24"/>
  <c r="AY36" i="24"/>
  <c r="AX36" i="24"/>
  <c r="AY35" i="24"/>
  <c r="AX35" i="24"/>
  <c r="AX33" i="24"/>
  <c r="AY31" i="24"/>
  <c r="AX31" i="24"/>
  <c r="AY27" i="24"/>
  <c r="AX27" i="24"/>
  <c r="AX26" i="24"/>
  <c r="AY24" i="24"/>
  <c r="AX24" i="24"/>
  <c r="AY20" i="24"/>
  <c r="AX20" i="24"/>
  <c r="AY19" i="24"/>
  <c r="AX19" i="24"/>
  <c r="AY17" i="24"/>
  <c r="AX17" i="24"/>
  <c r="AY16" i="24"/>
  <c r="AX16" i="24"/>
  <c r="BD15" i="24"/>
  <c r="BC15" i="24"/>
  <c r="AY15" i="24"/>
  <c r="AX15" i="24"/>
  <c r="AY14" i="24"/>
  <c r="AX14" i="24"/>
  <c r="AY13" i="24"/>
  <c r="AX13" i="24"/>
  <c r="AY12" i="24"/>
  <c r="AX12" i="24"/>
  <c r="AY11" i="24"/>
  <c r="AX11" i="24"/>
  <c r="U258" i="8"/>
  <c r="AN4" i="2" s="1"/>
  <c r="U166" i="8"/>
  <c r="AK4" i="2" s="1"/>
  <c r="U150" i="8"/>
  <c r="AJ4" i="2" s="1"/>
  <c r="U136" i="8"/>
  <c r="U129" i="8"/>
  <c r="AG4" i="2" s="1"/>
  <c r="U94" i="8"/>
  <c r="AF4" i="2" s="1"/>
  <c r="T10" i="3"/>
  <c r="P14" i="23"/>
  <c r="Q62" i="23"/>
  <c r="Q61" i="23"/>
  <c r="Q50" i="23"/>
  <c r="R49" i="23"/>
  <c r="Q49" i="23"/>
  <c r="Q48" i="23"/>
  <c r="Q37" i="23"/>
  <c r="R36" i="23"/>
  <c r="Q36" i="23"/>
  <c r="R35" i="23"/>
  <c r="Q35" i="23"/>
  <c r="R34" i="23"/>
  <c r="Q34" i="23"/>
  <c r="S32" i="23"/>
  <c r="R32" i="23"/>
  <c r="Q32" i="23"/>
  <c r="S31" i="23"/>
  <c r="R31" i="23"/>
  <c r="Q31" i="23"/>
  <c r="P31" i="23"/>
  <c r="S30" i="23"/>
  <c r="R30" i="23"/>
  <c r="Q30" i="23"/>
  <c r="S23" i="23"/>
  <c r="R23" i="23"/>
  <c r="Q23" i="23"/>
  <c r="Q18" i="23"/>
  <c r="S15" i="23"/>
  <c r="R15" i="23"/>
  <c r="Q15" i="23"/>
  <c r="P15" i="23"/>
  <c r="S14" i="23"/>
  <c r="R14" i="23"/>
  <c r="Q14" i="23"/>
  <c r="S13" i="23"/>
  <c r="R13" i="23"/>
  <c r="Q13" i="23"/>
  <c r="S12" i="23"/>
  <c r="R12" i="23"/>
  <c r="Q12" i="23"/>
  <c r="S11" i="23"/>
  <c r="R11" i="23"/>
  <c r="Q11" i="23"/>
  <c r="E62" i="23"/>
  <c r="P62" i="23"/>
  <c r="E61" i="23"/>
  <c r="P61" i="23"/>
  <c r="E59" i="23"/>
  <c r="P59" i="23"/>
  <c r="E58" i="23"/>
  <c r="P58" i="23"/>
  <c r="E57" i="23"/>
  <c r="P57" i="23"/>
  <c r="E56" i="23"/>
  <c r="P56" i="23"/>
  <c r="E55" i="23"/>
  <c r="P55" i="23"/>
  <c r="E52" i="23"/>
  <c r="P52" i="23"/>
  <c r="E51" i="23"/>
  <c r="P51" i="23"/>
  <c r="E50" i="23"/>
  <c r="E49" i="23"/>
  <c r="P49" i="23"/>
  <c r="E48" i="23"/>
  <c r="P48" i="23"/>
  <c r="E37" i="23"/>
  <c r="P37" i="23"/>
  <c r="E36" i="23"/>
  <c r="P36" i="23"/>
  <c r="E35" i="23"/>
  <c r="P35" i="23"/>
  <c r="E34" i="23"/>
  <c r="E32" i="23"/>
  <c r="E30" i="23"/>
  <c r="P30" i="23"/>
  <c r="E26" i="23"/>
  <c r="E25" i="23"/>
  <c r="E23" i="23"/>
  <c r="E19" i="23"/>
  <c r="E18" i="23"/>
  <c r="P18" i="23" s="1"/>
  <c r="AY18" i="84" s="1"/>
  <c r="E16" i="23"/>
  <c r="E13" i="23"/>
  <c r="E12" i="23"/>
  <c r="P12" i="23"/>
  <c r="E11" i="23"/>
  <c r="E10" i="23"/>
  <c r="P10" i="23"/>
  <c r="W16" i="3"/>
  <c r="W17" i="3"/>
  <c r="W18" i="3"/>
  <c r="W19" i="3"/>
  <c r="W20" i="3"/>
  <c r="W15" i="3"/>
  <c r="U15" i="3"/>
  <c r="Z16" i="3"/>
  <c r="Z17" i="3"/>
  <c r="Z18" i="3"/>
  <c r="Z19" i="3"/>
  <c r="Z20" i="3"/>
  <c r="Z15" i="3"/>
  <c r="BC14" i="16"/>
  <c r="BD14" i="16"/>
  <c r="AY16" i="8"/>
  <c r="BC15" i="8"/>
  <c r="BD15" i="8"/>
  <c r="AX14" i="16"/>
  <c r="AX15" i="16"/>
  <c r="AX16" i="16"/>
  <c r="AX18" i="16"/>
  <c r="AX19" i="16"/>
  <c r="AX23" i="16"/>
  <c r="AX25" i="16"/>
  <c r="AX26" i="16"/>
  <c r="AX30" i="16"/>
  <c r="AX32" i="16"/>
  <c r="AX11" i="16"/>
  <c r="AX12" i="16"/>
  <c r="AX13" i="16"/>
  <c r="AX12" i="8"/>
  <c r="AY12" i="8"/>
  <c r="AX13" i="8"/>
  <c r="AY13" i="8"/>
  <c r="AX14" i="8"/>
  <c r="AY14" i="8"/>
  <c r="AX15" i="8"/>
  <c r="AY15" i="8"/>
  <c r="AX16" i="8"/>
  <c r="AX17" i="8"/>
  <c r="AY17" i="8"/>
  <c r="AX19" i="8"/>
  <c r="AY19" i="8"/>
  <c r="AX20" i="8"/>
  <c r="AY20" i="8"/>
  <c r="AX24" i="8"/>
  <c r="AY24" i="8"/>
  <c r="AX26" i="8"/>
  <c r="AY26" i="8"/>
  <c r="AX27" i="8"/>
  <c r="AY27" i="8"/>
  <c r="AX31" i="8"/>
  <c r="AY31" i="8"/>
  <c r="AX33" i="8"/>
  <c r="AY33" i="8"/>
  <c r="AX35" i="8"/>
  <c r="AY35" i="8"/>
  <c r="AX36" i="8"/>
  <c r="AY36" i="8"/>
  <c r="AX37" i="8"/>
  <c r="AY37" i="8"/>
  <c r="AX38" i="8"/>
  <c r="AY38" i="8"/>
  <c r="AX49" i="8"/>
  <c r="AY49" i="8"/>
  <c r="AX50" i="8"/>
  <c r="AY50" i="8"/>
  <c r="AX51" i="8"/>
  <c r="AY51" i="8"/>
  <c r="AX52" i="8"/>
  <c r="AY52" i="8"/>
  <c r="AX53" i="8"/>
  <c r="AY53" i="8"/>
  <c r="AX55" i="8"/>
  <c r="AY55" i="8"/>
  <c r="AX56" i="8"/>
  <c r="AY56" i="8"/>
  <c r="AX57" i="8"/>
  <c r="AY57" i="8"/>
  <c r="AX58" i="8"/>
  <c r="AY58" i="8"/>
  <c r="AX59" i="8"/>
  <c r="AY59" i="8"/>
  <c r="AX60" i="8"/>
  <c r="AY60" i="8"/>
  <c r="AX62" i="8"/>
  <c r="AY62" i="8"/>
  <c r="AX63" i="8"/>
  <c r="AY63" i="8"/>
  <c r="AY11" i="8"/>
  <c r="AX11" i="8"/>
  <c r="Y14" i="23"/>
  <c r="X14" i="23"/>
  <c r="BG14" i="16" s="1"/>
  <c r="W14" i="23"/>
  <c r="BF333" i="16" s="1"/>
  <c r="V14" i="23"/>
  <c r="BE885" i="16" s="1"/>
  <c r="AM14" i="8"/>
  <c r="Y49" i="16"/>
  <c r="Y48" i="16"/>
  <c r="Y47" i="16"/>
  <c r="Y46" i="16"/>
  <c r="Y44" i="16"/>
  <c r="Y43" i="16"/>
  <c r="Y35" i="16"/>
  <c r="Y34" i="16"/>
  <c r="Y33" i="16"/>
  <c r="Y32" i="16"/>
  <c r="Y31" i="16"/>
  <c r="Y30" i="16"/>
  <c r="Y29" i="16"/>
  <c r="Y28" i="16"/>
  <c r="AB16" i="3"/>
  <c r="AB17" i="3"/>
  <c r="AB18" i="3"/>
  <c r="AB19" i="3"/>
  <c r="AB20" i="3"/>
  <c r="AB15" i="3"/>
  <c r="U16" i="3"/>
  <c r="U17" i="3"/>
  <c r="U18" i="3"/>
  <c r="U19" i="3"/>
  <c r="U20" i="3"/>
  <c r="S16" i="3"/>
  <c r="S17" i="3"/>
  <c r="S18" i="3"/>
  <c r="S19" i="3"/>
  <c r="S20" i="3"/>
  <c r="S15" i="3"/>
  <c r="AE28" i="8"/>
  <c r="AC28" i="8" s="1"/>
  <c r="Q17" i="3"/>
  <c r="Q18" i="3"/>
  <c r="Q19" i="3"/>
  <c r="Q20" i="3"/>
  <c r="Q15" i="3"/>
  <c r="Q16" i="3"/>
  <c r="O17" i="3"/>
  <c r="O18" i="3"/>
  <c r="O19" i="3"/>
  <c r="O20" i="3"/>
  <c r="O15" i="3"/>
  <c r="O16" i="3"/>
  <c r="I17" i="3"/>
  <c r="I18" i="3"/>
  <c r="I19" i="3"/>
  <c r="I20" i="3"/>
  <c r="I15" i="3"/>
  <c r="I16" i="3"/>
  <c r="G16" i="3"/>
  <c r="G17" i="3"/>
  <c r="G18" i="3"/>
  <c r="G19" i="3"/>
  <c r="G20" i="3"/>
  <c r="G15" i="3"/>
  <c r="O43" i="8"/>
  <c r="W234" i="85" s="1"/>
  <c r="O26" i="8"/>
  <c r="I24" i="80" s="1"/>
  <c r="O24" i="8"/>
  <c r="I22" i="80" s="1"/>
  <c r="O22" i="8"/>
  <c r="W236" i="85" s="1"/>
  <c r="AM48" i="8"/>
  <c r="AM49" i="8"/>
  <c r="AM50" i="8"/>
  <c r="AM43" i="8"/>
  <c r="AM28" i="8"/>
  <c r="AM26" i="8"/>
  <c r="AM24" i="8"/>
  <c r="AM22" i="8"/>
  <c r="AM19" i="8"/>
  <c r="AM18" i="8"/>
  <c r="AM17" i="8"/>
  <c r="N14" i="7"/>
  <c r="BF15" i="24" s="1"/>
  <c r="O14" i="7"/>
  <c r="BG15" i="25" s="1"/>
  <c r="P14" i="7"/>
  <c r="BH15" i="28" s="1"/>
  <c r="M14" i="7"/>
  <c r="BE15" i="25" s="1"/>
  <c r="X4" i="2"/>
  <c r="Y4" i="2"/>
  <c r="S4" i="2"/>
  <c r="G4" i="2"/>
  <c r="H4" i="2"/>
  <c r="I4" i="2"/>
  <c r="J4" i="2"/>
  <c r="K4" i="2"/>
  <c r="Q4" i="2"/>
  <c r="R4" i="2"/>
  <c r="T4" i="2"/>
  <c r="U4" i="2"/>
  <c r="V4" i="2"/>
  <c r="W4" i="2"/>
  <c r="Z4" i="2"/>
  <c r="AA4" i="2"/>
  <c r="E4" i="2"/>
  <c r="AO28" i="8"/>
  <c r="AO224" i="8"/>
  <c r="R48" i="28"/>
  <c r="AE48" i="28" s="1"/>
  <c r="T48" i="28"/>
  <c r="AD48" i="28" s="1"/>
  <c r="AO80" i="8"/>
  <c r="N2025" i="16"/>
  <c r="G2026" i="16" s="1"/>
  <c r="G2027" i="16" s="1"/>
  <c r="G2028" i="16" s="1"/>
  <c r="G2029" i="16" s="1"/>
  <c r="AY42" i="16"/>
  <c r="N2454" i="16"/>
  <c r="N1513" i="16"/>
  <c r="G1514" i="16" s="1"/>
  <c r="G1515" i="16" s="1"/>
  <c r="G1516" i="16" s="1"/>
  <c r="G1517" i="16" s="1"/>
  <c r="G1518" i="16" s="1"/>
  <c r="G1519" i="16" s="1"/>
  <c r="G1520" i="16" s="1"/>
  <c r="G1521" i="16" s="1"/>
  <c r="G1522" i="16" s="1"/>
  <c r="G1523" i="16" s="1"/>
  <c r="AO643" i="25"/>
  <c r="G1494" i="16"/>
  <c r="AO623" i="25"/>
  <c r="AY342" i="16"/>
  <c r="O233" i="27"/>
  <c r="I1863" i="80" s="1"/>
  <c r="A1863" i="80" s="1"/>
  <c r="N106" i="16"/>
  <c r="G107" i="16" s="1"/>
  <c r="G108" i="16" s="1"/>
  <c r="G109" i="16" s="1"/>
  <c r="G110" i="16" s="1"/>
  <c r="G111" i="16" s="1"/>
  <c r="G112" i="16" s="1"/>
  <c r="AY23" i="16"/>
  <c r="O149" i="27"/>
  <c r="I1779" i="80" s="1"/>
  <c r="S99" i="8"/>
  <c r="T99" i="8" s="1"/>
  <c r="AD99" i="8" s="1"/>
  <c r="AC99" i="8" s="1"/>
  <c r="T91" i="8"/>
  <c r="AD91" i="8" s="1"/>
  <c r="AC91" i="8" s="1"/>
  <c r="S92" i="8"/>
  <c r="O92" i="8" s="1"/>
  <c r="I90" i="80" s="1"/>
  <c r="S94" i="8"/>
  <c r="T94" i="8" s="1"/>
  <c r="AD94" i="8" s="1"/>
  <c r="AC94" i="8" s="1"/>
  <c r="T101" i="8"/>
  <c r="AD101" i="8" s="1"/>
  <c r="AC101" i="8" s="1"/>
  <c r="N262" i="16"/>
  <c r="AO263" i="8"/>
  <c r="N223" i="16"/>
  <c r="T164" i="27"/>
  <c r="AD164" i="27" s="1"/>
  <c r="AC164" i="27" s="1"/>
  <c r="N234" i="16"/>
  <c r="G235" i="16" s="1"/>
  <c r="G236" i="16" s="1"/>
  <c r="O128" i="28"/>
  <c r="AD43" i="28"/>
  <c r="O43" i="28"/>
  <c r="T55" i="28"/>
  <c r="AD55" i="28" s="1"/>
  <c r="O48" i="28"/>
  <c r="T219" i="28"/>
  <c r="AD219" i="28" s="1"/>
  <c r="O101" i="8"/>
  <c r="S227" i="84"/>
  <c r="M169" i="16"/>
  <c r="M161" i="8"/>
  <c r="O837" i="16"/>
  <c r="O519" i="24"/>
  <c r="S655" i="25"/>
  <c r="S62" i="28"/>
  <c r="M154" i="8"/>
  <c r="M171" i="16"/>
  <c r="O129" i="8"/>
  <c r="S725" i="25"/>
  <c r="S441" i="16"/>
  <c r="S564" i="25"/>
  <c r="S73" i="27"/>
  <c r="S306" i="8"/>
  <c r="M156" i="8"/>
  <c r="S176" i="28"/>
  <c r="M153" i="16"/>
  <c r="S173" i="28"/>
  <c r="O1427" i="16"/>
  <c r="O380" i="16"/>
  <c r="M163" i="8"/>
  <c r="O501" i="16"/>
  <c r="O674" i="16"/>
  <c r="M160" i="16"/>
  <c r="AE271" i="25"/>
  <c r="S13" i="25"/>
  <c r="M158" i="8"/>
  <c r="M152" i="16"/>
  <c r="S75" i="27"/>
  <c r="S172" i="28"/>
  <c r="S443" i="16"/>
  <c r="M157" i="16"/>
  <c r="T21" i="27"/>
  <c r="S287" i="8"/>
  <c r="O200" i="16"/>
  <c r="O136" i="8"/>
  <c r="S46" i="8"/>
  <c r="U900" i="16" a="1"/>
  <c r="S215" i="28"/>
  <c r="S178" i="28"/>
  <c r="M171" i="8"/>
  <c r="O92" i="27"/>
  <c r="AE278" i="25"/>
  <c r="O128" i="16"/>
  <c r="R649" i="16"/>
  <c r="S659" i="25"/>
  <c r="O332" i="28"/>
  <c r="W712" i="25"/>
  <c r="W714" i="25"/>
  <c r="AE1141" i="16"/>
  <c r="M153" i="8"/>
  <c r="O124" i="27"/>
  <c r="O356" i="24"/>
  <c r="S453" i="16"/>
  <c r="M172" i="8"/>
  <c r="O97" i="27"/>
  <c r="O1892" i="16"/>
  <c r="M162" i="16"/>
  <c r="M168" i="8"/>
  <c r="S283" i="8"/>
  <c r="M167" i="16"/>
  <c r="S757" i="25"/>
  <c r="S457" i="16"/>
  <c r="O192" i="24"/>
  <c r="O2194" i="16"/>
  <c r="S289" i="8"/>
  <c r="O697" i="16"/>
  <c r="O510" i="16"/>
  <c r="S313" i="8"/>
  <c r="M151" i="16"/>
  <c r="M140" i="16"/>
  <c r="S316" i="8"/>
  <c r="O149" i="16"/>
  <c r="M168" i="16"/>
  <c r="O219" i="28"/>
  <c r="R753" i="16"/>
  <c r="S324" i="8"/>
  <c r="O94" i="8"/>
  <c r="R760" i="16"/>
  <c r="M154" i="16"/>
  <c r="M167" i="8"/>
  <c r="O2198" i="16"/>
  <c r="R647" i="16"/>
  <c r="S293" i="8"/>
  <c r="M177" i="8"/>
  <c r="M141" i="8"/>
  <c r="O813" i="16"/>
  <c r="U30" i="25" a="1"/>
  <c r="S317" i="8"/>
  <c r="O1549" i="16"/>
  <c r="S256" i="8"/>
  <c r="O183" i="24"/>
  <c r="O679" i="25"/>
  <c r="M152" i="8"/>
  <c r="O1935" i="16"/>
  <c r="M170" i="16"/>
  <c r="S568" i="25"/>
  <c r="S292" i="8"/>
  <c r="M170" i="8"/>
  <c r="S322" i="8"/>
  <c r="S767" i="25"/>
  <c r="O257" i="16"/>
  <c r="S883" i="16"/>
  <c r="S66" i="27"/>
  <c r="R764" i="16"/>
  <c r="M166" i="16"/>
  <c r="O2085" i="16"/>
  <c r="S657" i="25"/>
  <c r="M176" i="16"/>
  <c r="S712" i="25"/>
  <c r="AE1148" i="16"/>
  <c r="O134" i="27"/>
  <c r="S573" i="25"/>
  <c r="S449" i="16"/>
  <c r="S764" i="16"/>
  <c r="S376" i="25"/>
  <c r="O495" i="24"/>
  <c r="S164" i="28"/>
  <c r="O135" i="16"/>
  <c r="S326" i="8"/>
  <c r="O56" i="27"/>
  <c r="O377" i="28"/>
  <c r="O1685" i="16"/>
  <c r="O165" i="16"/>
  <c r="M155" i="16"/>
  <c r="M169" i="8"/>
  <c r="S295" i="8"/>
  <c r="M155" i="8"/>
  <c r="S766" i="25"/>
  <c r="S64" i="27"/>
  <c r="O328" i="28"/>
  <c r="G1495" i="16" l="1"/>
  <c r="G1487" i="16"/>
  <c r="T227" i="84"/>
  <c r="S1081" i="16"/>
  <c r="S211" i="25"/>
  <c r="S196" i="25"/>
  <c r="O195" i="25" s="1"/>
  <c r="F87" i="17"/>
  <c r="F87" i="18" s="1"/>
  <c r="T584" i="25"/>
  <c r="AD584" i="25" s="1"/>
  <c r="AC584" i="25" s="1"/>
  <c r="W136" i="86"/>
  <c r="I1685" i="80"/>
  <c r="W117" i="86"/>
  <c r="W112" i="86"/>
  <c r="I1794" i="80"/>
  <c r="I1792" i="80" s="1"/>
  <c r="W63" i="86"/>
  <c r="U900" i="16"/>
  <c r="U30" i="25"/>
  <c r="AO216" i="8"/>
  <c r="N215" i="16"/>
  <c r="AO59" i="8"/>
  <c r="AO254" i="8"/>
  <c r="N58" i="16"/>
  <c r="G59" i="16" s="1"/>
  <c r="G60" i="16" s="1"/>
  <c r="G61" i="16" s="1"/>
  <c r="W246" i="85"/>
  <c r="N1467" i="16"/>
  <c r="G1468" i="16" s="1"/>
  <c r="G1469" i="16" s="1"/>
  <c r="G1470" i="16" s="1"/>
  <c r="G1471" i="16" s="1"/>
  <c r="G1472" i="16" s="1"/>
  <c r="G1473" i="16" s="1"/>
  <c r="G1474" i="16" s="1"/>
  <c r="N1921" i="16"/>
  <c r="W209" i="85"/>
  <c r="T135" i="28"/>
  <c r="AD135" i="28" s="1"/>
  <c r="O295" i="8"/>
  <c r="W206" i="85"/>
  <c r="N1985" i="16"/>
  <c r="G1986" i="16" s="1"/>
  <c r="G1987" i="16" s="1"/>
  <c r="G1988" i="16" s="1"/>
  <c r="G1989" i="16" s="1"/>
  <c r="G1990" i="16" s="1"/>
  <c r="W290" i="85"/>
  <c r="W163" i="85"/>
  <c r="W257" i="85"/>
  <c r="W289" i="85"/>
  <c r="W288" i="85"/>
  <c r="S23" i="28"/>
  <c r="T23" i="28" s="1"/>
  <c r="AD23" i="28" s="1"/>
  <c r="AC23" i="28" s="1"/>
  <c r="I680" i="80"/>
  <c r="S452" i="25"/>
  <c r="AM166" i="16"/>
  <c r="AM154" i="16"/>
  <c r="AM167" i="16"/>
  <c r="AM157" i="16"/>
  <c r="AM169" i="16"/>
  <c r="AM152" i="16"/>
  <c r="AM176" i="16"/>
  <c r="AM170" i="16"/>
  <c r="AM171" i="16"/>
  <c r="AM155" i="16"/>
  <c r="AM162" i="16"/>
  <c r="O162" i="16"/>
  <c r="AM160" i="16"/>
  <c r="AM153" i="16"/>
  <c r="AM168" i="16"/>
  <c r="AM151" i="16"/>
  <c r="AO217" i="8"/>
  <c r="N272" i="16"/>
  <c r="G273" i="16" s="1"/>
  <c r="G274" i="16" s="1"/>
  <c r="AO273" i="8"/>
  <c r="N216" i="16"/>
  <c r="G217" i="16" s="1"/>
  <c r="G213" i="16" s="1"/>
  <c r="I1533" i="80"/>
  <c r="A1534" i="80" s="1"/>
  <c r="C1534" i="80" s="1"/>
  <c r="W143" i="85"/>
  <c r="I1450" i="80"/>
  <c r="C1450" i="80" s="1"/>
  <c r="W129" i="85"/>
  <c r="W280" i="85"/>
  <c r="W248" i="85"/>
  <c r="W205" i="85"/>
  <c r="AY1883" i="16"/>
  <c r="AY905" i="16"/>
  <c r="O140" i="28"/>
  <c r="N2006" i="16" s="1"/>
  <c r="G2007" i="16" s="1"/>
  <c r="G2008" i="16" s="1"/>
  <c r="G2009" i="16" s="1"/>
  <c r="G2010" i="16" s="1"/>
  <c r="G2011" i="16" s="1"/>
  <c r="AE29" i="28"/>
  <c r="AC29" i="28" s="1"/>
  <c r="AY380" i="16"/>
  <c r="AY1662" i="16"/>
  <c r="AY882" i="16"/>
  <c r="AY48" i="16"/>
  <c r="AY35" i="16"/>
  <c r="AO365" i="24"/>
  <c r="AE324" i="28"/>
  <c r="AC324" i="28" s="1"/>
  <c r="AY355" i="16"/>
  <c r="C369" i="80"/>
  <c r="AY1680" i="16"/>
  <c r="AY890" i="16"/>
  <c r="X4" i="84"/>
  <c r="X5" i="84"/>
  <c r="AY370" i="16"/>
  <c r="AY376" i="16"/>
  <c r="CF4" i="2"/>
  <c r="AY917" i="16"/>
  <c r="AY897" i="16"/>
  <c r="W1455" i="16" s="1"/>
  <c r="O1453" i="16" s="1"/>
  <c r="E1452" i="81" s="1"/>
  <c r="AY44" i="16"/>
  <c r="AY896" i="16"/>
  <c r="AY59" i="16"/>
  <c r="AY364" i="16"/>
  <c r="AY49" i="16"/>
  <c r="AY356" i="16"/>
  <c r="AO107" i="8"/>
  <c r="O58" i="28"/>
  <c r="AO58" i="28" s="1"/>
  <c r="AY371" i="16"/>
  <c r="AY894" i="16"/>
  <c r="W205" i="84"/>
  <c r="W248" i="84"/>
  <c r="W127" i="84"/>
  <c r="AY886" i="16"/>
  <c r="AY1644" i="16"/>
  <c r="BD16" i="25"/>
  <c r="BC16" i="25"/>
  <c r="M15" i="7"/>
  <c r="BE16" i="29" s="1"/>
  <c r="S1419" i="16"/>
  <c r="I1572" i="80"/>
  <c r="C1572" i="80" s="1"/>
  <c r="S549" i="25"/>
  <c r="BE15" i="24"/>
  <c r="I2244" i="80"/>
  <c r="A2244" i="80" s="1"/>
  <c r="AO377" i="28"/>
  <c r="AO70" i="8"/>
  <c r="I68" i="80"/>
  <c r="A228" i="80"/>
  <c r="C228" i="80" s="1"/>
  <c r="C227" i="80"/>
  <c r="A121" i="80"/>
  <c r="C120" i="80"/>
  <c r="A218" i="80"/>
  <c r="C218" i="80" s="1"/>
  <c r="C217" i="80"/>
  <c r="N361" i="16"/>
  <c r="I360" i="80"/>
  <c r="N821" i="16"/>
  <c r="G822" i="16" s="1"/>
  <c r="G823" i="16" s="1"/>
  <c r="G824" i="16" s="1"/>
  <c r="G825" i="16" s="1"/>
  <c r="G826" i="16" s="1"/>
  <c r="G827" i="16" s="1"/>
  <c r="G828" i="16" s="1"/>
  <c r="G829" i="16" s="1"/>
  <c r="G830" i="16" s="1"/>
  <c r="G831" i="16" s="1"/>
  <c r="G832" i="16" s="1"/>
  <c r="G833" i="16" s="1"/>
  <c r="G834" i="16" s="1"/>
  <c r="G835" i="16" s="1"/>
  <c r="G836" i="16" s="1"/>
  <c r="I820" i="80"/>
  <c r="N423" i="16"/>
  <c r="G424" i="16" s="1"/>
  <c r="I422" i="80"/>
  <c r="AO254" i="24"/>
  <c r="I571" i="80"/>
  <c r="C619" i="80"/>
  <c r="A620" i="80"/>
  <c r="C620" i="80" s="1"/>
  <c r="AO353" i="24"/>
  <c r="I670" i="80"/>
  <c r="I2455" i="80"/>
  <c r="AO211" i="29"/>
  <c r="AO586" i="25"/>
  <c r="I1455" i="80"/>
  <c r="C1455" i="80" s="1"/>
  <c r="I1965" i="80"/>
  <c r="AO98" i="28"/>
  <c r="E1479" i="81"/>
  <c r="AO1480" i="16"/>
  <c r="E1861" i="81"/>
  <c r="AO1862" i="16"/>
  <c r="C330" i="80"/>
  <c r="A331" i="80"/>
  <c r="N75" i="16"/>
  <c r="G76" i="16" s="1"/>
  <c r="I74" i="80"/>
  <c r="N73" i="16"/>
  <c r="G74" i="16" s="1"/>
  <c r="I72" i="80"/>
  <c r="AO238" i="8"/>
  <c r="I236" i="80"/>
  <c r="C236" i="80" s="1"/>
  <c r="AO125" i="8"/>
  <c r="I123" i="80"/>
  <c r="A178" i="80"/>
  <c r="C177" i="80"/>
  <c r="AO146" i="24"/>
  <c r="I463" i="80"/>
  <c r="I2457" i="80"/>
  <c r="AO213" i="29"/>
  <c r="A611" i="80"/>
  <c r="C611" i="80" s="1"/>
  <c r="C610" i="80"/>
  <c r="C1410" i="80"/>
  <c r="A1411" i="80"/>
  <c r="AO587" i="25"/>
  <c r="I1456" i="80"/>
  <c r="I1922" i="80"/>
  <c r="C1922" i="80" s="1"/>
  <c r="AO55" i="28"/>
  <c r="I1986" i="80"/>
  <c r="AO119" i="28"/>
  <c r="I2057" i="80"/>
  <c r="AO190" i="28"/>
  <c r="E1911" i="81"/>
  <c r="G1912" i="81" s="1"/>
  <c r="AO1912" i="16"/>
  <c r="A77" i="80"/>
  <c r="C77" i="80" s="1"/>
  <c r="C76" i="80"/>
  <c r="N246" i="16"/>
  <c r="I245" i="80"/>
  <c r="C245" i="80" s="1"/>
  <c r="I186" i="80"/>
  <c r="AO188" i="8"/>
  <c r="AO45" i="24"/>
  <c r="I362" i="80"/>
  <c r="AO223" i="24"/>
  <c r="I540" i="80"/>
  <c r="N462" i="16"/>
  <c r="G463" i="16" s="1"/>
  <c r="I461" i="80"/>
  <c r="E177" i="81"/>
  <c r="G178" i="81" s="1"/>
  <c r="G179" i="81" s="1"/>
  <c r="AO178" i="16"/>
  <c r="AO708" i="25"/>
  <c r="I1577" i="80"/>
  <c r="A1880" i="80"/>
  <c r="C1879" i="80"/>
  <c r="N2059" i="16"/>
  <c r="G2060" i="16" s="1"/>
  <c r="G2061" i="16" s="1"/>
  <c r="G2062" i="16" s="1"/>
  <c r="I2060" i="80"/>
  <c r="AO193" i="28"/>
  <c r="N2188" i="16"/>
  <c r="G2189" i="16" s="1"/>
  <c r="I2189" i="80"/>
  <c r="AO322" i="28"/>
  <c r="E2000" i="81"/>
  <c r="AO2001" i="16"/>
  <c r="N1914" i="16"/>
  <c r="I1915" i="80"/>
  <c r="AO48" i="28"/>
  <c r="A91" i="80"/>
  <c r="C91" i="80" s="1"/>
  <c r="C90" i="80"/>
  <c r="N21" i="16"/>
  <c r="G22" i="16" s="1"/>
  <c r="I20" i="80"/>
  <c r="N79" i="16"/>
  <c r="G80" i="16" s="1"/>
  <c r="I78" i="80"/>
  <c r="C233" i="80"/>
  <c r="A234" i="80"/>
  <c r="I193" i="80"/>
  <c r="A467" i="80"/>
  <c r="C467" i="80" s="1"/>
  <c r="C466" i="80"/>
  <c r="N536" i="16"/>
  <c r="I535" i="80"/>
  <c r="I531" i="80" s="1"/>
  <c r="A1467" i="80"/>
  <c r="C1466" i="80"/>
  <c r="I1885" i="80"/>
  <c r="AO18" i="28"/>
  <c r="I2002" i="80"/>
  <c r="AO135" i="28"/>
  <c r="I2064" i="80"/>
  <c r="AO197" i="28"/>
  <c r="I2233" i="80"/>
  <c r="AO366" i="28"/>
  <c r="E1913" i="81"/>
  <c r="G1914" i="81" s="1"/>
  <c r="G1915" i="81" s="1"/>
  <c r="AO1914" i="16"/>
  <c r="E2005" i="81"/>
  <c r="AO2006" i="16"/>
  <c r="N1544" i="16"/>
  <c r="G1545" i="16" s="1"/>
  <c r="I1543" i="80"/>
  <c r="I1910" i="80"/>
  <c r="AO43" i="28"/>
  <c r="A23" i="80"/>
  <c r="C23" i="80" s="1"/>
  <c r="C22" i="80"/>
  <c r="A81" i="80"/>
  <c r="C81" i="80" s="1"/>
  <c r="C80" i="80"/>
  <c r="A58" i="80"/>
  <c r="C57" i="80"/>
  <c r="A230" i="80"/>
  <c r="C229" i="80"/>
  <c r="A198" i="80"/>
  <c r="C198" i="80" s="1"/>
  <c r="C197" i="80"/>
  <c r="A185" i="80"/>
  <c r="C185" i="80" s="1"/>
  <c r="C184" i="80"/>
  <c r="A352" i="80"/>
  <c r="C351" i="80"/>
  <c r="N551" i="16"/>
  <c r="G552" i="16" s="1"/>
  <c r="G553" i="16" s="1"/>
  <c r="I550" i="80"/>
  <c r="N694" i="16"/>
  <c r="G695" i="16" s="1"/>
  <c r="I693" i="80"/>
  <c r="A469" i="80"/>
  <c r="C469" i="80" s="1"/>
  <c r="C468" i="80"/>
  <c r="E726" i="81"/>
  <c r="AO727" i="16"/>
  <c r="M168" i="28"/>
  <c r="AM168" i="28" s="1"/>
  <c r="AE168" i="28"/>
  <c r="I2068" i="80"/>
  <c r="C2068" i="80" s="1"/>
  <c r="AO201" i="28"/>
  <c r="I2238" i="80"/>
  <c r="AO371" i="28"/>
  <c r="A25" i="80"/>
  <c r="C25" i="80" s="1"/>
  <c r="C24" i="80"/>
  <c r="N104" i="16"/>
  <c r="G105" i="16" s="1"/>
  <c r="G101" i="16" s="1"/>
  <c r="I103" i="80"/>
  <c r="C252" i="80"/>
  <c r="A253" i="80"/>
  <c r="C253" i="80" s="1"/>
  <c r="AO179" i="24"/>
  <c r="I496" i="80"/>
  <c r="AO242" i="24"/>
  <c r="I559" i="80"/>
  <c r="AO96" i="24"/>
  <c r="I413" i="80"/>
  <c r="A471" i="80"/>
  <c r="C470" i="80"/>
  <c r="A790" i="80"/>
  <c r="C789" i="80"/>
  <c r="N1431" i="16"/>
  <c r="G1432" i="16" s="1"/>
  <c r="I1430" i="80"/>
  <c r="N2072" i="16"/>
  <c r="G2073" i="16" s="1"/>
  <c r="G2074" i="16" s="1"/>
  <c r="G2075" i="16" s="1"/>
  <c r="G2076" i="16" s="1"/>
  <c r="G2077" i="16" s="1"/>
  <c r="G2078" i="16" s="1"/>
  <c r="G2079" i="16" s="1"/>
  <c r="G2080" i="16" s="1"/>
  <c r="I2073" i="80"/>
  <c r="AO206" i="28"/>
  <c r="E1768" i="81"/>
  <c r="AO1769" i="16"/>
  <c r="E1916" i="81"/>
  <c r="G1917" i="81" s="1"/>
  <c r="AO1917" i="16"/>
  <c r="N1994" i="16"/>
  <c r="G1995" i="16" s="1"/>
  <c r="I1995" i="80"/>
  <c r="AO128" i="28"/>
  <c r="A106" i="80"/>
  <c r="C106" i="80" s="1"/>
  <c r="C105" i="80"/>
  <c r="I260" i="80"/>
  <c r="C260" i="80" s="1"/>
  <c r="C214" i="80"/>
  <c r="I212" i="80"/>
  <c r="N562" i="16"/>
  <c r="I561" i="80"/>
  <c r="AO265" i="24"/>
  <c r="I582" i="80"/>
  <c r="AO409" i="24"/>
  <c r="I726" i="80"/>
  <c r="E373" i="81"/>
  <c r="AO374" i="16"/>
  <c r="E743" i="81"/>
  <c r="AO744" i="16"/>
  <c r="A1851" i="80"/>
  <c r="C1850" i="80"/>
  <c r="A1448" i="80"/>
  <c r="C1448" i="80" s="1"/>
  <c r="C1447" i="80"/>
  <c r="I1958" i="80"/>
  <c r="AO91" i="28"/>
  <c r="E1678" i="81"/>
  <c r="AO1679" i="16"/>
  <c r="AO101" i="8"/>
  <c r="I99" i="80"/>
  <c r="C99" i="80" s="1"/>
  <c r="N42" i="16"/>
  <c r="G43" i="16" s="1"/>
  <c r="G44" i="16" s="1"/>
  <c r="I41" i="80"/>
  <c r="AO227" i="8"/>
  <c r="I225" i="80"/>
  <c r="C271" i="80"/>
  <c r="A272" i="80"/>
  <c r="A216" i="80"/>
  <c r="C216" i="80" s="1"/>
  <c r="C215" i="80"/>
  <c r="A579" i="80"/>
  <c r="C579" i="80" s="1"/>
  <c r="C578" i="80"/>
  <c r="AO248" i="24"/>
  <c r="I565" i="80"/>
  <c r="N596" i="16"/>
  <c r="G597" i="16" s="1"/>
  <c r="G598" i="16" s="1"/>
  <c r="G599" i="16" s="1"/>
  <c r="G600" i="16" s="1"/>
  <c r="G601" i="16" s="1"/>
  <c r="G602" i="16" s="1"/>
  <c r="G603" i="16" s="1"/>
  <c r="G604" i="16" s="1"/>
  <c r="G605" i="16" s="1"/>
  <c r="G606" i="16" s="1"/>
  <c r="G607" i="16" s="1"/>
  <c r="G608" i="16" s="1"/>
  <c r="G609" i="16" s="1"/>
  <c r="G610" i="16" s="1"/>
  <c r="I595" i="80"/>
  <c r="AO350" i="24"/>
  <c r="I667" i="80"/>
  <c r="I2436" i="80"/>
  <c r="C2436" i="80" s="1"/>
  <c r="AO192" i="29"/>
  <c r="N1959" i="16"/>
  <c r="G1960" i="16" s="1"/>
  <c r="G1961" i="16" s="1"/>
  <c r="I1960" i="80"/>
  <c r="AO93" i="28"/>
  <c r="I2026" i="80"/>
  <c r="AO159" i="28"/>
  <c r="I1485" i="80"/>
  <c r="C1485" i="80" s="1"/>
  <c r="I2013" i="80"/>
  <c r="AO146" i="28"/>
  <c r="E1908" i="81"/>
  <c r="G1909" i="81" s="1"/>
  <c r="AO1909" i="16"/>
  <c r="I346" i="80"/>
  <c r="C1452" i="80"/>
  <c r="A1453" i="80"/>
  <c r="E1599" i="81"/>
  <c r="AO1600" i="16"/>
  <c r="E1598" i="81"/>
  <c r="AO1599" i="16"/>
  <c r="AO1892" i="16"/>
  <c r="AO1935" i="16"/>
  <c r="AO2198" i="16"/>
  <c r="AO2085" i="16"/>
  <c r="AO2194" i="16"/>
  <c r="AO1753" i="16"/>
  <c r="AO1685" i="16"/>
  <c r="AO1815" i="16"/>
  <c r="AO1804" i="16"/>
  <c r="AO1549" i="16"/>
  <c r="AO1427" i="16"/>
  <c r="AO837" i="16"/>
  <c r="AO813" i="16"/>
  <c r="AO674" i="16"/>
  <c r="AO697" i="16"/>
  <c r="AO510" i="16"/>
  <c r="AO380" i="16"/>
  <c r="AO501" i="16"/>
  <c r="AM140" i="16"/>
  <c r="AO200" i="16"/>
  <c r="AO149" i="16"/>
  <c r="AO165" i="16"/>
  <c r="AO257" i="16"/>
  <c r="AO135" i="16"/>
  <c r="AO128" i="16"/>
  <c r="E2197" i="81"/>
  <c r="E2193" i="81"/>
  <c r="E2084" i="81"/>
  <c r="E1934" i="81"/>
  <c r="E1891" i="81"/>
  <c r="E1814" i="81"/>
  <c r="E1803" i="81"/>
  <c r="E1752" i="81"/>
  <c r="E1684" i="81"/>
  <c r="E1548" i="81"/>
  <c r="E1426" i="81"/>
  <c r="E836" i="81"/>
  <c r="E812" i="81"/>
  <c r="E696" i="81"/>
  <c r="E673" i="81"/>
  <c r="E509" i="81"/>
  <c r="E500" i="81"/>
  <c r="E379" i="81"/>
  <c r="E256" i="81"/>
  <c r="G256" i="81" s="1"/>
  <c r="G250" i="81" s="1"/>
  <c r="E199" i="81"/>
  <c r="E164" i="81"/>
  <c r="E148" i="81"/>
  <c r="E134" i="81"/>
  <c r="E127" i="81"/>
  <c r="H882" i="80"/>
  <c r="I1479" i="80"/>
  <c r="A1864" i="80"/>
  <c r="C1864" i="80" s="1"/>
  <c r="C1863" i="80"/>
  <c r="A1862" i="80"/>
  <c r="C1862" i="80" s="1"/>
  <c r="C1861" i="80"/>
  <c r="A1859" i="80"/>
  <c r="C1858" i="80"/>
  <c r="A1823" i="80"/>
  <c r="C1823" i="80" s="1"/>
  <c r="C1822" i="80"/>
  <c r="I2199" i="80"/>
  <c r="A2199" i="80" s="1"/>
  <c r="I2195" i="80"/>
  <c r="A2195" i="80" s="1"/>
  <c r="I2086" i="80"/>
  <c r="A2086" i="80" s="1"/>
  <c r="I1764" i="80"/>
  <c r="I1754" i="80"/>
  <c r="I1727" i="80"/>
  <c r="I1722" i="80"/>
  <c r="I1686" i="80"/>
  <c r="I1548" i="80"/>
  <c r="A1548" i="80" s="1"/>
  <c r="I836" i="80"/>
  <c r="A836" i="80" s="1"/>
  <c r="I812" i="80"/>
  <c r="A812" i="80" s="1"/>
  <c r="I673" i="80"/>
  <c r="A673" i="80" s="1"/>
  <c r="I509" i="80"/>
  <c r="A509" i="80" s="1"/>
  <c r="I500" i="80"/>
  <c r="I134" i="80"/>
  <c r="A134" i="80" s="1"/>
  <c r="I127" i="80"/>
  <c r="A127" i="80" s="1"/>
  <c r="I92" i="80"/>
  <c r="A92" i="80" s="1"/>
  <c r="G224" i="16"/>
  <c r="G263" i="16"/>
  <c r="AO332" i="28"/>
  <c r="AO328" i="28"/>
  <c r="AO219" i="28"/>
  <c r="AM163" i="8"/>
  <c r="AM141" i="8"/>
  <c r="AO597" i="25"/>
  <c r="I274" i="80"/>
  <c r="S1201" i="16"/>
  <c r="S1206" i="16"/>
  <c r="O1205" i="16" s="1"/>
  <c r="S1188" i="16"/>
  <c r="O1188" i="16" s="1"/>
  <c r="S1167" i="16"/>
  <c r="O1166" i="16" s="1"/>
  <c r="S1181" i="16"/>
  <c r="O1180" i="16" s="1"/>
  <c r="S1175" i="16"/>
  <c r="O1174" i="16" s="1"/>
  <c r="S1170" i="16"/>
  <c r="O1169" i="16" s="1"/>
  <c r="S1161" i="16"/>
  <c r="O1160" i="16" s="1"/>
  <c r="S297" i="25"/>
  <c r="S300" i="25"/>
  <c r="S305" i="25"/>
  <c r="S311" i="25"/>
  <c r="O310" i="25" s="1"/>
  <c r="I1179" i="80" s="1"/>
  <c r="S318" i="25"/>
  <c r="S331" i="25"/>
  <c r="S336" i="25"/>
  <c r="O164" i="28"/>
  <c r="S970" i="16"/>
  <c r="S969" i="16"/>
  <c r="S968" i="16"/>
  <c r="S967" i="16"/>
  <c r="S966" i="16"/>
  <c r="S965" i="16"/>
  <c r="S964" i="16"/>
  <c r="S963" i="16"/>
  <c r="S962" i="16"/>
  <c r="S961" i="16"/>
  <c r="S960" i="16"/>
  <c r="S959" i="16"/>
  <c r="S958" i="16"/>
  <c r="S100" i="25"/>
  <c r="S99" i="25"/>
  <c r="S98" i="25"/>
  <c r="S97" i="25"/>
  <c r="S96" i="25"/>
  <c r="S95" i="25"/>
  <c r="S94" i="25"/>
  <c r="S93" i="25"/>
  <c r="S92" i="25"/>
  <c r="S91" i="25"/>
  <c r="S90" i="25"/>
  <c r="S89" i="25"/>
  <c r="S88" i="25"/>
  <c r="O1556" i="16"/>
  <c r="W144" i="84" s="1"/>
  <c r="AY1648" i="16"/>
  <c r="N62" i="23"/>
  <c r="E21" i="3"/>
  <c r="A22" i="3"/>
  <c r="D22" i="3" s="1"/>
  <c r="G32" i="18" s="1"/>
  <c r="S44" i="29"/>
  <c r="T44" i="29" s="1"/>
  <c r="AD44" i="29" s="1"/>
  <c r="AC44" i="29" s="1"/>
  <c r="AO13" i="24"/>
  <c r="C21" i="3"/>
  <c r="F21" i="3"/>
  <c r="C10" i="18"/>
  <c r="M24" i="24"/>
  <c r="M26" i="24"/>
  <c r="N331" i="16"/>
  <c r="G332" i="16" s="1"/>
  <c r="G333" i="16" s="1"/>
  <c r="G334" i="16" s="1"/>
  <c r="G335" i="16" s="1"/>
  <c r="G336" i="16" s="1"/>
  <c r="G337" i="16" s="1"/>
  <c r="G338" i="16" s="1"/>
  <c r="G339" i="16" s="1"/>
  <c r="G340" i="16" s="1"/>
  <c r="G341" i="16" s="1"/>
  <c r="G342" i="16" s="1"/>
  <c r="G343" i="16" s="1"/>
  <c r="G344" i="16" s="1"/>
  <c r="S1251" i="16"/>
  <c r="S1270" i="16"/>
  <c r="S1245" i="16"/>
  <c r="T1245" i="16" s="1"/>
  <c r="AD1245" i="16" s="1"/>
  <c r="AC1245" i="16" s="1"/>
  <c r="S1292" i="16"/>
  <c r="S422" i="25"/>
  <c r="S400" i="25"/>
  <c r="S381" i="25"/>
  <c r="K18" i="17"/>
  <c r="T626" i="25"/>
  <c r="AD626" i="25" s="1"/>
  <c r="AC626" i="25" s="1"/>
  <c r="S975" i="16"/>
  <c r="S978" i="16"/>
  <c r="S108" i="25"/>
  <c r="S105" i="25"/>
  <c r="R76" i="27"/>
  <c r="R74" i="27"/>
  <c r="AC454" i="24"/>
  <c r="AY345" i="16"/>
  <c r="BF885" i="16"/>
  <c r="C8" i="18"/>
  <c r="C8" i="17"/>
  <c r="AY26" i="16"/>
  <c r="BE14" i="16"/>
  <c r="BF14" i="16"/>
  <c r="BE333" i="16"/>
  <c r="G14" i="17"/>
  <c r="AY2270" i="16"/>
  <c r="G14" i="18"/>
  <c r="AY1893" i="16"/>
  <c r="AY32" i="16"/>
  <c r="AZ32" i="16" s="1"/>
  <c r="S94" i="29"/>
  <c r="T94" i="29" s="1"/>
  <c r="AD94" i="29" s="1"/>
  <c r="AC94" i="29" s="1"/>
  <c r="BE15" i="29"/>
  <c r="AY25" i="16"/>
  <c r="S56" i="29"/>
  <c r="T56" i="29" s="1"/>
  <c r="AD56" i="29" s="1"/>
  <c r="AC56" i="29" s="1"/>
  <c r="AY344" i="16"/>
  <c r="M344" i="16" s="1"/>
  <c r="AY11" i="16"/>
  <c r="BE15" i="28"/>
  <c r="S46" i="29"/>
  <c r="T46" i="29" s="1"/>
  <c r="AD46" i="29" s="1"/>
  <c r="AC46" i="29" s="1"/>
  <c r="AY330" i="16"/>
  <c r="AY51" i="16"/>
  <c r="S117" i="24"/>
  <c r="T117" i="24" s="1"/>
  <c r="AD117" i="24" s="1"/>
  <c r="AC117" i="24" s="1"/>
  <c r="M219" i="28"/>
  <c r="AM219" i="28" s="1"/>
  <c r="AY47" i="16"/>
  <c r="AY366" i="16"/>
  <c r="AY1913" i="16"/>
  <c r="AY365" i="16"/>
  <c r="F22" i="3"/>
  <c r="I32" i="18" s="1"/>
  <c r="C14" i="17"/>
  <c r="AY1911" i="16"/>
  <c r="AY363" i="16"/>
  <c r="AY41" i="16"/>
  <c r="AY360" i="16"/>
  <c r="AY913" i="16"/>
  <c r="AY361" i="16"/>
  <c r="AY1669" i="16"/>
  <c r="AY358" i="16"/>
  <c r="AY45" i="16"/>
  <c r="AY40" i="16"/>
  <c r="AY359" i="16"/>
  <c r="AY2282" i="16"/>
  <c r="AY357" i="16"/>
  <c r="BF15" i="25"/>
  <c r="AY1656" i="16"/>
  <c r="C12" i="18"/>
  <c r="C12" i="17"/>
  <c r="S93" i="24"/>
  <c r="S103" i="24"/>
  <c r="T103" i="24" s="1"/>
  <c r="AD103" i="24" s="1"/>
  <c r="S80" i="24"/>
  <c r="T80" i="24" s="1"/>
  <c r="AO233" i="27"/>
  <c r="N1774" i="16"/>
  <c r="N1860" i="16"/>
  <c r="N1779" i="16"/>
  <c r="G1779" i="16" s="1"/>
  <c r="AO223" i="27"/>
  <c r="N1684" i="16"/>
  <c r="G1684" i="16" s="1"/>
  <c r="N1793" i="16"/>
  <c r="S1102" i="16"/>
  <c r="S228" i="25"/>
  <c r="T228" i="25" s="1"/>
  <c r="AD228" i="25" s="1"/>
  <c r="AC228" i="25" s="1"/>
  <c r="O140" i="16"/>
  <c r="T157" i="16"/>
  <c r="AD157" i="16" s="1"/>
  <c r="AC157" i="16" s="1"/>
  <c r="O157" i="16"/>
  <c r="T181" i="16"/>
  <c r="AD181" i="16" s="1"/>
  <c r="AC181" i="16" s="1"/>
  <c r="O181" i="16"/>
  <c r="M1895" i="16"/>
  <c r="AM1895" i="16" s="1"/>
  <c r="AE1895" i="16"/>
  <c r="AC1895" i="16" s="1"/>
  <c r="T2052" i="16"/>
  <c r="AD2052" i="16" s="1"/>
  <c r="AC2052" i="16" s="1"/>
  <c r="O2052" i="16"/>
  <c r="T160" i="16"/>
  <c r="AD160" i="16" s="1"/>
  <c r="AC160" i="16" s="1"/>
  <c r="O160" i="16"/>
  <c r="T183" i="16"/>
  <c r="AD183" i="16" s="1"/>
  <c r="AC183" i="16" s="1"/>
  <c r="O183" i="16"/>
  <c r="AE1926" i="16"/>
  <c r="M1926" i="16"/>
  <c r="AM1926" i="16" s="1"/>
  <c r="R1919" i="16"/>
  <c r="O1919" i="16"/>
  <c r="T736" i="16"/>
  <c r="AD736" i="16" s="1"/>
  <c r="AC736" i="16" s="1"/>
  <c r="O736" i="16"/>
  <c r="S93" i="16"/>
  <c r="O90" i="16"/>
  <c r="AE1938" i="16"/>
  <c r="AC1938" i="16" s="1"/>
  <c r="M1938" i="16"/>
  <c r="AM1938" i="16" s="1"/>
  <c r="O73" i="16"/>
  <c r="M555" i="16"/>
  <c r="AM555" i="16" s="1"/>
  <c r="AE555" i="16"/>
  <c r="AC555" i="16" s="1"/>
  <c r="T373" i="16"/>
  <c r="AD373" i="16" s="1"/>
  <c r="AC373" i="16" s="1"/>
  <c r="O373" i="16"/>
  <c r="T71" i="16"/>
  <c r="AD71" i="16" s="1"/>
  <c r="AC71" i="16" s="1"/>
  <c r="O71" i="16"/>
  <c r="T165" i="16"/>
  <c r="AD165" i="16" s="1"/>
  <c r="AC165" i="16" s="1"/>
  <c r="T185" i="16"/>
  <c r="AD185" i="16" s="1"/>
  <c r="AC185" i="16" s="1"/>
  <c r="O185" i="16"/>
  <c r="T170" i="16"/>
  <c r="AD170" i="16" s="1"/>
  <c r="AC170" i="16" s="1"/>
  <c r="O170" i="16"/>
  <c r="T370" i="16"/>
  <c r="AD370" i="16" s="1"/>
  <c r="AC370" i="16" s="1"/>
  <c r="O370" i="16"/>
  <c r="M483" i="16"/>
  <c r="AM483" i="16" s="1"/>
  <c r="AE483" i="16"/>
  <c r="AE528" i="16"/>
  <c r="AC528" i="16" s="1"/>
  <c r="M528" i="16"/>
  <c r="AM528" i="16" s="1"/>
  <c r="T1900" i="16"/>
  <c r="AD1900" i="16" s="1"/>
  <c r="AC1900" i="16" s="1"/>
  <c r="O1900" i="16"/>
  <c r="M1962" i="16"/>
  <c r="AM1962" i="16" s="1"/>
  <c r="AE1962" i="16"/>
  <c r="AC1962" i="16" s="1"/>
  <c r="AE2054" i="16"/>
  <c r="AC2054" i="16" s="1"/>
  <c r="M2054" i="16"/>
  <c r="AM2054" i="16" s="1"/>
  <c r="M2190" i="16"/>
  <c r="AM2190" i="16" s="1"/>
  <c r="AE2190" i="16"/>
  <c r="AC2190" i="16" s="1"/>
  <c r="M475" i="16"/>
  <c r="AM475" i="16" s="1"/>
  <c r="AE475" i="16"/>
  <c r="AC475" i="16" s="1"/>
  <c r="AE523" i="16"/>
  <c r="AC523" i="16" s="1"/>
  <c r="M523" i="16"/>
  <c r="AM523" i="16" s="1"/>
  <c r="T149" i="16"/>
  <c r="AD149" i="16" s="1"/>
  <c r="AC149" i="16" s="1"/>
  <c r="T171" i="16"/>
  <c r="AD171" i="16" s="1"/>
  <c r="AC171" i="16" s="1"/>
  <c r="O171" i="16"/>
  <c r="T371" i="16"/>
  <c r="AD371" i="16" s="1"/>
  <c r="AC371" i="16" s="1"/>
  <c r="O371" i="16"/>
  <c r="AE464" i="16"/>
  <c r="AC464" i="16" s="1"/>
  <c r="M464" i="16"/>
  <c r="AM464" i="16" s="1"/>
  <c r="T1934" i="16"/>
  <c r="AD1934" i="16" s="1"/>
  <c r="AC1934" i="16" s="1"/>
  <c r="O1934" i="16"/>
  <c r="M2050" i="16"/>
  <c r="AM2050" i="16" s="1"/>
  <c r="AE2050" i="16"/>
  <c r="AC2050" i="16" s="1"/>
  <c r="T1924" i="16"/>
  <c r="AD1924" i="16" s="1"/>
  <c r="O1924" i="16"/>
  <c r="T155" i="16"/>
  <c r="AD155" i="16" s="1"/>
  <c r="AC155" i="16" s="1"/>
  <c r="O155" i="16"/>
  <c r="AE534" i="16"/>
  <c r="AC534" i="16" s="1"/>
  <c r="M534" i="16"/>
  <c r="AM534" i="16" s="1"/>
  <c r="T1996" i="16"/>
  <c r="AD1996" i="16" s="1"/>
  <c r="AC1996" i="16" s="1"/>
  <c r="O1994" i="16"/>
  <c r="T176" i="16"/>
  <c r="AD176" i="16" s="1"/>
  <c r="AC176" i="16" s="1"/>
  <c r="O176" i="16"/>
  <c r="T372" i="16"/>
  <c r="AD372" i="16" s="1"/>
  <c r="AC372" i="16" s="1"/>
  <c r="O372" i="16"/>
  <c r="M2034" i="16"/>
  <c r="AM2034" i="16" s="1"/>
  <c r="AE2034" i="16"/>
  <c r="AC2034" i="16" s="1"/>
  <c r="AE2085" i="16"/>
  <c r="AC2085" i="16" s="1"/>
  <c r="M2085" i="16"/>
  <c r="AM2085" i="16" s="1"/>
  <c r="T1926" i="16"/>
  <c r="AD1926" i="16" s="1"/>
  <c r="O1926" i="16"/>
  <c r="N362" i="16"/>
  <c r="N671" i="16"/>
  <c r="G672" i="16" s="1"/>
  <c r="G673" i="16" s="1"/>
  <c r="AE210" i="24"/>
  <c r="N583" i="16"/>
  <c r="G584" i="16" s="1"/>
  <c r="G585" i="16" s="1"/>
  <c r="G586" i="16" s="1"/>
  <c r="G587" i="16" s="1"/>
  <c r="G588" i="16" s="1"/>
  <c r="G589" i="16" s="1"/>
  <c r="G590" i="16" s="1"/>
  <c r="M237" i="24"/>
  <c r="AM237" i="24" s="1"/>
  <c r="AE237" i="24"/>
  <c r="AC237" i="24" s="1"/>
  <c r="AO144" i="24"/>
  <c r="T56" i="24"/>
  <c r="AD56" i="24" s="1"/>
  <c r="AC56" i="24" s="1"/>
  <c r="M165" i="24"/>
  <c r="AM165" i="24" s="1"/>
  <c r="AE165" i="24"/>
  <c r="AC165" i="24" s="1"/>
  <c r="AY898" i="16"/>
  <c r="AY346" i="16"/>
  <c r="S378" i="16" s="1"/>
  <c r="M1760" i="16"/>
  <c r="O1760" i="16" s="1"/>
  <c r="O449" i="16"/>
  <c r="O453" i="16"/>
  <c r="O443" i="16"/>
  <c r="O636" i="16"/>
  <c r="O746" i="16"/>
  <c r="O441" i="16"/>
  <c r="O457" i="16"/>
  <c r="G1466" i="16"/>
  <c r="G1464" i="16"/>
  <c r="G1460" i="16" s="1"/>
  <c r="N2243" i="16"/>
  <c r="AC130" i="28"/>
  <c r="O51" i="28"/>
  <c r="N1917" i="16" s="1"/>
  <c r="M96" i="28"/>
  <c r="AM96" i="28" s="1"/>
  <c r="AC115" i="28"/>
  <c r="AC235" i="28"/>
  <c r="AC55" i="28"/>
  <c r="N2232" i="16"/>
  <c r="G2233" i="16" s="1"/>
  <c r="G2234" i="16" s="1"/>
  <c r="G2235" i="16" s="1"/>
  <c r="G2236" i="16" s="1"/>
  <c r="R43" i="28"/>
  <c r="AD1679" i="16"/>
  <c r="AC1679" i="16" s="1"/>
  <c r="T844" i="16"/>
  <c r="AD844" i="16" s="1"/>
  <c r="AC844" i="16" s="1"/>
  <c r="AD1862" i="16"/>
  <c r="AC1862" i="16" s="1"/>
  <c r="R1924" i="16"/>
  <c r="S1299" i="16"/>
  <c r="T1299" i="16" s="1"/>
  <c r="AD1299" i="16" s="1"/>
  <c r="AC1299" i="16" s="1"/>
  <c r="S59" i="25"/>
  <c r="S56" i="25"/>
  <c r="S54" i="25"/>
  <c r="S51" i="25"/>
  <c r="S47" i="25"/>
  <c r="S45" i="25"/>
  <c r="S44" i="25"/>
  <c r="S41" i="25"/>
  <c r="S42" i="25"/>
  <c r="S57" i="25"/>
  <c r="S55" i="25"/>
  <c r="S52" i="25"/>
  <c r="S50" i="25"/>
  <c r="S922" i="16"/>
  <c r="S929" i="16"/>
  <c r="S914" i="16"/>
  <c r="S925" i="16"/>
  <c r="S917" i="16"/>
  <c r="S921" i="16"/>
  <c r="S927" i="16"/>
  <c r="S912" i="16"/>
  <c r="S924" i="16"/>
  <c r="S915" i="16"/>
  <c r="S920" i="16"/>
  <c r="S926" i="16"/>
  <c r="S911" i="16"/>
  <c r="T1912" i="16"/>
  <c r="AD1912" i="16" s="1"/>
  <c r="T73" i="16"/>
  <c r="AD73" i="16" s="1"/>
  <c r="AC73" i="16" s="1"/>
  <c r="S91" i="16"/>
  <c r="R1912" i="16"/>
  <c r="S100" i="16"/>
  <c r="O100" i="16" s="1"/>
  <c r="T90" i="16"/>
  <c r="AD90" i="16" s="1"/>
  <c r="AC90" i="16" s="1"/>
  <c r="T727" i="16"/>
  <c r="AD727" i="16" s="1"/>
  <c r="AC727" i="16" s="1"/>
  <c r="S98" i="16"/>
  <c r="T1917" i="16"/>
  <c r="AD1917" i="16" s="1"/>
  <c r="AD1760" i="16"/>
  <c r="AC1760" i="16" s="1"/>
  <c r="T1909" i="16"/>
  <c r="AD1909" i="16" s="1"/>
  <c r="R1909" i="16"/>
  <c r="R1917" i="16"/>
  <c r="O38" i="10"/>
  <c r="O26" i="10"/>
  <c r="N2456" i="16"/>
  <c r="G2457" i="16" s="1"/>
  <c r="AC132" i="28"/>
  <c r="T58" i="28"/>
  <c r="AD58" i="28" s="1"/>
  <c r="AC58" i="28" s="1"/>
  <c r="AC96" i="28"/>
  <c r="N2001" i="16"/>
  <c r="G2002" i="16" s="1"/>
  <c r="G2003" i="16" s="1"/>
  <c r="G2004" i="16" s="1"/>
  <c r="G2005" i="16" s="1"/>
  <c r="AO706" i="25"/>
  <c r="N1576" i="16"/>
  <c r="G1577" i="16" s="1"/>
  <c r="AO376" i="24"/>
  <c r="T526" i="24"/>
  <c r="AD526" i="24" s="1"/>
  <c r="AC526" i="24" s="1"/>
  <c r="T52" i="24"/>
  <c r="AD52" i="24" s="1"/>
  <c r="AC52" i="24" s="1"/>
  <c r="N560" i="16"/>
  <c r="G561" i="16" s="1"/>
  <c r="S150" i="29"/>
  <c r="T150" i="29" s="1"/>
  <c r="S187" i="29"/>
  <c r="T187" i="29" s="1"/>
  <c r="AD187" i="29" s="1"/>
  <c r="AC187" i="29" s="1"/>
  <c r="S175" i="29"/>
  <c r="T175" i="29" s="1"/>
  <c r="AD175" i="29" s="1"/>
  <c r="AC175" i="29" s="1"/>
  <c r="S185" i="29"/>
  <c r="T185" i="29" s="1"/>
  <c r="AD185" i="29" s="1"/>
  <c r="AC185" i="29" s="1"/>
  <c r="S183" i="29"/>
  <c r="T183" i="29" s="1"/>
  <c r="AD183" i="29" s="1"/>
  <c r="AC183" i="29" s="1"/>
  <c r="S181" i="29"/>
  <c r="T181" i="29" s="1"/>
  <c r="AD181" i="29" s="1"/>
  <c r="AC181" i="29" s="1"/>
  <c r="S168" i="29"/>
  <c r="S167" i="29"/>
  <c r="S186" i="29"/>
  <c r="T186" i="29" s="1"/>
  <c r="AD186" i="29" s="1"/>
  <c r="AC186" i="29" s="1"/>
  <c r="S174" i="29"/>
  <c r="T174" i="29" s="1"/>
  <c r="AD174" i="29" s="1"/>
  <c r="AC174" i="29" s="1"/>
  <c r="S173" i="29"/>
  <c r="T173" i="29" s="1"/>
  <c r="AD173" i="29" s="1"/>
  <c r="AC173" i="29" s="1"/>
  <c r="S184" i="29"/>
  <c r="T184" i="29" s="1"/>
  <c r="AD184" i="29" s="1"/>
  <c r="AC184" i="29" s="1"/>
  <c r="S172" i="29"/>
  <c r="T172" i="29" s="1"/>
  <c r="AD172" i="29" s="1"/>
  <c r="AC172" i="29" s="1"/>
  <c r="S171" i="29"/>
  <c r="T171" i="29" s="1"/>
  <c r="AD171" i="29" s="1"/>
  <c r="AC171" i="29" s="1"/>
  <c r="S182" i="29"/>
  <c r="T182" i="29" s="1"/>
  <c r="AD182" i="29" s="1"/>
  <c r="AC182" i="29" s="1"/>
  <c r="S169" i="29"/>
  <c r="S176" i="29"/>
  <c r="T176" i="29" s="1"/>
  <c r="AD176" i="29" s="1"/>
  <c r="AC176" i="29" s="1"/>
  <c r="S51" i="29"/>
  <c r="T51" i="29" s="1"/>
  <c r="AD51" i="29" s="1"/>
  <c r="AC51" i="29" s="1"/>
  <c r="S59" i="29"/>
  <c r="T59" i="29" s="1"/>
  <c r="AD59" i="29" s="1"/>
  <c r="AC59" i="29" s="1"/>
  <c r="S52" i="29"/>
  <c r="T52" i="29" s="1"/>
  <c r="AD52" i="29" s="1"/>
  <c r="AC52" i="29" s="1"/>
  <c r="S38" i="29"/>
  <c r="T38" i="29" s="1"/>
  <c r="AD38" i="29" s="1"/>
  <c r="AC38" i="29" s="1"/>
  <c r="S108" i="29"/>
  <c r="T108" i="29" s="1"/>
  <c r="AD108" i="29" s="1"/>
  <c r="AC108" i="29" s="1"/>
  <c r="S93" i="29"/>
  <c r="T93" i="29" s="1"/>
  <c r="AD93" i="29" s="1"/>
  <c r="AC93" i="29" s="1"/>
  <c r="S103" i="29"/>
  <c r="T103" i="29" s="1"/>
  <c r="AD103" i="29" s="1"/>
  <c r="S148" i="29"/>
  <c r="T148" i="29" s="1"/>
  <c r="AD148" i="29" s="1"/>
  <c r="AC148" i="29" s="1"/>
  <c r="S113" i="29"/>
  <c r="T113" i="29" s="1"/>
  <c r="AD113" i="29" s="1"/>
  <c r="AC113" i="29" s="1"/>
  <c r="S122" i="29"/>
  <c r="T122" i="29" s="1"/>
  <c r="AD122" i="29" s="1"/>
  <c r="S30" i="29"/>
  <c r="T30" i="29" s="1"/>
  <c r="AD30" i="29" s="1"/>
  <c r="AC30" i="29" s="1"/>
  <c r="S116" i="29"/>
  <c r="T116" i="29" s="1"/>
  <c r="AD116" i="29" s="1"/>
  <c r="AC116" i="29" s="1"/>
  <c r="S149" i="29"/>
  <c r="T149" i="29" s="1"/>
  <c r="AD149" i="29" s="1"/>
  <c r="AC149" i="29" s="1"/>
  <c r="S118" i="29"/>
  <c r="T118" i="29" s="1"/>
  <c r="AD118" i="29" s="1"/>
  <c r="AC118" i="29" s="1"/>
  <c r="S141" i="29"/>
  <c r="T141" i="29" s="1"/>
  <c r="AD141" i="29" s="1"/>
  <c r="AC141" i="29" s="1"/>
  <c r="S146" i="29"/>
  <c r="T146" i="29" s="1"/>
  <c r="AD146" i="29" s="1"/>
  <c r="AC146" i="29" s="1"/>
  <c r="S143" i="29"/>
  <c r="T143" i="29" s="1"/>
  <c r="AD143" i="29" s="1"/>
  <c r="AC143" i="29" s="1"/>
  <c r="S58" i="29"/>
  <c r="T58" i="29" s="1"/>
  <c r="AD58" i="29" s="1"/>
  <c r="AC58" i="29" s="1"/>
  <c r="S60" i="29"/>
  <c r="R60" i="29" s="1"/>
  <c r="AE60" i="29" s="1"/>
  <c r="S27" i="29"/>
  <c r="T27" i="29" s="1"/>
  <c r="AD27" i="29" s="1"/>
  <c r="AC27" i="29" s="1"/>
  <c r="S16" i="29"/>
  <c r="T16" i="29" s="1"/>
  <c r="AD16" i="29" s="1"/>
  <c r="S144" i="29"/>
  <c r="T144" i="29" s="1"/>
  <c r="AD144" i="29" s="1"/>
  <c r="AC144" i="29" s="1"/>
  <c r="S23" i="29"/>
  <c r="T23" i="29" s="1"/>
  <c r="AD23" i="29" s="1"/>
  <c r="AC23" i="29" s="1"/>
  <c r="S134" i="29"/>
  <c r="T134" i="29" s="1"/>
  <c r="AD134" i="29" s="1"/>
  <c r="AC134" i="29" s="1"/>
  <c r="S114" i="29"/>
  <c r="T114" i="29" s="1"/>
  <c r="AD114" i="29" s="1"/>
  <c r="AC114" i="29" s="1"/>
  <c r="S17" i="29"/>
  <c r="T17" i="29" s="1"/>
  <c r="AD17" i="29" s="1"/>
  <c r="S47" i="29"/>
  <c r="T47" i="29" s="1"/>
  <c r="AD47" i="29" s="1"/>
  <c r="AC47" i="29" s="1"/>
  <c r="S119" i="29"/>
  <c r="T119" i="29" s="1"/>
  <c r="AD119" i="29" s="1"/>
  <c r="AC119" i="29" s="1"/>
  <c r="S22" i="29"/>
  <c r="T22" i="29" s="1"/>
  <c r="AD22" i="29" s="1"/>
  <c r="AC22" i="29" s="1"/>
  <c r="S85" i="29"/>
  <c r="R85" i="29" s="1"/>
  <c r="AE85" i="29" s="1"/>
  <c r="S25" i="29"/>
  <c r="T25" i="29" s="1"/>
  <c r="AD25" i="29" s="1"/>
  <c r="AC25" i="29" s="1"/>
  <c r="S32" i="29"/>
  <c r="T32" i="29" s="1"/>
  <c r="AD32" i="29" s="1"/>
  <c r="AC32" i="29" s="1"/>
  <c r="S111" i="29"/>
  <c r="T111" i="29" s="1"/>
  <c r="AD111" i="29" s="1"/>
  <c r="AC111" i="29" s="1"/>
  <c r="S106" i="29"/>
  <c r="T106" i="29" s="1"/>
  <c r="AD106" i="29" s="1"/>
  <c r="AC106" i="29" s="1"/>
  <c r="S95" i="29"/>
  <c r="T95" i="29" s="1"/>
  <c r="AD95" i="29" s="1"/>
  <c r="AC95" i="29" s="1"/>
  <c r="S90" i="29"/>
  <c r="T90" i="29" s="1"/>
  <c r="AD90" i="29" s="1"/>
  <c r="AC90" i="29" s="1"/>
  <c r="S152" i="29"/>
  <c r="S54" i="29"/>
  <c r="T54" i="29" s="1"/>
  <c r="AD54" i="29" s="1"/>
  <c r="AC54" i="29" s="1"/>
  <c r="S42" i="29"/>
  <c r="T42" i="29" s="1"/>
  <c r="AD42" i="29" s="1"/>
  <c r="AC42" i="29" s="1"/>
  <c r="S91" i="29"/>
  <c r="T91" i="29" s="1"/>
  <c r="AD91" i="29" s="1"/>
  <c r="AC91" i="29" s="1"/>
  <c r="S21" i="29"/>
  <c r="T21" i="29" s="1"/>
  <c r="AD21" i="29" s="1"/>
  <c r="AC21" i="29" s="1"/>
  <c r="S28" i="29"/>
  <c r="T28" i="29" s="1"/>
  <c r="AD28" i="29" s="1"/>
  <c r="S88" i="29"/>
  <c r="R88" i="29" s="1"/>
  <c r="AE88" i="29" s="1"/>
  <c r="S130" i="29"/>
  <c r="T130" i="29" s="1"/>
  <c r="AD130" i="29" s="1"/>
  <c r="AC130" i="29" s="1"/>
  <c r="S49" i="29"/>
  <c r="T49" i="29" s="1"/>
  <c r="AD49" i="29" s="1"/>
  <c r="AC49" i="29" s="1"/>
  <c r="S147" i="29"/>
  <c r="T147" i="29" s="1"/>
  <c r="AD147" i="29" s="1"/>
  <c r="AC147" i="29" s="1"/>
  <c r="N2237" i="16"/>
  <c r="G2238" i="16" s="1"/>
  <c r="N2178" i="16"/>
  <c r="G2179" i="16" s="1"/>
  <c r="G2180" i="16" s="1"/>
  <c r="G2181" i="16" s="1"/>
  <c r="G2182" i="16" s="1"/>
  <c r="G2183" i="16" s="1"/>
  <c r="G2184" i="16" s="1"/>
  <c r="G2185" i="16" s="1"/>
  <c r="G2186" i="16" s="1"/>
  <c r="G2187" i="16" s="1"/>
  <c r="AE72" i="28"/>
  <c r="AC72" i="28" s="1"/>
  <c r="AC133" i="28"/>
  <c r="R51" i="28"/>
  <c r="AE51" i="28" s="1"/>
  <c r="AC51" i="28" s="1"/>
  <c r="AE184" i="28"/>
  <c r="AC184" i="28" s="1"/>
  <c r="O46" i="28"/>
  <c r="O34" i="28"/>
  <c r="N1900" i="16" s="1"/>
  <c r="G1901" i="16" s="1"/>
  <c r="G1902" i="16" s="1"/>
  <c r="R46" i="28"/>
  <c r="AE46" i="28" s="1"/>
  <c r="AC46" i="28" s="1"/>
  <c r="AC140" i="28"/>
  <c r="N2012" i="16"/>
  <c r="G2013" i="16" s="1"/>
  <c r="G2014" i="16" s="1"/>
  <c r="G2015" i="16" s="1"/>
  <c r="G2016" i="16" s="1"/>
  <c r="G2017" i="16" s="1"/>
  <c r="G2018" i="16" s="1"/>
  <c r="G2019" i="16" s="1"/>
  <c r="G2020" i="16" s="1"/>
  <c r="G2021" i="16" s="1"/>
  <c r="G2022" i="16" s="1"/>
  <c r="G2023" i="16" s="1"/>
  <c r="G2024" i="16" s="1"/>
  <c r="FG4" i="2"/>
  <c r="N1957" i="16"/>
  <c r="G1958" i="16" s="1"/>
  <c r="G1954" i="16" s="1"/>
  <c r="M48" i="28"/>
  <c r="AM48" i="28" s="1"/>
  <c r="M58" i="28"/>
  <c r="AM58" i="28" s="1"/>
  <c r="AC105" i="28"/>
  <c r="AC48" i="28"/>
  <c r="R53" i="28"/>
  <c r="O53" i="28"/>
  <c r="O215" i="28"/>
  <c r="AC92" i="27"/>
  <c r="EF4" i="2"/>
  <c r="M131" i="27"/>
  <c r="EE4" i="2"/>
  <c r="AC134" i="27"/>
  <c r="T75" i="27"/>
  <c r="AD75" i="27" s="1"/>
  <c r="AC75" i="27" s="1"/>
  <c r="T73" i="27"/>
  <c r="AD73" i="27" s="1"/>
  <c r="AC73" i="27" s="1"/>
  <c r="DY4" i="2"/>
  <c r="AC124" i="27"/>
  <c r="AC143" i="27"/>
  <c r="DW4" i="2"/>
  <c r="T66" i="27"/>
  <c r="AD66" i="27" s="1"/>
  <c r="AC66" i="27" s="1"/>
  <c r="O66" i="27"/>
  <c r="T64" i="27"/>
  <c r="AD64" i="27" s="1"/>
  <c r="AC64" i="27" s="1"/>
  <c r="O64" i="27"/>
  <c r="AO231" i="27"/>
  <c r="AO228" i="27"/>
  <c r="N1852" i="16"/>
  <c r="AO192" i="27"/>
  <c r="AC80" i="27"/>
  <c r="AO55" i="27"/>
  <c r="N1849" i="16"/>
  <c r="G1850" i="16" s="1"/>
  <c r="G1851" i="16" s="1"/>
  <c r="T140" i="27"/>
  <c r="AD140" i="27" s="1"/>
  <c r="AC140" i="27" s="1"/>
  <c r="AO220" i="27"/>
  <c r="N1857" i="16"/>
  <c r="AC56" i="27"/>
  <c r="O151" i="27"/>
  <c r="I1781" i="80" s="1"/>
  <c r="I1778" i="80" s="1"/>
  <c r="A1778" i="80" s="1"/>
  <c r="T138" i="27"/>
  <c r="AD138" i="27" s="1"/>
  <c r="AC138" i="27" s="1"/>
  <c r="AO583" i="25"/>
  <c r="N1453" i="16"/>
  <c r="G1454" i="16" s="1"/>
  <c r="G1455" i="16" s="1"/>
  <c r="AO664" i="25"/>
  <c r="AC694" i="25"/>
  <c r="AO541" i="25"/>
  <c r="AO578" i="25"/>
  <c r="N1448" i="16"/>
  <c r="G1449" i="16" s="1"/>
  <c r="G1450" i="16" s="1"/>
  <c r="S429" i="25"/>
  <c r="T429" i="25" s="1"/>
  <c r="AD429" i="25" s="1"/>
  <c r="AC429" i="25" s="1"/>
  <c r="AC700" i="25"/>
  <c r="AC696" i="25"/>
  <c r="DJ4" i="2"/>
  <c r="AY334" i="16"/>
  <c r="O741" i="25"/>
  <c r="AC699" i="25"/>
  <c r="AC698" i="25"/>
  <c r="AO674" i="25"/>
  <c r="AC729" i="25"/>
  <c r="G1500" i="16"/>
  <c r="G1501" i="16" s="1"/>
  <c r="G1506" i="16" s="1"/>
  <c r="N1496" i="16"/>
  <c r="G1497" i="16" s="1"/>
  <c r="G1498" i="16" s="1"/>
  <c r="AO626" i="25"/>
  <c r="N1534" i="16"/>
  <c r="G1535" i="16" s="1"/>
  <c r="G1536" i="16" s="1"/>
  <c r="G1537" i="16" s="1"/>
  <c r="G1538" i="16" s="1"/>
  <c r="G1539" i="16" s="1"/>
  <c r="G1540" i="16" s="1"/>
  <c r="G1541" i="16" s="1"/>
  <c r="AC701" i="25"/>
  <c r="N1411" i="16"/>
  <c r="N1578" i="16"/>
  <c r="G1579" i="16" s="1"/>
  <c r="AC697" i="25"/>
  <c r="AO704" i="25"/>
  <c r="N1574" i="16"/>
  <c r="G1575" i="16" s="1"/>
  <c r="CH4" i="2"/>
  <c r="AO581" i="25"/>
  <c r="S172" i="25"/>
  <c r="S170" i="25"/>
  <c r="S160" i="25"/>
  <c r="S150" i="25"/>
  <c r="S124" i="25"/>
  <c r="S121" i="25"/>
  <c r="S63" i="25"/>
  <c r="T63" i="25" s="1"/>
  <c r="AD63" i="25" s="1"/>
  <c r="S68" i="25"/>
  <c r="S71" i="25"/>
  <c r="AY333" i="16"/>
  <c r="AO472" i="24"/>
  <c r="N790" i="16"/>
  <c r="G791" i="16" s="1"/>
  <c r="G792" i="16" s="1"/>
  <c r="G793" i="16" s="1"/>
  <c r="G794" i="16" s="1"/>
  <c r="G795" i="16" s="1"/>
  <c r="G796" i="16" s="1"/>
  <c r="G797" i="16" s="1"/>
  <c r="G798" i="16" s="1"/>
  <c r="G799" i="16" s="1"/>
  <c r="G800" i="16" s="1"/>
  <c r="O729" i="25"/>
  <c r="AO729" i="25" s="1"/>
  <c r="CC4" i="2"/>
  <c r="AO218" i="24"/>
  <c r="AO189" i="24"/>
  <c r="T53" i="24"/>
  <c r="AD53" i="24" s="1"/>
  <c r="AC53" i="24" s="1"/>
  <c r="N355" i="16"/>
  <c r="AO37" i="24"/>
  <c r="AO370" i="24"/>
  <c r="N363" i="16"/>
  <c r="N371" i="16"/>
  <c r="AC441" i="24"/>
  <c r="M146" i="24"/>
  <c r="AM146" i="24" s="1"/>
  <c r="AO216" i="24"/>
  <c r="AO105" i="24"/>
  <c r="AO219" i="24"/>
  <c r="O55" i="24"/>
  <c r="I372" i="80" s="1"/>
  <c r="C372" i="80" s="1"/>
  <c r="O426" i="24"/>
  <c r="AC434" i="24"/>
  <c r="S344" i="28"/>
  <c r="T344" i="28" s="1"/>
  <c r="AD344" i="28" s="1"/>
  <c r="AC344" i="28" s="1"/>
  <c r="AO278" i="24"/>
  <c r="N507" i="16"/>
  <c r="G508" i="16" s="1"/>
  <c r="N469" i="16"/>
  <c r="G470" i="16" s="1"/>
  <c r="N683" i="16"/>
  <c r="G684" i="16" s="1"/>
  <c r="AC460" i="24"/>
  <c r="AO233" i="24"/>
  <c r="AO34" i="24"/>
  <c r="AO244" i="24"/>
  <c r="N534" i="16"/>
  <c r="AC210" i="24"/>
  <c r="AO43" i="24"/>
  <c r="AC466" i="24"/>
  <c r="N467" i="16"/>
  <c r="G468" i="16" s="1"/>
  <c r="AO293" i="24"/>
  <c r="N493" i="16"/>
  <c r="G494" i="16" s="1"/>
  <c r="G495" i="16" s="1"/>
  <c r="T418" i="24"/>
  <c r="AD418" i="24" s="1"/>
  <c r="AC418" i="24" s="1"/>
  <c r="AO519" i="24"/>
  <c r="AC146" i="24"/>
  <c r="N611" i="16"/>
  <c r="G612" i="16" s="1"/>
  <c r="G613" i="16" s="1"/>
  <c r="G614" i="16" s="1"/>
  <c r="G615" i="16" s="1"/>
  <c r="G616" i="16" s="1"/>
  <c r="G617" i="16" s="1"/>
  <c r="G618" i="16" s="1"/>
  <c r="G619" i="16" s="1"/>
  <c r="AO175" i="24"/>
  <c r="N572" i="16"/>
  <c r="G573" i="16" s="1"/>
  <c r="G574" i="16" s="1"/>
  <c r="G575" i="16" s="1"/>
  <c r="G576" i="16" s="1"/>
  <c r="G577" i="16" s="1"/>
  <c r="G578" i="16" s="1"/>
  <c r="N352" i="16"/>
  <c r="G353" i="16" s="1"/>
  <c r="G354" i="16" s="1"/>
  <c r="N620" i="16"/>
  <c r="G621" i="16" s="1"/>
  <c r="G622" i="16" s="1"/>
  <c r="G623" i="16" s="1"/>
  <c r="G624" i="16" s="1"/>
  <c r="G625" i="16" s="1"/>
  <c r="G626" i="16" s="1"/>
  <c r="G627" i="16" s="1"/>
  <c r="G628" i="16" s="1"/>
  <c r="G629" i="16" s="1"/>
  <c r="G630" i="16" s="1"/>
  <c r="G631" i="16" s="1"/>
  <c r="G632" i="16" s="1"/>
  <c r="G633" i="16" s="1"/>
  <c r="AC447" i="24"/>
  <c r="N414" i="16"/>
  <c r="G415" i="16" s="1"/>
  <c r="AC216" i="24"/>
  <c r="N374" i="16"/>
  <c r="AO56" i="24"/>
  <c r="N736" i="16"/>
  <c r="G737" i="16" s="1"/>
  <c r="G738" i="16" s="1"/>
  <c r="AO418" i="24"/>
  <c r="AO42" i="24"/>
  <c r="N537" i="16"/>
  <c r="AO151" i="24"/>
  <c r="N360" i="16"/>
  <c r="N688" i="16"/>
  <c r="G689" i="16" s="1"/>
  <c r="G690" i="16" s="1"/>
  <c r="G691" i="16" s="1"/>
  <c r="G692" i="16" s="1"/>
  <c r="G693" i="16" s="1"/>
  <c r="M216" i="24"/>
  <c r="AM216" i="24" s="1"/>
  <c r="AO149" i="24"/>
  <c r="AO191" i="24"/>
  <c r="N668" i="16"/>
  <c r="N464" i="16"/>
  <c r="AO41" i="24"/>
  <c r="O54" i="24"/>
  <c r="I371" i="80" s="1"/>
  <c r="C371" i="80" s="1"/>
  <c r="N566" i="16"/>
  <c r="G567" i="16" s="1"/>
  <c r="G568" i="16" s="1"/>
  <c r="G569" i="16" s="1"/>
  <c r="G570" i="16" s="1"/>
  <c r="G571" i="16" s="1"/>
  <c r="N509" i="16"/>
  <c r="AO302" i="24"/>
  <c r="N359" i="16"/>
  <c r="N218" i="16"/>
  <c r="G219" i="16" s="1"/>
  <c r="N124" i="16"/>
  <c r="G125" i="16" s="1"/>
  <c r="G126" i="16" s="1"/>
  <c r="G127" i="16" s="1"/>
  <c r="AO247" i="8"/>
  <c r="AO219" i="8"/>
  <c r="N237" i="16"/>
  <c r="AO74" i="8"/>
  <c r="T179" i="8"/>
  <c r="AD179" i="8" s="1"/>
  <c r="AC179" i="8" s="1"/>
  <c r="N238" i="16"/>
  <c r="G239" i="16" s="1"/>
  <c r="G240" i="16" s="1"/>
  <c r="G241" i="16" s="1"/>
  <c r="G242" i="16" s="1"/>
  <c r="G243" i="16" s="1"/>
  <c r="G244" i="16" s="1"/>
  <c r="G245" i="16" s="1"/>
  <c r="O72" i="8"/>
  <c r="AO72" i="8" s="1"/>
  <c r="O99" i="8"/>
  <c r="AO239" i="8"/>
  <c r="AO43" i="8"/>
  <c r="T292" i="8"/>
  <c r="AD292" i="8" s="1"/>
  <c r="AC292" i="8" s="1"/>
  <c r="O292" i="8"/>
  <c r="O163" i="8"/>
  <c r="O141" i="8"/>
  <c r="AI4" i="2"/>
  <c r="AO105" i="8"/>
  <c r="AO235" i="8"/>
  <c r="AH4" i="2"/>
  <c r="G199" i="16"/>
  <c r="N81" i="16"/>
  <c r="G82" i="16" s="1"/>
  <c r="T74" i="8"/>
  <c r="AD74" i="8" s="1"/>
  <c r="AC74" i="8" s="1"/>
  <c r="G197" i="16"/>
  <c r="G194" i="16" s="1"/>
  <c r="AO82" i="8"/>
  <c r="AO179" i="8"/>
  <c r="N178" i="16"/>
  <c r="G179" i="16" s="1"/>
  <c r="G180" i="16" s="1"/>
  <c r="O184" i="8"/>
  <c r="O182" i="8"/>
  <c r="I180" i="80" s="1"/>
  <c r="AO186" i="8"/>
  <c r="AG3" i="8"/>
  <c r="K13" i="72" s="1"/>
  <c r="N27" i="16"/>
  <c r="G28" i="16" s="1"/>
  <c r="G29" i="16" s="1"/>
  <c r="G30" i="16" s="1"/>
  <c r="G31" i="16" s="1"/>
  <c r="G32" i="16" s="1"/>
  <c r="G33" i="16" s="1"/>
  <c r="G34" i="16" s="1"/>
  <c r="G35" i="16" s="1"/>
  <c r="G36" i="16" s="1"/>
  <c r="AY1880" i="16"/>
  <c r="X4" i="16"/>
  <c r="AY2283" i="16"/>
  <c r="AY39" i="16"/>
  <c r="AY329" i="16"/>
  <c r="BG885" i="16"/>
  <c r="AY38" i="16"/>
  <c r="BG333" i="16"/>
  <c r="AY27" i="16"/>
  <c r="AY2262" i="16"/>
  <c r="BH15" i="27"/>
  <c r="AY57" i="16"/>
  <c r="AY369" i="16"/>
  <c r="AY2271" i="16"/>
  <c r="AY52" i="16"/>
  <c r="AY337" i="16"/>
  <c r="C10" i="17"/>
  <c r="G10" i="18"/>
  <c r="AY335" i="16"/>
  <c r="AY18" i="16"/>
  <c r="AY10" i="16"/>
  <c r="C14" i="18"/>
  <c r="G10" i="17"/>
  <c r="AY889" i="16"/>
  <c r="T1157" i="16" s="1"/>
  <c r="AY50" i="16"/>
  <c r="AY367" i="16"/>
  <c r="E22" i="3"/>
  <c r="H32" i="18" s="1"/>
  <c r="BE15" i="8"/>
  <c r="BE15" i="27"/>
  <c r="AY1885" i="16"/>
  <c r="BH15" i="29"/>
  <c r="AY1674" i="16"/>
  <c r="AY2278" i="16"/>
  <c r="C22" i="3"/>
  <c r="AY37" i="16"/>
  <c r="AY351" i="16"/>
  <c r="AZ351" i="16" s="1"/>
  <c r="S435" i="16" s="1"/>
  <c r="AY378" i="16"/>
  <c r="AY16" i="16"/>
  <c r="AY368" i="16"/>
  <c r="BF15" i="27"/>
  <c r="BF15" i="29"/>
  <c r="AY354" i="16"/>
  <c r="BF15" i="28"/>
  <c r="AY1664" i="16"/>
  <c r="AY34" i="16"/>
  <c r="AY46" i="16"/>
  <c r="BH15" i="24"/>
  <c r="S232" i="28"/>
  <c r="AY61" i="16"/>
  <c r="AY1906" i="16"/>
  <c r="AY1657" i="16"/>
  <c r="AY910" i="16"/>
  <c r="AY1901" i="16"/>
  <c r="AY14" i="16"/>
  <c r="AY353" i="16"/>
  <c r="AY1643" i="16"/>
  <c r="X5" i="16"/>
  <c r="T15" i="23"/>
  <c r="AY331" i="16"/>
  <c r="AY12" i="16"/>
  <c r="U15" i="23"/>
  <c r="BD334" i="16" s="1"/>
  <c r="AY13" i="16"/>
  <c r="AY332" i="16"/>
  <c r="AY15" i="16"/>
  <c r="BH15" i="25"/>
  <c r="AY2290" i="16"/>
  <c r="AY2259" i="16"/>
  <c r="BD16" i="8"/>
  <c r="BD16" i="28"/>
  <c r="BD16" i="24"/>
  <c r="BD16" i="27"/>
  <c r="BD16" i="29"/>
  <c r="AY1645" i="16"/>
  <c r="AY885" i="16"/>
  <c r="AY1881" i="16"/>
  <c r="AO610" i="25"/>
  <c r="N1480" i="16"/>
  <c r="G1481" i="16" s="1"/>
  <c r="AY1882" i="16"/>
  <c r="AY2258" i="16"/>
  <c r="BC16" i="8"/>
  <c r="BC16" i="29"/>
  <c r="Q15" i="7"/>
  <c r="BI16" i="25" s="1"/>
  <c r="BC16" i="24"/>
  <c r="P15" i="7"/>
  <c r="BH16" i="27" s="1"/>
  <c r="BC16" i="28"/>
  <c r="BC16" i="27"/>
  <c r="N15" i="7"/>
  <c r="BF16" i="27" s="1"/>
  <c r="N90" i="16"/>
  <c r="AG3" i="27"/>
  <c r="K16" i="72" s="1"/>
  <c r="AC97" i="27"/>
  <c r="N2067" i="16"/>
  <c r="G2068" i="16" s="1"/>
  <c r="G2069" i="16" s="1"/>
  <c r="G2070" i="16" s="1"/>
  <c r="G2071" i="16" s="1"/>
  <c r="T92" i="8"/>
  <c r="AD92" i="8" s="1"/>
  <c r="AC92" i="8" s="1"/>
  <c r="AO164" i="27"/>
  <c r="I12" i="80"/>
  <c r="C12" i="80" s="1"/>
  <c r="N121" i="16"/>
  <c r="G122" i="16" s="1"/>
  <c r="AO44" i="24"/>
  <c r="AF765" i="16"/>
  <c r="O730" i="25"/>
  <c r="T730" i="25"/>
  <c r="AD730" i="25" s="1"/>
  <c r="AC730" i="25" s="1"/>
  <c r="N228" i="16"/>
  <c r="G229" i="16" s="1"/>
  <c r="AO229" i="8"/>
  <c r="AO122" i="8"/>
  <c r="N370" i="16"/>
  <c r="N1964" i="16"/>
  <c r="G1965" i="16" s="1"/>
  <c r="G1966" i="16" s="1"/>
  <c r="G1967" i="16" s="1"/>
  <c r="G1968" i="16" s="1"/>
  <c r="G1969" i="16" s="1"/>
  <c r="G1970" i="16" s="1"/>
  <c r="G1971" i="16" s="1"/>
  <c r="G1972" i="16" s="1"/>
  <c r="G1973" i="16" s="1"/>
  <c r="G1974" i="16" s="1"/>
  <c r="G1975" i="16" s="1"/>
  <c r="G1976" i="16" s="1"/>
  <c r="G1977" i="16" s="1"/>
  <c r="G1978" i="16" s="1"/>
  <c r="G1979" i="16" s="1"/>
  <c r="G1980" i="16" s="1"/>
  <c r="G1981" i="16" s="1"/>
  <c r="G1982" i="16" s="1"/>
  <c r="G1983" i="16" s="1"/>
  <c r="G1984" i="16" s="1"/>
  <c r="AO52" i="24"/>
  <c r="N185" i="16"/>
  <c r="G186" i="16" s="1"/>
  <c r="AO261" i="24"/>
  <c r="N579" i="16"/>
  <c r="G580" i="16" s="1"/>
  <c r="G581" i="16" s="1"/>
  <c r="AO150" i="27"/>
  <c r="T1600" i="16"/>
  <c r="AD1600" i="16" s="1"/>
  <c r="AC1600" i="16" s="1"/>
  <c r="AO503" i="24"/>
  <c r="AE205" i="24"/>
  <c r="AC205" i="24" s="1"/>
  <c r="M205" i="24"/>
  <c r="AM205" i="24" s="1"/>
  <c r="AO227" i="25"/>
  <c r="S208" i="16"/>
  <c r="O208" i="16" s="1"/>
  <c r="AO91" i="8"/>
  <c r="AO78" i="8"/>
  <c r="AY375" i="16"/>
  <c r="AY56" i="16"/>
  <c r="N253" i="16"/>
  <c r="G254" i="16" s="1"/>
  <c r="N497" i="16"/>
  <c r="G498" i="16" s="1"/>
  <c r="G499" i="16" s="1"/>
  <c r="G500" i="16" s="1"/>
  <c r="N541" i="16"/>
  <c r="G542" i="16" s="1"/>
  <c r="G543" i="16" s="1"/>
  <c r="G544" i="16" s="1"/>
  <c r="G545" i="16" s="1"/>
  <c r="G546" i="16" s="1"/>
  <c r="G547" i="16" s="1"/>
  <c r="G548" i="16" s="1"/>
  <c r="G549" i="16" s="1"/>
  <c r="G550" i="16" s="1"/>
  <c r="N471" i="16"/>
  <c r="G472" i="16" s="1"/>
  <c r="G473" i="16" s="1"/>
  <c r="G474" i="16" s="1"/>
  <c r="AO153" i="24"/>
  <c r="O68" i="28"/>
  <c r="T68" i="28"/>
  <c r="AD68" i="28" s="1"/>
  <c r="AC68" i="28" s="1"/>
  <c r="AE188" i="28"/>
  <c r="AC188" i="28" s="1"/>
  <c r="M188" i="28"/>
  <c r="AM188" i="28" s="1"/>
  <c r="M157" i="24"/>
  <c r="AM157" i="24" s="1"/>
  <c r="AE157" i="24"/>
  <c r="AC157" i="24" s="1"/>
  <c r="N2435" i="16"/>
  <c r="G2436" i="16" s="1"/>
  <c r="G2437" i="16" s="1"/>
  <c r="G2438" i="16" s="1"/>
  <c r="G2439" i="16" s="1"/>
  <c r="G2440" i="16" s="1"/>
  <c r="G2441" i="16" s="1"/>
  <c r="G2442" i="16" s="1"/>
  <c r="G2443" i="16" s="1"/>
  <c r="T178" i="16"/>
  <c r="AD178" i="16" s="1"/>
  <c r="AC178" i="16" s="1"/>
  <c r="AO55" i="24"/>
  <c r="N1862" i="16"/>
  <c r="AO31" i="24"/>
  <c r="N1603" i="16"/>
  <c r="G1604" i="16" s="1"/>
  <c r="G1605" i="16" s="1"/>
  <c r="N1456" i="16"/>
  <c r="S2215" i="16"/>
  <c r="O2215" i="16" s="1"/>
  <c r="W212" i="84" s="1"/>
  <c r="S2210" i="16"/>
  <c r="AO145" i="27"/>
  <c r="N1097" i="16"/>
  <c r="G1098" i="16" s="1"/>
  <c r="AO46" i="24"/>
  <c r="N364" i="16"/>
  <c r="G365" i="16" s="1"/>
  <c r="G366" i="16" s="1"/>
  <c r="N1767" i="16"/>
  <c r="AC135" i="28"/>
  <c r="N727" i="16"/>
  <c r="N349" i="16"/>
  <c r="N77" i="16"/>
  <c r="G78" i="16" s="1"/>
  <c r="AO26" i="8"/>
  <c r="N25" i="16"/>
  <c r="G26" i="16" s="1"/>
  <c r="T409" i="24"/>
  <c r="AD409" i="24" s="1"/>
  <c r="AC409" i="24" s="1"/>
  <c r="T744" i="16"/>
  <c r="AD744" i="16" s="1"/>
  <c r="AC744" i="16" s="1"/>
  <c r="N1457" i="16"/>
  <c r="G1458" i="16" s="1"/>
  <c r="G1459" i="16" s="1"/>
  <c r="N2063" i="16"/>
  <c r="G2064" i="16" s="1"/>
  <c r="G2065" i="16" s="1"/>
  <c r="G2066" i="16" s="1"/>
  <c r="AY1899" i="16"/>
  <c r="AY1676" i="16"/>
  <c r="AY909" i="16"/>
  <c r="AY2257" i="16"/>
  <c r="AY2288" i="16"/>
  <c r="AY1668" i="16"/>
  <c r="AY915" i="16"/>
  <c r="AC168" i="28"/>
  <c r="BH15" i="8"/>
  <c r="BF15" i="8"/>
  <c r="AY2286" i="16"/>
  <c r="N1821" i="16"/>
  <c r="AY1905" i="16"/>
  <c r="G32" i="17"/>
  <c r="AY1892" i="16"/>
  <c r="AY1917" i="16"/>
  <c r="AY921" i="16"/>
  <c r="AY2267" i="16"/>
  <c r="AY1653" i="16"/>
  <c r="AY1890" i="16"/>
  <c r="G12" i="17"/>
  <c r="AY338" i="16"/>
  <c r="AY19" i="16"/>
  <c r="G12" i="18"/>
  <c r="AY1646" i="16"/>
  <c r="AY2260" i="16"/>
  <c r="AY887" i="16"/>
  <c r="AY1878" i="16"/>
  <c r="AY1641" i="16"/>
  <c r="AY2255" i="16"/>
  <c r="N100" i="16"/>
  <c r="AO149" i="27"/>
  <c r="N1778" i="16"/>
  <c r="G1778" i="16" s="1"/>
  <c r="AM4" i="2"/>
  <c r="AO226" i="8"/>
  <c r="N225" i="16"/>
  <c r="N91" i="16"/>
  <c r="G92" i="16" s="1"/>
  <c r="AO92" i="8"/>
  <c r="N69" i="16"/>
  <c r="G70" i="16" s="1"/>
  <c r="N113" i="16"/>
  <c r="S209" i="8"/>
  <c r="AO114" i="8"/>
  <c r="N1909" i="16"/>
  <c r="BH1644" i="16"/>
  <c r="BH2258" i="16"/>
  <c r="BH1881" i="16"/>
  <c r="BH333" i="16"/>
  <c r="BH14" i="16"/>
  <c r="AY1688" i="16"/>
  <c r="AY929" i="16"/>
  <c r="AY1925" i="16"/>
  <c r="AY2302" i="16"/>
  <c r="AY377" i="16"/>
  <c r="AY58" i="16"/>
  <c r="AY1692" i="16"/>
  <c r="AY933" i="16"/>
  <c r="AY1929" i="16"/>
  <c r="AY2306" i="16"/>
  <c r="AY62" i="16"/>
  <c r="T374" i="16"/>
  <c r="AD374" i="16" s="1"/>
  <c r="AC374" i="16" s="1"/>
  <c r="O60" i="28"/>
  <c r="T60" i="28"/>
  <c r="AD60" i="28" s="1"/>
  <c r="AO22" i="8"/>
  <c r="AY901" i="16"/>
  <c r="AY1897" i="16"/>
  <c r="AY1660" i="16"/>
  <c r="AY2274" i="16"/>
  <c r="AY349" i="16"/>
  <c r="G16" i="18"/>
  <c r="G16" i="17"/>
  <c r="AY30" i="16"/>
  <c r="AY907" i="16"/>
  <c r="AY2280" i="16"/>
  <c r="AY1666" i="16"/>
  <c r="AY1903" i="16"/>
  <c r="AY36" i="16"/>
  <c r="AO24" i="8"/>
  <c r="N23" i="16"/>
  <c r="G24" i="16" s="1"/>
  <c r="N1878" i="16"/>
  <c r="G1879" i="16" s="1"/>
  <c r="AO12" i="28"/>
  <c r="BG15" i="27"/>
  <c r="BG15" i="29"/>
  <c r="N230" i="16"/>
  <c r="G231" i="16" s="1"/>
  <c r="G232" i="16" s="1"/>
  <c r="G233" i="16" s="1"/>
  <c r="AO231" i="8"/>
  <c r="AO561" i="25"/>
  <c r="T2006" i="16"/>
  <c r="AD2006" i="16" s="1"/>
  <c r="AC2006" i="16" s="1"/>
  <c r="AO53" i="24"/>
  <c r="O15" i="7"/>
  <c r="T186" i="8"/>
  <c r="AD186" i="8" s="1"/>
  <c r="AC186" i="8" s="1"/>
  <c r="AO178" i="24"/>
  <c r="N496" i="16"/>
  <c r="BG15" i="24"/>
  <c r="BG15" i="28"/>
  <c r="BH885" i="16"/>
  <c r="BG15" i="8"/>
  <c r="AY2299" i="16"/>
  <c r="AY1685" i="16"/>
  <c r="AY926" i="16"/>
  <c r="AY1922" i="16"/>
  <c r="AY374" i="16"/>
  <c r="AY55" i="16"/>
  <c r="AY381" i="16"/>
  <c r="R60" i="28"/>
  <c r="AY919" i="16"/>
  <c r="AY1915" i="16"/>
  <c r="AY2292" i="16"/>
  <c r="AY1678" i="16"/>
  <c r="AY1682" i="16"/>
  <c r="AY923" i="16"/>
  <c r="AY1919" i="16"/>
  <c r="AY2296" i="16"/>
  <c r="T353" i="25"/>
  <c r="BG2258" i="16"/>
  <c r="BG1881" i="16"/>
  <c r="BG1644" i="16"/>
  <c r="AY1879" i="16"/>
  <c r="AY883" i="16"/>
  <c r="AY1642" i="16"/>
  <c r="AY2256" i="16"/>
  <c r="AY1691" i="16"/>
  <c r="AY932" i="16"/>
  <c r="AY1928" i="16"/>
  <c r="AY2305" i="16"/>
  <c r="AY1665" i="16"/>
  <c r="AY1902" i="16"/>
  <c r="AY906" i="16"/>
  <c r="AY2279" i="16"/>
  <c r="AY1679" i="16"/>
  <c r="AY920" i="16"/>
  <c r="AY1916" i="16"/>
  <c r="AY2293" i="16"/>
  <c r="AY928" i="16"/>
  <c r="AY1924" i="16"/>
  <c r="AY2301" i="16"/>
  <c r="AY1687" i="16"/>
  <c r="AY1671" i="16"/>
  <c r="AY1908" i="16"/>
  <c r="AY2285" i="16"/>
  <c r="AY912" i="16"/>
  <c r="T1914" i="16"/>
  <c r="AD1914" i="16" s="1"/>
  <c r="R1914" i="16"/>
  <c r="BE1881" i="16"/>
  <c r="BE1644" i="16"/>
  <c r="BE2258" i="16"/>
  <c r="AY2254" i="16"/>
  <c r="AY1877" i="16"/>
  <c r="AY1640" i="16"/>
  <c r="AY881" i="16"/>
  <c r="AY2300" i="16"/>
  <c r="AY1686" i="16"/>
  <c r="AY927" i="16"/>
  <c r="S1098" i="16" s="1"/>
  <c r="T1098" i="16" s="1"/>
  <c r="AD1098" i="16" s="1"/>
  <c r="AC1098" i="16" s="1"/>
  <c r="AY1923" i="16"/>
  <c r="AY908" i="16"/>
  <c r="AY2281" i="16"/>
  <c r="AY1667" i="16"/>
  <c r="AY1904" i="16"/>
  <c r="AY1681" i="16"/>
  <c r="AY922" i="16"/>
  <c r="AY1918" i="16"/>
  <c r="AY2295" i="16"/>
  <c r="AY1689" i="16"/>
  <c r="AY930" i="16"/>
  <c r="AY1926" i="16"/>
  <c r="AY2303" i="16"/>
  <c r="O186" i="28"/>
  <c r="T186" i="28"/>
  <c r="AD186" i="28" s="1"/>
  <c r="AC186" i="28" s="1"/>
  <c r="BF2258" i="16"/>
  <c r="BF1881" i="16"/>
  <c r="BF1644" i="16"/>
  <c r="AY2289" i="16"/>
  <c r="AY916" i="16"/>
  <c r="AY1675" i="16"/>
  <c r="AY1912" i="16"/>
  <c r="T2001" i="16"/>
  <c r="AD2001" i="16" s="1"/>
  <c r="AC2001" i="16" s="1"/>
  <c r="BI15" i="28"/>
  <c r="BI15" i="27"/>
  <c r="BI15" i="8"/>
  <c r="S1496" i="16"/>
  <c r="BI15" i="24"/>
  <c r="M143" i="27"/>
  <c r="AM143" i="27" s="1"/>
  <c r="AC695" i="25"/>
  <c r="AC34" i="28"/>
  <c r="AY1670" i="16"/>
  <c r="AY1907" i="16"/>
  <c r="AY2284" i="16"/>
  <c r="AY1677" i="16"/>
  <c r="BI15" i="29"/>
  <c r="AY1914" i="16"/>
  <c r="AY2291" i="16"/>
  <c r="AY918" i="16"/>
  <c r="S128" i="29"/>
  <c r="S82" i="29"/>
  <c r="O79" i="29" s="1"/>
  <c r="I2323" i="80" s="1"/>
  <c r="S15" i="29"/>
  <c r="AY911" i="16"/>
  <c r="AY2294" i="16"/>
  <c r="AY2276" i="16"/>
  <c r="AY2269" i="16"/>
  <c r="AY1909" i="16"/>
  <c r="AY1886" i="16"/>
  <c r="AY1655" i="16"/>
  <c r="AY903" i="16"/>
  <c r="AY884" i="16"/>
  <c r="AY2263" i="16"/>
  <c r="AY1672" i="16"/>
  <c r="AY1649" i="16"/>
  <c r="AY1894" i="16"/>
  <c r="T349" i="28"/>
  <c r="AD349" i="28" s="1"/>
  <c r="AC349" i="28" s="1"/>
  <c r="O349" i="28"/>
  <c r="S316" i="25"/>
  <c r="O686" i="25"/>
  <c r="W144" i="85" s="1"/>
  <c r="S37" i="28"/>
  <c r="S637" i="25"/>
  <c r="T1599" i="16"/>
  <c r="AD1599" i="16" s="1"/>
  <c r="AC1599" i="16" s="1"/>
  <c r="AD1769" i="16"/>
  <c r="AC1769" i="16" s="1"/>
  <c r="T1919" i="16"/>
  <c r="AD1919" i="16" s="1"/>
  <c r="T17" i="16"/>
  <c r="AD17" i="16" s="1"/>
  <c r="AC17" i="16" s="1"/>
  <c r="G2455" i="16"/>
  <c r="G2449" i="16" s="1"/>
  <c r="S101" i="29"/>
  <c r="O235" i="28"/>
  <c r="O19" i="10"/>
  <c r="T232" i="25" s="1"/>
  <c r="S100" i="24"/>
  <c r="S101" i="24"/>
  <c r="T101" i="24" s="1"/>
  <c r="AD101" i="24" s="1"/>
  <c r="AC101" i="24" s="1"/>
  <c r="S119" i="24"/>
  <c r="S113" i="24"/>
  <c r="O111" i="24"/>
  <c r="I428" i="80" s="1"/>
  <c r="I425" i="80" s="1"/>
  <c r="T1564" i="16"/>
  <c r="AD1564" i="16" s="1"/>
  <c r="AC1564" i="16" s="1"/>
  <c r="I5" i="24"/>
  <c r="I5" i="28"/>
  <c r="I5" i="25"/>
  <c r="I5" i="8"/>
  <c r="I5" i="27"/>
  <c r="T50" i="27"/>
  <c r="AD50" i="27" s="1"/>
  <c r="AC50" i="27" s="1"/>
  <c r="T46" i="8"/>
  <c r="AD46" i="8" s="1"/>
  <c r="N93" i="16"/>
  <c r="G93" i="16" s="1"/>
  <c r="AO94" i="8"/>
  <c r="S330" i="25"/>
  <c r="S455" i="25"/>
  <c r="S456" i="25"/>
  <c r="S511" i="25"/>
  <c r="T511" i="25" s="1"/>
  <c r="AD511" i="25" s="1"/>
  <c r="AC511" i="25" s="1"/>
  <c r="S252" i="25"/>
  <c r="S427" i="25"/>
  <c r="S501" i="25"/>
  <c r="S460" i="25"/>
  <c r="S431" i="25"/>
  <c r="S229" i="25"/>
  <c r="S28" i="25"/>
  <c r="S425" i="25"/>
  <c r="S271" i="25"/>
  <c r="T271" i="25" s="1"/>
  <c r="AD271" i="25" s="1"/>
  <c r="AC271" i="25" s="1"/>
  <c r="S499" i="25"/>
  <c r="T499" i="25" s="1"/>
  <c r="AD499" i="25" s="1"/>
  <c r="AC499" i="25" s="1"/>
  <c r="S348" i="25"/>
  <c r="S457" i="25"/>
  <c r="S450" i="25"/>
  <c r="S515" i="25"/>
  <c r="T515" i="25" s="1"/>
  <c r="AD515" i="25" s="1"/>
  <c r="AC515" i="25" s="1"/>
  <c r="S364" i="25"/>
  <c r="S497" i="25"/>
  <c r="T497" i="25" s="1"/>
  <c r="AD497" i="25" s="1"/>
  <c r="AC497" i="25" s="1"/>
  <c r="S244" i="25"/>
  <c r="S236" i="25"/>
  <c r="S495" i="25"/>
  <c r="T495" i="25" s="1"/>
  <c r="AD495" i="25" s="1"/>
  <c r="AC495" i="25" s="1"/>
  <c r="S185" i="25"/>
  <c r="S375" i="25"/>
  <c r="S323" i="25"/>
  <c r="O322" i="25" s="1"/>
  <c r="I1191" i="80" s="1"/>
  <c r="S260" i="25"/>
  <c r="T260" i="25" s="1"/>
  <c r="AD260" i="25" s="1"/>
  <c r="AC260" i="25" s="1"/>
  <c r="S179" i="25"/>
  <c r="S423" i="25"/>
  <c r="S284" i="25"/>
  <c r="S504" i="25"/>
  <c r="T504" i="25" s="1"/>
  <c r="AD504" i="25" s="1"/>
  <c r="AC504" i="25" s="1"/>
  <c r="S487" i="25"/>
  <c r="S222" i="25"/>
  <c r="T222" i="25" s="1"/>
  <c r="AD222" i="25" s="1"/>
  <c r="AC222" i="25" s="1"/>
  <c r="S498" i="25"/>
  <c r="T498" i="25" s="1"/>
  <c r="AD498" i="25" s="1"/>
  <c r="AC498" i="25" s="1"/>
  <c r="S278" i="25"/>
  <c r="T278" i="25" s="1"/>
  <c r="AD278" i="25" s="1"/>
  <c r="AC278" i="25" s="1"/>
  <c r="S547" i="25"/>
  <c r="S233" i="25"/>
  <c r="R63" i="25"/>
  <c r="AE63" i="25" s="1"/>
  <c r="S448" i="25"/>
  <c r="S220" i="25"/>
  <c r="T220" i="25" s="1"/>
  <c r="AD220" i="25" s="1"/>
  <c r="AC220" i="25" s="1"/>
  <c r="S513" i="25"/>
  <c r="T513" i="25" s="1"/>
  <c r="AD513" i="25" s="1"/>
  <c r="AC513" i="25" s="1"/>
  <c r="S341" i="25"/>
  <c r="T341" i="25" s="1"/>
  <c r="AD341" i="25" s="1"/>
  <c r="AC341" i="25" s="1"/>
  <c r="S291" i="25"/>
  <c r="AM156" i="8"/>
  <c r="O156" i="8"/>
  <c r="T441" i="16"/>
  <c r="AD441" i="16" s="1"/>
  <c r="AC441" i="16" s="1"/>
  <c r="N1726" i="16"/>
  <c r="AO97" i="27"/>
  <c r="S230" i="28"/>
  <c r="N2085" i="16"/>
  <c r="AO92" i="27"/>
  <c r="N1721" i="16"/>
  <c r="AM152" i="8"/>
  <c r="AO183" i="24"/>
  <c r="N501" i="16"/>
  <c r="T725" i="25"/>
  <c r="AD725" i="25" s="1"/>
  <c r="AC725" i="25" s="1"/>
  <c r="O725" i="25"/>
  <c r="S1301" i="16"/>
  <c r="R933" i="16"/>
  <c r="S1381" i="16"/>
  <c r="T1381" i="16" s="1"/>
  <c r="AD1381" i="16" s="1"/>
  <c r="AC1381" i="16" s="1"/>
  <c r="S1374" i="16"/>
  <c r="T1374" i="16" s="1"/>
  <c r="AD1374" i="16" s="1"/>
  <c r="AC1374" i="16" s="1"/>
  <c r="S1103" i="16"/>
  <c r="S1200" i="16"/>
  <c r="O1200" i="16" s="1"/>
  <c r="S1295" i="16"/>
  <c r="O1295" i="16" s="1"/>
  <c r="S1368" i="16"/>
  <c r="T1368" i="16" s="1"/>
  <c r="AD1368" i="16" s="1"/>
  <c r="AC1368" i="16" s="1"/>
  <c r="S1020" i="16"/>
  <c r="S1293" i="16"/>
  <c r="S1130" i="16"/>
  <c r="T1130" i="16" s="1"/>
  <c r="AD1130" i="16" s="1"/>
  <c r="AC1130" i="16" s="1"/>
  <c r="S1042" i="16"/>
  <c r="S1148" i="16"/>
  <c r="T1148" i="16" s="1"/>
  <c r="AD1148" i="16" s="1"/>
  <c r="AC1148" i="16" s="1"/>
  <c r="S1357" i="16"/>
  <c r="O1357" i="16" s="1"/>
  <c r="S1141" i="16"/>
  <c r="T1141" i="16" s="1"/>
  <c r="AD1141" i="16" s="1"/>
  <c r="AC1141" i="16" s="1"/>
  <c r="S1367" i="16"/>
  <c r="T1367" i="16" s="1"/>
  <c r="AD1367" i="16" s="1"/>
  <c r="AC1367" i="16" s="1"/>
  <c r="S1055" i="16"/>
  <c r="O1053" i="16" s="1"/>
  <c r="S1365" i="16"/>
  <c r="T1365" i="16" s="1"/>
  <c r="AD1365" i="16" s="1"/>
  <c r="AC1365" i="16" s="1"/>
  <c r="S938" i="16"/>
  <c r="S1066" i="16"/>
  <c r="O1065" i="16" s="1"/>
  <c r="S1326" i="16"/>
  <c r="O1326" i="16" s="1"/>
  <c r="S1040" i="16"/>
  <c r="M1038" i="16" s="1"/>
  <c r="AM1038" i="16" s="1"/>
  <c r="S991" i="16"/>
  <c r="S1325" i="16"/>
  <c r="O1325" i="16" s="1"/>
  <c r="S1371" i="16"/>
  <c r="S1318" i="16"/>
  <c r="S1417" i="16"/>
  <c r="S1030" i="16"/>
  <c r="S1383" i="16"/>
  <c r="T1383" i="16" s="1"/>
  <c r="AD1383" i="16" s="1"/>
  <c r="AC1383" i="16" s="1"/>
  <c r="S941" i="16"/>
  <c r="S1122" i="16"/>
  <c r="S1218" i="16"/>
  <c r="S1211" i="16"/>
  <c r="T1211" i="16" s="1"/>
  <c r="AD1211" i="16" s="1"/>
  <c r="AC1211" i="16" s="1"/>
  <c r="S994" i="16"/>
  <c r="S1154" i="16"/>
  <c r="O1154" i="16" s="1"/>
  <c r="S933" i="16"/>
  <c r="T933" i="16" s="1"/>
  <c r="AD933" i="16" s="1"/>
  <c r="S1092" i="16"/>
  <c r="T1092" i="16" s="1"/>
  <c r="AD1092" i="16" s="1"/>
  <c r="AC1092" i="16" s="1"/>
  <c r="S1369" i="16"/>
  <c r="T1369" i="16" s="1"/>
  <c r="AD1369" i="16" s="1"/>
  <c r="AC1369" i="16" s="1"/>
  <c r="S1385" i="16"/>
  <c r="T1385" i="16" s="1"/>
  <c r="AD1385" i="16" s="1"/>
  <c r="AC1385" i="16" s="1"/>
  <c r="S1327" i="16"/>
  <c r="O1327" i="16" s="1"/>
  <c r="S898" i="16"/>
  <c r="S1330" i="16"/>
  <c r="O1330" i="16" s="1"/>
  <c r="S1114" i="16"/>
  <c r="S1106" i="16"/>
  <c r="S1049" i="16"/>
  <c r="S1090" i="16"/>
  <c r="T1090" i="16" s="1"/>
  <c r="AD1090" i="16" s="1"/>
  <c r="AC1090" i="16" s="1"/>
  <c r="S1320" i="16"/>
  <c r="O1320" i="16" s="1"/>
  <c r="S1193" i="16"/>
  <c r="O1192" i="16" s="1"/>
  <c r="S1099" i="16"/>
  <c r="T449" i="16"/>
  <c r="AD449" i="16" s="1"/>
  <c r="AC449" i="16" s="1"/>
  <c r="N510" i="16"/>
  <c r="AO192" i="24"/>
  <c r="AM154" i="8"/>
  <c r="T443" i="16"/>
  <c r="AD443" i="16" s="1"/>
  <c r="AC443" i="16" s="1"/>
  <c r="N674" i="16"/>
  <c r="AO356" i="24"/>
  <c r="T568" i="25"/>
  <c r="AD568" i="25" s="1"/>
  <c r="AC568" i="25" s="1"/>
  <c r="O655" i="25"/>
  <c r="I1524" i="80" s="1"/>
  <c r="A1524" i="80" s="1"/>
  <c r="T655" i="25"/>
  <c r="AD655" i="25" s="1"/>
  <c r="AC655" i="25" s="1"/>
  <c r="AM153" i="8"/>
  <c r="O659" i="25"/>
  <c r="I1528" i="80" s="1"/>
  <c r="A1528" i="80" s="1"/>
  <c r="T659" i="25"/>
  <c r="AD659" i="25" s="1"/>
  <c r="AC659" i="25" s="1"/>
  <c r="N813" i="16"/>
  <c r="AO495" i="24"/>
  <c r="AM171" i="8"/>
  <c r="O171" i="8"/>
  <c r="I169" i="80" s="1"/>
  <c r="AM169" i="8"/>
  <c r="O283" i="8"/>
  <c r="T283" i="8"/>
  <c r="AD283" i="8" s="1"/>
  <c r="AC283" i="8" s="1"/>
  <c r="T172" i="28"/>
  <c r="AD172" i="28" s="1"/>
  <c r="AC172" i="28" s="1"/>
  <c r="O170" i="28"/>
  <c r="AO129" i="8"/>
  <c r="N128" i="16"/>
  <c r="G128" i="16" s="1"/>
  <c r="T453" i="16"/>
  <c r="AD453" i="16" s="1"/>
  <c r="AC453" i="16" s="1"/>
  <c r="N135" i="16"/>
  <c r="AO136" i="8"/>
  <c r="AM177" i="8"/>
  <c r="O177" i="8"/>
  <c r="I175" i="80" s="1"/>
  <c r="A175" i="80" s="1"/>
  <c r="AO679" i="25"/>
  <c r="N1549" i="16"/>
  <c r="G1549" i="16" s="1"/>
  <c r="O158" i="8"/>
  <c r="I156" i="80" s="1"/>
  <c r="A156" i="80" s="1"/>
  <c r="AM158" i="8"/>
  <c r="T62" i="28"/>
  <c r="AD62" i="28" s="1"/>
  <c r="O62" i="28"/>
  <c r="I1929" i="80" s="1"/>
  <c r="A1929" i="80" s="1"/>
  <c r="AD21" i="27"/>
  <c r="T573" i="25"/>
  <c r="AD573" i="25" s="1"/>
  <c r="AC573" i="25" s="1"/>
  <c r="N1685" i="16"/>
  <c r="G1685" i="16" s="1"/>
  <c r="AO56" i="27"/>
  <c r="O178" i="28"/>
  <c r="I2045" i="80" s="1"/>
  <c r="T178" i="28"/>
  <c r="AD178" i="28" s="1"/>
  <c r="AC178" i="28" s="1"/>
  <c r="AM168" i="8"/>
  <c r="T173" i="28"/>
  <c r="AD173" i="28" s="1"/>
  <c r="AC173" i="28" s="1"/>
  <c r="T176" i="28"/>
  <c r="AD176" i="28" s="1"/>
  <c r="AC176" i="28" s="1"/>
  <c r="O176" i="28"/>
  <c r="I2043" i="80" s="1"/>
  <c r="O161" i="8"/>
  <c r="I159" i="80" s="1"/>
  <c r="A159" i="80" s="1"/>
  <c r="AM161" i="8"/>
  <c r="N2198" i="16"/>
  <c r="AM170" i="8"/>
  <c r="N1753" i="16"/>
  <c r="AO124" i="27"/>
  <c r="N706" i="16"/>
  <c r="AO388" i="24"/>
  <c r="S2096" i="16"/>
  <c r="O2096" i="16" s="1"/>
  <c r="T457" i="16"/>
  <c r="AD457" i="16" s="1"/>
  <c r="AC457" i="16" s="1"/>
  <c r="N2194" i="16"/>
  <c r="S1582" i="16"/>
  <c r="S291" i="16"/>
  <c r="S77" i="25"/>
  <c r="S282" i="16"/>
  <c r="S1527" i="16"/>
  <c r="O382" i="25"/>
  <c r="S1438" i="16"/>
  <c r="S123" i="24"/>
  <c r="O175" i="27"/>
  <c r="S951" i="16"/>
  <c r="S292" i="16"/>
  <c r="S14" i="25"/>
  <c r="S255" i="16"/>
  <c r="T30" i="25"/>
  <c r="O93" i="16"/>
  <c r="S2038" i="16"/>
  <c r="O46" i="8"/>
  <c r="S323" i="16"/>
  <c r="W58" i="24"/>
  <c r="S446" i="24"/>
  <c r="S1789" i="16"/>
  <c r="O186" i="27"/>
  <c r="O201" i="8"/>
  <c r="O396" i="25"/>
  <c r="S1695" i="16"/>
  <c r="S1702" i="16"/>
  <c r="O897" i="16"/>
  <c r="O573" i="25"/>
  <c r="O213" i="27"/>
  <c r="S2044" i="16"/>
  <c r="O69" i="28"/>
  <c r="S85" i="25"/>
  <c r="S1627" i="16"/>
  <c r="N9" i="3"/>
  <c r="O557" i="25"/>
  <c r="S125" i="24"/>
  <c r="S208" i="84"/>
  <c r="S315" i="16"/>
  <c r="O62" i="24"/>
  <c r="S1704" i="16"/>
  <c r="T1650" i="16"/>
  <c r="S1084" i="16"/>
  <c r="S312" i="16"/>
  <c r="S286" i="16"/>
  <c r="S1434" i="16"/>
  <c r="S154" i="84"/>
  <c r="W1584" i="16"/>
  <c r="O386" i="25"/>
  <c r="S264" i="84"/>
  <c r="S238" i="84"/>
  <c r="O2243" i="16"/>
  <c r="S1043" i="16"/>
  <c r="S955" i="16"/>
  <c r="S2042" i="16"/>
  <c r="S1637" i="16"/>
  <c r="O391" i="25"/>
  <c r="S305" i="16"/>
  <c r="R329" i="24"/>
  <c r="R435" i="24"/>
  <c r="S1595" i="16"/>
  <c r="S247" i="84"/>
  <c r="O637" i="25"/>
  <c r="S173" i="25"/>
  <c r="R446" i="24"/>
  <c r="S131" i="84"/>
  <c r="S321" i="16"/>
  <c r="S235" i="84"/>
  <c r="W1582" i="16"/>
  <c r="S1693" i="16"/>
  <c r="O568" i="25"/>
  <c r="S214" i="25"/>
  <c r="O388" i="25"/>
  <c r="S947" i="16"/>
  <c r="S81" i="25"/>
  <c r="S294" i="16"/>
  <c r="R442" i="24"/>
  <c r="S80" i="25"/>
  <c r="S1529" i="16"/>
  <c r="S135" i="24"/>
  <c r="O379" i="24"/>
  <c r="S2030" i="16"/>
  <c r="O1122" i="16"/>
  <c r="S265" i="84"/>
  <c r="S950" i="16"/>
  <c r="S131" i="24"/>
  <c r="S1443" i="16"/>
  <c r="O37" i="28"/>
  <c r="S130" i="84"/>
  <c r="S1928" i="16"/>
  <c r="O80" i="27"/>
  <c r="S139" i="24"/>
  <c r="O23" i="28"/>
  <c r="S45" i="16"/>
  <c r="W376" i="16"/>
  <c r="S325" i="16"/>
  <c r="O20" i="27"/>
  <c r="S291" i="84"/>
  <c r="O117" i="27"/>
  <c r="O258" i="8"/>
  <c r="O150" i="8"/>
  <c r="R331" i="24"/>
  <c r="S2039" i="16"/>
  <c r="S2081" i="16"/>
  <c r="T900" i="16"/>
  <c r="S288" i="16"/>
  <c r="S316" i="16"/>
  <c r="S1636" i="16"/>
  <c r="O26" i="28"/>
  <c r="S1525" i="16"/>
  <c r="G164" i="81" l="1"/>
  <c r="G165" i="81" s="1"/>
  <c r="G166" i="81" s="1"/>
  <c r="G167" i="81" s="1"/>
  <c r="G168" i="81" s="1"/>
  <c r="G509" i="81"/>
  <c r="G510" i="81" s="1"/>
  <c r="G511" i="81" s="1"/>
  <c r="G512" i="81" s="1"/>
  <c r="G513" i="81" s="1"/>
  <c r="G514" i="81" s="1"/>
  <c r="G1910" i="81"/>
  <c r="G1906" i="81"/>
  <c r="G1905" i="81" s="1"/>
  <c r="G836" i="81"/>
  <c r="G837" i="81" s="1"/>
  <c r="G1682" i="16"/>
  <c r="G135" i="16"/>
  <c r="G136" i="16" s="1"/>
  <c r="G137" i="16" s="1"/>
  <c r="G138" i="16" s="1"/>
  <c r="G139" i="16" s="1"/>
  <c r="G1721" i="16"/>
  <c r="G1722" i="16" s="1"/>
  <c r="G1723" i="16" s="1"/>
  <c r="G1724" i="16" s="1"/>
  <c r="G1725" i="16" s="1"/>
  <c r="G1880" i="16"/>
  <c r="G1881" i="16" s="1"/>
  <c r="G1882" i="16" s="1"/>
  <c r="G1883" i="16" s="1"/>
  <c r="G1860" i="16"/>
  <c r="G1861" i="16" s="1"/>
  <c r="G264" i="16"/>
  <c r="G265" i="16" s="1"/>
  <c r="G266" i="16" s="1"/>
  <c r="G267" i="16" s="1"/>
  <c r="G268" i="16" s="1"/>
  <c r="G269" i="16" s="1"/>
  <c r="G270" i="16" s="1"/>
  <c r="G271" i="16" s="1"/>
  <c r="G261" i="16" s="1"/>
  <c r="G1821" i="16"/>
  <c r="G1822" i="16" s="1"/>
  <c r="G1862" i="16"/>
  <c r="G1863" i="16" s="1"/>
  <c r="G1864" i="16" s="1"/>
  <c r="G685" i="16"/>
  <c r="G686" i="16" s="1"/>
  <c r="G2243" i="16"/>
  <c r="G2244" i="16" s="1"/>
  <c r="G2245" i="16" s="1"/>
  <c r="G2246" i="16" s="1"/>
  <c r="G2247" i="16" s="1"/>
  <c r="G1774" i="16"/>
  <c r="G1775" i="16" s="1"/>
  <c r="G1776" i="16" s="1"/>
  <c r="G220" i="16"/>
  <c r="G2194" i="16"/>
  <c r="G2195" i="16" s="1"/>
  <c r="G2196" i="16" s="1"/>
  <c r="G2197" i="16" s="1"/>
  <c r="G674" i="16"/>
  <c r="G675" i="16" s="1"/>
  <c r="G676" i="16" s="1"/>
  <c r="G677" i="16" s="1"/>
  <c r="G678" i="16" s="1"/>
  <c r="G679" i="16" s="1"/>
  <c r="G1726" i="16"/>
  <c r="G1727" i="16" s="1"/>
  <c r="G706" i="16"/>
  <c r="G707" i="16" s="1"/>
  <c r="G708" i="16" s="1"/>
  <c r="G709" i="16" s="1"/>
  <c r="G710" i="16" s="1"/>
  <c r="G711" i="16" s="1"/>
  <c r="G712" i="16" s="1"/>
  <c r="G713" i="16" s="1"/>
  <c r="G714" i="16" s="1"/>
  <c r="G715" i="16" s="1"/>
  <c r="G716" i="16" s="1"/>
  <c r="G1857" i="16"/>
  <c r="G1858" i="16" s="1"/>
  <c r="G1859" i="16" s="1"/>
  <c r="G1546" i="16"/>
  <c r="G1547" i="16" s="1"/>
  <c r="G1548" i="16" s="1"/>
  <c r="G1753" i="16"/>
  <c r="G1754" i="16" s="1"/>
  <c r="G1755" i="16" s="1"/>
  <c r="G1756" i="16" s="1"/>
  <c r="G1757" i="16" s="1"/>
  <c r="G1758" i="16" s="1"/>
  <c r="G1759" i="16" s="1"/>
  <c r="G510" i="16"/>
  <c r="G511" i="16" s="1"/>
  <c r="G512" i="16" s="1"/>
  <c r="G513" i="16" s="1"/>
  <c r="G514" i="16" s="1"/>
  <c r="G515" i="16" s="1"/>
  <c r="G516" i="16" s="1"/>
  <c r="G517" i="16" s="1"/>
  <c r="G518" i="16" s="1"/>
  <c r="G519" i="16" s="1"/>
  <c r="G520" i="16" s="1"/>
  <c r="G521" i="16" s="1"/>
  <c r="G522" i="16" s="1"/>
  <c r="G1572" i="16"/>
  <c r="G1573" i="16"/>
  <c r="G1767" i="16"/>
  <c r="G1768" i="16" s="1"/>
  <c r="G2198" i="16"/>
  <c r="G2199" i="16" s="1"/>
  <c r="G2200" i="16" s="1"/>
  <c r="G2201" i="16" s="1"/>
  <c r="G123" i="16"/>
  <c r="G813" i="16"/>
  <c r="G814" i="16" s="1"/>
  <c r="G815" i="16" s="1"/>
  <c r="G816" i="16" s="1"/>
  <c r="G817" i="16" s="1"/>
  <c r="G818" i="16" s="1"/>
  <c r="G819" i="16" s="1"/>
  <c r="G820" i="16" s="1"/>
  <c r="G1482" i="16"/>
  <c r="G1483" i="16" s="1"/>
  <c r="G1484" i="16" s="1"/>
  <c r="G1485" i="16" s="1"/>
  <c r="G501" i="16"/>
  <c r="G502" i="16" s="1"/>
  <c r="G503" i="16" s="1"/>
  <c r="G504" i="16" s="1"/>
  <c r="G505" i="16" s="1"/>
  <c r="G506" i="16" s="1"/>
  <c r="G1852" i="16"/>
  <c r="G1853" i="16" s="1"/>
  <c r="G1854" i="16" s="1"/>
  <c r="G1855" i="16" s="1"/>
  <c r="G1856" i="16" s="1"/>
  <c r="G1461" i="16"/>
  <c r="G1793" i="16"/>
  <c r="G1996" i="16"/>
  <c r="G1997" i="16" s="1"/>
  <c r="G1998" i="16" s="1"/>
  <c r="G1999" i="16" s="1"/>
  <c r="G2000" i="16" s="1"/>
  <c r="A1792" i="80"/>
  <c r="A1793" i="80" s="1"/>
  <c r="C1793" i="80" s="1"/>
  <c r="A935" i="80"/>
  <c r="A896" i="80"/>
  <c r="A893" i="80"/>
  <c r="A889" i="80"/>
  <c r="A886" i="80"/>
  <c r="C1467" i="80"/>
  <c r="A1459" i="80"/>
  <c r="A169" i="80"/>
  <c r="C169" i="80" s="1"/>
  <c r="A274" i="80"/>
  <c r="C274" i="80" s="1"/>
  <c r="L18" i="18"/>
  <c r="T1084" i="16"/>
  <c r="AD1084" i="16" s="1"/>
  <c r="T214" i="25"/>
  <c r="AD214" i="25" s="1"/>
  <c r="T14" i="25"/>
  <c r="AD14" i="25" s="1"/>
  <c r="R93" i="24"/>
  <c r="AE93" i="24" s="1"/>
  <c r="T93" i="24"/>
  <c r="S1086" i="16"/>
  <c r="T1086" i="16" s="1"/>
  <c r="AD1086" i="16" s="1"/>
  <c r="S1088" i="16"/>
  <c r="T1088" i="16" s="1"/>
  <c r="AD1088" i="16" s="1"/>
  <c r="R214" i="25"/>
  <c r="R364" i="25" s="1"/>
  <c r="S218" i="25"/>
  <c r="S216" i="25"/>
  <c r="R236" i="25"/>
  <c r="AE236" i="25" s="1"/>
  <c r="R244" i="25"/>
  <c r="AE244" i="25" s="1"/>
  <c r="T236" i="25"/>
  <c r="AD236" i="25" s="1"/>
  <c r="T1106" i="16"/>
  <c r="AD1106" i="16" s="1"/>
  <c r="I154" i="80"/>
  <c r="W59" i="86"/>
  <c r="T10" i="86" s="1"/>
  <c r="W143" i="86"/>
  <c r="W130" i="86" s="1"/>
  <c r="W125" i="86"/>
  <c r="AD900" i="16"/>
  <c r="AC900" i="16" s="1"/>
  <c r="AF528" i="16"/>
  <c r="AD30" i="25"/>
  <c r="AC30" i="25" s="1"/>
  <c r="I1925" i="80"/>
  <c r="N1924" i="16"/>
  <c r="M51" i="28"/>
  <c r="AM51" i="28" s="1"/>
  <c r="I293" i="80"/>
  <c r="A293" i="80" s="1"/>
  <c r="A292" i="80" s="1"/>
  <c r="N294" i="16"/>
  <c r="W206" i="84"/>
  <c r="AF475" i="16"/>
  <c r="W50" i="86"/>
  <c r="AF1938" i="16"/>
  <c r="AO140" i="28"/>
  <c r="I2007" i="80"/>
  <c r="A2008" i="80" s="1"/>
  <c r="W208" i="85"/>
  <c r="O1693" i="16"/>
  <c r="T1693" i="16"/>
  <c r="AD1693" i="16" s="1"/>
  <c r="AC1693" i="16" s="1"/>
  <c r="O1695" i="16"/>
  <c r="T1695" i="16"/>
  <c r="T1704" i="16"/>
  <c r="R1705" i="16"/>
  <c r="T1702" i="16"/>
  <c r="AD1702" i="16" s="1"/>
  <c r="AC1702" i="16" s="1"/>
  <c r="R1703" i="16"/>
  <c r="O294" i="16"/>
  <c r="E293" i="81" s="1"/>
  <c r="S1787" i="16"/>
  <c r="C1533" i="80"/>
  <c r="S1322" i="16"/>
  <c r="O1322" i="16" s="1"/>
  <c r="E161" i="81"/>
  <c r="AO162" i="16"/>
  <c r="A1451" i="80"/>
  <c r="C1451" i="80" s="1"/>
  <c r="R14" i="25"/>
  <c r="AE14" i="25" s="1"/>
  <c r="N1611" i="16"/>
  <c r="G1612" i="16" s="1"/>
  <c r="G1613" i="16" s="1"/>
  <c r="G1614" i="16" s="1"/>
  <c r="G1615" i="16" s="1"/>
  <c r="W140" i="85"/>
  <c r="I355" i="80"/>
  <c r="C355" i="80" s="1"/>
  <c r="I652" i="80"/>
  <c r="I2216" i="80"/>
  <c r="A2217" i="80" s="1"/>
  <c r="W212" i="85"/>
  <c r="I2102" i="80"/>
  <c r="A2103" i="80" s="1"/>
  <c r="W214" i="85"/>
  <c r="I2031" i="80"/>
  <c r="W291" i="85"/>
  <c r="I281" i="80"/>
  <c r="A281" i="80" s="1"/>
  <c r="A280" i="80" s="1"/>
  <c r="W238" i="85"/>
  <c r="I2037" i="80"/>
  <c r="W131" i="85"/>
  <c r="W127" i="85"/>
  <c r="W272" i="84"/>
  <c r="O131" i="24"/>
  <c r="I448" i="80" s="1"/>
  <c r="T131" i="24"/>
  <c r="AD131" i="24" s="1"/>
  <c r="AC131" i="24" s="1"/>
  <c r="I1747" i="80"/>
  <c r="AO117" i="27"/>
  <c r="N1746" i="16"/>
  <c r="O318" i="24"/>
  <c r="I635" i="80" s="1"/>
  <c r="N1804" i="16"/>
  <c r="AO175" i="27"/>
  <c r="I1805" i="80"/>
  <c r="I1710" i="80"/>
  <c r="I1709" i="80" s="1"/>
  <c r="N1709" i="16"/>
  <c r="AO80" i="27"/>
  <c r="T316" i="8"/>
  <c r="AD316" i="8" s="1"/>
  <c r="AC316" i="8" s="1"/>
  <c r="O316" i="8"/>
  <c r="I314" i="80" s="1"/>
  <c r="T123" i="24"/>
  <c r="AD123" i="24" s="1"/>
  <c r="AC123" i="24" s="1"/>
  <c r="O123" i="24"/>
  <c r="I440" i="80" s="1"/>
  <c r="T289" i="8"/>
  <c r="AD289" i="8" s="1"/>
  <c r="AC289" i="8" s="1"/>
  <c r="O289" i="8"/>
  <c r="I696" i="80"/>
  <c r="A696" i="80" s="1"/>
  <c r="AO379" i="24"/>
  <c r="N697" i="16"/>
  <c r="T306" i="8"/>
  <c r="AD306" i="8" s="1"/>
  <c r="AC306" i="8" s="1"/>
  <c r="O306" i="8"/>
  <c r="N305" i="16" s="1"/>
  <c r="T317" i="8"/>
  <c r="AD317" i="8" s="1"/>
  <c r="AC317" i="8" s="1"/>
  <c r="O317" i="8"/>
  <c r="N316" i="16" s="1"/>
  <c r="T256" i="8"/>
  <c r="AD256" i="8" s="1"/>
  <c r="AC256" i="8" s="1"/>
  <c r="O256" i="8"/>
  <c r="I254" i="80" s="1"/>
  <c r="AO1842" i="16"/>
  <c r="E1841" i="81"/>
  <c r="AO557" i="25"/>
  <c r="I1426" i="80"/>
  <c r="N1427" i="16"/>
  <c r="O135" i="24"/>
  <c r="I452" i="80" s="1"/>
  <c r="T135" i="24"/>
  <c r="AD135" i="24" s="1"/>
  <c r="AC135" i="24" s="1"/>
  <c r="I1936" i="80"/>
  <c r="AO69" i="28"/>
  <c r="N1935" i="16"/>
  <c r="T139" i="24"/>
  <c r="AD139" i="24" s="1"/>
  <c r="AC139" i="24" s="1"/>
  <c r="O139" i="24"/>
  <c r="I456" i="80" s="1"/>
  <c r="O313" i="8"/>
  <c r="I311" i="80" s="1"/>
  <c r="T313" i="8"/>
  <c r="AD313" i="8" s="1"/>
  <c r="AC313" i="8" s="1"/>
  <c r="AO26" i="28"/>
  <c r="I1893" i="80"/>
  <c r="N1892" i="16"/>
  <c r="T564" i="25"/>
  <c r="AD564" i="25" s="1"/>
  <c r="AC564" i="25" s="1"/>
  <c r="N257" i="16"/>
  <c r="AO258" i="8"/>
  <c r="I256" i="80"/>
  <c r="AO186" i="27"/>
  <c r="I1816" i="80"/>
  <c r="N1815" i="16"/>
  <c r="O326" i="8"/>
  <c r="AO326" i="8" s="1"/>
  <c r="T326" i="8"/>
  <c r="AD326" i="8" s="1"/>
  <c r="AC326" i="8" s="1"/>
  <c r="T287" i="8"/>
  <c r="AD287" i="8" s="1"/>
  <c r="AC287" i="8" s="1"/>
  <c r="O287" i="8"/>
  <c r="T322" i="8"/>
  <c r="AD322" i="8" s="1"/>
  <c r="AC322" i="8" s="1"/>
  <c r="O322" i="8"/>
  <c r="N321" i="16" s="1"/>
  <c r="G321" i="16" s="1"/>
  <c r="T657" i="25"/>
  <c r="AD657" i="25" s="1"/>
  <c r="AC657" i="25" s="1"/>
  <c r="O657" i="25"/>
  <c r="I1526" i="80" s="1"/>
  <c r="O125" i="24"/>
  <c r="I442" i="80" s="1"/>
  <c r="T125" i="24"/>
  <c r="AD125" i="24" s="1"/>
  <c r="AC125" i="24" s="1"/>
  <c r="T293" i="8"/>
  <c r="AD293" i="8" s="1"/>
  <c r="AC293" i="8" s="1"/>
  <c r="O293" i="8"/>
  <c r="N292" i="16" s="1"/>
  <c r="G292" i="16" s="1"/>
  <c r="S356" i="25"/>
  <c r="T356" i="25" s="1"/>
  <c r="AD356" i="25" s="1"/>
  <c r="AC356" i="25" s="1"/>
  <c r="AO1453" i="16"/>
  <c r="W280" i="84"/>
  <c r="BD1882" i="16"/>
  <c r="BC1645" i="16"/>
  <c r="I1571" i="80"/>
  <c r="C1571" i="80" s="1"/>
  <c r="T324" i="8"/>
  <c r="AD324" i="8" s="1"/>
  <c r="AC324" i="8" s="1"/>
  <c r="O324" i="8"/>
  <c r="AO324" i="8" s="1"/>
  <c r="C531" i="80"/>
  <c r="A532" i="80"/>
  <c r="C532" i="80" s="1"/>
  <c r="C2216" i="80"/>
  <c r="E70" i="81"/>
  <c r="AO71" i="16"/>
  <c r="A2014" i="80"/>
  <c r="C2013" i="80"/>
  <c r="A566" i="80"/>
  <c r="C565" i="80"/>
  <c r="A226" i="80"/>
  <c r="C226" i="80" s="1"/>
  <c r="C225" i="80"/>
  <c r="I219" i="80"/>
  <c r="A791" i="80"/>
  <c r="C790" i="80"/>
  <c r="A2239" i="80"/>
  <c r="C2239" i="80" s="1"/>
  <c r="C2238" i="80"/>
  <c r="C1543" i="80"/>
  <c r="A1544" i="80"/>
  <c r="A1412" i="80"/>
  <c r="C1411" i="80"/>
  <c r="A464" i="80"/>
  <c r="C464" i="80" s="1"/>
  <c r="C463" i="80"/>
  <c r="A73" i="80"/>
  <c r="C73" i="80" s="1"/>
  <c r="C72" i="80"/>
  <c r="A821" i="80"/>
  <c r="C820" i="80"/>
  <c r="I1901" i="80"/>
  <c r="AO34" i="28"/>
  <c r="E371" i="81"/>
  <c r="AO372" i="16"/>
  <c r="E369" i="81"/>
  <c r="AO370" i="16"/>
  <c r="E89" i="81"/>
  <c r="AO90" i="16"/>
  <c r="E182" i="81"/>
  <c r="AO183" i="16"/>
  <c r="E180" i="81"/>
  <c r="AO181" i="16"/>
  <c r="A1487" i="80"/>
  <c r="C1486" i="80"/>
  <c r="A353" i="80"/>
  <c r="C353" i="80" s="1"/>
  <c r="C352" i="80"/>
  <c r="C58" i="80"/>
  <c r="A59" i="80"/>
  <c r="C2064" i="80"/>
  <c r="A2065" i="80"/>
  <c r="C2065" i="80" s="1"/>
  <c r="A79" i="80"/>
  <c r="C79" i="80" s="1"/>
  <c r="C78" i="80"/>
  <c r="C1915" i="80"/>
  <c r="A1916" i="80"/>
  <c r="A2061" i="80"/>
  <c r="C2061" i="80" s="1"/>
  <c r="C2060" i="80"/>
  <c r="C186" i="80"/>
  <c r="A187" i="80"/>
  <c r="C187" i="80" s="1"/>
  <c r="A2058" i="80"/>
  <c r="C2057" i="80"/>
  <c r="I1913" i="80"/>
  <c r="AO46" i="28"/>
  <c r="E1766" i="81"/>
  <c r="AO1767" i="16"/>
  <c r="I1918" i="80"/>
  <c r="AO51" i="28"/>
  <c r="E1899" i="81"/>
  <c r="AO1900" i="16"/>
  <c r="E372" i="81"/>
  <c r="AO373" i="16"/>
  <c r="A42" i="80"/>
  <c r="C41" i="80"/>
  <c r="A472" i="80"/>
  <c r="C471" i="80"/>
  <c r="I460" i="80"/>
  <c r="A75" i="80"/>
  <c r="C75" i="80" s="1"/>
  <c r="C74" i="80"/>
  <c r="I1935" i="80"/>
  <c r="C1935" i="80" s="1"/>
  <c r="AO68" i="28"/>
  <c r="A181" i="80"/>
  <c r="C181" i="80" s="1"/>
  <c r="C180" i="80"/>
  <c r="E1925" i="81"/>
  <c r="G1926" i="81" s="1"/>
  <c r="AO1926" i="16"/>
  <c r="E1923" i="81"/>
  <c r="G1924" i="81" s="1"/>
  <c r="AO1924" i="16"/>
  <c r="E370" i="81"/>
  <c r="AO371" i="16"/>
  <c r="E735" i="81"/>
  <c r="AO736" i="16"/>
  <c r="I1955" i="80"/>
  <c r="C212" i="80"/>
  <c r="A213" i="80"/>
  <c r="C213" i="80" s="1"/>
  <c r="A2074" i="80"/>
  <c r="C2074" i="80" s="1"/>
  <c r="C2073" i="80"/>
  <c r="C413" i="80"/>
  <c r="A414" i="80"/>
  <c r="C409" i="80"/>
  <c r="I100" i="80"/>
  <c r="A694" i="80"/>
  <c r="C694" i="80" s="1"/>
  <c r="C693" i="80"/>
  <c r="A2003" i="80"/>
  <c r="C2003" i="80" s="1"/>
  <c r="C2002" i="80"/>
  <c r="A21" i="80"/>
  <c r="C21" i="80" s="1"/>
  <c r="C20" i="80"/>
  <c r="C178" i="80"/>
  <c r="A179" i="80"/>
  <c r="C179" i="80" s="1"/>
  <c r="A1966" i="80"/>
  <c r="C1965" i="80"/>
  <c r="I2053" i="80"/>
  <c r="I2050" i="80" s="1"/>
  <c r="C2050" i="80" s="1"/>
  <c r="AO186" i="28"/>
  <c r="AO184" i="8"/>
  <c r="I182" i="80"/>
  <c r="E12" i="81"/>
  <c r="AO13" i="16"/>
  <c r="A2027" i="80"/>
  <c r="C2026" i="80"/>
  <c r="A653" i="80"/>
  <c r="C653" i="80" s="1"/>
  <c r="C652" i="80"/>
  <c r="A1881" i="80"/>
  <c r="C1880" i="80"/>
  <c r="C540" i="80"/>
  <c r="A541" i="80"/>
  <c r="A124" i="80"/>
  <c r="C123" i="80"/>
  <c r="A332" i="80"/>
  <c r="C331" i="80"/>
  <c r="A572" i="80"/>
  <c r="C571" i="80"/>
  <c r="N98" i="16"/>
  <c r="G99" i="16" s="1"/>
  <c r="I97" i="80"/>
  <c r="N1919" i="16"/>
  <c r="I1920" i="80"/>
  <c r="AO53" i="28"/>
  <c r="E1993" i="81"/>
  <c r="AO1994" i="16"/>
  <c r="E184" i="81"/>
  <c r="AO185" i="16"/>
  <c r="E1918" i="81"/>
  <c r="G1919" i="81" s="1"/>
  <c r="AO1919" i="16"/>
  <c r="E2051" i="81"/>
  <c r="AO2052" i="16"/>
  <c r="A1926" i="80"/>
  <c r="C1926" i="80" s="1"/>
  <c r="C1925" i="80"/>
  <c r="A262" i="80"/>
  <c r="C262" i="80" s="1"/>
  <c r="C261" i="80"/>
  <c r="A1431" i="80"/>
  <c r="C1431" i="80" s="1"/>
  <c r="C1430" i="80"/>
  <c r="A1886" i="80"/>
  <c r="C1886" i="80" s="1"/>
  <c r="C1885" i="80"/>
  <c r="C195" i="80"/>
  <c r="A196" i="80"/>
  <c r="C196" i="80" s="1"/>
  <c r="C1577" i="80"/>
  <c r="A1578" i="80"/>
  <c r="C1578" i="80" s="1"/>
  <c r="C2007" i="80"/>
  <c r="E2214" i="81"/>
  <c r="AO2215" i="16"/>
  <c r="E207" i="81"/>
  <c r="AO208" i="16"/>
  <c r="I1927" i="80"/>
  <c r="AO60" i="28"/>
  <c r="N71" i="16"/>
  <c r="G72" i="16" s="1"/>
  <c r="G68" i="16" s="1"/>
  <c r="I70" i="80"/>
  <c r="AO426" i="24"/>
  <c r="I743" i="80"/>
  <c r="I724" i="80" s="1"/>
  <c r="E72" i="81"/>
  <c r="AO73" i="16"/>
  <c r="A1961" i="80"/>
  <c r="C1960" i="80"/>
  <c r="A596" i="80"/>
  <c r="C595" i="80"/>
  <c r="C272" i="80"/>
  <c r="A273" i="80"/>
  <c r="C273" i="80" s="1"/>
  <c r="A583" i="80"/>
  <c r="C583" i="80" s="1"/>
  <c r="C582" i="80"/>
  <c r="A194" i="80"/>
  <c r="C194" i="80" s="1"/>
  <c r="C193" i="80"/>
  <c r="A2190" i="80"/>
  <c r="C2190" i="80" s="1"/>
  <c r="C2189" i="80"/>
  <c r="A1457" i="80"/>
  <c r="C1456" i="80"/>
  <c r="A423" i="80"/>
  <c r="C423" i="80" s="1"/>
  <c r="C422" i="80"/>
  <c r="C419" i="80"/>
  <c r="E99" i="81"/>
  <c r="AO100" i="16"/>
  <c r="E1933" i="81"/>
  <c r="AO1934" i="16"/>
  <c r="A1852" i="80"/>
  <c r="C1852" i="80" s="1"/>
  <c r="C1851" i="80"/>
  <c r="C222" i="80"/>
  <c r="A223" i="80"/>
  <c r="C223" i="80" s="1"/>
  <c r="A231" i="80"/>
  <c r="C230" i="80"/>
  <c r="A2234" i="80"/>
  <c r="C2233" i="80"/>
  <c r="C234" i="80"/>
  <c r="A235" i="80"/>
  <c r="C235" i="80" s="1"/>
  <c r="A2458" i="80"/>
  <c r="C2458" i="80" s="1"/>
  <c r="C2457" i="80"/>
  <c r="I2450" i="80"/>
  <c r="A122" i="80"/>
  <c r="C122" i="80" s="1"/>
  <c r="C121" i="80"/>
  <c r="A2245" i="80"/>
  <c r="C2244" i="80"/>
  <c r="C348" i="80"/>
  <c r="A349" i="80"/>
  <c r="A347" i="80"/>
  <c r="C347" i="80" s="1"/>
  <c r="C346" i="80"/>
  <c r="AO686" i="25"/>
  <c r="I1555" i="80"/>
  <c r="A1454" i="80"/>
  <c r="C1454" i="80" s="1"/>
  <c r="C1453" i="80"/>
  <c r="E1555" i="81"/>
  <c r="AO1556" i="16"/>
  <c r="AO2243" i="16"/>
  <c r="E2095" i="81"/>
  <c r="AO2096" i="16"/>
  <c r="AO1763" i="16"/>
  <c r="M1751" i="16"/>
  <c r="AM1760" i="16"/>
  <c r="AO1122" i="16"/>
  <c r="AO897" i="16"/>
  <c r="E1356" i="81"/>
  <c r="AO1357" i="16"/>
  <c r="E1329" i="81"/>
  <c r="AO1330" i="16"/>
  <c r="E1159" i="81"/>
  <c r="AO1160" i="16"/>
  <c r="E1052" i="81"/>
  <c r="AO1053" i="16"/>
  <c r="E1168" i="81"/>
  <c r="AO1169" i="16"/>
  <c r="E1191" i="81"/>
  <c r="AO1192" i="16"/>
  <c r="E1326" i="81"/>
  <c r="AO1327" i="16"/>
  <c r="E1324" i="81"/>
  <c r="AO1325" i="16"/>
  <c r="E1173" i="81"/>
  <c r="AO1174" i="16"/>
  <c r="E1319" i="81"/>
  <c r="AO1320" i="16"/>
  <c r="E1294" i="81"/>
  <c r="AO1295" i="16"/>
  <c r="E1179" i="81"/>
  <c r="AO1180" i="16"/>
  <c r="E1165" i="81"/>
  <c r="AO1166" i="16"/>
  <c r="E1325" i="81"/>
  <c r="AO1326" i="16"/>
  <c r="E1187" i="81"/>
  <c r="AO1188" i="16"/>
  <c r="E1204" i="81"/>
  <c r="AO1205" i="16"/>
  <c r="E1199" i="81"/>
  <c r="AO1200" i="16"/>
  <c r="E1153" i="81"/>
  <c r="AO1154" i="16"/>
  <c r="E745" i="81"/>
  <c r="AO746" i="16"/>
  <c r="E456" i="81"/>
  <c r="AO457" i="16"/>
  <c r="E635" i="81"/>
  <c r="AO636" i="16"/>
  <c r="E442" i="81"/>
  <c r="AO443" i="16"/>
  <c r="E452" i="81"/>
  <c r="AO453" i="16"/>
  <c r="E440" i="81"/>
  <c r="AO441" i="16"/>
  <c r="E448" i="81"/>
  <c r="AO449" i="16"/>
  <c r="AO93" i="16"/>
  <c r="E154" i="81"/>
  <c r="AO155" i="16"/>
  <c r="E175" i="81"/>
  <c r="AO176" i="16"/>
  <c r="E169" i="81"/>
  <c r="G169" i="81" s="1"/>
  <c r="AO170" i="16"/>
  <c r="E159" i="81"/>
  <c r="AO160" i="16"/>
  <c r="E156" i="81"/>
  <c r="AO157" i="16"/>
  <c r="E170" i="81"/>
  <c r="AO171" i="16"/>
  <c r="E139" i="81"/>
  <c r="AO140" i="16"/>
  <c r="G257" i="81"/>
  <c r="G258" i="81" s="1"/>
  <c r="G259" i="81" s="1"/>
  <c r="G251" i="81"/>
  <c r="E2242" i="81"/>
  <c r="E1762" i="81"/>
  <c r="E1121" i="81"/>
  <c r="E896" i="81"/>
  <c r="E92" i="81"/>
  <c r="A2324" i="80"/>
  <c r="C2323" i="80"/>
  <c r="A426" i="80"/>
  <c r="C425" i="80"/>
  <c r="R718" i="16"/>
  <c r="AE718" i="16" s="1"/>
  <c r="AC718" i="16" s="1"/>
  <c r="C1775" i="80"/>
  <c r="C935" i="80"/>
  <c r="A936" i="80"/>
  <c r="C936" i="80" s="1"/>
  <c r="A887" i="80"/>
  <c r="C1479" i="80"/>
  <c r="A1480" i="80"/>
  <c r="C127" i="80"/>
  <c r="A93" i="80"/>
  <c r="C93" i="80" s="1"/>
  <c r="C2199" i="80"/>
  <c r="C2194" i="80"/>
  <c r="C2151" i="80"/>
  <c r="A2087" i="80"/>
  <c r="A2088" i="80" s="1"/>
  <c r="I2041" i="80"/>
  <c r="A2041" i="80" s="1"/>
  <c r="C1929" i="80"/>
  <c r="A1860" i="80"/>
  <c r="C1860" i="80" s="1"/>
  <c r="C1859" i="80"/>
  <c r="A1776" i="80"/>
  <c r="I1683" i="80"/>
  <c r="A1683" i="80" s="1"/>
  <c r="A1549" i="80"/>
  <c r="I1541" i="80"/>
  <c r="A1541" i="80" s="1"/>
  <c r="A1525" i="80"/>
  <c r="C1525" i="80" s="1"/>
  <c r="A1529" i="80"/>
  <c r="C1528" i="80"/>
  <c r="C836" i="80"/>
  <c r="A837" i="80"/>
  <c r="C837" i="80" s="1"/>
  <c r="A813" i="80"/>
  <c r="C812" i="80"/>
  <c r="C680" i="80"/>
  <c r="A674" i="80"/>
  <c r="C673" i="80"/>
  <c r="C509" i="80"/>
  <c r="A510" i="80"/>
  <c r="A176" i="80"/>
  <c r="C176" i="80" s="1"/>
  <c r="C175" i="80"/>
  <c r="C159" i="80"/>
  <c r="A160" i="80"/>
  <c r="C160" i="80" s="1"/>
  <c r="C156" i="80"/>
  <c r="A157" i="80"/>
  <c r="A135" i="80"/>
  <c r="C135" i="80" s="1"/>
  <c r="C134" i="80"/>
  <c r="AO215" i="28"/>
  <c r="I2082" i="80"/>
  <c r="A2082" i="80" s="1"/>
  <c r="I1904" i="80"/>
  <c r="I1890" i="80"/>
  <c r="I1843" i="80"/>
  <c r="A1843" i="80" s="1"/>
  <c r="AO66" i="27"/>
  <c r="I1696" i="80"/>
  <c r="AO64" i="27"/>
  <c r="I1694" i="80"/>
  <c r="I1650" i="80"/>
  <c r="A1650" i="80" s="1"/>
  <c r="I1506" i="80"/>
  <c r="A1506" i="80" s="1"/>
  <c r="I1442" i="80"/>
  <c r="A1442" i="80" s="1"/>
  <c r="I1437" i="80"/>
  <c r="I1265" i="80"/>
  <c r="I1260" i="80"/>
  <c r="I1257" i="80"/>
  <c r="I1255" i="80"/>
  <c r="I1251" i="80"/>
  <c r="I379" i="80"/>
  <c r="A379" i="80" s="1"/>
  <c r="AO292" i="8"/>
  <c r="I290" i="80"/>
  <c r="I199" i="80"/>
  <c r="A199" i="80" s="1"/>
  <c r="AO163" i="8"/>
  <c r="I161" i="80"/>
  <c r="A161" i="80" s="1"/>
  <c r="I148" i="80"/>
  <c r="A148" i="80" s="1"/>
  <c r="AO141" i="8"/>
  <c r="I139" i="80"/>
  <c r="I113" i="80" s="1"/>
  <c r="A113" i="80" s="1"/>
  <c r="I44" i="80"/>
  <c r="A44" i="80" s="1"/>
  <c r="AO235" i="28"/>
  <c r="AO178" i="28"/>
  <c r="AO62" i="28"/>
  <c r="AO79" i="29"/>
  <c r="AO170" i="28"/>
  <c r="AO176" i="28"/>
  <c r="G195" i="16"/>
  <c r="G221" i="16"/>
  <c r="G222" i="16" s="1"/>
  <c r="G102" i="16"/>
  <c r="G103" i="16" s="1"/>
  <c r="G214" i="16"/>
  <c r="G129" i="16"/>
  <c r="G130" i="16" s="1"/>
  <c r="G131" i="16" s="1"/>
  <c r="G132" i="16" s="1"/>
  <c r="G133" i="16" s="1"/>
  <c r="G134" i="16" s="1"/>
  <c r="G94" i="16"/>
  <c r="G95" i="16" s="1"/>
  <c r="G96" i="16" s="1"/>
  <c r="G97" i="16" s="1"/>
  <c r="AO276" i="8"/>
  <c r="N275" i="16"/>
  <c r="H32" i="17"/>
  <c r="N2215" i="16"/>
  <c r="G2216" i="16" s="1"/>
  <c r="G2217" i="16" s="1"/>
  <c r="AO349" i="28"/>
  <c r="N2030" i="16"/>
  <c r="AO164" i="28"/>
  <c r="AO37" i="28"/>
  <c r="AO23" i="28"/>
  <c r="AO396" i="25"/>
  <c r="AO391" i="25"/>
  <c r="AO386" i="25"/>
  <c r="S1234" i="16"/>
  <c r="T1234" i="16" s="1"/>
  <c r="AD1234" i="16" s="1"/>
  <c r="AC1234" i="16" s="1"/>
  <c r="O316" i="25"/>
  <c r="I1185" i="80" s="1"/>
  <c r="T316" i="25"/>
  <c r="AD316" i="25" s="1"/>
  <c r="AC316" i="25" s="1"/>
  <c r="O2030" i="16"/>
  <c r="R964" i="16"/>
  <c r="AE964" i="16" s="1"/>
  <c r="T964" i="16"/>
  <c r="AD964" i="16" s="1"/>
  <c r="R965" i="16"/>
  <c r="AE965" i="16" s="1"/>
  <c r="T965" i="16"/>
  <c r="AD965" i="16" s="1"/>
  <c r="R958" i="16"/>
  <c r="T958" i="16"/>
  <c r="AD958" i="16" s="1"/>
  <c r="R966" i="16"/>
  <c r="AE966" i="16" s="1"/>
  <c r="T966" i="16"/>
  <c r="AD966" i="16" s="1"/>
  <c r="R959" i="16"/>
  <c r="AE959" i="16" s="1"/>
  <c r="T959" i="16"/>
  <c r="AD959" i="16" s="1"/>
  <c r="R967" i="16"/>
  <c r="AE967" i="16" s="1"/>
  <c r="T967" i="16"/>
  <c r="AD967" i="16" s="1"/>
  <c r="R960" i="16"/>
  <c r="AE960" i="16" s="1"/>
  <c r="T960" i="16"/>
  <c r="AD960" i="16" s="1"/>
  <c r="R968" i="16"/>
  <c r="AE968" i="16" s="1"/>
  <c r="T968" i="16"/>
  <c r="AD968" i="16" s="1"/>
  <c r="R961" i="16"/>
  <c r="AE961" i="16" s="1"/>
  <c r="T961" i="16"/>
  <c r="AD961" i="16" s="1"/>
  <c r="R969" i="16"/>
  <c r="AE969" i="16" s="1"/>
  <c r="T969" i="16"/>
  <c r="AD969" i="16" s="1"/>
  <c r="R963" i="16"/>
  <c r="AE963" i="16" s="1"/>
  <c r="T963" i="16"/>
  <c r="AD963" i="16" s="1"/>
  <c r="R962" i="16"/>
  <c r="AE962" i="16" s="1"/>
  <c r="T962" i="16"/>
  <c r="AD962" i="16" s="1"/>
  <c r="R970" i="16"/>
  <c r="AE970" i="16" s="1"/>
  <c r="T970" i="16"/>
  <c r="AD970" i="16" s="1"/>
  <c r="R93" i="25"/>
  <c r="AE93" i="25" s="1"/>
  <c r="T93" i="25"/>
  <c r="AD93" i="25" s="1"/>
  <c r="R94" i="25"/>
  <c r="AE94" i="25" s="1"/>
  <c r="T94" i="25"/>
  <c r="AD94" i="25" s="1"/>
  <c r="R88" i="25"/>
  <c r="T88" i="25"/>
  <c r="AD88" i="25" s="1"/>
  <c r="R96" i="25"/>
  <c r="AE96" i="25" s="1"/>
  <c r="T96" i="25"/>
  <c r="AD96" i="25" s="1"/>
  <c r="R95" i="25"/>
  <c r="AE95" i="25" s="1"/>
  <c r="T95" i="25"/>
  <c r="AD95" i="25" s="1"/>
  <c r="R89" i="25"/>
  <c r="AE89" i="25" s="1"/>
  <c r="T89" i="25"/>
  <c r="AD89" i="25" s="1"/>
  <c r="R97" i="25"/>
  <c r="AE97" i="25" s="1"/>
  <c r="T97" i="25"/>
  <c r="AD97" i="25" s="1"/>
  <c r="R90" i="25"/>
  <c r="AE90" i="25" s="1"/>
  <c r="T90" i="25"/>
  <c r="AD90" i="25" s="1"/>
  <c r="R98" i="25"/>
  <c r="AE98" i="25" s="1"/>
  <c r="T98" i="25"/>
  <c r="AD98" i="25" s="1"/>
  <c r="R91" i="25"/>
  <c r="AE91" i="25" s="1"/>
  <c r="T91" i="25"/>
  <c r="AD91" i="25" s="1"/>
  <c r="R99" i="25"/>
  <c r="AE99" i="25" s="1"/>
  <c r="T99" i="25"/>
  <c r="AD99" i="25" s="1"/>
  <c r="R92" i="25"/>
  <c r="AE92" i="25" s="1"/>
  <c r="T92" i="25"/>
  <c r="AD92" i="25" s="1"/>
  <c r="R100" i="25"/>
  <c r="AE100" i="25" s="1"/>
  <c r="T100" i="25"/>
  <c r="AD100" i="25" s="1"/>
  <c r="AD1650" i="16"/>
  <c r="AC1650" i="16" s="1"/>
  <c r="F32" i="17"/>
  <c r="F32" i="18"/>
  <c r="T1292" i="16"/>
  <c r="AD1292" i="16" s="1"/>
  <c r="AC1292" i="16" s="1"/>
  <c r="O1292" i="16"/>
  <c r="T1270" i="16"/>
  <c r="AD1270" i="16" s="1"/>
  <c r="AC1270" i="16" s="1"/>
  <c r="S1272" i="16"/>
  <c r="T1272" i="16" s="1"/>
  <c r="AD1272" i="16" s="1"/>
  <c r="AC1272" i="16" s="1"/>
  <c r="T1251" i="16"/>
  <c r="AD1251" i="16" s="1"/>
  <c r="AC1251" i="16" s="1"/>
  <c r="S1253" i="16"/>
  <c r="T1253" i="16" s="1"/>
  <c r="AD1253" i="16" s="1"/>
  <c r="AC1253" i="16" s="1"/>
  <c r="O422" i="25"/>
  <c r="I1291" i="80" s="1"/>
  <c r="T422" i="25"/>
  <c r="AD422" i="25" s="1"/>
  <c r="AC422" i="25" s="1"/>
  <c r="T400" i="25"/>
  <c r="AD400" i="25" s="1"/>
  <c r="AC400" i="25" s="1"/>
  <c r="S402" i="25"/>
  <c r="T402" i="25" s="1"/>
  <c r="AD402" i="25" s="1"/>
  <c r="AC402" i="25" s="1"/>
  <c r="T381" i="25"/>
  <c r="AD381" i="25" s="1"/>
  <c r="AC381" i="25" s="1"/>
  <c r="S383" i="25"/>
  <c r="T383" i="25" s="1"/>
  <c r="AD383" i="25" s="1"/>
  <c r="AC383" i="25" s="1"/>
  <c r="G739" i="16"/>
  <c r="G740" i="16" s="1"/>
  <c r="G741" i="16" s="1"/>
  <c r="G742" i="16" s="1"/>
  <c r="G743" i="16" s="1"/>
  <c r="G801" i="16"/>
  <c r="G802" i="16" s="1"/>
  <c r="G803" i="16" s="1"/>
  <c r="G804" i="16" s="1"/>
  <c r="G805" i="16" s="1"/>
  <c r="G806" i="16" s="1"/>
  <c r="G807" i="16" s="1"/>
  <c r="G808" i="16" s="1"/>
  <c r="G809" i="16" s="1"/>
  <c r="G810" i="16" s="1"/>
  <c r="G811" i="16" s="1"/>
  <c r="O331" i="16"/>
  <c r="O117" i="24"/>
  <c r="I434" i="80" s="1"/>
  <c r="AE219" i="28"/>
  <c r="AC219" i="28" s="1"/>
  <c r="M342" i="16"/>
  <c r="I32" i="17"/>
  <c r="O80" i="24"/>
  <c r="I397" i="80" s="1"/>
  <c r="M88" i="29"/>
  <c r="AM88" i="29" s="1"/>
  <c r="AD93" i="24"/>
  <c r="AC93" i="24" s="1"/>
  <c r="M93" i="24"/>
  <c r="AM93" i="24" s="1"/>
  <c r="R103" i="24"/>
  <c r="M103" i="24" s="1"/>
  <c r="AM103" i="24" s="1"/>
  <c r="R28" i="29"/>
  <c r="M28" i="29" s="1"/>
  <c r="AM28" i="29" s="1"/>
  <c r="T60" i="29"/>
  <c r="AD60" i="29" s="1"/>
  <c r="AC60" i="29" s="1"/>
  <c r="T88" i="29"/>
  <c r="AD88" i="29" s="1"/>
  <c r="AC88" i="29" s="1"/>
  <c r="N1693" i="16"/>
  <c r="N291" i="16"/>
  <c r="G291" i="16" s="1"/>
  <c r="N140" i="16"/>
  <c r="N1695" i="16"/>
  <c r="N162" i="16"/>
  <c r="N2322" i="16"/>
  <c r="G2323" i="16" s="1"/>
  <c r="G2324" i="16" s="1"/>
  <c r="G2325" i="16" s="1"/>
  <c r="G2326" i="16" s="1"/>
  <c r="G2327" i="16" s="1"/>
  <c r="G2328" i="16" s="1"/>
  <c r="G2329" i="16" s="1"/>
  <c r="G2330" i="16" s="1"/>
  <c r="G2331" i="16" s="1"/>
  <c r="G2332" i="16" s="1"/>
  <c r="G2333" i="16" s="1"/>
  <c r="G2334" i="16" s="1"/>
  <c r="G2335" i="16" s="1"/>
  <c r="G2336" i="16" s="1"/>
  <c r="G2337" i="16" s="1"/>
  <c r="G2338" i="16" s="1"/>
  <c r="G2339" i="16" s="1"/>
  <c r="N2081" i="16"/>
  <c r="T1102" i="16"/>
  <c r="W1104" i="16" s="1"/>
  <c r="AE1917" i="16"/>
  <c r="AC1917" i="16" s="1"/>
  <c r="M1917" i="16"/>
  <c r="AM1917" i="16" s="1"/>
  <c r="M1912" i="16"/>
  <c r="AM1912" i="16" s="1"/>
  <c r="AE1912" i="16"/>
  <c r="AC1912" i="16" s="1"/>
  <c r="O91" i="16"/>
  <c r="AC1926" i="16"/>
  <c r="AE1909" i="16"/>
  <c r="AC1909" i="16" s="1"/>
  <c r="M1909" i="16"/>
  <c r="AM1909" i="16" s="1"/>
  <c r="AF1895" i="16"/>
  <c r="AE1924" i="16"/>
  <c r="AC1924" i="16" s="1"/>
  <c r="M1924" i="16"/>
  <c r="AM1924" i="16" s="1"/>
  <c r="T93" i="16"/>
  <c r="AD93" i="16" s="1"/>
  <c r="AC93" i="16" s="1"/>
  <c r="AC483" i="16"/>
  <c r="AF483" i="16"/>
  <c r="T435" i="16"/>
  <c r="AD435" i="16" s="1"/>
  <c r="AC435" i="16" s="1"/>
  <c r="O435" i="16"/>
  <c r="G1955" i="16"/>
  <c r="G1956" i="16" s="1"/>
  <c r="T98" i="16"/>
  <c r="AD98" i="16" s="1"/>
  <c r="AC98" i="16" s="1"/>
  <c r="O98" i="16"/>
  <c r="M1914" i="16"/>
  <c r="AM1914" i="16" s="1"/>
  <c r="AE1914" i="16"/>
  <c r="AC1914" i="16" s="1"/>
  <c r="O2210" i="16"/>
  <c r="W211" i="84" s="1"/>
  <c r="G1412" i="16"/>
  <c r="G1413" i="16" s="1"/>
  <c r="G1414" i="16" s="1"/>
  <c r="G1415" i="16" s="1"/>
  <c r="G1416" i="16" s="1"/>
  <c r="G1417" i="16" s="1"/>
  <c r="G1418" i="16" s="1"/>
  <c r="G1419" i="16" s="1"/>
  <c r="G1420" i="16" s="1"/>
  <c r="G1421" i="16" s="1"/>
  <c r="M1919" i="16"/>
  <c r="AM1919" i="16" s="1"/>
  <c r="AE1919" i="16"/>
  <c r="AC1919" i="16" s="1"/>
  <c r="S2331" i="16"/>
  <c r="T2331" i="16" s="1"/>
  <c r="AD2331" i="16" s="1"/>
  <c r="S2411" i="16"/>
  <c r="S2430" i="16"/>
  <c r="T2430" i="16" s="1"/>
  <c r="AD2430" i="16" s="1"/>
  <c r="AC2430" i="16" s="1"/>
  <c r="S2419" i="16"/>
  <c r="T2419" i="16" s="1"/>
  <c r="AD2419" i="16" s="1"/>
  <c r="AC2419" i="16" s="1"/>
  <c r="S2429" i="16"/>
  <c r="T2429" i="16" s="1"/>
  <c r="AD2429" i="16" s="1"/>
  <c r="AC2429" i="16" s="1"/>
  <c r="S2418" i="16"/>
  <c r="T2418" i="16" s="1"/>
  <c r="AD2418" i="16" s="1"/>
  <c r="AC2418" i="16" s="1"/>
  <c r="S2410" i="16"/>
  <c r="S2428" i="16"/>
  <c r="T2428" i="16" s="1"/>
  <c r="AD2428" i="16" s="1"/>
  <c r="AC2428" i="16" s="1"/>
  <c r="S2417" i="16"/>
  <c r="T2417" i="16" s="1"/>
  <c r="AD2417" i="16" s="1"/>
  <c r="AC2417" i="16" s="1"/>
  <c r="S2416" i="16"/>
  <c r="T2416" i="16" s="1"/>
  <c r="AD2416" i="16" s="1"/>
  <c r="AC2416" i="16" s="1"/>
  <c r="S2393" i="16"/>
  <c r="T2393" i="16" s="1"/>
  <c r="S2427" i="16"/>
  <c r="T2427" i="16" s="1"/>
  <c r="AD2427" i="16" s="1"/>
  <c r="AC2427" i="16" s="1"/>
  <c r="S2426" i="16"/>
  <c r="T2426" i="16" s="1"/>
  <c r="AD2426" i="16" s="1"/>
  <c r="AC2426" i="16" s="1"/>
  <c r="S2415" i="16"/>
  <c r="T2415" i="16" s="1"/>
  <c r="AD2415" i="16" s="1"/>
  <c r="AC2415" i="16" s="1"/>
  <c r="S2425" i="16"/>
  <c r="T2425" i="16" s="1"/>
  <c r="AD2425" i="16" s="1"/>
  <c r="AC2425" i="16" s="1"/>
  <c r="S2414" i="16"/>
  <c r="T2414" i="16" s="1"/>
  <c r="AD2414" i="16" s="1"/>
  <c r="AC2414" i="16" s="1"/>
  <c r="S2424" i="16"/>
  <c r="T2424" i="16" s="1"/>
  <c r="AD2424" i="16" s="1"/>
  <c r="AC2424" i="16" s="1"/>
  <c r="S2412" i="16"/>
  <c r="Z15" i="23"/>
  <c r="BD2259" i="16"/>
  <c r="O2042" i="16"/>
  <c r="O2036" i="16"/>
  <c r="O1928" i="16"/>
  <c r="O1585" i="16"/>
  <c r="O1583" i="16"/>
  <c r="O1529" i="16"/>
  <c r="O1637" i="16"/>
  <c r="O1525" i="16"/>
  <c r="O1636" i="16"/>
  <c r="O1627" i="16"/>
  <c r="O1496" i="16"/>
  <c r="O286" i="16"/>
  <c r="O282" i="16"/>
  <c r="O288" i="16"/>
  <c r="O321" i="16"/>
  <c r="O292" i="16"/>
  <c r="O325" i="16"/>
  <c r="O316" i="16"/>
  <c r="O255" i="16"/>
  <c r="O305" i="16"/>
  <c r="O315" i="16"/>
  <c r="O291" i="16"/>
  <c r="AE933" i="16"/>
  <c r="AC933" i="16" s="1"/>
  <c r="AE43" i="28"/>
  <c r="AC43" i="28" s="1"/>
  <c r="M43" i="28"/>
  <c r="AM43" i="28" s="1"/>
  <c r="M46" i="28"/>
  <c r="AM46" i="28" s="1"/>
  <c r="T286" i="16"/>
  <c r="AD286" i="16" s="1"/>
  <c r="AC286" i="16" s="1"/>
  <c r="T292" i="16"/>
  <c r="AD292" i="16" s="1"/>
  <c r="AC292" i="16" s="1"/>
  <c r="T288" i="16"/>
  <c r="AD288" i="16" s="1"/>
  <c r="AC288" i="16" s="1"/>
  <c r="T316" i="16"/>
  <c r="AD316" i="16" s="1"/>
  <c r="AC316" i="16" s="1"/>
  <c r="T305" i="16"/>
  <c r="AD305" i="16" s="1"/>
  <c r="AC305" i="16" s="1"/>
  <c r="T315" i="16"/>
  <c r="AD315" i="16" s="1"/>
  <c r="AC315" i="16" s="1"/>
  <c r="T291" i="16"/>
  <c r="AD291" i="16" s="1"/>
  <c r="AC291" i="16" s="1"/>
  <c r="T321" i="16"/>
  <c r="AD321" i="16" s="1"/>
  <c r="AC321" i="16" s="1"/>
  <c r="T325" i="16"/>
  <c r="AD325" i="16" s="1"/>
  <c r="AC325" i="16" s="1"/>
  <c r="G350" i="16"/>
  <c r="G669" i="16"/>
  <c r="G687" i="16"/>
  <c r="G357" i="16"/>
  <c r="G358" i="16" s="1"/>
  <c r="T1223" i="16"/>
  <c r="S1229" i="16" s="1"/>
  <c r="G728" i="16"/>
  <c r="T41" i="25"/>
  <c r="AD41" i="25" s="1"/>
  <c r="R41" i="25"/>
  <c r="M41" i="25" s="1"/>
  <c r="AM41" i="25" s="1"/>
  <c r="T44" i="25"/>
  <c r="AD44" i="25" s="1"/>
  <c r="R44" i="25"/>
  <c r="M44" i="25" s="1"/>
  <c r="AM44" i="25" s="1"/>
  <c r="R50" i="25"/>
  <c r="M50" i="25" s="1"/>
  <c r="AM50" i="25" s="1"/>
  <c r="T50" i="25"/>
  <c r="AD50" i="25" s="1"/>
  <c r="T47" i="25"/>
  <c r="AD47" i="25" s="1"/>
  <c r="R47" i="25"/>
  <c r="M47" i="25" s="1"/>
  <c r="AM47" i="25" s="1"/>
  <c r="R45" i="25"/>
  <c r="M45" i="25" s="1"/>
  <c r="AM45" i="25" s="1"/>
  <c r="T45" i="25"/>
  <c r="AD45" i="25" s="1"/>
  <c r="R52" i="25"/>
  <c r="M52" i="25" s="1"/>
  <c r="AM52" i="25" s="1"/>
  <c r="T52" i="25"/>
  <c r="AD52" i="25" s="1"/>
  <c r="T51" i="25"/>
  <c r="AD51" i="25" s="1"/>
  <c r="R51" i="25"/>
  <c r="M51" i="25" s="1"/>
  <c r="AM51" i="25" s="1"/>
  <c r="T55" i="25"/>
  <c r="AD55" i="25" s="1"/>
  <c r="R55" i="25"/>
  <c r="M55" i="25" s="1"/>
  <c r="AM55" i="25" s="1"/>
  <c r="T54" i="25"/>
  <c r="AD54" i="25" s="1"/>
  <c r="R54" i="25"/>
  <c r="M54" i="25" s="1"/>
  <c r="AM54" i="25" s="1"/>
  <c r="R57" i="25"/>
  <c r="M57" i="25" s="1"/>
  <c r="AM57" i="25" s="1"/>
  <c r="T57" i="25"/>
  <c r="AD57" i="25" s="1"/>
  <c r="T56" i="25"/>
  <c r="AD56" i="25" s="1"/>
  <c r="R56" i="25"/>
  <c r="M56" i="25" s="1"/>
  <c r="AM56" i="25" s="1"/>
  <c r="R42" i="25"/>
  <c r="M42" i="25" s="1"/>
  <c r="AM42" i="25" s="1"/>
  <c r="T42" i="25"/>
  <c r="AD42" i="25" s="1"/>
  <c r="T59" i="25"/>
  <c r="AD59" i="25" s="1"/>
  <c r="R59" i="25"/>
  <c r="M59" i="25" s="1"/>
  <c r="AM59" i="25" s="1"/>
  <c r="T912" i="16"/>
  <c r="AD912" i="16" s="1"/>
  <c r="R912" i="16"/>
  <c r="T921" i="16"/>
  <c r="AD921" i="16" s="1"/>
  <c r="R921" i="16"/>
  <c r="T917" i="16"/>
  <c r="AD917" i="16" s="1"/>
  <c r="R917" i="16"/>
  <c r="R926" i="16"/>
  <c r="T926" i="16"/>
  <c r="AD926" i="16" s="1"/>
  <c r="T925" i="16"/>
  <c r="AD925" i="16" s="1"/>
  <c r="R925" i="16"/>
  <c r="T920" i="16"/>
  <c r="AD920" i="16" s="1"/>
  <c r="R920" i="16"/>
  <c r="R914" i="16"/>
  <c r="T914" i="16"/>
  <c r="AD914" i="16" s="1"/>
  <c r="T927" i="16"/>
  <c r="AD927" i="16" s="1"/>
  <c r="R927" i="16"/>
  <c r="T911" i="16"/>
  <c r="AD911" i="16" s="1"/>
  <c r="R911" i="16"/>
  <c r="T915" i="16"/>
  <c r="AD915" i="16" s="1"/>
  <c r="R915" i="16"/>
  <c r="T929" i="16"/>
  <c r="AD929" i="16" s="1"/>
  <c r="R929" i="16"/>
  <c r="T924" i="16"/>
  <c r="AD924" i="16" s="1"/>
  <c r="R924" i="16"/>
  <c r="R922" i="16"/>
  <c r="T922" i="16"/>
  <c r="AD922" i="16" s="1"/>
  <c r="AD1767" i="16"/>
  <c r="AC1767" i="16" s="1"/>
  <c r="G2450" i="16"/>
  <c r="G2451" i="16" s="1"/>
  <c r="G2452" i="16" s="1"/>
  <c r="G2453" i="16" s="1"/>
  <c r="T100" i="16"/>
  <c r="AD100" i="16" s="1"/>
  <c r="AC100" i="16" s="1"/>
  <c r="T2210" i="16"/>
  <c r="AD2210" i="16" s="1"/>
  <c r="AC2210" i="16" s="1"/>
  <c r="T91" i="16"/>
  <c r="AD91" i="16" s="1"/>
  <c r="AC91" i="16" s="1"/>
  <c r="AD1763" i="16"/>
  <c r="AC1763" i="16" s="1"/>
  <c r="S1186" i="16"/>
  <c r="T1186" i="16" s="1"/>
  <c r="AD1186" i="16" s="1"/>
  <c r="AC1186" i="16" s="1"/>
  <c r="S2101" i="16"/>
  <c r="O2101" i="16" s="1"/>
  <c r="S1297" i="16"/>
  <c r="O60" i="29"/>
  <c r="I2304" i="80" s="1"/>
  <c r="R122" i="29"/>
  <c r="M122" i="29" s="1"/>
  <c r="AM122" i="29" s="1"/>
  <c r="R17" i="29"/>
  <c r="AE17" i="29" s="1"/>
  <c r="AC17" i="29" s="1"/>
  <c r="N373" i="16"/>
  <c r="T169" i="29"/>
  <c r="AD169" i="29" s="1"/>
  <c r="R169" i="29"/>
  <c r="M85" i="29"/>
  <c r="AM85" i="29" s="1"/>
  <c r="R103" i="29"/>
  <c r="M103" i="29" s="1"/>
  <c r="AM103" i="29" s="1"/>
  <c r="T167" i="29"/>
  <c r="AD167" i="29" s="1"/>
  <c r="R167" i="29"/>
  <c r="T168" i="29"/>
  <c r="AD168" i="29" s="1"/>
  <c r="R168" i="29"/>
  <c r="T85" i="29"/>
  <c r="AD85" i="29" s="1"/>
  <c r="AC85" i="29" s="1"/>
  <c r="M60" i="29"/>
  <c r="AM60" i="29" s="1"/>
  <c r="R16" i="29"/>
  <c r="M16" i="29" s="1"/>
  <c r="AM16" i="29" s="1"/>
  <c r="T128" i="29"/>
  <c r="AD128" i="29" s="1"/>
  <c r="O124" i="29"/>
  <c r="I2368" i="80" s="1"/>
  <c r="R152" i="29"/>
  <c r="O152" i="29"/>
  <c r="T152" i="29"/>
  <c r="AD152" i="29" s="1"/>
  <c r="N1912" i="16"/>
  <c r="M53" i="28"/>
  <c r="AM53" i="28" s="1"/>
  <c r="AE53" i="28"/>
  <c r="AC53" i="28" s="1"/>
  <c r="N1780" i="16"/>
  <c r="AO151" i="27"/>
  <c r="AO138" i="27"/>
  <c r="AO741" i="25"/>
  <c r="S429" i="16"/>
  <c r="AO730" i="25"/>
  <c r="G1488" i="16"/>
  <c r="G1489" i="16" s="1"/>
  <c r="G1490" i="16" s="1"/>
  <c r="G1491" i="16" s="1"/>
  <c r="G1492" i="16" s="1"/>
  <c r="N1600" i="16"/>
  <c r="G1601" i="16" s="1"/>
  <c r="G1602" i="16" s="1"/>
  <c r="S328" i="25"/>
  <c r="T328" i="25" s="1"/>
  <c r="AD328" i="25" s="1"/>
  <c r="AC328" i="25" s="1"/>
  <c r="S19" i="25"/>
  <c r="T12" i="25" s="1"/>
  <c r="AD12" i="25" s="1"/>
  <c r="AC12" i="25" s="1"/>
  <c r="N1599" i="16"/>
  <c r="S431" i="16"/>
  <c r="T431" i="16" s="1"/>
  <c r="AD431" i="16" s="1"/>
  <c r="S411" i="16"/>
  <c r="R411" i="16" s="1"/>
  <c r="AE411" i="16" s="1"/>
  <c r="AF411" i="16" s="1"/>
  <c r="N744" i="16"/>
  <c r="G745" i="16" s="1"/>
  <c r="O344" i="28"/>
  <c r="N837" i="16"/>
  <c r="AO54" i="24"/>
  <c r="N372" i="16"/>
  <c r="S2325" i="16"/>
  <c r="O2322" i="16" s="1"/>
  <c r="AO99" i="8"/>
  <c r="N183" i="16"/>
  <c r="G184" i="16" s="1"/>
  <c r="N181" i="16"/>
  <c r="G182" i="16" s="1"/>
  <c r="AO182" i="8"/>
  <c r="S2285" i="16"/>
  <c r="T2285" i="16" s="1"/>
  <c r="AD2285" i="16" s="1"/>
  <c r="AC2285" i="16" s="1"/>
  <c r="S2387" i="16"/>
  <c r="T2387" i="16" s="1"/>
  <c r="AD2387" i="16" s="1"/>
  <c r="AC2387" i="16" s="1"/>
  <c r="S2351" i="16"/>
  <c r="T2351" i="16" s="1"/>
  <c r="AD2351" i="16" s="1"/>
  <c r="AC2351" i="16" s="1"/>
  <c r="S2373" i="16"/>
  <c r="T2373" i="16" s="1"/>
  <c r="AD2373" i="16" s="1"/>
  <c r="AC2373" i="16" s="1"/>
  <c r="S2290" i="16"/>
  <c r="T2290" i="16" s="1"/>
  <c r="AD2290" i="16" s="1"/>
  <c r="AC2290" i="16" s="1"/>
  <c r="S2359" i="16"/>
  <c r="T2359" i="16" s="1"/>
  <c r="AD2359" i="16" s="1"/>
  <c r="AC2359" i="16" s="1"/>
  <c r="S2258" i="16"/>
  <c r="S2297" i="16"/>
  <c r="T2297" i="16" s="1"/>
  <c r="AD2297" i="16" s="1"/>
  <c r="AC2297" i="16" s="1"/>
  <c r="S2336" i="16"/>
  <c r="T2336" i="16" s="1"/>
  <c r="AD2336" i="16" s="1"/>
  <c r="AC2336" i="16" s="1"/>
  <c r="S2264" i="16"/>
  <c r="T2264" i="16" s="1"/>
  <c r="AD2264" i="16" s="1"/>
  <c r="AC2264" i="16" s="1"/>
  <c r="S2268" i="16"/>
  <c r="T2268" i="16" s="1"/>
  <c r="AD2268" i="16" s="1"/>
  <c r="AC2268" i="16" s="1"/>
  <c r="S2274" i="16"/>
  <c r="T2274" i="16" s="1"/>
  <c r="AD2274" i="16" s="1"/>
  <c r="AC2274" i="16" s="1"/>
  <c r="S2349" i="16"/>
  <c r="T2349" i="16" s="1"/>
  <c r="AD2349" i="16" s="1"/>
  <c r="AC2349" i="16" s="1"/>
  <c r="S2281" i="16"/>
  <c r="T2281" i="16" s="1"/>
  <c r="AD2281" i="16" s="1"/>
  <c r="AC2281" i="16" s="1"/>
  <c r="S2386" i="16"/>
  <c r="T2386" i="16" s="1"/>
  <c r="AD2386" i="16" s="1"/>
  <c r="AC2386" i="16" s="1"/>
  <c r="S51" i="8"/>
  <c r="O51" i="8" s="1"/>
  <c r="W235" i="85" s="1"/>
  <c r="S421" i="16"/>
  <c r="T421" i="16" s="1"/>
  <c r="AD421" i="16" s="1"/>
  <c r="S2346" i="16"/>
  <c r="S2395" i="16"/>
  <c r="O2395" i="16" s="1"/>
  <c r="S2275" i="16"/>
  <c r="T2275" i="16" s="1"/>
  <c r="AD2275" i="16" s="1"/>
  <c r="AC2275" i="16" s="1"/>
  <c r="S2354" i="16"/>
  <c r="T2354" i="16" s="1"/>
  <c r="AD2354" i="16" s="1"/>
  <c r="AC2354" i="16" s="1"/>
  <c r="S2344" i="16"/>
  <c r="O2340" i="16" s="1"/>
  <c r="S2391" i="16"/>
  <c r="T2391" i="16" s="1"/>
  <c r="AD2391" i="16" s="1"/>
  <c r="AC2391" i="16" s="1"/>
  <c r="S2287" i="16"/>
  <c r="T2287" i="16" s="1"/>
  <c r="AD2287" i="16" s="1"/>
  <c r="AC2287" i="16" s="1"/>
  <c r="S2384" i="16"/>
  <c r="T2384" i="16" s="1"/>
  <c r="AD2384" i="16" s="1"/>
  <c r="AC2384" i="16" s="1"/>
  <c r="S2303" i="16"/>
  <c r="O2303" i="16" s="1"/>
  <c r="S2333" i="16"/>
  <c r="T2333" i="16" s="1"/>
  <c r="AD2333" i="16" s="1"/>
  <c r="AC2333" i="16" s="1"/>
  <c r="S2356" i="16"/>
  <c r="T2356" i="16" s="1"/>
  <c r="AD2356" i="16" s="1"/>
  <c r="AC2356" i="16" s="1"/>
  <c r="S2302" i="16"/>
  <c r="T2302" i="16" s="1"/>
  <c r="AD2302" i="16" s="1"/>
  <c r="AC2302" i="16" s="1"/>
  <c r="S2289" i="16"/>
  <c r="T2289" i="16" s="1"/>
  <c r="AD2289" i="16" s="1"/>
  <c r="AC2289" i="16" s="1"/>
  <c r="S2259" i="16"/>
  <c r="S2265" i="16"/>
  <c r="T2265" i="16" s="1"/>
  <c r="AD2265" i="16" s="1"/>
  <c r="AC2265" i="16" s="1"/>
  <c r="S2266" i="16"/>
  <c r="T2266" i="16" s="1"/>
  <c r="AD2266" i="16" s="1"/>
  <c r="AC2266" i="16" s="1"/>
  <c r="S2389" i="16"/>
  <c r="T2389" i="16" s="1"/>
  <c r="AD2389" i="16" s="1"/>
  <c r="AC2389" i="16" s="1"/>
  <c r="S2377" i="16"/>
  <c r="T2377" i="16" s="1"/>
  <c r="AD2377" i="16" s="1"/>
  <c r="AC2377" i="16" s="1"/>
  <c r="S2294" i="16"/>
  <c r="T2294" i="16" s="1"/>
  <c r="AD2294" i="16" s="1"/>
  <c r="AC2294" i="16" s="1"/>
  <c r="BC1882" i="16"/>
  <c r="S2299" i="16"/>
  <c r="T2299" i="16" s="1"/>
  <c r="AD2299" i="16" s="1"/>
  <c r="AC2299" i="16" s="1"/>
  <c r="S2390" i="16"/>
  <c r="T2390" i="16" s="1"/>
  <c r="AD2390" i="16" s="1"/>
  <c r="AC2390" i="16" s="1"/>
  <c r="S2337" i="16"/>
  <c r="T2337" i="16" s="1"/>
  <c r="AD2337" i="16" s="1"/>
  <c r="AC2337" i="16" s="1"/>
  <c r="S2301" i="16"/>
  <c r="T2301" i="16" s="1"/>
  <c r="AD2301" i="16" s="1"/>
  <c r="AC2301" i="16" s="1"/>
  <c r="S2357" i="16"/>
  <c r="T2357" i="16" s="1"/>
  <c r="AD2357" i="16" s="1"/>
  <c r="AC2357" i="16" s="1"/>
  <c r="S2260" i="16"/>
  <c r="S2361" i="16"/>
  <c r="T2361" i="16" s="1"/>
  <c r="AD2361" i="16" s="1"/>
  <c r="AC2361" i="16" s="1"/>
  <c r="S2271" i="16"/>
  <c r="S2392" i="16"/>
  <c r="T2392" i="16" s="1"/>
  <c r="AD2392" i="16" s="1"/>
  <c r="AC2392" i="16" s="1"/>
  <c r="S2328" i="16"/>
  <c r="S2270" i="16"/>
  <c r="T2270" i="16" s="1"/>
  <c r="AD2270" i="16" s="1"/>
  <c r="AC2270" i="16" s="1"/>
  <c r="X15" i="23"/>
  <c r="S2334" i="16"/>
  <c r="T2334" i="16" s="1"/>
  <c r="AD2334" i="16" s="1"/>
  <c r="AC2334" i="16" s="1"/>
  <c r="S2362" i="16"/>
  <c r="T2362" i="16" s="1"/>
  <c r="AD2362" i="16" s="1"/>
  <c r="AC2362" i="16" s="1"/>
  <c r="S2365" i="16"/>
  <c r="S2371" i="16"/>
  <c r="O2367" i="16" s="1"/>
  <c r="S2292" i="16"/>
  <c r="T2292" i="16" s="1"/>
  <c r="AD2292" i="16" s="1"/>
  <c r="AC2292" i="16" s="1"/>
  <c r="V15" i="23"/>
  <c r="S2338" i="16"/>
  <c r="T2338" i="16" s="1"/>
  <c r="AD2338" i="16" s="1"/>
  <c r="AC2338" i="16" s="1"/>
  <c r="S2273" i="16"/>
  <c r="T2273" i="16" s="1"/>
  <c r="AD2273" i="16" s="1"/>
  <c r="AC2273" i="16" s="1"/>
  <c r="S2295" i="16"/>
  <c r="T2295" i="16" s="1"/>
  <c r="AD2295" i="16" s="1"/>
  <c r="AC2295" i="16" s="1"/>
  <c r="T1434" i="16"/>
  <c r="AD1434" i="16" s="1"/>
  <c r="AC1434" i="16" s="1"/>
  <c r="BC334" i="16"/>
  <c r="BC886" i="16"/>
  <c r="S1507" i="16"/>
  <c r="BC2259" i="16"/>
  <c r="W15" i="23"/>
  <c r="S2098" i="16"/>
  <c r="Y15" i="23"/>
  <c r="R128" i="29"/>
  <c r="M128" i="29" s="1"/>
  <c r="AM128" i="29" s="1"/>
  <c r="BC15" i="16"/>
  <c r="BD15" i="16"/>
  <c r="R82" i="29"/>
  <c r="M82" i="29" s="1"/>
  <c r="AM82" i="29" s="1"/>
  <c r="T82" i="29"/>
  <c r="AD82" i="29" s="1"/>
  <c r="BD886" i="16"/>
  <c r="BD1645" i="16"/>
  <c r="S437" i="16"/>
  <c r="S398" i="16"/>
  <c r="O398" i="16" s="1"/>
  <c r="S418" i="16"/>
  <c r="S419" i="16"/>
  <c r="T419" i="16" s="1"/>
  <c r="AD419" i="16" s="1"/>
  <c r="AC419" i="16" s="1"/>
  <c r="O232" i="28"/>
  <c r="I2099" i="80" s="1"/>
  <c r="T232" i="28"/>
  <c r="AD232" i="28" s="1"/>
  <c r="AC232" i="28" s="1"/>
  <c r="S517" i="25"/>
  <c r="T517" i="25" s="1"/>
  <c r="AD517" i="25" s="1"/>
  <c r="AC517" i="25" s="1"/>
  <c r="BI16" i="27"/>
  <c r="C6" i="10"/>
  <c r="BI16" i="28"/>
  <c r="BF16" i="25"/>
  <c r="T211" i="25" s="1"/>
  <c r="BE16" i="24"/>
  <c r="BI16" i="24"/>
  <c r="BI16" i="29"/>
  <c r="BE16" i="8"/>
  <c r="BE16" i="28"/>
  <c r="R288" i="28" s="1"/>
  <c r="P11" i="7"/>
  <c r="B3" i="3" s="1"/>
  <c r="BI16" i="8"/>
  <c r="BE16" i="25"/>
  <c r="BE16" i="27"/>
  <c r="BH16" i="28"/>
  <c r="L11" i="7"/>
  <c r="BF16" i="8"/>
  <c r="BF16" i="28"/>
  <c r="BF16" i="24"/>
  <c r="L198" i="24" s="1"/>
  <c r="BF16" i="29"/>
  <c r="N5" i="10"/>
  <c r="N19" i="10" s="1"/>
  <c r="S232" i="25" s="1"/>
  <c r="W234" i="25" s="1"/>
  <c r="C5" i="10"/>
  <c r="BH16" i="8"/>
  <c r="N11" i="7"/>
  <c r="BH16" i="25"/>
  <c r="BH16" i="29"/>
  <c r="BH16" i="24"/>
  <c r="T282" i="16"/>
  <c r="AD282" i="16" s="1"/>
  <c r="AC282" i="16" s="1"/>
  <c r="T2038" i="16"/>
  <c r="AD2038" i="16" s="1"/>
  <c r="AC2038" i="16" s="1"/>
  <c r="T2042" i="16"/>
  <c r="AD2042" i="16" s="1"/>
  <c r="AC2042" i="16" s="1"/>
  <c r="AO213" i="27"/>
  <c r="N1842" i="16"/>
  <c r="T1525" i="16"/>
  <c r="AD1525" i="16" s="1"/>
  <c r="AC1525" i="16" s="1"/>
  <c r="T255" i="16"/>
  <c r="AD255" i="16" s="1"/>
  <c r="AC255" i="16" s="1"/>
  <c r="T45" i="16"/>
  <c r="AD45" i="16" s="1"/>
  <c r="AC45" i="16" s="1"/>
  <c r="T2039" i="16"/>
  <c r="AD2039" i="16" s="1"/>
  <c r="AC2039" i="16" s="1"/>
  <c r="T1928" i="16"/>
  <c r="AD1928" i="16" s="1"/>
  <c r="AC1928" i="16" s="1"/>
  <c r="AO62" i="24"/>
  <c r="N380" i="16"/>
  <c r="N149" i="16"/>
  <c r="G149" i="16" s="1"/>
  <c r="AO150" i="8"/>
  <c r="T1443" i="16"/>
  <c r="AD1443" i="16" s="1"/>
  <c r="AC1443" i="16" s="1"/>
  <c r="N1763" i="16"/>
  <c r="G1763" i="16" s="1"/>
  <c r="AO134" i="27"/>
  <c r="T1529" i="16"/>
  <c r="AD1529" i="16" s="1"/>
  <c r="AC1529" i="16" s="1"/>
  <c r="O428" i="24"/>
  <c r="I745" i="80" s="1"/>
  <c r="A745" i="80" s="1"/>
  <c r="S354" i="25"/>
  <c r="T354" i="25" s="1"/>
  <c r="AD354" i="25" s="1"/>
  <c r="AC354" i="25" s="1"/>
  <c r="N1934" i="16"/>
  <c r="T208" i="16"/>
  <c r="AD208" i="16" s="1"/>
  <c r="AC208" i="16" s="1"/>
  <c r="S362" i="25"/>
  <c r="T362" i="25" s="1"/>
  <c r="AD362" i="25" s="1"/>
  <c r="AC362" i="25" s="1"/>
  <c r="S359" i="25"/>
  <c r="N1556" i="16"/>
  <c r="G1557" i="16" s="1"/>
  <c r="G1558" i="16" s="1"/>
  <c r="G1559" i="16" s="1"/>
  <c r="G1560" i="16" s="1"/>
  <c r="G1561" i="16" s="1"/>
  <c r="G1562" i="16" s="1"/>
  <c r="G1563" i="16" s="1"/>
  <c r="G1564" i="16" s="1"/>
  <c r="G1565" i="16" s="1"/>
  <c r="G1566" i="16" s="1"/>
  <c r="G1567" i="16" s="1"/>
  <c r="G1568" i="16" s="1"/>
  <c r="G1569" i="16" s="1"/>
  <c r="G1570" i="16" s="1"/>
  <c r="G1571" i="16" s="1"/>
  <c r="T2215" i="16"/>
  <c r="AD2215" i="16" s="1"/>
  <c r="AC2215" i="16" s="1"/>
  <c r="AF464" i="16"/>
  <c r="AO14" i="8"/>
  <c r="G14" i="16"/>
  <c r="G15" i="16" s="1"/>
  <c r="G16" i="16" s="1"/>
  <c r="G17" i="16" s="1"/>
  <c r="G18" i="16" s="1"/>
  <c r="O172" i="8"/>
  <c r="I170" i="80" s="1"/>
  <c r="A170" i="80" s="1"/>
  <c r="AM172" i="8"/>
  <c r="AM167" i="8"/>
  <c r="N200" i="16"/>
  <c r="AO201" i="8"/>
  <c r="AM155" i="8"/>
  <c r="N1889" i="16"/>
  <c r="BG16" i="28"/>
  <c r="BG16" i="25"/>
  <c r="M11" i="7"/>
  <c r="BG16" i="8"/>
  <c r="BG16" i="24"/>
  <c r="BG16" i="27"/>
  <c r="BG16" i="29"/>
  <c r="N1926" i="16"/>
  <c r="N2052" i="16"/>
  <c r="G2053" i="16" s="1"/>
  <c r="AF2190" i="16"/>
  <c r="M60" i="28"/>
  <c r="AM60" i="28" s="1"/>
  <c r="AE60" i="28"/>
  <c r="AC60" i="28" s="1"/>
  <c r="AO140" i="27"/>
  <c r="N1769" i="16"/>
  <c r="O12" i="29"/>
  <c r="I2256" i="80" s="1"/>
  <c r="R15" i="29"/>
  <c r="T15" i="29"/>
  <c r="AD15" i="29" s="1"/>
  <c r="T1496" i="16"/>
  <c r="AD1496" i="16" s="1"/>
  <c r="AC1496" i="16" s="1"/>
  <c r="S1889" i="16"/>
  <c r="S1903" i="16"/>
  <c r="T209" i="8"/>
  <c r="AD209" i="8" s="1"/>
  <c r="AC209" i="8" s="1"/>
  <c r="O209" i="8"/>
  <c r="I207" i="80" s="1"/>
  <c r="AO637" i="25"/>
  <c r="N1507" i="16"/>
  <c r="N1903" i="16"/>
  <c r="T637" i="25"/>
  <c r="T37" i="28"/>
  <c r="AD37" i="28" s="1"/>
  <c r="AC37" i="28" s="1"/>
  <c r="T101" i="29"/>
  <c r="AD101" i="29" s="1"/>
  <c r="O97" i="29"/>
  <c r="I2341" i="80" s="1"/>
  <c r="R101" i="29"/>
  <c r="N2101" i="16"/>
  <c r="G2102" i="16" s="1"/>
  <c r="G2103" i="16" s="1"/>
  <c r="T119" i="24"/>
  <c r="AD119" i="24" s="1"/>
  <c r="R119" i="24"/>
  <c r="T100" i="24"/>
  <c r="AD100" i="24" s="1"/>
  <c r="AC100" i="24" s="1"/>
  <c r="O98" i="24"/>
  <c r="I415" i="80" s="1"/>
  <c r="AO111" i="24"/>
  <c r="N429" i="16"/>
  <c r="G430" i="16" s="1"/>
  <c r="R113" i="24"/>
  <c r="T113" i="24"/>
  <c r="AD113" i="24" s="1"/>
  <c r="AO50" i="27"/>
  <c r="N1679" i="16"/>
  <c r="AC63" i="25"/>
  <c r="T85" i="25"/>
  <c r="AD85" i="25" s="1"/>
  <c r="AC85" i="25" s="1"/>
  <c r="R1043" i="16"/>
  <c r="M1043" i="16" s="1"/>
  <c r="AM1043" i="16" s="1"/>
  <c r="T1043" i="16"/>
  <c r="AD1043" i="16" s="1"/>
  <c r="T81" i="25"/>
  <c r="AD81" i="25" s="1"/>
  <c r="R81" i="25"/>
  <c r="N1443" i="16"/>
  <c r="AO573" i="25"/>
  <c r="T77" i="25"/>
  <c r="AD77" i="25" s="1"/>
  <c r="R77" i="25"/>
  <c r="T950" i="16"/>
  <c r="AD950" i="16" s="1"/>
  <c r="R950" i="16"/>
  <c r="M950" i="16" s="1"/>
  <c r="AM950" i="16" s="1"/>
  <c r="T80" i="25"/>
  <c r="AD80" i="25" s="1"/>
  <c r="R80" i="25"/>
  <c r="AO20" i="27"/>
  <c r="N1649" i="16"/>
  <c r="T947" i="16"/>
  <c r="AD947" i="16" s="1"/>
  <c r="R947" i="16"/>
  <c r="M947" i="16" s="1"/>
  <c r="AM947" i="16" s="1"/>
  <c r="AO568" i="25"/>
  <c r="N1438" i="16"/>
  <c r="R951" i="16"/>
  <c r="M951" i="16" s="1"/>
  <c r="AM951" i="16" s="1"/>
  <c r="T951" i="16"/>
  <c r="AD951" i="16" s="1"/>
  <c r="T955" i="16"/>
  <c r="AD955" i="16" s="1"/>
  <c r="AC955" i="16" s="1"/>
  <c r="T173" i="25"/>
  <c r="AD173" i="25" s="1"/>
  <c r="R173" i="25"/>
  <c r="N45" i="16"/>
  <c r="G45" i="16" s="1"/>
  <c r="AO46" i="8"/>
  <c r="T252" i="25"/>
  <c r="AD252" i="25" s="1"/>
  <c r="AC252" i="25" s="1"/>
  <c r="T1318" i="16"/>
  <c r="AD1318" i="16" s="1"/>
  <c r="AC1318" i="16" s="1"/>
  <c r="T1066" i="16"/>
  <c r="AD1066" i="16" s="1"/>
  <c r="T547" i="25"/>
  <c r="AD547" i="25" s="1"/>
  <c r="R547" i="25"/>
  <c r="AE547" i="25" s="1"/>
  <c r="G1550" i="16"/>
  <c r="G1551" i="16" s="1"/>
  <c r="G1552" i="16" s="1"/>
  <c r="G1553" i="16" s="1"/>
  <c r="G1554" i="16" s="1"/>
  <c r="G1555" i="16" s="1"/>
  <c r="T1218" i="16"/>
  <c r="AD1218" i="16" s="1"/>
  <c r="AC1218" i="16" s="1"/>
  <c r="T1371" i="16"/>
  <c r="AD1371" i="16" s="1"/>
  <c r="AC1371" i="16" s="1"/>
  <c r="R938" i="16"/>
  <c r="M938" i="16" s="1"/>
  <c r="AM938" i="16" s="1"/>
  <c r="T938" i="16"/>
  <c r="AD938" i="16" s="1"/>
  <c r="T1042" i="16"/>
  <c r="AD1042" i="16" s="1"/>
  <c r="R1042" i="16"/>
  <c r="T1200" i="16"/>
  <c r="AD1200" i="16" s="1"/>
  <c r="AC1200" i="16" s="1"/>
  <c r="T1301" i="16"/>
  <c r="AD1301" i="16" s="1"/>
  <c r="AC1301" i="16" s="1"/>
  <c r="R160" i="25"/>
  <c r="T160" i="25"/>
  <c r="AD160" i="25" s="1"/>
  <c r="O487" i="25"/>
  <c r="T487" i="25"/>
  <c r="AD487" i="25" s="1"/>
  <c r="AC487" i="25" s="1"/>
  <c r="R170" i="25"/>
  <c r="AE170" i="25" s="1"/>
  <c r="M168" i="25"/>
  <c r="AM168" i="25" s="1"/>
  <c r="T170" i="25"/>
  <c r="AD170" i="25" s="1"/>
  <c r="T364" i="25"/>
  <c r="AD364" i="25" s="1"/>
  <c r="AC364" i="25" s="1"/>
  <c r="O425" i="25"/>
  <c r="I1294" i="80" s="1"/>
  <c r="T425" i="25"/>
  <c r="AD425" i="25" s="1"/>
  <c r="AC425" i="25" s="1"/>
  <c r="T431" i="25"/>
  <c r="AD431" i="25" s="1"/>
  <c r="AC431" i="25" s="1"/>
  <c r="T230" i="28"/>
  <c r="AD230" i="28" s="1"/>
  <c r="AC230" i="28" s="1"/>
  <c r="O230" i="28"/>
  <c r="I2097" i="80" s="1"/>
  <c r="A2097" i="80" s="1"/>
  <c r="G1683" i="16"/>
  <c r="G1686" i="16"/>
  <c r="G1687" i="16" s="1"/>
  <c r="G1688" i="16" s="1"/>
  <c r="G1689" i="16" s="1"/>
  <c r="G1690" i="16" s="1"/>
  <c r="AO161" i="8"/>
  <c r="N160" i="16"/>
  <c r="T1099" i="16"/>
  <c r="AD1099" i="16" s="1"/>
  <c r="AC1099" i="16" s="1"/>
  <c r="T1114" i="16"/>
  <c r="AD1114" i="16" s="1"/>
  <c r="T1122" i="16"/>
  <c r="AD1122" i="16" s="1"/>
  <c r="AC1122" i="16" s="1"/>
  <c r="T1325" i="16"/>
  <c r="AD1325" i="16" s="1"/>
  <c r="AC1325" i="16" s="1"/>
  <c r="N155" i="16"/>
  <c r="AO156" i="8"/>
  <c r="T311" i="25"/>
  <c r="AD311" i="25" s="1"/>
  <c r="AC311" i="25" s="1"/>
  <c r="T323" i="25"/>
  <c r="AD323" i="25" s="1"/>
  <c r="AC323" i="25" s="1"/>
  <c r="T172" i="25"/>
  <c r="AD172" i="25" s="1"/>
  <c r="R172" i="25"/>
  <c r="AE172" i="25" s="1"/>
  <c r="R28" i="25"/>
  <c r="AE28" i="25" s="1"/>
  <c r="T28" i="25"/>
  <c r="AD28" i="25" s="1"/>
  <c r="T196" i="25"/>
  <c r="AD196" i="25" s="1"/>
  <c r="R196" i="25"/>
  <c r="O456" i="25"/>
  <c r="I1325" i="80" s="1"/>
  <c r="T456" i="25"/>
  <c r="AD456" i="25" s="1"/>
  <c r="AC456" i="25" s="1"/>
  <c r="AC21" i="27"/>
  <c r="AO655" i="25"/>
  <c r="N1525" i="16"/>
  <c r="G1525" i="16" s="1"/>
  <c r="G1524" i="16" s="1"/>
  <c r="AO294" i="8"/>
  <c r="T1175" i="16"/>
  <c r="AD1175" i="16" s="1"/>
  <c r="AC1175" i="16" s="1"/>
  <c r="N2042" i="16"/>
  <c r="G2042" i="16" s="1"/>
  <c r="T1295" i="16"/>
  <c r="AD1295" i="16" s="1"/>
  <c r="AC1295" i="16" s="1"/>
  <c r="AM131" i="27"/>
  <c r="O131" i="27"/>
  <c r="N2036" i="16"/>
  <c r="T1193" i="16"/>
  <c r="AD1193" i="16" s="1"/>
  <c r="AC1193" i="16" s="1"/>
  <c r="T1330" i="16"/>
  <c r="AD1330" i="16" s="1"/>
  <c r="AC1330" i="16" s="1"/>
  <c r="R941" i="16"/>
  <c r="M941" i="16" s="1"/>
  <c r="AM941" i="16" s="1"/>
  <c r="T941" i="16"/>
  <c r="AD941" i="16" s="1"/>
  <c r="R991" i="16"/>
  <c r="T991" i="16"/>
  <c r="AD991" i="16" s="1"/>
  <c r="R1055" i="16"/>
  <c r="T1055" i="16"/>
  <c r="AD1055" i="16" s="1"/>
  <c r="T1293" i="16"/>
  <c r="AD1293" i="16" s="1"/>
  <c r="AC1293" i="16" s="1"/>
  <c r="T1170" i="16"/>
  <c r="AD1170" i="16" s="1"/>
  <c r="AC1170" i="16" s="1"/>
  <c r="T448" i="25"/>
  <c r="AD448" i="25" s="1"/>
  <c r="AC448" i="25" s="1"/>
  <c r="O284" i="25"/>
  <c r="I1153" i="80" s="1"/>
  <c r="A1153" i="80" s="1"/>
  <c r="T284" i="25"/>
  <c r="AD284" i="25" s="1"/>
  <c r="AC284" i="25" s="1"/>
  <c r="R211" i="25"/>
  <c r="T244" i="25"/>
  <c r="AD244" i="25" s="1"/>
  <c r="O450" i="25"/>
  <c r="I1319" i="80" s="1"/>
  <c r="T450" i="25"/>
  <c r="AD450" i="25" s="1"/>
  <c r="AC450" i="25" s="1"/>
  <c r="T229" i="25"/>
  <c r="AD229" i="25" s="1"/>
  <c r="AC229" i="25" s="1"/>
  <c r="T460" i="25"/>
  <c r="AD460" i="25" s="1"/>
  <c r="AC460" i="25" s="1"/>
  <c r="O460" i="25"/>
  <c r="I1329" i="80" s="1"/>
  <c r="A1329" i="80" s="1"/>
  <c r="R68" i="25"/>
  <c r="T68" i="25"/>
  <c r="AD68" i="25" s="1"/>
  <c r="T1417" i="16"/>
  <c r="AD1417" i="16" s="1"/>
  <c r="R1417" i="16"/>
  <c r="T1326" i="16"/>
  <c r="AD1326" i="16" s="1"/>
  <c r="AC1326" i="16" s="1"/>
  <c r="N1928" i="16"/>
  <c r="AO177" i="8"/>
  <c r="N176" i="16"/>
  <c r="T1320" i="16"/>
  <c r="AD1320" i="16" s="1"/>
  <c r="AC1320" i="16" s="1"/>
  <c r="R898" i="16"/>
  <c r="T898" i="16"/>
  <c r="AD898" i="16" s="1"/>
  <c r="T1188" i="16"/>
  <c r="AD1188" i="16" s="1"/>
  <c r="AC1188" i="16" s="1"/>
  <c r="T1206" i="16"/>
  <c r="AD1206" i="16" s="1"/>
  <c r="AC1206" i="16" s="1"/>
  <c r="T1020" i="16"/>
  <c r="AD1020" i="16" s="1"/>
  <c r="R1020" i="16"/>
  <c r="M1020" i="16" s="1"/>
  <c r="AM1020" i="16" s="1"/>
  <c r="R71" i="25"/>
  <c r="T71" i="25"/>
  <c r="AD71" i="25" s="1"/>
  <c r="T423" i="25"/>
  <c r="AD423" i="25" s="1"/>
  <c r="AC423" i="25" s="1"/>
  <c r="T150" i="25"/>
  <c r="AD150" i="25" s="1"/>
  <c r="R150" i="25"/>
  <c r="O457" i="25"/>
  <c r="I1326" i="80" s="1"/>
  <c r="T457" i="25"/>
  <c r="AD457" i="25" s="1"/>
  <c r="AC457" i="25" s="1"/>
  <c r="T501" i="25"/>
  <c r="AD501" i="25" s="1"/>
  <c r="AC501" i="25" s="1"/>
  <c r="O455" i="25"/>
  <c r="I1324" i="80" s="1"/>
  <c r="T455" i="25"/>
  <c r="AD455" i="25" s="1"/>
  <c r="AC455" i="25" s="1"/>
  <c r="AC62" i="28"/>
  <c r="T1327" i="16"/>
  <c r="AD1327" i="16" s="1"/>
  <c r="AC1327" i="16" s="1"/>
  <c r="T1154" i="16"/>
  <c r="AD1154" i="16" s="1"/>
  <c r="AC1154" i="16" s="1"/>
  <c r="R1040" i="16"/>
  <c r="T1040" i="16"/>
  <c r="AD1040" i="16" s="1"/>
  <c r="T1167" i="16"/>
  <c r="AD1167" i="16" s="1"/>
  <c r="AC1167" i="16" s="1"/>
  <c r="R121" i="25"/>
  <c r="AE121" i="25" s="1"/>
  <c r="T121" i="25"/>
  <c r="AD121" i="25" s="1"/>
  <c r="T331" i="25"/>
  <c r="AD331" i="25" s="1"/>
  <c r="AC331" i="25" s="1"/>
  <c r="T179" i="25"/>
  <c r="AD179" i="25" s="1"/>
  <c r="R179" i="25"/>
  <c r="T375" i="25"/>
  <c r="AD375" i="25" s="1"/>
  <c r="AC375" i="25" s="1"/>
  <c r="T452" i="25"/>
  <c r="AD452" i="25" s="1"/>
  <c r="AC452" i="25" s="1"/>
  <c r="O452" i="25"/>
  <c r="I1321" i="80" s="1"/>
  <c r="O427" i="25"/>
  <c r="I1296" i="80" s="1"/>
  <c r="T427" i="25"/>
  <c r="AD427" i="25" s="1"/>
  <c r="AC427" i="25" s="1"/>
  <c r="O330" i="25"/>
  <c r="I1199" i="80" s="1"/>
  <c r="T330" i="25"/>
  <c r="AD330" i="25" s="1"/>
  <c r="AC330" i="25" s="1"/>
  <c r="AC46" i="8"/>
  <c r="N157" i="16"/>
  <c r="AO158" i="8"/>
  <c r="N170" i="16"/>
  <c r="G170" i="16" s="1"/>
  <c r="AO171" i="8"/>
  <c r="T1357" i="16"/>
  <c r="AD1357" i="16" s="1"/>
  <c r="AC1357" i="16" s="1"/>
  <c r="R1049" i="16"/>
  <c r="M1049" i="16" s="1"/>
  <c r="AM1049" i="16" s="1"/>
  <c r="T1049" i="16"/>
  <c r="AD1049" i="16" s="1"/>
  <c r="T2096" i="16"/>
  <c r="AD2096" i="16" s="1"/>
  <c r="AC2096" i="16" s="1"/>
  <c r="N2044" i="16"/>
  <c r="AO283" i="8"/>
  <c r="N282" i="16"/>
  <c r="N1529" i="16"/>
  <c r="AO659" i="25"/>
  <c r="R994" i="16"/>
  <c r="M994" i="16" s="1"/>
  <c r="AM994" i="16" s="1"/>
  <c r="T994" i="16"/>
  <c r="AD994" i="16" s="1"/>
  <c r="T1030" i="16"/>
  <c r="AD1030" i="16" s="1"/>
  <c r="R1030" i="16"/>
  <c r="M1030" i="16" s="1"/>
  <c r="AM1030" i="16" s="1"/>
  <c r="T1181" i="16"/>
  <c r="AD1181" i="16" s="1"/>
  <c r="AC1181" i="16" s="1"/>
  <c r="T1201" i="16"/>
  <c r="AD1201" i="16" s="1"/>
  <c r="AC1201" i="16" s="1"/>
  <c r="T1161" i="16"/>
  <c r="AD1161" i="16" s="1"/>
  <c r="AC1161" i="16" s="1"/>
  <c r="N1595" i="16"/>
  <c r="AO725" i="25"/>
  <c r="T291" i="25"/>
  <c r="AD291" i="25" s="1"/>
  <c r="AC291" i="25" s="1"/>
  <c r="O290" i="25"/>
  <c r="I1159" i="80" s="1"/>
  <c r="T336" i="25"/>
  <c r="AD336" i="25" s="1"/>
  <c r="AC336" i="25" s="1"/>
  <c r="O335" i="25"/>
  <c r="I1204" i="80" s="1"/>
  <c r="A1204" i="80" s="1"/>
  <c r="O296" i="25"/>
  <c r="I1165" i="80" s="1"/>
  <c r="T297" i="25"/>
  <c r="AD297" i="25" s="1"/>
  <c r="AC297" i="25" s="1"/>
  <c r="O183" i="25"/>
  <c r="I1052" i="80" s="1"/>
  <c r="A1052" i="80" s="1"/>
  <c r="R185" i="25"/>
  <c r="AE185" i="25" s="1"/>
  <c r="T185" i="25"/>
  <c r="AD185" i="25" s="1"/>
  <c r="T300" i="25"/>
  <c r="AD300" i="25" s="1"/>
  <c r="AC300" i="25" s="1"/>
  <c r="O299" i="25"/>
  <c r="I1168" i="80" s="1"/>
  <c r="T348" i="25"/>
  <c r="AD348" i="25" s="1"/>
  <c r="AC348" i="25" s="1"/>
  <c r="O304" i="25"/>
  <c r="I1173" i="80" s="1"/>
  <c r="T305" i="25"/>
  <c r="AD305" i="25" s="1"/>
  <c r="AC305" i="25" s="1"/>
  <c r="R124" i="25"/>
  <c r="T124" i="25"/>
  <c r="AD124" i="25" s="1"/>
  <c r="T318" i="25"/>
  <c r="AD318" i="25" s="1"/>
  <c r="AC318" i="25" s="1"/>
  <c r="O318" i="25"/>
  <c r="I1187" i="80" s="1"/>
  <c r="O252" i="25"/>
  <c r="O45" i="16"/>
  <c r="N10" i="3"/>
  <c r="O1903" i="16"/>
  <c r="O564" i="25"/>
  <c r="O57" i="24"/>
  <c r="S525" i="16"/>
  <c r="S207" i="24"/>
  <c r="S360" i="25"/>
  <c r="O1434" i="16"/>
  <c r="O1443" i="16"/>
  <c r="S1230" i="16"/>
  <c r="O27" i="25"/>
  <c r="O1889" i="16"/>
  <c r="O1507" i="16"/>
  <c r="O1649" i="16"/>
  <c r="O375" i="16"/>
  <c r="O166" i="8"/>
  <c r="G159" i="81" l="1"/>
  <c r="G160" i="81" s="1"/>
  <c r="G175" i="81"/>
  <c r="G176" i="81" s="1"/>
  <c r="G154" i="81"/>
  <c r="G1356" i="81"/>
  <c r="G1357" i="81" s="1"/>
  <c r="G170" i="81"/>
  <c r="G171" i="81" s="1"/>
  <c r="G172" i="81" s="1"/>
  <c r="G173" i="81" s="1"/>
  <c r="G174" i="81" s="1"/>
  <c r="G156" i="81"/>
  <c r="G157" i="81" s="1"/>
  <c r="G158" i="81" s="1"/>
  <c r="G161" i="81"/>
  <c r="G162" i="81" s="1"/>
  <c r="G163" i="81" s="1"/>
  <c r="C1792" i="80"/>
  <c r="G282" i="16"/>
  <c r="G281" i="16" s="1"/>
  <c r="G1928" i="16"/>
  <c r="G1929" i="16" s="1"/>
  <c r="G1930" i="16" s="1"/>
  <c r="G1931" i="16" s="1"/>
  <c r="G1932" i="16" s="1"/>
  <c r="G1933" i="16" s="1"/>
  <c r="G1507" i="16"/>
  <c r="G1486" i="16" s="1"/>
  <c r="G380" i="16"/>
  <c r="G381" i="16" s="1"/>
  <c r="G382" i="16" s="1"/>
  <c r="G383" i="16" s="1"/>
  <c r="G384" i="16" s="1"/>
  <c r="G385" i="16" s="1"/>
  <c r="G386" i="16" s="1"/>
  <c r="G387" i="16" s="1"/>
  <c r="G388" i="16" s="1"/>
  <c r="G389" i="16" s="1"/>
  <c r="G390" i="16" s="1"/>
  <c r="G391" i="16" s="1"/>
  <c r="G392" i="16" s="1"/>
  <c r="G393" i="16" s="1"/>
  <c r="G394" i="16" s="1"/>
  <c r="G395" i="16" s="1"/>
  <c r="G396" i="16" s="1"/>
  <c r="G397" i="16" s="1"/>
  <c r="G1693" i="16"/>
  <c r="G88" i="16"/>
  <c r="G89" i="16" s="1"/>
  <c r="G2044" i="16"/>
  <c r="G2045" i="16" s="1"/>
  <c r="G729" i="16"/>
  <c r="G730" i="16" s="1"/>
  <c r="G731" i="16" s="1"/>
  <c r="G732" i="16" s="1"/>
  <c r="G733" i="16" s="1"/>
  <c r="G734" i="16" s="1"/>
  <c r="G735" i="16" s="1"/>
  <c r="G275" i="16"/>
  <c r="G276" i="16" s="1"/>
  <c r="G277" i="16" s="1"/>
  <c r="G278" i="16" s="1"/>
  <c r="G279" i="16" s="1"/>
  <c r="G280" i="16" s="1"/>
  <c r="G1427" i="16"/>
  <c r="G1794" i="16"/>
  <c r="G1791" i="16" s="1"/>
  <c r="G160" i="16"/>
  <c r="G161" i="16" s="1"/>
  <c r="G257" i="16"/>
  <c r="G258" i="16" s="1"/>
  <c r="G259" i="16" s="1"/>
  <c r="G260" i="16" s="1"/>
  <c r="G1595" i="16"/>
  <c r="G1596" i="16" s="1"/>
  <c r="G670" i="16"/>
  <c r="G653" i="16"/>
  <c r="G1892" i="16"/>
  <c r="G1893" i="16" s="1"/>
  <c r="G1894" i="16" s="1"/>
  <c r="G1842" i="16"/>
  <c r="G1843" i="16" s="1"/>
  <c r="G1844" i="16" s="1"/>
  <c r="G1845" i="16" s="1"/>
  <c r="G1846" i="16" s="1"/>
  <c r="G1847" i="16" s="1"/>
  <c r="G1848" i="16" s="1"/>
  <c r="G351" i="16"/>
  <c r="G347" i="16"/>
  <c r="G1709" i="16"/>
  <c r="G1443" i="16"/>
  <c r="G1444" i="16" s="1"/>
  <c r="G1445" i="16" s="1"/>
  <c r="G1446" i="16" s="1"/>
  <c r="G1447" i="16" s="1"/>
  <c r="G1889" i="16"/>
  <c r="G157" i="16"/>
  <c r="G158" i="16" s="1"/>
  <c r="G159" i="16" s="1"/>
  <c r="G316" i="16"/>
  <c r="G317" i="16" s="1"/>
  <c r="G2036" i="16"/>
  <c r="G2037" i="16" s="1"/>
  <c r="G2038" i="16" s="1"/>
  <c r="G2039" i="16" s="1"/>
  <c r="G1769" i="16"/>
  <c r="G1770" i="16" s="1"/>
  <c r="G2081" i="16"/>
  <c r="G2082" i="16" s="1"/>
  <c r="G2083" i="16" s="1"/>
  <c r="G1438" i="16"/>
  <c r="G1439" i="16" s="1"/>
  <c r="G1440" i="16" s="1"/>
  <c r="G1441" i="16" s="1"/>
  <c r="G1442" i="16" s="1"/>
  <c r="G200" i="16"/>
  <c r="G201" i="16" s="1"/>
  <c r="G202" i="16" s="1"/>
  <c r="G203" i="16" s="1"/>
  <c r="G204" i="16" s="1"/>
  <c r="G305" i="16"/>
  <c r="G306" i="16" s="1"/>
  <c r="G307" i="16" s="1"/>
  <c r="G308" i="16" s="1"/>
  <c r="G1804" i="16"/>
  <c r="G1780" i="16"/>
  <c r="G1777" i="16" s="1"/>
  <c r="G162" i="16"/>
  <c r="G163" i="16" s="1"/>
  <c r="G164" i="16" s="1"/>
  <c r="G1542" i="16"/>
  <c r="G1543" i="16" s="1"/>
  <c r="G837" i="16"/>
  <c r="G838" i="16" s="1"/>
  <c r="G839" i="16" s="1"/>
  <c r="G840" i="16" s="1"/>
  <c r="G841" i="16" s="1"/>
  <c r="G842" i="16" s="1"/>
  <c r="G843" i="16" s="1"/>
  <c r="G844" i="16" s="1"/>
  <c r="G845" i="16" s="1"/>
  <c r="G846" i="16" s="1"/>
  <c r="G847" i="16" s="1"/>
  <c r="G848" i="16" s="1"/>
  <c r="G849" i="16" s="1"/>
  <c r="G850" i="16" s="1"/>
  <c r="G851" i="16" s="1"/>
  <c r="G852" i="16" s="1"/>
  <c r="G853" i="16" s="1"/>
  <c r="G854" i="16" s="1"/>
  <c r="G855" i="16" s="1"/>
  <c r="G856" i="16" s="1"/>
  <c r="G857" i="16" s="1"/>
  <c r="G858" i="16" s="1"/>
  <c r="G859" i="16" s="1"/>
  <c r="G860" i="16" s="1"/>
  <c r="G861" i="16" s="1"/>
  <c r="G862" i="16" s="1"/>
  <c r="G1695" i="16"/>
  <c r="G1696" i="16" s="1"/>
  <c r="G1697" i="16" s="1"/>
  <c r="G1698" i="16" s="1"/>
  <c r="G1943" i="16"/>
  <c r="G1944" i="16" s="1"/>
  <c r="G1945" i="16" s="1"/>
  <c r="G1946" i="16" s="1"/>
  <c r="G1947" i="16" s="1"/>
  <c r="G1948" i="16" s="1"/>
  <c r="G1949" i="16" s="1"/>
  <c r="G1950" i="16" s="1"/>
  <c r="G1951" i="16" s="1"/>
  <c r="G1952" i="16" s="1"/>
  <c r="G1953" i="16" s="1"/>
  <c r="G697" i="16"/>
  <c r="G698" i="16" s="1"/>
  <c r="G699" i="16" s="1"/>
  <c r="G700" i="16" s="1"/>
  <c r="G701" i="16" s="1"/>
  <c r="G702" i="16" s="1"/>
  <c r="G703" i="16" s="1"/>
  <c r="G704" i="16" s="1"/>
  <c r="G1746" i="16"/>
  <c r="G1747" i="16" s="1"/>
  <c r="G1748" i="16" s="1"/>
  <c r="G681" i="16"/>
  <c r="G682" i="16" s="1"/>
  <c r="G1529" i="16"/>
  <c r="G1530" i="16" s="1"/>
  <c r="G1531" i="16" s="1"/>
  <c r="G1532" i="16" s="1"/>
  <c r="G176" i="16"/>
  <c r="G177" i="16" s="1"/>
  <c r="G140" i="16"/>
  <c r="G141" i="16" s="1"/>
  <c r="G114" i="16" s="1"/>
  <c r="G115" i="16" s="1"/>
  <c r="G116" i="16" s="1"/>
  <c r="G117" i="16" s="1"/>
  <c r="G2030" i="16"/>
  <c r="G2031" i="16" s="1"/>
  <c r="G2032" i="16" s="1"/>
  <c r="G2033" i="16" s="1"/>
  <c r="G155" i="16"/>
  <c r="G156" i="16" s="1"/>
  <c r="G1649" i="16"/>
  <c r="G1650" i="16" s="1"/>
  <c r="G1651" i="16" s="1"/>
  <c r="G1652" i="16" s="1"/>
  <c r="G1653" i="16" s="1"/>
  <c r="G1654" i="16" s="1"/>
  <c r="G1655" i="16" s="1"/>
  <c r="G1656" i="16" s="1"/>
  <c r="G1657" i="16" s="1"/>
  <c r="G1658" i="16" s="1"/>
  <c r="G1659" i="16" s="1"/>
  <c r="G1660" i="16" s="1"/>
  <c r="G1661" i="16" s="1"/>
  <c r="G1662" i="16" s="1"/>
  <c r="G1663" i="16" s="1"/>
  <c r="G1664" i="16" s="1"/>
  <c r="G1665" i="16" s="1"/>
  <c r="G1666" i="16" s="1"/>
  <c r="G1667" i="16" s="1"/>
  <c r="G1668" i="16" s="1"/>
  <c r="G1669" i="16" s="1"/>
  <c r="G1670" i="16" s="1"/>
  <c r="G1671" i="16" s="1"/>
  <c r="G1672" i="16" s="1"/>
  <c r="G1673" i="16" s="1"/>
  <c r="G1674" i="16" s="1"/>
  <c r="G1675" i="16" s="1"/>
  <c r="G1676" i="16" s="1"/>
  <c r="G1677" i="16" s="1"/>
  <c r="G1678" i="16" s="1"/>
  <c r="G1679" i="16"/>
  <c r="G1680" i="16" s="1"/>
  <c r="G1681" i="16" s="1"/>
  <c r="G1903" i="16"/>
  <c r="G1904" i="16" s="1"/>
  <c r="G1905" i="16" s="1"/>
  <c r="G1815" i="16"/>
  <c r="G1816" i="16" s="1"/>
  <c r="G1817" i="16" s="1"/>
  <c r="G1818" i="16" s="1"/>
  <c r="G1819" i="16" s="1"/>
  <c r="G1820" i="16" s="1"/>
  <c r="G1991" i="16"/>
  <c r="G1992" i="16" s="1"/>
  <c r="G1993" i="16" s="1"/>
  <c r="A1777" i="80"/>
  <c r="C1777" i="80" s="1"/>
  <c r="A1426" i="80"/>
  <c r="C1426" i="80" s="1"/>
  <c r="A2037" i="80"/>
  <c r="C2037" i="80" s="1"/>
  <c r="A154" i="80"/>
  <c r="C154" i="80" s="1"/>
  <c r="A1294" i="80"/>
  <c r="C1294" i="80" s="1"/>
  <c r="A1526" i="80"/>
  <c r="A1527" i="80" s="1"/>
  <c r="C1527" i="80" s="1"/>
  <c r="A254" i="80"/>
  <c r="C254" i="80" s="1"/>
  <c r="A1709" i="80"/>
  <c r="C1709" i="80" s="1"/>
  <c r="A1904" i="80"/>
  <c r="C1904" i="80" s="1"/>
  <c r="A1805" i="80"/>
  <c r="C1805" i="80" s="1"/>
  <c r="A2031" i="80"/>
  <c r="A2032" i="80" s="1"/>
  <c r="A1296" i="80"/>
  <c r="C1296" i="80" s="1"/>
  <c r="A635" i="80"/>
  <c r="A636" i="80" s="1"/>
  <c r="C636" i="80" s="1"/>
  <c r="A1061" i="80"/>
  <c r="A256" i="80"/>
  <c r="C256" i="80" s="1"/>
  <c r="C414" i="80"/>
  <c r="A1936" i="80"/>
  <c r="C1936" i="80" s="1"/>
  <c r="A1816" i="80"/>
  <c r="C1816" i="80" s="1"/>
  <c r="I1992" i="80"/>
  <c r="AE1086" i="16"/>
  <c r="AF1086" i="16" s="1"/>
  <c r="AE1088" i="16"/>
  <c r="AC1088" i="16" s="1"/>
  <c r="T218" i="25"/>
  <c r="AD218" i="25" s="1"/>
  <c r="AC218" i="25" s="1"/>
  <c r="T216" i="25"/>
  <c r="AD216" i="25" s="1"/>
  <c r="AC216" i="25" s="1"/>
  <c r="AE958" i="16"/>
  <c r="AC958" i="16" s="1"/>
  <c r="M958" i="16"/>
  <c r="AM954" i="16" s="1"/>
  <c r="AE88" i="25"/>
  <c r="AC88" i="25" s="1"/>
  <c r="M88" i="25"/>
  <c r="AM84" i="25" s="1"/>
  <c r="W36" i="86"/>
  <c r="B9" i="72"/>
  <c r="W106" i="84"/>
  <c r="G89" i="84" s="1"/>
  <c r="D3" i="84" s="1"/>
  <c r="A356" i="80"/>
  <c r="C356" i="80" s="1"/>
  <c r="C292" i="80"/>
  <c r="C293" i="80"/>
  <c r="A294" i="80"/>
  <c r="C2102" i="80"/>
  <c r="T1787" i="16"/>
  <c r="AD1787" i="16" s="1"/>
  <c r="AC1787" i="16" s="1"/>
  <c r="O1787" i="16"/>
  <c r="AO1787" i="16" s="1"/>
  <c r="A890" i="80"/>
  <c r="C890" i="80" s="1"/>
  <c r="C889" i="80"/>
  <c r="A888" i="80"/>
  <c r="C888" i="80" s="1"/>
  <c r="C887" i="80"/>
  <c r="A681" i="80"/>
  <c r="C681" i="80" s="1"/>
  <c r="AC14" i="25"/>
  <c r="AD211" i="25"/>
  <c r="AC211" i="25" s="1"/>
  <c r="T108" i="25"/>
  <c r="AD108" i="25" s="1"/>
  <c r="AC108" i="25" s="1"/>
  <c r="T105" i="25"/>
  <c r="AD105" i="25" s="1"/>
  <c r="A2089" i="80"/>
  <c r="C2089" i="80" s="1"/>
  <c r="C2088" i="80"/>
  <c r="I87" i="80"/>
  <c r="I2211" i="80"/>
  <c r="W211" i="85"/>
  <c r="G1907" i="81"/>
  <c r="I1356" i="80"/>
  <c r="W272" i="85"/>
  <c r="I287" i="80"/>
  <c r="W265" i="85"/>
  <c r="N286" i="16"/>
  <c r="W264" i="85"/>
  <c r="N443" i="16"/>
  <c r="W130" i="85"/>
  <c r="N1527" i="16"/>
  <c r="W214" i="84"/>
  <c r="W291" i="84"/>
  <c r="W265" i="84"/>
  <c r="W238" i="84"/>
  <c r="W264" i="84"/>
  <c r="AO125" i="24"/>
  <c r="N449" i="16"/>
  <c r="AO135" i="24"/>
  <c r="AO131" i="24"/>
  <c r="N453" i="16"/>
  <c r="AO657" i="25"/>
  <c r="N255" i="16"/>
  <c r="AO256" i="8"/>
  <c r="N325" i="16"/>
  <c r="AO317" i="8"/>
  <c r="I1888" i="80"/>
  <c r="I320" i="80"/>
  <c r="AO289" i="8"/>
  <c r="I1523" i="80"/>
  <c r="N288" i="16"/>
  <c r="I324" i="80"/>
  <c r="I315" i="80"/>
  <c r="I309" i="80" s="1"/>
  <c r="A309" i="80" s="1"/>
  <c r="N636" i="16"/>
  <c r="AO322" i="8"/>
  <c r="AO316" i="8"/>
  <c r="I1803" i="80"/>
  <c r="I445" i="80"/>
  <c r="AO318" i="24"/>
  <c r="N315" i="16"/>
  <c r="G315" i="16" s="1"/>
  <c r="I291" i="80"/>
  <c r="AO293" i="8"/>
  <c r="N441" i="16"/>
  <c r="I285" i="80"/>
  <c r="I304" i="80"/>
  <c r="AO123" i="24"/>
  <c r="AO287" i="8"/>
  <c r="AO306" i="8"/>
  <c r="AO139" i="24"/>
  <c r="AO313" i="8"/>
  <c r="N457" i="16"/>
  <c r="I438" i="80"/>
  <c r="N312" i="16"/>
  <c r="I250" i="80"/>
  <c r="O2081" i="16"/>
  <c r="AO564" i="25"/>
  <c r="I1433" i="80"/>
  <c r="I1432" i="80" s="1"/>
  <c r="N1434" i="16"/>
  <c r="S17" i="25"/>
  <c r="O1527" i="16"/>
  <c r="AO1527" i="16" s="1"/>
  <c r="T1527" i="16"/>
  <c r="AD1527" i="16" s="1"/>
  <c r="AC1527" i="16" s="1"/>
  <c r="AD1704" i="16"/>
  <c r="AC1704" i="16" s="1"/>
  <c r="T312" i="16"/>
  <c r="AD312" i="16" s="1"/>
  <c r="AC312" i="16" s="1"/>
  <c r="O312" i="16"/>
  <c r="E311" i="81" s="1"/>
  <c r="O2044" i="16"/>
  <c r="E2043" i="81" s="1"/>
  <c r="T2044" i="16"/>
  <c r="AD2044" i="16" s="1"/>
  <c r="AC2044" i="16" s="1"/>
  <c r="T360" i="25"/>
  <c r="AD360" i="25" s="1"/>
  <c r="AC360" i="25" s="1"/>
  <c r="O1595" i="16"/>
  <c r="S888" i="16" s="1"/>
  <c r="T1595" i="16"/>
  <c r="AD1595" i="16" s="1"/>
  <c r="AC1595" i="16" s="1"/>
  <c r="T323" i="16"/>
  <c r="AD323" i="16" s="1"/>
  <c r="AC323" i="16" s="1"/>
  <c r="O323" i="16"/>
  <c r="E322" i="81" s="1"/>
  <c r="AD1695" i="16"/>
  <c r="AC1695" i="16" s="1"/>
  <c r="AO1695" i="16"/>
  <c r="I4" i="25"/>
  <c r="I374" i="80"/>
  <c r="AO57" i="24"/>
  <c r="N375" i="16"/>
  <c r="T1438" i="16"/>
  <c r="AD1438" i="16" s="1"/>
  <c r="AC1438" i="16" s="1"/>
  <c r="O207" i="24"/>
  <c r="T207" i="24"/>
  <c r="AD207" i="24" s="1"/>
  <c r="AC207" i="24" s="1"/>
  <c r="I1924" i="80"/>
  <c r="W131" i="84"/>
  <c r="I1761" i="80"/>
  <c r="I1750" i="80" s="1"/>
  <c r="C281" i="80"/>
  <c r="C280" i="80"/>
  <c r="A367" i="80"/>
  <c r="A368" i="80" s="1"/>
  <c r="C368" i="80" s="1"/>
  <c r="I1243" i="80"/>
  <c r="A1243" i="80" s="1"/>
  <c r="N323" i="16"/>
  <c r="I322" i="80"/>
  <c r="A2456" i="80"/>
  <c r="C2456" i="80" s="1"/>
  <c r="C2455" i="80"/>
  <c r="I1908" i="80"/>
  <c r="A1458" i="80"/>
  <c r="C1458" i="80" s="1"/>
  <c r="C1457" i="80"/>
  <c r="A333" i="80"/>
  <c r="C332" i="80"/>
  <c r="C1992" i="80"/>
  <c r="A1993" i="80"/>
  <c r="A183" i="80"/>
  <c r="C183" i="80" s="1"/>
  <c r="C182" i="80"/>
  <c r="A1959" i="80"/>
  <c r="C1959" i="80" s="1"/>
  <c r="C1958" i="80"/>
  <c r="C42" i="80"/>
  <c r="A43" i="80"/>
  <c r="C43" i="80" s="1"/>
  <c r="A1902" i="80"/>
  <c r="C1901" i="80"/>
  <c r="A1413" i="80"/>
  <c r="C1413" i="80" s="1"/>
  <c r="C1412" i="80"/>
  <c r="C70" i="80"/>
  <c r="A71" i="80"/>
  <c r="C71" i="80" s="1"/>
  <c r="C1920" i="80"/>
  <c r="A1921" i="80"/>
  <c r="C1921" i="80" s="1"/>
  <c r="A725" i="80"/>
  <c r="C725" i="80" s="1"/>
  <c r="C724" i="80"/>
  <c r="C460" i="80"/>
  <c r="C1916" i="80"/>
  <c r="A1917" i="80"/>
  <c r="C1917" i="80" s="1"/>
  <c r="C1544" i="80"/>
  <c r="A1545" i="80"/>
  <c r="A2218" i="80"/>
  <c r="C2218" i="80" s="1"/>
  <c r="C2217" i="80"/>
  <c r="C207" i="80"/>
  <c r="A208" i="80"/>
  <c r="E2209" i="81"/>
  <c r="AO2210" i="16"/>
  <c r="A232" i="80"/>
  <c r="C232" i="80" s="1"/>
  <c r="C231" i="80"/>
  <c r="A597" i="80"/>
  <c r="C596" i="80"/>
  <c r="A125" i="80"/>
  <c r="C124" i="80"/>
  <c r="C461" i="80"/>
  <c r="A462" i="80"/>
  <c r="C1913" i="80"/>
  <c r="A1914" i="80"/>
  <c r="C1914" i="80" s="1"/>
  <c r="A822" i="80"/>
  <c r="C822" i="80" s="1"/>
  <c r="C821" i="80"/>
  <c r="A2009" i="80"/>
  <c r="C2008" i="80"/>
  <c r="A98" i="80"/>
  <c r="C98" i="80" s="1"/>
  <c r="C97" i="80"/>
  <c r="A542" i="80"/>
  <c r="C541" i="80"/>
  <c r="A567" i="80"/>
  <c r="C567" i="80" s="1"/>
  <c r="C566" i="80"/>
  <c r="E90" i="81"/>
  <c r="AO91" i="16"/>
  <c r="A2246" i="80"/>
  <c r="C2245" i="80"/>
  <c r="C1961" i="80"/>
  <c r="A1962" i="80"/>
  <c r="C1962" i="80" s="1"/>
  <c r="A1928" i="80"/>
  <c r="C1928" i="80" s="1"/>
  <c r="C1927" i="80"/>
  <c r="C472" i="80"/>
  <c r="A473" i="80"/>
  <c r="C473" i="80" s="1"/>
  <c r="A2059" i="80"/>
  <c r="C2059" i="80" s="1"/>
  <c r="C2058" i="80"/>
  <c r="A1488" i="80"/>
  <c r="C1488" i="80" s="1"/>
  <c r="C1487" i="80"/>
  <c r="E1495" i="81"/>
  <c r="AO1496" i="16"/>
  <c r="E97" i="81"/>
  <c r="G98" i="81" s="1"/>
  <c r="AO98" i="16"/>
  <c r="A2028" i="80"/>
  <c r="C2027" i="80"/>
  <c r="A1967" i="80"/>
  <c r="C1966" i="80"/>
  <c r="I67" i="80"/>
  <c r="C67" i="80" s="1"/>
  <c r="A2015" i="80"/>
  <c r="C2015" i="80" s="1"/>
  <c r="C2014" i="80"/>
  <c r="A2235" i="80"/>
  <c r="C2234" i="80"/>
  <c r="A573" i="80"/>
  <c r="C573" i="80" s="1"/>
  <c r="C572" i="80"/>
  <c r="C1881" i="80"/>
  <c r="A1882" i="80"/>
  <c r="C1882" i="80" s="1"/>
  <c r="A101" i="80"/>
  <c r="C101" i="80" s="1"/>
  <c r="C100" i="80"/>
  <c r="A69" i="80"/>
  <c r="C69" i="80" s="1"/>
  <c r="C68" i="80"/>
  <c r="A1919" i="80"/>
  <c r="C1919" i="80" s="1"/>
  <c r="C1918" i="80"/>
  <c r="A792" i="80"/>
  <c r="C791" i="80"/>
  <c r="A2451" i="80"/>
  <c r="C2450" i="80"/>
  <c r="C1910" i="80"/>
  <c r="A1911" i="80"/>
  <c r="A1996" i="80"/>
  <c r="C1996" i="80" s="1"/>
  <c r="C1995" i="80"/>
  <c r="C103" i="80"/>
  <c r="A104" i="80"/>
  <c r="C104" i="80" s="1"/>
  <c r="A1956" i="80"/>
  <c r="C1956" i="80" s="1"/>
  <c r="C1955" i="80"/>
  <c r="A60" i="80"/>
  <c r="C60" i="80" s="1"/>
  <c r="C59" i="80"/>
  <c r="A220" i="80"/>
  <c r="C219" i="80"/>
  <c r="A350" i="80"/>
  <c r="C350" i="80" s="1"/>
  <c r="C349" i="80"/>
  <c r="A2152" i="80"/>
  <c r="C2152" i="80" s="1"/>
  <c r="C1555" i="80"/>
  <c r="A1556" i="80"/>
  <c r="C1556" i="80" s="1"/>
  <c r="E330" i="81"/>
  <c r="G331" i="81" s="1"/>
  <c r="G332" i="81" s="1"/>
  <c r="G333" i="81" s="1"/>
  <c r="G334" i="81" s="1"/>
  <c r="G335" i="81" s="1"/>
  <c r="AO331" i="16"/>
  <c r="E274" i="81"/>
  <c r="AO275" i="16"/>
  <c r="E2339" i="81"/>
  <c r="AO2340" i="16"/>
  <c r="E2321" i="81"/>
  <c r="AO2322" i="16"/>
  <c r="E2100" i="81"/>
  <c r="AO2101" i="16"/>
  <c r="E2394" i="81"/>
  <c r="AO2395" i="16"/>
  <c r="E2302" i="81"/>
  <c r="AO2303" i="16"/>
  <c r="E434" i="81"/>
  <c r="AO435" i="16"/>
  <c r="E397" i="81"/>
  <c r="AO398" i="16"/>
  <c r="E2366" i="81"/>
  <c r="AO2367" i="16"/>
  <c r="AO1889" i="16"/>
  <c r="AO1903" i="16"/>
  <c r="E2035" i="81"/>
  <c r="AO2036" i="16"/>
  <c r="E2029" i="81"/>
  <c r="AO2030" i="16"/>
  <c r="E1927" i="81"/>
  <c r="AO1928" i="16"/>
  <c r="E2041" i="81"/>
  <c r="AO2042" i="16"/>
  <c r="AO1649" i="16"/>
  <c r="E1692" i="81"/>
  <c r="AO1693" i="16"/>
  <c r="E1759" i="81"/>
  <c r="AO1760" i="16"/>
  <c r="AO1507" i="16"/>
  <c r="AO1443" i="16"/>
  <c r="AO1434" i="16"/>
  <c r="E1524" i="81"/>
  <c r="AO1525" i="16"/>
  <c r="E1321" i="81"/>
  <c r="AO1322" i="16"/>
  <c r="E1636" i="81"/>
  <c r="AO1637" i="16"/>
  <c r="E1528" i="81"/>
  <c r="AO1529" i="16"/>
  <c r="E1582" i="81"/>
  <c r="G1582" i="81" s="1"/>
  <c r="G1579" i="81" s="1"/>
  <c r="AO1583" i="16"/>
  <c r="E1584" i="81"/>
  <c r="AO1585" i="16"/>
  <c r="E1291" i="81"/>
  <c r="AO1292" i="16"/>
  <c r="E1626" i="81"/>
  <c r="AO1627" i="16"/>
  <c r="E1635" i="81"/>
  <c r="AO1636" i="16"/>
  <c r="AO375" i="16"/>
  <c r="AO45" i="16"/>
  <c r="E291" i="81"/>
  <c r="AO292" i="16"/>
  <c r="E290" i="81"/>
  <c r="AO291" i="16"/>
  <c r="E314" i="81"/>
  <c r="AO315" i="16"/>
  <c r="E320" i="81"/>
  <c r="AO321" i="16"/>
  <c r="E304" i="81"/>
  <c r="AO305" i="16"/>
  <c r="E287" i="81"/>
  <c r="AO288" i="16"/>
  <c r="E254" i="81"/>
  <c r="AO255" i="16"/>
  <c r="E281" i="81"/>
  <c r="G281" i="81" s="1"/>
  <c r="G280" i="81" s="1"/>
  <c r="AO282" i="16"/>
  <c r="E315" i="81"/>
  <c r="AO316" i="16"/>
  <c r="E285" i="81"/>
  <c r="AO286" i="16"/>
  <c r="E324" i="81"/>
  <c r="AO325" i="16"/>
  <c r="E1902" i="81"/>
  <c r="E1888" i="81"/>
  <c r="E1648" i="81"/>
  <c r="E1506" i="81"/>
  <c r="E1442" i="81"/>
  <c r="E1433" i="81"/>
  <c r="E374" i="81"/>
  <c r="E44" i="81"/>
  <c r="A2325" i="80"/>
  <c r="C2325" i="80" s="1"/>
  <c r="C2324" i="80"/>
  <c r="A2342" i="80"/>
  <c r="C2341" i="80"/>
  <c r="C2099" i="80"/>
  <c r="A2100" i="80"/>
  <c r="A2369" i="80"/>
  <c r="C2368" i="80"/>
  <c r="C2304" i="80"/>
  <c r="A2305" i="80"/>
  <c r="C397" i="80"/>
  <c r="A398" i="80"/>
  <c r="A2104" i="80"/>
  <c r="C2104" i="80" s="1"/>
  <c r="C2103" i="80"/>
  <c r="AO152" i="29"/>
  <c r="I2396" i="80"/>
  <c r="C2256" i="80"/>
  <c r="A2257" i="80"/>
  <c r="C2257" i="80" s="1"/>
  <c r="A416" i="80"/>
  <c r="C416" i="80" s="1"/>
  <c r="C415" i="80"/>
  <c r="A427" i="80"/>
  <c r="A424" i="80" s="1"/>
  <c r="C426" i="80"/>
  <c r="A894" i="80"/>
  <c r="C893" i="80"/>
  <c r="C886" i="80"/>
  <c r="C896" i="80"/>
  <c r="A897" i="80"/>
  <c r="A1481" i="80"/>
  <c r="C1480" i="80"/>
  <c r="A128" i="80"/>
  <c r="C128" i="80" s="1"/>
  <c r="C92" i="80"/>
  <c r="A200" i="80"/>
  <c r="A149" i="80"/>
  <c r="C149" i="80" s="1"/>
  <c r="A114" i="80"/>
  <c r="C113" i="80"/>
  <c r="C44" i="80"/>
  <c r="C2195" i="80"/>
  <c r="A2196" i="80"/>
  <c r="C2086" i="80"/>
  <c r="I2085" i="80"/>
  <c r="A2098" i="80"/>
  <c r="C2098" i="80" s="1"/>
  <c r="C2097" i="80"/>
  <c r="C2087" i="80"/>
  <c r="I2049" i="80"/>
  <c r="A2042" i="80"/>
  <c r="C2042" i="80" s="1"/>
  <c r="C2041" i="80"/>
  <c r="A1930" i="80"/>
  <c r="A1931" i="80" s="1"/>
  <c r="A1838" i="80"/>
  <c r="C1776" i="80"/>
  <c r="A1684" i="80"/>
  <c r="C1684" i="80" s="1"/>
  <c r="C1683" i="80"/>
  <c r="C1650" i="80"/>
  <c r="A1651" i="80"/>
  <c r="C1548" i="80"/>
  <c r="C1524" i="80"/>
  <c r="A1542" i="80"/>
  <c r="C1542" i="80" s="1"/>
  <c r="C1541" i="80"/>
  <c r="C1526" i="80"/>
  <c r="C1549" i="80"/>
  <c r="A1550" i="80"/>
  <c r="C1550" i="80" s="1"/>
  <c r="C1529" i="80"/>
  <c r="A1530" i="80"/>
  <c r="C1506" i="80"/>
  <c r="A1443" i="80"/>
  <c r="C1442" i="80"/>
  <c r="A1330" i="80"/>
  <c r="C1330" i="80" s="1"/>
  <c r="I1323" i="80"/>
  <c r="C1204" i="80"/>
  <c r="A1205" i="80"/>
  <c r="I1176" i="80"/>
  <c r="A1176" i="80" s="1"/>
  <c r="I1158" i="80"/>
  <c r="A1154" i="80"/>
  <c r="C1153" i="80"/>
  <c r="A1053" i="80"/>
  <c r="C1052" i="80"/>
  <c r="A814" i="80"/>
  <c r="C813" i="80"/>
  <c r="A750" i="80"/>
  <c r="C749" i="80"/>
  <c r="I717" i="80"/>
  <c r="A697" i="80"/>
  <c r="C696" i="80"/>
  <c r="A675" i="80"/>
  <c r="C674" i="80"/>
  <c r="A511" i="80"/>
  <c r="C510" i="80"/>
  <c r="C379" i="80"/>
  <c r="A380" i="80"/>
  <c r="C380" i="80" s="1"/>
  <c r="A171" i="80"/>
  <c r="C170" i="80"/>
  <c r="C161" i="80"/>
  <c r="A162" i="80"/>
  <c r="C157" i="80"/>
  <c r="A158" i="80"/>
  <c r="C158" i="80" s="1"/>
  <c r="I1121" i="80"/>
  <c r="A1121" i="80" s="1"/>
  <c r="I896" i="80"/>
  <c r="I164" i="80"/>
  <c r="AO51" i="8"/>
  <c r="I49" i="80"/>
  <c r="AO124" i="29"/>
  <c r="AO97" i="29"/>
  <c r="AO232" i="28"/>
  <c r="AO230" i="28"/>
  <c r="AO80" i="24"/>
  <c r="AO117" i="24"/>
  <c r="I1064" i="80"/>
  <c r="A1064" i="80" s="1"/>
  <c r="G150" i="16"/>
  <c r="G151" i="16" s="1"/>
  <c r="G152" i="16" s="1"/>
  <c r="G153" i="16" s="1"/>
  <c r="G154" i="16" s="1"/>
  <c r="G322" i="16"/>
  <c r="G46" i="16"/>
  <c r="G47" i="16" s="1"/>
  <c r="G48" i="16" s="1"/>
  <c r="G49" i="16" s="1"/>
  <c r="N2303" i="16"/>
  <c r="AO60" i="29"/>
  <c r="N2210" i="16"/>
  <c r="G2211" i="16" s="1"/>
  <c r="G2212" i="16" s="1"/>
  <c r="G2213" i="16" s="1"/>
  <c r="G2214" i="16" s="1"/>
  <c r="AO344" i="28"/>
  <c r="R400" i="24"/>
  <c r="AE400" i="24" s="1"/>
  <c r="AC400" i="24" s="1"/>
  <c r="M284" i="28"/>
  <c r="AM284" i="28" s="1"/>
  <c r="S244" i="28"/>
  <c r="S241" i="28"/>
  <c r="O1186" i="16"/>
  <c r="AO1186" i="16" s="1"/>
  <c r="AO316" i="25"/>
  <c r="N1186" i="16"/>
  <c r="T1322" i="16"/>
  <c r="AD1322" i="16" s="1"/>
  <c r="AC1322" i="16" s="1"/>
  <c r="O232" i="25"/>
  <c r="I1101" i="80" s="1"/>
  <c r="A1101" i="80" s="1"/>
  <c r="AC962" i="16"/>
  <c r="AC968" i="16"/>
  <c r="AC966" i="16"/>
  <c r="AC963" i="16"/>
  <c r="AC960" i="16"/>
  <c r="AC969" i="16"/>
  <c r="AC967" i="16"/>
  <c r="AC965" i="16"/>
  <c r="AC970" i="16"/>
  <c r="AC961" i="16"/>
  <c r="AC959" i="16"/>
  <c r="AC964" i="16"/>
  <c r="AC99" i="25"/>
  <c r="AC97" i="25"/>
  <c r="AC92" i="25"/>
  <c r="AC90" i="25"/>
  <c r="AC96" i="25"/>
  <c r="AC91" i="25"/>
  <c r="AC89" i="25"/>
  <c r="AC94" i="25"/>
  <c r="AC100" i="25"/>
  <c r="AC98" i="25"/>
  <c r="AC95" i="25"/>
  <c r="AC93" i="25"/>
  <c r="G368" i="16"/>
  <c r="G369" i="16" s="1"/>
  <c r="N435" i="16"/>
  <c r="G436" i="16" s="1"/>
  <c r="O525" i="16"/>
  <c r="T525" i="16"/>
  <c r="AD525" i="16" s="1"/>
  <c r="AC525" i="16" s="1"/>
  <c r="AO382" i="25"/>
  <c r="R108" i="25"/>
  <c r="N398" i="16"/>
  <c r="G399" i="16" s="1"/>
  <c r="G400" i="16" s="1"/>
  <c r="G401" i="16" s="1"/>
  <c r="G402" i="16" s="1"/>
  <c r="G403" i="16" s="1"/>
  <c r="G404" i="16" s="1"/>
  <c r="G405" i="16" s="1"/>
  <c r="AE28" i="29"/>
  <c r="AC28" i="29" s="1"/>
  <c r="AE103" i="24"/>
  <c r="AC103" i="24" s="1"/>
  <c r="M17" i="29"/>
  <c r="AM17" i="29" s="1"/>
  <c r="R2331" i="16"/>
  <c r="AE2331" i="16" s="1"/>
  <c r="AC2331" i="16" s="1"/>
  <c r="C25" i="10"/>
  <c r="BF1645" i="16"/>
  <c r="N1286" i="16"/>
  <c r="BG334" i="16"/>
  <c r="N2395" i="16"/>
  <c r="O1102" i="16"/>
  <c r="N1288" i="16"/>
  <c r="N1290" i="16"/>
  <c r="BE15" i="16"/>
  <c r="S1224" i="16"/>
  <c r="T1224" i="16" s="1"/>
  <c r="AD1224" i="16" s="1"/>
  <c r="AC1224" i="16" s="1"/>
  <c r="N171" i="16"/>
  <c r="BH1882" i="16"/>
  <c r="N1280" i="16"/>
  <c r="N746" i="16"/>
  <c r="N50" i="16"/>
  <c r="N1271" i="16"/>
  <c r="G1271" i="16" s="1"/>
  <c r="T429" i="16"/>
  <c r="AD429" i="16" s="1"/>
  <c r="AC429" i="16" s="1"/>
  <c r="O429" i="16"/>
  <c r="O2098" i="16"/>
  <c r="M411" i="16"/>
  <c r="AM411" i="16" s="1"/>
  <c r="O416" i="16"/>
  <c r="T1507" i="16"/>
  <c r="G348" i="16"/>
  <c r="T2410" i="16"/>
  <c r="AD2410" i="16" s="1"/>
  <c r="R2410" i="16"/>
  <c r="S1232" i="16"/>
  <c r="T1232" i="16" s="1"/>
  <c r="AD1232" i="16" s="1"/>
  <c r="AC1232" i="16" s="1"/>
  <c r="O2255" i="16"/>
  <c r="AO2255" i="16" s="1"/>
  <c r="T2412" i="16"/>
  <c r="AD2412" i="16" s="1"/>
  <c r="R2412" i="16"/>
  <c r="T2411" i="16"/>
  <c r="AD2411" i="16" s="1"/>
  <c r="R2411" i="16"/>
  <c r="Y11" i="23"/>
  <c r="B4" i="3" s="1"/>
  <c r="BI886" i="16"/>
  <c r="R1084" i="16" s="1"/>
  <c r="AE1084" i="16" s="1"/>
  <c r="AC1084" i="16" s="1"/>
  <c r="T1229" i="16"/>
  <c r="AD1229" i="16" s="1"/>
  <c r="AC1229" i="16" s="1"/>
  <c r="T1297" i="16"/>
  <c r="AD1297" i="16" s="1"/>
  <c r="AC1297" i="16" s="1"/>
  <c r="O1297" i="16"/>
  <c r="AE915" i="16"/>
  <c r="AC915" i="16" s="1"/>
  <c r="M915" i="16"/>
  <c r="AM915" i="16" s="1"/>
  <c r="AE920" i="16"/>
  <c r="AC920" i="16" s="1"/>
  <c r="M920" i="16"/>
  <c r="AM920" i="16" s="1"/>
  <c r="AE921" i="16"/>
  <c r="AC921" i="16" s="1"/>
  <c r="M921" i="16"/>
  <c r="AM921" i="16" s="1"/>
  <c r="AE911" i="16"/>
  <c r="AC911" i="16" s="1"/>
  <c r="M911" i="16"/>
  <c r="AM911" i="16" s="1"/>
  <c r="AE925" i="16"/>
  <c r="AC925" i="16" s="1"/>
  <c r="M925" i="16"/>
  <c r="AM925" i="16" s="1"/>
  <c r="AE912" i="16"/>
  <c r="AC912" i="16" s="1"/>
  <c r="M912" i="16"/>
  <c r="AM912" i="16" s="1"/>
  <c r="AE922" i="16"/>
  <c r="AC922" i="16" s="1"/>
  <c r="M922" i="16"/>
  <c r="AM922" i="16" s="1"/>
  <c r="AE924" i="16"/>
  <c r="AC924" i="16" s="1"/>
  <c r="M924" i="16"/>
  <c r="AM924" i="16" s="1"/>
  <c r="AE927" i="16"/>
  <c r="AC927" i="16" s="1"/>
  <c r="M927" i="16"/>
  <c r="AM927" i="16" s="1"/>
  <c r="AE926" i="16"/>
  <c r="AC926" i="16" s="1"/>
  <c r="M926" i="16"/>
  <c r="AM926" i="16" s="1"/>
  <c r="AE929" i="16"/>
  <c r="AC929" i="16" s="1"/>
  <c r="M929" i="16"/>
  <c r="AM929" i="16" s="1"/>
  <c r="AE917" i="16"/>
  <c r="AC917" i="16" s="1"/>
  <c r="M917" i="16"/>
  <c r="AM917" i="16" s="1"/>
  <c r="AE914" i="16"/>
  <c r="AC914" i="16" s="1"/>
  <c r="M914" i="16"/>
  <c r="AM914" i="16" s="1"/>
  <c r="G1764" i="16"/>
  <c r="G1765" i="16" s="1"/>
  <c r="G1766" i="16" s="1"/>
  <c r="AE1049" i="16"/>
  <c r="AC1049" i="16" s="1"/>
  <c r="AE950" i="16"/>
  <c r="AC950" i="16" s="1"/>
  <c r="AE898" i="16"/>
  <c r="AE1417" i="16"/>
  <c r="AC1417" i="16" s="1"/>
  <c r="AE1055" i="16"/>
  <c r="AC1055" i="16" s="1"/>
  <c r="AE947" i="16"/>
  <c r="AC947" i="16" s="1"/>
  <c r="AE1043" i="16"/>
  <c r="AC1043" i="16" s="1"/>
  <c r="AE941" i="16"/>
  <c r="AC941" i="16" s="1"/>
  <c r="AE951" i="16"/>
  <c r="AC951" i="16" s="1"/>
  <c r="AE1030" i="16"/>
  <c r="AE1040" i="16"/>
  <c r="AE994" i="16"/>
  <c r="AC994" i="16" s="1"/>
  <c r="AE1020" i="16"/>
  <c r="AC1020" i="16" s="1"/>
  <c r="AE1042" i="16"/>
  <c r="AE938" i="16"/>
  <c r="AC938" i="16" s="1"/>
  <c r="AE991" i="16"/>
  <c r="M173" i="25"/>
  <c r="AM173" i="25" s="1"/>
  <c r="AE173" i="25"/>
  <c r="AC173" i="25" s="1"/>
  <c r="S1226" i="16"/>
  <c r="G654" i="16"/>
  <c r="G655" i="16" s="1"/>
  <c r="G656" i="16" s="1"/>
  <c r="G657" i="16" s="1"/>
  <c r="G658" i="16" s="1"/>
  <c r="G659" i="16" s="1"/>
  <c r="G660" i="16" s="1"/>
  <c r="G661" i="16" s="1"/>
  <c r="G662" i="16" s="1"/>
  <c r="G663" i="16" s="1"/>
  <c r="G664" i="16" s="1"/>
  <c r="G665" i="16" s="1"/>
  <c r="G666" i="16" s="1"/>
  <c r="G667" i="16" s="1"/>
  <c r="AE52" i="25"/>
  <c r="AC52" i="25" s="1"/>
  <c r="AE41" i="25"/>
  <c r="AC41" i="25" s="1"/>
  <c r="AE57" i="25"/>
  <c r="AC57" i="25" s="1"/>
  <c r="AE42" i="25"/>
  <c r="AC42" i="25" s="1"/>
  <c r="AE55" i="25"/>
  <c r="AC55" i="25" s="1"/>
  <c r="AE50" i="25"/>
  <c r="AC50" i="25" s="1"/>
  <c r="AE44" i="25"/>
  <c r="AC44" i="25" s="1"/>
  <c r="AE45" i="25"/>
  <c r="AC45" i="25" s="1"/>
  <c r="AE56" i="25"/>
  <c r="AC56" i="25" s="1"/>
  <c r="AE51" i="25"/>
  <c r="AC51" i="25" s="1"/>
  <c r="AE47" i="25"/>
  <c r="AC47" i="25" s="1"/>
  <c r="AE54" i="25"/>
  <c r="AC54" i="25" s="1"/>
  <c r="S50" i="16"/>
  <c r="O50" i="16" s="1"/>
  <c r="W235" i="84" s="1"/>
  <c r="T2101" i="16"/>
  <c r="AD2101" i="16" s="1"/>
  <c r="AC2101" i="16" s="1"/>
  <c r="AE122" i="29"/>
  <c r="AC122" i="29" s="1"/>
  <c r="AE16" i="29"/>
  <c r="AC16" i="29" s="1"/>
  <c r="AE103" i="29"/>
  <c r="AC103" i="29" s="1"/>
  <c r="M167" i="29"/>
  <c r="AM167" i="29" s="1"/>
  <c r="AE167" i="29"/>
  <c r="AC167" i="29" s="1"/>
  <c r="M169" i="29"/>
  <c r="AM169" i="29" s="1"/>
  <c r="AE169" i="29"/>
  <c r="AC169" i="29" s="1"/>
  <c r="M168" i="29"/>
  <c r="AM168" i="29" s="1"/>
  <c r="AE168" i="29"/>
  <c r="AC168" i="29" s="1"/>
  <c r="M152" i="29"/>
  <c r="AM152" i="29" s="1"/>
  <c r="AE152" i="29"/>
  <c r="AC152" i="29" s="1"/>
  <c r="AE288" i="28"/>
  <c r="AC288" i="28" s="1"/>
  <c r="O767" i="25"/>
  <c r="AO767" i="25" s="1"/>
  <c r="O748" i="25"/>
  <c r="O761" i="25"/>
  <c r="O746" i="25"/>
  <c r="W141" i="85" s="1"/>
  <c r="O757" i="25"/>
  <c r="AO757" i="25" s="1"/>
  <c r="O766" i="25"/>
  <c r="AO766" i="25" s="1"/>
  <c r="O715" i="25"/>
  <c r="O713" i="25"/>
  <c r="O711" i="25"/>
  <c r="M443" i="25"/>
  <c r="AM443" i="25" s="1"/>
  <c r="M442" i="25"/>
  <c r="AM442" i="25" s="1"/>
  <c r="M441" i="25"/>
  <c r="AM441" i="25" s="1"/>
  <c r="M434" i="25"/>
  <c r="AM434" i="25" s="1"/>
  <c r="M444" i="25"/>
  <c r="AM444" i="25" s="1"/>
  <c r="M433" i="25"/>
  <c r="AM433" i="25" s="1"/>
  <c r="M436" i="25"/>
  <c r="AM436" i="25" s="1"/>
  <c r="M440" i="25"/>
  <c r="AM440" i="25" s="1"/>
  <c r="M435" i="25"/>
  <c r="AM435" i="25" s="1"/>
  <c r="M415" i="25"/>
  <c r="AM415" i="25" s="1"/>
  <c r="M407" i="25"/>
  <c r="AM407" i="25" s="1"/>
  <c r="M414" i="25"/>
  <c r="AM414" i="25" s="1"/>
  <c r="M404" i="25"/>
  <c r="AM404" i="25" s="1"/>
  <c r="M413" i="25"/>
  <c r="AM413" i="25" s="1"/>
  <c r="M412" i="25"/>
  <c r="AM412" i="25" s="1"/>
  <c r="M408" i="25"/>
  <c r="AM408" i="25" s="1"/>
  <c r="M409" i="25"/>
  <c r="AM409" i="25" s="1"/>
  <c r="M405" i="25"/>
  <c r="AM405" i="25" s="1"/>
  <c r="M406" i="25"/>
  <c r="AM406" i="25" s="1"/>
  <c r="M423" i="25"/>
  <c r="AM423" i="25" s="1"/>
  <c r="M398" i="25"/>
  <c r="AM398" i="25" s="1"/>
  <c r="M395" i="25"/>
  <c r="AM395" i="25" s="1"/>
  <c r="M390" i="25"/>
  <c r="AM390" i="25" s="1"/>
  <c r="M384" i="25"/>
  <c r="AM384" i="25" s="1"/>
  <c r="M389" i="25"/>
  <c r="AM389" i="25" s="1"/>
  <c r="M385" i="25"/>
  <c r="AM385" i="25" s="1"/>
  <c r="M399" i="25"/>
  <c r="AM399" i="25" s="1"/>
  <c r="G1267" i="16"/>
  <c r="G1268" i="16" s="1"/>
  <c r="G1269" i="16" s="1"/>
  <c r="N165" i="16"/>
  <c r="AO166" i="8"/>
  <c r="G1598" i="16"/>
  <c r="O328" i="25"/>
  <c r="I1197" i="80" s="1"/>
  <c r="AE59" i="25"/>
  <c r="AC59" i="25" s="1"/>
  <c r="N2367" i="16"/>
  <c r="G2368" i="16" s="1"/>
  <c r="G2369" i="16" s="1"/>
  <c r="G2370" i="16" s="1"/>
  <c r="G2371" i="16" s="1"/>
  <c r="G2372" i="16" s="1"/>
  <c r="G2373" i="16" s="1"/>
  <c r="G2374" i="16" s="1"/>
  <c r="G2375" i="16" s="1"/>
  <c r="G2376" i="16" s="1"/>
  <c r="G2377" i="16" s="1"/>
  <c r="G2378" i="16" s="1"/>
  <c r="G2379" i="16" s="1"/>
  <c r="G2380" i="16" s="1"/>
  <c r="G2381" i="16" s="1"/>
  <c r="G2382" i="16" s="1"/>
  <c r="G2383" i="16" s="1"/>
  <c r="G2384" i="16" s="1"/>
  <c r="G2385" i="16" s="1"/>
  <c r="G2386" i="16" s="1"/>
  <c r="G2387" i="16" s="1"/>
  <c r="G2388" i="16" s="1"/>
  <c r="G2389" i="16" s="1"/>
  <c r="G2390" i="16" s="1"/>
  <c r="G2391" i="16" s="1"/>
  <c r="G2392" i="16" s="1"/>
  <c r="G2393" i="16" s="1"/>
  <c r="G2394" i="16" s="1"/>
  <c r="M229" i="25"/>
  <c r="AM229" i="25" s="1"/>
  <c r="T411" i="16"/>
  <c r="AD411" i="16" s="1"/>
  <c r="R431" i="16"/>
  <c r="T2325" i="16"/>
  <c r="AD2325" i="16" s="1"/>
  <c r="R2325" i="16"/>
  <c r="R421" i="16"/>
  <c r="T2098" i="16"/>
  <c r="AD2098" i="16" s="1"/>
  <c r="AC2098" i="16" s="1"/>
  <c r="T51" i="8"/>
  <c r="AD51" i="8" s="1"/>
  <c r="T2258" i="16"/>
  <c r="AD2258" i="16" s="1"/>
  <c r="R2258" i="16"/>
  <c r="AE128" i="29"/>
  <c r="AC128" i="29" s="1"/>
  <c r="T2328" i="16"/>
  <c r="AD2328" i="16" s="1"/>
  <c r="R2328" i="16"/>
  <c r="BE334" i="16"/>
  <c r="BG15" i="16"/>
  <c r="T2259" i="16"/>
  <c r="AD2259" i="16" s="1"/>
  <c r="R2259" i="16"/>
  <c r="BE1882" i="16"/>
  <c r="R2154" i="16" s="1"/>
  <c r="V11" i="23"/>
  <c r="BG1645" i="16"/>
  <c r="BG2259" i="16"/>
  <c r="BE1645" i="16"/>
  <c r="BG886" i="16"/>
  <c r="T2365" i="16"/>
  <c r="AD2365" i="16" s="1"/>
  <c r="R2365" i="16"/>
  <c r="BE2259" i="16"/>
  <c r="R2371" i="16"/>
  <c r="AE2371" i="16" s="1"/>
  <c r="T2371" i="16"/>
  <c r="AD2371" i="16" s="1"/>
  <c r="BE886" i="16"/>
  <c r="BG1882" i="16"/>
  <c r="T2260" i="16"/>
  <c r="AD2260" i="16" s="1"/>
  <c r="R2260" i="16"/>
  <c r="T2271" i="16"/>
  <c r="AD2271" i="16" s="1"/>
  <c r="R2271" i="16"/>
  <c r="R2344" i="16"/>
  <c r="T2344" i="16"/>
  <c r="AD2344" i="16" s="1"/>
  <c r="R2395" i="16"/>
  <c r="T2395" i="16"/>
  <c r="AD2395" i="16" s="1"/>
  <c r="R2303" i="16"/>
  <c r="T2303" i="16"/>
  <c r="AD2303" i="16" s="1"/>
  <c r="T2346" i="16"/>
  <c r="AD2346" i="16" s="1"/>
  <c r="R2346" i="16"/>
  <c r="BF334" i="16"/>
  <c r="L516" i="16" s="1"/>
  <c r="BH334" i="16"/>
  <c r="AE82" i="29"/>
  <c r="AC82" i="29" s="1"/>
  <c r="N24" i="10"/>
  <c r="BF2259" i="16"/>
  <c r="U11" i="23"/>
  <c r="BH15" i="16"/>
  <c r="BF1882" i="16"/>
  <c r="BH886" i="16"/>
  <c r="C24" i="10"/>
  <c r="BF886" i="16"/>
  <c r="T1081" i="16" s="1"/>
  <c r="W11" i="23"/>
  <c r="BF15" i="16"/>
  <c r="BH1645" i="16"/>
  <c r="BH2259" i="16"/>
  <c r="O517" i="25"/>
  <c r="I1386" i="80" s="1"/>
  <c r="A1386" i="80" s="1"/>
  <c r="R437" i="16"/>
  <c r="T437" i="16"/>
  <c r="AD437" i="16" s="1"/>
  <c r="T418" i="16"/>
  <c r="AD418" i="16" s="1"/>
  <c r="AC418" i="16" s="1"/>
  <c r="T398" i="16"/>
  <c r="N2098" i="16"/>
  <c r="G2099" i="16" s="1"/>
  <c r="G2100" i="16" s="1"/>
  <c r="S343" i="25"/>
  <c r="O341" i="25" s="1"/>
  <c r="I1210" i="80" s="1"/>
  <c r="A1210" i="80" s="1"/>
  <c r="M437" i="25"/>
  <c r="AM437" i="25" s="1"/>
  <c r="M354" i="25"/>
  <c r="AM354" i="25" s="1"/>
  <c r="C19" i="10"/>
  <c r="R105" i="25"/>
  <c r="M448" i="25"/>
  <c r="AM448" i="25" s="1"/>
  <c r="M372" i="25"/>
  <c r="S506" i="25"/>
  <c r="M356" i="25"/>
  <c r="M358" i="25"/>
  <c r="AM358" i="25" s="1"/>
  <c r="M371" i="25"/>
  <c r="AM371" i="25" s="1"/>
  <c r="M370" i="25"/>
  <c r="AM370" i="25" s="1"/>
  <c r="T286" i="25"/>
  <c r="M316" i="25" s="1"/>
  <c r="AM316" i="25" s="1"/>
  <c r="M348" i="25"/>
  <c r="AO428" i="24"/>
  <c r="T359" i="25"/>
  <c r="AD359" i="25" s="1"/>
  <c r="AC359" i="25" s="1"/>
  <c r="H15" i="3"/>
  <c r="N15" i="3" s="1"/>
  <c r="AO172" i="8"/>
  <c r="T1230" i="16"/>
  <c r="AD1230" i="16" s="1"/>
  <c r="AC1230" i="16" s="1"/>
  <c r="T1903" i="16"/>
  <c r="AD1903" i="16" s="1"/>
  <c r="AC1903" i="16" s="1"/>
  <c r="T1889" i="16"/>
  <c r="AD1889" i="16" s="1"/>
  <c r="AC1889" i="16" s="1"/>
  <c r="M15" i="29"/>
  <c r="AM15" i="29" s="1"/>
  <c r="AE15" i="29"/>
  <c r="AC15" i="29" s="1"/>
  <c r="S339" i="28"/>
  <c r="T339" i="28" s="1"/>
  <c r="AD339" i="28" s="1"/>
  <c r="AC339" i="28" s="1"/>
  <c r="S338" i="28"/>
  <c r="AO12" i="29"/>
  <c r="N2255" i="16"/>
  <c r="G2256" i="16" s="1"/>
  <c r="G2257" i="16" s="1"/>
  <c r="G2258" i="16" s="1"/>
  <c r="G2259" i="16" s="1"/>
  <c r="G2260" i="16" s="1"/>
  <c r="G2261" i="16" s="1"/>
  <c r="G2262" i="16" s="1"/>
  <c r="G2263" i="16" s="1"/>
  <c r="G2264" i="16" s="1"/>
  <c r="G2265" i="16" s="1"/>
  <c r="G2266" i="16" s="1"/>
  <c r="G2267" i="16" s="1"/>
  <c r="G2268" i="16" s="1"/>
  <c r="G2269" i="16" s="1"/>
  <c r="G2270" i="16" s="1"/>
  <c r="G2271" i="16" s="1"/>
  <c r="AO209" i="8"/>
  <c r="N208" i="16"/>
  <c r="G209" i="16" s="1"/>
  <c r="G210" i="16" s="1"/>
  <c r="G211" i="16" s="1"/>
  <c r="G212" i="16" s="1"/>
  <c r="N2340" i="16"/>
  <c r="G2341" i="16" s="1"/>
  <c r="G2342" i="16" s="1"/>
  <c r="G2343" i="16" s="1"/>
  <c r="G2344" i="16" s="1"/>
  <c r="G2345" i="16" s="1"/>
  <c r="G2346" i="16" s="1"/>
  <c r="G2347" i="16" s="1"/>
  <c r="G2348" i="16" s="1"/>
  <c r="G2349" i="16" s="1"/>
  <c r="G2350" i="16" s="1"/>
  <c r="G2351" i="16" s="1"/>
  <c r="G2352" i="16" s="1"/>
  <c r="G2353" i="16" s="1"/>
  <c r="G2354" i="16" s="1"/>
  <c r="G2355" i="16" s="1"/>
  <c r="G2356" i="16" s="1"/>
  <c r="G2357" i="16" s="1"/>
  <c r="G2358" i="16" s="1"/>
  <c r="G2359" i="16" s="1"/>
  <c r="G2360" i="16" s="1"/>
  <c r="G2361" i="16" s="1"/>
  <c r="G2362" i="16" s="1"/>
  <c r="G2363" i="16" s="1"/>
  <c r="G2364" i="16" s="1"/>
  <c r="G2365" i="16" s="1"/>
  <c r="G2366" i="16" s="1"/>
  <c r="H20" i="3"/>
  <c r="AI3" i="29"/>
  <c r="L18" i="72" s="1"/>
  <c r="M101" i="29"/>
  <c r="AM101" i="29" s="1"/>
  <c r="AE101" i="29"/>
  <c r="AC101" i="29" s="1"/>
  <c r="AE113" i="24"/>
  <c r="AC113" i="24" s="1"/>
  <c r="M113" i="24"/>
  <c r="AM113" i="24" s="1"/>
  <c r="AE119" i="24"/>
  <c r="M119" i="24"/>
  <c r="AM119" i="24" s="1"/>
  <c r="N416" i="16"/>
  <c r="G417" i="16" s="1"/>
  <c r="G418" i="16" s="1"/>
  <c r="G419" i="16" s="1"/>
  <c r="AO98" i="24"/>
  <c r="AC172" i="25"/>
  <c r="AC170" i="25"/>
  <c r="AC547" i="25"/>
  <c r="AC121" i="25"/>
  <c r="N897" i="16"/>
  <c r="AO27" i="25"/>
  <c r="AO252" i="25"/>
  <c r="N1122" i="16"/>
  <c r="N1160" i="16"/>
  <c r="G1160" i="16" s="1"/>
  <c r="AO290" i="25"/>
  <c r="N1154" i="16"/>
  <c r="AO284" i="25"/>
  <c r="AO310" i="25"/>
  <c r="N1180" i="16"/>
  <c r="G1180" i="16" s="1"/>
  <c r="M124" i="25"/>
  <c r="AM124" i="25" s="1"/>
  <c r="AE124" i="25"/>
  <c r="AC124" i="25" s="1"/>
  <c r="AE179" i="25"/>
  <c r="AC179" i="25" s="1"/>
  <c r="M179" i="25"/>
  <c r="AM179" i="25" s="1"/>
  <c r="N1053" i="16"/>
  <c r="AO183" i="25"/>
  <c r="N1297" i="16"/>
  <c r="G1297" i="16" s="1"/>
  <c r="AO427" i="25"/>
  <c r="AO455" i="25"/>
  <c r="N1325" i="16"/>
  <c r="G1325" i="16" s="1"/>
  <c r="AC244" i="25"/>
  <c r="G2043" i="16"/>
  <c r="AO425" i="25"/>
  <c r="N1295" i="16"/>
  <c r="AE80" i="25"/>
  <c r="AC80" i="25" s="1"/>
  <c r="M80" i="25"/>
  <c r="AM80" i="25" s="1"/>
  <c r="AE81" i="25"/>
  <c r="AC81" i="25" s="1"/>
  <c r="M81" i="25"/>
  <c r="AM81" i="25" s="1"/>
  <c r="AO304" i="25"/>
  <c r="N1174" i="16"/>
  <c r="AO452" i="25"/>
  <c r="N1322" i="16"/>
  <c r="N1357" i="16"/>
  <c r="AO487" i="25"/>
  <c r="N1166" i="16"/>
  <c r="AO296" i="25"/>
  <c r="N1330" i="16"/>
  <c r="G1330" i="16" s="1"/>
  <c r="AO460" i="25"/>
  <c r="M211" i="25"/>
  <c r="AM211" i="25" s="1"/>
  <c r="N1760" i="16"/>
  <c r="G1760" i="16" s="1"/>
  <c r="M122" i="27"/>
  <c r="AO131" i="27"/>
  <c r="N1326" i="16"/>
  <c r="G1326" i="16" s="1"/>
  <c r="AO456" i="25"/>
  <c r="AO322" i="25"/>
  <c r="N1192" i="16"/>
  <c r="G1192" i="16" s="1"/>
  <c r="M214" i="25"/>
  <c r="AM214" i="25" s="1"/>
  <c r="AC214" i="25"/>
  <c r="M77" i="25"/>
  <c r="AM77" i="25" s="1"/>
  <c r="AE77" i="25"/>
  <c r="AC77" i="25" s="1"/>
  <c r="M68" i="25"/>
  <c r="AM68" i="25" s="1"/>
  <c r="AE68" i="25"/>
  <c r="AC68" i="25" s="1"/>
  <c r="G1526" i="16"/>
  <c r="AE196" i="25"/>
  <c r="AC196" i="25" s="1"/>
  <c r="M196" i="25"/>
  <c r="AM196" i="25" s="1"/>
  <c r="N2096" i="16"/>
  <c r="M236" i="25"/>
  <c r="AM236" i="25" s="1"/>
  <c r="AC236" i="25"/>
  <c r="M160" i="25"/>
  <c r="AM160" i="25" s="1"/>
  <c r="AE160" i="25"/>
  <c r="AC160" i="25" s="1"/>
  <c r="AO335" i="25"/>
  <c r="N1205" i="16"/>
  <c r="AO422" i="25"/>
  <c r="N1292" i="16"/>
  <c r="G1292" i="16" s="1"/>
  <c r="AO318" i="25"/>
  <c r="N1188" i="16"/>
  <c r="G1188" i="16" s="1"/>
  <c r="N1169" i="16"/>
  <c r="AO299" i="25"/>
  <c r="AO420" i="25"/>
  <c r="AC185" i="25"/>
  <c r="AO330" i="25"/>
  <c r="N1200" i="16"/>
  <c r="G1200" i="16" s="1"/>
  <c r="AO418" i="25"/>
  <c r="N1327" i="16"/>
  <c r="AO457" i="25"/>
  <c r="M71" i="25"/>
  <c r="AM71" i="25" s="1"/>
  <c r="AE71" i="25"/>
  <c r="AC71" i="25" s="1"/>
  <c r="AC28" i="25"/>
  <c r="M150" i="25"/>
  <c r="AM150" i="25" s="1"/>
  <c r="AE150" i="25"/>
  <c r="AC150" i="25" s="1"/>
  <c r="AO450" i="25"/>
  <c r="N1320" i="16"/>
  <c r="O1438" i="16"/>
  <c r="O364" i="25"/>
  <c r="O241" i="28"/>
  <c r="S884" i="16"/>
  <c r="O244" i="28"/>
  <c r="O1234" i="16"/>
  <c r="S160" i="27"/>
  <c r="AG2" i="29"/>
  <c r="A255" i="80" l="1"/>
  <c r="C255" i="80" s="1"/>
  <c r="A1937" i="80"/>
  <c r="A1938" i="80" s="1"/>
  <c r="C1938" i="80" s="1"/>
  <c r="A155" i="80"/>
  <c r="C155" i="80" s="1"/>
  <c r="A1817" i="80"/>
  <c r="C1817" i="80" s="1"/>
  <c r="A2038" i="80"/>
  <c r="C2038" i="80" s="1"/>
  <c r="G374" i="81"/>
  <c r="G375" i="81" s="1"/>
  <c r="G376" i="81" s="1"/>
  <c r="G2035" i="81"/>
  <c r="G2036" i="81" s="1"/>
  <c r="G274" i="81"/>
  <c r="G275" i="81" s="1"/>
  <c r="G276" i="81" s="1"/>
  <c r="G277" i="81" s="1"/>
  <c r="G278" i="81" s="1"/>
  <c r="G279" i="81" s="1"/>
  <c r="G155" i="81"/>
  <c r="G144" i="81" s="1"/>
  <c r="G145" i="81" s="1"/>
  <c r="G1927" i="81"/>
  <c r="G1781" i="16"/>
  <c r="G50" i="16"/>
  <c r="G51" i="16" s="1"/>
  <c r="G19" i="16" s="1"/>
  <c r="G20" i="16" s="1"/>
  <c r="G255" i="16"/>
  <c r="G286" i="16"/>
  <c r="G746" i="16"/>
  <c r="G747" i="16" s="1"/>
  <c r="G748" i="16" s="1"/>
  <c r="G749" i="16" s="1"/>
  <c r="G750" i="16" s="1"/>
  <c r="G751" i="16" s="1"/>
  <c r="G752" i="16" s="1"/>
  <c r="G753" i="16" s="1"/>
  <c r="G754" i="16" s="1"/>
  <c r="G755" i="16" s="1"/>
  <c r="G756" i="16" s="1"/>
  <c r="G757" i="16" s="1"/>
  <c r="G758" i="16" s="1"/>
  <c r="G759" i="16" s="1"/>
  <c r="G760" i="16" s="1"/>
  <c r="G761" i="16" s="1"/>
  <c r="G762" i="16" s="1"/>
  <c r="G763" i="16" s="1"/>
  <c r="G764" i="16" s="1"/>
  <c r="G765" i="16" s="1"/>
  <c r="G766" i="16" s="1"/>
  <c r="G767" i="16" s="1"/>
  <c r="G768" i="16" s="1"/>
  <c r="G769" i="16" s="1"/>
  <c r="G770" i="16" s="1"/>
  <c r="G771" i="16" s="1"/>
  <c r="G772" i="16" s="1"/>
  <c r="G773" i="16" s="1"/>
  <c r="G774" i="16" s="1"/>
  <c r="G775" i="16" s="1"/>
  <c r="G776" i="16" s="1"/>
  <c r="G777" i="16" s="1"/>
  <c r="G778" i="16" s="1"/>
  <c r="G779" i="16" s="1"/>
  <c r="G780" i="16" s="1"/>
  <c r="G781" i="16" s="1"/>
  <c r="G782" i="16" s="1"/>
  <c r="G783" i="16" s="1"/>
  <c r="G784" i="16" s="1"/>
  <c r="G785" i="16" s="1"/>
  <c r="G786" i="16" s="1"/>
  <c r="G787" i="16" s="1"/>
  <c r="G788" i="16" s="1"/>
  <c r="G457" i="16"/>
  <c r="G458" i="16" s="1"/>
  <c r="G459" i="16" s="1"/>
  <c r="G1761" i="16"/>
  <c r="G1762" i="16" s="1"/>
  <c r="G1295" i="16"/>
  <c r="G1296" i="16" s="1"/>
  <c r="G1280" i="16"/>
  <c r="G1281" i="16" s="1"/>
  <c r="G1282" i="16" s="1"/>
  <c r="G1283" i="16" s="1"/>
  <c r="G1284" i="16" s="1"/>
  <c r="G1285" i="16" s="1"/>
  <c r="G453" i="16"/>
  <c r="G454" i="16" s="1"/>
  <c r="G455" i="16" s="1"/>
  <c r="G456" i="16" s="1"/>
  <c r="G2096" i="16"/>
  <c r="G2097" i="16" s="1"/>
  <c r="G1154" i="16"/>
  <c r="G1155" i="16" s="1"/>
  <c r="G1156" i="16" s="1"/>
  <c r="G1157" i="16" s="1"/>
  <c r="G1158" i="16" s="1"/>
  <c r="G1805" i="16"/>
  <c r="G1806" i="16" s="1"/>
  <c r="G1807" i="16" s="1"/>
  <c r="G1808" i="16" s="1"/>
  <c r="G1809" i="16" s="1"/>
  <c r="G1810" i="16" s="1"/>
  <c r="G1811" i="16" s="1"/>
  <c r="G1812" i="16" s="1"/>
  <c r="G1813" i="16" s="1"/>
  <c r="G1814" i="16" s="1"/>
  <c r="G171" i="16"/>
  <c r="G172" i="16" s="1"/>
  <c r="G1186" i="16"/>
  <c r="G1187" i="16" s="1"/>
  <c r="G636" i="16"/>
  <c r="G637" i="16" s="1"/>
  <c r="G638" i="16" s="1"/>
  <c r="G639" i="16" s="1"/>
  <c r="G640" i="16" s="1"/>
  <c r="G641" i="16" s="1"/>
  <c r="G642" i="16" s="1"/>
  <c r="G643" i="16" s="1"/>
  <c r="G644" i="16" s="1"/>
  <c r="G645" i="16" s="1"/>
  <c r="G646" i="16" s="1"/>
  <c r="G647" i="16" s="1"/>
  <c r="G648" i="16" s="1"/>
  <c r="G649" i="16" s="1"/>
  <c r="G650" i="16" s="1"/>
  <c r="G651" i="16" s="1"/>
  <c r="G652" i="16" s="1"/>
  <c r="G449" i="16"/>
  <c r="C2031" i="80"/>
  <c r="G1890" i="16"/>
  <c r="G1891" i="16" s="1"/>
  <c r="G1694" i="16"/>
  <c r="G1692" i="16" s="1"/>
  <c r="G1122" i="16"/>
  <c r="G1123" i="16" s="1"/>
  <c r="G1124" i="16" s="1"/>
  <c r="G1125" i="16" s="1"/>
  <c r="G1126" i="16" s="1"/>
  <c r="G1127" i="16" s="1"/>
  <c r="G1128" i="16" s="1"/>
  <c r="G1129" i="16" s="1"/>
  <c r="G1130" i="16" s="1"/>
  <c r="G1131" i="16" s="1"/>
  <c r="G1132" i="16" s="1"/>
  <c r="G1133" i="16" s="1"/>
  <c r="G1134" i="16" s="1"/>
  <c r="G1135" i="16" s="1"/>
  <c r="G1136" i="16" s="1"/>
  <c r="G1137" i="16" s="1"/>
  <c r="G1138" i="16" s="1"/>
  <c r="G1320" i="16"/>
  <c r="G1321" i="16" s="1"/>
  <c r="G1169" i="16"/>
  <c r="G1170" i="16" s="1"/>
  <c r="G1171" i="16" s="1"/>
  <c r="G1172" i="16" s="1"/>
  <c r="G1173" i="16" s="1"/>
  <c r="G1166" i="16"/>
  <c r="G1167" i="16" s="1"/>
  <c r="G1168" i="16" s="1"/>
  <c r="G1290" i="16"/>
  <c r="G1291" i="16" s="1"/>
  <c r="G375" i="16"/>
  <c r="G376" i="16" s="1"/>
  <c r="G377" i="16" s="1"/>
  <c r="G378" i="16" s="1"/>
  <c r="G379" i="16" s="1"/>
  <c r="G1288" i="16"/>
  <c r="G1289" i="16" s="1"/>
  <c r="G288" i="16"/>
  <c r="G289" i="16" s="1"/>
  <c r="G290" i="16" s="1"/>
  <c r="G1322" i="16"/>
  <c r="G1323" i="16" s="1"/>
  <c r="G165" i="16"/>
  <c r="G166" i="16" s="1"/>
  <c r="G167" i="16" s="1"/>
  <c r="G168" i="16" s="1"/>
  <c r="G169" i="16" s="1"/>
  <c r="G1434" i="16"/>
  <c r="G441" i="16"/>
  <c r="G1710" i="16"/>
  <c r="G1711" i="16" s="1"/>
  <c r="G1712" i="16" s="1"/>
  <c r="G1713" i="16" s="1"/>
  <c r="G1792" i="16"/>
  <c r="G1508" i="16"/>
  <c r="G1509" i="16" s="1"/>
  <c r="G1510" i="16" s="1"/>
  <c r="G1511" i="16" s="1"/>
  <c r="G1512" i="16" s="1"/>
  <c r="G1053" i="16"/>
  <c r="G1054" i="16" s="1"/>
  <c r="G1055" i="16" s="1"/>
  <c r="G1056" i="16" s="1"/>
  <c r="G1057" i="16" s="1"/>
  <c r="G1058" i="16" s="1"/>
  <c r="G1059" i="16" s="1"/>
  <c r="G1060" i="16" s="1"/>
  <c r="G1061" i="16" s="1"/>
  <c r="G1062" i="16" s="1"/>
  <c r="G1063" i="16" s="1"/>
  <c r="G1286" i="16"/>
  <c r="G1287" i="16" s="1"/>
  <c r="G323" i="16"/>
  <c r="G1527" i="16"/>
  <c r="G1528" i="16" s="1"/>
  <c r="G2040" i="16"/>
  <c r="G2041" i="16" s="1"/>
  <c r="G1428" i="16"/>
  <c r="G1429" i="16" s="1"/>
  <c r="G1430" i="16" s="1"/>
  <c r="G1357" i="16"/>
  <c r="G1358" i="16" s="1"/>
  <c r="G1205" i="16"/>
  <c r="G1206" i="16" s="1"/>
  <c r="G1207" i="16" s="1"/>
  <c r="G1208" i="16" s="1"/>
  <c r="G1209" i="16" s="1"/>
  <c r="G1210" i="16" s="1"/>
  <c r="G325" i="16"/>
  <c r="G326" i="16" s="1"/>
  <c r="G443" i="16"/>
  <c r="G444" i="16" s="1"/>
  <c r="G445" i="16" s="1"/>
  <c r="G1174" i="16"/>
  <c r="G1175" i="16" s="1"/>
  <c r="G1176" i="16" s="1"/>
  <c r="G1327" i="16"/>
  <c r="G1328" i="16" s="1"/>
  <c r="G312" i="16"/>
  <c r="G725" i="16"/>
  <c r="G726" i="16" s="1"/>
  <c r="C635" i="80"/>
  <c r="A2033" i="80"/>
  <c r="C2033" i="80" s="1"/>
  <c r="C2032" i="80"/>
  <c r="A1068" i="80"/>
  <c r="A1076" i="80"/>
  <c r="I1923" i="80"/>
  <c r="A1924" i="80"/>
  <c r="C1924" i="80" s="1"/>
  <c r="A1158" i="80"/>
  <c r="C1158" i="80" s="1"/>
  <c r="A1356" i="80"/>
  <c r="C1356" i="80" s="1"/>
  <c r="A2085" i="80"/>
  <c r="C2085" i="80" s="1"/>
  <c r="A304" i="80"/>
  <c r="C304" i="80" s="1"/>
  <c r="A1323" i="80"/>
  <c r="C1323" i="80" s="1"/>
  <c r="C366" i="80"/>
  <c r="A374" i="80"/>
  <c r="A375" i="80" s="1"/>
  <c r="A376" i="80" s="1"/>
  <c r="C376" i="80" s="1"/>
  <c r="A1523" i="80"/>
  <c r="C1523" i="80" s="1"/>
  <c r="A164" i="80"/>
  <c r="C164" i="80" s="1"/>
  <c r="A1432" i="80"/>
  <c r="C1432" i="80" s="1"/>
  <c r="A717" i="80"/>
  <c r="C717" i="80" s="1"/>
  <c r="A87" i="80"/>
  <c r="C87" i="80" s="1"/>
  <c r="A1888" i="80"/>
  <c r="C1888" i="80" s="1"/>
  <c r="A2049" i="80"/>
  <c r="C2049" i="80" s="1"/>
  <c r="A250" i="80"/>
  <c r="A251" i="80" s="1"/>
  <c r="C251" i="80" s="1"/>
  <c r="C462" i="80"/>
  <c r="A459" i="80"/>
  <c r="A1427" i="80"/>
  <c r="C1427" i="80" s="1"/>
  <c r="A438" i="80"/>
  <c r="C438" i="80" s="1"/>
  <c r="A445" i="80"/>
  <c r="C445" i="80" s="1"/>
  <c r="A1750" i="80"/>
  <c r="A1751" i="80" s="1"/>
  <c r="C1751" i="80" s="1"/>
  <c r="A1803" i="80"/>
  <c r="C1803" i="80" s="1"/>
  <c r="T244" i="28"/>
  <c r="T241" i="28"/>
  <c r="M1084" i="16"/>
  <c r="AM1084" i="16" s="1"/>
  <c r="R1234" i="16"/>
  <c r="A357" i="80"/>
  <c r="C357" i="80" s="1"/>
  <c r="AC1086" i="16"/>
  <c r="R1114" i="16"/>
  <c r="AE1114" i="16" s="1"/>
  <c r="AC1114" i="16" s="1"/>
  <c r="R1106" i="16"/>
  <c r="C294" i="80"/>
  <c r="A295" i="80"/>
  <c r="C295" i="80" s="1"/>
  <c r="E1786" i="81"/>
  <c r="T884" i="16"/>
  <c r="AD884" i="16" s="1"/>
  <c r="R884" i="16"/>
  <c r="AE884" i="16" s="1"/>
  <c r="AF884" i="16" s="1"/>
  <c r="R1066" i="16"/>
  <c r="AE1066" i="16" s="1"/>
  <c r="AC1066" i="16" s="1"/>
  <c r="R1699" i="16"/>
  <c r="S158" i="27"/>
  <c r="T158" i="27" s="1"/>
  <c r="AD158" i="27" s="1"/>
  <c r="AI3" i="27" s="1"/>
  <c r="W106" i="85"/>
  <c r="G89" i="85" s="1"/>
  <c r="D3" i="85" s="1"/>
  <c r="A891" i="80"/>
  <c r="A892" i="80" s="1"/>
  <c r="C892" i="80" s="1"/>
  <c r="T975" i="16"/>
  <c r="AD975" i="16" s="1"/>
  <c r="AD1081" i="16"/>
  <c r="T978" i="16"/>
  <c r="AD978" i="16" s="1"/>
  <c r="AC978" i="16" s="1"/>
  <c r="W213" i="85"/>
  <c r="W162" i="85"/>
  <c r="N169" i="85" s="1"/>
  <c r="G116" i="85" s="1"/>
  <c r="I282" i="80"/>
  <c r="I524" i="80"/>
  <c r="W247" i="85"/>
  <c r="W208" i="84"/>
  <c r="W247" i="84"/>
  <c r="I1878" i="80"/>
  <c r="I1478" i="80"/>
  <c r="I317" i="80"/>
  <c r="H16" i="3"/>
  <c r="L16" i="3" s="1"/>
  <c r="AO207" i="24"/>
  <c r="C1937" i="80"/>
  <c r="N525" i="16"/>
  <c r="AO2081" i="16"/>
  <c r="A305" i="80"/>
  <c r="C305" i="80" s="1"/>
  <c r="E1526" i="81"/>
  <c r="E2080" i="81"/>
  <c r="AO1595" i="16"/>
  <c r="E1594" i="81"/>
  <c r="AO312" i="16"/>
  <c r="AI3" i="24"/>
  <c r="L14" i="72" s="1"/>
  <c r="AO323" i="16"/>
  <c r="E1694" i="81"/>
  <c r="AO2044" i="16"/>
  <c r="E1437" i="81"/>
  <c r="W130" i="84"/>
  <c r="N169" i="84" s="1"/>
  <c r="S887" i="16"/>
  <c r="AE887" i="16" s="1"/>
  <c r="AO1438" i="16"/>
  <c r="C367" i="80"/>
  <c r="C459" i="80"/>
  <c r="I1729" i="80"/>
  <c r="AO364" i="25"/>
  <c r="I1233" i="80"/>
  <c r="N1234" i="16"/>
  <c r="AM372" i="25"/>
  <c r="T1419" i="16"/>
  <c r="AD1419" i="16" s="1"/>
  <c r="R1419" i="16"/>
  <c r="AE1419" i="16" s="1"/>
  <c r="R241" i="28"/>
  <c r="M242" i="28" s="1"/>
  <c r="AM242" i="28" s="1"/>
  <c r="C1911" i="80"/>
  <c r="A1912" i="80"/>
  <c r="C1912" i="80" s="1"/>
  <c r="A1968" i="80"/>
  <c r="C1967" i="80"/>
  <c r="C542" i="80"/>
  <c r="A543" i="80"/>
  <c r="C543" i="80" s="1"/>
  <c r="C597" i="80"/>
  <c r="A598" i="80"/>
  <c r="A1903" i="80"/>
  <c r="C1903" i="80" s="1"/>
  <c r="C1902" i="80"/>
  <c r="N1616" i="16"/>
  <c r="G1617" i="16" s="1"/>
  <c r="AO746" i="25"/>
  <c r="A1546" i="80"/>
  <c r="C1545" i="80"/>
  <c r="N1631" i="16"/>
  <c r="G1632" i="16" s="1"/>
  <c r="AO761" i="25"/>
  <c r="C2028" i="80"/>
  <c r="A2029" i="80"/>
  <c r="A2247" i="80"/>
  <c r="C2246" i="80"/>
  <c r="C333" i="80"/>
  <c r="A334" i="80"/>
  <c r="N1618" i="16"/>
  <c r="G1619" i="16" s="1"/>
  <c r="G1620" i="16" s="1"/>
  <c r="G1621" i="16" s="1"/>
  <c r="I1617" i="80"/>
  <c r="AO748" i="25"/>
  <c r="C2451" i="80"/>
  <c r="A2452" i="80"/>
  <c r="C2235" i="80"/>
  <c r="A2236" i="80"/>
  <c r="N1581" i="16"/>
  <c r="G1582" i="16" s="1"/>
  <c r="I1580" i="80"/>
  <c r="AO711" i="25"/>
  <c r="C2009" i="80"/>
  <c r="A2010" i="80"/>
  <c r="C792" i="80"/>
  <c r="A793" i="80"/>
  <c r="C793" i="80" s="1"/>
  <c r="A209" i="80"/>
  <c r="C208" i="80"/>
  <c r="I1907" i="80"/>
  <c r="C1907" i="80" s="1"/>
  <c r="A126" i="80"/>
  <c r="C126" i="80" s="1"/>
  <c r="C125" i="80"/>
  <c r="C220" i="80"/>
  <c r="A221" i="80"/>
  <c r="C221" i="80" s="1"/>
  <c r="A1994" i="80"/>
  <c r="C1994" i="80" s="1"/>
  <c r="C1993" i="80"/>
  <c r="A2153" i="80"/>
  <c r="C2153" i="80" s="1"/>
  <c r="E428" i="81"/>
  <c r="AO429" i="16"/>
  <c r="E415" i="81"/>
  <c r="AO416" i="16"/>
  <c r="E2097" i="81"/>
  <c r="AO2098" i="16"/>
  <c r="G1583" i="81"/>
  <c r="AO1234" i="16"/>
  <c r="E1101" i="81"/>
  <c r="AO1102" i="16"/>
  <c r="E1296" i="81"/>
  <c r="AO1297" i="16"/>
  <c r="E524" i="81"/>
  <c r="AO525" i="16"/>
  <c r="E49" i="81"/>
  <c r="AO50" i="16"/>
  <c r="E2254" i="81"/>
  <c r="E1233" i="81"/>
  <c r="E1185" i="81"/>
  <c r="A2397" i="80"/>
  <c r="C2396" i="80"/>
  <c r="C2369" i="80"/>
  <c r="A2370" i="80"/>
  <c r="C2370" i="80" s="1"/>
  <c r="C2100" i="80"/>
  <c r="A2101" i="80"/>
  <c r="C2101" i="80" s="1"/>
  <c r="C427" i="80"/>
  <c r="A399" i="80"/>
  <c r="C398" i="80"/>
  <c r="A2343" i="80"/>
  <c r="C2343" i="80" s="1"/>
  <c r="C2342" i="80"/>
  <c r="C2305" i="80"/>
  <c r="A2306" i="80"/>
  <c r="C1459" i="80"/>
  <c r="C1243" i="80"/>
  <c r="C1064" i="80"/>
  <c r="C897" i="80"/>
  <c r="A898" i="80"/>
  <c r="A895" i="80"/>
  <c r="C895" i="80" s="1"/>
  <c r="C894" i="80"/>
  <c r="A129" i="80"/>
  <c r="C129" i="80" s="1"/>
  <c r="C1481" i="80"/>
  <c r="A1482" i="80"/>
  <c r="C148" i="80"/>
  <c r="C199" i="80"/>
  <c r="A45" i="80"/>
  <c r="C45" i="80" s="1"/>
  <c r="I144" i="80"/>
  <c r="A144" i="80" s="1"/>
  <c r="A115" i="80"/>
  <c r="C114" i="80"/>
  <c r="A2197" i="80"/>
  <c r="C2196" i="80"/>
  <c r="A2083" i="80"/>
  <c r="C2082" i="80"/>
  <c r="A2034" i="80"/>
  <c r="C2034" i="80" s="1"/>
  <c r="C1930" i="80"/>
  <c r="A1932" i="80"/>
  <c r="C1931" i="80"/>
  <c r="C1837" i="80"/>
  <c r="C1843" i="80"/>
  <c r="A1844" i="80"/>
  <c r="C1844" i="80" s="1"/>
  <c r="A1839" i="80"/>
  <c r="C1838" i="80"/>
  <c r="C1651" i="80"/>
  <c r="A1652" i="80"/>
  <c r="C1530" i="80"/>
  <c r="A1531" i="80"/>
  <c r="C1531" i="80" s="1"/>
  <c r="A1444" i="80"/>
  <c r="C1444" i="80" s="1"/>
  <c r="C1443" i="80"/>
  <c r="C1386" i="80"/>
  <c r="A1387" i="80"/>
  <c r="C1387" i="80" s="1"/>
  <c r="C1329" i="80"/>
  <c r="C1210" i="80"/>
  <c r="A1211" i="80"/>
  <c r="A1206" i="80"/>
  <c r="C1206" i="80" s="1"/>
  <c r="C1205" i="80"/>
  <c r="I1188" i="80"/>
  <c r="A1188" i="80" s="1"/>
  <c r="A1177" i="80"/>
  <c r="A1178" i="80" s="1"/>
  <c r="C1178" i="80" s="1"/>
  <c r="C1176" i="80"/>
  <c r="A1155" i="80"/>
  <c r="C1154" i="80"/>
  <c r="C1121" i="80"/>
  <c r="A1122" i="80"/>
  <c r="C1101" i="80"/>
  <c r="A1102" i="80"/>
  <c r="A1054" i="80"/>
  <c r="C1053" i="80"/>
  <c r="A815" i="80"/>
  <c r="C814" i="80"/>
  <c r="A751" i="80"/>
  <c r="C751" i="80" s="1"/>
  <c r="C750" i="80"/>
  <c r="A746" i="80"/>
  <c r="C745" i="80"/>
  <c r="A698" i="80"/>
  <c r="C698" i="80" s="1"/>
  <c r="C697" i="80"/>
  <c r="C675" i="80"/>
  <c r="A676" i="80"/>
  <c r="C676" i="80" s="1"/>
  <c r="A512" i="80"/>
  <c r="C511" i="80"/>
  <c r="C309" i="80"/>
  <c r="A310" i="80"/>
  <c r="C310" i="80" s="1"/>
  <c r="A201" i="80"/>
  <c r="C201" i="80" s="1"/>
  <c r="C200" i="80"/>
  <c r="A172" i="80"/>
  <c r="C171" i="80"/>
  <c r="C162" i="80"/>
  <c r="A163" i="80"/>
  <c r="C163" i="80" s="1"/>
  <c r="I2108" i="80"/>
  <c r="AO715" i="25"/>
  <c r="I1584" i="80"/>
  <c r="AO713" i="25"/>
  <c r="I1582" i="80"/>
  <c r="AO241" i="28"/>
  <c r="S2110" i="16"/>
  <c r="S2107" i="16"/>
  <c r="C38" i="10"/>
  <c r="N1102" i="16"/>
  <c r="AO232" i="25"/>
  <c r="S625" i="25"/>
  <c r="S623" i="25"/>
  <c r="S1493" i="16"/>
  <c r="T1493" i="16" s="1"/>
  <c r="S1495" i="16"/>
  <c r="R978" i="16"/>
  <c r="R975" i="16"/>
  <c r="M101" i="25"/>
  <c r="AM101" i="25" s="1"/>
  <c r="G1714" i="16"/>
  <c r="G1715" i="16" s="1"/>
  <c r="G1716" i="16" s="1"/>
  <c r="G1717" i="16" s="1"/>
  <c r="G1718" i="16" s="1"/>
  <c r="G1719" i="16" s="1"/>
  <c r="G1720" i="16" s="1"/>
  <c r="S1387" i="16"/>
  <c r="O1387" i="16" s="1"/>
  <c r="S889" i="16"/>
  <c r="R1081" i="16"/>
  <c r="S1198" i="16"/>
  <c r="T1198" i="16" s="1"/>
  <c r="AD1198" i="16" s="1"/>
  <c r="AC1198" i="16" s="1"/>
  <c r="M2331" i="16"/>
  <c r="AM2331" i="16" s="1"/>
  <c r="N1198" i="16"/>
  <c r="N1583" i="16"/>
  <c r="N1585" i="16"/>
  <c r="N1637" i="16"/>
  <c r="G1637" i="16" s="1"/>
  <c r="N1211" i="16"/>
  <c r="N1636" i="16"/>
  <c r="G1636" i="16" s="1"/>
  <c r="N1627" i="16"/>
  <c r="O1090" i="16"/>
  <c r="AC2371" i="16"/>
  <c r="AC411" i="16"/>
  <c r="M421" i="16"/>
  <c r="AM421" i="16" s="1"/>
  <c r="AE421" i="16"/>
  <c r="AC421" i="16" s="1"/>
  <c r="AE437" i="16"/>
  <c r="AC437" i="16" s="1"/>
  <c r="M437" i="16"/>
  <c r="AM437" i="16" s="1"/>
  <c r="M431" i="16"/>
  <c r="AM431" i="16" s="1"/>
  <c r="AE431" i="16"/>
  <c r="AC431" i="16" s="1"/>
  <c r="AE2258" i="16"/>
  <c r="AC2258" i="16" s="1"/>
  <c r="M2258" i="16"/>
  <c r="AM2258" i="16" s="1"/>
  <c r="M2395" i="16"/>
  <c r="AM2395" i="16" s="1"/>
  <c r="AE2395" i="16"/>
  <c r="AC2395" i="16" s="1"/>
  <c r="M2325" i="16"/>
  <c r="AM2325" i="16" s="1"/>
  <c r="AE2328" i="16"/>
  <c r="AC2328" i="16" s="1"/>
  <c r="M2328" i="16"/>
  <c r="AM2328" i="16" s="1"/>
  <c r="AE2411" i="16"/>
  <c r="AC2411" i="16" s="1"/>
  <c r="M2411" i="16"/>
  <c r="AM2411" i="16" s="1"/>
  <c r="AE2325" i="16"/>
  <c r="AC2325" i="16" s="1"/>
  <c r="M2344" i="16"/>
  <c r="AM2344" i="16" s="1"/>
  <c r="AE2344" i="16"/>
  <c r="AC2344" i="16" s="1"/>
  <c r="M2410" i="16"/>
  <c r="AM2410" i="16" s="1"/>
  <c r="AE2410" i="16"/>
  <c r="AC2410" i="16" s="1"/>
  <c r="AE2346" i="16"/>
  <c r="AC2346" i="16" s="1"/>
  <c r="M2346" i="16"/>
  <c r="AM2346" i="16" s="1"/>
  <c r="M2371" i="16"/>
  <c r="AM2371" i="16" s="1"/>
  <c r="AE2412" i="16"/>
  <c r="AC2412" i="16" s="1"/>
  <c r="M2412" i="16"/>
  <c r="AM2412" i="16" s="1"/>
  <c r="AE2260" i="16"/>
  <c r="AC2260" i="16" s="1"/>
  <c r="M2260" i="16"/>
  <c r="AM2260" i="16" s="1"/>
  <c r="M2259" i="16"/>
  <c r="AM2259" i="16" s="1"/>
  <c r="AE2259" i="16"/>
  <c r="AC2259" i="16" s="1"/>
  <c r="M2303" i="16"/>
  <c r="AM2303" i="16" s="1"/>
  <c r="AE2303" i="16"/>
  <c r="AC2303" i="16" s="1"/>
  <c r="M1312" i="16"/>
  <c r="AM1312" i="16" s="1"/>
  <c r="M1293" i="16"/>
  <c r="M1276" i="16"/>
  <c r="AM1276" i="16" s="1"/>
  <c r="M1255" i="16"/>
  <c r="AM1255" i="16" s="1"/>
  <c r="M1218" i="16"/>
  <c r="M1311" i="16"/>
  <c r="AM1311" i="16" s="1"/>
  <c r="M1285" i="16"/>
  <c r="AM1285" i="16" s="1"/>
  <c r="M1275" i="16"/>
  <c r="AM1275" i="16" s="1"/>
  <c r="M1254" i="16"/>
  <c r="AM1254" i="16" s="1"/>
  <c r="M1099" i="16"/>
  <c r="M1310" i="16"/>
  <c r="AM1310" i="16" s="1"/>
  <c r="M1284" i="16"/>
  <c r="AM1284" i="16" s="1"/>
  <c r="M1274" i="16"/>
  <c r="AM1274" i="16" s="1"/>
  <c r="M1242" i="16"/>
  <c r="AM1242" i="16" s="1"/>
  <c r="M1307" i="16"/>
  <c r="AM1307" i="16" s="1"/>
  <c r="M1283" i="16"/>
  <c r="AM1283" i="16" s="1"/>
  <c r="M1269" i="16"/>
  <c r="AM1269" i="16" s="1"/>
  <c r="M1241" i="16"/>
  <c r="AM1241" i="16" s="1"/>
  <c r="M1306" i="16"/>
  <c r="AM1306" i="16" s="1"/>
  <c r="M1282" i="16"/>
  <c r="AM1282" i="16" s="1"/>
  <c r="M1268" i="16"/>
  <c r="AM1268" i="16" s="1"/>
  <c r="M1240" i="16"/>
  <c r="AM1240" i="16" s="1"/>
  <c r="M1318" i="16"/>
  <c r="M1305" i="16"/>
  <c r="AM1305" i="16" s="1"/>
  <c r="M1279" i="16"/>
  <c r="AM1279" i="16" s="1"/>
  <c r="M1265" i="16"/>
  <c r="AM1265" i="16" s="1"/>
  <c r="M1228" i="16"/>
  <c r="M1313" i="16"/>
  <c r="AM1313" i="16" s="1"/>
  <c r="M1277" i="16"/>
  <c r="AM1277" i="16" s="1"/>
  <c r="M1224" i="16"/>
  <c r="M1314" i="16"/>
  <c r="AM1314" i="16" s="1"/>
  <c r="M1304" i="16"/>
  <c r="AM1304" i="16" s="1"/>
  <c r="M1278" i="16"/>
  <c r="AM1278" i="16" s="1"/>
  <c r="M1260" i="16"/>
  <c r="AM1260" i="16" s="1"/>
  <c r="M1226" i="16"/>
  <c r="M1303" i="16"/>
  <c r="AM1303" i="16" s="1"/>
  <c r="M1259" i="16"/>
  <c r="AM1259" i="16" s="1"/>
  <c r="AE2365" i="16"/>
  <c r="AC2365" i="16" s="1"/>
  <c r="M2365" i="16"/>
  <c r="AM2365" i="16" s="1"/>
  <c r="AE2271" i="16"/>
  <c r="AC2271" i="16" s="1"/>
  <c r="M2271" i="16"/>
  <c r="AM2271" i="16" s="1"/>
  <c r="T1226" i="16"/>
  <c r="AD1226" i="16" s="1"/>
  <c r="AC1226" i="16" s="1"/>
  <c r="G1272" i="16"/>
  <c r="G1273" i="16" s="1"/>
  <c r="G1274" i="16" s="1"/>
  <c r="G1275" i="16" s="1"/>
  <c r="G1276" i="16" s="1"/>
  <c r="G1277" i="16" s="1"/>
  <c r="G1278" i="16" s="1"/>
  <c r="G1279" i="16" s="1"/>
  <c r="AF947" i="16"/>
  <c r="AF941" i="16"/>
  <c r="AF994" i="16"/>
  <c r="AF951" i="16"/>
  <c r="AF950" i="16"/>
  <c r="AF938" i="16"/>
  <c r="AC1042" i="16"/>
  <c r="AC991" i="16"/>
  <c r="AC898" i="16"/>
  <c r="AC1040" i="16"/>
  <c r="AC1030" i="16"/>
  <c r="AF920" i="16"/>
  <c r="AF921" i="16"/>
  <c r="AF922" i="16"/>
  <c r="AF926" i="16"/>
  <c r="AF925" i="16"/>
  <c r="N2107" i="16"/>
  <c r="T50" i="16"/>
  <c r="AD50" i="16" s="1"/>
  <c r="AC50" i="16" s="1"/>
  <c r="T15" i="3"/>
  <c r="S18" i="25"/>
  <c r="O423" i="25"/>
  <c r="I1292" i="80" s="1"/>
  <c r="A1292" i="80" s="1"/>
  <c r="M340" i="25"/>
  <c r="AM340" i="25" s="1"/>
  <c r="M339" i="25"/>
  <c r="AM339" i="25" s="1"/>
  <c r="M338" i="25"/>
  <c r="AM338" i="25" s="1"/>
  <c r="M327" i="25"/>
  <c r="AM327" i="25" s="1"/>
  <c r="M323" i="25"/>
  <c r="AM323" i="25" s="1"/>
  <c r="M326" i="25"/>
  <c r="AM326" i="25" s="1"/>
  <c r="M294" i="25"/>
  <c r="AM294" i="25" s="1"/>
  <c r="M315" i="25"/>
  <c r="AM315" i="25" s="1"/>
  <c r="M313" i="25"/>
  <c r="AM313" i="25" s="1"/>
  <c r="M314" i="25"/>
  <c r="AM314" i="25" s="1"/>
  <c r="AO328" i="25"/>
  <c r="T1156" i="16"/>
  <c r="M1186" i="16" s="1"/>
  <c r="AM1186" i="16" s="1"/>
  <c r="S2205" i="16"/>
  <c r="T2205" i="16" s="1"/>
  <c r="AD2205" i="16" s="1"/>
  <c r="AC2205" i="16" s="1"/>
  <c r="S1376" i="16"/>
  <c r="S1361" i="16" s="1"/>
  <c r="O1359" i="16" s="1"/>
  <c r="S1213" i="16"/>
  <c r="S2204" i="16"/>
  <c r="C16" i="18"/>
  <c r="O229" i="25"/>
  <c r="I1098" i="80" s="1"/>
  <c r="A1098" i="80" s="1"/>
  <c r="AG3" i="24"/>
  <c r="AC51" i="8"/>
  <c r="AI3" i="8"/>
  <c r="L13" i="72" s="1"/>
  <c r="N1387" i="16"/>
  <c r="AO517" i="25"/>
  <c r="C16" i="17"/>
  <c r="T20" i="3"/>
  <c r="E29" i="18" s="1"/>
  <c r="AG3" i="29"/>
  <c r="K18" i="72" s="1"/>
  <c r="T16" i="3"/>
  <c r="AC119" i="24"/>
  <c r="AE105" i="25"/>
  <c r="AC105" i="25" s="1"/>
  <c r="AO341" i="25"/>
  <c r="O358" i="25"/>
  <c r="I1227" i="80" s="1"/>
  <c r="T343" i="25"/>
  <c r="AD343" i="25" s="1"/>
  <c r="AC343" i="25" s="1"/>
  <c r="O354" i="25"/>
  <c r="I1223" i="80" s="1"/>
  <c r="A1223" i="80" s="1"/>
  <c r="O220" i="25"/>
  <c r="I1089" i="80" s="1"/>
  <c r="O448" i="25"/>
  <c r="I1317" i="80" s="1"/>
  <c r="T506" i="25"/>
  <c r="AD506" i="25" s="1"/>
  <c r="AC506" i="25" s="1"/>
  <c r="S491" i="25"/>
  <c r="O489" i="25" s="1"/>
  <c r="I1358" i="80" s="1"/>
  <c r="A1358" i="80" s="1"/>
  <c r="AM348" i="25"/>
  <c r="O348" i="25"/>
  <c r="I1217" i="80" s="1"/>
  <c r="A1217" i="80" s="1"/>
  <c r="M298" i="25"/>
  <c r="AM298" i="25" s="1"/>
  <c r="M305" i="25"/>
  <c r="AM305" i="25" s="1"/>
  <c r="M292" i="25"/>
  <c r="AM292" i="25" s="1"/>
  <c r="M312" i="25"/>
  <c r="AM312" i="25" s="1"/>
  <c r="M293" i="25"/>
  <c r="AM293" i="25" s="1"/>
  <c r="M318" i="25"/>
  <c r="AM318" i="25" s="1"/>
  <c r="M300" i="25"/>
  <c r="AM300" i="25" s="1"/>
  <c r="M302" i="25"/>
  <c r="AM302" i="25" s="1"/>
  <c r="M324" i="25"/>
  <c r="AM324" i="25" s="1"/>
  <c r="M311" i="25"/>
  <c r="AM311" i="25" s="1"/>
  <c r="M259" i="25"/>
  <c r="AM259" i="25" s="1"/>
  <c r="M331" i="25"/>
  <c r="M325" i="25"/>
  <c r="AM325" i="25" s="1"/>
  <c r="M303" i="25"/>
  <c r="AM303" i="25" s="1"/>
  <c r="M297" i="25"/>
  <c r="AM297" i="25" s="1"/>
  <c r="M330" i="25"/>
  <c r="AM330" i="25" s="1"/>
  <c r="M291" i="25"/>
  <c r="AM291" i="25" s="1"/>
  <c r="M258" i="25"/>
  <c r="AM258" i="25" s="1"/>
  <c r="M301" i="25"/>
  <c r="AM301" i="25" s="1"/>
  <c r="M257" i="25"/>
  <c r="AM257" i="25" s="1"/>
  <c r="M306" i="25"/>
  <c r="AM306" i="25" s="1"/>
  <c r="M295" i="25"/>
  <c r="AM295" i="25" s="1"/>
  <c r="AM356" i="25"/>
  <c r="O356" i="25"/>
  <c r="I1225" i="80" s="1"/>
  <c r="I13" i="72"/>
  <c r="J15" i="3"/>
  <c r="I3" i="8"/>
  <c r="L15" i="3"/>
  <c r="M15" i="3"/>
  <c r="K15" i="3"/>
  <c r="I2" i="8"/>
  <c r="AG2" i="8"/>
  <c r="O336" i="28"/>
  <c r="T338" i="28"/>
  <c r="AD338" i="28" s="1"/>
  <c r="G2272" i="16"/>
  <c r="G2273" i="16"/>
  <c r="G2274" i="16" s="1"/>
  <c r="G2275" i="16" s="1"/>
  <c r="G2276" i="16" s="1"/>
  <c r="G2277" i="16" s="1"/>
  <c r="G2278" i="16" s="1"/>
  <c r="G2279" i="16" s="1"/>
  <c r="G2280" i="16" s="1"/>
  <c r="G2281" i="16" s="1"/>
  <c r="G2282" i="16" s="1"/>
  <c r="G2283" i="16" s="1"/>
  <c r="G2284" i="16" s="1"/>
  <c r="G2285" i="16" s="1"/>
  <c r="G2286" i="16" s="1"/>
  <c r="G2287" i="16" s="1"/>
  <c r="G2288" i="16" s="1"/>
  <c r="G2289" i="16" s="1"/>
  <c r="G2290" i="16" s="1"/>
  <c r="G2291" i="16" s="1"/>
  <c r="G2292" i="16" s="1"/>
  <c r="G2293" i="16" s="1"/>
  <c r="G2294" i="16" s="1"/>
  <c r="G2295" i="16" s="1"/>
  <c r="G2296" i="16" s="1"/>
  <c r="G2297" i="16" s="1"/>
  <c r="G2298" i="16" s="1"/>
  <c r="G2299" i="16" s="1"/>
  <c r="G2300" i="16" s="1"/>
  <c r="G2301" i="16" s="1"/>
  <c r="G2302" i="16" s="1"/>
  <c r="J20" i="3"/>
  <c r="M20" i="3"/>
  <c r="I18" i="72"/>
  <c r="D29" i="18" s="1"/>
  <c r="K20" i="3"/>
  <c r="I3" i="29"/>
  <c r="L20" i="3"/>
  <c r="I2" i="29"/>
  <c r="N20" i="3"/>
  <c r="G1255" i="16"/>
  <c r="G1331" i="16"/>
  <c r="G1332" i="16" s="1"/>
  <c r="G1333" i="16" s="1"/>
  <c r="G1334" i="16" s="1"/>
  <c r="G1335" i="16" s="1"/>
  <c r="G1336" i="16" s="1"/>
  <c r="G1337" i="16" s="1"/>
  <c r="G1338" i="16" s="1"/>
  <c r="G1339" i="16" s="1"/>
  <c r="G1340" i="16" s="1"/>
  <c r="G1341" i="16" s="1"/>
  <c r="G1342" i="16" s="1"/>
  <c r="G1343" i="16" s="1"/>
  <c r="R15" i="3"/>
  <c r="AG1" i="8" s="1"/>
  <c r="P15" i="3"/>
  <c r="AI2" i="8" s="1"/>
  <c r="G1161" i="16"/>
  <c r="G1162" i="16" s="1"/>
  <c r="G1163" i="16" s="1"/>
  <c r="G1164" i="16" s="1"/>
  <c r="G1165" i="16" s="1"/>
  <c r="AO195" i="25"/>
  <c r="N1065" i="16"/>
  <c r="G1181" i="16"/>
  <c r="G1182" i="16" s="1"/>
  <c r="G1183" i="16" s="1"/>
  <c r="G1184" i="16" s="1"/>
  <c r="G1185" i="16" s="1"/>
  <c r="G1193" i="16"/>
  <c r="G1194" i="16" s="1"/>
  <c r="G1195" i="16" s="1"/>
  <c r="G1196" i="16" s="1"/>
  <c r="G1197" i="16" s="1"/>
  <c r="O2107" i="16"/>
  <c r="O2110" i="16"/>
  <c r="A1818" i="80" l="1"/>
  <c r="C1818" i="80" s="1"/>
  <c r="A1804" i="80"/>
  <c r="C1804" i="80" s="1"/>
  <c r="C374" i="80"/>
  <c r="A1889" i="80"/>
  <c r="C1889" i="80" s="1"/>
  <c r="C250" i="80"/>
  <c r="G1928" i="81"/>
  <c r="G1929" i="81" s="1"/>
  <c r="G1930" i="81" s="1"/>
  <c r="G1931" i="81" s="1"/>
  <c r="G1932" i="81" s="1"/>
  <c r="G524" i="81"/>
  <c r="G525" i="81" s="1"/>
  <c r="G1594" i="81"/>
  <c r="G1595" i="81" s="1"/>
  <c r="A718" i="80"/>
  <c r="C718" i="80" s="1"/>
  <c r="C1750" i="80"/>
  <c r="A1357" i="80"/>
  <c r="C1357" i="80" s="1"/>
  <c r="A446" i="80"/>
  <c r="C446" i="80" s="1"/>
  <c r="G1633" i="16"/>
  <c r="G1324" i="16"/>
  <c r="G1479" i="16"/>
  <c r="G173" i="16"/>
  <c r="G174" i="16" s="1"/>
  <c r="G175" i="16" s="1"/>
  <c r="G1251" i="16"/>
  <c r="G324" i="16"/>
  <c r="G318" i="16" s="1"/>
  <c r="G319" i="16" s="1"/>
  <c r="G320" i="16" s="1"/>
  <c r="G1708" i="16"/>
  <c r="G1159" i="16"/>
  <c r="G1234" i="16"/>
  <c r="G1235" i="16" s="1"/>
  <c r="G1236" i="16" s="1"/>
  <c r="G1237" i="16" s="1"/>
  <c r="G1238" i="16" s="1"/>
  <c r="G1239" i="16" s="1"/>
  <c r="G1240" i="16" s="1"/>
  <c r="G1241" i="16" s="1"/>
  <c r="G1242" i="16" s="1"/>
  <c r="G1627" i="16"/>
  <c r="G1102" i="16"/>
  <c r="G1103" i="16" s="1"/>
  <c r="G1104" i="16" s="1"/>
  <c r="G287" i="16"/>
  <c r="G283" i="16" s="1"/>
  <c r="G284" i="16" s="1"/>
  <c r="G285" i="16" s="1"/>
  <c r="G256" i="16"/>
  <c r="G1211" i="16"/>
  <c r="G1212" i="16" s="1"/>
  <c r="G1213" i="16" s="1"/>
  <c r="G1214" i="16" s="1"/>
  <c r="G1215" i="16" s="1"/>
  <c r="G1216" i="16" s="1"/>
  <c r="G313" i="16"/>
  <c r="G314" i="16" s="1"/>
  <c r="G442" i="16"/>
  <c r="G439" i="16" s="1"/>
  <c r="G440" i="16" s="1"/>
  <c r="G1887" i="16"/>
  <c r="G1802" i="16"/>
  <c r="G1803" i="16" s="1"/>
  <c r="G1585" i="16"/>
  <c r="G1270" i="16"/>
  <c r="G1583" i="16"/>
  <c r="G1584" i="16" s="1"/>
  <c r="G1435" i="16"/>
  <c r="G1436" i="16" s="1"/>
  <c r="G1437" i="16" s="1"/>
  <c r="G450" i="16"/>
  <c r="G451" i="16" s="1"/>
  <c r="G452" i="16" s="1"/>
  <c r="G1177" i="16"/>
  <c r="G1178" i="16" s="1"/>
  <c r="G1179" i="16" s="1"/>
  <c r="G1387" i="16"/>
  <c r="G1388" i="16" s="1"/>
  <c r="G1389" i="16" s="1"/>
  <c r="G1390" i="16" s="1"/>
  <c r="G1391" i="16" s="1"/>
  <c r="G1392" i="16" s="1"/>
  <c r="G1393" i="16" s="1"/>
  <c r="G1394" i="16" s="1"/>
  <c r="G1395" i="16" s="1"/>
  <c r="G1396" i="16" s="1"/>
  <c r="G1397" i="16" s="1"/>
  <c r="G1398" i="16" s="1"/>
  <c r="G1399" i="16" s="1"/>
  <c r="G1400" i="16" s="1"/>
  <c r="G1401" i="16" s="1"/>
  <c r="G1402" i="16" s="1"/>
  <c r="G1403" i="16" s="1"/>
  <c r="G1404" i="16" s="1"/>
  <c r="G1405" i="16" s="1"/>
  <c r="G1406" i="16" s="1"/>
  <c r="G1407" i="16" s="1"/>
  <c r="G1408" i="16" s="1"/>
  <c r="G1409" i="16" s="1"/>
  <c r="G1198" i="16"/>
  <c r="G525" i="16"/>
  <c r="G526" i="16" s="1"/>
  <c r="G527" i="16" s="1"/>
  <c r="A1225" i="80"/>
  <c r="C1225" i="80" s="1"/>
  <c r="A524" i="80"/>
  <c r="C524" i="80" s="1"/>
  <c r="A282" i="80"/>
  <c r="A283" i="80" s="1"/>
  <c r="A317" i="80"/>
  <c r="A318" i="80" s="1"/>
  <c r="A319" i="80" s="1"/>
  <c r="C319" i="80" s="1"/>
  <c r="A1923" i="80"/>
  <c r="C1923" i="80" s="1"/>
  <c r="A1233" i="80"/>
  <c r="C1233" i="80" s="1"/>
  <c r="A1227" i="80"/>
  <c r="C1227" i="80" s="1"/>
  <c r="A1478" i="80"/>
  <c r="C1478" i="80" s="1"/>
  <c r="A1423" i="80"/>
  <c r="A1422" i="80" s="1"/>
  <c r="C1422" i="80" s="1"/>
  <c r="A1729" i="80"/>
  <c r="C1729" i="80" s="1"/>
  <c r="A1878" i="80"/>
  <c r="C1878" i="80" s="1"/>
  <c r="M1081" i="16"/>
  <c r="AM1081" i="16" s="1"/>
  <c r="AE1081" i="16"/>
  <c r="AC1081" i="16" s="1"/>
  <c r="M1106" i="16"/>
  <c r="G1106" i="16" s="1"/>
  <c r="AE1106" i="16"/>
  <c r="AC1106" i="16" s="1"/>
  <c r="N170" i="84"/>
  <c r="G116" i="84"/>
  <c r="D4" i="84" s="1"/>
  <c r="M1066" i="16"/>
  <c r="AM1066" i="16" s="1"/>
  <c r="AC884" i="16"/>
  <c r="O1704" i="16"/>
  <c r="E1703" i="81" s="1"/>
  <c r="O1702" i="16"/>
  <c r="AC887" i="16"/>
  <c r="AF887" i="16"/>
  <c r="C891" i="80"/>
  <c r="T1495" i="16"/>
  <c r="AD1495" i="16" s="1"/>
  <c r="AC1495" i="16" s="1"/>
  <c r="AD1493" i="16"/>
  <c r="AC1493" i="16" s="1"/>
  <c r="T625" i="25"/>
  <c r="AD625" i="25" s="1"/>
  <c r="AC625" i="25" s="1"/>
  <c r="T623" i="25"/>
  <c r="AD623" i="25" s="1"/>
  <c r="AC623" i="25" s="1"/>
  <c r="I2203" i="80"/>
  <c r="A2204" i="80" s="1"/>
  <c r="C2204" i="80" s="1"/>
  <c r="C282" i="80"/>
  <c r="N303" i="84"/>
  <c r="N303" i="85"/>
  <c r="G194" i="85" s="1"/>
  <c r="D4" i="85"/>
  <c r="N170" i="85"/>
  <c r="K16" i="3"/>
  <c r="M16" i="3"/>
  <c r="J16" i="3"/>
  <c r="AG2" i="24"/>
  <c r="I2" i="24"/>
  <c r="I14" i="72"/>
  <c r="D25" i="17" s="1"/>
  <c r="N16" i="3"/>
  <c r="P16" i="3" s="1"/>
  <c r="AI2" i="24" s="1"/>
  <c r="I3" i="24"/>
  <c r="A306" i="80"/>
  <c r="C306" i="80" s="1"/>
  <c r="C375" i="80"/>
  <c r="AG1" i="24"/>
  <c r="I2111" i="80"/>
  <c r="I2105" i="80" s="1"/>
  <c r="A2105" i="80" s="1"/>
  <c r="AO244" i="28"/>
  <c r="N2110" i="16"/>
  <c r="AC1419" i="16"/>
  <c r="T549" i="25"/>
  <c r="AD549" i="25" s="1"/>
  <c r="R549" i="25"/>
  <c r="AE549" i="25" s="1"/>
  <c r="A2154" i="80"/>
  <c r="C2154" i="80" s="1"/>
  <c r="A1909" i="80"/>
  <c r="C1909" i="80" s="1"/>
  <c r="C1908" i="80"/>
  <c r="A1618" i="80"/>
  <c r="C1618" i="80" s="1"/>
  <c r="C1617" i="80"/>
  <c r="A599" i="80"/>
  <c r="C598" i="80"/>
  <c r="C334" i="80"/>
  <c r="A335" i="80"/>
  <c r="C335" i="80" s="1"/>
  <c r="C209" i="80"/>
  <c r="A210" i="80"/>
  <c r="C210" i="80" s="1"/>
  <c r="A2237" i="80"/>
  <c r="C2237" i="80" s="1"/>
  <c r="C2236" i="80"/>
  <c r="C1546" i="80"/>
  <c r="A1547" i="80"/>
  <c r="C1547" i="80" s="1"/>
  <c r="C2452" i="80"/>
  <c r="A2453" i="80"/>
  <c r="A2248" i="80"/>
  <c r="C2248" i="80" s="1"/>
  <c r="C2247" i="80"/>
  <c r="A1969" i="80"/>
  <c r="C1969" i="80" s="1"/>
  <c r="C1968" i="80"/>
  <c r="A2011" i="80"/>
  <c r="C2010" i="80"/>
  <c r="A2030" i="80"/>
  <c r="C2030" i="80" s="1"/>
  <c r="C2029" i="80"/>
  <c r="O1228" i="16"/>
  <c r="E1227" i="81" s="1"/>
  <c r="AM1228" i="16"/>
  <c r="O1293" i="16"/>
  <c r="AO1293" i="16" s="1"/>
  <c r="AM1293" i="16"/>
  <c r="O1318" i="16"/>
  <c r="E1317" i="81" s="1"/>
  <c r="AM1318" i="16"/>
  <c r="E1089" i="81"/>
  <c r="AO1090" i="16"/>
  <c r="O1226" i="16"/>
  <c r="E1225" i="81" s="1"/>
  <c r="AM1226" i="16"/>
  <c r="O1224" i="16"/>
  <c r="AO1224" i="16" s="1"/>
  <c r="AM1224" i="16"/>
  <c r="O1218" i="16"/>
  <c r="E1217" i="81" s="1"/>
  <c r="AM1218" i="16"/>
  <c r="AE17" i="25"/>
  <c r="O1099" i="16"/>
  <c r="AO1099" i="16" s="1"/>
  <c r="AM1099" i="16"/>
  <c r="AO2107" i="16"/>
  <c r="AO2110" i="16"/>
  <c r="E1386" i="81"/>
  <c r="AO1387" i="16"/>
  <c r="E1358" i="81"/>
  <c r="AO1359" i="16"/>
  <c r="E2109" i="81"/>
  <c r="E2106" i="81"/>
  <c r="A130" i="80"/>
  <c r="C130" i="80" s="1"/>
  <c r="A400" i="80"/>
  <c r="C399" i="80"/>
  <c r="A2307" i="80"/>
  <c r="C2307" i="80" s="1"/>
  <c r="C2306" i="80"/>
  <c r="A2398" i="80"/>
  <c r="C2397" i="80"/>
  <c r="C1223" i="80"/>
  <c r="C898" i="80"/>
  <c r="A899" i="80"/>
  <c r="C1482" i="80"/>
  <c r="A1483" i="80"/>
  <c r="A145" i="80"/>
  <c r="C145" i="80" s="1"/>
  <c r="C144" i="80"/>
  <c r="A116" i="80"/>
  <c r="C116" i="80" s="1"/>
  <c r="C115" i="80"/>
  <c r="I18" i="80"/>
  <c r="C35" i="80"/>
  <c r="A2198" i="80"/>
  <c r="C2198" i="80" s="1"/>
  <c r="C2197" i="80"/>
  <c r="A2084" i="80"/>
  <c r="C2084" i="80" s="1"/>
  <c r="C2083" i="80"/>
  <c r="A1933" i="80"/>
  <c r="C1932" i="80"/>
  <c r="A1840" i="80"/>
  <c r="C1840" i="80" s="1"/>
  <c r="C1839" i="80"/>
  <c r="A1653" i="80"/>
  <c r="C1652" i="80"/>
  <c r="I1579" i="80"/>
  <c r="I1328" i="80"/>
  <c r="C1297" i="80"/>
  <c r="I1315" i="80"/>
  <c r="A1315" i="80" s="1"/>
  <c r="A1293" i="80"/>
  <c r="C1293" i="80" s="1"/>
  <c r="C1292" i="80"/>
  <c r="A1218" i="80"/>
  <c r="C1218" i="80" s="1"/>
  <c r="C1217" i="80"/>
  <c r="A1212" i="80"/>
  <c r="C1211" i="80"/>
  <c r="A1189" i="80"/>
  <c r="C1189" i="80" s="1"/>
  <c r="C1188" i="80"/>
  <c r="C1177" i="80"/>
  <c r="A1156" i="80"/>
  <c r="C1155" i="80"/>
  <c r="A1123" i="80"/>
  <c r="C1122" i="80"/>
  <c r="A1103" i="80"/>
  <c r="C1103" i="80" s="1"/>
  <c r="C1102" i="80"/>
  <c r="C1098" i="80"/>
  <c r="A1099" i="80"/>
  <c r="A719" i="80"/>
  <c r="A720" i="80" s="1"/>
  <c r="A1055" i="80"/>
  <c r="C1054" i="80"/>
  <c r="A816" i="80"/>
  <c r="C816" i="80" s="1"/>
  <c r="C815" i="80"/>
  <c r="A747" i="80"/>
  <c r="C746" i="80"/>
  <c r="A513" i="80"/>
  <c r="C512" i="80"/>
  <c r="C172" i="80"/>
  <c r="A173" i="80"/>
  <c r="AO336" i="28"/>
  <c r="R2107" i="16"/>
  <c r="M2108" i="16" s="1"/>
  <c r="AM2108" i="16" s="1"/>
  <c r="E24" i="18"/>
  <c r="E25" i="18"/>
  <c r="D24" i="18"/>
  <c r="AE2154" i="16"/>
  <c r="AC2154" i="16" s="1"/>
  <c r="M2150" i="16"/>
  <c r="AM2150" i="16" s="1"/>
  <c r="M971" i="16"/>
  <c r="AM971" i="16" s="1"/>
  <c r="Y15" i="3"/>
  <c r="AC15" i="3" s="1"/>
  <c r="D24" i="17"/>
  <c r="T1387" i="16"/>
  <c r="AD1387" i="16" s="1"/>
  <c r="AC1387" i="16" s="1"/>
  <c r="O1198" i="16"/>
  <c r="AF437" i="16"/>
  <c r="AF431" i="16"/>
  <c r="AF421" i="16"/>
  <c r="G1634" i="16"/>
  <c r="G1635" i="16" s="1"/>
  <c r="M1195" i="16"/>
  <c r="AM1195" i="16" s="1"/>
  <c r="M1181" i="16"/>
  <c r="AM1181" i="16" s="1"/>
  <c r="M1167" i="16"/>
  <c r="AM1167" i="16" s="1"/>
  <c r="M1127" i="16"/>
  <c r="AM1127" i="16" s="1"/>
  <c r="M1128" i="16"/>
  <c r="AM1128" i="16" s="1"/>
  <c r="M1210" i="16"/>
  <c r="AM1210" i="16" s="1"/>
  <c r="M1194" i="16"/>
  <c r="AM1194" i="16" s="1"/>
  <c r="M1176" i="16"/>
  <c r="AM1176" i="16" s="1"/>
  <c r="M1165" i="16"/>
  <c r="AM1165" i="16" s="1"/>
  <c r="M1209" i="16"/>
  <c r="AM1209" i="16" s="1"/>
  <c r="M1193" i="16"/>
  <c r="AM1193" i="16" s="1"/>
  <c r="M1175" i="16"/>
  <c r="AM1175" i="16" s="1"/>
  <c r="M1164" i="16"/>
  <c r="AM1164" i="16" s="1"/>
  <c r="M1208" i="16"/>
  <c r="AM1208" i="16" s="1"/>
  <c r="M1188" i="16"/>
  <c r="AM1188" i="16" s="1"/>
  <c r="M1173" i="16"/>
  <c r="AM1173" i="16" s="1"/>
  <c r="M1163" i="16"/>
  <c r="AM1163" i="16" s="1"/>
  <c r="M1201" i="16"/>
  <c r="M1185" i="16"/>
  <c r="AM1185" i="16" s="1"/>
  <c r="M1172" i="16"/>
  <c r="AM1172" i="16" s="1"/>
  <c r="M1162" i="16"/>
  <c r="AM1162" i="16" s="1"/>
  <c r="M1200" i="16"/>
  <c r="AM1200" i="16" s="1"/>
  <c r="M1184" i="16"/>
  <c r="AM1184" i="16" s="1"/>
  <c r="M1171" i="16"/>
  <c r="AM1171" i="16" s="1"/>
  <c r="M1161" i="16"/>
  <c r="AM1161" i="16" s="1"/>
  <c r="M1168" i="16"/>
  <c r="AM1168" i="16" s="1"/>
  <c r="M1197" i="16"/>
  <c r="AM1197" i="16" s="1"/>
  <c r="M1183" i="16"/>
  <c r="AM1183" i="16" s="1"/>
  <c r="M1170" i="16"/>
  <c r="AM1170" i="16" s="1"/>
  <c r="M1129" i="16"/>
  <c r="AM1129" i="16" s="1"/>
  <c r="M1196" i="16"/>
  <c r="AM1196" i="16" s="1"/>
  <c r="M1182" i="16"/>
  <c r="AM1182" i="16" s="1"/>
  <c r="O2202" i="16"/>
  <c r="T1213" i="16"/>
  <c r="AD1213" i="16" s="1"/>
  <c r="AC1213" i="16" s="1"/>
  <c r="O1211" i="16"/>
  <c r="AE975" i="16"/>
  <c r="AC975" i="16" s="1"/>
  <c r="E24" i="17"/>
  <c r="AA15" i="3"/>
  <c r="X15" i="3"/>
  <c r="G1344" i="16"/>
  <c r="G1345" i="16" s="1"/>
  <c r="G1346" i="16" s="1"/>
  <c r="G1347" i="16" s="1"/>
  <c r="G1348" i="16" s="1"/>
  <c r="G1349" i="16" s="1"/>
  <c r="G1350" i="16" s="1"/>
  <c r="G1351" i="16" s="1"/>
  <c r="G1352" i="16" s="1"/>
  <c r="G1353" i="16" s="1"/>
  <c r="G1354" i="16" s="1"/>
  <c r="G1355" i="16" s="1"/>
  <c r="G1356" i="16" s="1"/>
  <c r="AC158" i="27"/>
  <c r="O158" i="27"/>
  <c r="I1788" i="80" s="1"/>
  <c r="I1783" i="80" s="1"/>
  <c r="A1783" i="80" s="1"/>
  <c r="I1" i="24"/>
  <c r="K14" i="72"/>
  <c r="N1293" i="16"/>
  <c r="AO423" i="25"/>
  <c r="T1376" i="16"/>
  <c r="AD1376" i="16" s="1"/>
  <c r="AC1376" i="16" s="1"/>
  <c r="T2204" i="16"/>
  <c r="AD2204" i="16" s="1"/>
  <c r="AC2204" i="16" s="1"/>
  <c r="AO229" i="25"/>
  <c r="N1099" i="16"/>
  <c r="G2304" i="16"/>
  <c r="G2305" i="16" s="1"/>
  <c r="G2306" i="16" s="1"/>
  <c r="G2307" i="16" s="1"/>
  <c r="G2308" i="16" s="1"/>
  <c r="G2309" i="16" s="1"/>
  <c r="G2310" i="16" s="1"/>
  <c r="G2311" i="16" s="1"/>
  <c r="G2312" i="16" s="1"/>
  <c r="G2313" i="16" s="1"/>
  <c r="G2314" i="16" s="1"/>
  <c r="G2396" i="16"/>
  <c r="G2397" i="16" s="1"/>
  <c r="G2398" i="16" s="1"/>
  <c r="G2399" i="16" s="1"/>
  <c r="G2400" i="16" s="1"/>
  <c r="G2401" i="16" s="1"/>
  <c r="G2402" i="16" s="1"/>
  <c r="G2403" i="16" s="1"/>
  <c r="G2404" i="16" s="1"/>
  <c r="G2405" i="16" s="1"/>
  <c r="G2406" i="16" s="1"/>
  <c r="G2407" i="16" s="1"/>
  <c r="AA20" i="3"/>
  <c r="Y20" i="3"/>
  <c r="AC20" i="3" s="1"/>
  <c r="X20" i="3"/>
  <c r="E29" i="17"/>
  <c r="X16" i="3"/>
  <c r="Y16" i="3"/>
  <c r="AC16" i="3" s="1"/>
  <c r="AA16" i="3"/>
  <c r="E25" i="17"/>
  <c r="N1228" i="16"/>
  <c r="AO358" i="25"/>
  <c r="AO220" i="25"/>
  <c r="N1090" i="16"/>
  <c r="G1091" i="16" s="1"/>
  <c r="AO354" i="25"/>
  <c r="N1224" i="16"/>
  <c r="G1224" i="16" s="1"/>
  <c r="N1318" i="16"/>
  <c r="AO448" i="25"/>
  <c r="AO356" i="25"/>
  <c r="N1226" i="16"/>
  <c r="G1226" i="16" s="1"/>
  <c r="AM331" i="25"/>
  <c r="O331" i="25"/>
  <c r="I1200" i="80" s="1"/>
  <c r="A1200" i="80" s="1"/>
  <c r="AO348" i="25"/>
  <c r="N1218" i="16"/>
  <c r="AG3" i="28"/>
  <c r="K17" i="72" s="1"/>
  <c r="AO489" i="25"/>
  <c r="N1359" i="16"/>
  <c r="I1" i="8"/>
  <c r="T19" i="3"/>
  <c r="N2202" i="16"/>
  <c r="G2203" i="16" s="1"/>
  <c r="G2204" i="16" s="1"/>
  <c r="G2205" i="16" s="1"/>
  <c r="G2206" i="16" s="1"/>
  <c r="H19" i="3"/>
  <c r="AC338" i="28"/>
  <c r="AI3" i="28"/>
  <c r="D29" i="17"/>
  <c r="R20" i="3"/>
  <c r="AG1" i="29" s="1"/>
  <c r="I1" i="29" s="1"/>
  <c r="P20" i="3"/>
  <c r="AG1" i="27"/>
  <c r="I1" i="27"/>
  <c r="L16" i="72"/>
  <c r="AG2" i="28"/>
  <c r="AI2" i="29"/>
  <c r="G145" i="16" l="1"/>
  <c r="G146" i="16" s="1"/>
  <c r="G1358" i="81"/>
  <c r="G1359" i="81" s="1"/>
  <c r="C1423" i="80"/>
  <c r="G1922" i="81"/>
  <c r="G1921" i="81" s="1"/>
  <c r="G1580" i="16"/>
  <c r="G1587" i="16" s="1"/>
  <c r="G1588" i="16" s="1"/>
  <c r="G1589" i="16" s="1"/>
  <c r="G1592" i="16" s="1"/>
  <c r="G1586" i="16"/>
  <c r="G1628" i="16"/>
  <c r="G1629" i="16" s="1"/>
  <c r="G1630" i="16" s="1"/>
  <c r="A525" i="80"/>
  <c r="C525" i="80" s="1"/>
  <c r="G1888" i="16"/>
  <c r="G1877" i="16" s="1"/>
  <c r="G1199" i="16"/>
  <c r="G1189" i="16" s="1"/>
  <c r="G1190" i="16" s="1"/>
  <c r="G1191" i="16" s="1"/>
  <c r="G1099" i="16"/>
  <c r="G1100" i="16" s="1"/>
  <c r="G1101" i="16" s="1"/>
  <c r="G310" i="16"/>
  <c r="G311" i="16" s="1"/>
  <c r="G1244" i="16"/>
  <c r="G1245" i="16" s="1"/>
  <c r="G1246" i="16" s="1"/>
  <c r="G1247" i="16" s="1"/>
  <c r="G1248" i="16" s="1"/>
  <c r="G1249" i="16" s="1"/>
  <c r="G1250" i="16" s="1"/>
  <c r="G1359" i="16"/>
  <c r="G1360" i="16" s="1"/>
  <c r="G1361" i="16" s="1"/>
  <c r="G1362" i="16" s="1"/>
  <c r="G1363" i="16" s="1"/>
  <c r="G1364" i="16" s="1"/>
  <c r="G1365" i="16" s="1"/>
  <c r="G1366" i="16" s="1"/>
  <c r="G1367" i="16" s="1"/>
  <c r="G1368" i="16" s="1"/>
  <c r="G1369" i="16" s="1"/>
  <c r="G1370" i="16" s="1"/>
  <c r="G1371" i="16" s="1"/>
  <c r="G1372" i="16" s="1"/>
  <c r="G1373" i="16" s="1"/>
  <c r="G1374" i="16" s="1"/>
  <c r="G1375" i="16" s="1"/>
  <c r="G1376" i="16" s="1"/>
  <c r="G1377" i="16" s="1"/>
  <c r="G1228" i="16"/>
  <c r="G1293" i="16"/>
  <c r="G1294" i="16" s="1"/>
  <c r="G251" i="16"/>
  <c r="G252" i="16" s="1"/>
  <c r="G1092" i="16"/>
  <c r="G1093" i="16" s="1"/>
  <c r="G1094" i="16" s="1"/>
  <c r="G1095" i="16" s="1"/>
  <c r="G1096" i="16" s="1"/>
  <c r="G446" i="16"/>
  <c r="G447" i="16" s="1"/>
  <c r="G448" i="16" s="1"/>
  <c r="G1318" i="16"/>
  <c r="G1218" i="16"/>
  <c r="G1219" i="16" s="1"/>
  <c r="G1220" i="16" s="1"/>
  <c r="G1433" i="16"/>
  <c r="A284" i="80"/>
  <c r="C284" i="80" s="1"/>
  <c r="C283" i="80"/>
  <c r="A1234" i="80"/>
  <c r="C317" i="80"/>
  <c r="A18" i="80"/>
  <c r="A19" i="80" s="1"/>
  <c r="C19" i="80" s="1"/>
  <c r="A1222" i="80"/>
  <c r="A1328" i="80"/>
  <c r="C1328" i="80" s="1"/>
  <c r="A1579" i="80"/>
  <c r="C1579" i="80" s="1"/>
  <c r="A1242" i="80"/>
  <c r="C1242" i="80" s="1"/>
  <c r="AM1106" i="16"/>
  <c r="G1107" i="16"/>
  <c r="G1108" i="16" s="1"/>
  <c r="G1109" i="16" s="1"/>
  <c r="G1110" i="16" s="1"/>
  <c r="G1111" i="16" s="1"/>
  <c r="C2203" i="80"/>
  <c r="AO1704" i="16"/>
  <c r="AO1702" i="16"/>
  <c r="R1700" i="16"/>
  <c r="N304" i="84"/>
  <c r="G194" i="84"/>
  <c r="D6" i="84" s="1"/>
  <c r="AC17" i="25"/>
  <c r="AI3" i="25"/>
  <c r="L15" i="72" s="1"/>
  <c r="N304" i="85"/>
  <c r="D6" i="85"/>
  <c r="C318" i="80"/>
  <c r="T18" i="3"/>
  <c r="AA18" i="3" s="1"/>
  <c r="D25" i="18"/>
  <c r="R16" i="3"/>
  <c r="A307" i="80"/>
  <c r="C307" i="80" s="1"/>
  <c r="E1701" i="81"/>
  <c r="AC549" i="25"/>
  <c r="C2011" i="80"/>
  <c r="A2012" i="80"/>
  <c r="C2012" i="80" s="1"/>
  <c r="C599" i="80"/>
  <c r="A600" i="80"/>
  <c r="C600" i="80" s="1"/>
  <c r="C2453" i="80"/>
  <c r="A2454" i="80"/>
  <c r="C2454" i="80" s="1"/>
  <c r="AO1226" i="16"/>
  <c r="E1292" i="81"/>
  <c r="E1223" i="81"/>
  <c r="AO1228" i="16"/>
  <c r="AO1318" i="16"/>
  <c r="E2201" i="81"/>
  <c r="AO2202" i="16"/>
  <c r="AO1218" i="16"/>
  <c r="E1098" i="81"/>
  <c r="O1201" i="16"/>
  <c r="E1200" i="81" s="1"/>
  <c r="AM1201" i="16"/>
  <c r="AG3" i="25"/>
  <c r="K15" i="72" s="1"/>
  <c r="E1197" i="81"/>
  <c r="AO1198" i="16"/>
  <c r="E1210" i="81"/>
  <c r="AO1211" i="16"/>
  <c r="E1064" i="81"/>
  <c r="AO1065" i="16"/>
  <c r="A2399" i="80"/>
  <c r="C2398" i="80"/>
  <c r="A401" i="80"/>
  <c r="C401" i="80" s="1"/>
  <c r="C400" i="80"/>
  <c r="C899" i="80"/>
  <c r="A900" i="80"/>
  <c r="A1484" i="80"/>
  <c r="C1484" i="80" s="1"/>
  <c r="C1483" i="80"/>
  <c r="A2106" i="80"/>
  <c r="A2107" i="80" s="1"/>
  <c r="C2107" i="80" s="1"/>
  <c r="C2105" i="80"/>
  <c r="A1934" i="80"/>
  <c r="C1934" i="80" s="1"/>
  <c r="C1933" i="80"/>
  <c r="A1654" i="80"/>
  <c r="C1654" i="80" s="1"/>
  <c r="C1653" i="80"/>
  <c r="A1298" i="80"/>
  <c r="C1298" i="80" s="1"/>
  <c r="C1358" i="80"/>
  <c r="A1359" i="80"/>
  <c r="C1359" i="80" s="1"/>
  <c r="A1316" i="80"/>
  <c r="C1316" i="80" s="1"/>
  <c r="C1315" i="80"/>
  <c r="A1190" i="80"/>
  <c r="C1190" i="80" s="1"/>
  <c r="A1213" i="80"/>
  <c r="C1212" i="80"/>
  <c r="A1201" i="80"/>
  <c r="C1200" i="80"/>
  <c r="C1156" i="80"/>
  <c r="A1157" i="80"/>
  <c r="A1124" i="80"/>
  <c r="C1123" i="80"/>
  <c r="C719" i="80"/>
  <c r="C1099" i="80"/>
  <c r="A1100" i="80"/>
  <c r="C1100" i="80" s="1"/>
  <c r="A1056" i="80"/>
  <c r="C1055" i="80"/>
  <c r="C747" i="80"/>
  <c r="A748" i="80"/>
  <c r="C748" i="80" s="1"/>
  <c r="C720" i="80"/>
  <c r="A721" i="80"/>
  <c r="A514" i="80"/>
  <c r="C513" i="80"/>
  <c r="A174" i="80"/>
  <c r="C174" i="80" s="1"/>
  <c r="C173" i="80"/>
  <c r="E28" i="18"/>
  <c r="R70" i="27"/>
  <c r="O75" i="27" s="1"/>
  <c r="I1705" i="80" s="1"/>
  <c r="AL2" i="16"/>
  <c r="AG2" i="16"/>
  <c r="AG1" i="16"/>
  <c r="AL1" i="16"/>
  <c r="AH1" i="16"/>
  <c r="AH2" i="16"/>
  <c r="N1787" i="16"/>
  <c r="G1787" i="16" s="1"/>
  <c r="G1782" i="16" s="1"/>
  <c r="AO158" i="27"/>
  <c r="AI3" i="16"/>
  <c r="N1201" i="16"/>
  <c r="AO331" i="25"/>
  <c r="H17" i="3"/>
  <c r="AG1" i="28"/>
  <c r="I1" i="28"/>
  <c r="L17" i="72"/>
  <c r="N19" i="3"/>
  <c r="I2" i="28"/>
  <c r="K19" i="3"/>
  <c r="L19" i="3"/>
  <c r="J19" i="3"/>
  <c r="I3" i="28"/>
  <c r="M19" i="3"/>
  <c r="I17" i="72"/>
  <c r="AA19" i="3"/>
  <c r="E28" i="17"/>
  <c r="X19" i="3"/>
  <c r="Y19" i="3"/>
  <c r="AC19" i="3" s="1"/>
  <c r="AG3" i="16"/>
  <c r="AG2" i="25"/>
  <c r="G1590" i="16" l="1"/>
  <c r="G1591" i="16" s="1"/>
  <c r="C18" i="80"/>
  <c r="G1229" i="16"/>
  <c r="G1230" i="16" s="1"/>
  <c r="G1231" i="16" s="1"/>
  <c r="G1232" i="16" s="1"/>
  <c r="G1424" i="16"/>
  <c r="G1425" i="16" s="1"/>
  <c r="G1426" i="16" s="1"/>
  <c r="G1423" i="16"/>
  <c r="G1201" i="16"/>
  <c r="G1202" i="16" s="1"/>
  <c r="G1203" i="16" s="1"/>
  <c r="G1204" i="16" s="1"/>
  <c r="G1319" i="16"/>
  <c r="G1626" i="16"/>
  <c r="A1314" i="80"/>
  <c r="C1314" i="80" s="1"/>
  <c r="A1235" i="80"/>
  <c r="C1234" i="80"/>
  <c r="X18" i="3"/>
  <c r="AJ2" i="16" s="1"/>
  <c r="E27" i="18"/>
  <c r="E27" i="17"/>
  <c r="T17" i="3"/>
  <c r="Y17" i="3" s="1"/>
  <c r="AO1201" i="16"/>
  <c r="G1593" i="16"/>
  <c r="G1594" i="16" s="1"/>
  <c r="A2400" i="80"/>
  <c r="C2400" i="80" s="1"/>
  <c r="C2399" i="80"/>
  <c r="C1778" i="80"/>
  <c r="C1157" i="80"/>
  <c r="C900" i="80"/>
  <c r="A901" i="80"/>
  <c r="C514" i="80"/>
  <c r="C2106" i="80"/>
  <c r="A1784" i="80"/>
  <c r="C1783" i="80"/>
  <c r="A1299" i="80"/>
  <c r="C1299" i="80" s="1"/>
  <c r="C1213" i="80"/>
  <c r="A1214" i="80"/>
  <c r="C1201" i="80"/>
  <c r="A1202" i="80"/>
  <c r="C1202" i="80" s="1"/>
  <c r="A1125" i="80"/>
  <c r="A1104" i="80" s="1"/>
  <c r="A1088" i="80" s="1"/>
  <c r="C1124" i="80"/>
  <c r="C1056" i="80"/>
  <c r="A1057" i="80"/>
  <c r="A722" i="80"/>
  <c r="C722" i="80" s="1"/>
  <c r="C721" i="80"/>
  <c r="N1704" i="16"/>
  <c r="AO75" i="27"/>
  <c r="D28" i="18"/>
  <c r="O73" i="27"/>
  <c r="I1703" i="80" s="1"/>
  <c r="I1692" i="80" s="1"/>
  <c r="G1112" i="16"/>
  <c r="G1113" i="16" s="1"/>
  <c r="G1114" i="16" s="1"/>
  <c r="G1115" i="16" s="1"/>
  <c r="G1116" i="16" s="1"/>
  <c r="G1117" i="16" s="1"/>
  <c r="G1118" i="16" s="1"/>
  <c r="G1119" i="16" s="1"/>
  <c r="G1120" i="16" s="1"/>
  <c r="G1121" i="16" s="1"/>
  <c r="AK1" i="16"/>
  <c r="AK2" i="16"/>
  <c r="G1788" i="16"/>
  <c r="G1789" i="16" s="1"/>
  <c r="G1790" i="16" s="1"/>
  <c r="G1378" i="16"/>
  <c r="G1379" i="16" s="1"/>
  <c r="G1380" i="16" s="1"/>
  <c r="G1381" i="16" s="1"/>
  <c r="G1382" i="16" s="1"/>
  <c r="G1383" i="16" s="1"/>
  <c r="G1384" i="16" s="1"/>
  <c r="G1385" i="16" s="1"/>
  <c r="G1386" i="16" s="1"/>
  <c r="I3" i="25"/>
  <c r="J17" i="3"/>
  <c r="I2" i="25"/>
  <c r="L17" i="3"/>
  <c r="K17" i="3"/>
  <c r="N17" i="3"/>
  <c r="I15" i="72"/>
  <c r="M17" i="3"/>
  <c r="D28" i="17"/>
  <c r="P19" i="3"/>
  <c r="R19" i="3"/>
  <c r="AI2" i="28"/>
  <c r="G1329" i="16" l="1"/>
  <c r="G1223" i="16"/>
  <c r="G1704" i="16"/>
  <c r="G1705" i="16" s="1"/>
  <c r="G1706" i="16" s="1"/>
  <c r="G1707" i="16" s="1"/>
  <c r="G1105" i="16"/>
  <c r="G1089" i="16" s="1"/>
  <c r="G1315" i="16"/>
  <c r="G1316" i="16"/>
  <c r="G1317" i="16" s="1"/>
  <c r="C1784" i="80"/>
  <c r="A1772" i="80"/>
  <c r="C1772" i="80" s="1"/>
  <c r="A1692" i="80"/>
  <c r="C1692" i="80" s="1"/>
  <c r="C1235" i="80"/>
  <c r="A1236" i="80"/>
  <c r="E26" i="17"/>
  <c r="E32" i="17" s="1"/>
  <c r="X17" i="3"/>
  <c r="AI2" i="16" s="1"/>
  <c r="I4" i="16" s="1"/>
  <c r="E26" i="18"/>
  <c r="E32" i="18" s="1"/>
  <c r="AA17" i="3"/>
  <c r="AI1" i="16" s="1"/>
  <c r="D7" i="85"/>
  <c r="C1222" i="80"/>
  <c r="C1125" i="80"/>
  <c r="A902" i="80"/>
  <c r="C901" i="80"/>
  <c r="A1215" i="80"/>
  <c r="A1138" i="80" s="1"/>
  <c r="C1214" i="80"/>
  <c r="A1058" i="80"/>
  <c r="C1057" i="80"/>
  <c r="R71" i="27"/>
  <c r="AO73" i="27"/>
  <c r="D26" i="18"/>
  <c r="N1702" i="16"/>
  <c r="G1783" i="16"/>
  <c r="G1784" i="16" s="1"/>
  <c r="R17" i="3"/>
  <c r="AG1" i="25" s="1"/>
  <c r="I1" i="25" s="1"/>
  <c r="P17" i="3"/>
  <c r="D26" i="17"/>
  <c r="AC17" i="3"/>
  <c r="AI2" i="25"/>
  <c r="G1702" i="16" l="1"/>
  <c r="C1236" i="80"/>
  <c r="A1237" i="80"/>
  <c r="C1237" i="80" s="1"/>
  <c r="C1215" i="80"/>
  <c r="C1138" i="80"/>
  <c r="C1104" i="80"/>
  <c r="A903" i="80"/>
  <c r="C902" i="80"/>
  <c r="A1059" i="80"/>
  <c r="C1058" i="80"/>
  <c r="G1703" i="16" l="1"/>
  <c r="G1699" i="16" s="1"/>
  <c r="A904" i="80"/>
  <c r="C903" i="80"/>
  <c r="A1060" i="80"/>
  <c r="A1047" i="80" s="1"/>
  <c r="C1059" i="80"/>
  <c r="G1691" i="16" l="1"/>
  <c r="G1700" i="16"/>
  <c r="G1701" i="16" s="1"/>
  <c r="C904" i="80"/>
  <c r="A905" i="80"/>
  <c r="C905" i="80" s="1"/>
  <c r="C1060" i="80"/>
  <c r="D7" i="84" l="1"/>
  <c r="G1304" i="16"/>
  <c r="G1305" i="16" l="1"/>
  <c r="G1306" i="16" s="1"/>
  <c r="G1307" i="16" s="1"/>
  <c r="G1298" i="16" l="1"/>
  <c r="G1243" i="16" s="1"/>
  <c r="N1870" i="16"/>
  <c r="Y12" i="3" l="1"/>
  <c r="Y18" i="3" s="1"/>
  <c r="H18" i="3"/>
  <c r="L18" i="3" s="1"/>
  <c r="L21" i="3" s="1"/>
  <c r="F23" i="72" s="1"/>
  <c r="AO241" i="27"/>
  <c r="N12" i="3"/>
  <c r="G1299" i="16"/>
  <c r="G1300" i="16" s="1"/>
  <c r="G1730" i="16"/>
  <c r="AG2" i="27"/>
  <c r="G1731" i="16" l="1"/>
  <c r="G1732" i="16" s="1"/>
  <c r="K18" i="3"/>
  <c r="K21" i="3" s="1"/>
  <c r="E23" i="72" s="1"/>
  <c r="I16" i="72"/>
  <c r="M18" i="3"/>
  <c r="M21" i="3" s="1"/>
  <c r="G23" i="72" s="1"/>
  <c r="J18" i="3"/>
  <c r="J21" i="3" s="1"/>
  <c r="D23" i="72" s="1"/>
  <c r="I3" i="27"/>
  <c r="N18" i="3"/>
  <c r="P18" i="3" s="1"/>
  <c r="AC18" i="3"/>
  <c r="V17" i="3"/>
  <c r="V15" i="3"/>
  <c r="V20" i="3"/>
  <c r="V16" i="3"/>
  <c r="V19" i="3"/>
  <c r="V18" i="3"/>
  <c r="I4" i="27"/>
  <c r="I2" i="27"/>
  <c r="G1733" i="16"/>
  <c r="G1734" i="16" s="1"/>
  <c r="G1735" i="16" s="1"/>
  <c r="G1736" i="16" s="1"/>
  <c r="G1737" i="16" s="1"/>
  <c r="G1738" i="16" s="1"/>
  <c r="G1739" i="16" s="1"/>
  <c r="G1740" i="16" s="1"/>
  <c r="AI2" i="27"/>
  <c r="G1728" i="16" l="1"/>
  <c r="N21" i="3"/>
  <c r="R21" i="3" s="1"/>
  <c r="I21" i="72"/>
  <c r="D27" i="17"/>
  <c r="D27" i="18"/>
  <c r="R18" i="3"/>
  <c r="AJ1" i="16"/>
  <c r="I3" i="16" s="1"/>
  <c r="V21" i="3"/>
  <c r="Y21" i="3" s="1"/>
  <c r="N22" i="3" l="1"/>
  <c r="R22" i="3" s="1"/>
  <c r="G8" i="17" s="1"/>
  <c r="D32" i="18"/>
  <c r="D32" i="17"/>
  <c r="AC21" i="3"/>
  <c r="Y22" i="3"/>
  <c r="AC22" i="3" s="1"/>
  <c r="D25" i="72" l="1"/>
  <c r="AM2" i="16"/>
  <c r="I2" i="16" s="1"/>
  <c r="G8" i="18"/>
  <c r="C424" i="80" l="1"/>
  <c r="C431" i="80"/>
  <c r="A432" i="80"/>
  <c r="C432" i="80" l="1"/>
  <c r="A433" i="80"/>
  <c r="C433" i="80" s="1"/>
  <c r="A796" i="80"/>
  <c r="C796" i="80" s="1"/>
  <c r="C794" i="80"/>
  <c r="C795" i="80"/>
  <c r="A408" i="80" l="1"/>
  <c r="C408" i="80" s="1"/>
  <c r="A797" i="80"/>
  <c r="C797" i="80" s="1"/>
  <c r="A798" i="80" l="1"/>
  <c r="A799" i="80"/>
  <c r="C798" i="80"/>
  <c r="C799" i="80" l="1"/>
  <c r="A800" i="80"/>
  <c r="C800" i="80" l="1"/>
  <c r="A801" i="80"/>
  <c r="A802" i="80" l="1"/>
  <c r="C801" i="80"/>
  <c r="C802" i="80" l="1"/>
  <c r="A803" i="80"/>
  <c r="C803" i="80" s="1"/>
  <c r="C804" i="80"/>
  <c r="A805" i="80"/>
  <c r="C805" i="80" s="1"/>
  <c r="C970" i="80"/>
  <c r="A971" i="80"/>
  <c r="A972" i="80" s="1"/>
  <c r="C972" i="80" s="1"/>
  <c r="C971" i="80" l="1"/>
  <c r="A973" i="80"/>
  <c r="C973" i="80" s="1"/>
  <c r="C1061" i="80"/>
  <c r="C1047" i="80"/>
  <c r="A1062" i="80"/>
  <c r="C1062" i="80" s="1"/>
  <c r="C1068" i="80"/>
  <c r="A1069" i="80"/>
  <c r="C1069" i="80" s="1"/>
  <c r="A1070" i="80" l="1"/>
  <c r="A1071" i="80" l="1"/>
  <c r="C1070" i="80"/>
  <c r="C1071" i="80" l="1"/>
  <c r="A1072" i="80"/>
  <c r="C1072" i="80" l="1"/>
  <c r="A1073" i="80"/>
  <c r="C1073" i="80" l="1"/>
  <c r="A1074" i="80"/>
  <c r="C1088" i="80" s="1"/>
  <c r="A1077" i="80" l="1"/>
  <c r="C1076" i="80"/>
  <c r="C1074" i="80"/>
  <c r="A1075" i="80"/>
  <c r="C1075" i="80" s="1"/>
  <c r="A1078" i="80" l="1"/>
  <c r="C1077" i="80"/>
  <c r="A1079" i="80" l="1"/>
  <c r="C1079" i="80" s="1"/>
  <c r="C1078" i="80"/>
  <c r="C1944" i="80"/>
  <c r="A1945" i="80"/>
  <c r="A1946" i="80" s="1"/>
  <c r="C1945" i="80" l="1"/>
  <c r="A1947" i="80"/>
  <c r="C1946" i="80"/>
  <c r="A1948" i="80" l="1"/>
  <c r="C1947" i="80"/>
  <c r="A1949" i="80" l="1"/>
  <c r="C1948" i="80"/>
  <c r="A1950" i="80" l="1"/>
  <c r="C1949" i="80"/>
  <c r="C1950" i="80" l="1"/>
  <c r="A1951" i="80"/>
  <c r="A1952" i="80" l="1"/>
  <c r="C1951" i="80"/>
  <c r="C1952" i="80" l="1"/>
  <c r="A1953" i="80"/>
  <c r="A1954" i="80" l="1"/>
  <c r="C1954" i="80" s="1"/>
  <c r="C1953" i="80"/>
  <c r="G19" i="81"/>
  <c r="G114" i="81"/>
  <c r="G115" i="81" s="1"/>
  <c r="G116" i="81" s="1"/>
  <c r="G220" i="81"/>
  <c r="G221" i="81" s="1"/>
  <c r="G10" i="86" l="1" a="1"/>
  <c r="G10" i="86" s="1"/>
  <c r="D2" i="86" s="1"/>
  <c r="T11" i="86" a="1"/>
  <c r="T11" i="86" l="1"/>
  <c r="T11" i="87" a="1"/>
  <c r="T11" i="8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<sst xmlns="http://schemas.openxmlformats.org/spreadsheetml/2006/main" count="45684" uniqueCount="5856">
  <si>
    <t>error</t>
  </si>
  <si>
    <t>Notes</t>
  </si>
  <si>
    <t>State</t>
  </si>
  <si>
    <t>StateA</t>
  </si>
  <si>
    <t>County</t>
  </si>
  <si>
    <t>Radon</t>
  </si>
  <si>
    <t>Climate</t>
  </si>
  <si>
    <t>Moist</t>
  </si>
  <si>
    <t>WarmHumid</t>
  </si>
  <si>
    <t>Alaska</t>
  </si>
  <si>
    <t>AK</t>
  </si>
  <si>
    <t xml:space="preserve"> </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</si>
  <si>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</si>
  <si>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</si>
  <si>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</si>
  <si>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</si>
  <si>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</si>
  <si>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</si>
  <si>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</si>
  <si>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</si>
  <si>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</si>
  <si>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</si>
  <si>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</si>
  <si>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</si>
  <si>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</si>
  <si>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</si>
  <si>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</si>
  <si>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</si>
  <si>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</si>
  <si>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</si>
  <si>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</si>
  <si>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</si>
  <si>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</si>
  <si>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</si>
  <si>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</si>
  <si>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</si>
  <si>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</si>
  <si>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</si>
  <si>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</si>
  <si>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</si>
  <si>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CO</t>
  </si>
  <si>
    <t>Nebraska</t>
  </si>
  <si>
    <t>New Hampshire</t>
  </si>
  <si>
    <t>New Jersey</t>
  </si>
  <si>
    <t>New Mexico</t>
  </si>
  <si>
    <t>Nevada</t>
  </si>
  <si>
    <t>New York</t>
  </si>
  <si>
    <t>Ohio</t>
  </si>
  <si>
    <t>Oklahoma</t>
  </si>
  <si>
    <t>Oregon</t>
  </si>
  <si>
    <t>Pennsylvania</t>
  </si>
  <si>
    <t>Rhode Island</t>
  </si>
  <si>
    <t>South Carolina</t>
  </si>
  <si>
    <t>South Dakota</t>
  </si>
  <si>
    <t>ME</t>
  </si>
  <si>
    <t>Tennessee</t>
  </si>
  <si>
    <t>MI</t>
  </si>
  <si>
    <t>Texas</t>
  </si>
  <si>
    <t>Utah</t>
  </si>
  <si>
    <t>Virginia</t>
  </si>
  <si>
    <t>Vermont</t>
  </si>
  <si>
    <t>Washington</t>
  </si>
  <si>
    <t>Wisconsin</t>
  </si>
  <si>
    <t>West Virginia</t>
  </si>
  <si>
    <t>Wyoming</t>
  </si>
  <si>
    <t>American Samoa</t>
  </si>
  <si>
    <t>Guam</t>
  </si>
  <si>
    <t>MN</t>
  </si>
  <si>
    <t>Northern Mariana Islands</t>
  </si>
  <si>
    <t>Puerto Rico</t>
  </si>
  <si>
    <t>Virgin Islands</t>
  </si>
  <si>
    <t>ND</t>
  </si>
  <si>
    <t>WI</t>
  </si>
  <si>
    <t>WY</t>
  </si>
  <si>
    <t>CA</t>
  </si>
  <si>
    <t>Dry</t>
  </si>
  <si>
    <t>ID</t>
  </si>
  <si>
    <t>IA</t>
  </si>
  <si>
    <t>MT</t>
  </si>
  <si>
    <t>NH</t>
  </si>
  <si>
    <t>NY</t>
  </si>
  <si>
    <t>PA</t>
  </si>
  <si>
    <t>SD</t>
  </si>
  <si>
    <t>UT</t>
  </si>
  <si>
    <t>VT</t>
  </si>
  <si>
    <t>WA</t>
  </si>
  <si>
    <t>AZ</t>
  </si>
  <si>
    <t>CT</t>
  </si>
  <si>
    <t>IL</t>
  </si>
  <si>
    <t>IN</t>
  </si>
  <si>
    <t>Page</t>
  </si>
  <si>
    <t>KS</t>
  </si>
  <si>
    <t>MD</t>
  </si>
  <si>
    <t>MA</t>
  </si>
  <si>
    <t>MO</t>
  </si>
  <si>
    <t>NE</t>
  </si>
  <si>
    <t>NV</t>
  </si>
  <si>
    <t>NJ</t>
  </si>
  <si>
    <t>NM</t>
  </si>
  <si>
    <t>NC</t>
  </si>
  <si>
    <t>OH</t>
  </si>
  <si>
    <t>OR</t>
  </si>
  <si>
    <t>RI</t>
  </si>
  <si>
    <t>WV</t>
  </si>
  <si>
    <t>AR</t>
  </si>
  <si>
    <t>Marine</t>
  </si>
  <si>
    <t>DE</t>
  </si>
  <si>
    <t>DC</t>
  </si>
  <si>
    <t>GA</t>
  </si>
  <si>
    <t>KY</t>
  </si>
  <si>
    <t>OK</t>
  </si>
  <si>
    <t>TN</t>
  </si>
  <si>
    <t>TX</t>
  </si>
  <si>
    <t>VA</t>
  </si>
  <si>
    <t>AL</t>
  </si>
  <si>
    <t>Warm-Humid</t>
  </si>
  <si>
    <t>LA</t>
  </si>
  <si>
    <t>MS</t>
  </si>
  <si>
    <t>SC</t>
  </si>
  <si>
    <t>FL</t>
  </si>
  <si>
    <t>HI</t>
  </si>
  <si>
    <t>(a)</t>
  </si>
  <si>
    <t>(b)</t>
  </si>
  <si>
    <t>(c)</t>
  </si>
  <si>
    <t>Builder Name:</t>
  </si>
  <si>
    <t>Physical Address of Home:</t>
  </si>
  <si>
    <t>City:</t>
  </si>
  <si>
    <t>County:</t>
  </si>
  <si>
    <t>State:</t>
  </si>
  <si>
    <t>Zip:</t>
  </si>
  <si>
    <t>Community/Lot #:</t>
  </si>
  <si>
    <t>Above grade plane finished floor area:</t>
  </si>
  <si>
    <t>Total conditioned floor area:</t>
  </si>
  <si>
    <t xml:space="preserve">Project Description (optional): </t>
  </si>
  <si>
    <t>Foundation Type:</t>
  </si>
  <si>
    <t>Renewable Energy:</t>
  </si>
  <si>
    <t>Thermal Envelope Insulation:</t>
  </si>
  <si>
    <t>Attic Type:</t>
  </si>
  <si>
    <t>Attached Garage:</t>
  </si>
  <si>
    <t>Recessed Lighting:</t>
  </si>
  <si>
    <t>Special Design Features:</t>
  </si>
  <si>
    <t>Passive Solar:</t>
  </si>
  <si>
    <t>Mass Walls:</t>
  </si>
  <si>
    <t>Radiant/Hydronic:</t>
  </si>
  <si>
    <t>Local Energy Code:</t>
  </si>
  <si>
    <t>Local Building Code:</t>
  </si>
  <si>
    <t>s.f./unit</t>
  </si>
  <si>
    <t>s.f.</t>
  </si>
  <si>
    <t>dstBuilderName</t>
  </si>
  <si>
    <t>dstHomeAddress</t>
  </si>
  <si>
    <t>dstLot</t>
  </si>
  <si>
    <t>dstCity</t>
  </si>
  <si>
    <t>dstState</t>
  </si>
  <si>
    <t>dstCounty</t>
  </si>
  <si>
    <t>dstZIP</t>
  </si>
  <si>
    <t>dstSingleOrMulti</t>
  </si>
  <si>
    <t>Number of Units:</t>
  </si>
  <si>
    <t>Project Name:</t>
  </si>
  <si>
    <t>dstUnits</t>
  </si>
  <si>
    <t>dstProjectName</t>
  </si>
  <si>
    <t>dstAGFloorArea</t>
  </si>
  <si>
    <t>dstTCFloorArea</t>
  </si>
  <si>
    <t>dstProjectDesc</t>
  </si>
  <si>
    <t>dstFoundation</t>
  </si>
  <si>
    <t>dstFuel</t>
  </si>
  <si>
    <t>dstRenewable</t>
  </si>
  <si>
    <t>dstTEInsulation</t>
  </si>
  <si>
    <t>dstAttic</t>
  </si>
  <si>
    <t>dstAttachedGarage</t>
  </si>
  <si>
    <t>dstRecessedLighting</t>
  </si>
  <si>
    <t>dstPassiveSolar</t>
  </si>
  <si>
    <t>dstMassWalls</t>
  </si>
  <si>
    <t>dstRadiantHydronic</t>
  </si>
  <si>
    <t>dstEnergyCode</t>
  </si>
  <si>
    <t>dstBuildingCode</t>
  </si>
  <si>
    <t>ddState</t>
  </si>
  <si>
    <t>ddCounty</t>
  </si>
  <si>
    <t>ddSingleOrMulti</t>
  </si>
  <si>
    <t>ddFoundation</t>
  </si>
  <si>
    <t>ddFuel</t>
  </si>
  <si>
    <t>ddRenewable</t>
  </si>
  <si>
    <t>ddTEInsulation</t>
  </si>
  <si>
    <t>ddAttic</t>
  </si>
  <si>
    <t>ddAttachedGarage</t>
  </si>
  <si>
    <t>ddRecessedLighting</t>
  </si>
  <si>
    <t>ddPassiveSolar</t>
  </si>
  <si>
    <t>ddMassWalls</t>
  </si>
  <si>
    <t>ddRadiantHydronic</t>
  </si>
  <si>
    <t>ddEnergyCode</t>
  </si>
  <si>
    <t>ddBuildingCode</t>
  </si>
  <si>
    <t>Start Here!</t>
  </si>
  <si>
    <t>Single-Family</t>
  </si>
  <si>
    <t>Basement</t>
  </si>
  <si>
    <t>Vented crawlspace</t>
  </si>
  <si>
    <t>Conditioned crawlspace</t>
  </si>
  <si>
    <t>Slab on grade</t>
  </si>
  <si>
    <t>Basement &amp; vented crawlspace</t>
  </si>
  <si>
    <t>Basement &amp; slab on grade</t>
  </si>
  <si>
    <t>Slab + crawlspace</t>
  </si>
  <si>
    <t>Other</t>
  </si>
  <si>
    <t>Furnace</t>
  </si>
  <si>
    <t>Boiler</t>
  </si>
  <si>
    <t>Heat Pump</t>
  </si>
  <si>
    <t>Electric Resistance</t>
  </si>
  <si>
    <t>Ground Source Heat Pump</t>
  </si>
  <si>
    <t>Gas</t>
  </si>
  <si>
    <t>Propane</t>
  </si>
  <si>
    <t>Oil</t>
  </si>
  <si>
    <t>Electricity</t>
  </si>
  <si>
    <t>Wood/Biomass</t>
  </si>
  <si>
    <t>None</t>
  </si>
  <si>
    <t>Photovoltaic</t>
  </si>
  <si>
    <t>Solar Hot Water</t>
  </si>
  <si>
    <t>Solar Heating</t>
  </si>
  <si>
    <t>Wind</t>
  </si>
  <si>
    <t>Fiberglass</t>
  </si>
  <si>
    <t>Cellulose</t>
  </si>
  <si>
    <t>Rigid Foam</t>
  </si>
  <si>
    <t>Spray Foam</t>
  </si>
  <si>
    <t>Fiberglass &amp; Rigid Foam</t>
  </si>
  <si>
    <t>Cellulose &amp; Rigid Foam</t>
  </si>
  <si>
    <t>SIP</t>
  </si>
  <si>
    <t>Spray &amp; Rigid Foam</t>
  </si>
  <si>
    <t>Vented</t>
  </si>
  <si>
    <t>Sealed</t>
  </si>
  <si>
    <t>Yes</t>
  </si>
  <si>
    <t>No</t>
  </si>
  <si>
    <t>2006 IECC</t>
  </si>
  <si>
    <t>2009 IECC</t>
  </si>
  <si>
    <t>2012 IECC</t>
  </si>
  <si>
    <t>2009 IRC</t>
  </si>
  <si>
    <t>2012 IRC</t>
  </si>
  <si>
    <t>Name</t>
  </si>
  <si>
    <t>dropdown names</t>
  </si>
  <si>
    <t>range names</t>
  </si>
  <si>
    <t>Tankless Water Heater:</t>
  </si>
  <si>
    <t>Composting Toilet:</t>
  </si>
  <si>
    <t>dstTLWH</t>
  </si>
  <si>
    <t>dstCToilet</t>
  </si>
  <si>
    <t>ddTLWH</t>
  </si>
  <si>
    <t>ddCToilet</t>
  </si>
  <si>
    <t>Version</t>
  </si>
  <si>
    <t>Instructions</t>
  </si>
  <si>
    <t>Key</t>
  </si>
  <si>
    <t>Introduction</t>
  </si>
  <si>
    <t>Go to http://www.homeinnovation.com/greenscoring to download the latest version of the NGBS Scoring for New Construction spreadsheet.</t>
  </si>
  <si>
    <t>Revision Date:</t>
  </si>
  <si>
    <t>X</t>
  </si>
  <si>
    <t>Practice #</t>
  </si>
  <si>
    <t>Points Available</t>
  </si>
  <si>
    <t>mand</t>
  </si>
  <si>
    <t>avail</t>
  </si>
  <si>
    <t>Status</t>
  </si>
  <si>
    <t>Points Claimed</t>
  </si>
  <si>
    <t>500.0</t>
  </si>
  <si>
    <t>501.1</t>
  </si>
  <si>
    <t>(1)</t>
  </si>
  <si>
    <t>An infill lot is selected.</t>
  </si>
  <si>
    <t>(2)</t>
  </si>
  <si>
    <t>A lot is selected that is a greyfield.</t>
  </si>
  <si>
    <t>(3)</t>
  </si>
  <si>
    <t>An EPA-recognized brownfield lot is selected.</t>
  </si>
  <si>
    <t>TorF</t>
  </si>
  <si>
    <t>Certified Site:</t>
  </si>
  <si>
    <t>501.2</t>
  </si>
  <si>
    <r>
      <t>501.2 Multi-modal transportation.</t>
    </r>
    <r>
      <rPr>
        <sz val="10"/>
        <color theme="1"/>
        <rFont val="Calibri"/>
        <family val="2"/>
        <scheme val="minor"/>
      </rPr>
      <t xml:space="preserve"> A range of multi-modal transportation choices are promoted by one or more of the following:</t>
    </r>
  </si>
  <si>
    <t>A lot is selected within one-half mile (805 m) of pedestrian access to a mass transit system</t>
  </si>
  <si>
    <t>A lot is selected within five miles (8,046 m) of a mass transit station with provisions for parking.</t>
  </si>
  <si>
    <t>Walkways, street crossings, and entrances designed to promote pedestrian activity are provided. New buildings are connected to existing sidewalks and areas of development.</t>
  </si>
  <si>
    <t>(4)</t>
  </si>
  <si>
    <t>A lot is selected within one-half mile (805 m) of six or more community resources  No more than two each of the following use category can be counted toward the total: Recreation, Retail, Civic, and Services. Examples of resources in each category include, but are not limited to the following:</t>
  </si>
  <si>
    <t>Recreation: recreational facilities (such as pools, tennis courts, basketball courts), parks.</t>
  </si>
  <si>
    <t>Retail: grocery store, restaurant, retail store.</t>
  </si>
  <si>
    <t>Civic:  post office, place of worship, community center.</t>
  </si>
  <si>
    <t>Services: bank, daycare center, school, medical/dental office, laundromat/dry cleaners.</t>
  </si>
  <si>
    <t>(5)</t>
  </si>
  <si>
    <t>Bicycle use is promoted by building on a lot located within a community that has rights-of-way specifically dedicated to bicycle use in the form of paved paths or bicycle lanes, or on an infill lot located within 1/2 mile of a bicycle lane designated by the jurisdiction.</t>
  </si>
  <si>
    <t>(6)</t>
  </si>
  <si>
    <t>Dedicated bicycle parking and racks are indicated on the site plan and constructed for mixed-use and multifamily buildings:</t>
  </si>
  <si>
    <t>Minimum of 1 bicycle parking space per 3 residential units</t>
  </si>
  <si>
    <t>Minimum of 1 bicycle parking space per 2 residential units</t>
  </si>
  <si>
    <t>Minimum of 1 bicycle parking space per 1 residential unit.</t>
  </si>
  <si>
    <t>2</t>
  </si>
  <si>
    <t>Ch.5</t>
  </si>
  <si>
    <t>NOTE: List the 6 community resources in the Notes field.</t>
  </si>
  <si>
    <t>startError</t>
  </si>
  <si>
    <t>Ch5MandError</t>
  </si>
  <si>
    <t>Ch5Error</t>
  </si>
  <si>
    <t>Ch5Points</t>
  </si>
  <si>
    <t>Ch5Level</t>
  </si>
  <si>
    <t>Emerald</t>
  </si>
  <si>
    <t>Ch5NLev</t>
  </si>
  <si>
    <t>Bronze</t>
  </si>
  <si>
    <t>Silver</t>
  </si>
  <si>
    <t>Gold</t>
  </si>
  <si>
    <t>threshholds</t>
  </si>
  <si>
    <t>earned</t>
  </si>
  <si>
    <t>extra</t>
  </si>
  <si>
    <t>level</t>
  </si>
  <si>
    <t>ptstonext</t>
  </si>
  <si>
    <t>Ch 5</t>
  </si>
  <si>
    <t>Ch 6</t>
  </si>
  <si>
    <t>Ch 7</t>
  </si>
  <si>
    <t>Ch 8</t>
  </si>
  <si>
    <t>Ch 9</t>
  </si>
  <si>
    <t>Ch 10</t>
  </si>
  <si>
    <t>manderror</t>
  </si>
  <si>
    <t>anyerror</t>
  </si>
  <si>
    <t>design</t>
  </si>
  <si>
    <t>final</t>
  </si>
  <si>
    <t>Practice</t>
  </si>
  <si>
    <t>verStartError</t>
  </si>
  <si>
    <t>verMandError</t>
  </si>
  <si>
    <t>verError</t>
  </si>
  <si>
    <t>Rough</t>
  </si>
  <si>
    <t>Final</t>
  </si>
  <si>
    <t>additional text</t>
  </si>
  <si>
    <t>final level</t>
  </si>
  <si>
    <t>Points</t>
  </si>
  <si>
    <t>Claimed</t>
  </si>
  <si>
    <t>Points Awarded</t>
  </si>
  <si>
    <t>verGoalLevel</t>
  </si>
  <si>
    <t>desGoalLevel</t>
  </si>
  <si>
    <t>ptstogoal</t>
  </si>
  <si>
    <t>points to goal</t>
  </si>
  <si>
    <t>verBuilderName</t>
  </si>
  <si>
    <t>verHomeAddress</t>
  </si>
  <si>
    <t>verLot</t>
  </si>
  <si>
    <t>verCity</t>
  </si>
  <si>
    <t>verState</t>
  </si>
  <si>
    <t>verCounty</t>
  </si>
  <si>
    <t>verZIP</t>
  </si>
  <si>
    <t>verSingleOrMulti</t>
  </si>
  <si>
    <t>verUnits</t>
  </si>
  <si>
    <t>verProjectName</t>
  </si>
  <si>
    <t>verAGFloorArea</t>
  </si>
  <si>
    <t>verTCFloorArea</t>
  </si>
  <si>
    <t>verProjectDesc</t>
  </si>
  <si>
    <t>verFoundation</t>
  </si>
  <si>
    <t>verHVAC1</t>
  </si>
  <si>
    <t>verHVAC2</t>
  </si>
  <si>
    <t>verHVAC3</t>
  </si>
  <si>
    <t>verFuel</t>
  </si>
  <si>
    <t>verRenewable</t>
  </si>
  <si>
    <t>verTEInsulation</t>
  </si>
  <si>
    <t>verAttic</t>
  </si>
  <si>
    <t>verAttachedGarage</t>
  </si>
  <si>
    <t>verRecessedLighting</t>
  </si>
  <si>
    <t>verPassiveSolar</t>
  </si>
  <si>
    <t>verMassWalls</t>
  </si>
  <si>
    <t>verRadiantHydronic</t>
  </si>
  <si>
    <t>verTLWH</t>
  </si>
  <si>
    <t>verCToilet</t>
  </si>
  <si>
    <t>verEnergyCode</t>
  </si>
  <si>
    <t>verBuildingCode</t>
  </si>
  <si>
    <t>Designer</t>
  </si>
  <si>
    <t>Correction</t>
  </si>
  <si>
    <t>Correct?</t>
  </si>
  <si>
    <t>Instructions: Verify all Designer inputs are correct using checkboxes. If incorrect, provide correct information.</t>
  </si>
  <si>
    <t>Goal Level:</t>
  </si>
  <si>
    <t>Single-Family or Multifamily:</t>
  </si>
  <si>
    <t>Calculate per ANSI Z765.  For a multifamily building, use a weighted average of the individual unit sizes.</t>
  </si>
  <si>
    <t>Multifamily</t>
  </si>
  <si>
    <t>dd</t>
  </si>
  <si>
    <t>des  add</t>
  </si>
  <si>
    <t>ver add</t>
  </si>
  <si>
    <t>If "Other", please explain:</t>
  </si>
  <si>
    <t>502 PROJECT TEAM, MISSION STATEMENT, AND GOALS</t>
  </si>
  <si>
    <t>502.1</t>
  </si>
  <si>
    <r>
      <t>502.1</t>
    </r>
    <r>
      <rPr>
        <sz val="10"/>
        <color theme="1"/>
        <rFont val="Calibri"/>
        <family val="2"/>
        <scheme val="minor"/>
      </rPr>
      <t xml:space="preserve"> </t>
    </r>
    <r>
      <rPr>
        <b/>
        <sz val="10"/>
        <color theme="1"/>
        <rFont val="Calibri"/>
        <family val="2"/>
        <scheme val="minor"/>
      </rPr>
      <t xml:space="preserve">Project team, mission statement, and goals. </t>
    </r>
    <r>
      <rPr>
        <sz val="10"/>
        <color theme="1"/>
        <rFont val="Calibri"/>
        <family val="2"/>
        <scheme val="minor"/>
      </rPr>
      <t xml:space="preserve">A knowledgeable team is established and team member roles are identified with respect to green lot design, preparation, and development. The project’s green goals and objectives are written into a mission statement. </t>
    </r>
  </si>
  <si>
    <t>503</t>
  </si>
  <si>
    <t>503 LOT DESIGN</t>
  </si>
  <si>
    <t>503.0</t>
  </si>
  <si>
    <r>
      <t>503.0 Intent.</t>
    </r>
    <r>
      <rPr>
        <sz val="10"/>
        <color theme="1"/>
        <rFont val="Calibri"/>
        <family val="2"/>
        <scheme val="minor"/>
      </rPr>
      <t xml:space="preserve"> The lot is designed to avoid detrimental environmental impacts first, to minimize any unavoidable impacts, and to mitigate for those impacts that do occur. The project is designed to minimize environmental impacts and to protect, restore, and enhance the natural features and environmental quality of the lot. </t>
    </r>
  </si>
  <si>
    <t>(Points awarded only if  the intent of the design is implemented.)</t>
  </si>
  <si>
    <t>503.1</t>
  </si>
  <si>
    <r>
      <t>503.1 Natural resources.</t>
    </r>
    <r>
      <rPr>
        <sz val="10"/>
        <color theme="1"/>
        <rFont val="Calibri"/>
        <family val="2"/>
      </rPr>
      <t xml:space="preserve"> Natural resources are conserved by one or more of the following:</t>
    </r>
  </si>
  <si>
    <t>A natural resources inventory is completed under the direction of a qualified professional.</t>
  </si>
  <si>
    <t>A plan is implemented to conserve the elements identified by the natural resource inventory as high-priority resources.</t>
  </si>
  <si>
    <t>Items listed for protection in the natural resource inventory plan are protected under the direction of a qualified professional.</t>
  </si>
  <si>
    <t>Basic training in tree or other natural resource protection is provided for the on-site supervisor.</t>
  </si>
  <si>
    <t>All tree pruning on-site is conducted by a certified arborist or other qualified professional.</t>
  </si>
  <si>
    <t>Ongoing maintenance of vegetation on the lot during construction is in accordance with TCIA A300 or locally accepted best practices.</t>
  </si>
  <si>
    <t>(7)</t>
  </si>
  <si>
    <t>Where a lot adjoins a landscaped common area, a protection plan from construction activities next to the common area is implemented.</t>
  </si>
  <si>
    <t>503.2</t>
  </si>
  <si>
    <r>
      <t>503.2 Slope disturbance.</t>
    </r>
    <r>
      <rPr>
        <sz val="10"/>
        <color theme="1"/>
        <rFont val="Calibri"/>
        <family val="2"/>
        <scheme val="minor"/>
      </rPr>
      <t xml:space="preserve"> Slope disturbance is minimized by one or more of the following: </t>
    </r>
  </si>
  <si>
    <t xml:space="preserve">The use of terrain adaptive architecture. </t>
  </si>
  <si>
    <t>Hydrological/soil stability study is completed and used to guide the design of all buildings on the lot.</t>
  </si>
  <si>
    <r>
      <t>All or a percentage of</t>
    </r>
    <r>
      <rPr>
        <b/>
        <sz val="10"/>
        <color theme="1"/>
        <rFont val="Calibri"/>
        <family val="2"/>
        <scheme val="minor"/>
      </rPr>
      <t xml:space="preserve"> </t>
    </r>
    <r>
      <rPr>
        <sz val="10"/>
        <color theme="1"/>
        <rFont val="Calibri"/>
        <family val="2"/>
        <scheme val="minor"/>
      </rPr>
      <t>driveways and parking are aligned with natural topography to reduce cut and fill.</t>
    </r>
  </si>
  <si>
    <t>25 percent to 75 percent</t>
  </si>
  <si>
    <t>greater than 75 percent</t>
  </si>
  <si>
    <t>Long-term erosion effects are reduced through the design and implementation of clustering, terracing, retaining walls, landscaping, or restabilization techniques.</t>
  </si>
  <si>
    <t>Underground parking uses the natural slope for parking entrances.</t>
  </si>
  <si>
    <t>503.3</t>
  </si>
  <si>
    <r>
      <t>503.3</t>
    </r>
    <r>
      <rPr>
        <sz val="10"/>
        <color theme="1"/>
        <rFont val="Calibri"/>
        <family val="2"/>
        <scheme val="minor"/>
      </rPr>
      <t xml:space="preserve"> </t>
    </r>
    <r>
      <rPr>
        <b/>
        <sz val="10"/>
        <color theme="1"/>
        <rFont val="Calibri"/>
        <family val="2"/>
        <scheme val="minor"/>
      </rPr>
      <t>Soil disturbance and erosion.</t>
    </r>
    <r>
      <rPr>
        <sz val="10"/>
        <color theme="1"/>
        <rFont val="Calibri"/>
        <family val="2"/>
        <scheme val="minor"/>
      </rPr>
      <t xml:space="preserve"> Soil disturbance and erosion are minimized by one or more of the following: (also see Section 504.3)</t>
    </r>
  </si>
  <si>
    <t>Construction activities are scheduled such that disturbed soil that is to be left unworked for more than 21 days is stabilized within 14 days..</t>
  </si>
  <si>
    <t>At least 75% of total length of the utilities on the lot are designed to use one or more alternative means:</t>
  </si>
  <si>
    <t>tunneling instead of trenching</t>
  </si>
  <si>
    <t>use of smaller (low ground pressure) equipment or geomats to spread the weight of construction equipment</t>
  </si>
  <si>
    <t>shared utility trenches or easements</t>
  </si>
  <si>
    <t>(d)</t>
  </si>
  <si>
    <t>placement of utilities under paved surfaces instead of yards</t>
  </si>
  <si>
    <t>Limits of clearing and grading are demarcated on the lot plan.</t>
  </si>
  <si>
    <t>503.4</t>
  </si>
  <si>
    <r>
      <t xml:space="preserve">503.4 Stormwater Management.  </t>
    </r>
    <r>
      <rPr>
        <sz val="10"/>
        <color theme="1"/>
        <rFont val="Calibri"/>
        <family val="2"/>
        <scheme val="minor"/>
      </rPr>
      <t>The stormwater management system is designed to use low impact development/green infrastructure practices to preserve, restore or mitigate changes in site hydrology due to land disturbance and the construction of impermeable surfaces through the use of one or more of the following techniques:</t>
    </r>
  </si>
  <si>
    <t xml:space="preserve">A site assessment is conducted and a plan prepared and implemented that identifies important existing permeable soils, natural drainage ways and other water features, e.g., depressional storage,  onsite to be preserved in order to maintain site hydrology.                                  </t>
  </si>
  <si>
    <t xml:space="preserve">A hydrologic analysis is conducted that results in the design of a stormwater management system that maintains the pre-development (stable, natural) runoff hydrology of the site through the development or redevelopment process. Ensure that post construction runoff rate, volume and duration do not exceed predevelopment rates, volume and duration.     </t>
  </si>
  <si>
    <t>Low Impact Development/Green infrastructure stormwater management practices to promote infiltration and evapotranspiration are used to manage rainfall on the lot and prevent the off-lot discharge of runoff from all storms up to and including the volume of following storm events:</t>
  </si>
  <si>
    <t>80th percentile storm event</t>
  </si>
  <si>
    <t>90th percentile storm event</t>
  </si>
  <si>
    <t>95th percentile storm event</t>
  </si>
  <si>
    <t>Permeable materials are used for driveways, parking areas, walkways, patios, and recreational surfaces and the like according to the following percentages:</t>
  </si>
  <si>
    <t>503.5</t>
  </si>
  <si>
    <r>
      <t>503.5 Landscape plan.</t>
    </r>
    <r>
      <rPr>
        <sz val="10"/>
        <color theme="1"/>
        <rFont val="Calibri"/>
        <family val="2"/>
        <scheme val="minor"/>
      </rPr>
      <t xml:space="preserve"> A plan for the lot is developed to limit water and energy use while preserving or enhancing the natural environment. </t>
    </r>
  </si>
  <si>
    <t xml:space="preserve">A plan is formulated and implemented that protects, restores, or enhances natural vegetation on the lot.  </t>
  </si>
  <si>
    <t>100 percent of the natural area</t>
  </si>
  <si>
    <t>50 percent of the natural area</t>
  </si>
  <si>
    <t>25 percent of the natural area</t>
  </si>
  <si>
    <t>12 percent of the natural area</t>
  </si>
  <si>
    <t>Non-invasive vegetation that is native or regionally appropriate for local growing conditions is selected to promote biodiversity.</t>
  </si>
  <si>
    <t>For landscaped vegetated areas, the maximum percentage of turf area is:</t>
  </si>
  <si>
    <t>0 percent</t>
  </si>
  <si>
    <t>Greater than 0 percent to less than 20 percent</t>
  </si>
  <si>
    <t>20 percent to less than 40 percent</t>
  </si>
  <si>
    <t>40 percent to 60 percent</t>
  </si>
  <si>
    <t>Plants with similar watering needs are grouped (hydrozoning) and shown on the lot plan.</t>
  </si>
  <si>
    <t>Summer shading by planting installed to shade a minimum of 30 percent of building walls. To conform to summer shading, the effective shade coverage (five years after planting) is the arithmetic mean of the shade coverage calculated at 10 am for eastward facing walls, noon for southward facing walls, and 3 pm for westward facing walls on the summer solstice.</t>
  </si>
  <si>
    <t>(8)</t>
  </si>
  <si>
    <t>Vegetative wind breaks or channels are designed to protect the lot and immediate surrounding lots as appropriate for local conditions.</t>
  </si>
  <si>
    <t>(9)</t>
  </si>
  <si>
    <t>Site or community generated tree trimmings or stump grinding of regionally appropriate trees are used on the lot to provide protective mulch during construction or for landscaping.</t>
  </si>
  <si>
    <t>(10)</t>
  </si>
  <si>
    <t>An integrated pest management plan is developed to minimize chemical use in pesticides and fertilizers.</t>
  </si>
  <si>
    <t>(11)</t>
  </si>
  <si>
    <t xml:space="preserve">Developer has a plan for removal or containment of invasive plants from the disturbed areas of the site.  </t>
  </si>
  <si>
    <t>(12)</t>
  </si>
  <si>
    <t xml:space="preserve">Developer implements a plan for removal or containment of invasive plants on the undisturbed areas of the site.  </t>
  </si>
  <si>
    <t>503.6</t>
  </si>
  <si>
    <r>
      <t xml:space="preserve">503.6 Wildlife habitat. </t>
    </r>
    <r>
      <rPr>
        <sz val="10"/>
        <color theme="1"/>
        <rFont val="Calibri"/>
        <family val="2"/>
        <scheme val="minor"/>
      </rPr>
      <t>Measures are planned to support wildlife habitat and include at least two of the following:</t>
    </r>
  </si>
  <si>
    <t>Plants and gardens that encourage wildlife, such as bird and butterfly gardens.</t>
  </si>
  <si>
    <t>Inclusion of a certified “backyard wildlife” program.</t>
  </si>
  <si>
    <t>The lot is adjacent to a wildlife corridor, fish and game park, or preserved areas and is designed with regard for this relationship.</t>
  </si>
  <si>
    <t>Outdoor lighting techniques are utilized with regard for wildlife.</t>
  </si>
  <si>
    <t>503.7</t>
  </si>
  <si>
    <r>
      <t xml:space="preserve">503.7 Environmentally sensitive areas. </t>
    </r>
    <r>
      <rPr>
        <sz val="10"/>
        <color theme="1"/>
        <rFont val="Calibri"/>
        <family val="2"/>
        <scheme val="minor"/>
      </rPr>
      <t>The lot is in accordance with one or both of the following:</t>
    </r>
  </si>
  <si>
    <t>The lot does not contain any environmentally sensitive areas that are disturbed by the construction.</t>
  </si>
  <si>
    <t>On lots with environmentally sensitive areas, mitigation and/or restoration is conducted to preserve ecosystem functions lost through development and construction activities.</t>
  </si>
  <si>
    <t>503.8</t>
  </si>
  <si>
    <r>
      <t xml:space="preserve">503.8 Demolition of existing building. </t>
    </r>
    <r>
      <rPr>
        <sz val="10"/>
        <color theme="1"/>
        <rFont val="Calibri"/>
        <family val="2"/>
        <scheme val="minor"/>
      </rPr>
      <t>A demolition waste management plan is developed, posted at the jobsite, and implemented to recycle and/or salvage with a goal of recycling or salvaging a minimum of 50 percent of the nonhazardous demolition waste.</t>
    </r>
  </si>
  <si>
    <t>(One additional point awarded for every 10 percent of nonhazardous demolition waste recycled and/or salvaged beyond 50 percent).</t>
  </si>
  <si>
    <t>504.0</t>
  </si>
  <si>
    <t>504 LOT CONSTRUCTION</t>
  </si>
  <si>
    <r>
      <t>504.0 Intent.</t>
    </r>
    <r>
      <rPr>
        <sz val="10"/>
        <color theme="1"/>
        <rFont val="Calibri"/>
        <family val="2"/>
        <scheme val="minor"/>
      </rPr>
      <t xml:space="preserve"> Environmental impact during construction is avoided to the extent possible; impacts that do occur are minimized and any significant impacts are mitigated.</t>
    </r>
  </si>
  <si>
    <t>504.1</t>
  </si>
  <si>
    <r>
      <t>504.1 On-site supervision and coordination.</t>
    </r>
    <r>
      <rPr>
        <sz val="10"/>
        <color theme="1"/>
        <rFont val="Calibri"/>
        <family val="2"/>
        <scheme val="minor"/>
      </rPr>
      <t xml:space="preserve"> On-site supervision and coordination is provided during on-the-lot clearing, grading, trenching, paving, and installation of utilities to ensure that specified green development practices are implemented. (also see Section 503.3)</t>
    </r>
  </si>
  <si>
    <t>504.2</t>
  </si>
  <si>
    <r>
      <t>504.2 Trees and vegetation.</t>
    </r>
    <r>
      <rPr>
        <sz val="10"/>
        <color theme="1"/>
        <rFont val="Calibri"/>
        <family val="2"/>
        <scheme val="minor"/>
      </rPr>
      <t xml:space="preserve"> Designated trees and vegetation are preserved by one or more of the following:</t>
    </r>
  </si>
  <si>
    <t>Fencing or equivalent is installed to protect trees and other vegetation.</t>
  </si>
  <si>
    <t>Trenching, significant changes in grade, and compaction of soil and critical root zones in all “tree save” areas as shown on the lot plan are avoided.</t>
  </si>
  <si>
    <t>Damage to designated existing trees and vegetation is mitigated during construction through pruning, root pruning, fertilizing, and watering.</t>
  </si>
  <si>
    <t>504.3</t>
  </si>
  <si>
    <r>
      <t>504.3 Soil disturbance and erosion implementation.</t>
    </r>
    <r>
      <rPr>
        <sz val="10"/>
        <color theme="1"/>
        <rFont val="Calibri"/>
        <family val="2"/>
        <scheme val="minor"/>
      </rPr>
      <t xml:space="preserve"> On-site soil disturbance and erosion are minimized by one or more of the following in accordance with the SWPPP or applicable plan: (also see Section 503.3)</t>
    </r>
  </si>
  <si>
    <t>Sediment and erosion controls are installed on the lot and maintained in accordance with the stormwater pollution prevention plan, where required.</t>
  </si>
  <si>
    <t>Limits of clearing and grading are staked out on the lot.</t>
  </si>
  <si>
    <t>“No disturbance” zones are created using fencing or flagging to protect vegetation and sensitive areas on the lot from construction activity.</t>
  </si>
  <si>
    <t>Topsoil from either the lot or the site development is stockpiled and stabilized for later use and used to establish landscape plantings on the lot.</t>
  </si>
  <si>
    <t>Soil compaction from construction equipment is reduced by distributing the weight of the equipment over a larger area (laying lightweight geogrids, mulch, chipped wood, plywood, OSB, metal plates, or other materials capable of weight distribution in the pathway of the equipment).</t>
  </si>
  <si>
    <t>Disturbed areas on the lot that are complete or to be left unworked for 21 days or more are stabilized within 14 days using methods as recommended by the EPA or in the approved SWPPP, where required.</t>
  </si>
  <si>
    <t>Soil is improved with organic amendments or mulch.</t>
  </si>
  <si>
    <t>Inspection reports of stormwater best management practices are available.</t>
  </si>
  <si>
    <t>505</t>
  </si>
  <si>
    <t>505 INNOVATIVE PRACTICES</t>
  </si>
  <si>
    <r>
      <t xml:space="preserve">505.0 Intent. </t>
    </r>
    <r>
      <rPr>
        <sz val="10"/>
        <color theme="1"/>
        <rFont val="Calibri"/>
        <family val="2"/>
        <scheme val="minor"/>
      </rPr>
      <t>Innovative lot design, preparation, and development practices are used to enhance environmental performance. Waivers or variances from local development regulations are obtained and innovative zoning is used to implement such practices.</t>
    </r>
  </si>
  <si>
    <t>505.1</t>
  </si>
  <si>
    <r>
      <t>505.1 Driveways and parking areas.</t>
    </r>
    <r>
      <rPr>
        <sz val="10"/>
        <color theme="1"/>
        <rFont val="Calibri"/>
        <family val="2"/>
        <scheme val="minor"/>
      </rPr>
      <t xml:space="preserve"> Driveways and parking areas are minimized or mitigated by one or more of the following:</t>
    </r>
  </si>
  <si>
    <t>Off-street parking areas are shared or driveways are shared. Waivers or variances from local development regulations are obtained to implement such practices, if required.</t>
  </si>
  <si>
    <t>In a multifamily project, parking capacity does not exceed the local minimum requirements.</t>
  </si>
  <si>
    <t>Structured parking is utilized to reduce the footprint of surface parking areas.</t>
  </si>
  <si>
    <t>25 percent to less than 50 percent</t>
  </si>
  <si>
    <t>50 percent to 75 percent</t>
  </si>
  <si>
    <t>505.2</t>
  </si>
  <si>
    <t xml:space="preserve">505.2 </t>
  </si>
  <si>
    <r>
      <t>505.2 Heat island mitigation.</t>
    </r>
    <r>
      <rPr>
        <sz val="10"/>
        <color theme="1"/>
        <rFont val="Calibri"/>
        <family val="2"/>
        <scheme val="minor"/>
      </rPr>
      <t xml:space="preserve"> Heat island effect is mitigated by the following.</t>
    </r>
  </si>
  <si>
    <t>Hardscape: Not less than 50 percent of the surface area of the hardscape on the lot meets one or a combination of the following methods.</t>
  </si>
  <si>
    <t>Shading of hardscaping: Shade is provided from existing or new vegetation (within five years) or from trellises. Shade of hardscaping is to be measured on the summer solstice at noon.</t>
  </si>
  <si>
    <t>Light-colored hardscaping: Horizontal hardscaping materials are installed with a solar reflectance index (SRI) of 29 or greater. The SRI is calculated in accordance with ASTM E1980. A default SRI value of 35 for new concrete without added color pigment is permitted to be used instead of measurements.</t>
  </si>
  <si>
    <t>Permeable hardscaping: Permeable hardscaping materials are installed.</t>
  </si>
  <si>
    <t>Roofs: Not less than 75 percent of the exposed surface of the roof is vegetated using technology capable of withstanding the climate conditions of the jurisdiction and the microclimate conditions of the building lot. Invasive plant species are not permitted.</t>
  </si>
  <si>
    <t>505.3</t>
  </si>
  <si>
    <r>
      <t>505.3 Density.</t>
    </r>
    <r>
      <rPr>
        <sz val="10"/>
        <color theme="1"/>
        <rFont val="Calibri"/>
        <family val="2"/>
        <scheme val="minor"/>
      </rPr>
      <t xml:space="preserve"> The average density on the lot on a net developable area basis is: </t>
    </r>
  </si>
  <si>
    <t>505.4</t>
  </si>
  <si>
    <t>505.5</t>
  </si>
  <si>
    <t>505.6</t>
  </si>
  <si>
    <t>Ch6Level</t>
  </si>
  <si>
    <t>Ch6Points</t>
  </si>
  <si>
    <t>Ch6MandError</t>
  </si>
  <si>
    <t>502</t>
  </si>
  <si>
    <t>601 QUALITY OF CONSTRUCTION MATERIALS AND WASTE</t>
  </si>
  <si>
    <t>601.0</t>
  </si>
  <si>
    <r>
      <t>601.0 Intent.</t>
    </r>
    <r>
      <rPr>
        <sz val="10"/>
        <color theme="1"/>
        <rFont val="Calibri"/>
        <family val="2"/>
        <scheme val="minor"/>
      </rPr>
      <t xml:space="preserve"> Design and construction practices that minimize the environmental impact of the building materials are incorporated, environmentally efficient building systems and materials are incorporated, and waste generated during construction is reduced. </t>
    </r>
  </si>
  <si>
    <r>
      <t>less than or equal to 700 square feet (65 m</t>
    </r>
    <r>
      <rPr>
        <vertAlign val="superscript"/>
        <sz val="10"/>
        <color theme="1"/>
        <rFont val="Calibri"/>
        <family val="2"/>
        <scheme val="minor"/>
      </rPr>
      <t>2</t>
    </r>
    <r>
      <rPr>
        <sz val="10"/>
        <color theme="1"/>
        <rFont val="Calibri"/>
        <family val="2"/>
        <scheme val="minor"/>
      </rPr>
      <t>)</t>
    </r>
  </si>
  <si>
    <r>
      <t>less than or equal to 1,000 square feet (93 m</t>
    </r>
    <r>
      <rPr>
        <vertAlign val="superscript"/>
        <sz val="10"/>
        <color theme="1"/>
        <rFont val="Calibri"/>
        <family val="2"/>
        <scheme val="minor"/>
      </rPr>
      <t>2</t>
    </r>
    <r>
      <rPr>
        <sz val="10"/>
        <color theme="1"/>
        <rFont val="Calibri"/>
        <family val="2"/>
        <scheme val="minor"/>
      </rPr>
      <t>)</t>
    </r>
  </si>
  <si>
    <r>
      <t>less than or equal to 1,500 square feet (139 m</t>
    </r>
    <r>
      <rPr>
        <vertAlign val="superscript"/>
        <sz val="10"/>
        <color theme="1"/>
        <rFont val="Calibri"/>
        <family val="2"/>
        <scheme val="minor"/>
      </rPr>
      <t>2</t>
    </r>
    <r>
      <rPr>
        <sz val="10"/>
        <color theme="1"/>
        <rFont val="Calibri"/>
        <family val="2"/>
        <scheme val="minor"/>
      </rPr>
      <t>)</t>
    </r>
  </si>
  <si>
    <r>
      <t>less than or equal to 2,000 square feet (186 m</t>
    </r>
    <r>
      <rPr>
        <vertAlign val="superscript"/>
        <sz val="10"/>
        <color theme="1"/>
        <rFont val="Calibri"/>
        <family val="2"/>
        <scheme val="minor"/>
      </rPr>
      <t>2</t>
    </r>
    <r>
      <rPr>
        <sz val="10"/>
        <color theme="1"/>
        <rFont val="Calibri"/>
        <family val="2"/>
        <scheme val="minor"/>
      </rPr>
      <t>)</t>
    </r>
  </si>
  <si>
    <r>
      <t>less than or equal to 2,500 square feet (232 m</t>
    </r>
    <r>
      <rPr>
        <vertAlign val="superscript"/>
        <sz val="10"/>
        <color theme="1"/>
        <rFont val="Calibri"/>
        <family val="2"/>
        <scheme val="minor"/>
      </rPr>
      <t>2</t>
    </r>
    <r>
      <rPr>
        <sz val="10"/>
        <color theme="1"/>
        <rFont val="Calibri"/>
        <family val="2"/>
        <scheme val="minor"/>
      </rPr>
      <t>)</t>
    </r>
  </si>
  <si>
    <r>
      <t>greater than 4,000 square feet (372 m</t>
    </r>
    <r>
      <rPr>
        <vertAlign val="superscript"/>
        <sz val="10"/>
        <color theme="1"/>
        <rFont val="Calibri"/>
        <family val="2"/>
        <scheme val="minor"/>
      </rPr>
      <t>2</t>
    </r>
    <r>
      <rPr>
        <sz val="10"/>
        <color theme="1"/>
        <rFont val="Calibri"/>
        <family val="2"/>
        <scheme val="minor"/>
      </rPr>
      <t>)</t>
    </r>
  </si>
  <si>
    <r>
      <t>(For every 100 square feet (9.29 m</t>
    </r>
    <r>
      <rPr>
        <b/>
        <vertAlign val="superscript"/>
        <sz val="10"/>
        <color theme="1"/>
        <rFont val="Calibri"/>
        <family val="2"/>
        <scheme val="minor"/>
      </rPr>
      <t>2</t>
    </r>
    <r>
      <rPr>
        <b/>
        <sz val="10"/>
        <color theme="1"/>
        <rFont val="Calibri"/>
        <family val="2"/>
        <scheme val="minor"/>
      </rPr>
      <t>) over 4,000 square feet (372 m</t>
    </r>
    <r>
      <rPr>
        <b/>
        <vertAlign val="superscript"/>
        <sz val="10"/>
        <color theme="1"/>
        <rFont val="Calibri"/>
        <family val="2"/>
        <scheme val="minor"/>
      </rPr>
      <t>2</t>
    </r>
    <r>
      <rPr>
        <b/>
        <sz val="10"/>
        <color theme="1"/>
        <rFont val="Calibri"/>
        <family val="2"/>
        <scheme val="minor"/>
      </rPr>
      <t>), one point is to be added to rating level points shown in Table 303, Category 7 for each rating level.)</t>
    </r>
  </si>
  <si>
    <r>
      <t>601.2 Material usage.</t>
    </r>
    <r>
      <rPr>
        <sz val="10"/>
        <color theme="1"/>
        <rFont val="Calibri"/>
        <family val="2"/>
        <scheme val="minor"/>
      </rPr>
      <t xml:space="preserve"> Structural systems are designed or construction techniques are implemented that reduce and optimize material usage. </t>
    </r>
  </si>
  <si>
    <t>9 Max</t>
  </si>
  <si>
    <t>Minimum structural member or element sizes necessary for strength and stiffness in accordance with advanced framing techniques or structural design standards are selected.</t>
  </si>
  <si>
    <t>Higher-grade or higher-strength of the same materials than commonly specified for structural elements and components in the building are used and element or component sizes are reduced accordingly.</t>
  </si>
  <si>
    <t>Performance-based structural design is used to optimize lateral force-resisting systems.</t>
  </si>
  <si>
    <r>
      <t>601.3 Building dimensions and layouts.</t>
    </r>
    <r>
      <rPr>
        <sz val="10"/>
        <color theme="1"/>
        <rFont val="Calibri"/>
        <family val="2"/>
        <scheme val="minor"/>
      </rPr>
      <t xml:space="preserve"> Building dimensions and layouts are designed to reduce material cuts and waste. This practice is used for a minimum of 80 percent of the following areas:</t>
    </r>
  </si>
  <si>
    <t>floor area</t>
  </si>
  <si>
    <t>wall area</t>
  </si>
  <si>
    <t>roof area</t>
  </si>
  <si>
    <t>cladding or siding area</t>
  </si>
  <si>
    <t>penetrations or trim area</t>
  </si>
  <si>
    <r>
      <t>601.4 Framing and structural plans.</t>
    </r>
    <r>
      <rPr>
        <sz val="10"/>
        <color theme="1"/>
        <rFont val="Calibri"/>
        <family val="2"/>
        <scheme val="minor"/>
      </rPr>
      <t xml:space="preserve"> Detailed framing or structural plans, material quantity lists and on-site cut lists for framing, structural materials, and sheathing materials are provided.</t>
    </r>
  </si>
  <si>
    <r>
      <t xml:space="preserve">601.5 Prefabricated components. </t>
    </r>
    <r>
      <rPr>
        <sz val="10"/>
        <color theme="1"/>
        <rFont val="Calibri"/>
        <family val="2"/>
        <scheme val="minor"/>
      </rPr>
      <t>Precut or preassembled components, or panelized or precast assemblies are utilized for a minimum of 90 percent for the following system or building:</t>
    </r>
  </si>
  <si>
    <t>13 Max</t>
  </si>
  <si>
    <t>floor system</t>
  </si>
  <si>
    <t>wall system</t>
  </si>
  <si>
    <t>roof system</t>
  </si>
  <si>
    <t>modular construction for the entire building located above grade</t>
  </si>
  <si>
    <t>manufactured home construction for the entire building located above grade</t>
  </si>
  <si>
    <r>
      <t>601.6 Stacked stories.</t>
    </r>
    <r>
      <rPr>
        <sz val="10"/>
        <color theme="1"/>
        <rFont val="Calibri"/>
        <family val="2"/>
        <scheme val="minor"/>
      </rPr>
      <t xml:space="preserve"> Stories above grade are stacked, such as in 1½-story, 2-story, or greater structures. The area of the upper story is a minimum of 50 percent of the area of the story below based on areas with a minimum ceiling height of 7 feet (2,134 mm). </t>
    </r>
  </si>
  <si>
    <t>8 Max</t>
  </si>
  <si>
    <t>first stacked story</t>
  </si>
  <si>
    <t>for each additional stacked story</t>
  </si>
  <si>
    <r>
      <t>601.7 Prefinished materials. Prefinished building</t>
    </r>
    <r>
      <rPr>
        <sz val="10"/>
        <color theme="1"/>
        <rFont val="Calibri"/>
        <family val="2"/>
        <scheme val="minor"/>
      </rPr>
      <t xml:space="preserve"> materials or assemblies listed below have no additional site-applied finishing material are installed. </t>
    </r>
  </si>
  <si>
    <t>12 Max</t>
  </si>
  <si>
    <t>interior trim not requiring paint or stain</t>
  </si>
  <si>
    <t>exterior trim not requiring paint or stain</t>
  </si>
  <si>
    <t>window, skylight, and door assemblies not requiring paint or stain on one of the following surfaces:</t>
  </si>
  <si>
    <r>
      <t> </t>
    </r>
    <r>
      <rPr>
        <sz val="10"/>
        <color theme="1"/>
        <rFont val="Calibri"/>
        <family val="2"/>
      </rPr>
      <t>i.</t>
    </r>
    <r>
      <rPr>
        <sz val="7"/>
        <color theme="1"/>
        <rFont val="Times New Roman"/>
        <family val="1"/>
      </rPr>
      <t xml:space="preserve">  </t>
    </r>
    <r>
      <rPr>
        <sz val="10"/>
        <color theme="1"/>
        <rFont val="Calibri"/>
        <family val="2"/>
      </rPr>
      <t xml:space="preserve">exterior surfaces </t>
    </r>
  </si>
  <si>
    <t>ii. interior surfaces</t>
  </si>
  <si>
    <t>interior wall coverings or systems, floor systems, and/or ceiling systems not requiring paint or stain or other type of finishing application</t>
  </si>
  <si>
    <t>(e)</t>
  </si>
  <si>
    <t>exterior wall coverings or systems, floor system, and/or ceiling systems not requiring paint or stain or other type of finishing application</t>
  </si>
  <si>
    <t xml:space="preserve">90 percent or more of the installed building materials or assemblies listed above: </t>
  </si>
  <si>
    <t>(Points awarded for each type of material or assembly.)</t>
  </si>
  <si>
    <t>50 percent to less than 90 percent of the installed building material or assembly listed above:</t>
  </si>
  <si>
    <t>35 percent to less than 50 percent of the installed building material or assembly listed above:</t>
  </si>
  <si>
    <r>
      <t>601.8 Foundations.</t>
    </r>
    <r>
      <rPr>
        <sz val="10"/>
        <color theme="1"/>
        <rFont val="Calibri"/>
        <family val="2"/>
        <scheme val="minor"/>
      </rPr>
      <t xml:space="preserve"> A foundation system that minimizes soil disturbance, excavation quantities, and material usage, such as frost-protected shallow foundations, isolated pier and pad foundations, deep foundations, post foundations, or helical piles is selected, designed, and constructed. The foundation is used on 50 percent or more of the building footprint. </t>
    </r>
  </si>
  <si>
    <t>602 ENHANCED DURABILITY AND REDUCED MAINTENANCE</t>
  </si>
  <si>
    <r>
      <t>602.0 Intent.</t>
    </r>
    <r>
      <rPr>
        <sz val="10"/>
        <color theme="1"/>
        <rFont val="Calibri"/>
        <family val="2"/>
        <scheme val="minor"/>
      </rPr>
      <t xml:space="preserve"> Design and construction practices are implemented that enhance the durability of materials and reduce in-service maintenance.</t>
    </r>
  </si>
  <si>
    <t>602.1 Moisture Management – Building Envelope</t>
  </si>
  <si>
    <t>602.1.1</t>
  </si>
  <si>
    <t>602.1.1 Capillary breaks</t>
  </si>
  <si>
    <t>602.1.1.1</t>
  </si>
  <si>
    <t xml:space="preserve">602.1.1.2 </t>
  </si>
  <si>
    <r>
      <t>602.1.1.2</t>
    </r>
    <r>
      <rPr>
        <sz val="10"/>
        <color theme="1"/>
        <rFont val="Calibri"/>
        <family val="2"/>
        <scheme val="minor"/>
      </rPr>
      <t xml:space="preserve"> A capillary break between the footing and the foundation wall is provided to prevent moisture migration into foundation wall.</t>
    </r>
  </si>
  <si>
    <t xml:space="preserve">602.1.2 </t>
  </si>
  <si>
    <r>
      <t>602.1.2 Foundation waterproofing.</t>
    </r>
    <r>
      <rPr>
        <sz val="10"/>
        <color theme="1"/>
        <rFont val="Calibri"/>
        <family val="2"/>
        <scheme val="minor"/>
      </rPr>
      <t xml:space="preserve"> Enhanced foundation waterproofing is installed using one or both of the following:</t>
    </r>
  </si>
  <si>
    <t>rubberized coating, or</t>
  </si>
  <si>
    <t>drainage mat</t>
  </si>
  <si>
    <t>602.1.3</t>
  </si>
  <si>
    <t>602.1.3 Foundation drainage</t>
  </si>
  <si>
    <t>602.1.3.1</t>
  </si>
  <si>
    <r>
      <t>602.1.3.1</t>
    </r>
    <r>
      <rPr>
        <sz val="10"/>
        <color theme="1"/>
        <rFont val="Calibri"/>
        <family val="2"/>
        <scheme val="minor"/>
      </rPr>
      <t xml:space="preserve"> Where required by the ICC IRC or IBC for habitable and usable spaces below grade, exterior drain tile is installed.</t>
    </r>
  </si>
  <si>
    <t>602.1.3.2</t>
  </si>
  <si>
    <r>
      <t>602.1.3.2</t>
    </r>
    <r>
      <rPr>
        <sz val="10"/>
        <color theme="1"/>
        <rFont val="Calibri"/>
        <family val="2"/>
        <scheme val="minor"/>
      </rPr>
      <t xml:space="preserve"> Interior and exterior foundation perimeter drains are installed and sloped to discharge to daylight, dry well, or sump pit.</t>
    </r>
  </si>
  <si>
    <t>602.1.4</t>
  </si>
  <si>
    <r>
      <t>602.1.4</t>
    </r>
    <r>
      <rPr>
        <sz val="10"/>
        <color theme="1"/>
        <rFont val="Calibri"/>
        <family val="2"/>
        <scheme val="minor"/>
      </rPr>
      <t xml:space="preserve"> </t>
    </r>
    <r>
      <rPr>
        <b/>
        <sz val="10"/>
        <color theme="1"/>
        <rFont val="Calibri"/>
        <family val="2"/>
        <scheme val="minor"/>
      </rPr>
      <t>Crawlspaces</t>
    </r>
  </si>
  <si>
    <t>602.1.4.1</t>
  </si>
  <si>
    <r>
      <t>602.1.4.1</t>
    </r>
    <r>
      <rPr>
        <sz val="10"/>
        <color theme="1"/>
        <rFont val="Calibri"/>
        <family val="2"/>
        <scheme val="minor"/>
      </rPr>
      <t xml:space="preserve"> Vapor retarder in unconditioned vented crawlspace is in accordance with the following, as applicable. Joints of vapor retarder overlap a minimum of 6 inches (152 mm) and are taped.</t>
    </r>
  </si>
  <si>
    <t>Floors. Minimum 6 mil vapor retarder installed on the crawlspace floor and extended at least 6 inches up the wall and is attached and sealed to the wall.</t>
  </si>
  <si>
    <t>Walls. Dampproof walls are provided below finished grade.</t>
  </si>
  <si>
    <t>602.1.4.2</t>
  </si>
  <si>
    <r>
      <t>602.1.4.2</t>
    </r>
    <r>
      <rPr>
        <sz val="10"/>
        <color theme="1"/>
        <rFont val="Calibri"/>
        <family val="2"/>
        <scheme val="minor"/>
      </rPr>
      <t xml:space="preserve"> Crawlspace that is built as a conditioned area is sealed to prevent outside air infiltration and provided with conditioned air at a rate not less than 0.02 cfm (.009 L/s) per square foot of horizontal area and one of the following is implemented:</t>
    </r>
  </si>
  <si>
    <t>602.1.5</t>
  </si>
  <si>
    <r>
      <t>602.1.5 Termite barrier.</t>
    </r>
    <r>
      <rPr>
        <sz val="10"/>
        <color theme="1"/>
        <rFont val="Calibri"/>
        <family val="2"/>
        <scheme val="minor"/>
      </rPr>
      <t xml:space="preserve"> Continuous physical foundation termite barrier provided:</t>
    </r>
  </si>
  <si>
    <t>In geographic areas that have moderate to heavy infestation potential in accordance with figure 6(3), a no or low toxicity treatment is also installed.</t>
  </si>
  <si>
    <t>In geographic areas that have a very heavy infestation potential in accordance with figure 6(3), in addition a low toxicity bait and kill termite treatment plan is selected and implemented.</t>
  </si>
  <si>
    <t>602.1.6</t>
  </si>
  <si>
    <r>
      <t>602.1.6 Termite-resistant materials.</t>
    </r>
    <r>
      <rPr>
        <sz val="10"/>
        <color theme="1"/>
        <rFont val="Calibri"/>
        <family val="2"/>
        <scheme val="minor"/>
      </rPr>
      <t xml:space="preserve"> In areas of termite infestation probability as defined by Figure 6(3), termite-resistant materials are used as follows: </t>
    </r>
  </si>
  <si>
    <t>In areas of slight to moderate termite infestation probability: for the foundation, all structural walls, floors, concealed roof spaces not accessible for inspection, exterior decks, and exterior claddings within the first 2 feet (610 mm) above the top of the foundation.</t>
  </si>
  <si>
    <t>In areas of moderate to heavy termite infestation probability: for the foundation, all structural walls, floors, concealed roof spaces not accessible for inspection, exterior decks, and exterior claddings within the first 3 feet (914 mm) above the top of the foundation.</t>
  </si>
  <si>
    <t>In areas of very heavy termite infestation probability: for the foundation, all structural walls, floors, concealed roof spaces not accessible for inspection, exterior decks, and exterior claddings.</t>
  </si>
  <si>
    <t>602.1.7</t>
  </si>
  <si>
    <t>602.1.7 Moisture control measures</t>
  </si>
  <si>
    <t>602.1.7.1</t>
  </si>
  <si>
    <r>
      <t xml:space="preserve">602.1.7.1 </t>
    </r>
    <r>
      <rPr>
        <sz val="10"/>
        <color theme="1"/>
        <rFont val="Calibri"/>
        <family val="2"/>
        <scheme val="minor"/>
      </rPr>
      <t>Moisture control measures are in accordance with the following:</t>
    </r>
  </si>
  <si>
    <t>Building materials with visible mold are not installed or are cleaned or encapsulated prior to concealment and closing.</t>
  </si>
  <si>
    <t>Insulation in cavities is dry in accordance with manufacturer’s instructions when enclosed (e.g., with drywall).</t>
  </si>
  <si>
    <t xml:space="preserve">The moisture content of lumber is sampled to ensure it does not exceed 19 percent prior to the surface and/or cavity enclosure. </t>
  </si>
  <si>
    <t>602.1.7.2</t>
  </si>
  <si>
    <t xml:space="preserve">602.1.7.2 </t>
  </si>
  <si>
    <r>
      <t xml:space="preserve">602.1.7.2 </t>
    </r>
    <r>
      <rPr>
        <sz val="10"/>
        <color theme="1"/>
        <rFont val="Calibri"/>
        <family val="2"/>
        <scheme val="minor"/>
      </rPr>
      <t xml:space="preserve">Moisture content of subfloor, substrate, or concrete slabs is in accordance with the appropriate industry standard for the finish flooring to be applied. </t>
    </r>
  </si>
  <si>
    <t>602.1.7.3</t>
  </si>
  <si>
    <t xml:space="preserve">602.1.7.3 </t>
  </si>
  <si>
    <r>
      <t xml:space="preserve">602.1.7.3 </t>
    </r>
    <r>
      <rPr>
        <sz val="10"/>
        <color theme="1"/>
        <rFont val="Calibri"/>
        <family val="2"/>
        <scheme val="minor"/>
      </rPr>
      <t>Building envelope assemblies are designed for moisture control based on documented hygrothermal simulation or field study analysis. Hygrothermal analysis is required to incorporate representative climatic conditions, interior conditions and include heating and cooling seasonal variation.</t>
    </r>
  </si>
  <si>
    <t>602.1.8</t>
  </si>
  <si>
    <r>
      <t>602.1.8 Water-resistive barrier.</t>
    </r>
    <r>
      <rPr>
        <sz val="10"/>
        <color theme="1"/>
        <rFont val="Calibri"/>
        <family val="2"/>
        <scheme val="minor"/>
      </rPr>
      <t xml:space="preserve"> Where required by the ICC, IRC, or IBC, a water-resistive barrier and/or drainage plane system is installed behind exterior veneer and/or siding. </t>
    </r>
  </si>
  <si>
    <t>602.1.9</t>
  </si>
  <si>
    <r>
      <t>602.1.9 Flashing.</t>
    </r>
    <r>
      <rPr>
        <sz val="10"/>
        <color theme="1"/>
        <rFont val="Calibri"/>
        <family val="2"/>
        <scheme val="minor"/>
      </rPr>
      <t xml:space="preserve"> 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</si>
  <si>
    <t>Flashing is installed at all of the following locations, as applicable:</t>
  </si>
  <si>
    <t>around exterior fenestrations, skylights, and doors</t>
  </si>
  <si>
    <t>at roof valleys</t>
  </si>
  <si>
    <t xml:space="preserve">at all building-to-deck, -balcony, -porch, and -stair intersections </t>
  </si>
  <si>
    <t>at roof-to-wall intersections, at roof-to-chimney intersections, at wall-to-chimney intersections, and at parapets</t>
  </si>
  <si>
    <t>at ends of and under masonry, wood, or metal copings and sills</t>
  </si>
  <si>
    <t>(f)</t>
  </si>
  <si>
    <t>above projecting wood trim</t>
  </si>
  <si>
    <t>(g)</t>
  </si>
  <si>
    <t>at built-in roof gutters, and</t>
  </si>
  <si>
    <t>(h)</t>
  </si>
  <si>
    <t>drip edge is installed at eave and rake edges.</t>
  </si>
  <si>
    <t>All window and door head and jamb flashing is either self-adhered flashing complying with AAMA 711-13 or liquid applied flashing complying with AAMA 714-15 and installed in accordance with fenestration or flashing manufacturer’s installation instructions.</t>
  </si>
  <si>
    <t>Pan flashing is installed at sills of all exterior windows and doors.</t>
  </si>
  <si>
    <r>
      <t xml:space="preserve">Seamless, preformed kickout flashing, or prefabricated metal with soldered seams is provided at all roof-to-wall intersections. </t>
    </r>
    <r>
      <rPr>
        <sz val="10"/>
        <color rgb="FF000000"/>
        <rFont val="Calibri"/>
        <family val="2"/>
        <scheme val="minor"/>
      </rPr>
      <t>The type and thickness of the material used for roof flashing including but not limited kickout and step flashing is commensurate with the anticipated service life of the roofing material.</t>
    </r>
  </si>
  <si>
    <t>A rainscreen wall design as follows is used for exterior wall assemblies</t>
  </si>
  <si>
    <t>a system designed with minimum 1/4-inch air space exterior to the water-resistive barrier, vented to the exterior at top and bottom of the wall, and integrated with flashing details. OR</t>
  </si>
  <si>
    <t>a cladding material or a water-resistive barrier with enhanced drainage, meeting 75 percent drainage efficiency determined in accordance with ASTM E2273.</t>
  </si>
  <si>
    <t>Through-wall flashing is installed at transitions between wall cladding materials or wall construction types.</t>
  </si>
  <si>
    <t>Flashing is installed at expansion joints in stucco walls.</t>
  </si>
  <si>
    <t>602.1.10</t>
  </si>
  <si>
    <t xml:space="preserve">602.1.10 </t>
  </si>
  <si>
    <t>installing a porch roof or awning</t>
  </si>
  <si>
    <t>extending the roof overhang</t>
  </si>
  <si>
    <t>recessing the exterior door</t>
  </si>
  <si>
    <t>Installing a storm door</t>
  </si>
  <si>
    <t>602.1.11</t>
  </si>
  <si>
    <t xml:space="preserve">602.1.11 </t>
  </si>
  <si>
    <r>
      <t>602.1.11 Tile backing materials.</t>
    </r>
    <r>
      <rPr>
        <sz val="10"/>
        <color theme="1"/>
        <rFont val="Calibri"/>
        <family val="2"/>
        <scheme val="minor"/>
      </rPr>
      <t xml:space="preserve"> Tile backing materials installed under tiled surfaces in wet areas are in accordance with ASTM C1178, C1278, C1288, or C1325.</t>
    </r>
  </si>
  <si>
    <t>602.1.12</t>
  </si>
  <si>
    <r>
      <t xml:space="preserve">602.1.12 Roof overhangs. </t>
    </r>
    <r>
      <rPr>
        <sz val="10"/>
        <color theme="1"/>
        <rFont val="Calibri"/>
        <family val="2"/>
        <scheme val="minor"/>
      </rPr>
      <t>Roof overhangs, in accordance with Table 602.1.12, are provided over a minimum of 90 percent of exterior walls to protect the building envelope.</t>
    </r>
  </si>
  <si>
    <t>602.1.13</t>
  </si>
  <si>
    <t xml:space="preserve">602.1.13 </t>
  </si>
  <si>
    <r>
      <t xml:space="preserve">602.1.13 Ice barrier. </t>
    </r>
    <r>
      <rPr>
        <sz val="10"/>
        <color theme="1"/>
        <rFont val="Calibri"/>
        <family val="2"/>
        <scheme val="minor"/>
      </rPr>
      <t>In areas where there has been a history of ice forming along the eaves causing a backup of water, an ice barrier is installed in accordance with the ICC IRC or IBC at roof eaves of pitched roofs and extends a minimum of 24 inches (610 mm) inside the exterior wall line of the building.</t>
    </r>
  </si>
  <si>
    <t>602.1.14</t>
  </si>
  <si>
    <r>
      <t>602.1.14 Architectural features</t>
    </r>
    <r>
      <rPr>
        <sz val="10"/>
        <color theme="1"/>
        <rFont val="Calibri"/>
        <family val="2"/>
        <scheme val="minor"/>
      </rPr>
      <t>. Architectural features that increase the potential for water intrusion are avoided:</t>
    </r>
  </si>
  <si>
    <t>All horizontal ledgers are sloped away to provide gravity drainage as appropriate for the application.</t>
  </si>
  <si>
    <t>No roof configurations that create horizontal valleys in roof design.</t>
  </si>
  <si>
    <t>No recessed windows and architectural features that trap water on horizontal surfaces.</t>
  </si>
  <si>
    <r>
      <t>602.2 Roof surfaces.</t>
    </r>
    <r>
      <rPr>
        <sz val="10"/>
        <color theme="1"/>
        <rFont val="Calibri"/>
        <family val="2"/>
        <scheme val="minor"/>
      </rPr>
      <t xml:space="preserve"> A minimum of 90 percent of roof surfaces, not used for roof penetrations and associated equipment, on-site renewable energy systems such as photovoltaics or solar thermal energy collectors, or rooftop decks, amenities and walkways, are constructed of one or more of the following:</t>
    </r>
  </si>
  <si>
    <r>
      <t>products that are in accordance with the ENERGY STAR</t>
    </r>
    <r>
      <rPr>
        <b/>
        <sz val="10"/>
        <color theme="1"/>
        <rFont val="Calibri"/>
        <family val="2"/>
        <scheme val="minor"/>
      </rPr>
      <t>®</t>
    </r>
    <r>
      <rPr>
        <sz val="10"/>
        <color theme="1"/>
        <rFont val="Calibri"/>
        <family val="2"/>
        <scheme val="minor"/>
      </rPr>
      <t xml:space="preserve"> cool roof certification or equivalent</t>
    </r>
  </si>
  <si>
    <t>a vegetated roof system</t>
  </si>
  <si>
    <t>Minimum initial SRI of 78 for low-sloped roof (a slope less than 2:12) and a minimum initial SRI of 29 for a steep-sloped roof (a slope equal to or greater than 2:12).  The SRI is calculated in accordance with ASTM E1980.  Roof products are certified and labeled.</t>
  </si>
  <si>
    <r>
      <t>602.3 Roof water discharge.</t>
    </r>
    <r>
      <rPr>
        <sz val="10"/>
        <color theme="1"/>
        <rFont val="Calibri"/>
        <family val="2"/>
        <scheme val="minor"/>
      </rPr>
      <t xml:space="preserve"> A gutter and downspout system or splash blocks and effective grading are provided to carry water a minimum of 5 feet (1524 mm) away from perimeter foundation walls. </t>
    </r>
  </si>
  <si>
    <r>
      <t>602.4 Finished grade.</t>
    </r>
    <r>
      <rPr>
        <sz val="10"/>
        <color theme="1"/>
        <rFont val="Calibri"/>
        <family val="2"/>
        <scheme val="minor"/>
      </rPr>
      <t xml:space="preserve"> </t>
    </r>
  </si>
  <si>
    <t>602.4.1</t>
  </si>
  <si>
    <r>
      <t>602.4.1</t>
    </r>
    <r>
      <rPr>
        <sz val="10"/>
        <color theme="1"/>
        <rFont val="Calibri"/>
        <family val="2"/>
        <scheme val="minor"/>
      </rPr>
      <t xml:space="preserve"> Finished grade at all sides of a building is sloped to provide a minimum of 6 inches (150 mm) of fall within 10 feet (3048 mm) of the edge of the building. Where lot lines, walls, slopes, or other physical barriers prohibit 6 inches (152 mm) of fall within 10 feet (3048 mm), the final grade is sloped away from the edge of the building at a minimum slope of 2 percent.</t>
    </r>
  </si>
  <si>
    <t>602.4.2</t>
  </si>
  <si>
    <r>
      <t>602.4.2</t>
    </r>
    <r>
      <rPr>
        <sz val="10"/>
        <color theme="1"/>
        <rFont val="Calibri"/>
        <family val="2"/>
        <scheme val="minor"/>
      </rPr>
      <t xml:space="preserve"> The final grade is sloped away from the edge of the building at a minimum slope of 5 percent.</t>
    </r>
  </si>
  <si>
    <t>602.4.3</t>
  </si>
  <si>
    <r>
      <t>602.4.3</t>
    </r>
    <r>
      <rPr>
        <sz val="10"/>
        <color theme="1"/>
        <rFont val="Calibri"/>
        <family val="2"/>
        <scheme val="minor"/>
      </rPr>
      <t xml:space="preserve"> Water is directed to drains or swales to ensure drainage away from the structure.</t>
    </r>
  </si>
  <si>
    <t xml:space="preserve">603 REUSED OR SALVAGED MATERIALS </t>
  </si>
  <si>
    <r>
      <t>603.0 Intent.</t>
    </r>
    <r>
      <rPr>
        <sz val="10"/>
        <color theme="1"/>
        <rFont val="Calibri"/>
        <family val="2"/>
        <scheme val="minor"/>
      </rPr>
      <t xml:space="preserve"> Practices that reuse or modify existing structures, salvage materials for other uses, or use salvaged materials in the building’s construction are implemented.</t>
    </r>
    <r>
      <rPr>
        <b/>
        <sz val="10"/>
        <color theme="1"/>
        <rFont val="Calibri"/>
        <family val="2"/>
        <scheme val="minor"/>
      </rPr>
      <t xml:space="preserve"> </t>
    </r>
  </si>
  <si>
    <r>
      <t xml:space="preserve">603.1 Reuse of existing building. </t>
    </r>
    <r>
      <rPr>
        <sz val="10"/>
        <color theme="1"/>
        <rFont val="Calibri"/>
        <family val="2"/>
        <scheme val="minor"/>
      </rPr>
      <t>Major elements or components of existing buildings and structures are reused, modified, or deconstructed for later use.</t>
    </r>
  </si>
  <si>
    <r>
      <t>(Points awarded for every 200 square feet (18.5 m</t>
    </r>
    <r>
      <rPr>
        <b/>
        <vertAlign val="superscript"/>
        <sz val="10"/>
        <color theme="1"/>
        <rFont val="Calibri"/>
        <family val="2"/>
        <scheme val="minor"/>
      </rPr>
      <t>2</t>
    </r>
    <r>
      <rPr>
        <b/>
        <sz val="10"/>
        <color theme="1"/>
        <rFont val="Calibri"/>
        <family val="2"/>
        <scheme val="minor"/>
      </rPr>
      <t>) of floor area.)</t>
    </r>
  </si>
  <si>
    <r>
      <t>603.2 Salvaged materials.</t>
    </r>
    <r>
      <rPr>
        <sz val="10"/>
        <color theme="1"/>
        <rFont val="Calibri"/>
        <family val="2"/>
        <scheme val="minor"/>
      </rPr>
      <t xml:space="preserve"> Reclaimed and/or salvaged materials and components are used. The total material value and labor cost of salvaged materials is equal to or exceeds 1 percent of the total construction cost. </t>
    </r>
  </si>
  <si>
    <r>
      <t>603.3 Scrap materials.</t>
    </r>
    <r>
      <rPr>
        <sz val="10"/>
        <color theme="1"/>
        <rFont val="Calibri"/>
        <family val="2"/>
        <scheme val="minor"/>
      </rPr>
      <t xml:space="preserve"> Sorting and reuse of scrap building material is facilitated (e.g., a central storage area or dedicated bins are provided). </t>
    </r>
  </si>
  <si>
    <t>604 RECYCLED-CONTENT BUILDING MATERIALS</t>
  </si>
  <si>
    <r>
      <t>604.1 Recycled content.</t>
    </r>
    <r>
      <rPr>
        <sz val="10"/>
        <color theme="1"/>
        <rFont val="Calibri"/>
        <family val="2"/>
        <scheme val="minor"/>
      </rPr>
      <t xml:space="preserve"> Building materials with recycled content are used for two minor and/or two major components of the building.</t>
    </r>
  </si>
  <si>
    <t xml:space="preserve">605 RECYCLED CONSTRUCTION WASTE </t>
  </si>
  <si>
    <t>Exceptions:</t>
  </si>
  <si>
    <t xml:space="preserve">A recycling facility (traditional or E-Waste) offering material receipt documentation is not available within 50 miles of the jobsite.   </t>
  </si>
  <si>
    <t>Materials are ground or otherwise safely applied on-site as soil amendment or fill. A minimum of 50 percent (by weight) of construction and land-clearing waste is diverted from landfill.</t>
  </si>
  <si>
    <t>Alternative compliance methods approved by the Adopting Entity.</t>
  </si>
  <si>
    <t>Compatible untreated biomass material (lumber, posts, beams, etc.) are set aside for combustion if a solid fuel-burning appliance per Section 901.2.1(2) will be available for on-site renewable energy.</t>
  </si>
  <si>
    <t>6 Max</t>
  </si>
  <si>
    <t>a minimum of two types of materials are recycled</t>
  </si>
  <si>
    <t>for each additional recycled material type</t>
  </si>
  <si>
    <t>606 RENEWABLE MATERIALS</t>
  </si>
  <si>
    <r>
      <t>606.0 Intent.</t>
    </r>
    <r>
      <rPr>
        <sz val="10"/>
        <color theme="1"/>
        <rFont val="Calibri"/>
        <family val="2"/>
        <scheme val="minor"/>
      </rPr>
      <t xml:space="preserve"> Building materials derived from renewable resources are used.</t>
    </r>
  </si>
  <si>
    <r>
      <t>606.1 Biobased products.</t>
    </r>
    <r>
      <rPr>
        <sz val="10"/>
        <color theme="1"/>
        <rFont val="Calibri"/>
        <family val="2"/>
        <scheme val="minor"/>
      </rPr>
      <t xml:space="preserve"> The following biobased products are used:</t>
    </r>
  </si>
  <si>
    <t>certified solid wood in accordance with Section 606.2</t>
  </si>
  <si>
    <t>engineered wood</t>
  </si>
  <si>
    <t>bamboo</t>
  </si>
  <si>
    <t>cotton</t>
  </si>
  <si>
    <t>cork</t>
  </si>
  <si>
    <t>straw</t>
  </si>
  <si>
    <t>natural fiber products made from crops (soy-based, corn-based)</t>
  </si>
  <si>
    <t>other biobased materials with a minimum of 50 percent biobased content (by weight or volume)</t>
  </si>
  <si>
    <t xml:space="preserve">Two types of biobased materials are used, each for more than 0.5 percent of the project’s projected building material cost. </t>
  </si>
  <si>
    <t xml:space="preserve">Two types of biobased materials are used, each for more than 1 percent of the project’s projected building material cost. </t>
  </si>
  <si>
    <t>For each additional biobased material used for more than 0.5 percent of the project’s projected building material cost.</t>
  </si>
  <si>
    <r>
      <t>American Forest Foundation’s</t>
    </r>
    <r>
      <rPr>
        <i/>
        <sz val="10"/>
        <color theme="1"/>
        <rFont val="Calibri"/>
        <family val="2"/>
        <scheme val="minor"/>
      </rPr>
      <t xml:space="preserve"> American Tree Farm System® </t>
    </r>
    <r>
      <rPr>
        <sz val="10"/>
        <color theme="1"/>
        <rFont val="Calibri"/>
        <family val="2"/>
        <scheme val="minor"/>
      </rPr>
      <t>(ATFS)</t>
    </r>
  </si>
  <si>
    <r>
      <t xml:space="preserve">Canadian Standards Association’s </t>
    </r>
    <r>
      <rPr>
        <i/>
        <sz val="10"/>
        <color theme="1"/>
        <rFont val="Calibri"/>
        <family val="2"/>
        <scheme val="minor"/>
      </rPr>
      <t>Sustainable Forest Management System Standards</t>
    </r>
    <r>
      <rPr>
        <sz val="10"/>
        <color theme="1"/>
        <rFont val="Calibri"/>
        <family val="2"/>
        <scheme val="minor"/>
      </rPr>
      <t xml:space="preserve"> (CSA Z809)</t>
    </r>
  </si>
  <si>
    <r>
      <t>Forest Stewardship Council</t>
    </r>
    <r>
      <rPr>
        <sz val="10"/>
        <color theme="1"/>
        <rFont val="Calibri"/>
        <family val="2"/>
        <scheme val="minor"/>
      </rPr>
      <t xml:space="preserve"> (FSC)</t>
    </r>
  </si>
  <si>
    <r>
      <t>Program for Endorsement of Forest Certification Systems</t>
    </r>
    <r>
      <rPr>
        <sz val="10"/>
        <color theme="1"/>
        <rFont val="Calibri"/>
        <family val="2"/>
        <scheme val="minor"/>
      </rPr>
      <t xml:space="preserve"> (PEFC)</t>
    </r>
  </si>
  <si>
    <r>
      <t>Sustainable Forestry Initiative</t>
    </r>
    <r>
      <rPr>
        <i/>
        <sz val="10"/>
        <color theme="1"/>
        <rFont val="Symbol"/>
        <family val="1"/>
        <charset val="2"/>
      </rPr>
      <t>â</t>
    </r>
    <r>
      <rPr>
        <i/>
        <sz val="10"/>
        <color theme="1"/>
        <rFont val="Calibri"/>
        <family val="2"/>
        <scheme val="minor"/>
      </rPr>
      <t xml:space="preserve"> Program (SFI)</t>
    </r>
  </si>
  <si>
    <t>National Wood Flooring Association’s Responsible Procurement Program (RPP)</t>
  </si>
  <si>
    <t>other product programs mutually recognized by PEFC</t>
  </si>
  <si>
    <r>
      <t>606.3 Manufacturing energy.</t>
    </r>
    <r>
      <rPr>
        <sz val="10"/>
        <color theme="1"/>
        <rFont val="Calibri"/>
        <family val="2"/>
        <scheme val="minor"/>
      </rPr>
      <t xml:space="preserve"> Materials manufactured using a minimum of 33 percent of the primary manufacturing process energy derived from (1) renewable sources, (2) combustible waste sources, or (3) renewable energy credits (RECs) are used for major components of the building.</t>
    </r>
  </si>
  <si>
    <t>(2 points awarded per material.)</t>
  </si>
  <si>
    <t>607 RECYCLING AND WASTE REDUCTION</t>
  </si>
  <si>
    <r>
      <t xml:space="preserve">607.1 Recycling and composting. </t>
    </r>
    <r>
      <rPr>
        <sz val="10"/>
        <color theme="1"/>
        <rFont val="Calibri"/>
        <family val="2"/>
        <scheme val="minor"/>
      </rPr>
      <t>Recycling and composting by the occupant are facilitated by one or more of the following methods:</t>
    </r>
  </si>
  <si>
    <r>
      <t>607.2</t>
    </r>
    <r>
      <rPr>
        <sz val="10"/>
        <color theme="1"/>
        <rFont val="Calibri"/>
        <family val="2"/>
        <scheme val="minor"/>
      </rPr>
      <t xml:space="preserve"> </t>
    </r>
    <r>
      <rPr>
        <b/>
        <sz val="10"/>
        <color theme="1"/>
        <rFont val="Calibri"/>
        <family val="2"/>
        <scheme val="minor"/>
      </rPr>
      <t>Food waste disposers.</t>
    </r>
    <r>
      <rPr>
        <sz val="10"/>
        <color theme="1"/>
        <rFont val="Calibri"/>
        <family val="2"/>
        <scheme val="minor"/>
      </rPr>
      <t xml:space="preserve"> A minimum of one food waste disposer is installed at the primary kitchen sink. </t>
    </r>
  </si>
  <si>
    <t>608 RESOURCE-EFFICIENT MATERIALS</t>
  </si>
  <si>
    <r>
      <t>608.1</t>
    </r>
    <r>
      <rPr>
        <sz val="10"/>
        <color theme="1"/>
        <rFont val="Calibri"/>
        <family val="2"/>
        <scheme val="minor"/>
      </rPr>
      <t xml:space="preserve"> </t>
    </r>
    <r>
      <rPr>
        <b/>
        <sz val="10"/>
        <color theme="1"/>
        <rFont val="Calibri"/>
        <family val="2"/>
        <scheme val="minor"/>
      </rPr>
      <t xml:space="preserve">Resource-efficient materials. </t>
    </r>
    <r>
      <rPr>
        <sz val="10"/>
        <color theme="1"/>
        <rFont val="Calibri"/>
        <family val="2"/>
        <scheme val="minor"/>
      </rPr>
      <t>Products containing fewer materials are used to achieve the same end-use requirements as conventional products, including but not limited to:</t>
    </r>
  </si>
  <si>
    <t>lighter, thinner brick with bed depth less than 3 inches and/or brick with coring of more that 25 percent</t>
  </si>
  <si>
    <t>engineered wood or engineered steel products</t>
  </si>
  <si>
    <t>roof or floor trusses</t>
  </si>
  <si>
    <t>609 REGIONAL MATERIALS</t>
  </si>
  <si>
    <r>
      <t>609.1</t>
    </r>
    <r>
      <rPr>
        <sz val="10"/>
        <color theme="1"/>
        <rFont val="Calibri"/>
        <family val="2"/>
        <scheme val="minor"/>
      </rPr>
      <t xml:space="preserve"> </t>
    </r>
    <r>
      <rPr>
        <b/>
        <sz val="10"/>
        <color theme="1"/>
        <rFont val="Calibri"/>
        <family val="2"/>
        <scheme val="minor"/>
      </rPr>
      <t xml:space="preserve">Regional materials. </t>
    </r>
    <r>
      <rPr>
        <sz val="10"/>
        <color theme="1"/>
        <rFont val="Calibri"/>
        <family val="2"/>
        <scheme val="minor"/>
      </rPr>
      <t>Regional materials are used for major and/or minor components of the building.</t>
    </r>
  </si>
  <si>
    <t>10 Max</t>
  </si>
  <si>
    <t>610 LIFE CYCLE ASSESSMENT</t>
  </si>
  <si>
    <r>
      <t xml:space="preserve">610.1 Life cycle assessment. </t>
    </r>
    <r>
      <rPr>
        <sz val="10"/>
        <color theme="1"/>
        <rFont val="Calibri"/>
        <family val="2"/>
        <scheme val="minor"/>
      </rPr>
      <t>A life cycle assessment (LCA) tool is used to select environmentally preferable products, assemblies, or, entire building designs. Points are awarded in accordance with Section 610.1.1 or 610.1.2. Only one method of analysis or tool may be utilized. The reference service life for the building is 60 years for any life cycle analysis tool. Results of the LCA are reported in the manual required in Section 1001.1 or 1002.1(1) of this Standard in terms of the environmental impacts listed in this practice and it is stated if operating energy was included in the LCA.</t>
    </r>
  </si>
  <si>
    <t>610.1.1</t>
  </si>
  <si>
    <r>
      <t xml:space="preserve">610.1.1 Whole-building life cycle assessment. </t>
    </r>
    <r>
      <rPr>
        <sz val="10"/>
        <color theme="1"/>
        <rFont val="Calibri"/>
        <family val="2"/>
        <scheme val="minor"/>
      </rPr>
      <t>A whole-building LCA is performed in conformance with ASTM E2921 using ISO14044 compliant life cycle assessment.</t>
    </r>
  </si>
  <si>
    <t xml:space="preserve">Execute LCA at the whole building level through a comparative analysis between the final and reference building designs as set forth under Standard Practice, ASTM E2921.  The assessment criteria includes the following environmental impact categories:                                                      </t>
  </si>
  <si>
    <t>Primary energy use</t>
  </si>
  <si>
    <t>Global warming potential</t>
  </si>
  <si>
    <t>Acidification potential</t>
  </si>
  <si>
    <t>Eutrophication potential</t>
  </si>
  <si>
    <t>Ozone depletion potential</t>
  </si>
  <si>
    <t>Smog potential</t>
  </si>
  <si>
    <t>Execute LCA on regulated loads throughout the building operations life cycle stage.  Conduct simulated energy performance analyses in accordance with Section 702.2.1 ICC IECC analysis (IECC Section 405) in establishing the comparative performance of final versus reference building designs.  Primary energy use savings and global warming potential avoidance from simulation analyses results are determined using energy supplier, utility, or EPA electricity generation and other fuels energy conversion factors and electricity generation and other fuels emission rates for the locality or Sub-Region in which the building is located</t>
  </si>
  <si>
    <t>Execute full LCA, including use-phase, through calculation of operating energy impacts (c) – (f) using local or regional emissions factors from energy supplier, utility, or EPA.</t>
  </si>
  <si>
    <t>610.1.2</t>
  </si>
  <si>
    <r>
      <t xml:space="preserve">610.1.2 Life cycle assessment for a product or assembly. </t>
    </r>
    <r>
      <rPr>
        <sz val="10"/>
        <color theme="1"/>
        <rFont val="Calibri"/>
        <family val="2"/>
        <scheme val="minor"/>
      </rPr>
      <t>An environmentally preferable product or assembly is selected for an application based upon the use of an LCA tool that incorporates data methods compliant with ISO 14044 or other recognized standards that compare the environmental impact of products or assemblies.</t>
    </r>
  </si>
  <si>
    <t xml:space="preserve">10 Max </t>
  </si>
  <si>
    <t>610.1.2.1</t>
  </si>
  <si>
    <r>
      <t xml:space="preserve">610.1.2.1 Product LCA. </t>
    </r>
    <r>
      <rPr>
        <sz val="10"/>
        <color theme="1"/>
        <rFont val="Calibri"/>
        <family val="2"/>
        <scheme val="minor"/>
      </rPr>
      <t>A product with improved environmental impact measures compared to another product(s) intended for the same use is selected. The environmental impact measures used in the assessment are selected from the following:</t>
    </r>
  </si>
  <si>
    <t>(Points are awarded for each product/system comparison where the selected product/system improved upon the environmental impact measures by an average of 15 percent.)</t>
  </si>
  <si>
    <t>610.1.2.2</t>
  </si>
  <si>
    <r>
      <t xml:space="preserve">610.1.2.2 Building assembly LCA. </t>
    </r>
    <r>
      <rPr>
        <sz val="10"/>
        <color theme="1"/>
        <rFont val="Calibri"/>
        <family val="2"/>
        <scheme val="minor"/>
      </rPr>
      <t>A building assembly with improved environmental impact measures compared to an alternative assembly of the same function is selected. The full life cycle, from resource extraction to demolition and disposal (including but not limited to on-site construction, maintenance and replacement, material and product embodied acquisition, and process and transportation energy), is assessed. The assessment includes all structural elements, insulation, and wall coverings of the assembly. The assessment does not include electrical and mechanical equipment and controls, plumbing products, fire detection and alarm systems, elevators, and conveying systems. The following types of building assemblies are eligible for points under this practice:</t>
    </r>
  </si>
  <si>
    <t>exterior walls</t>
  </si>
  <si>
    <t>roof/ceiling</t>
  </si>
  <si>
    <t>interior walls or ceilings</t>
  </si>
  <si>
    <t>intermediate floors</t>
  </si>
  <si>
    <t>The environmental impact measures used in the assessment are selected from the following:</t>
  </si>
  <si>
    <t>(Points are awarded based on the number of types of building assemblies that improve upon environmental impact measures by an average of 15 percent.)</t>
  </si>
  <si>
    <r>
      <t xml:space="preserve"> </t>
    </r>
    <r>
      <rPr>
        <b/>
        <sz val="10"/>
        <color theme="1"/>
        <rFont val="Calibri"/>
        <family val="2"/>
        <scheme val="minor"/>
      </rPr>
      <t>(1 point awarded per percent.)</t>
    </r>
  </si>
  <si>
    <t>Any no-step entrance into the dwelling which (1) is accessible from a substantially level parking or drop-off area (no more than 2%) via an accessible path which has no individual change in elevation or other obstruction of more than 1-1/2 inches in height with the pitch not exceeding 1 in 12 and (2) provides a minimum 32-inch wide clearance into the dwelling.</t>
  </si>
  <si>
    <t xml:space="preserve">Minimum 36-inch wide accessible route from the no-step entrance into at least one visiting room in the dwelling and into at least one full or half bathroom which has a minimum 32-inch clear door width and a 30-inch by 48-inch clear area inside the bathroom outside the door swing. </t>
  </si>
  <si>
    <t xml:space="preserve">Minimum 36-inch wide accessible route from the no-step entrance into at least one bedroom which has a minimum 32-inch clear door width. </t>
  </si>
  <si>
    <t>Blocking or equivalent installed in the accessible bathroom walls for future installation of grab bars at water closet and bathing fixture, if applicable.</t>
  </si>
  <si>
    <t>All interior and exterior door handles are levers rather than knobs.</t>
  </si>
  <si>
    <t>Interior convenience Power receptacles, communication connections (for cable, phone, Ethernet, etc.) and switches are placed between 15” and 48” above the finished floor. Additional switches to control devices and systems (such as alarms, home theaters and other equipment) not required by the local building code may be installed as desired.</t>
  </si>
  <si>
    <t>All light switches are rocker-type switches or other similar switches that can be operated by pressing them (with assistive devices). Toggle-type switches may not be used.</t>
  </si>
  <si>
    <t>Any of the following can be controlled with a (wireless) mobile device such as a smartphone, tablet or laptop computer: HVAC, lighting, alarm system or door locks</t>
  </si>
  <si>
    <t>501 LOT SELECTION</t>
  </si>
  <si>
    <t>500 LOT DESIGN, PREPERATION AND DEVELOPMENT</t>
  </si>
  <si>
    <t>2 per exterior door
6 Max</t>
  </si>
  <si>
    <t>Max Slope in Const. Zn:</t>
  </si>
  <si>
    <t>Ch6NLev</t>
  </si>
  <si>
    <t>Ch6Error</t>
  </si>
  <si>
    <t>Ch7Level</t>
  </si>
  <si>
    <t>Ch7Points</t>
  </si>
  <si>
    <t>Ch7MandError</t>
  </si>
  <si>
    <t>Ch7NLev</t>
  </si>
  <si>
    <t>Ch8Level</t>
  </si>
  <si>
    <t>Ch8Points</t>
  </si>
  <si>
    <t>Ch8MandError</t>
  </si>
  <si>
    <t>Ch8Error</t>
  </si>
  <si>
    <t>Ch8NLev</t>
  </si>
  <si>
    <t>Ch7Error</t>
  </si>
  <si>
    <t>Ch9Level</t>
  </si>
  <si>
    <t>Ch9Points</t>
  </si>
  <si>
    <t>Ch9MandError</t>
  </si>
  <si>
    <t>Ch9NLev</t>
  </si>
  <si>
    <t>Ch9Error</t>
  </si>
  <si>
    <t>Ch10Level</t>
  </si>
  <si>
    <t>Ch10Points</t>
  </si>
  <si>
    <t>Ch10MandError</t>
  </si>
  <si>
    <t>Ch10NLev</t>
  </si>
  <si>
    <t>Ch10Error</t>
  </si>
  <si>
    <t>1 additional</t>
  </si>
  <si>
    <t>front only</t>
  </si>
  <si>
    <t>rear only</t>
  </si>
  <si>
    <t>full</t>
  </si>
  <si>
    <t>100%</t>
  </si>
  <si>
    <t>10 percent to &lt; 25 percent</t>
  </si>
  <si>
    <t>Note: Points must be earned in 503.3 in order for points in 504.1 to be available</t>
  </si>
  <si>
    <t>NOTE: Points must be taken in 503.3 to claim points in 504.1.</t>
  </si>
  <si>
    <t>CLICK TO PROCEED TO CHAPTER 6 &gt;&gt;</t>
  </si>
  <si>
    <t>END OF CHAPTER 5</t>
  </si>
  <si>
    <t>801 INDOOR AND OUTDOOR WATER USE</t>
  </si>
  <si>
    <t>801.0</t>
  </si>
  <si>
    <t>(Where more than one water heater is used or where more than one type of hot water supply system, including multiple circulation loops, is used, points are awarded only for the system that qualifies for the minimum number of points.)</t>
  </si>
  <si>
    <t>(Systems with circulation loops are eligible for points only if pumps are demand controlled. Circulation systems with timers or aquastats and constant-on circulation systems are not eligible to receive points.)</t>
  </si>
  <si>
    <t>(Points awarded only if the pipes are insulated in accordance with Section 705.6.3.)</t>
  </si>
  <si>
    <t>The maximum volume from the water heater to the termination of the fixture supply at furthest fixture is 128 ounces (1 gallon or 3.78 liters).</t>
  </si>
  <si>
    <t>The maximum volume from the water heater to the termination of the fixture supply at furthest fixture is 64 ounces (0.5 gallon or 1.89 liters).</t>
  </si>
  <si>
    <t>The maximum volume from the water heater to the termination of the fixture supply at furthest fixture is 32 ounces (0.25 gallon or 0.945 liters).</t>
  </si>
  <si>
    <t>A demand controlled hot water priming pump is installed on the main supply pipe of the circulation loop and the maximum volume from this supply pipe to the furthest fixture is 24 ounces (0.19 gallons or 0.71 liters).</t>
  </si>
  <si>
    <t>The volume in the circulation loop (supply) from the water heater or boiler to the branch for the furthest fixture is no more than 128 ounces (1 gallon or 3.78 liters).</t>
  </si>
  <si>
    <t>4 Additional</t>
  </si>
  <si>
    <t>A central hot water recirculation system is implemented in multifamily buildings in which the hot water line distance from the recirculating loop to the engineered parallel piping system (i.e., manifold system) is less than 30 feet (9,144 mm) and the parallel piping to the fixture fittings contains a maximum of 64 ounces (1.89 liters) (115.50 cubic inches) (0.50 gallons).</t>
  </si>
  <si>
    <t>Tankless water heater(s) with at least 0.5 gallon (1.89 liters) of storage are installed, or a tankless water heater that ramps up to at least 110F within 5 seconds is installed. The storage may be internal or external to the tankless water heater.</t>
  </si>
  <si>
    <t>dishwasher</t>
  </si>
  <si>
    <t xml:space="preserve">4 for first compartment </t>
  </si>
  <si>
    <t>1 for each additional compartment in dwelling</t>
  </si>
  <si>
    <t>7 Max</t>
  </si>
  <si>
    <t xml:space="preserve">6 Additional </t>
  </si>
  <si>
    <t xml:space="preserve">10 Additional </t>
  </si>
  <si>
    <t>Any shower control that can shut off water flow without affecting temperature is installed.</t>
  </si>
  <si>
    <t>(Points awarded per shower control.)</t>
  </si>
  <si>
    <t>3 Max</t>
  </si>
  <si>
    <t>(Points awarded per fixture.)</t>
  </si>
  <si>
    <t>1 Additional</t>
  </si>
  <si>
    <t>Drip irrigation is installed for all landscape beds.</t>
  </si>
  <si>
    <t>Subsurface drip is installed for all turf grass areas.</t>
  </si>
  <si>
    <t>Drip irrigation zones specifications show plant type by name and water use/need for each emitter (Points awarded only if specifications are implemented.)</t>
  </si>
  <si>
    <t xml:space="preserve">(Points are not additive.) </t>
  </si>
  <si>
    <t>Rainwater is diverted for landscape irrigation without impermeable water storage</t>
  </si>
  <si>
    <t>Rainwater is diverted for landscape irrigation with impermeable water storage in accordance with one of the following:</t>
  </si>
  <si>
    <t>50 – 499 gallon storage capacity</t>
  </si>
  <si>
    <t>500 – 2499 gallon storage capacity</t>
  </si>
  <si>
    <t>2500 gallon or larger storage capacity (system is designed by a professional certified by The American Rainwater Catchment Systems Association or equivalent)</t>
  </si>
  <si>
    <t>All irrigation demands are met by rainwater capture (documentation demonstrating the water needs of the landscape is provided and the system is designed by a professional certified by The American Rainwater Catchment Systems Association or equivalent).</t>
  </si>
  <si>
    <t>Rainwater is used to supply an indoor appliance or fixture for any locally approved use.</t>
  </si>
  <si>
    <t>(Points awarded per appliance or fixture.)</t>
  </si>
  <si>
    <t>Rainwater provides for total domestic demand.</t>
  </si>
  <si>
    <t>each water closet flushed by reclaimed, gray, or recycled water</t>
  </si>
  <si>
    <t>(Points awarded per fixture or appliance.)</t>
  </si>
  <si>
    <t>irrigation from reclaimed, gray, or recycled water on-site</t>
  </si>
  <si>
    <t>3 per roughed in system</t>
  </si>
  <si>
    <t>701 MINIMUM ENERGY EFFICIENCY REQUIREMENTS</t>
  </si>
  <si>
    <t>701.1.1</t>
  </si>
  <si>
    <t>701.1.2</t>
  </si>
  <si>
    <t>701.1.3</t>
  </si>
  <si>
    <t>701.1.4</t>
  </si>
  <si>
    <r>
      <t>701.3</t>
    </r>
    <r>
      <rPr>
        <sz val="10"/>
        <color theme="1"/>
        <rFont val="Calibri"/>
        <family val="2"/>
        <scheme val="minor"/>
      </rPr>
      <t xml:space="preserve"> </t>
    </r>
    <r>
      <rPr>
        <b/>
        <sz val="10"/>
        <color theme="1"/>
        <rFont val="Calibri"/>
        <family val="2"/>
        <scheme val="minor"/>
      </rPr>
      <t xml:space="preserve">Adopting Entity review. </t>
    </r>
    <r>
      <rPr>
        <sz val="10"/>
        <color theme="1"/>
        <rFont val="Calibri"/>
        <family val="2"/>
        <scheme val="minor"/>
      </rPr>
      <t xml:space="preserve">A review by the Adopting Entity or designated third party shall be conducted to verify design and compliance with Chapter 7. </t>
    </r>
  </si>
  <si>
    <t>701.4 Mandatory practices.</t>
  </si>
  <si>
    <t>701.4.1</t>
  </si>
  <si>
    <t>701.4.1 HVAC systems.</t>
  </si>
  <si>
    <t>701.4.1.1</t>
  </si>
  <si>
    <r>
      <t>701.4.1.1</t>
    </r>
    <r>
      <rPr>
        <sz val="10"/>
        <color theme="1"/>
        <rFont val="Calibri"/>
        <family val="2"/>
        <scheme val="minor"/>
      </rPr>
      <t xml:space="preserve"> </t>
    </r>
    <r>
      <rPr>
        <b/>
        <sz val="10"/>
        <color theme="1"/>
        <rFont val="Calibri"/>
        <family val="2"/>
        <scheme val="minor"/>
      </rPr>
      <t>HVAC system sizing.</t>
    </r>
    <r>
      <rPr>
        <sz val="10"/>
        <color theme="1"/>
        <rFont val="Calibri"/>
        <family val="2"/>
        <scheme val="minor"/>
      </rPr>
      <t xml:space="preserve"> Space heating and cooling system is sized according to heating and cooling loads calculated using ACCA Manual J, or equivalent. Equipment is selected using ACCA Manual S or equivalent.</t>
    </r>
  </si>
  <si>
    <t>701.4.1.2</t>
  </si>
  <si>
    <r>
      <t>701.4.1.2 Radiant and hydronic space heating.</t>
    </r>
    <r>
      <rPr>
        <sz val="10"/>
        <color theme="1"/>
        <rFont val="Calibri"/>
        <family val="2"/>
        <scheme val="minor"/>
      </rPr>
      <t xml:space="preserve"> Where installed as a primary heat source in the building, radiant or hydronic space heating system is designed, installed, and documented, using industry-approved guidelines and standards (e.g., ACCA Manual J, AHRI I=B=R, ACCA 5 QI-2010, or an accredited design professional’s and manufacturer’s recommendations). </t>
    </r>
  </si>
  <si>
    <t>701.4.2</t>
  </si>
  <si>
    <t>701.4.2 Duct systems.</t>
  </si>
  <si>
    <r>
      <t>701.4.2.1</t>
    </r>
    <r>
      <rPr>
        <sz val="10"/>
        <color theme="1"/>
        <rFont val="Calibri"/>
        <family val="2"/>
        <scheme val="minor"/>
      </rPr>
      <t xml:space="preserve"> </t>
    </r>
    <r>
      <rPr>
        <b/>
        <sz val="10"/>
        <color theme="1"/>
        <rFont val="Calibri"/>
        <family val="2"/>
        <scheme val="minor"/>
      </rPr>
      <t>Duct air sealing.</t>
    </r>
    <r>
      <rPr>
        <sz val="10"/>
        <color theme="1"/>
        <rFont val="Calibri"/>
        <family val="2"/>
        <scheme val="minor"/>
      </rPr>
      <t xml:space="preserve"> Ducts are air sealed. All duct sealing materials are in conformance with UL 181A or UL 181B specifications and are installed in accordance with manufacturer’s instructions.</t>
    </r>
  </si>
  <si>
    <t>701.4.2.2</t>
  </si>
  <si>
    <r>
      <t xml:space="preserve">701.4.2.2 Ducts and Plenums.  </t>
    </r>
    <r>
      <rPr>
        <sz val="10"/>
        <color theme="1"/>
        <rFont val="Calibri"/>
        <family val="2"/>
        <scheme val="minor"/>
      </rPr>
      <t>Building framing cavities are not used as ducts or plenums.</t>
    </r>
  </si>
  <si>
    <t>701.4.2.3</t>
  </si>
  <si>
    <r>
      <t>701.4.2.3</t>
    </r>
    <r>
      <rPr>
        <sz val="10"/>
        <color theme="1"/>
        <rFont val="Calibri"/>
        <family val="2"/>
        <scheme val="minor"/>
      </rPr>
      <t xml:space="preserve"> </t>
    </r>
    <r>
      <rPr>
        <b/>
        <sz val="10"/>
        <color theme="1"/>
        <rFont val="Calibri"/>
        <family val="2"/>
        <scheme val="minor"/>
      </rPr>
      <t>Duct system sizing.</t>
    </r>
    <r>
      <rPr>
        <sz val="10"/>
        <color theme="1"/>
        <rFont val="Calibri"/>
        <family val="2"/>
        <scheme val="minor"/>
      </rPr>
      <t xml:space="preserve"> Duct system is sized and designed in accordance with ACCA Manual D or equivalent.</t>
    </r>
  </si>
  <si>
    <t>701.4.3</t>
  </si>
  <si>
    <t>701.4.3 Insulation and air sealing.</t>
  </si>
  <si>
    <t>701.4.3.1</t>
  </si>
  <si>
    <r>
      <t>701.4.3.1 Building Thermal Envelope Air Sealing.</t>
    </r>
    <r>
      <rPr>
        <sz val="10"/>
        <color theme="1"/>
        <rFont val="Calibri"/>
        <family val="2"/>
        <scheme val="minor"/>
      </rPr>
      <t xml:space="preserve"> 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</si>
  <si>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</si>
  <si>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</si>
  <si>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</si>
  <si>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</si>
  <si>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</si>
  <si>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</si>
  <si>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Behind tubs and showers on exterior walls.</t>
  </si>
  <si>
    <t>(i)</t>
  </si>
  <si>
    <t>(j)</t>
  </si>
  <si>
    <t>Attic access openings.</t>
  </si>
  <si>
    <t>(k)</t>
  </si>
  <si>
    <t>(l)</t>
  </si>
  <si>
    <t>Other sources of infiltration.</t>
  </si>
  <si>
    <t>701.4.3.2</t>
  </si>
  <si>
    <r>
      <t>Testing.</t>
    </r>
    <r>
      <rPr>
        <sz val="10"/>
        <color theme="1"/>
        <rFont val="Calibri"/>
        <family val="2"/>
        <scheme val="minor"/>
      </rPr>
      <t xml:space="preserve"> Building envelope tightness is tested. Testing is conducted in accordance with ASTM E-779 using a blower door at a test pressure of 1.04 psf (50 Pa). Testing is conducted after rough-in and after installation of penetrations of the building envelope, including penetrations for utilities, plumbing, electrical, ventilation, and combustion appliances. Testing is conducted under the following conditions:</t>
    </r>
  </si>
  <si>
    <t xml:space="preserve">Exterior windows and doors, fireplace and stove doors are closed, but not sealed; </t>
  </si>
  <si>
    <t>Dampers are closed, but not sealed, including exhaust, intake, makeup air, backdraft and flue dampers;</t>
  </si>
  <si>
    <t>Interior doors are open;</t>
  </si>
  <si>
    <t>Exterior openings for continuous ventilation systems and heat recovery ventilators are closed and sealed;</t>
  </si>
  <si>
    <t xml:space="preserve">Heating and cooling systems are turned off; </t>
  </si>
  <si>
    <t>HVAC duct terminations are not sealed; and</t>
  </si>
  <si>
    <t>Supply and return registers are not sealed.</t>
  </si>
  <si>
    <r>
      <t>Visual inspection.</t>
    </r>
    <r>
      <rPr>
        <sz val="10"/>
        <color theme="1"/>
        <rFont val="Calibri"/>
        <family val="2"/>
        <scheme val="minor"/>
      </rPr>
      <t xml:space="preserve"> The air barrier and insulation items listed in Table 701.4.3.2(2) are field verified by visual inspection.</t>
    </r>
  </si>
  <si>
    <t>701.4.3.2.1</t>
  </si>
  <si>
    <t>Inspection is conducted before insulation is covered.</t>
  </si>
  <si>
    <t>Air-permeable insulation is enclosed on all six sides and is in substantial contact with the sheathing material on one or more sides (interior or exterior) of the cavity. Air permeable insulation in ceilings is not required to be enclosed when the insulation is installed in substantial contact with the surfaces it is intended to insulate.</t>
  </si>
  <si>
    <t>Cavity insulation uniformly fills each cavity side-to-side and top-to-bottom, without substantial gaps or voids around obstructions (such as blocking or bridging).</t>
  </si>
  <si>
    <t>Cavity insulation compression or incomplete fill amounts to 2 percent or less, presuming the compressed or incomplete areas are a minimum of 70 percent of the intended fill thickness; occasional small gaps are acceptable.</t>
  </si>
  <si>
    <t>Exterior rigid insulation has substantial contact with the structural framing members or sheathing materials and is tightly fitted at joints.</t>
  </si>
  <si>
    <t>Cavity insulation is split, installed, and/or fitted tightly around wiring and other services.</t>
  </si>
  <si>
    <t>Exterior sheathing is not visible from the interior through gaps in the cavity insulation.</t>
  </si>
  <si>
    <t>Faced batt insulation is permitted to have side-stapled tabs, provided the tabs are stapled neatly with no buckling, and provided the batt is compressed only at the edges of each cavity, to the depth of the tab itself.</t>
  </si>
  <si>
    <t>701.4.3.3</t>
  </si>
  <si>
    <t>701.4.3.4</t>
  </si>
  <si>
    <t>701.4.3.5</t>
  </si>
  <si>
    <t>701.4.4</t>
  </si>
  <si>
    <t>A minimum of 75 percent of the total hard-wired lighting fixtures or the bulbs in those fixtures qualify as high efficacy or equivalent</t>
  </si>
  <si>
    <t>Lighting power density, measured in watts/square foot, is 1.1 or less.</t>
  </si>
  <si>
    <t>701.4.5</t>
  </si>
  <si>
    <t>702 PERFORMANCE PATH</t>
  </si>
  <si>
    <r>
      <t>702.2</t>
    </r>
    <r>
      <rPr>
        <sz val="10"/>
        <color theme="1"/>
        <rFont val="Calibri"/>
        <family val="2"/>
        <scheme val="minor"/>
      </rPr>
      <t xml:space="preserve"> </t>
    </r>
    <r>
      <rPr>
        <b/>
        <sz val="10"/>
        <color theme="1"/>
        <rFont val="Calibri"/>
        <family val="2"/>
        <scheme val="minor"/>
      </rPr>
      <t xml:space="preserve">Energy performance levels. </t>
    </r>
  </si>
  <si>
    <t>702.2.1</t>
  </si>
  <si>
    <r>
      <t>702.2.1 ICC IECC analysis.</t>
    </r>
    <r>
      <rPr>
        <sz val="10"/>
        <color theme="1"/>
        <rFont val="Calibri"/>
        <family val="2"/>
        <scheme val="minor"/>
      </rPr>
      <t xml:space="preserve"> Energy efficiency features are implemented to achieve energy cost or source energy performance that meets the ICC IECC. A documented analysis using software in accordance with ICC IECC, Section R405, or ICC IECC Section C407.2 through C407.5, applied as defined in the ICC IECC, is required. </t>
    </r>
  </si>
  <si>
    <t>702.2.2</t>
  </si>
  <si>
    <t>702.2.3</t>
  </si>
  <si>
    <r>
      <t>702.2.3 Tropical standard reference design.</t>
    </r>
    <r>
      <rPr>
        <sz val="10"/>
        <color theme="1"/>
        <rFont val="Calibri"/>
        <family val="2"/>
        <scheme val="minor"/>
      </rPr>
      <t xml:space="preserve"> For the Tropical Climate Zone, the standard reference design shall use the specifications in IECC Section R401.2.1 (Tropical Zone).</t>
    </r>
  </si>
  <si>
    <t>703 PRESCRIPTIVE PATH</t>
  </si>
  <si>
    <t>703.1 Mandatory practices.</t>
  </si>
  <si>
    <t>703.1.1</t>
  </si>
  <si>
    <t>703.1.1.1</t>
  </si>
  <si>
    <t>703.1.1.2</t>
  </si>
  <si>
    <t>703.1.2</t>
  </si>
  <si>
    <t>703.1.3</t>
  </si>
  <si>
    <t>703.2 Building envelope</t>
  </si>
  <si>
    <t>703.2.1</t>
  </si>
  <si>
    <t>Per Table 703.2.1(b)</t>
  </si>
  <si>
    <t>703.2.2</t>
  </si>
  <si>
    <r>
      <t xml:space="preserve">703.2.2 Mass walls. </t>
    </r>
    <r>
      <rPr>
        <sz val="10"/>
        <color theme="1"/>
        <rFont val="Calibri"/>
        <family val="2"/>
        <scheme val="minor"/>
      </rPr>
      <t xml:space="preserve">More than 75 percent of the above-grade exterior opaque wall area of the building is mass walls. </t>
    </r>
  </si>
  <si>
    <t>Per Table 703.2.2</t>
  </si>
  <si>
    <t>703.2.3</t>
  </si>
  <si>
    <r>
      <t xml:space="preserve">703.2.3 </t>
    </r>
    <r>
      <rPr>
        <sz val="10"/>
        <color theme="1"/>
        <rFont val="Calibri"/>
        <family val="2"/>
        <scheme val="minor"/>
      </rPr>
      <t>A radiant barrier with an emittance of 0.05 or less is used in the attic. The product is tested in accordance with ASTM C1371 and installed in accordance with the manufacturer's instructions.</t>
    </r>
  </si>
  <si>
    <t>703.2.4</t>
  </si>
  <si>
    <t>703.2.5</t>
  </si>
  <si>
    <t>703.2.5 Fenestration</t>
  </si>
  <si>
    <t>703.2.5.1</t>
  </si>
  <si>
    <r>
      <rPr>
        <b/>
        <sz val="10"/>
        <color theme="1"/>
        <rFont val="Calibri"/>
        <family val="2"/>
        <scheme val="minor"/>
      </rPr>
      <t>703.2.5.1</t>
    </r>
    <r>
      <rPr>
        <sz val="10"/>
        <color theme="1"/>
        <rFont val="Calibri"/>
        <family val="2"/>
        <scheme val="minor"/>
      </rPr>
      <t xml:space="preserve"> NFRC-certified (or equivalent) U-factor and SHGC of windows, exterior doors, skylights, and tubular daylighting devices (TDDs) on an area-weighted average basis do not exceed the values in Table 703.2.5.1. Area weighted averages are calculated separately for the categories of 1) windows and exterior doors and 2) skylights and tubular daylighting devices (TDDs). Decorative fenestration elements with a combined total maximum area of 15 square feet (1.39 m2) or 10 percent of the total glazing area, whichever is less, are not required to comply with this practice.</t>
    </r>
  </si>
  <si>
    <t>703.2.5.1.1</t>
  </si>
  <si>
    <r>
      <t>703.2.5.1.1 Dynamic glazing.</t>
    </r>
    <r>
      <rPr>
        <sz val="10"/>
        <color theme="1"/>
        <rFont val="Calibri"/>
        <family val="2"/>
        <scheme val="minor"/>
      </rPr>
      <t xml:space="preserve"> Dynamic glazing is permitted to satisfy the SHGC requirements of Table 703.2.5.1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 703.2.5.1.</t>
    </r>
  </si>
  <si>
    <t>703.2.5.2</t>
  </si>
  <si>
    <r>
      <t xml:space="preserve">703.2.5.2 </t>
    </r>
    <r>
      <rPr>
        <sz val="10"/>
        <color theme="1"/>
        <rFont val="Calibri"/>
        <family val="2"/>
        <scheme val="minor"/>
      </rPr>
      <t>The NFRC-certified (or equivalent) U-factor and SHGC of windows, exterior doors, skylights, and tubular daylighting devices (TDDs) are in accordance with Table 703.2.5.2(a), (b), or (c). Decorative fenestration elements with a combined total maximum area of 15 square feet (1.39 m</t>
    </r>
    <r>
      <rPr>
        <vertAlign val="superscript"/>
        <sz val="10"/>
        <color theme="1"/>
        <rFont val="Calibri"/>
        <family val="2"/>
        <scheme val="minor"/>
      </rPr>
      <t>2</t>
    </r>
    <r>
      <rPr>
        <sz val="10"/>
        <color theme="1"/>
        <rFont val="Calibri"/>
        <family val="2"/>
        <scheme val="minor"/>
      </rPr>
      <t xml:space="preserve">) or 10 percent of the total glazing area, whichever is less, are not required to comply with this practice. </t>
    </r>
  </si>
  <si>
    <t>703.2.5.2.1</t>
  </si>
  <si>
    <r>
      <t xml:space="preserve">703.2.5.2.1 Dynamic glazing. </t>
    </r>
    <r>
      <rPr>
        <sz val="10"/>
        <color theme="1"/>
        <rFont val="Calibri"/>
        <family val="2"/>
        <scheme val="minor"/>
      </rPr>
      <t>Dynamic glazing is permitted to satisfy the SHGC requirements of Tables 703.2.5.2(a), 703.2.5.2(b), and 703.2.5.2(c)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Tables 703.2.5.2(a), 703.2.5.2(b), and 703.2.5.2(c).</t>
    </r>
  </si>
  <si>
    <t>703.3.0</t>
  </si>
  <si>
    <t>HVAC equipment efficiency</t>
  </si>
  <si>
    <r>
      <t xml:space="preserve">703.3.0 Multiple heating and cooling systems. </t>
    </r>
    <r>
      <rPr>
        <sz val="10"/>
        <color theme="1"/>
        <rFont val="Calibri"/>
        <family val="2"/>
        <scheme val="minor"/>
      </rPr>
      <t>For multiple heating or cooling systems in one home, practices 703.3.1 through 703.3.6 apply to the system that supplies 80% or more of the total installed heating or cooling capacity. Where multiple systems each serve less than 80% of the total installed heating or cooling capacity, points under Sections 703.3.1 through 703.3.6 are awarded either for the system eligible for the fewest points or the weighted average of the systems. The weighted average shall be calculated in accordance with the following equation and be based upon the efficiency and capacity of the equipment as selected in accordance with ACCA Manual S with it loads calculated in accordance with ACCA Manual J.</t>
    </r>
  </si>
  <si>
    <t>E = Rated AHRI efficiency for unit</t>
  </si>
  <si>
    <t>C = Rated heating or cooling capacity for unit</t>
  </si>
  <si>
    <r>
      <t xml:space="preserve">n </t>
    </r>
    <r>
      <rPr>
        <sz val="10"/>
        <color theme="1"/>
        <rFont val="Calibri"/>
        <family val="2"/>
        <scheme val="minor"/>
      </rPr>
      <t>= Unit count</t>
    </r>
    <r>
      <rPr>
        <i/>
        <sz val="10"/>
        <color theme="1"/>
        <rFont val="Calibri"/>
        <family val="2"/>
        <scheme val="minor"/>
      </rPr>
      <t xml:space="preserve"> </t>
    </r>
  </si>
  <si>
    <t>703.3.1</t>
  </si>
  <si>
    <t xml:space="preserve">703.3.2 </t>
  </si>
  <si>
    <r>
      <t xml:space="preserve">703.3.2 </t>
    </r>
    <r>
      <rPr>
        <sz val="10"/>
        <color theme="1"/>
        <rFont val="Calibri"/>
        <family val="2"/>
        <scheme val="minor"/>
      </rPr>
      <t xml:space="preserve">Furnace and/or boiler efficiency is in accordance with one of the following: </t>
    </r>
  </si>
  <si>
    <t>Gas and propane heaters:</t>
  </si>
  <si>
    <t>Oil furnace:</t>
  </si>
  <si>
    <t>Gas boiler:</t>
  </si>
  <si>
    <t>Oil boiler:</t>
  </si>
  <si>
    <t xml:space="preserve">703.3.3 </t>
  </si>
  <si>
    <r>
      <t xml:space="preserve">703.3.3 </t>
    </r>
    <r>
      <rPr>
        <sz val="10"/>
        <color theme="1"/>
        <rFont val="Calibri"/>
        <family val="2"/>
        <scheme val="minor"/>
      </rPr>
      <t>Heat pump heating efficiency is in accordance with Table 703.3.3(1) or Table 703.3.3(2) or Table 703.3.3(3). Refrigerant charge is verified for compliance with manufacturer’s instructions utilizing a method in Section 4.3 of ACCA 5 QI-2010.</t>
    </r>
  </si>
  <si>
    <t>703.3.4</t>
  </si>
  <si>
    <r>
      <t xml:space="preserve">703.3.4 </t>
    </r>
    <r>
      <rPr>
        <sz val="10"/>
        <color theme="1"/>
        <rFont val="Calibri"/>
        <family val="2"/>
        <scheme val="minor"/>
      </rPr>
      <t>Cooling efficiency is in accordance with Table 703.3.4(1) or Table 703.3.4(2). Refrigerant charge is verified for compliance with manufacturer’s instructions utilizing a method in Section 4.3 of ACCA 5 QI-2010.</t>
    </r>
  </si>
  <si>
    <t>703.3.5</t>
  </si>
  <si>
    <r>
      <t>703.3.5</t>
    </r>
    <r>
      <rPr>
        <sz val="10"/>
        <color theme="1"/>
        <rFont val="Calibri"/>
        <family val="2"/>
        <scheme val="minor"/>
      </rPr>
      <t xml:space="preserve"> Water source cooling and heating efficiency is in accordance with Table 703.3.5. Refrigerant charge is verified for compliance with manufacturer’s instructions utilizing a method in Section 4.3 of ACCA 5 QI-2010.</t>
    </r>
  </si>
  <si>
    <t>703.3.6</t>
  </si>
  <si>
    <t>703.3.7</t>
  </si>
  <si>
    <r>
      <t xml:space="preserve">703.3.7 </t>
    </r>
    <r>
      <rPr>
        <sz val="10"/>
        <color theme="1"/>
        <rFont val="Calibri"/>
        <family val="2"/>
        <scheme val="minor"/>
      </rPr>
      <t>ENERGY STAR, or equivalent, ceiling fans are installed.</t>
    </r>
  </si>
  <si>
    <t>(Points awarded per building.)</t>
  </si>
  <si>
    <t>703.3.8</t>
  </si>
  <si>
    <t>703.4 Duct Systems</t>
  </si>
  <si>
    <t>703.4.1</t>
  </si>
  <si>
    <r>
      <t>703.4.1</t>
    </r>
    <r>
      <rPr>
        <sz val="10"/>
        <color theme="1"/>
        <rFont val="Calibri"/>
        <family val="2"/>
        <scheme val="minor"/>
      </rPr>
      <t xml:space="preserve"> All space heating is provided by a system(s) that does not include air ducts.</t>
    </r>
  </si>
  <si>
    <t>(No points awarded for multifamily buildings four or more stories in height.)</t>
  </si>
  <si>
    <t>703.4.2</t>
  </si>
  <si>
    <r>
      <t>703.4.2</t>
    </r>
    <r>
      <rPr>
        <sz val="10"/>
        <color theme="1"/>
        <rFont val="Calibri"/>
        <family val="2"/>
        <scheme val="minor"/>
      </rPr>
      <t xml:space="preserve"> All space cooling is provided by a system(s) that does not include air ducts.</t>
    </r>
  </si>
  <si>
    <t>703.4.3</t>
  </si>
  <si>
    <r>
      <t>703.4.3</t>
    </r>
    <r>
      <rPr>
        <sz val="10"/>
        <color theme="1"/>
        <rFont val="Calibri"/>
        <family val="2"/>
        <scheme val="minor"/>
      </rPr>
      <t xml:space="preserve"> Ductwork is in accordance with all of the following: </t>
    </r>
  </si>
  <si>
    <t>Building cavities are not used as return ductwork.</t>
  </si>
  <si>
    <t>Heating and cooling ducts and mechanical equipment are installed within the conditioned building space.</t>
  </si>
  <si>
    <t>Ductwork is not installed in exterior walls.</t>
  </si>
  <si>
    <t>703.4.4</t>
  </si>
  <si>
    <r>
      <t xml:space="preserve">703.4.4 Duct Leakage. </t>
    </r>
    <r>
      <rPr>
        <sz val="10"/>
        <color theme="1"/>
        <rFont val="Calibri"/>
        <family val="2"/>
        <scheme val="minor"/>
      </rPr>
      <t xml:space="preserve">The entire central HVAC duct system, including air handlers and register boots, is tested by a third party for total leakage at a pressure differential of 0.1 inches w.g. (25 Pa) and maximum air leakage is equal to or less than 6 percent of the system design flow rate or 4 cubic feet per minute per 100 square feet of conditioned floor area. </t>
    </r>
  </si>
  <si>
    <t>(Points not awarded if points are taken under Section 705.6.2.3)</t>
  </si>
  <si>
    <t>703.5 Water heating system</t>
  </si>
  <si>
    <t>703.5.1</t>
  </si>
  <si>
    <t>Gas water heating</t>
  </si>
  <si>
    <t>Electric water heating</t>
  </si>
  <si>
    <t>703.5.2</t>
  </si>
  <si>
    <r>
      <t>703.5.2</t>
    </r>
    <r>
      <rPr>
        <sz val="10"/>
        <color theme="1"/>
        <rFont val="Calibri"/>
        <family val="2"/>
        <scheme val="minor"/>
      </rPr>
      <t xml:space="preserve"> Desuperheater is installed by a qualified installer or is pre-installed in the factory.</t>
    </r>
  </si>
  <si>
    <t>703.5.3</t>
  </si>
  <si>
    <r>
      <t>703.5.3</t>
    </r>
    <r>
      <rPr>
        <sz val="10"/>
        <color theme="1"/>
        <rFont val="Calibri"/>
        <family val="2"/>
        <scheme val="minor"/>
      </rPr>
      <t xml:space="preserve"> Drain-water heat recovery system is installed. </t>
    </r>
  </si>
  <si>
    <r>
      <t xml:space="preserve">703.5.4 </t>
    </r>
    <r>
      <rPr>
        <sz val="10"/>
        <color theme="1"/>
        <rFont val="Calibri"/>
        <family val="2"/>
        <scheme val="minor"/>
      </rPr>
      <t>Indirect-fired water heater storage tanks heated from boiler systems are installed.</t>
    </r>
  </si>
  <si>
    <t>703.5.5</t>
  </si>
  <si>
    <t>703.6 Lighting and appliances</t>
  </si>
  <si>
    <t>703.6.1</t>
  </si>
  <si>
    <r>
      <t>703.6.1 Hard-wired lighting.</t>
    </r>
    <r>
      <rPr>
        <sz val="10"/>
        <color theme="1"/>
        <rFont val="Calibri"/>
        <family val="2"/>
        <scheme val="minor"/>
      </rPr>
      <t xml:space="preserve"> Hard-wired lighting is in accordance with one of the following: </t>
    </r>
  </si>
  <si>
    <t>In multifamily buildings, common area lighting power density (LPD) is less than 0.51 Watts per square foot.</t>
  </si>
  <si>
    <t xml:space="preserve">703.6.2 </t>
  </si>
  <si>
    <r>
      <t>703.6.2 Appliances.</t>
    </r>
    <r>
      <rPr>
        <sz val="10"/>
        <color theme="1"/>
        <rFont val="Calibri"/>
        <family val="2"/>
        <scheme val="minor"/>
      </rPr>
      <t xml:space="preserve"> ENERGY STAR or equivalent appliance(s) are installed:</t>
    </r>
  </si>
  <si>
    <t>Refrigerator</t>
  </si>
  <si>
    <t>Dishwasher</t>
  </si>
  <si>
    <t>Washing machine</t>
  </si>
  <si>
    <t>703.7 Passive solar design</t>
  </si>
  <si>
    <t>703.7.1</t>
  </si>
  <si>
    <r>
      <t>703.7.1</t>
    </r>
    <r>
      <rPr>
        <sz val="10"/>
        <color theme="1"/>
        <rFont val="Calibri"/>
        <family val="2"/>
        <scheme val="minor"/>
      </rPr>
      <t xml:space="preserve"> </t>
    </r>
    <r>
      <rPr>
        <b/>
        <sz val="10"/>
        <color theme="1"/>
        <rFont val="Calibri"/>
        <family val="2"/>
        <scheme val="minor"/>
      </rPr>
      <t xml:space="preserve">Sun-tempered design. </t>
    </r>
    <r>
      <rPr>
        <sz val="10"/>
        <color theme="1"/>
        <rFont val="Calibri"/>
        <family val="2"/>
        <scheme val="minor"/>
      </rPr>
      <t>Building orientation, sizing of glazing, and design of overhangs are in accordance with all of the following:</t>
    </r>
  </si>
  <si>
    <t>The long side (or one side if of equal length) of the building faces within 20 degrees of true south.</t>
  </si>
  <si>
    <t>Skylights, where installed, are in accordance with the following:</t>
  </si>
  <si>
    <t>horizontal skylights are less than 0.5 percent of finished ceiling area</t>
  </si>
  <si>
    <t>sloped skylights on slopes facing within 45 degrees of true south, east, or west are less than 1.5 percent of the finished ceiling area</t>
  </si>
  <si>
    <t>The south face windows have a SHGC of 0.40 or higher.</t>
  </si>
  <si>
    <t>Return air or transfer grilles/ducts are in accordance with Section 705.4.</t>
  </si>
  <si>
    <t xml:space="preserve">703.7.2 </t>
  </si>
  <si>
    <r>
      <t>703.7.2 Window shading.</t>
    </r>
    <r>
      <rPr>
        <sz val="10"/>
        <color theme="1"/>
        <rFont val="Calibri"/>
        <family val="2"/>
        <scheme val="minor"/>
      </rPr>
      <t xml:space="preserve"> Automated solar protection or dynamic glazing is installed to provide shading for windows.</t>
    </r>
  </si>
  <si>
    <t>703.7.3</t>
  </si>
  <si>
    <r>
      <t>703.7.3 Passive cooling design.</t>
    </r>
    <r>
      <rPr>
        <sz val="10"/>
        <color theme="1"/>
        <rFont val="Calibri"/>
        <family val="2"/>
        <scheme val="minor"/>
      </rPr>
      <t xml:space="preserve"> Passive cooling design features are in accordance with three or more of the following:</t>
    </r>
  </si>
  <si>
    <t>Points for three items:</t>
  </si>
  <si>
    <t>Points for one additional item:</t>
  </si>
  <si>
    <t>Exterior shading is provided on east and west windows using one or a combination of the following:</t>
  </si>
  <si>
    <t>vine-covered trellises with the vegetation separated a minimum of 1 foot (305 mm) from face of building</t>
  </si>
  <si>
    <t>moveable awnings or louvers</t>
  </si>
  <si>
    <t>covered porches</t>
  </si>
  <si>
    <t>attached or detached conditioned/unconditioned enclosed space that provides full shade of east and west windows (e.g., detached garage, shed, or building)</t>
  </si>
  <si>
    <t xml:space="preserve">Overhangs are installed to provide shading on south-facing glazing in accordance with Section 703.7.1(7). </t>
  </si>
  <si>
    <t>(Points not awarded if points are taken under Section 703.7.1.)</t>
  </si>
  <si>
    <t>Solar reflective roof or radiant barrier is installed in climate zones 1, 2, or 3 and roof material achieves a 3-year aged criteria of 0.50.</t>
  </si>
  <si>
    <t>Internal exposed thermal mass is a minimum of three inches (76 mm) in thickness. Thermal mass consists of concrete, brick, and/or tile fully adhered to a masonry base or other masonry material in accordance with one or a combination of the following:</t>
  </si>
  <si>
    <r>
      <t>A minimum of 1 square foot (0.09 m</t>
    </r>
    <r>
      <rPr>
        <vertAlign val="superscript"/>
        <sz val="10"/>
        <color theme="1"/>
        <rFont val="Calibri"/>
        <family val="2"/>
        <scheme val="minor"/>
      </rPr>
      <t>2</t>
    </r>
    <r>
      <rPr>
        <sz val="10"/>
        <color theme="1"/>
        <rFont val="Calibri"/>
        <family val="2"/>
        <scheme val="minor"/>
      </rPr>
      <t>) of exposed thermal mass of floor per 3 square feet (2.8 m</t>
    </r>
    <r>
      <rPr>
        <vertAlign val="superscript"/>
        <sz val="10"/>
        <color theme="1"/>
        <rFont val="Calibri"/>
        <family val="2"/>
        <scheme val="minor"/>
      </rPr>
      <t>2</t>
    </r>
    <r>
      <rPr>
        <sz val="10"/>
        <color theme="1"/>
        <rFont val="Calibri"/>
        <family val="2"/>
        <scheme val="minor"/>
      </rPr>
      <t>) of gross finished floor area.</t>
    </r>
  </si>
  <si>
    <r>
      <t>A minimum of 3 square feet (2.8 m</t>
    </r>
    <r>
      <rPr>
        <vertAlign val="superscript"/>
        <sz val="10"/>
        <color theme="1"/>
        <rFont val="Calibri"/>
        <family val="2"/>
        <scheme val="minor"/>
      </rPr>
      <t>2</t>
    </r>
    <r>
      <rPr>
        <sz val="10"/>
        <color theme="1"/>
        <rFont val="Calibri"/>
        <family val="2"/>
        <scheme val="minor"/>
      </rPr>
      <t>) of exposed thermal mass in interior walls or elements per square foot (0.09 m</t>
    </r>
    <r>
      <rPr>
        <vertAlign val="superscript"/>
        <sz val="10"/>
        <color theme="1"/>
        <rFont val="Calibri"/>
        <family val="2"/>
        <scheme val="minor"/>
      </rPr>
      <t>2</t>
    </r>
    <r>
      <rPr>
        <sz val="10"/>
        <color theme="1"/>
        <rFont val="Calibri"/>
        <family val="2"/>
        <scheme val="minor"/>
      </rPr>
      <t>) of gross finished floor area.</t>
    </r>
  </si>
  <si>
    <t>Roofing material is installed with a minimum 0.75 inch (19 mm) continuous air space offset from the roof deck from eave to ridge.</t>
  </si>
  <si>
    <t>703.7.4</t>
  </si>
  <si>
    <r>
      <t>703.7.4</t>
    </r>
    <r>
      <rPr>
        <sz val="10"/>
        <color theme="1"/>
        <rFont val="Calibri"/>
        <family val="2"/>
      </rPr>
      <t xml:space="preserve"> </t>
    </r>
    <r>
      <rPr>
        <b/>
        <sz val="10"/>
        <color theme="1"/>
        <rFont val="Calibri"/>
        <family val="2"/>
      </rPr>
      <t>Passive solar heating design</t>
    </r>
    <r>
      <rPr>
        <sz val="10"/>
        <color theme="1"/>
        <rFont val="Calibri"/>
        <family val="2"/>
      </rPr>
      <t xml:space="preserve">. In addition to the sun-tempered design features in Section 703.7.1, all of the following are implemented: </t>
    </r>
  </si>
  <si>
    <t xml:space="preserve">Note: Points shall not be awarded in the Tropical Climate Zone. </t>
  </si>
  <si>
    <t>Additional glazing, no greater than 12 percent, is permitted on the south wall. This additional glazing is in accordance with the requirements of Section 703.7.1.</t>
  </si>
  <si>
    <t>Additional thermal mass for any room with south-facing glazing of more than 7 percent of the finished floor area is provided in accordance with the following:</t>
  </si>
  <si>
    <t>Thermal mass is solid and a minimum of 3 inches (76 mm) in thickness. Where two thermal mass materials are layered together (e.g., ceramic tile on concrete base) to achieve the appropriate thickness, they are fully adhered to (touching) each other.</t>
  </si>
  <si>
    <t>Thermal mass directly exposed to sunlight is provided in accordance with the following minimum ratios:</t>
  </si>
  <si>
    <r>
      <t>Above latitude 35 degrees: 5 square feet (0.465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</si>
  <si>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t>
  </si>
  <si>
    <r>
      <t>Latitude 30 degrees to 35 degrees: 5.5 square feet (0.51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</si>
  <si>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(iii)</t>
  </si>
  <si>
    <r>
      <t>Latitude 25 degrees to 30 degrees: 6 square feet (0.557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</si>
  <si>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r>
      <t>Thermal mass not directly exposed to sunlight is permitted to be used to achieve thermal mass requirements of Section 703.7.4 (2) based on a ratio of 40 square feet (3.72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</si>
  <si>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 xml:space="preserve">In addition to return air or transfer grilles/ducts required by Section 703.7.1(9), provisions for forced airflow to adjoining areas are implemented as needed. </t>
  </si>
  <si>
    <t>705 ADDITIONAL PRACTICES</t>
  </si>
  <si>
    <t>705.2 Lighting</t>
  </si>
  <si>
    <t>705.2.1</t>
  </si>
  <si>
    <t>705.2.1 Lighting controls</t>
  </si>
  <si>
    <r>
      <t xml:space="preserve"> </t>
    </r>
    <r>
      <rPr>
        <b/>
        <sz val="10"/>
        <color theme="1"/>
        <rFont val="Calibri"/>
        <family val="2"/>
        <scheme val="minor"/>
      </rPr>
      <t xml:space="preserve">(Percentages for point thresholds are based on lighting not required for means of egress or security lighting as defined by local building codes.) </t>
    </r>
  </si>
  <si>
    <t>705.2.1.1</t>
  </si>
  <si>
    <t>50 percent to less than 75 percent of lighting fixtures.</t>
  </si>
  <si>
    <t>A minimum of 75 percent of lighting fixtures.</t>
  </si>
  <si>
    <t>705.2.1.2</t>
  </si>
  <si>
    <r>
      <t xml:space="preserve">705.2.1.2 Exterior lighting. </t>
    </r>
    <r>
      <rPr>
        <sz val="10"/>
        <color theme="1"/>
        <rFont val="Calibri"/>
        <family val="2"/>
        <scheme val="minor"/>
      </rPr>
      <t>Photo or motion sensors are installed on 75 percent of outdoor lighting fixtures to control lighting.</t>
    </r>
  </si>
  <si>
    <t>705.2.1.3</t>
  </si>
  <si>
    <t xml:space="preserve">705.2.1.3 Multifamily common areas.  </t>
  </si>
  <si>
    <t xml:space="preserve">In a multifamily building, occupancy sensors, or dimmers are installed in common areas (except corridors and stairwells).   </t>
  </si>
  <si>
    <t>In a multifamily building, occupancy controls are installed to automatically reduce light levels in interior corridors and exit stairwells when the space is unoccupied. Light levels are reduced by:</t>
  </si>
  <si>
    <t>50 percent to less than 75 percent or to local minimum requirements</t>
  </si>
  <si>
    <t xml:space="preserve">A minimum of 75 percent </t>
  </si>
  <si>
    <t>705.2.1.4</t>
  </si>
  <si>
    <r>
      <t xml:space="preserve">705.2.1.4 </t>
    </r>
    <r>
      <rPr>
        <sz val="10"/>
        <color theme="1"/>
        <rFont val="Calibri"/>
        <family val="2"/>
        <scheme val="minor"/>
      </rPr>
      <t>In a multifamily building, occupancy controls are installed to automatically reduce light levels in garages and parking structures when the space is unoccupied.  Light levels are reduced by:</t>
    </r>
  </si>
  <si>
    <t>A minimum of 75 percent</t>
  </si>
  <si>
    <t>705.2.2</t>
  </si>
  <si>
    <r>
      <t>705.2.2 TDDs and skylights.</t>
    </r>
    <r>
      <rPr>
        <sz val="10"/>
        <color theme="1"/>
        <rFont val="Calibri"/>
        <family val="2"/>
        <scheme val="minor"/>
      </rPr>
      <t xml:space="preserve"> A tubular daylighting device (TDD) or a skylight that meets the requirements of Table 703.2.5.2(a) is installed in rooms without windows. </t>
    </r>
  </si>
  <si>
    <t>705.2.3</t>
  </si>
  <si>
    <r>
      <t>705.2.3 Lighting outlets.</t>
    </r>
    <r>
      <rPr>
        <sz val="10"/>
        <color theme="1"/>
        <rFont val="Calibri"/>
        <family val="2"/>
        <scheme val="minor"/>
      </rPr>
      <t xml:space="preserve"> Occupancy sensors are installed for a minimum of 80 percent of hard-wired lighting outlets in the interior living space.</t>
    </r>
  </si>
  <si>
    <t>705.2.4</t>
  </si>
  <si>
    <r>
      <t xml:space="preserve">705.2.4 Recessed luminaires. </t>
    </r>
    <r>
      <rPr>
        <sz val="10"/>
        <color theme="1"/>
        <rFont val="Calibri"/>
        <family val="2"/>
        <scheme val="minor"/>
      </rPr>
      <t>The number of recessed luminaires that penetrates the thermal envelope is less than 1 per 400 square feet (37.16 m</t>
    </r>
    <r>
      <rPr>
        <vertAlign val="superscript"/>
        <sz val="10"/>
        <color theme="1"/>
        <rFont val="Calibri"/>
        <family val="2"/>
        <scheme val="minor"/>
      </rPr>
      <t>2</t>
    </r>
    <r>
      <rPr>
        <sz val="10"/>
        <color theme="1"/>
        <rFont val="Calibri"/>
        <family val="2"/>
        <scheme val="minor"/>
      </rPr>
      <t xml:space="preserve">) of total conditioned floor area and they are in accordance with Section </t>
    </r>
    <r>
      <rPr>
        <b/>
        <sz val="10"/>
        <color theme="1"/>
        <rFont val="Calibri"/>
        <family val="2"/>
        <scheme val="minor"/>
      </rPr>
      <t>701.4.3.5</t>
    </r>
    <r>
      <rPr>
        <sz val="10"/>
        <color theme="1"/>
        <rFont val="Calibri"/>
        <family val="2"/>
        <scheme val="minor"/>
      </rPr>
      <t>.</t>
    </r>
  </si>
  <si>
    <r>
      <t xml:space="preserve">705.3 Induction cooktop. </t>
    </r>
    <r>
      <rPr>
        <sz val="10"/>
        <color theme="1"/>
        <rFont val="Calibri"/>
        <family val="2"/>
        <scheme val="minor"/>
      </rPr>
      <t>Induction cooktop is installed.</t>
    </r>
  </si>
  <si>
    <r>
      <t xml:space="preserve">705.4 Return ducts and transfer grilles. </t>
    </r>
    <r>
      <rPr>
        <sz val="10"/>
        <color theme="1"/>
        <rFont val="Calibri"/>
        <family val="2"/>
        <scheme val="minor"/>
      </rPr>
      <t xml:space="preserve">Return ducts or transfer grilles are installed in every room with a door. Return ducts or transfer grilles are not required for bathrooms, kitchens, closets, pantries, and laundry rooms. </t>
    </r>
  </si>
  <si>
    <t>705.5 HVAC design and installation</t>
  </si>
  <si>
    <t>705.5.1</t>
  </si>
  <si>
    <t>705.5.2</t>
  </si>
  <si>
    <r>
      <t>705.5.2</t>
    </r>
    <r>
      <rPr>
        <sz val="10"/>
        <color theme="1"/>
        <rFont val="Calibri"/>
        <family val="2"/>
        <scheme val="minor"/>
      </rPr>
      <t xml:space="preserve"> Performance of the heating and/or cooling system is verified by the HVAC contractor in accordance with all of the following: </t>
    </r>
  </si>
  <si>
    <t>Start-up procedure is performed in accordance with the manufacturer’s instructions.</t>
  </si>
  <si>
    <t>Refrigerant charge is verified by super-heat and/or sub-cooling method.</t>
  </si>
  <si>
    <t xml:space="preserve">Burner is set to fire at input level listed on nameplate. </t>
  </si>
  <si>
    <t>Air handler setting/fan speed is set in accordance with manufacturer’s instructions.</t>
  </si>
  <si>
    <t>Total airflow is within 10 percent of design flow.</t>
  </si>
  <si>
    <t xml:space="preserve">Total external system static does not exceed equipment capability at rated airflow. </t>
  </si>
  <si>
    <t>705.6 Installation and performance verification.</t>
  </si>
  <si>
    <t>705.6.1</t>
  </si>
  <si>
    <t>(Points awarded only for buildings where building envelope leakage testing is not required by 2015 IECC.)</t>
  </si>
  <si>
    <t>705.6.2.1</t>
  </si>
  <si>
    <t>A blower door test.</t>
  </si>
  <si>
    <t>Third-party verification is completed.</t>
  </si>
  <si>
    <t>705.6.2.2</t>
  </si>
  <si>
    <t>Measured flow at each supply and return register meets or exceeds the requirements in ACCA 5 QI-2010, Section 5.2.</t>
  </si>
  <si>
    <t>Total airflow meets or exceeds the requirements in ACCA 5 QI-2010, Section 5.2.</t>
  </si>
  <si>
    <t>705.6.2.3</t>
  </si>
  <si>
    <r>
      <t xml:space="preserve">705.6.2.3 HVAC duct leakage testing. </t>
    </r>
    <r>
      <rPr>
        <sz val="10"/>
        <color theme="1"/>
        <rFont val="Calibri"/>
        <family val="2"/>
        <scheme val="minor"/>
      </rPr>
      <t>One of the following is achieved:</t>
    </r>
  </si>
  <si>
    <t>(Points awarded only where these practices are not required by IECC.)</t>
  </si>
  <si>
    <t xml:space="preserve">piping 3/4-inch and larger in outside diameter </t>
  </si>
  <si>
    <t xml:space="preserve">piping located outside the conditioned space </t>
  </si>
  <si>
    <t xml:space="preserve">piping from the water heater to a distribution manifold </t>
  </si>
  <si>
    <t xml:space="preserve">piping located under a floor slab </t>
  </si>
  <si>
    <t xml:space="preserve">buried piping </t>
  </si>
  <si>
    <t>supply and return piping in recirculation systems other than demand recirculation systems</t>
  </si>
  <si>
    <t>705.6.4</t>
  </si>
  <si>
    <t xml:space="preserve">705.6.4 Potable hot water demand re-circulation system. </t>
  </si>
  <si>
    <t>705.6.4.1</t>
  </si>
  <si>
    <r>
      <t>705.6.4.1</t>
    </r>
    <r>
      <rPr>
        <sz val="10"/>
        <color rgb="FF000000"/>
        <rFont val="Calibri"/>
        <family val="2"/>
        <scheme val="minor"/>
      </rPr>
      <t xml:space="preserve"> Potable hot water demand re-circulation system is installed in a single-family unit.</t>
    </r>
  </si>
  <si>
    <t>705.6.4.2</t>
  </si>
  <si>
    <r>
      <t xml:space="preserve">705.7 </t>
    </r>
    <r>
      <rPr>
        <sz val="10"/>
        <color rgb="FF000000"/>
        <rFont val="Calibri"/>
        <family val="2"/>
        <scheme val="minor"/>
      </rPr>
      <t>In multi-unit buildings, an advanced electric and fossil fuel submetering system is installed to monitor electricity and fossil fuel consumption for each unit. The device provides consumption information on a monthly or near real-time basis. The information is available to the occupants at a minimum on a monthly basis.</t>
    </r>
  </si>
  <si>
    <t>706 INNOVATIVE PRACTICES</t>
  </si>
  <si>
    <t>programmable communicating thermostat with the capability to be controlled remotely</t>
  </si>
  <si>
    <t>energy-monitoring device or system</t>
  </si>
  <si>
    <t>energy management control system</t>
  </si>
  <si>
    <t>programmable thermostat with control capability based on occupant presence or usage pattern</t>
  </si>
  <si>
    <t>lighting control system</t>
  </si>
  <si>
    <r>
      <t>706.2 Renewable energy service plan.</t>
    </r>
    <r>
      <rPr>
        <sz val="10"/>
        <color theme="1"/>
        <rFont val="Calibri"/>
        <family val="2"/>
        <scheme val="minor"/>
      </rPr>
      <t xml:space="preserve"> Renewable energy service plan is provided as follows:</t>
    </r>
  </si>
  <si>
    <t>The buyer of the building selects one of the following renewable energy service plans provided by the utility prior to occupancy of the building with a minimum two-year commitment.</t>
  </si>
  <si>
    <t>less than half of the dwelling’s projected electricity and gas use is provided by renewable energy</t>
  </si>
  <si>
    <t>half or more of the of the dwelling’s projected electricity and gas use is provided by renewable energy</t>
  </si>
  <si>
    <r>
      <t>706.3 Smart Appliances and Systems.</t>
    </r>
    <r>
      <rPr>
        <sz val="10"/>
        <color theme="1"/>
        <rFont val="Calibri"/>
        <family val="2"/>
        <scheme val="minor"/>
      </rPr>
      <t xml:space="preserve"> Smart appliances and systems are installed as follows:</t>
    </r>
  </si>
  <si>
    <t>Three to five smart appliances installed</t>
  </si>
  <si>
    <t>Six or more smart appliances installed</t>
  </si>
  <si>
    <t>(Items (7) and (8) are permitted to count as two appliances each for the purpose of awarding points.)</t>
  </si>
  <si>
    <t>(where points awarded in Section 706.3, points shall not be awarded in Section 706.7 and 706.9)</t>
  </si>
  <si>
    <t>Freezer</t>
  </si>
  <si>
    <t>Clothes Dryer</t>
  </si>
  <si>
    <t>Clothes Washer</t>
  </si>
  <si>
    <t>Room Air Conditioner</t>
  </si>
  <si>
    <t>HVAC Systems</t>
  </si>
  <si>
    <t>Service Hot Water Heating Systems</t>
  </si>
  <si>
    <t>706.4 Pumps.</t>
  </si>
  <si>
    <t>706.4.1</t>
  </si>
  <si>
    <r>
      <t xml:space="preserve">706.4.1 </t>
    </r>
    <r>
      <rPr>
        <sz val="10"/>
        <color theme="1"/>
        <rFont val="Calibri"/>
        <family val="2"/>
        <scheme val="minor"/>
      </rPr>
      <t>Pool, spa, and water features equipped with filtration pumps as follows:</t>
    </r>
  </si>
  <si>
    <t>Electronically controlled variable-speed pump(s) is installed (full load efficiency of 90 percent or greater).</t>
  </si>
  <si>
    <t>Electronically controlled variable-speed pump(s) is installed (full load efficiency of 90 percent or greater) in a pool</t>
  </si>
  <si>
    <t>706.4.2</t>
  </si>
  <si>
    <r>
      <t>706.4.2</t>
    </r>
    <r>
      <rPr>
        <sz val="10"/>
        <color theme="1"/>
        <rFont val="Calibri"/>
        <family val="2"/>
        <scheme val="minor"/>
      </rPr>
      <t xml:space="preserve"> Sump pump(s) with electrically commutated motors (ECMs) or permanent split capacitor (PSC) motors is installed (full load efficiency of 90 percent or greater).</t>
    </r>
  </si>
  <si>
    <r>
      <t xml:space="preserve">706.6 Parking garage efficiency. </t>
    </r>
    <r>
      <rPr>
        <sz val="10"/>
        <color theme="1"/>
        <rFont val="Calibri"/>
        <family val="2"/>
        <scheme val="minor"/>
      </rPr>
      <t>Structured parking garages are designed to require no mechanical ventilation for fresh air requirements.</t>
    </r>
  </si>
  <si>
    <r>
      <t xml:space="preserve">706.7 Grid-interactive electric thermal storage system. </t>
    </r>
    <r>
      <rPr>
        <sz val="10"/>
        <color theme="1"/>
        <rFont val="Calibri"/>
        <family val="2"/>
        <scheme val="minor"/>
      </rPr>
      <t>A grid-interactive electric thermal storage system is installed.</t>
    </r>
  </si>
  <si>
    <t xml:space="preserve">Grid-Interactive Water Heating System     </t>
  </si>
  <si>
    <t xml:space="preserve">Grid-Interactive Space Heating and cooling System     </t>
  </si>
  <si>
    <t>(where points awarded in Section 706.7, points shall not be awarded in Section 706.3 and 706.9)</t>
  </si>
  <si>
    <r>
      <t>Weighted Average = [(E</t>
    </r>
    <r>
      <rPr>
        <vertAlign val="subscript"/>
        <sz val="10"/>
        <color theme="1"/>
        <rFont val="Calibri"/>
        <family val="2"/>
      </rPr>
      <t>unit 1</t>
    </r>
    <r>
      <rPr>
        <sz val="10"/>
        <color theme="1"/>
        <rFont val="Calibri"/>
        <family val="2"/>
      </rPr>
      <t>*C</t>
    </r>
    <r>
      <rPr>
        <vertAlign val="subscript"/>
        <sz val="10"/>
        <color theme="1"/>
        <rFont val="Calibri"/>
        <family val="2"/>
      </rPr>
      <t>unit 1</t>
    </r>
    <r>
      <rPr>
        <sz val="10"/>
        <color theme="1"/>
        <rFont val="Calibri"/>
        <family val="2"/>
      </rPr>
      <t>)+(E</t>
    </r>
    <r>
      <rPr>
        <vertAlign val="subscript"/>
        <sz val="10"/>
        <color theme="1"/>
        <rFont val="Calibri"/>
        <family val="2"/>
      </rPr>
      <t>unit 2</t>
    </r>
    <r>
      <rPr>
        <sz val="10"/>
        <color theme="1"/>
        <rFont val="Calibri"/>
        <family val="2"/>
      </rPr>
      <t>*C</t>
    </r>
    <r>
      <rPr>
        <vertAlign val="subscript"/>
        <sz val="10"/>
        <color theme="1"/>
        <rFont val="Calibri"/>
        <family val="2"/>
      </rPr>
      <t>unit 2</t>
    </r>
    <r>
      <rPr>
        <sz val="10"/>
        <color theme="1"/>
        <rFont val="Calibri"/>
        <family val="2"/>
      </rPr>
      <t>)+…+(E</t>
    </r>
    <r>
      <rPr>
        <vertAlign val="subscript"/>
        <sz val="10"/>
        <color theme="1"/>
        <rFont val="Calibri"/>
        <family val="2"/>
      </rPr>
      <t xml:space="preserve">unit </t>
    </r>
    <r>
      <rPr>
        <i/>
        <vertAlign val="subscript"/>
        <sz val="10"/>
        <color theme="1"/>
        <rFont val="Calibri"/>
        <family val="2"/>
      </rPr>
      <t>n</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 (C</t>
    </r>
    <r>
      <rPr>
        <vertAlign val="subscript"/>
        <sz val="10"/>
        <color theme="1"/>
        <rFont val="Calibri"/>
        <family val="2"/>
      </rPr>
      <t>unit 1</t>
    </r>
    <r>
      <rPr>
        <sz val="10"/>
        <color theme="1"/>
        <rFont val="Calibri"/>
        <family val="2"/>
      </rPr>
      <t>+C</t>
    </r>
    <r>
      <rPr>
        <vertAlign val="subscript"/>
        <sz val="10"/>
        <color theme="1"/>
        <rFont val="Calibri"/>
        <family val="2"/>
      </rPr>
      <t>unit 2</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where:</t>
    </r>
  </si>
  <si>
    <t>add. pts. needed</t>
  </si>
  <si>
    <t>NOTE: Indicate in the assigned Notes area the type designed and constructed: frost-protected shallow foundations, pier and pad foundations, post foundations, or other similar foundation type.</t>
  </si>
  <si>
    <t>termite infest. prob.:</t>
  </si>
  <si>
    <t>NOTE: If "N/A" is selected, explain why in the assigned Notes area.</t>
  </si>
  <si>
    <t>Note: Please list "other biobased materials" used in the Notes field</t>
  </si>
  <si>
    <t>Select Path:</t>
  </si>
  <si>
    <t>Chapter 5: Lot Design, Preparation, and Development</t>
  </si>
  <si>
    <t>Chapter 6: Resource Efficiency</t>
  </si>
  <si>
    <t>Chapter 7: Energy Efficiency</t>
  </si>
  <si>
    <t>Chapter 8: Water Efficiency</t>
  </si>
  <si>
    <t>Chapter 9: Indoor Environmental Quality</t>
  </si>
  <si>
    <t>Chapter 10: Operation, Maintenance, and Building Owner Education</t>
  </si>
  <si>
    <t xml:space="preserve">Autauga  </t>
  </si>
  <si>
    <t xml:space="preserve">Baldwin  </t>
  </si>
  <si>
    <t xml:space="preserve">Barbour  </t>
  </si>
  <si>
    <t xml:space="preserve">Bibb  </t>
  </si>
  <si>
    <t xml:space="preserve">Blount  </t>
  </si>
  <si>
    <t xml:space="preserve">Bullock  </t>
  </si>
  <si>
    <t xml:space="preserve">Butler  </t>
  </si>
  <si>
    <t xml:space="preserve">Calhoun  </t>
  </si>
  <si>
    <t xml:space="preserve">Chambers  </t>
  </si>
  <si>
    <t xml:space="preserve">Cherokee  </t>
  </si>
  <si>
    <t xml:space="preserve">Chilton  </t>
  </si>
  <si>
    <t xml:space="preserve">Choctaw  </t>
  </si>
  <si>
    <t xml:space="preserve">Clarke  </t>
  </si>
  <si>
    <t xml:space="preserve">Clay  </t>
  </si>
  <si>
    <t xml:space="preserve">Cleburne  </t>
  </si>
  <si>
    <t xml:space="preserve">Coffee  </t>
  </si>
  <si>
    <t xml:space="preserve">Colbert  </t>
  </si>
  <si>
    <t xml:space="preserve">Conecuh  </t>
  </si>
  <si>
    <t xml:space="preserve">Coosa  </t>
  </si>
  <si>
    <t xml:space="preserve">Covington  </t>
  </si>
  <si>
    <t xml:space="preserve">Crenshaw  </t>
  </si>
  <si>
    <t xml:space="preserve">Cullman  </t>
  </si>
  <si>
    <t xml:space="preserve">Dale  </t>
  </si>
  <si>
    <t xml:space="preserve">Dallas  </t>
  </si>
  <si>
    <t xml:space="preserve">De Kalb  </t>
  </si>
  <si>
    <t xml:space="preserve">Elmore  </t>
  </si>
  <si>
    <t xml:space="preserve">Escambia  </t>
  </si>
  <si>
    <t xml:space="preserve">Etowah  </t>
  </si>
  <si>
    <t xml:space="preserve">Fayette  </t>
  </si>
  <si>
    <t xml:space="preserve">Franklin  </t>
  </si>
  <si>
    <t xml:space="preserve">Geneva  </t>
  </si>
  <si>
    <t xml:space="preserve">Greene  </t>
  </si>
  <si>
    <t xml:space="preserve">Hale  </t>
  </si>
  <si>
    <t xml:space="preserve">Henry  </t>
  </si>
  <si>
    <t xml:space="preserve">Houston  </t>
  </si>
  <si>
    <t xml:space="preserve">Jackson  </t>
  </si>
  <si>
    <t xml:space="preserve">Jefferson  </t>
  </si>
  <si>
    <t xml:space="preserve">Lamar  </t>
  </si>
  <si>
    <t xml:space="preserve">Lauderdale  </t>
  </si>
  <si>
    <t xml:space="preserve">Lawrence  </t>
  </si>
  <si>
    <t xml:space="preserve">Lee  </t>
  </si>
  <si>
    <t xml:space="preserve">Limestone  </t>
  </si>
  <si>
    <t xml:space="preserve">Lowndes  </t>
  </si>
  <si>
    <t xml:space="preserve">Macon  </t>
  </si>
  <si>
    <t xml:space="preserve">Madison  </t>
  </si>
  <si>
    <t xml:space="preserve">Marengo  </t>
  </si>
  <si>
    <t xml:space="preserve">Marion  </t>
  </si>
  <si>
    <t xml:space="preserve">Marshall  </t>
  </si>
  <si>
    <t xml:space="preserve">Mobile  </t>
  </si>
  <si>
    <t xml:space="preserve">Monroe  </t>
  </si>
  <si>
    <t xml:space="preserve">Montgomery  </t>
  </si>
  <si>
    <t xml:space="preserve">Morgan  </t>
  </si>
  <si>
    <t xml:space="preserve">Perry  </t>
  </si>
  <si>
    <t xml:space="preserve">Pickens  </t>
  </si>
  <si>
    <t xml:space="preserve">Pike  </t>
  </si>
  <si>
    <t xml:space="preserve">Randolph  </t>
  </si>
  <si>
    <t xml:space="preserve">Russell  </t>
  </si>
  <si>
    <t xml:space="preserve">Saint Clair  </t>
  </si>
  <si>
    <t xml:space="preserve">Shelby  </t>
  </si>
  <si>
    <t xml:space="preserve">Sumter  </t>
  </si>
  <si>
    <t xml:space="preserve">Talladega  </t>
  </si>
  <si>
    <t xml:space="preserve">Tallapoosa  </t>
  </si>
  <si>
    <t xml:space="preserve">Tuscaloosa  </t>
  </si>
  <si>
    <t xml:space="preserve">Walker  </t>
  </si>
  <si>
    <t xml:space="preserve">Washington  </t>
  </si>
  <si>
    <t xml:space="preserve">Wilcox  </t>
  </si>
  <si>
    <t xml:space="preserve">Winston  </t>
  </si>
  <si>
    <t xml:space="preserve">Aleutians East  </t>
  </si>
  <si>
    <t xml:space="preserve">Aleutians West  </t>
  </si>
  <si>
    <t xml:space="preserve">Anchorage  </t>
  </si>
  <si>
    <t xml:space="preserve">Bethel  </t>
  </si>
  <si>
    <t xml:space="preserve">Bristol Bay  </t>
  </si>
  <si>
    <t xml:space="preserve">Denali  </t>
  </si>
  <si>
    <t xml:space="preserve">Dillingham  </t>
  </si>
  <si>
    <t xml:space="preserve">Fairbanks North Star  </t>
  </si>
  <si>
    <t xml:space="preserve">Haines  </t>
  </si>
  <si>
    <t xml:space="preserve">Hoonah Angoon  </t>
  </si>
  <si>
    <t xml:space="preserve">Juneau  </t>
  </si>
  <si>
    <t xml:space="preserve">Kenai Peninsula  </t>
  </si>
  <si>
    <t xml:space="preserve">Ketchikan Gateway  </t>
  </si>
  <si>
    <t xml:space="preserve">Kodiak Island  </t>
  </si>
  <si>
    <t xml:space="preserve">Lake And Peninsula  </t>
  </si>
  <si>
    <t xml:space="preserve">Matanuska Susitna  </t>
  </si>
  <si>
    <t xml:space="preserve">Nome  </t>
  </si>
  <si>
    <t xml:space="preserve">North Slope  </t>
  </si>
  <si>
    <t xml:space="preserve">Northwest Arctic  </t>
  </si>
  <si>
    <t xml:space="preserve">Petersburg  </t>
  </si>
  <si>
    <t xml:space="preserve">Prince Of Wales Hyder  </t>
  </si>
  <si>
    <t xml:space="preserve">Sitka  </t>
  </si>
  <si>
    <t xml:space="preserve">Skagway  </t>
  </si>
  <si>
    <t xml:space="preserve">Southeast Fairbanks  </t>
  </si>
  <si>
    <t xml:space="preserve">Valdez Cordova  </t>
  </si>
  <si>
    <t xml:space="preserve">Wade Hampton  </t>
  </si>
  <si>
    <t xml:space="preserve">Wrangell  </t>
  </si>
  <si>
    <t xml:space="preserve">Yakutat  </t>
  </si>
  <si>
    <t xml:space="preserve">Yukon Koyukuk  </t>
  </si>
  <si>
    <t xml:space="preserve">American Samoa  </t>
  </si>
  <si>
    <t xml:space="preserve">Apache  </t>
  </si>
  <si>
    <t xml:space="preserve">Cochise  </t>
  </si>
  <si>
    <t xml:space="preserve">Coconino  </t>
  </si>
  <si>
    <t xml:space="preserve">Gila  </t>
  </si>
  <si>
    <t xml:space="preserve">Graham  </t>
  </si>
  <si>
    <t xml:space="preserve">Greenlee  </t>
  </si>
  <si>
    <t xml:space="preserve">La Paz  </t>
  </si>
  <si>
    <t xml:space="preserve">Maricopa  </t>
  </si>
  <si>
    <t xml:space="preserve">Mohave  </t>
  </si>
  <si>
    <t xml:space="preserve">Navajo  </t>
  </si>
  <si>
    <t xml:space="preserve">Pima  </t>
  </si>
  <si>
    <t xml:space="preserve">Pinal  </t>
  </si>
  <si>
    <t xml:space="preserve">Santa Cruz  </t>
  </si>
  <si>
    <t xml:space="preserve">Yavapai  </t>
  </si>
  <si>
    <t xml:space="preserve">Yuma  </t>
  </si>
  <si>
    <t xml:space="preserve">Arkansas  </t>
  </si>
  <si>
    <t xml:space="preserve">Ashley  </t>
  </si>
  <si>
    <t xml:space="preserve">Baxter  </t>
  </si>
  <si>
    <t xml:space="preserve">Benton  </t>
  </si>
  <si>
    <t xml:space="preserve">Boone  </t>
  </si>
  <si>
    <t xml:space="preserve">Bradley  </t>
  </si>
  <si>
    <t xml:space="preserve">Carroll  </t>
  </si>
  <si>
    <t xml:space="preserve">Chicot  </t>
  </si>
  <si>
    <t xml:space="preserve">Clark  </t>
  </si>
  <si>
    <t xml:space="preserve">Cleveland  </t>
  </si>
  <si>
    <t xml:space="preserve">Columbia  </t>
  </si>
  <si>
    <t xml:space="preserve">Conway  </t>
  </si>
  <si>
    <t xml:space="preserve">Craighead  </t>
  </si>
  <si>
    <t xml:space="preserve">Crawford  </t>
  </si>
  <si>
    <t xml:space="preserve">Crittenden  </t>
  </si>
  <si>
    <t xml:space="preserve">Cross  </t>
  </si>
  <si>
    <t xml:space="preserve">Desha  </t>
  </si>
  <si>
    <t xml:space="preserve">Drew  </t>
  </si>
  <si>
    <t xml:space="preserve">Faulkner  </t>
  </si>
  <si>
    <t xml:space="preserve">Fulton  </t>
  </si>
  <si>
    <t xml:space="preserve">Garland  </t>
  </si>
  <si>
    <t xml:space="preserve">Grant  </t>
  </si>
  <si>
    <t xml:space="preserve">Hempstead  </t>
  </si>
  <si>
    <t xml:space="preserve">Hot Spring  </t>
  </si>
  <si>
    <t xml:space="preserve">Howard  </t>
  </si>
  <si>
    <t xml:space="preserve">Independence  </t>
  </si>
  <si>
    <t xml:space="preserve">Izard  </t>
  </si>
  <si>
    <t xml:space="preserve">Johnson  </t>
  </si>
  <si>
    <t xml:space="preserve">Lafayette  </t>
  </si>
  <si>
    <t xml:space="preserve">Lincoln  </t>
  </si>
  <si>
    <t xml:space="preserve">Little River  </t>
  </si>
  <si>
    <t xml:space="preserve">Logan  </t>
  </si>
  <si>
    <t xml:space="preserve">Lonoke  </t>
  </si>
  <si>
    <t xml:space="preserve">Miller  </t>
  </si>
  <si>
    <t xml:space="preserve">Mississippi  </t>
  </si>
  <si>
    <t xml:space="preserve">Nevada  </t>
  </si>
  <si>
    <t xml:space="preserve">Newton  </t>
  </si>
  <si>
    <t xml:space="preserve">Ouachita  </t>
  </si>
  <si>
    <t xml:space="preserve">Phillips  </t>
  </si>
  <si>
    <t xml:space="preserve">Poinsett  </t>
  </si>
  <si>
    <t xml:space="preserve">Polk  </t>
  </si>
  <si>
    <t xml:space="preserve">Pope  </t>
  </si>
  <si>
    <t xml:space="preserve">Prairie  </t>
  </si>
  <si>
    <t xml:space="preserve">Pulaski  </t>
  </si>
  <si>
    <t xml:space="preserve">Saint Francis  </t>
  </si>
  <si>
    <t xml:space="preserve">Saline  </t>
  </si>
  <si>
    <t xml:space="preserve">Scott  </t>
  </si>
  <si>
    <t xml:space="preserve">Searcy  </t>
  </si>
  <si>
    <t xml:space="preserve">Sebastian  </t>
  </si>
  <si>
    <t xml:space="preserve">Sevier  </t>
  </si>
  <si>
    <t xml:space="preserve">Sharp  </t>
  </si>
  <si>
    <t xml:space="preserve">Stone  </t>
  </si>
  <si>
    <t xml:space="preserve">Union  </t>
  </si>
  <si>
    <t xml:space="preserve">Van Buren  </t>
  </si>
  <si>
    <t xml:space="preserve">White  </t>
  </si>
  <si>
    <t xml:space="preserve">Woodruff  </t>
  </si>
  <si>
    <t xml:space="preserve">Yell  </t>
  </si>
  <si>
    <t xml:space="preserve">Alameda  </t>
  </si>
  <si>
    <t xml:space="preserve">Alpine  </t>
  </si>
  <si>
    <t xml:space="preserve">Amador  </t>
  </si>
  <si>
    <t xml:space="preserve">Butte  </t>
  </si>
  <si>
    <t xml:space="preserve">Calaveras  </t>
  </si>
  <si>
    <t xml:space="preserve">Colusa  </t>
  </si>
  <si>
    <t xml:space="preserve">Contra Costa  </t>
  </si>
  <si>
    <t xml:space="preserve">Del Norte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</si>
  <si>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</si>
  <si>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</si>
  <si>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</si>
  <si>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</si>
  <si>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</si>
  <si>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</si>
  <si>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</si>
  <si>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</si>
  <si>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</si>
  <si>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</si>
  <si>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</si>
  <si>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</si>
  <si>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</si>
  <si>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</si>
  <si>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</si>
  <si>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</si>
  <si>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</si>
  <si>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</si>
  <si>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</si>
  <si>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</si>
  <si>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Orange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</si>
  <si>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</si>
  <si>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</si>
  <si>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</si>
  <si>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</si>
  <si>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</si>
  <si>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</si>
  <si>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</si>
  <si>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</si>
  <si>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</si>
  <si>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</si>
  <si>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</si>
  <si>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</si>
  <si>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</si>
  <si>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</si>
  <si>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</si>
  <si>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</si>
  <si>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</si>
  <si>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</si>
  <si>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</si>
  <si>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</si>
  <si>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</si>
  <si>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</si>
  <si>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</si>
  <si>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</si>
  <si>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</si>
  <si>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</si>
  <si>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</si>
  <si>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 xml:space="preserve">Adams  </t>
  </si>
  <si>
    <t xml:space="preserve">Alamosa  </t>
  </si>
  <si>
    <t xml:space="preserve">Arapahoe  </t>
  </si>
  <si>
    <t xml:space="preserve">Archuleta  </t>
  </si>
  <si>
    <t xml:space="preserve">Baca  </t>
  </si>
  <si>
    <t xml:space="preserve">Bent  </t>
  </si>
  <si>
    <t xml:space="preserve">Boulder  </t>
  </si>
  <si>
    <t xml:space="preserve">Broomfield  </t>
  </si>
  <si>
    <t xml:space="preserve">Chaffee  </t>
  </si>
  <si>
    <t xml:space="preserve">Cheyenne  </t>
  </si>
  <si>
    <t xml:space="preserve">Clear Creek  </t>
  </si>
  <si>
    <t xml:space="preserve">Conejos  </t>
  </si>
  <si>
    <t xml:space="preserve">Costilla  </t>
  </si>
  <si>
    <t xml:space="preserve">Crowley  </t>
  </si>
  <si>
    <t xml:space="preserve">Custer  </t>
  </si>
  <si>
    <t xml:space="preserve">Delta  </t>
  </si>
  <si>
    <t xml:space="preserve">Denver  </t>
  </si>
  <si>
    <t xml:space="preserve">Dolores  </t>
  </si>
  <si>
    <t xml:space="preserve">Douglas  </t>
  </si>
  <si>
    <t xml:space="preserve">Eagle  </t>
  </si>
  <si>
    <t xml:space="preserve">El Paso  </t>
  </si>
  <si>
    <t xml:space="preserve">Elbert  </t>
  </si>
  <si>
    <t xml:space="preserve">Fremont  </t>
  </si>
  <si>
    <t xml:space="preserve">Garfield  </t>
  </si>
  <si>
    <t xml:space="preserve">Gilpin  </t>
  </si>
  <si>
    <t xml:space="preserve">Grand  </t>
  </si>
  <si>
    <t xml:space="preserve">Gunnison  </t>
  </si>
  <si>
    <t xml:space="preserve">Hinsdale  </t>
  </si>
  <si>
    <t xml:space="preserve">Huerfano  </t>
  </si>
  <si>
    <t xml:space="preserve">Kiowa  </t>
  </si>
  <si>
    <t xml:space="preserve">Kit Carson  </t>
  </si>
  <si>
    <t xml:space="preserve">La Plata  </t>
  </si>
  <si>
    <t xml:space="preserve">Larimer  </t>
  </si>
  <si>
    <t xml:space="preserve">Las Animas  </t>
  </si>
  <si>
    <t xml:space="preserve">Mesa  </t>
  </si>
  <si>
    <t xml:space="preserve">Mineral  </t>
  </si>
  <si>
    <t xml:space="preserve">Moffat  </t>
  </si>
  <si>
    <t xml:space="preserve">Montezuma  </t>
  </si>
  <si>
    <t xml:space="preserve">Montrose  </t>
  </si>
  <si>
    <t xml:space="preserve">Otero  </t>
  </si>
  <si>
    <t xml:space="preserve">Ouray  </t>
  </si>
  <si>
    <t xml:space="preserve">Park  </t>
  </si>
  <si>
    <t xml:space="preserve">Pitkin  </t>
  </si>
  <si>
    <t xml:space="preserve">Prowers  </t>
  </si>
  <si>
    <t xml:space="preserve">Pueblo  </t>
  </si>
  <si>
    <t xml:space="preserve">Rio Blanco  </t>
  </si>
  <si>
    <t xml:space="preserve">Rio Grande  </t>
  </si>
  <si>
    <t xml:space="preserve">Routt  </t>
  </si>
  <si>
    <t xml:space="preserve">Saguache  </t>
  </si>
  <si>
    <t xml:space="preserve">San Juan  </t>
  </si>
  <si>
    <t xml:space="preserve">San Miguel  </t>
  </si>
  <si>
    <t xml:space="preserve">Sedgwick  </t>
  </si>
  <si>
    <t xml:space="preserve">Summit  </t>
  </si>
  <si>
    <t xml:space="preserve">Teller  </t>
  </si>
  <si>
    <t xml:space="preserve">Weld  </t>
  </si>
  <si>
    <t xml:space="preserve">Fairfield  </t>
  </si>
  <si>
    <t xml:space="preserve">Hartford  </t>
  </si>
  <si>
    <t xml:space="preserve">Litchfield  </t>
  </si>
  <si>
    <t xml:space="preserve">Middlesex  </t>
  </si>
  <si>
    <t xml:space="preserve">New Haven  </t>
  </si>
  <si>
    <t xml:space="preserve">New London  </t>
  </si>
  <si>
    <t xml:space="preserve">Tolland  </t>
  </si>
  <si>
    <t xml:space="preserve">Windham  </t>
  </si>
  <si>
    <t xml:space="preserve">Kent  </t>
  </si>
  <si>
    <t xml:space="preserve">New Castle  </t>
  </si>
  <si>
    <t xml:space="preserve">Sussex  </t>
  </si>
  <si>
    <t xml:space="preserve">District Of Columbia  </t>
  </si>
  <si>
    <t xml:space="preserve">Alachua  </t>
  </si>
  <si>
    <t xml:space="preserve">Baker  </t>
  </si>
  <si>
    <t xml:space="preserve">Bay  </t>
  </si>
  <si>
    <t xml:space="preserve">Bradford  </t>
  </si>
  <si>
    <t xml:space="preserve">Brevard  </t>
  </si>
  <si>
    <t xml:space="preserve">Broward  </t>
  </si>
  <si>
    <t xml:space="preserve">Charlotte  </t>
  </si>
  <si>
    <t xml:space="preserve">Citrus  </t>
  </si>
  <si>
    <t xml:space="preserve">Collier  </t>
  </si>
  <si>
    <t xml:space="preserve">De Soto  </t>
  </si>
  <si>
    <t xml:space="preserve">Dixie  </t>
  </si>
  <si>
    <t xml:space="preserve">Duval  </t>
  </si>
  <si>
    <t xml:space="preserve">Flagler  </t>
  </si>
  <si>
    <t xml:space="preserve">Gadsden  </t>
  </si>
  <si>
    <t xml:space="preserve">Gilchrist  </t>
  </si>
  <si>
    <t xml:space="preserve">Glades  </t>
  </si>
  <si>
    <t xml:space="preserve">Gulf  </t>
  </si>
  <si>
    <t xml:space="preserve">Hamilton  </t>
  </si>
  <si>
    <t xml:space="preserve">Hardee  </t>
  </si>
  <si>
    <t xml:space="preserve">Hendry  </t>
  </si>
  <si>
    <t xml:space="preserve">Hernando  </t>
  </si>
  <si>
    <t xml:space="preserve">Highlands  </t>
  </si>
  <si>
    <t xml:space="preserve">Hillsborough  </t>
  </si>
  <si>
    <t xml:space="preserve">Holmes  </t>
  </si>
  <si>
    <t xml:space="preserve">Indian River  </t>
  </si>
  <si>
    <t xml:space="preserve">Leon  </t>
  </si>
  <si>
    <t xml:space="preserve">Levy  </t>
  </si>
  <si>
    <t xml:space="preserve">Liberty  </t>
  </si>
  <si>
    <t xml:space="preserve">Manatee  </t>
  </si>
  <si>
    <t xml:space="preserve">Martin  </t>
  </si>
  <si>
    <t xml:space="preserve">Miami-Dade  </t>
  </si>
  <si>
    <t xml:space="preserve">Nassau  </t>
  </si>
  <si>
    <t xml:space="preserve">Okaloosa  </t>
  </si>
  <si>
    <t xml:space="preserve">Okeechobee  </t>
  </si>
  <si>
    <t xml:space="preserve">Osceola  </t>
  </si>
  <si>
    <t xml:space="preserve">Palm Beach  </t>
  </si>
  <si>
    <t xml:space="preserve">Pasco  </t>
  </si>
  <si>
    <t xml:space="preserve">Pinellas  </t>
  </si>
  <si>
    <t xml:space="preserve">Putnam  </t>
  </si>
  <si>
    <t xml:space="preserve">Saint Johns  </t>
  </si>
  <si>
    <t xml:space="preserve">Saint Lucie  </t>
  </si>
  <si>
    <t xml:space="preserve">Santa Rosa  </t>
  </si>
  <si>
    <t xml:space="preserve">Sarasota  </t>
  </si>
  <si>
    <t xml:space="preserve">Seminole  </t>
  </si>
  <si>
    <t xml:space="preserve">Suwannee  </t>
  </si>
  <si>
    <t xml:space="preserve">Taylor  </t>
  </si>
  <si>
    <t xml:space="preserve">Volusia  </t>
  </si>
  <si>
    <t xml:space="preserve">Wakulla  </t>
  </si>
  <si>
    <t xml:space="preserve">Walton  </t>
  </si>
  <si>
    <t xml:space="preserve">Appling  </t>
  </si>
  <si>
    <t xml:space="preserve">Atkinson  </t>
  </si>
  <si>
    <t xml:space="preserve">Bacon  </t>
  </si>
  <si>
    <t xml:space="preserve">Banks  </t>
  </si>
  <si>
    <t xml:space="preserve">Barrow  </t>
  </si>
  <si>
    <t xml:space="preserve">Bartow  </t>
  </si>
  <si>
    <t xml:space="preserve">Ben Hill  </t>
  </si>
  <si>
    <t xml:space="preserve">Berrien  </t>
  </si>
  <si>
    <t xml:space="preserve">Bleckley  </t>
  </si>
  <si>
    <t xml:space="preserve">Brantley  </t>
  </si>
  <si>
    <t xml:space="preserve">Brooks  </t>
  </si>
  <si>
    <t xml:space="preserve">Bryan  </t>
  </si>
  <si>
    <t xml:space="preserve">Bulloch  </t>
  </si>
  <si>
    <t xml:space="preserve">Burke  </t>
  </si>
  <si>
    <t xml:space="preserve">Butts  </t>
  </si>
  <si>
    <t xml:space="preserve">Camden  </t>
  </si>
  <si>
    <t xml:space="preserve">Candler  </t>
  </si>
  <si>
    <t xml:space="preserve">Catoosa  </t>
  </si>
  <si>
    <t xml:space="preserve">Charlton  </t>
  </si>
  <si>
    <t xml:space="preserve">Chatham  </t>
  </si>
  <si>
    <t xml:space="preserve">Chattahoochee  </t>
  </si>
  <si>
    <t xml:space="preserve">Chattooga  </t>
  </si>
  <si>
    <t xml:space="preserve">Clayton  </t>
  </si>
  <si>
    <t xml:space="preserve">Clinch  </t>
  </si>
  <si>
    <t xml:space="preserve">Cobb  </t>
  </si>
  <si>
    <t xml:space="preserve">Colquitt  </t>
  </si>
  <si>
    <t xml:space="preserve">Cook  </t>
  </si>
  <si>
    <t xml:space="preserve">Coweta  </t>
  </si>
  <si>
    <t xml:space="preserve">Crisp  </t>
  </si>
  <si>
    <t xml:space="preserve">Dade  </t>
  </si>
  <si>
    <t xml:space="preserve">Dawson  </t>
  </si>
  <si>
    <t xml:space="preserve">Decatur  </t>
  </si>
  <si>
    <t xml:space="preserve">Dekalb  </t>
  </si>
  <si>
    <t xml:space="preserve">Dodge  </t>
  </si>
  <si>
    <t xml:space="preserve">Dooly  </t>
  </si>
  <si>
    <t xml:space="preserve">Dougherty  </t>
  </si>
  <si>
    <t xml:space="preserve">Early  </t>
  </si>
  <si>
    <t xml:space="preserve">Echols  </t>
  </si>
  <si>
    <t xml:space="preserve">Effingham  </t>
  </si>
  <si>
    <t xml:space="preserve">Emanuel  </t>
  </si>
  <si>
    <t xml:space="preserve">Evans  </t>
  </si>
  <si>
    <t xml:space="preserve">Fannin  </t>
  </si>
  <si>
    <t xml:space="preserve">Floyd  </t>
  </si>
  <si>
    <t xml:space="preserve">Forsyth  </t>
  </si>
  <si>
    <t xml:space="preserve">Gilmer  </t>
  </si>
  <si>
    <t xml:space="preserve">Glascock  </t>
  </si>
  <si>
    <t xml:space="preserve">Glynn  </t>
  </si>
  <si>
    <t xml:space="preserve">Gordon  </t>
  </si>
  <si>
    <t xml:space="preserve">Grady  </t>
  </si>
  <si>
    <t xml:space="preserve">Gwinnett  </t>
  </si>
  <si>
    <t xml:space="preserve">Habersham  </t>
  </si>
  <si>
    <t xml:space="preserve">Hall  </t>
  </si>
  <si>
    <t xml:space="preserve">Hancock  </t>
  </si>
  <si>
    <t xml:space="preserve">Haralson  </t>
  </si>
  <si>
    <t xml:space="preserve">Harris  </t>
  </si>
  <si>
    <t xml:space="preserve">Hart  </t>
  </si>
  <si>
    <t xml:space="preserve">Heard  </t>
  </si>
  <si>
    <t xml:space="preserve">Irwin  </t>
  </si>
  <si>
    <t xml:space="preserve">Jasper  </t>
  </si>
  <si>
    <t xml:space="preserve">Jeff Davis  </t>
  </si>
  <si>
    <t xml:space="preserve">Jenkins  </t>
  </si>
  <si>
    <t xml:space="preserve">Jones  </t>
  </si>
  <si>
    <t xml:space="preserve">Lanier  </t>
  </si>
  <si>
    <t xml:space="preserve">Laurens  </t>
  </si>
  <si>
    <t xml:space="preserve">Long  </t>
  </si>
  <si>
    <t xml:space="preserve">Lumpkin  </t>
  </si>
  <si>
    <t xml:space="preserve">Mcduffie  </t>
  </si>
  <si>
    <t xml:space="preserve">Mcintosh  </t>
  </si>
  <si>
    <t xml:space="preserve">Meriwether  </t>
  </si>
  <si>
    <t xml:space="preserve">Mitchell  </t>
  </si>
  <si>
    <t xml:space="preserve">Murray  </t>
  </si>
  <si>
    <t xml:space="preserve">Muscogee  </t>
  </si>
  <si>
    <t xml:space="preserve">Oconee  </t>
  </si>
  <si>
    <t xml:space="preserve">Oglethorpe  </t>
  </si>
  <si>
    <t xml:space="preserve">Paulding  </t>
  </si>
  <si>
    <t xml:space="preserve">Peach  </t>
  </si>
  <si>
    <t xml:space="preserve">Pierce  </t>
  </si>
  <si>
    <t xml:space="preserve">Quitman  </t>
  </si>
  <si>
    <t xml:space="preserve">Rabun  </t>
  </si>
  <si>
    <t xml:space="preserve">Richmond  </t>
  </si>
  <si>
    <t xml:space="preserve">Rockdale  </t>
  </si>
  <si>
    <t xml:space="preserve">Schley  </t>
  </si>
  <si>
    <t xml:space="preserve">Screven  </t>
  </si>
  <si>
    <t xml:space="preserve">Spalding  </t>
  </si>
  <si>
    <t xml:space="preserve">Stephens  </t>
  </si>
  <si>
    <t xml:space="preserve">Stewart  </t>
  </si>
  <si>
    <t xml:space="preserve">Talbot  </t>
  </si>
  <si>
    <t xml:space="preserve">Taliaferro  </t>
  </si>
  <si>
    <t xml:space="preserve">Tattnall  </t>
  </si>
  <si>
    <t xml:space="preserve">Telfair  </t>
  </si>
  <si>
    <t xml:space="preserve">Terrell  </t>
  </si>
  <si>
    <t xml:space="preserve">Thomas  </t>
  </si>
  <si>
    <t xml:space="preserve">Tift  </t>
  </si>
  <si>
    <t xml:space="preserve">Toombs  </t>
  </si>
  <si>
    <t xml:space="preserve">Towns  </t>
  </si>
  <si>
    <t xml:space="preserve">Treutlen  </t>
  </si>
  <si>
    <t xml:space="preserve">Troup  </t>
  </si>
  <si>
    <t xml:space="preserve">Turner  </t>
  </si>
  <si>
    <t xml:space="preserve">Twiggs  </t>
  </si>
  <si>
    <t xml:space="preserve">Upson  </t>
  </si>
  <si>
    <t xml:space="preserve">Ware  </t>
  </si>
  <si>
    <t xml:space="preserve">Warren  </t>
  </si>
  <si>
    <t xml:space="preserve">Wayne  </t>
  </si>
  <si>
    <t xml:space="preserve">Webster  </t>
  </si>
  <si>
    <t xml:space="preserve">Wheeler  </t>
  </si>
  <si>
    <t xml:space="preserve">Whitfield  </t>
  </si>
  <si>
    <t xml:space="preserve">Wilkes  </t>
  </si>
  <si>
    <t xml:space="preserve">Wilkinson  </t>
  </si>
  <si>
    <t xml:space="preserve">Worth  </t>
  </si>
  <si>
    <t xml:space="preserve">Guam  </t>
  </si>
  <si>
    <t xml:space="preserve">Hawaii  </t>
  </si>
  <si>
    <t xml:space="preserve">Honolulu  </t>
  </si>
  <si>
    <t xml:space="preserve">Kauai  </t>
  </si>
  <si>
    <t xml:space="preserve">Maui  </t>
  </si>
  <si>
    <t xml:space="preserve">Ada  </t>
  </si>
  <si>
    <t xml:space="preserve">Bannock  </t>
  </si>
  <si>
    <t xml:space="preserve">Bear Lake  </t>
  </si>
  <si>
    <t xml:space="preserve">Benewah  </t>
  </si>
  <si>
    <t xml:space="preserve">Bingham  </t>
  </si>
  <si>
    <t xml:space="preserve">Blaine  </t>
  </si>
  <si>
    <t xml:space="preserve">Boise  </t>
  </si>
  <si>
    <t xml:space="preserve">Bonner  </t>
  </si>
  <si>
    <t xml:space="preserve">Bonneville  </t>
  </si>
  <si>
    <t xml:space="preserve">Boundary  </t>
  </si>
  <si>
    <t xml:space="preserve">Camas  </t>
  </si>
  <si>
    <t xml:space="preserve">Canyon  </t>
  </si>
  <si>
    <t xml:space="preserve">Caribou  </t>
  </si>
  <si>
    <t xml:space="preserve">Cassia  </t>
  </si>
  <si>
    <t xml:space="preserve">Clearwater  </t>
  </si>
  <si>
    <t xml:space="preserve">Gem  </t>
  </si>
  <si>
    <t xml:space="preserve">Gooding  </t>
  </si>
  <si>
    <t xml:space="preserve">Idaho  </t>
  </si>
  <si>
    <t xml:space="preserve">Jerome  </t>
  </si>
  <si>
    <t xml:space="preserve">Kootenai  </t>
  </si>
  <si>
    <t xml:space="preserve">Latah  </t>
  </si>
  <si>
    <t xml:space="preserve">Lemhi  </t>
  </si>
  <si>
    <t xml:space="preserve">Lewis  </t>
  </si>
  <si>
    <t xml:space="preserve">Minidoka  </t>
  </si>
  <si>
    <t xml:space="preserve">Nez Perce  </t>
  </si>
  <si>
    <t xml:space="preserve">Oneida  </t>
  </si>
  <si>
    <t xml:space="preserve">Owyhee  </t>
  </si>
  <si>
    <t xml:space="preserve">Payette  </t>
  </si>
  <si>
    <t xml:space="preserve">Power  </t>
  </si>
  <si>
    <t xml:space="preserve">Shoshone  </t>
  </si>
  <si>
    <t xml:space="preserve">Teton  </t>
  </si>
  <si>
    <t xml:space="preserve">Twin Falls  </t>
  </si>
  <si>
    <t xml:space="preserve">Valley  </t>
  </si>
  <si>
    <t xml:space="preserve">Alexander  </t>
  </si>
  <si>
    <t xml:space="preserve">Bond  </t>
  </si>
  <si>
    <t xml:space="preserve">Brown  </t>
  </si>
  <si>
    <t xml:space="preserve">Bureau  </t>
  </si>
  <si>
    <t xml:space="preserve">Cass  </t>
  </si>
  <si>
    <t xml:space="preserve">Champaign  </t>
  </si>
  <si>
    <t xml:space="preserve">Christian  </t>
  </si>
  <si>
    <t xml:space="preserve">Clinton  </t>
  </si>
  <si>
    <t xml:space="preserve">Coles  </t>
  </si>
  <si>
    <t xml:space="preserve">Cumberland  </t>
  </si>
  <si>
    <t xml:space="preserve">Dewitt  </t>
  </si>
  <si>
    <t xml:space="preserve">Dupage  </t>
  </si>
  <si>
    <t xml:space="preserve">Edgar  </t>
  </si>
  <si>
    <t xml:space="preserve">Edwards  </t>
  </si>
  <si>
    <t xml:space="preserve">Ford  </t>
  </si>
  <si>
    <t xml:space="preserve">Gallatin  </t>
  </si>
  <si>
    <t xml:space="preserve">Grundy  </t>
  </si>
  <si>
    <t xml:space="preserve">Hardin  </t>
  </si>
  <si>
    <t xml:space="preserve">Henderson  </t>
  </si>
  <si>
    <t xml:space="preserve">Iroquois  </t>
  </si>
  <si>
    <t xml:space="preserve">Jersey  </t>
  </si>
  <si>
    <t xml:space="preserve">Jo Daviess  </t>
  </si>
  <si>
    <t xml:space="preserve">Kane  </t>
  </si>
  <si>
    <t xml:space="preserve">Kankakee  </t>
  </si>
  <si>
    <t xml:space="preserve">Kendall  </t>
  </si>
  <si>
    <t xml:space="preserve">Knox  </t>
  </si>
  <si>
    <t xml:space="preserve">La Salle  </t>
  </si>
  <si>
    <t xml:space="preserve">Livingston  </t>
  </si>
  <si>
    <t xml:space="preserve">Macoupin  </t>
  </si>
  <si>
    <t xml:space="preserve">Mason  </t>
  </si>
  <si>
    <t xml:space="preserve">Massac  </t>
  </si>
  <si>
    <t xml:space="preserve">Mcdonough  </t>
  </si>
  <si>
    <t xml:space="preserve">Mchenry  </t>
  </si>
  <si>
    <t xml:space="preserve">Mclean  </t>
  </si>
  <si>
    <t xml:space="preserve">Menard  </t>
  </si>
  <si>
    <t xml:space="preserve">Mercer  </t>
  </si>
  <si>
    <t xml:space="preserve">Moultrie  </t>
  </si>
  <si>
    <t xml:space="preserve">Ogle  </t>
  </si>
  <si>
    <t xml:space="preserve">Peoria  </t>
  </si>
  <si>
    <t xml:space="preserve">Piatt  </t>
  </si>
  <si>
    <t xml:space="preserve">Richland  </t>
  </si>
  <si>
    <t xml:space="preserve">Rock Island  </t>
  </si>
  <si>
    <t xml:space="preserve">Sangamon  </t>
  </si>
  <si>
    <t xml:space="preserve">Schuyler  </t>
  </si>
  <si>
    <t xml:space="preserve">Stark  </t>
  </si>
  <si>
    <t xml:space="preserve">Stephenson  </t>
  </si>
  <si>
    <t xml:space="preserve">Tazewell  </t>
  </si>
  <si>
    <t xml:space="preserve">Vermilion  </t>
  </si>
  <si>
    <t xml:space="preserve">Wabash  </t>
  </si>
  <si>
    <t xml:space="preserve">Whiteside  </t>
  </si>
  <si>
    <t xml:space="preserve">Will  </t>
  </si>
  <si>
    <t xml:space="preserve">Williamson  </t>
  </si>
  <si>
    <t xml:space="preserve">Winnebago  </t>
  </si>
  <si>
    <t xml:space="preserve">Woodford  </t>
  </si>
  <si>
    <t xml:space="preserve">Allen  </t>
  </si>
  <si>
    <t xml:space="preserve">Bartholomew  </t>
  </si>
  <si>
    <t xml:space="preserve">Blackford  </t>
  </si>
  <si>
    <t xml:space="preserve">Daviess  </t>
  </si>
  <si>
    <t xml:space="preserve">Dearborn  </t>
  </si>
  <si>
    <t xml:space="preserve">Delaware  </t>
  </si>
  <si>
    <t xml:space="preserve">Dubois  </t>
  </si>
  <si>
    <t xml:space="preserve">Elkhart  </t>
  </si>
  <si>
    <t xml:space="preserve">Fountain  </t>
  </si>
  <si>
    <t xml:space="preserve">Gibson  </t>
  </si>
  <si>
    <t xml:space="preserve">Harrison  </t>
  </si>
  <si>
    <t xml:space="preserve">Hendricks  </t>
  </si>
  <si>
    <t xml:space="preserve">Huntington  </t>
  </si>
  <si>
    <t xml:space="preserve">Jay  </t>
  </si>
  <si>
    <t xml:space="preserve">Jennings  </t>
  </si>
  <si>
    <t xml:space="preserve">Kosciusko  </t>
  </si>
  <si>
    <t xml:space="preserve">La Porte  </t>
  </si>
  <si>
    <t xml:space="preserve">Lagrange  </t>
  </si>
  <si>
    <t xml:space="preserve">Miami  </t>
  </si>
  <si>
    <t xml:space="preserve">Noble  </t>
  </si>
  <si>
    <t xml:space="preserve">Ohio  </t>
  </si>
  <si>
    <t xml:space="preserve">Owen  </t>
  </si>
  <si>
    <t xml:space="preserve">Parke  </t>
  </si>
  <si>
    <t xml:space="preserve">Porter  </t>
  </si>
  <si>
    <t xml:space="preserve">Posey  </t>
  </si>
  <si>
    <t xml:space="preserve">Ripley  </t>
  </si>
  <si>
    <t xml:space="preserve">Rush  </t>
  </si>
  <si>
    <t xml:space="preserve">Spencer  </t>
  </si>
  <si>
    <t xml:space="preserve">St Joseph  </t>
  </si>
  <si>
    <t xml:space="preserve">Starke  </t>
  </si>
  <si>
    <t xml:space="preserve">Steuben  </t>
  </si>
  <si>
    <t xml:space="preserve">Sullivan  </t>
  </si>
  <si>
    <t xml:space="preserve">Switzerland  </t>
  </si>
  <si>
    <t xml:space="preserve">Tippecanoe  </t>
  </si>
  <si>
    <t xml:space="preserve">Tipton  </t>
  </si>
  <si>
    <t xml:space="preserve">Vanderburgh  </t>
  </si>
  <si>
    <t xml:space="preserve">Vermillion  </t>
  </si>
  <si>
    <t xml:space="preserve">Vigo  </t>
  </si>
  <si>
    <t xml:space="preserve">Warrick  </t>
  </si>
  <si>
    <t xml:space="preserve">Wells  </t>
  </si>
  <si>
    <t xml:space="preserve">Whitley  </t>
  </si>
  <si>
    <t xml:space="preserve">Adair  </t>
  </si>
  <si>
    <t xml:space="preserve">Allamakee  </t>
  </si>
  <si>
    <t xml:space="preserve">Appanoose  </t>
  </si>
  <si>
    <t xml:space="preserve">Audubon  </t>
  </si>
  <si>
    <t xml:space="preserve">Black Hawk  </t>
  </si>
  <si>
    <t xml:space="preserve">Bremer  </t>
  </si>
  <si>
    <t xml:space="preserve">Buchanan  </t>
  </si>
  <si>
    <t xml:space="preserve">Buena Vista  </t>
  </si>
  <si>
    <t xml:space="preserve">Cedar  </t>
  </si>
  <si>
    <t xml:space="preserve">Cerro Gordo  </t>
  </si>
  <si>
    <t xml:space="preserve">Chickasaw  </t>
  </si>
  <si>
    <t xml:space="preserve">Davis  </t>
  </si>
  <si>
    <t xml:space="preserve">Des Moines  </t>
  </si>
  <si>
    <t xml:space="preserve">Dickinson  </t>
  </si>
  <si>
    <t xml:space="preserve">Dubuque  </t>
  </si>
  <si>
    <t xml:space="preserve">Emmet  </t>
  </si>
  <si>
    <t xml:space="preserve">Guthrie  </t>
  </si>
  <si>
    <t xml:space="preserve">Ida  </t>
  </si>
  <si>
    <t xml:space="preserve">Iowa  </t>
  </si>
  <si>
    <t xml:space="preserve">Keokuk  </t>
  </si>
  <si>
    <t xml:space="preserve">Kossuth  </t>
  </si>
  <si>
    <t xml:space="preserve">Linn  </t>
  </si>
  <si>
    <t xml:space="preserve">Louisa  </t>
  </si>
  <si>
    <t xml:space="preserve">Lucas  </t>
  </si>
  <si>
    <t xml:space="preserve">Lyon  </t>
  </si>
  <si>
    <t xml:space="preserve">Mahaska  </t>
  </si>
  <si>
    <t xml:space="preserve">Mills  </t>
  </si>
  <si>
    <t xml:space="preserve">Monona  </t>
  </si>
  <si>
    <t xml:space="preserve">Muscatine  </t>
  </si>
  <si>
    <t xml:space="preserve">Obrien  </t>
  </si>
  <si>
    <t xml:space="preserve">Page  </t>
  </si>
  <si>
    <t xml:space="preserve">Palo Alto  </t>
  </si>
  <si>
    <t xml:space="preserve">Plymouth  </t>
  </si>
  <si>
    <t xml:space="preserve">Pocahontas  </t>
  </si>
  <si>
    <t xml:space="preserve">Pottawattamie  </t>
  </si>
  <si>
    <t xml:space="preserve">Poweshiek  </t>
  </si>
  <si>
    <t xml:space="preserve">Ringgold  </t>
  </si>
  <si>
    <t xml:space="preserve">Sac  </t>
  </si>
  <si>
    <t xml:space="preserve">Sioux  </t>
  </si>
  <si>
    <t xml:space="preserve">Story  </t>
  </si>
  <si>
    <t xml:space="preserve">Tama  </t>
  </si>
  <si>
    <t xml:space="preserve">Wapello  </t>
  </si>
  <si>
    <t xml:space="preserve">Winneshiek  </t>
  </si>
  <si>
    <t xml:space="preserve">Woodbury  </t>
  </si>
  <si>
    <t xml:space="preserve">Wright  </t>
  </si>
  <si>
    <t xml:space="preserve">Anderson  </t>
  </si>
  <si>
    <t xml:space="preserve">Atchison  </t>
  </si>
  <si>
    <t xml:space="preserve">Barber  </t>
  </si>
  <si>
    <t xml:space="preserve">Barton  </t>
  </si>
  <si>
    <t xml:space="preserve">Bourbon  </t>
  </si>
  <si>
    <t xml:space="preserve">Chase  </t>
  </si>
  <si>
    <t xml:space="preserve">Chautauqua  </t>
  </si>
  <si>
    <t xml:space="preserve">Cloud  </t>
  </si>
  <si>
    <t xml:space="preserve">Coffey  </t>
  </si>
  <si>
    <t xml:space="preserve">Comanche  </t>
  </si>
  <si>
    <t xml:space="preserve">Cowley  </t>
  </si>
  <si>
    <t xml:space="preserve">Doniphan  </t>
  </si>
  <si>
    <t xml:space="preserve">Elk  </t>
  </si>
  <si>
    <t xml:space="preserve">Ellis  </t>
  </si>
  <si>
    <t xml:space="preserve">Ellsworth  </t>
  </si>
  <si>
    <t xml:space="preserve">Finney  </t>
  </si>
  <si>
    <t xml:space="preserve">Geary  </t>
  </si>
  <si>
    <t xml:space="preserve">Gove  </t>
  </si>
  <si>
    <t xml:space="preserve">Gray  </t>
  </si>
  <si>
    <t xml:space="preserve">Greeley  </t>
  </si>
  <si>
    <t xml:space="preserve">Greenwood  </t>
  </si>
  <si>
    <t xml:space="preserve">Harper  </t>
  </si>
  <si>
    <t xml:space="preserve">Harvey  </t>
  </si>
  <si>
    <t xml:space="preserve">Haskell  </t>
  </si>
  <si>
    <t xml:space="preserve">Hodgeman  </t>
  </si>
  <si>
    <t xml:space="preserve">Jewell  </t>
  </si>
  <si>
    <t xml:space="preserve">Kearny  </t>
  </si>
  <si>
    <t xml:space="preserve">Kingman  </t>
  </si>
  <si>
    <t xml:space="preserve">Labette  </t>
  </si>
  <si>
    <t xml:space="preserve">Lane  </t>
  </si>
  <si>
    <t xml:space="preserve">Leavenworth  </t>
  </si>
  <si>
    <t xml:space="preserve">Mcpherson  </t>
  </si>
  <si>
    <t xml:space="preserve">Meade  </t>
  </si>
  <si>
    <t xml:space="preserve">Morris  </t>
  </si>
  <si>
    <t xml:space="preserve">Morton  </t>
  </si>
  <si>
    <t xml:space="preserve">Nemaha  </t>
  </si>
  <si>
    <t xml:space="preserve">Neosho  </t>
  </si>
  <si>
    <t xml:space="preserve">Ness  </t>
  </si>
  <si>
    <t xml:space="preserve">Norton  </t>
  </si>
  <si>
    <t xml:space="preserve">Osage  </t>
  </si>
  <si>
    <t xml:space="preserve">Osborne  </t>
  </si>
  <si>
    <t xml:space="preserve">Ottawa  </t>
  </si>
  <si>
    <t xml:space="preserve">Pawnee  </t>
  </si>
  <si>
    <t xml:space="preserve">Pottawatomie  </t>
  </si>
  <si>
    <t xml:space="preserve">Pratt  </t>
  </si>
  <si>
    <t xml:space="preserve">Rawlins  </t>
  </si>
  <si>
    <t xml:space="preserve">Reno  </t>
  </si>
  <si>
    <t xml:space="preserve">Republic  </t>
  </si>
  <si>
    <t xml:space="preserve">Rice  </t>
  </si>
  <si>
    <t xml:space="preserve">Riley  </t>
  </si>
  <si>
    <t xml:space="preserve">Rooks  </t>
  </si>
  <si>
    <t xml:space="preserve">Seward  </t>
  </si>
  <si>
    <t xml:space="preserve">Shawnee  </t>
  </si>
  <si>
    <t xml:space="preserve">Sheridan  </t>
  </si>
  <si>
    <t xml:space="preserve">Sherman  </t>
  </si>
  <si>
    <t xml:space="preserve">Smith  </t>
  </si>
  <si>
    <t xml:space="preserve">Stafford  </t>
  </si>
  <si>
    <t xml:space="preserve">Stanton  </t>
  </si>
  <si>
    <t xml:space="preserve">Stevens  </t>
  </si>
  <si>
    <t xml:space="preserve">Sumner  </t>
  </si>
  <si>
    <t xml:space="preserve">Trego  </t>
  </si>
  <si>
    <t xml:space="preserve">Wabaunsee  </t>
  </si>
  <si>
    <t xml:space="preserve">Wallace  </t>
  </si>
  <si>
    <t xml:space="preserve">Wichita  </t>
  </si>
  <si>
    <t xml:space="preserve">Wilson  </t>
  </si>
  <si>
    <t xml:space="preserve">Woodson  </t>
  </si>
  <si>
    <t xml:space="preserve">Wyandotte  </t>
  </si>
  <si>
    <t xml:space="preserve">Ballard  </t>
  </si>
  <si>
    <t xml:space="preserve">Barren  </t>
  </si>
  <si>
    <t xml:space="preserve">Bath  </t>
  </si>
  <si>
    <t xml:space="preserve">Bell  </t>
  </si>
  <si>
    <t xml:space="preserve">Boyd  </t>
  </si>
  <si>
    <t xml:space="preserve">Boyle  </t>
  </si>
  <si>
    <t xml:space="preserve">Bracken  </t>
  </si>
  <si>
    <t xml:space="preserve">Breathitt  </t>
  </si>
  <si>
    <t xml:space="preserve">Breckinridge  </t>
  </si>
  <si>
    <t xml:space="preserve">Bullitt  </t>
  </si>
  <si>
    <t xml:space="preserve">Caldwell  </t>
  </si>
  <si>
    <t xml:space="preserve">Calloway  </t>
  </si>
  <si>
    <t xml:space="preserve">Campbell  </t>
  </si>
  <si>
    <t xml:space="preserve">Carlisle  </t>
  </si>
  <si>
    <t xml:space="preserve">Carter  </t>
  </si>
  <si>
    <t xml:space="preserve">Casey  </t>
  </si>
  <si>
    <t xml:space="preserve">Edmonson  </t>
  </si>
  <si>
    <t xml:space="preserve">Elliott  </t>
  </si>
  <si>
    <t xml:space="preserve">Estill  </t>
  </si>
  <si>
    <t xml:space="preserve">Fleming  </t>
  </si>
  <si>
    <t xml:space="preserve">Garrard  </t>
  </si>
  <si>
    <t xml:space="preserve">Graves  </t>
  </si>
  <si>
    <t xml:space="preserve">Grayson  </t>
  </si>
  <si>
    <t xml:space="preserve">Green  </t>
  </si>
  <si>
    <t xml:space="preserve">Greenup  </t>
  </si>
  <si>
    <t xml:space="preserve">Harlan  </t>
  </si>
  <si>
    <t xml:space="preserve">Hickman  </t>
  </si>
  <si>
    <t xml:space="preserve">Hopkins  </t>
  </si>
  <si>
    <t xml:space="preserve">Jessamine  </t>
  </si>
  <si>
    <t xml:space="preserve">Kenton  </t>
  </si>
  <si>
    <t xml:space="preserve">Knott  </t>
  </si>
  <si>
    <t xml:space="preserve">Larue  </t>
  </si>
  <si>
    <t xml:space="preserve">Laurel  </t>
  </si>
  <si>
    <t xml:space="preserve">Leslie  </t>
  </si>
  <si>
    <t xml:space="preserve">Letcher  </t>
  </si>
  <si>
    <t xml:space="preserve">Magoffin  </t>
  </si>
  <si>
    <t xml:space="preserve">Mccracken  </t>
  </si>
  <si>
    <t xml:space="preserve">Mccreary  </t>
  </si>
  <si>
    <t xml:space="preserve">Menifee  </t>
  </si>
  <si>
    <t xml:space="preserve">Metcalfe  </t>
  </si>
  <si>
    <t xml:space="preserve">Muhlenberg  </t>
  </si>
  <si>
    <t xml:space="preserve">Nelson  </t>
  </si>
  <si>
    <t xml:space="preserve">Nicholas  </t>
  </si>
  <si>
    <t xml:space="preserve">Oldham  </t>
  </si>
  <si>
    <t xml:space="preserve">Owsley  </t>
  </si>
  <si>
    <t xml:space="preserve">Pendleton  </t>
  </si>
  <si>
    <t xml:space="preserve">Powell  </t>
  </si>
  <si>
    <t xml:space="preserve">Robertson  </t>
  </si>
  <si>
    <t xml:space="preserve">Rockcastle  </t>
  </si>
  <si>
    <t xml:space="preserve">Rowan  </t>
  </si>
  <si>
    <t xml:space="preserve">Simpson  </t>
  </si>
  <si>
    <t xml:space="preserve">Todd  </t>
  </si>
  <si>
    <t xml:space="preserve">Trigg  </t>
  </si>
  <si>
    <t xml:space="preserve">Trimble  </t>
  </si>
  <si>
    <t xml:space="preserve">Wolfe  </t>
  </si>
  <si>
    <t xml:space="preserve">Acadia  </t>
  </si>
  <si>
    <t xml:space="preserve">Ascension  </t>
  </si>
  <si>
    <t xml:space="preserve">Assumption  </t>
  </si>
  <si>
    <t xml:space="preserve">Avoyelles  </t>
  </si>
  <si>
    <t xml:space="preserve">Beauregard  </t>
  </si>
  <si>
    <t xml:space="preserve">Bienville  </t>
  </si>
  <si>
    <t xml:space="preserve">Bossier  </t>
  </si>
  <si>
    <t xml:space="preserve">Caddo  </t>
  </si>
  <si>
    <t xml:space="preserve">Calcasieu  </t>
  </si>
  <si>
    <t xml:space="preserve">Cameron  </t>
  </si>
  <si>
    <t xml:space="preserve">Catahoula  </t>
  </si>
  <si>
    <t xml:space="preserve">Claiborne  </t>
  </si>
  <si>
    <t xml:space="preserve">Concordia  </t>
  </si>
  <si>
    <t xml:space="preserve">East Baton Rouge  </t>
  </si>
  <si>
    <t xml:space="preserve">East Carroll  </t>
  </si>
  <si>
    <t xml:space="preserve">East Feliciana  </t>
  </si>
  <si>
    <t xml:space="preserve">Evangeline  </t>
  </si>
  <si>
    <t xml:space="preserve">Iberia  </t>
  </si>
  <si>
    <t xml:space="preserve">Iberville  </t>
  </si>
  <si>
    <t xml:space="preserve">Jefferson Davis  </t>
  </si>
  <si>
    <t xml:space="preserve">Lafourche  </t>
  </si>
  <si>
    <t xml:space="preserve">Morehouse  </t>
  </si>
  <si>
    <t xml:space="preserve">Natchitoches  </t>
  </si>
  <si>
    <t xml:space="preserve">Orleans  </t>
  </si>
  <si>
    <t xml:space="preserve">Plaquemines  </t>
  </si>
  <si>
    <t xml:space="preserve">Pointe Coupee  </t>
  </si>
  <si>
    <t xml:space="preserve">Rapides  </t>
  </si>
  <si>
    <t xml:space="preserve">Red River  </t>
  </si>
  <si>
    <t xml:space="preserve">Sabine  </t>
  </si>
  <si>
    <t xml:space="preserve">Saint Bernard  </t>
  </si>
  <si>
    <t xml:space="preserve">Saint Charles  </t>
  </si>
  <si>
    <t xml:space="preserve">Saint Helena  </t>
  </si>
  <si>
    <t xml:space="preserve">Saint James  </t>
  </si>
  <si>
    <t xml:space="preserve">Saint Landry  </t>
  </si>
  <si>
    <t xml:space="preserve">Saint Martin  </t>
  </si>
  <si>
    <t xml:space="preserve">Saint Mary  </t>
  </si>
  <si>
    <t xml:space="preserve">Saint Tammany  </t>
  </si>
  <si>
    <t xml:space="preserve">St John The Baptist  </t>
  </si>
  <si>
    <t xml:space="preserve">Tangipahoa  </t>
  </si>
  <si>
    <t xml:space="preserve">Tensas  </t>
  </si>
  <si>
    <t xml:space="preserve">Terrebonne  </t>
  </si>
  <si>
    <t xml:space="preserve">Vernon  </t>
  </si>
  <si>
    <t xml:space="preserve">West Baton Rouge  </t>
  </si>
  <si>
    <t xml:space="preserve">West Carroll  </t>
  </si>
  <si>
    <t xml:space="preserve">West Feliciana  </t>
  </si>
  <si>
    <t xml:space="preserve">Winn  </t>
  </si>
  <si>
    <t xml:space="preserve">Androscoggin  </t>
  </si>
  <si>
    <t xml:space="preserve">Aroostook  </t>
  </si>
  <si>
    <t xml:space="preserve">Kennebec  </t>
  </si>
  <si>
    <t xml:space="preserve">Oxford  </t>
  </si>
  <si>
    <t xml:space="preserve">Penobscot  </t>
  </si>
  <si>
    <t xml:space="preserve">Piscataquis  </t>
  </si>
  <si>
    <t xml:space="preserve">Sagadahoc  </t>
  </si>
  <si>
    <t xml:space="preserve">Somerset  </t>
  </si>
  <si>
    <t xml:space="preserve">Waldo  </t>
  </si>
  <si>
    <t xml:space="preserve">York  </t>
  </si>
  <si>
    <t xml:space="preserve">Allegany  </t>
  </si>
  <si>
    <t xml:space="preserve">Anne Arundel  </t>
  </si>
  <si>
    <t xml:space="preserve">Baltimore  </t>
  </si>
  <si>
    <t xml:space="preserve">Baltimore City  </t>
  </si>
  <si>
    <t xml:space="preserve">Calvert  </t>
  </si>
  <si>
    <t xml:space="preserve">Caroline  </t>
  </si>
  <si>
    <t xml:space="preserve">Cecil  </t>
  </si>
  <si>
    <t xml:space="preserve">Charles  </t>
  </si>
  <si>
    <t xml:space="preserve">Dorchester  </t>
  </si>
  <si>
    <t xml:space="preserve">Frederick  </t>
  </si>
  <si>
    <t xml:space="preserve">Garrett  </t>
  </si>
  <si>
    <t xml:space="preserve">Harford  </t>
  </si>
  <si>
    <t xml:space="preserve">Prince Georges  </t>
  </si>
  <si>
    <t xml:space="preserve">Queen Annes  </t>
  </si>
  <si>
    <t xml:space="preserve">Saint Marys  </t>
  </si>
  <si>
    <t xml:space="preserve">Wicomico  </t>
  </si>
  <si>
    <t xml:space="preserve">Worcester  </t>
  </si>
  <si>
    <t xml:space="preserve">Barnstable  </t>
  </si>
  <si>
    <t xml:space="preserve">Berkshire  </t>
  </si>
  <si>
    <t xml:space="preserve">Bristol  </t>
  </si>
  <si>
    <t xml:space="preserve">Dukes  </t>
  </si>
  <si>
    <t xml:space="preserve">Essex  </t>
  </si>
  <si>
    <t xml:space="preserve">Hampden  </t>
  </si>
  <si>
    <t xml:space="preserve">Hampshire  </t>
  </si>
  <si>
    <t xml:space="preserve">Nantucket  </t>
  </si>
  <si>
    <t xml:space="preserve">Norfolk  </t>
  </si>
  <si>
    <t xml:space="preserve">Suffolk  </t>
  </si>
  <si>
    <t xml:space="preserve">Alcona  </t>
  </si>
  <si>
    <t xml:space="preserve">Alger  </t>
  </si>
  <si>
    <t xml:space="preserve">Allegan  </t>
  </si>
  <si>
    <t xml:space="preserve">Alpena  </t>
  </si>
  <si>
    <t xml:space="preserve">Antrim  </t>
  </si>
  <si>
    <t xml:space="preserve">Arenac  </t>
  </si>
  <si>
    <t xml:space="preserve">Baraga  </t>
  </si>
  <si>
    <t xml:space="preserve">Barry  </t>
  </si>
  <si>
    <t xml:space="preserve">Benzie  </t>
  </si>
  <si>
    <t xml:space="preserve">Branch  </t>
  </si>
  <si>
    <t xml:space="preserve">Charlevoix  </t>
  </si>
  <si>
    <t xml:space="preserve">Cheboygan  </t>
  </si>
  <si>
    <t xml:space="preserve">Chippewa  </t>
  </si>
  <si>
    <t xml:space="preserve">Clare  </t>
  </si>
  <si>
    <t xml:space="preserve">Eaton  </t>
  </si>
  <si>
    <t xml:space="preserve">Genesee  </t>
  </si>
  <si>
    <t xml:space="preserve">Gladwin  </t>
  </si>
  <si>
    <t xml:space="preserve">Gogebic  </t>
  </si>
  <si>
    <t xml:space="preserve">Grand Traverse  </t>
  </si>
  <si>
    <t xml:space="preserve">Gratiot  </t>
  </si>
  <si>
    <t xml:space="preserve">Hillsdale  </t>
  </si>
  <si>
    <t xml:space="preserve">Houghton  </t>
  </si>
  <si>
    <t xml:space="preserve">Huron  </t>
  </si>
  <si>
    <t xml:space="preserve">Ingham  </t>
  </si>
  <si>
    <t xml:space="preserve">Ionia  </t>
  </si>
  <si>
    <t xml:space="preserve">Iosco  </t>
  </si>
  <si>
    <t xml:space="preserve">Iron  </t>
  </si>
  <si>
    <t xml:space="preserve">Isabella  </t>
  </si>
  <si>
    <t xml:space="preserve">Kalamazoo  </t>
  </si>
  <si>
    <t xml:space="preserve">Kalkaska  </t>
  </si>
  <si>
    <t xml:space="preserve">Keweenaw  </t>
  </si>
  <si>
    <t xml:space="preserve">Lapeer  </t>
  </si>
  <si>
    <t xml:space="preserve">Leelanau  </t>
  </si>
  <si>
    <t xml:space="preserve">Lenawee  </t>
  </si>
  <si>
    <t xml:space="preserve">Luce  </t>
  </si>
  <si>
    <t xml:space="preserve">Mackinac  </t>
  </si>
  <si>
    <t xml:space="preserve">Macomb  </t>
  </si>
  <si>
    <t xml:space="preserve">Manistee  </t>
  </si>
  <si>
    <t xml:space="preserve">Marquette  </t>
  </si>
  <si>
    <t xml:space="preserve">Mecosta  </t>
  </si>
  <si>
    <t xml:space="preserve">Menominee  </t>
  </si>
  <si>
    <t xml:space="preserve">Midland  </t>
  </si>
  <si>
    <t xml:space="preserve">Missaukee  </t>
  </si>
  <si>
    <t xml:space="preserve">Montcalm  </t>
  </si>
  <si>
    <t xml:space="preserve">Montmorency  </t>
  </si>
  <si>
    <t xml:space="preserve">Muskegon  </t>
  </si>
  <si>
    <t xml:space="preserve">Newaygo  </t>
  </si>
  <si>
    <t xml:space="preserve">Oakland  </t>
  </si>
  <si>
    <t xml:space="preserve">Oceana  </t>
  </si>
  <si>
    <t xml:space="preserve">Ogemaw  </t>
  </si>
  <si>
    <t xml:space="preserve">Ontonagon  </t>
  </si>
  <si>
    <t xml:space="preserve">Oscoda  </t>
  </si>
  <si>
    <t xml:space="preserve">Otsego  </t>
  </si>
  <si>
    <t xml:space="preserve">Presque Isle  </t>
  </si>
  <si>
    <t xml:space="preserve">Roscommon  </t>
  </si>
  <si>
    <t xml:space="preserve">Saginaw  </t>
  </si>
  <si>
    <t xml:space="preserve">Saint Joseph  </t>
  </si>
  <si>
    <t xml:space="preserve">Sanilac  </t>
  </si>
  <si>
    <t xml:space="preserve">Schoolcraft  </t>
  </si>
  <si>
    <t xml:space="preserve">Shiawassee  </t>
  </si>
  <si>
    <t xml:space="preserve">Tuscola  </t>
  </si>
  <si>
    <t xml:space="preserve">Washtenaw  </t>
  </si>
  <si>
    <t xml:space="preserve">Wexford  </t>
  </si>
  <si>
    <t xml:space="preserve">Aitkin  </t>
  </si>
  <si>
    <t xml:space="preserve">Anoka  </t>
  </si>
  <si>
    <t xml:space="preserve">Becker  </t>
  </si>
  <si>
    <t xml:space="preserve">Beltrami  </t>
  </si>
  <si>
    <t xml:space="preserve">Big Stone  </t>
  </si>
  <si>
    <t xml:space="preserve">Blue Earth  </t>
  </si>
  <si>
    <t xml:space="preserve">Carlton  </t>
  </si>
  <si>
    <t xml:space="preserve">Carver  </t>
  </si>
  <si>
    <t xml:space="preserve">Chisago  </t>
  </si>
  <si>
    <t xml:space="preserve">Cottonwood  </t>
  </si>
  <si>
    <t xml:space="preserve">Crow Wing  </t>
  </si>
  <si>
    <t xml:space="preserve">Dakota  </t>
  </si>
  <si>
    <t xml:space="preserve">Faribault  </t>
  </si>
  <si>
    <t xml:space="preserve">Fillmore  </t>
  </si>
  <si>
    <t xml:space="preserve">Freeborn  </t>
  </si>
  <si>
    <t xml:space="preserve">Goodhue  </t>
  </si>
  <si>
    <t xml:space="preserve">Hennepin  </t>
  </si>
  <si>
    <t xml:space="preserve">Hubbard  </t>
  </si>
  <si>
    <t xml:space="preserve">Isanti  </t>
  </si>
  <si>
    <t xml:space="preserve">Itasca  </t>
  </si>
  <si>
    <t xml:space="preserve">Kanabec  </t>
  </si>
  <si>
    <t xml:space="preserve">Kandiyohi  </t>
  </si>
  <si>
    <t xml:space="preserve">Kittson  </t>
  </si>
  <si>
    <t xml:space="preserve">Koochiching  </t>
  </si>
  <si>
    <t xml:space="preserve">Lac Qui Parle  </t>
  </si>
  <si>
    <t xml:space="preserve">Lake Of The Woods  </t>
  </si>
  <si>
    <t xml:space="preserve">Le Sueur  </t>
  </si>
  <si>
    <t xml:space="preserve">Mahnomen  </t>
  </si>
  <si>
    <t xml:space="preserve">Mcleod  </t>
  </si>
  <si>
    <t xml:space="preserve">Meeker  </t>
  </si>
  <si>
    <t xml:space="preserve">Mille Lacs  </t>
  </si>
  <si>
    <t xml:space="preserve">Morrison  </t>
  </si>
  <si>
    <t xml:space="preserve">Mower  </t>
  </si>
  <si>
    <t xml:space="preserve">Nicollet  </t>
  </si>
  <si>
    <t xml:space="preserve">Nobles  </t>
  </si>
  <si>
    <t xml:space="preserve">Norman  </t>
  </si>
  <si>
    <t xml:space="preserve">Olmsted  </t>
  </si>
  <si>
    <t xml:space="preserve">Otter Tail  </t>
  </si>
  <si>
    <t xml:space="preserve">Pennington  </t>
  </si>
  <si>
    <t xml:space="preserve">Pine  </t>
  </si>
  <si>
    <t xml:space="preserve">Pipestone  </t>
  </si>
  <si>
    <t xml:space="preserve">Ramsey  </t>
  </si>
  <si>
    <t xml:space="preserve">Red Lake  </t>
  </si>
  <si>
    <t xml:space="preserve">Redwood  </t>
  </si>
  <si>
    <t xml:space="preserve">Renville  </t>
  </si>
  <si>
    <t xml:space="preserve">Rock  </t>
  </si>
  <si>
    <t xml:space="preserve">Roseau  </t>
  </si>
  <si>
    <t xml:space="preserve">Saint Louis  </t>
  </si>
  <si>
    <t xml:space="preserve">Sherburne  </t>
  </si>
  <si>
    <t xml:space="preserve">Sibley  </t>
  </si>
  <si>
    <t xml:space="preserve">Stearns  </t>
  </si>
  <si>
    <t xml:space="preserve">Steele  </t>
  </si>
  <si>
    <t xml:space="preserve">Swift  </t>
  </si>
  <si>
    <t xml:space="preserve">Traverse  </t>
  </si>
  <si>
    <t xml:space="preserve">Wabasha  </t>
  </si>
  <si>
    <t xml:space="preserve">Wadena  </t>
  </si>
  <si>
    <t xml:space="preserve">Waseca  </t>
  </si>
  <si>
    <t xml:space="preserve">Watonwan  </t>
  </si>
  <si>
    <t xml:space="preserve">Wilkin  </t>
  </si>
  <si>
    <t xml:space="preserve">Winona  </t>
  </si>
  <si>
    <t xml:space="preserve">Yellow Medicine  </t>
  </si>
  <si>
    <t xml:space="preserve">Alcorn  </t>
  </si>
  <si>
    <t xml:space="preserve">Amite  </t>
  </si>
  <si>
    <t xml:space="preserve">Attala  </t>
  </si>
  <si>
    <t xml:space="preserve">Bolivar  </t>
  </si>
  <si>
    <t xml:space="preserve">Coahoma  </t>
  </si>
  <si>
    <t xml:space="preserve">Copiah  </t>
  </si>
  <si>
    <t xml:space="preserve">Desoto  </t>
  </si>
  <si>
    <t xml:space="preserve">Forrest  </t>
  </si>
  <si>
    <t xml:space="preserve">George  </t>
  </si>
  <si>
    <t xml:space="preserve">Grenada  </t>
  </si>
  <si>
    <t xml:space="preserve">Hinds  </t>
  </si>
  <si>
    <t xml:space="preserve">Humphreys  </t>
  </si>
  <si>
    <t xml:space="preserve">Issaquena  </t>
  </si>
  <si>
    <t xml:space="preserve">Itawamba  </t>
  </si>
  <si>
    <t xml:space="preserve">Kemper  </t>
  </si>
  <si>
    <t xml:space="preserve">Leake  </t>
  </si>
  <si>
    <t xml:space="preserve">Leflore  </t>
  </si>
  <si>
    <t xml:space="preserve">Neshoba  </t>
  </si>
  <si>
    <t xml:space="preserve">Noxubee  </t>
  </si>
  <si>
    <t xml:space="preserve">Oktibbeha  </t>
  </si>
  <si>
    <t xml:space="preserve">Panola  </t>
  </si>
  <si>
    <t xml:space="preserve">Pearl River  </t>
  </si>
  <si>
    <t xml:space="preserve">Pontotoc  </t>
  </si>
  <si>
    <t xml:space="preserve">Prentiss  </t>
  </si>
  <si>
    <t xml:space="preserve">Rankin  </t>
  </si>
  <si>
    <t xml:space="preserve">Sharkey  </t>
  </si>
  <si>
    <t xml:space="preserve">Sunflower  </t>
  </si>
  <si>
    <t xml:space="preserve">Tallahatchie  </t>
  </si>
  <si>
    <t xml:space="preserve">Tate  </t>
  </si>
  <si>
    <t xml:space="preserve">Tippah  </t>
  </si>
  <si>
    <t xml:space="preserve">Tishomingo  </t>
  </si>
  <si>
    <t xml:space="preserve">Tunica  </t>
  </si>
  <si>
    <t xml:space="preserve">Walthall  </t>
  </si>
  <si>
    <t xml:space="preserve">Yalobusha  </t>
  </si>
  <si>
    <t xml:space="preserve">Yazoo  </t>
  </si>
  <si>
    <t xml:space="preserve">Andrew  </t>
  </si>
  <si>
    <t xml:space="preserve">Audrain  </t>
  </si>
  <si>
    <t xml:space="preserve">Bates  </t>
  </si>
  <si>
    <t xml:space="preserve">Bollinger  </t>
  </si>
  <si>
    <t xml:space="preserve">Callaway  </t>
  </si>
  <si>
    <t xml:space="preserve">Cape Girardeau  </t>
  </si>
  <si>
    <t xml:space="preserve">Chariton  </t>
  </si>
  <si>
    <t xml:space="preserve">Cole  </t>
  </si>
  <si>
    <t xml:space="preserve">Cooper  </t>
  </si>
  <si>
    <t xml:space="preserve">Dent  </t>
  </si>
  <si>
    <t xml:space="preserve">Dunklin  </t>
  </si>
  <si>
    <t xml:space="preserve">Gasconade  </t>
  </si>
  <si>
    <t xml:space="preserve">Gentry  </t>
  </si>
  <si>
    <t xml:space="preserve">Hickory  </t>
  </si>
  <si>
    <t xml:space="preserve">Holt  </t>
  </si>
  <si>
    <t xml:space="preserve">Howell  </t>
  </si>
  <si>
    <t xml:space="preserve">Laclede  </t>
  </si>
  <si>
    <t xml:space="preserve">Maries  </t>
  </si>
  <si>
    <t xml:space="preserve">Mcdonald  </t>
  </si>
  <si>
    <t xml:space="preserve">Moniteau  </t>
  </si>
  <si>
    <t xml:space="preserve">New Madrid  </t>
  </si>
  <si>
    <t xml:space="preserve">Nodaway  </t>
  </si>
  <si>
    <t xml:space="preserve">Oregon  </t>
  </si>
  <si>
    <t xml:space="preserve">Ozark  </t>
  </si>
  <si>
    <t xml:space="preserve">Pemiscot  </t>
  </si>
  <si>
    <t xml:space="preserve">Pettis  </t>
  </si>
  <si>
    <t xml:space="preserve">Phelps  </t>
  </si>
  <si>
    <t xml:space="preserve">Platte  </t>
  </si>
  <si>
    <t xml:space="preserve">Ralls  </t>
  </si>
  <si>
    <t xml:space="preserve">Ray  </t>
  </si>
  <si>
    <t xml:space="preserve">Reynolds  </t>
  </si>
  <si>
    <t xml:space="preserve">Saint Francois  </t>
  </si>
  <si>
    <t xml:space="preserve">Saint Louis City  </t>
  </si>
  <si>
    <t xml:space="preserve">Sainte Genevieve  </t>
  </si>
  <si>
    <t xml:space="preserve">Scotland  </t>
  </si>
  <si>
    <t xml:space="preserve">Shannon  </t>
  </si>
  <si>
    <t xml:space="preserve">Stoddard  </t>
  </si>
  <si>
    <t xml:space="preserve">Taney  </t>
  </si>
  <si>
    <t xml:space="preserve">Texas  </t>
  </si>
  <si>
    <t xml:space="preserve">Beaverhead  </t>
  </si>
  <si>
    <t xml:space="preserve">Big Horn  </t>
  </si>
  <si>
    <t xml:space="preserve">Broadwater  </t>
  </si>
  <si>
    <t xml:space="preserve">Carbon  </t>
  </si>
  <si>
    <t xml:space="preserve">Cascade  </t>
  </si>
  <si>
    <t xml:space="preserve">Chouteau  </t>
  </si>
  <si>
    <t xml:space="preserve">Daniels  </t>
  </si>
  <si>
    <t xml:space="preserve">Deer Lodge  </t>
  </si>
  <si>
    <t xml:space="preserve">Fallon  </t>
  </si>
  <si>
    <t xml:space="preserve">Fergus  </t>
  </si>
  <si>
    <t xml:space="preserve">Flathead  </t>
  </si>
  <si>
    <t xml:space="preserve">Glacier  </t>
  </si>
  <si>
    <t xml:space="preserve">Golden Valley  </t>
  </si>
  <si>
    <t xml:space="preserve">Granite  </t>
  </si>
  <si>
    <t xml:space="preserve">Hill  </t>
  </si>
  <si>
    <t xml:space="preserve">Judith Basin  </t>
  </si>
  <si>
    <t xml:space="preserve">Lewis And Clark  </t>
  </si>
  <si>
    <t xml:space="preserve">Mccone  </t>
  </si>
  <si>
    <t xml:space="preserve">Meagher  </t>
  </si>
  <si>
    <t xml:space="preserve">Missoula  </t>
  </si>
  <si>
    <t xml:space="preserve">Musselshell  </t>
  </si>
  <si>
    <t xml:space="preserve">Petroleum  </t>
  </si>
  <si>
    <t xml:space="preserve">Pondera  </t>
  </si>
  <si>
    <t xml:space="preserve">Powder River  </t>
  </si>
  <si>
    <t xml:space="preserve">Ravalli  </t>
  </si>
  <si>
    <t xml:space="preserve">Roosevelt  </t>
  </si>
  <si>
    <t xml:space="preserve">Rosebud  </t>
  </si>
  <si>
    <t xml:space="preserve">Sanders  </t>
  </si>
  <si>
    <t xml:space="preserve">Silver Bow  </t>
  </si>
  <si>
    <t xml:space="preserve">Stillwater  </t>
  </si>
  <si>
    <t xml:space="preserve">Sweet Grass  </t>
  </si>
  <si>
    <t xml:space="preserve">Toole  </t>
  </si>
  <si>
    <t xml:space="preserve">Treasure  </t>
  </si>
  <si>
    <t xml:space="preserve">Wheatland  </t>
  </si>
  <si>
    <t xml:space="preserve">Wibaux  </t>
  </si>
  <si>
    <t xml:space="preserve">Yellowstone  </t>
  </si>
  <si>
    <t xml:space="preserve">Antelope  </t>
  </si>
  <si>
    <t xml:space="preserve">Arthur  </t>
  </si>
  <si>
    <t xml:space="preserve">Banner  </t>
  </si>
  <si>
    <t xml:space="preserve">Box Butte  </t>
  </si>
  <si>
    <t xml:space="preserve">Buffalo  </t>
  </si>
  <si>
    <t xml:space="preserve">Burt  </t>
  </si>
  <si>
    <t xml:space="preserve">Cherry  </t>
  </si>
  <si>
    <t xml:space="preserve">Colfax  </t>
  </si>
  <si>
    <t xml:space="preserve">Cuming  </t>
  </si>
  <si>
    <t xml:space="preserve">Dawes  </t>
  </si>
  <si>
    <t xml:space="preserve">Deuel  </t>
  </si>
  <si>
    <t xml:space="preserve">Dixon  </t>
  </si>
  <si>
    <t xml:space="preserve">Dundy  </t>
  </si>
  <si>
    <t xml:space="preserve">Frontier  </t>
  </si>
  <si>
    <t xml:space="preserve">Furnas  </t>
  </si>
  <si>
    <t xml:space="preserve">Gage  </t>
  </si>
  <si>
    <t xml:space="preserve">Garden  </t>
  </si>
  <si>
    <t xml:space="preserve">Gosper  </t>
  </si>
  <si>
    <t xml:space="preserve">Hayes  </t>
  </si>
  <si>
    <t xml:space="preserve">Hitchcock  </t>
  </si>
  <si>
    <t xml:space="preserve">Hooker  </t>
  </si>
  <si>
    <t xml:space="preserve">Kearney  </t>
  </si>
  <si>
    <t xml:space="preserve">Keith  </t>
  </si>
  <si>
    <t xml:space="preserve">Keya Paha  </t>
  </si>
  <si>
    <t xml:space="preserve">Kimball  </t>
  </si>
  <si>
    <t xml:space="preserve">Lancaster  </t>
  </si>
  <si>
    <t xml:space="preserve">Loup  </t>
  </si>
  <si>
    <t xml:space="preserve">Merrick  </t>
  </si>
  <si>
    <t xml:space="preserve">Morrill  </t>
  </si>
  <si>
    <t xml:space="preserve">Nance  </t>
  </si>
  <si>
    <t xml:space="preserve">Nuckolls  </t>
  </si>
  <si>
    <t xml:space="preserve">Otoe  </t>
  </si>
  <si>
    <t xml:space="preserve">Perkins  </t>
  </si>
  <si>
    <t xml:space="preserve">Red Willow  </t>
  </si>
  <si>
    <t xml:space="preserve">Richardson  </t>
  </si>
  <si>
    <t xml:space="preserve">Sarpy  </t>
  </si>
  <si>
    <t xml:space="preserve">Saunders  </t>
  </si>
  <si>
    <t xml:space="preserve">Scotts Bluff  </t>
  </si>
  <si>
    <t xml:space="preserve">Thayer  </t>
  </si>
  <si>
    <t xml:space="preserve">Thurston  </t>
  </si>
  <si>
    <t xml:space="preserve">Carson City  </t>
  </si>
  <si>
    <t xml:space="preserve">Churchill  </t>
  </si>
  <si>
    <t xml:space="preserve">Elko  </t>
  </si>
  <si>
    <t xml:space="preserve">Esmeralda  </t>
  </si>
  <si>
    <t xml:space="preserve">Eureka  </t>
  </si>
  <si>
    <t xml:space="preserve">Lander  </t>
  </si>
  <si>
    <t xml:space="preserve">Nye  </t>
  </si>
  <si>
    <t xml:space="preserve">Pershing  </t>
  </si>
  <si>
    <t xml:space="preserve">Storey  </t>
  </si>
  <si>
    <t xml:space="preserve">Washoe  </t>
  </si>
  <si>
    <t xml:space="preserve">White Pine  </t>
  </si>
  <si>
    <t xml:space="preserve">Belknap  </t>
  </si>
  <si>
    <t xml:space="preserve">Cheshire  </t>
  </si>
  <si>
    <t xml:space="preserve">Coos  </t>
  </si>
  <si>
    <t xml:space="preserve">Grafton  </t>
  </si>
  <si>
    <t xml:space="preserve">Merrimack  </t>
  </si>
  <si>
    <t xml:space="preserve">Rockingham  </t>
  </si>
  <si>
    <t xml:space="preserve">Strafford  </t>
  </si>
  <si>
    <t xml:space="preserve">Atlantic  </t>
  </si>
  <si>
    <t xml:space="preserve">Bergen  </t>
  </si>
  <si>
    <t xml:space="preserve">Burlington  </t>
  </si>
  <si>
    <t xml:space="preserve">Cape May  </t>
  </si>
  <si>
    <t xml:space="preserve">Gloucester  </t>
  </si>
  <si>
    <t xml:space="preserve">Hudson  </t>
  </si>
  <si>
    <t xml:space="preserve">Hunterdon  </t>
  </si>
  <si>
    <t xml:space="preserve">Monmouth  </t>
  </si>
  <si>
    <t xml:space="preserve">Ocean  </t>
  </si>
  <si>
    <t xml:space="preserve">Passaic  </t>
  </si>
  <si>
    <t xml:space="preserve">Salem  </t>
  </si>
  <si>
    <t xml:space="preserve">Bernalillo  </t>
  </si>
  <si>
    <t xml:space="preserve">Catron  </t>
  </si>
  <si>
    <t xml:space="preserve">Chaves  </t>
  </si>
  <si>
    <t xml:space="preserve">Cibola  </t>
  </si>
  <si>
    <t xml:space="preserve">Curry  </t>
  </si>
  <si>
    <t xml:space="preserve">De Baca  </t>
  </si>
  <si>
    <t xml:space="preserve">Dona Ana  </t>
  </si>
  <si>
    <t xml:space="preserve">Eddy  </t>
  </si>
  <si>
    <t xml:space="preserve">Guadalupe  </t>
  </si>
  <si>
    <t xml:space="preserve">Harding  </t>
  </si>
  <si>
    <t xml:space="preserve">Hidalgo  </t>
  </si>
  <si>
    <t xml:space="preserve">Lea  </t>
  </si>
  <si>
    <t xml:space="preserve">Los Alamos  </t>
  </si>
  <si>
    <t xml:space="preserve">Luna  </t>
  </si>
  <si>
    <t xml:space="preserve">Mckinley  </t>
  </si>
  <si>
    <t xml:space="preserve">Mora  </t>
  </si>
  <si>
    <t xml:space="preserve">Quay  </t>
  </si>
  <si>
    <t xml:space="preserve">Rio Arriba  </t>
  </si>
  <si>
    <t xml:space="preserve">Sandoval  </t>
  </si>
  <si>
    <t xml:space="preserve">Santa Fe  </t>
  </si>
  <si>
    <t xml:space="preserve">Socorro  </t>
  </si>
  <si>
    <t xml:space="preserve">Taos  </t>
  </si>
  <si>
    <t xml:space="preserve">Torrance  </t>
  </si>
  <si>
    <t xml:space="preserve">Valencia  </t>
  </si>
  <si>
    <t xml:space="preserve">Albany  </t>
  </si>
  <si>
    <t xml:space="preserve">Bronx  </t>
  </si>
  <si>
    <t xml:space="preserve">Broome  </t>
  </si>
  <si>
    <t xml:space="preserve">Cattaraugus  </t>
  </si>
  <si>
    <t xml:space="preserve">Cayuga  </t>
  </si>
  <si>
    <t xml:space="preserve">Chemung  </t>
  </si>
  <si>
    <t xml:space="preserve">Chenango  </t>
  </si>
  <si>
    <t xml:space="preserve">Cortland  </t>
  </si>
  <si>
    <t xml:space="preserve">Dutchess  </t>
  </si>
  <si>
    <t xml:space="preserve">Erie  </t>
  </si>
  <si>
    <t xml:space="preserve">Herkimer  </t>
  </si>
  <si>
    <t xml:space="preserve">New York  </t>
  </si>
  <si>
    <t xml:space="preserve">Niagara  </t>
  </si>
  <si>
    <t xml:space="preserve">Onondaga  </t>
  </si>
  <si>
    <t xml:space="preserve">Ontario  </t>
  </si>
  <si>
    <t xml:space="preserve">Oswego  </t>
  </si>
  <si>
    <t xml:space="preserve">Queens  </t>
  </si>
  <si>
    <t xml:space="preserve">Rensselaer  </t>
  </si>
  <si>
    <t xml:space="preserve">Rockland  </t>
  </si>
  <si>
    <t xml:space="preserve">Saint Lawrence  </t>
  </si>
  <si>
    <t xml:space="preserve">Saratoga  </t>
  </si>
  <si>
    <t xml:space="preserve">Schenectady  </t>
  </si>
  <si>
    <t xml:space="preserve">Schoharie  </t>
  </si>
  <si>
    <t xml:space="preserve">Seneca  </t>
  </si>
  <si>
    <t xml:space="preserve">Tioga  </t>
  </si>
  <si>
    <t xml:space="preserve">Tompkins  </t>
  </si>
  <si>
    <t xml:space="preserve">Ulster  </t>
  </si>
  <si>
    <t xml:space="preserve">Westchester  </t>
  </si>
  <si>
    <t xml:space="preserve">Wyoming  </t>
  </si>
  <si>
    <t xml:space="preserve">Yates  </t>
  </si>
  <si>
    <t xml:space="preserve">Alamance  </t>
  </si>
  <si>
    <t xml:space="preserve">Alleghany  </t>
  </si>
  <si>
    <t xml:space="preserve">Anson  </t>
  </si>
  <si>
    <t xml:space="preserve">Ashe  </t>
  </si>
  <si>
    <t xml:space="preserve">Avery  </t>
  </si>
  <si>
    <t xml:space="preserve">Beaufort  </t>
  </si>
  <si>
    <t xml:space="preserve">Bertie  </t>
  </si>
  <si>
    <t xml:space="preserve">Bladen  </t>
  </si>
  <si>
    <t xml:space="preserve">Brunswick  </t>
  </si>
  <si>
    <t xml:space="preserve">Buncombe  </t>
  </si>
  <si>
    <t xml:space="preserve">Cabarrus  </t>
  </si>
  <si>
    <t xml:space="preserve">Carteret  </t>
  </si>
  <si>
    <t xml:space="preserve">Caswell  </t>
  </si>
  <si>
    <t xml:space="preserve">Catawba  </t>
  </si>
  <si>
    <t xml:space="preserve">Chowan  </t>
  </si>
  <si>
    <t xml:space="preserve">Columbus  </t>
  </si>
  <si>
    <t xml:space="preserve">Craven  </t>
  </si>
  <si>
    <t xml:space="preserve">Currituck  </t>
  </si>
  <si>
    <t xml:space="preserve">Dare  </t>
  </si>
  <si>
    <t xml:space="preserve">Davidson  </t>
  </si>
  <si>
    <t xml:space="preserve">Davie  </t>
  </si>
  <si>
    <t xml:space="preserve">Duplin  </t>
  </si>
  <si>
    <t xml:space="preserve">Durham  </t>
  </si>
  <si>
    <t xml:space="preserve">Edgecombe  </t>
  </si>
  <si>
    <t xml:space="preserve">Gaston  </t>
  </si>
  <si>
    <t xml:space="preserve">Gates  </t>
  </si>
  <si>
    <t xml:space="preserve">Granville  </t>
  </si>
  <si>
    <t xml:space="preserve">Guilford  </t>
  </si>
  <si>
    <t xml:space="preserve">Halifax  </t>
  </si>
  <si>
    <t xml:space="preserve">Harnett  </t>
  </si>
  <si>
    <t xml:space="preserve">Haywood  </t>
  </si>
  <si>
    <t xml:space="preserve">Hertford  </t>
  </si>
  <si>
    <t xml:space="preserve">Hoke  </t>
  </si>
  <si>
    <t xml:space="preserve">Hyde  </t>
  </si>
  <si>
    <t xml:space="preserve">Iredell  </t>
  </si>
  <si>
    <t xml:space="preserve">Johnston  </t>
  </si>
  <si>
    <t xml:space="preserve">Lenoir  </t>
  </si>
  <si>
    <t xml:space="preserve">Mcdowell  </t>
  </si>
  <si>
    <t xml:space="preserve">Mecklenburg  </t>
  </si>
  <si>
    <t xml:space="preserve">Moore  </t>
  </si>
  <si>
    <t xml:space="preserve">Nash  </t>
  </si>
  <si>
    <t xml:space="preserve">New Hanover  </t>
  </si>
  <si>
    <t xml:space="preserve">Northampton  </t>
  </si>
  <si>
    <t xml:space="preserve">Onslow  </t>
  </si>
  <si>
    <t xml:space="preserve">Pamlico  </t>
  </si>
  <si>
    <t xml:space="preserve">Pasquotank  </t>
  </si>
  <si>
    <t xml:space="preserve">Pender  </t>
  </si>
  <si>
    <t xml:space="preserve">Perquimans  </t>
  </si>
  <si>
    <t xml:space="preserve">Person  </t>
  </si>
  <si>
    <t xml:space="preserve">Pitt  </t>
  </si>
  <si>
    <t xml:space="preserve">Robeson  </t>
  </si>
  <si>
    <t xml:space="preserve">Rutherford  </t>
  </si>
  <si>
    <t xml:space="preserve">Sampson  </t>
  </si>
  <si>
    <t xml:space="preserve">Stanly  </t>
  </si>
  <si>
    <t xml:space="preserve">Stokes  </t>
  </si>
  <si>
    <t xml:space="preserve">Surry  </t>
  </si>
  <si>
    <t xml:space="preserve">Swain  </t>
  </si>
  <si>
    <t xml:space="preserve">Transylvania  </t>
  </si>
  <si>
    <t xml:space="preserve">Tyrrell  </t>
  </si>
  <si>
    <t xml:space="preserve">Vance  </t>
  </si>
  <si>
    <t xml:space="preserve">Wake  </t>
  </si>
  <si>
    <t xml:space="preserve">Watauga  </t>
  </si>
  <si>
    <t xml:space="preserve">Yadkin  </t>
  </si>
  <si>
    <t xml:space="preserve">Yancey  </t>
  </si>
  <si>
    <t xml:space="preserve">Barnes  </t>
  </si>
  <si>
    <t xml:space="preserve">Benson  </t>
  </si>
  <si>
    <t xml:space="preserve">Billings  </t>
  </si>
  <si>
    <t xml:space="preserve">Bottineau  </t>
  </si>
  <si>
    <t xml:space="preserve">Bowman  </t>
  </si>
  <si>
    <t xml:space="preserve">Burleigh  </t>
  </si>
  <si>
    <t xml:space="preserve">Cavalier  </t>
  </si>
  <si>
    <t xml:space="preserve">Dickey  </t>
  </si>
  <si>
    <t xml:space="preserve">Divide  </t>
  </si>
  <si>
    <t xml:space="preserve">Dunn  </t>
  </si>
  <si>
    <t xml:space="preserve">Emmons  </t>
  </si>
  <si>
    <t xml:space="preserve">Foster  </t>
  </si>
  <si>
    <t xml:space="preserve">Grand Forks  </t>
  </si>
  <si>
    <t xml:space="preserve">Griggs  </t>
  </si>
  <si>
    <t xml:space="preserve">Hettinger  </t>
  </si>
  <si>
    <t xml:space="preserve">Kidder  </t>
  </si>
  <si>
    <t xml:space="preserve">Lamoure  </t>
  </si>
  <si>
    <t xml:space="preserve">Mckenzie  </t>
  </si>
  <si>
    <t xml:space="preserve">Mountrail  </t>
  </si>
  <si>
    <t xml:space="preserve">Oliver  </t>
  </si>
  <si>
    <t xml:space="preserve">Pembina  </t>
  </si>
  <si>
    <t xml:space="preserve">Ransom  </t>
  </si>
  <si>
    <t xml:space="preserve">Rolette  </t>
  </si>
  <si>
    <t xml:space="preserve">Sargent  </t>
  </si>
  <si>
    <t xml:space="preserve">Slope  </t>
  </si>
  <si>
    <t xml:space="preserve">Stutsman  </t>
  </si>
  <si>
    <t xml:space="preserve">Towner  </t>
  </si>
  <si>
    <t xml:space="preserve">Traill  </t>
  </si>
  <si>
    <t xml:space="preserve">Walsh  </t>
  </si>
  <si>
    <t xml:space="preserve">Ward  </t>
  </si>
  <si>
    <t xml:space="preserve">Williams  </t>
  </si>
  <si>
    <t xml:space="preserve">Northern Mariana Islands  </t>
  </si>
  <si>
    <t xml:space="preserve">Ashland  </t>
  </si>
  <si>
    <t xml:space="preserve">Ashtabula  </t>
  </si>
  <si>
    <t xml:space="preserve">Athens  </t>
  </si>
  <si>
    <t xml:space="preserve">Auglaize  </t>
  </si>
  <si>
    <t xml:space="preserve">Belmont  </t>
  </si>
  <si>
    <t xml:space="preserve">Clermont  </t>
  </si>
  <si>
    <t xml:space="preserve">Columbiana  </t>
  </si>
  <si>
    <t xml:space="preserve">Coshocton  </t>
  </si>
  <si>
    <t xml:space="preserve">Cuyahoga  </t>
  </si>
  <si>
    <t xml:space="preserve">Darke  </t>
  </si>
  <si>
    <t xml:space="preserve">Defiance  </t>
  </si>
  <si>
    <t xml:space="preserve">Gallia  </t>
  </si>
  <si>
    <t xml:space="preserve">Geauga  </t>
  </si>
  <si>
    <t xml:space="preserve">Guernsey  </t>
  </si>
  <si>
    <t xml:space="preserve">Highland  </t>
  </si>
  <si>
    <t xml:space="preserve">Hocking  </t>
  </si>
  <si>
    <t xml:space="preserve">Licking  </t>
  </si>
  <si>
    <t xml:space="preserve">Lorain  </t>
  </si>
  <si>
    <t xml:space="preserve">Mahoning  </t>
  </si>
  <si>
    <t xml:space="preserve">Medina  </t>
  </si>
  <si>
    <t xml:space="preserve">Meigs  </t>
  </si>
  <si>
    <t xml:space="preserve">Morrow  </t>
  </si>
  <si>
    <t xml:space="preserve">Muskingum  </t>
  </si>
  <si>
    <t xml:space="preserve">Pickaway  </t>
  </si>
  <si>
    <t xml:space="preserve">Portage  </t>
  </si>
  <si>
    <t xml:space="preserve">Preble  </t>
  </si>
  <si>
    <t xml:space="preserve">Ross  </t>
  </si>
  <si>
    <t xml:space="preserve">Sandusky  </t>
  </si>
  <si>
    <t xml:space="preserve">Scioto  </t>
  </si>
  <si>
    <t xml:space="preserve">Trumbull  </t>
  </si>
  <si>
    <t xml:space="preserve">Tuscarawas  </t>
  </si>
  <si>
    <t xml:space="preserve">Van Wert  </t>
  </si>
  <si>
    <t xml:space="preserve">Vinton  </t>
  </si>
  <si>
    <t xml:space="preserve">Wood  </t>
  </si>
  <si>
    <t xml:space="preserve">Wyandot  </t>
  </si>
  <si>
    <t xml:space="preserve">Alfalfa  </t>
  </si>
  <si>
    <t xml:space="preserve">Atoka  </t>
  </si>
  <si>
    <t xml:space="preserve">Beaver  </t>
  </si>
  <si>
    <t xml:space="preserve">Beckham  </t>
  </si>
  <si>
    <t xml:space="preserve">Canadian  </t>
  </si>
  <si>
    <t xml:space="preserve">Cimarron  </t>
  </si>
  <si>
    <t xml:space="preserve">Coal  </t>
  </si>
  <si>
    <t xml:space="preserve">Cotton  </t>
  </si>
  <si>
    <t xml:space="preserve">Craig  </t>
  </si>
  <si>
    <t xml:space="preserve">Creek  </t>
  </si>
  <si>
    <t xml:space="preserve">Dewey  </t>
  </si>
  <si>
    <t xml:space="preserve">Garvin  </t>
  </si>
  <si>
    <t xml:space="preserve">Greer  </t>
  </si>
  <si>
    <t xml:space="preserve">Harmon  </t>
  </si>
  <si>
    <t xml:space="preserve">Hughes  </t>
  </si>
  <si>
    <t xml:space="preserve">Kay  </t>
  </si>
  <si>
    <t xml:space="preserve">Kingfisher  </t>
  </si>
  <si>
    <t xml:space="preserve">Latimer  </t>
  </si>
  <si>
    <t xml:space="preserve">Le Flore  </t>
  </si>
  <si>
    <t xml:space="preserve">Love  </t>
  </si>
  <si>
    <t xml:space="preserve">Major  </t>
  </si>
  <si>
    <t xml:space="preserve">Mayes  </t>
  </si>
  <si>
    <t xml:space="preserve">Mcclain  </t>
  </si>
  <si>
    <t xml:space="preserve">Mccurtain  </t>
  </si>
  <si>
    <t xml:space="preserve">Muskogee  </t>
  </si>
  <si>
    <t xml:space="preserve">Nowata  </t>
  </si>
  <si>
    <t xml:space="preserve">Okfuskee  </t>
  </si>
  <si>
    <t xml:space="preserve">Oklahoma  </t>
  </si>
  <si>
    <t xml:space="preserve">Okmulgee  </t>
  </si>
  <si>
    <t xml:space="preserve">Payne  </t>
  </si>
  <si>
    <t xml:space="preserve">Pittsburg  </t>
  </si>
  <si>
    <t xml:space="preserve">Pushmataha  </t>
  </si>
  <si>
    <t xml:space="preserve">Roger Mills  </t>
  </si>
  <si>
    <t xml:space="preserve">Rogers  </t>
  </si>
  <si>
    <t xml:space="preserve">Sequoyah  </t>
  </si>
  <si>
    <t xml:space="preserve">Tillman  </t>
  </si>
  <si>
    <t xml:space="preserve">Tulsa  </t>
  </si>
  <si>
    <t xml:space="preserve">Wagoner  </t>
  </si>
  <si>
    <t xml:space="preserve">Washita  </t>
  </si>
  <si>
    <t xml:space="preserve">Woods  </t>
  </si>
  <si>
    <t xml:space="preserve">Woodward  </t>
  </si>
  <si>
    <t xml:space="preserve">Clackamas  </t>
  </si>
  <si>
    <t xml:space="preserve">Clatsop  </t>
  </si>
  <si>
    <t xml:space="preserve">Crook  </t>
  </si>
  <si>
    <t xml:space="preserve">Deschutes  </t>
  </si>
  <si>
    <t xml:space="preserve">Gilliam  </t>
  </si>
  <si>
    <t xml:space="preserve">Harney  </t>
  </si>
  <si>
    <t xml:space="preserve">Hood River  </t>
  </si>
  <si>
    <t xml:space="preserve">Josephine  </t>
  </si>
  <si>
    <t xml:space="preserve">Klamath  </t>
  </si>
  <si>
    <t xml:space="preserve">Malheur  </t>
  </si>
  <si>
    <t xml:space="preserve">Multnomah  </t>
  </si>
  <si>
    <t xml:space="preserve">Tillamook  </t>
  </si>
  <si>
    <t xml:space="preserve">Umatilla  </t>
  </si>
  <si>
    <t xml:space="preserve">Wallowa  </t>
  </si>
  <si>
    <t xml:space="preserve">Wasco  </t>
  </si>
  <si>
    <t xml:space="preserve">Yamhill  </t>
  </si>
  <si>
    <t xml:space="preserve">Allegheny  </t>
  </si>
  <si>
    <t xml:space="preserve">Armstrong  </t>
  </si>
  <si>
    <t xml:space="preserve">Bedford  </t>
  </si>
  <si>
    <t xml:space="preserve">Berks  </t>
  </si>
  <si>
    <t xml:space="preserve">Blair  </t>
  </si>
  <si>
    <t xml:space="preserve">Bucks  </t>
  </si>
  <si>
    <t xml:space="preserve">Cambria  </t>
  </si>
  <si>
    <t xml:space="preserve">Centre  </t>
  </si>
  <si>
    <t xml:space="preserve">Chester  </t>
  </si>
  <si>
    <t xml:space="preserve">Clarion  </t>
  </si>
  <si>
    <t xml:space="preserve">Clearfield  </t>
  </si>
  <si>
    <t xml:space="preserve">Dauphin  </t>
  </si>
  <si>
    <t xml:space="preserve">Forest  </t>
  </si>
  <si>
    <t xml:space="preserve">Huntingdon  </t>
  </si>
  <si>
    <t xml:space="preserve">Indiana  </t>
  </si>
  <si>
    <t xml:space="preserve">Juniata  </t>
  </si>
  <si>
    <t xml:space="preserve">Lackawanna  </t>
  </si>
  <si>
    <t xml:space="preserve">Lebanon  </t>
  </si>
  <si>
    <t xml:space="preserve">Lehigh  </t>
  </si>
  <si>
    <t xml:space="preserve">Luzerne  </t>
  </si>
  <si>
    <t xml:space="preserve">Lycoming  </t>
  </si>
  <si>
    <t xml:space="preserve">Mckean  </t>
  </si>
  <si>
    <t xml:space="preserve">Mifflin  </t>
  </si>
  <si>
    <t xml:space="preserve">Montour  </t>
  </si>
  <si>
    <t xml:space="preserve">Northumberland  </t>
  </si>
  <si>
    <t xml:space="preserve">Philadelphia  </t>
  </si>
  <si>
    <t xml:space="preserve">Potter  </t>
  </si>
  <si>
    <t xml:space="preserve">Schuylkill  </t>
  </si>
  <si>
    <t xml:space="preserve">Snyder  </t>
  </si>
  <si>
    <t xml:space="preserve">Susquehanna  </t>
  </si>
  <si>
    <t xml:space="preserve">Venango  </t>
  </si>
  <si>
    <t xml:space="preserve">Westmoreland  </t>
  </si>
  <si>
    <t xml:space="preserve">Newport  </t>
  </si>
  <si>
    <t xml:space="preserve">Providence  </t>
  </si>
  <si>
    <t xml:space="preserve">Abbeville  </t>
  </si>
  <si>
    <t xml:space="preserve">Aiken  </t>
  </si>
  <si>
    <t xml:space="preserve">Allendale  </t>
  </si>
  <si>
    <t xml:space="preserve">Bamberg  </t>
  </si>
  <si>
    <t xml:space="preserve">Barnwell  </t>
  </si>
  <si>
    <t xml:space="preserve">Berkeley  </t>
  </si>
  <si>
    <t xml:space="preserve">Charleston  </t>
  </si>
  <si>
    <t xml:space="preserve">Chesterfield  </t>
  </si>
  <si>
    <t xml:space="preserve">Clarendon  </t>
  </si>
  <si>
    <t xml:space="preserve">Colleton  </t>
  </si>
  <si>
    <t xml:space="preserve">Darlington  </t>
  </si>
  <si>
    <t xml:space="preserve">Dillon  </t>
  </si>
  <si>
    <t xml:space="preserve">Edgefield  </t>
  </si>
  <si>
    <t xml:space="preserve">Florence  </t>
  </si>
  <si>
    <t xml:space="preserve">Georgetown  </t>
  </si>
  <si>
    <t xml:space="preserve">Greenville  </t>
  </si>
  <si>
    <t xml:space="preserve">Hampton  </t>
  </si>
  <si>
    <t xml:space="preserve">Horry  </t>
  </si>
  <si>
    <t xml:space="preserve">Kershaw  </t>
  </si>
  <si>
    <t xml:space="preserve">Lexington  </t>
  </si>
  <si>
    <t xml:space="preserve">Marlboro  </t>
  </si>
  <si>
    <t xml:space="preserve">Mccormick  </t>
  </si>
  <si>
    <t xml:space="preserve">Newberry  </t>
  </si>
  <si>
    <t xml:space="preserve">Orangeburg  </t>
  </si>
  <si>
    <t xml:space="preserve">Saluda  </t>
  </si>
  <si>
    <t xml:space="preserve">Spartanburg  </t>
  </si>
  <si>
    <t xml:space="preserve">Williamsburg  </t>
  </si>
  <si>
    <t xml:space="preserve">Aurora  </t>
  </si>
  <si>
    <t xml:space="preserve">Beadle  </t>
  </si>
  <si>
    <t xml:space="preserve">Bennett  </t>
  </si>
  <si>
    <t xml:space="preserve">Bon Homme  </t>
  </si>
  <si>
    <t xml:space="preserve">Brookings  </t>
  </si>
  <si>
    <t xml:space="preserve">Brule  </t>
  </si>
  <si>
    <t xml:space="preserve">Charles Mix  </t>
  </si>
  <si>
    <t xml:space="preserve">Codington  </t>
  </si>
  <si>
    <t xml:space="preserve">Corson  </t>
  </si>
  <si>
    <t xml:space="preserve">Davison  </t>
  </si>
  <si>
    <t xml:space="preserve">Day  </t>
  </si>
  <si>
    <t xml:space="preserve">Edmunds  </t>
  </si>
  <si>
    <t xml:space="preserve">Fall River  </t>
  </si>
  <si>
    <t xml:space="preserve">Faulk  </t>
  </si>
  <si>
    <t xml:space="preserve">Gregory  </t>
  </si>
  <si>
    <t xml:space="preserve">Haakon  </t>
  </si>
  <si>
    <t xml:space="preserve">Hamlin  </t>
  </si>
  <si>
    <t xml:space="preserve">Hand  </t>
  </si>
  <si>
    <t xml:space="preserve">Hanson  </t>
  </si>
  <si>
    <t xml:space="preserve">Hutchinson  </t>
  </si>
  <si>
    <t xml:space="preserve">Jerauld  </t>
  </si>
  <si>
    <t xml:space="preserve">Kingsbury  </t>
  </si>
  <si>
    <t xml:space="preserve">Lyman  </t>
  </si>
  <si>
    <t xml:space="preserve">Mccook  </t>
  </si>
  <si>
    <t xml:space="preserve">Mellette  </t>
  </si>
  <si>
    <t xml:space="preserve">Miner  </t>
  </si>
  <si>
    <t xml:space="preserve">Minnehaha  </t>
  </si>
  <si>
    <t xml:space="preserve">Moody  </t>
  </si>
  <si>
    <t xml:space="preserve">Roberts  </t>
  </si>
  <si>
    <t xml:space="preserve">Sanborn  </t>
  </si>
  <si>
    <t xml:space="preserve">Spink  </t>
  </si>
  <si>
    <t xml:space="preserve">Stanley  </t>
  </si>
  <si>
    <t xml:space="preserve">Sully  </t>
  </si>
  <si>
    <t xml:space="preserve">Tripp  </t>
  </si>
  <si>
    <t xml:space="preserve">Walworth  </t>
  </si>
  <si>
    <t xml:space="preserve">Yankton  </t>
  </si>
  <si>
    <t xml:space="preserve">Ziebach  </t>
  </si>
  <si>
    <t xml:space="preserve">Bledsoe  </t>
  </si>
  <si>
    <t xml:space="preserve">Cannon  </t>
  </si>
  <si>
    <t xml:space="preserve">Cheatham  </t>
  </si>
  <si>
    <t xml:space="preserve">Cocke  </t>
  </si>
  <si>
    <t xml:space="preserve">Crockett  </t>
  </si>
  <si>
    <t xml:space="preserve">Dickson  </t>
  </si>
  <si>
    <t xml:space="preserve">Dyer  </t>
  </si>
  <si>
    <t xml:space="preserve">Fentress  </t>
  </si>
  <si>
    <t xml:space="preserve">Giles  </t>
  </si>
  <si>
    <t xml:space="preserve">Grainger  </t>
  </si>
  <si>
    <t xml:space="preserve">Hamblen  </t>
  </si>
  <si>
    <t xml:space="preserve">Hardeman  </t>
  </si>
  <si>
    <t xml:space="preserve">Hawkins  </t>
  </si>
  <si>
    <t xml:space="preserve">Loudon  </t>
  </si>
  <si>
    <t xml:space="preserve">Maury  </t>
  </si>
  <si>
    <t xml:space="preserve">Mcminn  </t>
  </si>
  <si>
    <t xml:space="preserve">Mcnairy  </t>
  </si>
  <si>
    <t xml:space="preserve">Obion  </t>
  </si>
  <si>
    <t xml:space="preserve">Overton  </t>
  </si>
  <si>
    <t xml:space="preserve">Pickett  </t>
  </si>
  <si>
    <t xml:space="preserve">Rhea  </t>
  </si>
  <si>
    <t xml:space="preserve">Roane  </t>
  </si>
  <si>
    <t xml:space="preserve">Sequatchie  </t>
  </si>
  <si>
    <t xml:space="preserve">Trousdale  </t>
  </si>
  <si>
    <t xml:space="preserve">Unicoi  </t>
  </si>
  <si>
    <t xml:space="preserve">Weakley  </t>
  </si>
  <si>
    <t xml:space="preserve">Andrews  </t>
  </si>
  <si>
    <t xml:space="preserve">Angelina  </t>
  </si>
  <si>
    <t xml:space="preserve">Aransas  </t>
  </si>
  <si>
    <t xml:space="preserve">Archer  </t>
  </si>
  <si>
    <t xml:space="preserve">Atascosa  </t>
  </si>
  <si>
    <t xml:space="preserve">Austin  </t>
  </si>
  <si>
    <t xml:space="preserve">Bailey  </t>
  </si>
  <si>
    <t xml:space="preserve">Bandera  </t>
  </si>
  <si>
    <t xml:space="preserve">Bastrop  </t>
  </si>
  <si>
    <t xml:space="preserve">Baylor  </t>
  </si>
  <si>
    <t xml:space="preserve">Bee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</si>
  <si>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</si>
  <si>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</si>
  <si>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</si>
  <si>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</si>
  <si>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</si>
  <si>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</si>
  <si>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</si>
  <si>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</si>
  <si>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</si>
  <si>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Burleson  </t>
  </si>
  <si>
    <t xml:space="preserve">Burnet  </t>
  </si>
  <si>
    <t xml:space="preserve">Callahan  </t>
  </si>
  <si>
    <t xml:space="preserve">Camp  </t>
  </si>
  <si>
    <t xml:space="preserve">Carson  </t>
  </si>
  <si>
    <t xml:space="preserve">Castro  </t>
  </si>
  <si>
    <t xml:space="preserve">Childress  </t>
  </si>
  <si>
    <t xml:space="preserve">Cochran  </t>
  </si>
  <si>
    <t xml:space="preserve">Coke  </t>
  </si>
  <si>
    <t xml:space="preserve">Coleman  </t>
  </si>
  <si>
    <t xml:space="preserve">Collin  </t>
  </si>
  <si>
    <t xml:space="preserve">Collingsworth  </t>
  </si>
  <si>
    <t xml:space="preserve">Colorado  </t>
  </si>
  <si>
    <t xml:space="preserve">Comal  </t>
  </si>
  <si>
    <t xml:space="preserve">Concho  </t>
  </si>
  <si>
    <t xml:space="preserve">Cooke  </t>
  </si>
  <si>
    <t xml:space="preserve">Coryell  </t>
  </si>
  <si>
    <t xml:space="preserve">Cottle  </t>
  </si>
  <si>
    <t xml:space="preserve">Crane  </t>
  </si>
  <si>
    <t xml:space="preserve">Crosby  </t>
  </si>
  <si>
    <t xml:space="preserve">Culberson  </t>
  </si>
  <si>
    <t xml:space="preserve">Dallam  </t>
  </si>
  <si>
    <t xml:space="preserve">De Witt  </t>
  </si>
  <si>
    <t xml:space="preserve">Deaf Smith  </t>
  </si>
  <si>
    <t xml:space="preserve">Denton  </t>
  </si>
  <si>
    <t xml:space="preserve">Dickens  </t>
  </si>
  <si>
    <t xml:space="preserve">Dimmit  </t>
  </si>
  <si>
    <t xml:space="preserve">Donley  </t>
  </si>
  <si>
    <t xml:space="preserve">Eastland  </t>
  </si>
  <si>
    <t xml:space="preserve">Ector  </t>
  </si>
  <si>
    <t xml:space="preserve">Erath  </t>
  </si>
  <si>
    <t xml:space="preserve">Falls  </t>
  </si>
  <si>
    <t xml:space="preserve">Fisher  </t>
  </si>
  <si>
    <t xml:space="preserve">Foard  </t>
  </si>
  <si>
    <t xml:space="preserve">Fort Bend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</si>
  <si>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</si>
  <si>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</si>
  <si>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</si>
  <si>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</si>
  <si>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</si>
  <si>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</si>
  <si>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</si>
  <si>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</si>
  <si>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</si>
  <si>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Gregg  </t>
  </si>
  <si>
    <t xml:space="preserve">Grimes  </t>
  </si>
  <si>
    <t xml:space="preserve">Hansford  </t>
  </si>
  <si>
    <t xml:space="preserve">Hartley  </t>
  </si>
  <si>
    <t xml:space="preserve">Hays  </t>
  </si>
  <si>
    <t xml:space="preserve">Hemphill  </t>
  </si>
  <si>
    <t xml:space="preserve">Hockley  </t>
  </si>
  <si>
    <t xml:space="preserve">Hood  </t>
  </si>
  <si>
    <t xml:space="preserve">Hudspeth  </t>
  </si>
  <si>
    <t xml:space="preserve">Hunt  </t>
  </si>
  <si>
    <t xml:space="preserve">Irion  </t>
  </si>
  <si>
    <t xml:space="preserve">Jack  </t>
  </si>
  <si>
    <t xml:space="preserve">Jim Hogg  </t>
  </si>
  <si>
    <t xml:space="preserve">Jim Wells  </t>
  </si>
  <si>
    <t xml:space="preserve">Karnes  </t>
  </si>
  <si>
    <t xml:space="preserve">Kaufman  </t>
  </si>
  <si>
    <t xml:space="preserve">Kenedy  </t>
  </si>
  <si>
    <t xml:space="preserve">Kerr  </t>
  </si>
  <si>
    <t xml:space="preserve">Kimble  </t>
  </si>
  <si>
    <t xml:space="preserve">King  </t>
  </si>
  <si>
    <t xml:space="preserve">Kinney  </t>
  </si>
  <si>
    <t xml:space="preserve">Kleberg  </t>
  </si>
  <si>
    <t xml:space="preserve">Lamb  </t>
  </si>
  <si>
    <t xml:space="preserve">Lampasas  </t>
  </si>
  <si>
    <t xml:space="preserve">Lavaca  </t>
  </si>
  <si>
    <t xml:space="preserve">Lipscomb  </t>
  </si>
  <si>
    <t xml:space="preserve">Live Oak  </t>
  </si>
  <si>
    <t xml:space="preserve">Llano  </t>
  </si>
  <si>
    <t xml:space="preserve">Loving  </t>
  </si>
  <si>
    <t xml:space="preserve">Lubbock  </t>
  </si>
  <si>
    <t xml:space="preserve">Lynn  </t>
  </si>
  <si>
    <t xml:space="preserve">Matagorda  </t>
  </si>
  <si>
    <t xml:space="preserve">Maverick  </t>
  </si>
  <si>
    <t xml:space="preserve">Mcculloch  </t>
  </si>
  <si>
    <t xml:space="preserve">Mclennan  </t>
  </si>
  <si>
    <t xml:space="preserve">Mcmullen  </t>
  </si>
  <si>
    <t xml:space="preserve">Milam  </t>
  </si>
  <si>
    <t xml:space="preserve">Montague  </t>
  </si>
  <si>
    <t xml:space="preserve">Motley  </t>
  </si>
  <si>
    <t xml:space="preserve">Nacogdoches  </t>
  </si>
  <si>
    <t xml:space="preserve">Navarro  </t>
  </si>
  <si>
    <t xml:space="preserve">Nolan  </t>
  </si>
  <si>
    <t xml:space="preserve">Nueces  </t>
  </si>
  <si>
    <t xml:space="preserve">Ochiltree  </t>
  </si>
  <si>
    <t xml:space="preserve">Palo Pinto  </t>
  </si>
  <si>
    <t xml:space="preserve">Parker  </t>
  </si>
  <si>
    <t xml:space="preserve">Parmer  </t>
  </si>
  <si>
    <t xml:space="preserve">Pecos  </t>
  </si>
  <si>
    <t xml:space="preserve">Presidio  </t>
  </si>
  <si>
    <t xml:space="preserve">Rains  </t>
  </si>
  <si>
    <t xml:space="preserve">Randall  </t>
  </si>
  <si>
    <t xml:space="preserve">Reagan  </t>
  </si>
  <si>
    <t xml:space="preserve">Real  </t>
  </si>
  <si>
    <t xml:space="preserve">Reeves  </t>
  </si>
  <si>
    <t xml:space="preserve">Refugio  </t>
  </si>
  <si>
    <t xml:space="preserve">Rockwall  </t>
  </si>
  <si>
    <t xml:space="preserve">Runnels  </t>
  </si>
  <si>
    <t xml:space="preserve">Rusk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</si>
  <si>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</si>
  <si>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</si>
  <si>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</si>
  <si>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</si>
  <si>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</si>
  <si>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</si>
  <si>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</si>
  <si>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Somervell  </t>
  </si>
  <si>
    <t xml:space="preserve">Starr  </t>
  </si>
  <si>
    <t xml:space="preserve">Sterling  </t>
  </si>
  <si>
    <t xml:space="preserve">Stonewall  </t>
  </si>
  <si>
    <t xml:space="preserve">Sutton  </t>
  </si>
  <si>
    <t xml:space="preserve">Swisher  </t>
  </si>
  <si>
    <t xml:space="preserve">Tarrant  </t>
  </si>
  <si>
    <t xml:space="preserve">Terry  </t>
  </si>
  <si>
    <t xml:space="preserve">Throckmorton  </t>
  </si>
  <si>
    <t xml:space="preserve">Titus  </t>
  </si>
  <si>
    <t xml:space="preserve">Tom Green  </t>
  </si>
  <si>
    <t xml:space="preserve">Travis  </t>
  </si>
  <si>
    <t xml:space="preserve">Tyler  </t>
  </si>
  <si>
    <t xml:space="preserve">Upshur  </t>
  </si>
  <si>
    <t xml:space="preserve">Upton  </t>
  </si>
  <si>
    <t xml:space="preserve">Uvalde  </t>
  </si>
  <si>
    <t xml:space="preserve">Val Verde  </t>
  </si>
  <si>
    <t xml:space="preserve">Van Zandt  </t>
  </si>
  <si>
    <t xml:space="preserve">Victoria  </t>
  </si>
  <si>
    <t xml:space="preserve">Waller  </t>
  </si>
  <si>
    <t xml:space="preserve">Webb  </t>
  </si>
  <si>
    <t xml:space="preserve">Wharton  </t>
  </si>
  <si>
    <t xml:space="preserve">Wilbarger  </t>
  </si>
  <si>
    <t xml:space="preserve">Willacy  </t>
  </si>
  <si>
    <t xml:space="preserve">Winkler  </t>
  </si>
  <si>
    <t xml:space="preserve">Wise  </t>
  </si>
  <si>
    <t xml:space="preserve">Yoakum  </t>
  </si>
  <si>
    <t xml:space="preserve">Young  </t>
  </si>
  <si>
    <t xml:space="preserve">Zapata  </t>
  </si>
  <si>
    <t xml:space="preserve">Zavala  </t>
  </si>
  <si>
    <t xml:space="preserve">Box Elder  </t>
  </si>
  <si>
    <t xml:space="preserve">Cache  </t>
  </si>
  <si>
    <t xml:space="preserve">Daggett  </t>
  </si>
  <si>
    <t xml:space="preserve">Duchesne  </t>
  </si>
  <si>
    <t xml:space="preserve">Emery  </t>
  </si>
  <si>
    <t xml:space="preserve">Juab  </t>
  </si>
  <si>
    <t xml:space="preserve">Millard  </t>
  </si>
  <si>
    <t xml:space="preserve">Piute  </t>
  </si>
  <si>
    <t xml:space="preserve">Rich  </t>
  </si>
  <si>
    <t xml:space="preserve">Salt Lake  </t>
  </si>
  <si>
    <t xml:space="preserve">Sanpete  </t>
  </si>
  <si>
    <t xml:space="preserve">Tooele  </t>
  </si>
  <si>
    <t xml:space="preserve">Uintah  </t>
  </si>
  <si>
    <t xml:space="preserve">Utah  </t>
  </si>
  <si>
    <t xml:space="preserve">Wasatch  </t>
  </si>
  <si>
    <t xml:space="preserve">Weber  </t>
  </si>
  <si>
    <t xml:space="preserve">Addison  </t>
  </si>
  <si>
    <t xml:space="preserve">Bennington  </t>
  </si>
  <si>
    <t xml:space="preserve">Caledonia  </t>
  </si>
  <si>
    <t xml:space="preserve">Chittenden  </t>
  </si>
  <si>
    <t xml:space="preserve">Grand Isle  </t>
  </si>
  <si>
    <t xml:space="preserve">Lamoille  </t>
  </si>
  <si>
    <t xml:space="preserve">Rutland  </t>
  </si>
  <si>
    <t xml:space="preserve">Windsor  </t>
  </si>
  <si>
    <t xml:space="preserve">Virgin Islands  </t>
  </si>
  <si>
    <t xml:space="preserve">Accomack  </t>
  </si>
  <si>
    <t xml:space="preserve">Albemarle  </t>
  </si>
  <si>
    <t xml:space="preserve">Alexandria City  </t>
  </si>
  <si>
    <t xml:space="preserve">Amelia  </t>
  </si>
  <si>
    <t xml:space="preserve">Amherst  </t>
  </si>
  <si>
    <t xml:space="preserve">Appomattox  </t>
  </si>
  <si>
    <t xml:space="preserve">Arlington  </t>
  </si>
  <si>
    <t xml:space="preserve">Augusta  </t>
  </si>
  <si>
    <t xml:space="preserve">Bland  </t>
  </si>
  <si>
    <t xml:space="preserve">Botetourt  </t>
  </si>
  <si>
    <t xml:space="preserve">Bristol City  </t>
  </si>
  <si>
    <t xml:space="preserve">Buckingham  </t>
  </si>
  <si>
    <t xml:space="preserve">Buena Vista City  </t>
  </si>
  <si>
    <t xml:space="preserve">Charles City  </t>
  </si>
  <si>
    <t xml:space="preserve">Charlottesville City  </t>
  </si>
  <si>
    <t xml:space="preserve">Chesapeake City  </t>
  </si>
  <si>
    <t xml:space="preserve">Colonial Heights City  </t>
  </si>
  <si>
    <t xml:space="preserve">Covington City  </t>
  </si>
  <si>
    <t xml:space="preserve">Culpeper  </t>
  </si>
  <si>
    <t xml:space="preserve">Danville City  </t>
  </si>
  <si>
    <t xml:space="preserve">Dickenson  </t>
  </si>
  <si>
    <t xml:space="preserve">Dinwiddie  </t>
  </si>
  <si>
    <t xml:space="preserve">Fairfax  </t>
  </si>
  <si>
    <t xml:space="preserve">Fairfax City  </t>
  </si>
  <si>
    <t xml:space="preserve">Falls Church City  </t>
  </si>
  <si>
    <t xml:space="preserve">Fauquier  </t>
  </si>
  <si>
    <t xml:space="preserve">Fluvanna  </t>
  </si>
  <si>
    <t xml:space="preserve">Franklin City  </t>
  </si>
  <si>
    <t xml:space="preserve">Fredericksburg City  </t>
  </si>
  <si>
    <t xml:space="preserve">Galax City  </t>
  </si>
  <si>
    <t xml:space="preserve">Goochland  </t>
  </si>
  <si>
    <t xml:space="preserve">Greensville  </t>
  </si>
  <si>
    <t xml:space="preserve">Hampton City  </t>
  </si>
  <si>
    <t xml:space="preserve">Hanover  </t>
  </si>
  <si>
    <t xml:space="preserve">Harrisonburg City  </t>
  </si>
  <si>
    <t xml:space="preserve">Henrico  </t>
  </si>
  <si>
    <t xml:space="preserve">Hopewell City  </t>
  </si>
  <si>
    <t xml:space="preserve">Isle Of Wight  </t>
  </si>
  <si>
    <t xml:space="preserve">James City  </t>
  </si>
  <si>
    <t xml:space="preserve">King And Queen  </t>
  </si>
  <si>
    <t xml:space="preserve">King George  </t>
  </si>
  <si>
    <t xml:space="preserve">King William  </t>
  </si>
  <si>
    <t xml:space="preserve">Lexington City  </t>
  </si>
  <si>
    <t xml:space="preserve">Loudoun  </t>
  </si>
  <si>
    <t xml:space="preserve">Lunenburg  </t>
  </si>
  <si>
    <t xml:space="preserve">Lynchburg City  </t>
  </si>
  <si>
    <t xml:space="preserve">Manassas City  </t>
  </si>
  <si>
    <t xml:space="preserve">Manassas Park City  </t>
  </si>
  <si>
    <t xml:space="preserve">Martinsville City  </t>
  </si>
  <si>
    <t xml:space="preserve">Mathews  </t>
  </si>
  <si>
    <t xml:space="preserve">New Kent  </t>
  </si>
  <si>
    <t xml:space="preserve">Newport News City  </t>
  </si>
  <si>
    <t xml:space="preserve">Norfolk City  </t>
  </si>
  <si>
    <t xml:space="preserve">Norton City  </t>
  </si>
  <si>
    <t xml:space="preserve">Nottoway  </t>
  </si>
  <si>
    <t xml:space="preserve">Patrick  </t>
  </si>
  <si>
    <t xml:space="preserve">Petersburg City  </t>
  </si>
  <si>
    <t xml:space="preserve">Pittsylvania  </t>
  </si>
  <si>
    <t xml:space="preserve">Poquoson City  </t>
  </si>
  <si>
    <t xml:space="preserve">Portsmouth City  </t>
  </si>
  <si>
    <t xml:space="preserve">Powhatan  </t>
  </si>
  <si>
    <t xml:space="preserve">Prince Edward  </t>
  </si>
  <si>
    <t xml:space="preserve">Prince George  </t>
  </si>
  <si>
    <t xml:space="preserve">Prince William  </t>
  </si>
  <si>
    <t xml:space="preserve">Radford  </t>
  </si>
  <si>
    <t xml:space="preserve">Rappahannock  </t>
  </si>
  <si>
    <t xml:space="preserve">Richmond City  </t>
  </si>
  <si>
    <t xml:space="preserve">Roanoke  </t>
  </si>
  <si>
    <t xml:space="preserve">Roanoke City  </t>
  </si>
  <si>
    <t xml:space="preserve">Rockbridge  </t>
  </si>
  <si>
    <t xml:space="preserve">Shenandoah  </t>
  </si>
  <si>
    <t xml:space="preserve">Smyth  </t>
  </si>
  <si>
    <t xml:space="preserve">Southampton  </t>
  </si>
  <si>
    <t xml:space="preserve">Spotsylvania  </t>
  </si>
  <si>
    <t xml:space="preserve">Staunton City  </t>
  </si>
  <si>
    <t xml:space="preserve">Suffolk City  </t>
  </si>
  <si>
    <t xml:space="preserve">Virginia Beach City  </t>
  </si>
  <si>
    <t xml:space="preserve">Waynesboro City  </t>
  </si>
  <si>
    <t xml:space="preserve">Williamsburg City  </t>
  </si>
  <si>
    <t xml:space="preserve">Winchester City  </t>
  </si>
  <si>
    <t xml:space="preserve">Wythe  </t>
  </si>
  <si>
    <t xml:space="preserve">Asotin  </t>
  </si>
  <si>
    <t xml:space="preserve">Chelan  </t>
  </si>
  <si>
    <t xml:space="preserve">Clallam  </t>
  </si>
  <si>
    <t xml:space="preserve">Cowlitz  </t>
  </si>
  <si>
    <t xml:space="preserve">Ferry  </t>
  </si>
  <si>
    <t xml:space="preserve">Grays Harbor  </t>
  </si>
  <si>
    <t xml:space="preserve">Island  </t>
  </si>
  <si>
    <t xml:space="preserve">Kitsap  </t>
  </si>
  <si>
    <t xml:space="preserve">Kittitas  </t>
  </si>
  <si>
    <t xml:space="preserve">Klickitat  </t>
  </si>
  <si>
    <t xml:space="preserve">Okanogan  </t>
  </si>
  <si>
    <t xml:space="preserve">Pacific  </t>
  </si>
  <si>
    <t xml:space="preserve">Pend Oreille  </t>
  </si>
  <si>
    <t xml:space="preserve">Skagit  </t>
  </si>
  <si>
    <t xml:space="preserve">Skamania  </t>
  </si>
  <si>
    <t xml:space="preserve">Snohomish  </t>
  </si>
  <si>
    <t xml:space="preserve">Spokane  </t>
  </si>
  <si>
    <t xml:space="preserve">Wahkiakum  </t>
  </si>
  <si>
    <t xml:space="preserve">Walla Walla  </t>
  </si>
  <si>
    <t xml:space="preserve">Whatcom  </t>
  </si>
  <si>
    <t xml:space="preserve">Whitman  </t>
  </si>
  <si>
    <t xml:space="preserve">Yakima  </t>
  </si>
  <si>
    <t xml:space="preserve">Braxton  </t>
  </si>
  <si>
    <t xml:space="preserve">Brooke  </t>
  </si>
  <si>
    <t xml:space="preserve">Cabell  </t>
  </si>
  <si>
    <t xml:space="preserve">Doddridge  </t>
  </si>
  <si>
    <t xml:space="preserve">Greenbrier  </t>
  </si>
  <si>
    <t xml:space="preserve">Hardy  </t>
  </si>
  <si>
    <t xml:space="preserve">Kanawha  </t>
  </si>
  <si>
    <t xml:space="preserve">Mingo  </t>
  </si>
  <si>
    <t xml:space="preserve">Monongalia  </t>
  </si>
  <si>
    <t xml:space="preserve">Pleasants  </t>
  </si>
  <si>
    <t xml:space="preserve">Preston  </t>
  </si>
  <si>
    <t xml:space="preserve">Raleigh  </t>
  </si>
  <si>
    <t xml:space="preserve">Ritchie  </t>
  </si>
  <si>
    <t xml:space="preserve">Summers  </t>
  </si>
  <si>
    <t xml:space="preserve">Tucker  </t>
  </si>
  <si>
    <t xml:space="preserve">Wetzel  </t>
  </si>
  <si>
    <t xml:space="preserve">Wirt  </t>
  </si>
  <si>
    <t xml:space="preserve">Barron  </t>
  </si>
  <si>
    <t xml:space="preserve">Bayfield  </t>
  </si>
  <si>
    <t xml:space="preserve">Burnett  </t>
  </si>
  <si>
    <t xml:space="preserve">Calumet  </t>
  </si>
  <si>
    <t xml:space="preserve">Dane  </t>
  </si>
  <si>
    <t xml:space="preserve">Door  </t>
  </si>
  <si>
    <t xml:space="preserve">Eau Claire  </t>
  </si>
  <si>
    <t xml:space="preserve">Fond Du Lac  </t>
  </si>
  <si>
    <t xml:space="preserve">Green Lake  </t>
  </si>
  <si>
    <t xml:space="preserve">Kenosha  </t>
  </si>
  <si>
    <t xml:space="preserve">Kewaunee  </t>
  </si>
  <si>
    <t xml:space="preserve">La Crosse  </t>
  </si>
  <si>
    <t xml:space="preserve">Langlade  </t>
  </si>
  <si>
    <t xml:space="preserve">Manitowoc  </t>
  </si>
  <si>
    <t xml:space="preserve">Marathon  </t>
  </si>
  <si>
    <t xml:space="preserve">Marinette  </t>
  </si>
  <si>
    <t xml:space="preserve">Milwaukee  </t>
  </si>
  <si>
    <t xml:space="preserve">Oconto  </t>
  </si>
  <si>
    <t xml:space="preserve">Outagamie  </t>
  </si>
  <si>
    <t xml:space="preserve">Ozaukee  </t>
  </si>
  <si>
    <t xml:space="preserve">Pepin  </t>
  </si>
  <si>
    <t xml:space="preserve">Price  </t>
  </si>
  <si>
    <t xml:space="preserve">Racine  </t>
  </si>
  <si>
    <t xml:space="preserve">Saint Croix  </t>
  </si>
  <si>
    <t xml:space="preserve">Sauk  </t>
  </si>
  <si>
    <t xml:space="preserve">Sawyer  </t>
  </si>
  <si>
    <t xml:space="preserve">Shawano  </t>
  </si>
  <si>
    <t xml:space="preserve">Sheboygan  </t>
  </si>
  <si>
    <t xml:space="preserve">Trempealeau  </t>
  </si>
  <si>
    <t xml:space="preserve">Vilas  </t>
  </si>
  <si>
    <t xml:space="preserve">Washburn  </t>
  </si>
  <si>
    <t xml:space="preserve">Waukesha  </t>
  </si>
  <si>
    <t xml:space="preserve">Waupaca  </t>
  </si>
  <si>
    <t xml:space="preserve">Waushara  </t>
  </si>
  <si>
    <t xml:space="preserve">Converse  </t>
  </si>
  <si>
    <t xml:space="preserve">Goshen  </t>
  </si>
  <si>
    <t xml:space="preserve">Hot Springs  </t>
  </si>
  <si>
    <t xml:space="preserve">Laramie  </t>
  </si>
  <si>
    <t xml:space="preserve">Natrona  </t>
  </si>
  <si>
    <t xml:space="preserve">Niobrara  </t>
  </si>
  <si>
    <t xml:space="preserve">Sublette  </t>
  </si>
  <si>
    <t xml:space="preserve">Sweetwater  </t>
  </si>
  <si>
    <t xml:space="preserve">Uinta  </t>
  </si>
  <si>
    <t xml:space="preserve">Washakie  </t>
  </si>
  <si>
    <t xml:space="preserve">Weston  </t>
  </si>
  <si>
    <t xml:space="preserve">NOTE: For lots in a development, the points for 503.4 may be awarded for the lot when there is a community storm water management plan implemented and the builder does not violate that plan with respect to water leaving the lot. </t>
  </si>
  <si>
    <t>50 to 59%</t>
  </si>
  <si>
    <t>60 to 69%</t>
  </si>
  <si>
    <t>70 to 79%</t>
  </si>
  <si>
    <t>80 to 89%</t>
  </si>
  <si>
    <t>90 to 99%</t>
  </si>
  <si>
    <t>a</t>
  </si>
  <si>
    <t>b</t>
  </si>
  <si>
    <t>c</t>
  </si>
  <si>
    <t>d</t>
  </si>
  <si>
    <t>e</t>
  </si>
  <si>
    <t>f</t>
  </si>
  <si>
    <t>NOTE: List "other" means of installing utilities in the assigned Notes area.</t>
  </si>
  <si>
    <t>Utilities on the lot are installed using one or more alternative means:</t>
  </si>
  <si>
    <t>other.</t>
  </si>
  <si>
    <t>shared utility trenches or easements,</t>
  </si>
  <si>
    <t>use of geomats,</t>
  </si>
  <si>
    <t>use of low ground pressure equipment,</t>
  </si>
  <si>
    <t>use of smaller equipment,</t>
  </si>
  <si>
    <t>tunneling instead of trenching,</t>
  </si>
  <si>
    <t>Ch.6</t>
  </si>
  <si>
    <t>2 story bldg.</t>
  </si>
  <si>
    <t>3 story bldg.</t>
  </si>
  <si>
    <t>4+ story bldg.</t>
  </si>
  <si>
    <t>Ch.7</t>
  </si>
  <si>
    <t>Performance Path</t>
  </si>
  <si>
    <t>Prescriptive Path</t>
  </si>
  <si>
    <t>Alt. Bronze or Silver</t>
  </si>
  <si>
    <t>Emerald 
Not Available</t>
  </si>
  <si>
    <t>Alt. Bronze</t>
  </si>
  <si>
    <t>Alt. Silver</t>
  </si>
  <si>
    <t>Alternative:</t>
  </si>
  <si>
    <t>Ch. 7 Max</t>
  </si>
  <si>
    <t xml:space="preserve">Multifamily Building Note: Modeling is completed building-wide using one of the following methods: whole building energy modeling, a unit-by-unit approach, or a building average of a unit-by-unit approach.  </t>
  </si>
  <si>
    <t>Exception: Section 703.1.1 is not required for Tropical Climate Zone.</t>
  </si>
  <si>
    <t>For SI: 12 inches = 304.8 mm</t>
  </si>
  <si>
    <t>&gt;70</t>
  </si>
  <si>
    <t>&gt;41 and ≤70</t>
  </si>
  <si>
    <t>≤40</t>
  </si>
  <si>
    <t>Rake Overhang (Inches)</t>
  </si>
  <si>
    <t>Eave Overhang (Inches)</t>
  </si>
  <si>
    <t>Inches of Rainfall (1)</t>
  </si>
  <si>
    <t>Minimum Roof Overhang for One- &amp; Two-Story Buildings</t>
  </si>
  <si>
    <t>Table 602.1.12</t>
  </si>
  <si>
    <t>more than 75%</t>
  </si>
  <si>
    <t>50% to less than 75%</t>
  </si>
  <si>
    <t>25% to less than 50%</t>
  </si>
  <si>
    <t>Points For 2 Major</t>
  </si>
  <si>
    <t>Points For 2 Minor</t>
  </si>
  <si>
    <t>Recycled Content</t>
  </si>
  <si>
    <t>Table 604.1</t>
  </si>
  <si>
    <t>POINTS</t>
  </si>
  <si>
    <t>5 Impact Measures</t>
  </si>
  <si>
    <t>4 Impact Measures</t>
  </si>
  <si>
    <t>Product LCA</t>
  </si>
  <si>
    <t>Table 610.1.2.1</t>
  </si>
  <si>
    <t>4 types</t>
  </si>
  <si>
    <t>3 types</t>
  </si>
  <si>
    <t>2 types</t>
  </si>
  <si>
    <t>Building Assembly LCA</t>
  </si>
  <si>
    <t>Table 610.1.2.2</t>
  </si>
  <si>
    <t>Figure 6(2): Average Annual Precipitation</t>
  </si>
  <si>
    <t>Source:</t>
  </si>
  <si>
    <t>www.nationalatlas.gov</t>
  </si>
  <si>
    <t>Source: 2006 International Residential Code. International Code Council, Inc., Country Club Hill, Illinois. Reproduced with permission. All rights reserved.</t>
  </si>
  <si>
    <t>www.iccsafe.org</t>
  </si>
  <si>
    <t>Figure 6(3): Termite Infestation Probability Map</t>
  </si>
  <si>
    <t>back to 602.1.5</t>
  </si>
  <si>
    <t>back to 602.1.6</t>
  </si>
  <si>
    <t>See Figure 6(3)</t>
  </si>
  <si>
    <t>back to 602.1.12</t>
  </si>
  <si>
    <t>See Table 602.1.12</t>
  </si>
  <si>
    <t>Figure 6(2)</t>
  </si>
  <si>
    <t>(1) Annual mean total rainfall in inches is in accordance with:</t>
  </si>
  <si>
    <t>Met</t>
  </si>
  <si>
    <t>Not Met</t>
  </si>
  <si>
    <t>N/A</t>
  </si>
  <si>
    <t>a concrete slab over 6 mil polyethylene sheeting. Or other Class I vapor retarder installed in accordance with Section 408.3 or Section 506 of the International Residential Code</t>
  </si>
  <si>
    <t>6 mil polyethylene sheeting, or other Class I vapor retarder installed in accordance with Section 408.3 or Section 506 of the International Residential Code</t>
  </si>
  <si>
    <t>None to slight</t>
  </si>
  <si>
    <t>Slight to Moderate</t>
  </si>
  <si>
    <t>Moderate to heavy</t>
  </si>
  <si>
    <t>Very heavy</t>
  </si>
  <si>
    <t>1 exterior door</t>
  </si>
  <si>
    <t>2 exterior door</t>
  </si>
  <si>
    <t>3+ exterior door</t>
  </si>
  <si>
    <t>Note: The pedestrian door protected in a garage leading to living space does not qualify for points.</t>
  </si>
  <si>
    <t>back to Table 602.1.12</t>
  </si>
  <si>
    <t>NOTE: Indicate in the assigned Notes area what salvage materials were sorted for reuse.</t>
  </si>
  <si>
    <t>1
12 Max</t>
  </si>
  <si>
    <t>NOTE: Describe materials used in the assigned Notes area. Materials, elements, or components awarded points under Section 603.1 shall not be awarded points under Section 603.2.</t>
  </si>
  <si>
    <t>1
9 Max</t>
  </si>
  <si>
    <t>(Points awarded per 1% of salvaged materials used based on the total construction cost.)</t>
  </si>
  <si>
    <t>Material Percentage
Recycled Content</t>
  </si>
  <si>
    <t>per Table
604.1</t>
  </si>
  <si>
    <t>First Minor Comp.:</t>
  </si>
  <si>
    <t>Second Minor Comp.:</t>
  </si>
  <si>
    <t>Second Major Comp.:</t>
  </si>
  <si>
    <t>First Major Comp.:</t>
  </si>
  <si>
    <t>See Table 604.1</t>
  </si>
  <si>
    <t>back to 604.1</t>
  </si>
  <si>
    <t>NOTE: In the assigned Notes area, list materials used for minor and/or major building components.</t>
  </si>
  <si>
    <t>Enter material percent recycled content.</t>
  </si>
  <si>
    <t>wood</t>
  </si>
  <si>
    <t>cardboard</t>
  </si>
  <si>
    <t>metals</t>
  </si>
  <si>
    <t>drywall</t>
  </si>
  <si>
    <t>plastic</t>
  </si>
  <si>
    <t>asphalt roofing shingles</t>
  </si>
  <si>
    <t>concrete</t>
  </si>
  <si>
    <t>other</t>
  </si>
  <si>
    <t>NOTE: List "other" types of materials recycled in the assigned Notes area.</t>
  </si>
  <si>
    <t>more than .5%</t>
  </si>
  <si>
    <t>more than 1%</t>
  </si>
  <si>
    <t>1
2 Max</t>
  </si>
  <si>
    <t>Program(s):</t>
  </si>
  <si>
    <t>Note: Please list products and components in the Notes fields</t>
  </si>
  <si>
    <t>1 material</t>
  </si>
  <si>
    <t>2 materials</t>
  </si>
  <si>
    <t>3+ materials</t>
  </si>
  <si>
    <t>Note: Please list materials in the Notes field</t>
  </si>
  <si>
    <t>9 Max
3 per material</t>
  </si>
  <si>
    <t>1 product</t>
  </si>
  <si>
    <t>2 products</t>
  </si>
  <si>
    <t>3+ products</t>
  </si>
  <si>
    <t>NOTE: In the assigned Notes area, describe the types of products that comply with 608.1.</t>
  </si>
  <si>
    <t># of major components:</t>
  </si>
  <si>
    <t># of minor components:</t>
  </si>
  <si>
    <t>1 component</t>
  </si>
  <si>
    <t>2 components</t>
  </si>
  <si>
    <t>3 components</t>
  </si>
  <si>
    <t>4 components</t>
  </si>
  <si>
    <t>5 components</t>
  </si>
  <si>
    <t>6 components</t>
  </si>
  <si>
    <t>7 components</t>
  </si>
  <si>
    <t>8 components</t>
  </si>
  <si>
    <t>9 components</t>
  </si>
  <si>
    <t>10+ components</t>
  </si>
  <si>
    <t>5+ components</t>
  </si>
  <si>
    <t>NOTE: In the assigned Notes areas, list major and minor materials used that comply with 609.1.</t>
  </si>
  <si>
    <t>For a component to comply with this practice, a minimum of 75% of all products in that component category must be sourced regionally, e.g., stone veneer category – 75 percent or more of the stone veneer on a project must be sourced regionally.</t>
  </si>
  <si>
    <t>NOTE: List products/systems compared &amp; impact measures considered in the assigned Notes area.</t>
  </si>
  <si>
    <t># of comparisons with 
5 measures:</t>
  </si>
  <si>
    <t># of comparisons with 
4 measures:</t>
  </si>
  <si>
    <t>1 comparison</t>
  </si>
  <si>
    <t>2 comparisons</t>
  </si>
  <si>
    <t>3 comparisons</t>
  </si>
  <si>
    <t>4 comparisons</t>
  </si>
  <si>
    <t>5+ comparisons</t>
  </si>
  <si>
    <t>NOTE: List assemblies compared &amp; impact measures considered in the assigned Notes area.</t>
  </si>
  <si>
    <t>4 impact measures</t>
  </si>
  <si>
    <t>5+ impact measures</t>
  </si>
  <si>
    <t>exterior walls:</t>
  </si>
  <si>
    <t>roof/ceiling:</t>
  </si>
  <si>
    <t>int. walls or ceilings:</t>
  </si>
  <si>
    <t>intermediate floors:</t>
  </si>
  <si>
    <t>per Table 610.1.2.1
10 Max</t>
  </si>
  <si>
    <t>per Table 610.1.2.2
10 Max</t>
  </si>
  <si>
    <t>back to 610.1.2.1</t>
  </si>
  <si>
    <t>back to 610.1.2.2</t>
  </si>
  <si>
    <t>1%+</t>
  </si>
  <si>
    <t>2%+</t>
  </si>
  <si>
    <t>3%+</t>
  </si>
  <si>
    <t>4%+</t>
  </si>
  <si>
    <t>5%+</t>
  </si>
  <si>
    <t>6%+</t>
  </si>
  <si>
    <t>7%+</t>
  </si>
  <si>
    <t>8%+</t>
  </si>
  <si>
    <t>9%+</t>
  </si>
  <si>
    <t>10%+</t>
  </si>
  <si>
    <t xml:space="preserve">NOTE: In the assigned Notes area, list products that comply with 610.1, manufacturers, and ISO registrars. </t>
  </si>
  <si>
    <t># of products:</t>
  </si>
  <si>
    <t># of products (not effective number):</t>
  </si>
  <si>
    <t>NOTE: List products in the assigned Notes area.</t>
  </si>
  <si>
    <t>END OF CHAPTER 6</t>
  </si>
  <si>
    <t>CLICK TO PROCEED TO CHAPTER 7 &gt;&gt;</t>
  </si>
  <si>
    <t>602.0</t>
  </si>
  <si>
    <t>602.1.2</t>
  </si>
  <si>
    <t>901 POLLUTANT SORCE CONTROL</t>
  </si>
  <si>
    <r>
      <t>901.0 Intent.</t>
    </r>
    <r>
      <rPr>
        <sz val="10"/>
        <color theme="1"/>
        <rFont val="Calibri"/>
        <family val="2"/>
        <scheme val="minor"/>
      </rPr>
      <t xml:space="preserve"> Pollutant sources are controlled.</t>
    </r>
  </si>
  <si>
    <t>901.1 Space and water heating options</t>
  </si>
  <si>
    <t>901.1.1</t>
  </si>
  <si>
    <r>
      <t>901.1.1</t>
    </r>
    <r>
      <rPr>
        <sz val="10"/>
        <color theme="1"/>
        <rFont val="Calibri"/>
        <family val="2"/>
        <scheme val="minor"/>
      </rPr>
      <t xml:space="preserve"> Natural draft furnaces, boilers, or water heaters are not located in conditioned spaces, including conditioned crawlspaces, unless located in a mechanical room that has an outdoor air source and is sealed and insulated to separate it from the conditioned space(s). </t>
    </r>
  </si>
  <si>
    <t>901.1.2</t>
  </si>
  <si>
    <r>
      <t xml:space="preserve">901.1.2 </t>
    </r>
    <r>
      <rPr>
        <sz val="10"/>
        <color theme="1"/>
        <rFont val="Calibri"/>
        <family val="2"/>
        <scheme val="minor"/>
      </rPr>
      <t xml:space="preserve">Air handling equipment or return ducts are not located in the garage, unless placed in isolated, air-sealed mechanical rooms with an outside air source. </t>
    </r>
  </si>
  <si>
    <t>901.1.3</t>
  </si>
  <si>
    <r>
      <t>901.1.3</t>
    </r>
    <r>
      <rPr>
        <sz val="10"/>
        <color theme="1"/>
        <rFont val="Calibri"/>
        <family val="2"/>
        <scheme val="minor"/>
      </rPr>
      <t xml:space="preserve"> The following combustion space heating or water heating equipment is installed within conditioned space:</t>
    </r>
  </si>
  <si>
    <t>all furnaces or all boilers</t>
  </si>
  <si>
    <t>power vent furnace(s) or boiler(s)</t>
  </si>
  <si>
    <t>direct vent furnace(s) or boiler(s)</t>
  </si>
  <si>
    <t>all water heaters</t>
  </si>
  <si>
    <t>power vent water heater(s)</t>
  </si>
  <si>
    <t>direct vent water heater(s)</t>
  </si>
  <si>
    <t>901.1.4</t>
  </si>
  <si>
    <t>901.1.5</t>
  </si>
  <si>
    <r>
      <t xml:space="preserve">901.1.5 </t>
    </r>
    <r>
      <rPr>
        <sz val="10"/>
        <color theme="1"/>
        <rFont val="Calibri"/>
        <family val="2"/>
        <scheme val="minor"/>
      </rPr>
      <t>Natural gas and propane fireplaces are direct vented, have permanently fixed glass fronts or gasketed doors, and comply with CSA Z21.88/CSA 2.33 or CSA Z21.50b/CSA 2.22b.</t>
    </r>
  </si>
  <si>
    <t>901.1.6</t>
  </si>
  <si>
    <r>
      <t xml:space="preserve">901.1.6 </t>
    </r>
    <r>
      <rPr>
        <sz val="10"/>
        <color theme="1"/>
        <rFont val="Calibri"/>
        <family val="2"/>
        <scheme val="minor"/>
      </rPr>
      <t>The following electric equipment is installed:</t>
    </r>
  </si>
  <si>
    <t>heat pump air handler in unconditioned space</t>
  </si>
  <si>
    <t>heat pump air handler in conditioned space</t>
  </si>
  <si>
    <t>901.2 Solid fuel-burning appliances</t>
  </si>
  <si>
    <t>901.2.1</t>
  </si>
  <si>
    <r>
      <t>901.2.1</t>
    </r>
    <r>
      <rPr>
        <sz val="10"/>
        <color theme="1"/>
        <rFont val="Calibri"/>
        <family val="2"/>
        <scheme val="minor"/>
      </rPr>
      <t xml:space="preserve"> Solid fuel-burning fireplaces, inserts, stoves and heaters are code compliant and are in accordance with the following requirements: </t>
    </r>
  </si>
  <si>
    <t>Site-built masonry wood-burning fireplaces use outside combustion air and include a means of sealing the flue and the combustion air outlets to minimize interior air (heat) loss when not in operation.</t>
  </si>
  <si>
    <t xml:space="preserve">Wood stove and fireplace inserts, as defined in UL 1482 Section 3.8, are in accordance with the certification requirements of UL 1482 and are in accordance with the emission requirements of the EPA Certification and the State of Washington WAC 173-433-100(3). </t>
  </si>
  <si>
    <t>Pellet (biomass) stoves and furnaces are in accordance with ASTM E1509 or are EPA certified.</t>
  </si>
  <si>
    <t xml:space="preserve">Masonry heaters are in accordance with the definitions in ASTM E1602 and ICC IBC Section 2112.1. </t>
  </si>
  <si>
    <t>901.2.2</t>
  </si>
  <si>
    <r>
      <t>901.2.2</t>
    </r>
    <r>
      <rPr>
        <sz val="10"/>
        <color theme="1"/>
        <rFont val="Calibri"/>
        <family val="2"/>
      </rPr>
      <t xml:space="preserve"> Fireplaces, woodstoves, pellet stoves, or masonry heaters are not installed. </t>
    </r>
  </si>
  <si>
    <r>
      <t>901.3 Garages.</t>
    </r>
    <r>
      <rPr>
        <sz val="10"/>
        <color theme="1"/>
        <rFont val="Calibri"/>
        <family val="2"/>
        <scheme val="minor"/>
      </rPr>
      <t xml:space="preserve"> Garages are in accordance with the following:</t>
    </r>
  </si>
  <si>
    <t>Attached garage</t>
  </si>
  <si>
    <t>Doors installed in the common wall between the attached garage and conditioned space are tightly sealed and gasketed.</t>
  </si>
  <si>
    <t xml:space="preserve">A continuous air barrier is provided separating the garage space from the conditioned living spaces. </t>
  </si>
  <si>
    <t>A carport is installed, the garage is detached from the building, or no garage is installed.</t>
  </si>
  <si>
    <r>
      <rPr>
        <b/>
        <sz val="10"/>
        <color theme="1"/>
        <rFont val="Calibri"/>
        <family val="2"/>
        <scheme val="minor"/>
      </rPr>
      <t>901.4</t>
    </r>
    <r>
      <rPr>
        <sz val="10"/>
        <color theme="1"/>
        <rFont val="Calibri"/>
        <family val="2"/>
        <scheme val="minor"/>
      </rPr>
      <t xml:space="preserve"> Wood materials. A minimum of 85 percent of material within a product group (i.e., wood structural panels, countertops, composite trim/doors, custom woodwork, and/or component closet shelving) is manufactured in accordance with the following:</t>
    </r>
  </si>
  <si>
    <t>Structural plywood used for floor, wall, and/or roof sheathing is compliant with DOC PS 1 and/or DOC PS 2. OSB used for floor, wall, and/or roof sheathing is compliant with DOC PS 2. The panels are made with moisture-resistant adhesives. The trademark indicates these adhesives as follows: Exposure 1 or Exterior for plywood, and Exposure 1 for OSB.</t>
  </si>
  <si>
    <t>Particleboard and MDF (medium density fiberboard) is manufactured and labeled in accordance with CPA A208.1 and CPA A208.2, respectively.</t>
  </si>
  <si>
    <t>Hardwood plywood in accordance with HPVA HP-1.</t>
  </si>
  <si>
    <t>Particleboard, MDF, or hardwood plywood is in accordance with CPA 4.</t>
  </si>
  <si>
    <r>
      <t xml:space="preserve">Composite wood or agrifiber panel products contain no added urea-formaldehyde or are in accordance with the CARB </t>
    </r>
    <r>
      <rPr>
        <i/>
        <sz val="10"/>
        <color theme="1"/>
        <rFont val="Calibri"/>
        <family val="2"/>
        <scheme val="minor"/>
      </rPr>
      <t>Composite Wood Air Toxic Contaminant Measure Standard</t>
    </r>
    <r>
      <rPr>
        <sz val="10"/>
        <color theme="1"/>
        <rFont val="Calibri"/>
        <family val="2"/>
        <scheme val="minor"/>
      </rPr>
      <t>.</t>
    </r>
  </si>
  <si>
    <t>Non-emitting products.</t>
  </si>
  <si>
    <r>
      <t>901.5</t>
    </r>
    <r>
      <rPr>
        <sz val="10"/>
        <color theme="1"/>
        <rFont val="Calibri"/>
        <family val="2"/>
        <scheme val="minor"/>
      </rPr>
      <t xml:space="preserve"> </t>
    </r>
    <r>
      <rPr>
        <b/>
        <sz val="10"/>
        <color theme="1"/>
        <rFont val="Calibri"/>
        <family val="2"/>
        <scheme val="minor"/>
      </rPr>
      <t>Cabinets.</t>
    </r>
    <r>
      <rPr>
        <sz val="10"/>
        <color theme="1"/>
        <rFont val="Calibri"/>
        <family val="2"/>
        <scheme val="minor"/>
      </rPr>
      <t xml:space="preserve"> A minimum of 85 percent of installed cabinets are in accordance with one or both of the following: </t>
    </r>
  </si>
  <si>
    <t>(Where both of the following practices are used, only 3 points are awarded.)</t>
  </si>
  <si>
    <t>All parts of the cabinet are made of solid wood or non-formaldehyde emitting materials such as metal or glass.</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</si>
  <si>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D.</t>
    </r>
  </si>
  <si>
    <r>
      <t>901.6 Carpets.</t>
    </r>
    <r>
      <rPr>
        <sz val="10"/>
        <color theme="1"/>
        <rFont val="Calibri"/>
        <family val="2"/>
        <scheme val="minor"/>
      </rPr>
      <t xml:space="preserve"> Wall-to-wall carpeting is not installed adjacent to water closets and bathing fixtures.</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</si>
  <si>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D. </t>
    </r>
  </si>
  <si>
    <t>(Points are awarded for every 10% of conditioned floor space using one of the below materials.)</t>
  </si>
  <si>
    <t>Hard surface flooring: Prefinished installed hard-surface flooring is installed. Where post-manufacture coatings or surface applications have not been applied, the following hard surface flooring types are deemed to comply with the emission requirements of this practice:</t>
  </si>
  <si>
    <t>Ceramic tile flooring</t>
  </si>
  <si>
    <t>Organic-free, mineral-based flooring</t>
  </si>
  <si>
    <t>Clay masonry flooring</t>
  </si>
  <si>
    <t>Concrete masonry flooring</t>
  </si>
  <si>
    <t>Concrete flooring</t>
  </si>
  <si>
    <t>Metal flooring</t>
  </si>
  <si>
    <t>(When carpet cushion meeting the emission limits of the practice is also installed, the percentage of compliant carpet area is calculated at 1.33 times the actual installed area.)</t>
  </si>
  <si>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D.</t>
    </r>
  </si>
  <si>
    <r>
      <t>901.9 Interior architectural coatings.</t>
    </r>
    <r>
      <rPr>
        <sz val="10"/>
        <color theme="1"/>
        <rFont val="Calibri"/>
        <family val="2"/>
        <scheme val="minor"/>
      </rPr>
      <t xml:space="preserve"> A minimum of 85 percent of the interior architectural coatings are in accordance with either Section 901.9.1 or Section 901.9.3, not both. A minimum of 85 percent of architectural colorants are in accordance with Section 901.9.2.</t>
    </r>
  </si>
  <si>
    <t>901.9.1</t>
  </si>
  <si>
    <r>
      <t>901.9.1</t>
    </r>
    <r>
      <rPr>
        <sz val="10"/>
        <color theme="1"/>
        <rFont val="Calibri"/>
        <family val="2"/>
        <scheme val="minor"/>
      </rPr>
      <t xml:space="preserve"> Site-applied interior architectural coatings, which are inside the water proofing envelope, are in accordance with one or more of the following:</t>
    </r>
  </si>
  <si>
    <t>Zero VOC as determined by EPA Method 24 (VOC content is below the detection limit for the method)</t>
  </si>
  <si>
    <t>GreenSeal GS-11</t>
  </si>
  <si>
    <r>
      <t xml:space="preserve">CARB </t>
    </r>
    <r>
      <rPr>
        <i/>
        <sz val="10"/>
        <color theme="1"/>
        <rFont val="Calibri"/>
        <family val="2"/>
        <scheme val="minor"/>
      </rPr>
      <t>Suggested Control Measure for Architectural Coatings</t>
    </r>
    <r>
      <rPr>
        <sz val="10"/>
        <color theme="1"/>
        <rFont val="Calibri"/>
        <family val="2"/>
        <scheme val="minor"/>
      </rPr>
      <t xml:space="preserve"> (see Table 901.9.1).</t>
    </r>
  </si>
  <si>
    <t>901.9.2</t>
  </si>
  <si>
    <r>
      <t>901.9.2</t>
    </r>
    <r>
      <rPr>
        <sz val="10"/>
        <color theme="1"/>
        <rFont val="Calibri"/>
        <family val="2"/>
        <scheme val="minor"/>
      </rPr>
      <t xml:space="preserve"> Architectural coating colorant additive VOC content is in accordance with Table 901.9.2.</t>
    </r>
  </si>
  <si>
    <t>(Points for 901.9.2 are awarded only if base architectural coating is in accordance with 901.9.1.)</t>
  </si>
  <si>
    <t>901.9.3</t>
  </si>
  <si>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D. </t>
    </r>
  </si>
  <si>
    <r>
      <t>901.10 Interior adhesives and sealants.</t>
    </r>
    <r>
      <rPr>
        <sz val="10"/>
        <color theme="1"/>
        <rFont val="Calibri"/>
        <family val="2"/>
        <scheme val="minor"/>
      </rPr>
      <t xml:space="preserve"> A minimum of 85 percent of site-applied adhesives and sealants located inside the waterproofing envelope are in accordance with one of the following, as applicable.</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</si>
  <si>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D. </t>
  </si>
  <si>
    <t>GreenSeal GS-36.</t>
  </si>
  <si>
    <t>SCAQMD Rule 1168 in accordance with Table 901.10(3), excluding products that are sold in 16 ounce containers or less and are regulated by the California Air Resources Board (CARB) Consumer Products Regulations.</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</si>
  <si>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D. </t>
    </r>
  </si>
  <si>
    <t>Exterior grilles or mats are installed in a fixed manner and may be removable for cleaning.</t>
  </si>
  <si>
    <t>Interior grilles or mats are installed in a fixed manner and may be removable for cleaning.</t>
  </si>
  <si>
    <t>All interior common areas of a multifamily building are designated as non-smoking areas with posted signage.</t>
  </si>
  <si>
    <t>Exterior smoking areas of a multifamily building are designated with posted signage and located a minimum of 25 feet from entries, outdoor air intakes, and operable windows.</t>
  </si>
  <si>
    <t>902 POLLUTANT CONTROL</t>
  </si>
  <si>
    <r>
      <t>902.0 Intent.</t>
    </r>
    <r>
      <rPr>
        <sz val="10"/>
        <color theme="1"/>
        <rFont val="Calibri"/>
        <family val="2"/>
        <scheme val="minor"/>
      </rPr>
      <t xml:space="preserve"> Pollutants generated in the building are controlled.</t>
    </r>
  </si>
  <si>
    <t>902.1 Spot ventilation.</t>
  </si>
  <si>
    <t xml:space="preserve">Bathrooms are vented to the outdoors. The minimum ventilation rate is 50 cfm (23.6 L/s) for intermittent operation or 20 cfm (9.4 L/s) for continuous operation in bathrooms. </t>
  </si>
  <si>
    <t xml:space="preserve">Clothes dryers (except listed and labeled condensing ductless dryers) are vented to the outdoors. </t>
  </si>
  <si>
    <t xml:space="preserve">Kitchen exhaust units and/or range hoods are ducted to the outdoors and have a minimum ventilation rate of 100 cfm (47.2 L/s) for intermittent operation or 25 cfm (11.8 L/s) for continuous operation. </t>
  </si>
  <si>
    <t>902.1.2</t>
  </si>
  <si>
    <r>
      <t>902.1.2</t>
    </r>
    <r>
      <rPr>
        <sz val="10"/>
        <color theme="1"/>
        <rFont val="Calibri"/>
        <family val="2"/>
        <scheme val="minor"/>
      </rPr>
      <t xml:space="preserve"> Bathroom and/or laundry exhaust fan is provided with an automatic timer and/or humidistat:</t>
    </r>
  </si>
  <si>
    <t>11 Max</t>
  </si>
  <si>
    <t>for first device</t>
  </si>
  <si>
    <t>for each additional device</t>
  </si>
  <si>
    <t>902.1.3</t>
  </si>
  <si>
    <r>
      <t>902.1.3</t>
    </r>
    <r>
      <rPr>
        <sz val="10"/>
        <color theme="1"/>
        <rFont val="Calibri"/>
        <family val="2"/>
        <scheme val="minor"/>
      </rPr>
      <t xml:space="preserve"> Kitchen range, bathroom, and laundry exhaust are verified to air flow specification. Ventilation airflow at the point of exhaust is tested to a minimum of:</t>
    </r>
  </si>
  <si>
    <t>100 cfm (47.2 L/s) intermittent or 25 cfm (11.8 L/s) continuous for kitchens, and</t>
  </si>
  <si>
    <t>50 cfm (23.6 L/s) intermittent or 20 cfm (9.4 L/s) continuous for bathrooms and/or laundry</t>
  </si>
  <si>
    <t>902.1.4</t>
  </si>
  <si>
    <r>
      <t xml:space="preserve">902.1.4 </t>
    </r>
    <r>
      <rPr>
        <sz val="10"/>
        <color theme="1"/>
        <rFont val="Calibri"/>
        <family val="2"/>
        <scheme val="minor"/>
      </rPr>
      <t xml:space="preserve">Exhaust fans are ENERGY STAR, as applicable. </t>
    </r>
  </si>
  <si>
    <t>(Points awarded per fan.)</t>
  </si>
  <si>
    <t>ENERGY STAR, or equivalent, fans operating at or below 1 sone</t>
  </si>
  <si>
    <t>902.1.5</t>
  </si>
  <si>
    <r>
      <t xml:space="preserve">902.1.5 </t>
    </r>
    <r>
      <rPr>
        <sz val="10"/>
        <color theme="1"/>
        <rFont val="Calibri"/>
        <family val="2"/>
        <scheme val="minor"/>
      </rPr>
      <t>Fenestration in spaces other than those identified in 902.1.1 through 902.1.4 are  designed for stack effect or cross-ventilation in accordance with all of the following:</t>
    </r>
  </si>
  <si>
    <t>Insect screens are provided for all operable windows, operable skylights, and sliding glass doors.</t>
  </si>
  <si>
    <t xml:space="preserve">A minimum of two operable windows or sliding glass doors are placed in adjacent or opposite walls. If there is only one wall surface in that space exposed to the exterior, the minimum windows or sliding glass doors may be on the same wall.  </t>
  </si>
  <si>
    <t>902.2 Building ventilation systems.</t>
  </si>
  <si>
    <t>exhaust or supply fan(s) ready for continuous operation and with appropriately labeled controls</t>
  </si>
  <si>
    <t>balanced exhaust and supply fans with supply intakes located in accordance with the manufacturer’s guidelines so as to not introduce polluted air back into the building</t>
  </si>
  <si>
    <t>heat-recovery ventilator</t>
  </si>
  <si>
    <t>energy-recovery ventilator</t>
  </si>
  <si>
    <t>902.2.2</t>
  </si>
  <si>
    <t>902.2.3</t>
  </si>
  <si>
    <r>
      <t>902.2.3</t>
    </r>
    <r>
      <rPr>
        <sz val="10"/>
        <color theme="1"/>
        <rFont val="Calibri"/>
        <family val="2"/>
        <scheme val="minor"/>
      </rPr>
      <t xml:space="preserve"> MERV filters 8 to 13 are installed on central forced air systems and are accessible. Designer or installer is to verify that the HVAC equipment is able to accommodate the greater pressure drop of MERV 8 to 13 filters.</t>
    </r>
  </si>
  <si>
    <t>902.2.4</t>
  </si>
  <si>
    <r>
      <t xml:space="preserve">902.2.4 </t>
    </r>
    <r>
      <rPr>
        <sz val="10"/>
        <color theme="1"/>
        <rFont val="Calibri"/>
        <family val="2"/>
        <scheme val="minor"/>
      </rPr>
      <t>MERV filters 14 or greater are installed on central forced air systems and are accessible. Designer or installer is to verify that the HVAC equipment is able to accommodate the greater pressure drop of the filter used.</t>
    </r>
  </si>
  <si>
    <t>Buildings located in Zone 1</t>
  </si>
  <si>
    <t>Buildings located in Zone 2 or Zone 3</t>
  </si>
  <si>
    <r>
      <t>902.4 HVAC system protection.</t>
    </r>
    <r>
      <rPr>
        <sz val="10"/>
        <color theme="1"/>
        <rFont val="Calibri"/>
        <family val="2"/>
        <scheme val="minor"/>
      </rPr>
      <t xml:space="preserve"> One of the following HVAC system protection measures is performed. </t>
    </r>
  </si>
  <si>
    <t>HVAC supply registers (boots), return grilles, and rough-ins are covered during construction activities to prevent dust and other pollutants from entering the system.</t>
  </si>
  <si>
    <t>Prior to owner occupancy, HVAC supply registers (boots), return grilles, and duct terminations are inspected and vacuumed. In addition, the coils are inspected and cleaned and the filter is replaced if necessary.</t>
  </si>
  <si>
    <r>
      <t>902.5 Central vacuum systems.</t>
    </r>
    <r>
      <rPr>
        <sz val="10"/>
        <color theme="1"/>
        <rFont val="Calibri"/>
        <family val="2"/>
        <scheme val="minor"/>
      </rPr>
      <t xml:space="preserve"> Central vacuum system is installed and vented to the outside.</t>
    </r>
  </si>
  <si>
    <r>
      <t>902.6 Living space contaminants.</t>
    </r>
    <r>
      <rPr>
        <sz val="10"/>
        <color theme="1"/>
        <rFont val="Calibri"/>
        <family val="2"/>
        <scheme val="minor"/>
      </rPr>
      <t xml:space="preserve"> The living space is sealed in accordance with Section 701.4.3.1 to prevent unwanted contaminants.</t>
    </r>
  </si>
  <si>
    <t>903 MOISTURE MANAGEMENT: VAPOR, RAINWATER, PLUMBING, HVAC</t>
  </si>
  <si>
    <r>
      <t>903.0 Intent.</t>
    </r>
    <r>
      <rPr>
        <sz val="10"/>
        <color theme="1"/>
        <rFont val="Calibri"/>
        <family val="2"/>
        <scheme val="minor"/>
      </rPr>
      <t xml:space="preserve"> Moisture and moisture effects are controlled.</t>
    </r>
  </si>
  <si>
    <t>903.1.1</t>
  </si>
  <si>
    <t>903.1.2</t>
  </si>
  <si>
    <r>
      <t>903.2 Duct insulation.</t>
    </r>
    <r>
      <rPr>
        <sz val="10"/>
        <color theme="1"/>
        <rFont val="Calibri"/>
        <family val="2"/>
        <scheme val="minor"/>
      </rPr>
      <t xml:space="preserve"> Ducts are in accordance with one of the following.</t>
    </r>
  </si>
  <si>
    <t>All HVAC ducts, plenums, and trunks are located in conditioned space.</t>
  </si>
  <si>
    <t>All HVAC ducts, plenums, and trunks are in conditioned space. All HVAC ducts are insulated to a minimum of R4.</t>
  </si>
  <si>
    <t>additional dehumidification system(s)</t>
  </si>
  <si>
    <t>central HVAC system equipped with additional controls to operate in dehumidification mode</t>
  </si>
  <si>
    <t xml:space="preserve">904 INDOOR AIR QUALITY </t>
  </si>
  <si>
    <r>
      <t xml:space="preserve">904.0 Intent. </t>
    </r>
    <r>
      <rPr>
        <sz val="10"/>
        <color theme="1"/>
        <rFont val="Calibri"/>
        <family val="2"/>
        <scheme val="minor"/>
      </rPr>
      <t>IAQ is protected by best practices to control ventilation, moisture, pollutant sources and sanitation.</t>
    </r>
  </si>
  <si>
    <r>
      <t>904.1</t>
    </r>
    <r>
      <rPr>
        <sz val="10"/>
        <color theme="1"/>
        <rFont val="Calibri"/>
        <family val="2"/>
        <scheme val="minor"/>
      </rPr>
      <t xml:space="preserve"> </t>
    </r>
    <r>
      <rPr>
        <b/>
        <sz val="10"/>
        <color theme="1"/>
        <rFont val="Calibri"/>
        <family val="2"/>
        <scheme val="minor"/>
      </rPr>
      <t>Indoor Air Quality (IAQ) During Construction.</t>
    </r>
    <r>
      <rPr>
        <sz val="10"/>
        <color theme="1"/>
        <rFont val="Calibri"/>
        <family val="2"/>
        <scheme val="minor"/>
      </rPr>
      <t xml:space="preserve"> Wood is dry before close-in (602.1.7.1(3)), materials comply with emission criteria (901.4- 901.11), sources of water infiltration or condensation observed during construction have been eliminated, accessible interior surfaces are dry and free of visible suspect growth (per ASTM D7338-10 section 6.3), and water damage (per ASTM D7338-10 section 7.4.3).</t>
    </r>
  </si>
  <si>
    <r>
      <t>904.2</t>
    </r>
    <r>
      <rPr>
        <sz val="10"/>
        <color theme="1"/>
        <rFont val="Calibri"/>
        <family val="2"/>
        <scheme val="minor"/>
      </rPr>
      <t xml:space="preserve"> </t>
    </r>
    <r>
      <rPr>
        <b/>
        <sz val="10"/>
        <color theme="1"/>
        <rFont val="Calibri"/>
        <family val="2"/>
        <scheme val="minor"/>
      </rPr>
      <t xml:space="preserve">Indoor Air Quality (IAQ) Post Completion. </t>
    </r>
    <r>
      <rPr>
        <sz val="10"/>
        <color theme="1"/>
        <rFont val="Calibri"/>
        <family val="2"/>
        <scheme val="minor"/>
      </rPr>
      <t>Verify there are no moisture, mold, and dust issues per 602.1.7.1(3), 901.4-901.11, ASTM D7338 Section 6.3, and ASTM D7338 Section 7.4.3.</t>
    </r>
  </si>
  <si>
    <t>905 INNOVATIVE PRACTICES</t>
  </si>
  <si>
    <r>
      <t>905.1 Humidity monitoring system.</t>
    </r>
    <r>
      <rPr>
        <sz val="10"/>
        <color theme="1"/>
        <rFont val="Calibri"/>
        <family val="2"/>
        <scheme val="minor"/>
      </rPr>
      <t xml:space="preserve"> A humidity monitoring system is installed with a mobile base unit that displays readings of temperature and relative humidity. The system has a minimum of two remote sensor units. One remote sensor unit is placed permanently inside the conditioned space in a central location, excluding attachment to exterior walls, and another remote sensor unit is placed permanently outside of the conditioned space.</t>
    </r>
  </si>
  <si>
    <r>
      <t>905.2 Kitchen exhaust.</t>
    </r>
    <r>
      <rPr>
        <sz val="10"/>
        <color theme="1"/>
        <rFont val="Calibri"/>
        <family val="2"/>
        <scheme val="minor"/>
      </rPr>
      <t xml:space="preserve"> A kitchen exhaust unit(s) that equals or exceeds 400 cfm (189 L/s) is installed, and makeup air is provided.</t>
    </r>
  </si>
  <si>
    <r>
      <t>1001.0 Intent.</t>
    </r>
    <r>
      <rPr>
        <sz val="10"/>
        <color theme="1"/>
        <rFont val="Calibri"/>
        <family val="2"/>
        <scheme val="minor"/>
      </rPr>
      <t xml:space="preserve"> Information on the building’s use, maintenance, and green components is provided. </t>
    </r>
  </si>
  <si>
    <r>
      <t>1001.1</t>
    </r>
    <r>
      <rPr>
        <sz val="10"/>
        <color theme="1"/>
        <rFont val="Calibri"/>
        <family val="2"/>
        <scheme val="minor"/>
      </rPr>
      <t xml:space="preserve"> A homeowner’s manual is provided and stored in a permanent location in the dwelling that includes the following, as available and applicable.</t>
    </r>
  </si>
  <si>
    <t>A National Green Building Standard certificate with weblink and  completion document.</t>
  </si>
  <si>
    <t>List of green building features (can include the national green building checklist).</t>
  </si>
  <si>
    <t>Product manufacturer’s manuals or product data sheet for installed major equipment, fixtures, and appliances. If product data sheet is in the building owners’ manual, manufacturer’s manual may be attached to the appliance in lieu of inclusion in the building owners’ manual.</t>
  </si>
  <si>
    <t>Maintenance checklist.</t>
  </si>
  <si>
    <t>Information on local recycling and composting programs.</t>
  </si>
  <si>
    <t>Information on available local utility programs that purchase a portion of energy from renewable energy providers.</t>
  </si>
  <si>
    <t>Explanation of the benefits of using energy-efficient lighting systems [e.g., compact fluorescent light bulbs, light emitting diode (LED)] in high-usage areas.</t>
  </si>
  <si>
    <t>A list of practices to conserve water and energy.</t>
  </si>
  <si>
    <t>Information on the importance and operation of the home's fresh air ventilation system.</t>
  </si>
  <si>
    <t>Local public transportation options.</t>
  </si>
  <si>
    <t>A diagram showing the location of safety valves and controls for major building systems.</t>
  </si>
  <si>
    <t>Where frost-protected shallow foundations are used, owner is informed of precautions including:</t>
  </si>
  <si>
    <t>instructions to not remove or damage insulation when modifying landscaping.</t>
  </si>
  <si>
    <t>providing heat to the building as required by the ICC IRC or IBC.</t>
  </si>
  <si>
    <t>keeping base materials beneath and around the building free from moisture caused by broken water pipes or other water sources.</t>
  </si>
  <si>
    <t>(13)</t>
  </si>
  <si>
    <t>A list of local service providers that offer regularly scheduled service and maintenance contracts to ensure proper performance of equipment and the structure (e.g., HVAC, water-heating equipment, sealants, caulks, gutter and downspout system, shower and/or tub surrounds, irrigation system).</t>
  </si>
  <si>
    <t>(14)</t>
  </si>
  <si>
    <t>A photo record of framing with utilities installed. Photos are taken prior to installing insulation, clearly labeled, and included as part of the building owners’ manual.</t>
  </si>
  <si>
    <t>(15)</t>
  </si>
  <si>
    <t>List of common hazardous materials often used around the building and instructions for proper handling and disposal of these materials.</t>
  </si>
  <si>
    <t>(16)</t>
  </si>
  <si>
    <t>Information on organic pest control, fertilizers, deicers, and cleaning products.</t>
  </si>
  <si>
    <t>(17)</t>
  </si>
  <si>
    <t>Information on native landscape materials and/or those that have low water requirements.</t>
  </si>
  <si>
    <t>(18)</t>
  </si>
  <si>
    <t>Information on methods of maintaining the building’s relative humidity in the range of 30 percent to 60 percent.</t>
  </si>
  <si>
    <t>(19)</t>
  </si>
  <si>
    <t>Instructions for inspecting the building for termite infestation.</t>
  </si>
  <si>
    <t>(20)</t>
  </si>
  <si>
    <t>Instructions for maintaining gutters and downspouts and importance of diverting water a minimum of 5 feet away from foundation.</t>
  </si>
  <si>
    <t>(21)</t>
  </si>
  <si>
    <t>A narrative detailing the importance of maintenance and operation in retaining the attributes of a green-built building.</t>
  </si>
  <si>
    <t>(22)</t>
  </si>
  <si>
    <t>Where stormwater management measures are installed on the lot, information on the location, purpose, and upkeep of these measures.</t>
  </si>
  <si>
    <t>(23)</t>
  </si>
  <si>
    <t>Explanation of and benefits from green cleaning in the home.</t>
  </si>
  <si>
    <t>(24)</t>
  </si>
  <si>
    <t>Retrofit energy calculator that provides baseline for future energy retrofits.</t>
  </si>
  <si>
    <r>
      <t>1001. 2</t>
    </r>
    <r>
      <rPr>
        <sz val="10"/>
        <color theme="1"/>
        <rFont val="Calibri"/>
        <family val="2"/>
        <scheme val="minor"/>
      </rPr>
      <t xml:space="preserve"> </t>
    </r>
    <r>
      <rPr>
        <b/>
        <sz val="10"/>
        <color theme="1"/>
        <rFont val="Calibri"/>
        <family val="2"/>
        <scheme val="minor"/>
      </rPr>
      <t>Training of initial homeowners.</t>
    </r>
    <r>
      <rPr>
        <sz val="10"/>
        <color theme="1"/>
        <rFont val="Calibri"/>
        <family val="2"/>
        <scheme val="minor"/>
      </rPr>
      <t xml:space="preserve"> Initial homeowners are familiarized with the role of occupants in achieving green goals. Training is provided to the responsible party(ies) regarding equipment operation and maintenance, control systems, and occupant actions that will improve the environmental performance of the building. These include:</t>
    </r>
  </si>
  <si>
    <t>HVAC filters.</t>
  </si>
  <si>
    <t>Thermostat operation and programming.</t>
  </si>
  <si>
    <t>Lighting controls.</t>
  </si>
  <si>
    <t>Appliances operation.</t>
  </si>
  <si>
    <t>Water heater settings and hot water use.</t>
  </si>
  <si>
    <t>Fan controls.</t>
  </si>
  <si>
    <t>Recycling and composting practices.</t>
  </si>
  <si>
    <t>1002 CONSTRUCTION, OPERATION, AND MAINTENANCE MANUALS AND TRAINING FOR MULTI-UNIT BUILDINGS</t>
  </si>
  <si>
    <r>
      <t>1002.0 Intent.</t>
    </r>
    <r>
      <rPr>
        <sz val="10"/>
        <color theme="1"/>
        <rFont val="Calibri"/>
        <family val="2"/>
        <scheme val="minor"/>
      </rPr>
      <t xml:space="preserve"> Manuals are provided to the responsible parties (owner, management, tenant, and/or maintenance team) regarding the construction, operation, and maintenance of the building. Paper or digital format manuals are to include information regarding those aspects of the building’s construction, maintenance, and operation that are within the area of responsibilities of the respective recipient. One or more responsible parties are to receive a copy of all documentation for archival purposes.</t>
    </r>
  </si>
  <si>
    <t>A narrative detailing the importance of constructing a green building, including a list of green building attributes included in the building. This narrative is included in all responsible parties’ manuals.</t>
  </si>
  <si>
    <r>
      <t xml:space="preserve">A local green building program certificate as well as a copy of the </t>
    </r>
    <r>
      <rPr>
        <i/>
        <sz val="10"/>
        <color theme="1"/>
        <rFont val="Calibri"/>
        <family val="2"/>
        <scheme val="minor"/>
      </rPr>
      <t>National Green Building Standard</t>
    </r>
    <r>
      <rPr>
        <i/>
        <vertAlign val="superscript"/>
        <sz val="10"/>
        <color theme="1"/>
        <rFont val="Calibri"/>
        <family val="2"/>
        <scheme val="minor"/>
      </rPr>
      <t>TM</t>
    </r>
    <r>
      <rPr>
        <sz val="10"/>
        <color theme="1"/>
        <rFont val="Calibri"/>
        <family val="2"/>
        <scheme val="minor"/>
      </rPr>
      <t>, as adopted by the Adopting Entity, and the individual measures achieved by the building.</t>
    </r>
  </si>
  <si>
    <t>Warranty, operation, and maintenance instructions for all equipment, fixtures, appliances, and finishes.</t>
  </si>
  <si>
    <t>Record drawings of the building.</t>
  </si>
  <si>
    <t>A record drawing of the site including stormwater management plans, utility lines, landscaping with common name and genus/species of plantings.</t>
  </si>
  <si>
    <t>A list of the type and wattage of light bulbs installed in light fixtures.</t>
  </si>
  <si>
    <t>A photo record of framing with utilities installed. Photos are taken prior to installing insulation and clearly labeled.</t>
  </si>
  <si>
    <t>A narrative detailing the importance of operating and living in a green building. This narrative is included in all responsible parties’ manuals.</t>
  </si>
  <si>
    <t>A list of practices to conserve water and energy (e.g., turning off lights when not in use, switching the rotation of ceiling fans in changing seasons, purchasing ENERGY STAR appliances and electronics).</t>
  </si>
  <si>
    <t>Information on opportunities to purchase renewable energy from local utilities or national green power providers and information on utility and tax incentives for the installation of on-site renewable energy systems.</t>
  </si>
  <si>
    <t>Information on local and on-site recycling and hazardous waste disposal programs and, if applicable, building recycling and hazardous waste handling and disposal procedures.</t>
  </si>
  <si>
    <t>Explanation of the benefits of using compact fluorescent light bulbs, LEDs, or other high-efficiency lighting.</t>
  </si>
  <si>
    <t>Information on the radon mitigation system, where applicable.</t>
  </si>
  <si>
    <t>A procedure for educating tenants in rental properties on the proper use, benefits, and maintenance of green building systems including a maintenance staff notification process for improperly functioning equipment.</t>
  </si>
  <si>
    <t>Information on the importance and operation of the building’s fresh air ventilation system.</t>
  </si>
  <si>
    <t>A narrative detailing the importance of maintaining a green building. This narrative is included in all responsible parties’ manuals.</t>
  </si>
  <si>
    <t>User-friendly maintenance checklist that includes:</t>
  </si>
  <si>
    <t>HVAC filters</t>
  </si>
  <si>
    <t>thermostat operation and programming</t>
  </si>
  <si>
    <t>lighting controls</t>
  </si>
  <si>
    <t>appliances and settings</t>
  </si>
  <si>
    <t>water heater settings</t>
  </si>
  <si>
    <t>fan controls</t>
  </si>
  <si>
    <t>Instructions for maintaining gutters and downspouts and the importance of diverting water a minimum of 5 feet away from foundation.</t>
  </si>
  <si>
    <t>A procedure for rental tenant occupancy turnover that preserves the green features.</t>
  </si>
  <si>
    <t>An outline of a formal green building training program for maintenance staff.</t>
  </si>
  <si>
    <t>A green cleaning plan which includes guidance on sustainable cleaning products.</t>
  </si>
  <si>
    <r>
      <t>1002.4 Training of building owners.</t>
    </r>
    <r>
      <rPr>
        <sz val="10"/>
        <color theme="1"/>
        <rFont val="Calibri"/>
        <family val="2"/>
        <scheme val="minor"/>
      </rPr>
      <t xml:space="preserve"> Building owners are familiarized with the role of occupants in achieving green goals. On-site training is provided to the responsible party(ies) regarding equipment operation and maintenance, control systems, and occupant actions that will improve the environmental performance of the building. These include:</t>
    </r>
  </si>
  <si>
    <t>appliances operation</t>
  </si>
  <si>
    <t>water heater settings and hot water use</t>
  </si>
  <si>
    <t>recycling and composting practices</t>
  </si>
  <si>
    <t xml:space="preserve">1003 PUBLIC EDUCATION </t>
  </si>
  <si>
    <r>
      <t xml:space="preserve">1003.0 </t>
    </r>
    <r>
      <rPr>
        <sz val="10"/>
        <color theme="1"/>
        <rFont val="Calibri"/>
        <family val="2"/>
        <scheme val="minor"/>
      </rPr>
      <t xml:space="preserve"> </t>
    </r>
    <r>
      <rPr>
        <b/>
        <sz val="10"/>
        <color theme="1"/>
        <rFont val="Calibri"/>
        <family val="2"/>
        <scheme val="minor"/>
      </rPr>
      <t xml:space="preserve">Intent. </t>
    </r>
    <r>
      <rPr>
        <sz val="10"/>
        <color theme="1"/>
        <rFont val="Calibri"/>
        <family val="2"/>
        <scheme val="minor"/>
      </rPr>
      <t>Increase public awareness of the National Green Building Standard and projects constructed in accordance with National Green Building Standard to help increase demand for high-performance homes.</t>
    </r>
  </si>
  <si>
    <r>
      <t xml:space="preserve">1003.1 Public Education. </t>
    </r>
    <r>
      <rPr>
        <sz val="10"/>
        <color theme="1"/>
        <rFont val="Calibri"/>
        <family val="2"/>
        <scheme val="minor"/>
      </rPr>
      <t>One or more of the following is implemented:</t>
    </r>
  </si>
  <si>
    <t>2 Max</t>
  </si>
  <si>
    <r>
      <t>Signage.</t>
    </r>
    <r>
      <rPr>
        <sz val="10"/>
        <color theme="1"/>
        <rFont val="Calibri"/>
        <family val="2"/>
        <scheme val="minor"/>
      </rPr>
      <t xml:space="preserve"> Signs showing the project is designed and built in accordance with the National Green Building Standard are posted on the construction site.</t>
    </r>
  </si>
  <si>
    <r>
      <t xml:space="preserve">Certification Plaques. </t>
    </r>
    <r>
      <rPr>
        <sz val="10"/>
        <color theme="1"/>
        <rFont val="Calibri"/>
        <family val="2"/>
        <scheme val="minor"/>
      </rPr>
      <t>National Green Building Standard certification plaques with rating level attainted are placed in a conspicuous location near the utility area of the home or, in a conspicuous location near the main entrance of a multifamily building.</t>
    </r>
  </si>
  <si>
    <r>
      <t xml:space="preserve">Education. </t>
    </r>
    <r>
      <rPr>
        <sz val="10"/>
        <color theme="1"/>
        <rFont val="Calibri"/>
        <family val="2"/>
        <scheme val="minor"/>
      </rPr>
      <t>A URL for the National Green Building Standard is included on site signage, builder website (or property website for multifamily buildings), and marketing materials for homes certified under the National Green Building Standard.</t>
    </r>
  </si>
  <si>
    <t>1004 POST OCCUPANCY PERFORMANCE ASSESSMENT</t>
  </si>
  <si>
    <r>
      <t xml:space="preserve">1004.0 Intent. </t>
    </r>
    <r>
      <rPr>
        <sz val="10"/>
        <color theme="1"/>
        <rFont val="Calibri"/>
        <family val="2"/>
        <scheme val="minor"/>
      </rPr>
      <t>A verification system for post occupancy assessment of the building is intended to be a management tool for the building owner to determine if energy or water usage have deviated from expected levels so that inspection and correction action can be taken.</t>
    </r>
  </si>
  <si>
    <r>
      <t xml:space="preserve">1004.1 </t>
    </r>
    <r>
      <rPr>
        <sz val="10"/>
        <color theme="1"/>
        <rFont val="Calibri"/>
        <family val="2"/>
        <scheme val="minor"/>
      </rPr>
      <t>A verification system plan is provided in the building owner’s manual (Sections 1001 or 1002).  The verification system provides methods for demonstrating continued energy and water savings that are determined from the building’s initial year of occupancy of water and energy consumption as compared to annualized consumption at least every four years.</t>
    </r>
    <r>
      <rPr>
        <b/>
        <sz val="10"/>
        <color theme="1"/>
        <rFont val="Calibri"/>
        <family val="2"/>
        <scheme val="minor"/>
      </rPr>
      <t xml:space="preserve">  </t>
    </r>
  </si>
  <si>
    <t>Verification system is installed in the building to monitor post-occupancy energy and water use.</t>
  </si>
  <si>
    <r>
      <t xml:space="preserve"> </t>
    </r>
    <r>
      <rPr>
        <b/>
        <sz val="10"/>
        <color theme="1"/>
        <rFont val="Calibri"/>
        <family val="2"/>
      </rPr>
      <t>(Points awarded per two items. Points awarded for non-mandatory items.)</t>
    </r>
  </si>
  <si>
    <t>1001 HOMEOWNER’S MANUAL AND TRAINING GUIDELINES FOR ONE- AND TWO-FAMILY DWELLINGS</t>
  </si>
  <si>
    <t>(Points awarded per two items. Points awarded for non-mandatory items.)</t>
  </si>
  <si>
    <t>1
8 Max</t>
  </si>
  <si>
    <r>
      <t xml:space="preserve">1002.1 Building construction manual. </t>
    </r>
    <r>
      <rPr>
        <sz val="10"/>
        <color theme="1"/>
        <rFont val="Calibri"/>
        <family val="2"/>
        <scheme val="minor"/>
      </rPr>
      <t xml:space="preserve">A building construction manual, including </t>
    </r>
    <r>
      <rPr>
        <sz val="10"/>
        <color rgb="FFFF0000"/>
        <rFont val="Calibri"/>
        <family val="2"/>
        <scheme val="minor"/>
      </rPr>
      <t>five or more</t>
    </r>
    <r>
      <rPr>
        <sz val="10"/>
        <color theme="1"/>
        <rFont val="Calibri"/>
        <family val="2"/>
        <scheme val="minor"/>
      </rPr>
      <t xml:space="preserve"> of the following, is compiled and distributed in accordance with Section 1002.0.</t>
    </r>
  </si>
  <si>
    <r>
      <t xml:space="preserve">1002.2 Operations manual. </t>
    </r>
    <r>
      <rPr>
        <sz val="10"/>
        <color theme="1"/>
        <rFont val="Calibri"/>
        <family val="2"/>
        <scheme val="minor"/>
      </rPr>
      <t xml:space="preserve">Operations manuals are created and distributed to the responsible parties in accordance with Section 1002.0. Between all of the operation manuals, </t>
    </r>
    <r>
      <rPr>
        <sz val="10"/>
        <color rgb="FFFF0000"/>
        <rFont val="Calibri"/>
        <family val="2"/>
        <scheme val="minor"/>
      </rPr>
      <t>five or more</t>
    </r>
    <r>
      <rPr>
        <sz val="10"/>
        <color theme="1"/>
        <rFont val="Calibri"/>
        <family val="2"/>
        <scheme val="minor"/>
      </rPr>
      <t xml:space="preserve"> of the following options are included.</t>
    </r>
  </si>
  <si>
    <r>
      <t>1002.3 Maintenance manual.</t>
    </r>
    <r>
      <rPr>
        <sz val="10"/>
        <color theme="1"/>
        <rFont val="Calibri"/>
        <family val="2"/>
        <scheme val="minor"/>
      </rPr>
      <t xml:space="preserve"> Maintenance manuals are created and distributed to the responsible parties in accordance with Section 1002.0. Between all of the maintenance manuals, </t>
    </r>
    <r>
      <rPr>
        <sz val="10"/>
        <color rgb="FFFF0000"/>
        <rFont val="Calibri"/>
        <family val="2"/>
        <scheme val="minor"/>
      </rPr>
      <t>five or more</t>
    </r>
    <r>
      <rPr>
        <sz val="10"/>
        <color theme="1"/>
        <rFont val="Calibri"/>
        <family val="2"/>
        <scheme val="minor"/>
      </rPr>
      <t xml:space="preserve"> of the following options are included.</t>
    </r>
  </si>
  <si>
    <t>END OF CHAPTER 10</t>
  </si>
  <si>
    <t>(Points are awarded only for buildings that use natural draft combustion space or water heating equipment.)</t>
  </si>
  <si>
    <t>Note: Points are only available for lots with slopes of 25% or greater.</t>
  </si>
  <si>
    <t>path:</t>
  </si>
  <si>
    <t>705 ct.:</t>
  </si>
  <si>
    <t>NOTE: List the reviewer in the assigned Notes field.</t>
  </si>
  <si>
    <t>Not Primary Heat</t>
  </si>
  <si>
    <t>No Radiant or Hydronic</t>
  </si>
  <si>
    <t>Type of Heating System (main system):</t>
  </si>
  <si>
    <t>dstHeat1</t>
  </si>
  <si>
    <t>dstHeat2</t>
  </si>
  <si>
    <t>dstHeat3</t>
  </si>
  <si>
    <t>ddHeat1</t>
  </si>
  <si>
    <t>ddHeat2</t>
  </si>
  <si>
    <t>ddHeat3</t>
  </si>
  <si>
    <t>Type of Heating System (system 2):</t>
  </si>
  <si>
    <t>Type of Heating System (system 3):</t>
  </si>
  <si>
    <t>Type of Cooling System (main system):</t>
  </si>
  <si>
    <t>Type of Cooling System (system 2):</t>
  </si>
  <si>
    <t>Type of Cooling System (system 3):</t>
  </si>
  <si>
    <t>ddCool1</t>
  </si>
  <si>
    <t>dstCool1</t>
  </si>
  <si>
    <t>ddCool2</t>
  </si>
  <si>
    <t>dstCool2</t>
  </si>
  <si>
    <t>ddCool3</t>
  </si>
  <si>
    <t>dstCool3</t>
  </si>
  <si>
    <t>Heating Ducts:</t>
  </si>
  <si>
    <t>ddHDucts</t>
  </si>
  <si>
    <t>dstHDucts</t>
  </si>
  <si>
    <t>Cooling Ducts:</t>
  </si>
  <si>
    <t>ddCDucts</t>
  </si>
  <si>
    <t>dstCDucts</t>
  </si>
  <si>
    <t>Ducted</t>
  </si>
  <si>
    <t>Ductless</t>
  </si>
  <si>
    <t>No System</t>
  </si>
  <si>
    <t>Gas Engine-Driven Heat Pump</t>
  </si>
  <si>
    <t>701.4.3.3 Exception:</t>
  </si>
  <si>
    <t>See Table 701.4.3.2(2)</t>
  </si>
  <si>
    <t>c. Basement wall U-factor of 0.360 in warm-humid locations.</t>
  </si>
  <si>
    <r>
      <t>b.</t>
    </r>
    <r>
      <rPr>
        <sz val="7"/>
        <color rgb="FF000000"/>
        <rFont val="Times New Roman"/>
        <family val="1"/>
      </rPr>
      <t xml:space="preserve">  </t>
    </r>
    <r>
      <rPr>
        <sz val="10"/>
        <color rgb="FF000000"/>
        <rFont val="Calibri"/>
        <family val="2"/>
      </rPr>
      <t>Where more the half the insulation is on the interior, the mass wall U-factors is a maximum of 0.17 in Zone 1, 0.14 in Zone 2, 0.12 in Zone 3, 0.10 in Zone 4 except in Marine, and the same as the frame wall U-factor in Marine Zone 4 and Zones 5 through 8.</t>
    </r>
  </si>
  <si>
    <r>
      <t>a.</t>
    </r>
    <r>
      <rPr>
        <sz val="7"/>
        <color rgb="FF000000"/>
        <rFont val="Times New Roman"/>
        <family val="1"/>
      </rPr>
      <t xml:space="preserve">  </t>
    </r>
    <r>
      <rPr>
        <sz val="10"/>
        <color rgb="FF000000"/>
        <rFont val="Calibri"/>
        <family val="2"/>
      </rPr>
      <t>Non-fenestration U-factors shall be obtained from measurement, calculation, or an approved source.</t>
    </r>
  </si>
  <si>
    <t>7 and 8</t>
  </si>
  <si>
    <t>5 and Marine 4</t>
  </si>
  <si>
    <t>4 except Marine</t>
  </si>
  <si>
    <r>
      <t>0.091</t>
    </r>
    <r>
      <rPr>
        <vertAlign val="superscript"/>
        <sz val="10"/>
        <color rgb="FF000000"/>
        <rFont val="Calibri"/>
        <family val="2"/>
        <scheme val="minor"/>
      </rPr>
      <t>C</t>
    </r>
  </si>
  <si>
    <t>Crawlspace Wall U-Factor</t>
  </si>
  <si>
    <t>Basement Wall U-Factor</t>
  </si>
  <si>
    <t>Floor U-Factor</t>
  </si>
  <si>
    <t>Mass Wall U-Factor</t>
  </si>
  <si>
    <t>Frame Wall U-Factor</t>
  </si>
  <si>
    <t>Ceiling U-Factor</t>
  </si>
  <si>
    <t>Skylight U-Factor</t>
  </si>
  <si>
    <t>Fenestration U- Factor</t>
  </si>
  <si>
    <t>Climate Zone</t>
  </si>
  <si>
    <t>Table 703.2.1(a)</t>
  </si>
  <si>
    <t>Air Barrier and Insulation Installation</t>
  </si>
  <si>
    <t>Table 701.4.3.2(2)</t>
  </si>
  <si>
    <t xml:space="preserve">Exception: Tropical Climate Zone, crawl space, basement, floor u-factors are not applicable. </t>
  </si>
  <si>
    <r>
      <t xml:space="preserve">a. </t>
    </r>
    <r>
      <rPr>
        <sz val="10"/>
        <color rgb="FF000000"/>
        <rFont val="Calibri"/>
        <family val="2"/>
        <scheme val="minor"/>
      </rPr>
      <t>Tropical Climate Zone: Points are Climate Zone 1 points divided by 2 and rounded down</t>
    </r>
  </si>
  <si>
    <r>
      <rPr>
        <u/>
        <sz val="10"/>
        <color theme="1"/>
        <rFont val="Calibri"/>
        <family val="2"/>
      </rPr>
      <t>&gt;</t>
    </r>
    <r>
      <rPr>
        <sz val="10"/>
        <color theme="1"/>
        <rFont val="Calibri"/>
        <family val="2"/>
      </rPr>
      <t>35%</t>
    </r>
  </si>
  <si>
    <t>30% to &lt;35%</t>
  </si>
  <si>
    <t>25% to &lt;30%</t>
  </si>
  <si>
    <t>20% to &lt;25%</t>
  </si>
  <si>
    <t>15% to &lt;20%</t>
  </si>
  <si>
    <t>10% to &lt;15%</t>
  </si>
  <si>
    <t>5% to &lt;10%</t>
  </si>
  <si>
    <t>0 to &lt;5%</t>
  </si>
  <si>
    <r>
      <t>1</t>
    </r>
    <r>
      <rPr>
        <vertAlign val="superscript"/>
        <sz val="10"/>
        <color theme="1"/>
        <rFont val="Calibri"/>
        <family val="2"/>
      </rPr>
      <t>a</t>
    </r>
  </si>
  <si>
    <t>Minimum UA Improvement</t>
  </si>
  <si>
    <t>Points for Improvement in Total Building Thermal Envelope UA</t>
  </si>
  <si>
    <t>Table 703.2.1(b)</t>
  </si>
  <si>
    <t>&gt;6 inch</t>
  </si>
  <si>
    <r>
      <rPr>
        <u/>
        <sz val="10"/>
        <color theme="1"/>
        <rFont val="Calibri"/>
        <family val="2"/>
      </rPr>
      <t>&gt;</t>
    </r>
    <r>
      <rPr>
        <sz val="10"/>
        <color theme="1"/>
        <rFont val="Calibri"/>
        <family val="2"/>
      </rPr>
      <t>3 inch to</t>
    </r>
    <r>
      <rPr>
        <u/>
        <sz val="10"/>
        <color theme="1"/>
        <rFont val="Calibri"/>
        <family val="2"/>
      </rPr>
      <t xml:space="preserve"> &gt;</t>
    </r>
    <r>
      <rPr>
        <sz val="10"/>
        <color theme="1"/>
        <rFont val="Calibri"/>
        <family val="2"/>
      </rPr>
      <t>6 inch</t>
    </r>
  </si>
  <si>
    <t>7-8</t>
  </si>
  <si>
    <t>1-4</t>
  </si>
  <si>
    <t>Mass thickness</t>
  </si>
  <si>
    <t>Exterior Mass Walls</t>
  </si>
  <si>
    <t>Table 703.2.2</t>
  </si>
  <si>
    <t>Tropical</t>
  </si>
  <si>
    <t>(Points not awarded if points are taken under Section 705.6.2.1)</t>
  </si>
  <si>
    <t>-</t>
  </si>
  <si>
    <t>Max Envelope Leakage Rate (ACH50)</t>
  </si>
  <si>
    <t>Building Envelope Leakage</t>
  </si>
  <si>
    <t>Exception: For Sun-tempered designs meeting the requirements of Section 703.7.1, the SHGC is permitted to be 0.40 or higher on south facing glass.</t>
  </si>
  <si>
    <t>Any</t>
  </si>
  <si>
    <t>5 to 8</t>
  </si>
  <si>
    <t>Skylights and TDDs (maximums certified ratings)</t>
  </si>
  <si>
    <t>Windows and Exterior Doors (maximums certified ratings)</t>
  </si>
  <si>
    <t>SHGC</t>
  </si>
  <si>
    <t>U-Factor</t>
  </si>
  <si>
    <t>Climate Zones</t>
  </si>
  <si>
    <t>Fenestration Specifications</t>
  </si>
  <si>
    <t>Table 703.2.5.1</t>
  </si>
  <si>
    <t>(Points for multifamily buildings four or more stories in height are awarded at 3 times the point value listed in Table 703.2.5.2(c))</t>
  </si>
  <si>
    <t>5-8</t>
  </si>
  <si>
    <t>SHGC Skylights &amp; TDDs</t>
  </si>
  <si>
    <t>U-Factor Skylights &amp; TDDs</t>
  </si>
  <si>
    <t>SHGC Windows &amp; Exterior Doors</t>
  </si>
  <si>
    <t>U-Factor Windows &amp; Exterior Doors</t>
  </si>
  <si>
    <t>Enhanced Fenestration Specifications</t>
  </si>
  <si>
    <t>Table 703.2.5.2(c)</t>
  </si>
  <si>
    <t>Table 703.2.5.2(b)</t>
  </si>
  <si>
    <t>Table 703.2.5.2(a)</t>
  </si>
  <si>
    <t>Electric Heat Pump Heating</t>
  </si>
  <si>
    <t>1' 0"</t>
  </si>
  <si>
    <t>1' 4"</t>
  </si>
  <si>
    <t>1' 8"</t>
  </si>
  <si>
    <t>2' 0"</t>
  </si>
  <si>
    <t>7 &amp; 8</t>
  </si>
  <si>
    <t>2' 4"</t>
  </si>
  <si>
    <t>4 &amp; 5 &amp; 6</t>
  </si>
  <si>
    <t>2' 8"</t>
  </si>
  <si>
    <t>1 &amp; 2 &amp; 3</t>
  </si>
  <si>
    <t>≤3' 4"</t>
  </si>
  <si>
    <t>≤4' 4"</t>
  </si>
  <si>
    <t>≤5' 4"</t>
  </si>
  <si>
    <t>≤6' 4"</t>
  </si>
  <si>
    <t>≤7' 4"</t>
  </si>
  <si>
    <t xml:space="preserve">Vertical distance between bottom of overhang and top of window sill </t>
  </si>
  <si>
    <t>South-Facing Window Overhang Depth</t>
  </si>
  <si>
    <t>Table 703.7.1(7)</t>
  </si>
  <si>
    <t>dstFloors</t>
  </si>
  <si>
    <t>Points per formula</t>
  </si>
  <si>
    <t>DO NOT PASTE ANYTHING INTO THE WORKSHEET. CELL PROTECTION, VALIDATION, AND CONDITIONAL FORMATTING CAN BE ALTERED BY PASTING. THIS WILL BREAK YOUR SHEET.</t>
  </si>
  <si>
    <t>Home Address:</t>
  </si>
  <si>
    <t>There is mandatory information or practices missing from this Page!</t>
  </si>
  <si>
    <t>There are errors on this page!</t>
  </si>
  <si>
    <t>There is mandatory information or practices missing from this Chapter!</t>
  </si>
  <si>
    <t>ATFS</t>
  </si>
  <si>
    <t>CSA Z809</t>
  </si>
  <si>
    <t>FSC</t>
  </si>
  <si>
    <t>PEFC</t>
  </si>
  <si>
    <t>RPP</t>
  </si>
  <si>
    <t>SFI</t>
  </si>
  <si>
    <t>35% to less than 50%</t>
  </si>
  <si>
    <t>50% to less than 90%</t>
  </si>
  <si>
    <t>90% or more</t>
  </si>
  <si>
    <r>
      <rPr>
        <b/>
        <sz val="11"/>
        <color theme="1"/>
        <rFont val="Calibri"/>
        <family val="2"/>
        <scheme val="minor"/>
      </rPr>
      <t>Error</t>
    </r>
    <r>
      <rPr>
        <sz val="11"/>
        <color theme="1"/>
        <rFont val="Calibri"/>
        <family val="2"/>
        <scheme val="minor"/>
      </rPr>
      <t xml:space="preserve"> - Something is wrong. Review practice text for explanation.</t>
    </r>
  </si>
  <si>
    <r>
      <rPr>
        <b/>
        <sz val="11"/>
        <color theme="1"/>
        <rFont val="Calibri"/>
        <family val="2"/>
        <scheme val="minor"/>
      </rPr>
      <t>Note Entry</t>
    </r>
    <r>
      <rPr>
        <sz val="11"/>
        <color theme="1"/>
        <rFont val="Calibri"/>
        <family val="2"/>
        <scheme val="minor"/>
      </rPr>
      <t xml:space="preserve"> - A place for you to elaborate. If a note is mandatory it will turn yellow. Notes required due to selecting a practice out of phase (rough or final) will not turn yellow.</t>
    </r>
  </si>
  <si>
    <r>
      <rPr>
        <b/>
        <sz val="11"/>
        <color theme="1"/>
        <rFont val="Calibri"/>
        <family val="2"/>
        <scheme val="minor"/>
      </rPr>
      <t>Off Limits</t>
    </r>
    <r>
      <rPr>
        <sz val="11"/>
        <color theme="1"/>
        <rFont val="Calibri"/>
        <family val="2"/>
        <scheme val="minor"/>
      </rPr>
      <t xml:space="preserve"> - Some other answer or lack of answer disqualifies you from this practice or the practice is not available during the current phase (rough or final).</t>
    </r>
  </si>
  <si>
    <r>
      <rPr>
        <b/>
        <sz val="11"/>
        <color theme="1"/>
        <rFont val="Calibri"/>
        <family val="2"/>
        <scheme val="minor"/>
      </rPr>
      <t>Normal Entry (optional)</t>
    </r>
    <r>
      <rPr>
        <sz val="11"/>
        <color theme="1"/>
        <rFont val="Calibri"/>
        <family val="2"/>
        <scheme val="minor"/>
      </rPr>
      <t xml:space="preserve"> - Use the checkbox or dropdown to indicate the status of the adjacent practice. </t>
    </r>
  </si>
  <si>
    <r>
      <rPr>
        <b/>
        <sz val="11"/>
        <color theme="1"/>
        <rFont val="Calibri"/>
        <family val="2"/>
        <scheme val="minor"/>
      </rPr>
      <t>Mandatory Entry or Mandatory Note</t>
    </r>
    <r>
      <rPr>
        <sz val="11"/>
        <color theme="1"/>
        <rFont val="Calibri"/>
        <family val="2"/>
        <scheme val="minor"/>
      </rPr>
      <t xml:space="preserve"> - This field is required in order for the worksheet to be considered complete and submitable.</t>
    </r>
  </si>
  <si>
    <t>Stories above grade:</t>
  </si>
  <si>
    <t>Maximum skylight SHGC:</t>
  </si>
  <si>
    <t>Maximum skylight U-value:</t>
  </si>
  <si>
    <t>dstsSHGC</t>
  </si>
  <si>
    <t>dstsUV</t>
  </si>
  <si>
    <t>Maximum window and door SHGC:</t>
  </si>
  <si>
    <t>Maximum window and door U-value:</t>
  </si>
  <si>
    <t>dstwdSHGC</t>
  </si>
  <si>
    <t>dstwdUV</t>
  </si>
  <si>
    <t>Exclude south-facing glass if part of "Sun-tempered" design (703.7.1).</t>
  </si>
  <si>
    <t>back to 701.4.3.2(2)</t>
  </si>
  <si>
    <t>Exception: Section 703.1.2 is not required for Tropical Climate Zone</t>
  </si>
  <si>
    <t>See Table 703.2.1(a)</t>
  </si>
  <si>
    <t>back to 703.2.1</t>
  </si>
  <si>
    <t>UA Improvement:</t>
  </si>
  <si>
    <t>T</t>
  </si>
  <si>
    <t>zone:</t>
  </si>
  <si>
    <t>tropical:</t>
  </si>
  <si>
    <t>UA:</t>
  </si>
  <si>
    <t>points:</t>
  </si>
  <si>
    <t>Verifier</t>
  </si>
  <si>
    <t>Mass thickness:</t>
  </si>
  <si>
    <t>Selected</t>
  </si>
  <si>
    <t>Required Documentation</t>
  </si>
  <si>
    <t>Ch. 8</t>
  </si>
  <si>
    <t>(4)(a)</t>
  </si>
  <si>
    <t>705.6.3</t>
  </si>
  <si>
    <t>(Points not awarded if points are taken under Section 703.4.4)</t>
  </si>
  <si>
    <t>Duct leakage is in accordance with IECC R403.3.3 and R403.3.4.</t>
  </si>
  <si>
    <t>Duct leakage is in accordance with IECC R403.3.3 and R403.3.4, and testing is conducted by an independent third party.</t>
  </si>
  <si>
    <r>
      <t xml:space="preserve">705.6.3 Insulating hot water pipes. </t>
    </r>
    <r>
      <rPr>
        <sz val="10"/>
        <color theme="1"/>
        <rFont val="Calibri"/>
        <family val="2"/>
        <scheme val="minor"/>
      </rPr>
      <t>Insulation with a minimum thermal resistance (R-value) of at least R-3 is applied to the following, as applicable:</t>
    </r>
  </si>
  <si>
    <r>
      <t>Maximum Pipe Length Conversion Table</t>
    </r>
    <r>
      <rPr>
        <b/>
        <vertAlign val="superscript"/>
        <sz val="10"/>
        <color theme="1"/>
        <rFont val="Calibri"/>
        <family val="2"/>
        <scheme val="minor"/>
      </rPr>
      <t>a</t>
    </r>
  </si>
  <si>
    <t>Nominal Pipe Size (inch)</t>
  </si>
  <si>
    <t>Liquid Ounces per Foot of Length</t>
  </si>
  <si>
    <t>Main, Branch, and Fixture Supply System Volume Category</t>
  </si>
  <si>
    <t>Branch and Fixture Supply Volume from Circulation Loop</t>
  </si>
  <si>
    <t>Maximum Pipe Length (feet)</t>
  </si>
  <si>
    <r>
      <t>1/4</t>
    </r>
    <r>
      <rPr>
        <vertAlign val="superscript"/>
        <sz val="10"/>
        <color theme="1"/>
        <rFont val="Calibri"/>
        <family val="2"/>
        <scheme val="minor"/>
      </rPr>
      <t>b</t>
    </r>
  </si>
  <si>
    <r>
      <t>5/16</t>
    </r>
    <r>
      <rPr>
        <vertAlign val="superscript"/>
        <sz val="10"/>
        <color theme="1"/>
        <rFont val="Calibri"/>
        <family val="2"/>
        <scheme val="minor"/>
      </rPr>
      <t>b</t>
    </r>
  </si>
  <si>
    <r>
      <t>3/8</t>
    </r>
    <r>
      <rPr>
        <vertAlign val="superscript"/>
        <sz val="10"/>
        <color theme="1"/>
        <rFont val="Calibri"/>
        <family val="2"/>
        <scheme val="minor"/>
      </rPr>
      <t>b</t>
    </r>
  </si>
  <si>
    <t>1/2</t>
  </si>
  <si>
    <t>5/8</t>
  </si>
  <si>
    <t>3/4</t>
  </si>
  <si>
    <t>7/8</t>
  </si>
  <si>
    <t>1 1/4</t>
  </si>
  <si>
    <t>1 1/2</t>
  </si>
  <si>
    <t>b. The maximum flow rate through 1/4 inch nominal piping shall not exceed 0.5 gpm. The maximum flow rate through 5/16 inch nominal piping shall not exceed 1 gpm. The maximum flow rate through 3/8 inch nominal piping shall not exceed 1.5 gpm.</t>
  </si>
  <si>
    <t>Common Hot Water Pipe Internal Volumes</t>
  </si>
  <si>
    <t>OUNCES OF WATER PER FOOT OF PIPE</t>
  </si>
  <si>
    <t>Size Nominal, Inch</t>
  </si>
  <si>
    <t>Copper Type M</t>
  </si>
  <si>
    <t>Copper Type L</t>
  </si>
  <si>
    <t>Copper Type K</t>
  </si>
  <si>
    <t>CPVC CTS SDR 11</t>
  </si>
  <si>
    <t>CPVC SCH 40</t>
  </si>
  <si>
    <t>CPVC</t>
  </si>
  <si>
    <t>PE-RT</t>
  </si>
  <si>
    <t>Composite ASTM F 1281</t>
  </si>
  <si>
    <t>PEX CTS SDR 9</t>
  </si>
  <si>
    <t>PP SDR 7.4 F2389</t>
  </si>
  <si>
    <t>PP SDR   9  F2389</t>
  </si>
  <si>
    <t>SCH 80</t>
  </si>
  <si>
    <t>SDR 9</t>
  </si>
  <si>
    <t>3/8</t>
  </si>
  <si>
    <t>1 ¼</t>
  </si>
  <si>
    <t>1 ½</t>
  </si>
  <si>
    <t>NOTE: If multiple dishwashers and washing machines are installed, ALL instances must meet the above conditions to be awarded points.</t>
  </si>
  <si>
    <t xml:space="preserve">Multifamily Building Note: Washing machines are installed in individual units or provided in common areas of multifamily buildings. </t>
  </si>
  <si>
    <t># of compartments:</t>
  </si>
  <si>
    <t>1 compartment</t>
  </si>
  <si>
    <t>2 compartments</t>
  </si>
  <si>
    <t>3 compartments</t>
  </si>
  <si>
    <t>4+ compartments</t>
  </si>
  <si>
    <t>1 control</t>
  </si>
  <si>
    <t>2 controls</t>
  </si>
  <si>
    <t>3+ controls</t>
  </si>
  <si>
    <t>1
3 Max</t>
  </si>
  <si>
    <t>1 fixture</t>
  </si>
  <si>
    <t>2 fixtures</t>
  </si>
  <si>
    <t>3+ fixtures</t>
  </si>
  <si>
    <t>Ch. 8 Max</t>
  </si>
  <si>
    <t>1 toilet</t>
  </si>
  <si>
    <t>2 toilets</t>
  </si>
  <si>
    <t>3+ toilets</t>
  </si>
  <si>
    <t>(2)(a)</t>
  </si>
  <si>
    <t>(2)(b)</t>
  </si>
  <si>
    <t>(2)(c)</t>
  </si>
  <si>
    <t>(2)(d)</t>
  </si>
  <si>
    <t>5
15 Max</t>
  </si>
  <si>
    <t>1 appl./fixture</t>
  </si>
  <si>
    <t>2 appl./fixtures</t>
  </si>
  <si>
    <t>3+ appl./fixtures</t>
  </si>
  <si>
    <t># of systems:</t>
  </si>
  <si>
    <t>5
20 Max</t>
  </si>
  <si>
    <t>4+ appl./fixtures</t>
  </si>
  <si>
    <t>3 appl./fixtures</t>
  </si>
  <si>
    <t>END OF CHAPTER 8</t>
  </si>
  <si>
    <t>CLICK TO PROCEED TO CHAPTER 9 &gt;&gt;</t>
  </si>
  <si>
    <t>Climate Zone:</t>
  </si>
  <si>
    <t>705.6.2</t>
  </si>
  <si>
    <r>
      <t xml:space="preserve">705.6.2 Testing. </t>
    </r>
    <r>
      <rPr>
        <sz val="10"/>
        <color theme="1"/>
        <rFont val="Calibri"/>
        <family val="2"/>
        <scheme val="minor"/>
      </rPr>
      <t>Testing is conducted to verify performance:</t>
    </r>
  </si>
  <si>
    <t>By using this tool, this project automatically qualifies for this practice.</t>
  </si>
  <si>
    <t>(Points not awarded if points are taken under Section 703.2.4)</t>
  </si>
  <si>
    <t>NOTE: Specify name of person or company conducting blower door test in the assigned Notes area.</t>
  </si>
  <si>
    <t>NOTE: Specify name of person or company conducting HVAC airflow test in the assigned Notes area.</t>
  </si>
  <si>
    <t>END OF CHAPTER 7</t>
  </si>
  <si>
    <t>CLICK TO PROCEED TO CHAPTER 8 &gt;&gt;</t>
  </si>
  <si>
    <t>Multifamily Building Note: Washing machines in ALL units must comply.</t>
  </si>
  <si>
    <t>count:</t>
  </si>
  <si>
    <t>Overhangs or adjustable canopies or awnings or trellises provide shading on south-facing glass for the appropriate climate zone in accordance with Table 703.7.1(7):</t>
  </si>
  <si>
    <t>See Table 703.7.1(7)</t>
  </si>
  <si>
    <t>back to 703.7.1</t>
  </si>
  <si>
    <t># of luminaires:</t>
  </si>
  <si>
    <t>SEF:</t>
  </si>
  <si>
    <t>703.5.4</t>
  </si>
  <si>
    <t>efficiency:</t>
  </si>
  <si>
    <t>type:</t>
  </si>
  <si>
    <t xml:space="preserve">    SEF ≥ 1.3</t>
  </si>
  <si>
    <t xml:space="preserve">    SEF ≥ 1.51</t>
  </si>
  <si>
    <t xml:space="preserve">    SEF ≥ 1.81</t>
  </si>
  <si>
    <t xml:space="preserve">    SEF ≥ 2.31</t>
  </si>
  <si>
    <t xml:space="preserve">    SEF ≥ 3.01</t>
  </si>
  <si>
    <t xml:space="preserve">    ductwork entirely outside the building's thermal envelope</t>
  </si>
  <si>
    <t xml:space="preserve">    ductwork inside and outside the building's thermal envelope</t>
  </si>
  <si>
    <t>&gt;4 story MF:</t>
  </si>
  <si>
    <t xml:space="preserve">Number of Types of Building Assembly </t>
  </si>
  <si>
    <t xml:space="preserve">    Countertops</t>
  </si>
  <si>
    <t xml:space="preserve">    Composite trim/doors</t>
  </si>
  <si>
    <t xml:space="preserve">    Custom woodwork</t>
  </si>
  <si>
    <t xml:space="preserve">    Component closet shelving</t>
  </si>
  <si>
    <t>Carpet and carpet cushion meeting the emission limits is installed.</t>
  </si>
  <si>
    <t>A window complying with IRC Section R303.3 is provided in addition to mechanical ventilation.</t>
  </si>
  <si>
    <t># of timers:</t>
  </si>
  <si>
    <t># of humidistats:</t>
  </si>
  <si>
    <t>ENERGY STAR, or equivalent, fans operating above 1 sone</t>
  </si>
  <si>
    <t>Ch. 9</t>
  </si>
  <si>
    <t>902.2.1</t>
  </si>
  <si>
    <t>Cold water pipes in unconditioned spaces are insulated to a minimum of R-4 with pipe insulation or other covering that adequately prevents condensation.</t>
  </si>
  <si>
    <t>Plumbing is not installed in unconditioned spaces.</t>
  </si>
  <si>
    <r>
      <t xml:space="preserve">903.1 Plumbing. </t>
    </r>
    <r>
      <rPr>
        <sz val="10"/>
        <color theme="1"/>
        <rFont val="Calibri"/>
        <family val="2"/>
        <scheme val="minor"/>
      </rPr>
      <t>Plumbing is in accordance with one of the following.</t>
    </r>
  </si>
  <si>
    <r>
      <t>903.3 Relative humidity.</t>
    </r>
    <r>
      <rPr>
        <sz val="10"/>
        <color theme="1"/>
        <rFont val="Calibri"/>
        <family val="2"/>
        <scheme val="minor"/>
      </rPr>
      <t xml:space="preserve"> In climate zones 1A, 2A, 3A, 4A, and 5A, equipment is installed to maintain relative humidity (RH) at or below 60 percent using one of the following:</t>
    </r>
  </si>
  <si>
    <t>Not available if there is no garage</t>
  </si>
  <si>
    <t>actual %:</t>
  </si>
  <si>
    <t>actual %'s:</t>
  </si>
  <si>
    <t>See Table 901.9.1</t>
  </si>
  <si>
    <r>
      <t>e.</t>
    </r>
    <r>
      <rPr>
        <sz val="7"/>
        <color theme="1"/>
        <rFont val="Times New Roman"/>
        <family val="1"/>
      </rPr>
      <t xml:space="preserve">  </t>
    </r>
    <r>
      <rPr>
        <sz val="10"/>
        <color theme="1"/>
        <rFont val="Calibri"/>
        <family val="2"/>
      </rPr>
      <t>Limit is expressed as VOC actual.</t>
    </r>
  </si>
  <si>
    <r>
      <t>d.</t>
    </r>
    <r>
      <rPr>
        <sz val="7"/>
        <color theme="1"/>
        <rFont val="Times New Roman"/>
        <family val="1"/>
      </rPr>
      <t xml:space="preserve">  </t>
    </r>
    <r>
      <rPr>
        <sz val="10"/>
        <color theme="1"/>
        <rFont val="Calibri"/>
        <family val="2"/>
      </rPr>
      <t>Limits are expressed as VOC Regulatory (except as noted), thinned to the manufacturer’s maximum thinning recommendation, excluding any colorant added to tint bases.</t>
    </r>
  </si>
  <si>
    <r>
      <t>c.</t>
    </r>
    <r>
      <rPr>
        <sz val="7"/>
        <color theme="1"/>
        <rFont val="Times New Roman"/>
        <family val="1"/>
      </rPr>
      <t xml:space="preserve">   </t>
    </r>
    <r>
      <rPr>
        <sz val="10"/>
        <color theme="1"/>
        <rFont val="Calibri"/>
        <family val="2"/>
      </rPr>
      <t>Table 901.9.1 architectural coating regulatory category and VOC content compliance determination shall conform to the California Air Resources Board Suggested Control Measure for Architectural Coatings dated February 1, 2008.</t>
    </r>
  </si>
  <si>
    <r>
      <t>b.</t>
    </r>
    <r>
      <rPr>
        <sz val="7"/>
        <color theme="1"/>
        <rFont val="Times New Roman"/>
        <family val="1"/>
      </rPr>
      <t xml:space="preserve">  </t>
    </r>
    <r>
      <rPr>
        <sz val="10"/>
        <color theme="1"/>
        <rFont val="Calibri"/>
        <family val="2"/>
      </rPr>
      <t>Values in this table are derived from those specified by the California Air Resources Board, Architectural Coatings Suggested Control Measure, February 1, 2008.</t>
    </r>
  </si>
  <si>
    <r>
      <t>a.</t>
    </r>
    <r>
      <rPr>
        <sz val="7"/>
        <color theme="1"/>
        <rFont val="Times New Roman"/>
        <family val="1"/>
      </rPr>
      <t xml:space="preserve">  </t>
    </r>
    <r>
      <rPr>
        <sz val="10"/>
        <color theme="1"/>
        <rFont val="Calibri"/>
        <family val="2"/>
      </rPr>
      <t>The specified limits remain in effect unless revised limits are listed in subsequent columns in the table.</t>
    </r>
  </si>
  <si>
    <t>Zinc-Rich Primers</t>
  </si>
  <si>
    <t>Wood Preservatives</t>
  </si>
  <si>
    <t>Wood Coatings</t>
  </si>
  <si>
    <t>Waterproofing Membranes</t>
  </si>
  <si>
    <t>Tub and Tile Refinish Coatings</t>
  </si>
  <si>
    <t>Traffic Marking Coatings</t>
  </si>
  <si>
    <t>Swimming Pool Coatings</t>
  </si>
  <si>
    <t>Stone Consolidants</t>
  </si>
  <si>
    <t>Stains</t>
  </si>
  <si>
    <t>Specialty Primers, Sealers, and Undercoaters</t>
  </si>
  <si>
    <t>Shellacs, Opaque</t>
  </si>
  <si>
    <t>Shellacs, Clear</t>
  </si>
  <si>
    <t>Rust Preventative Coatings</t>
  </si>
  <si>
    <t>Roof Coatings</t>
  </si>
  <si>
    <t>Recycled Coatings</t>
  </si>
  <si>
    <t>Reactive Penetrating Sealers</t>
  </si>
  <si>
    <t>Primers, Sealers, and Undercoaters</t>
  </si>
  <si>
    <t>Pre-Treatment Wash Primers</t>
  </si>
  <si>
    <t>Multi-Color Coatings</t>
  </si>
  <si>
    <t>Metallic Pigmented Coatings</t>
  </si>
  <si>
    <t>Mastic Texture Coatings</t>
  </si>
  <si>
    <t>Magnesite Cement Coatings</t>
  </si>
  <si>
    <r>
      <t>120</t>
    </r>
    <r>
      <rPr>
        <vertAlign val="superscript"/>
        <sz val="10"/>
        <color theme="1"/>
        <rFont val="Calibri"/>
        <family val="2"/>
      </rPr>
      <t>e</t>
    </r>
  </si>
  <si>
    <t>Low Solids Coatings</t>
  </si>
  <si>
    <t>Industrial Maintenance Coatings</t>
  </si>
  <si>
    <t>High Temperature Coatings</t>
  </si>
  <si>
    <t>Graphic Arts Coatings (Sign Paints)</t>
  </si>
  <si>
    <t>Form-Release Compounds</t>
  </si>
  <si>
    <t>Floor Coatings</t>
  </si>
  <si>
    <t>Fire Resistive Coatings</t>
  </si>
  <si>
    <t>Faux Finishing Coatings</t>
  </si>
  <si>
    <r>
      <t>LIMIT</t>
    </r>
    <r>
      <rPr>
        <b/>
        <vertAlign val="superscript"/>
        <sz val="10"/>
        <color theme="1"/>
        <rFont val="Calibri"/>
        <family val="2"/>
      </rPr>
      <t>d</t>
    </r>
    <r>
      <rPr>
        <b/>
        <sz val="10"/>
        <color theme="1"/>
        <rFont val="Calibri"/>
        <family val="2"/>
      </rPr>
      <t xml:space="preserve"> (g/l)</t>
    </r>
  </si>
  <si>
    <t>Coating Category</t>
  </si>
  <si>
    <t>Dry Fog Coatings</t>
  </si>
  <si>
    <t>Driveway Sealers</t>
  </si>
  <si>
    <t>Concrete/Masonry Sealers</t>
  </si>
  <si>
    <t>Concrete Curing Compounds</t>
  </si>
  <si>
    <t>Bond Breakers</t>
  </si>
  <si>
    <t>Bituminous Roof Primers</t>
  </si>
  <si>
    <t>Bituminous Roof Coatings</t>
  </si>
  <si>
    <t>Basement Specialty Coatings</t>
  </si>
  <si>
    <t>Aluminum Roof Coatings</t>
  </si>
  <si>
    <t>Specialty Coatings:</t>
  </si>
  <si>
    <t>Non-flat  High-Gloss Coatings</t>
  </si>
  <si>
    <t>Non-flat Coatings</t>
  </si>
  <si>
    <t>Flat Coatings</t>
  </si>
  <si>
    <r>
      <t>VOC Content Limits For Architectural Coatings</t>
    </r>
    <r>
      <rPr>
        <b/>
        <vertAlign val="superscript"/>
        <sz val="10"/>
        <color theme="1"/>
        <rFont val="Calibri"/>
        <family val="2"/>
      </rPr>
      <t>a,b,c</t>
    </r>
  </si>
  <si>
    <t>Table 901.9.1</t>
  </si>
  <si>
    <t>Waterborne IM</t>
  </si>
  <si>
    <t>Solvent-Based IM</t>
  </si>
  <si>
    <t>Architectural Coatings, excluding IM Coatings</t>
  </si>
  <si>
    <t>LIMIT (g/l)</t>
  </si>
  <si>
    <t>Colorant</t>
  </si>
  <si>
    <t>VOC Content Limits for Colorants</t>
  </si>
  <si>
    <t>Table 901.9.2</t>
  </si>
  <si>
    <t>b. For low-solid adhesives and sealants, the VOC limit is expressed in grams/liter of material as specified in Rule 1168. For all other adhesives and sealants, the VOC limits are expressed as grams of VOC per liter of adhesive or sealant less water and less exempt compounds as specified in Rule 1168.</t>
  </si>
  <si>
    <r>
      <t>a.</t>
    </r>
    <r>
      <rPr>
        <sz val="7"/>
        <color theme="1"/>
        <rFont val="Times New Roman"/>
        <family val="1"/>
      </rPr>
      <t xml:space="preserve">   </t>
    </r>
    <r>
      <rPr>
        <sz val="10"/>
        <color theme="1"/>
        <rFont val="Calibri"/>
        <family val="2"/>
      </rPr>
      <t>VOC limit less water and less exempt compounds in grams/liter</t>
    </r>
  </si>
  <si>
    <t>Structural wood member adhesive</t>
  </si>
  <si>
    <t>Special purpose contact adhesive</t>
  </si>
  <si>
    <t>Contact adhesive</t>
  </si>
  <si>
    <t>Adhesive primer for plastic</t>
  </si>
  <si>
    <t>Plastic cement welding</t>
  </si>
  <si>
    <t>ABS solvent cement</t>
  </si>
  <si>
    <t>PVC solvent cement</t>
  </si>
  <si>
    <t>CPVC solvent cement</t>
  </si>
  <si>
    <t>Other sealant primers</t>
  </si>
  <si>
    <t>Modified bituminous sealant primer</t>
  </si>
  <si>
    <t xml:space="preserve">  Porous</t>
  </si>
  <si>
    <t xml:space="preserve">  Non-porous</t>
  </si>
  <si>
    <t>Architectural sealant primer</t>
  </si>
  <si>
    <t>Architectural sealants</t>
  </si>
  <si>
    <t>Single ply roof membrane adhesives</t>
  </si>
  <si>
    <t>Structural glazing adhesives</t>
  </si>
  <si>
    <t>Multipurpose construction adhesives</t>
  </si>
  <si>
    <t>VOC LIMIT (g/l)</t>
  </si>
  <si>
    <t>ADHESIVE OR SEALANT</t>
  </si>
  <si>
    <t>Cove base adhesives</t>
  </si>
  <si>
    <t>Drywall and panel adhesives</t>
  </si>
  <si>
    <t>VCT and asphalt tile adhesives</t>
  </si>
  <si>
    <t>Ceramic tile adhesives</t>
  </si>
  <si>
    <t>Subfloor adhesives</t>
  </si>
  <si>
    <t>Rubber floor adhesives</t>
  </si>
  <si>
    <t>Wood flooring adhesive</t>
  </si>
  <si>
    <t>Outdoor carpet adhesives</t>
  </si>
  <si>
    <t>Carpet pad adhesives</t>
  </si>
  <si>
    <t xml:space="preserve">Indoor carpet adhesives </t>
  </si>
  <si>
    <r>
      <t>Site Applied Adhesive and Sealants VOC Limits</t>
    </r>
    <r>
      <rPr>
        <b/>
        <vertAlign val="superscript"/>
        <sz val="10"/>
        <color theme="1"/>
        <rFont val="Calibri"/>
        <family val="2"/>
      </rPr>
      <t>a,b</t>
    </r>
  </si>
  <si>
    <t>Table 901.10(3)</t>
  </si>
  <si>
    <t>back to 901.9.1</t>
  </si>
  <si>
    <t>See Table 901.9.2</t>
  </si>
  <si>
    <t>See Table 901.10(3)</t>
  </si>
  <si>
    <t>back to 901.10(3)</t>
  </si>
  <si>
    <t># of fans:</t>
  </si>
  <si>
    <t>ACH50:</t>
  </si>
  <si>
    <t>row:</t>
  </si>
  <si>
    <t>602.1.7.1(3):</t>
  </si>
  <si>
    <t>back to 703.2.2</t>
  </si>
  <si>
    <t>back to 703.2.4</t>
  </si>
  <si>
    <t>multiple heating sys.?</t>
  </si>
  <si>
    <t>multiple cooling sys.?</t>
  </si>
  <si>
    <r>
      <t xml:space="preserve">    </t>
    </r>
    <r>
      <rPr>
        <sz val="10"/>
        <color theme="1"/>
        <rFont val="Calibri"/>
        <family val="2"/>
      </rPr>
      <t>≥90% AFUE</t>
    </r>
  </si>
  <si>
    <r>
      <t xml:space="preserve">    </t>
    </r>
    <r>
      <rPr>
        <sz val="10"/>
        <color theme="1"/>
        <rFont val="Calibri"/>
        <family val="2"/>
      </rPr>
      <t>≥92% AFUE</t>
    </r>
  </si>
  <si>
    <r>
      <t xml:space="preserve">    </t>
    </r>
    <r>
      <rPr>
        <sz val="10"/>
        <color theme="1"/>
        <rFont val="Calibri"/>
        <family val="2"/>
      </rPr>
      <t>≥94% AFUE</t>
    </r>
  </si>
  <si>
    <r>
      <t xml:space="preserve">    </t>
    </r>
    <r>
      <rPr>
        <sz val="10"/>
        <color theme="1"/>
        <rFont val="Calibri"/>
        <family val="2"/>
      </rPr>
      <t>≥96% AFUE</t>
    </r>
  </si>
  <si>
    <r>
      <t xml:space="preserve">    </t>
    </r>
    <r>
      <rPr>
        <sz val="10"/>
        <color theme="1"/>
        <rFont val="Calibri"/>
        <family val="2"/>
      </rPr>
      <t>≥98% AFUE</t>
    </r>
  </si>
  <si>
    <r>
      <t xml:space="preserve">    </t>
    </r>
    <r>
      <rPr>
        <sz val="10"/>
        <color theme="1"/>
        <rFont val="Calibri"/>
        <family val="2"/>
      </rPr>
      <t>≥85% AFUE</t>
    </r>
  </si>
  <si>
    <t>CZ:</t>
  </si>
  <si>
    <t>NOTE: For multi-unit buildings, each dwelling unit must have compliant whole-dwelling unit fans installed to claim these points.</t>
  </si>
  <si>
    <t>NOTE: For multi-unit buildings, each dwelling unit must comply to claim this point.</t>
  </si>
  <si>
    <t>See Table 703.2.5.1</t>
  </si>
  <si>
    <t>back to 703.2.5.1</t>
  </si>
  <si>
    <t>Per Table 703.2.5.2(a) or
703.2.5.2(b) or 
703.2.5.2(c)</t>
  </si>
  <si>
    <t>back to 703.2.5.2</t>
  </si>
  <si>
    <t>END OF CHAPTER 9</t>
  </si>
  <si>
    <t>CLICK TO PROCEED TO CHAPTER 10 &gt;&gt;</t>
  </si>
  <si>
    <t>Min. or Average AFUE:</t>
  </si>
  <si>
    <r>
      <t xml:space="preserve">    </t>
    </r>
    <r>
      <rPr>
        <sz val="10"/>
        <color theme="1"/>
        <rFont val="Calibri"/>
        <family val="2"/>
      </rPr>
      <t>≥8.5 HSPF</t>
    </r>
  </si>
  <si>
    <r>
      <t xml:space="preserve">    </t>
    </r>
    <r>
      <rPr>
        <sz val="10"/>
        <color theme="1"/>
        <rFont val="Calibri"/>
        <family val="2"/>
      </rPr>
      <t>≥9.0 HSPF</t>
    </r>
  </si>
  <si>
    <r>
      <t xml:space="preserve">    </t>
    </r>
    <r>
      <rPr>
        <sz val="10"/>
        <color theme="1"/>
        <rFont val="Calibri"/>
        <family val="2"/>
      </rPr>
      <t>≥9.5 HSPF</t>
    </r>
  </si>
  <si>
    <r>
      <t xml:space="preserve">    </t>
    </r>
    <r>
      <rPr>
        <sz val="10"/>
        <color theme="1"/>
        <rFont val="Calibri"/>
        <family val="2"/>
      </rPr>
      <t>≥10.0 HSPF</t>
    </r>
  </si>
  <si>
    <r>
      <t>Gas Engine-Driven Heat Pump Heating (≥1.3 COP at 47</t>
    </r>
    <r>
      <rPr>
        <sz val="10"/>
        <color theme="1"/>
        <rFont val="Calibri"/>
        <family val="2"/>
      </rPr>
      <t>°</t>
    </r>
    <r>
      <rPr>
        <sz val="10"/>
        <color theme="1"/>
        <rFont val="Calibri"/>
        <family val="2"/>
        <scheme val="minor"/>
      </rPr>
      <t>F)</t>
    </r>
  </si>
  <si>
    <t>Min. or Average COP:</t>
  </si>
  <si>
    <t>Min. or Average HSPF:</t>
  </si>
  <si>
    <r>
      <t xml:space="preserve">    </t>
    </r>
    <r>
      <rPr>
        <sz val="10"/>
        <color theme="1"/>
        <rFont val="Calibri"/>
        <family val="2"/>
      </rPr>
      <t>≥15 SEER</t>
    </r>
  </si>
  <si>
    <r>
      <t xml:space="preserve">    </t>
    </r>
    <r>
      <rPr>
        <sz val="10"/>
        <color theme="1"/>
        <rFont val="Calibri"/>
        <family val="2"/>
      </rPr>
      <t>≥17 SEER</t>
    </r>
  </si>
  <si>
    <r>
      <t xml:space="preserve">    </t>
    </r>
    <r>
      <rPr>
        <sz val="10"/>
        <color theme="1"/>
        <rFont val="Calibri"/>
        <family val="2"/>
      </rPr>
      <t>≥19 SEER</t>
    </r>
  </si>
  <si>
    <r>
      <t xml:space="preserve">    </t>
    </r>
    <r>
      <rPr>
        <sz val="10"/>
        <color theme="1"/>
        <rFont val="Calibri"/>
        <family val="2"/>
      </rPr>
      <t>≥21 SEER</t>
    </r>
  </si>
  <si>
    <t>Tropical Climate Zone: None of the occupied space is air conditioned and ceiling fans are provided for bedrooms and the largest space which is not used as a bedroom.</t>
  </si>
  <si>
    <t>(*)</t>
  </si>
  <si>
    <t>Electric Air Conditioner and Heat Pump Cooling</t>
  </si>
  <si>
    <r>
      <t>Gas Engine-Driven Heat Pump Cooling (≥1.2 COP at 95</t>
    </r>
    <r>
      <rPr>
        <sz val="10"/>
        <color theme="1"/>
        <rFont val="Calibri"/>
        <family val="2"/>
      </rPr>
      <t>°</t>
    </r>
    <r>
      <rPr>
        <sz val="10"/>
        <color theme="1"/>
        <rFont val="Calibri"/>
        <family val="2"/>
        <scheme val="minor"/>
      </rPr>
      <t>F)</t>
    </r>
  </si>
  <si>
    <t>Min. or Average SEER:</t>
  </si>
  <si>
    <r>
      <t xml:space="preserve">    </t>
    </r>
    <r>
      <rPr>
        <sz val="10"/>
        <color theme="1"/>
        <rFont val="Calibri"/>
        <family val="2"/>
      </rPr>
      <t>≥15 SEER, ≥4.0 COP</t>
    </r>
  </si>
  <si>
    <r>
      <t xml:space="preserve">    </t>
    </r>
    <r>
      <rPr>
        <sz val="10"/>
        <color theme="1"/>
        <rFont val="Calibri"/>
        <family val="2"/>
      </rPr>
      <t>≥16 EER, ≥3.6 COP</t>
    </r>
  </si>
  <si>
    <r>
      <t xml:space="preserve">    </t>
    </r>
    <r>
      <rPr>
        <sz val="10"/>
        <color theme="1"/>
        <rFont val="Calibri"/>
        <family val="2"/>
      </rPr>
      <t>≥24 EER, ≥4.3 COP</t>
    </r>
  </si>
  <si>
    <r>
      <t xml:space="preserve">    </t>
    </r>
    <r>
      <rPr>
        <sz val="10"/>
        <color theme="1"/>
        <rFont val="Calibri"/>
        <family val="2"/>
      </rPr>
      <t>≥28 EER, ≥4.8 COP</t>
    </r>
  </si>
  <si>
    <t>Min. or Average EER:</t>
  </si>
  <si>
    <t>902.1.1</t>
  </si>
  <si>
    <r>
      <t xml:space="preserve">902.1.1 </t>
    </r>
    <r>
      <rPr>
        <sz val="10"/>
        <color theme="1"/>
        <rFont val="Calibri"/>
        <family val="2"/>
        <scheme val="minor"/>
      </rPr>
      <t>Spot ventilation is in accordance with the following:</t>
    </r>
  </si>
  <si>
    <t>701.4.2.1</t>
  </si>
  <si>
    <t>verFloors</t>
  </si>
  <si>
    <t>verHDucts</t>
  </si>
  <si>
    <t>verCool1</t>
  </si>
  <si>
    <t>verCool2</t>
  </si>
  <si>
    <t>verCool3</t>
  </si>
  <si>
    <t>verCDucts</t>
  </si>
  <si>
    <t>verwdSHGC</t>
  </si>
  <si>
    <t>versSHGC</t>
  </si>
  <si>
    <t>verwdUV</t>
  </si>
  <si>
    <t>versUV</t>
  </si>
  <si>
    <r>
      <rPr>
        <b/>
        <sz val="11"/>
        <color theme="1"/>
        <rFont val="Calibri"/>
        <family val="2"/>
        <scheme val="minor"/>
      </rPr>
      <t>Answered</t>
    </r>
    <r>
      <rPr>
        <sz val="11"/>
        <color theme="1"/>
        <rFont val="Calibri"/>
        <family val="2"/>
        <scheme val="minor"/>
      </rPr>
      <t xml:space="preserve"> - You have affirmed that this practice was chosen/not chosen or met/not met.</t>
    </r>
  </si>
  <si>
    <t>Additional Points required</t>
  </si>
  <si>
    <t>Total points required</t>
  </si>
  <si>
    <r>
      <rPr>
        <b/>
        <sz val="11"/>
        <color theme="1"/>
        <rFont val="Calibri"/>
        <family val="2"/>
        <scheme val="minor"/>
      </rPr>
      <t>Chapter 6:</t>
    </r>
    <r>
      <rPr>
        <sz val="11"/>
        <color theme="1"/>
        <rFont val="Calibri"/>
        <family val="2"/>
        <scheme val="minor"/>
      </rPr>
      <t xml:space="preserve"> Resource Efficiency</t>
    </r>
  </si>
  <si>
    <r>
      <rPr>
        <b/>
        <sz val="11"/>
        <color theme="1"/>
        <rFont val="Calibri"/>
        <family val="2"/>
        <scheme val="minor"/>
      </rPr>
      <t>Chapter 5:</t>
    </r>
    <r>
      <rPr>
        <sz val="11"/>
        <color theme="1"/>
        <rFont val="Calibri"/>
        <family val="2"/>
        <scheme val="minor"/>
      </rPr>
      <t xml:space="preserve"> Lot Design, Preparation, and Development</t>
    </r>
  </si>
  <si>
    <r>
      <rPr>
        <b/>
        <sz val="11"/>
        <color theme="1"/>
        <rFont val="Calibri"/>
        <family val="2"/>
        <scheme val="minor"/>
      </rPr>
      <t>Chapter 7:</t>
    </r>
    <r>
      <rPr>
        <sz val="11"/>
        <color theme="1"/>
        <rFont val="Calibri"/>
        <family val="2"/>
        <scheme val="minor"/>
      </rPr>
      <t xml:space="preserve"> Energy Efficiency</t>
    </r>
  </si>
  <si>
    <r>
      <rPr>
        <b/>
        <sz val="11"/>
        <color theme="1"/>
        <rFont val="Calibri"/>
        <family val="2"/>
        <scheme val="minor"/>
      </rPr>
      <t>Chapter 8:</t>
    </r>
    <r>
      <rPr>
        <sz val="11"/>
        <color theme="1"/>
        <rFont val="Calibri"/>
        <family val="2"/>
        <scheme val="minor"/>
      </rPr>
      <t xml:space="preserve"> Water Efficiency</t>
    </r>
  </si>
  <si>
    <r>
      <rPr>
        <b/>
        <sz val="11"/>
        <color theme="1"/>
        <rFont val="Calibri"/>
        <family val="2"/>
        <scheme val="minor"/>
      </rPr>
      <t>Chapter 9:</t>
    </r>
    <r>
      <rPr>
        <sz val="11"/>
        <color theme="1"/>
        <rFont val="Calibri"/>
        <family val="2"/>
        <scheme val="minor"/>
      </rPr>
      <t xml:space="preserve"> Indoor Environmental Quality</t>
    </r>
  </si>
  <si>
    <r>
      <rPr>
        <b/>
        <sz val="11"/>
        <color theme="1"/>
        <rFont val="Calibri"/>
        <family val="2"/>
        <scheme val="minor"/>
      </rPr>
      <t>Chapter 10:</t>
    </r>
    <r>
      <rPr>
        <sz val="11"/>
        <color theme="1"/>
        <rFont val="Calibri"/>
        <family val="2"/>
        <scheme val="minor"/>
      </rPr>
      <t xml:space="preserve"> Operation, Maintenance, and Building Owner Education</t>
    </r>
  </si>
  <si>
    <t>Additional Points Claimed</t>
  </si>
  <si>
    <t>Summary of Results of the Design Phase</t>
  </si>
  <si>
    <t>Overall Level Achieved for Design</t>
  </si>
  <si>
    <t xml:space="preserve">    Additional points required due to SF over 4000 (601.1)</t>
  </si>
  <si>
    <t xml:space="preserve">Multifamily Building Note: For a multifamily building, a weighted average of the individual unit sizes is used for this practice. </t>
  </si>
  <si>
    <t>Mandatory Practices</t>
  </si>
  <si>
    <t>No Errors</t>
  </si>
  <si>
    <r>
      <t xml:space="preserve">703.3.6 </t>
    </r>
    <r>
      <rPr>
        <sz val="10"/>
        <color theme="1"/>
        <rFont val="Calibri"/>
        <family val="2"/>
        <scheme val="minor"/>
      </rPr>
      <t>Ground source heat pump is installed by a Certified Geothermal Service Contractor in accordance with Table 703.3.6. Refrigerant charge is verified for compliance with manufacturer’s instructions utilizing a method in Section 4.3 of ACCA 5 QI-2010.</t>
    </r>
  </si>
  <si>
    <t>Carpet meeting and carpet cushion not meeting the emission limits is installed.</t>
  </si>
  <si>
    <t>Points Required</t>
  </si>
  <si>
    <t>Project ID:</t>
  </si>
  <si>
    <t>Certification Level - As Designed:</t>
  </si>
  <si>
    <t>Builder/Applicant:</t>
  </si>
  <si>
    <t>Building Type:</t>
  </si>
  <si>
    <t>Project Description:</t>
  </si>
  <si>
    <t>Chapter</t>
  </si>
  <si>
    <t xml:space="preserve">Designer </t>
  </si>
  <si>
    <t>BRONZE</t>
  </si>
  <si>
    <t>SILVER</t>
  </si>
  <si>
    <t>GOLD</t>
  </si>
  <si>
    <t>EMERALD</t>
  </si>
  <si>
    <r>
      <t xml:space="preserve">CHAPTER </t>
    </r>
    <r>
      <rPr>
        <b/>
        <sz val="11"/>
        <color theme="1"/>
        <rFont val="Calibri"/>
        <family val="2"/>
        <scheme val="minor"/>
      </rPr>
      <t>5</t>
    </r>
    <r>
      <rPr>
        <sz val="11"/>
        <color theme="1"/>
        <rFont val="Calibri"/>
        <family val="2"/>
        <scheme val="minor"/>
      </rPr>
      <t xml:space="preserve"> LOT DESIGN</t>
    </r>
  </si>
  <si>
    <r>
      <t xml:space="preserve">CHAPTER </t>
    </r>
    <r>
      <rPr>
        <b/>
        <sz val="11"/>
        <color theme="1"/>
        <rFont val="Calibri"/>
        <family val="2"/>
        <scheme val="minor"/>
      </rPr>
      <t>6</t>
    </r>
    <r>
      <rPr>
        <sz val="11"/>
        <color theme="1"/>
        <rFont val="Calibri"/>
        <family val="2"/>
        <scheme val="minor"/>
      </rPr>
      <t xml:space="preserve"> RESOURCE EFFICIENCY</t>
    </r>
  </si>
  <si>
    <r>
      <t xml:space="preserve">CHAPTER </t>
    </r>
    <r>
      <rPr>
        <b/>
        <sz val="11"/>
        <color theme="1"/>
        <rFont val="Calibri"/>
        <family val="2"/>
        <scheme val="minor"/>
      </rPr>
      <t>7</t>
    </r>
    <r>
      <rPr>
        <sz val="11"/>
        <color theme="1"/>
        <rFont val="Calibri"/>
        <family val="2"/>
        <scheme val="minor"/>
      </rPr>
      <t xml:space="preserve"> ENERGY EFFICIENCY</t>
    </r>
  </si>
  <si>
    <r>
      <t xml:space="preserve">CHAPTER </t>
    </r>
    <r>
      <rPr>
        <b/>
        <sz val="11"/>
        <color theme="1"/>
        <rFont val="Calibri"/>
        <family val="2"/>
        <scheme val="minor"/>
      </rPr>
      <t>8</t>
    </r>
    <r>
      <rPr>
        <sz val="11"/>
        <color theme="1"/>
        <rFont val="Calibri"/>
        <family val="2"/>
        <scheme val="minor"/>
      </rPr>
      <t xml:space="preserve"> WATER EFFICIENCY</t>
    </r>
  </si>
  <si>
    <r>
      <t xml:space="preserve">CHAPTER </t>
    </r>
    <r>
      <rPr>
        <b/>
        <sz val="11"/>
        <color theme="1"/>
        <rFont val="Calibri"/>
        <family val="2"/>
        <scheme val="minor"/>
      </rPr>
      <t>9</t>
    </r>
    <r>
      <rPr>
        <sz val="11"/>
        <color theme="1"/>
        <rFont val="Calibri"/>
        <family val="2"/>
        <scheme val="minor"/>
      </rPr>
      <t xml:space="preserve"> INDOOR ENVIRONMENTAL QUALITY</t>
    </r>
  </si>
  <si>
    <r>
      <t xml:space="preserve">CHAPTER </t>
    </r>
    <r>
      <rPr>
        <b/>
        <sz val="11"/>
        <color theme="1"/>
        <rFont val="Calibri"/>
        <family val="2"/>
        <scheme val="minor"/>
      </rPr>
      <t>10</t>
    </r>
    <r>
      <rPr>
        <sz val="11"/>
        <color theme="1"/>
        <rFont val="Calibri"/>
        <family val="2"/>
        <scheme val="minor"/>
      </rPr>
      <t xml:space="preserve"> OPERATION, MAINTENANCE</t>
    </r>
  </si>
  <si>
    <t>Total</t>
  </si>
  <si>
    <t>Name:</t>
  </si>
  <si>
    <t>Email:</t>
  </si>
  <si>
    <t>Phone:</t>
  </si>
  <si>
    <t>Date:</t>
  </si>
  <si>
    <t>Verifier Comments &amp; Sign Off</t>
  </si>
  <si>
    <t>Verifier Comments:</t>
  </si>
  <si>
    <t>Verifier Signature:</t>
  </si>
  <si>
    <t>Start Time:</t>
  </si>
  <si>
    <t>End Time:</t>
  </si>
  <si>
    <t>(format: mm/dd/yyyy)</t>
  </si>
  <si>
    <t>Team Verification</t>
  </si>
  <si>
    <t xml:space="preserve">(Completing this section is MANDATORY whenever multiple accredited verifiers are involved in the verification of a given building or homes within a batch.) </t>
  </si>
  <si>
    <t>Verifier Name</t>
  </si>
  <si>
    <t>Role</t>
  </si>
  <si>
    <r>
      <rPr>
        <b/>
        <sz val="11"/>
        <color theme="1"/>
        <rFont val="Calibri"/>
        <family val="2"/>
        <scheme val="minor"/>
      </rPr>
      <t>Elements Verified</t>
    </r>
    <r>
      <rPr>
        <sz val="11"/>
        <color theme="1"/>
        <rFont val="Calibri"/>
        <family val="2"/>
        <scheme val="minor"/>
      </rPr>
      <t xml:space="preserve"> </t>
    </r>
    <r>
      <rPr>
        <i/>
        <sz val="8"/>
        <color theme="1"/>
        <rFont val="Calibri"/>
        <family val="2"/>
        <scheme val="minor"/>
      </rPr>
      <t>(if applicable)</t>
    </r>
  </si>
  <si>
    <t>OPTIONAL BATCH SUBMISSION</t>
  </si>
  <si>
    <t>Final Address</t>
  </si>
  <si>
    <t>Rough Address</t>
  </si>
  <si>
    <t>Project ID</t>
  </si>
  <si>
    <r>
      <t xml:space="preserve">Inspection Date 
</t>
    </r>
    <r>
      <rPr>
        <sz val="8"/>
        <color theme="0" tint="-0.499984740745262"/>
        <rFont val="Calibri"/>
        <family val="2"/>
        <scheme val="minor"/>
      </rPr>
      <t>(format: mm/dd/yyyy)</t>
    </r>
  </si>
  <si>
    <t>- REQUIREMENTS FOR BATCH SUBMISSION -</t>
  </si>
  <si>
    <t>Community site plan or official local jurisdiction bike lane map.</t>
  </si>
  <si>
    <t>Both a plan and implementation is required to award points. Lot specific information for:</t>
  </si>
  <si>
    <t>Invoice or other evidence from Certified Arborist.</t>
  </si>
  <si>
    <t>Statement from professional that maintenance of vegetation during construction complies.</t>
  </si>
  <si>
    <t>Written conservation plan.</t>
  </si>
  <si>
    <t>Report from qualified professional indicating the percent alignment.</t>
  </si>
  <si>
    <t>Plans showing grading &amp; clearing limits.</t>
  </si>
  <si>
    <t>Calculation showing % of hardscape surface covered with permeable materials.</t>
  </si>
  <si>
    <t>Landscape plan that identifies natural vegetation on the lot to be protected, enhanced, or restored.</t>
  </si>
  <si>
    <t>List of regionally appropriate plants must be on plan. Landscape contractor statement or labels on plants.</t>
  </si>
  <si>
    <t>Landscape plan by qualified landscape professional that identifies flowering and nectar producing species on at least 10% of planted areas.</t>
  </si>
  <si>
    <t>Landscape plan by qualified landscape professional.</t>
  </si>
  <si>
    <t>Landscape plan by qualified professional stating intent of practice will be met.</t>
  </si>
  <si>
    <t>PO or invoice for contractor providing onsite recycling.</t>
  </si>
  <si>
    <t>None.</t>
  </si>
  <si>
    <t>Calculation of number of units divided by lot size for the building.</t>
  </si>
  <si>
    <t>Plan specs.</t>
  </si>
  <si>
    <t>Engineer’s statement that the intent of the practice has been met.</t>
  </si>
  <si>
    <t>Specifications showing higher grade materials.</t>
  </si>
  <si>
    <t>Plans showing dimensions &amp; layouts to minimize material usage and waste.</t>
  </si>
  <si>
    <t>PO and documentation from producer.</t>
  </si>
  <si>
    <t>Plans showing foundation details.</t>
  </si>
  <si>
    <t>Plans/specifications AND scope of work(s) detailing how this requirement has been met. Photo(s) showing installation.</t>
  </si>
  <si>
    <t>Plans, specification, or scope of work showing enhanced foundation coating.</t>
  </si>
  <si>
    <t>Plans showing exterior and interior rain tile for foundation, if applicable.</t>
  </si>
  <si>
    <t>Plans/documentation showing original square footage. When modified, plans showing modifications. When deconstructed, photos showing process and receipts for donation of major components.</t>
  </si>
  <si>
    <t>List of materials used with recycled content. Manufacturer’s literature showing recycled content.</t>
  </si>
  <si>
    <t>Post C&amp;D waste management plan on-site. Evidence that at least 50% of waste materials are being recycled or salvaged.</t>
  </si>
  <si>
    <t>No documentation required, but builder rep shall point out on-site recycling efforts and explain 50% goal.</t>
  </si>
  <si>
    <t>Copy of agreement with and pick-up tickets by recycling contractor, list of materials sent to recycler.</t>
  </si>
  <si>
    <t>List of materials and amounts, and manufacturers’ literature or certificate documenting materials manufactured from renewable resources used on this site.</t>
  </si>
  <si>
    <t>List of certified wood product types used and literature or stamp showing certification.</t>
  </si>
  <si>
    <t>List the products used and justification that are claimed to use fewer resources if not specifically listed in the practice.</t>
  </si>
  <si>
    <t>List of materials used to include manufacturer, cost of materials, and % of total materials cost. Copy of ISO14001 certificate for each material claimed. Analysis showing total material cost.</t>
  </si>
  <si>
    <t>List of certified products with product literature or other evidence of certification.</t>
  </si>
  <si>
    <t>Drawing, specifications, scopes of work detailing air sealing that is not readily inspected during the rough inspection.</t>
  </si>
  <si>
    <t>Manufacturer’s label or literature indicating listing complying with this practice.</t>
  </si>
  <si>
    <t>Labels on units.</t>
  </si>
  <si>
    <t>Manufacturer’s specification for combo system showing combined annual efficiency of at least 0.80 and a minimum water heating recovery efficiency of 0.87.</t>
  </si>
  <si>
    <t>Manufacturer’s specification for equipment that is installed.</t>
  </si>
  <si>
    <t>Manufacturer’s literature.</t>
  </si>
  <si>
    <t>Manufacturer’s literature showing factory installation or invoice/statement of work by qualified installer.</t>
  </si>
  <si>
    <t>Manufacturer’s literature for installed equipment.</t>
  </si>
  <si>
    <t>When thermal mass is claimed provide calculation for ratio of exposed thermal mass to conditioned floor space.</t>
  </si>
  <si>
    <t>Calculations for ratio of south glazing to floor area and ratio of exposed thermal mass to conditioned floor space.</t>
  </si>
  <si>
    <t>Certificate.</t>
  </si>
  <si>
    <t>Start-up checklist signed by contractor.</t>
  </si>
  <si>
    <t>Blower door test report. 701.4.3.2 visual inspection report.</t>
  </si>
  <si>
    <t>Manufacturer’s product specification(s).</t>
  </si>
  <si>
    <t>Evidence (e.g., utility bills) builder has selected renewable energy service for both construction and local office for temporary electric service during construction.</t>
  </si>
  <si>
    <t>Service agreement that owner has selected renewable energy service plan for permanent service after completion.</t>
  </si>
  <si>
    <t>Manufacturer’s literature or installer certification showing number of watts produced by installed system.</t>
  </si>
  <si>
    <t>Calculation showing maximum amount of water in the piping between heater and any fixture.</t>
  </si>
  <si>
    <t>Manufacturer’s specifications showing compliance.</t>
  </si>
  <si>
    <t>Manufacturer’s specifications or literature.</t>
  </si>
  <si>
    <t>Plans and specs showing rough plumbed systems.</t>
  </si>
  <si>
    <t>When fire sprinkler system present, provide installer’s certification that shutoff does not interfere with sprinklers.</t>
  </si>
  <si>
    <t>Local jurisdiction approval.</t>
  </si>
  <si>
    <t>Documentation describing advanced features of the system.</t>
  </si>
  <si>
    <t>Manufacturer’s literature or label. Note: The EPA does not certify fireplaces. There are EPA-qualified fireplaces that are acceptable for this practice.</t>
  </si>
  <si>
    <t>Manufacturer’s literature or label.</t>
  </si>
  <si>
    <t>Manufacturer’s literature/specifications for fan.</t>
  </si>
  <si>
    <t>Manufacturer’s literature or product marking showing compliance for wall, ceiling and/or floor insulation.</t>
  </si>
  <si>
    <t>Manufacturer’s literature/specifications for the fan showing cfm.</t>
  </si>
  <si>
    <t>Manufacturer’s literature/specifications showing cfm.</t>
  </si>
  <si>
    <t>Test report by qualified professional showing compliance as installed.</t>
  </si>
  <si>
    <t>Designer/installer certification of system capability for installed MERV filters.</t>
  </si>
  <si>
    <t>Invoice from cleaning contractor showing cleaning and coil inspection.</t>
  </si>
  <si>
    <t>Manufacturer’s literature detailing capabilities. Statement by qualified professional that the system as installed has the capacity to meet the practice.</t>
  </si>
  <si>
    <t>Manufacturer’s literature showing cfm.</t>
  </si>
  <si>
    <t>Builder’s documented procedures &amp; standard practices explaining the occupant training process. Examples of training materials and written confirmation from similar projects that training has been done.</t>
  </si>
  <si>
    <t>Purchase order for certification signage and written instructions regarding installation location.</t>
  </si>
  <si>
    <t>Verification plan is developed to monitor post-occupancy energy and water use and is provided in the building owner’s manual.</t>
  </si>
  <si>
    <t>Overview (Design Phase)</t>
  </si>
  <si>
    <t>Overview (Verifier phase)</t>
  </si>
  <si>
    <t>Who completed this information?</t>
  </si>
  <si>
    <t>Caveats</t>
  </si>
  <si>
    <t>CLICK HERE TO GET STARTED!</t>
  </si>
  <si>
    <t>DESIGN PHASE:</t>
  </si>
  <si>
    <r>
      <t xml:space="preserve">Begin on the </t>
    </r>
    <r>
      <rPr>
        <b/>
        <sz val="11"/>
        <color theme="1"/>
        <rFont val="Calibri"/>
        <family val="2"/>
        <scheme val="minor"/>
      </rPr>
      <t>Overview (Design)</t>
    </r>
    <r>
      <rPr>
        <sz val="11"/>
        <color theme="1"/>
        <rFont val="Calibri"/>
        <family val="2"/>
        <scheme val="minor"/>
      </rPr>
      <t xml:space="preserve"> page. Complete all mandatory information and as much non-mandatory information as possible before moving on to the rest of the workbook. </t>
    </r>
  </si>
  <si>
    <t>VERIFICATION PHASE:</t>
  </si>
  <si>
    <t>Information in the header will track your points progress for that Chapter in real time. The header will also display warnings if you are missing any mandatory information or there is an error on that page. The Chapter Level may not display while there are still errors on the page.</t>
  </si>
  <si>
    <t>www.homeinnovation.com/FindNGBSverifier</t>
  </si>
  <si>
    <t>When you have finished scoring the design phase, send this file as an attachment to your verifier. They will complete the remainder. Accredited verifiers can be found at:</t>
  </si>
  <si>
    <r>
      <t xml:space="preserve">The </t>
    </r>
    <r>
      <rPr>
        <b/>
        <sz val="11"/>
        <color theme="1"/>
        <rFont val="Calibri"/>
        <family val="2"/>
        <scheme val="minor"/>
      </rPr>
      <t>Design Summary</t>
    </r>
    <r>
      <rPr>
        <sz val="11"/>
        <color theme="1"/>
        <rFont val="Calibri"/>
        <family val="2"/>
        <scheme val="minor"/>
      </rPr>
      <t xml:space="preserve"> page shows a summary of the points claimed in the Design phase. It will also indicate if there is anything missing or incorrect in each Chapter.</t>
    </r>
  </si>
  <si>
    <t>Report Phase:</t>
  </si>
  <si>
    <r>
      <t xml:space="preserve">The </t>
    </r>
    <r>
      <rPr>
        <b/>
        <sz val="11"/>
        <color theme="1"/>
        <rFont val="Calibri"/>
        <family val="2"/>
        <scheme val="minor"/>
      </rPr>
      <t>Verification Report</t>
    </r>
    <r>
      <rPr>
        <sz val="11"/>
        <color theme="1"/>
        <rFont val="Calibri"/>
        <family val="2"/>
        <scheme val="minor"/>
      </rPr>
      <t xml:space="preserve"> page is used for both parts of the Verification phase. At the top of the page, select the goal level and the phase (Rough or Final).</t>
    </r>
  </si>
  <si>
    <t>Some practices should only be claimed during one phase of Verification. If the practice is not available during your current phase, it will be greyed out.</t>
  </si>
  <si>
    <t>Points claimed in the Design phase are displayed for easy comparison. On practices where the choices are not obvious based on point values, chosen portions of the practice will be highlighted in green.</t>
  </si>
  <si>
    <t>NOTE: If "N/A" is selected, please explain in the Notes area.</t>
  </si>
  <si>
    <t>Built to IBC</t>
  </si>
  <si>
    <t>(m)</t>
  </si>
  <si>
    <t>901.10</t>
  </si>
  <si>
    <t>RF</t>
  </si>
  <si>
    <t>R</t>
  </si>
  <si>
    <t>F</t>
  </si>
  <si>
    <t>P</t>
  </si>
  <si>
    <t>Hydrologic analysis; plans that show features to minimize concentrated flows</t>
  </si>
  <si>
    <t>This workbook will be updated periodically.  Before scoring a project, check if you have the latest version.</t>
  </si>
  <si>
    <t>This scoring tool was developed using Microsoft Excel for PC. Features of this spreadsheet may not work in older Excel versions, in spreadsheet software other than Excel, or platforms other than Windows.</t>
  </si>
  <si>
    <r>
      <rPr>
        <b/>
        <sz val="11"/>
        <color theme="1"/>
        <rFont val="Calibri"/>
        <family val="2"/>
        <scheme val="minor"/>
      </rPr>
      <t>Chapters 5 through 10</t>
    </r>
    <r>
      <rPr>
        <sz val="11"/>
        <color theme="1"/>
        <rFont val="Calibri"/>
        <family val="2"/>
        <scheme val="minor"/>
      </rPr>
      <t xml:space="preserve"> are for the design phase. Claim practices using checkboxes, dropdowns, and number entry. Practices are colored based on their availability (see Key below).</t>
    </r>
  </si>
  <si>
    <r>
      <t xml:space="preserve">Verifiers should begin with the </t>
    </r>
    <r>
      <rPr>
        <b/>
        <sz val="11"/>
        <color theme="1"/>
        <rFont val="Calibri"/>
        <family val="2"/>
        <scheme val="minor"/>
      </rPr>
      <t>Overview (Verification)</t>
    </r>
    <r>
      <rPr>
        <sz val="11"/>
        <color theme="1"/>
        <rFont val="Calibri"/>
        <family val="2"/>
        <scheme val="minor"/>
      </rPr>
      <t xml:space="preserve"> page. Verifiers must confirm the information on the </t>
    </r>
    <r>
      <rPr>
        <b/>
        <sz val="11"/>
        <color theme="1"/>
        <rFont val="Calibri"/>
        <family val="2"/>
        <scheme val="minor"/>
      </rPr>
      <t>Overview (Design)</t>
    </r>
    <r>
      <rPr>
        <sz val="11"/>
        <color theme="1"/>
        <rFont val="Calibri"/>
        <family val="2"/>
        <scheme val="minor"/>
      </rPr>
      <t xml:space="preserve"> page. If any information is incorrect, uncheck the corresponding checkbox and enter the correct information here.</t>
    </r>
  </si>
  <si>
    <t>R/F</t>
  </si>
  <si>
    <t>606.0</t>
  </si>
  <si>
    <t>605.0</t>
  </si>
  <si>
    <t>603.0</t>
  </si>
  <si>
    <t>505.0</t>
  </si>
  <si>
    <t>1003.0</t>
  </si>
  <si>
    <t>1004.0</t>
  </si>
  <si>
    <t>901.0</t>
  </si>
  <si>
    <t>Address of Home:</t>
  </si>
  <si>
    <t>Certification Level - Final:</t>
  </si>
  <si>
    <t>Builder Comments:</t>
  </si>
  <si>
    <t>rgherror</t>
  </si>
  <si>
    <t>There are errors in the Verification Report Sheet!</t>
  </si>
  <si>
    <t>There is missing mandatory information on this sheet!</t>
  </si>
  <si>
    <t>SCOPE AND APPLICABILITY</t>
  </si>
  <si>
    <t>(877) 854-3577</t>
  </si>
  <si>
    <t>www.ul.com</t>
  </si>
  <si>
    <t>Northbrook, IL 60062-2096</t>
  </si>
  <si>
    <t>333 Pfingsten Road</t>
  </si>
  <si>
    <t>Underwriters Laboratories Inc.</t>
  </si>
  <si>
    <t>UL 2768</t>
  </si>
  <si>
    <t>(202) 872-6400</t>
  </si>
  <si>
    <t xml:space="preserve">http://www.greenseal.org/ </t>
  </si>
  <si>
    <t>Washington, DC 20036-5525</t>
  </si>
  <si>
    <t>1001 Connecticut Avenue, NW, Suite 827</t>
  </si>
  <si>
    <t>Green Seal</t>
  </si>
  <si>
    <t>Green Seal-11 Standard for Paints and Coatings</t>
  </si>
  <si>
    <t>(510) 452-8000</t>
  </si>
  <si>
    <t xml:space="preserve">http://www.scscertified.com </t>
  </si>
  <si>
    <t>Emeryville, California 94608</t>
  </si>
  <si>
    <t>2000 Powell Street, Suite 600</t>
  </si>
  <si>
    <t>Scientific Certification Systems</t>
  </si>
  <si>
    <t>Scientific Certification Systems (SCS) Indoor Advantage Gold Program</t>
  </si>
  <si>
    <t xml:space="preserve">http://www.rfci.com </t>
  </si>
  <si>
    <t>LaGrange, Georgia 30240</t>
  </si>
  <si>
    <t>115 Broad Street, Suite 201</t>
  </si>
  <si>
    <t>Resilient Floor Covering Institute</t>
  </si>
  <si>
    <t>Resilient Floor Covering Institute’s FloorScore Indoor Air Certification Program</t>
  </si>
  <si>
    <t xml:space="preserve">www.ul.com </t>
  </si>
  <si>
    <t>Underwriters Laboratories Inc. 333 Pfingsten Road Northbrook, IL 60062-2096</t>
  </si>
  <si>
    <t>UL GREENGUARD Gold</t>
  </si>
  <si>
    <t>(706) 278-3176</t>
  </si>
  <si>
    <t>http://www.carpet-rug.org</t>
  </si>
  <si>
    <t>United States of America</t>
  </si>
  <si>
    <t>Dalton, Georgia 30720</t>
  </si>
  <si>
    <t>730 College Drive</t>
  </si>
  <si>
    <t>Carpet and Rug Institute</t>
  </si>
  <si>
    <t>Carpet and Rug Institute’s (CRI) Green Label Plus Indoor Air Quality Program</t>
  </si>
  <si>
    <t>(703) 264-1690</t>
  </si>
  <si>
    <t>www.kcma.org</t>
  </si>
  <si>
    <t>Reston, VA 20191</t>
  </si>
  <si>
    <t>1899 Preston White Drive</t>
  </si>
  <si>
    <t>Kitchen Cabinet Manufacturers Association</t>
  </si>
  <si>
    <t>Kitchen Cabinet Manufacturers Association (KCMA) Environmental Stewardship Program (ESP)</t>
  </si>
  <si>
    <t>Contact Information for the Program Administrator</t>
  </si>
  <si>
    <t>Third-party Certification Program</t>
  </si>
  <si>
    <t>Contact Information for the Example Third-party Certification Programs</t>
  </si>
  <si>
    <t>UL GREENGUARD Gold Scientific Certifications Systems (SCS) Indoor Advantage Gold Program</t>
  </si>
  <si>
    <t>901.11 Insulation</t>
  </si>
  <si>
    <t>Green Seal-36 Standard for Adhesives for Commercial Use</t>
  </si>
  <si>
    <t>Scientific Certifications Systems (SCS) Indoor Advantage Gold Program</t>
  </si>
  <si>
    <t xml:space="preserve">UL GREENGUARD </t>
  </si>
  <si>
    <t>901.10 Adhesives and sealants</t>
  </si>
  <si>
    <t>901.9 Architectural coatings</t>
  </si>
  <si>
    <t>901.8 Wall coverings</t>
  </si>
  <si>
    <t>UL GREENGUARD Gold Resilient Floor Covering Institute’s FloorScore Indoor Air Certification Program</t>
  </si>
  <si>
    <t>901.7 Hard-surface flooring</t>
  </si>
  <si>
    <t>901.6 Carpets</t>
  </si>
  <si>
    <t xml:space="preserve">Kitchen Cabinet Manufacturers Association (KCMA) Environmental Stewardship Program (ESP) </t>
  </si>
  <si>
    <t>901.5 Cabinets</t>
  </si>
  <si>
    <t>Examples of Third-party Certification Programs Compliant with the Corresponding Section</t>
  </si>
  <si>
    <t>Related Section of Standard</t>
  </si>
  <si>
    <t>Examples of Third-party Certification Programs</t>
  </si>
  <si>
    <t>CONFORMANCE</t>
  </si>
  <si>
    <t xml:space="preserve">EXAMPLES OF THIRD-PARTY PROGRAMS FOR INDOOR ENVIRONMENTAL QUALITY </t>
  </si>
  <si>
    <t>The "Required Documentation" and "Verification Report" sheets have filters built in. You can use these filters to hide rows that are irrelevant to you.</t>
  </si>
  <si>
    <t>Advanced (filtering)</t>
  </si>
  <si>
    <t>The "Verification Report" sheet has three columns on the left: Chapter, Points, and Rough/Final. You can use each filter to hide practices that are not relevant to you.</t>
  </si>
  <si>
    <t>The filtering is easily undone and redone. Just click the arrow again and recheck each value you want to display.</t>
  </si>
  <si>
    <t>The points filtering is based on the current state of the design portion when the filter is applied. If the selected practices are changed, you will have to undo and redo the filtering.</t>
  </si>
  <si>
    <t>DO NOT SELECT "SORT". SORTING WILL NOT DO ANYTHING POSITIVE. IF YOU ACCIDENTALLY SORT SOMETHING, UNDO (CTRL + Z) AND IT SHOULD GO BACK TO NORMAL BUT MAY CRASH.</t>
  </si>
  <si>
    <t>filter column</t>
  </si>
  <si>
    <t>Use the notes column to add explanation or extra information regarding a practice. Some practices require a note of explanation and will indicate as such.</t>
  </si>
  <si>
    <t>CLICK TO PROCEED TO CHAPTER 5 &gt;&gt;</t>
  </si>
  <si>
    <t>Mandatory Information is missing on the Overview (Design) page!</t>
  </si>
  <si>
    <t>Ch7Max</t>
  </si>
  <si>
    <t>Ch8Max</t>
  </si>
  <si>
    <t>Mandatory info is missing from the Overview (Design) page!</t>
  </si>
  <si>
    <t>Mandatory Information is missing on the Overview (Verification) page!</t>
  </si>
  <si>
    <t>back to Verification Report</t>
  </si>
  <si>
    <r>
      <t xml:space="preserve">The </t>
    </r>
    <r>
      <rPr>
        <b/>
        <sz val="11"/>
        <color theme="1"/>
        <rFont val="Calibri"/>
        <family val="2"/>
        <scheme val="minor"/>
      </rPr>
      <t>Required Documentation</t>
    </r>
    <r>
      <rPr>
        <sz val="11"/>
        <color theme="1"/>
        <rFont val="Calibri"/>
        <family val="2"/>
        <scheme val="minor"/>
      </rPr>
      <t xml:space="preserve"> page shows the paperwork necessary if claiming certain practices. These can be filtered to only show those that were claimed in the Design phase.</t>
    </r>
  </si>
  <si>
    <t>version</t>
  </si>
  <si>
    <t>correction</t>
  </si>
  <si>
    <t>release date</t>
  </si>
  <si>
    <t>initial release</t>
  </si>
  <si>
    <t>Design Phase Notes</t>
  </si>
  <si>
    <t>Verifier Notes</t>
  </si>
  <si>
    <t>1001.0</t>
  </si>
  <si>
    <t>1002.0</t>
  </si>
  <si>
    <t>701.1</t>
  </si>
  <si>
    <t>902.0</t>
  </si>
  <si>
    <t>903.0</t>
  </si>
  <si>
    <t>904.0</t>
  </si>
  <si>
    <t>_1_</t>
  </si>
  <si>
    <t>601</t>
  </si>
  <si>
    <t>901</t>
  </si>
  <si>
    <t>1001</t>
  </si>
  <si>
    <t>If you click on the arrow in the top left, you will see options for filtering out certain values. If you uncheck values other than "P", practices not chosen will be hidden.</t>
  </si>
  <si>
    <t>Conditioned Square Footage:</t>
  </si>
  <si>
    <t>ELR50 (optional):</t>
  </si>
  <si>
    <t>Coding</t>
  </si>
  <si>
    <t>Coding+Points</t>
  </si>
  <si>
    <t>points</t>
  </si>
  <si>
    <t>No Mandatory items missing on the "Overview (Design)" page</t>
  </si>
  <si>
    <t>On the far left of the "Required Documentation" sheet, there are three dynamic columns which change based on what you did in the design portion.</t>
  </si>
  <si>
    <t>Filters</t>
  </si>
  <si>
    <t>Location:</t>
  </si>
  <si>
    <t>dstDesigner</t>
  </si>
  <si>
    <t>verProjectID</t>
  </si>
  <si>
    <t>(format: hh:mm AM)</t>
  </si>
  <si>
    <r>
      <rPr>
        <b/>
        <sz val="11"/>
        <color theme="1"/>
        <rFont val="Calibri"/>
        <family val="2"/>
        <scheme val="minor"/>
      </rPr>
      <t>Inspection Dates</t>
    </r>
    <r>
      <rPr>
        <sz val="11"/>
        <color theme="1"/>
        <rFont val="Calibri"/>
        <family val="2"/>
        <scheme val="minor"/>
      </rPr>
      <t xml:space="preserve"> </t>
    </r>
    <r>
      <rPr>
        <i/>
        <sz val="8"/>
        <color theme="1"/>
        <rFont val="Calibri"/>
        <family val="2"/>
        <scheme val="minor"/>
      </rPr>
      <t>(if applicable)</t>
    </r>
  </si>
  <si>
    <t>back to 901.9.2</t>
  </si>
  <si>
    <t>required by IECC:</t>
  </si>
  <si>
    <t>rough</t>
  </si>
  <si>
    <t>dd name</t>
  </si>
  <si>
    <t>Reviewer Notes</t>
  </si>
  <si>
    <t>If photos appear to contradict the points claimed, 
please explain in the Notes field in the Verifier report.</t>
  </si>
  <si>
    <t>Practices that will be reviewed alongside 
the required photo documentation.</t>
  </si>
  <si>
    <t>Mandatory</t>
  </si>
  <si>
    <t>2015 IECC</t>
  </si>
  <si>
    <t>2015 IRC</t>
  </si>
  <si>
    <t>Batch Submission:</t>
  </si>
  <si>
    <t>dstBatch</t>
  </si>
  <si>
    <t>Primary Heating Fuel:</t>
  </si>
  <si>
    <t>2018 IECC</t>
  </si>
  <si>
    <t>2018 IRC</t>
  </si>
  <si>
    <r>
      <t>500.0 Intent</t>
    </r>
    <r>
      <rPr>
        <sz val="10"/>
        <color theme="1"/>
        <rFont val="Calibri"/>
        <family val="2"/>
        <scheme val="minor"/>
      </rPr>
      <t>. This section applies to lot development for the eventual construction of residential buildings, multifamily buildings, or additions thereto that contain dwelling units or sleeping units.</t>
    </r>
  </si>
  <si>
    <t>OR
A lot is selected within a census block group that, compared to its region, has above-average neighborhood walkability using an index within the EPA’s Smart Location Database:</t>
  </si>
  <si>
    <t xml:space="preserve">Walkability is within the top quartile for the region. </t>
  </si>
  <si>
    <t xml:space="preserve">Walkability is within the second quartile for the region. </t>
  </si>
  <si>
    <t xml:space="preserve">Bicycle enclosed storage is provided or parking spaces are covered or otherwise protected from the elements </t>
  </si>
  <si>
    <t>2 per
(a)-(c)</t>
  </si>
  <si>
    <t xml:space="preserve">Select a lot in a community where there is access to shared vehicle usage such as carpool drop-off areas, car-share services, and shuttle services to mass transit. </t>
  </si>
  <si>
    <t xml:space="preserve">Lot is within 1/2 mile walking distance of  where a bike sharing program is provided. </t>
  </si>
  <si>
    <t>NOTE: Enter name of bike sharing program.</t>
  </si>
  <si>
    <t>NOTE: Enter name of car sharing program.</t>
  </si>
  <si>
    <r>
      <t xml:space="preserve">Developer has a plan to design and construct the lot in accordance with the International Wildland-Urban Interface Code (IWUIC).
</t>
    </r>
    <r>
      <rPr>
        <i/>
        <sz val="10"/>
        <rFont val="Calibri"/>
        <family val="2"/>
        <scheme val="minor"/>
      </rPr>
      <t>[Only applicable where the AHJ has not declared a wildland-urban interface area, but a fire protection engineer, certified fire marshal, or other qualified party has determined and documented the site as hazarded per the IWUIC].</t>
    </r>
    <r>
      <rPr>
        <sz val="10"/>
        <rFont val="Calibri"/>
        <family val="2"/>
        <scheme val="minor"/>
      </rPr>
      <t xml:space="preserve"> </t>
    </r>
  </si>
  <si>
    <t xml:space="preserve">10 percent to less than 25 percent (add 2 points for use of vegetative paving system) </t>
  </si>
  <si>
    <t xml:space="preserve">25-50 percent (add 4 points for use of vegetative paving system) </t>
  </si>
  <si>
    <t xml:space="preserve">Greater than 50 percent (add 6 points for use of vegetative paving system) </t>
  </si>
  <si>
    <t>[Points for vegetative paving systems are only awarded for locations receiving more than 20 inches per year of annual average precipitation]</t>
  </si>
  <si>
    <t xml:space="preserve">Complete gutter and downspout system directs storm water away from foundation to vegetated landscape area, a raingarden, or catchment system that provides for water infiltration. </t>
  </si>
  <si>
    <t>(Where "front" only or "rear" only plan is implemented, only half of the points (rounding down to a whole number) are awarded for Items (1)-(9))</t>
  </si>
  <si>
    <t xml:space="preserve">To improve pollinator habitat, at least 10 percent of planted areas are composed of native or regionally appropriate flowering and nectar producing plant species. Invasive plant species shall not be utilized.   </t>
  </si>
  <si>
    <t xml:space="preserve">EPA WaterSense Water Budget Tool or equivalent is used when implementing the site vegetative design. </t>
  </si>
  <si>
    <t xml:space="preserve">Where turf is being planted, Turfgrass Water Conservation Alliance (TWCA) or equivalent as determined by the adopting entity third party qualified water efficient grasses are used. </t>
  </si>
  <si>
    <t xml:space="preserve">7 to less than 14 dwelling units/sleeping units per acre (per 4,047 m2) </t>
  </si>
  <si>
    <t xml:space="preserve">14 to less than 21 dwelling units/sleeping units per acre (per 4,047 m2) </t>
  </si>
  <si>
    <t xml:space="preserve">21 to less than 35 dwelling units/sleeping units per acre (per 4,047 m2) </t>
  </si>
  <si>
    <t xml:space="preserve">35 to less than 70 dwelling units/sleeping units per acre (per 4,047 m2) </t>
  </si>
  <si>
    <t xml:space="preserve">70 or greater dwelling units/sleeping units per acre (per 4,047 m2) </t>
  </si>
  <si>
    <t>505.4 Mixed-use development.</t>
  </si>
  <si>
    <t>The lot contains a mixed-use building.</t>
  </si>
  <si>
    <t xml:space="preserve">A portion of the lot of at least 250 sq ft is established as community garden(s) for the residents of the site. [*3 points per 250 sq ft] </t>
  </si>
  <si>
    <t>9 max</t>
  </si>
  <si>
    <t xml:space="preserve">Locate the project within a 0.5-mile walking distance of an existing or planned farmers market/ farm stand that is open or will operate at least once a week for at least five months of the year. </t>
  </si>
  <si>
    <t xml:space="preserve">Areas and physical provisions are provided for composting. </t>
  </si>
  <si>
    <t xml:space="preserve">Signs designating the garden area are posted. </t>
  </si>
  <si>
    <t>Community Garden (sf):</t>
  </si>
  <si>
    <r>
      <t xml:space="preserve">505.6 Multi-Unit Plug-In Electric Vehicle Charging.  </t>
    </r>
    <r>
      <rPr>
        <sz val="10"/>
        <color theme="1"/>
        <rFont val="Calibri"/>
        <family val="2"/>
        <scheme val="minor"/>
      </rPr>
      <t>Plug-in electric vehicle charging capability is provided for not fewer than 2 percent of parking stalls.
[An additional 2 points can be earned for each percentage point above 2% for a maximum of 10 points]</t>
    </r>
  </si>
  <si>
    <t>Fractional values shall be rounded up to the nearest whole number. Electrical capacity in main electric panels supports Level 2 charging (208/240V- up to 80 amps or in accordance with SAE J1772). Each stall is provided with conduit and wiring infrastructure from the electric panel to support Level 2 charging (208/240V- up to 80 amps or in accordance with SAE J1772) service to the designated stalls, and stalls are equipped with either Level 2 charging AC grounded outlets (208/240V- up to 80 amps or in accordance with SAE J1772) or Level 2 charging stations (208/240V- up to 80 amps or in accordance with SAE J1772) by a third party charging station.</t>
  </si>
  <si>
    <t>4 (10 max)</t>
  </si>
  <si>
    <t>505.7</t>
  </si>
  <si>
    <t>505.8</t>
  </si>
  <si>
    <t>505.9</t>
  </si>
  <si>
    <t>505.10</t>
  </si>
  <si>
    <r>
      <t xml:space="preserve">505.7 Multi-unit residential CNG vehicle fueling. </t>
    </r>
    <r>
      <rPr>
        <sz val="10"/>
        <rFont val="Calibri"/>
        <family val="2"/>
        <scheme val="minor"/>
      </rPr>
      <t xml:space="preserve">CNG vehicle residential fueling appliances are provided for at least 1 percent of the parking stalls. The CNG fueling appliances shall be listed in accordance with ANSI/CSA NGV 5.1 and installed in accordance with the appliance manufacturer’s installation instructions. </t>
    </r>
  </si>
  <si>
    <r>
      <t xml:space="preserve">505.8 Street network. </t>
    </r>
    <r>
      <rPr>
        <sz val="10"/>
        <rFont val="Calibri"/>
        <family val="2"/>
        <scheme val="minor"/>
      </rPr>
      <t xml:space="preserve">Locate the project in an area of high intersection density. </t>
    </r>
  </si>
  <si>
    <r>
      <t xml:space="preserve">505.9 Smoking prohibitions. </t>
    </r>
    <r>
      <rPr>
        <sz val="10"/>
        <rFont val="Calibri"/>
        <family val="2"/>
        <scheme val="minor"/>
      </rPr>
      <t>Signs are provided on multifamily and mixed-use lots prohibiting smoking at the following locations:</t>
    </r>
  </si>
  <si>
    <r>
      <t>Smoking is prohibited within 25 feet (7.5 m) of all building exterior doors and operable windows or building air intakes within 15 (4.5 m) vertical feet of grade or a walking surface.</t>
    </r>
    <r>
      <rPr>
        <i/>
        <sz val="10"/>
        <rFont val="Calibri"/>
        <family val="2"/>
        <scheme val="minor"/>
      </rPr>
      <t xml:space="preserve"> </t>
    </r>
  </si>
  <si>
    <t xml:space="preserve">Smoking is prohibited on decks, balconies, patios and other occupied exterior spaces. </t>
  </si>
  <si>
    <t xml:space="preserve">Smoking is prohibited at all parks, playgrounds, and community activity or recreational spaces. </t>
  </si>
  <si>
    <r>
      <t>A dedicated area of at least 400 square feet is provided inside the building with adult exercise and/or children’s play equipment.</t>
    </r>
    <r>
      <rPr>
        <i/>
        <sz val="10"/>
        <rFont val="Calibri"/>
        <family val="2"/>
        <scheme val="minor"/>
      </rPr>
      <t xml:space="preserve"> </t>
    </r>
  </si>
  <si>
    <t xml:space="preserve">A courtyard, garden, terrace, or roof space at least 10% of the lot area that can serve as outdoor space for children’s play and /or adult activities is provided. </t>
  </si>
  <si>
    <t xml:space="preserve">Active play/recreation areas are illuminated at night to extend opportunities for physical activity into the evening. </t>
  </si>
  <si>
    <r>
      <t xml:space="preserve">505.10 Exercise &amp; Recreation Area. </t>
    </r>
    <r>
      <rPr>
        <sz val="10"/>
        <rFont val="Calibri"/>
        <family val="2"/>
        <scheme val="minor"/>
      </rPr>
      <t>For multifamily buildings, on-site dedicated recreation space for exercise or play opportunities for adults and/or children open and accessible to residents is provided.</t>
    </r>
  </si>
  <si>
    <r>
      <t>601.1 Conditioned floor area.</t>
    </r>
    <r>
      <rPr>
        <sz val="10"/>
        <color theme="1"/>
        <rFont val="Calibri"/>
        <family val="2"/>
        <scheme val="minor"/>
      </rPr>
      <t xml:space="preserve"> Finished floor area of a dwelling unit or sleeping unit is limited. Finished floor area is calculated in accordance with ANSI Z765 for single family and ANSI/BOMA Z65.4 for multifamily buildings. Only the finished floor area for stories above grade plane is included in the calculation. [For every 100 square feet (9.29 m2) over 4,000 square feet (372 m2), one point is to be added to rating level points shown in Table 303, Category 7 for each rating level.]</t>
    </r>
  </si>
  <si>
    <t>602.1.15</t>
  </si>
  <si>
    <r>
      <t>602.1.15 Kitchen and vanity cabinets.</t>
    </r>
    <r>
      <rPr>
        <sz val="10"/>
        <rFont val="Calibri"/>
        <family val="2"/>
        <scheme val="minor"/>
      </rPr>
      <t xml:space="preserve"> All kitchen and vanity cabinets are certified in accordance with the ANSI/KCMA A161.1 performance standard or equivalent. </t>
    </r>
  </si>
  <si>
    <t>NOTE: Identify what product was used in the assigned Notes area.</t>
  </si>
  <si>
    <r>
      <t>605.0 Intent.</t>
    </r>
    <r>
      <rPr>
        <sz val="10"/>
        <color theme="1"/>
        <rFont val="Calibri"/>
        <family val="2"/>
        <scheme val="minor"/>
      </rPr>
      <t xml:space="preserve"> Waste generated during construction is recycled.  </t>
    </r>
  </si>
  <si>
    <r>
      <t>605.1 Hazardous waste.</t>
    </r>
    <r>
      <rPr>
        <sz val="10"/>
        <rFont val="Calibri"/>
        <family val="2"/>
        <scheme val="minor"/>
      </rPr>
      <t xml:space="preserve"> The construction and waste management plan shall include information on the proper handling and disposal of hazardous waste. Hazardous waste is properly handled and disposed. </t>
    </r>
  </si>
  <si>
    <r>
      <t>605.2 Construction waste management plan.</t>
    </r>
    <r>
      <rPr>
        <sz val="10"/>
        <color theme="1"/>
        <rFont val="Calibri"/>
        <family val="2"/>
        <scheme val="minor"/>
      </rPr>
      <t xml:space="preserve"> A construction waste management plan is developed, posted at the jobsite, and implemented diverting, through reuse, salvage, recycling, or manufacturer reclamation, a minimum of 50 percent (by weight) of nonhazardous construction and demolition waste from disposal. For this practice, land clearing debris is not considered construction waste. Materials used as alternative daily cover are considered construction waste and do not count toward recycling or salvaging.</t>
    </r>
  </si>
  <si>
    <r>
      <t>605.3 On-site recycling.</t>
    </r>
    <r>
      <rPr>
        <sz val="10"/>
        <color theme="1"/>
        <rFont val="Calibri"/>
        <family val="2"/>
        <scheme val="minor"/>
      </rPr>
      <t xml:space="preserve"> On-site recycling measures following applicable regulations and codes are implemented, such as the following:</t>
    </r>
  </si>
  <si>
    <r>
      <t>605.4 Recycled construction materials.</t>
    </r>
    <r>
      <rPr>
        <sz val="10"/>
        <color theme="1"/>
        <rFont val="Calibri"/>
        <family val="2"/>
        <scheme val="minor"/>
      </rPr>
      <t xml:space="preserve"> Construction materials (e.g., wood, cardboard, metals, drywall, plastic, asphalt roofing shingles, or concrete) are recycled offsite.</t>
    </r>
  </si>
  <si>
    <t>605.4</t>
  </si>
  <si>
    <t xml:space="preserve">For buildings following the new construction path that also have a renovation component, the waste management plan includes the recycling of 95 percent of electronic waste components (such as printed circuit boards from computers, building automation systems, HVAC, fire and security control boards) by an E-Waste recycling facility. </t>
  </si>
  <si>
    <t>Waste materials generated from land clearing, soil and sub-grade excavation and vegetative debris shall not be in the calculations.</t>
  </si>
  <si>
    <t>A manufacturer’s fiber procurement system that has been audited by an approved agency as compliant with the provisions of ASTM D7612 as a responsible or certified source. Government or tribal forestlands whose water protection programs have been evaluated by an approved agency as compliant with the responsible source designation of ASTM D7612 are exempt from auditing in the manufacturers’ fiber procurement system.</t>
  </si>
  <si>
    <t>Manuf. Fiber proc. Sys.</t>
  </si>
  <si>
    <t xml:space="preserve">A minimum of two responsible or certified wood-based products are used for minor components of the building. </t>
  </si>
  <si>
    <t xml:space="preserve">A minimum of two responsible or certified wood-based products are used in major components of the building. </t>
  </si>
  <si>
    <r>
      <t>606.2 Wood-based products.</t>
    </r>
    <r>
      <rPr>
        <sz val="10"/>
        <color theme="1"/>
        <rFont val="Calibri"/>
        <family val="2"/>
        <scheme val="minor"/>
      </rPr>
      <t xml:space="preserve"> Wood or wood-based products are certified to the requirements of one of the following: </t>
    </r>
  </si>
  <si>
    <t xml:space="preserve">A readily accessible space(s) for recyclable material containers is provided and identified on the floorplan of the house or dwelling unit or a readily accessible area(s) outside the living space is provided for recyclable material containers and identified on the site plan for the house or building. The area outside the living space shall accommodate recycling bin(s) for recyclable materials accepted in local recycling programs. </t>
  </si>
  <si>
    <t>A readily accessible space(s) for compostable material containers is provided and identified on the floorplan of the house or dwelling unit or a readily accessible area(s) outside the living space is provided for compostable material containers and identified on the site plan for the house or building. The area outside the living space shall accommodate composting container(s) for locally accepted materials, or, accommodate composting container(s) for on-site composting.</t>
  </si>
  <si>
    <t>612 INNOVATIVE PRACTICES</t>
  </si>
  <si>
    <r>
      <t>612.1 Manufacturer’s environmental management system concepts.</t>
    </r>
    <r>
      <rPr>
        <sz val="10"/>
        <color theme="1"/>
        <rFont val="Calibri"/>
        <family val="2"/>
        <scheme val="minor"/>
      </rPr>
      <t xml:space="preserve"> Product manufacturer’s operations and business practices include environmental management system concepts, and the production facility is registered to ISO 14001 or equivalent. The aggregate value of building products from registered ISO 14001 or equivalent production facilities is 1 percent or more of the estimated total building materials cost. </t>
    </r>
  </si>
  <si>
    <t>612</t>
  </si>
  <si>
    <t>612.1</t>
  </si>
  <si>
    <r>
      <t>611.1</t>
    </r>
    <r>
      <rPr>
        <sz val="10"/>
        <color theme="1"/>
        <rFont val="Calibri"/>
        <family val="2"/>
        <scheme val="minor"/>
      </rPr>
      <t xml:space="preserve"> </t>
    </r>
    <r>
      <rPr>
        <b/>
        <sz val="10"/>
        <color theme="1"/>
        <rFont val="Calibri"/>
        <family val="2"/>
        <scheme val="minor"/>
      </rPr>
      <t xml:space="preserve">Product declarations. </t>
    </r>
    <r>
      <rPr>
        <sz val="10"/>
        <color theme="1"/>
        <rFont val="Calibri"/>
        <family val="2"/>
        <scheme val="minor"/>
      </rPr>
      <t>A minimum of 10 different products installed in the building project, at the time of certificate of occupancy, comply with one of the following sub-sections. Declarations, reports, and assessments are submitted and contain documentation of the critical peer review by an independent third party, results from the review, the reviewer’s name, company name, contact information, and date of the review.</t>
    </r>
    <r>
      <rPr>
        <b/>
        <sz val="10"/>
        <color theme="1"/>
        <rFont val="Calibri"/>
        <family val="2"/>
        <scheme val="minor"/>
      </rPr>
      <t xml:space="preserve">  </t>
    </r>
  </si>
  <si>
    <t>611.1.1</t>
  </si>
  <si>
    <t>611.1.2</t>
  </si>
  <si>
    <r>
      <t xml:space="preserve">612.3 Universal design elements. </t>
    </r>
    <r>
      <rPr>
        <sz val="10"/>
        <color theme="1"/>
        <rFont val="Calibri"/>
        <family val="2"/>
        <scheme val="minor"/>
      </rPr>
      <t>Dwelling incorporates one or more of the following universal design elements. Conventional industry construction tolerances are permitted.</t>
    </r>
  </si>
  <si>
    <t>612.2</t>
  </si>
  <si>
    <t>612.3</t>
  </si>
  <si>
    <r>
      <t xml:space="preserve">612.2 Sustainable products. </t>
    </r>
    <r>
      <rPr>
        <sz val="10"/>
        <color theme="1"/>
        <rFont val="Calibri"/>
        <family val="2"/>
        <scheme val="minor"/>
      </rPr>
      <t>One or more of the following products are used for at least 30% of the floor or wall area of the entire dwelling unit or the sleeping unit, as applicable. Products are certified by a third-party agency accredited to ISO 17065.</t>
    </r>
  </si>
  <si>
    <t xml:space="preserve">50% or more of carpet installed (by square feet) is certified to NSF 140 or equivalent. </t>
  </si>
  <si>
    <t xml:space="preserve">50% or more of resilient flooring installed (by square feet) is certified to NSF 332 or equivalent. </t>
  </si>
  <si>
    <t xml:space="preserve">50% or more of the insulation installed (by square feet) is certified to UL 2985 or equivalent. </t>
  </si>
  <si>
    <t xml:space="preserve">50% or more of interior wall coverings installed (by square feet) is certified to NSF 342 or equivalent. </t>
  </si>
  <si>
    <t xml:space="preserve">50% or more of the gypsum board installed (by square feet) is certified to UL 100 or equivalent. </t>
  </si>
  <si>
    <t xml:space="preserve">50% or more of the door leafs installed (by number of door leafs) is certified to UL 102 or equivalent. </t>
  </si>
  <si>
    <t xml:space="preserve">50% or more of the tile installed (by square feet) is certified to TCNA A138.1 Specifications for Sustainable Ceramic Tiles, Glass Tiles and Tile Installation Materials or equivalent. </t>
  </si>
  <si>
    <t xml:space="preserve">All sink, lavatory and showering controls that comply with ICC A117.1. </t>
  </si>
  <si>
    <t>1 system</t>
  </si>
  <si>
    <t>2 systems</t>
  </si>
  <si>
    <t>3 systems</t>
  </si>
  <si>
    <t>4 systems</t>
  </si>
  <si>
    <t>5 systems</t>
  </si>
  <si>
    <t>1 per system
[5 max]</t>
  </si>
  <si>
    <r>
      <t>Enhanced resilience – 10% above base design.</t>
    </r>
    <r>
      <rPr>
        <sz val="10"/>
        <rFont val="Calibri"/>
        <family val="2"/>
        <scheme val="minor"/>
      </rPr>
      <t xml:space="preserve"> Design and construction practices are implemented that enhance the resilience and durability of the structure by designing and building to forces generated by; flooding, snow, wind or seismic (as applicable) that are 10% higher than the base design. </t>
    </r>
  </si>
  <si>
    <t>Enhanced resilience – 20% above base design.</t>
  </si>
  <si>
    <t>Enhanced resilience – 30% above base design.</t>
  </si>
  <si>
    <t>Enhanced resilience – 40% above base design.</t>
  </si>
  <si>
    <t>Enhanced resilience – 50% above base design.</t>
  </si>
  <si>
    <r>
      <t xml:space="preserve">613.1 Intent. </t>
    </r>
    <r>
      <rPr>
        <sz val="10"/>
        <color theme="1"/>
        <rFont val="Calibri"/>
        <family val="2"/>
        <scheme val="minor"/>
      </rPr>
      <t>Design and construction practices developed by a licensed design professional or equivalent are implemented that enhance the resilience and durability of the structure (above building code minimum design loads) so the structure can better withstand forces generated by; flooding, snow, wind or seismic activity (as applicable) and reduce the potential for the loss of life and property.</t>
    </r>
  </si>
  <si>
    <r>
      <t xml:space="preserve">Minimum structural requirements (base design). </t>
    </r>
    <r>
      <rPr>
        <sz val="10"/>
        <rFont val="Calibri"/>
        <family val="2"/>
        <scheme val="minor"/>
      </rPr>
      <t>The building is designed and constructed in compliance with structural requirements in the IBC or IRC as applicable.</t>
    </r>
  </si>
  <si>
    <t>613.1</t>
  </si>
  <si>
    <t>base</t>
  </si>
  <si>
    <t>10%</t>
  </si>
  <si>
    <t>20%</t>
  </si>
  <si>
    <t>30%</t>
  </si>
  <si>
    <t>40%</t>
  </si>
  <si>
    <t>50%</t>
  </si>
  <si>
    <t>Alt. Gold for Tropical</t>
  </si>
  <si>
    <t>706 ct.:</t>
  </si>
  <si>
    <t>Not enough 
practices from
705/706</t>
  </si>
  <si>
    <t>701.1.6</t>
  </si>
  <si>
    <r>
      <t>701.1.6 Alternative gold level compliance for tropical zones</t>
    </r>
    <r>
      <rPr>
        <sz val="10"/>
        <rFont val="Calibri"/>
        <family val="2"/>
        <scheme val="minor"/>
      </rPr>
      <t>. One- or two-family dwelling in the tropical zone at an elevation less than 2,400 feet (731.5 m) above sea level that complies with the following shall achieve the gold level for chapter 7:</t>
    </r>
  </si>
  <si>
    <t>The residence complies with IECC Tropical Zone than section R401.2.1.</t>
  </si>
  <si>
    <t>The residence includes a minimum of 2 kW of PV and a minimum of 6 kWh of battery storage.</t>
  </si>
  <si>
    <t>Any air conditioning has a minimum of 18 SEER.</t>
  </si>
  <si>
    <t>Solar, wind or other renewable energy source supplies not less than 90 percent of the energy for service water heating.</t>
  </si>
  <si>
    <t>Glazing in conditioned spaces has a solar heat gain coefficient of less than or equal to 0.25, or has an overhang with a projection factor equal to or greater than 0.30.</t>
  </si>
  <si>
    <t>The exterior roof/ceiling complies with at least two of the following:</t>
  </si>
  <si>
    <t>Minimum roof reflectance and emittance in IECC Table C402.3</t>
  </si>
  <si>
    <t>Roof or ceiling has insulation with an R-value of R-15 or greater</t>
  </si>
  <si>
    <t>Includes a radiant barrier</t>
  </si>
  <si>
    <t>Walls comply with at least one of the following:</t>
  </si>
  <si>
    <t>Walls have an overhang with a projection factor equal to or greater than 0.30</t>
  </si>
  <si>
    <t>Walls have insulation with an R-value of R-13 or greater</t>
  </si>
  <si>
    <t>Walls have a solar reflectance of 0.64</t>
  </si>
  <si>
    <t>A ceiling fan is provided for bedrooms and the largest space that is not used as a bedroom; alternately a whole house fan is provided.</t>
  </si>
  <si>
    <t>Wiring sufficient for a Level 2 (208/240V 40-80 amp) electric vehicle charging station is installed on the building site.</t>
  </si>
  <si>
    <t>Tropical:</t>
  </si>
  <si>
    <t>Ch7Path</t>
  </si>
  <si>
    <t>Walls, ceilings, and floors separating conditioned spaces from unconditioned.</t>
  </si>
  <si>
    <t>Common walls between dwelling units or sleeping units.</t>
  </si>
  <si>
    <t>Joints of framing members at rim joists.</t>
  </si>
  <si>
    <t>Top and bottom plates.</t>
  </si>
  <si>
    <r>
      <t>701.4.3.2 Air barrier, air sealing, building envelope testing, and insulation.</t>
    </r>
    <r>
      <rPr>
        <sz val="10"/>
        <rFont val="Calibri"/>
        <family val="2"/>
        <scheme val="minor"/>
      </rPr>
      <t xml:space="preserve"> Building envelope air barrier, air sealing envelope tightness, and insulation installation is verified to be in accordance with this Section and Section 701.4.3.2.1. Insulation installation other than Grade 1 is not permitted. </t>
    </r>
  </si>
  <si>
    <t>Multifamily Building Note: Testing by dwelling units, sleeping units, groups of dwelling units, groups of sleeping units, or the building as a whole is acceptable.</t>
  </si>
  <si>
    <r>
      <t>701.4.3.2.1 Grade I insulation installations.</t>
    </r>
    <r>
      <rPr>
        <sz val="10"/>
        <rFont val="Calibri"/>
        <family val="2"/>
        <scheme val="minor"/>
      </rPr>
      <t xml:space="preserve"> Field-installed insulation products to ceilings, walls, floors, band joists, rim joists, conditioned attics, basements, and crawlspaces, except as specifically noted, are verified as Grade I by a third-party are in accordance with the following: </t>
    </r>
  </si>
  <si>
    <t>Where properly installed, ICFs, SIPs, and other wall systems that provide integral insulation are deemed in compliance with this section.</t>
  </si>
  <si>
    <r>
      <t>701.4.3.4 Fenestration air leakage.</t>
    </r>
    <r>
      <rPr>
        <sz val="10"/>
        <color theme="1"/>
        <rFont val="Calibri"/>
        <family val="2"/>
        <scheme val="minor"/>
      </rPr>
      <t xml:space="preserve"> Windows, skylights and sliding glass doors have an air infiltration rate of no more than 0.3 cfm per square foot (1.5 L/s/m2), and swinging doors no more than 0.5 cfm per square foot (2.6 L/s/m2), when tested in accordance with NFRC 400 or AAMA/WDMA/CSA 101/I.S.2/A440 by an accredited, independent laboratory and listed and labeled. For site-built fenestration, a test report by an accredited, independent laboratory verifying compliance with the applicable infiltration rate shall be submitted to demonstrate compliance with this practice. This practice does not apply to field-fabricated fenestration products. </t>
    </r>
  </si>
  <si>
    <r>
      <t xml:space="preserve">Exception: </t>
    </r>
    <r>
      <rPr>
        <sz val="10"/>
        <color theme="1"/>
        <rFont val="Calibri"/>
        <family val="2"/>
        <scheme val="minor"/>
      </rPr>
      <t>For Tropical Zones Only, Jalousie windows are permitted to be used as a conditioned space boundary and shall have an air infiltration rate of not more than 1.3 cfm per square foot.</t>
    </r>
  </si>
  <si>
    <r>
      <t>701.4.3.5 Lighting in building thermal envelope.</t>
    </r>
    <r>
      <rPr>
        <sz val="10"/>
        <rFont val="Calibri"/>
        <family val="2"/>
        <scheme val="minor"/>
      </rPr>
      <t xml:space="preserve"> Luminaires installed in the building thermal envelope which penetrate the air barrier are sealed to limit air leakage between conditioned and unconditioned spaces. All luminaires installed in the building thermal envelope which penetrate the air barrier are IC-rated and labeled as meeting ASTM E283 when tested at 1.57 psf (75 Pa) pressure differential with no more than 2.0 cfm (0.944 L/s) of air movement from the conditioned space to the ceiling cavity. All luminaires installed in the building thermal envelope which penetrate the air barrier are sealed with a gasket or caulk between the housing and the interior of the wall or ceiling covering. </t>
    </r>
  </si>
  <si>
    <r>
      <t xml:space="preserve">701.4.4 High-efficacy lighting. </t>
    </r>
    <r>
      <rPr>
        <sz val="10"/>
        <rFont val="Calibri"/>
        <family val="2"/>
        <scheme val="minor"/>
      </rPr>
      <t xml:space="preserve">Lighting efficacy in dwelling units or sleeping units is in accordance with one of the following: </t>
    </r>
  </si>
  <si>
    <r>
      <t>701.4.5 Boiler piping.</t>
    </r>
    <r>
      <rPr>
        <sz val="10"/>
        <rFont val="Calibri"/>
        <family val="2"/>
        <scheme val="minor"/>
      </rPr>
      <t xml:space="preserve"> Boiler piping in unconditioned space supplying and returning heated water or steam is insulated. </t>
    </r>
  </si>
  <si>
    <r>
      <t>702.2.2 Energy performance analysis.</t>
    </r>
    <r>
      <rPr>
        <sz val="10"/>
        <color theme="1"/>
        <rFont val="Calibri"/>
        <family val="2"/>
        <scheme val="minor"/>
      </rPr>
      <t xml:space="preserve"> Energy savings levels above the ICC IECC are determined through an analysis that includes improvements in building envelope, air infiltration, heating system efficiencies, cooling system efficiencies, duct sealing, water heating system efficiencies, lighting, appliances, and on-site renewable energy. Points are assigned using the following formula:</t>
    </r>
  </si>
  <si>
    <r>
      <t xml:space="preserve">703.1.1 Building thermal envelope compliance. </t>
    </r>
    <r>
      <rPr>
        <sz val="10"/>
        <rFont val="Calibri"/>
        <family val="2"/>
        <scheme val="minor"/>
      </rPr>
      <t xml:space="preserve">The building thermal envelope is in compliance with Section 703.1.1.1 or 703.1.1.2. </t>
    </r>
  </si>
  <si>
    <r>
      <t>703.1.1.1 Maximum UA and SHGC.</t>
    </r>
    <r>
      <rPr>
        <sz val="10"/>
        <rFont val="Calibri"/>
        <family val="2"/>
        <scheme val="minor"/>
      </rPr>
      <t xml:space="preserve"> For IECC residential buildings, the total building UA is less than or equal to the total maximum UA as computed by ICC IECC Section R402.1.5. The SHGC requirements for fenestration in Table R402.1.2 are also met. For IECC commercial buildings, the total UA is less than or equal to the sum of the UA for ICC IECC Tables C402.1.4 and C402.4, including the U-factor times the area and C-factor or F-factor times the perimeter. The SHGC requirements for fenestration in Table C402.4 are also met. The total UA proposed and baseline calculations are documented. REScheck or COMcheck is deemed to provide UA calculation documentation.</t>
    </r>
  </si>
  <si>
    <r>
      <t>703.1.1.2 Prescriptive R-values and fenestration requirements</t>
    </r>
    <r>
      <rPr>
        <sz val="10"/>
        <rFont val="Calibri"/>
        <family val="2"/>
        <scheme val="minor"/>
      </rPr>
      <t>. The building thermal envelope is in accordance with the insulation and fenestration requirements of ICC IECC Table R402.1.2 or Tables C402.1.3. The fenestration U-factors and SHGC’s are in accordance with Table 703.2.5.1 or ICC IECC Table C402.4.</t>
    </r>
  </si>
  <si>
    <r>
      <t xml:space="preserve">703.1.2 Building envelope leakage. </t>
    </r>
    <r>
      <rPr>
        <sz val="10"/>
        <rFont val="Calibri"/>
        <family val="2"/>
        <scheme val="minor"/>
      </rPr>
      <t xml:space="preserve">The building thermal envelope is in accordance with ICC IECC R402.4.1.2 or C402.5 as applicable. </t>
    </r>
  </si>
  <si>
    <r>
      <t>703.2.1 UA improvement.</t>
    </r>
    <r>
      <rPr>
        <sz val="10"/>
        <rFont val="Calibri"/>
        <family val="2"/>
        <scheme val="minor"/>
      </rPr>
      <t xml:space="preserve"> The total building thermal envelope UA is less than or equal to the baseline total UA resulting from the U-factors provided in Table 703.2.1(a) or ICC IECC Tables C402.1.4 and C402.4, as applicable. Where insulation is used to achieve the UA improvement, the insulation installation is in accordance with Grade 1 meeting Section 701.4.3.2.1 as verified by a third-party. Total UA is documented using a RESCheck, COMCheck, or equivalent report to verify the baseline and the UA improvement. </t>
    </r>
  </si>
  <si>
    <r>
      <t>Baseline U-Factors</t>
    </r>
    <r>
      <rPr>
        <b/>
        <vertAlign val="superscript"/>
        <sz val="10"/>
        <color theme="1"/>
        <rFont val="Calibri"/>
        <family val="2"/>
        <scheme val="minor"/>
      </rPr>
      <t>a</t>
    </r>
  </si>
  <si>
    <t>Compared to Baseline UA</t>
  </si>
  <si>
    <t>Exception: For the Tropical Climate Zone, crawl space, basement, and floor u-factors are excluded from the total building thermal envelope UA improvement calculation.</t>
  </si>
  <si>
    <t>Max Envelope Leakage Rate
(ELR50)</t>
  </si>
  <si>
    <t>Where ELR50 = CFM50 / Shell Area</t>
  </si>
  <si>
    <r>
      <t xml:space="preserve">Table </t>
    </r>
    <r>
      <rPr>
        <b/>
        <sz val="10"/>
        <color rgb="FF000000"/>
        <rFont val="Calibri"/>
        <family val="2"/>
        <scheme val="minor"/>
      </rPr>
      <t>703.2.4(a)</t>
    </r>
  </si>
  <si>
    <r>
      <t xml:space="preserve">Table </t>
    </r>
    <r>
      <rPr>
        <b/>
        <sz val="10"/>
        <color rgb="FF000000"/>
        <rFont val="Calibri"/>
        <family val="2"/>
        <scheme val="minor"/>
      </rPr>
      <t>703.2.4(b)</t>
    </r>
  </si>
  <si>
    <r>
      <t>703.2.4 Building envelope leakage</t>
    </r>
    <r>
      <rPr>
        <sz val="10"/>
        <color theme="1"/>
        <rFont val="Calibri"/>
        <family val="2"/>
        <scheme val="minor"/>
      </rPr>
      <t>. The maximum building envelope leakage rate is in accordance with Table 703.2.4a or Table 703.2.4b and whole building ventilation is provided in accordance with Section 902.2.1.</t>
    </r>
  </si>
  <si>
    <t>Per Table 703.2.4a or 703.2.4b</t>
  </si>
  <si>
    <t>0.30*</t>
  </si>
  <si>
    <t>Exception: For Sun-tempered designs meeting the requirements of Section 11.703.7.1, the SHGC is permitted to be 0.40 or higher on south facing glass.</t>
  </si>
  <si>
    <t>*Exception: A maximum U-factor of 0.32 shall apply in climate zones 5-8 to vertical fenestration products installed in buildings located: (i) above 4000 feet in elevation above sea level or (ii) in windborne debris regions where protection of openings is provided by fenestration as required under IRC section R301.2.1.2.</t>
  </si>
  <si>
    <r>
      <t xml:space="preserve">703.3.1 </t>
    </r>
    <r>
      <rPr>
        <sz val="10"/>
        <rFont val="Calibri"/>
        <family val="2"/>
        <scheme val="minor"/>
      </rPr>
      <t xml:space="preserve">Combination space heating and water heating system (combo system) is installed using either a coil from the water heater connected to an air handler to provide heat for the building, dwelling unit or sleeping unit, or a space heating boiler using an indirect-fired water heater. Devices have a minimum combined annual efficiency of 0.80 and a minimum water heating recovery efficiency of 0.87.  </t>
    </r>
  </si>
  <si>
    <r>
      <t xml:space="preserve">    </t>
    </r>
    <r>
      <rPr>
        <sz val="10"/>
        <color theme="1"/>
        <rFont val="Calibri"/>
        <family val="2"/>
      </rPr>
      <t>≥12.0 HSPF</t>
    </r>
  </si>
  <si>
    <r>
      <t xml:space="preserve">    </t>
    </r>
    <r>
      <rPr>
        <sz val="10"/>
        <color theme="1"/>
        <rFont val="Calibri"/>
        <family val="2"/>
      </rPr>
      <t>≥25 SEER</t>
    </r>
  </si>
  <si>
    <t xml:space="preserve">Note for Tropical Climate Zone and Climate Zones 2B, 3B, and 4B: points awarded per fan where AC is not installed in the dwelling unit or sleeping unit (Max 8 points), and where points awarded in Section 703.3.8 for these specific climate zones, points shall not be awarded in Section 703.3.7 </t>
  </si>
  <si>
    <r>
      <t xml:space="preserve">703.3.8 </t>
    </r>
    <r>
      <rPr>
        <sz val="10"/>
        <color theme="1"/>
        <rFont val="Calibri"/>
        <family val="2"/>
        <scheme val="minor"/>
      </rPr>
      <t>Whole-building or whole-dwelling unit or whole-sleeping unit fan(s) with insulated louvers and a sealed enclosure is installed.</t>
    </r>
  </si>
  <si>
    <r>
      <t>703.5.1</t>
    </r>
    <r>
      <rPr>
        <sz val="10"/>
        <color theme="1"/>
        <rFont val="Calibri"/>
        <family val="2"/>
        <scheme val="minor"/>
      </rPr>
      <t xml:space="preserve"> Water heater Uniform Energy Factor (UEF) is in accordance with the following:</t>
    </r>
  </si>
  <si>
    <t>Where multiple systems are used, points awarded based on the system with the lowest efficiency.</t>
  </si>
  <si>
    <t>Water heater design is based on only 1 (one) water heater per dwelling unit, based on approved methods from IPC or ASPE or manufacturer specifications.</t>
  </si>
  <si>
    <t>All table values are based on water heaters with medium water draws as defined by the US DOE text procedures (55 gallons per day).</t>
  </si>
  <si>
    <t>Storage Water Heater, Rated Storage Volume &gt; 20 Gallons and ≤ 55 Gallons, Medium Water Draw</t>
  </si>
  <si>
    <t xml:space="preserve">    Energy Factor: 0.65 to &lt;0.78</t>
  </si>
  <si>
    <t xml:space="preserve">    Energy Factor: ≥0.78</t>
  </si>
  <si>
    <t>Storage Water Heater, Rated Storage Volume &gt; 55 Gallons and ≤ 100 Gallons, Medium Water Draw</t>
  </si>
  <si>
    <t>Storage Water Heater with Input Rate Greater than 75,000 Btu/h (Commercial)</t>
  </si>
  <si>
    <t xml:space="preserve">    Thermal Efficiency: 0.90 to &lt; 0.95</t>
  </si>
  <si>
    <t xml:space="preserve">    Thermal Efficiency: ≥0.95</t>
  </si>
  <si>
    <t>Storage Water Heater with Input Rate Greater than 75,000 Btu/H (Commercial), In Buildings with High-Capacity Service Water-Heating Systems (1,000,000 Btu/h or Greater)</t>
  </si>
  <si>
    <t xml:space="preserve">    Thermal Efficiency: 0.92 to &lt; 0.95</t>
  </si>
  <si>
    <t>Instantaneous Water Heater, Rated Storage Volume &lt; 2 Gallons and Input Rate of &gt; 50,000 Btu/h, Medium Water Draw</t>
  </si>
  <si>
    <t xml:space="preserve">    Energy Factor: 0.89 to &lt; 0.94</t>
  </si>
  <si>
    <t xml:space="preserve">    Energy Factor: ≥0.94</t>
  </si>
  <si>
    <t>Storage Water Heater, Rated Storage Volume ≥ 20 Gallons and ≤ 55 Gallons, Medium Water Draw</t>
  </si>
  <si>
    <t xml:space="preserve">    Energy Factor: 0.94 to &lt;1.0</t>
  </si>
  <si>
    <t xml:space="preserve">    Energy Factor: 1.0 to &lt;1.5</t>
  </si>
  <si>
    <t xml:space="preserve">    Energy Factor: 1.5 to &lt;2.0</t>
  </si>
  <si>
    <t xml:space="preserve">    Energy Factor: 2.0 to &lt;2.2</t>
  </si>
  <si>
    <t xml:space="preserve">    Energy Factor: 2.2 to &lt;2.5</t>
  </si>
  <si>
    <t xml:space="preserve">    Energy Factor: 2.5 to &lt;3.0</t>
  </si>
  <si>
    <t xml:space="preserve">    Energy Factor: ≥3.0</t>
  </si>
  <si>
    <t>Storage Water Heater, Rated Storage Volume ≥ 55 Gallons and ≤ 120 Gallons, Medium Water Draw</t>
  </si>
  <si>
    <t xml:space="preserve">    Energy Factor: 3.0 to &lt;3.5</t>
  </si>
  <si>
    <t xml:space="preserve">    Energy Factor: ≥3.5</t>
  </si>
  <si>
    <t>Electric Tabletop Water Heating (Tabletop Water Heater, Rated Storage Volume ≥ 20 Gallons and ≤ 120 Gallons, Medium Water Draw)</t>
  </si>
  <si>
    <t>Electric Instantaneous Water Heating (Instantaneous Electric Water Heater, Rated Storage Volume &lt; 2 Gallons, Medium Water Draw)</t>
  </si>
  <si>
    <t>Electric Grid Enabled Water Heating (Grid Enabled Storage Water Heater, Rated Storage Volume ≥ 75 Gallons, Medium Water Draw)</t>
  </si>
  <si>
    <t>Oil water heating (Oil water heating, &lt; 50 gallons, Medium water draw)</t>
  </si>
  <si>
    <t>Storage Water Heater, Rated Storage Volume of Backup Water Heater is ≥ 0.1 Gallon and ≤ 55 Gallons, Medium Water Draw</t>
  </si>
  <si>
    <t>Storage Water Heater, Rated Storage Volume of Backup Water Heater is &gt;55 Gallons, Medium Water Draw</t>
  </si>
  <si>
    <r>
      <t>703.5.5</t>
    </r>
    <r>
      <rPr>
        <sz val="10"/>
        <rFont val="Calibri"/>
        <family val="2"/>
        <scheme val="minor"/>
      </rPr>
      <t xml:space="preserve"> </t>
    </r>
    <r>
      <rPr>
        <b/>
        <sz val="10"/>
        <rFont val="Calibri"/>
        <family val="2"/>
        <scheme val="minor"/>
      </rPr>
      <t xml:space="preserve">Solar water heater. </t>
    </r>
    <r>
      <rPr>
        <sz val="10"/>
        <rFont val="Calibri"/>
        <family val="2"/>
        <scheme val="minor"/>
      </rPr>
      <t>SRCC (Solar Rating &amp; Certification Corporation) OG 300 rated, or equivalent, solar domestic water heating system is installed. Solar Energy Factor (SEF) as defined by SRCC is in accordance with Table 703.5.5(a) and Table 703.5.5(b).</t>
    </r>
  </si>
  <si>
    <t xml:space="preserve">A minimum of 80 percent of the exterior lighting wattage has a minimum efficacy of 61 lumens per watt or is solar-powered.  </t>
  </si>
  <si>
    <t>Vertical glazing area is between 5 and 7 percent of the gross conditioned floor area on the south face [also see Section 703.7.1(8)] and glazing U-factors meet Table 703.2.5.2(a).</t>
  </si>
  <si>
    <t>Vertical glazing area is less than 2 percent of the gross conditioned floor area on the west face, and glazing meets Table 703.2.5.2(a).</t>
  </si>
  <si>
    <t>Vertical glazing area is less than 4 percent of the gross conditioned floor area on the east face, and glazing meets Table 703.2.5.2(a).</t>
  </si>
  <si>
    <t>Vertical glazing area is less than 8 percent of the gross conditioned floor area on the north face, and glazing meets Table 703.2.5.2(a).</t>
  </si>
  <si>
    <t>shades and insulated wells are used, and all glazing meets Table 703.2.5.2(a)</t>
  </si>
  <si>
    <t>Multifamily Building Note: The site is designed such that at least 40 percent of the multifamily dwelling or sleeping units have one south facing wall (within 15 degrees) containing at least 50 percent of glazing for entire unit, Effective shading is required for passive solar control on all south facing glazing. The floor area of at least 15 feet from the south facing perimeter glazing is massive and exposed to capture solar heat during the day and reradiate at night.</t>
  </si>
  <si>
    <t>Windows and/or venting skylights are located to facilitate cross and stack effect ventilation.</t>
  </si>
  <si>
    <r>
      <t>704.1 ERI target compliance.</t>
    </r>
    <r>
      <rPr>
        <sz val="10"/>
        <rFont val="Calibri"/>
        <family val="2"/>
        <scheme val="minor"/>
      </rPr>
      <t xml:space="preserve"> Compliance with the energy chapter shall be permitted to be based on the EPA National ERI Target Procedure for Energy Star Certified Homes. Points from Section 704 (ERI Target) shall not be combined with points from Section 702 (Performance Path) or Section 703 (Prescriptive Path).</t>
    </r>
  </si>
  <si>
    <t>Dwelling ratings shall be submitted to a Rating Certification Body approved by the Adopting Entity for calculating points under this section.</t>
  </si>
  <si>
    <r>
      <t>704.2 Point calculation.</t>
    </r>
    <r>
      <rPr>
        <sz val="10"/>
        <rFont val="Calibri"/>
        <family val="2"/>
        <scheme val="minor"/>
      </rPr>
      <t xml:space="preserve"> Points for Section 704 shall be computed based on Step “1” of the EPA National ERI Target Procedure. Points shall be computed individually for each building as follows:</t>
    </r>
  </si>
  <si>
    <t>30 + (Number of National ERI Points less than EnergyStar National ERI Target for that building) * 2.</t>
  </si>
  <si>
    <r>
      <t xml:space="preserve">705.2.1.1 Interior lighting. </t>
    </r>
    <r>
      <rPr>
        <sz val="10"/>
        <rFont val="Calibri"/>
        <family val="2"/>
        <scheme val="minor"/>
      </rPr>
      <t>In dwelling units or sleeping units, permanently installed interior lighting fixtures are controlled with an occupancy sensor, or dimmer:</t>
    </r>
  </si>
  <si>
    <r>
      <t>705.5.1</t>
    </r>
    <r>
      <rPr>
        <sz val="10"/>
        <rFont val="Calibri"/>
        <family val="2"/>
        <scheme val="minor"/>
      </rPr>
      <t xml:space="preserve"> Meet one or both of the following:</t>
    </r>
  </si>
  <si>
    <t xml:space="preserve">HVAC contractor is certified by the Air Conditioning Contractors of Americas Quality Assured Program (ACCA/QA) or by an EPA-recognized HVAC Quality Installation Training Oversight Organization (H-QUITO) or equivalent. </t>
  </si>
  <si>
    <t xml:space="preserve">HVAC installation technician(s) is certified by North American Technician Excellence, Inc. (NATE) or equivalent. </t>
  </si>
  <si>
    <t>705.5.3</t>
  </si>
  <si>
    <r>
      <t>705.5.3</t>
    </r>
    <r>
      <rPr>
        <sz val="10"/>
        <rFont val="Calibri"/>
        <family val="2"/>
        <scheme val="minor"/>
      </rPr>
      <t xml:space="preserve"> HVAC Design is verified by 3rd party as follows:</t>
    </r>
  </si>
  <si>
    <t xml:space="preserve">The ENERGY STAR HVAC Design and Rater Design Review Checklists are completed and correct. </t>
  </si>
  <si>
    <t xml:space="preserve">HVAC Installation is inspected and conforms to HVAC design documents and plans. </t>
  </si>
  <si>
    <r>
      <t>705.6.1</t>
    </r>
    <r>
      <rPr>
        <sz val="10"/>
        <rFont val="Calibri"/>
        <family val="2"/>
        <scheme val="minor"/>
      </rPr>
      <t xml:space="preserve"> Third-party on-site inspection is conducted to verify compliance with all of the following, as applicable. Minimum of two inspections are performed: one inspection after insulation is installed and prior to covering, and another inspection upon completion of the building. Where multiple buildings or dwelling units of the same model or sleeping units of the same model are built by the same builder, a representative sample inspection of a minimum of 15 percent of the buildings or dwelling units or sleeping units is permitted.  </t>
    </r>
  </si>
  <si>
    <t>(Points awarded only for buildings where building envelope leakage testing is not required by ICC IECC.)</t>
  </si>
  <si>
    <r>
      <t xml:space="preserve">705.6.2.2 HVAC airflow testing. </t>
    </r>
    <r>
      <rPr>
        <sz val="10"/>
        <color theme="1"/>
        <rFont val="Calibri"/>
        <family val="2"/>
        <scheme val="minor"/>
      </rPr>
      <t>Balanced HVAC airflows are demonstrated by flow hood or other acceptable flow measurement tool by a third party. Test results are in accordance with the following:</t>
    </r>
  </si>
  <si>
    <t>piping serving more than one dwelling unit or sleeping unit</t>
  </si>
  <si>
    <r>
      <t>705.6.4.2</t>
    </r>
    <r>
      <rPr>
        <sz val="10"/>
        <rFont val="Calibri"/>
        <family val="2"/>
        <scheme val="minor"/>
      </rPr>
      <t xml:space="preserve"> Potable hot water demand re-circulation system(s) that serves every unit in a multifamily building is installed in place of a standard circulation pump and control. </t>
    </r>
  </si>
  <si>
    <r>
      <t>706.1 Energy consumption control.</t>
    </r>
    <r>
      <rPr>
        <sz val="10"/>
        <rFont val="Calibri"/>
        <family val="2"/>
        <scheme val="minor"/>
      </rPr>
      <t xml:space="preserve"> A whole-building or whole-dwelling unit or whole-sleeping unit device or system is installed that controls or monitors energy consumption.  </t>
    </r>
  </si>
  <si>
    <t xml:space="preserve">Builder selects a renewable energy service plan provided by the local electrical utility for interim (temporary) electric service, or purchases renewable energy certificates (RECs) to cover electricity used. The builder’s local administrative office has renewable energy service or has otherwise been paired with RECs. Green-ecertified (or equivalent) is required for renewable electricity purchases. </t>
  </si>
  <si>
    <t xml:space="preserve">Building is Solar-Ready in compliance with IECC Appendix A Solar Ready Provisions. </t>
  </si>
  <si>
    <t xml:space="preserve">An on-site renewable energy system(s) is installed on the property. </t>
  </si>
  <si>
    <t xml:space="preserve">An on-site renewable energy system(s) and a battery energy storage system are installed on the property. </t>
  </si>
  <si>
    <t>[Points awarded in this section shall not be combined with points for renewable energy in another section of this chapter. The solar-ready zone roof area in #1 is area per dwelling unit. Points in item #2 and #3 shall be divided by the number of dwelling units.]</t>
  </si>
  <si>
    <r>
      <t xml:space="preserve">Multifamily Building Note: </t>
    </r>
    <r>
      <rPr>
        <i/>
        <sz val="10"/>
        <color rgb="FF000000"/>
        <rFont val="Calibri"/>
        <family val="2"/>
        <scheme val="minor"/>
      </rPr>
      <t>Conditioned common area and non-residential space is excluded for the purpose of calculating number of units.</t>
    </r>
  </si>
  <si>
    <t>706.5</t>
  </si>
  <si>
    <r>
      <t>706.5 On-site renewable energy system.</t>
    </r>
    <r>
      <rPr>
        <sz val="10"/>
        <rFont val="Calibri"/>
        <family val="2"/>
        <scheme val="minor"/>
      </rPr>
      <t xml:space="preserve"> One of the following options is implemented</t>
    </r>
  </si>
  <si>
    <t>2 per kW</t>
  </si>
  <si>
    <t>2 per kW,
1 per 2 kWh</t>
  </si>
  <si>
    <r>
      <t xml:space="preserve">706.8 Electrical vehicle charging station. </t>
    </r>
    <r>
      <rPr>
        <sz val="10"/>
        <rFont val="Calibri"/>
        <family val="2"/>
        <scheme val="minor"/>
      </rPr>
      <t xml:space="preserve">A Level 2 (208/240V 40-80 amp) or Level 3 electric vehicle charging station is installed on the building site. (Note: Charging station shall not be included in the building energy consumption.) </t>
    </r>
  </si>
  <si>
    <t>706.9</t>
  </si>
  <si>
    <r>
      <t xml:space="preserve">706.9 CNG vehicle fueling station. </t>
    </r>
    <r>
      <rPr>
        <sz val="10"/>
        <rFont val="Calibri"/>
        <family val="2"/>
        <scheme val="minor"/>
      </rPr>
      <t xml:space="preserve">A CNG vehicle residential fueling appliance is installed on the building site. The CNG fueling appliances shall be listed in accordance with ANSI/CSA NGV 5.1 and installed in accordance to the appliance manufacturer’s installation instructions. (Note: The fueling appliance shall not be included in the building energy consumption.) </t>
    </r>
  </si>
  <si>
    <t>706.10</t>
  </si>
  <si>
    <r>
      <t xml:space="preserve">706.10 Automatic demand response.  </t>
    </r>
    <r>
      <rPr>
        <sz val="10"/>
        <color theme="1"/>
        <rFont val="Calibri"/>
        <family val="2"/>
        <scheme val="minor"/>
      </rPr>
      <t>Automatic demand response system is installed that curtails energy usage upon a signal from the utility or an energy service provider is installed.</t>
    </r>
  </si>
  <si>
    <t>(where points awarded in Section 706.10, points shall not be awarded in Section 706.3 and 706.7)</t>
  </si>
  <si>
    <t xml:space="preserve">Use alternative refrigerant with a GWP &lt; 1000 </t>
  </si>
  <si>
    <t xml:space="preserve">Do not use refrigerants </t>
  </si>
  <si>
    <t xml:space="preserve">For a multifamily building, the owner has contracted with a third-party utility benchmarking service with at least five (5) years of experience in utility data management and analysis to perform a monthly analysis of whole-building energy and water consumption for a minimum of 1 year. </t>
  </si>
  <si>
    <t xml:space="preserve">The building owner commits to reporting energy data using U.S. Environmental Protection Agency’s ENERGY STAR Portfolio Manager for a minimum of three years. </t>
  </si>
  <si>
    <t xml:space="preserve">Building entry vestibule. </t>
  </si>
  <si>
    <t xml:space="preserve">Revolving entrance doors. </t>
  </si>
  <si>
    <t>706.11</t>
  </si>
  <si>
    <t>706.12</t>
  </si>
  <si>
    <t>706.13</t>
  </si>
  <si>
    <t>706.14</t>
  </si>
  <si>
    <t>706.15</t>
  </si>
  <si>
    <r>
      <t xml:space="preserve">706.15 Entryway air seal. </t>
    </r>
    <r>
      <rPr>
        <sz val="10"/>
        <rFont val="Calibri"/>
        <family val="2"/>
        <scheme val="minor"/>
      </rPr>
      <t>For multifamily buildings, where not required by the building or energy code, to slow the movement of unconditioned air from outdoors to indoors at the main building entrance, the following is installed:</t>
    </r>
  </si>
  <si>
    <t>706.14 Third-party utility benchmarking service.</t>
  </si>
  <si>
    <r>
      <t xml:space="preserve">706.13 Alternative refrigerant. </t>
    </r>
    <r>
      <rPr>
        <sz val="10"/>
        <rFont val="Calibri"/>
        <family val="2"/>
        <scheme val="minor"/>
      </rPr>
      <t>Use of the following in mechanical space cooling systems for dwellings.</t>
    </r>
  </si>
  <si>
    <r>
      <t xml:space="preserve">706.11 Grid-interactive battery storage system. </t>
    </r>
    <r>
      <rPr>
        <sz val="10"/>
        <rFont val="Calibri"/>
        <family val="2"/>
        <scheme val="minor"/>
      </rPr>
      <t xml:space="preserve">A grid-interactive battery storage system of not less than 6 kWh of available capacity is installed. </t>
    </r>
  </si>
  <si>
    <r>
      <t xml:space="preserve">701.4.3.3 Multifamily air leakage alternative. </t>
    </r>
    <r>
      <rPr>
        <sz val="10"/>
        <color theme="1"/>
        <rFont val="Calibri"/>
        <family val="2"/>
        <scheme val="minor"/>
      </rPr>
      <t>Multifamily buildings four or more stories in height and in compliance with IECC section C402.5 (Air leakage-thermal envelope) are deemed to comply with Sections 701.4.3.1 and 701.4.3.2.</t>
    </r>
  </si>
  <si>
    <r>
      <t>801.0 Intent.</t>
    </r>
    <r>
      <rPr>
        <sz val="10"/>
        <color theme="1"/>
        <rFont val="Calibri"/>
        <family val="2"/>
        <scheme val="minor"/>
      </rPr>
      <t xml:space="preserve"> Implement measures that reduce indoor and outdoor water usage. Implement measures that include collection and use of alternative sources of water. Implement measures that treat water on site.</t>
    </r>
  </si>
  <si>
    <r>
      <t>802.2 Water-conserving appliances.</t>
    </r>
    <r>
      <rPr>
        <sz val="10"/>
        <color theme="1"/>
        <rFont val="Calibri"/>
        <family val="2"/>
        <scheme val="minor"/>
      </rPr>
      <t xml:space="preserve"> Energy Star or equivalent water-conserving appliances are installed. </t>
    </r>
  </si>
  <si>
    <t>802.6.1</t>
  </si>
  <si>
    <r>
      <t>802.6</t>
    </r>
    <r>
      <rPr>
        <sz val="10"/>
        <color theme="1"/>
        <rFont val="Calibri"/>
        <family val="2"/>
        <scheme val="minor"/>
      </rPr>
      <t xml:space="preserve"> </t>
    </r>
    <r>
      <rPr>
        <b/>
        <sz val="10"/>
        <color theme="1"/>
        <rFont val="Calibri"/>
        <family val="2"/>
        <scheme val="minor"/>
      </rPr>
      <t>Irrigation systems</t>
    </r>
  </si>
  <si>
    <t>802.6.2</t>
  </si>
  <si>
    <t>802.6.3</t>
  </si>
  <si>
    <t>802.6.4</t>
  </si>
  <si>
    <r>
      <t>802.6.4</t>
    </r>
    <r>
      <rPr>
        <sz val="10"/>
        <color theme="1"/>
        <rFont val="Calibri"/>
        <family val="2"/>
        <scheme val="minor"/>
      </rPr>
      <t xml:space="preserve"> The irrigation system(s) is controlled by a smart controller or no irrigation is installed.</t>
    </r>
  </si>
  <si>
    <t>802.6.5</t>
  </si>
  <si>
    <r>
      <t>802.7 Rainwater collection and distribution.</t>
    </r>
    <r>
      <rPr>
        <sz val="10"/>
        <color theme="1"/>
        <rFont val="Calibri"/>
        <family val="2"/>
      </rPr>
      <t xml:space="preserve"> Rainwater collection and distribution is provided. </t>
    </r>
  </si>
  <si>
    <t>802.7.1</t>
  </si>
  <si>
    <r>
      <t xml:space="preserve">802.7.1 </t>
    </r>
    <r>
      <rPr>
        <sz val="10"/>
        <color theme="1"/>
        <rFont val="Calibri"/>
        <family val="2"/>
      </rPr>
      <t>Rainwater is used for irrigation in accordance with one of the following:</t>
    </r>
  </si>
  <si>
    <t>802.7.2</t>
  </si>
  <si>
    <r>
      <t>802.7.2</t>
    </r>
    <r>
      <rPr>
        <sz val="10"/>
        <color theme="1"/>
        <rFont val="Calibri"/>
        <family val="2"/>
        <scheme val="minor"/>
      </rPr>
      <t xml:space="preserve"> Rainwater is used for indoor domestic demand as follows. The system is designed by a professional certified by The American Rainwater Catchment Systems Association or equivalent.</t>
    </r>
  </si>
  <si>
    <t>803 INNOVATIVE PRACTICES</t>
  </si>
  <si>
    <r>
      <t>803.1 Reclaimed, gray, or recycled water</t>
    </r>
    <r>
      <rPr>
        <sz val="10"/>
        <color theme="1"/>
        <rFont val="Calibri"/>
        <family val="2"/>
        <scheme val="minor"/>
      </rPr>
      <t>. Reclaimed, gray, or recycled water is used as permitted by applicable code.</t>
    </r>
  </si>
  <si>
    <r>
      <t xml:space="preserve">803.2 Reclaimed water, graywater, or rainwater pre-piping. </t>
    </r>
    <r>
      <rPr>
        <sz val="10"/>
        <color theme="1"/>
        <rFont val="Calibri"/>
        <family val="2"/>
        <scheme val="minor"/>
      </rPr>
      <t>Reclaimed, graywater, or rainwater systems are rough plumbed (and permanently marked, tagged or labeled) into buildings for future use.</t>
    </r>
  </si>
  <si>
    <r>
      <t>803.4 Engineered biological system or intensive bioremediation system.</t>
    </r>
    <r>
      <rPr>
        <sz val="10"/>
        <color theme="1"/>
        <rFont val="Calibri"/>
        <family val="2"/>
        <scheme val="minor"/>
      </rPr>
      <t xml:space="preserve"> An engineered biological system or intensive bioremediation system is installed and the treated water is used on site. Design and implementation are approved by appropriate regional authority.</t>
    </r>
  </si>
  <si>
    <r>
      <t xml:space="preserve">803.5 Recirculating humidifier. </t>
    </r>
    <r>
      <rPr>
        <sz val="10"/>
        <color theme="1"/>
        <rFont val="Calibri"/>
        <family val="2"/>
        <scheme val="minor"/>
      </rPr>
      <t>Where a humidifier is required, a recirculating humidifier is used in lieu of a traditional “flow through” type.</t>
    </r>
  </si>
  <si>
    <r>
      <t xml:space="preserve">803.6 Advanced wastewater treatment system. </t>
    </r>
    <r>
      <rPr>
        <sz val="10"/>
        <color theme="1"/>
        <rFont val="Calibri"/>
        <family val="2"/>
        <scheme val="minor"/>
      </rPr>
      <t>Advanced wastewater (aerobic) treatment system is installed and treated water is used on site.</t>
    </r>
  </si>
  <si>
    <t>803.5</t>
  </si>
  <si>
    <t>803.6</t>
  </si>
  <si>
    <r>
      <t>802.1 Indoor hot water usage.</t>
    </r>
    <r>
      <rPr>
        <sz val="10"/>
        <color theme="1"/>
        <rFont val="Calibri"/>
        <family val="2"/>
        <scheme val="minor"/>
      </rPr>
      <t xml:space="preserve"> Indoor hot water supply system is in accordance with one of the practices listed in items (1) through (5). The maximum water volume from the source of hot water to the termination of the fixture supply is determined in accordance with Tables 802.1(1) or 802.1(2). The maximum pipe length from the source of hot water to the termination of the fixture supply is 50 feet.</t>
    </r>
  </si>
  <si>
    <t>802</t>
  </si>
  <si>
    <t>802 PRESCRIPTIVE PATH</t>
  </si>
  <si>
    <t xml:space="preserve">clothes washer, or </t>
  </si>
  <si>
    <t xml:space="preserve">clothes washer with an Integrated Water Factor of 3.8 or less </t>
  </si>
  <si>
    <r>
      <t>802.3 Water usage metering.</t>
    </r>
    <r>
      <rPr>
        <sz val="10"/>
        <color theme="1"/>
        <rFont val="Calibri"/>
        <family val="2"/>
        <scheme val="minor"/>
      </rPr>
      <t xml:space="preserve"> Water meters are installed meeting the following:</t>
    </r>
  </si>
  <si>
    <t xml:space="preserve">Single-Family Buildings: Water Usage Metering: </t>
  </si>
  <si>
    <t xml:space="preserve">Where not otherwise required by the local AHJ, installation of a meter for water consumed from any source associated with the building or building site. </t>
  </si>
  <si>
    <t xml:space="preserve">Each water meter shall be capable of communicating water consumption data remotely for the dwelling unit occupant and be capable of providing daily data with electronic data storage and reporting capability that can produce reports for daily, monthly, and yearly water consumption. (Fire sprinkler systems are not required to be metered). </t>
  </si>
  <si>
    <t xml:space="preserve">Multi-Family Buildings: Water Usage Metering: </t>
  </si>
  <si>
    <t>2 per unique meter</t>
  </si>
  <si>
    <t>2 per sensor package</t>
  </si>
  <si>
    <t>2 per unique use meter</t>
  </si>
  <si>
    <t>(Points earned in Section 802.3(2) shall not exceed 50% of the total points earned for Chapter 8)</t>
  </si>
  <si>
    <t>802.4</t>
  </si>
  <si>
    <r>
      <t>802.4 Showerheads.</t>
    </r>
    <r>
      <rPr>
        <sz val="10"/>
        <color theme="1"/>
        <rFont val="Calibri"/>
        <family val="2"/>
        <scheme val="minor"/>
      </rPr>
      <t xml:space="preserve"> Showerheads are in accordance with the following:</t>
    </r>
  </si>
  <si>
    <t>802.5.1</t>
  </si>
  <si>
    <t>802.5.2</t>
  </si>
  <si>
    <t>The total maximum combined flow rate of all showerheads in a shower compartment with floor area of 2600 square inches or less is equal or less than 2.0 gpm. For each additional 1300 square inches or any portion thereof of shower compartment floor area, an additional 2.0 gpm combined showerhead flow rate is allowed. Showerheads shall comply with ASME A112.18.1/CSA B125.1 and shall meet the performance criteria of the U.S. EPA WaterSense Specification for showerheads. Showerheads shall be served by an automatic compensating valve that complies with ASSE 1016/ASME A112.1016/CSA B125.16 or ASME A112.18.1/CSA B125.1 and specifically designed to provide thermal shock and scald protection at the flow rate of the showerhead.</t>
  </si>
  <si>
    <t>(Points awarded per shower compartment. In multifamily buildings, the average of the points assigned to individual dwelling units or sleeping units may be used as the number of points awarded for this practice, rounded to the nearest whole number.)</t>
  </si>
  <si>
    <t xml:space="preserve">maximum of 1.8 gpm </t>
  </si>
  <si>
    <t xml:space="preserve">maximum of 1.5 gpm </t>
  </si>
  <si>
    <t>802.5 Faucets</t>
  </si>
  <si>
    <r>
      <t>802.5.1</t>
    </r>
    <r>
      <rPr>
        <sz val="10"/>
        <color theme="1"/>
        <rFont val="Calibri"/>
        <family val="2"/>
        <scheme val="minor"/>
      </rPr>
      <t xml:space="preserve"> Install water-efficient lavatory faucets with flow rates not more than 1.5 gpm (5.68 L/m), tested in compliance with ASME A112.18.1/CSA B125.1 and meeting the performance criteria of the EPA WaterSense High-Efficiency Lavatory Faucet Specification:</t>
    </r>
  </si>
  <si>
    <t>802.5</t>
  </si>
  <si>
    <r>
      <t xml:space="preserve">802.5.2 </t>
    </r>
    <r>
      <rPr>
        <sz val="10"/>
        <color theme="1"/>
        <rFont val="Calibri"/>
        <family val="2"/>
        <scheme val="minor"/>
      </rPr>
      <t>Water-efficient residential kitchen faucets are installed in accordance with ASME A112.18.1/CSA B125.1. Residential kitchen faucets may temporarily increase the flow above the maximum rate but not to exceed 2.2 gpm.</t>
    </r>
  </si>
  <si>
    <t xml:space="preserve">All residential kitchen faucets have a maximum flow rate of 1.8 gpm. </t>
  </si>
  <si>
    <t xml:space="preserve">All residential kitchen faucets have a maximum flow rate of 1.5 gpm. </t>
  </si>
  <si>
    <t>802.5.3</t>
  </si>
  <si>
    <r>
      <t xml:space="preserve">802.5.3 </t>
    </r>
    <r>
      <rPr>
        <sz val="10"/>
        <color theme="1"/>
        <rFont val="Calibri"/>
        <family val="2"/>
        <scheme val="minor"/>
      </rPr>
      <t>Self-closing valve, motion sensor, metering, or pedal-activated faucet is installed to enable intermittent on/off operation.</t>
    </r>
  </si>
  <si>
    <t xml:space="preserve">1 Additional </t>
  </si>
  <si>
    <t xml:space="preserve">Flow rate ≤ 1.5 gpm for all lavatory faucets in the dwelling unit(s) or sleeping unit(s) </t>
  </si>
  <si>
    <t xml:space="preserve">Flow rate ≤ 1.5 gpm for all lavatory faucets in the dwelling unit(s), and at least one bathroom has faucets with flow rates ≤ 1.2 gpm </t>
  </si>
  <si>
    <t xml:space="preserve">Flow rate ≤ 1.2 gpm for all lavatory faucets in the dwelling unit(s) </t>
  </si>
  <si>
    <t>Flow rate ≤ 1.5 gpm (*all faucets in a bathroom are in compliance)</t>
  </si>
  <si>
    <t>Flow rate ≤ 1.2 gpm (*all faucets in a bathroom are in compliance)</t>
  </si>
  <si>
    <t>(Points awarded for each bathroom. In multifamily buildings, the average of the points assigned to individual dwelling units or sleeping units may be used as the number of points awarded for this practice, rounded to the nearest whole number.)</t>
  </si>
  <si>
    <t xml:space="preserve">2 (6 Max) </t>
  </si>
  <si>
    <t xml:space="preserve">8 Additional </t>
  </si>
  <si>
    <t xml:space="preserve">12 Additional </t>
  </si>
  <si>
    <t>802.5.4</t>
  </si>
  <si>
    <r>
      <t>802.5.4 Water closets and urinals.</t>
    </r>
    <r>
      <rPr>
        <sz val="10"/>
        <color theme="1"/>
        <rFont val="Calibri"/>
        <family val="2"/>
        <scheme val="minor"/>
      </rPr>
      <t xml:space="preserve"> Water closets and urinals are in accordance with the following:</t>
    </r>
  </si>
  <si>
    <t xml:space="preserve">All water closets are in accordance with Section 802.5.4(2). </t>
  </si>
  <si>
    <t xml:space="preserve">All water closets are in accordance with Section 802.5.4(2) and one or more of the following are installed: </t>
  </si>
  <si>
    <t xml:space="preserve">Gold and emerald levels: All water closets and urinals are in accordance with Section 802.5.4. </t>
  </si>
  <si>
    <t>(Points awarded per fixture. In multifamily buildings, the average of the points assigned to individual dwelling units or sleeping units may be used as the number of points awarded for this practice, rounded to the nearest whole number.)</t>
  </si>
  <si>
    <t>4 
12 Max</t>
  </si>
  <si>
    <t>2 Additional
6 Max</t>
  </si>
  <si>
    <t>2 Additional</t>
  </si>
  <si>
    <t>12 Additional</t>
  </si>
  <si>
    <t>One or more urinals with a flush volume of 0.5 gallons (1.9L) or less when tested in accordance with ASME A112.19.2/CSA B45.1.</t>
  </si>
  <si>
    <t>Water closets that have an effective flush volume of 1.2 gallons or less.</t>
  </si>
  <si>
    <t>(Points awarded per toilet. In multifamily buildings, the average of the points assigned to individual dwelling units or sleeping units may be used as the number of points awarded for this practice, rounded to the nearest whole number.)</t>
  </si>
  <si>
    <t xml:space="preserve">One or more composting or waterless toilets and/or nonwater urinals. Nonwater urinals shall be tested in accordance with ASME A112.19.2/CSA B45.1. </t>
  </si>
  <si>
    <r>
      <t xml:space="preserve">802.6.1 </t>
    </r>
    <r>
      <rPr>
        <sz val="10"/>
        <color theme="1"/>
        <rFont val="Calibri"/>
        <family val="2"/>
        <scheme val="minor"/>
      </rPr>
      <t xml:space="preserve">Where an irrigation system is installed, an irrigation plan and implementation are executed by a qualified professional or equivalent. </t>
    </r>
  </si>
  <si>
    <r>
      <t xml:space="preserve">802.6.2 </t>
    </r>
    <r>
      <rPr>
        <sz val="10"/>
        <color theme="1"/>
        <rFont val="Calibri"/>
        <family val="2"/>
        <scheme val="minor"/>
      </rPr>
      <t xml:space="preserve">Irrigation sprinkler nozzles shall be tested according to ANSI standard ASABE/ICC 802-2014 Landscape Irrigation Sprinkler and Emitter Standard by an accredited third party laboratory. </t>
    </r>
  </si>
  <si>
    <r>
      <t xml:space="preserve">802.6.3 </t>
    </r>
    <r>
      <rPr>
        <sz val="10"/>
        <color theme="1"/>
        <rFont val="Calibri"/>
        <family val="2"/>
        <scheme val="minor"/>
      </rPr>
      <t>Drip irrigation is installed.</t>
    </r>
  </si>
  <si>
    <t xml:space="preserve">Irrigation controllers shall be in accordance with the performance criteria of the EPA WaterSense program  </t>
  </si>
  <si>
    <t xml:space="preserve">No irrigation is installed and a landscape plan is developed in accordance with Section 503.5, as applicable. </t>
  </si>
  <si>
    <r>
      <t xml:space="preserve">802.6.5 Commissioning and water use reduction for irrigation systems.
</t>
    </r>
    <r>
      <rPr>
        <i/>
        <sz val="10"/>
        <color theme="1"/>
        <rFont val="Calibri"/>
        <family val="2"/>
        <scheme val="minor"/>
      </rPr>
      <t>[Points are not additive per each section.]</t>
    </r>
  </si>
  <si>
    <t xml:space="preserve">All irrigation zones utilize pressure regulation so emission devices (sprinklers and drip emitters) operate at manufacturer’s recommended operating pressure. </t>
  </si>
  <si>
    <t xml:space="preserve">Where dripline tubing is installed, a filter with mesh size in accordance with the manufacturer’s recommendation is installed on all drip zones. </t>
  </si>
  <si>
    <t xml:space="preserve">Utilize spray bodies that incorporate an in-stem or external flow shut-off device. </t>
  </si>
  <si>
    <t xml:space="preserve">For irrigation systems installed on sloped sites, either an in-stem or external check valve is utilized for each spray body. </t>
  </si>
  <si>
    <t xml:space="preserve">Where an irrigation system is installed, a flow sensing device is installed to monitor and alert the controller when flows are outside design range. </t>
  </si>
  <si>
    <r>
      <t xml:space="preserve">802.8 Sediment filters. </t>
    </r>
    <r>
      <rPr>
        <sz val="10"/>
        <color theme="1"/>
        <rFont val="Calibri"/>
        <family val="2"/>
        <scheme val="minor"/>
      </rPr>
      <t xml:space="preserve">Water filter is installed to reduce sediment and protect plumbing fixtures for the whole building or the entire dwelling unit.  </t>
    </r>
  </si>
  <si>
    <t>802.9 Water treatment devices.</t>
  </si>
  <si>
    <t>802.9.1</t>
  </si>
  <si>
    <r>
      <t xml:space="preserve">802.9.1 </t>
    </r>
    <r>
      <rPr>
        <sz val="10"/>
        <color theme="1"/>
        <rFont val="Calibri"/>
        <family val="2"/>
        <scheme val="minor"/>
      </rPr>
      <t>Water Softeners shall not be installed where the supplied water hardness is less than 8.0 grains per gallon measured as total calcium carbonate equivalents. Water softeners shall be listed to NSF 44 and a rated salt efficiency of 3400 grains of total hardness per 1.0 pound of salt based on sodium chloride equivalency. Devices shall not discharge more than 4.0 gallons of water per 1000 grains of hardness removed during the service or recharge cycle.</t>
    </r>
  </si>
  <si>
    <t xml:space="preserve">No water softener. </t>
  </si>
  <si>
    <t xml:space="preserve">Water softener installed to supply softened water only to domestic water heater. </t>
  </si>
  <si>
    <t>802.9.2</t>
  </si>
  <si>
    <r>
      <t xml:space="preserve">802.9.2 </t>
    </r>
    <r>
      <rPr>
        <sz val="10"/>
        <color theme="1"/>
        <rFont val="Calibri"/>
        <family val="2"/>
        <scheme val="minor"/>
      </rPr>
      <t>Reverse Osmosis (R/O) water treatment systems shall be listed to NSF 58 and shall include automatic shut-off valve to prevent water discharge when storage tank is full.</t>
    </r>
  </si>
  <si>
    <t xml:space="preserve">No R/O system. </t>
  </si>
  <si>
    <t xml:space="preserve">Combined capacity of all R/O systems does not exceed 0.75 gallons. </t>
  </si>
  <si>
    <t>802.10 Pools and spas.</t>
  </si>
  <si>
    <t>802.10.1</t>
  </si>
  <si>
    <r>
      <t xml:space="preserve">802.10.1 </t>
    </r>
    <r>
      <rPr>
        <sz val="10"/>
        <color theme="1"/>
        <rFont val="Calibri"/>
        <family val="2"/>
        <scheme val="minor"/>
      </rPr>
      <t>Pools and Spas with water surface area greater than 36 square feet and connected to a water supply shall have a dedicated meter to measure the amount of water supplied to the pool or spa.</t>
    </r>
  </si>
  <si>
    <t xml:space="preserve">Automated motorized non-permeable pool cover that covers the entire pool surface. </t>
  </si>
  <si>
    <t>802.10</t>
  </si>
  <si>
    <t>(Points awarded for either Section 803.1(1) or 803.1(2), not both.)</t>
  </si>
  <si>
    <t>(Points awarded for either Section 803.6 or 803.1, not both.)</t>
  </si>
  <si>
    <r>
      <t xml:space="preserve">803.3 Automatic leak detection and control devices. </t>
    </r>
    <r>
      <rPr>
        <sz val="10"/>
        <color theme="1"/>
        <rFont val="Calibri"/>
        <family val="2"/>
        <scheme val="minor"/>
      </rPr>
      <t xml:space="preserve">One of the following devices is installed. Where a fire sprinkler system is present, ensure the device will be installed to not interfere with the operation of the fire sprinkler system.  </t>
    </r>
  </si>
  <si>
    <t>automatic water leak detection and control devices</t>
  </si>
  <si>
    <t>automatic water leak detection and shutoff devices</t>
  </si>
  <si>
    <r>
      <t>804.2 Water efficiency rating levels.</t>
    </r>
    <r>
      <rPr>
        <sz val="10"/>
        <color theme="1"/>
        <rFont val="Calibri"/>
        <family val="2"/>
        <scheme val="minor"/>
      </rPr>
      <t xml:space="preserve"> In lieu of threshold levels for Chapter 8 in Table 303, rating levels for Section 804.1 are in accordance with Table 804.2.</t>
    </r>
  </si>
  <si>
    <r>
      <t>804.3 Water efficiency NGBS points equivalency.</t>
    </r>
    <r>
      <rPr>
        <sz val="10"/>
        <color theme="1"/>
        <rFont val="Calibri"/>
        <family val="2"/>
        <scheme val="minor"/>
      </rPr>
      <t xml:space="preserve"> The additional points for use with Table 303 from the Chapter 8 Water Efficiency Category are determined in accordance with equation 804.3.</t>
    </r>
  </si>
  <si>
    <t>Equation 804.3</t>
  </si>
  <si>
    <t>NGBS = WRI x (-2.29) + 181.7</t>
  </si>
  <si>
    <t>804 PERFORMANCE PATH</t>
  </si>
  <si>
    <t>WRI</t>
  </si>
  <si>
    <r>
      <t xml:space="preserve">901.1.4 </t>
    </r>
    <r>
      <rPr>
        <sz val="10"/>
        <color theme="1"/>
        <rFont val="Calibri"/>
        <family val="2"/>
        <scheme val="minor"/>
      </rPr>
      <t xml:space="preserve">Gas-fired fireplaces and direct heating equipment is listed and is installed in accordance with the NFPA 54, ICC IFGC, or the applicable local gas appliance installation code. Gas-fired fireplaces within dwelling units or sleeping units and direct heating equipment are vented to the outdoors. Alcohol burning devices and kerosene heaters are vented to the outdoors. </t>
    </r>
  </si>
  <si>
    <t>Factory-built, wood-burning fireplaces are in accordance with the certification requirements of UL 127 and are an EPA Phase 2 Emission Level Qualified Model.</t>
  </si>
  <si>
    <r>
      <t>901.12 Furniture and Furnishings.</t>
    </r>
    <r>
      <rPr>
        <sz val="10"/>
        <rFont val="Calibri"/>
        <family val="2"/>
        <scheme val="minor"/>
      </rPr>
      <t xml:space="preserve"> In a multifamily building, all furniture in common areas shall have VOC emission levels in accordance with ANSI/BIFMA e3-Furniture Sustainability Standard sections 7.6.1 and 7.6.2, tested in accordance with ANSI/BIFMA Standard Method M7.1. </t>
    </r>
  </si>
  <si>
    <r>
      <t>901.15 Non-smoking areas.</t>
    </r>
    <r>
      <rPr>
        <sz val="10"/>
        <color theme="1"/>
        <rFont val="Calibri"/>
        <family val="2"/>
        <scheme val="minor"/>
      </rPr>
      <t xml:space="preserve"> Environmental tobacco smoke is minimized by one or more of the following:</t>
    </r>
  </si>
  <si>
    <r>
      <t>901.14 Building entrance pollutants control.</t>
    </r>
    <r>
      <rPr>
        <sz val="10"/>
        <color theme="1"/>
        <rFont val="Calibri"/>
        <family val="2"/>
        <scheme val="minor"/>
      </rPr>
      <t xml:space="preserve"> Pollutants are controlled at all main building entrances by one of the following methods: </t>
    </r>
  </si>
  <si>
    <r>
      <t>901.13 Carbon monoxide (CO) alarms.</t>
    </r>
    <r>
      <rPr>
        <sz val="10"/>
        <color theme="1"/>
        <rFont val="Calibri"/>
        <family val="2"/>
        <scheme val="minor"/>
      </rPr>
      <t xml:space="preserve"> A carbon monoxide (CO) alarm is provided in accordance with the IRC Section R315.</t>
    </r>
  </si>
  <si>
    <t>901.15</t>
  </si>
  <si>
    <t>Operable windows, operable skylights, or sliding glass doors with a total area of at least 15 percent of the total conditioned floor area are provided.</t>
  </si>
  <si>
    <t>902.1.6</t>
  </si>
  <si>
    <r>
      <t xml:space="preserve">902.1.6 Ventilation for Multifamily Common Spaces. </t>
    </r>
    <r>
      <rPr>
        <sz val="10"/>
        <rFont val="Calibri"/>
        <family val="2"/>
        <scheme val="minor"/>
      </rPr>
      <t xml:space="preserve">Systems are implemented and are in accordance with the specifications of ASHRAE 62.1 and an explanation of the operation and importance of the ventilation system is included in 1002.1 and 1002.2 of NGBS. </t>
    </r>
  </si>
  <si>
    <t xml:space="preserve">Ventilation air is preconditioned by a system not specified above </t>
  </si>
  <si>
    <r>
      <t>902.2.2</t>
    </r>
    <r>
      <rPr>
        <sz val="10"/>
        <color theme="1"/>
        <rFont val="Calibri"/>
        <family val="2"/>
        <scheme val="minor"/>
      </rPr>
      <t xml:space="preserve"> Ventilation airflow is tested to achieve the design fan airflow in accordance with ANSI/RESNET/ICC 380 and Section 902.2.1.</t>
    </r>
  </si>
  <si>
    <t>902.3</t>
  </si>
  <si>
    <r>
      <t>902.3 Radon reduction measures.</t>
    </r>
    <r>
      <rPr>
        <sz val="10"/>
        <rFont val="Calibri"/>
        <family val="2"/>
        <scheme val="minor"/>
      </rPr>
      <t xml:space="preserve"> Radon reduction measures are in accordance with ICC IRC Appendix F or 902.3.1. Radon Zones as identified by the AHJ or, if the zone is not identified by the AHJ, as defined in Figure 9(1).</t>
    </r>
  </si>
  <si>
    <t xml:space="preserve">a passive radon system is installed </t>
  </si>
  <si>
    <t xml:space="preserve">an active radon system is installed </t>
  </si>
  <si>
    <t>902.3.1</t>
  </si>
  <si>
    <r>
      <t>902.3.1 Radon reduction option.</t>
    </r>
    <r>
      <rPr>
        <sz val="10"/>
        <rFont val="Calibri"/>
        <family val="2"/>
        <scheme val="minor"/>
      </rPr>
      <t xml:space="preserve"> This option requires section 902.3.2.1 through 902.3.2.7.</t>
    </r>
  </si>
  <si>
    <t>902.3.1.1</t>
  </si>
  <si>
    <r>
      <t>902.3.1.1 Soil-gas barriers and base course.</t>
    </r>
    <r>
      <rPr>
        <sz val="10"/>
        <rFont val="Calibri"/>
        <family val="2"/>
        <scheme val="minor"/>
      </rPr>
      <t xml:space="preserve"> A base course in accordance with Section 506.2.2 of the IRC shall be installed below slabs and foundations. There shall be a continuous gas-permeable base course under each soil-gas retarder that is separated by foundation walls or footings. Between slabs and the base course, damp proofing or water proofing shall be installed in accordance with Section 406 of the IRC. Punctures, tears and gaps around penetrations of the soil-gas retarder shall be repaired or covered with an additional soil-gas retarder. The soil-gas retarder shall be a continuous6-mil (0.15 mm) polyethylene or an approved equivalent.</t>
    </r>
  </si>
  <si>
    <t>902.3.1.2</t>
  </si>
  <si>
    <r>
      <t>902.3.1.2 Soil gas collection.</t>
    </r>
    <r>
      <rPr>
        <sz val="10"/>
        <rFont val="Calibri"/>
        <family val="2"/>
        <scheme val="minor"/>
      </rPr>
      <t xml:space="preserve"> There shall be an unobstructed path for soil gas flow between the void space installed in the base course and the vent through the roof. Soil gases below the foundation shall be collected by a perforated pipe with a diameter of not less than 4 inches (10 cm) and not less than 5 feet (1.5 m) in total length. A tee fitting or equivalent method shall provide two horizontal openings to the radon collection. The tee fitting shall be designed to prevent clogging of the radon collection path. Alternately the soil gas collection shall be by approved radon collection mats or an equivalent approved method.</t>
    </r>
  </si>
  <si>
    <t>902.3.1.3</t>
  </si>
  <si>
    <r>
      <t>902.3.1.3 Soil gas entry routes.</t>
    </r>
    <r>
      <rPr>
        <sz val="10"/>
        <rFont val="Calibri"/>
        <family val="2"/>
        <scheme val="minor"/>
      </rPr>
      <t xml:space="preserve"> Openings in slabs, soil-gas retarders, and joints such as, but not limited to, plumbing, ground water control systems, soil-gas vent pipes, piping and structural supports, shall be sealed against air leakage at the penetrations. The sealant shall be a polyurethane caulk, expanding foam or other approved method. Foundation walls shall comply with Section 103.2.3 of the IRC. Sumps shall be sealed in accordance with Section 103.2.2 of the IRC. Sump pits and sump lids intended for ground water control shall not be connected to the sub-slab soil-gas exhaust system.</t>
    </r>
  </si>
  <si>
    <t>902.3.1.4</t>
  </si>
  <si>
    <r>
      <t>902.3.1.4 Soil gas vent.</t>
    </r>
    <r>
      <rPr>
        <sz val="10"/>
        <rFont val="Calibri"/>
        <family val="2"/>
        <scheme val="minor"/>
      </rPr>
      <t xml:space="preserve"> A gas-tight pipe vent shall extend from the soil gas permeable layer though the roof. The vent pipe size shall not be reduced at any location as it goes from gas collection to the roof. Exposed and visible interior vent pipes shall be identified with not less than one label reading “Radon Reduction System” on each floor and in habitable attics.</t>
    </r>
  </si>
  <si>
    <t>902.3.1.5</t>
  </si>
  <si>
    <r>
      <t>902.3.1.5 Vent pipe diameter.</t>
    </r>
    <r>
      <rPr>
        <sz val="10"/>
        <rFont val="Calibri"/>
        <family val="2"/>
        <scheme val="minor"/>
      </rPr>
      <t xml:space="preserve"> The minimum vent pipe diameter shall be as specified in Table 902.3.2.5.</t>
    </r>
  </si>
  <si>
    <t>902.3.1.6</t>
  </si>
  <si>
    <r>
      <t>902.3.1.6 Multiple vented areas.</t>
    </r>
    <r>
      <rPr>
        <sz val="10"/>
        <rFont val="Calibri"/>
        <family val="2"/>
        <scheme val="minor"/>
      </rPr>
      <t xml:space="preserve"> In dwellings where interior footings or other barriers separate the soil-gas permeable layer, each area shall be fitted with an individual vent pipe. Vent pipes shall connect to a single vent that terminates above the roof or each individual vent pipe shall terminate separately above the roof.</t>
    </r>
  </si>
  <si>
    <t>902.3.1.7</t>
  </si>
  <si>
    <r>
      <t>902.3.1.7 Fan.</t>
    </r>
    <r>
      <rPr>
        <sz val="10"/>
        <rFont val="Calibri"/>
        <family val="2"/>
        <scheme val="minor"/>
      </rPr>
      <t xml:space="preserve"> Each sub-slab soil-gas exhaust system shall include a fan, or dedicated space for the post-construction installation of a fan. The electrical supply for the fan shall be located within 6 feet (1.8 m) of the fan. Fan is not required to be on a dedicated circuit.</t>
    </r>
  </si>
  <si>
    <t>902.3.2</t>
  </si>
  <si>
    <r>
      <t>902.3.2 Radon testing.</t>
    </r>
    <r>
      <rPr>
        <sz val="10"/>
        <rFont val="Calibri"/>
        <family val="2"/>
        <scheme val="minor"/>
      </rPr>
      <t xml:space="preserve"> Radon testing is mandatory for Zone 1.</t>
    </r>
  </si>
  <si>
    <r>
      <t>Exceptions:</t>
    </r>
    <r>
      <rPr>
        <sz val="10"/>
        <rFont val="Calibri"/>
        <family val="2"/>
        <scheme val="minor"/>
      </rPr>
      <t xml:space="preserve"> </t>
    </r>
  </si>
  <si>
    <t>(2) Testing is not mandatory where the occupied space is located above an unenclosed open space.</t>
  </si>
  <si>
    <t xml:space="preserve">Testing specifications. Testing is performance as specified in (a) through (j). </t>
  </si>
  <si>
    <t>Testing is performed after the residence passes its airtightness test.</t>
  </si>
  <si>
    <t>Testing is performed after the radon control system installation is complete. If the system has an active fan, the residence shall be tested with the fan operating.</t>
  </si>
  <si>
    <t>Testing is performed at the lowest level within a dwelling unit which will be occupied, even if the space is not finished.</t>
  </si>
  <si>
    <t>Testing is not performed in a closet, hallway, stairway, laundry room, furnace room, kitchen or bathroom.</t>
  </si>
  <si>
    <t>Testing shall be performed by the builder, a registered design professional, or an approved third party.</t>
  </si>
  <si>
    <t xml:space="preserve">Testing shall extend at least 48 hours or to the minimum specified by the manufacturer, which ever is longer. </t>
  </si>
  <si>
    <t>Written radon test results shall be provided by the test lab or testing party. Written test results shall be included with construction documents.</t>
  </si>
  <si>
    <t xml:space="preserve">An additional pre-paid test kit shall be provided for the homeowner to use when they choose. The test kit shall include mailing or emailing the results from the testing lab to the homeowner. </t>
  </si>
  <si>
    <t>Where the radon test result is 4 pCi/L or greater, the fan for the radon vent pipe shall be installed.</t>
  </si>
  <si>
    <t xml:space="preserve">Testing results. A radon test done in accordance with 902.3.1 and completed before occupancy receives a results of 2 pCi/L or less. </t>
  </si>
  <si>
    <t>ICC IRC F</t>
  </si>
  <si>
    <t>Exception:</t>
  </si>
  <si>
    <t>902.4</t>
  </si>
  <si>
    <t>902.5</t>
  </si>
  <si>
    <t>If HVAC systems are to be operated, during construction, all return grilles have a temporary MERV 8 or higher filter installed in a manner ensuring no leakage around the filter.</t>
  </si>
  <si>
    <t xml:space="preserve">Verify that no visible signs of discoloration and microbial growth on ceilings, walls or floors, or other building assemblies Or If minor microbial growth is observed (less than within a total area of 25 square feet) in homes or multifamily buildings, reference EPA Document 402-K-02-003 (A Brief Guide to Mold, Moisture, and Your Home) for guidance on how to properly remediate the issue. If microbial growth is observed, on a larger scale in homes or multifamily buildings (greater than 25 sq ft), reference EPA document 402-k-01-001 (Mold Remediation in Schools and Commercial Buildings) for guidance on how to properly remediate the issue. </t>
  </si>
  <si>
    <t xml:space="preserve">Verify that there are no visible signs of water damage or pooling. If signs of water damage or pooling are observed, verify that the source of the leak has been repaired, and that damaged materials are either properly dried or replaced as needed. </t>
  </si>
  <si>
    <t>904.3</t>
  </si>
  <si>
    <r>
      <t>904.3 Microbial growth &amp; moisture inspection and remediation.</t>
    </r>
    <r>
      <rPr>
        <sz val="10"/>
        <rFont val="Calibri"/>
        <family val="2"/>
        <scheme val="minor"/>
      </rPr>
      <t xml:space="preserve"> A visual inspection is performed to confirm the following:</t>
    </r>
  </si>
  <si>
    <t>905.3</t>
  </si>
  <si>
    <r>
      <t>905.3 Enhanced air filtration.</t>
    </r>
    <r>
      <rPr>
        <sz val="10"/>
        <rFont val="Calibri"/>
        <family val="2"/>
        <scheme val="minor"/>
      </rPr>
      <t xml:space="preserve"> Meet all of the following. </t>
    </r>
  </si>
  <si>
    <t>Design for and install a secondary filter rack space for activated carbon filters.</t>
  </si>
  <si>
    <t>Provide the manufacturer’s recommended filter maintenance schedule to the homeowner or building manager.</t>
  </si>
  <si>
    <t>905.4</t>
  </si>
  <si>
    <t>905.6</t>
  </si>
  <si>
    <r>
      <t>905.6 Evaporative coil mold prevention.</t>
    </r>
    <r>
      <rPr>
        <sz val="10"/>
        <rFont val="Calibri"/>
        <family val="2"/>
        <scheme val="minor"/>
      </rPr>
      <t xml:space="preserve"> For buildings with a mechanical system for cooling, ultraviolet lamps are installed on the cooling coils and drain pans of the mechanical system supplies. Lamps produce ultraviolet radiation at a wavelength of 254 nm so as not to generate ozone. Lamps have ballasts housed in a NEMA-rated enclosure. </t>
    </r>
  </si>
  <si>
    <t>Whole-dwelling mechanical ventilation systems.</t>
  </si>
  <si>
    <t>A maintenance plan for active recreation and play spaces (e.g., playgrounds, ground markings, exercise equipment.</t>
  </si>
  <si>
    <t>Whole-dwelling mechanical ventilation systems</t>
  </si>
  <si>
    <t>1002.5</t>
  </si>
  <si>
    <t>1002.6</t>
  </si>
  <si>
    <r>
      <t>1002.5 Multifamily occupant manual.</t>
    </r>
    <r>
      <rPr>
        <sz val="10"/>
        <color theme="1"/>
        <rFont val="Calibri"/>
        <family val="2"/>
        <scheme val="minor"/>
      </rPr>
      <t xml:space="preserve"> An occupant manual is compiled and distributed in accordance with Section 1002.0.</t>
    </r>
    <r>
      <rPr>
        <b/>
        <sz val="10"/>
        <color theme="1"/>
        <rFont val="Calibri"/>
        <family val="2"/>
        <scheme val="minor"/>
      </rPr>
      <t xml:space="preserve"> </t>
    </r>
    <r>
      <rPr>
        <i/>
        <sz val="10"/>
        <color theme="1"/>
        <rFont val="Calibri"/>
        <family val="2"/>
        <scheme val="minor"/>
      </rPr>
      <t xml:space="preserve">[Points awarded for non-mandatory items.] </t>
    </r>
  </si>
  <si>
    <t xml:space="preserve">NGBS certificate </t>
  </si>
  <si>
    <t xml:space="preserve">List of green building features </t>
  </si>
  <si>
    <t xml:space="preserve">Operations manuals for all appliances and occupant operated equipment including lighting and ventilation controls, thermostats, etc. </t>
  </si>
  <si>
    <t>Information on recycling and composting programs</t>
  </si>
  <si>
    <t>Information on purchasing renewable energy from utility</t>
  </si>
  <si>
    <t>Information on energy efficient replacement lamps</t>
  </si>
  <si>
    <t>List of practices to save water and energy</t>
  </si>
  <si>
    <t>Local public transportation options</t>
  </si>
  <si>
    <t>Explanation of benefits of green cleaning</t>
  </si>
  <si>
    <r>
      <t>1002.6 Training of multifamily occupants.</t>
    </r>
    <r>
      <rPr>
        <sz val="10"/>
        <color theme="1"/>
        <rFont val="Calibri"/>
        <family val="2"/>
        <scheme val="minor"/>
      </rPr>
      <t xml:space="preserve"> Prepare a training outline, video or website that familiarizes occupants with their role in maintaining the green goals of the project. Include all equipment that the occupant(s) is expected to operate including but not limited. </t>
    </r>
  </si>
  <si>
    <t>Lighting controls</t>
  </si>
  <si>
    <t>Ventilation controls</t>
  </si>
  <si>
    <t>Thermostat operation and programming</t>
  </si>
  <si>
    <t>Appliances operation</t>
  </si>
  <si>
    <t>Recycling and composting</t>
  </si>
  <si>
    <t>Water heater setting and hot water use</t>
  </si>
  <si>
    <t>1 per 2 items</t>
  </si>
  <si>
    <t>1005</t>
  </si>
  <si>
    <t xml:space="preserve">1005  INNOVATIVE PRACTICES </t>
  </si>
  <si>
    <t>1005.1</t>
  </si>
  <si>
    <r>
      <t xml:space="preserve">1005.1 Appraisals. </t>
    </r>
    <r>
      <rPr>
        <sz val="10"/>
        <color theme="1"/>
        <rFont val="Calibri"/>
        <family val="2"/>
        <scheme val="minor"/>
      </rPr>
      <t>One or more of the following is implemented:</t>
    </r>
  </si>
  <si>
    <t xml:space="preserve">Energy rating or projected usage data is posted in an appropriate location in the home, or public posting so that an appraiser can access the energy data for an energy efficiency property valuation. </t>
  </si>
  <si>
    <t xml:space="preserve">An Appraisal Institute Form 820.05 “Residential Green and Energy Addendum” or Form 821 “Commercial Green and energy Efficient Addendum” that consider NGBS, LEED, ENERGY STAR certifications and equivalent programs, is completed for the appraiser by a qualified professional or builder to use in performing the valuation of the property. </t>
  </si>
  <si>
    <t xml:space="preserve">NGBS certification information or one of the Appraisal Institute Forms cited in (2) above is uploaded to a multiple listing service (MLS) or equivalent database so that appraisers can access it to compare property valuations. </t>
  </si>
  <si>
    <t>Home Innovation makes key certification details available, but MLS organizations need to take affirmative action to ensure data is received and made publicly available. Contact us for more details.</t>
  </si>
  <si>
    <t>500</t>
  </si>
  <si>
    <t>703.3</t>
  </si>
  <si>
    <t>611.1</t>
  </si>
  <si>
    <t>504</t>
  </si>
  <si>
    <t>NOTE: 5 Points must be taken in 503.5(1)-(7) for a Full Landscape Plan in order to receive points for 802.6.4(3).</t>
  </si>
  <si>
    <t>See Table 802.1(1)</t>
  </si>
  <si>
    <t>See Table 802.1(2)</t>
  </si>
  <si>
    <t>back to 802.1</t>
  </si>
  <si>
    <t>Table 802.1(1)</t>
  </si>
  <si>
    <t>Table 802.1(2)</t>
  </si>
  <si>
    <t>floors:</t>
  </si>
  <si>
    <t>from overview:</t>
  </si>
  <si>
    <t>ELR:</t>
  </si>
  <si>
    <t>CHAPTER 13: COMMERCIAL SPACES NEW CONSTRUCTION</t>
  </si>
  <si>
    <t>13.101.1</t>
  </si>
  <si>
    <r>
      <t xml:space="preserve">13.101.1 Intent. </t>
    </r>
    <r>
      <rPr>
        <sz val="10"/>
        <rFont val="Calibri"/>
        <family val="2"/>
        <scheme val="minor"/>
      </rPr>
      <t>This chapter shall provide green requirements for the non-residential portion(s) of a mixed-use building.</t>
    </r>
  </si>
  <si>
    <t>13.101.2</t>
  </si>
  <si>
    <r>
      <t>13.101.2 Scope.</t>
    </r>
    <r>
      <rPr>
        <sz val="10"/>
        <rFont val="Calibri"/>
        <family val="2"/>
        <scheme val="minor"/>
      </rPr>
      <t xml:space="preserve"> The provisions of this Chapter shall apply to the design, construction, addition, and alteration of non-residential portion(s) of a mixed-use building.</t>
    </r>
  </si>
  <si>
    <t>13.102.1</t>
  </si>
  <si>
    <r>
      <t>13.102.1 Compliance.</t>
    </r>
    <r>
      <rPr>
        <sz val="10"/>
        <rFont val="Calibri"/>
        <family val="2"/>
        <scheme val="minor"/>
      </rPr>
      <t xml:space="preserve"> The non-residential portion(s) of a mixed-use building shall comply with all of the provisions of this chapter as applicable. The provisions of this Chapter are mandatory.</t>
    </r>
  </si>
  <si>
    <t>13.102.1.1</t>
  </si>
  <si>
    <r>
      <t>13.102.1.1 Core and shell compliance.</t>
    </r>
    <r>
      <rPr>
        <sz val="10"/>
        <rFont val="Calibri"/>
        <family val="2"/>
        <scheme val="minor"/>
      </rPr>
      <t xml:space="preserve"> The exterior air barrier, insulation, air sealing, and fenestration, are verified to the requirements of this chapter at the time of certification.</t>
    </r>
  </si>
  <si>
    <t>13.102.1.2</t>
  </si>
  <si>
    <r>
      <t>13.102.1.2 Full mixed-use building compliance.</t>
    </r>
    <r>
      <rPr>
        <sz val="10"/>
        <rFont val="Calibri"/>
        <family val="2"/>
        <scheme val="minor"/>
      </rPr>
      <t xml:space="preserve"> Residential and non-residential spaces are verified to the requirements of this standard at the time of certification. The residential portions of the building are verified to the requirements of Chapters 5 through 10 of this standard. The non-residential portion(s) of the building must comply with the requirements of this chapter.</t>
    </r>
  </si>
  <si>
    <t>13.102.1.3</t>
  </si>
  <si>
    <r>
      <t>13.102.1.3 Additions and alterations.</t>
    </r>
    <r>
      <rPr>
        <sz val="10"/>
        <rFont val="Calibri"/>
        <family val="2"/>
        <scheme val="minor"/>
      </rPr>
      <t xml:space="preserve"> The provisions of this Chapter shall only apply to areas of the building that are exposed or created during the remodel of mixed-use building(s) complying with Section 305, Green Remodeling.</t>
    </r>
  </si>
  <si>
    <t>13.103.1</t>
  </si>
  <si>
    <r>
      <t xml:space="preserve">13.103.1 Bicycle parking. </t>
    </r>
    <r>
      <rPr>
        <sz val="10"/>
        <rFont val="Calibri"/>
        <family val="2"/>
        <scheme val="minor"/>
      </rPr>
      <t>Bicycle parking shall comply with section 103.1.1 through 103.1.2</t>
    </r>
  </si>
  <si>
    <t>13.103.1.1</t>
  </si>
  <si>
    <r>
      <t xml:space="preserve">13.103.1.1 Minimum number of spaces. </t>
    </r>
    <r>
      <rPr>
        <sz val="10"/>
        <rFont val="Calibri"/>
        <family val="2"/>
        <scheme val="minor"/>
      </rPr>
      <t>The minimum number of required bicycle parking spaces shall be 4 parking spaces.</t>
    </r>
  </si>
  <si>
    <t>The number of bicycle parking spaces shall be allowed to be reduced subject to Adopting Entity approval,</t>
  </si>
  <si>
    <t>Bicycle parking shall not be required where the total non-residential conditioned space in the building is less than 1,000 square feet.</t>
  </si>
  <si>
    <t>The minimum number of spaces shall be permitted to be reduced by the authority having jurisdiction based on the occupants expected use of public transit or walking to the building.</t>
  </si>
  <si>
    <t>13.103.1.2</t>
  </si>
  <si>
    <r>
      <t xml:space="preserve">13.103.1.2 Location. </t>
    </r>
    <r>
      <rPr>
        <sz val="10"/>
        <rFont val="Calibri"/>
        <family val="2"/>
        <scheme val="minor"/>
      </rPr>
      <t>The bicycle parking must be located on the same building site or within the building. It must be located within 100 ft. of, and visible from the main entrance.</t>
    </r>
  </si>
  <si>
    <t>13.104</t>
  </si>
  <si>
    <t xml:space="preserve">13.104 Resource Efficiency. </t>
  </si>
  <si>
    <t>13.104.1</t>
  </si>
  <si>
    <t xml:space="preserve">13.104.1 Enhanced Durability. </t>
  </si>
  <si>
    <t>13.104.1.1</t>
  </si>
  <si>
    <r>
      <t xml:space="preserve">13.104.1.1 Capillary Break. </t>
    </r>
    <r>
      <rPr>
        <sz val="10"/>
        <rFont val="Calibri"/>
        <family val="2"/>
        <scheme val="minor"/>
      </rPr>
      <t>A capillary break and vapor retarder shall be installed under the concrete slabs in accordance with ICC IBC Sections 1907, excluding exception #3 and 1805.2.1.</t>
    </r>
  </si>
  <si>
    <t>13.104.1.2</t>
  </si>
  <si>
    <r>
      <t xml:space="preserve">13.104.1.2 Foundation drainage. </t>
    </r>
    <r>
      <rPr>
        <sz val="10"/>
        <rFont val="Calibri"/>
        <family val="2"/>
        <scheme val="minor"/>
      </rPr>
      <t>Where required by the ICC IBC for habitable and usable spaces below grade, exterior drain tile is installed.</t>
    </r>
  </si>
  <si>
    <t>13.104.1.3</t>
  </si>
  <si>
    <r>
      <t xml:space="preserve">13.104.1.3 Dampproof walls. </t>
    </r>
    <r>
      <rPr>
        <sz val="10"/>
        <rFont val="Calibri"/>
        <family val="2"/>
        <scheme val="minor"/>
      </rPr>
      <t>Walls that retain earth, and encloses interior space are required to be dampproof per ICC IBC Section 1805.</t>
    </r>
  </si>
  <si>
    <t>13.104.1.4</t>
  </si>
  <si>
    <r>
      <t xml:space="preserve">13.104.1.4 Water-resistive barrier. </t>
    </r>
    <r>
      <rPr>
        <sz val="10"/>
        <rFont val="Calibri"/>
        <family val="2"/>
        <scheme val="minor"/>
      </rPr>
      <t>Where required by the ICC IBC, a water-resistive barrier and/or drainage plane system is installed behind exterior cladding.</t>
    </r>
  </si>
  <si>
    <t>13.104.1.5</t>
  </si>
  <si>
    <r>
      <t xml:space="preserve">13.104.1.5 Flashing. </t>
    </r>
    <r>
      <rPr>
        <sz val="10"/>
        <rFont val="Calibri"/>
        <family val="2"/>
        <scheme val="minor"/>
      </rPr>
      <t xml:space="preserve">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r>
      <rPr>
        <b/>
        <sz val="10"/>
        <rFont val="Calibri"/>
        <family val="2"/>
        <scheme val="minor"/>
      </rPr>
      <t xml:space="preserve">
</t>
    </r>
    <r>
      <rPr>
        <sz val="10"/>
        <rFont val="Calibri"/>
        <family val="2"/>
        <scheme val="minor"/>
      </rPr>
      <t>Flashing is installed at the following locations, as applicable unless in conflict with manufacturer’s installation instructions:</t>
    </r>
  </si>
  <si>
    <t>Around exterior fenestrations, skylights, and doors</t>
  </si>
  <si>
    <t>At roof valleys</t>
  </si>
  <si>
    <t>At all building-to-deck, -balcony, -porch, and -stair intersections</t>
  </si>
  <si>
    <t>At roof-to-wall intersections, at roof-to-chimney intersections, at wall-to-chimney intersections, and at parapets</t>
  </si>
  <si>
    <t>At ends of and under masonry, wood, or metal copings and sills</t>
  </si>
  <si>
    <t>Above projecting wood trim</t>
  </si>
  <si>
    <t>At built-in roof gutters, and</t>
  </si>
  <si>
    <t>Drip edge is installed at eave and rake edges</t>
  </si>
  <si>
    <t>Window and door head and jamb flashing is either self-adhered or liquid applied</t>
  </si>
  <si>
    <t>Flashing is installed at exterior windows and doors</t>
  </si>
  <si>
    <t>Through-wall flashing is installed at transitions between wall cladding materials or wall construction types</t>
  </si>
  <si>
    <t>Flashing is installed at the expansion joint in stucco walls</t>
  </si>
  <si>
    <t>13.104.1.6</t>
  </si>
  <si>
    <r>
      <t xml:space="preserve">13.104.1.6 Tile backing materials. </t>
    </r>
    <r>
      <rPr>
        <sz val="10"/>
        <rFont val="Calibri"/>
        <family val="2"/>
        <scheme val="minor"/>
      </rPr>
      <t>Tile backing materials installed under tiled surfaces in wet areas are in accordance with ASTM C1178, C1278, C1288, or C1325. Tile shall not be installed over paper-faced gypsum board in wet areas.</t>
    </r>
  </si>
  <si>
    <t>13.104.1.7</t>
  </si>
  <si>
    <r>
      <t xml:space="preserve">13.104.1.7 Ice barrier. </t>
    </r>
    <r>
      <rPr>
        <sz val="10"/>
        <rFont val="Calibri"/>
        <family val="2"/>
        <scheme val="minor"/>
      </rPr>
      <t>In areas where there has been a history of ice forming along the eaves causing a backup of water, an ice barrier is installed in accordance with the ICC IBC at roof eaves of pitched roofs and extends a minimum of 24 inches (610 mm) inside the exterior wall line of the building.</t>
    </r>
  </si>
  <si>
    <t>13.104.1.8</t>
  </si>
  <si>
    <r>
      <t xml:space="preserve">13.104.1.8 Architectural features. </t>
    </r>
    <r>
      <rPr>
        <sz val="10"/>
        <rFont val="Calibri"/>
        <family val="2"/>
        <scheme val="minor"/>
      </rPr>
      <t>Architectural features that increase the potential for water intrusion are avoided, and must comply with the following:</t>
    </r>
  </si>
  <si>
    <t>Horizontal ledgers are sloped away to provide gravity drainage as appropriate for the application.</t>
  </si>
  <si>
    <t>No roof configurations that create horizontal valleys in roof design, unless directed to a drain on a flat roof.</t>
  </si>
  <si>
    <t>No recessed windows and architectural features that trap water on horizontal surfaces</t>
  </si>
  <si>
    <t>13.104.1.9</t>
  </si>
  <si>
    <r>
      <t xml:space="preserve">13.104.1.9 Moisture control measures. </t>
    </r>
    <r>
      <rPr>
        <sz val="10"/>
        <rFont val="Calibri"/>
        <family val="2"/>
        <scheme val="minor"/>
      </rPr>
      <t>Moisture control measures for newly installed materials are in accordance with the following:</t>
    </r>
  </si>
  <si>
    <t>Building materials with visible mold are not installed or are cleaned or encapsulated prior to concealment and closing</t>
  </si>
  <si>
    <t>Insulation in cavities is dry in accordance with manufacturer’s installation instructions when enclosed (e.g., with drywall)</t>
  </si>
  <si>
    <t>13.104.2</t>
  </si>
  <si>
    <r>
      <t xml:space="preserve">13.104.2 Construction material and waste management plan. </t>
    </r>
    <r>
      <rPr>
        <sz val="10"/>
        <rFont val="Calibri"/>
        <family val="2"/>
        <scheme val="minor"/>
      </rPr>
      <t>A written construction waste management plan is posted at the jobsite, and implemented.</t>
    </r>
  </si>
  <si>
    <t>13.104.3</t>
  </si>
  <si>
    <r>
      <t xml:space="preserve">13.104.3 Core and shell material selection. </t>
    </r>
    <r>
      <rPr>
        <sz val="10"/>
        <rFont val="Calibri"/>
        <family val="2"/>
        <scheme val="minor"/>
      </rPr>
      <t>The core and shell of the non-residential portion of the building must contain similar green material selections of the residential portion of the building, and must comply with the additional provisions of this section.</t>
    </r>
  </si>
  <si>
    <t>13.104.3.1</t>
  </si>
  <si>
    <r>
      <t xml:space="preserve">13.104.3.1 Material selection. </t>
    </r>
    <r>
      <rPr>
        <sz val="10"/>
        <rFont val="Calibri"/>
        <family val="2"/>
        <scheme val="minor"/>
      </rPr>
      <t>At least six of these sections must be met from the following:</t>
    </r>
  </si>
  <si>
    <t>13.104.4</t>
  </si>
  <si>
    <r>
      <t xml:space="preserve">13.104.4 Recycling and composting. </t>
    </r>
    <r>
      <rPr>
        <sz val="10"/>
        <rFont val="Calibri"/>
        <family val="2"/>
        <scheme val="minor"/>
      </rPr>
      <t>A readily accessible space(s) adequate to accommodate the recycling and composting containers for materials accepted in local recycling/composting programs is provided and identified on the floorplan.</t>
    </r>
  </si>
  <si>
    <t>13.105</t>
  </si>
  <si>
    <t xml:space="preserve">13.105 Energy Efficiency. </t>
  </si>
  <si>
    <t>13.105.1</t>
  </si>
  <si>
    <r>
      <t xml:space="preserve">13.105.1 Building thermal envelope insulation. </t>
    </r>
    <r>
      <rPr>
        <sz val="10"/>
        <rFont val="Calibri"/>
        <family val="2"/>
        <scheme val="minor"/>
      </rPr>
      <t>The non-residential portion of the building must comply with the insulation requirements of Sections C402.1 through C402.3 of the ICC IECC as applicable, and Section 105.1.1. A UA tradeoff shall be allowed for sections 105.1 and 105.2 is equal to or less than the IECC UA.</t>
    </r>
  </si>
  <si>
    <r>
      <t>Maximum UA.</t>
    </r>
    <r>
      <rPr>
        <sz val="10"/>
        <rFont val="Calibri"/>
        <family val="2"/>
        <scheme val="minor"/>
      </rPr>
      <t xml:space="preserve"> For IECC residential, the total building UA is less than or equal to the total maximum UA as computed by 2015 IECC Section R02.1.5. For IECC commercial, the total UA is less than or equal to the sum of the UA for 2015 IECC Tables C402.1.4 and C402.4, including the U-factor times the area and C-factor or F-factor times the perimeter. The total UA proposed and baseline calculations are documented. REScheck or COMcheck is deemed to provide UA calculation documentation.</t>
    </r>
  </si>
  <si>
    <t>13.105.1.1</t>
  </si>
  <si>
    <r>
      <t xml:space="preserve">13.105.1.1 Insulation installation. </t>
    </r>
    <r>
      <rPr>
        <sz val="10"/>
        <rFont val="Calibri"/>
        <family val="2"/>
        <scheme val="minor"/>
      </rPr>
      <t>Insulation installed in the thermal envelope shall be visually inspected for compliance with Grade I installation. Grade II insulation is only permitted where exterior continuous insulation is installed. Grade III insulation installation is not permitted.</t>
    </r>
  </si>
  <si>
    <t>13.105.2</t>
  </si>
  <si>
    <r>
      <t xml:space="preserve">13.105.2 Building thermal envelope fenestration. </t>
    </r>
    <r>
      <rPr>
        <sz val="10"/>
        <rFont val="Calibri"/>
        <family val="2"/>
        <scheme val="minor"/>
      </rPr>
      <t>The non-residential portion of the building shall be in accordance with the requirements of Section C402.4 of the International Energy Conservation Code as applicable.</t>
    </r>
  </si>
  <si>
    <t>13.105.3</t>
  </si>
  <si>
    <r>
      <t xml:space="preserve">13.105.3 Building thermal envelope air sealing. </t>
    </r>
    <r>
      <rPr>
        <sz val="10"/>
        <rFont val="Calibri"/>
        <family val="2"/>
        <scheme val="minor"/>
      </rPr>
      <t>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</si>
  <si>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</si>
  <si>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</si>
  <si>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</si>
  <si>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</si>
  <si>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</si>
  <si>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</si>
  <si>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Walls and ceilings separating the garage from conditioned spaces</t>
  </si>
  <si>
    <t>Behind tubs and showers on exterior walls</t>
  </si>
  <si>
    <t>Cantilevers</t>
  </si>
  <si>
    <t>Attic access openings</t>
  </si>
  <si>
    <t>Rim joists junction</t>
  </si>
  <si>
    <t>Other sources of infiltration</t>
  </si>
  <si>
    <t>13.105.3.1</t>
  </si>
  <si>
    <r>
      <t xml:space="preserve">13.105.3.1 Air barrier verification. </t>
    </r>
    <r>
      <rPr>
        <sz val="10"/>
        <rFont val="Calibri"/>
        <family val="2"/>
        <scheme val="minor"/>
      </rPr>
      <t>If not previously verified, the air barrier shall be visually inspected to demonstrate compliance with Table 701.4.3.2(2) and shall comply with the requirements of IECC C402.5.</t>
    </r>
  </si>
  <si>
    <t>13.105.4</t>
  </si>
  <si>
    <r>
      <t xml:space="preserve">13.105.4 Energy metering. </t>
    </r>
    <r>
      <rPr>
        <sz val="10"/>
        <rFont val="Calibri"/>
        <family val="2"/>
        <scheme val="minor"/>
      </rPr>
      <t xml:space="preserve">Energy metering shall be provided for each tenant individually for the non-residential portions of the building.
</t>
    </r>
    <r>
      <rPr>
        <b/>
        <sz val="10"/>
        <rFont val="Calibri"/>
        <family val="2"/>
        <scheme val="minor"/>
      </rPr>
      <t>Exception:</t>
    </r>
    <r>
      <rPr>
        <sz val="10"/>
        <rFont val="Calibri"/>
        <family val="2"/>
        <scheme val="minor"/>
      </rPr>
      <t xml:space="preserve"> non-residential spaces under 10,000 square feet.</t>
    </r>
  </si>
  <si>
    <t>13.105.5</t>
  </si>
  <si>
    <r>
      <t xml:space="preserve">13.105.5 Efficiency of HVAC equipment. </t>
    </r>
    <r>
      <rPr>
        <sz val="10"/>
        <rFont val="Calibri"/>
        <family val="2"/>
        <scheme val="minor"/>
      </rPr>
      <t>HVAC equipment shall meet the minimum efficiency requirements listed in Tables C403.3.2(1) through C403.3.2(7) of the International Energy Conservation Code.</t>
    </r>
  </si>
  <si>
    <t>13.105.6</t>
  </si>
  <si>
    <r>
      <t xml:space="preserve">13.105.6 Efficiency of Service Water Heating equipment. </t>
    </r>
    <r>
      <rPr>
        <sz val="10"/>
        <rFont val="Calibri"/>
        <family val="2"/>
        <scheme val="minor"/>
      </rPr>
      <t>Service Water Heating equipment shall meet the minimum efficiency requirements listed in ICC IECC Table C404.2.</t>
    </r>
  </si>
  <si>
    <t>13.105.7</t>
  </si>
  <si>
    <r>
      <t xml:space="preserve">13.105.7 Lighting. </t>
    </r>
    <r>
      <rPr>
        <sz val="10"/>
        <rFont val="Calibri"/>
        <family val="2"/>
        <scheme val="minor"/>
      </rPr>
      <t>The total interior lighting power allowance shall be less than the total lighting power allowance in accordance with Section C405.3.2 of the International Energy Conservation Code.</t>
    </r>
  </si>
  <si>
    <t>13.105.8</t>
  </si>
  <si>
    <t xml:space="preserve">13.105.8 Commissioning. </t>
  </si>
  <si>
    <t>13.105.8.1</t>
  </si>
  <si>
    <r>
      <t xml:space="preserve">13.105.8.1 Mechanical and service water heating systems. </t>
    </r>
    <r>
      <rPr>
        <sz val="10"/>
        <rFont val="Calibri"/>
        <family val="2"/>
        <scheme val="minor"/>
      </rPr>
      <t>Mechanical and service water heating systems shall comply with ICC IECC Section C408.2.</t>
    </r>
  </si>
  <si>
    <t>13.105.9</t>
  </si>
  <si>
    <r>
      <t xml:space="preserve">13.105.9 Calculation of heating and cooling loads. </t>
    </r>
    <r>
      <rPr>
        <sz val="10"/>
        <rFont val="Calibri"/>
        <family val="2"/>
        <scheme val="minor"/>
      </rPr>
      <t>Design loads associated with heating, ventilating and air conditioning of the building shall be determined in accordance with ANSI/ASHRAE/ACCA Standard 183 or by an approved equivalent computational procedure and using the design parameters specified in Chapter 3 of the ICC IECC. Heating and cooling loads shall be adjusted to account for load reductions that are achieved where energy recovery systems are utilized in the HVAC system in accordance with the ASHRAE HVAC Systems and Equipment Handbook or an approved equivalent computational procedure.</t>
    </r>
  </si>
  <si>
    <t>13.105.10</t>
  </si>
  <si>
    <r>
      <t xml:space="preserve">13.105.10 Duct air sealing. </t>
    </r>
    <r>
      <rPr>
        <sz val="10"/>
        <rFont val="Calibri"/>
        <family val="2"/>
        <scheme val="minor"/>
      </rPr>
      <t>Ductwork shall be constructed in accordance with the ICC IMC.</t>
    </r>
  </si>
  <si>
    <t>13.105.11</t>
  </si>
  <si>
    <r>
      <t xml:space="preserve">13.105.11 Heated-water circulation and temperature maintenance. </t>
    </r>
    <r>
      <rPr>
        <sz val="10"/>
        <rFont val="Calibri"/>
        <family val="2"/>
        <scheme val="minor"/>
      </rPr>
      <t>Where installed, heated- water circulation systems shall be in accordance with Section 105.11.1. Heat trace temperature maintenance systems shall be in accordance with Section 105.11.2. Controls for hot water storage shall be in accordance with Section 105.11.3.  Automatic controls, temperature sensors, and pumps shall be in a location that is accessible. Manual controls shall be in a location with ready access.</t>
    </r>
  </si>
  <si>
    <t>13.105.11.1</t>
  </si>
  <si>
    <r>
      <t xml:space="preserve">13.105.11.1 Circulation systems. </t>
    </r>
    <r>
      <rPr>
        <sz val="10"/>
        <rFont val="Calibri"/>
        <family val="2"/>
        <scheme val="minor"/>
      </rPr>
      <t>Heated-water circulation systems shall be provided with a circulation pump. The system return pipe shall be a dedicated return pipe, or a cold water supply pipe. Gravity and thermos-syphon circulation systems shall be prohibited. Controls for circulation hot water system pumps shall start the pump based on the identification of a demand for hot water. The controls shall automatically turn off the pump when the water in the circulation loop is at the desired temperature and when there is not a demand for hot water.</t>
    </r>
  </si>
  <si>
    <t>13.105.11.2</t>
  </si>
  <si>
    <r>
      <t xml:space="preserve">13.105.11.2 Heat trace systems. </t>
    </r>
    <r>
      <rPr>
        <sz val="10"/>
        <rFont val="Calibri"/>
        <family val="2"/>
        <scheme val="minor"/>
      </rPr>
      <t>Electric heat trace systems shall comply with IECC 505.1. Controls for such systems shall be able to automatically adjust the energy input to the heat tracing to maintain the desired water temperature in the piping in accordance with the times when heated water is used in the occupancy. Heat trace shall be arranged to be turned off automatically when there is not a demand for hot water.</t>
    </r>
  </si>
  <si>
    <t>13.105.11.3</t>
  </si>
  <si>
    <r>
      <t xml:space="preserve">13.105.11.3 Controls for hot water storage. </t>
    </r>
    <r>
      <rPr>
        <sz val="10"/>
        <rFont val="Calibri"/>
        <family val="2"/>
        <scheme val="minor"/>
      </rPr>
      <t>The controls on pumps that circulate water between a water heater and a heated water storage tank shall limit the operation of the pump from the heating cycle startup to not greater than 5 minutes are the end of the cycle.</t>
    </r>
  </si>
  <si>
    <t>13.105.12</t>
  </si>
  <si>
    <r>
      <t xml:space="preserve">13.105.12 Energy options. </t>
    </r>
    <r>
      <rPr>
        <sz val="10"/>
        <rFont val="Calibri"/>
        <family val="2"/>
        <scheme val="minor"/>
      </rPr>
      <t>Non-residential portions of the building shall comply with one of the three options below:</t>
    </r>
  </si>
  <si>
    <t>13.105.12.1</t>
  </si>
  <si>
    <r>
      <t xml:space="preserve">13.105.12.1. </t>
    </r>
    <r>
      <rPr>
        <sz val="10"/>
        <rFont val="Calibri"/>
        <family val="2"/>
        <scheme val="minor"/>
      </rPr>
      <t>Energy requirements shall be met if modeling in accordance with C407 shows a 10% reduction in energy from the IECC.</t>
    </r>
  </si>
  <si>
    <t>13.105.12.2</t>
  </si>
  <si>
    <r>
      <t xml:space="preserve">13.105.12.2. </t>
    </r>
    <r>
      <rPr>
        <sz val="10"/>
        <rFont val="Calibri"/>
        <family val="2"/>
        <scheme val="minor"/>
      </rPr>
      <t>Energy requirements shall be met if modeling in accordance with ASHRAE 90.1 Appendix G shows a 10% reduction in energy cost from the prescribed levels.</t>
    </r>
  </si>
  <si>
    <t>13.105.12.3</t>
  </si>
  <si>
    <r>
      <t xml:space="preserve">13.105.12.3. </t>
    </r>
    <r>
      <rPr>
        <sz val="10"/>
        <rFont val="Calibri"/>
        <family val="2"/>
        <scheme val="minor"/>
      </rPr>
      <t>Energy requirements shall be met if at least two options in IECC Section C406 are met.</t>
    </r>
  </si>
  <si>
    <t>13.106</t>
  </si>
  <si>
    <t xml:space="preserve">13.106 Water efficiency and conservation. </t>
  </si>
  <si>
    <t>13.106.1</t>
  </si>
  <si>
    <r>
      <t xml:space="preserve">13.106.1 Fitting and fixture consumption. </t>
    </r>
    <r>
      <rPr>
        <sz val="10"/>
        <rFont val="Calibri"/>
        <family val="2"/>
        <scheme val="minor"/>
      </rPr>
      <t xml:space="preserve">Plumbing fixtures and fixture fittings shall comply with the maximum flow rates specified in Table 106.1. Plumbing fixtures and fixture fittings in Table 106.1 shall have a manufacturer’s designation for flow rate.
</t>
    </r>
    <r>
      <rPr>
        <b/>
        <sz val="10"/>
        <rFont val="Calibri"/>
        <family val="2"/>
        <scheme val="minor"/>
      </rPr>
      <t>Exceptions:</t>
    </r>
    <r>
      <rPr>
        <sz val="10"/>
        <rFont val="Calibri"/>
        <family val="2"/>
        <scheme val="minor"/>
      </rPr>
      <t xml:space="preserve"> The following fixtures and devices shall not be required to comply with the reduced flow rates in Table 106.1.</t>
    </r>
  </si>
  <si>
    <t>Clinical sinks having a maximum water consumption of 4.5 gallons (17 L) per flush.</t>
  </si>
  <si>
    <t>Service sinks faucets, tub fillers, pot fillers, laboratory faucets, utility faucets, and other fittings designed primarily for filling operations.</t>
  </si>
  <si>
    <t>Fixtures, fittings, and devices whose primary purpose is safety.</t>
  </si>
  <si>
    <t>13.106.2</t>
  </si>
  <si>
    <r>
      <t xml:space="preserve">13.106.2 Once-through cooling for appliances and equipment. </t>
    </r>
    <r>
      <rPr>
        <sz val="10"/>
        <rFont val="Calibri"/>
        <family val="2"/>
        <scheme val="minor"/>
      </rPr>
      <t>Once-through or single-pass cooling with potable or municipal reclaimed water is prohibited.</t>
    </r>
  </si>
  <si>
    <t>13.106.3</t>
  </si>
  <si>
    <r>
      <t xml:space="preserve">13.106.3 Clothes washers. </t>
    </r>
    <r>
      <rPr>
        <sz val="10"/>
        <rFont val="Calibri"/>
        <family val="2"/>
        <scheme val="minor"/>
      </rPr>
      <t>Clothes washers rated with an IWF (integrated water factor), MEF (modified energy factor), or IMEF (integrated modified energy factor), shall be rated as follows:</t>
    </r>
  </si>
  <si>
    <t>Residential Clothes Washers, Front-loading, &gt; 2.5 cu-ft
maximum IWF 3.2 minimum IMEF 2.76</t>
  </si>
  <si>
    <t>Residential Clothes Washers, T op-loading, &gt; 2.5 cu-ft
maximum 4.3 IWF, minimum IMEF 2.06</t>
  </si>
  <si>
    <t>Residential Clothes Washers (≤ 2.5 cu-ft)
maximum 4.2 IWF, minimum IMEF 2.07</t>
  </si>
  <si>
    <t>Commercial Clothes Washers
maximum 4.0 IWF, minimum MEF 2.20</t>
  </si>
  <si>
    <t>13.106.4</t>
  </si>
  <si>
    <t xml:space="preserve">13.106.4 Food Service. </t>
  </si>
  <si>
    <t>13.106.4.1</t>
  </si>
  <si>
    <r>
      <t xml:space="preserve">13.106.4.1 Dipper wells. </t>
    </r>
    <r>
      <rPr>
        <sz val="10"/>
        <rFont val="Calibri"/>
        <family val="2"/>
        <scheme val="minor"/>
      </rPr>
      <t>The water supply to a dipper well shall have a shutoff valve and flow control valve. The maximum flow shall not exceed 1 gpm (3.78 lpm) at a supply pressure of 60 psi (413.7 kPa). The dipper well shall have a manufacturer’s designation of flow rate.</t>
    </r>
  </si>
  <si>
    <t>13.106.4.2</t>
  </si>
  <si>
    <r>
      <t xml:space="preserve">13.106.4.2 Food waste disposal. </t>
    </r>
    <r>
      <rPr>
        <sz val="10"/>
        <rFont val="Calibri"/>
        <family val="2"/>
        <scheme val="minor"/>
      </rPr>
      <t>The disposal of food wastes that are collected as part of preparing ware for one or more of the following shall accomplish washing:</t>
    </r>
  </si>
  <si>
    <t>A food strainer (scrapper) basket that is emptied into a trash can.</t>
  </si>
  <si>
    <t>A garbage grinder where the water flow into the food waste disposer is controlled by a load sensing device such that the water flow does not exceed 1 gpm under no-load operating conditions and 8 gpm under full-load operating conditions.</t>
  </si>
  <si>
    <t>A pulper or mechanical strainer that uses not more than 2 gpm of potable water.</t>
  </si>
  <si>
    <t>13.106.4.3</t>
  </si>
  <si>
    <r>
      <t xml:space="preserve">13.106.4.3 Pre-rinse spray heads. </t>
    </r>
    <r>
      <rPr>
        <sz val="10"/>
        <rFont val="Calibri"/>
        <family val="2"/>
        <scheme val="minor"/>
      </rPr>
      <t xml:space="preserve">Food service pre-rinse spray heads shall have a manufacturers designation of flow rate, shall comply with the maximum flow rate in Table 1305.1, and shall shut off </t>
    </r>
    <r>
      <rPr>
        <i/>
        <sz val="10"/>
        <rFont val="Calibri"/>
        <family val="2"/>
        <scheme val="minor"/>
      </rPr>
      <t>automatically</t>
    </r>
    <r>
      <rPr>
        <sz val="10"/>
        <rFont val="Calibri"/>
        <family val="2"/>
        <scheme val="minor"/>
      </rPr>
      <t xml:space="preserve"> when released.</t>
    </r>
  </si>
  <si>
    <t>13.106.4.4</t>
  </si>
  <si>
    <r>
      <t xml:space="preserve">13.106.4.4 Hand washing faucets. </t>
    </r>
    <r>
      <rPr>
        <sz val="10"/>
        <rFont val="Calibri"/>
        <family val="2"/>
        <scheme val="minor"/>
      </rPr>
      <t>Faucets for hand washing sinks in food service preparation and serving areas shall be of the self-closing type.</t>
    </r>
  </si>
  <si>
    <t>13.106.5</t>
  </si>
  <si>
    <r>
      <t xml:space="preserve">13.106.5. Water softeners. </t>
    </r>
    <r>
      <rPr>
        <sz val="10"/>
        <rFont val="Calibri"/>
        <family val="2"/>
        <scheme val="minor"/>
      </rPr>
      <t>Water softeners shall comply with Sections 13.106.5.1 through 13.106.5.3.</t>
    </r>
  </si>
  <si>
    <t>13.106.5.1</t>
  </si>
  <si>
    <r>
      <t xml:space="preserve">13.106.5.1 Demand initiated regeneration. </t>
    </r>
    <r>
      <rPr>
        <sz val="10"/>
        <rFont val="Calibri"/>
        <family val="2"/>
        <scheme val="minor"/>
      </rPr>
      <t>Water softeners shall be equipped with demand- initiated regeneration control systems. Such control systems shall automatically initiate the regeneration cycle after determining the depletion, or impending depletion of softening capacity.</t>
    </r>
  </si>
  <si>
    <t>13.106.5.2</t>
  </si>
  <si>
    <r>
      <t xml:space="preserve">13.106.5.2 Water consumption. </t>
    </r>
    <r>
      <rPr>
        <sz val="10"/>
        <rFont val="Calibri"/>
        <family val="2"/>
        <scheme val="minor"/>
      </rPr>
      <t>Water softeners shall have a maximum water consumption during regeneration of 5 gal (18.9 L) per 1000 grains of hardness removed as measured in accordance with NSF 44.</t>
    </r>
  </si>
  <si>
    <t>13.106.5.3</t>
  </si>
  <si>
    <r>
      <t xml:space="preserve">13.106.5.3 Waste connections. </t>
    </r>
    <r>
      <rPr>
        <sz val="10"/>
        <rFont val="Calibri"/>
        <family val="2"/>
        <scheme val="minor"/>
      </rPr>
      <t xml:space="preserve">Waste water from water softener regeneration shall not discharge to reclaimed, gray water or rainwater water collection systems and shall discharge in accordance with the </t>
    </r>
    <r>
      <rPr>
        <i/>
        <sz val="10"/>
        <rFont val="Calibri"/>
        <family val="2"/>
        <scheme val="minor"/>
      </rPr>
      <t>International Plumbing Code</t>
    </r>
    <r>
      <rPr>
        <sz val="10"/>
        <rFont val="Calibri"/>
        <family val="2"/>
        <scheme val="minor"/>
      </rPr>
      <t>.</t>
    </r>
  </si>
  <si>
    <t>13.106.6</t>
  </si>
  <si>
    <r>
      <t xml:space="preserve">13.106.6 Heat exchangers. </t>
    </r>
    <r>
      <rPr>
        <sz val="10"/>
        <rFont val="Calibri"/>
        <family val="2"/>
        <scheme val="minor"/>
      </rPr>
      <t>Once-through or single-pass cooling with potable or municipal reclaimed water is prohibited. Heat exchangers shall be connected to a recirculating water system such as a chilled water loop, cooling tower loop, or similar recirculating system.</t>
    </r>
  </si>
  <si>
    <t>13.107</t>
  </si>
  <si>
    <t xml:space="preserve">13.107 Indoor Air Quality. </t>
  </si>
  <si>
    <t>13.107.1</t>
  </si>
  <si>
    <r>
      <t xml:space="preserve">13.107.1 Carpets. </t>
    </r>
    <r>
      <rPr>
        <sz val="10"/>
        <rFont val="Calibri"/>
        <family val="2"/>
        <scheme val="minor"/>
      </rPr>
      <t>Carpeting is not installed adjacent to water closets and bathing and or shower fixtures.</t>
    </r>
  </si>
  <si>
    <t>13.107.1.1</t>
  </si>
  <si>
    <r>
      <t xml:space="preserve">13.107.1.1 Entry. </t>
    </r>
    <r>
      <rPr>
        <sz val="10"/>
        <rFont val="Calibri"/>
        <family val="2"/>
        <scheme val="minor"/>
      </rPr>
      <t>The primary entryway from the outdoors shall include one of the following:</t>
    </r>
  </si>
  <si>
    <t>Permanent walk-off mat that allows access for cleaning (e.g., grating with catch basin); or</t>
  </si>
  <si>
    <t>Roll-out mat that will be maintained on a weekly basis by a contracted service.</t>
  </si>
  <si>
    <t>13.107.2</t>
  </si>
  <si>
    <r>
      <t xml:space="preserve">13.107.2 Prohibited materials. </t>
    </r>
    <r>
      <rPr>
        <sz val="10"/>
        <rFont val="Calibri"/>
        <family val="2"/>
        <scheme val="minor"/>
      </rPr>
      <t>The use of the following materials shall be prohibited:</t>
    </r>
  </si>
  <si>
    <t>Asbestos-containing materials</t>
  </si>
  <si>
    <t>Urea-formaldehyde foam insulation</t>
  </si>
  <si>
    <t>13.107.3</t>
  </si>
  <si>
    <r>
      <t xml:space="preserve">13.107.3 Product emissions. </t>
    </r>
    <r>
      <rPr>
        <sz val="10"/>
        <rFont val="Calibri"/>
        <family val="2"/>
        <scheme val="minor"/>
      </rPr>
      <t>At least five types of the following product categories must meet their respective section of the Standard referenced below:</t>
    </r>
  </si>
  <si>
    <t>13.107.4</t>
  </si>
  <si>
    <r>
      <t xml:space="preserve">13.107.4 Fireplaces and appliances. </t>
    </r>
    <r>
      <rPr>
        <sz val="10"/>
        <rFont val="Calibri"/>
        <family val="2"/>
        <scheme val="minor"/>
      </rPr>
      <t>Where located within buildings, fireplaces, solid fuel-burning appliances, vented decorative gas appliances, vented gas fireplace heaters and decorative gas appliances for installation in fireplaces shall comply with Sections 107.4.1 through 107.4.5.</t>
    </r>
  </si>
  <si>
    <t>13.107.4.1</t>
  </si>
  <si>
    <r>
      <t xml:space="preserve">13.107.4.1 Venting and combustion air. </t>
    </r>
    <r>
      <rPr>
        <sz val="10"/>
        <rFont val="Calibri"/>
        <family val="2"/>
        <scheme val="minor"/>
      </rPr>
      <t>Fireplaces and fuel-burning appliances shall be vented to the outdoors and shall be provided with combustion air provided from the outdoors in accordance with the International Mechanical Code and the International Fuel Gas Code. Solid-fuel-burning fireplaces shall be provided with a means to tightly close off the chimney flue and combustion air openings when the fireplace is not in use.</t>
    </r>
  </si>
  <si>
    <t>13.107.4.2</t>
  </si>
  <si>
    <r>
      <t xml:space="preserve">13.107.4.2 Wood-fired appliances. </t>
    </r>
    <r>
      <rPr>
        <sz val="10"/>
        <rFont val="Calibri"/>
        <family val="2"/>
        <scheme val="minor"/>
      </rPr>
      <t>Wood stoves and wood-burning fireplace inserts shall be listed and, additionally, shall be labeled in accordance with the applicable requirement.</t>
    </r>
  </si>
  <si>
    <t>Factory-built, wood-burning fireplaces are in accordance with the certification requirements of UL 127.</t>
  </si>
  <si>
    <t>Wood stove and fireplace inserts, as defined in UL 1482 Section 3.8, are in accordance with the certification requirements of UL 1482.</t>
  </si>
  <si>
    <t>13.107.4.3</t>
  </si>
  <si>
    <r>
      <t xml:space="preserve">13.107.4.3 Biomass appliances. </t>
    </r>
    <r>
      <rPr>
        <sz val="10"/>
        <rFont val="Calibri"/>
        <family val="2"/>
        <scheme val="minor"/>
      </rPr>
      <t>Biomass fireplaces, stoves and inserts shall be listed and labeled in accordance with ASTM E 1509 or UL 1482. Biomass furnaces shall be listed and labeled in accordance with CSA B366.1 or UL 391. Biomass boilers shall be listed and labeled in accordance with CSA B366.1 or UL 2523.</t>
    </r>
  </si>
  <si>
    <t>13.107.4.4</t>
  </si>
  <si>
    <r>
      <t xml:space="preserve">13.107.4.4 Gas-fireplaces. </t>
    </r>
    <r>
      <rPr>
        <sz val="10"/>
        <rFont val="Calibri"/>
        <family val="2"/>
        <scheme val="minor"/>
      </rPr>
      <t>Gas-fired fireplaces and direct heating equipment is listed and is installed in accordance with the NFPA 54, ICC IFGC, or the applicable local gas appliance installation code. Gas-fired fireplaces within dwelling units and direct heating equipment are vented to the outdoors.</t>
    </r>
  </si>
  <si>
    <t>13.107.4.5</t>
  </si>
  <si>
    <r>
      <t xml:space="preserve">13.107.4.5 Unvented. </t>
    </r>
    <r>
      <rPr>
        <sz val="10"/>
        <rFont val="Calibri"/>
        <family val="2"/>
        <scheme val="minor"/>
      </rPr>
      <t>Unvented room heaters and unvented decorative appliances, including alcohol burning, shall be prohibited.</t>
    </r>
  </si>
  <si>
    <t>13.107.5</t>
  </si>
  <si>
    <r>
      <t xml:space="preserve">13.107.5 Protection of HVAC system openings. </t>
    </r>
    <r>
      <rPr>
        <sz val="10"/>
        <rFont val="Calibri"/>
        <family val="2"/>
        <scheme val="minor"/>
      </rPr>
      <t>HVAC supply and return duct and equipment openings shall be protected during dust-producing operations of construction.</t>
    </r>
  </si>
  <si>
    <t>13.107.6</t>
  </si>
  <si>
    <r>
      <t xml:space="preserve">13.107.6 Garages. </t>
    </r>
    <r>
      <rPr>
        <sz val="10"/>
        <rFont val="Calibri"/>
        <family val="2"/>
        <scheme val="minor"/>
      </rPr>
      <t>Attached garages are in accordance with the following:</t>
    </r>
  </si>
  <si>
    <t>A continuous air barrier is provided separating the garage space from the conditioned spaces.</t>
  </si>
  <si>
    <t>13.107.7</t>
  </si>
  <si>
    <r>
      <t xml:space="preserve">13.107.7 Spot Ventilation. </t>
    </r>
    <r>
      <rPr>
        <sz val="10"/>
        <rFont val="Calibri"/>
        <family val="2"/>
        <scheme val="minor"/>
      </rPr>
      <t>Exhaust systems shall be provided in accordance with Chapter 5 of the ICC IMC or ASHRAE 62.1.</t>
    </r>
  </si>
  <si>
    <t>13.107.8</t>
  </si>
  <si>
    <t xml:space="preserve">13.107.8 Building Ventilation Systems. </t>
  </si>
  <si>
    <t>13.107.8.1</t>
  </si>
  <si>
    <r>
      <t xml:space="preserve">13.107.8.1 Building Ventilation. </t>
    </r>
    <r>
      <rPr>
        <sz val="10"/>
        <rFont val="Calibri"/>
        <family val="2"/>
        <scheme val="minor"/>
      </rPr>
      <t>Ventilation shall be provided to non-residential spaces in accordance with Chapter 4 of the ICC IMC or ASHRAE 62.1.</t>
    </r>
  </si>
  <si>
    <t>13.107.8.2</t>
  </si>
  <si>
    <r>
      <t xml:space="preserve">13.107.8.2 Air filters. </t>
    </r>
    <r>
      <rPr>
        <sz val="10"/>
        <rFont val="Calibri"/>
        <family val="2"/>
        <scheme val="minor"/>
      </rPr>
      <t>Air filters with a minimum MERV rating of 6 are installed on central forced air systems and are accessible.</t>
    </r>
  </si>
  <si>
    <t>13.107.9</t>
  </si>
  <si>
    <r>
      <t xml:space="preserve">13.107.9 Radon system. </t>
    </r>
    <r>
      <rPr>
        <sz val="10"/>
        <rFont val="Calibri"/>
        <family val="2"/>
        <scheme val="minor"/>
      </rPr>
      <t>Commercial spaces in building located in Zone 1 shall comply with section 902.3.</t>
    </r>
  </si>
  <si>
    <t>13.108</t>
  </si>
  <si>
    <t xml:space="preserve">13.108 Operation, Maintenance, and Building Owner Education. </t>
  </si>
  <si>
    <t>13.108.1</t>
  </si>
  <si>
    <r>
      <t xml:space="preserve">13.108.1 OPERATION AND MAINTENANCE MANUALS FOR TENANTS. </t>
    </r>
    <r>
      <rPr>
        <sz val="10"/>
        <rFont val="Calibri"/>
        <family val="2"/>
        <scheme val="minor"/>
      </rPr>
      <t>Manuals are provided to the initial tenants of the non-residential space regarding the operation, and maintenance of the building. Paper or digital format manuals are to include information regarding those aspects of the building’s maintenance, and operation that are within the area of responsibilities of the respective tenant. One or more responsible parties are to receive a copy of all documentation for archival purposes.</t>
    </r>
  </si>
  <si>
    <t>A narrative detailing the importance of operating in a green building. This narrative is included in all responsible parties’ manuals.</t>
  </si>
  <si>
    <t>A list of practices to conserve water and energy which require maintenance.</t>
  </si>
  <si>
    <t>Information on opportunities to purchase renewable energy from local utilities or national green power providers.</t>
  </si>
  <si>
    <t>Information on local and on-site recycling and hazardous waste disposal programs.</t>
  </si>
  <si>
    <t>Local public transportation options for employees.</t>
  </si>
  <si>
    <t>13.108.2</t>
  </si>
  <si>
    <t>Provisions of this Chapter verified at the time of building Certification for the respective space that shall be maintained as part of the Tenant Finish Out</t>
  </si>
  <si>
    <t>Provisions of this Chapter NOT verified at the time of building Certification for the respective space that shall be included in the Tenant Finish Out Construction Documents.</t>
  </si>
  <si>
    <t>A list of minimum green building material specifications that are to be included in the Tenant Finish Out Construction Documents based on the materials that were installed in the residential portion of the building.</t>
  </si>
  <si>
    <t>Ch. 13</t>
  </si>
  <si>
    <t>Full</t>
  </si>
  <si>
    <t>Core &amp; Shell</t>
  </si>
  <si>
    <r>
      <t xml:space="preserve">13.108.2 TENANT FINISH-OUT MANUAL. </t>
    </r>
    <r>
      <rPr>
        <sz val="10"/>
        <rFont val="Calibri"/>
        <family val="2"/>
        <scheme val="minor"/>
      </rPr>
      <t>Manuals are provided to the tenants of the non-residential space prior to the start of construction regarding the design and construction of the non-residential portion of the building. Paper or digital format manuals are to include information regarding those aspects of the design and construction that are within the area of responsibilities of the respective tenant. One or more responsible parties are to receive a copy of all documentation for archival purposes.</t>
    </r>
  </si>
  <si>
    <r>
      <t xml:space="preserve">611.1.1 Industry-wide declaration. </t>
    </r>
    <r>
      <rPr>
        <sz val="10"/>
        <color theme="1"/>
        <rFont val="Calibri"/>
        <family val="2"/>
      </rPr>
      <t xml:space="preserve">A Type III industry-wide environmental product declaration (EPD) is submitted for each product. Where the program operator explicitly recognizes the EPD as representative of the product group on a National level, it is considered industry-wide. In the case where an industry-wide EPD represents only a subset of an industry group, as opposed to being industry-wide, the manufacturer is required be explicitly recognized as a participant by the EPD program operator. All EPDs are required to be consistent with ISO Standards 14025 and 21930 with at least a cradle-to-gate scope. </t>
    </r>
    <r>
      <rPr>
        <b/>
        <sz val="10"/>
        <color theme="1"/>
        <rFont val="Calibri"/>
        <family val="2"/>
      </rPr>
      <t>(Each product complying with Section 611.1.1 shall be counted as one product for compliance with Section 611.1.)</t>
    </r>
  </si>
  <si>
    <r>
      <t xml:space="preserve">611.1.2 Product Specific Declaration. </t>
    </r>
    <r>
      <rPr>
        <sz val="10"/>
        <color theme="1"/>
        <rFont val="Calibri"/>
        <family val="2"/>
      </rPr>
      <t xml:space="preserve">A product specific Type III EPD are submitted for each product. The product specific declaration shall be manufacturer specific for an individual product or product family. All Type III EPDs are required to be certified as complying, at a minimum, with the goal and scope for the cradle-to-gate requirements in accordance with ISO Standards 14025 and 21930.  </t>
    </r>
    <r>
      <rPr>
        <b/>
        <sz val="10"/>
        <color theme="1"/>
        <rFont val="Calibri"/>
        <family val="2"/>
      </rPr>
      <t>(Each product complying with Section 611.1.2 shall be counted as two products for compliance with Section 611.1.)</t>
    </r>
  </si>
  <si>
    <r>
      <t>902.3.1 Radon reduction option.</t>
    </r>
    <r>
      <rPr>
        <sz val="10"/>
        <rFont val="Calibri"/>
        <family val="2"/>
        <scheme val="minor"/>
      </rPr>
      <t xml:space="preserve"> This option requires section 902.3.1.1 through 902.3.1.7.</t>
    </r>
  </si>
  <si>
    <t>5.0.0</t>
  </si>
  <si>
    <t>2006 IRC</t>
  </si>
  <si>
    <r>
      <t>801.1 Mandatory requirements.</t>
    </r>
    <r>
      <rPr>
        <sz val="10"/>
        <color theme="1"/>
        <rFont val="Calibri"/>
        <family val="2"/>
        <scheme val="minor"/>
      </rPr>
      <t xml:space="preserve"> The building shall comply with Section 802 (Prescriptive Path) and 803 (Innovative Practices) or Section 804 (Performance Path). Points from Section 804 (Performance Path) shall not be combined with points from Section 802 (Prescriptive Path) or Section 803 (Innovative Practices). The mandatory provisions of Section 802 (Prescriptive Path) are required when using the Water Rating Index of Section 804 (Performance Path) for Chapter 8 Water Efficiency compliance.</t>
    </r>
  </si>
  <si>
    <t>If Core &amp; Shell is selected, the project will undergo a Rough inspection. If Full Fit-Out is selected, the project will undergo both Rough and Final inspections. This page can be used for both parts of the Verification phase.</t>
  </si>
  <si>
    <t>COMMERCIAL SPACE:</t>
  </si>
  <si>
    <r>
      <t xml:space="preserve">If the project is pursuing Commercial Space certification, either Core &amp; Shell or Full Fit-Out, complete verification using the </t>
    </r>
    <r>
      <rPr>
        <b/>
        <sz val="11"/>
        <color theme="1"/>
        <rFont val="Calibri"/>
        <family val="2"/>
        <scheme val="minor"/>
      </rPr>
      <t>Ver. Rpt. (Commercial)</t>
    </r>
    <r>
      <rPr>
        <sz val="11"/>
        <color theme="1"/>
        <rFont val="Calibri"/>
        <family val="2"/>
        <scheme val="minor"/>
      </rPr>
      <t xml:space="preserve"> page. At the top of the page, select the pathway pursued.</t>
    </r>
  </si>
  <si>
    <t>other points:</t>
  </si>
  <si>
    <t>reduced:</t>
  </si>
  <si>
    <t>temp points:</t>
  </si>
  <si>
    <t>Points Reduced</t>
  </si>
  <si>
    <r>
      <t>705.6.2.1 Air leakage validation of building or dwelling units or sleeping units.</t>
    </r>
    <r>
      <rPr>
        <sz val="10"/>
        <color theme="1"/>
        <rFont val="Calibri"/>
        <family val="2"/>
        <scheme val="minor"/>
      </rPr>
      <t xml:space="preserve"> A visual inspection is performed as described in 701.4.3.2(2) and air leakage testing is performed in accordance with ASTM E779 or ASTM E1827.</t>
    </r>
  </si>
  <si>
    <t>Table 703.2.5.2(a),
703.2.5.2(b), 
703.2.5.2(c)</t>
  </si>
  <si>
    <t>Date(s) of Visit</t>
  </si>
  <si>
    <t>Number of Units Available for Inspection</t>
  </si>
  <si>
    <t>Number of Units Inspected (Identify Initial Set and Sampled)</t>
  </si>
  <si>
    <r>
      <rPr>
        <b/>
        <sz val="11"/>
        <color theme="1"/>
        <rFont val="Calibri"/>
        <family val="2"/>
        <scheme val="minor"/>
      </rPr>
      <t>Sampled Units</t>
    </r>
    <r>
      <rPr>
        <sz val="11"/>
        <color theme="1"/>
        <rFont val="Calibri"/>
        <family val="2"/>
        <scheme val="minor"/>
      </rPr>
      <t xml:space="preserve"> – If sampling was performed, either complete table below </t>
    </r>
    <r>
      <rPr>
        <u/>
        <sz val="11"/>
        <color theme="1"/>
        <rFont val="Calibri"/>
        <family val="2"/>
        <scheme val="minor"/>
      </rPr>
      <t>or</t>
    </r>
    <r>
      <rPr>
        <sz val="11"/>
        <color theme="1"/>
        <rFont val="Calibri"/>
        <family val="2"/>
        <scheme val="minor"/>
      </rPr>
      <t xml:space="preserve"> submit separate file (Excel or Word) with notes about which units were available and sampled.</t>
    </r>
  </si>
  <si>
    <t>Electric</t>
  </si>
  <si>
    <t xml:space="preserve">    ductwork entirely inside the building's thermal envelope</t>
  </si>
  <si>
    <t>choice:</t>
  </si>
  <si>
    <t>Building includes commercial space pursuing Commercial Space certification?</t>
  </si>
  <si>
    <t>dstCommercial</t>
  </si>
  <si>
    <t>ddCommercial</t>
  </si>
  <si>
    <t>verCommercial</t>
  </si>
  <si>
    <t>2009 IBC</t>
  </si>
  <si>
    <t>2012 IBC</t>
  </si>
  <si>
    <t>2015 IBC</t>
  </si>
  <si>
    <t>2018 IBC</t>
  </si>
  <si>
    <t>ddBuildingCodeMF</t>
  </si>
  <si>
    <t>NOTE: For Core &amp; Shell projects, practice is required if ducts are installed.</t>
  </si>
  <si>
    <t>Section C402.4 of the IECC</t>
  </si>
  <si>
    <t>NOTE: For Code &amp; Shell projects, practice is recommended but not required.</t>
  </si>
  <si>
    <r>
      <t xml:space="preserve">505.5 Multifamily &amp; mixed-use community garden(s). </t>
    </r>
    <r>
      <rPr>
        <sz val="10"/>
        <color theme="1"/>
        <rFont val="Calibri"/>
        <family val="2"/>
        <scheme val="minor"/>
      </rPr>
      <t>A portion of the lot is established as a community garden(s), available to residents of the lot, to provide for local food production to residents or area consumers.</t>
    </r>
  </si>
  <si>
    <r>
      <t xml:space="preserve">602.1.1.1 </t>
    </r>
    <r>
      <rPr>
        <sz val="10"/>
        <color theme="1"/>
        <rFont val="Calibri"/>
        <family val="2"/>
        <scheme val="minor"/>
      </rPr>
      <t>A capillary break and vapor retarder are installed at concrete slabs in accordance with ICC IRC Sections R506.2.2 and R506.2.3 or ICC IBC Sections 1907 and 1805.4.1.</t>
    </r>
  </si>
  <si>
    <t>ERI Target</t>
  </si>
  <si>
    <r>
      <t>701.1 Mandatory requirements.</t>
    </r>
    <r>
      <rPr>
        <sz val="10"/>
        <color theme="1"/>
        <rFont val="Calibri"/>
        <family val="2"/>
        <scheme val="minor"/>
      </rPr>
      <t xml:space="preserve"> The building shall comply with Section 702 (Performance Path), Section 703 (Prescriptive Path), or Section 704 (ERI Target Path). Items listed as “mandatory” in Section 701.4 apply to all Paths. Unless otherwise noted, buildings in the Tropical Climate Zone shall comply with Climate Zone 1 requirements.</t>
    </r>
  </si>
  <si>
    <r>
      <t>701.2 Emerald level points.</t>
    </r>
    <r>
      <rPr>
        <sz val="10"/>
        <color theme="1"/>
        <rFont val="Calibri"/>
        <family val="2"/>
        <scheme val="minor"/>
      </rPr>
      <t xml:space="preserve"> The Performance Path (Section 702) or the ERI Target Path (Section 704) shall be used to achieve the emerald level.</t>
    </r>
  </si>
  <si>
    <r>
      <t>702.1</t>
    </r>
    <r>
      <rPr>
        <sz val="10"/>
        <color theme="1"/>
        <rFont val="Calibri"/>
        <family val="2"/>
        <scheme val="minor"/>
      </rPr>
      <t xml:space="preserve"> </t>
    </r>
    <r>
      <rPr>
        <b/>
        <sz val="10"/>
        <color theme="1"/>
        <rFont val="Calibri"/>
        <family val="2"/>
        <scheme val="minor"/>
      </rPr>
      <t xml:space="preserve">Point allocation. </t>
    </r>
    <r>
      <rPr>
        <sz val="10"/>
        <color theme="1"/>
        <rFont val="Calibri"/>
        <family val="2"/>
        <scheme val="minor"/>
      </rPr>
      <t>Points from Section 702 (Performance Path) shall not be combined with points from Section 703 (Prescriptive Path) or Section 704 (ERI Target Path).</t>
    </r>
  </si>
  <si>
    <t>704 ERI TARGET PATH</t>
  </si>
  <si>
    <t xml:space="preserve">NOTE: In the assigned Notes area, list products that comply with manufacturers and ISO registrars. </t>
  </si>
  <si>
    <t>_1</t>
  </si>
  <si>
    <t>_2</t>
  </si>
  <si>
    <t>leakage</t>
  </si>
  <si>
    <t>• A batch can either consist of single-family homes or multifamily buildings; however, only NGBS Green Master Verifiers can batch multifamily.</t>
  </si>
  <si>
    <t>• All buildings must have substantially the same construction type and the same heating and cooling systems.</t>
  </si>
  <si>
    <t>• All inspections of the same type (rough or final) must be completed before submitting the report. All buildings must be inspected, and the inspection dates need to be included for each address.</t>
  </si>
  <si>
    <t>• All buildings within a batch listed earn the same certification level. Mandatory practices and points are only awarded for items that all buildings meet. Where applicable, the energy efficiency report for the worst-case in the batch must be submitted and values entered within the verification report.</t>
  </si>
  <si>
    <t>Air leakage from 701.4.3.2 or 705.6.2.1:</t>
  </si>
  <si>
    <t>Electric Heat Pump Heating for Multifamily Buildings Four or More Stories in Height</t>
  </si>
  <si>
    <t>Sampling rate is potentially below threshold required within Home Innovation’s Sampling Protocol. NGBS Green Master Verifiers and Experienced Multifamily Verifiers (1,000+ verified units) are eligible to verify at a lower rate. See VRG for more details.</t>
  </si>
  <si>
    <t>Sampling rate is below threshold required within Home Innovation’s Sampling Protocol. See VRG for more details.</t>
  </si>
  <si>
    <t>611 PRODUCT DECLARATIONS</t>
  </si>
  <si>
    <t>ICC IRC F plus fan</t>
  </si>
  <si>
    <t>Final WRI Score</t>
  </si>
  <si>
    <t>water path:</t>
  </si>
  <si>
    <t>[Points shall not be awarded in this section for solar thermal or geothermal systems that provide space heating, space cooling, or water heating, Points for these systems are awarded in Section 703.]</t>
  </si>
  <si>
    <t>[Where onsite renewable energy is included in Section 702 Performance Path or 704 ERI Target Path, Section 706.5 shall not be awarded.]</t>
  </si>
  <si>
    <t>© Home Innovation Research Labs, Inc., 2020. All rights reserved.</t>
  </si>
  <si>
    <t>NOTE: List which options from C406 that were met in the assigned Notes field.</t>
  </si>
  <si>
    <t>For a component to comply with this practice, a minimum of 75 percent of all products in that component category must be sourced regionally, e.g., stone veneer category – 75 percent or more of the stone veneer on a project must be sourced regionally.</t>
  </si>
  <si>
    <t>Major component</t>
  </si>
  <si>
    <t>Minor component</t>
  </si>
  <si>
    <t>2 per each component</t>
  </si>
  <si>
    <t>1 per each component</t>
  </si>
  <si>
    <t>Points awarded shall not be combined with points for renewable energy in another section of this chapter. Points shall not be awarded for solar thermal or geothermal systems that provide space heating, space cooling, or water heating, points for these systems are awarded in § 703. Where onsite renewable energy is included in § 702 Performance Path or 704 ERI Target Path, § 706.5 shall not be awarded. The solar-ready zone roof area in #1 is area per dwelling unit. Points in item #2 and #3 shall be divided by the number of dwelling units.</t>
  </si>
  <si>
    <t>128 ounces (1 gallons) [per 802.1(1)]</t>
  </si>
  <si>
    <t>64 ounces (0.5 gallon) [per 802.1(2)]</t>
  </si>
  <si>
    <t>32 ounces (0.25 gallon) [per 802.1(3)]</t>
  </si>
  <si>
    <t>24 ounces  (0.19 gallons [per 802.1(4)]</t>
  </si>
  <si>
    <t>a. Maximum pipe length figures apply when the entire pipe run is one nominal diameter only. Where multiple pipe diameters are used, the combined volume shall not exceed the volume limitation in Section 802.1.</t>
  </si>
  <si>
    <t>1 SF / 4 MF</t>
  </si>
  <si>
    <r>
      <t>905.4 Sound barrier.</t>
    </r>
    <r>
      <rPr>
        <sz val="10"/>
        <rFont val="Calibri"/>
        <family val="2"/>
        <scheme val="minor"/>
      </rPr>
      <t xml:space="preserve"> Provide room-to-room privacy between bedrooms and adjacent living spaces within dwelling units or homes by achieving an articulation index (AI) between 0 and 0.15 per the criteria below. </t>
    </r>
    <r>
      <rPr>
        <b/>
        <sz val="10"/>
        <rFont val="Calibri"/>
        <family val="2"/>
        <scheme val="minor"/>
      </rPr>
      <t xml:space="preserve">
</t>
    </r>
    <r>
      <rPr>
        <i/>
        <sz val="10"/>
        <rFont val="Calibri"/>
        <family val="2"/>
        <scheme val="minor"/>
      </rPr>
      <t>Articulation Index 0 to 0.05 = STC greater than 55 (NIC greater than 47)
Articulation Index 0.05 to 0.15 = STC 52 to 55 (NIC 44 to 47)</t>
    </r>
  </si>
  <si>
    <r>
      <t>701.1.4 Alternative bronze and silver level compliance</t>
    </r>
    <r>
      <rPr>
        <sz val="10"/>
        <color theme="1"/>
        <rFont val="Calibri"/>
        <family val="2"/>
        <scheme val="minor"/>
      </rPr>
      <t>. As an alternative, any building that qualifies as an ENERGY STAR Version 3.0 Certified Home or ENERGY STAR Multifamily High Rise Version 1.0 Rev. 03 building or demonstrates compliance with the 2018 IECC or Chapter 11 of the 2018 IRC achieves the bronze level for Chapter 7. As an alternative, any building that qualifies as an ENERGY STAR Version 3.1 Certified Home or ENERGY STAR Multifamily High Rise Version 1.0 Rev. 03 (with the baseline at ASHRAE 90.1-2010) building achieves the silver level for Chapter 7. As an alternative in the Tropical Climate Zone, any building that meets all of the requirements in IECC Section R401.2.1 (Tropical Zone) achieves the silver level for Chapter 7. The buildings achieving compliance under Section 701.1.4 are not eligible for achieving a rating level above silver.</t>
    </r>
  </si>
  <si>
    <t>_m</t>
  </si>
  <si>
    <t>NOTE: Identify the LCA tool utilized and the person who completed the analysis.</t>
  </si>
  <si>
    <t>Note: Explain N/A</t>
  </si>
  <si>
    <t>901 POLLUTANT SOURCE CONTROL</t>
  </si>
  <si>
    <t>Testing is performed with a commercially available test kit or with a continuous radon monitor that can be calibrated. Testing shall be in accordance with the testing device manufacturer’s instructions.</t>
  </si>
  <si>
    <t>A water closet is installed with an effective flush volume of 1.28 gallons (4.85 L) or less in accordance with ASME A112.19.2/CSA B45.1 or ASME A112.19.14 as applicable. Tank-type water closets shall be in accordance with the performance criteria of the U.S. EPA WaterSense Specification for Tank-Type Toilets.</t>
  </si>
  <si>
    <t>This tool follows 3 distinct phases: the Design phase, Rough Verification, and Final Verification.
While the Design Phase is not required to earn certification, it is helpful in the overall process.
Two Verification phases ARE required, with one occurring following rough-in and the second occurring after construction is complete.</t>
  </si>
  <si>
    <r>
      <t xml:space="preserve">501.1 Lot. </t>
    </r>
    <r>
      <rPr>
        <sz val="10"/>
        <color theme="1"/>
        <rFont val="Calibri"/>
        <family val="2"/>
      </rPr>
      <t xml:space="preserve"> Lot is selected in accordance with § 501.1(1) or § 501.1(2).</t>
    </r>
  </si>
  <si>
    <t>A lot is selected within a site certified to this Standard or equivalent</t>
  </si>
  <si>
    <t>A lot is selected to minimize environmental impact by one or more of the following:</t>
  </si>
  <si>
    <t>613</t>
  </si>
  <si>
    <t>613 RESILIENT CONSTRUCTION</t>
  </si>
  <si>
    <t>Certificate of Certification for land development. Verify with Home Innovation that site attained NGBS Green certification or verify development is certified by an equivalent program.</t>
  </si>
  <si>
    <t>For (a) evidence that land adjacent to lot was previously developed for at least 5 years previously; for (b) evidence that lot itself was previously developed; and for (c) evidence that lot is a brownfield. Brownfields must be recognized by EPA to earn points.</t>
  </si>
  <si>
    <t>Map showing location of transportation relative to the building on the lot.</t>
  </si>
  <si>
    <t>Map showing distance is based driving from the lot and not from the community entrance.</t>
  </si>
  <si>
    <t>Review of site plan.  Infrastructure in the community should be considered applicable to this practice.</t>
  </si>
  <si>
    <t>Map or approved site plan showing location of committed community resources relative to lot.</t>
  </si>
  <si>
    <t>Documentation: Go to EPA Points for Smart Location Practices. Click OPEN IN MAP VIEWER box in upper right. Enter home address for property seeking certification search box in upper right. Make sure LEGEND button clicked on left side. Use Legend to determine points based on color of the address on map.</t>
  </si>
  <si>
    <t>Site plan showing location of designated bicycle parking and racks.</t>
  </si>
  <si>
    <t>Site plan showing location of car-share services and/or shuttle and possibly contracts or commitment from car sharing companies.</t>
  </si>
  <si>
    <t>Map that shows bike sharing docks are within ½ mile from site OR confirmation that dockless bikes are available to residents. If the latter, please confirm that the dockless bikes are not merely a pilot that might not be continued in the future. Access to scooters are an acceptable alternative to bike sharing.</t>
  </si>
  <si>
    <t>Written project mission statement, goals, and specific team member roles identified. Points can be awarded if the developer of the community establishes a team for this purpose with identified roles and written goals, objectives, and a mission statement, and the covenants for homes built in the community support the mission. 
Verify mission statement includes goals and team member roles. When applicable, it must be subdivision or lot specific. The mission statement may include other green objectives such as energy, but it must include lot design objectives. For lots without environmentally sensitive areas, if a project team is established with identified roles and a written goals, objective, and mission statement, and the building covenants in the community support the mission, points may be awarded.</t>
  </si>
  <si>
    <t>Natural resource inventory that includes lot specific information and is signed by qualified professional.</t>
  </si>
  <si>
    <t>Written conservation plan that includes the lot. There must be high priority resources on the lot or in the development. Examples of high priority resources include trees, waterways, snags, micro-habitats, etc.</t>
  </si>
  <si>
    <t>Statement from professional that s/he directed plan implementation to protect the high priority resources.</t>
  </si>
  <si>
    <t>Evidence of site supervisor training. Review builder’s standard written training program and/or training certificate.</t>
  </si>
  <si>
    <t>Review plan for compliance.</t>
  </si>
  <si>
    <t>Hydrological study report applicable to the lot and statement that the intent of the requirement is met.</t>
  </si>
  <si>
    <t>Report from qualified professional stating intent of the requirement has been met through the site plan.</t>
  </si>
  <si>
    <t>Construction schedule. Verify that schedule limited soil exposure to 14-day EPA guideline or less. Verify visually that the state of the lot is consistent with the schedule. Un-stabilized soil exposure should be limited to 14 days or less if that area will not be further disturbed during a 21-day period. The construction schedule must include specific activities at specific stages to address stabilization.</t>
  </si>
  <si>
    <t>Plans &amp; scopes of work showing alternative means used.</t>
  </si>
  <si>
    <t>Hydrologic study report verifying intent of the requirement has been met.</t>
  </si>
  <si>
    <t>Site assessment and plan that identifies important existing permeable soils, natural drainage ways and other water features. Photos or other document showing water &amp; natural drainage prior to development.</t>
  </si>
  <si>
    <t>Engineer's report showing storm event for which points are claimed will not result in rainwater leaving the lot</t>
  </si>
  <si>
    <t>Lot specific plan by qualified landscape professional for any of these sub practices.</t>
  </si>
  <si>
    <t>The tool, available both online and as a Microsoft Excel spreadsheet format on the WaterSense website (https://www.epa.gov/watersense/water-budget-tool), guides the user through the water budget calculation in three parts. The final part of the tool displays the water allowance and water requirement calculated for the designed landscape. The LWR must be less than the allotted amount for the landscape design to meet the criterion in the specification.</t>
  </si>
  <si>
    <t>Confirm that turf planted is compliant. List of TWCA grasses is available here (https://www.tgwca.org/list-of-qualified-products.html).</t>
  </si>
  <si>
    <t xml:space="preserve">Calculation showing % of lot (minus building footprint &amp; hardscape) that is turf. </t>
  </si>
  <si>
    <t>Landscape plan by qualified landscape professional showing plants and their respective watering needs.</t>
  </si>
  <si>
    <t>Landscape plan by qualified landscape professional. The wind breaks are intended to protect the lot.</t>
  </si>
  <si>
    <t>Pest management plan.</t>
  </si>
  <si>
    <t>Development-wide or lot-specific wildlife management plan by a qualified professional.</t>
  </si>
  <si>
    <t>Lot specific plan showing no sensitive areas.</t>
  </si>
  <si>
    <t>Lot specific plan showing original location of sensitive areas. Plan by qualified professional showing appropriate mitigation or restoration steps.</t>
  </si>
  <si>
    <t>Demolition waste management plan.</t>
  </si>
  <si>
    <t>Review list of practices implemented from 503.3.</t>
  </si>
  <si>
    <t>Review landscape plan to determine which trees and vegetation are designation for preservation.</t>
  </si>
  <si>
    <t>Landscape plan.</t>
  </si>
  <si>
    <t>Invoice or other evidence from qualified arborist.</t>
  </si>
  <si>
    <t>Storm water pollution prevention plan.</t>
  </si>
  <si>
    <t>As-built construction schedule.</t>
  </si>
  <si>
    <t>Invoice or evidence from landscape contractor.</t>
  </si>
  <si>
    <t>Plans and scope of work showing alternative means used.</t>
  </si>
  <si>
    <t>Inspection reports of stormwater best management practices.</t>
  </si>
  <si>
    <t>Document with local regulations.</t>
  </si>
  <si>
    <t>Calculation showing percent of hardscape on the lot included in heat island minimization. Manufacturer’s literature with SRI data.</t>
  </si>
  <si>
    <t>Manufacturer’s literature with SRI data.</t>
  </si>
  <si>
    <t xml:space="preserve">Site and/or landscape plan. For (b) verify operation months for any farmers market and/or farm stand. </t>
  </si>
  <si>
    <t>Plan specs. These points are only available for multifamily.</t>
  </si>
  <si>
    <t xml:space="preserve">Intersection Density = Total number of intersections, including dead ends / Area in square miles. </t>
  </si>
  <si>
    <t>Plan specs showing signage.</t>
  </si>
  <si>
    <t>Plans review.</t>
  </si>
  <si>
    <t>Engineer’s statement of design report showing performance-based design meeting the intent of the practice.</t>
  </si>
  <si>
    <t>Detailed framing or structural plans, material quantity lists and on-site cut lists for framing, structural materials, and sheathing materials are provided.</t>
  </si>
  <si>
    <t>List of materials and manufacture’s literature (unless pre-finished is obvious) that do not get site finished. Note if used at 90%, 50%, or 35% level.</t>
  </si>
  <si>
    <t>Plans/specifications AND scope of work(s) detailing how mandatory requirement has been met. Photo(s) showing installation. Report from certified professional when the building code exceptions are used.</t>
  </si>
  <si>
    <t>Plans showing exterior drain tile for foundation, if applicable. Photo(s) showing installation.</t>
  </si>
  <si>
    <t>If wet insulation is used, provide documentation of moisture content before enclosure.</t>
  </si>
  <si>
    <t>Moisture sampling data by builder or 3rd party.</t>
  </si>
  <si>
    <t>Flooring manufacturer’s recommendations for moisture content. Moisture sampling data by builder or 3rd party.</t>
  </si>
  <si>
    <t>Hygrothermal analysis, such as WUFI.</t>
  </si>
  <si>
    <t>Plans, specification, or scope of work showing WRB or drainage plane.</t>
  </si>
  <si>
    <t>Plans/construction documents showing flashing details at all required locations.</t>
  </si>
  <si>
    <t>Projection factor calculations = overhang width/ height to the overhang (Measure height from sill of window or door to the overhang). See illustration in the definition section of standard.</t>
  </si>
  <si>
    <t>Manufacturer’s literature/specification/labeling showing ASTM compliance. Plans/specifications and scope of work showing installation.</t>
  </si>
  <si>
    <t>Plans showing ice barrier.</t>
  </si>
  <si>
    <t>Manufacturer’s literature demonstrating compliance.</t>
  </si>
  <si>
    <t>Manufacturer’s literature showing ENERGY STAR Cool Roof or equivalent.</t>
  </si>
  <si>
    <t>Manufacturer's literature showing SRI, alongwith slope calculations.</t>
  </si>
  <si>
    <t>List of the type and quantity of salvaged materials used on this building. Demonstrate that the installed cost of the salvaged materials to be = to or &gt;1% of total construction costs.</t>
  </si>
  <si>
    <t>List materials used and manufacturer’s literature showing source and amount of energy used in manufacturing.</t>
  </si>
  <si>
    <t>List the materials or components and manufacturing location used in the home that are extracted, processed, and manufactured within 500 miles.</t>
  </si>
  <si>
    <t>LCA report.</t>
  </si>
  <si>
    <t>Documented whole-building LCA report.</t>
  </si>
  <si>
    <t>Documented ISO 14044 LCA report comparing at least two products intended for the same application.</t>
  </si>
  <si>
    <t>Documented ISO 14044 LCA comparing at least two assemblies intended for the same application.</t>
  </si>
  <si>
    <t>Type III industry-wide environmental product declaration for each product.</t>
  </si>
  <si>
    <t>Type III Environmental Product Declaration for each product.</t>
  </si>
  <si>
    <t>Signed statement and plans by a licensed design professional (such as an architect or an engineer) or equivalent that the design and construction practices implemented in the building enhance the resilience and durability of the structure by designing and building to forces generated by; flooding, snow, wind or seismic (as applicable) to the desired level above the base design.</t>
  </si>
  <si>
    <r>
      <t>Software report indicating at least compliance with the 2018 IECC requirement for the relevant climate location. Acceptable software includes, among others, REM/Rate, Open Studio, or Energy Gauge.</t>
    </r>
    <r>
      <rPr>
        <sz val="10"/>
        <color rgb="FFC00000"/>
        <rFont val="Calibri"/>
        <family val="2"/>
        <scheme val="minor"/>
      </rPr>
      <t xml:space="preserve"> </t>
    </r>
    <r>
      <rPr>
        <sz val="10"/>
        <color theme="1"/>
        <rFont val="Calibri"/>
        <family val="2"/>
        <scheme val="minor"/>
      </rPr>
      <t>The same software report can be used to support performance point claim in Section 702.</t>
    </r>
  </si>
  <si>
    <t xml:space="preserve">ERI report showing confirmed features and energy performance. </t>
  </si>
  <si>
    <t>ENERGY STAR certificate and energy performance report showing confirmed features and energy performance that demonstrates that meeting that the building qualifies for ENERGY STAR and which version, or statement from a qualified energy professional that the building meets the IECC’s Tropical Climate Zone requirements.</t>
  </si>
  <si>
    <t>3rd party report/statement showing design has been reviewed to ensure energy efficient performance or specific prescriptive details are adequately implemented in the building’s design, and to ensure proper integration of various energy efficient technologies. In Climate Zone 1, PE must sign off that the system will maintain the cooling season indoor humidity less than the ASHRAE Simplified method for Design Indoor RH (70%) if the system size is not consistent with Manual S.</t>
  </si>
  <si>
    <t>Software output report for this building using ACCA Manual J AND Manual S or equivalent.</t>
  </si>
  <si>
    <t xml:space="preserve">Statement from qualified professional. </t>
  </si>
  <si>
    <t>For buildings with ducted systems provide product spec or trade contractor’s scope of work to confirm use of duct sealing using UL 181 tape, mastic, gaskets, or an IRC or ICC/IMC approved system.</t>
  </si>
  <si>
    <t>Software output report for this building using ACCA Manual D or equivalent.</t>
  </si>
  <si>
    <t>Blower door report by qualified professional, signed by the party conducting the test.</t>
  </si>
  <si>
    <t>COMcheck.</t>
  </si>
  <si>
    <t>Manufacturer’s literature stating compliance with the practice.</t>
  </si>
  <si>
    <t xml:space="preserve">Energy performance report showing energy savings levels above ICC IECC. See Energy Efficiency Modeling Policy for details on eligible software and accepted approaches. For multifamily projects employing building average or unit-by-unit modeling approaches, submit analysis showing the units modeled and corresponding performance. This can be submitted as an Excel table or another file format. </t>
  </si>
  <si>
    <r>
      <t>Energy performance report showing energy savings levels above ICC IECC. See Energy Efficiency Modeling Policy</t>
    </r>
    <r>
      <rPr>
        <sz val="10"/>
        <color rgb="FFC00000"/>
        <rFont val="Calibri"/>
        <family val="2"/>
        <scheme val="minor"/>
      </rPr>
      <t xml:space="preserve"> </t>
    </r>
    <r>
      <rPr>
        <sz val="10"/>
        <color theme="1"/>
        <rFont val="Calibri"/>
        <family val="2"/>
        <scheme val="minor"/>
      </rPr>
      <t>for details on eligible software and accepted approaches. For multifamily projects employing building average or unit-by-unit modeling approaches, submit analysis showing the units modeled and corresponding performance. This can be submitted as an Excel table or another file format. The 2018 IECC must be the basis for this analysis.
Ekotrope has a 2020 NGBS Green report that demonstrates compliance with this practice. RemRate is working on developing a 2020 NGBS report.</t>
    </r>
  </si>
  <si>
    <t>Energy analysis report.</t>
  </si>
  <si>
    <t>RESCheck or COMCheck or other equivalent analysis method showing the percent improvement for UA improvement over an analysis using the values provided in Table 703.1.1(a). For projects that used to use 2012 NGBS 701.1.3 Alternative bronze level compliance, this is the practice that you may now want to consider for 2015 NGBS Chapter 7 compliance. Compliance with 701.1.1 earns 30 points toward Bronze certification.</t>
  </si>
  <si>
    <t>RESCheck or COMCheck or other equivalent analysis method demonstrating compliance.</t>
  </si>
  <si>
    <t>R402.4.1.2 Testing. The building or dwelling unit shall be tested and verified as having an air leakage rate of not exceeding 5 air changes per hour in Climate Zones 1 and 2, and 3 air changes per hour in Climate Zones 3 through 8. Testing shall be conducted with a blower door at a pressure of 0.2 inches w.g. (50 Pascals).</t>
  </si>
  <si>
    <t>RESCheck 4.0.1 or other equivalent analysis method showing the percent improvement for UA improvement over an analysis using the values provided in Table 703.2.1(a). Documentation of 3rd party insulation installation grading results.</t>
  </si>
  <si>
    <t>Manufacturer’s literature indicating conformance to ASTM C1371.</t>
  </si>
  <si>
    <t>Test report showing ACH50 or ELR50.</t>
  </si>
  <si>
    <t>Manufacturer’s literature. For products to comply, it is not simply enough for them to have an ENERGY STAR label. The product must meet the ENERGY STAR product specifications in Chapter 14. Verifiers must ensure that the products/appliances installed meet these eligibility criteria.</t>
  </si>
  <si>
    <t>3rd party duct leakage test report.</t>
  </si>
  <si>
    <t>Manufacturer’s literature or labels, or documentation demonstrating equivalent to ENERGY STAR requirements. For products to comply, it is not simply enough for them to have an ENERGY STAR label. The product must meet the ENERGY STAR product specifications in Chapter 14. Verifiers must ensure that the products/appliances installed meet these eligibility criteria.</t>
  </si>
  <si>
    <t>Manufacturer’s literature or labels. For products to comply, it is not simply enough for them to have an ENERGY STAR label. The product must meet the ENERGY STAR product specifications in Chapter 14. Verifiers must ensure that the products/appliances installed meet these eligibility criteria.</t>
  </si>
  <si>
    <t>Window label or other documentation showing glazing.</t>
  </si>
  <si>
    <t>EPA National ERI Target Procedure.</t>
  </si>
  <si>
    <t>Point calculation using the EPA Procedure above.</t>
  </si>
  <si>
    <t>Building plans.</t>
  </si>
  <si>
    <t>Completed ENERGY STAR checklists.</t>
  </si>
  <si>
    <t>HVAC design documents and plans.</t>
  </si>
  <si>
    <t>Report signed by qualified 3rd party showing design and actual flows at each supply and return indicating compliance with balanced flow requirement.</t>
  </si>
  <si>
    <t>Building plan review.</t>
  </si>
  <si>
    <t>For (1) contract with benchmarking service at least 1 year in duration.</t>
  </si>
  <si>
    <t>For (2) proof of a Portfolio Manager account for the building.</t>
  </si>
  <si>
    <t>For products to comply, it is not enough solely to have an ENERGY STAR label. The product must meet the ENERGY STAR product specifications in Chapter 14 REFERENCED DOCUMENTS. Verifiers must ensure that the products/appliances installed meet the program performance criteria.</t>
  </si>
  <si>
    <t>Review irrigation plan and confirm prepared by qualified professional.</t>
  </si>
  <si>
    <t>Nozzle performance test results by an accredited third-party laboratory and results are posted on Smart Water Application Technologies (https://www.epa.gov/watersense/water-budget-tool) website or similar.</t>
  </si>
  <si>
    <t>Plan and statement from WaterSense professional indicating compliance.</t>
  </si>
  <si>
    <t>Written report from a qualified water commissioning agent that the irrigation system meets any of the above practices.</t>
  </si>
  <si>
    <t>Building and/or site plan.</t>
  </si>
  <si>
    <t>Manufacturer’s specifications.</t>
  </si>
  <si>
    <t>Confirm greywater reclaimed or recycled is compliant with IRC Appendix O and as permitted by local building code.</t>
  </si>
  <si>
    <t>See WRI VRG section for more details</t>
  </si>
  <si>
    <t>Manufacturer’s literature or label on product.</t>
  </si>
  <si>
    <t>Manufacturer’s literature showing 3rd party certification.</t>
  </si>
  <si>
    <t>Scope of work or specification showing products to be installed.</t>
  </si>
  <si>
    <t>Scope of work or specification showing products to be installed. Manufacturer's literature showing 3rd party certification.</t>
  </si>
  <si>
    <t>Manufacturer’s literature showing 3rd party certification for other materials. Scope of work or specification showing products to be installed.</t>
  </si>
  <si>
    <t>List of interior coatings used, amount used, %, and VOC criteria. Manufacturer’s literature showing VOC. Scopes of work or specifications showing which materials were to be used.</t>
  </si>
  <si>
    <t>List of all colorants used, amount used, %, and VOC criteria. Manufacturer’s literature showing VOC as listed. Scopes of work or specifications showing which materials were to be used.</t>
  </si>
  <si>
    <t>List of interior coatings used, amount used, %, and VOC criteria. Manufacturer’s literature showing VOC and product certification. Scopes of work or specifications showing which materials were to be used.</t>
  </si>
  <si>
    <t>List of all interior sealants used, amount, %, and VOC criteria. Manufacturer’s literature showing VOC and product certification when applicable.</t>
  </si>
  <si>
    <t>Manufacturer’s literature or product marking showing compliance.</t>
  </si>
  <si>
    <t>Manufacturer’s literature or product marking showing compliance with UL 2034 and UL 217.</t>
  </si>
  <si>
    <t>3rd party test report showing compliance as installed.</t>
  </si>
  <si>
    <t>ENERGY STAR label or literature for basic fans or fans below 1 sone. For products to comply, it is not enough to have an ENERGY STAR label. The product must meet the ENERGY STAR product specifications in Chapter 14. Verifiers must ensure that the products/appliances installed meet these eligibility criteria.</t>
  </si>
  <si>
    <t xml:space="preserve">Review building plans and confirm that the calculations on the plan. </t>
  </si>
  <si>
    <t>Statement from qualified professional indicating system complies with Appendix B. Confirm that relevant building manual includes explanation of the operation and importance of the ventilation system.</t>
  </si>
  <si>
    <t>None for passive system. Plans/specifications for active systems.</t>
  </si>
  <si>
    <t>Review completed radon test results and ensure that the result is included with the construction documents in the building manual. Verifier must confirm that radon test complies with all requirements of practice.</t>
  </si>
  <si>
    <t>Review plans for location of secondary filter rack.</t>
  </si>
  <si>
    <t>Building plans should confirm the intent to have a sound barrier that meets the criteria above.</t>
  </si>
  <si>
    <t>Confirm on building plans and check manufacturer literature to confirm lamp enclosure is NEMA-rated.</t>
  </si>
  <si>
    <t>Verifier should review homeowner’s manual that addresses the required 3 items and any of the listed additional optional items.</t>
  </si>
  <si>
    <t>Verifier must review building construction manual that addresses the mandatory 3 items (a certificate placeholder is acceptable) plus at least 2 of the listed additional optional items. Verify the expected process to deliver manual(s) to the responsible party.</t>
  </si>
  <si>
    <t>Review the operations manual that includes both mandatory items and at least 2 from the list of optional items.</t>
  </si>
  <si>
    <t>Review the maintenance manual that addresses the mandatory item and at least 4 of the optional items.</t>
  </si>
  <si>
    <t>Review of the manual that addresses the mandatory items and the additional items for points.</t>
  </si>
  <si>
    <t xml:space="preserve">Review of training outline, video, or website for occupants. </t>
  </si>
  <si>
    <t>Visual confirmation and/or photos of the construction signs visible on site during construction.</t>
  </si>
  <si>
    <t>Photos, screen shots of web pages, or copies of marketing materials that include www.ngbs.com.</t>
  </si>
  <si>
    <t>Analysis or reports from appropriate building modeling software used during design by the design team to estimate expected annual energy and water use for the building. The expected energy and water use will set the performance baseline for the building and the calculations must be included in the building owner’s manual.
	Building owner’s manual must include a plan where actual energy and water use can be compared to the expected energy and water use. The plan must provide for measurement and verification of the energy and water use at least every four years after initial occupancy. The building owner can select to review energy and water use at a more frequent schedule. Further, if the building owner’s manual must energy or water use exceed the design baseline by more than 20% on an annualized basis, the owner will further investigate and resolve any issues found or recommend further corrections or modifications to meet the efficiency standards.</t>
  </si>
  <si>
    <t>Verification system, such as automated monitoring equipment, is installed that provides a means to measure energy and water usage.</t>
  </si>
  <si>
    <t>Review of Form 820.05.</t>
  </si>
  <si>
    <t>Construction activities are scheduled such that disturbed soil that is to be left unworked for more than 21 days is stabilized within 14 days.</t>
  </si>
  <si>
    <t xml:space="preserve">NGBS Green is a site-verified certification. All homes or buildings seeking certification must undergo visually inspection and testing by an accredited NGBS Green Verifier. Each building typically has two inspections—a rough inspection before drywall is installed and another once construction has been completed. Some practices will require site inspection, while others require a combination of site inspection and documentation or testing by a qualified professional. Documents, plans, and specifications are required for verification. See below for the documentation that the verifier will need to award points toward certification. </t>
  </si>
  <si>
    <t>Check photo or Google maps for neighboring buildings or other development.</t>
  </si>
  <si>
    <t>Look for sidewalk in foreground or check Google Maps.</t>
  </si>
  <si>
    <t>Use best judgment to confirm slope angle.</t>
  </si>
  <si>
    <t>Look for retaining walls and similar.</t>
  </si>
  <si>
    <t>For single-family, look for downspout system. (Multifamily buildings may not have visible system.)</t>
  </si>
  <si>
    <t>Does the photo show that plants have been installed? Do the plants look reasonable for the local climate (use your best judgment)?</t>
  </si>
  <si>
    <t xml:space="preserve">Does the photo show that plants have been installed? </t>
  </si>
  <si>
    <t>Does the photo show that turf has been installed?</t>
  </si>
  <si>
    <t>Are similar plants grouped?</t>
  </si>
  <si>
    <t>Do you see shade trees installed near building walls?</t>
  </si>
  <si>
    <t xml:space="preserve">Do you see trees installed as wind break? </t>
  </si>
  <si>
    <t>At rough, is a mulch pile or similar evident?</t>
  </si>
  <si>
    <t>Can you see any wildlife habitat, gardens, or outdoor lighting?</t>
  </si>
  <si>
    <t>Can you see any environmentally sensitive areas that may have been impacted by construction?</t>
  </si>
  <si>
    <t>Look for fencing around trees. Look at condition of preserved trees.</t>
  </si>
  <si>
    <t>Look for silt fence. Is it present? Does it appear damaged?</t>
  </si>
  <si>
    <t>Look for silt fence and safety fencing. Is it present? Does it appear damaged?</t>
  </si>
  <si>
    <t>Can you see a pile of topsoil?</t>
  </si>
  <si>
    <t>Look at length of driveway in photo or Google Maps.</t>
  </si>
  <si>
    <t>Look for parking garage.</t>
  </si>
  <si>
    <t>Look for trees or other shading.</t>
  </si>
  <si>
    <t>Look for concrete driveway.</t>
  </si>
  <si>
    <t>Look for white or light colored roof.</t>
  </si>
  <si>
    <t>Look at photo and the number of units entered on the 'Overview' tab. Does the number of units seem reasonable based on the photo?</t>
  </si>
  <si>
    <t>Can you see retail space (typically on the 1st floor)?</t>
  </si>
  <si>
    <t>Look at the size of the building and, if multifamily, the number of units. Does the unit size seem reasonable?</t>
  </si>
  <si>
    <t>Is the building 2 or more stories in height?</t>
  </si>
  <si>
    <t>Look for Tyvek or green OSB walls with tape.</t>
  </si>
  <si>
    <t>Look for flashing around windows, doors, and other locations.</t>
  </si>
  <si>
    <t>Look at front door and estimate # covered doors. (Garage entrance should not be counted.)</t>
  </si>
  <si>
    <t>Look for roof overhangs.</t>
  </si>
  <si>
    <t>Do you see any flat surfaces where water may pool?</t>
  </si>
  <si>
    <t>Look for a vegetated roof system.</t>
  </si>
  <si>
    <t>Look for gutters and downspouts.</t>
  </si>
  <si>
    <t>Look at the slope and confirm (use your best judgment).</t>
  </si>
  <si>
    <t>Look for drains and swales.</t>
  </si>
  <si>
    <t>Look for steps at entry doors.</t>
  </si>
  <si>
    <t>Look for window shades.</t>
  </si>
  <si>
    <t>Look for trellises, awnings, and other shading.</t>
  </si>
  <si>
    <t>Look for overhangs.</t>
  </si>
  <si>
    <t>Look for outdoor lighting.</t>
  </si>
  <si>
    <t>Look for solar panels or other renewable energy system.</t>
  </si>
  <si>
    <t>Look for chimney.</t>
  </si>
  <si>
    <t>Look for garage.</t>
  </si>
  <si>
    <t>Look for mat at entrance. Does it appear to be fixed?</t>
  </si>
  <si>
    <t>instructions</t>
  </si>
  <si>
    <t>_</t>
  </si>
  <si>
    <t xml:space="preserve">    UEF: 0.65 to &lt;0.78</t>
  </si>
  <si>
    <t xml:space="preserve">    UEF: ≥0.78</t>
  </si>
  <si>
    <t xml:space="preserve">    UEF: 0.89 to &lt; 0.94</t>
  </si>
  <si>
    <t xml:space="preserve">    UEF: ≥0.94</t>
  </si>
  <si>
    <t xml:space="preserve">    UEF: 0.94 to &lt;1.0</t>
  </si>
  <si>
    <t xml:space="preserve">    UEF: 1.0 to &lt;1.5</t>
  </si>
  <si>
    <t xml:space="preserve">    UEF: 1.5 to &lt;2.0</t>
  </si>
  <si>
    <t xml:space="preserve">    UEF: 2.0 to &lt;2.2</t>
  </si>
  <si>
    <t xml:space="preserve">    UEF: 2.2 to &lt;2.5</t>
  </si>
  <si>
    <t xml:space="preserve">    UEF: 2.5 to &lt;3.0</t>
  </si>
  <si>
    <t xml:space="preserve">    UEF: ≥3.0</t>
  </si>
  <si>
    <t xml:space="preserve">    UEF: 3.0 to &lt;3.5</t>
  </si>
  <si>
    <t xml:space="preserve">    UEF: ≥3.5</t>
  </si>
  <si>
    <t>Percent above NGBS Reference Home:</t>
  </si>
  <si>
    <t>Points = 30 + (percent above NGBS Reference Home) * 2</t>
  </si>
  <si>
    <r>
      <t>703.1.3 Duct Testing.</t>
    </r>
    <r>
      <rPr>
        <sz val="10"/>
        <color theme="1"/>
        <rFont val="Calibri"/>
        <family val="2"/>
        <scheme val="minor"/>
      </rPr>
      <t xml:space="preserve">  The duct system is in accordance with IECC R403.3.2 through R403.3.5 as applicable.</t>
    </r>
  </si>
  <si>
    <r>
      <t>703.1.3 Duct Testing.</t>
    </r>
    <r>
      <rPr>
        <sz val="10"/>
        <color theme="1"/>
        <rFont val="Calibri"/>
        <family val="2"/>
        <scheme val="minor"/>
      </rPr>
      <t xml:space="preserve">  The duct system is in accordance with ICC IECC R403.3.2 through R403.3.5 as applicable.</t>
    </r>
  </si>
  <si>
    <r>
      <t>701.1.1 Minimum Performance Path requirements.</t>
    </r>
    <r>
      <rPr>
        <sz val="10"/>
        <color theme="1"/>
        <rFont val="Calibri"/>
        <family val="2"/>
        <scheme val="minor"/>
      </rPr>
      <t xml:space="preserve"> A building complying with § 702 shall include a minimum of two practices from § 705, or a minimum of one practice from § 705 and a minimum of one practice from § 706.</t>
    </r>
  </si>
  <si>
    <r>
      <t>701.1.2 Minimum Prescriptive Path requirements.</t>
    </r>
    <r>
      <rPr>
        <sz val="10"/>
        <color theme="1"/>
        <rFont val="Calibri"/>
        <family val="2"/>
        <scheme val="minor"/>
      </rPr>
      <t xml:space="preserve"> A building complying with § 703 shall obtain a minimum of 30 points from § 703 and shall include a minimum of two practices from § 705, or a minimum of one practice from § 705 and a minimum of one practice from § 706.</t>
    </r>
  </si>
  <si>
    <r>
      <t xml:space="preserve">701.1.3 ERI Target Path requirements.  </t>
    </r>
    <r>
      <rPr>
        <sz val="10"/>
        <color theme="1"/>
        <rFont val="Calibri"/>
        <family val="2"/>
        <scheme val="minor"/>
      </rPr>
      <t>A building complying with § 704 shall obtain a minimum of 30 points from § 704 and shall include a minimum of two practices from § 705, or a minimum of one practice from § 705 and a minimum of one practice from § 706.</t>
    </r>
    <r>
      <rPr>
        <b/>
        <sz val="10"/>
        <color theme="1"/>
        <rFont val="Calibri"/>
        <family val="2"/>
        <scheme val="minor"/>
      </rPr>
      <t xml:space="preserve">  </t>
    </r>
  </si>
  <si>
    <t>Majority Unconditioned</t>
  </si>
  <si>
    <t>Plan review.</t>
  </si>
  <si>
    <t>Plans/specifications AND scope of work(s) detailing how requirement has been met. Photo(s) showing installation. Report from certified professional when the building code exceptions are used.</t>
  </si>
  <si>
    <t>Plans/specifications showing damp-proofing.</t>
  </si>
  <si>
    <t>Manufacturer’s literature/specification/labeling showing ASTM or other compliance. Plans/specifications and scope of work showing installation.</t>
  </si>
  <si>
    <r>
      <rPr>
        <b/>
        <sz val="10"/>
        <color theme="1"/>
        <rFont val="Calibri"/>
        <family val="2"/>
        <scheme val="minor"/>
      </rPr>
      <t xml:space="preserve">REQUIRED FOR CORE &amp; SHELL. </t>
    </r>
    <r>
      <rPr>
        <sz val="10"/>
        <color theme="1"/>
        <rFont val="Calibri"/>
        <family val="2"/>
        <scheme val="minor"/>
      </rPr>
      <t>None.</t>
    </r>
  </si>
  <si>
    <t>Review construction waste management plan.</t>
  </si>
  <si>
    <r>
      <rPr>
        <b/>
        <sz val="10"/>
        <color theme="1"/>
        <rFont val="Calibri"/>
        <family val="2"/>
        <scheme val="minor"/>
      </rPr>
      <t xml:space="preserve">REQUIRED FOR CORE &amp; SHELL. </t>
    </r>
    <r>
      <rPr>
        <sz val="10"/>
        <color theme="1"/>
        <rFont val="Calibri"/>
        <family val="2"/>
        <scheme val="minor"/>
      </rPr>
      <t>See corresponding Chapter 6 practice.</t>
    </r>
  </si>
  <si>
    <r>
      <rPr>
        <b/>
        <sz val="10"/>
        <color theme="1"/>
        <rFont val="Calibri"/>
        <family val="2"/>
        <scheme val="minor"/>
      </rPr>
      <t xml:space="preserve">REQUIRED FOR CORE &amp; SHELL. </t>
    </r>
    <r>
      <rPr>
        <sz val="10"/>
        <color theme="1"/>
        <rFont val="Calibri"/>
        <family val="2"/>
        <scheme val="minor"/>
      </rPr>
      <t>COMcheck analysis.</t>
    </r>
  </si>
  <si>
    <t>REScheck or COMcheck output, for either full building or commercial space.</t>
  </si>
  <si>
    <r>
      <t xml:space="preserve">REQUIRED FOR CORE &amp; SHELL. </t>
    </r>
    <r>
      <rPr>
        <sz val="10"/>
        <color theme="1"/>
        <rFont val="Calibri"/>
        <family val="2"/>
        <scheme val="minor"/>
      </rPr>
      <t>COMcheck or other equivalent analysis method demonstrating compliance.</t>
    </r>
  </si>
  <si>
    <r>
      <rPr>
        <b/>
        <sz val="10"/>
        <color theme="1"/>
        <rFont val="Calibri"/>
        <family val="2"/>
        <scheme val="minor"/>
      </rPr>
      <t>REQUIRED FOR CORE &amp; SHELL.</t>
    </r>
    <r>
      <rPr>
        <sz val="10"/>
        <color theme="1"/>
        <rFont val="Calibri"/>
        <family val="2"/>
        <scheme val="minor"/>
      </rPr>
      <t xml:space="preserve"> Drawing, specifications, scopes of work detailing air sealing that is not readily inspected during the rough inspection.</t>
    </r>
  </si>
  <si>
    <r>
      <rPr>
        <b/>
        <sz val="10"/>
        <color theme="1"/>
        <rFont val="Calibri"/>
        <family val="2"/>
        <scheme val="minor"/>
      </rPr>
      <t>REQUIRED FOR CORE &amp; SHELL.</t>
    </r>
    <r>
      <rPr>
        <sz val="10"/>
        <color theme="1"/>
        <rFont val="Calibri"/>
        <family val="2"/>
        <scheme val="minor"/>
      </rPr>
      <t xml:space="preserve"> None.</t>
    </r>
  </si>
  <si>
    <t>Plan review and manufacturer’s literature.</t>
  </si>
  <si>
    <t>Software output report for this building.</t>
  </si>
  <si>
    <r>
      <rPr>
        <b/>
        <sz val="10"/>
        <color theme="1"/>
        <rFont val="Calibri"/>
        <family val="2"/>
        <scheme val="minor"/>
      </rPr>
      <t xml:space="preserve">REQUIRED FOR CORE &amp; SHELL. </t>
    </r>
    <r>
      <rPr>
        <sz val="10"/>
        <color theme="1"/>
        <rFont val="Calibri"/>
        <family val="2"/>
        <scheme val="minor"/>
      </rPr>
      <t>Plan review.</t>
    </r>
  </si>
  <si>
    <t>Energy performance report showing energy savings levels above ICC IECC. See Energy Efficiency Modeling Policy in VRG Part I for details on eligible software and accepted approaches. This can be submitted as an Excel table or another file format. The 2018 IECC must be the basis for this analysis.</t>
  </si>
  <si>
    <t>Energy performance report showing energy savings levels.</t>
  </si>
  <si>
    <t>Review of manufacturer’s literature for fixtures.</t>
  </si>
  <si>
    <t>Review of manufacturer’s literature.</t>
  </si>
  <si>
    <t>(1) None or (2) review contract.</t>
  </si>
  <si>
    <r>
      <rPr>
        <b/>
        <sz val="10"/>
        <color theme="1"/>
        <rFont val="Calibri"/>
        <family val="2"/>
        <scheme val="minor"/>
      </rPr>
      <t>REQUIRED FOR CORE &amp; SHELL.</t>
    </r>
    <r>
      <rPr>
        <sz val="10"/>
        <color theme="1"/>
        <rFont val="Calibri"/>
        <family val="2"/>
        <scheme val="minor"/>
      </rPr>
      <t xml:space="preserve"> Plan review.</t>
    </r>
  </si>
  <si>
    <t>Refer to the Chapter 9 requirements for the relevant practice.</t>
  </si>
  <si>
    <t>Refer to 902.3 for instructions and guidance. Also see Multifamily Radon Testing Policy.</t>
  </si>
  <si>
    <t>Review manual to make sure it is compliant with sub-practices.</t>
  </si>
  <si>
    <t>NGBS Scoring for New Construction
ICC 700-2020 National Green Building Standard®</t>
  </si>
  <si>
    <r>
      <t xml:space="preserve">This workbook allows you to score a new multifamily or mixed-use building  to the ICC 700-2020 National Green Building Standard®. </t>
    </r>
    <r>
      <rPr>
        <u/>
        <sz val="11"/>
        <color theme="1"/>
        <rFont val="Calibri"/>
        <family val="2"/>
        <scheme val="minor"/>
      </rPr>
      <t>This workbook includes sections for the residential portions of the building, as well as a section for use when commercial space certification is being pursued.</t>
    </r>
    <r>
      <rPr>
        <sz val="11"/>
        <color theme="1"/>
        <rFont val="Calibri"/>
        <family val="2"/>
        <scheme val="minor"/>
      </rPr>
      <t xml:space="preserve"> Use of the NGBS Green Scoring Tool is the required entry point for Home Innovation's NGBS Green Certification. This workbook is intended to be used in conjunction with the publication ICC 700-2020 National Green Building Standard®. Please read the instructions below. </t>
    </r>
    <r>
      <rPr>
        <b/>
        <sz val="11"/>
        <color rgb="FFFF0000"/>
        <rFont val="Calibri"/>
        <family val="2"/>
        <scheme val="minor"/>
      </rPr>
      <t>Excel 2013 or 2016 is required.</t>
    </r>
  </si>
  <si>
    <r>
      <t xml:space="preserve">This workbook allows you to score a new single-family home to the ICC 700-2020 National Green Building Standard®. Use of the NGBS Green Scoring Tool is the required entry point for Home Innovation's NGBS Green Certification. This workbook is intended to be used in conjunction with the publication ICC 700-2020 National Green Building Standard®. Please read the instructions below. </t>
    </r>
    <r>
      <rPr>
        <b/>
        <sz val="11"/>
        <color rgb="FFFF0000"/>
        <rFont val="Calibri"/>
        <family val="2"/>
        <scheme val="minor"/>
      </rPr>
      <t>Excel 2013 or 2016 is required.</t>
    </r>
  </si>
  <si>
    <t>5.0.1</t>
  </si>
  <si>
    <t>fixed some missing dropdowns</t>
  </si>
  <si>
    <t>5.0.2</t>
  </si>
  <si>
    <t>bug fix</t>
  </si>
  <si>
    <t>5.0.3</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</si>
  <si>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</si>
  <si>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</si>
  <si>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</si>
  <si>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</si>
  <si>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</si>
  <si>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</si>
  <si>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</si>
  <si>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</si>
  <si>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</si>
  <si>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</si>
  <si>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</si>
  <si>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</si>
  <si>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</si>
  <si>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</si>
  <si>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</si>
  <si>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</si>
  <si>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</si>
  <si>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</si>
  <si>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</si>
  <si>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</si>
  <si>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</si>
  <si>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</si>
  <si>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</si>
  <si>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</si>
  <si>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</si>
  <si>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</si>
  <si>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</si>
  <si>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</si>
  <si>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</si>
  <si>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</si>
  <si>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</si>
  <si>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</si>
  <si>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</si>
  <si>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</si>
  <si>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</si>
  <si>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</si>
  <si>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</si>
  <si>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</si>
  <si>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</si>
  <si>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</si>
  <si>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</si>
  <si>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</si>
  <si>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</si>
  <si>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</si>
  <si>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</si>
  <si>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</si>
  <si>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</si>
  <si>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</si>
  <si>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</si>
  <si>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</si>
  <si>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</si>
  <si>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</si>
  <si>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</si>
  <si>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</si>
  <si>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</si>
  <si>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</si>
  <si>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</si>
  <si>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</si>
  <si>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</si>
  <si>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Rio Grande</t>
  </si>
  <si>
    <t>Sabana Grande</t>
  </si>
  <si>
    <t>Salinas</t>
  </si>
  <si>
    <t>San German</t>
  </si>
  <si>
    <t>San Juan</t>
  </si>
  <si>
    <t>San Lorenzo</t>
  </si>
  <si>
    <t>San Sebastian</t>
  </si>
  <si>
    <t>Santa Isabel</t>
  </si>
  <si>
    <t>Toa Alta</t>
  </si>
  <si>
    <t>Toa Baja</t>
  </si>
  <si>
    <t>Trujillo Alto</t>
  </si>
  <si>
    <t>Utuado</t>
  </si>
  <si>
    <t>Vega Alta</t>
  </si>
  <si>
    <t>Vega Baja</t>
  </si>
  <si>
    <t>Vieques</t>
  </si>
  <si>
    <t>Villalba</t>
  </si>
  <si>
    <t>Yabucoa</t>
  </si>
  <si>
    <t>Yauco</t>
  </si>
  <si>
    <r>
      <t>A minimum percent (</t>
    </r>
    <r>
      <rPr>
        <i/>
        <sz val="10"/>
        <rFont val="Calibri"/>
        <family val="2"/>
        <scheme val="minor"/>
      </rPr>
      <t>95%</t>
    </r>
    <r>
      <rPr>
        <sz val="10"/>
        <rFont val="Calibri"/>
        <family val="2"/>
        <scheme val="minor"/>
      </rPr>
      <t>) of the total hard-wired interior luminaires or lamps qualify as ENERGY STAR, DesignLights Consortium (DLC), or applicable equivalent.</t>
    </r>
  </si>
  <si>
    <t>EPA National ERI Target:</t>
  </si>
  <si>
    <t>ERI As Designed:</t>
  </si>
  <si>
    <t>Exempt</t>
  </si>
  <si>
    <t>fixed rough comm. sig. dropdowns, added "Exempt" to 703.4.4, changed text of 703.6.1, 704.2 redone, 802.10.1 added.</t>
  </si>
  <si>
    <t>Notes:</t>
  </si>
  <si>
    <t>5.0.4</t>
  </si>
  <si>
    <t>fixed ch. 7 design max level</t>
  </si>
  <si>
    <t>Ch8Path</t>
  </si>
  <si>
    <t>ReportType</t>
  </si>
  <si>
    <t>All rights reserved.  This document is protected by U.S. copyright law. Requirements from ICC 700-2020 National Green Building Standard® © 2020 National Association of Home Builders of the U.S. - used by permission.  Home Innovation authorizes use of this document only by those individuals/organizations participating in Home Innovation's NGBS Green program and solely for purpose of seeking NGBS Green certification from the Home Innovation Research Labs.</t>
  </si>
  <si>
    <t>5.0.5</t>
  </si>
  <si>
    <t>Resilience</t>
  </si>
  <si>
    <t>Universal Design</t>
  </si>
  <si>
    <t>Smart Home</t>
  </si>
  <si>
    <t>Wellness</t>
  </si>
  <si>
    <t>Zero Water</t>
  </si>
  <si>
    <t>Net Zero Energy</t>
  </si>
  <si>
    <t>SECTION 1: ENHANCED RESILIENCE</t>
  </si>
  <si>
    <t>Requirements:</t>
  </si>
  <si>
    <t>SECTION 2: RENEWABLE ENERGY AND BATTERY ENERGY STORAGE SYSTEMS</t>
  </si>
  <si>
    <t>613.5 Enhanced resilience - 30% above base design</t>
  </si>
  <si>
    <t>613.6 Enhanced resilience - 40% above base design</t>
  </si>
  <si>
    <t>613.7 Enhanced resilience - 50% above base design</t>
  </si>
  <si>
    <t>706.5(3) On-site renewable energy system and battery energy storage system</t>
  </si>
  <si>
    <t>Additional Requirements</t>
  </si>
  <si>
    <t>Identify resilient construction features and benefits are described in homeowner or multifamily occupant manual.</t>
  </si>
  <si>
    <t xml:space="preserve">UNIVERSAL DESIGN </t>
  </si>
  <si>
    <t>612.3(8) Light switches are rocker-style switches</t>
  </si>
  <si>
    <t>612.3(9) Wireless or voice-activated control of HVAC, lighting, alarm systems, window treatments, or door locks</t>
  </si>
  <si>
    <t xml:space="preserve">	Meet mandatory practices.</t>
  </si>
  <si>
    <t>612.3(1) No-step entrance</t>
  </si>
  <si>
    <t>612.3(2) Accessible route from entrance to visiting room and bathroom</t>
  </si>
  <si>
    <t>612.3(3) Accessible route from entrance to bedroom</t>
  </si>
  <si>
    <t>612.3(4) Blocking or equivalent installed for future installation of grab bars</t>
  </si>
  <si>
    <t>612.3(5) Door handles are levers</t>
  </si>
  <si>
    <t>612.3(6) Sink, lavatory, and exterior door handles comply with ICC A117.1</t>
  </si>
  <si>
    <t>612.3(7) Power receptacles placed 15-48" above finished floor</t>
  </si>
  <si>
    <t xml:space="preserve">SECTION 1: LIGHTING &amp; LIGHTING CONTROLS /WINDOW SHADING </t>
  </si>
  <si>
    <t>Meet applicable mandatory practice.</t>
  </si>
  <si>
    <t>612.3(9) Automated or voice-activated control of HVAC, lighting, alarm system or door locks</t>
  </si>
  <si>
    <t>703.7.2 Automated Solar Protection</t>
  </si>
  <si>
    <t>705.2.1.1(1 or 2) Interior Lighting Controls</t>
  </si>
  <si>
    <t>705.2.1.2 Exterior Lighting Controls</t>
  </si>
  <si>
    <t>705.2.3 Lighting Outlets</t>
  </si>
  <si>
    <t>705.2.1.3(1-2) Multifamily Common Areas</t>
  </si>
  <si>
    <t>705.2.1.4(1-2) Multifamily Occupancy Controls</t>
  </si>
  <si>
    <t>1-2</t>
  </si>
  <si>
    <t xml:space="preserve">SECTION 2: ENERGY &amp; WATER CONSUMPTION CONTROL  </t>
  </si>
  <si>
    <t>Requirements</t>
  </si>
  <si>
    <t>706.1(1) Remote, Programmable Thermostat</t>
  </si>
  <si>
    <t>706.10 Automatic Demand Response</t>
  </si>
  <si>
    <t>706.11 Grid-Interactive Battery Storage</t>
  </si>
  <si>
    <t>1004.1(2) Verification System for Post-Occupancy Monitoring</t>
  </si>
  <si>
    <t>706.1(2-5) Energy Consumption Control</t>
  </si>
  <si>
    <t>706.3 Smart Appliances and Systems</t>
  </si>
  <si>
    <t>SECTION 3: SMART CONTROLS FOR WATER EFFICIENCY</t>
  </si>
  <si>
    <t>802.6.4(1) Smart Irrigation Controller</t>
  </si>
  <si>
    <t>802.6.5(5) Irrigation Flow Sensing Device</t>
  </si>
  <si>
    <t>802.10.1(1) Automated Motorized Non-Permeable Pool Cover</t>
  </si>
  <si>
    <t>803.3(1-2) Automatic Leak Detection and Control Device</t>
  </si>
  <si>
    <t xml:space="preserve">	Meet applicable mandatory practice.
</t>
  </si>
  <si>
    <t xml:space="preserve">SECTION 4: VENTILATION &amp; HUMIDITY CONTROL </t>
  </si>
  <si>
    <t>706.12 Smart Ventilation</t>
  </si>
  <si>
    <t>905.1 Humidity Monitoring System</t>
  </si>
  <si>
    <t>Identify smart home features and potential for conserving energy or water in homeowner or multifamily occupant manual.</t>
  </si>
  <si>
    <t xml:space="preserve">SECTION 1: AIR </t>
  </si>
  <si>
    <t xml:space="preserve">	Meet all applicable mandatory practices._x000D_
</t>
  </si>
  <si>
    <t>901.1.1 Natural draft furnaces and boilers not located in conditioned space</t>
  </si>
  <si>
    <t>901.1.5 Vented Natural Gas and Propane Fireplaces</t>
  </si>
  <si>
    <t>902.2.1 Building Ventilation Systems</t>
  </si>
  <si>
    <t>901.1.2 Air handling equipment not installed in garage</t>
  </si>
  <si>
    <t>902.1.6 Ventilation for Multifamily Common Spaces</t>
  </si>
  <si>
    <t>901.2.2 No Fireplaces, Woodstoves, Pellet Stoves, or Masonry Heaters are Installed</t>
  </si>
  <si>
    <t>902.4 HVAC System Protection</t>
  </si>
  <si>
    <t>904.1 IAQ During Construction</t>
  </si>
  <si>
    <t>904.2 IAQ Post-Construction</t>
  </si>
  <si>
    <t>902.2.4 MERV Filters 14 or Greater</t>
  </si>
  <si>
    <t xml:space="preserve">SECTION 2: MOVEMENT </t>
  </si>
  <si>
    <t xml:space="preserve">	Select at least one item from Group A._x000D_
</t>
  </si>
  <si>
    <t>GROUP A</t>
  </si>
  <si>
    <t>501.2(3) Pedestrian Activity</t>
  </si>
  <si>
    <t>501.2(4) Walkability</t>
  </si>
  <si>
    <t>GROUP B</t>
  </si>
  <si>
    <t>501.2(5) Bicycle Use</t>
  </si>
  <si>
    <t>501.2(6) Bicycle Parking</t>
  </si>
  <si>
    <t>501.2(1) Pedestrian access to mass transit system</t>
  </si>
  <si>
    <t>501.2(8) Access to bike sharing program</t>
  </si>
  <si>
    <t>505.4 Mixed-use development</t>
  </si>
  <si>
    <t xml:space="preserve">SECTION 3: MOISTURE MANAGEMENT </t>
  </si>
  <si>
    <t xml:space="preserve">	Meet mandatory practice._x000D_
</t>
  </si>
  <si>
    <t>602.1.7.1(1, 3) Moisture Control Measures</t>
  </si>
  <si>
    <t>602.1.12 Roof Overhangs</t>
  </si>
  <si>
    <t>602.1.10 Exterior Doors</t>
  </si>
  <si>
    <t>2-6</t>
  </si>
  <si>
    <t>SECTION 4: COMFORT</t>
  </si>
  <si>
    <t>903.3 Relative humidity</t>
  </si>
  <si>
    <t>905.1 Humidity monitoring system</t>
  </si>
  <si>
    <t>3-9</t>
  </si>
  <si>
    <t xml:space="preserve">SECTION 5: NOURISHMENT </t>
  </si>
  <si>
    <t>505.5(a) Community garden</t>
  </si>
  <si>
    <t>505.5(b) Proximity to market/farm stand</t>
  </si>
  <si>
    <t>SECTION 6: LIGHT</t>
  </si>
  <si>
    <t>703.7.2 Window Shading</t>
  </si>
  <si>
    <t>706.1(5) Lighting Control System</t>
  </si>
  <si>
    <t>SECTION 7: SOUND</t>
  </si>
  <si>
    <t>905.4 Sound Barrier</t>
  </si>
  <si>
    <t xml:space="preserve">SECTION 8: MATERIALS </t>
  </si>
  <si>
    <t>612.2 Sustainable Products</t>
  </si>
  <si>
    <t>901.5 Low/no- formaldehyde cabinets</t>
  </si>
  <si>
    <t>901.7 Low-emission floor materials</t>
  </si>
  <si>
    <t>901.8 Low-emission wall coverings</t>
  </si>
  <si>
    <t>901.12 Low-VOC furniture and furnishings</t>
  </si>
  <si>
    <t>3-8</t>
  </si>
  <si>
    <t>1-8</t>
  </si>
  <si>
    <t xml:space="preserve">SECTION 9: ACCESS TO NATURE </t>
  </si>
  <si>
    <t>503.6(1) Wildlife gardens</t>
  </si>
  <si>
    <t>503.6(2) Certified backyard wildlife</t>
  </si>
  <si>
    <t>503.6(3) Wildlife corridor or other preserved area</t>
  </si>
  <si>
    <t>WRI:</t>
  </si>
  <si>
    <t>Building Envelope</t>
  </si>
  <si>
    <t>Roof R-Value:</t>
  </si>
  <si>
    <t>Floor R-Value:</t>
  </si>
  <si>
    <t>Wall R-Value:</t>
  </si>
  <si>
    <t>Describe Wall Section:</t>
  </si>
  <si>
    <t>Window-Wall Ratio:</t>
  </si>
  <si>
    <t>Window U-Value:</t>
  </si>
  <si>
    <t>Window SHGC:</t>
  </si>
  <si>
    <t>Window Description:</t>
  </si>
  <si>
    <t>Exterior Shading Devices:</t>
  </si>
  <si>
    <t>Air Leakage Test Results:</t>
  </si>
  <si>
    <t>Air Sealing Protocol Description:</t>
  </si>
  <si>
    <t>Lighting</t>
  </si>
  <si>
    <t>Describe Lighting Design &amp; Control Strategy:</t>
  </si>
  <si>
    <t>HVAC System Characteristics (Check all included technologies and note efficiency values)</t>
  </si>
  <si>
    <t>Gas and Propane Heater</t>
  </si>
  <si>
    <t>Gas Boiler</t>
  </si>
  <si>
    <t>Oil Boiler</t>
  </si>
  <si>
    <t>Radiant and Hydronic Space Heating</t>
  </si>
  <si>
    <t>Electric Heat Pump</t>
  </si>
  <si>
    <t>Gas Engine-Driven Heat Pump Heating</t>
  </si>
  <si>
    <t>Gas Engine-Driven Heat Pump Cooling</t>
  </si>
  <si>
    <t>Water Source Cooling and Heating</t>
  </si>
  <si>
    <t>Describe Mechanical System:</t>
  </si>
  <si>
    <t>Ventilation</t>
  </si>
  <si>
    <t>Spot Ventilation Only:</t>
  </si>
  <si>
    <t>Building Ventilation Systems:</t>
  </si>
  <si>
    <t>Energy Storage</t>
  </si>
  <si>
    <t xml:space="preserve">Oil Furnace </t>
  </si>
  <si>
    <t>Renewable Energy System Characteristics</t>
  </si>
  <si>
    <t xml:space="preserve">Describe systems here. Submit photos of installed on-site systems and appropriate documentation (e.g., solar installer design report, power purchase agreement, or renewable energy credit certificate) of installed system. </t>
  </si>
  <si>
    <r>
      <rPr>
        <b/>
        <sz val="11"/>
        <color theme="1"/>
        <rFont val="Calibri"/>
        <family val="2"/>
        <scheme val="minor"/>
      </rPr>
      <t>Solar electric (PV)</t>
    </r>
    <r>
      <rPr>
        <sz val="11"/>
        <color theme="1"/>
        <rFont val="Calibri"/>
        <family val="2"/>
        <scheme val="minor"/>
      </rPr>
      <t>: array size and output per capacity nameplate, panel quantity, type and brand, inverter quantity, type and location(s).</t>
    </r>
  </si>
  <si>
    <r>
      <rPr>
        <b/>
        <sz val="11"/>
        <color theme="1"/>
        <rFont val="Calibri"/>
        <family val="2"/>
        <scheme val="minor"/>
      </rPr>
      <t>Wind</t>
    </r>
    <r>
      <rPr>
        <sz val="11"/>
        <color theme="1"/>
        <rFont val="Calibri"/>
        <family val="2"/>
        <scheme val="minor"/>
      </rPr>
      <t xml:space="preserve">: (If onsite: note turbine size and output in peak kw, inverter type, brand and location. If off-site, note farm location, overall size, and purchased share of energy expected.) </t>
    </r>
  </si>
  <si>
    <r>
      <rPr>
        <b/>
        <sz val="11"/>
        <color theme="1"/>
        <rFont val="Calibri"/>
        <family val="2"/>
        <scheme val="minor"/>
      </rPr>
      <t>Have Renewable Energy Credits been retained?</t>
    </r>
    <r>
      <rPr>
        <sz val="11"/>
        <color theme="1"/>
        <rFont val="Calibri"/>
        <family val="2"/>
        <scheme val="minor"/>
      </rPr>
      <t xml:space="preserve"> If yes, describe amount (KWh) and plan for recurring purchase, if any. </t>
    </r>
  </si>
  <si>
    <t xml:space="preserve">Meet one of the below practices. </t>
  </si>
  <si>
    <t xml:space="preserve">Meet mandatory practice. </t>
  </si>
  <si>
    <t>1-3</t>
  </si>
  <si>
    <t>Total Points:</t>
  </si>
  <si>
    <t>selected:</t>
  </si>
  <si>
    <t>Resilience:</t>
  </si>
  <si>
    <t>Universal Design:</t>
  </si>
  <si>
    <t>Smart Home:</t>
  </si>
  <si>
    <t>Wellness:</t>
  </si>
  <si>
    <t>Zero Water:</t>
  </si>
  <si>
    <t>Net Zero Energy:</t>
  </si>
  <si>
    <t>1-5 (MF Only)</t>
  </si>
  <si>
    <t>10 (SF Only)</t>
  </si>
  <si>
    <t>Type of Lighting Description:</t>
  </si>
  <si>
    <t>Daylighting Features Description:</t>
  </si>
  <si>
    <t>Occupancy Sensors Description:</t>
  </si>
  <si>
    <t>Battery Storage Description:</t>
  </si>
  <si>
    <t>Practices</t>
  </si>
  <si>
    <t xml:space="preserve">Select optional practices to contribute toward meeting overall point total (18 required).  </t>
  </si>
  <si>
    <t>2-3 (MF Only)</t>
  </si>
  <si>
    <t>Meet at least 3 optional practices. These practices contribute toward meeting the overall point total (29 required).</t>
  </si>
  <si>
    <t>3 (MF Only)</t>
  </si>
  <si>
    <t xml:space="preserve">Select optional practices from Group B to contribute toward meeting overall point total (29 required). </t>
  </si>
  <si>
    <t>505.10(a) Indoor area for adult exercise and/or children's play equipment (MF Only)</t>
  </si>
  <si>
    <t>505.10(b) Courtyard, garden, terrace, or roof space for play/recreation (MF Only)</t>
  </si>
  <si>
    <t>2-8 (MF Only)</t>
  </si>
  <si>
    <t>8 (MF Only)</t>
  </si>
  <si>
    <t xml:space="preserve">Select optional practices to contribute toward meeting overall point total (29 required).  </t>
  </si>
  <si>
    <t xml:space="preserve">Select optional practices to contribute toward meeting overall point total (29 required).  
</t>
  </si>
  <si>
    <t>3-9 (MF Only)</t>
  </si>
  <si>
    <t>2 (MF Only)</t>
  </si>
  <si>
    <t xml:space="preserve">Select optional practices to contribute toward meeting overall point total (29 required). 
</t>
  </si>
  <si>
    <t>I certify that the above requirements were met based on documentation review and on-site inspection. The features identified above were verified in accordance with the NGBS and guidance in the Verifier Agreement and Verifier’s Resource Guide.
My company did not supply product, participate in the physical construction of this project, or operate otherwise that would compromise the independent of my verification services.</t>
  </si>
  <si>
    <t xml:space="preserve">Achieve a minimum of 15 points from the following practices. These practices contribute toward meeting the overall point total (29 required).
</t>
  </si>
  <si>
    <t>Select optional practices to contribute toward meeting overall point total (18 required).</t>
  </si>
  <si>
    <t>See Section Header</t>
  </si>
  <si>
    <t>vntBadgesSmartSect3</t>
  </si>
  <si>
    <t>dntBadgesSmartSect3</t>
  </si>
  <si>
    <t>desBadgesRoofRVal</t>
  </si>
  <si>
    <t>desBadgesFloorRVal</t>
  </si>
  <si>
    <t>desBadgesWallRVal</t>
  </si>
  <si>
    <t>desBadgesWindowWallRatio</t>
  </si>
  <si>
    <t>desBadgesWindowUVal</t>
  </si>
  <si>
    <t>desBadgesSHGC</t>
  </si>
  <si>
    <t>desBadgesPropane</t>
  </si>
  <si>
    <t>desBadgesOilFurnace</t>
  </si>
  <si>
    <t>desBadgesGasBoiler</t>
  </si>
  <si>
    <t>desBadgesOilBoiler</t>
  </si>
  <si>
    <t>desBadgesRadiant</t>
  </si>
  <si>
    <t>desBadgesElectricHeat</t>
  </si>
  <si>
    <t>desBadgesGEDHPHeating</t>
  </si>
  <si>
    <t>desBadgesElectricAC</t>
  </si>
  <si>
    <t>desBadgesGEHHPCooling</t>
  </si>
  <si>
    <t>desBadgesWaterSourceHC</t>
  </si>
  <si>
    <t>desBadgesGroundSourceHP</t>
  </si>
  <si>
    <t>desBadgesSpotVent</t>
  </si>
  <si>
    <t>desBadgesBuildingVent</t>
  </si>
  <si>
    <t>desBadgesResilienceAdditional</t>
  </si>
  <si>
    <t>desBadges703_7_2</t>
  </si>
  <si>
    <t>desBadges802_6_4_1</t>
  </si>
  <si>
    <t>desBadges802_6_5_5</t>
  </si>
  <si>
    <t>desBadges802_10_1_1</t>
  </si>
  <si>
    <t>desBadges803_3_1</t>
  </si>
  <si>
    <t>desBadgesSmartAdd</t>
  </si>
  <si>
    <t>dntBadgesRoofRVal</t>
  </si>
  <si>
    <t>dntBadgesFloorRVal</t>
  </si>
  <si>
    <t>dntBadgesWallRVal</t>
  </si>
  <si>
    <t>dntBadgesWallDesc</t>
  </si>
  <si>
    <t>dntBadgesWindowWallRatio</t>
  </si>
  <si>
    <t>dntBadgesWindowUVal</t>
  </si>
  <si>
    <t>dntBadgesSHGC</t>
  </si>
  <si>
    <t>dntBadgesWindowDesc</t>
  </si>
  <si>
    <t>dntBadgesExteriorShading</t>
  </si>
  <si>
    <t>dntBadgesAirLeakage</t>
  </si>
  <si>
    <t>dntBadgesAirSealing</t>
  </si>
  <si>
    <t>dntBadgesLightingType</t>
  </si>
  <si>
    <t>dntBadgesDaylighting</t>
  </si>
  <si>
    <t>dntBadgesOccSensor</t>
  </si>
  <si>
    <t>dntBadgesLightingDesign</t>
  </si>
  <si>
    <t>dntBadgesPropane</t>
  </si>
  <si>
    <t>dntBadgesOilFurnace</t>
  </si>
  <si>
    <t>dntBadgesGasBoiler</t>
  </si>
  <si>
    <t>dntBadgesOilBoiler</t>
  </si>
  <si>
    <t>dntBadgesRadiant</t>
  </si>
  <si>
    <t>dntBadgesElectricHeat</t>
  </si>
  <si>
    <t>dntBadgesGEDHPHeating</t>
  </si>
  <si>
    <t>dntBadgesElectricAC</t>
  </si>
  <si>
    <t>dntBadgesGEHHPCooling</t>
  </si>
  <si>
    <t>dntBadgesWaterSourceHC</t>
  </si>
  <si>
    <t>dntBadgesGroundSourceHP</t>
  </si>
  <si>
    <t>dntBadgesHVACDesc</t>
  </si>
  <si>
    <t>dntBadgesSpotVent</t>
  </si>
  <si>
    <t>dntBadgesBuildingVent</t>
  </si>
  <si>
    <t>dntBadgesBatteryStorage</t>
  </si>
  <si>
    <t>dntBadgesSolar</t>
  </si>
  <si>
    <t>dntBadgesWind</t>
  </si>
  <si>
    <t>dntBadgesEnergyCredits</t>
  </si>
  <si>
    <t>dntBadgesResilienceSect1</t>
  </si>
  <si>
    <t>dntBadgesResilienceSect2</t>
  </si>
  <si>
    <t>dntBadgesResilienceAdditional</t>
  </si>
  <si>
    <t>dntBadgesSmartSect1</t>
  </si>
  <si>
    <t>dntBadgesSmartSect2</t>
  </si>
  <si>
    <t>dntBadgesSmartSect4</t>
  </si>
  <si>
    <t>dntBadgesSmartAdd</t>
  </si>
  <si>
    <t>dntBadgesWellnessSect1</t>
  </si>
  <si>
    <t>dntBadgesWellnessSect2</t>
  </si>
  <si>
    <t>dntBadgesWellnessSect3</t>
  </si>
  <si>
    <t>dntBadgesWellnessSect4</t>
  </si>
  <si>
    <t>dntBadgesWellnessSect5</t>
  </si>
  <si>
    <t>dntBadgesWellnessSect6</t>
  </si>
  <si>
    <t>dntBadgesWellnessSect7</t>
  </si>
  <si>
    <t>dntBadgesWellnessSect8</t>
  </si>
  <si>
    <t>dntBadgesWellnessSect9</t>
  </si>
  <si>
    <t>verBadgesRoofRVal</t>
  </si>
  <si>
    <t>verBadgesFloorRVal</t>
  </si>
  <si>
    <t>verBadgesWallRVal</t>
  </si>
  <si>
    <t>verBadgesWindowWallRatio</t>
  </si>
  <si>
    <t>verBadgesWindowUVal</t>
  </si>
  <si>
    <t>verBadgesSHGC</t>
  </si>
  <si>
    <t>verBadgesPropane</t>
  </si>
  <si>
    <t>verBadgesOilFurnace</t>
  </si>
  <si>
    <t>verBadgesGasBoiler</t>
  </si>
  <si>
    <t>verBadgesOilBoiler</t>
  </si>
  <si>
    <t>verBadgesRadiant</t>
  </si>
  <si>
    <t>verBadgesElectricHeat</t>
  </si>
  <si>
    <t>verBadgesGEDHPHeating</t>
  </si>
  <si>
    <t>verBadgesElectricAC</t>
  </si>
  <si>
    <t>verBadgesGEHHPCooling</t>
  </si>
  <si>
    <t>verBadgesWaterSourceHC</t>
  </si>
  <si>
    <t>verBadgesGroundSourceHP</t>
  </si>
  <si>
    <t>verBadgesSpotVent</t>
  </si>
  <si>
    <t>verBadgesBuildingVent</t>
  </si>
  <si>
    <t>verBadgesResilienceAdditional</t>
  </si>
  <si>
    <t>verBadges703_7_2</t>
  </si>
  <si>
    <t>verBadges802_6_4_1</t>
  </si>
  <si>
    <t>verBadges802_6_5_5</t>
  </si>
  <si>
    <t>verBadges802_10_1_1</t>
  </si>
  <si>
    <t>verBadges803_3_1</t>
  </si>
  <si>
    <t>verBadgesSmartAdd</t>
  </si>
  <si>
    <t>vntBadgesRoofRVal</t>
  </si>
  <si>
    <t>vntBadgesFloorRVal</t>
  </si>
  <si>
    <t>vntBadgesWallRVal</t>
  </si>
  <si>
    <t>vntBadgesWallDesc</t>
  </si>
  <si>
    <t>vntBadgesWindowWallRatio</t>
  </si>
  <si>
    <t>vntBadgesWindowUVal</t>
  </si>
  <si>
    <t>vntBadgesSHGC</t>
  </si>
  <si>
    <t>vntBadgesWindowDesc</t>
  </si>
  <si>
    <t>vntBadgesExteriorShading</t>
  </si>
  <si>
    <t>vntBadgesAirLeakage</t>
  </si>
  <si>
    <t>vntBadgesAirSealing</t>
  </si>
  <si>
    <t>vntBadgesLightingType</t>
  </si>
  <si>
    <t>vntBadgesDaylighting</t>
  </si>
  <si>
    <t>vntBadgesOccSensor</t>
  </si>
  <si>
    <t>vntBadgesLightingDesign</t>
  </si>
  <si>
    <t>vntBadgesPropane</t>
  </si>
  <si>
    <t>vntBadgesOilFurnace</t>
  </si>
  <si>
    <t>vntBadgesGasBoiler</t>
  </si>
  <si>
    <t>vntBadgesOilBoiler</t>
  </si>
  <si>
    <t>vntBadgesRadiant</t>
  </si>
  <si>
    <t>vntBadgesElectricHeat</t>
  </si>
  <si>
    <t>vntBadgesGEDHPHeating</t>
  </si>
  <si>
    <t>vntBadgesElectricAC</t>
  </si>
  <si>
    <t>vntBadgesGEHHPCooling</t>
  </si>
  <si>
    <t>vntBadgesWaterSourceHC</t>
  </si>
  <si>
    <t>vntBadgesGroundSourceHP</t>
  </si>
  <si>
    <t>vntBadgesHVACDesc</t>
  </si>
  <si>
    <t>vntBadgesSpotVent</t>
  </si>
  <si>
    <t>vntBadgesBuildingVent</t>
  </si>
  <si>
    <t>vntBadgesBatteryStorage</t>
  </si>
  <si>
    <t>vntBadgesSolar</t>
  </si>
  <si>
    <t>vntBadgesWind</t>
  </si>
  <si>
    <t>vntBadgesEnergyCredits</t>
  </si>
  <si>
    <t>vntBadgesResilienceSect1</t>
  </si>
  <si>
    <t>vntBadgesResilienceSect2</t>
  </si>
  <si>
    <t>vntBadgesResilienceAdditional</t>
  </si>
  <si>
    <t>vntBadgesSmartSect1</t>
  </si>
  <si>
    <t>vntBadgesSmartSect2</t>
  </si>
  <si>
    <t>vntBadgesSmartSect4</t>
  </si>
  <si>
    <t>vntBadgesSmartAdd</t>
  </si>
  <si>
    <t>vntBadgesWellnessSect1</t>
  </si>
  <si>
    <t>vntBadgesWellnessSect2</t>
  </si>
  <si>
    <t>vntBadgesWellnessSect3</t>
  </si>
  <si>
    <t>vntBadgesWellnessSect4</t>
  </si>
  <si>
    <t>vntBadgesWellnessSect5</t>
  </si>
  <si>
    <t>vntBadgesWellnessSect6</t>
  </si>
  <si>
    <t>vntBadgesWellnessSect7</t>
  </si>
  <si>
    <t>vntBadgesWellnessSect8</t>
  </si>
  <si>
    <t>vntBadgesWellnessSect9</t>
  </si>
  <si>
    <t>updated copyright date, added WRI sheets, added Badges sheets, updated appendices</t>
  </si>
  <si>
    <t>901.12 Furniture and Furnishing</t>
  </si>
  <si>
    <t>UL GREENGUARD Gold Scientific Certifications Systems (SCS) Indoor Advantage Gold Program BIFMA level certification where 7.6.1 and 7.6.2 are proven to be achieved</t>
  </si>
  <si>
    <t xml:space="preserve">APPENDIX B </t>
  </si>
  <si>
    <t>B100</t>
  </si>
  <si>
    <r>
      <t>B101.2 Scope.</t>
    </r>
    <r>
      <rPr>
        <sz val="10"/>
        <color theme="1"/>
        <rFont val="Arial"/>
        <family val="2"/>
      </rPr>
      <t xml:space="preserve"> Appendix B provides examples of third-party programs for indoor environmental quality that can be used to demonstrate compliance with the applicable provisions of this Standard.</t>
    </r>
  </si>
  <si>
    <r>
      <t>B101.1 Applicability of Appendix B.</t>
    </r>
    <r>
      <rPr>
        <sz val="10"/>
        <color theme="1"/>
        <rFont val="Arial"/>
        <family val="2"/>
      </rPr>
      <t xml:space="preserve"> Appendix B is not part of this Standard. </t>
    </r>
  </si>
  <si>
    <t>TABLE B200(1)</t>
  </si>
  <si>
    <t>B200</t>
  </si>
  <si>
    <t>TABLE B200(2)</t>
  </si>
  <si>
    <r>
      <t xml:space="preserve">602.1.10 Exterior doors. </t>
    </r>
    <r>
      <rPr>
        <sz val="10"/>
        <color theme="1"/>
        <rFont val="Calibri"/>
        <family val="2"/>
        <scheme val="minor"/>
      </rPr>
      <t>Entries at exterior door assemblies, inclusive of side lights (if any), are covered by one of the following methods to protect the building from the effects of precipitation and solar radiation. Either a storm door or a projection factor of 0.375 minimum is provided. Eastern- and western-facing entries in Climate Zones 1, 2, and 3, as determined in accordance with Figure 6(1) or Appendix A, have either a storm door or a projection factor of 1.0 minimum, unless protected from direct solar radiation by other means (e.g., screen wall, vegetation).</t>
    </r>
  </si>
  <si>
    <r>
      <t xml:space="preserve">706.12 Smart ventilation. </t>
    </r>
    <r>
      <rPr>
        <sz val="10"/>
        <rFont val="Calibri"/>
        <family val="2"/>
        <scheme val="minor"/>
      </rPr>
      <t xml:space="preserve">A whole-building ventilation systems is installed with automatic ventilation controls to limit ventilation during periods of extreme temperature, extreme humidity, and/or during times of peak utility loads and is in accordance with the specifications of ASHRAE Standard 62.2-2010 Section 4. </t>
    </r>
  </si>
  <si>
    <r>
      <t>804.1 Performance Path.</t>
    </r>
    <r>
      <rPr>
        <sz val="10"/>
        <color theme="1"/>
        <rFont val="Calibri"/>
        <family val="2"/>
        <scheme val="minor"/>
      </rPr>
      <t xml:space="preserve"> The index score for the Performance Path shall be calculated in accordance with Appendix D Water Rating Index (WRI) or equivalent methodology.</t>
    </r>
  </si>
  <si>
    <t>For one- and two-family dwelling units, a 100 cfm (47 L/s) or greater ducted or 70 cfm (33 L/s) cfm or greater unducted wall exhaust fan is installed and vented to the outdoors and is designed and installed for continuous operation or has controls (e.g., motion detectors, pressure switches) that activate operation for a minimum of 1 hour when either human passage door or roll-up automatic doors are operated. For ducted exhaust fans, the fan airflow rating and duct sizing are in accordance with ASHRAE Standard 62.2-2007 Section 7.3.</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</si>
  <si>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B.</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</si>
  <si>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B. </t>
    </r>
  </si>
  <si>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B.</t>
    </r>
  </si>
  <si>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B. </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</si>
  <si>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B. </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</si>
  <si>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B. </t>
    </r>
  </si>
  <si>
    <r>
      <t xml:space="preserve">902.2.1 </t>
    </r>
    <r>
      <rPr>
        <sz val="10"/>
        <color theme="1"/>
        <rFont val="Calibri"/>
        <family val="2"/>
        <scheme val="minor"/>
      </rPr>
      <t xml:space="preserve">One of the following whole building ventilation systems is implemented and is in accordance with the specifications of ASHRAE Standard 62.2-2010 Section 4 and an explanation of the operation and importance of the ventilation system is </t>
    </r>
    <r>
      <rPr>
        <b/>
        <sz val="10"/>
        <color theme="1"/>
        <rFont val="Calibri"/>
        <family val="2"/>
        <scheme val="minor"/>
      </rPr>
      <t>included in either 1001.1(9) or 1002.2(11)</t>
    </r>
    <r>
      <rPr>
        <sz val="10"/>
        <color theme="1"/>
        <rFont val="Calibri"/>
        <family val="2"/>
        <scheme val="minor"/>
      </rPr>
      <t>.</t>
    </r>
  </si>
  <si>
    <t>5.0.6</t>
  </si>
  <si>
    <t>Modeler’s Credential:</t>
  </si>
  <si>
    <t>AEE BESA</t>
  </si>
  <si>
    <t>BEMP</t>
  </si>
  <si>
    <t>ES MFHR LP</t>
  </si>
  <si>
    <t>HERS Rater</t>
  </si>
  <si>
    <t>erroring related to 703.1.2, added energy modeler fields, fixed error in points available for 503.5 in Verification Report, removed WRI</t>
  </si>
  <si>
    <t>5.0.7</t>
  </si>
  <si>
    <t>701.1 note mandatory indication fixed in Ver. Rep., 503.7 multiselect changed to dropdown, corrected various availability logic, fixed 705/706 count rough error</t>
  </si>
  <si>
    <t>ddMetNotMetNA</t>
  </si>
  <si>
    <t>desBadges901_1_1</t>
  </si>
  <si>
    <t>desBadges901_1_5</t>
  </si>
  <si>
    <t>5.0.8</t>
  </si>
  <si>
    <t>finalized Wellness Badge changes</t>
  </si>
  <si>
    <t>desBadges903_3</t>
  </si>
  <si>
    <t>verBadges901_1_1</t>
  </si>
  <si>
    <t>verBadges901_1_3</t>
  </si>
  <si>
    <t>verBadges903_3</t>
  </si>
  <si>
    <t>5.1.0</t>
  </si>
  <si>
    <t>corrected 609.1 in Commercial</t>
  </si>
  <si>
    <t>5.1.1</t>
  </si>
  <si>
    <t>corrected Wellness Badge requirements</t>
  </si>
  <si>
    <t>5.1.2</t>
  </si>
  <si>
    <t>fixed mandatory note indication for 602.1.15 on Verification page, corrected 505.6 availability to MF only, Resilience Badge requirements corrected</t>
  </si>
  <si>
    <t>5.1.3</t>
  </si>
  <si>
    <t>Test results (pCi/L):</t>
  </si>
  <si>
    <t>NOTE: 5 Points must be taken in 503.5(1)-(7) for a Full Landscape Plan in order to receive points for 802.6.4(2).</t>
  </si>
  <si>
    <t>backend fix, removed some page breaks from Verification Report, test result field added to 902.3.2(1), energy modeler field added, corrected error logic for 802.6.1</t>
  </si>
  <si>
    <t>5.1.4</t>
  </si>
  <si>
    <t>Please indicate energy modeler’s professional credential and, in the notes field, their name. When selecting “Other,” enter professional credentials (e.g., engineer, architect) within the notes field.</t>
  </si>
  <si>
    <t>corrected availability logic in Chapter 8 Verification Report, added "other" to modeler credential</t>
  </si>
  <si>
    <t>5.1.5</t>
  </si>
  <si>
    <t>Water Sense</t>
  </si>
  <si>
    <t>LEAKS:</t>
  </si>
  <si>
    <t>Performance or Prescriptive Path?</t>
  </si>
  <si>
    <t>Pressure-loss test on all water supplies detects no leaks.</t>
  </si>
  <si>
    <t>Free of visible leaks from hot water delivery system.</t>
  </si>
  <si>
    <t>Free of visible leaks from toilet(s), as determined through visual assessment and by conducting a dye tablet test in each toilet to ensure the flapper is not leaking.</t>
  </si>
  <si>
    <t>Free of visible leaks from bathroom faucets(s).</t>
  </si>
  <si>
    <t>Free of visible leaks from showerhead(s).</t>
  </si>
  <si>
    <t>Free of visible leaks from bathroom tub faucet(s), i.e., tub spout(s), when showerhead(s) is activated, as determined through visual assessment after showerhead has been activated for one minute.</t>
  </si>
  <si>
    <t>Free of visible leaks from kitchen and other sink faucet(s).</t>
  </si>
  <si>
    <t>Free of visible leaks from other fixtures or appliances (e.g., clothes washers, dishwashers, hose bibs, irrigation systems) at point of use of connection to water distribution system.</t>
  </si>
  <si>
    <t>Performance</t>
  </si>
  <si>
    <t>Prescriptive</t>
  </si>
  <si>
    <t>TOILETS:</t>
  </si>
  <si>
    <t>Toilets are WaterSense labeled.</t>
  </si>
  <si>
    <t>802.5.4(3)</t>
  </si>
  <si>
    <t>LAVATORY FAUCETS:</t>
  </si>
  <si>
    <t>SHOWERHEADS:</t>
  </si>
  <si>
    <t>Showerheads are WaterSense labeled.</t>
  </si>
  <si>
    <t>802.4(1)</t>
  </si>
  <si>
    <t>WATER EFFICIENCY:</t>
  </si>
  <si>
    <t>Achieve a Water Rating Index score of 64 or lower.</t>
  </si>
  <si>
    <t>KITCHEN FAUCETS:</t>
  </si>
  <si>
    <t>place an "x" or short text in this column if there's an issue</t>
  </si>
  <si>
    <t>No Photo Review</t>
  </si>
  <si>
    <t>No Points</t>
  </si>
  <si>
    <t>902.3(2) points now automatic, fixed some Wellness badge qualification logic, backend changes</t>
  </si>
  <si>
    <t>Photo</t>
  </si>
  <si>
    <t>Issue</t>
  </si>
  <si>
    <t xml:space="preserve">901.15(1-2) Non-Smoking Areas </t>
  </si>
  <si>
    <t>Mandatory (MF)</t>
  </si>
  <si>
    <t>4 (SF Only)</t>
  </si>
  <si>
    <t>dd801_1</t>
  </si>
  <si>
    <t>Project Elevation (ft. above sea level):</t>
  </si>
  <si>
    <t>dstElevation</t>
  </si>
  <si>
    <t>ft.</t>
  </si>
  <si>
    <t>verElevation</t>
  </si>
  <si>
    <t>ddAltBronze</t>
  </si>
  <si>
    <t>ddAltSilver</t>
  </si>
  <si>
    <t>ENERGY STAR v3.0</t>
  </si>
  <si>
    <t>Ch 11 of 2018 IRC</t>
  </si>
  <si>
    <t>ENERGY STAR v3.1</t>
  </si>
  <si>
    <t>IECC R401.2.1 (Tropical)</t>
  </si>
  <si>
    <t>ES MFHR/MFNC</t>
  </si>
  <si>
    <t>ES MFHR/MFNC (90.1)</t>
  </si>
  <si>
    <t>Option:</t>
  </si>
  <si>
    <t>Certificate will indicate a deviation due to project elevation.</t>
  </si>
  <si>
    <t>5.2.1</t>
  </si>
  <si>
    <t>WaterSense</t>
  </si>
  <si>
    <t>logic fixes for Smart Home and Wellness Badges, elevation field on design pages and relevant warnings in Ch 7, additional detail entry for 701.1.4, corrected points for 501.2(4)(b)</t>
  </si>
  <si>
    <t>5.2.2</t>
  </si>
  <si>
    <t>802.5.1(5)</t>
  </si>
  <si>
    <t>Where landscaping is planned, install native plants that are adapted for the local climate.</t>
  </si>
  <si>
    <t>503.5(2)</t>
  </si>
  <si>
    <t>No irrigation or landscaping planned:</t>
  </si>
  <si>
    <t>IRRIGATION:</t>
  </si>
  <si>
    <t>Spray sprinkler systems: pressure-regulating valves and WaterSense labeled spray sprinkler bodies are installed.</t>
  </si>
  <si>
    <t>802.6.5(1)</t>
  </si>
  <si>
    <t>This item applies to spray sprinkler irrigation; this does not apply to areas with micro-irrigation or drip irrigation.</t>
  </si>
  <si>
    <t>Spray sprinkler body must be WaterSense labeled. An irrigation sprinkler nozzle tested in accordance with ASABE/ICC 802 Landscape Irrigation Sprinkler and Emitter Standard does not satisfy this item. NGBS practice 802.6.2 contributes toward but does not fully satisfy the intent of this practice.</t>
  </si>
  <si>
    <t>Smart irrigation controllers are installed and WaterSense labeled.</t>
  </si>
  <si>
    <t>802.6.4(1)</t>
  </si>
  <si>
    <t>https://www.epa.gov/watersense/irrigation-controllers</t>
  </si>
  <si>
    <t>Confirm that the controllers are WaterSense labeled and featured on:</t>
  </si>
  <si>
    <t>It is insufficient to be in accordance with the performance criteria without certifying through EPA.</t>
  </si>
  <si>
    <t>Irrigation system is designed, installed, and/or audited by an irrigation professional certified through a WaterSense labeled program.</t>
  </si>
  <si>
    <t>https://www.epa.gov/watersense/irrigation-pro</t>
  </si>
  <si>
    <t>Professional must be certified through a WaterSense labeled program and listed at:</t>
  </si>
  <si>
    <t>All kitchen faucets have a maximum flow rate of 1.5 gpm.</t>
  </si>
  <si>
    <t>802.5.2(2)</t>
  </si>
  <si>
    <t>APPLIANCES:</t>
  </si>
  <si>
    <t>When installed, clothes washer is ENERGY STAR or equivalent with an Integrated Water Factor of 3.8 or less.</t>
  </si>
  <si>
    <t>802.2(3)</t>
  </si>
  <si>
    <t>When installed, dishwasher is ENERGY STAR or equivalent.</t>
  </si>
  <si>
    <t>None installed:</t>
  </si>
  <si>
    <t>HOT WATER DISTRIBUTION:</t>
  </si>
  <si>
    <t>The maximum volume from the water heater to the termination of the fixture supply at furthest fixture is 64 ounces (0.5 gallon).</t>
  </si>
  <si>
    <t>802.1(2)</t>
  </si>
  <si>
    <t>ADDITIONAL PRACTICES FOR MULTIFAMILY:</t>
  </si>
  <si>
    <t>Implement additional efficiency for toilets, showerheads, or hot water distribution systems.</t>
  </si>
  <si>
    <t>OPTION A: All installed toilets have a maximum flush volume of 1.1 gpf.</t>
  </si>
  <si>
    <t>OPTION B: Showerheads have a maximum flow rate of 1.8 gpm.</t>
  </si>
  <si>
    <t>802.4(2)</t>
  </si>
  <si>
    <t>OPTION C: A central hot water recirculation system is implemented in multifamily buildings in which the hot water line distance from the recirculating loop to the engineered parallel piping system (i.e., manifold system) is less than 30 ft. (9,144 mm) and the parallel piping to the fixture fittings contains a maximum of 64 ounces (0.5 gallons).</t>
  </si>
  <si>
    <t>802.1(5)</t>
  </si>
  <si>
    <t>802.2(1) (also qualifies for 703.6.2(2))</t>
  </si>
  <si>
    <t>qualified for prescriptive:</t>
  </si>
  <si>
    <t>qualified for performance:</t>
  </si>
  <si>
    <t>WaterSense:</t>
  </si>
  <si>
    <r>
      <rPr>
        <i/>
        <sz val="11"/>
        <color theme="1"/>
        <rFont val="Calibri"/>
        <family val="2"/>
        <scheme val="minor"/>
      </rPr>
      <t>Exception</t>
    </r>
    <r>
      <rPr>
        <sz val="11"/>
        <color theme="1"/>
        <rFont val="Calibri"/>
        <family val="2"/>
        <scheme val="minor"/>
      </rPr>
      <t>: if no certified irrigation professionals are accepting new work in the city, county, or metropolitan area where the building is located, this requirement can be satisfied with an audit conducted by a non-certified irrigation professional using the ASABE S636 Landscape Irrigation System Uniformity and Application Rate Testing Protocol to complete the irrigation audit. Use of this exemption must be documented and retained with the verifier’s records.</t>
    </r>
  </si>
  <si>
    <t>WaterSenseLeaks1</t>
  </si>
  <si>
    <t>WaterSenseLeaks2</t>
  </si>
  <si>
    <t>WaterSenseLeaks3</t>
  </si>
  <si>
    <t>WaterSenseLeaks4</t>
  </si>
  <si>
    <t>WaterSenseLeaks5</t>
  </si>
  <si>
    <t>WaterSenseLeaks6</t>
  </si>
  <si>
    <t>WaterSenseLeaks7</t>
  </si>
  <si>
    <t>WaterSenseLeaks8</t>
  </si>
  <si>
    <t>WaterSenseToilet</t>
  </si>
  <si>
    <t>WaterSenseLavFaucet</t>
  </si>
  <si>
    <t>WaterSenseShowerheads</t>
  </si>
  <si>
    <t>WaterSenseIrrigation</t>
  </si>
  <si>
    <t>WaterSenseOptionA</t>
  </si>
  <si>
    <t>WaterSenseDishwasher</t>
  </si>
  <si>
    <t>WaterSenseClothesWasher</t>
  </si>
  <si>
    <t>fixed points error on 501.1, added WaterSense</t>
  </si>
  <si>
    <t>5.2.3</t>
  </si>
  <si>
    <t>Removed Verifier Reminder</t>
  </si>
  <si>
    <t>5.2.4</t>
  </si>
  <si>
    <t>corrected Mandatory indication for 701.4.3.1; 703.2.5 not mandatory for Tropical, corrected error indication on Rough Comm. Sig. page</t>
  </si>
  <si>
    <t>5.2.5</t>
  </si>
  <si>
    <t>Rough-In Test:</t>
  </si>
  <si>
    <t>Postconstruction Test:</t>
  </si>
  <si>
    <t>corrected informational display of unit count for 706.5, increased maximum allowed answer for 706.5(3), 602.1.1.1 now allows "N/A" with mandatory note, 703.1.3 test results now need to be entered, 11.705.2.4 no longer available if there are no heating or cooling systems</t>
  </si>
  <si>
    <t>ver7Path</t>
  </si>
  <si>
    <t>5.2.6</t>
  </si>
  <si>
    <t>corrected an error that excluded the ERI path in Ch 7 from Emerald</t>
  </si>
  <si>
    <t>Solar Thermal</t>
  </si>
  <si>
    <t>Tank Volume (gallons):</t>
  </si>
  <si>
    <t>Maximum Heating Rate (Btu/hr):</t>
  </si>
  <si>
    <t>Geothermal</t>
  </si>
  <si>
    <t>Maximum Power (hp):</t>
  </si>
  <si>
    <t>Surface Temperature of Fluid (F):</t>
  </si>
  <si>
    <t>Estimated Reservoir Temperature at 6,500 Feet (F):</t>
  </si>
  <si>
    <t>Number of Wells Drilled:</t>
  </si>
  <si>
    <t>Efficiency (%):</t>
  </si>
  <si>
    <r>
      <t>Collector Area (ft</t>
    </r>
    <r>
      <rPr>
        <vertAlign val="superscript"/>
        <sz val="11"/>
        <color theme="1"/>
        <rFont val="Calibri"/>
        <family val="2"/>
        <scheme val="minor"/>
      </rPr>
      <t>2</t>
    </r>
    <r>
      <rPr>
        <sz val="11"/>
        <color theme="1"/>
        <rFont val="Calibri"/>
        <family val="2"/>
        <scheme val="minor"/>
      </rPr>
      <t>):</t>
    </r>
  </si>
  <si>
    <r>
      <t>Area of Geothermal Field (mi</t>
    </r>
    <r>
      <rPr>
        <vertAlign val="superscript"/>
        <sz val="11"/>
        <color theme="1"/>
        <rFont val="Calibri"/>
        <family val="2"/>
        <scheme val="minor"/>
      </rPr>
      <t>2</t>
    </r>
    <r>
      <rPr>
        <sz val="11"/>
        <color theme="1"/>
        <rFont val="Calibri"/>
        <family val="2"/>
        <scheme val="minor"/>
      </rPr>
      <t>):</t>
    </r>
  </si>
  <si>
    <t>Collector Slope(degrees):</t>
  </si>
  <si>
    <t>Efficiency(%):</t>
  </si>
  <si>
    <t>desBadgesSolarThermalArea</t>
  </si>
  <si>
    <t>desBadgesSolarThermalSlope</t>
  </si>
  <si>
    <t>desBadgesSolarThermalEfficiency</t>
  </si>
  <si>
    <t>desBadgesSolarThermalTankVolume</t>
  </si>
  <si>
    <t>desBadgesSolarThermalHeatingRate</t>
  </si>
  <si>
    <t>desBadgesGeothermalPower</t>
  </si>
  <si>
    <t>desBadgesGeothermalSurfaceTemp</t>
  </si>
  <si>
    <t>desBadgesGeothermalResTemp</t>
  </si>
  <si>
    <t>desBadgesGeothermalFieldArea</t>
  </si>
  <si>
    <t>desBadgesGeothermalWells</t>
  </si>
  <si>
    <t>desBadgesGeothermalEfficiency</t>
  </si>
  <si>
    <t>dntBadgesSolarThermalArea</t>
  </si>
  <si>
    <t>dntBadgesGeothermalPower</t>
  </si>
  <si>
    <t>ddWellnessException</t>
  </si>
  <si>
    <t>505.10(a)</t>
  </si>
  <si>
    <t>505.10(b)</t>
  </si>
  <si>
    <t>505.10(a) &amp; (b)</t>
  </si>
  <si>
    <r>
      <rPr>
        <i/>
        <sz val="11"/>
        <color theme="1"/>
        <rFont val="Calibri"/>
        <family val="2"/>
        <scheme val="minor"/>
      </rPr>
      <t>Exception</t>
    </r>
    <r>
      <rPr>
        <sz val="11"/>
        <color theme="1"/>
        <rFont val="Calibri"/>
        <family val="2"/>
        <scheme val="minor"/>
      </rPr>
      <t>: single-family homes unable to comply with 501.2(3) or 501.2(4) due to the low surrounding developmental density can meet this requirement if they demonstrate that they are within walking distance (0.5 mile) from a community facility that meet the intent of 505.10(a) or 505.10(b), such as a public park or sports facility.</t>
    </r>
  </si>
  <si>
    <t>desBadgesWellnessException</t>
  </si>
  <si>
    <t>5.2.7</t>
  </si>
  <si>
    <t>Version 1.2 / Revised September 2021</t>
  </si>
  <si>
    <t>verBadgesWellnessException</t>
  </si>
  <si>
    <t>verBadgesSolarThermalArea</t>
  </si>
  <si>
    <t>verBadgesSolarThermalSlope</t>
  </si>
  <si>
    <t>verBadgesSolarThermalEfficiency</t>
  </si>
  <si>
    <t>verBadgesSolarThermalTankVolume</t>
  </si>
  <si>
    <t>verBadgesSolarThermalHeatingRate</t>
  </si>
  <si>
    <t>verBadgesGeothermalPower</t>
  </si>
  <si>
    <t>verBadgesGeothermalSurfaceTemp</t>
  </si>
  <si>
    <t>verBadgesGeothermalResTemp</t>
  </si>
  <si>
    <t>verBadgesGeothermalFieldArea</t>
  </si>
  <si>
    <t>verBadgesGeothermalWells</t>
  </si>
  <si>
    <t>verBadgesGeothermalEfficiency</t>
  </si>
  <si>
    <t>vntBadgesSolarThermalArea</t>
  </si>
  <si>
    <t>vntBadgesGeothermalPower</t>
  </si>
  <si>
    <t>Electric Air Conditioner</t>
  </si>
  <si>
    <t>&gt;=4 story MF:</t>
  </si>
  <si>
    <t>Met; Tested</t>
  </si>
  <si>
    <t>Met; Not Tested</t>
  </si>
  <si>
    <t>Summary After ROUGH Inspection</t>
  </si>
  <si>
    <t>See separate summary page for Commercial Space compliance.</t>
  </si>
  <si>
    <t>Summary After FINAL Inspection</t>
  </si>
  <si>
    <t>"</t>
  </si>
  <si>
    <t>Corrected some Ch 7 calculations to check for &gt;= 4 stories rather than &gt;4 stories, 703.1.3 no longer requires test results when testing not required, 703.1 points no longer awarded in Tropical Zone</t>
  </si>
  <si>
    <r>
      <t xml:space="preserve">When the rough portion of the Verification phase is complete, move on to the </t>
    </r>
    <r>
      <rPr>
        <b/>
        <sz val="11"/>
        <color theme="1"/>
        <rFont val="Calibri"/>
        <family val="2"/>
        <scheme val="minor"/>
      </rPr>
      <t>Rough Summary</t>
    </r>
    <r>
      <rPr>
        <sz val="11"/>
        <color theme="1"/>
        <rFont val="Calibri"/>
        <family val="2"/>
        <scheme val="minor"/>
      </rPr>
      <t xml:space="preserve"> page. Fill out the necessary information before submitting the file to Home Innovation.</t>
    </r>
  </si>
  <si>
    <r>
      <t xml:space="preserve">When the final portion of the Verification phase is complete, move to the </t>
    </r>
    <r>
      <rPr>
        <b/>
        <sz val="11"/>
        <color theme="1"/>
        <rFont val="Calibri"/>
        <family val="2"/>
        <scheme val="minor"/>
      </rPr>
      <t>Final Summary</t>
    </r>
    <r>
      <rPr>
        <sz val="11"/>
        <color theme="1"/>
        <rFont val="Calibri"/>
        <family val="2"/>
        <scheme val="minor"/>
      </rPr>
      <t xml:space="preserve"> page. Fill out necessary information before submitting the file to Home Innovation.</t>
    </r>
  </si>
  <si>
    <r>
      <t xml:space="preserve">When the verification is complete, move to the </t>
    </r>
    <r>
      <rPr>
        <b/>
        <sz val="11"/>
        <color theme="1"/>
        <rFont val="Calibri"/>
        <family val="2"/>
        <scheme val="minor"/>
      </rPr>
      <t>Comm. Summary</t>
    </r>
    <r>
      <rPr>
        <sz val="11"/>
        <color theme="1"/>
        <rFont val="Calibri"/>
        <family val="2"/>
        <scheme val="minor"/>
      </rPr>
      <t xml:space="preserve"> page. Fill out the necessary information before submitting to Home Innovation.</t>
    </r>
  </si>
  <si>
    <t>City</t>
  </si>
  <si>
    <t>Zip</t>
  </si>
  <si>
    <t>• A batch can consist of 2-50 buildings.</t>
  </si>
  <si>
    <t>• Batch submission is at the discretion of the verifier. A building can be removed from a batch at any time and submitted separately.</t>
  </si>
  <si>
    <t>• All buildings within a batch must be built by the same builder and be located within the same county.</t>
  </si>
  <si>
    <t>• Photos for each building are to be submitted, each titled with their respective Project ID.</t>
  </si>
  <si>
    <t>Enter on Rough Summary page</t>
  </si>
  <si>
    <t>Solar Thermal and Geothermal sections added to Net Zero Energy badge, SF exception added to Wellness badge, signatures removed and page names changed</t>
  </si>
  <si>
    <t>5.2.8</t>
  </si>
  <si>
    <t>Corrected leakage display for 703.2.4, 13.104.1.9 changed to Core &amp; Shell, 902.3.1 is now considered passive and has had its points adjusted</t>
  </si>
  <si>
    <t>See 701.4.3.1</t>
  </si>
  <si>
    <t>703.1.2 no longer unavailable when 701.4.3.3 exception selected</t>
  </si>
  <si>
    <t>5.2.9</t>
  </si>
  <si>
    <t>Dominican Republic</t>
  </si>
  <si>
    <t>DR</t>
  </si>
  <si>
    <t>Azua</t>
  </si>
  <si>
    <t>Baoruco</t>
  </si>
  <si>
    <t>Barahona</t>
  </si>
  <si>
    <t>Dajabón</t>
  </si>
  <si>
    <t>Distrito Nacional</t>
  </si>
  <si>
    <t>Duarte</t>
  </si>
  <si>
    <t>Elías Piña</t>
  </si>
  <si>
    <t>El Seibo</t>
  </si>
  <si>
    <t>Espaillat</t>
  </si>
  <si>
    <t>Hato Mayor</t>
  </si>
  <si>
    <t>Hermanas Mirabal</t>
  </si>
  <si>
    <t>Independencia</t>
  </si>
  <si>
    <t>La Altagracia</t>
  </si>
  <si>
    <t>La Romana</t>
  </si>
  <si>
    <t>La Vega</t>
  </si>
  <si>
    <t>María Trinidad Sánchez</t>
  </si>
  <si>
    <t>Monseñor Nouel</t>
  </si>
  <si>
    <t>Monte Cristi</t>
  </si>
  <si>
    <t>Monte Plata</t>
  </si>
  <si>
    <t>Pedernales</t>
  </si>
  <si>
    <t>Peravia</t>
  </si>
  <si>
    <t>Puerto Plata</t>
  </si>
  <si>
    <t>Samaná</t>
  </si>
  <si>
    <t>Sánchez Ramírez</t>
  </si>
  <si>
    <t>San Cristóbal</t>
  </si>
  <si>
    <t>San José de Ocoa</t>
  </si>
  <si>
    <t>San Pedro de Macorís</t>
  </si>
  <si>
    <t>Santiago</t>
  </si>
  <si>
    <t>Santiago Rodríguez</t>
  </si>
  <si>
    <t>Santo Domingo</t>
  </si>
  <si>
    <t>Valverde</t>
  </si>
  <si>
    <t>All shower compartments in the dwelling unit(s) or sleeping unit(s) and common areas meet the requirements of 802.4(1) and all showerheads are in accordance with one of the following:</t>
  </si>
  <si>
    <t>added Dominican Republic to location options; corrected text of 802.4(2), 13.105.5, 13.105.6, and 13.105.11.3; changed 505.3 to dropdown; added note to 13.105.8.1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</si>
</sst>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quot;)&quot;"/>
    <numFmt numFmtId="165" formatCode="0&quot; square feet&quot;"/>
    <numFmt numFmtId="166" formatCode="0.0%"/>
    <numFmt numFmtId="167" formatCode="0&quot; products&quot;"/>
    <numFmt numFmtId="168" formatCode="0.0"/>
    <numFmt numFmtId="169" formatCode="0.000"/>
    <numFmt numFmtId="170" formatCode="0&quot; inches&quot;"/>
    <numFmt numFmtId="171" formatCode="0&quot; Additional&quot;"/>
    <numFmt numFmtId="172" formatCode="0&quot; system(s)&quot;"/>
    <numFmt numFmtId="173" formatCode="0&quot; kW&quot;"/>
    <numFmt numFmtId="174" formatCode="&quot;per &quot;0&quot; square feet&quot;"/>
    <numFmt numFmtId="175" formatCode="0&quot; luminaires&quot;"/>
    <numFmt numFmtId="176" formatCode="0&quot; timer(s)&quot;"/>
    <numFmt numFmtId="177" formatCode="0&quot; humidistat(s)&quot;"/>
    <numFmt numFmtId="178" formatCode="0&quot; fan(s)&quot;"/>
    <numFmt numFmtId="179" formatCode="0_);[Red]\(0\)"/>
    <numFmt numFmtId="180" formatCode="mm/dd/yy;@"/>
    <numFmt numFmtId="181" formatCode="0&quot; kWh&quot;"/>
    <numFmt numFmtId="182" formatCode="0&quot; meter(s)&quot;"/>
    <numFmt numFmtId="183" formatCode="0&quot; sensor package(s)&quot;"/>
    <numFmt numFmtId="185" formatCode="0&quot; unit(s)&quot;"/>
    <numFmt numFmtId="186" formatCode="0.000&quot; units per acre&quot;"/>
    <numFmt numFmtId="187" formatCode="0.0&quot; pCi/L&quot;"/>
    <numFmt numFmtId="188" formatCode="0&quot; gallons&quot;"/>
    <numFmt numFmtId="189" formatCode="0&quot; degrees&quot;"/>
    <numFmt numFmtId="190" formatCode="0&quot; hp&quot;"/>
    <numFmt numFmtId="191" formatCode="0&quot; degrees F&quot;"/>
    <numFmt numFmtId="192" formatCode="0&quot; square miles&quot;"/>
    <numFmt numFmtId="193" formatCode="0&quot; BTU/hr&quot;"/>
  </numFmts>
  <fonts count="9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
      <u/>
      <sz val="10"/>
      <color indexed="12"/>
      <name val="Calibri"/>
      <family val="2"/>
      <scheme val="minor"/>
    </font>
    <font>
      <sz val="14"/>
      <color theme="0"/>
      <name val="Calibri"/>
      <family val="2"/>
      <scheme val="minor"/>
    </font>
    <font>
      <u/>
      <sz val="11"/>
      <color theme="11"/>
      <name val="Calibri"/>
      <family val="2"/>
      <scheme val="minor"/>
    </font>
    <font>
      <b/>
      <sz val="11"/>
      <color rgb="FFFF0000"/>
      <name val="Calibri"/>
      <family val="2"/>
      <scheme val="minor"/>
    </font>
    <font>
      <sz val="9"/>
      <color theme="0"/>
      <name val="Calibri"/>
      <family val="2"/>
      <scheme val="minor"/>
    </font>
    <font>
      <b/>
      <sz val="10"/>
      <color theme="1"/>
      <name val="Calibri"/>
      <family val="2"/>
      <scheme val="minor"/>
    </font>
    <font>
      <b/>
      <sz val="10"/>
      <color theme="1"/>
      <name val="Calibri"/>
      <family val="2"/>
    </font>
    <font>
      <sz val="10"/>
      <color theme="1"/>
      <name val="Calibri"/>
      <family val="2"/>
    </font>
    <font>
      <sz val="11"/>
      <color rgb="FF37CBFF"/>
      <name val="Calibri"/>
      <family val="2"/>
      <scheme val="minor"/>
    </font>
    <font>
      <sz val="10"/>
      <name val="Calibri"/>
      <family val="2"/>
    </font>
    <font>
      <b/>
      <sz val="11"/>
      <color theme="0" tint="-0.14996795556505021"/>
      <name val="Calibri"/>
      <family val="2"/>
      <scheme val="minor"/>
    </font>
    <font>
      <sz val="12"/>
      <color theme="0"/>
      <name val="Calibri"/>
      <family val="2"/>
      <scheme val="minor"/>
    </font>
    <font>
      <i/>
      <sz val="10"/>
      <color theme="1"/>
      <name val="Calibri"/>
      <family val="2"/>
      <scheme val="minor"/>
    </font>
    <font>
      <b/>
      <sz val="12"/>
      <name val="Calibri"/>
      <family val="2"/>
    </font>
    <font>
      <vertAlign val="superscript"/>
      <sz val="10"/>
      <color theme="1"/>
      <name val="Calibri"/>
      <family val="2"/>
      <scheme val="minor"/>
    </font>
    <font>
      <b/>
      <vertAlign val="superscript"/>
      <sz val="10"/>
      <color theme="1"/>
      <name val="Calibri"/>
      <family val="2"/>
      <scheme val="minor"/>
    </font>
    <font>
      <b/>
      <i/>
      <sz val="10"/>
      <color theme="1"/>
      <name val="Calibri"/>
      <family val="2"/>
      <scheme val="minor"/>
    </font>
    <font>
      <sz val="7"/>
      <color theme="1"/>
      <name val="Times New Roman"/>
      <family val="1"/>
    </font>
    <font>
      <sz val="10"/>
      <color rgb="FF000000"/>
      <name val="Calibri"/>
      <family val="2"/>
      <scheme val="minor"/>
    </font>
    <font>
      <i/>
      <sz val="10"/>
      <color theme="1"/>
      <name val="Symbol"/>
      <family val="1"/>
      <charset val="2"/>
    </font>
    <font>
      <b/>
      <sz val="10"/>
      <color rgb="FFFF0000"/>
      <name val="Calibri"/>
      <family val="2"/>
      <scheme val="minor"/>
    </font>
    <font>
      <vertAlign val="subscript"/>
      <sz val="10"/>
      <color theme="1"/>
      <name val="Calibri"/>
      <family val="2"/>
    </font>
    <font>
      <i/>
      <vertAlign val="subscript"/>
      <sz val="10"/>
      <color theme="1"/>
      <name val="Calibri"/>
      <family val="2"/>
    </font>
    <font>
      <b/>
      <sz val="10"/>
      <color rgb="FF000000"/>
      <name val="Calibri"/>
      <family val="2"/>
      <scheme val="minor"/>
    </font>
    <font>
      <b/>
      <sz val="10"/>
      <color theme="0"/>
      <name val="Calibri"/>
      <family val="2"/>
      <scheme val="minor"/>
    </font>
    <font>
      <b/>
      <sz val="10"/>
      <color theme="0"/>
      <name val="Calibri"/>
      <family val="2"/>
    </font>
    <font>
      <sz val="11"/>
      <name val="Calibri"/>
      <family val="2"/>
      <scheme val="minor"/>
    </font>
    <font>
      <i/>
      <vertAlign val="superscript"/>
      <sz val="10"/>
      <color theme="1"/>
      <name val="Calibri"/>
      <family val="2"/>
      <scheme val="minor"/>
    </font>
    <font>
      <sz val="10"/>
      <color rgb="FFFF0000"/>
      <name val="Calibri"/>
      <family val="2"/>
      <scheme val="minor"/>
    </font>
    <font>
      <sz val="10"/>
      <color rgb="FF000000"/>
      <name val="Calibri"/>
      <family val="2"/>
    </font>
    <font>
      <sz val="7"/>
      <color rgb="FF000000"/>
      <name val="Times New Roman"/>
      <family val="1"/>
    </font>
    <font>
      <vertAlign val="superscript"/>
      <sz val="10"/>
      <color rgb="FF000000"/>
      <name val="Calibri"/>
      <family val="2"/>
      <scheme val="minor"/>
    </font>
    <font>
      <u/>
      <sz val="10"/>
      <color theme="1"/>
      <name val="Calibri"/>
      <family val="2"/>
    </font>
    <font>
      <vertAlign val="superscript"/>
      <sz val="10"/>
      <color theme="1"/>
      <name val="Calibri"/>
      <family val="2"/>
    </font>
    <font>
      <b/>
      <sz val="10"/>
      <color rgb="FF000000"/>
      <name val="Calibri"/>
      <family val="2"/>
    </font>
    <font>
      <b/>
      <sz val="10"/>
      <name val="Calibri"/>
      <family val="2"/>
      <scheme val="minor"/>
    </font>
    <font>
      <b/>
      <vertAlign val="superscript"/>
      <sz val="10"/>
      <color theme="1"/>
      <name val="Calibri"/>
      <family val="2"/>
    </font>
    <font>
      <sz val="8"/>
      <color theme="1"/>
      <name val="Calibri"/>
      <family val="2"/>
    </font>
    <font>
      <u/>
      <sz val="10"/>
      <color theme="10"/>
      <name val="Calibri"/>
      <family val="2"/>
      <scheme val="minor"/>
    </font>
    <font>
      <sz val="10"/>
      <color theme="0"/>
      <name val="Calibri"/>
      <family val="2"/>
      <scheme val="minor"/>
    </font>
    <font>
      <b/>
      <u/>
      <sz val="10"/>
      <color theme="10"/>
      <name val="Calibri"/>
      <family val="2"/>
      <scheme val="minor"/>
    </font>
    <font>
      <b/>
      <sz val="16"/>
      <color theme="1"/>
      <name val="Calibri"/>
      <family val="2"/>
      <scheme val="minor"/>
    </font>
    <font>
      <b/>
      <sz val="11"/>
      <name val="Calibri"/>
      <family val="2"/>
      <scheme val="minor"/>
    </font>
    <font>
      <b/>
      <sz val="11"/>
      <name val="Wingdings"/>
      <charset val="2"/>
    </font>
    <font>
      <sz val="8"/>
      <color theme="0" tint="-0.499984740745262"/>
      <name val="Calibri"/>
      <family val="2"/>
      <scheme val="minor"/>
    </font>
    <font>
      <i/>
      <sz val="8"/>
      <color theme="1"/>
      <name val="Calibri"/>
      <family val="2"/>
      <scheme val="minor"/>
    </font>
    <font>
      <i/>
      <sz val="8"/>
      <color theme="0" tint="-0.499984740745262"/>
      <name val="Calibri"/>
      <family val="2"/>
      <scheme val="minor"/>
    </font>
    <font>
      <i/>
      <sz val="11"/>
      <color theme="1"/>
      <name val="Calibri"/>
      <family val="2"/>
      <scheme val="minor"/>
    </font>
    <font>
      <sz val="10"/>
      <name val="Calibri"/>
      <family val="2"/>
      <scheme val="minor"/>
    </font>
    <font>
      <u/>
      <sz val="14"/>
      <color theme="0"/>
      <name val="Calibri"/>
      <family val="2"/>
      <scheme val="minor"/>
    </font>
    <font>
      <b/>
      <u/>
      <sz val="11"/>
      <color theme="1"/>
      <name val="Calibri"/>
      <family val="2"/>
      <scheme val="minor"/>
    </font>
    <font>
      <u/>
      <sz val="11"/>
      <color theme="10"/>
      <name val="Calibri"/>
      <family val="2"/>
      <scheme val="minor"/>
    </font>
    <font>
      <sz val="8"/>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b/>
      <sz val="16"/>
      <color theme="1"/>
      <name val="Arial"/>
      <family val="2"/>
    </font>
    <font>
      <b/>
      <sz val="12"/>
      <color theme="1"/>
      <name val="Arial"/>
      <family val="2"/>
    </font>
    <font>
      <b/>
      <sz val="14"/>
      <color theme="0"/>
      <name val="Calibri"/>
      <family val="2"/>
      <scheme val="minor"/>
    </font>
    <font>
      <b/>
      <sz val="16"/>
      <color theme="0"/>
      <name val="Calibri"/>
      <family val="2"/>
      <scheme val="minor"/>
    </font>
    <font>
      <sz val="16"/>
      <color theme="0"/>
      <name val="Calibri"/>
      <family val="2"/>
      <scheme val="minor"/>
    </font>
    <font>
      <i/>
      <sz val="8"/>
      <color theme="0"/>
      <name val="Calibri"/>
      <family val="2"/>
      <scheme val="minor"/>
    </font>
    <font>
      <u/>
      <sz val="11"/>
      <color theme="1"/>
      <name val="Calibri"/>
      <family val="2"/>
      <scheme val="minor"/>
    </font>
    <font>
      <i/>
      <sz val="10"/>
      <name val="Calibri"/>
      <family val="2"/>
      <scheme val="minor"/>
    </font>
    <font>
      <b/>
      <sz val="10"/>
      <color rgb="FFFFFFFF"/>
      <name val="Calibri"/>
      <family val="2"/>
      <scheme val="minor"/>
    </font>
    <font>
      <b/>
      <i/>
      <sz val="10"/>
      <color rgb="FF000000"/>
      <name val="Calibri"/>
      <family val="2"/>
      <scheme val="minor"/>
    </font>
    <font>
      <i/>
      <sz val="10"/>
      <color rgb="FF000000"/>
      <name val="Calibri"/>
      <family val="2"/>
      <scheme val="minor"/>
    </font>
    <font>
      <b/>
      <sz val="10"/>
      <color theme="0" tint="-0.14996795556505021"/>
      <name val="Calibri"/>
      <family val="2"/>
      <scheme val="minor"/>
    </font>
    <font>
      <sz val="10"/>
      <color rgb="FFC00000"/>
      <name val="Calibri"/>
      <family val="2"/>
      <scheme val="minor"/>
    </font>
    <font>
      <sz val="8"/>
      <name val="Calibri"/>
      <family val="2"/>
      <scheme val="minor"/>
    </font>
    <font>
      <sz val="20"/>
      <color theme="1"/>
      <name val="Calibri"/>
      <family val="2"/>
      <scheme val="minor"/>
    </font>
    <font>
      <b/>
      <sz val="24"/>
      <color theme="1"/>
      <name val="Calibri"/>
      <family val="2"/>
      <scheme val="minor"/>
    </font>
    <font>
      <b/>
      <sz val="8"/>
      <color theme="1"/>
      <name val="Calibri"/>
      <family val="2"/>
      <scheme val="minor"/>
    </font>
    <font>
      <vertAlign val="superscript"/>
      <sz val="11"/>
      <color theme="1"/>
      <name val="Calibri"/>
      <family val="2"/>
      <scheme val="minor"/>
    </font>
    <font>
      <b/>
      <sz val="12"/>
      <color theme="1"/>
      <name val="Calibri"/>
      <family val="2"/>
      <scheme val="minor"/>
    </font>
    <font>
      <b/>
      <sz val="11"/>
      <color rgb="FFFFFFFF"/>
      <name val="Calibri"/>
      <family val="2"/>
      <scheme val="minor"/>
    </font>
    <font>
      <sz val="11"/>
      <color rgb="FFFFFFFF"/>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37CBFF"/>
        <bgColor indexed="64"/>
      </patternFill>
    </fill>
    <fill>
      <patternFill patternType="darkDown">
        <fgColor theme="0"/>
        <bgColor rgb="FFFFFF00"/>
      </patternFill>
    </fill>
    <fill>
      <patternFill patternType="solid">
        <fgColor theme="0"/>
        <bgColor indexed="64"/>
      </patternFill>
    </fill>
    <fill>
      <patternFill patternType="darkGrid">
        <bgColor rgb="FF37CBFF"/>
      </patternFill>
    </fill>
    <fill>
      <patternFill patternType="solid">
        <fgColor theme="1"/>
        <bgColor indexed="64"/>
      </patternFill>
    </fill>
    <fill>
      <patternFill patternType="solid">
        <fgColor rgb="FFD9D9D9"/>
        <bgColor indexed="64"/>
      </patternFill>
    </fill>
    <fill>
      <patternFill patternType="solid">
        <fgColor rgb="FF000000"/>
        <bgColor indexed="64"/>
      </patternFill>
    </fill>
    <fill>
      <patternFill patternType="solid">
        <fgColor rgb="FFFFD700"/>
        <bgColor indexed="64"/>
      </patternFill>
    </fill>
    <fill>
      <patternFill patternType="solid">
        <fgColor rgb="FFFFFFFF"/>
        <bgColor indexed="64"/>
      </patternFill>
    </fill>
  </fills>
  <borders count="1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2060"/>
      </left>
      <right style="thin">
        <color rgb="FF002060"/>
      </right>
      <top style="thin">
        <color rgb="FF002060"/>
      </top>
      <bottom style="thin">
        <color rgb="FF00206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FFC000"/>
      </left>
      <right style="thin">
        <color rgb="FFFFC000"/>
      </right>
      <top style="thin">
        <color rgb="FFFFC000"/>
      </top>
      <bottom style="thin">
        <color rgb="FFFFC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bottom style="double">
        <color indexed="64"/>
      </bottom>
      <diagonal/>
    </border>
    <border>
      <left/>
      <right/>
      <top/>
      <bottom style="double">
        <color indexed="64"/>
      </bottom>
      <diagonal/>
    </border>
    <border>
      <left style="thin">
        <color auto="1"/>
      </left>
      <right style="thin">
        <color auto="1"/>
      </right>
      <top style="thin">
        <color auto="1"/>
      </top>
      <bottom style="double">
        <color indexed="64"/>
      </bottom>
      <diagonal/>
    </border>
    <border>
      <left/>
      <right/>
      <top style="double">
        <color indexed="64"/>
      </top>
      <bottom/>
      <diagonal/>
    </border>
    <border>
      <left style="thin">
        <color auto="1"/>
      </left>
      <right style="thin">
        <color auto="1"/>
      </right>
      <top style="double">
        <color indexed="64"/>
      </top>
      <bottom style="thin">
        <color auto="1"/>
      </bottom>
      <diagonal/>
    </border>
    <border>
      <left/>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thin">
        <color auto="1"/>
      </right>
      <top style="double">
        <color indexed="64"/>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style="thin">
        <color rgb="FFFFC000"/>
      </right>
      <top style="thin">
        <color rgb="FFFFC000"/>
      </top>
      <bottom style="thin">
        <color auto="1"/>
      </bottom>
      <diagonal/>
    </border>
    <border>
      <left style="thin">
        <color rgb="FFFFC000"/>
      </left>
      <right style="thin">
        <color rgb="FFFFC000"/>
      </right>
      <top style="thin">
        <color rgb="FFFFC000"/>
      </top>
      <bottom style="double">
        <color auto="1"/>
      </bottom>
      <diagonal/>
    </border>
    <border>
      <left/>
      <right style="thin">
        <color auto="1"/>
      </right>
      <top style="double">
        <color auto="1"/>
      </top>
      <bottom/>
      <diagonal/>
    </border>
    <border>
      <left style="thin">
        <color auto="1"/>
      </left>
      <right style="thin">
        <color auto="1"/>
      </right>
      <top/>
      <bottom style="double">
        <color indexed="64"/>
      </bottom>
      <diagonal/>
    </border>
    <border>
      <left/>
      <right style="thin">
        <color auto="1"/>
      </right>
      <top style="thin">
        <color auto="1"/>
      </top>
      <bottom style="double">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left>
      <right style="thin">
        <color indexed="64"/>
      </right>
      <top style="thin">
        <color auto="1"/>
      </top>
      <bottom/>
      <diagonal/>
    </border>
    <border>
      <left style="thin">
        <color theme="0"/>
      </left>
      <right style="thin">
        <color indexed="64"/>
      </right>
      <top/>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rgb="FF000000"/>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indexed="64"/>
      </left>
      <right style="medium">
        <color indexed="64"/>
      </right>
      <top style="medium">
        <color indexed="64"/>
      </top>
      <bottom style="medium">
        <color indexed="64"/>
      </bottom>
      <diagonal/>
    </border>
    <border>
      <left style="thin">
        <color rgb="FFFFC000"/>
      </left>
      <right/>
      <top/>
      <bottom/>
      <diagonal/>
    </border>
    <border>
      <left style="thin">
        <color theme="0" tint="-0.1499679555650502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9" tint="-0.24994659260841701"/>
      </left>
      <right style="thin">
        <color auto="1"/>
      </right>
      <top style="thin">
        <color theme="9" tint="-0.24994659260841701"/>
      </top>
      <bottom style="thin">
        <color theme="9" tint="-0.24994659260841701"/>
      </bottom>
      <diagonal/>
    </border>
    <border>
      <left style="thin">
        <color auto="1"/>
      </left>
      <right style="thin">
        <color auto="1"/>
      </right>
      <top style="thin">
        <color theme="9" tint="-0.24994659260841701"/>
      </top>
      <bottom style="thin">
        <color theme="9" tint="-0.24994659260841701"/>
      </bottom>
      <diagonal/>
    </border>
    <border>
      <left style="thin">
        <color auto="1"/>
      </left>
      <right style="thin">
        <color theme="9" tint="-0.24994659260841701"/>
      </right>
      <top style="thin">
        <color theme="9" tint="-0.24994659260841701"/>
      </top>
      <bottom style="thin">
        <color theme="9" tint="-0.24994659260841701"/>
      </bottom>
      <diagonal/>
    </border>
    <border>
      <left/>
      <right/>
      <top style="thin">
        <color rgb="FFFFC000"/>
      </top>
      <bottom/>
      <diagonal/>
    </border>
    <border>
      <left/>
      <right style="thick">
        <color rgb="FFFFFFFF"/>
      </right>
      <top/>
      <bottom/>
      <diagonal/>
    </border>
    <border>
      <left style="thick">
        <color rgb="FFFFFFFF"/>
      </left>
      <right/>
      <top/>
      <bottom style="thick">
        <color rgb="FF666666"/>
      </bottom>
      <diagonal/>
    </border>
    <border>
      <left/>
      <right/>
      <top/>
      <bottom style="thick">
        <color rgb="FF666666"/>
      </bottom>
      <diagonal/>
    </border>
    <border>
      <left/>
      <right/>
      <top style="thin">
        <color auto="1"/>
      </top>
      <bottom style="double">
        <color indexed="64"/>
      </bottom>
      <diagonal/>
    </border>
    <border>
      <left/>
      <right style="thick">
        <color rgb="FFFFFFFF"/>
      </right>
      <top/>
      <bottom style="double">
        <color indexed="64"/>
      </bottom>
      <diagonal/>
    </border>
    <border>
      <left style="thick">
        <color rgb="FFFFFFFF"/>
      </left>
      <right/>
      <top style="double">
        <color indexed="64"/>
      </top>
      <bottom/>
      <diagonal/>
    </border>
    <border>
      <left style="thick">
        <color rgb="FFFFFFFF"/>
      </left>
      <right/>
      <top/>
      <bottom/>
      <diagonal/>
    </border>
    <border>
      <left style="thick">
        <color rgb="FFFFFFFF"/>
      </left>
      <right/>
      <top/>
      <bottom style="double">
        <color indexed="64"/>
      </bottom>
      <diagonal/>
    </border>
    <border>
      <left/>
      <right style="thick">
        <color rgb="FFFFFFFF"/>
      </right>
      <top style="thin">
        <color auto="1"/>
      </top>
      <bottom/>
      <diagonal/>
    </border>
    <border>
      <left style="thin">
        <color rgb="FFFFC000"/>
      </left>
      <right style="thin">
        <color rgb="FFFFC000"/>
      </right>
      <top/>
      <bottom style="double">
        <color indexed="64"/>
      </bottom>
      <diagonal/>
    </border>
    <border>
      <left/>
      <right/>
      <top/>
      <bottom style="thin">
        <color rgb="FFFFC000"/>
      </bottom>
      <diagonal/>
    </border>
    <border>
      <left style="thin">
        <color rgb="FFFFC000"/>
      </left>
      <right/>
      <top style="thin">
        <color rgb="FFFFC000"/>
      </top>
      <bottom style="thin">
        <color auto="1"/>
      </bottom>
      <diagonal/>
    </border>
    <border>
      <left style="thin">
        <color rgb="FFFFC000"/>
      </left>
      <right/>
      <top style="thin">
        <color rgb="FFFFC000"/>
      </top>
      <bottom style="thin">
        <color rgb="FFFFC000"/>
      </bottom>
      <diagonal/>
    </border>
    <border>
      <left style="thin">
        <color rgb="FFFFC000"/>
      </left>
      <right/>
      <top style="thin">
        <color rgb="FFFFC000"/>
      </top>
      <bottom style="double">
        <color auto="1"/>
      </bottom>
      <diagonal/>
    </border>
    <border>
      <left style="thin">
        <color rgb="FFFFC000"/>
      </left>
      <right/>
      <top style="thin">
        <color rgb="FFFFC000"/>
      </top>
      <bottom/>
      <diagonal/>
    </border>
    <border>
      <left style="thin">
        <color rgb="FFFFC000"/>
      </left>
      <right/>
      <top/>
      <bottom style="thin">
        <color rgb="FFFFC000"/>
      </bottom>
      <diagonal/>
    </border>
    <border>
      <left style="thin">
        <color auto="1"/>
      </left>
      <right/>
      <top/>
      <bottom style="double">
        <color indexed="64"/>
      </bottom>
      <diagonal/>
    </border>
  </borders>
  <cellStyleXfs count="68">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9" fillId="6" borderId="4" applyNumberFormat="0" applyAlignment="0" applyProtection="0"/>
    <xf numFmtId="0" fontId="10" fillId="7" borderId="5" applyNumberFormat="0" applyAlignment="0" applyProtection="0"/>
    <xf numFmtId="0" fontId="11" fillId="7" borderId="4" applyNumberFormat="0" applyAlignment="0" applyProtection="0"/>
    <xf numFmtId="0" fontId="12" fillId="0" borderId="6" applyNumberFormat="0" applyFill="0" applyAlignment="0" applyProtection="0"/>
    <xf numFmtId="0" fontId="13" fillId="8" borderId="7" applyNumberFormat="0" applyAlignment="0" applyProtection="0"/>
    <xf numFmtId="0" fontId="14" fillId="0" borderId="0" applyNumberFormat="0" applyFill="0" applyBorder="0" applyAlignment="0" applyProtection="0"/>
    <xf numFmtId="0" fontId="1" fillId="9"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0" fontId="1" fillId="38" borderId="10" applyNumberFormat="0" applyFont="0" applyAlignment="0">
      <protection locked="0"/>
    </xf>
    <xf numFmtId="0" fontId="1" fillId="39" borderId="10" applyNumberFormat="0" applyFont="0" applyAlignment="0">
      <protection locked="0"/>
    </xf>
    <xf numFmtId="0" fontId="20" fillId="0" borderId="0" applyNumberFormat="0" applyFill="0" applyBorder="0" applyAlignment="0" applyProtection="0"/>
    <xf numFmtId="0" fontId="21" fillId="34" borderId="0" applyNumberFormat="0" applyBorder="0" applyAlignment="0"/>
    <xf numFmtId="0" fontId="1" fillId="35" borderId="10" applyNumberFormat="0" applyFont="0" applyAlignment="0">
      <alignment horizontal="center" vertical="center"/>
    </xf>
    <xf numFmtId="0" fontId="1" fillId="36" borderId="10" applyNumberFormat="0" applyFont="0" applyAlignment="0"/>
    <xf numFmtId="0" fontId="1" fillId="37" borderId="10" applyNumberFormat="0" applyFont="0" applyAlignment="0">
      <protection locked="0"/>
    </xf>
    <xf numFmtId="0" fontId="1" fillId="37" borderId="10" applyFont="0">
      <alignment horizontal="left" vertical="top" wrapText="1"/>
      <protection locked="0"/>
    </xf>
    <xf numFmtId="0" fontId="20" fillId="0" borderId="0" applyNumberFormat="0" applyFill="0" applyBorder="0" applyAlignment="0" applyProtection="0"/>
    <xf numFmtId="0" fontId="22" fillId="0" borderId="0" applyNumberFormat="0" applyFill="0" applyBorder="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0" borderId="0" applyNumberFormat="0" applyBorder="0" applyAlignment="0" applyProtection="0">
      <alignment horizontal="left"/>
    </xf>
    <xf numFmtId="0" fontId="22" fillId="0" borderId="0" applyNumberFormat="0" applyFill="0" applyBorder="0" applyAlignment="0" applyProtection="0"/>
    <xf numFmtId="0" fontId="1" fillId="0" borderId="0" applyFont="0" applyFill="0" applyBorder="0">
      <alignment horizontal="center" vertical="center"/>
    </xf>
    <xf numFmtId="0" fontId="24" fillId="34" borderId="18">
      <alignment vertical="center" wrapText="1"/>
    </xf>
    <xf numFmtId="0" fontId="1" fillId="35" borderId="10" applyFont="0" applyAlignment="0">
      <alignment horizontal="center" vertical="center"/>
    </xf>
    <xf numFmtId="164" fontId="29" fillId="40" borderId="14">
      <alignment horizontal="left" vertical="top" wrapText="1"/>
    </xf>
    <xf numFmtId="0" fontId="1" fillId="37" borderId="10" applyFont="0">
      <alignment horizontal="left" vertical="top" wrapText="1"/>
    </xf>
    <xf numFmtId="0" fontId="71" fillId="0" borderId="0" applyNumberFormat="0" applyFill="0" applyBorder="0" applyAlignment="0" applyProtection="0"/>
  </cellStyleXfs>
  <cellXfs count="2408">
    <xf numFmtId="0" fontId="0" fillId="0" borderId="0" xfId="0"/>
    <xf numFmtId="0" fontId="0" fillId="2" borderId="0" xfId="0" applyFill="1"/>
    <xf numFmtId="0" fontId="0" fillId="0" borderId="0" xfId="0" applyAlignment="1">
      <alignment horizontal="left"/>
    </xf>
    <xf numFmtId="0" fontId="0" fillId="0" borderId="0" xfId="0" applyBorder="1" applyAlignment="1">
      <alignment horizontal="left" vertical="top"/>
    </xf>
    <xf numFmtId="0" fontId="18" fillId="0" borderId="0" xfId="0" applyFont="1"/>
    <xf numFmtId="0" fontId="0" fillId="0" borderId="0" xfId="0" applyAlignment="1">
      <alignment horizontal="left"/>
    </xf>
    <xf numFmtId="0" fontId="0" fillId="2" borderId="0" xfId="0" applyFill="1" applyAlignment="1">
      <alignment horizontal="left"/>
    </xf>
    <xf numFmtId="0" fontId="0" fillId="0" borderId="0" xfId="0" applyAlignment="1">
      <alignment horizontal="right"/>
    </xf>
    <xf numFmtId="0" fontId="0" fillId="0" borderId="0" xfId="0" applyAlignment="1"/>
    <xf numFmtId="0" fontId="0" fillId="0" borderId="0" xfId="0"/>
    <xf numFmtId="0" fontId="0" fillId="38" borderId="10" xfId="47" applyFont="1" applyAlignment="1">
      <alignment horizontal="left"/>
      <protection locked="0"/>
    </xf>
    <xf numFmtId="0" fontId="0" fillId="39" borderId="10" xfId="48" applyFont="1" applyAlignment="1">
      <alignment horizontal="left"/>
      <protection locked="0"/>
    </xf>
    <xf numFmtId="0" fontId="0" fillId="39" borderId="10" xfId="48" applyFont="1">
      <protection locked="0"/>
    </xf>
    <xf numFmtId="0" fontId="0" fillId="0" borderId="0" xfId="0"/>
    <xf numFmtId="0" fontId="21" fillId="34" borderId="0" xfId="50" applyAlignment="1">
      <alignment horizontal="left"/>
    </xf>
    <xf numFmtId="0" fontId="21" fillId="34" borderId="0" xfId="50" applyAlignment="1"/>
    <xf numFmtId="0" fontId="0" fillId="0" borderId="0" xfId="0"/>
    <xf numFmtId="0" fontId="0" fillId="0" borderId="0" xfId="0"/>
    <xf numFmtId="49" fontId="0" fillId="0" borderId="0" xfId="0" applyNumberFormat="1"/>
    <xf numFmtId="0" fontId="0" fillId="0" borderId="0" xfId="0" applyAlignment="1">
      <alignment horizontal="right"/>
    </xf>
    <xf numFmtId="0" fontId="0" fillId="0" borderId="0" xfId="0"/>
    <xf numFmtId="49" fontId="18" fillId="0" borderId="0" xfId="0" applyNumberFormat="1" applyFont="1"/>
    <xf numFmtId="49" fontId="21" fillId="34" borderId="0" xfId="50" applyNumberFormat="1"/>
    <xf numFmtId="0" fontId="21" fillId="34" borderId="0" xfId="50"/>
    <xf numFmtId="49" fontId="21" fillId="34" borderId="0" xfId="50" applyNumberFormat="1" applyAlignment="1">
      <alignment horizontal="center" vertical="center"/>
    </xf>
    <xf numFmtId="0" fontId="28" fillId="39" borderId="10" xfId="48" applyFont="1">
      <protection locked="0"/>
    </xf>
    <xf numFmtId="49" fontId="18" fillId="0" borderId="0" xfId="0" quotePrefix="1" applyNumberFormat="1" applyFont="1"/>
    <xf numFmtId="49" fontId="25" fillId="0" borderId="0" xfId="0" applyNumberFormat="1" applyFont="1"/>
    <xf numFmtId="0" fontId="0" fillId="0" borderId="10" xfId="0"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0" fillId="0" borderId="0" xfId="0" applyNumberFormat="1"/>
    <xf numFmtId="0" fontId="24" fillId="34" borderId="18" xfId="63" applyAlignment="1">
      <alignment vertical="center"/>
    </xf>
    <xf numFmtId="0" fontId="24" fillId="34" borderId="18" xfId="63" applyAlignment="1">
      <alignment horizontal="center" vertical="center" wrapText="1"/>
    </xf>
    <xf numFmtId="0" fontId="0" fillId="2" borderId="0" xfId="0" applyNumberFormat="1" applyFill="1"/>
    <xf numFmtId="0" fontId="0" fillId="0" borderId="0" xfId="0"/>
    <xf numFmtId="0" fontId="24" fillId="34" borderId="18" xfId="63" applyAlignment="1">
      <alignment vertical="center"/>
    </xf>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0" fillId="0" borderId="0" xfId="62" applyFont="1">
      <alignment horizontal="center" vertical="center"/>
    </xf>
    <xf numFmtId="0" fontId="0" fillId="0" borderId="0" xfId="0" applyAlignment="1">
      <alignment horizontal="left"/>
    </xf>
    <xf numFmtId="0" fontId="0" fillId="0" borderId="0" xfId="0" applyAlignment="1">
      <alignment horizontal="right"/>
    </xf>
    <xf numFmtId="0" fontId="0" fillId="0" borderId="0" xfId="0"/>
    <xf numFmtId="0" fontId="0" fillId="0" borderId="0" xfId="0" applyProtection="1"/>
    <xf numFmtId="0" fontId="0" fillId="41" borderId="10" xfId="48" applyFont="1" applyFill="1" applyAlignment="1" applyProtection="1">
      <alignment horizontal="left"/>
    </xf>
    <xf numFmtId="0" fontId="0" fillId="0" borderId="0" xfId="0" applyAlignment="1" applyProtection="1">
      <alignment horizontal="left"/>
    </xf>
    <xf numFmtId="0" fontId="0" fillId="41" borderId="10" xfId="47" applyFont="1" applyFill="1" applyAlignment="1" applyProtection="1">
      <alignment horizontal="left"/>
    </xf>
    <xf numFmtId="0" fontId="0" fillId="0" borderId="0" xfId="0" applyBorder="1" applyAlignment="1" applyProtection="1">
      <alignment horizontal="left" vertical="top"/>
    </xf>
    <xf numFmtId="0" fontId="0" fillId="41" borderId="10" xfId="48" applyFont="1" applyFill="1" applyProtection="1"/>
    <xf numFmtId="0" fontId="28" fillId="38" borderId="10" xfId="47" applyFont="1">
      <protection locked="0"/>
    </xf>
    <xf numFmtId="0" fontId="31" fillId="34" borderId="19" xfId="50" applyFont="1" applyBorder="1" applyAlignment="1"/>
    <xf numFmtId="0" fontId="0" fillId="0" borderId="0" xfId="0"/>
    <xf numFmtId="0" fontId="0" fillId="0" borderId="0" xfId="0" applyAlignment="1">
      <alignment horizontal="right"/>
    </xf>
    <xf numFmtId="0" fontId="0" fillId="0" borderId="0" xfId="0"/>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25" fillId="0" borderId="0" xfId="0" applyFont="1" applyAlignment="1">
      <alignment horizontal="left"/>
    </xf>
    <xf numFmtId="0" fontId="25" fillId="0" borderId="0" xfId="0" applyFont="1" applyAlignment="1">
      <alignment horizontal="left" vertical="top"/>
    </xf>
    <xf numFmtId="0" fontId="25" fillId="0" borderId="0" xfId="0" applyFont="1"/>
    <xf numFmtId="0" fontId="0" fillId="0" borderId="0" xfId="0" applyAlignment="1">
      <alignment vertical="center"/>
    </xf>
    <xf numFmtId="0" fontId="21" fillId="34" borderId="0" xfId="50" applyAlignment="1">
      <alignment horizontal="center" vertical="center"/>
    </xf>
    <xf numFmtId="0" fontId="21" fillId="34" borderId="0" xfId="50" applyAlignment="1">
      <alignment horizontal="left" vertical="top"/>
    </xf>
    <xf numFmtId="0" fontId="0" fillId="0" borderId="0" xfId="0"/>
    <xf numFmtId="0" fontId="0" fillId="37" borderId="10" xfId="54" applyFont="1">
      <alignment horizontal="left" vertical="top" wrapText="1"/>
      <protection locked="0"/>
    </xf>
    <xf numFmtId="0" fontId="0" fillId="0" borderId="0" xfId="0" applyNumberFormat="1"/>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49" fontId="18" fillId="0" borderId="0" xfId="0" applyNumberFormat="1" applyFont="1" applyAlignment="1">
      <alignment horizontal="left"/>
    </xf>
    <xf numFmtId="49" fontId="25" fillId="0" borderId="0" xfId="0" applyNumberFormat="1" applyFont="1" applyAlignment="1">
      <alignment horizontal="left"/>
    </xf>
    <xf numFmtId="49" fontId="21" fillId="34" borderId="0" xfId="50" applyNumberFormat="1" applyAlignment="1">
      <alignment horizontal="left" vertical="top"/>
    </xf>
    <xf numFmtId="0" fontId="25" fillId="0" borderId="0" xfId="0" applyFont="1" applyAlignment="1">
      <alignment horizontal="center" vertical="center"/>
    </xf>
    <xf numFmtId="0" fontId="0" fillId="0" borderId="0" xfId="0" applyAlignment="1">
      <alignment horizontal="center" vertical="center"/>
    </xf>
    <xf numFmtId="0" fontId="21" fillId="34" borderId="0" xfId="50" applyAlignment="1">
      <alignment vertical="top"/>
    </xf>
    <xf numFmtId="0" fontId="18" fillId="0" borderId="0" xfId="0" applyFont="1" applyAlignment="1">
      <alignment vertical="top"/>
    </xf>
    <xf numFmtId="0" fontId="21" fillId="34" borderId="0" xfId="50" applyAlignment="1">
      <alignment vertical="top" wrapText="1"/>
    </xf>
    <xf numFmtId="0" fontId="25" fillId="0" borderId="0" xfId="0" applyFont="1" applyAlignment="1">
      <alignment vertical="top"/>
    </xf>
    <xf numFmtId="0" fontId="0" fillId="0" borderId="0" xfId="0" applyAlignment="1">
      <alignment vertical="top"/>
    </xf>
    <xf numFmtId="49" fontId="25" fillId="0" borderId="0" xfId="0" applyNumberFormat="1" applyFont="1" applyAlignment="1">
      <alignment vertical="top"/>
    </xf>
    <xf numFmtId="49" fontId="21" fillId="34" borderId="0" xfId="50" applyNumberFormat="1" applyAlignment="1">
      <alignment vertical="top"/>
    </xf>
    <xf numFmtId="49" fontId="25" fillId="0" borderId="0" xfId="0" quotePrefix="1" applyNumberFormat="1" applyFont="1" applyAlignment="1">
      <alignment vertical="top"/>
    </xf>
    <xf numFmtId="49" fontId="18" fillId="0" borderId="0" xfId="0" applyNumberFormat="1" applyFont="1" applyAlignment="1">
      <alignment vertical="top"/>
    </xf>
    <xf numFmtId="49" fontId="25" fillId="0" borderId="0" xfId="0" applyNumberFormat="1" applyFont="1" applyBorder="1" applyAlignment="1">
      <alignment vertical="top"/>
    </xf>
    <xf numFmtId="0" fontId="0" fillId="0" borderId="0" xfId="62" applyFont="1" applyBorder="1">
      <alignment horizontal="center" vertical="center"/>
    </xf>
    <xf numFmtId="0" fontId="0" fillId="0" borderId="0" xfId="62" applyNumberFormat="1" applyFont="1" applyBorder="1">
      <alignment horizontal="center" vertical="center"/>
    </xf>
    <xf numFmtId="0" fontId="0" fillId="0" borderId="0" xfId="0" applyBorder="1"/>
    <xf numFmtId="0" fontId="18" fillId="0" borderId="0" xfId="0" applyFont="1" applyBorder="1" applyAlignment="1">
      <alignment vertical="top"/>
    </xf>
    <xf numFmtId="49" fontId="25" fillId="0" borderId="31" xfId="0" applyNumberFormat="1" applyFont="1" applyBorder="1" applyAlignment="1">
      <alignment vertical="top"/>
    </xf>
    <xf numFmtId="0" fontId="18" fillId="0" borderId="31" xfId="0" applyFont="1" applyBorder="1" applyAlignment="1">
      <alignment vertical="top"/>
    </xf>
    <xf numFmtId="0" fontId="0" fillId="0" borderId="31" xfId="62" applyFont="1" applyBorder="1">
      <alignment horizontal="center" vertical="center"/>
    </xf>
    <xf numFmtId="0" fontId="0" fillId="0" borderId="31" xfId="0" applyBorder="1"/>
    <xf numFmtId="0" fontId="28" fillId="39" borderId="32" xfId="48" applyFont="1" applyBorder="1">
      <protection locked="0"/>
    </xf>
    <xf numFmtId="0" fontId="25" fillId="0" borderId="0" xfId="0" applyFont="1" applyBorder="1" applyAlignment="1">
      <alignment horizontal="left" vertical="top"/>
    </xf>
    <xf numFmtId="49" fontId="18" fillId="0" borderId="0" xfId="0" applyNumberFormat="1" applyFont="1" applyBorder="1" applyAlignment="1">
      <alignment vertical="top"/>
    </xf>
    <xf numFmtId="49" fontId="18" fillId="0" borderId="31" xfId="0" applyNumberFormat="1" applyFont="1" applyBorder="1" applyAlignment="1">
      <alignment vertical="top"/>
    </xf>
    <xf numFmtId="0" fontId="25" fillId="0" borderId="31" xfId="0" applyFont="1" applyBorder="1" applyAlignment="1">
      <alignment vertical="top"/>
    </xf>
    <xf numFmtId="0" fontId="0" fillId="0" borderId="33" xfId="0" applyBorder="1"/>
    <xf numFmtId="0" fontId="25" fillId="0" borderId="33" xfId="0" applyFont="1" applyBorder="1" applyAlignment="1">
      <alignment horizontal="left" vertical="top"/>
    </xf>
    <xf numFmtId="49" fontId="18" fillId="0" borderId="33" xfId="0" applyNumberFormat="1" applyFont="1" applyBorder="1" applyAlignment="1">
      <alignment vertical="top"/>
    </xf>
    <xf numFmtId="9" fontId="1" fillId="39" borderId="10" xfId="48" applyNumberFormat="1" applyFont="1" applyBorder="1" applyAlignment="1">
      <alignment horizontal="center" vertical="center"/>
      <protection locked="0"/>
    </xf>
    <xf numFmtId="0" fontId="0" fillId="39" borderId="10" xfId="48" applyFont="1" applyBorder="1">
      <protection locked="0"/>
    </xf>
    <xf numFmtId="49" fontId="25" fillId="0" borderId="0" xfId="0" quotePrefix="1" applyNumberFormat="1" applyFont="1" applyBorder="1" applyAlignment="1">
      <alignment vertical="top"/>
    </xf>
    <xf numFmtId="49" fontId="25" fillId="0" borderId="31" xfId="0" quotePrefix="1" applyNumberFormat="1" applyFont="1" applyBorder="1" applyAlignment="1">
      <alignment vertical="top"/>
    </xf>
    <xf numFmtId="0" fontId="0" fillId="0" borderId="30" xfId="0" applyBorder="1"/>
    <xf numFmtId="0" fontId="0" fillId="0" borderId="28" xfId="0" applyBorder="1"/>
    <xf numFmtId="49" fontId="25" fillId="0" borderId="33" xfId="0" applyNumberFormat="1" applyFont="1" applyBorder="1" applyAlignment="1">
      <alignment vertical="top"/>
    </xf>
    <xf numFmtId="0" fontId="0" fillId="0" borderId="31" xfId="0" applyBorder="1" applyAlignment="1">
      <alignment vertical="top"/>
    </xf>
    <xf numFmtId="0" fontId="0" fillId="0" borderId="35" xfId="0" applyBorder="1"/>
    <xf numFmtId="0" fontId="28" fillId="39" borderId="17" xfId="48" applyFont="1" applyBorder="1">
      <protection locked="0"/>
    </xf>
    <xf numFmtId="0" fontId="28" fillId="39" borderId="36" xfId="48" applyFont="1" applyBorder="1">
      <protection locked="0"/>
    </xf>
    <xf numFmtId="0" fontId="0" fillId="0" borderId="0" xfId="0" quotePrefix="1"/>
    <xf numFmtId="0" fontId="0" fillId="39" borderId="10" xfId="48" applyFont="1" applyAlignment="1">
      <alignment horizontal="left"/>
      <protection locked="0"/>
    </xf>
    <xf numFmtId="0" fontId="0" fillId="0" borderId="0" xfId="0"/>
    <xf numFmtId="0" fontId="0" fillId="0" borderId="0" xfId="0" applyBorder="1" applyAlignment="1">
      <alignment horizontal="center" vertical="center"/>
    </xf>
    <xf numFmtId="0" fontId="0" fillId="0" borderId="31" xfId="0" applyBorder="1" applyAlignment="1">
      <alignment horizontal="center" vertical="center"/>
    </xf>
    <xf numFmtId="0" fontId="0" fillId="37" borderId="10" xfId="54" applyFont="1">
      <alignment horizontal="left" vertical="top" wrapText="1"/>
      <protection locked="0"/>
    </xf>
    <xf numFmtId="0" fontId="0" fillId="0" borderId="0" xfId="0" applyNumberFormat="1"/>
    <xf numFmtId="0" fontId="0" fillId="0" borderId="0" xfId="0"/>
    <xf numFmtId="0" fontId="0" fillId="0" borderId="0" xfId="0" applyAlignment="1">
      <alignment horizontal="center" vertical="center"/>
    </xf>
    <xf numFmtId="0" fontId="0" fillId="37" borderId="36" xfId="54" applyFont="1" applyBorder="1">
      <alignment horizontal="left" vertical="top" wrapText="1"/>
      <protection locked="0"/>
    </xf>
    <xf numFmtId="0" fontId="18" fillId="0" borderId="0" xfId="0" applyFont="1" applyBorder="1"/>
    <xf numFmtId="0" fontId="25" fillId="0" borderId="0" xfId="0" applyFont="1" applyBorder="1" applyAlignment="1">
      <alignment horizontal="left"/>
    </xf>
    <xf numFmtId="49" fontId="18" fillId="0" borderId="0" xfId="0" applyNumberFormat="1" applyFont="1" applyAlignment="1">
      <alignment horizontal="center"/>
    </xf>
    <xf numFmtId="0" fontId="0" fillId="0" borderId="0" xfId="0"/>
    <xf numFmtId="0" fontId="0" fillId="0" borderId="0" xfId="0" applyAlignment="1">
      <alignment horizontal="right"/>
    </xf>
    <xf numFmtId="0" fontId="0" fillId="0" borderId="0" xfId="0"/>
    <xf numFmtId="0" fontId="0" fillId="0" borderId="0" xfId="0" applyAlignment="1">
      <alignment horizontal="center" vertical="center"/>
    </xf>
    <xf numFmtId="0" fontId="0" fillId="0" borderId="0" xfId="0"/>
    <xf numFmtId="0" fontId="0" fillId="0" borderId="0" xfId="0"/>
    <xf numFmtId="0" fontId="0" fillId="0" borderId="0" xfId="0" applyAlignment="1">
      <alignment horizontal="center" vertical="center"/>
    </xf>
    <xf numFmtId="0" fontId="25" fillId="0" borderId="0" xfId="0" applyFont="1" applyAlignment="1">
      <alignment horizontal="left" vertical="top"/>
    </xf>
    <xf numFmtId="0" fontId="0" fillId="0" borderId="0" xfId="0"/>
    <xf numFmtId="0" fontId="18" fillId="0" borderId="0" xfId="0" applyFont="1" applyAlignment="1">
      <alignment horizontal="center" vertical="center"/>
    </xf>
    <xf numFmtId="0" fontId="27" fillId="0" borderId="25" xfId="0" applyFont="1" applyBorder="1" applyAlignment="1">
      <alignment horizontal="center" vertical="center"/>
    </xf>
    <xf numFmtId="0" fontId="27" fillId="0" borderId="12" xfId="0" applyFont="1" applyBorder="1" applyAlignment="1">
      <alignment horizontal="center" vertical="center"/>
    </xf>
    <xf numFmtId="0" fontId="26" fillId="0" borderId="21" xfId="0" applyFont="1" applyBorder="1" applyAlignment="1">
      <alignment horizontal="center" vertical="center" wrapText="1"/>
    </xf>
    <xf numFmtId="0" fontId="26" fillId="0" borderId="12" xfId="0" applyFont="1" applyBorder="1" applyAlignment="1">
      <alignment horizontal="center" vertical="center"/>
    </xf>
    <xf numFmtId="0" fontId="26" fillId="0" borderId="10" xfId="0" applyFont="1" applyBorder="1" applyAlignment="1">
      <alignment horizontal="center" vertic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0" xfId="0" applyBorder="1" applyAlignment="1">
      <alignment horizontal="right"/>
    </xf>
    <xf numFmtId="0" fontId="58" fillId="0" borderId="0" xfId="57" applyBorder="1"/>
    <xf numFmtId="0" fontId="0" fillId="0" borderId="0" xfId="0"/>
    <xf numFmtId="0" fontId="0" fillId="37" borderId="10" xfId="54" applyFont="1">
      <alignment horizontal="left" vertical="top" wrapText="1"/>
      <protection locked="0"/>
    </xf>
    <xf numFmtId="0" fontId="0" fillId="0" borderId="0" xfId="0"/>
    <xf numFmtId="0" fontId="0" fillId="37" borderId="10" xfId="54" applyFont="1">
      <alignment horizontal="left" vertical="top" wrapText="1"/>
      <protection locked="0"/>
    </xf>
    <xf numFmtId="0" fontId="18" fillId="0" borderId="0" xfId="0" applyFont="1" applyAlignment="1">
      <alignment vertical="top" wrapText="1"/>
    </xf>
    <xf numFmtId="0" fontId="26" fillId="0" borderId="0" xfId="0" applyFont="1" applyAlignment="1">
      <alignment horizontal="right" vertical="top" wrapText="1"/>
    </xf>
    <xf numFmtId="0" fontId="25" fillId="0" borderId="0" xfId="0" applyFont="1" applyAlignment="1">
      <alignment horizontal="right" vertical="top" wrapText="1"/>
    </xf>
    <xf numFmtId="0" fontId="18" fillId="0" borderId="0" xfId="0" applyFont="1" applyAlignment="1">
      <alignment horizontal="left"/>
    </xf>
    <xf numFmtId="0" fontId="25" fillId="0" borderId="0" xfId="0" applyFont="1" applyAlignment="1">
      <alignment horizontal="center"/>
    </xf>
    <xf numFmtId="0" fontId="25" fillId="0" borderId="0" xfId="0" applyFont="1" applyAlignment="1">
      <alignment vertical="top" wrapText="1"/>
    </xf>
    <xf numFmtId="0" fontId="0" fillId="37" borderId="15" xfId="54" applyFont="1" applyBorder="1">
      <alignment horizontal="left" vertical="top" wrapText="1"/>
      <protection locked="0"/>
    </xf>
    <xf numFmtId="166" fontId="46" fillId="39" borderId="10" xfId="48" applyNumberFormat="1" applyFont="1">
      <protection locked="0"/>
    </xf>
    <xf numFmtId="0" fontId="0" fillId="0" borderId="0" xfId="0"/>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0" fillId="0" borderId="0" xfId="0" quotePrefix="1" applyNumberFormat="1"/>
    <xf numFmtId="167" fontId="46" fillId="39" borderId="10" xfId="48" applyNumberFormat="1" applyFont="1">
      <protection locked="0"/>
    </xf>
    <xf numFmtId="49" fontId="25" fillId="0" borderId="26" xfId="0" applyNumberFormat="1" applyFont="1" applyBorder="1" applyAlignment="1">
      <alignment vertical="top"/>
    </xf>
    <xf numFmtId="0" fontId="18" fillId="0" borderId="26" xfId="0" applyFont="1" applyBorder="1" applyAlignment="1">
      <alignment vertical="top"/>
    </xf>
    <xf numFmtId="0" fontId="0" fillId="0" borderId="26" xfId="62" applyFont="1" applyBorder="1">
      <alignment horizontal="center" vertical="center"/>
    </xf>
    <xf numFmtId="49" fontId="18" fillId="0" borderId="26" xfId="0" applyNumberFormat="1" applyFont="1" applyBorder="1" applyAlignment="1">
      <alignment vertical="top"/>
    </xf>
    <xf numFmtId="0" fontId="0" fillId="0" borderId="26" xfId="0" applyBorder="1"/>
    <xf numFmtId="49" fontId="25" fillId="0" borderId="26" xfId="0" quotePrefix="1" applyNumberFormat="1" applyFont="1" applyBorder="1" applyAlignment="1">
      <alignment vertical="top"/>
    </xf>
    <xf numFmtId="0" fontId="25" fillId="0" borderId="33" xfId="0" applyFont="1" applyBorder="1" applyAlignment="1">
      <alignment horizontal="left"/>
    </xf>
    <xf numFmtId="0" fontId="18" fillId="0" borderId="33" xfId="0" applyFont="1" applyBorder="1"/>
    <xf numFmtId="0" fontId="18" fillId="0" borderId="33" xfId="0" applyFont="1" applyBorder="1" applyAlignment="1">
      <alignment vertical="top"/>
    </xf>
    <xf numFmtId="49" fontId="25" fillId="0" borderId="0" xfId="0" applyNumberFormat="1" applyFont="1" applyBorder="1"/>
    <xf numFmtId="0" fontId="44" fillId="0" borderId="0" xfId="0" applyFont="1" applyBorder="1" applyAlignment="1">
      <alignment horizontal="center" vertical="center"/>
    </xf>
    <xf numFmtId="0" fontId="0" fillId="0" borderId="52" xfId="0" applyBorder="1"/>
    <xf numFmtId="0" fontId="28" fillId="39" borderId="15" xfId="48" applyFont="1" applyBorder="1">
      <protection locked="0"/>
    </xf>
    <xf numFmtId="0" fontId="25" fillId="0" borderId="0" xfId="0" applyFont="1" applyBorder="1" applyAlignment="1">
      <alignment vertical="top"/>
    </xf>
    <xf numFmtId="0" fontId="0" fillId="39" borderId="34" xfId="48" applyFont="1" applyBorder="1">
      <protection locked="0"/>
    </xf>
    <xf numFmtId="0" fontId="25" fillId="0" borderId="31" xfId="0" applyFont="1" applyBorder="1" applyAlignment="1">
      <alignment horizontal="left"/>
    </xf>
    <xf numFmtId="49" fontId="25" fillId="0" borderId="31" xfId="0" applyNumberFormat="1" applyFont="1" applyBorder="1"/>
    <xf numFmtId="165" fontId="46" fillId="39" borderId="34" xfId="48" applyNumberFormat="1" applyFont="1" applyBorder="1">
      <protection locked="0"/>
    </xf>
    <xf numFmtId="0" fontId="25" fillId="0" borderId="23" xfId="0" applyFont="1" applyBorder="1" applyAlignment="1">
      <alignment horizontal="left"/>
    </xf>
    <xf numFmtId="0" fontId="18" fillId="0" borderId="23" xfId="0" applyFont="1" applyBorder="1"/>
    <xf numFmtId="0" fontId="18" fillId="0" borderId="23" xfId="0" applyFont="1" applyBorder="1" applyAlignment="1">
      <alignment vertical="top"/>
    </xf>
    <xf numFmtId="0" fontId="0" fillId="0" borderId="23" xfId="0" applyBorder="1"/>
    <xf numFmtId="166" fontId="46" fillId="39" borderId="34" xfId="48" applyNumberFormat="1" applyFont="1" applyBorder="1">
      <protection locked="0"/>
    </xf>
    <xf numFmtId="0" fontId="0" fillId="2" borderId="0" xfId="0" applyFill="1" applyBorder="1"/>
    <xf numFmtId="49" fontId="25" fillId="0" borderId="33" xfId="0" applyNumberFormat="1" applyFont="1" applyBorder="1"/>
    <xf numFmtId="167" fontId="46" fillId="39" borderId="10" xfId="48" applyNumberFormat="1" applyFont="1" applyBorder="1">
      <protection locked="0"/>
    </xf>
    <xf numFmtId="0" fontId="16" fillId="35" borderId="35" xfId="0" applyFont="1" applyFill="1" applyBorder="1"/>
    <xf numFmtId="0" fontId="0" fillId="35" borderId="35" xfId="0" applyFill="1" applyBorder="1"/>
    <xf numFmtId="0" fontId="0" fillId="35" borderId="35" xfId="0" applyFill="1" applyBorder="1" applyAlignment="1">
      <alignment vertical="center"/>
    </xf>
    <xf numFmtId="0" fontId="0" fillId="35" borderId="35" xfId="0" applyFill="1" applyBorder="1" applyAlignment="1">
      <alignment horizontal="center" vertical="center"/>
    </xf>
    <xf numFmtId="0" fontId="58" fillId="35" borderId="35" xfId="57" applyFill="1" applyBorder="1"/>
    <xf numFmtId="0" fontId="36" fillId="0" borderId="0" xfId="0" applyFont="1" applyBorder="1" applyAlignment="1">
      <alignment horizontal="left" vertical="top" wrapText="1"/>
    </xf>
    <xf numFmtId="49" fontId="25" fillId="0" borderId="26" xfId="0" applyNumberFormat="1" applyFont="1" applyBorder="1"/>
    <xf numFmtId="49" fontId="25" fillId="0" borderId="21" xfId="0" applyNumberFormat="1" applyFont="1" applyBorder="1"/>
    <xf numFmtId="0" fontId="18" fillId="0" borderId="21" xfId="0" applyFont="1" applyBorder="1" applyAlignment="1">
      <alignment vertical="top"/>
    </xf>
    <xf numFmtId="49" fontId="25" fillId="0" borderId="23" xfId="0" applyNumberFormat="1" applyFont="1" applyBorder="1"/>
    <xf numFmtId="0" fontId="18" fillId="0" borderId="26" xfId="0" applyFont="1" applyBorder="1"/>
    <xf numFmtId="0" fontId="0" fillId="0" borderId="21" xfId="0" applyBorder="1"/>
    <xf numFmtId="49" fontId="25" fillId="0" borderId="21" xfId="0" applyNumberFormat="1" applyFont="1" applyBorder="1" applyAlignment="1">
      <alignment vertical="top"/>
    </xf>
    <xf numFmtId="49" fontId="25" fillId="0" borderId="23" xfId="0" quotePrefix="1" applyNumberFormat="1" applyFont="1" applyBorder="1" applyAlignment="1">
      <alignment vertical="top"/>
    </xf>
    <xf numFmtId="0" fontId="25" fillId="0" borderId="23" xfId="0" applyFont="1" applyBorder="1" applyAlignment="1">
      <alignment vertical="top"/>
    </xf>
    <xf numFmtId="0" fontId="25" fillId="0" borderId="26" xfId="0" applyFont="1" applyBorder="1" applyAlignment="1">
      <alignment horizontal="left"/>
    </xf>
    <xf numFmtId="0" fontId="25" fillId="0" borderId="26" xfId="0" applyFont="1" applyBorder="1" applyAlignment="1">
      <alignment vertical="top"/>
    </xf>
    <xf numFmtId="49" fontId="25" fillId="0" borderId="21" xfId="0" quotePrefix="1" applyNumberFormat="1" applyFont="1" applyBorder="1" applyAlignment="1">
      <alignment vertical="top"/>
    </xf>
    <xf numFmtId="0" fontId="25" fillId="0" borderId="21" xfId="0" applyFont="1" applyBorder="1" applyAlignment="1">
      <alignment vertical="top"/>
    </xf>
    <xf numFmtId="0" fontId="25" fillId="0" borderId="0" xfId="0" applyFont="1" applyBorder="1" applyAlignment="1">
      <alignment horizontal="right" vertical="top" wrapText="1"/>
    </xf>
    <xf numFmtId="0" fontId="25" fillId="0" borderId="26" xfId="0" applyFont="1" applyBorder="1" applyAlignment="1">
      <alignment horizontal="right" vertical="top" wrapText="1"/>
    </xf>
    <xf numFmtId="168" fontId="25" fillId="0" borderId="0" xfId="0" applyNumberFormat="1" applyFont="1" applyAlignment="1">
      <alignment horizontal="left"/>
    </xf>
    <xf numFmtId="2" fontId="25" fillId="0" borderId="0" xfId="0" applyNumberFormat="1" applyFont="1" applyAlignment="1">
      <alignment horizontal="left"/>
    </xf>
    <xf numFmtId="0" fontId="27" fillId="0" borderId="0" xfId="0" applyFont="1" applyAlignment="1">
      <alignment horizontal="right" wrapText="1"/>
    </xf>
    <xf numFmtId="0" fontId="18" fillId="0" borderId="0" xfId="0" applyFont="1" applyAlignment="1">
      <alignment wrapText="1"/>
    </xf>
    <xf numFmtId="0" fontId="26" fillId="0" borderId="0" xfId="0" applyFont="1" applyAlignment="1">
      <alignment horizontal="right" vertical="center" wrapText="1"/>
    </xf>
    <xf numFmtId="0" fontId="26" fillId="0" borderId="0" xfId="0" applyFont="1" applyAlignment="1">
      <alignment horizontal="right" wrapText="1"/>
    </xf>
    <xf numFmtId="0" fontId="25" fillId="0" borderId="0" xfId="0" applyFont="1" applyAlignment="1">
      <alignment wrapText="1"/>
    </xf>
    <xf numFmtId="0" fontId="21" fillId="34" borderId="0" xfId="50" applyAlignment="1">
      <alignment horizontal="left" vertical="top" wrapText="1"/>
    </xf>
    <xf numFmtId="49" fontId="21" fillId="34" borderId="0" xfId="50" applyNumberFormat="1" applyAlignment="1">
      <alignment horizontal="left" vertical="top" wrapText="1"/>
    </xf>
    <xf numFmtId="49" fontId="25" fillId="0" borderId="0" xfId="0" applyNumberFormat="1" applyFont="1" applyAlignment="1">
      <alignment vertical="top" wrapText="1"/>
    </xf>
    <xf numFmtId="49" fontId="25" fillId="0" borderId="0" xfId="0" quotePrefix="1" applyNumberFormat="1" applyFont="1" applyAlignment="1">
      <alignment vertical="top" wrapText="1"/>
    </xf>
    <xf numFmtId="0" fontId="27" fillId="0" borderId="0" xfId="0" applyFont="1" applyAlignment="1">
      <alignment horizontal="justify" vertical="top" wrapText="1"/>
    </xf>
    <xf numFmtId="0" fontId="32" fillId="0" borderId="0" xfId="0" applyFont="1" applyAlignment="1">
      <alignment vertical="top" wrapText="1"/>
    </xf>
    <xf numFmtId="49" fontId="25" fillId="0" borderId="0" xfId="0" applyNumberFormat="1" applyFont="1" applyAlignment="1">
      <alignment horizontal="center" vertical="top" wrapText="1"/>
    </xf>
    <xf numFmtId="0" fontId="43" fillId="0" borderId="0" xfId="0" applyFont="1" applyAlignment="1">
      <alignment vertical="top" wrapText="1"/>
    </xf>
    <xf numFmtId="0" fontId="18" fillId="0" borderId="0" xfId="0" applyFont="1" applyAlignment="1">
      <alignment horizontal="right" vertical="top" wrapText="1"/>
    </xf>
    <xf numFmtId="0" fontId="25" fillId="0" borderId="0" xfId="0" applyFont="1" applyAlignment="1">
      <alignment horizontal="center" vertical="top" wrapText="1"/>
    </xf>
    <xf numFmtId="168" fontId="25" fillId="0" borderId="0" xfId="0" applyNumberFormat="1" applyFont="1" applyBorder="1" applyAlignment="1">
      <alignment horizontal="left"/>
    </xf>
    <xf numFmtId="0" fontId="18" fillId="0" borderId="0" xfId="0" applyFont="1" applyBorder="1" applyAlignment="1">
      <alignment horizontal="center" vertical="center"/>
    </xf>
    <xf numFmtId="0" fontId="18" fillId="0" borderId="31" xfId="0" applyFont="1" applyBorder="1"/>
    <xf numFmtId="0" fontId="18" fillId="0" borderId="31" xfId="0" applyFont="1" applyBorder="1" applyAlignment="1">
      <alignment horizontal="center" vertical="center"/>
    </xf>
    <xf numFmtId="0" fontId="18" fillId="0" borderId="26" xfId="0" applyFont="1" applyBorder="1" applyAlignment="1">
      <alignment wrapText="1"/>
    </xf>
    <xf numFmtId="0" fontId="18" fillId="0" borderId="21" xfId="0" applyFont="1" applyBorder="1"/>
    <xf numFmtId="0" fontId="18" fillId="0" borderId="21" xfId="0" applyFont="1" applyBorder="1" applyAlignment="1">
      <alignment wrapText="1"/>
    </xf>
    <xf numFmtId="0" fontId="18" fillId="0" borderId="0" xfId="0" applyFont="1" applyBorder="1" applyAlignment="1">
      <alignment wrapText="1"/>
    </xf>
    <xf numFmtId="0" fontId="18" fillId="0" borderId="23" xfId="0" applyFont="1" applyBorder="1" applyAlignment="1">
      <alignment horizontal="center" vertical="center"/>
    </xf>
    <xf numFmtId="0" fontId="18" fillId="0" borderId="23" xfId="0" applyFont="1" applyBorder="1" applyAlignment="1">
      <alignment wrapText="1"/>
    </xf>
    <xf numFmtId="0" fontId="0" fillId="0" borderId="0" xfId="0" applyAlignment="1">
      <alignment horizontal="right"/>
    </xf>
    <xf numFmtId="0" fontId="0" fillId="0" borderId="0" xfId="0"/>
    <xf numFmtId="0" fontId="0" fillId="0" borderId="0" xfId="0" applyAlignment="1">
      <alignment horizontal="center" vertical="center"/>
    </xf>
    <xf numFmtId="0" fontId="25" fillId="0" borderId="0" xfId="0" applyFont="1" applyBorder="1" applyAlignment="1">
      <alignment horizontal="right" vertical="top" wrapText="1"/>
    </xf>
    <xf numFmtId="0" fontId="36" fillId="0" borderId="0" xfId="0" applyFont="1" applyBorder="1" applyAlignment="1">
      <alignment horizontal="left" vertical="top" wrapText="1"/>
    </xf>
    <xf numFmtId="0" fontId="0" fillId="0" borderId="0" xfId="62" applyNumberFormat="1" applyFont="1">
      <alignment horizontal="center" vertical="center"/>
    </xf>
    <xf numFmtId="0" fontId="0" fillId="0" borderId="0" xfId="0" applyNumberFormat="1"/>
    <xf numFmtId="0" fontId="0" fillId="39" borderId="17" xfId="48" applyFont="1" applyBorder="1">
      <protection locked="0"/>
    </xf>
    <xf numFmtId="0" fontId="0" fillId="0" borderId="54" xfId="0" applyBorder="1"/>
    <xf numFmtId="0" fontId="0" fillId="0" borderId="0" xfId="0"/>
    <xf numFmtId="0" fontId="0" fillId="0" borderId="0" xfId="0"/>
    <xf numFmtId="0" fontId="0" fillId="0" borderId="0" xfId="0" applyAlignment="1">
      <alignment horizontal="right"/>
    </xf>
    <xf numFmtId="0" fontId="0" fillId="0" borderId="0" xfId="0"/>
    <xf numFmtId="0" fontId="58" fillId="35" borderId="35" xfId="57" applyFill="1" applyBorder="1" applyProtection="1">
      <protection locked="0"/>
    </xf>
    <xf numFmtId="164" fontId="58" fillId="40" borderId="14" xfId="57" applyNumberFormat="1" applyFill="1" applyBorder="1" applyAlignment="1" applyProtection="1">
      <alignment horizontal="left" vertical="top" wrapText="1"/>
      <protection locked="0"/>
    </xf>
    <xf numFmtId="0" fontId="58" fillId="0" borderId="0" xfId="57" applyBorder="1" applyProtection="1">
      <protection locked="0"/>
    </xf>
    <xf numFmtId="0" fontId="26" fillId="0" borderId="33" xfId="0" applyFont="1" applyBorder="1" applyAlignment="1">
      <alignment horizontal="left" vertical="top" wrapText="1"/>
    </xf>
    <xf numFmtId="0" fontId="0" fillId="0" borderId="63" xfId="0" applyBorder="1"/>
    <xf numFmtId="0" fontId="0" fillId="0" borderId="0" xfId="0"/>
    <xf numFmtId="0" fontId="0" fillId="0" borderId="0" xfId="0" applyAlignment="1">
      <alignment horizontal="left"/>
    </xf>
    <xf numFmtId="0" fontId="0" fillId="0" borderId="0" xfId="0"/>
    <xf numFmtId="0" fontId="0" fillId="0" borderId="0" xfId="0" applyAlignment="1">
      <alignment horizontal="left"/>
    </xf>
    <xf numFmtId="0" fontId="0" fillId="0" borderId="0" xfId="0"/>
    <xf numFmtId="0" fontId="0" fillId="0" borderId="0" xfId="0"/>
    <xf numFmtId="0" fontId="0" fillId="0" borderId="0" xfId="0" applyAlignment="1">
      <alignment horizontal="left"/>
    </xf>
    <xf numFmtId="0" fontId="0" fillId="0" borderId="0" xfId="0"/>
    <xf numFmtId="0" fontId="0" fillId="38" borderId="10" xfId="47" applyFont="1" applyAlignment="1">
      <alignment horizontal="left"/>
      <protection locked="0"/>
    </xf>
    <xf numFmtId="0" fontId="0" fillId="0" borderId="0" xfId="0" applyAlignment="1">
      <alignment horizontal="left" wrapText="1"/>
    </xf>
    <xf numFmtId="0" fontId="27" fillId="0" borderId="0" xfId="0" applyFont="1" applyAlignment="1">
      <alignment horizontal="left" vertical="top" wrapText="1"/>
    </xf>
    <xf numFmtId="0" fontId="27" fillId="0" borderId="12" xfId="0" applyFont="1" applyBorder="1" applyAlignment="1">
      <alignment horizontal="center" vertical="center"/>
    </xf>
    <xf numFmtId="0" fontId="27" fillId="0" borderId="10" xfId="0" applyFont="1" applyBorder="1" applyAlignment="1">
      <alignment horizontal="center" vertical="center"/>
    </xf>
    <xf numFmtId="0" fontId="18" fillId="0" borderId="21" xfId="0" applyFont="1" applyBorder="1" applyAlignment="1">
      <alignment horizontal="left" vertical="top" wrapText="1"/>
    </xf>
    <xf numFmtId="0" fontId="18" fillId="0" borderId="21" xfId="0" applyFont="1" applyBorder="1" applyAlignment="1">
      <alignment vertical="top" wrapText="1"/>
    </xf>
    <xf numFmtId="0" fontId="37" fillId="0" borderId="0" xfId="0" applyFont="1" applyBorder="1" applyAlignment="1">
      <alignment horizontal="justify" vertical="top" wrapText="1"/>
    </xf>
    <xf numFmtId="0" fontId="25" fillId="0" borderId="0" xfId="0" applyFont="1" applyBorder="1" applyAlignment="1">
      <alignment vertical="top" wrapText="1"/>
    </xf>
    <xf numFmtId="164" fontId="29" fillId="40" borderId="51" xfId="65" applyBorder="1" applyAlignment="1">
      <alignment horizontal="left" vertical="top" wrapText="1"/>
    </xf>
    <xf numFmtId="169" fontId="18" fillId="0" borderId="10" xfId="0" applyNumberFormat="1" applyFont="1" applyBorder="1" applyAlignment="1">
      <alignment horizontal="center" vertical="center" wrapText="1"/>
    </xf>
    <xf numFmtId="169" fontId="18" fillId="0" borderId="10" xfId="0" applyNumberFormat="1" applyFont="1" applyBorder="1" applyAlignment="1">
      <alignment horizontal="center" vertical="center"/>
    </xf>
    <xf numFmtId="0" fontId="27" fillId="0" borderId="12" xfId="0" applyFont="1" applyBorder="1" applyAlignment="1">
      <alignment horizontal="center" vertical="center" wrapText="1"/>
    </xf>
    <xf numFmtId="0" fontId="38" fillId="0" borderId="0" xfId="0" applyFont="1" applyAlignment="1">
      <alignment horizontal="center" vertical="center"/>
    </xf>
    <xf numFmtId="0" fontId="18" fillId="0" borderId="10" xfId="0" applyFont="1" applyBorder="1" applyAlignment="1">
      <alignment horizontal="center" vertical="center" wrapText="1"/>
    </xf>
    <xf numFmtId="2" fontId="27" fillId="0" borderId="12" xfId="0" applyNumberFormat="1" applyFont="1" applyBorder="1" applyAlignment="1">
      <alignment horizontal="center" vertical="center" wrapText="1"/>
    </xf>
    <xf numFmtId="0" fontId="18" fillId="0" borderId="10" xfId="0" applyFont="1" applyBorder="1" applyAlignment="1">
      <alignment horizont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0" xfId="0" applyNumberFormat="1" applyFont="1" applyBorder="1" applyAlignment="1">
      <alignment horizontal="center" vertical="center" wrapText="1"/>
    </xf>
    <xf numFmtId="0" fontId="25" fillId="0" borderId="10" xfId="0" applyNumberFormat="1" applyFont="1" applyBorder="1" applyAlignment="1">
      <alignment horizontal="center" vertical="center"/>
    </xf>
    <xf numFmtId="0" fontId="26" fillId="0" borderId="10" xfId="0" applyNumberFormat="1" applyFont="1" applyBorder="1" applyAlignment="1">
      <alignment horizontal="center" vertical="center"/>
    </xf>
    <xf numFmtId="0" fontId="26" fillId="0" borderId="12" xfId="0" applyNumberFormat="1" applyFont="1" applyBorder="1" applyAlignment="1">
      <alignment horizontal="center" vertical="center"/>
    </xf>
    <xf numFmtId="0" fontId="43" fillId="0" borderId="10" xfId="0" applyNumberFormat="1" applyFont="1" applyBorder="1" applyAlignment="1">
      <alignment horizontal="center" vertical="center"/>
    </xf>
    <xf numFmtId="0" fontId="26" fillId="0" borderId="12" xfId="0" applyNumberFormat="1" applyFont="1" applyBorder="1" applyAlignment="1">
      <alignment horizontal="center" vertical="center" wrapText="1"/>
    </xf>
    <xf numFmtId="1" fontId="18" fillId="0" borderId="10" xfId="0" applyNumberFormat="1" applyFont="1" applyBorder="1" applyAlignment="1">
      <alignment horizontal="center" vertical="center" wrapText="1"/>
    </xf>
    <xf numFmtId="1" fontId="27" fillId="0" borderId="12" xfId="0" applyNumberFormat="1" applyFont="1" applyFill="1" applyBorder="1" applyAlignment="1">
      <alignment horizontal="center" vertical="center" wrapText="1"/>
    </xf>
    <xf numFmtId="16" fontId="0" fillId="0" borderId="0" xfId="0" applyNumberFormat="1"/>
    <xf numFmtId="49" fontId="18" fillId="0" borderId="10" xfId="0" applyNumberFormat="1" applyFont="1" applyBorder="1" applyAlignment="1">
      <alignment horizontal="center" vertical="center" wrapText="1"/>
    </xf>
    <xf numFmtId="49" fontId="27" fillId="0" borderId="12" xfId="0" applyNumberFormat="1" applyFont="1" applyFill="1" applyBorder="1" applyAlignment="1">
      <alignment horizontal="center" vertical="center" wrapText="1"/>
    </xf>
    <xf numFmtId="0" fontId="25" fillId="0" borderId="10" xfId="0" applyFont="1" applyBorder="1" applyAlignment="1">
      <alignment horizontal="center" vertical="center"/>
    </xf>
    <xf numFmtId="49" fontId="25" fillId="0" borderId="10" xfId="0" applyNumberFormat="1" applyFont="1" applyBorder="1" applyAlignment="1">
      <alignment horizontal="center" vertical="center" wrapText="1"/>
    </xf>
    <xf numFmtId="49" fontId="43" fillId="0" borderId="10" xfId="0" applyNumberFormat="1" applyFont="1" applyBorder="1" applyAlignment="1">
      <alignment horizontal="center" vertical="center"/>
    </xf>
    <xf numFmtId="49" fontId="25" fillId="0" borderId="10" xfId="0" applyNumberFormat="1" applyFont="1" applyBorder="1" applyAlignment="1">
      <alignment horizontal="center" vertical="center"/>
    </xf>
    <xf numFmtId="0"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xf>
    <xf numFmtId="49" fontId="18" fillId="0" borderId="10" xfId="0" applyNumberFormat="1" applyFont="1" applyBorder="1" applyAlignment="1">
      <alignment horizontal="center"/>
    </xf>
    <xf numFmtId="0" fontId="18" fillId="0" borderId="10" xfId="0" applyFont="1" applyBorder="1" applyAlignment="1">
      <alignment horizontal="center"/>
    </xf>
    <xf numFmtId="0" fontId="44" fillId="43" borderId="15" xfId="0" applyFont="1" applyFill="1" applyBorder="1" applyAlignment="1">
      <alignment horizontal="center" vertical="center" wrapText="1"/>
    </xf>
    <xf numFmtId="0" fontId="18" fillId="0" borderId="15" xfId="0" applyFont="1" applyBorder="1" applyAlignment="1">
      <alignment horizontal="center" vertical="center" wrapText="1"/>
    </xf>
    <xf numFmtId="0" fontId="27" fillId="0" borderId="10" xfId="0" applyFont="1" applyBorder="1" applyAlignment="1">
      <alignment horizontal="center" vertical="center" wrapText="1"/>
    </xf>
    <xf numFmtId="0" fontId="16" fillId="0" borderId="0" xfId="0" applyFont="1" applyBorder="1" applyAlignment="1">
      <alignment horizontal="center"/>
    </xf>
    <xf numFmtId="0" fontId="27" fillId="0" borderId="64" xfId="0" applyFont="1" applyBorder="1" applyAlignment="1">
      <alignment horizontal="center" vertical="center"/>
    </xf>
    <xf numFmtId="0" fontId="26" fillId="0" borderId="64" xfId="0" applyFont="1" applyBorder="1" applyAlignment="1">
      <alignment horizontal="center" vertical="center"/>
    </xf>
    <xf numFmtId="0" fontId="26" fillId="0" borderId="64" xfId="0" applyFont="1" applyBorder="1" applyAlignment="1">
      <alignment horizontal="center" vertical="center" wrapText="1"/>
    </xf>
    <xf numFmtId="166" fontId="46" fillId="39" borderId="10" xfId="48" applyNumberFormat="1" applyFont="1" applyBorder="1">
      <protection locked="0"/>
    </xf>
    <xf numFmtId="49" fontId="0" fillId="39" borderId="10" xfId="48" applyNumberFormat="1" applyFont="1" applyAlignment="1">
      <alignment horizontal="left"/>
      <protection locked="0"/>
    </xf>
    <xf numFmtId="0" fontId="0" fillId="0" borderId="0" xfId="0" applyAlignment="1">
      <alignment horizontal="left"/>
    </xf>
    <xf numFmtId="0" fontId="0" fillId="0" borderId="0" xfId="0"/>
    <xf numFmtId="0" fontId="0" fillId="38" borderId="10" xfId="47" applyFont="1" applyAlignment="1">
      <alignment horizontal="left"/>
      <protection locked="0"/>
    </xf>
    <xf numFmtId="0" fontId="0" fillId="0" borderId="0" xfId="0"/>
    <xf numFmtId="0" fontId="16" fillId="0" borderId="25" xfId="0" applyFont="1" applyBorder="1" applyAlignment="1">
      <alignment horizontal="right" vertical="center"/>
    </xf>
    <xf numFmtId="0" fontId="16" fillId="0" borderId="12" xfId="0" applyFont="1" applyBorder="1" applyAlignment="1">
      <alignment horizontal="right" vertical="center"/>
    </xf>
    <xf numFmtId="0" fontId="0" fillId="0" borderId="0" xfId="0" applyAlignment="1">
      <alignment horizontal="center"/>
    </xf>
    <xf numFmtId="0" fontId="0" fillId="0" borderId="0" xfId="0" applyAlignment="1">
      <alignment horizontal="right"/>
    </xf>
    <xf numFmtId="0" fontId="0" fillId="0" borderId="0" xfId="0"/>
    <xf numFmtId="0" fontId="0" fillId="0" borderId="0" xfId="0" applyFill="1" applyBorder="1" applyAlignment="1">
      <alignment horizontal="left"/>
    </xf>
    <xf numFmtId="0" fontId="0" fillId="0" borderId="0" xfId="0"/>
    <xf numFmtId="9" fontId="0" fillId="0" borderId="0" xfId="0" applyNumberFormat="1"/>
    <xf numFmtId="0" fontId="0" fillId="0" borderId="0" xfId="0" applyFill="1"/>
    <xf numFmtId="0" fontId="16" fillId="0" borderId="0" xfId="0" applyFont="1"/>
    <xf numFmtId="170" fontId="46" fillId="39" borderId="10" xfId="48" applyNumberFormat="1" applyFont="1" applyBorder="1">
      <protection locked="0"/>
    </xf>
    <xf numFmtId="0" fontId="0" fillId="0" borderId="0" xfId="0"/>
    <xf numFmtId="164" fontId="29" fillId="40" borderId="14" xfId="65">
      <alignment horizontal="left" vertical="top" wrapText="1"/>
    </xf>
    <xf numFmtId="0" fontId="25" fillId="0" borderId="0" xfId="0" applyFont="1" applyAlignment="1">
      <alignment horizontal="right" vertical="top" wrapText="1"/>
    </xf>
    <xf numFmtId="0" fontId="18" fillId="0" borderId="0" xfId="0" applyFont="1" applyAlignment="1">
      <alignment vertical="top" wrapText="1"/>
    </xf>
    <xf numFmtId="0" fontId="0" fillId="0" borderId="0" xfId="0"/>
    <xf numFmtId="0" fontId="18" fillId="0" borderId="10" xfId="0" applyFont="1" applyBorder="1" applyAlignment="1">
      <alignment horizontal="center" vertical="center"/>
    </xf>
    <xf numFmtId="0" fontId="18" fillId="0" borderId="10" xfId="0" applyFont="1" applyBorder="1" applyAlignment="1">
      <alignment horizontal="center"/>
    </xf>
    <xf numFmtId="0" fontId="54" fillId="0" borderId="75" xfId="0" applyFont="1" applyBorder="1" applyAlignment="1">
      <alignment horizontal="center" vertical="center" wrapText="1"/>
    </xf>
    <xf numFmtId="0" fontId="54" fillId="0" borderId="76" xfId="0" applyFont="1" applyBorder="1" applyAlignment="1">
      <alignment horizontal="center" vertical="center" wrapText="1"/>
    </xf>
    <xf numFmtId="0" fontId="54" fillId="0" borderId="64" xfId="0" applyFont="1" applyBorder="1" applyAlignment="1">
      <alignment horizontal="center" vertical="center" wrapText="1"/>
    </xf>
    <xf numFmtId="49" fontId="49" fillId="0" borderId="65" xfId="0" applyNumberFormat="1" applyFont="1" applyBorder="1" applyAlignment="1">
      <alignment horizontal="center" vertical="center" wrapText="1"/>
    </xf>
    <xf numFmtId="0" fontId="49" fillId="0" borderId="64" xfId="0" applyFont="1" applyBorder="1" applyAlignment="1">
      <alignment horizontal="center" vertical="center" wrapText="1"/>
    </xf>
    <xf numFmtId="2" fontId="49" fillId="0" borderId="64" xfId="0" applyNumberFormat="1" applyFont="1" applyBorder="1" applyAlignment="1">
      <alignment horizontal="center" vertical="center" wrapText="1"/>
    </xf>
    <xf numFmtId="0" fontId="49" fillId="0" borderId="65" xfId="0" applyFont="1" applyBorder="1" applyAlignment="1">
      <alignment horizontal="center" vertical="center" wrapText="1"/>
    </xf>
    <xf numFmtId="0" fontId="0" fillId="39" borderId="10" xfId="48" applyFont="1" applyAlignment="1">
      <protection locked="0"/>
    </xf>
    <xf numFmtId="0" fontId="0" fillId="0" borderId="0" xfId="0"/>
    <xf numFmtId="0" fontId="0" fillId="0" borderId="0" xfId="0"/>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31" xfId="0" applyFont="1" applyBorder="1" applyAlignment="1">
      <alignment vertical="top" wrapText="1"/>
    </xf>
    <xf numFmtId="49" fontId="25" fillId="0" borderId="31" xfId="0" applyNumberFormat="1" applyFont="1" applyBorder="1" applyAlignment="1">
      <alignment horizontal="left"/>
    </xf>
    <xf numFmtId="0" fontId="28" fillId="39" borderId="10" xfId="48" applyFont="1" applyBorder="1">
      <protection locked="0"/>
    </xf>
    <xf numFmtId="0" fontId="0" fillId="39" borderId="10" xfId="48" applyFont="1" applyBorder="1" applyAlignment="1">
      <protection locked="0"/>
    </xf>
    <xf numFmtId="0" fontId="25" fillId="0" borderId="31" xfId="0" applyFont="1" applyBorder="1" applyAlignment="1">
      <alignment horizontal="right" vertical="top" wrapText="1"/>
    </xf>
    <xf numFmtId="0" fontId="25" fillId="0" borderId="35" xfId="0" applyFont="1" applyBorder="1" applyAlignment="1">
      <alignment horizontal="left"/>
    </xf>
    <xf numFmtId="0" fontId="18" fillId="0" borderId="35" xfId="0" applyFont="1" applyBorder="1"/>
    <xf numFmtId="0" fontId="25" fillId="0" borderId="35" xfId="0" applyFont="1" applyBorder="1" applyAlignment="1">
      <alignment vertical="top" wrapText="1"/>
    </xf>
    <xf numFmtId="0" fontId="25" fillId="0" borderId="35" xfId="0" applyFont="1" applyBorder="1" applyAlignment="1">
      <alignment horizontal="center" vertical="center"/>
    </xf>
    <xf numFmtId="0" fontId="28" fillId="39" borderId="34" xfId="48" applyFont="1" applyBorder="1">
      <protection locked="0"/>
    </xf>
    <xf numFmtId="172" fontId="46" fillId="39" borderId="10" xfId="48" applyNumberFormat="1" applyFont="1" applyBorder="1">
      <protection locked="0"/>
    </xf>
    <xf numFmtId="171" fontId="25" fillId="0" borderId="26" xfId="0" applyNumberFormat="1" applyFont="1" applyBorder="1" applyAlignment="1">
      <alignment horizontal="center" vertical="center"/>
    </xf>
    <xf numFmtId="0" fontId="0" fillId="0" borderId="0" xfId="0" applyAlignment="1">
      <alignment horizontal="right"/>
    </xf>
    <xf numFmtId="0" fontId="0" fillId="0" borderId="0" xfId="0"/>
    <xf numFmtId="0" fontId="0" fillId="0" borderId="0" xfId="0"/>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Alignment="1">
      <alignment vertical="top" wrapText="1"/>
    </xf>
    <xf numFmtId="173" fontId="46" fillId="39" borderId="10" xfId="48" applyNumberFormat="1" applyFont="1" applyBorder="1">
      <protection locked="0"/>
    </xf>
    <xf numFmtId="0" fontId="0" fillId="0" borderId="0" xfId="0"/>
    <xf numFmtId="0" fontId="0" fillId="0" borderId="0" xfId="0"/>
    <xf numFmtId="0" fontId="0" fillId="0" borderId="0" xfId="0"/>
    <xf numFmtId="175" fontId="46" fillId="39" borderId="10" xfId="48" applyNumberFormat="1" applyFont="1" applyBorder="1">
      <protection locked="0"/>
    </xf>
    <xf numFmtId="0" fontId="0" fillId="0" borderId="0" xfId="0"/>
    <xf numFmtId="0" fontId="18" fillId="0" borderId="0" xfId="0" applyFont="1" applyAlignment="1">
      <alignment vertical="top" wrapText="1"/>
    </xf>
    <xf numFmtId="0" fontId="0" fillId="0" borderId="0" xfId="0"/>
    <xf numFmtId="2" fontId="46" fillId="39" borderId="10" xfId="48" applyNumberFormat="1" applyFont="1" applyBorder="1">
      <protection locked="0"/>
    </xf>
    <xf numFmtId="0" fontId="0" fillId="2" borderId="0" xfId="0" applyFill="1" applyAlignment="1">
      <alignment horizontal="right"/>
    </xf>
    <xf numFmtId="0" fontId="0" fillId="0" borderId="0" xfId="0"/>
    <xf numFmtId="0" fontId="0" fillId="0" borderId="0" xfId="0" applyAlignment="1">
      <alignment horizontal="right"/>
    </xf>
    <xf numFmtId="0" fontId="0" fillId="0" borderId="0" xfId="0"/>
    <xf numFmtId="0" fontId="25" fillId="0" borderId="0" xfId="0" applyFont="1" applyAlignment="1">
      <alignment horizontal="center" vertical="center"/>
    </xf>
    <xf numFmtId="0" fontId="44" fillId="34" borderId="0" xfId="50" applyFont="1" applyAlignment="1">
      <alignment horizontal="center" vertical="center"/>
    </xf>
    <xf numFmtId="0" fontId="0" fillId="0" borderId="0" xfId="0"/>
    <xf numFmtId="0" fontId="0" fillId="0" borderId="0" xfId="0"/>
    <xf numFmtId="0" fontId="26" fillId="0" borderId="69" xfId="0" applyFont="1" applyBorder="1" applyAlignment="1">
      <alignment horizontal="center" vertical="center" wrapText="1"/>
    </xf>
    <xf numFmtId="0" fontId="0" fillId="0" borderId="0" xfId="0"/>
    <xf numFmtId="0" fontId="18" fillId="0" borderId="0" xfId="0" applyFont="1" applyAlignment="1">
      <alignment vertical="top" wrapText="1"/>
    </xf>
    <xf numFmtId="9" fontId="1" fillId="39" borderId="10" xfId="48" applyNumberFormat="1" applyFont="1" applyBorder="1" applyAlignment="1">
      <alignment horizontal="right" vertical="center"/>
      <protection locked="0"/>
    </xf>
    <xf numFmtId="0" fontId="27" fillId="0" borderId="64" xfId="0" applyFont="1" applyBorder="1" applyAlignment="1">
      <alignment horizontal="center" vertical="center" wrapText="1"/>
    </xf>
    <xf numFmtId="0" fontId="27" fillId="0" borderId="65" xfId="0" applyFont="1" applyBorder="1" applyAlignment="1">
      <alignment horizontal="left" vertical="center" wrapText="1" indent="1"/>
    </xf>
    <xf numFmtId="0" fontId="27" fillId="0" borderId="69" xfId="0" applyFont="1" applyBorder="1" applyAlignment="1">
      <alignment horizontal="center" vertical="center" wrapText="1"/>
    </xf>
    <xf numFmtId="0" fontId="27" fillId="0" borderId="80" xfId="0" applyFont="1" applyBorder="1" applyAlignment="1">
      <alignment horizontal="left" vertical="center" wrapText="1" indent="1"/>
    </xf>
    <xf numFmtId="0" fontId="27" fillId="0" borderId="75" xfId="0" applyFont="1" applyBorder="1" applyAlignment="1">
      <alignment horizontal="center" vertical="center" wrapText="1"/>
    </xf>
    <xf numFmtId="0" fontId="27" fillId="0" borderId="66" xfId="0" applyFont="1" applyBorder="1" applyAlignment="1">
      <alignment horizontal="left" vertical="center" wrapText="1" indent="1"/>
    </xf>
    <xf numFmtId="0" fontId="26" fillId="0" borderId="65" xfId="0" applyFont="1" applyBorder="1" applyAlignment="1">
      <alignment horizontal="center" vertical="center" wrapText="1"/>
    </xf>
    <xf numFmtId="0" fontId="27" fillId="44" borderId="64" xfId="0" applyFont="1" applyFill="1" applyBorder="1" applyAlignment="1">
      <alignment horizontal="center" vertical="center" wrapText="1"/>
    </xf>
    <xf numFmtId="0" fontId="27" fillId="44" borderId="65" xfId="0" applyFont="1" applyFill="1" applyBorder="1" applyAlignment="1">
      <alignment vertical="center" wrapText="1"/>
    </xf>
    <xf numFmtId="0" fontId="27" fillId="0" borderId="65" xfId="0" applyFont="1" applyBorder="1" applyAlignment="1">
      <alignment vertical="center" wrapText="1"/>
    </xf>
    <xf numFmtId="0" fontId="26" fillId="0" borderId="80" xfId="0" applyFont="1" applyBorder="1" applyAlignment="1">
      <alignment horizontal="center" vertical="center" wrapText="1"/>
    </xf>
    <xf numFmtId="0" fontId="27" fillId="0" borderId="65" xfId="0" applyFont="1" applyBorder="1" applyAlignment="1">
      <alignment horizontal="center" vertical="center" wrapText="1"/>
    </xf>
    <xf numFmtId="0" fontId="27" fillId="0" borderId="10" xfId="0" applyFont="1" applyBorder="1" applyAlignment="1">
      <alignment vertical="center" wrapText="1"/>
    </xf>
    <xf numFmtId="0" fontId="27" fillId="0" borderId="1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5"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5" xfId="0" applyFont="1" applyBorder="1" applyAlignment="1">
      <alignment vertical="center" wrapText="1"/>
    </xf>
    <xf numFmtId="0" fontId="27" fillId="0" borderId="17" xfId="0" applyFont="1" applyBorder="1" applyAlignment="1">
      <alignment vertical="center" wrapText="1"/>
    </xf>
    <xf numFmtId="0" fontId="27" fillId="0" borderId="16" xfId="0" applyFont="1" applyBorder="1" applyAlignment="1">
      <alignment vertical="center" wrapText="1"/>
    </xf>
    <xf numFmtId="0" fontId="0" fillId="0" borderId="0" xfId="0"/>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18" fillId="0" borderId="0" xfId="0" applyFont="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18" fillId="0" borderId="31" xfId="0" applyFont="1" applyBorder="1" applyAlignment="1">
      <alignment vertical="top" wrapText="1"/>
    </xf>
    <xf numFmtId="0" fontId="25" fillId="0" borderId="26" xfId="0" applyFont="1" applyBorder="1" applyAlignment="1">
      <alignment horizontal="center" vertical="center"/>
    </xf>
    <xf numFmtId="0" fontId="40" fillId="0" borderId="0" xfId="0" applyFont="1" applyBorder="1" applyAlignment="1">
      <alignment horizontal="center" vertical="center"/>
    </xf>
    <xf numFmtId="0" fontId="25" fillId="0" borderId="0" xfId="0" applyFont="1" applyAlignment="1">
      <alignment horizontal="center" vertical="center"/>
    </xf>
    <xf numFmtId="0" fontId="25" fillId="0" borderId="31" xfId="0" applyFont="1" applyBorder="1" applyAlignment="1">
      <alignment horizontal="center" vertical="center"/>
    </xf>
    <xf numFmtId="0" fontId="18" fillId="0" borderId="0" xfId="0" applyFont="1" applyAlignment="1">
      <alignment vertical="top" wrapText="1"/>
    </xf>
    <xf numFmtId="0" fontId="25" fillId="0" borderId="0" xfId="0" applyFont="1" applyAlignment="1">
      <alignment horizontal="center" vertical="center" wrapText="1"/>
    </xf>
    <xf numFmtId="0" fontId="25" fillId="0" borderId="0" xfId="62" applyFont="1">
      <alignment horizontal="center" vertical="center"/>
    </xf>
    <xf numFmtId="0" fontId="26" fillId="0" borderId="0" xfId="0" applyFont="1" applyBorder="1" applyAlignment="1">
      <alignment horizontal="center" vertical="center"/>
    </xf>
    <xf numFmtId="0" fontId="25" fillId="0" borderId="33" xfId="0" applyFont="1" applyBorder="1" applyAlignment="1">
      <alignment vertical="top" wrapText="1"/>
    </xf>
    <xf numFmtId="0" fontId="25" fillId="0" borderId="31" xfId="0" applyFont="1" applyBorder="1" applyAlignment="1">
      <alignment vertical="top" wrapText="1"/>
    </xf>
    <xf numFmtId="0" fontId="58" fillId="0" borderId="0" xfId="57" applyAlignment="1" applyProtection="1">
      <alignment horizontal="left" vertical="top" wrapText="1"/>
      <protection locked="0"/>
    </xf>
    <xf numFmtId="0" fontId="18" fillId="0" borderId="21" xfId="0" applyFont="1" applyBorder="1" applyAlignment="1">
      <alignment horizontal="center" vertical="center"/>
    </xf>
    <xf numFmtId="0" fontId="25" fillId="0" borderId="21" xfId="0" applyFont="1" applyBorder="1" applyAlignment="1">
      <alignment horizontal="center" vertical="center"/>
    </xf>
    <xf numFmtId="2" fontId="0" fillId="0" borderId="0" xfId="0" applyNumberFormat="1"/>
    <xf numFmtId="0" fontId="0" fillId="0" borderId="0" xfId="0" applyAlignment="1">
      <alignment horizontal="left"/>
    </xf>
    <xf numFmtId="0" fontId="0" fillId="0" borderId="0" xfId="0" applyAlignment="1">
      <alignment horizontal="right"/>
    </xf>
    <xf numFmtId="0" fontId="0" fillId="0" borderId="0" xfId="0"/>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0" fillId="0" borderId="0" xfId="0" applyBorder="1" applyAlignment="1">
      <alignment horizontal="center" vertical="center"/>
    </xf>
    <xf numFmtId="0" fontId="0" fillId="37" borderId="53" xfId="54" applyFont="1" applyBorder="1">
      <alignment horizontal="left" vertical="top" wrapText="1"/>
      <protection locked="0"/>
    </xf>
    <xf numFmtId="0" fontId="18" fillId="0" borderId="26" xfId="0" applyFont="1" applyBorder="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0" xfId="0" applyFont="1" applyAlignment="1">
      <alignment horizontal="center" vertical="center"/>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23" xfId="0" applyFont="1" applyBorder="1" applyAlignment="1">
      <alignment horizontal="center" vertical="center"/>
    </xf>
    <xf numFmtId="0" fontId="40" fillId="0" borderId="0" xfId="0" applyFont="1" applyBorder="1" applyAlignment="1">
      <alignment horizontal="center" vertical="center"/>
    </xf>
    <xf numFmtId="0" fontId="26" fillId="0" borderId="0" xfId="0" applyFont="1" applyBorder="1" applyAlignment="1">
      <alignment horizontal="center" vertical="center" wrapText="1"/>
    </xf>
    <xf numFmtId="0" fontId="25" fillId="0" borderId="0" xfId="0" applyFont="1" applyBorder="1" applyAlignment="1">
      <alignment horizontal="right" vertical="top" wrapText="1"/>
    </xf>
    <xf numFmtId="164" fontId="29" fillId="40" borderId="50" xfId="65" applyBorder="1" applyAlignment="1">
      <alignment horizontal="left" vertical="top" wrapText="1"/>
    </xf>
    <xf numFmtId="0" fontId="25" fillId="0" borderId="26" xfId="0" applyFont="1" applyBorder="1" applyAlignment="1">
      <alignment horizontal="center" vertical="center" wrapText="1"/>
    </xf>
    <xf numFmtId="0" fontId="25" fillId="0" borderId="31" xfId="0" applyFont="1" applyBorder="1" applyAlignment="1">
      <alignment horizontal="center" vertical="center"/>
    </xf>
    <xf numFmtId="0" fontId="18" fillId="0" borderId="23" xfId="0" applyFont="1" applyBorder="1" applyAlignment="1">
      <alignment vertical="top" wrapText="1"/>
    </xf>
    <xf numFmtId="0" fontId="18" fillId="0" borderId="31" xfId="0" applyFont="1" applyBorder="1" applyAlignment="1">
      <alignment vertical="top" wrapText="1"/>
    </xf>
    <xf numFmtId="0" fontId="25" fillId="0" borderId="0" xfId="0" applyFont="1" applyAlignment="1">
      <alignment vertical="top" wrapText="1"/>
    </xf>
    <xf numFmtId="0" fontId="25" fillId="0" borderId="26" xfId="0" applyFont="1" applyBorder="1" applyAlignment="1">
      <alignment horizontal="right" vertical="top" wrapText="1"/>
    </xf>
    <xf numFmtId="164" fontId="29" fillId="40" borderId="51" xfId="65" applyBorder="1">
      <alignment horizontal="left" vertical="top" wrapText="1"/>
    </xf>
    <xf numFmtId="0" fontId="25" fillId="0" borderId="33" xfId="0" applyFont="1" applyBorder="1" applyAlignment="1">
      <alignment vertical="top" wrapText="1"/>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41" borderId="10" xfId="48" applyFont="1" applyFill="1" applyAlignment="1" applyProtection="1">
      <alignment horizontal="left"/>
    </xf>
    <xf numFmtId="0" fontId="0" fillId="0" borderId="0" xfId="0" applyAlignment="1" applyProtection="1">
      <alignment horizontal="left" wrapText="1"/>
    </xf>
    <xf numFmtId="164" fontId="29" fillId="40" borderId="50" xfId="65" applyBorder="1">
      <alignment horizontal="left" vertical="top" wrapText="1"/>
    </xf>
    <xf numFmtId="0" fontId="26" fillId="0" borderId="26" xfId="0" applyFont="1" applyBorder="1" applyAlignment="1">
      <alignment horizontal="center" vertical="center" wrapText="1"/>
    </xf>
    <xf numFmtId="0" fontId="18" fillId="0" borderId="21" xfId="0" applyFont="1" applyBorder="1" applyAlignment="1">
      <alignment horizontal="center" vertical="center"/>
    </xf>
    <xf numFmtId="0" fontId="25" fillId="0" borderId="21" xfId="0" applyFont="1" applyBorder="1" applyAlignment="1">
      <alignment horizontal="center" vertical="center"/>
    </xf>
    <xf numFmtId="0" fontId="25" fillId="0" borderId="26" xfId="0" applyFont="1" applyBorder="1" applyAlignment="1">
      <alignment horizontal="center"/>
    </xf>
    <xf numFmtId="0" fontId="25" fillId="0" borderId="0" xfId="0" applyFont="1" applyBorder="1" applyAlignment="1">
      <alignment horizontal="center"/>
    </xf>
    <xf numFmtId="168" fontId="25" fillId="0" borderId="31" xfId="0" applyNumberFormat="1" applyFont="1" applyBorder="1" applyAlignment="1">
      <alignment horizontal="left"/>
    </xf>
    <xf numFmtId="168" fontId="25" fillId="0" borderId="33" xfId="0" applyNumberFormat="1" applyFont="1" applyBorder="1" applyAlignment="1">
      <alignment horizontal="left"/>
    </xf>
    <xf numFmtId="0" fontId="18" fillId="0" borderId="0" xfId="0" applyFont="1" applyBorder="1" applyAlignment="1">
      <alignment horizontal="left"/>
    </xf>
    <xf numFmtId="0" fontId="18" fillId="0" borderId="31" xfId="0" applyFont="1" applyBorder="1" applyAlignment="1">
      <alignment horizontal="left"/>
    </xf>
    <xf numFmtId="0" fontId="58" fillId="0" borderId="31" xfId="57" applyBorder="1" applyAlignment="1" applyProtection="1">
      <alignment horizontal="left" vertical="top" wrapText="1"/>
      <protection locked="0"/>
    </xf>
    <xf numFmtId="176" fontId="46" fillId="39" borderId="10" xfId="48" applyNumberFormat="1" applyFont="1" applyBorder="1">
      <protection locked="0"/>
    </xf>
    <xf numFmtId="178" fontId="46" fillId="39" borderId="10" xfId="48" applyNumberFormat="1" applyFont="1" applyBorder="1">
      <protection locked="0"/>
    </xf>
    <xf numFmtId="0" fontId="0" fillId="2" borderId="0" xfId="0" applyFill="1" applyBorder="1" applyAlignment="1">
      <alignment horizontal="right"/>
    </xf>
    <xf numFmtId="2" fontId="0" fillId="2" borderId="0" xfId="0" applyNumberFormat="1" applyFill="1" applyBorder="1"/>
    <xf numFmtId="9" fontId="46" fillId="39" borderId="10" xfId="48" applyNumberFormat="1" applyFont="1" applyBorder="1">
      <protection locked="0"/>
    </xf>
    <xf numFmtId="168" fontId="46" fillId="39" borderId="10" xfId="48" applyNumberFormat="1" applyFont="1" applyBorder="1">
      <protection locked="0"/>
    </xf>
    <xf numFmtId="0" fontId="18" fillId="0" borderId="0" xfId="0" applyFont="1" applyAlignment="1">
      <alignment vertical="center"/>
    </xf>
    <xf numFmtId="0" fontId="59" fillId="34" borderId="0" xfId="50" applyFont="1" applyAlignment="1">
      <alignment vertical="center"/>
    </xf>
    <xf numFmtId="0" fontId="25" fillId="0" borderId="26" xfId="62" applyFont="1" applyBorder="1" applyAlignment="1">
      <alignment horizontal="center" vertical="center"/>
    </xf>
    <xf numFmtId="0" fontId="25" fillId="0" borderId="31" xfId="62" applyFont="1" applyBorder="1" applyAlignment="1">
      <alignment horizontal="center" vertical="center"/>
    </xf>
    <xf numFmtId="0" fontId="25" fillId="0" borderId="0" xfId="62" applyFont="1" applyAlignment="1">
      <alignment horizontal="center" vertical="center"/>
    </xf>
    <xf numFmtId="0" fontId="25" fillId="0" borderId="0" xfId="0" applyNumberFormat="1" applyFont="1" applyAlignment="1">
      <alignment horizontal="center" vertical="center"/>
    </xf>
    <xf numFmtId="0" fontId="25" fillId="0" borderId="26" xfId="0" applyNumberFormat="1" applyFont="1" applyBorder="1" applyAlignment="1">
      <alignment horizontal="center" vertical="center"/>
    </xf>
    <xf numFmtId="0" fontId="18" fillId="0" borderId="0" xfId="62" applyNumberFormat="1" applyFont="1" applyBorder="1" applyAlignment="1">
      <alignment horizontal="center" vertical="center"/>
    </xf>
    <xf numFmtId="0" fontId="18" fillId="0" borderId="31" xfId="62" applyNumberFormat="1" applyFont="1" applyBorder="1" applyAlignment="1">
      <alignment horizontal="center" vertical="center"/>
    </xf>
    <xf numFmtId="0" fontId="59" fillId="34" borderId="0" xfId="50" applyFont="1" applyAlignment="1">
      <alignment horizontal="center" vertical="center"/>
    </xf>
    <xf numFmtId="0" fontId="18" fillId="0" borderId="0" xfId="0" applyFont="1" applyAlignment="1">
      <alignment horizontal="center" vertical="center"/>
    </xf>
    <xf numFmtId="0" fontId="18" fillId="0" borderId="33"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31" xfId="0" applyFont="1" applyBorder="1" applyAlignment="1">
      <alignment horizontal="center" vertical="center"/>
    </xf>
    <xf numFmtId="0" fontId="18" fillId="0" borderId="23"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59" fillId="34" borderId="0" xfId="50" applyFont="1"/>
    <xf numFmtId="0" fontId="25" fillId="0" borderId="33" xfId="0" applyFont="1" applyBorder="1"/>
    <xf numFmtId="0" fontId="25" fillId="0" borderId="0" xfId="0" applyFont="1" applyBorder="1"/>
    <xf numFmtId="0" fontId="18" fillId="0" borderId="31" xfId="0" applyFont="1" applyBorder="1" applyAlignment="1">
      <alignment vertical="center"/>
    </xf>
    <xf numFmtId="0" fontId="18" fillId="0" borderId="0" xfId="0" applyFont="1" applyBorder="1" applyAlignment="1">
      <alignment vertical="center"/>
    </xf>
    <xf numFmtId="1" fontId="46" fillId="39" borderId="10" xfId="48" applyNumberFormat="1" applyFont="1" applyBorder="1">
      <protection locked="0"/>
    </xf>
    <xf numFmtId="0" fontId="0" fillId="0" borderId="0" xfId="0" applyAlignment="1">
      <alignment horizontal="left"/>
    </xf>
    <xf numFmtId="0" fontId="0" fillId="0" borderId="0" xfId="0" applyAlignment="1">
      <alignment horizontal="right"/>
    </xf>
    <xf numFmtId="0" fontId="0" fillId="0" borderId="0" xfId="0"/>
    <xf numFmtId="0" fontId="0" fillId="41" borderId="10" xfId="48" applyFont="1" applyFill="1" applyAlignment="1" applyProtection="1">
      <alignment horizontal="left"/>
    </xf>
    <xf numFmtId="49" fontId="25" fillId="0" borderId="0" xfId="0" applyNumberFormat="1" applyFont="1" applyBorder="1" applyAlignment="1">
      <alignment vertical="top" wrapText="1"/>
    </xf>
    <xf numFmtId="49" fontId="25" fillId="0" borderId="31" xfId="0" applyNumberFormat="1" applyFont="1" applyBorder="1" applyAlignment="1">
      <alignment vertical="top" wrapText="1"/>
    </xf>
    <xf numFmtId="0" fontId="18" fillId="0" borderId="33" xfId="0" applyFont="1" applyBorder="1" applyAlignment="1">
      <alignment vertical="top" wrapText="1"/>
    </xf>
    <xf numFmtId="0" fontId="18" fillId="0" borderId="35" xfId="0" applyFont="1" applyBorder="1" applyAlignment="1">
      <alignment vertical="top" wrapText="1"/>
    </xf>
    <xf numFmtId="0" fontId="26" fillId="0" borderId="31" xfId="0" applyFont="1" applyBorder="1" applyAlignment="1">
      <alignment horizontal="center" vertical="center" wrapText="1"/>
    </xf>
    <xf numFmtId="0" fontId="26" fillId="0" borderId="0" xfId="0" applyFont="1" applyBorder="1" applyAlignment="1">
      <alignment vertical="top" wrapText="1"/>
    </xf>
    <xf numFmtId="0" fontId="18" fillId="0" borderId="26" xfId="0" applyFont="1" applyBorder="1" applyAlignment="1">
      <alignment horizontal="left"/>
    </xf>
    <xf numFmtId="0" fontId="26" fillId="0" borderId="31" xfId="0" applyFont="1" applyBorder="1" applyAlignment="1">
      <alignment horizontal="justify" vertical="top" wrapText="1"/>
    </xf>
    <xf numFmtId="0" fontId="28" fillId="39" borderId="53" xfId="48" applyFont="1" applyBorder="1">
      <protection locked="0"/>
    </xf>
    <xf numFmtId="0" fontId="58" fillId="0" borderId="26" xfId="57" applyBorder="1" applyAlignment="1" applyProtection="1">
      <alignment horizontal="left" vertical="top" wrapText="1"/>
      <protection locked="0"/>
    </xf>
    <xf numFmtId="177" fontId="46" fillId="39" borderId="10" xfId="48" applyNumberFormat="1" applyFont="1" applyBorder="1">
      <protection locked="0"/>
    </xf>
    <xf numFmtId="0" fontId="25" fillId="0" borderId="23" xfId="0" applyFont="1" applyBorder="1" applyAlignment="1">
      <alignment vertical="top" wrapText="1"/>
    </xf>
    <xf numFmtId="49" fontId="25" fillId="0" borderId="26" xfId="0" applyNumberFormat="1" applyFont="1" applyBorder="1" applyAlignment="1">
      <alignment vertical="top" wrapText="1"/>
    </xf>
    <xf numFmtId="0" fontId="0" fillId="2" borderId="23" xfId="0" applyFill="1" applyBorder="1"/>
    <xf numFmtId="0" fontId="25" fillId="0" borderId="26" xfId="0" applyFont="1" applyBorder="1" applyAlignment="1">
      <alignment vertical="top" wrapText="1"/>
    </xf>
    <xf numFmtId="0" fontId="25" fillId="0" borderId="23" xfId="0" applyFont="1" applyBorder="1"/>
    <xf numFmtId="0" fontId="25" fillId="0" borderId="26" xfId="0" applyFont="1" applyBorder="1"/>
    <xf numFmtId="0" fontId="25" fillId="0" borderId="21" xfId="0" applyFont="1" applyBorder="1"/>
    <xf numFmtId="0" fontId="25" fillId="0" borderId="21" xfId="0" applyFont="1" applyBorder="1" applyAlignment="1">
      <alignment vertical="top" wrapText="1"/>
    </xf>
    <xf numFmtId="0" fontId="25" fillId="0" borderId="81" xfId="0" applyFont="1" applyBorder="1" applyAlignment="1">
      <alignment horizontal="center" vertical="center"/>
    </xf>
    <xf numFmtId="0" fontId="0" fillId="0" borderId="27" xfId="0" applyBorder="1"/>
    <xf numFmtId="0" fontId="0" fillId="0" borderId="24" xfId="0" applyBorder="1"/>
    <xf numFmtId="0" fontId="27" fillId="0" borderId="0" xfId="0" applyFont="1" applyBorder="1" applyAlignment="1">
      <alignment horizontal="justify" vertical="top" wrapText="1"/>
    </xf>
    <xf numFmtId="0" fontId="32" fillId="0" borderId="26" xfId="0" applyFont="1" applyBorder="1" applyAlignment="1">
      <alignment vertical="top" wrapText="1"/>
    </xf>
    <xf numFmtId="0" fontId="25" fillId="0" borderId="26" xfId="62" applyFont="1" applyBorder="1">
      <alignment horizontal="center" vertical="center"/>
    </xf>
    <xf numFmtId="49" fontId="25" fillId="0" borderId="0" xfId="0" applyNumberFormat="1" applyFont="1" applyBorder="1" applyAlignment="1">
      <alignment horizontal="center" vertical="top" wrapText="1"/>
    </xf>
    <xf numFmtId="49" fontId="25" fillId="0" borderId="26" xfId="0" applyNumberFormat="1" applyFont="1" applyBorder="1" applyAlignment="1">
      <alignment horizontal="center" vertical="top" wrapText="1"/>
    </xf>
    <xf numFmtId="174" fontId="0" fillId="0" borderId="31" xfId="0" applyNumberFormat="1" applyBorder="1" applyAlignment="1">
      <alignment horizontal="left"/>
    </xf>
    <xf numFmtId="49" fontId="25" fillId="0" borderId="31" xfId="0" applyNumberFormat="1" applyFont="1" applyBorder="1" applyAlignment="1">
      <alignment horizontal="center" vertical="top" wrapText="1"/>
    </xf>
    <xf numFmtId="0" fontId="0" fillId="0" borderId="0" xfId="0" applyBorder="1" applyAlignment="1">
      <alignment vertical="top" wrapText="1"/>
    </xf>
    <xf numFmtId="0" fontId="0" fillId="0" borderId="26" xfId="0" applyBorder="1" applyAlignment="1">
      <alignment vertical="top" wrapText="1"/>
    </xf>
    <xf numFmtId="49" fontId="25" fillId="0" borderId="23" xfId="0" applyNumberFormat="1" applyFont="1" applyBorder="1" applyAlignment="1">
      <alignment vertical="top" wrapText="1"/>
    </xf>
    <xf numFmtId="49" fontId="25" fillId="0" borderId="21" xfId="0" applyNumberFormat="1" applyFont="1" applyBorder="1" applyAlignment="1">
      <alignment vertical="top" wrapText="1"/>
    </xf>
    <xf numFmtId="49" fontId="25" fillId="0" borderId="21" xfId="0" quotePrefix="1" applyNumberFormat="1" applyFont="1" applyBorder="1" applyAlignment="1">
      <alignment vertical="top" wrapText="1"/>
    </xf>
    <xf numFmtId="0" fontId="27" fillId="0" borderId="26" xfId="0" applyFont="1" applyBorder="1" applyAlignment="1">
      <alignment horizontal="justify" vertical="top" wrapText="1"/>
    </xf>
    <xf numFmtId="0" fontId="25" fillId="0" borderId="21" xfId="62" applyFont="1" applyBorder="1">
      <alignment horizontal="center" vertical="center"/>
    </xf>
    <xf numFmtId="49" fontId="25" fillId="0" borderId="0" xfId="0" quotePrefix="1" applyNumberFormat="1" applyFont="1" applyBorder="1" applyAlignment="1">
      <alignment vertical="top" wrapText="1"/>
    </xf>
    <xf numFmtId="49" fontId="25" fillId="0" borderId="21" xfId="0" applyNumberFormat="1" applyFont="1" applyBorder="1" applyAlignment="1">
      <alignment horizontal="center" vertical="top" wrapText="1"/>
    </xf>
    <xf numFmtId="49" fontId="25" fillId="0" borderId="23" xfId="0" applyNumberFormat="1" applyFont="1" applyBorder="1" applyAlignment="1">
      <alignment horizontal="center" vertical="top" wrapText="1"/>
    </xf>
    <xf numFmtId="0" fontId="0" fillId="39" borderId="10" xfId="48" applyFont="1" applyAlignment="1">
      <alignment horizontal="left"/>
      <protection locked="0"/>
    </xf>
    <xf numFmtId="0" fontId="0" fillId="0" borderId="0" xfId="0"/>
    <xf numFmtId="0" fontId="0" fillId="0" borderId="10" xfId="0" applyBorder="1"/>
    <xf numFmtId="0" fontId="16" fillId="0" borderId="10" xfId="0" applyFont="1" applyBorder="1" applyAlignment="1">
      <alignment horizontal="center" vertical="center"/>
    </xf>
    <xf numFmtId="0" fontId="0" fillId="0" borderId="0" xfId="0" applyAlignment="1">
      <alignment horizontal="center" vertical="center"/>
    </xf>
    <xf numFmtId="0" fontId="0" fillId="0" borderId="0" xfId="0" applyAlignment="1">
      <alignment horizontal="right"/>
    </xf>
    <xf numFmtId="0" fontId="0" fillId="0" borderId="0" xfId="0"/>
    <xf numFmtId="0" fontId="0" fillId="0" borderId="10" xfId="0" applyBorder="1"/>
    <xf numFmtId="0" fontId="16" fillId="0" borderId="10" xfId="0" applyFont="1" applyBorder="1" applyAlignment="1">
      <alignment horizontal="center" vertical="center"/>
    </xf>
    <xf numFmtId="0" fontId="36" fillId="0" borderId="0" xfId="0" applyFont="1" applyBorder="1" applyAlignment="1">
      <alignment horizontal="left" vertical="top"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16" fillId="0" borderId="0" xfId="0" applyFont="1" applyAlignment="1">
      <alignment horizontal="center" wrapText="1"/>
    </xf>
    <xf numFmtId="0" fontId="0" fillId="0" borderId="10" xfId="0" applyBorder="1" applyAlignment="1">
      <alignment horizontal="right" indent="2"/>
    </xf>
    <xf numFmtId="0" fontId="61" fillId="0" borderId="0" xfId="0" applyFont="1"/>
    <xf numFmtId="0" fontId="16" fillId="0" borderId="10" xfId="0" applyFont="1" applyBorder="1" applyAlignment="1">
      <alignment horizontal="right" indent="2"/>
    </xf>
    <xf numFmtId="179" fontId="16" fillId="0" borderId="10" xfId="0" applyNumberFormat="1" applyFont="1" applyBorder="1"/>
    <xf numFmtId="0" fontId="16" fillId="0" borderId="10" xfId="0" applyFont="1" applyBorder="1" applyAlignment="1">
      <alignment vertical="top"/>
    </xf>
    <xf numFmtId="0" fontId="63" fillId="0" borderId="10" xfId="60" applyFont="1" applyBorder="1" applyAlignment="1">
      <alignment horizontal="center"/>
    </xf>
    <xf numFmtId="0" fontId="62" fillId="0" borderId="10" xfId="60" applyFont="1" applyBorder="1" applyAlignment="1"/>
    <xf numFmtId="0" fontId="16" fillId="0" borderId="10" xfId="0" applyFont="1" applyBorder="1"/>
    <xf numFmtId="179" fontId="16" fillId="0" borderId="0" xfId="0" applyNumberFormat="1" applyFont="1" applyBorder="1"/>
    <xf numFmtId="0" fontId="19" fillId="0" borderId="0" xfId="0" applyFont="1" applyBorder="1" applyAlignment="1">
      <alignment horizontal="center" vertical="center"/>
    </xf>
    <xf numFmtId="0" fontId="62" fillId="0" borderId="0" xfId="60" applyFont="1" applyBorder="1" applyAlignment="1"/>
    <xf numFmtId="0" fontId="0" fillId="0" borderId="0" xfId="0" applyFill="1" applyBorder="1"/>
    <xf numFmtId="0" fontId="0" fillId="0" borderId="0" xfId="64" applyFont="1" applyFill="1" applyBorder="1" applyAlignment="1">
      <alignment horizontal="left"/>
    </xf>
    <xf numFmtId="0" fontId="0" fillId="0" borderId="0" xfId="64" applyFont="1" applyFill="1" applyBorder="1" applyAlignment="1">
      <alignment horizontal="center"/>
    </xf>
    <xf numFmtId="0" fontId="0" fillId="41" borderId="0" xfId="0" applyFill="1"/>
    <xf numFmtId="0" fontId="16" fillId="0" borderId="10" xfId="0" applyFont="1" applyBorder="1" applyAlignment="1">
      <alignment horizontal="center" vertical="center" wrapText="1"/>
    </xf>
    <xf numFmtId="0" fontId="0" fillId="41" borderId="0" xfId="0" applyFill="1" applyBorder="1"/>
    <xf numFmtId="0" fontId="0" fillId="0" borderId="0" xfId="0" applyBorder="1" applyAlignment="1">
      <alignment horizontal="left"/>
    </xf>
    <xf numFmtId="0" fontId="0" fillId="0" borderId="15" xfId="0"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0" fillId="0" borderId="16" xfId="0" applyBorder="1" applyAlignment="1">
      <alignment horizontal="left" vertical="center"/>
    </xf>
    <xf numFmtId="0" fontId="0" fillId="0" borderId="16"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left" vertical="center" wrapText="1"/>
    </xf>
    <xf numFmtId="0" fontId="0" fillId="0" borderId="17" xfId="0" applyBorder="1" applyAlignment="1">
      <alignment horizontal="center" vertical="center"/>
    </xf>
    <xf numFmtId="0" fontId="0" fillId="0" borderId="17" xfId="0" applyBorder="1" applyAlignment="1">
      <alignment horizontal="center"/>
    </xf>
    <xf numFmtId="0" fontId="0" fillId="41" borderId="0" xfId="0" applyFill="1" applyBorder="1" applyAlignment="1">
      <alignment horizontal="left"/>
    </xf>
    <xf numFmtId="0" fontId="0" fillId="41" borderId="0" xfId="0" applyFill="1" applyBorder="1" applyAlignment="1">
      <alignment horizontal="center"/>
    </xf>
    <xf numFmtId="0" fontId="16" fillId="0" borderId="0" xfId="0" applyFont="1" applyAlignment="1">
      <alignment horizontal="right"/>
    </xf>
    <xf numFmtId="0" fontId="16" fillId="0" borderId="0" xfId="0" applyFont="1" applyFill="1" applyBorder="1" applyAlignment="1">
      <alignment horizontal="right"/>
    </xf>
    <xf numFmtId="0" fontId="16" fillId="0" borderId="0" xfId="0" applyFont="1" applyBorder="1"/>
    <xf numFmtId="0" fontId="0" fillId="0" borderId="0" xfId="0" applyBorder="1" applyAlignment="1"/>
    <xf numFmtId="0" fontId="0" fillId="0" borderId="0" xfId="0" applyBorder="1" applyAlignment="1">
      <alignment vertical="center"/>
    </xf>
    <xf numFmtId="0" fontId="0" fillId="0" borderId="0" xfId="0" applyFill="1" applyBorder="1" applyAlignment="1"/>
    <xf numFmtId="0" fontId="66" fillId="0" borderId="0" xfId="0" applyFont="1" applyAlignment="1">
      <alignment horizontal="left" vertical="center"/>
    </xf>
    <xf numFmtId="0" fontId="66" fillId="0" borderId="0" xfId="0" applyFont="1" applyAlignment="1">
      <alignment vertical="center"/>
    </xf>
    <xf numFmtId="0" fontId="16" fillId="0" borderId="0" xfId="0" applyFont="1" applyAlignment="1">
      <alignment horizontal="center"/>
    </xf>
    <xf numFmtId="0" fontId="16" fillId="0" borderId="0" xfId="0" applyFont="1" applyFill="1" applyBorder="1" applyAlignment="1"/>
    <xf numFmtId="180" fontId="0" fillId="0" borderId="0" xfId="0" applyNumberFormat="1" applyFill="1" applyBorder="1" applyAlignment="1"/>
    <xf numFmtId="0" fontId="16" fillId="0" borderId="0" xfId="0" applyFont="1" applyFill="1"/>
    <xf numFmtId="0" fontId="0" fillId="0" borderId="0" xfId="0" applyFill="1" applyAlignment="1">
      <alignment horizontal="left"/>
    </xf>
    <xf numFmtId="0" fontId="0" fillId="0" borderId="0" xfId="64" applyFont="1" applyFill="1" applyBorder="1" applyAlignment="1"/>
    <xf numFmtId="0" fontId="0" fillId="0" borderId="0" xfId="52" applyFont="1" applyFill="1" applyBorder="1" applyAlignment="1"/>
    <xf numFmtId="0" fontId="0" fillId="39" borderId="10" xfId="48" applyFont="1" applyProtection="1"/>
    <xf numFmtId="0" fontId="0" fillId="38" borderId="10" xfId="47" applyFont="1" applyProtection="1"/>
    <xf numFmtId="0" fontId="0" fillId="35" borderId="10" xfId="64" applyFont="1" applyAlignment="1" applyProtection="1"/>
    <xf numFmtId="0" fontId="0" fillId="36" borderId="11" xfId="0" applyFill="1" applyBorder="1" applyProtection="1"/>
    <xf numFmtId="0" fontId="0" fillId="37" borderId="10" xfId="54" applyFont="1" applyProtection="1">
      <alignment horizontal="left" vertical="top" wrapText="1"/>
    </xf>
    <xf numFmtId="0" fontId="0" fillId="42" borderId="10" xfId="48" applyFont="1" applyFill="1" applyProtection="1"/>
    <xf numFmtId="0" fontId="0" fillId="0" borderId="0" xfId="0"/>
    <xf numFmtId="0" fontId="0" fillId="0" borderId="0" xfId="0"/>
    <xf numFmtId="0" fontId="0" fillId="0" borderId="0" xfId="0" applyFill="1" applyBorder="1" applyAlignment="1">
      <alignment horizontal="left" vertical="top"/>
    </xf>
    <xf numFmtId="0" fontId="0" fillId="0" borderId="0" xfId="64" applyFont="1" applyFill="1" applyBorder="1" applyAlignment="1">
      <alignment horizontal="left" vertical="top"/>
    </xf>
    <xf numFmtId="0" fontId="16" fillId="0" borderId="0" xfId="0" applyFont="1" applyAlignment="1">
      <alignment horizontal="right"/>
    </xf>
    <xf numFmtId="0" fontId="0" fillId="0" borderId="0" xfId="0"/>
    <xf numFmtId="0" fontId="16" fillId="0" borderId="0" xfId="0" applyFont="1" applyAlignment="1"/>
    <xf numFmtId="0" fontId="16" fillId="0" borderId="12" xfId="0" applyFont="1" applyBorder="1" applyAlignment="1">
      <alignment horizontal="right"/>
    </xf>
    <xf numFmtId="0" fontId="16" fillId="0" borderId="21" xfId="0" applyFont="1" applyBorder="1"/>
    <xf numFmtId="0" fontId="16" fillId="0" borderId="13" xfId="0" applyFont="1" applyBorder="1"/>
    <xf numFmtId="0" fontId="0" fillId="0" borderId="0" xfId="0"/>
    <xf numFmtId="164" fontId="29" fillId="40" borderId="50" xfId="65" applyBorder="1">
      <alignment horizontal="left" vertical="top" wrapText="1"/>
    </xf>
    <xf numFmtId="0" fontId="0" fillId="0" borderId="0" xfId="0"/>
    <xf numFmtId="0" fontId="0" fillId="0" borderId="0" xfId="0"/>
    <xf numFmtId="0" fontId="0" fillId="0" borderId="0" xfId="0" applyAlignment="1">
      <alignment horizontal="right"/>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0" fontId="18" fillId="0" borderId="23" xfId="0" applyFont="1" applyBorder="1" applyAlignment="1">
      <alignment vertical="top" wrapText="1"/>
    </xf>
    <xf numFmtId="0" fontId="18" fillId="0" borderId="31" xfId="0" applyFont="1" applyBorder="1" applyAlignment="1">
      <alignment vertical="top" wrapText="1"/>
    </xf>
    <xf numFmtId="0" fontId="18" fillId="0" borderId="0" xfId="0" applyFont="1" applyAlignment="1">
      <alignment horizontal="right" vertical="top" wrapText="1"/>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0" fillId="0" borderId="0" xfId="0" applyBorder="1" applyAlignment="1">
      <alignment horizontal="right"/>
    </xf>
    <xf numFmtId="0" fontId="0" fillId="0" borderId="0" xfId="0"/>
    <xf numFmtId="0" fontId="0" fillId="0" borderId="0" xfId="0" applyAlignment="1">
      <alignment horizontal="right"/>
    </xf>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0" fillId="37" borderId="53" xfId="54" applyFont="1" applyBorder="1">
      <alignment horizontal="left" vertical="top" wrapText="1"/>
      <protection locked="0"/>
    </xf>
    <xf numFmtId="0" fontId="0" fillId="37" borderId="10" xfId="66" applyFont="1">
      <alignment horizontal="left" vertical="top" wrapText="1"/>
    </xf>
    <xf numFmtId="0" fontId="0" fillId="37" borderId="32" xfId="66" applyFont="1" applyBorder="1">
      <alignment horizontal="left" vertical="top" wrapText="1"/>
    </xf>
    <xf numFmtId="0" fontId="25" fillId="0" borderId="0" xfId="0" applyFont="1" applyAlignment="1">
      <alignment horizontal="center"/>
    </xf>
    <xf numFmtId="0" fontId="0" fillId="0" borderId="0" xfId="0"/>
    <xf numFmtId="0" fontId="25" fillId="0" borderId="0" xfId="0" applyFont="1" applyBorder="1" applyAlignment="1">
      <alignment horizontal="center"/>
    </xf>
    <xf numFmtId="0" fontId="25" fillId="0" borderId="31" xfId="0" applyFont="1" applyBorder="1" applyAlignment="1">
      <alignment horizontal="center"/>
    </xf>
    <xf numFmtId="0" fontId="0" fillId="0" borderId="0" xfId="0" applyAlignment="1">
      <alignment horizontal="left" vertical="top" wrapText="1"/>
    </xf>
    <xf numFmtId="0" fontId="21" fillId="34" borderId="0" xfId="50" applyAlignment="1"/>
    <xf numFmtId="0" fontId="0" fillId="0" borderId="0" xfId="0"/>
    <xf numFmtId="0" fontId="0" fillId="0" borderId="0" xfId="0" applyFont="1" applyAlignment="1">
      <alignment horizontal="left" vertical="top" wrapText="1"/>
    </xf>
    <xf numFmtId="0" fontId="0" fillId="0" borderId="0" xfId="0" applyAlignment="1">
      <alignment horizontal="right"/>
    </xf>
    <xf numFmtId="0" fontId="0" fillId="0" borderId="0" xfId="0" applyFont="1"/>
    <xf numFmtId="0" fontId="0" fillId="0" borderId="0" xfId="0" applyFont="1" applyBorder="1"/>
    <xf numFmtId="0" fontId="18" fillId="0" borderId="0" xfId="0" applyFont="1" applyAlignment="1">
      <alignment horizontal="left" vertical="top"/>
    </xf>
    <xf numFmtId="49" fontId="25" fillId="0" borderId="0" xfId="0" applyNumberFormat="1" applyFont="1" applyAlignment="1">
      <alignment horizontal="left" vertical="top"/>
    </xf>
    <xf numFmtId="49" fontId="25" fillId="0" borderId="0" xfId="0" applyNumberFormat="1" applyFont="1" applyBorder="1" applyAlignment="1">
      <alignment horizontal="left" vertical="top"/>
    </xf>
    <xf numFmtId="0" fontId="25" fillId="0" borderId="26" xfId="0" applyFont="1" applyBorder="1" applyAlignment="1">
      <alignment horizontal="left" vertical="top"/>
    </xf>
    <xf numFmtId="0" fontId="25" fillId="0" borderId="31" xfId="0" applyFont="1" applyBorder="1" applyAlignment="1">
      <alignment horizontal="left" vertical="top"/>
    </xf>
    <xf numFmtId="0" fontId="25" fillId="0" borderId="23" xfId="0" applyFont="1" applyBorder="1" applyAlignment="1">
      <alignment horizontal="left" vertical="top"/>
    </xf>
    <xf numFmtId="0" fontId="25" fillId="0" borderId="35" xfId="0" applyFont="1" applyBorder="1" applyAlignment="1">
      <alignment horizontal="left" vertical="top"/>
    </xf>
    <xf numFmtId="49" fontId="25" fillId="0" borderId="31" xfId="0" applyNumberFormat="1" applyFont="1" applyBorder="1" applyAlignment="1">
      <alignment horizontal="left" vertical="top"/>
    </xf>
    <xf numFmtId="168" fontId="25" fillId="0" borderId="0" xfId="0" applyNumberFormat="1" applyFont="1" applyAlignment="1">
      <alignment horizontal="left" vertical="top"/>
    </xf>
    <xf numFmtId="168" fontId="25" fillId="0" borderId="0" xfId="0" applyNumberFormat="1" applyFont="1" applyBorder="1" applyAlignment="1">
      <alignment horizontal="left" vertical="top"/>
    </xf>
    <xf numFmtId="2" fontId="25" fillId="0" borderId="0" xfId="0" applyNumberFormat="1" applyFont="1" applyAlignment="1">
      <alignment horizontal="left" vertical="top"/>
    </xf>
    <xf numFmtId="168" fontId="25" fillId="0" borderId="31" xfId="0" applyNumberFormat="1" applyFont="1" applyBorder="1" applyAlignment="1">
      <alignment horizontal="left" vertical="top"/>
    </xf>
    <xf numFmtId="168" fontId="25" fillId="0" borderId="33" xfId="0" applyNumberFormat="1" applyFont="1" applyBorder="1" applyAlignment="1">
      <alignment horizontal="left" vertical="top"/>
    </xf>
    <xf numFmtId="49" fontId="18" fillId="0" borderId="0" xfId="0" applyNumberFormat="1" applyFont="1" applyAlignment="1">
      <alignment horizontal="left" vertical="top"/>
    </xf>
    <xf numFmtId="49" fontId="18" fillId="0" borderId="0" xfId="0" applyNumberFormat="1" applyFont="1" applyBorder="1" applyAlignment="1">
      <alignment horizontal="left" vertical="top"/>
    </xf>
    <xf numFmtId="49" fontId="18" fillId="0" borderId="31" xfId="0" applyNumberFormat="1" applyFont="1" applyBorder="1" applyAlignment="1">
      <alignment horizontal="left" vertical="top"/>
    </xf>
    <xf numFmtId="49" fontId="25" fillId="0" borderId="33" xfId="0" applyNumberFormat="1" applyFont="1" applyBorder="1" applyAlignment="1">
      <alignment horizontal="left" vertical="top"/>
    </xf>
    <xf numFmtId="0" fontId="25" fillId="0" borderId="21" xfId="0" applyFont="1" applyBorder="1" applyAlignment="1">
      <alignment horizontal="left" vertical="top"/>
    </xf>
    <xf numFmtId="49" fontId="25" fillId="0" borderId="26" xfId="0" applyNumberFormat="1" applyFont="1" applyBorder="1" applyAlignment="1">
      <alignment horizontal="left" vertical="top"/>
    </xf>
    <xf numFmtId="49" fontId="25" fillId="0" borderId="0" xfId="0" quotePrefix="1" applyNumberFormat="1" applyFont="1" applyAlignment="1">
      <alignment horizontal="left" vertical="top"/>
    </xf>
    <xf numFmtId="49" fontId="18" fillId="0" borderId="26" xfId="0" applyNumberFormat="1" applyFont="1" applyBorder="1" applyAlignment="1">
      <alignment horizontal="left" vertical="top"/>
    </xf>
    <xf numFmtId="49" fontId="18" fillId="0" borderId="33" xfId="0" applyNumberFormat="1" applyFont="1" applyBorder="1" applyAlignment="1">
      <alignment horizontal="left" vertical="top"/>
    </xf>
    <xf numFmtId="49" fontId="25" fillId="0" borderId="26" xfId="0" quotePrefix="1" applyNumberFormat="1" applyFont="1" applyBorder="1" applyAlignment="1">
      <alignment horizontal="left" vertical="top"/>
    </xf>
    <xf numFmtId="49" fontId="25" fillId="0" borderId="0" xfId="0" quotePrefix="1" applyNumberFormat="1" applyFont="1" applyBorder="1" applyAlignment="1">
      <alignment horizontal="left" vertical="top"/>
    </xf>
    <xf numFmtId="49" fontId="25" fillId="0" borderId="31" xfId="0" quotePrefix="1" applyNumberFormat="1" applyFont="1" applyBorder="1" applyAlignment="1">
      <alignment horizontal="left" vertical="top"/>
    </xf>
    <xf numFmtId="49" fontId="25" fillId="0" borderId="21" xfId="0" applyNumberFormat="1" applyFont="1" applyBorder="1" applyAlignment="1">
      <alignment horizontal="left" vertical="top"/>
    </xf>
    <xf numFmtId="49" fontId="25" fillId="0" borderId="23" xfId="0" quotePrefix="1" applyNumberFormat="1" applyFont="1" applyBorder="1" applyAlignment="1">
      <alignment horizontal="left" vertical="top"/>
    </xf>
    <xf numFmtId="49" fontId="25" fillId="0" borderId="23" xfId="0" applyNumberFormat="1" applyFont="1" applyBorder="1" applyAlignment="1">
      <alignment horizontal="left" vertical="top"/>
    </xf>
    <xf numFmtId="49" fontId="25" fillId="0" borderId="21" xfId="0" quotePrefix="1" applyNumberFormat="1" applyFont="1" applyBorder="1" applyAlignment="1">
      <alignment horizontal="left" vertical="top"/>
    </xf>
    <xf numFmtId="49" fontId="25" fillId="0" borderId="0" xfId="0" applyNumberFormat="1" applyFont="1" applyBorder="1" applyAlignment="1">
      <alignment horizontal="left" vertical="top" wrapText="1"/>
    </xf>
    <xf numFmtId="49" fontId="25" fillId="0" borderId="26" xfId="0" applyNumberFormat="1" applyFont="1" applyBorder="1" applyAlignment="1">
      <alignment horizontal="left" vertical="top" wrapText="1"/>
    </xf>
    <xf numFmtId="49" fontId="25" fillId="0" borderId="0" xfId="0" applyNumberFormat="1" applyFont="1" applyAlignment="1">
      <alignment horizontal="left" vertical="top" wrapText="1"/>
    </xf>
    <xf numFmtId="49" fontId="25" fillId="0" borderId="0" xfId="0" quotePrefix="1" applyNumberFormat="1" applyFont="1" applyAlignment="1">
      <alignment horizontal="left" vertical="top" wrapText="1"/>
    </xf>
    <xf numFmtId="0" fontId="0" fillId="0" borderId="0" xfId="0" applyBorder="1" applyAlignment="1">
      <alignment horizontal="left" vertical="top" wrapText="1"/>
    </xf>
    <xf numFmtId="49" fontId="25" fillId="0" borderId="23" xfId="0" applyNumberFormat="1" applyFont="1" applyBorder="1" applyAlignment="1">
      <alignment horizontal="left" vertical="top" wrapText="1"/>
    </xf>
    <xf numFmtId="49" fontId="25" fillId="0" borderId="21" xfId="0" applyNumberFormat="1" applyFont="1" applyBorder="1" applyAlignment="1">
      <alignment horizontal="left" vertical="top" wrapText="1"/>
    </xf>
    <xf numFmtId="49" fontId="25" fillId="0" borderId="21" xfId="0" quotePrefix="1" applyNumberFormat="1" applyFont="1" applyBorder="1" applyAlignment="1">
      <alignment horizontal="left" vertical="top" wrapText="1"/>
    </xf>
    <xf numFmtId="49" fontId="25" fillId="0" borderId="31" xfId="0" applyNumberFormat="1" applyFont="1" applyBorder="1" applyAlignment="1">
      <alignment horizontal="left" vertical="top" wrapText="1"/>
    </xf>
    <xf numFmtId="49" fontId="25" fillId="0" borderId="0" xfId="0" quotePrefix="1" applyNumberFormat="1" applyFont="1" applyBorder="1" applyAlignment="1">
      <alignment horizontal="left" vertical="top" wrapText="1"/>
    </xf>
    <xf numFmtId="0" fontId="18" fillId="0" borderId="0" xfId="0" applyFont="1" applyAlignment="1">
      <alignment horizontal="center" vertical="center"/>
    </xf>
    <xf numFmtId="0" fontId="0" fillId="35" borderId="0" xfId="0" applyFill="1"/>
    <xf numFmtId="0" fontId="0" fillId="0" borderId="0" xfId="0"/>
    <xf numFmtId="0" fontId="16" fillId="0" borderId="0" xfId="0" applyFont="1" applyAlignment="1">
      <alignment horizontal="right"/>
    </xf>
    <xf numFmtId="0" fontId="0" fillId="0" borderId="0" xfId="0" applyAlignment="1">
      <alignment horizontal="right"/>
    </xf>
    <xf numFmtId="0" fontId="16" fillId="0" borderId="0" xfId="0" applyFont="1"/>
    <xf numFmtId="0" fontId="0" fillId="2" borderId="0" xfId="0" applyFill="1" applyAlignment="1">
      <alignment vertical="top"/>
    </xf>
    <xf numFmtId="0" fontId="0" fillId="0" borderId="0" xfId="0"/>
    <xf numFmtId="0" fontId="0" fillId="0" borderId="0" xfId="0" applyAlignment="1">
      <alignment horizontal="right"/>
    </xf>
    <xf numFmtId="0" fontId="16" fillId="0" borderId="0" xfId="0" applyFont="1" applyFill="1" applyBorder="1"/>
    <xf numFmtId="0" fontId="21" fillId="34" borderId="0" xfId="50" applyAlignment="1">
      <alignment horizontal="center"/>
    </xf>
    <xf numFmtId="0" fontId="0" fillId="0" borderId="0" xfId="0" applyFill="1" applyAlignment="1">
      <alignment horizontal="center"/>
    </xf>
    <xf numFmtId="49" fontId="0" fillId="38" borderId="10" xfId="47" applyNumberFormat="1" applyFont="1" applyAlignment="1">
      <protection locked="0"/>
    </xf>
    <xf numFmtId="49" fontId="0" fillId="39" borderId="10" xfId="48" applyNumberFormat="1" applyFont="1">
      <protection locked="0"/>
    </xf>
    <xf numFmtId="14" fontId="0" fillId="39" borderId="10" xfId="48" applyNumberFormat="1" applyFont="1">
      <protection locked="0"/>
    </xf>
    <xf numFmtId="0" fontId="0" fillId="0" borderId="0" xfId="0"/>
    <xf numFmtId="0" fontId="0" fillId="0" borderId="0" xfId="0" applyFont="1" applyAlignment="1">
      <alignment horizontal="left" vertical="top" wrapText="1"/>
    </xf>
    <xf numFmtId="0" fontId="73" fillId="0" borderId="0" xfId="0" applyFont="1" applyAlignment="1">
      <alignment horizontal="justify" vertical="center"/>
    </xf>
    <xf numFmtId="0" fontId="78" fillId="0" borderId="0" xfId="0" applyFont="1" applyAlignment="1">
      <alignment horizontal="center" vertical="center"/>
    </xf>
    <xf numFmtId="0" fontId="78" fillId="0" borderId="0" xfId="0" applyFont="1" applyAlignment="1">
      <alignment horizontal="left" vertical="center"/>
    </xf>
    <xf numFmtId="0" fontId="0" fillId="38" borderId="10" xfId="47" applyFont="1" applyAlignment="1">
      <alignment horizontal="left"/>
      <protection locked="0"/>
    </xf>
    <xf numFmtId="0" fontId="0" fillId="38" borderId="10" xfId="47" applyFont="1">
      <protection locked="0"/>
    </xf>
    <xf numFmtId="49" fontId="0" fillId="38" borderId="10" xfId="47" applyNumberFormat="1" applyFont="1" applyAlignment="1">
      <alignment horizontal="left"/>
      <protection locked="0"/>
    </xf>
    <xf numFmtId="0" fontId="0" fillId="0" borderId="0" xfId="0" applyFill="1" applyBorder="1" applyAlignment="1">
      <alignment vertical="top"/>
    </xf>
    <xf numFmtId="0" fontId="16" fillId="0" borderId="0" xfId="0" applyFont="1" applyFill="1" applyBorder="1" applyAlignment="1">
      <alignment vertical="top"/>
    </xf>
    <xf numFmtId="49" fontId="21" fillId="34" borderId="0" xfId="50" applyNumberFormat="1" applyAlignment="1">
      <alignment horizontal="left"/>
    </xf>
    <xf numFmtId="0" fontId="0" fillId="0" borderId="0" xfId="0" applyProtection="1">
      <protection locked="0"/>
    </xf>
    <xf numFmtId="0" fontId="0" fillId="0" borderId="0" xfId="0"/>
    <xf numFmtId="49" fontId="0" fillId="0" borderId="0" xfId="0" applyNumberFormat="1" applyAlignment="1">
      <alignment horizontal="right"/>
    </xf>
    <xf numFmtId="14" fontId="0" fillId="0" borderId="0" xfId="0" applyNumberFormat="1"/>
    <xf numFmtId="0" fontId="0" fillId="0" borderId="0" xfId="0"/>
    <xf numFmtId="49" fontId="0" fillId="0" borderId="0" xfId="0" applyNumberFormat="1" applyAlignment="1"/>
    <xf numFmtId="49" fontId="18" fillId="0" borderId="0" xfId="0" applyNumberFormat="1" applyFont="1" applyAlignment="1"/>
    <xf numFmtId="49" fontId="18" fillId="0" borderId="0" xfId="0" applyNumberFormat="1" applyFont="1" applyAlignment="1">
      <alignment horizontal="left" vertical="top" wrapText="1"/>
    </xf>
    <xf numFmtId="49" fontId="0" fillId="0" borderId="0" xfId="0" applyNumberFormat="1" applyBorder="1"/>
    <xf numFmtId="49" fontId="18" fillId="0" borderId="0" xfId="0" applyNumberFormat="1" applyFont="1" applyBorder="1"/>
    <xf numFmtId="49" fontId="18" fillId="0" borderId="0" xfId="0" quotePrefix="1" applyNumberFormat="1" applyFont="1" applyAlignment="1">
      <alignment horizontal="left" vertical="top"/>
    </xf>
    <xf numFmtId="0" fontId="0" fillId="0" borderId="0" xfId="0"/>
    <xf numFmtId="0" fontId="0" fillId="0" borderId="0" xfId="0"/>
    <xf numFmtId="0" fontId="18" fillId="0" borderId="0" xfId="0" applyFont="1" applyAlignment="1">
      <alignment horizontal="center" vertical="center"/>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31" xfId="0" applyFont="1" applyBorder="1" applyAlignment="1">
      <alignment vertical="top" wrapText="1"/>
    </xf>
    <xf numFmtId="0" fontId="18" fillId="0" borderId="23" xfId="0" applyFont="1" applyBorder="1" applyAlignment="1">
      <alignment vertical="top" wrapText="1"/>
    </xf>
    <xf numFmtId="0" fontId="18" fillId="0" borderId="0" xfId="0" applyFont="1" applyAlignment="1">
      <alignment vertical="top" wrapText="1"/>
    </xf>
    <xf numFmtId="0" fontId="0" fillId="0" borderId="0" xfId="0" applyAlignment="1">
      <alignment horizontal="center"/>
    </xf>
    <xf numFmtId="0" fontId="0" fillId="0" borderId="0" xfId="0" applyAlignment="1">
      <alignment horizontal="left"/>
    </xf>
    <xf numFmtId="0" fontId="0" fillId="0" borderId="0" xfId="0"/>
    <xf numFmtId="0" fontId="24" fillId="34" borderId="18" xfId="63" applyAlignment="1">
      <alignment vertical="center"/>
    </xf>
    <xf numFmtId="0" fontId="24" fillId="34" borderId="0" xfId="63" applyBorder="1" applyAlignment="1">
      <alignment vertical="center"/>
    </xf>
    <xf numFmtId="0" fontId="24" fillId="34" borderId="18" xfId="63" applyAlignment="1">
      <alignment horizontal="center" vertical="center"/>
    </xf>
    <xf numFmtId="0" fontId="0" fillId="0" borderId="0" xfId="0"/>
    <xf numFmtId="0" fontId="0" fillId="0" borderId="0" xfId="0"/>
    <xf numFmtId="49" fontId="18" fillId="0" borderId="0" xfId="0" applyNumberFormat="1" applyFont="1" applyProtection="1">
      <protection locked="0"/>
    </xf>
    <xf numFmtId="49" fontId="18" fillId="0" borderId="0" xfId="0" quotePrefix="1" applyNumberFormat="1" applyFont="1" applyProtection="1">
      <protection locked="0"/>
    </xf>
    <xf numFmtId="49" fontId="0" fillId="0" borderId="0" xfId="0" applyNumberFormat="1" applyProtection="1">
      <protection locked="0"/>
    </xf>
    <xf numFmtId="49" fontId="18" fillId="0" borderId="0" xfId="0" applyNumberFormat="1" applyFont="1" applyAlignment="1" applyProtection="1">
      <alignment horizontal="left"/>
      <protection locked="0"/>
    </xf>
    <xf numFmtId="49" fontId="18" fillId="0" borderId="0" xfId="0" applyNumberFormat="1" applyFont="1" applyBorder="1" applyProtection="1">
      <protection locked="0"/>
    </xf>
    <xf numFmtId="49" fontId="25" fillId="0" borderId="0" xfId="0" applyNumberFormat="1" applyFont="1" applyAlignment="1" applyProtection="1">
      <alignment horizontal="left"/>
      <protection locked="0"/>
    </xf>
    <xf numFmtId="0" fontId="40" fillId="2" borderId="26" xfId="0" applyFont="1" applyFill="1" applyBorder="1" applyAlignment="1">
      <alignment horizontal="center" vertical="center"/>
    </xf>
    <xf numFmtId="0" fontId="40" fillId="2" borderId="0" xfId="0" applyFont="1" applyFill="1" applyBorder="1" applyAlignment="1">
      <alignment horizontal="center" vertical="center"/>
    </xf>
    <xf numFmtId="0" fontId="40" fillId="2" borderId="21" xfId="0" applyFont="1" applyFill="1" applyBorder="1" applyAlignment="1">
      <alignment horizontal="center" vertical="center"/>
    </xf>
    <xf numFmtId="0" fontId="0" fillId="0" borderId="0" xfId="0"/>
    <xf numFmtId="2" fontId="0" fillId="0" borderId="0" xfId="0" applyNumberFormat="1" applyFill="1"/>
    <xf numFmtId="0" fontId="0" fillId="0" borderId="0" xfId="0"/>
    <xf numFmtId="0" fontId="0" fillId="0" borderId="0" xfId="0" applyAlignment="1">
      <alignment horizontal="left"/>
    </xf>
    <xf numFmtId="0" fontId="0" fillId="0" borderId="0" xfId="0" applyAlignment="1">
      <alignment horizontal="center"/>
    </xf>
    <xf numFmtId="0" fontId="0" fillId="0" borderId="0" xfId="0" applyAlignment="1">
      <alignment horizontal="left"/>
    </xf>
    <xf numFmtId="0" fontId="16" fillId="0" borderId="0" xfId="0" applyFont="1" applyAlignment="1">
      <alignment horizontal="right"/>
    </xf>
    <xf numFmtId="0" fontId="16" fillId="0" borderId="0" xfId="0" applyFont="1"/>
    <xf numFmtId="0" fontId="0" fillId="0" borderId="0" xfId="0"/>
    <xf numFmtId="49" fontId="0" fillId="39" borderId="10" xfId="48" applyNumberFormat="1" applyFont="1" applyAlignment="1">
      <protection locked="0"/>
    </xf>
    <xf numFmtId="0" fontId="0" fillId="0" borderId="0" xfId="0"/>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0" fillId="0" borderId="0" xfId="0"/>
    <xf numFmtId="0" fontId="0" fillId="0" borderId="0" xfId="0"/>
    <xf numFmtId="0" fontId="82" fillId="0" borderId="0" xfId="0" applyFont="1"/>
    <xf numFmtId="0" fontId="0" fillId="0" borderId="0" xfId="0"/>
    <xf numFmtId="0" fontId="0" fillId="0" borderId="0" xfId="0" applyAlignment="1">
      <alignment horizontal="left"/>
    </xf>
    <xf numFmtId="0" fontId="0" fillId="0" borderId="0" xfId="0"/>
    <xf numFmtId="0" fontId="0" fillId="0" borderId="0" xfId="0" applyAlignment="1">
      <alignment horizontal="left"/>
    </xf>
    <xf numFmtId="0" fontId="0" fillId="0" borderId="0" xfId="0" applyAlignment="1">
      <alignment horizontal="right"/>
    </xf>
    <xf numFmtId="0" fontId="0" fillId="0" borderId="0" xfId="0"/>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xf>
    <xf numFmtId="0" fontId="18" fillId="0" borderId="31" xfId="0" applyFont="1" applyBorder="1" applyAlignment="1">
      <alignment horizontal="center" vertical="center"/>
    </xf>
    <xf numFmtId="0" fontId="18" fillId="0" borderId="0" xfId="0" applyFont="1" applyAlignment="1">
      <alignment horizontal="center" vertical="center"/>
    </xf>
    <xf numFmtId="0" fontId="18" fillId="0" borderId="0" xfId="0" applyFont="1" applyBorder="1" applyAlignment="1">
      <alignment horizontal="center" vertical="center"/>
    </xf>
    <xf numFmtId="0" fontId="0" fillId="37" borderId="53" xfId="54" applyFont="1" applyBorder="1">
      <alignment horizontal="left" vertical="top" wrapText="1"/>
      <protection locked="0"/>
    </xf>
    <xf numFmtId="0" fontId="18" fillId="0" borderId="0" xfId="0" applyFont="1" applyBorder="1" applyAlignment="1">
      <alignment horizontal="left" vertical="top" wrapText="1"/>
    </xf>
    <xf numFmtId="0" fontId="0" fillId="37" borderId="10" xfId="54" applyFont="1">
      <alignment horizontal="left" vertical="top" wrapText="1"/>
      <protection locked="0"/>
    </xf>
    <xf numFmtId="0" fontId="25" fillId="0" borderId="26" xfId="62" applyFont="1" applyBorder="1" applyAlignment="1">
      <alignment horizontal="center" vertical="center"/>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0" xfId="62" applyFont="1" applyAlignment="1">
      <alignment horizontal="center" vertical="center"/>
    </xf>
    <xf numFmtId="0" fontId="18" fillId="0" borderId="0" xfId="0" applyFont="1" applyAlignment="1">
      <alignment vertical="top" wrapText="1"/>
    </xf>
    <xf numFmtId="0" fontId="18" fillId="0" borderId="23" xfId="0" applyFont="1" applyBorder="1" applyAlignment="1">
      <alignment vertical="top" wrapText="1"/>
    </xf>
    <xf numFmtId="0" fontId="25" fillId="0" borderId="0" xfId="0" applyFont="1" applyBorder="1" applyAlignment="1">
      <alignment vertical="top" wrapText="1"/>
    </xf>
    <xf numFmtId="0" fontId="0" fillId="0" borderId="0" xfId="0" applyAlignment="1">
      <alignment horizontal="center" vertical="center"/>
    </xf>
    <xf numFmtId="0" fontId="0" fillId="0" borderId="0" xfId="0" applyBorder="1" applyAlignment="1">
      <alignment horizontal="center" vertical="center"/>
    </xf>
    <xf numFmtId="0" fontId="18" fillId="0" borderId="21" xfId="0" applyFont="1" applyBorder="1" applyAlignment="1">
      <alignment horizontal="center" vertical="center"/>
    </xf>
    <xf numFmtId="0" fontId="25" fillId="0" borderId="21" xfId="0" applyFont="1" applyBorder="1" applyAlignment="1">
      <alignment horizontal="center" vertical="center"/>
    </xf>
    <xf numFmtId="0" fontId="25" fillId="0" borderId="10" xfId="0" applyFont="1" applyBorder="1" applyAlignment="1">
      <alignment horizontal="center" vertical="center" wrapText="1"/>
    </xf>
    <xf numFmtId="0" fontId="0" fillId="0" borderId="0" xfId="0"/>
    <xf numFmtId="0" fontId="18" fillId="0" borderId="0" xfId="0" applyFont="1" applyBorder="1" applyAlignment="1">
      <alignment vertical="top" wrapText="1"/>
    </xf>
    <xf numFmtId="0" fontId="18" fillId="0" borderId="26" xfId="0" applyFont="1" applyBorder="1" applyAlignment="1">
      <alignment vertical="top" wrapText="1"/>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0" fillId="37" borderId="10" xfId="54" applyFont="1">
      <alignment horizontal="left" vertical="top" wrapText="1"/>
      <protection locked="0"/>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Alignment="1">
      <alignment horizontal="center" vertical="center"/>
    </xf>
    <xf numFmtId="0" fontId="18" fillId="0" borderId="31" xfId="0" applyFont="1" applyBorder="1" applyAlignment="1">
      <alignment horizontal="center" vertical="center"/>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xf>
    <xf numFmtId="0" fontId="18" fillId="0" borderId="23" xfId="0" applyFont="1" applyBorder="1" applyAlignment="1">
      <alignment vertical="top" wrapText="1"/>
    </xf>
    <xf numFmtId="0" fontId="25" fillId="0" borderId="0" xfId="0" applyFont="1" applyBorder="1" applyAlignment="1">
      <alignment horizontal="center" vertical="center" wrapText="1"/>
    </xf>
    <xf numFmtId="0" fontId="18" fillId="0" borderId="0" xfId="0" applyFont="1" applyAlignment="1">
      <alignment vertical="top" wrapText="1"/>
    </xf>
    <xf numFmtId="0" fontId="25" fillId="0" borderId="0" xfId="0" applyFont="1" applyAlignment="1">
      <alignment vertical="top" wrapText="1"/>
    </xf>
    <xf numFmtId="0" fontId="25" fillId="0" borderId="0" xfId="62" applyFont="1" applyBorder="1">
      <alignment horizontal="center" vertical="center"/>
    </xf>
    <xf numFmtId="0" fontId="25" fillId="0" borderId="26" xfId="62" applyFont="1" applyBorder="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16" fillId="0" borderId="31" xfId="0" applyFont="1" applyBorder="1" applyAlignment="1">
      <alignment horizontal="center" vertical="center"/>
    </xf>
    <xf numFmtId="0" fontId="16" fillId="0" borderId="26" xfId="0" applyFont="1" applyBorder="1" applyAlignment="1">
      <alignment horizontal="center" vertical="center"/>
    </xf>
    <xf numFmtId="0" fontId="25" fillId="0" borderId="21" xfId="0" applyFont="1" applyBorder="1" applyAlignment="1">
      <alignment horizontal="center" vertical="center"/>
    </xf>
    <xf numFmtId="0" fontId="0" fillId="46" borderId="0" xfId="0" applyFill="1"/>
    <xf numFmtId="0" fontId="18" fillId="0" borderId="0" xfId="0" applyFont="1" applyBorder="1" applyAlignment="1">
      <alignment vertical="top"/>
    </xf>
    <xf numFmtId="49" fontId="18" fillId="0" borderId="0" xfId="0" applyNumberFormat="1" applyFont="1" applyAlignment="1">
      <alignment horizontal="right" vertical="top"/>
    </xf>
    <xf numFmtId="49" fontId="25" fillId="0" borderId="23" xfId="0" applyNumberFormat="1" applyFont="1" applyBorder="1" applyAlignment="1">
      <alignment vertical="top"/>
    </xf>
    <xf numFmtId="0" fontId="0" fillId="0" borderId="23" xfId="62" applyFont="1" applyBorder="1">
      <alignment horizontal="center" vertical="center"/>
    </xf>
    <xf numFmtId="0" fontId="68" fillId="0" borderId="0" xfId="0" applyFont="1" applyAlignment="1">
      <alignment horizontal="left" vertical="top" wrapText="1"/>
    </xf>
    <xf numFmtId="49" fontId="18" fillId="0" borderId="23" xfId="0" applyNumberFormat="1" applyFont="1" applyBorder="1" applyAlignment="1">
      <alignment horizontal="right" vertical="top"/>
    </xf>
    <xf numFmtId="49" fontId="18" fillId="0" borderId="0" xfId="0" applyNumberFormat="1" applyFont="1" applyBorder="1" applyAlignment="1">
      <alignment horizontal="right" vertical="top"/>
    </xf>
    <xf numFmtId="49" fontId="18" fillId="0" borderId="26" xfId="0" applyNumberFormat="1" applyFont="1" applyBorder="1" applyAlignment="1">
      <alignment horizontal="right" vertical="top"/>
    </xf>
    <xf numFmtId="49" fontId="18" fillId="0" borderId="31" xfId="0" applyNumberFormat="1" applyFont="1" applyBorder="1" applyAlignment="1">
      <alignment horizontal="right" vertical="top"/>
    </xf>
    <xf numFmtId="0" fontId="68" fillId="0" borderId="31" xfId="0" applyFont="1" applyBorder="1" applyAlignment="1">
      <alignment horizontal="left" vertical="top" wrapText="1"/>
    </xf>
    <xf numFmtId="0" fontId="0" fillId="0" borderId="0" xfId="0" applyBorder="1" applyAlignment="1">
      <alignment vertical="top"/>
    </xf>
    <xf numFmtId="0" fontId="25" fillId="0" borderId="31" xfId="0" applyFont="1" applyBorder="1"/>
    <xf numFmtId="165" fontId="46" fillId="39" borderId="10" xfId="48" applyNumberFormat="1" applyFont="1">
      <protection locked="0"/>
    </xf>
    <xf numFmtId="0" fontId="68" fillId="0" borderId="26" xfId="0" applyFont="1" applyBorder="1" applyAlignment="1">
      <alignment horizontal="left" vertical="top" wrapText="1"/>
    </xf>
    <xf numFmtId="0" fontId="68" fillId="0" borderId="21" xfId="0" applyFont="1" applyBorder="1" applyAlignment="1">
      <alignment horizontal="left" vertical="top" wrapText="1"/>
    </xf>
    <xf numFmtId="0" fontId="0" fillId="46" borderId="0" xfId="0" applyFill="1" applyBorder="1"/>
    <xf numFmtId="0" fontId="55" fillId="0" borderId="21" xfId="0" applyFont="1" applyBorder="1" applyAlignment="1">
      <alignment horizontal="left" vertical="top" wrapText="1"/>
    </xf>
    <xf numFmtId="0" fontId="55" fillId="0" borderId="0" xfId="0" applyFont="1" applyAlignment="1">
      <alignment horizontal="left" vertical="top" wrapText="1"/>
    </xf>
    <xf numFmtId="49" fontId="25" fillId="0" borderId="0" xfId="0" applyNumberFormat="1" applyFont="1" applyAlignment="1">
      <alignment horizontal="right" vertical="top"/>
    </xf>
    <xf numFmtId="49" fontId="25" fillId="0" borderId="26" xfId="0" applyNumberFormat="1" applyFont="1" applyBorder="1" applyAlignment="1">
      <alignment horizontal="right" vertical="top"/>
    </xf>
    <xf numFmtId="0" fontId="38" fillId="0" borderId="10" xfId="0" applyFont="1" applyBorder="1" applyAlignment="1">
      <alignment horizontal="center" vertical="center" wrapText="1"/>
    </xf>
    <xf numFmtId="0" fontId="43" fillId="0" borderId="10" xfId="0" applyFont="1" applyBorder="1" applyAlignment="1">
      <alignment horizontal="center" vertical="center" wrapText="1"/>
    </xf>
    <xf numFmtId="0" fontId="0" fillId="0" borderId="0" xfId="0" applyAlignment="1">
      <alignment horizontal="left"/>
    </xf>
    <xf numFmtId="0" fontId="0" fillId="0" borderId="0" xfId="0" applyAlignment="1">
      <alignment horizontal="right"/>
    </xf>
    <xf numFmtId="0" fontId="0" fillId="0" borderId="0" xfId="0"/>
    <xf numFmtId="0" fontId="0" fillId="37" borderId="10" xfId="54" applyFont="1">
      <alignment horizontal="left" vertical="top" wrapText="1"/>
      <protection locked="0"/>
    </xf>
    <xf numFmtId="0" fontId="55" fillId="0" borderId="0" xfId="0" applyFont="1" applyAlignment="1">
      <alignment vertical="top" wrapText="1"/>
    </xf>
    <xf numFmtId="0" fontId="25" fillId="0" borderId="33" xfId="0" applyFont="1" applyBorder="1" applyAlignment="1">
      <alignment horizontal="center" vertical="center"/>
    </xf>
    <xf numFmtId="0" fontId="25" fillId="0" borderId="0" xfId="0" applyFont="1" applyAlignment="1">
      <alignment horizontal="center" vertical="center"/>
    </xf>
    <xf numFmtId="0" fontId="18" fillId="0" borderId="33" xfId="0" applyFont="1" applyBorder="1" applyAlignment="1">
      <alignment horizontal="center" vertical="center"/>
    </xf>
    <xf numFmtId="0" fontId="18" fillId="0" borderId="0" xfId="0" applyFont="1" applyAlignment="1">
      <alignment horizontal="center" vertical="center"/>
    </xf>
    <xf numFmtId="0" fontId="25" fillId="0" borderId="26" xfId="0" applyFont="1" applyBorder="1" applyAlignment="1">
      <alignment horizontal="center" vertical="center"/>
    </xf>
    <xf numFmtId="0" fontId="18" fillId="0" borderId="26" xfId="0" applyFont="1" applyBorder="1" applyAlignment="1">
      <alignment horizontal="center" vertical="center"/>
    </xf>
    <xf numFmtId="0" fontId="25" fillId="0" borderId="31" xfId="0" applyFont="1" applyBorder="1" applyAlignment="1">
      <alignment horizontal="center" vertical="center"/>
    </xf>
    <xf numFmtId="0" fontId="18" fillId="0" borderId="31" xfId="0" applyFont="1" applyBorder="1" applyAlignment="1">
      <alignment horizontal="center" vertical="center"/>
    </xf>
    <xf numFmtId="0" fontId="0" fillId="0" borderId="0" xfId="0" applyAlignment="1">
      <alignment horizontal="center" vertical="center"/>
    </xf>
    <xf numFmtId="0" fontId="18" fillId="0" borderId="0" xfId="0" applyFont="1" applyAlignment="1">
      <alignment horizontal="left" vertical="top" wrapText="1"/>
    </xf>
    <xf numFmtId="0" fontId="18" fillId="0" borderId="26" xfId="0" applyFont="1" applyBorder="1" applyAlignment="1">
      <alignment horizontal="left" vertical="top" wrapText="1"/>
    </xf>
    <xf numFmtId="0" fontId="18" fillId="0" borderId="0" xfId="0" applyFont="1" applyBorder="1" applyAlignment="1">
      <alignment horizontal="left" vertical="top" wrapText="1"/>
    </xf>
    <xf numFmtId="0" fontId="18" fillId="0" borderId="31" xfId="0" applyFont="1" applyBorder="1" applyAlignment="1">
      <alignment horizontal="left" vertical="top" wrapText="1"/>
    </xf>
    <xf numFmtId="0" fontId="0" fillId="37" borderId="10" xfId="54" applyFont="1" applyBorder="1">
      <alignment horizontal="left" vertical="top" wrapText="1"/>
      <protection locked="0"/>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0"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Alignment="1">
      <alignment horizontal="left" vertical="top" wrapText="1"/>
    </xf>
    <xf numFmtId="0" fontId="18" fillId="0" borderId="0" xfId="0" applyFont="1" applyBorder="1" applyAlignment="1">
      <alignment vertical="top"/>
    </xf>
    <xf numFmtId="0" fontId="40" fillId="2" borderId="0" xfId="0" applyFont="1" applyFill="1" applyAlignment="1">
      <alignment horizontal="center" vertical="center"/>
    </xf>
    <xf numFmtId="0" fontId="18" fillId="0" borderId="0" xfId="0" applyFont="1" applyAlignment="1">
      <alignment vertical="top" wrapText="1"/>
    </xf>
    <xf numFmtId="0" fontId="18" fillId="0" borderId="31" xfId="0" applyFont="1" applyBorder="1" applyAlignment="1">
      <alignment vertical="top" wrapText="1"/>
    </xf>
    <xf numFmtId="0" fontId="25" fillId="0" borderId="0" xfId="0" applyFont="1" applyAlignment="1">
      <alignment vertical="top" wrapText="1"/>
    </xf>
    <xf numFmtId="0" fontId="18" fillId="0" borderId="0" xfId="0" applyFont="1" applyBorder="1" applyAlignment="1">
      <alignment wrapText="1"/>
    </xf>
    <xf numFmtId="0" fontId="0" fillId="0" borderId="13" xfId="0" applyBorder="1"/>
    <xf numFmtId="0" fontId="16" fillId="0" borderId="0" xfId="0" applyFont="1" applyAlignment="1">
      <alignment horizontal="center" vertical="center"/>
    </xf>
    <xf numFmtId="0" fontId="26" fillId="0" borderId="33" xfId="0" applyFont="1" applyBorder="1" applyAlignment="1">
      <alignment horizontal="left" vertical="top" wrapText="1"/>
    </xf>
    <xf numFmtId="0" fontId="25" fillId="0" borderId="26" xfId="0" applyFont="1" applyBorder="1" applyAlignment="1">
      <alignment horizontal="center"/>
    </xf>
    <xf numFmtId="0" fontId="25" fillId="0" borderId="108" xfId="62" applyFont="1" applyBorder="1">
      <alignment horizontal="center" vertical="center"/>
    </xf>
    <xf numFmtId="49" fontId="25" fillId="0" borderId="0" xfId="0" applyNumberFormat="1" applyFont="1" applyBorder="1" applyAlignment="1">
      <alignment horizontal="right" vertical="top"/>
    </xf>
    <xf numFmtId="49" fontId="25" fillId="0" borderId="31" xfId="0" applyNumberFormat="1" applyFont="1" applyBorder="1" applyAlignment="1">
      <alignment horizontal="right" vertical="top"/>
    </xf>
    <xf numFmtId="173" fontId="46" fillId="39" borderId="10" xfId="48" applyNumberFormat="1" applyFont="1">
      <protection locked="0"/>
    </xf>
    <xf numFmtId="181" fontId="46" fillId="39" borderId="10" xfId="48" applyNumberFormat="1" applyFont="1">
      <protection locked="0"/>
    </xf>
    <xf numFmtId="0" fontId="16" fillId="0" borderId="26" xfId="0" applyFont="1" applyBorder="1" applyAlignment="1">
      <alignment horizontal="center"/>
    </xf>
    <xf numFmtId="0" fontId="16" fillId="0" borderId="31" xfId="0" applyFont="1" applyBorder="1" applyAlignment="1">
      <alignment horizontal="center"/>
    </xf>
    <xf numFmtId="49" fontId="25" fillId="0" borderId="0" xfId="0" applyNumberFormat="1" applyFont="1" applyBorder="1" applyAlignment="1">
      <alignment horizontal="left"/>
    </xf>
    <xf numFmtId="0" fontId="25" fillId="0" borderId="105" xfId="0" applyFont="1" applyBorder="1" applyAlignment="1">
      <alignment horizontal="left" vertical="top" wrapText="1"/>
    </xf>
    <xf numFmtId="0" fontId="18" fillId="0" borderId="0" xfId="0" applyFont="1" applyAlignment="1">
      <alignment horizontal="left" vertical="center"/>
    </xf>
    <xf numFmtId="49" fontId="25" fillId="0" borderId="26" xfId="0" applyNumberFormat="1" applyFont="1" applyBorder="1" applyAlignment="1">
      <alignment horizontal="left"/>
    </xf>
    <xf numFmtId="0" fontId="0" fillId="0" borderId="0" xfId="0"/>
    <xf numFmtId="0" fontId="18" fillId="0" borderId="0" xfId="0" applyFont="1" applyBorder="1" applyAlignment="1">
      <alignment vertical="top" wrapText="1"/>
    </xf>
    <xf numFmtId="0" fontId="18" fillId="0" borderId="26" xfId="0" applyFont="1" applyBorder="1" applyAlignment="1">
      <alignment vertical="top" wrapText="1"/>
    </xf>
    <xf numFmtId="0" fontId="0" fillId="37" borderId="32" xfId="54" applyFont="1" applyBorder="1">
      <alignment horizontal="left" vertical="top" wrapText="1"/>
      <protection locked="0"/>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Alignment="1">
      <alignment horizontal="center" vertical="center"/>
    </xf>
    <xf numFmtId="0" fontId="0" fillId="37" borderId="10" xfId="54" applyFont="1">
      <alignment horizontal="left" vertical="top" wrapText="1"/>
      <protection locked="0"/>
    </xf>
    <xf numFmtId="0" fontId="0" fillId="37" borderId="15" xfId="54" applyFont="1" applyBorder="1">
      <alignment horizontal="left" vertical="top" wrapText="1"/>
      <protection locked="0"/>
    </xf>
    <xf numFmtId="0" fontId="18" fillId="0" borderId="0" xfId="0" applyFont="1" applyBorder="1" applyAlignment="1">
      <alignment vertical="top"/>
    </xf>
    <xf numFmtId="0" fontId="18" fillId="0" borderId="23" xfId="0" applyFont="1" applyBorder="1" applyAlignment="1">
      <alignment horizontal="center" vertical="center"/>
    </xf>
    <xf numFmtId="0" fontId="18" fillId="0" borderId="31" xfId="0" applyFont="1" applyBorder="1" applyAlignment="1">
      <alignment horizontal="center" vertical="center"/>
    </xf>
    <xf numFmtId="0" fontId="0" fillId="37" borderId="53" xfId="54" applyFont="1" applyBorder="1">
      <alignment horizontal="left" vertical="top" wrapText="1"/>
      <protection locked="0"/>
    </xf>
    <xf numFmtId="0" fontId="18" fillId="0" borderId="21" xfId="0" applyFont="1" applyBorder="1" applyAlignment="1">
      <alignment horizontal="center" vertical="center"/>
    </xf>
    <xf numFmtId="0" fontId="0" fillId="0" borderId="0" xfId="0" applyAlignment="1">
      <alignment horizontal="center" vertical="center"/>
    </xf>
    <xf numFmtId="0" fontId="0" fillId="0" borderId="31" xfId="0" applyBorder="1" applyAlignment="1">
      <alignment horizontal="center" vertical="center"/>
    </xf>
    <xf numFmtId="0" fontId="18" fillId="0" borderId="23" xfId="0" applyFont="1" applyBorder="1" applyAlignment="1">
      <alignment vertical="top" wrapText="1"/>
    </xf>
    <xf numFmtId="0" fontId="18" fillId="0" borderId="31" xfId="0" applyFont="1" applyBorder="1" applyAlignment="1">
      <alignment vertical="top" wrapText="1"/>
    </xf>
    <xf numFmtId="0" fontId="18" fillId="0" borderId="0" xfId="0" applyFont="1" applyAlignment="1">
      <alignment vertical="top" wrapText="1"/>
    </xf>
    <xf numFmtId="0" fontId="16" fillId="0" borderId="0" xfId="0" applyFont="1" applyAlignment="1">
      <alignment horizontal="center" vertical="center"/>
    </xf>
    <xf numFmtId="0" fontId="16" fillId="0" borderId="31" xfId="0" applyFont="1" applyBorder="1" applyAlignment="1">
      <alignment horizontal="center" vertical="center"/>
    </xf>
    <xf numFmtId="0" fontId="25" fillId="0" borderId="0" xfId="0" applyFont="1" applyAlignment="1">
      <alignment vertical="top" wrapText="1"/>
    </xf>
    <xf numFmtId="0" fontId="25" fillId="0" borderId="26" xfId="0" applyFont="1" applyBorder="1" applyAlignment="1">
      <alignment vertical="top" wrapText="1"/>
    </xf>
    <xf numFmtId="0" fontId="0" fillId="0" borderId="13" xfId="0" applyBorder="1"/>
    <xf numFmtId="0" fontId="0" fillId="0" borderId="0" xfId="0" applyBorder="1" applyAlignment="1">
      <alignment horizontal="center" vertical="center"/>
    </xf>
    <xf numFmtId="0" fontId="0" fillId="37" borderId="10" xfId="66" applyFont="1">
      <alignment horizontal="left" vertical="top" wrapText="1"/>
    </xf>
    <xf numFmtId="0" fontId="0" fillId="37" borderId="10" xfId="66" applyFont="1" applyBorder="1">
      <alignment horizontal="left" vertical="top" wrapText="1"/>
    </xf>
    <xf numFmtId="0" fontId="0" fillId="37" borderId="32" xfId="66" applyFont="1" applyBorder="1">
      <alignment horizontal="left" vertical="top" wrapText="1"/>
    </xf>
    <xf numFmtId="0" fontId="0" fillId="37" borderId="15" xfId="66" applyFont="1" applyBorder="1">
      <alignment horizontal="left" vertical="top" wrapText="1"/>
    </xf>
    <xf numFmtId="0" fontId="16" fillId="0" borderId="0" xfId="0" applyFont="1" applyBorder="1" applyAlignment="1">
      <alignment horizontal="center" vertical="center"/>
    </xf>
    <xf numFmtId="0" fontId="25" fillId="0" borderId="0" xfId="0" applyFont="1" applyBorder="1" applyAlignment="1">
      <alignment horizontal="center"/>
    </xf>
    <xf numFmtId="0" fontId="18" fillId="0" borderId="105" xfId="0" applyFont="1" applyBorder="1" applyAlignment="1">
      <alignment horizontal="left" vertical="top" wrapText="1"/>
    </xf>
    <xf numFmtId="0" fontId="25" fillId="0" borderId="0" xfId="0" applyFont="1" applyAlignment="1">
      <alignment horizontal="left" vertical="center"/>
    </xf>
    <xf numFmtId="182" fontId="46" fillId="39" borderId="10" xfId="48" applyNumberFormat="1" applyFont="1">
      <protection locked="0"/>
    </xf>
    <xf numFmtId="183" fontId="46" fillId="39" borderId="10" xfId="48" applyNumberFormat="1" applyFont="1">
      <protection locked="0"/>
    </xf>
    <xf numFmtId="0" fontId="25" fillId="0" borderId="0" xfId="0" applyFont="1" applyBorder="1" applyAlignment="1">
      <alignment horizontal="left" vertical="center"/>
    </xf>
    <xf numFmtId="183" fontId="46" fillId="39" borderId="10" xfId="48" applyNumberFormat="1" applyFont="1" applyBorder="1">
      <protection locked="0"/>
    </xf>
    <xf numFmtId="0" fontId="25" fillId="0" borderId="31" xfId="0" applyFont="1" applyBorder="1" applyAlignment="1">
      <alignment horizontal="left" vertical="center"/>
    </xf>
    <xf numFmtId="0" fontId="25" fillId="0" borderId="26" xfId="0" applyFont="1" applyBorder="1" applyAlignment="1">
      <alignment horizontal="left" vertical="center"/>
    </xf>
    <xf numFmtId="0" fontId="24" fillId="34" borderId="0" xfId="63" applyBorder="1" applyAlignment="1">
      <alignment horizontal="left" vertical="center"/>
    </xf>
    <xf numFmtId="0" fontId="0" fillId="0" borderId="31" xfId="0" applyBorder="1" applyAlignment="1">
      <alignment horizontal="left"/>
    </xf>
    <xf numFmtId="0" fontId="18" fillId="0" borderId="33" xfId="0" applyFont="1" applyBorder="1" applyAlignment="1">
      <alignment horizontal="left"/>
    </xf>
    <xf numFmtId="0" fontId="0" fillId="35" borderId="35" xfId="0" applyFill="1" applyBorder="1" applyAlignment="1">
      <alignment horizontal="left"/>
    </xf>
    <xf numFmtId="49" fontId="18" fillId="0" borderId="21" xfId="0" applyNumberFormat="1" applyFont="1" applyBorder="1" applyAlignment="1">
      <alignment horizontal="right" vertical="top"/>
    </xf>
    <xf numFmtId="49" fontId="18" fillId="0" borderId="0" xfId="0" applyNumberFormat="1" applyFont="1" applyAlignment="1">
      <alignment horizontal="left" vertical="center"/>
    </xf>
    <xf numFmtId="0" fontId="0" fillId="0" borderId="108" xfId="0" applyBorder="1"/>
    <xf numFmtId="49" fontId="18" fillId="0" borderId="0" xfId="0" applyNumberFormat="1" applyFont="1" applyBorder="1" applyAlignment="1">
      <alignment horizontal="left"/>
    </xf>
    <xf numFmtId="49" fontId="18" fillId="0" borderId="31" xfId="0" applyNumberFormat="1" applyFont="1" applyBorder="1" applyAlignment="1">
      <alignment horizontal="left"/>
    </xf>
    <xf numFmtId="49" fontId="25" fillId="0" borderId="0" xfId="0" applyNumberFormat="1" applyFont="1" applyAlignment="1">
      <alignment horizontal="left" vertical="center"/>
    </xf>
    <xf numFmtId="49" fontId="25" fillId="0" borderId="0" xfId="0" applyNumberFormat="1" applyFont="1" applyBorder="1" applyAlignment="1">
      <alignment horizontal="left" vertical="center"/>
    </xf>
    <xf numFmtId="49" fontId="25" fillId="0" borderId="31" xfId="0" applyNumberFormat="1" applyFont="1" applyBorder="1" applyAlignment="1">
      <alignment horizontal="left" vertical="center"/>
    </xf>
    <xf numFmtId="49" fontId="25" fillId="0" borderId="26" xfId="0" applyNumberFormat="1" applyFont="1" applyBorder="1" applyAlignment="1">
      <alignment horizontal="left" vertical="center"/>
    </xf>
    <xf numFmtId="49" fontId="21" fillId="34" borderId="0" xfId="50" applyNumberFormat="1" applyAlignment="1">
      <alignment horizontal="right" vertical="top"/>
    </xf>
    <xf numFmtId="0" fontId="68" fillId="0" borderId="0" xfId="0" applyFont="1" applyAlignment="1">
      <alignment vertical="top" wrapText="1"/>
    </xf>
    <xf numFmtId="0" fontId="68" fillId="0" borderId="26" xfId="0" applyFont="1" applyBorder="1" applyAlignment="1">
      <alignment vertical="top" wrapText="1"/>
    </xf>
    <xf numFmtId="49" fontId="18" fillId="0" borderId="23" xfId="0" applyNumberFormat="1" applyFont="1" applyBorder="1" applyAlignment="1">
      <alignment horizontal="left" vertical="top"/>
    </xf>
    <xf numFmtId="0" fontId="21" fillId="34" borderId="0" xfId="50" applyBorder="1" applyAlignment="1">
      <alignment horizontal="center" vertical="center"/>
    </xf>
    <xf numFmtId="0" fontId="21" fillId="34" borderId="0" xfId="50" applyBorder="1"/>
    <xf numFmtId="0" fontId="18" fillId="0" borderId="0" xfId="0" applyFont="1" applyAlignment="1">
      <alignment vertical="top"/>
    </xf>
    <xf numFmtId="0" fontId="0" fillId="0" borderId="0" xfId="0"/>
    <xf numFmtId="0" fontId="18" fillId="0" borderId="0" xfId="0" applyFont="1" applyAlignment="1">
      <alignment horizontal="center" vertical="center"/>
    </xf>
    <xf numFmtId="0" fontId="25" fillId="0" borderId="26" xfId="0" applyFont="1" applyBorder="1" applyAlignment="1">
      <alignment horizontal="center" vertical="center"/>
    </xf>
    <xf numFmtId="0" fontId="18" fillId="0" borderId="26" xfId="0" applyFont="1" applyBorder="1" applyAlignment="1">
      <alignment horizontal="center" vertical="center"/>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0" fillId="0" borderId="0" xfId="0" applyAlignment="1">
      <alignment horizontal="center" vertical="center"/>
    </xf>
    <xf numFmtId="0" fontId="68" fillId="0" borderId="0" xfId="0" applyFont="1" applyBorder="1" applyAlignment="1">
      <alignment horizontal="left" vertical="top" wrapText="1"/>
    </xf>
    <xf numFmtId="0" fontId="68" fillId="0" borderId="26" xfId="0" applyFont="1" applyBorder="1" applyAlignment="1">
      <alignment horizontal="left" vertical="top" wrapText="1"/>
    </xf>
    <xf numFmtId="0" fontId="18" fillId="0" borderId="0" xfId="0" applyFont="1" applyBorder="1" applyAlignment="1">
      <alignment horizontal="center" vertical="center"/>
    </xf>
    <xf numFmtId="0" fontId="25" fillId="0" borderId="0"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vertical="top"/>
    </xf>
    <xf numFmtId="0" fontId="0" fillId="0" borderId="10" xfId="0" applyBorder="1"/>
    <xf numFmtId="0" fontId="40" fillId="2" borderId="26" xfId="0" applyFont="1" applyFill="1" applyBorder="1" applyAlignment="1">
      <alignment horizontal="center" vertical="center"/>
    </xf>
    <xf numFmtId="0" fontId="40" fillId="2" borderId="23" xfId="0" applyFont="1" applyFill="1" applyBorder="1" applyAlignment="1">
      <alignment horizontal="center" vertical="center"/>
    </xf>
    <xf numFmtId="0" fontId="25" fillId="0" borderId="26" xfId="62" applyFont="1" applyBorder="1">
      <alignment horizontal="center" vertical="center"/>
    </xf>
    <xf numFmtId="0" fontId="25" fillId="0" borderId="0" xfId="62" applyFont="1">
      <alignment horizontal="center" vertical="center"/>
    </xf>
    <xf numFmtId="0" fontId="0" fillId="37" borderId="10" xfId="66" applyFont="1" applyBorder="1">
      <alignment horizontal="left" vertical="top" wrapText="1"/>
    </xf>
    <xf numFmtId="0" fontId="0" fillId="37" borderId="32" xfId="66" applyFont="1" applyBorder="1">
      <alignment horizontal="left" vertical="top" wrapText="1"/>
    </xf>
    <xf numFmtId="0" fontId="0" fillId="37" borderId="53" xfId="66" applyFont="1" applyBorder="1">
      <alignment horizontal="left" vertical="top" wrapText="1"/>
    </xf>
    <xf numFmtId="0" fontId="25" fillId="0" borderId="21" xfId="0" applyFont="1" applyBorder="1" applyAlignment="1">
      <alignment horizontal="center" vertical="center"/>
    </xf>
    <xf numFmtId="0" fontId="25" fillId="0" borderId="23" xfId="0" applyFont="1" applyBorder="1" applyAlignment="1">
      <alignment horizontal="left" vertical="center"/>
    </xf>
    <xf numFmtId="49" fontId="25" fillId="0" borderId="23" xfId="0" applyNumberFormat="1" applyFont="1" applyBorder="1" applyAlignment="1">
      <alignment horizontal="right" vertical="top"/>
    </xf>
    <xf numFmtId="49" fontId="25" fillId="0" borderId="21" xfId="0" applyNumberFormat="1" applyFont="1" applyBorder="1" applyAlignment="1">
      <alignment horizontal="right" vertical="top"/>
    </xf>
    <xf numFmtId="0" fontId="21" fillId="34" borderId="0" xfId="50" applyBorder="1" applyAlignment="1">
      <alignment horizontal="left"/>
    </xf>
    <xf numFmtId="0" fontId="21" fillId="34" borderId="0" xfId="50" applyBorder="1" applyAlignment="1">
      <alignment vertical="top"/>
    </xf>
    <xf numFmtId="0" fontId="25" fillId="0" borderId="108" xfId="0" applyFont="1" applyBorder="1" applyAlignment="1">
      <alignment horizontal="center" vertical="center"/>
    </xf>
    <xf numFmtId="0" fontId="18" fillId="0" borderId="108" xfId="0" applyFont="1" applyBorder="1" applyAlignment="1">
      <alignment horizontal="center" vertical="center"/>
    </xf>
    <xf numFmtId="0" fontId="44" fillId="34" borderId="0" xfId="50" applyFont="1" applyBorder="1" applyAlignment="1">
      <alignment horizontal="center" vertical="center"/>
    </xf>
    <xf numFmtId="0" fontId="59" fillId="34" borderId="0" xfId="50" applyFont="1" applyBorder="1" applyAlignment="1">
      <alignment horizontal="center" vertical="center"/>
    </xf>
    <xf numFmtId="49" fontId="21" fillId="34" borderId="0" xfId="50" applyNumberFormat="1" applyBorder="1" applyAlignment="1">
      <alignment horizontal="left" vertical="top" wrapText="1"/>
    </xf>
    <xf numFmtId="0" fontId="59" fillId="34" borderId="0" xfId="50" applyFont="1" applyBorder="1"/>
    <xf numFmtId="0" fontId="18" fillId="0" borderId="0" xfId="0" applyFont="1" applyBorder="1" applyAlignment="1">
      <alignment horizontal="left" vertical="center"/>
    </xf>
    <xf numFmtId="0" fontId="25" fillId="0" borderId="0" xfId="0" applyFont="1" applyBorder="1" applyAlignment="1">
      <alignment horizontal="center" vertical="top" wrapText="1"/>
    </xf>
    <xf numFmtId="0" fontId="0" fillId="37" borderId="36" xfId="66" applyFont="1" applyBorder="1">
      <alignment horizontal="left" vertical="top" wrapText="1"/>
    </xf>
    <xf numFmtId="2" fontId="0" fillId="2" borderId="0" xfId="0" applyNumberFormat="1" applyFill="1"/>
    <xf numFmtId="49" fontId="25" fillId="0" borderId="33" xfId="0" applyNumberFormat="1" applyFont="1" applyBorder="1" applyAlignment="1">
      <alignment horizontal="right" vertical="top"/>
    </xf>
    <xf numFmtId="9" fontId="46" fillId="39" borderId="10" xfId="48" applyNumberFormat="1" applyFont="1">
      <protection locked="0"/>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31" xfId="0" applyFont="1" applyBorder="1" applyAlignment="1">
      <alignment horizontal="center" vertical="center"/>
    </xf>
    <xf numFmtId="0" fontId="18" fillId="0" borderId="0" xfId="0" applyFont="1" applyBorder="1" applyAlignment="1">
      <alignment horizontal="center" vertical="center"/>
    </xf>
    <xf numFmtId="0" fontId="18" fillId="0" borderId="31" xfId="0" applyFont="1" applyBorder="1" applyAlignment="1">
      <alignment horizontal="center" vertical="center"/>
    </xf>
    <xf numFmtId="0" fontId="25" fillId="0" borderId="0" xfId="0" applyFont="1" applyAlignment="1">
      <alignment horizontal="center" vertical="center"/>
    </xf>
    <xf numFmtId="0" fontId="25" fillId="0" borderId="26" xfId="0" applyFont="1" applyBorder="1" applyAlignment="1">
      <alignment horizontal="center" vertical="center"/>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18" fillId="0" borderId="0" xfId="0" applyFont="1" applyAlignment="1">
      <alignment horizontal="center" vertical="center"/>
    </xf>
    <xf numFmtId="0" fontId="25" fillId="0" borderId="0" xfId="0" applyFont="1" applyBorder="1" applyAlignment="1">
      <alignment horizontal="center" vertical="center" wrapText="1"/>
    </xf>
    <xf numFmtId="0" fontId="25" fillId="0" borderId="26" xfId="62" applyFont="1" applyBorder="1" applyAlignment="1">
      <alignment horizontal="center" vertical="center"/>
    </xf>
    <xf numFmtId="0" fontId="25" fillId="0" borderId="0" xfId="62" applyFont="1" applyAlignment="1">
      <alignment horizontal="center" vertical="center"/>
    </xf>
    <xf numFmtId="0" fontId="40" fillId="2" borderId="0" xfId="0" applyFont="1" applyFill="1" applyBorder="1" applyAlignment="1">
      <alignment horizontal="center" vertical="center"/>
    </xf>
    <xf numFmtId="0" fontId="40" fillId="2" borderId="0" xfId="0" applyFont="1" applyFill="1" applyAlignment="1">
      <alignment horizontal="center" vertical="center"/>
    </xf>
    <xf numFmtId="0" fontId="40" fillId="2" borderId="26" xfId="0" applyFont="1" applyFill="1" applyBorder="1" applyAlignment="1">
      <alignment horizontal="center" vertical="center"/>
    </xf>
    <xf numFmtId="0" fontId="25" fillId="0" borderId="0" xfId="0" applyFont="1" applyAlignment="1">
      <alignment horizontal="center" vertical="center" wrapText="1"/>
    </xf>
    <xf numFmtId="0" fontId="25" fillId="0" borderId="26" xfId="0" applyFont="1" applyBorder="1" applyAlignment="1">
      <alignment horizontal="center" vertical="center" wrapText="1"/>
    </xf>
    <xf numFmtId="0" fontId="26" fillId="0" borderId="0" xfId="0" applyFont="1" applyBorder="1" applyAlignment="1">
      <alignment horizontal="center" vertical="center" wrapText="1"/>
    </xf>
    <xf numFmtId="0" fontId="40" fillId="2" borderId="23" xfId="0" applyFont="1" applyFill="1" applyBorder="1" applyAlignment="1">
      <alignment horizontal="center" vertical="center"/>
    </xf>
    <xf numFmtId="0" fontId="25" fillId="0" borderId="0" xfId="62" applyFont="1" applyBorder="1">
      <alignment horizontal="center" vertical="center"/>
    </xf>
    <xf numFmtId="0" fontId="25" fillId="0" borderId="26" xfId="62" applyFont="1" applyBorder="1">
      <alignment horizontal="center" vertical="center"/>
    </xf>
    <xf numFmtId="0" fontId="16" fillId="0" borderId="0" xfId="0" applyFont="1" applyAlignment="1">
      <alignment horizontal="center" vertical="center"/>
    </xf>
    <xf numFmtId="0" fontId="26" fillId="0" borderId="0" xfId="0" applyFont="1" applyBorder="1" applyAlignment="1">
      <alignment horizontal="center" vertical="center"/>
    </xf>
    <xf numFmtId="0" fontId="16" fillId="0" borderId="0" xfId="0" applyFont="1" applyBorder="1" applyAlignment="1">
      <alignment horizontal="center" vertical="center"/>
    </xf>
    <xf numFmtId="0" fontId="26" fillId="0" borderId="26" xfId="0" applyFont="1" applyBorder="1" applyAlignment="1">
      <alignment horizontal="center" vertical="center" wrapText="1"/>
    </xf>
    <xf numFmtId="0" fontId="25" fillId="0" borderId="0" xfId="0" applyFont="1" applyAlignment="1">
      <alignment horizontal="center"/>
    </xf>
    <xf numFmtId="0" fontId="25" fillId="0" borderId="21" xfId="0" applyFont="1" applyBorder="1" applyAlignment="1">
      <alignment horizontal="center" vertical="center"/>
    </xf>
    <xf numFmtId="0" fontId="25" fillId="0" borderId="26" xfId="0" applyFont="1" applyBorder="1" applyAlignment="1">
      <alignment horizontal="center"/>
    </xf>
    <xf numFmtId="0" fontId="25" fillId="0" borderId="0" xfId="0" applyFont="1" applyBorder="1" applyAlignment="1">
      <alignment horizontal="center"/>
    </xf>
    <xf numFmtId="0" fontId="1" fillId="0" borderId="0" xfId="62" applyNumberFormat="1" applyFont="1" applyBorder="1" applyAlignment="1">
      <alignment horizontal="center" vertical="center"/>
    </xf>
    <xf numFmtId="0" fontId="1" fillId="0" borderId="31" xfId="62" applyNumberFormat="1" applyFont="1" applyBorder="1" applyAlignment="1">
      <alignment horizontal="center" vertical="center"/>
    </xf>
    <xf numFmtId="0" fontId="0" fillId="0" borderId="26" xfId="0" applyFont="1" applyBorder="1"/>
    <xf numFmtId="0" fontId="0" fillId="0" borderId="0" xfId="0" applyFont="1" applyAlignment="1">
      <alignment horizontal="center" vertical="center"/>
    </xf>
    <xf numFmtId="0" fontId="17" fillId="34" borderId="0" xfId="50" applyFont="1" applyAlignment="1">
      <alignment horizontal="center" vertical="center"/>
    </xf>
    <xf numFmtId="0" fontId="0" fillId="0" borderId="0" xfId="0" applyFont="1" applyBorder="1" applyAlignment="1">
      <alignment horizontal="center" vertical="center"/>
    </xf>
    <xf numFmtId="0" fontId="0" fillId="0" borderId="31" xfId="0" applyFont="1" applyBorder="1" applyAlignment="1">
      <alignment horizontal="center" vertical="center"/>
    </xf>
    <xf numFmtId="0" fontId="0" fillId="0" borderId="33" xfId="0" applyFont="1" applyBorder="1" applyAlignment="1">
      <alignment horizontal="center" vertical="center"/>
    </xf>
    <xf numFmtId="0" fontId="0" fillId="0" borderId="26" xfId="0" applyFont="1" applyBorder="1" applyAlignment="1">
      <alignment horizontal="center" vertical="center"/>
    </xf>
    <xf numFmtId="0" fontId="0" fillId="0" borderId="33" xfId="0" applyFont="1" applyBorder="1"/>
    <xf numFmtId="0" fontId="0" fillId="0" borderId="21" xfId="0" applyFont="1" applyBorder="1" applyAlignment="1">
      <alignment horizontal="center" vertical="center"/>
    </xf>
    <xf numFmtId="0" fontId="0" fillId="0" borderId="35" xfId="0" applyFont="1" applyBorder="1" applyAlignment="1">
      <alignment horizontal="center" vertical="center"/>
    </xf>
    <xf numFmtId="49" fontId="17" fillId="34" borderId="0" xfId="50" applyNumberFormat="1" applyFont="1" applyAlignment="1">
      <alignment horizontal="center" vertical="center"/>
    </xf>
    <xf numFmtId="0" fontId="0" fillId="0" borderId="31" xfId="0" applyFont="1" applyBorder="1"/>
    <xf numFmtId="0" fontId="17" fillId="34" borderId="0" xfId="50" applyFont="1" applyBorder="1" applyAlignment="1">
      <alignment horizontal="center" vertical="center"/>
    </xf>
    <xf numFmtId="0" fontId="17" fillId="34" borderId="0" xfId="50" applyFont="1"/>
    <xf numFmtId="0" fontId="0" fillId="0" borderId="23" xfId="0" applyFont="1" applyBorder="1"/>
    <xf numFmtId="0" fontId="0" fillId="0" borderId="23" xfId="0" applyFont="1" applyBorder="1" applyAlignment="1">
      <alignment horizontal="center" vertical="center"/>
    </xf>
    <xf numFmtId="0" fontId="0" fillId="0" borderId="21" xfId="0" applyFont="1" applyBorder="1"/>
    <xf numFmtId="0" fontId="0" fillId="0" borderId="108" xfId="0" applyFont="1" applyBorder="1" applyAlignment="1">
      <alignment horizontal="center" vertical="center"/>
    </xf>
    <xf numFmtId="49" fontId="59" fillId="34" borderId="0" xfId="50" applyNumberFormat="1" applyFont="1" applyAlignment="1">
      <alignment horizontal="center" vertical="center"/>
    </xf>
    <xf numFmtId="0" fontId="0" fillId="0" borderId="0" xfId="0"/>
    <xf numFmtId="0" fontId="18" fillId="0" borderId="0" xfId="0" applyFont="1" applyBorder="1" applyAlignment="1">
      <alignment vertical="top" wrapText="1"/>
    </xf>
    <xf numFmtId="0" fontId="18" fillId="0" borderId="0"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horizontal="left" vertical="top" wrapText="1"/>
    </xf>
    <xf numFmtId="0" fontId="0" fillId="0" borderId="0" xfId="0" applyAlignment="1">
      <alignment horizontal="right"/>
    </xf>
    <xf numFmtId="0" fontId="0" fillId="0" borderId="0" xfId="0"/>
    <xf numFmtId="0" fontId="25" fillId="0" borderId="0" xfId="0" applyFont="1" applyAlignment="1">
      <alignment horizontal="center" vertical="center"/>
    </xf>
    <xf numFmtId="0" fontId="18" fillId="0" borderId="0" xfId="0" applyFont="1" applyAlignment="1">
      <alignment horizontal="center" vertical="center"/>
    </xf>
    <xf numFmtId="0" fontId="25" fillId="0" borderId="0" xfId="0" applyFont="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vertical="top" wrapText="1"/>
    </xf>
    <xf numFmtId="0" fontId="18" fillId="0" borderId="0" xfId="0" applyFont="1" applyBorder="1" applyAlignment="1">
      <alignment vertical="top"/>
    </xf>
    <xf numFmtId="0" fontId="18" fillId="0" borderId="0" xfId="0" applyFont="1" applyAlignment="1">
      <alignment vertical="top" wrapText="1"/>
    </xf>
    <xf numFmtId="0" fontId="26"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horizontal="center" vertical="center"/>
    </xf>
    <xf numFmtId="0" fontId="18" fillId="0" borderId="0" xfId="0" applyFont="1" applyAlignment="1">
      <alignment vertical="top"/>
    </xf>
    <xf numFmtId="0" fontId="0" fillId="0" borderId="0" xfId="0"/>
    <xf numFmtId="0" fontId="18" fillId="0" borderId="26" xfId="0" applyFont="1" applyBorder="1" applyAlignment="1">
      <alignment horizontal="center" vertical="center"/>
    </xf>
    <xf numFmtId="0" fontId="18" fillId="0" borderId="0" xfId="0" applyFont="1" applyBorder="1" applyAlignment="1">
      <alignment vertical="top" wrapText="1"/>
    </xf>
    <xf numFmtId="0" fontId="40" fillId="2" borderId="0" xfId="0" applyFont="1" applyFill="1" applyAlignment="1">
      <alignment horizontal="center" vertical="center"/>
    </xf>
    <xf numFmtId="0" fontId="0" fillId="0" borderId="26" xfId="0" applyFont="1" applyBorder="1" applyAlignment="1">
      <alignment horizontal="center" vertical="center"/>
    </xf>
    <xf numFmtId="0" fontId="0" fillId="0" borderId="0" xfId="0"/>
    <xf numFmtId="0" fontId="18" fillId="0" borderId="0" xfId="0" applyFont="1" applyBorder="1" applyAlignment="1">
      <alignment horizontal="center" vertical="center"/>
    </xf>
    <xf numFmtId="0" fontId="0" fillId="0" borderId="10" xfId="0" applyBorder="1"/>
    <xf numFmtId="0" fontId="58" fillId="0" borderId="0" xfId="57" applyFont="1" applyAlignment="1" applyProtection="1">
      <alignment horizontal="center" vertical="center" wrapText="1"/>
      <protection locked="0"/>
    </xf>
    <xf numFmtId="0" fontId="0" fillId="0" borderId="0" xfId="0" applyBorder="1" applyAlignment="1">
      <alignment horizontal="center" vertical="center"/>
    </xf>
    <xf numFmtId="0" fontId="0" fillId="0" borderId="0" xfId="0" applyBorder="1" applyAlignment="1">
      <alignment horizontal="center"/>
    </xf>
    <xf numFmtId="0" fontId="0" fillId="0" borderId="0" xfId="0"/>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Alignment="1">
      <alignment horizontal="center" vertical="center"/>
    </xf>
    <xf numFmtId="0" fontId="18" fillId="0" borderId="21" xfId="0" applyFont="1" applyBorder="1" applyAlignment="1">
      <alignment horizontal="center" vertical="center"/>
    </xf>
    <xf numFmtId="49" fontId="18" fillId="39" borderId="10" xfId="48" applyNumberFormat="1" applyFont="1" applyAlignment="1">
      <alignment horizontal="right"/>
      <protection locked="0"/>
    </xf>
    <xf numFmtId="185" fontId="18" fillId="39" borderId="10" xfId="48" applyNumberFormat="1" applyFont="1" applyAlignment="1">
      <alignment horizontal="right"/>
      <protection locked="0"/>
    </xf>
    <xf numFmtId="0" fontId="0" fillId="0" borderId="0" xfId="0" applyAlignment="1">
      <alignment horizontal="left"/>
    </xf>
    <xf numFmtId="0" fontId="0" fillId="39" borderId="10" xfId="48" applyFont="1" applyAlignment="1">
      <alignment horizontal="left"/>
      <protection locked="0"/>
    </xf>
    <xf numFmtId="0" fontId="0" fillId="38" borderId="10" xfId="47" applyFont="1" applyAlignment="1">
      <alignment horizontal="left"/>
      <protection locked="0"/>
    </xf>
    <xf numFmtId="0" fontId="0" fillId="0" borderId="0" xfId="0" applyAlignment="1">
      <alignment horizontal="right"/>
    </xf>
    <xf numFmtId="0" fontId="0" fillId="0" borderId="0" xfId="0"/>
    <xf numFmtId="0" fontId="0" fillId="41" borderId="10" xfId="48" applyFont="1" applyFill="1" applyAlignment="1" applyProtection="1">
      <alignment horizontal="left"/>
    </xf>
    <xf numFmtId="0" fontId="16" fillId="41" borderId="0" xfId="0" quotePrefix="1" applyFont="1" applyFill="1"/>
    <xf numFmtId="0" fontId="0" fillId="41" borderId="0" xfId="0" applyFill="1" applyAlignment="1">
      <alignment horizontal="left" indent="1"/>
    </xf>
    <xf numFmtId="0" fontId="0" fillId="0" borderId="0" xfId="0" applyAlignment="1">
      <alignment vertical="center" wrapText="1"/>
    </xf>
    <xf numFmtId="2" fontId="0" fillId="0" borderId="27" xfId="0" applyNumberFormat="1" applyBorder="1"/>
    <xf numFmtId="0" fontId="0" fillId="0" borderId="0" xfId="0" applyAlignment="1">
      <alignment wrapText="1"/>
    </xf>
    <xf numFmtId="0" fontId="0" fillId="0" borderId="0" xfId="0"/>
    <xf numFmtId="0" fontId="68" fillId="0" borderId="26" xfId="0" applyFont="1" applyBorder="1" applyAlignment="1">
      <alignment horizontal="left" vertical="top" wrapText="1"/>
    </xf>
    <xf numFmtId="0" fontId="68" fillId="0" borderId="0" xfId="0" applyFont="1" applyAlignment="1">
      <alignment horizontal="left" vertical="top" wrapText="1"/>
    </xf>
    <xf numFmtId="0" fontId="0" fillId="0" borderId="0" xfId="0"/>
    <xf numFmtId="0" fontId="0" fillId="0" borderId="0" xfId="0"/>
    <xf numFmtId="0" fontId="25" fillId="0" borderId="0" xfId="0" applyFont="1" applyAlignment="1">
      <alignment horizontal="center" vertical="center"/>
    </xf>
    <xf numFmtId="0" fontId="25" fillId="0" borderId="26" xfId="0" applyFont="1" applyBorder="1" applyAlignment="1">
      <alignment horizontal="center" vertical="center"/>
    </xf>
    <xf numFmtId="0" fontId="18" fillId="0" borderId="0" xfId="0" applyFont="1" applyAlignment="1">
      <alignment horizontal="center" vertical="center"/>
    </xf>
    <xf numFmtId="0" fontId="18" fillId="0" borderId="26"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Border="1" applyAlignment="1">
      <alignment horizontal="center" vertical="center"/>
    </xf>
    <xf numFmtId="0" fontId="40" fillId="2" borderId="0" xfId="0" applyFont="1" applyFill="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right"/>
    </xf>
    <xf numFmtId="0" fontId="0" fillId="0" borderId="0" xfId="0"/>
    <xf numFmtId="0" fontId="0" fillId="0" borderId="0" xfId="0"/>
    <xf numFmtId="0" fontId="18" fillId="0" borderId="0" xfId="0" applyFont="1" applyAlignment="1">
      <alignment horizontal="center" vertical="center"/>
    </xf>
    <xf numFmtId="0" fontId="26" fillId="0" borderId="0" xfId="0" applyFont="1" applyAlignment="1">
      <alignment horizontal="center" vertical="center" wrapText="1"/>
    </xf>
    <xf numFmtId="0" fontId="0" fillId="0" borderId="0" xfId="0" applyFont="1" applyAlignment="1">
      <alignment horizontal="center" vertical="center"/>
    </xf>
    <xf numFmtId="0" fontId="18" fillId="0" borderId="0" xfId="0" applyFont="1" applyAlignment="1">
      <alignment vertical="top"/>
    </xf>
    <xf numFmtId="0" fontId="0" fillId="0" borderId="0" xfId="0"/>
    <xf numFmtId="0" fontId="0" fillId="0" borderId="0" xfId="0"/>
    <xf numFmtId="0" fontId="0" fillId="0" borderId="0" xfId="0" applyNumberFormat="1" applyFill="1"/>
    <xf numFmtId="0" fontId="0" fillId="0" borderId="0" xfId="0"/>
    <xf numFmtId="0" fontId="0" fillId="0" borderId="0" xfId="0"/>
    <xf numFmtId="0" fontId="25" fillId="0" borderId="0" xfId="62" applyFont="1" applyBorder="1" applyAlignment="1">
      <alignment horizontal="center" vertical="center"/>
    </xf>
    <xf numFmtId="0" fontId="25" fillId="0" borderId="26" xfId="62" applyFont="1" applyBorder="1" applyAlignment="1">
      <alignment horizontal="center" vertical="center"/>
    </xf>
    <xf numFmtId="0" fontId="18" fillId="0" borderId="0" xfId="62" applyNumberFormat="1" applyFont="1" applyBorder="1" applyAlignment="1">
      <alignment horizontal="center" vertical="center"/>
    </xf>
    <xf numFmtId="0" fontId="1" fillId="0" borderId="0" xfId="62" applyNumberFormat="1" applyFont="1" applyBorder="1" applyAlignment="1">
      <alignment horizontal="center" vertical="center"/>
    </xf>
    <xf numFmtId="0" fontId="0" fillId="0" borderId="0" xfId="0"/>
    <xf numFmtId="0" fontId="18" fillId="0" borderId="0" xfId="0" applyFont="1" applyBorder="1" applyAlignment="1">
      <alignment vertical="top"/>
    </xf>
    <xf numFmtId="0" fontId="21" fillId="34" borderId="21" xfId="50" applyBorder="1" applyAlignment="1">
      <alignment horizontal="left"/>
    </xf>
    <xf numFmtId="0" fontId="21" fillId="34" borderId="21" xfId="50" applyBorder="1"/>
    <xf numFmtId="0" fontId="21" fillId="34" borderId="21" xfId="50" applyBorder="1" applyAlignment="1">
      <alignment vertical="top"/>
    </xf>
    <xf numFmtId="49" fontId="21" fillId="34" borderId="21" xfId="50" applyNumberFormat="1" applyBorder="1" applyAlignment="1">
      <alignment horizontal="left" vertical="top" wrapText="1"/>
    </xf>
    <xf numFmtId="0" fontId="44" fillId="34" borderId="21" xfId="50" applyFont="1" applyBorder="1" applyAlignment="1">
      <alignment horizontal="center" vertical="center"/>
    </xf>
    <xf numFmtId="0" fontId="59" fillId="34" borderId="21" xfId="50" applyFont="1" applyBorder="1"/>
    <xf numFmtId="0" fontId="59" fillId="34" borderId="21" xfId="50" applyFont="1" applyBorder="1" applyAlignment="1">
      <alignment horizontal="center" vertical="center"/>
    </xf>
    <xf numFmtId="0" fontId="0" fillId="0" borderId="0" xfId="0"/>
    <xf numFmtId="0" fontId="0" fillId="0" borderId="0" xfId="0" applyAlignment="1">
      <alignment wrapText="1"/>
    </xf>
    <xf numFmtId="0" fontId="0" fillId="0" borderId="0" xfId="0" applyAlignment="1">
      <alignment horizontal="right"/>
    </xf>
    <xf numFmtId="0" fontId="0" fillId="0" borderId="0" xfId="0"/>
    <xf numFmtId="0" fontId="55" fillId="0" borderId="0" xfId="0" applyFont="1" applyAlignment="1">
      <alignment vertical="top" wrapText="1"/>
    </xf>
    <xf numFmtId="0" fontId="68" fillId="0" borderId="0" xfId="0" applyFont="1" applyBorder="1" applyAlignment="1">
      <alignment horizontal="left" vertical="top" wrapText="1"/>
    </xf>
    <xf numFmtId="0" fontId="68" fillId="0" borderId="26" xfId="0" applyFont="1" applyBorder="1" applyAlignment="1">
      <alignment horizontal="left" vertical="top" wrapText="1"/>
    </xf>
    <xf numFmtId="0" fontId="68" fillId="0" borderId="31" xfId="0" applyFont="1" applyBorder="1" applyAlignment="1">
      <alignment horizontal="left" vertical="top" wrapText="1"/>
    </xf>
    <xf numFmtId="0" fontId="68" fillId="0" borderId="23" xfId="0" applyFont="1" applyBorder="1" applyAlignment="1">
      <alignment horizontal="left" vertical="top" wrapText="1"/>
    </xf>
    <xf numFmtId="0" fontId="68" fillId="0" borderId="0" xfId="0" applyFont="1" applyAlignment="1">
      <alignment horizontal="left" vertical="top" wrapText="1"/>
    </xf>
    <xf numFmtId="0" fontId="18" fillId="0" borderId="0" xfId="0" applyFont="1" applyAlignment="1">
      <alignment horizontal="left" vertical="top" wrapText="1"/>
    </xf>
    <xf numFmtId="0" fontId="18" fillId="0" borderId="26" xfId="0" applyFont="1" applyBorder="1" applyAlignment="1">
      <alignment horizontal="left" vertical="top" wrapText="1"/>
    </xf>
    <xf numFmtId="0" fontId="25" fillId="0" borderId="33" xfId="0" applyFont="1" applyBorder="1" applyAlignment="1">
      <alignment horizontal="left" vertical="top" wrapText="1"/>
    </xf>
    <xf numFmtId="0" fontId="18" fillId="0" borderId="0" xfId="0" applyFont="1" applyBorder="1" applyAlignment="1">
      <alignment horizontal="left" vertical="top" wrapText="1"/>
    </xf>
    <xf numFmtId="0" fontId="18" fillId="0" borderId="31" xfId="0" applyFont="1" applyBorder="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23" xfId="0" applyFont="1" applyBorder="1" applyAlignment="1">
      <alignment vertical="top" wrapText="1"/>
    </xf>
    <xf numFmtId="0" fontId="25" fillId="0" borderId="0" xfId="0" applyFont="1" applyAlignment="1">
      <alignment horizontal="left" vertical="top" wrapText="1"/>
    </xf>
    <xf numFmtId="0" fontId="25" fillId="0" borderId="31" xfId="0" applyFont="1" applyBorder="1" applyAlignment="1">
      <alignment horizontal="left" vertical="top" wrapText="1"/>
    </xf>
    <xf numFmtId="0" fontId="55" fillId="0" borderId="31" xfId="0" applyFont="1" applyBorder="1" applyAlignment="1">
      <alignment vertical="top" wrapText="1"/>
    </xf>
    <xf numFmtId="0" fontId="55" fillId="0" borderId="0" xfId="0" applyFont="1" applyAlignment="1">
      <alignment horizontal="left" vertical="top" wrapText="1"/>
    </xf>
    <xf numFmtId="0" fontId="68" fillId="0" borderId="105" xfId="0" applyFont="1" applyBorder="1" applyAlignment="1">
      <alignment horizontal="left" vertical="top" wrapText="1"/>
    </xf>
    <xf numFmtId="0" fontId="18" fillId="0" borderId="0" xfId="0" applyFont="1" applyAlignment="1">
      <alignment vertical="top" wrapText="1"/>
    </xf>
    <xf numFmtId="0" fontId="18" fillId="0" borderId="31" xfId="0" applyFont="1" applyBorder="1" applyAlignment="1">
      <alignment vertical="top" wrapText="1"/>
    </xf>
    <xf numFmtId="164" fontId="29" fillId="40" borderId="47" xfId="65" applyBorder="1" applyAlignment="1">
      <alignment horizontal="left" vertical="top" wrapText="1"/>
    </xf>
    <xf numFmtId="0" fontId="25" fillId="0" borderId="0" xfId="0" applyFont="1" applyAlignment="1">
      <alignment horizontal="right" vertical="top" wrapText="1"/>
    </xf>
    <xf numFmtId="0" fontId="27" fillId="0" borderId="0" xfId="0" applyFont="1" applyBorder="1" applyAlignment="1">
      <alignment horizontal="left" vertical="top" wrapText="1"/>
    </xf>
    <xf numFmtId="0" fontId="25" fillId="0" borderId="0" xfId="0" applyFont="1" applyBorder="1" applyAlignment="1">
      <alignment horizontal="right" vertical="top" wrapText="1"/>
    </xf>
    <xf numFmtId="164" fontId="29" fillId="40" borderId="14" xfId="65" applyBorder="1" applyAlignment="1">
      <alignment horizontal="left" vertical="top" wrapText="1"/>
    </xf>
    <xf numFmtId="164" fontId="29" fillId="40" borderId="50" xfId="65" applyBorder="1" applyAlignment="1">
      <alignment horizontal="left" vertical="top" wrapText="1"/>
    </xf>
    <xf numFmtId="0" fontId="26" fillId="0" borderId="0" xfId="0" applyFont="1" applyBorder="1" applyAlignment="1">
      <alignment horizontal="left" vertical="top" wrapText="1"/>
    </xf>
    <xf numFmtId="164" fontId="29" fillId="40" borderId="14" xfId="65" applyAlignment="1">
      <alignment horizontal="left" vertical="top" wrapText="1"/>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0" fontId="27" fillId="0" borderId="0" xfId="0" applyFont="1" applyAlignment="1">
      <alignment horizontal="justify" vertical="top" wrapText="1"/>
    </xf>
    <xf numFmtId="0" fontId="18" fillId="0" borderId="0" xfId="0" applyFont="1" applyAlignment="1">
      <alignment horizontal="right" vertical="top" wrapText="1"/>
    </xf>
    <xf numFmtId="0" fontId="25" fillId="0" borderId="26" xfId="0" applyFont="1" applyBorder="1" applyAlignment="1">
      <alignment horizontal="right" vertical="top" wrapText="1"/>
    </xf>
    <xf numFmtId="0" fontId="25" fillId="0" borderId="105" xfId="0" applyFont="1" applyBorder="1" applyAlignment="1">
      <alignment horizontal="left" vertical="top" wrapText="1"/>
    </xf>
    <xf numFmtId="0" fontId="26" fillId="0" borderId="0" xfId="0" applyFont="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68" fillId="0" borderId="0" xfId="0" applyFont="1" applyAlignment="1">
      <alignment vertical="top" wrapText="1"/>
    </xf>
    <xf numFmtId="0" fontId="68" fillId="0" borderId="26" xfId="0" applyFont="1" applyBorder="1" applyAlignment="1">
      <alignment vertical="top" wrapText="1"/>
    </xf>
    <xf numFmtId="0" fontId="26" fillId="0" borderId="0" xfId="0" applyFont="1" applyBorder="1" applyAlignment="1">
      <alignment horizontal="right" vertical="top" wrapText="1"/>
    </xf>
    <xf numFmtId="0" fontId="25" fillId="0" borderId="31" xfId="0" applyFont="1" applyBorder="1" applyAlignment="1">
      <alignment horizontal="right" vertical="top" wrapText="1"/>
    </xf>
    <xf numFmtId="0" fontId="27" fillId="0" borderId="26" xfId="0" applyFont="1" applyBorder="1" applyAlignment="1">
      <alignment horizontal="left" vertical="top" wrapText="1"/>
    </xf>
    <xf numFmtId="0" fontId="18" fillId="0" borderId="23" xfId="0" applyFont="1" applyBorder="1" applyAlignment="1">
      <alignment wrapText="1"/>
    </xf>
    <xf numFmtId="0" fontId="18" fillId="0" borderId="26" xfId="0" applyFont="1" applyBorder="1" applyAlignment="1">
      <alignment wrapText="1"/>
    </xf>
    <xf numFmtId="0" fontId="18" fillId="0" borderId="0" xfId="0" applyFont="1" applyAlignment="1">
      <alignment wrapText="1"/>
    </xf>
    <xf numFmtId="0" fontId="18" fillId="0" borderId="0" xfId="0" applyFont="1" applyBorder="1" applyAlignment="1">
      <alignment wrapText="1"/>
    </xf>
    <xf numFmtId="0" fontId="26" fillId="0" borderId="0" xfId="0" applyFont="1" applyAlignment="1">
      <alignment vertical="top" wrapText="1"/>
    </xf>
    <xf numFmtId="0" fontId="26" fillId="0" borderId="33" xfId="0" applyFont="1" applyBorder="1" applyAlignment="1">
      <alignment horizontal="left" vertical="top" wrapText="1"/>
    </xf>
    <xf numFmtId="0" fontId="58" fillId="0" borderId="0" xfId="57" applyAlignment="1" applyProtection="1">
      <alignment horizontal="left" vertical="top" wrapText="1"/>
      <protection locked="0"/>
    </xf>
    <xf numFmtId="0" fontId="0" fillId="0" borderId="0" xfId="0"/>
    <xf numFmtId="0" fontId="18" fillId="0" borderId="10" xfId="0" applyFont="1" applyBorder="1" applyAlignment="1">
      <alignment horizontal="left" vertical="top" wrapText="1"/>
    </xf>
    <xf numFmtId="0" fontId="68" fillId="0" borderId="10" xfId="0" applyFont="1" applyBorder="1" applyAlignment="1">
      <alignment horizontal="left" vertical="top" wrapText="1"/>
    </xf>
    <xf numFmtId="0" fontId="16" fillId="39" borderId="10" xfId="48" applyFont="1" applyBorder="1" applyAlignment="1">
      <alignment horizontal="center" wrapText="1"/>
      <protection locked="0"/>
    </xf>
    <xf numFmtId="0" fontId="0" fillId="38" borderId="10" xfId="47" applyFont="1" applyBorder="1" applyAlignment="1">
      <alignment horizontal="center" wrapText="1"/>
      <protection locked="0"/>
    </xf>
    <xf numFmtId="0" fontId="21" fillId="34" borderId="0" xfId="50" applyAlignment="1">
      <alignment wrapText="1"/>
    </xf>
    <xf numFmtId="0" fontId="58" fillId="0" borderId="0" xfId="57" applyAlignment="1" applyProtection="1">
      <alignment wrapText="1"/>
      <protection locked="0"/>
    </xf>
    <xf numFmtId="0" fontId="0" fillId="0" borderId="26" xfId="0" applyBorder="1" applyAlignment="1">
      <alignment wrapText="1"/>
    </xf>
    <xf numFmtId="49" fontId="18" fillId="0" borderId="23" xfId="0" applyNumberFormat="1" applyFont="1" applyBorder="1" applyAlignment="1">
      <alignment vertical="top"/>
    </xf>
    <xf numFmtId="0" fontId="24" fillId="34" borderId="18" xfId="63" applyAlignment="1">
      <alignment vertical="center" wrapText="1"/>
    </xf>
    <xf numFmtId="0" fontId="0" fillId="35" borderId="35" xfId="0" applyFill="1" applyBorder="1" applyAlignment="1">
      <alignment wrapText="1"/>
    </xf>
    <xf numFmtId="0" fontId="18" fillId="0" borderId="23" xfId="0" applyFont="1" applyBorder="1" applyAlignment="1">
      <alignment vertical="top" wrapText="1"/>
    </xf>
    <xf numFmtId="0" fontId="18" fillId="0" borderId="26" xfId="0" applyFont="1" applyBorder="1" applyAlignment="1">
      <alignment vertical="top" wrapText="1"/>
    </xf>
    <xf numFmtId="0" fontId="68" fillId="0" borderId="0" xfId="0" applyFont="1" applyBorder="1" applyAlignment="1">
      <alignment horizontal="left" vertical="top" wrapText="1"/>
    </xf>
    <xf numFmtId="0" fontId="68" fillId="0" borderId="26" xfId="0" applyFont="1" applyBorder="1" applyAlignment="1">
      <alignment horizontal="left" vertical="top" wrapText="1"/>
    </xf>
    <xf numFmtId="0" fontId="68" fillId="0" borderId="31" xfId="0" applyFont="1" applyBorder="1" applyAlignment="1">
      <alignment horizontal="left" vertical="top" wrapText="1"/>
    </xf>
    <xf numFmtId="0" fontId="68" fillId="0" borderId="23" xfId="0" applyFont="1" applyBorder="1" applyAlignment="1">
      <alignment horizontal="left" vertical="top" wrapText="1"/>
    </xf>
    <xf numFmtId="0" fontId="18" fillId="0" borderId="26" xfId="0" applyFont="1" applyBorder="1" applyAlignment="1">
      <alignment horizontal="left" vertical="top" wrapText="1"/>
    </xf>
    <xf numFmtId="0" fontId="25" fillId="0" borderId="33" xfId="0" applyFont="1" applyBorder="1" applyAlignment="1">
      <alignment horizontal="left" vertical="top" wrapText="1"/>
    </xf>
    <xf numFmtId="0" fontId="25" fillId="0" borderId="0" xfId="0" applyFont="1" applyBorder="1" applyAlignment="1">
      <alignment horizontal="left" vertical="top" wrapText="1"/>
    </xf>
    <xf numFmtId="0" fontId="18" fillId="0" borderId="0" xfId="0" applyFont="1" applyBorder="1" applyAlignment="1">
      <alignment horizontal="left" vertical="top" wrapText="1"/>
    </xf>
    <xf numFmtId="0" fontId="18" fillId="0" borderId="31" xfId="0" applyFont="1" applyBorder="1" applyAlignment="1">
      <alignment horizontal="left" vertical="top" wrapText="1"/>
    </xf>
    <xf numFmtId="0" fontId="18" fillId="0" borderId="0" xfId="0" applyFont="1" applyBorder="1" applyAlignment="1">
      <alignment vertical="top" wrapText="1"/>
    </xf>
    <xf numFmtId="0" fontId="25" fillId="0" borderId="31" xfId="0" applyFont="1" applyBorder="1" applyAlignment="1">
      <alignment horizontal="left" vertical="top" wrapText="1"/>
    </xf>
    <xf numFmtId="0" fontId="55" fillId="0" borderId="0" xfId="0" applyFont="1" applyBorder="1" applyAlignment="1">
      <alignment vertical="top" wrapText="1"/>
    </xf>
    <xf numFmtId="0" fontId="55" fillId="0" borderId="31" xfId="0" applyFont="1" applyBorder="1" applyAlignment="1">
      <alignment vertical="top" wrapText="1"/>
    </xf>
    <xf numFmtId="0" fontId="18" fillId="0" borderId="31" xfId="0" applyFont="1" applyBorder="1" applyAlignment="1">
      <alignment vertical="top" wrapText="1"/>
    </xf>
    <xf numFmtId="0" fontId="0" fillId="0" borderId="0" xfId="0" applyBorder="1" applyAlignment="1">
      <alignment wrapText="1"/>
    </xf>
    <xf numFmtId="0" fontId="27" fillId="0" borderId="0" xfId="0" applyFont="1" applyBorder="1" applyAlignment="1">
      <alignment horizontal="left" vertical="top" wrapText="1"/>
    </xf>
    <xf numFmtId="0" fontId="25" fillId="0" borderId="0" xfId="0" applyFont="1" applyBorder="1" applyAlignment="1">
      <alignment horizontal="right" vertical="top" wrapText="1"/>
    </xf>
    <xf numFmtId="0" fontId="26" fillId="0" borderId="0" xfId="0" applyFont="1" applyBorder="1" applyAlignment="1">
      <alignment horizontal="left" vertical="top" wrapText="1"/>
    </xf>
    <xf numFmtId="0" fontId="55" fillId="0" borderId="0" xfId="0" applyFont="1" applyBorder="1" applyAlignment="1">
      <alignment horizontal="lef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0" fontId="43" fillId="0" borderId="0" xfId="0" applyFont="1" applyBorder="1" applyAlignment="1">
      <alignment vertical="top" wrapText="1"/>
    </xf>
    <xf numFmtId="0" fontId="25" fillId="0" borderId="26" xfId="0" applyFont="1" applyBorder="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0" xfId="0" applyFont="1" applyBorder="1" applyAlignment="1">
      <alignment vertical="top" wrapText="1"/>
    </xf>
    <xf numFmtId="0" fontId="68" fillId="0" borderId="0" xfId="0" applyFont="1" applyBorder="1" applyAlignment="1">
      <alignment vertical="top" wrapText="1"/>
    </xf>
    <xf numFmtId="0" fontId="68" fillId="0" borderId="26" xfId="0" applyFont="1" applyBorder="1" applyAlignment="1">
      <alignment vertical="top" wrapText="1"/>
    </xf>
    <xf numFmtId="0" fontId="26" fillId="0" borderId="0" xfId="0" applyFont="1" applyBorder="1" applyAlignment="1">
      <alignment horizontal="right" vertical="top" wrapText="1"/>
    </xf>
    <xf numFmtId="0" fontId="25" fillId="0" borderId="31" xfId="0" applyFont="1" applyBorder="1" applyAlignment="1">
      <alignment horizontal="right" vertical="top" wrapText="1"/>
    </xf>
    <xf numFmtId="0" fontId="27" fillId="0" borderId="26" xfId="0" applyFont="1" applyBorder="1" applyAlignment="1">
      <alignment horizontal="left" vertical="top" wrapText="1"/>
    </xf>
    <xf numFmtId="0" fontId="18" fillId="0" borderId="23" xfId="0" applyFont="1" applyBorder="1" applyAlignment="1">
      <alignment wrapText="1"/>
    </xf>
    <xf numFmtId="0" fontId="18" fillId="0" borderId="26" xfId="0" applyFont="1" applyBorder="1" applyAlignment="1">
      <alignment wrapText="1"/>
    </xf>
    <xf numFmtId="0" fontId="18" fillId="0" borderId="0" xfId="0" applyFont="1" applyBorder="1" applyAlignment="1">
      <alignment wrapText="1"/>
    </xf>
    <xf numFmtId="0" fontId="18" fillId="0" borderId="10" xfId="0" applyFont="1" applyBorder="1" applyAlignment="1">
      <alignment horizontal="left" vertical="top" wrapText="1"/>
    </xf>
    <xf numFmtId="0" fontId="26" fillId="0" borderId="33" xfId="0" applyFont="1" applyBorder="1" applyAlignment="1">
      <alignment horizontal="left" vertical="top" wrapText="1"/>
    </xf>
    <xf numFmtId="186" fontId="0" fillId="0" borderId="0" xfId="0" applyNumberFormat="1" applyBorder="1"/>
    <xf numFmtId="2" fontId="0" fillId="0" borderId="0" xfId="0" applyNumberFormat="1" applyBorder="1"/>
    <xf numFmtId="174" fontId="0" fillId="0" borderId="0" xfId="0" applyNumberFormat="1" applyBorder="1" applyAlignment="1">
      <alignment horizontal="left"/>
    </xf>
    <xf numFmtId="0" fontId="18" fillId="0" borderId="15" xfId="0" applyFont="1" applyBorder="1" applyAlignment="1">
      <alignment horizontal="left" vertical="top" wrapText="1"/>
    </xf>
    <xf numFmtId="0" fontId="18" fillId="0" borderId="17" xfId="0" applyFont="1" applyBorder="1" applyAlignment="1">
      <alignment horizontal="left" vertical="top" wrapText="1"/>
    </xf>
    <xf numFmtId="0" fontId="18" fillId="34" borderId="10" xfId="0" applyFont="1" applyFill="1" applyBorder="1" applyAlignment="1">
      <alignment horizontal="left" vertical="top" wrapText="1"/>
    </xf>
    <xf numFmtId="0" fontId="58" fillId="0" borderId="10" xfId="57" applyBorder="1" applyAlignment="1" applyProtection="1">
      <alignment horizontal="left" vertical="top" wrapText="1"/>
      <protection locked="0"/>
    </xf>
    <xf numFmtId="0" fontId="0" fillId="0" borderId="0" xfId="0"/>
    <xf numFmtId="0" fontId="18" fillId="0" borderId="0" xfId="0" applyFont="1" applyBorder="1" applyAlignment="1">
      <alignment vertical="top" wrapText="1"/>
    </xf>
    <xf numFmtId="0" fontId="18" fillId="0" borderId="26" xfId="0" applyFont="1" applyBorder="1" applyAlignment="1">
      <alignment vertical="top" wrapText="1"/>
    </xf>
    <xf numFmtId="0" fontId="24" fillId="34" borderId="18" xfId="63" applyBorder="1" applyAlignment="1">
      <alignment vertical="center"/>
    </xf>
    <xf numFmtId="0" fontId="24" fillId="34" borderId="0" xfId="63" applyBorder="1" applyAlignment="1">
      <alignment vertical="center"/>
    </xf>
    <xf numFmtId="0" fontId="24" fillId="34" borderId="20" xfId="63" applyBorder="1" applyAlignment="1">
      <alignment vertical="center"/>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0" fillId="0" borderId="0" xfId="0" applyAlignment="1">
      <alignment horizontal="center" vertical="center"/>
    </xf>
    <xf numFmtId="0" fontId="0" fillId="0" borderId="31" xfId="0" applyBorder="1" applyAlignment="1">
      <alignment horizontal="center" vertical="center"/>
    </xf>
    <xf numFmtId="0" fontId="18" fillId="0" borderId="0" xfId="0" applyFont="1" applyAlignment="1">
      <alignment horizontal="center" vertical="center"/>
    </xf>
    <xf numFmtId="0" fontId="18" fillId="0" borderId="23" xfId="0" applyFont="1" applyBorder="1" applyAlignment="1">
      <alignment vertical="top" wrapText="1"/>
    </xf>
    <xf numFmtId="0" fontId="18" fillId="0" borderId="23" xfId="0" applyFont="1" applyBorder="1" applyAlignment="1">
      <alignment horizontal="center" vertical="center"/>
    </xf>
    <xf numFmtId="0" fontId="18" fillId="0" borderId="31" xfId="0" applyFont="1" applyBorder="1" applyAlignment="1">
      <alignment horizontal="center" vertical="center"/>
    </xf>
    <xf numFmtId="0" fontId="18" fillId="0" borderId="33" xfId="0" applyFont="1" applyBorder="1" applyAlignment="1">
      <alignment horizontal="center" vertical="center"/>
    </xf>
    <xf numFmtId="0" fontId="18" fillId="0" borderId="21" xfId="0" applyFont="1" applyBorder="1" applyAlignment="1">
      <alignment horizontal="center" vertical="center"/>
    </xf>
    <xf numFmtId="0" fontId="18" fillId="0" borderId="31" xfId="0" applyFont="1" applyBorder="1" applyAlignment="1">
      <alignmen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0" fontId="25" fillId="0" borderId="0" xfId="0" applyFont="1" applyAlignment="1">
      <alignment horizontal="right" vertical="top" wrapText="1"/>
    </xf>
    <xf numFmtId="0" fontId="16" fillId="0" borderId="0" xfId="0" applyFont="1" applyAlignment="1">
      <alignment horizontal="center" vertical="center"/>
    </xf>
    <xf numFmtId="0" fontId="25" fillId="0" borderId="0" xfId="0" applyFont="1" applyAlignment="1">
      <alignment vertical="top" wrapText="1"/>
    </xf>
    <xf numFmtId="0" fontId="18" fillId="0" borderId="0" xfId="0" applyFont="1" applyAlignment="1">
      <alignment horizontal="righ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6" xfId="0" applyFont="1" applyBorder="1" applyAlignment="1">
      <alignment horizontal="right" vertical="top" wrapText="1"/>
    </xf>
    <xf numFmtId="0" fontId="0" fillId="0" borderId="23" xfId="0" applyBorder="1" applyAlignment="1">
      <alignment horizontal="center" vertical="center"/>
    </xf>
    <xf numFmtId="0" fontId="16" fillId="0" borderId="0" xfId="0" applyFont="1" applyBorder="1" applyAlignment="1">
      <alignment horizontal="center" vertical="center"/>
    </xf>
    <xf numFmtId="0" fontId="18" fillId="0" borderId="0" xfId="0" applyFont="1" applyAlignment="1">
      <alignment wrapText="1"/>
    </xf>
    <xf numFmtId="0" fontId="18" fillId="0" borderId="0" xfId="0" applyFont="1" applyBorder="1" applyAlignment="1">
      <alignment wrapText="1"/>
    </xf>
    <xf numFmtId="0" fontId="18" fillId="0" borderId="23" xfId="0" applyFont="1" applyBorder="1" applyAlignment="1">
      <alignment wrapText="1"/>
    </xf>
    <xf numFmtId="0" fontId="18" fillId="0" borderId="26" xfId="0" applyFont="1" applyBorder="1" applyAlignment="1">
      <alignment wrapText="1"/>
    </xf>
    <xf numFmtId="0" fontId="27" fillId="0" borderId="26" xfId="0" applyFont="1" applyBorder="1" applyAlignment="1">
      <alignment horizontal="left" vertical="top" wrapText="1"/>
    </xf>
    <xf numFmtId="0" fontId="0" fillId="0" borderId="23" xfId="0" applyFont="1" applyBorder="1" applyAlignment="1">
      <alignment horizontal="center" vertical="center"/>
    </xf>
    <xf numFmtId="0" fontId="0" fillId="0" borderId="31" xfId="0" applyFont="1" applyBorder="1" applyAlignment="1">
      <alignment horizontal="center" vertical="center"/>
    </xf>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26" xfId="0" applyFont="1" applyBorder="1" applyAlignment="1">
      <alignment horizontal="center" vertical="center"/>
    </xf>
    <xf numFmtId="0" fontId="0" fillId="0" borderId="33" xfId="0" applyFont="1" applyBorder="1" applyAlignment="1">
      <alignment horizontal="center" vertical="center"/>
    </xf>
    <xf numFmtId="0" fontId="0" fillId="38" borderId="0" xfId="0" applyFont="1" applyFill="1" applyAlignment="1">
      <alignment horizontal="center" vertical="center"/>
    </xf>
    <xf numFmtId="0" fontId="1" fillId="0" borderId="0" xfId="62" applyNumberFormat="1" applyFont="1" applyBorder="1" applyAlignment="1">
      <alignment horizontal="center" vertical="center"/>
    </xf>
    <xf numFmtId="0" fontId="1" fillId="0" borderId="26" xfId="62" applyNumberFormat="1" applyFont="1" applyBorder="1" applyAlignment="1">
      <alignment horizontal="center" vertical="center"/>
    </xf>
    <xf numFmtId="0" fontId="1" fillId="0" borderId="23" xfId="62" applyNumberFormat="1" applyFont="1" applyBorder="1" applyAlignment="1">
      <alignment horizontal="center" vertical="center"/>
    </xf>
    <xf numFmtId="0" fontId="1" fillId="0" borderId="0" xfId="62" applyNumberFormat="1" applyFont="1" applyAlignment="1">
      <alignment horizontal="center" vertical="center"/>
    </xf>
    <xf numFmtId="0" fontId="24" fillId="34" borderId="18" xfId="63">
      <alignment vertical="center" wrapText="1"/>
    </xf>
    <xf numFmtId="0" fontId="0" fillId="0" borderId="0" xfId="0" applyNumberFormat="1" applyFont="1" applyAlignment="1">
      <alignment horizontal="center" vertical="center"/>
    </xf>
    <xf numFmtId="0" fontId="0" fillId="0" borderId="21" xfId="0" applyFont="1" applyBorder="1" applyAlignment="1">
      <alignment horizontal="center" vertical="center"/>
    </xf>
    <xf numFmtId="0" fontId="26" fillId="0" borderId="33" xfId="0" applyFont="1" applyBorder="1" applyAlignment="1">
      <alignment horizontal="left" vertical="top" wrapText="1"/>
    </xf>
    <xf numFmtId="0" fontId="25" fillId="0" borderId="0" xfId="0" applyFont="1" applyAlignment="1">
      <alignment horizontal="center"/>
    </xf>
    <xf numFmtId="0" fontId="25" fillId="0" borderId="0" xfId="0" applyFont="1" applyBorder="1" applyAlignment="1">
      <alignment horizontal="center"/>
    </xf>
    <xf numFmtId="0" fontId="61" fillId="0" borderId="0" xfId="0" applyFont="1" applyBorder="1"/>
    <xf numFmtId="0" fontId="21" fillId="34" borderId="0" xfId="50" applyBorder="1" applyAlignment="1">
      <alignment wrapText="1"/>
    </xf>
    <xf numFmtId="0" fontId="21" fillId="34" borderId="0" xfId="50" applyBorder="1" applyAlignment="1">
      <alignment vertical="top" wrapText="1"/>
    </xf>
    <xf numFmtId="0" fontId="0" fillId="39" borderId="0" xfId="0" applyFill="1" applyBorder="1"/>
    <xf numFmtId="164" fontId="29" fillId="40" borderId="116" xfId="65" applyBorder="1" applyAlignment="1">
      <alignment horizontal="left" vertical="top" wrapText="1"/>
    </xf>
    <xf numFmtId="164" fontId="29" fillId="40" borderId="117" xfId="65" applyBorder="1" applyAlignment="1">
      <alignment horizontal="left" vertical="top" wrapText="1"/>
    </xf>
    <xf numFmtId="0" fontId="21" fillId="34" borderId="0" xfId="50" applyBorder="1" applyAlignment="1">
      <alignment horizontal="left" vertical="top" wrapText="1"/>
    </xf>
    <xf numFmtId="164" fontId="29" fillId="40" borderId="118" xfId="65" applyBorder="1" applyAlignment="1">
      <alignment horizontal="left" vertical="top" wrapText="1"/>
    </xf>
    <xf numFmtId="0" fontId="58" fillId="0" borderId="0" xfId="57" applyBorder="1" applyAlignment="1" applyProtection="1">
      <alignment horizontal="left" vertical="top" wrapText="1"/>
      <protection locked="0"/>
    </xf>
    <xf numFmtId="164" fontId="29" fillId="40" borderId="119" xfId="65" applyBorder="1" applyAlignment="1">
      <alignment horizontal="left" vertical="top" wrapText="1"/>
    </xf>
    <xf numFmtId="0" fontId="58" fillId="0" borderId="0" xfId="57" applyBorder="1" applyAlignment="1" applyProtection="1">
      <alignment wrapText="1"/>
      <protection locked="0"/>
    </xf>
    <xf numFmtId="164" fontId="58" fillId="40" borderId="117" xfId="57" applyNumberFormat="1" applyFill="1" applyBorder="1" applyAlignment="1" applyProtection="1">
      <alignment horizontal="left" vertical="top" wrapText="1"/>
      <protection locked="0"/>
    </xf>
    <xf numFmtId="0" fontId="32" fillId="0" borderId="0" xfId="0" applyFont="1" applyBorder="1" applyAlignment="1">
      <alignment vertical="top" wrapText="1"/>
    </xf>
    <xf numFmtId="0" fontId="18" fillId="0" borderId="0" xfId="0" applyFont="1" applyBorder="1" applyAlignment="1">
      <alignment horizontal="right" vertical="top" wrapText="1"/>
    </xf>
    <xf numFmtId="0" fontId="27" fillId="0" borderId="0" xfId="0" applyFont="1" applyBorder="1" applyAlignment="1">
      <alignment horizontal="right" wrapText="1"/>
    </xf>
    <xf numFmtId="0" fontId="26" fillId="0" borderId="0" xfId="0" applyFont="1" applyBorder="1" applyAlignment="1">
      <alignment horizontal="right" vertical="center" wrapText="1"/>
    </xf>
    <xf numFmtId="0" fontId="26" fillId="0" borderId="0" xfId="0" applyFont="1" applyBorder="1" applyAlignment="1">
      <alignment horizontal="right" wrapText="1"/>
    </xf>
    <xf numFmtId="0" fontId="25" fillId="0" borderId="0" xfId="0" applyFont="1" applyBorder="1" applyAlignment="1">
      <alignment wrapText="1"/>
    </xf>
    <xf numFmtId="0" fontId="0" fillId="0" borderId="0" xfId="0"/>
    <xf numFmtId="0" fontId="18" fillId="0" borderId="0" xfId="0" applyFont="1" applyBorder="1" applyAlignment="1">
      <alignment horizontal="left" vertical="top" wrapText="1"/>
    </xf>
    <xf numFmtId="0" fontId="0" fillId="0" borderId="10" xfId="0" applyBorder="1" applyAlignment="1">
      <alignment horizontal="left" vertical="top" wrapText="1"/>
    </xf>
    <xf numFmtId="0" fontId="0" fillId="0" borderId="23" xfId="0" applyFont="1" applyBorder="1" applyAlignment="1">
      <alignment horizontal="center" vertical="center"/>
    </xf>
    <xf numFmtId="0" fontId="0" fillId="0" borderId="0" xfId="0" applyFont="1" applyBorder="1" applyAlignment="1">
      <alignment horizontal="center" vertical="center"/>
    </xf>
    <xf numFmtId="0" fontId="0" fillId="0" borderId="31" xfId="0" applyFont="1" applyBorder="1" applyAlignment="1">
      <alignment horizontal="center" vertical="center"/>
    </xf>
    <xf numFmtId="0" fontId="0" fillId="0" borderId="0" xfId="0" applyAlignment="1">
      <alignment horizontal="left"/>
    </xf>
    <xf numFmtId="0" fontId="0" fillId="0" borderId="0" xfId="0" applyAlignment="1">
      <alignment horizontal="right"/>
    </xf>
    <xf numFmtId="0" fontId="0" fillId="0" borderId="0" xfId="0"/>
    <xf numFmtId="0" fontId="25"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wrapText="1"/>
    </xf>
    <xf numFmtId="0" fontId="68" fillId="0" borderId="0" xfId="0" applyFont="1" applyBorder="1" applyAlignment="1">
      <alignment horizontal="left" vertical="top" wrapText="1"/>
    </xf>
    <xf numFmtId="0" fontId="68" fillId="0" borderId="26" xfId="0" applyFont="1" applyBorder="1" applyAlignment="1">
      <alignment horizontal="left" vertical="top" wrapText="1"/>
    </xf>
    <xf numFmtId="0" fontId="68" fillId="0" borderId="0" xfId="0" applyFont="1" applyAlignment="1">
      <alignment horizontal="left" vertical="top" wrapText="1"/>
    </xf>
    <xf numFmtId="0" fontId="18" fillId="0" borderId="0" xfId="0" applyFont="1" applyAlignment="1">
      <alignment vertical="top" wrapText="1"/>
    </xf>
    <xf numFmtId="0" fontId="0" fillId="0" borderId="0" xfId="0"/>
    <xf numFmtId="0" fontId="0" fillId="0" borderId="0" xfId="0" applyAlignment="1">
      <alignment horizontal="right"/>
    </xf>
    <xf numFmtId="0" fontId="0" fillId="0" borderId="0" xfId="0"/>
    <xf numFmtId="0" fontId="18" fillId="0" borderId="0" xfId="0" applyFont="1" applyBorder="1" applyAlignment="1">
      <alignment horizontal="center" vertical="center"/>
    </xf>
    <xf numFmtId="0" fontId="18" fillId="0" borderId="0" xfId="0" applyFont="1" applyBorder="1" applyAlignment="1">
      <alignment vertical="top" wrapText="1"/>
    </xf>
    <xf numFmtId="0" fontId="25" fillId="0" borderId="0" xfId="0" applyFont="1" applyAlignment="1">
      <alignment vertical="top" wrapText="1"/>
    </xf>
    <xf numFmtId="0" fontId="18" fillId="0" borderId="10" xfId="0" applyFont="1" applyBorder="1" applyAlignment="1">
      <alignment horizontal="left" vertical="top" wrapText="1"/>
    </xf>
    <xf numFmtId="0" fontId="0" fillId="0" borderId="0" xfId="0" applyFont="1" applyBorder="1" applyAlignment="1">
      <alignment horizontal="center" vertical="center"/>
    </xf>
    <xf numFmtId="0" fontId="0" fillId="0" borderId="0" xfId="0"/>
    <xf numFmtId="0" fontId="0" fillId="0" borderId="0" xfId="0"/>
    <xf numFmtId="0" fontId="18" fillId="0" borderId="26" xfId="0" applyFont="1" applyBorder="1" applyAlignment="1">
      <alignment vertical="top" wrapText="1"/>
    </xf>
    <xf numFmtId="0" fontId="55" fillId="0" borderId="0" xfId="0" applyFont="1" applyAlignment="1">
      <alignment vertical="top" wrapText="1"/>
    </xf>
    <xf numFmtId="0" fontId="68" fillId="0" borderId="26" xfId="0" applyFont="1" applyBorder="1" applyAlignment="1">
      <alignment horizontal="left" vertical="top" wrapText="1"/>
    </xf>
    <xf numFmtId="0" fontId="68" fillId="0" borderId="31" xfId="0" applyFont="1" applyBorder="1" applyAlignment="1">
      <alignment horizontal="left" vertical="top" wrapText="1"/>
    </xf>
    <xf numFmtId="0" fontId="18" fillId="0" borderId="31" xfId="0" applyFont="1" applyBorder="1" applyAlignment="1">
      <alignment vertical="top" wrapText="1"/>
    </xf>
    <xf numFmtId="0" fontId="18" fillId="0" borderId="0" xfId="0" applyFont="1" applyAlignment="1">
      <alignment vertical="top" wrapText="1"/>
    </xf>
    <xf numFmtId="0" fontId="25" fillId="0" borderId="0" xfId="0" applyFont="1" applyAlignment="1">
      <alignment horizontal="right" vertical="top" wrapText="1"/>
    </xf>
    <xf numFmtId="0" fontId="55" fillId="0" borderId="0" xfId="0" applyFont="1" applyAlignment="1">
      <alignment horizontal="left" vertical="top" wrapText="1"/>
    </xf>
    <xf numFmtId="0" fontId="55" fillId="0" borderId="26" xfId="0" applyFont="1" applyBorder="1" applyAlignment="1">
      <alignment horizontal="left" vertical="top" wrapText="1"/>
    </xf>
    <xf numFmtId="0" fontId="55" fillId="0" borderId="33" xfId="0" applyFont="1" applyBorder="1" applyAlignment="1">
      <alignment horizontal="left" vertical="top" wrapText="1"/>
    </xf>
    <xf numFmtId="164" fontId="29" fillId="40" borderId="14" xfId="65">
      <alignment horizontal="left" vertical="top" wrapText="1"/>
    </xf>
    <xf numFmtId="164" fontId="29" fillId="40" borderId="50" xfId="65" applyBorder="1">
      <alignment horizontal="left" vertical="top" wrapText="1"/>
    </xf>
    <xf numFmtId="0" fontId="18" fillId="0" borderId="0" xfId="0" applyFont="1" applyAlignment="1">
      <alignment horizontal="right" vertical="top" wrapText="1"/>
    </xf>
    <xf numFmtId="164" fontId="29" fillId="40" borderId="51" xfId="65" applyBorder="1">
      <alignment horizontal="left" vertical="top" wrapText="1"/>
    </xf>
    <xf numFmtId="164" fontId="29" fillId="40" borderId="47" xfId="65" applyBorder="1">
      <alignment horizontal="left" vertical="top" wrapText="1"/>
    </xf>
    <xf numFmtId="0" fontId="26" fillId="0" borderId="0" xfId="0" applyFont="1" applyAlignment="1">
      <alignment horizontal="right" vertical="top" wrapText="1"/>
    </xf>
    <xf numFmtId="0" fontId="68" fillId="0" borderId="0" xfId="0" applyFont="1" applyAlignment="1">
      <alignment vertical="top" wrapText="1"/>
    </xf>
    <xf numFmtId="0" fontId="68" fillId="0" borderId="26" xfId="0" applyFont="1" applyBorder="1" applyAlignment="1">
      <alignment vertical="top" wrapText="1"/>
    </xf>
    <xf numFmtId="0" fontId="18" fillId="0" borderId="15" xfId="0" applyFont="1" applyBorder="1" applyAlignment="1">
      <alignment vertical="top" wrapText="1"/>
    </xf>
    <xf numFmtId="0" fontId="25" fillId="0" borderId="0" xfId="0" applyFont="1" applyAlignment="1">
      <alignment horizontal="right" vertical="top"/>
    </xf>
    <xf numFmtId="0" fontId="18" fillId="0" borderId="10" xfId="0" applyFont="1" applyBorder="1" applyAlignment="1">
      <alignment vertical="top" wrapText="1"/>
    </xf>
    <xf numFmtId="0" fontId="16" fillId="0" borderId="0" xfId="0" applyFont="1"/>
    <xf numFmtId="0" fontId="25" fillId="0" borderId="33" xfId="0" applyFont="1" applyBorder="1" applyAlignment="1">
      <alignment horizontal="left" vertical="top" wrapText="1"/>
    </xf>
    <xf numFmtId="0" fontId="25" fillId="0" borderId="0" xfId="0" applyFont="1" applyBorder="1" applyAlignment="1">
      <alignment horizontal="left" vertical="top" wrapText="1"/>
    </xf>
    <xf numFmtId="0" fontId="25" fillId="0" borderId="0" xfId="0" applyFont="1" applyAlignment="1">
      <alignment horizontal="left" vertical="top" wrapText="1"/>
    </xf>
    <xf numFmtId="0" fontId="25" fillId="0" borderId="31" xfId="0" applyFont="1" applyBorder="1" applyAlignment="1">
      <alignment horizontal="left" vertical="top" wrapText="1"/>
    </xf>
    <xf numFmtId="0" fontId="25" fillId="0" borderId="26" xfId="0" applyFont="1" applyBorder="1" applyAlignment="1">
      <alignment horizontal="left" vertical="top" wrapText="1"/>
    </xf>
    <xf numFmtId="0" fontId="25" fillId="0" borderId="0" xfId="0" applyFont="1" applyAlignment="1">
      <alignment horizontal="right" vertical="top" wrapText="1"/>
    </xf>
    <xf numFmtId="0" fontId="25" fillId="0" borderId="23" xfId="0" applyFont="1" applyBorder="1" applyAlignment="1">
      <alignment horizontal="left" vertical="top" wrapText="1"/>
    </xf>
    <xf numFmtId="0" fontId="25" fillId="0" borderId="26" xfId="0" applyFont="1" applyBorder="1" applyAlignment="1">
      <alignment horizontal="right" vertical="top" wrapText="1"/>
    </xf>
    <xf numFmtId="0" fontId="16" fillId="0" borderId="0" xfId="0" applyFont="1" applyAlignment="1">
      <alignment horizontal="left" vertical="top"/>
    </xf>
    <xf numFmtId="49" fontId="79" fillId="34" borderId="0" xfId="50" applyNumberFormat="1" applyFont="1" applyAlignment="1">
      <alignment horizontal="left" vertical="top"/>
    </xf>
    <xf numFmtId="0" fontId="16" fillId="0" borderId="31" xfId="0" applyFont="1" applyBorder="1" applyAlignment="1">
      <alignment horizontal="left" vertical="top"/>
    </xf>
    <xf numFmtId="0" fontId="16" fillId="0" borderId="26" xfId="0" applyFont="1" applyBorder="1" applyAlignment="1">
      <alignment horizontal="left" vertical="top"/>
    </xf>
    <xf numFmtId="0" fontId="79" fillId="34" borderId="0" xfId="50" applyFont="1" applyAlignment="1">
      <alignment horizontal="left" vertical="top"/>
    </xf>
    <xf numFmtId="0" fontId="16" fillId="0" borderId="23" xfId="0" applyFont="1" applyBorder="1" applyAlignment="1">
      <alignment horizontal="left" vertical="top"/>
    </xf>
    <xf numFmtId="0" fontId="16" fillId="0" borderId="0" xfId="0" applyFont="1" applyBorder="1" applyAlignment="1">
      <alignment horizontal="left" vertical="top"/>
    </xf>
    <xf numFmtId="0" fontId="16" fillId="0" borderId="33" xfId="0" applyFont="1" applyBorder="1" applyAlignment="1">
      <alignment horizontal="left" vertical="top"/>
    </xf>
    <xf numFmtId="0" fontId="16" fillId="0" borderId="21" xfId="0" applyFont="1" applyBorder="1" applyAlignment="1">
      <alignment horizontal="left" vertical="top"/>
    </xf>
    <xf numFmtId="0" fontId="79" fillId="34" borderId="0" xfId="50" applyFont="1" applyBorder="1" applyAlignment="1">
      <alignment horizontal="left" vertical="top"/>
    </xf>
    <xf numFmtId="0" fontId="79" fillId="34" borderId="21" xfId="50" applyFont="1" applyBorder="1" applyAlignment="1">
      <alignment horizontal="left" vertical="top"/>
    </xf>
    <xf numFmtId="0" fontId="25" fillId="0" borderId="21" xfId="0" applyFont="1" applyBorder="1" applyAlignment="1">
      <alignment horizontal="left" vertical="top" wrapText="1"/>
    </xf>
    <xf numFmtId="0" fontId="16" fillId="0" borderId="0" xfId="0" applyFont="1" applyBorder="1" applyAlignment="1">
      <alignment horizontal="left" vertical="top" wrapText="1"/>
    </xf>
    <xf numFmtId="0" fontId="16" fillId="0" borderId="26" xfId="0" applyFont="1" applyBorder="1" applyAlignment="1">
      <alignment horizontal="left" vertical="top" wrapText="1"/>
    </xf>
    <xf numFmtId="0" fontId="79" fillId="34" borderId="0" xfId="50" applyFont="1" applyAlignment="1">
      <alignment horizontal="left" vertical="top" wrapText="1"/>
    </xf>
    <xf numFmtId="0" fontId="25" fillId="0" borderId="35" xfId="0" applyFont="1" applyBorder="1" applyAlignment="1">
      <alignment horizontal="left" vertical="top" wrapText="1"/>
    </xf>
    <xf numFmtId="49" fontId="79" fillId="34" borderId="0" xfId="50" applyNumberFormat="1" applyFont="1"/>
    <xf numFmtId="0" fontId="25" fillId="0" borderId="33" xfId="0" applyFont="1" applyBorder="1" applyAlignment="1">
      <alignment vertical="top"/>
    </xf>
    <xf numFmtId="0" fontId="16" fillId="0" borderId="26" xfId="0" applyFont="1" applyBorder="1"/>
    <xf numFmtId="0" fontId="16" fillId="0" borderId="31" xfId="0" applyFont="1" applyBorder="1"/>
    <xf numFmtId="0" fontId="0" fillId="0" borderId="0" xfId="0"/>
    <xf numFmtId="0" fontId="0" fillId="0" borderId="0" xfId="0"/>
    <xf numFmtId="0" fontId="0" fillId="0" borderId="31" xfId="0" applyBorder="1" applyAlignment="1">
      <alignment horizontal="right"/>
    </xf>
    <xf numFmtId="3" fontId="0" fillId="0" borderId="0" xfId="0" applyNumberFormat="1" applyBorder="1"/>
    <xf numFmtId="0" fontId="0" fillId="0" borderId="0" xfId="0" applyAlignment="1">
      <alignment wrapText="1"/>
    </xf>
    <xf numFmtId="0" fontId="0" fillId="0" borderId="0" xfId="0" applyAlignment="1">
      <alignment horizontal="center"/>
    </xf>
    <xf numFmtId="0" fontId="0" fillId="0" borderId="0" xfId="0" applyAlignment="1">
      <alignment horizontal="right"/>
    </xf>
    <xf numFmtId="0" fontId="0" fillId="0" borderId="0" xfId="0"/>
    <xf numFmtId="0" fontId="0" fillId="39" borderId="10" xfId="48" applyFont="1">
      <protection locked="0"/>
    </xf>
    <xf numFmtId="0" fontId="0" fillId="0" borderId="0" xfId="0"/>
    <xf numFmtId="0" fontId="0" fillId="0" borderId="0" xfId="0"/>
    <xf numFmtId="0" fontId="16" fillId="0" borderId="31" xfId="0" applyFont="1" applyBorder="1" applyAlignment="1">
      <alignment horizontal="center" vertical="center"/>
    </xf>
    <xf numFmtId="0" fontId="16" fillId="0" borderId="0" xfId="0" applyFon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right"/>
    </xf>
    <xf numFmtId="0" fontId="16" fillId="0" borderId="0" xfId="0" applyFont="1"/>
    <xf numFmtId="0" fontId="0" fillId="0" borderId="0" xfId="0"/>
    <xf numFmtId="0" fontId="66" fillId="0" borderId="0" xfId="0" applyFont="1" applyAlignment="1">
      <alignment horizontal="left" vertical="center"/>
    </xf>
    <xf numFmtId="0" fontId="0" fillId="0" borderId="0" xfId="0" applyAlignment="1">
      <alignment horizontal="center"/>
    </xf>
    <xf numFmtId="0" fontId="0" fillId="0" borderId="0" xfId="0" applyAlignment="1">
      <alignment wrapText="1"/>
    </xf>
    <xf numFmtId="0" fontId="16" fillId="0" borderId="0" xfId="0" applyFont="1"/>
    <xf numFmtId="0" fontId="0" fillId="0" borderId="0" xfId="0" applyAlignment="1">
      <alignment horizontal="right"/>
    </xf>
    <xf numFmtId="0" fontId="0" fillId="0" borderId="0" xfId="0"/>
    <xf numFmtId="0" fontId="0" fillId="0" borderId="0" xfId="0" applyAlignment="1">
      <alignment wrapText="1"/>
    </xf>
    <xf numFmtId="0" fontId="0" fillId="0" borderId="0" xfId="0" applyAlignment="1">
      <alignment horizontal="right"/>
    </xf>
    <xf numFmtId="0" fontId="16" fillId="0" borderId="0" xfId="0" applyFont="1"/>
    <xf numFmtId="0" fontId="0" fillId="0" borderId="0" xfId="0"/>
    <xf numFmtId="0" fontId="0" fillId="0" borderId="0" xfId="0" applyNumberFormat="1" applyAlignment="1">
      <alignment horizontal="center"/>
    </xf>
    <xf numFmtId="0" fontId="0" fillId="0" borderId="0" xfId="0" quotePrefix="1" applyNumberFormat="1" applyAlignment="1">
      <alignment horizontal="center"/>
    </xf>
    <xf numFmtId="0" fontId="0" fillId="0" borderId="0" xfId="0" applyAlignment="1">
      <alignment wrapText="1"/>
    </xf>
    <xf numFmtId="0" fontId="16" fillId="0" borderId="0" xfId="0" applyFont="1"/>
    <xf numFmtId="0" fontId="0" fillId="0" borderId="0" xfId="0"/>
    <xf numFmtId="0" fontId="0" fillId="0" borderId="0" xfId="0"/>
    <xf numFmtId="0" fontId="16" fillId="0" borderId="10" xfId="0" applyFont="1" applyBorder="1" applyAlignment="1">
      <alignment horizontal="center" vertical="center"/>
    </xf>
    <xf numFmtId="0" fontId="0" fillId="0" borderId="0" xfId="0" applyAlignment="1">
      <alignment wrapText="1"/>
    </xf>
    <xf numFmtId="0" fontId="0" fillId="0" borderId="0" xfId="0" applyAlignment="1">
      <alignment horizontal="right"/>
    </xf>
    <xf numFmtId="0" fontId="0" fillId="0" borderId="0" xfId="0"/>
    <xf numFmtId="0" fontId="0" fillId="37" borderId="10" xfId="54" applyFont="1">
      <alignment horizontal="left" vertical="top" wrapText="1"/>
      <protection locked="0"/>
    </xf>
    <xf numFmtId="0" fontId="0" fillId="39" borderId="10" xfId="48" applyFont="1">
      <protection locked="0"/>
    </xf>
    <xf numFmtId="3" fontId="16" fillId="0" borderId="10" xfId="0" applyNumberFormat="1" applyFont="1" applyBorder="1" applyAlignment="1">
      <alignment horizontal="center" vertical="center"/>
    </xf>
    <xf numFmtId="0" fontId="67" fillId="0" borderId="0" xfId="0" applyFont="1"/>
    <xf numFmtId="0" fontId="67" fillId="0" borderId="0" xfId="0" applyFont="1" applyAlignment="1"/>
    <xf numFmtId="0" fontId="0" fillId="0" borderId="0" xfId="0" applyAlignment="1">
      <alignment horizontal="right"/>
    </xf>
    <xf numFmtId="0" fontId="0" fillId="0" borderId="0" xfId="0"/>
    <xf numFmtId="0" fontId="91" fillId="0" borderId="30" xfId="0" applyFont="1" applyBorder="1" applyAlignment="1">
      <alignment horizontal="center" vertical="center"/>
    </xf>
    <xf numFmtId="0" fontId="0" fillId="0" borderId="0" xfId="0" applyAlignment="1">
      <alignment horizontal="left"/>
    </xf>
    <xf numFmtId="0" fontId="0" fillId="0" borderId="0" xfId="0" applyAlignment="1">
      <alignment horizontal="right"/>
    </xf>
    <xf numFmtId="0" fontId="0" fillId="0" borderId="0" xfId="0"/>
    <xf numFmtId="0" fontId="0" fillId="0" borderId="0" xfId="0" applyBorder="1" applyAlignment="1">
      <alignment horizontal="center" vertical="center" wrapText="1"/>
    </xf>
    <xf numFmtId="1" fontId="46" fillId="39" borderId="10" xfId="48" applyNumberFormat="1" applyFont="1">
      <protection locked="0"/>
    </xf>
    <xf numFmtId="2" fontId="46" fillId="39" borderId="10" xfId="48" applyNumberFormat="1" applyFont="1">
      <protection locked="0"/>
    </xf>
    <xf numFmtId="0" fontId="0" fillId="0" borderId="0" xfId="0" applyAlignment="1">
      <alignment horizontal="center"/>
    </xf>
    <xf numFmtId="0" fontId="0" fillId="0" borderId="0" xfId="0" applyAlignment="1">
      <alignment horizontal="left"/>
    </xf>
    <xf numFmtId="0" fontId="0" fillId="0" borderId="0" xfId="0" applyAlignment="1">
      <alignment wrapText="1"/>
    </xf>
    <xf numFmtId="0" fontId="16" fillId="0" borderId="0" xfId="0" applyFont="1"/>
    <xf numFmtId="0" fontId="0" fillId="0" borderId="0" xfId="0" applyAlignment="1">
      <alignment horizontal="right"/>
    </xf>
    <xf numFmtId="0" fontId="0" fillId="0" borderId="0" xfId="0"/>
    <xf numFmtId="0" fontId="0" fillId="37" borderId="10" xfId="54" applyFont="1">
      <alignment horizontal="left" vertical="top" wrapText="1"/>
      <protection locked="0"/>
    </xf>
    <xf numFmtId="0" fontId="0" fillId="0" borderId="0" xfId="0" applyBorder="1" applyAlignment="1">
      <alignment horizontal="center" vertical="center" wrapText="1"/>
    </xf>
    <xf numFmtId="0" fontId="0" fillId="39" borderId="10" xfId="48" applyFont="1">
      <protection locked="0"/>
    </xf>
    <xf numFmtId="0" fontId="91" fillId="0" borderId="30" xfId="0" applyFont="1" applyBorder="1" applyAlignment="1">
      <alignment horizontal="center" vertical="center"/>
    </xf>
    <xf numFmtId="0" fontId="0" fillId="0" borderId="0" xfId="0" quotePrefix="1" applyNumberFormat="1" applyAlignment="1">
      <alignment horizontal="center"/>
    </xf>
    <xf numFmtId="0" fontId="0" fillId="0" borderId="0" xfId="0" applyNumberFormat="1" applyAlignment="1">
      <alignment horizontal="center"/>
    </xf>
    <xf numFmtId="0" fontId="16" fillId="0" borderId="10" xfId="0" applyFont="1" applyBorder="1" applyAlignment="1">
      <alignment horizontal="center" vertical="center"/>
    </xf>
    <xf numFmtId="0" fontId="0" fillId="0" borderId="0" xfId="0" applyAlignment="1">
      <alignment horizontal="center"/>
    </xf>
    <xf numFmtId="0" fontId="0" fillId="0" borderId="13" xfId="0" applyBorder="1" applyAlignment="1">
      <alignment horizontal="left" vertical="center"/>
    </xf>
    <xf numFmtId="0" fontId="0" fillId="0" borderId="27" xfId="0" applyBorder="1" applyAlignment="1">
      <alignment horizontal="left" vertical="center"/>
    </xf>
    <xf numFmtId="0" fontId="0" fillId="37" borderId="10" xfId="66" applyFont="1" applyBorder="1">
      <alignment horizontal="left" vertical="top" wrapText="1"/>
    </xf>
    <xf numFmtId="0" fontId="13" fillId="0" borderId="10" xfId="60" applyBorder="1" applyAlignment="1"/>
    <xf numFmtId="0" fontId="0" fillId="0" borderId="0" xfId="0"/>
    <xf numFmtId="0" fontId="0" fillId="0" borderId="0" xfId="0"/>
    <xf numFmtId="0" fontId="71" fillId="0" borderId="0" xfId="57" applyFont="1" applyAlignment="1" applyProtection="1">
      <alignment horizontal="right"/>
      <protection locked="0"/>
    </xf>
    <xf numFmtId="0" fontId="0" fillId="0" borderId="0" xfId="0"/>
    <xf numFmtId="0" fontId="0" fillId="0" borderId="0" xfId="0" applyFont="1" applyBorder="1" applyAlignment="1">
      <alignment horizontal="center" vertical="center"/>
    </xf>
    <xf numFmtId="0" fontId="0" fillId="0" borderId="0" xfId="0"/>
    <xf numFmtId="0" fontId="0" fillId="0" borderId="0" xfId="0"/>
    <xf numFmtId="0" fontId="18" fillId="0" borderId="0" xfId="0" applyFont="1" applyBorder="1" applyAlignment="1">
      <alignment vertical="top" wrapText="1"/>
    </xf>
    <xf numFmtId="0" fontId="25" fillId="0" borderId="0" xfId="0" applyFont="1" applyBorder="1" applyAlignment="1">
      <alignment horizontal="center" vertical="center"/>
    </xf>
    <xf numFmtId="0" fontId="0" fillId="0" borderId="0" xfId="0" applyFont="1" applyBorder="1" applyAlignment="1">
      <alignment horizontal="center" vertical="center"/>
    </xf>
    <xf numFmtId="0" fontId="0" fillId="39" borderId="10" xfId="48" applyFont="1">
      <protection locked="0"/>
    </xf>
    <xf numFmtId="0" fontId="0" fillId="0" borderId="0" xfId="0" applyBorder="1" applyAlignment="1">
      <alignment horizontal="center" vertical="center"/>
    </xf>
    <xf numFmtId="0" fontId="18" fillId="0" borderId="15" xfId="0" applyFont="1" applyBorder="1" applyAlignment="1">
      <alignment horizontal="left" vertical="top" wrapText="1"/>
    </xf>
    <xf numFmtId="0" fontId="25" fillId="0" borderId="26" xfId="0" applyNumberFormat="1" applyFont="1" applyBorder="1" applyAlignment="1">
      <alignment horizontal="center" vertical="center"/>
    </xf>
    <xf numFmtId="0" fontId="0" fillId="0" borderId="0" xfId="0"/>
    <xf numFmtId="0" fontId="0" fillId="0" borderId="0" xfId="0"/>
    <xf numFmtId="0" fontId="0" fillId="0" borderId="0" xfId="0"/>
    <xf numFmtId="0" fontId="16" fillId="39" borderId="10" xfId="48" applyFont="1" applyAlignment="1">
      <alignment horizontal="center"/>
      <protection locked="0"/>
    </xf>
    <xf numFmtId="0" fontId="0" fillId="0" borderId="0" xfId="0"/>
    <xf numFmtId="0" fontId="0" fillId="0" borderId="0" xfId="0"/>
    <xf numFmtId="0" fontId="0" fillId="0" borderId="0" xfId="0" applyAlignment="1">
      <alignment horizontal="left"/>
    </xf>
    <xf numFmtId="0" fontId="0" fillId="0" borderId="0" xfId="0"/>
    <xf numFmtId="0" fontId="0" fillId="0" borderId="0" xfId="0"/>
    <xf numFmtId="0" fontId="0" fillId="0" borderId="0" xfId="0"/>
    <xf numFmtId="187" fontId="46" fillId="39" borderId="10" xfId="48" applyNumberFormat="1" applyFont="1" applyBorder="1">
      <protection locked="0"/>
    </xf>
    <xf numFmtId="0" fontId="0" fillId="0" borderId="0" xfId="0"/>
    <xf numFmtId="0" fontId="0" fillId="0" borderId="0" xfId="0"/>
    <xf numFmtId="0" fontId="18" fillId="0" borderId="23" xfId="0" applyFont="1" applyBorder="1" applyAlignment="1">
      <alignment horizontal="center" vertical="center"/>
    </xf>
    <xf numFmtId="0" fontId="18" fillId="0" borderId="26"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Border="1" applyAlignment="1">
      <alignment horizontal="center" vertical="center"/>
    </xf>
    <xf numFmtId="0" fontId="18" fillId="0" borderId="31" xfId="0" applyFont="1" applyBorder="1" applyAlignment="1">
      <alignment horizontal="center" vertical="center"/>
    </xf>
    <xf numFmtId="0" fontId="18" fillId="0" borderId="0" xfId="0" applyFont="1" applyAlignment="1">
      <alignment horizontal="center" vertical="center"/>
    </xf>
    <xf numFmtId="0" fontId="18" fillId="0" borderId="21" xfId="0" applyFont="1" applyBorder="1" applyAlignment="1">
      <alignment horizontal="center" vertical="center"/>
    </xf>
    <xf numFmtId="0" fontId="0" fillId="0" borderId="0" xfId="0"/>
    <xf numFmtId="0" fontId="18" fillId="0" borderId="0" xfId="0" applyFont="1" applyBorder="1" applyAlignment="1">
      <alignment vertical="top" wrapText="1"/>
    </xf>
    <xf numFmtId="0" fontId="25" fillId="0" borderId="0" xfId="0" applyFont="1" applyBorder="1" applyAlignment="1">
      <alignment horizontal="center"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18" fillId="0" borderId="15" xfId="0" applyFont="1" applyBorder="1" applyAlignment="1">
      <alignment horizontal="left" vertical="top" wrapText="1"/>
    </xf>
    <xf numFmtId="0" fontId="0" fillId="0" borderId="0" xfId="0" applyAlignment="1">
      <alignment horizontal="center"/>
    </xf>
    <xf numFmtId="0" fontId="0" fillId="0" borderId="0" xfId="0" applyAlignment="1">
      <alignment horizontal="left"/>
    </xf>
    <xf numFmtId="0" fontId="16" fillId="0" borderId="0" xfId="0" applyFont="1"/>
    <xf numFmtId="0" fontId="0" fillId="0" borderId="0" xfId="0" applyAlignment="1">
      <alignment horizontal="right"/>
    </xf>
    <xf numFmtId="0" fontId="0" fillId="0" borderId="0" xfId="0"/>
    <xf numFmtId="0" fontId="0" fillId="0" borderId="0" xfId="0" applyBorder="1" applyAlignment="1">
      <alignment horizontal="center" vertical="center" wrapText="1"/>
    </xf>
    <xf numFmtId="0" fontId="0" fillId="0" borderId="13" xfId="0" applyBorder="1" applyAlignment="1">
      <alignment horizontal="left" vertical="center"/>
    </xf>
    <xf numFmtId="0" fontId="0" fillId="0" borderId="27" xfId="0" applyBorder="1" applyAlignment="1">
      <alignment horizontal="left" vertical="center"/>
    </xf>
    <xf numFmtId="0" fontId="16" fillId="0" borderId="0" xfId="0" applyFont="1"/>
    <xf numFmtId="0" fontId="0" fillId="0" borderId="0" xfId="0"/>
    <xf numFmtId="0" fontId="0" fillId="37" borderId="10" xfId="54" applyFont="1">
      <alignment horizontal="left" vertical="top" wrapText="1"/>
      <protection locked="0"/>
    </xf>
    <xf numFmtId="0" fontId="16" fillId="0" borderId="10" xfId="0" applyFont="1" applyBorder="1" applyAlignment="1">
      <alignment horizontal="center" vertical="center"/>
    </xf>
    <xf numFmtId="0" fontId="0" fillId="0" borderId="0" xfId="0"/>
    <xf numFmtId="0" fontId="0" fillId="0" borderId="10" xfId="0" applyBorder="1"/>
    <xf numFmtId="0" fontId="0" fillId="0" borderId="0" xfId="0" applyFont="1" applyAlignment="1">
      <alignment horizontal="right" vertical="center"/>
    </xf>
    <xf numFmtId="0" fontId="0" fillId="0" borderId="21" xfId="0" applyNumberFormat="1" applyBorder="1" applyAlignment="1">
      <alignment horizontal="center"/>
    </xf>
    <xf numFmtId="0" fontId="0" fillId="0" borderId="21" xfId="0" quotePrefix="1" applyNumberFormat="1" applyBorder="1" applyAlignment="1">
      <alignment horizontal="center"/>
    </xf>
    <xf numFmtId="0" fontId="0" fillId="0" borderId="0" xfId="0" applyAlignment="1">
      <alignment wrapText="1"/>
    </xf>
    <xf numFmtId="0" fontId="0" fillId="0" borderId="0" xfId="0"/>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18" fillId="0" borderId="23" xfId="0" applyFont="1" applyBorder="1" applyAlignment="1">
      <alignment vertical="top" wrapText="1"/>
    </xf>
    <xf numFmtId="0" fontId="18" fillId="0" borderId="26" xfId="0" applyFont="1" applyBorder="1" applyAlignment="1">
      <alignment vertical="top" wrapText="1"/>
    </xf>
    <xf numFmtId="0" fontId="68" fillId="0" borderId="0" xfId="0" applyFont="1" applyBorder="1" applyAlignment="1">
      <alignment horizontal="left" vertical="top" wrapText="1"/>
    </xf>
    <xf numFmtId="0" fontId="68" fillId="0" borderId="31" xfId="0" applyFont="1" applyBorder="1" applyAlignment="1">
      <alignment horizontal="left" vertical="top" wrapText="1"/>
    </xf>
    <xf numFmtId="0" fontId="68" fillId="0" borderId="23" xfId="0" applyFont="1" applyBorder="1" applyAlignment="1">
      <alignment horizontal="left" vertical="top" wrapText="1"/>
    </xf>
    <xf numFmtId="0" fontId="18" fillId="0" borderId="0" xfId="0" applyFont="1" applyAlignment="1">
      <alignment horizontal="left" vertical="top" wrapText="1"/>
    </xf>
    <xf numFmtId="0" fontId="25" fillId="0" borderId="33" xfId="0" applyFont="1" applyBorder="1" applyAlignment="1">
      <alignment horizontal="left" vertical="top" wrapText="1"/>
    </xf>
    <xf numFmtId="0" fontId="18" fillId="0" borderId="31" xfId="0" applyFont="1" applyBorder="1" applyAlignment="1">
      <alignment horizontal="left" vertical="top" wrapText="1"/>
    </xf>
    <xf numFmtId="0" fontId="55" fillId="0" borderId="0" xfId="0" applyFont="1" applyAlignment="1">
      <alignment vertical="top" wrapText="1"/>
    </xf>
    <xf numFmtId="0" fontId="68" fillId="0" borderId="26" xfId="0" applyFont="1" applyBorder="1" applyAlignment="1">
      <alignment horizontal="left" vertical="top" wrapText="1"/>
    </xf>
    <xf numFmtId="0" fontId="68" fillId="0" borderId="0" xfId="0" applyFont="1" applyAlignment="1">
      <alignment horizontal="left" vertical="top" wrapText="1"/>
    </xf>
    <xf numFmtId="0" fontId="18" fillId="0" borderId="0" xfId="0" applyFont="1" applyBorder="1" applyAlignment="1">
      <alignment vertical="top" wrapText="1"/>
    </xf>
    <xf numFmtId="0" fontId="25" fillId="0" borderId="0" xfId="0" applyFont="1" applyAlignment="1">
      <alignment horizontal="left" vertical="top" wrapText="1"/>
    </xf>
    <xf numFmtId="0" fontId="25" fillId="0" borderId="31" xfId="0" applyFont="1" applyBorder="1" applyAlignment="1">
      <alignment horizontal="left" vertical="top" wrapText="1"/>
    </xf>
    <xf numFmtId="0" fontId="55" fillId="0" borderId="31" xfId="0" applyFont="1" applyBorder="1" applyAlignment="1">
      <alignment vertical="top" wrapText="1"/>
    </xf>
    <xf numFmtId="164" fontId="29" fillId="40" borderId="14" xfId="65" applyAlignment="1">
      <alignment horizontal="left" vertical="top" wrapText="1"/>
    </xf>
    <xf numFmtId="0" fontId="0" fillId="0" borderId="10" xfId="0" applyBorder="1"/>
    <xf numFmtId="0" fontId="55" fillId="0" borderId="0" xfId="0" applyFont="1" applyAlignment="1">
      <alignment horizontal="left" vertical="top" wrapText="1"/>
    </xf>
    <xf numFmtId="0" fontId="68" fillId="0" borderId="105" xfId="0" applyFont="1" applyBorder="1" applyAlignment="1">
      <alignment horizontal="left" vertical="top" wrapText="1"/>
    </xf>
    <xf numFmtId="0" fontId="18" fillId="0" borderId="0" xfId="0" applyFont="1" applyAlignment="1">
      <alignment vertical="top" wrapText="1"/>
    </xf>
    <xf numFmtId="0" fontId="18" fillId="0" borderId="31" xfId="0" applyFont="1" applyBorder="1" applyAlignment="1">
      <alignment vertical="top" wrapText="1"/>
    </xf>
    <xf numFmtId="164" fontId="29" fillId="40" borderId="47" xfId="65" applyBorder="1" applyAlignment="1">
      <alignment horizontal="left" vertical="top" wrapText="1"/>
    </xf>
    <xf numFmtId="0" fontId="25" fillId="0" borderId="0" xfId="0" applyFont="1" applyAlignment="1">
      <alignment horizontal="right" vertical="top" wrapText="1"/>
    </xf>
    <xf numFmtId="0" fontId="27" fillId="0" borderId="0" xfId="0" applyFont="1" applyBorder="1" applyAlignment="1">
      <alignment horizontal="left" vertical="top" wrapText="1"/>
    </xf>
    <xf numFmtId="164" fontId="29" fillId="40" borderId="14" xfId="65" applyBorder="1" applyAlignment="1">
      <alignment horizontal="left" vertical="top" wrapText="1"/>
    </xf>
    <xf numFmtId="0" fontId="25" fillId="0" borderId="0" xfId="0" applyFont="1" applyBorder="1" applyAlignment="1">
      <alignment horizontal="right" vertical="top" wrapText="1"/>
    </xf>
    <xf numFmtId="164" fontId="29" fillId="40" borderId="50" xfId="65" applyBorder="1" applyAlignment="1">
      <alignment horizontal="left" vertical="top" wrapText="1"/>
    </xf>
    <xf numFmtId="0" fontId="26" fillId="0" borderId="0" xfId="0" applyFont="1" applyBorder="1" applyAlignment="1">
      <alignment horizontal="left" vertical="top" wrapText="1"/>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0" fontId="27" fillId="0" borderId="0" xfId="0" applyFont="1" applyAlignment="1">
      <alignment horizontal="justify" vertical="top" wrapText="1"/>
    </xf>
    <xf numFmtId="0" fontId="18" fillId="0" borderId="0" xfId="0" applyFont="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5" fillId="0" borderId="26" xfId="0" applyFont="1" applyBorder="1" applyAlignment="1">
      <alignment horizontal="right" vertical="top" wrapText="1"/>
    </xf>
    <xf numFmtId="0" fontId="25" fillId="0" borderId="105" xfId="0" applyFont="1" applyBorder="1" applyAlignment="1">
      <alignment horizontal="left" vertical="top" wrapText="1"/>
    </xf>
    <xf numFmtId="0" fontId="26" fillId="0" borderId="0" xfId="0" applyFont="1" applyAlignment="1">
      <alignment horizontal="right" vertical="top" wrapText="1"/>
    </xf>
    <xf numFmtId="0" fontId="68" fillId="0" borderId="0" xfId="0" applyFont="1" applyAlignment="1">
      <alignment vertical="top" wrapText="1"/>
    </xf>
    <xf numFmtId="0" fontId="68" fillId="0" borderId="26" xfId="0" applyFont="1" applyBorder="1" applyAlignment="1">
      <alignment vertical="top" wrapText="1"/>
    </xf>
    <xf numFmtId="0" fontId="26" fillId="0" borderId="0" xfId="0" applyFont="1" applyBorder="1" applyAlignment="1">
      <alignment horizontal="right" vertical="top" wrapText="1"/>
    </xf>
    <xf numFmtId="0" fontId="25" fillId="0" borderId="31" xfId="0" applyFont="1" applyBorder="1" applyAlignment="1">
      <alignment horizontal="right" vertical="top" wrapText="1"/>
    </xf>
    <xf numFmtId="0" fontId="27" fillId="0" borderId="0" xfId="0" applyFont="1" applyBorder="1" applyAlignment="1">
      <alignment horizontal="justify" vertical="top" wrapText="1"/>
    </xf>
    <xf numFmtId="0" fontId="0" fillId="0" borderId="26" xfId="0" applyBorder="1" applyAlignment="1">
      <alignment wrapText="1"/>
    </xf>
    <xf numFmtId="164" fontId="29" fillId="40" borderId="51" xfId="65" applyBorder="1" applyAlignment="1">
      <alignment horizontal="left" vertical="top" wrapText="1"/>
    </xf>
    <xf numFmtId="0" fontId="26" fillId="0" borderId="0" xfId="0" applyFont="1" applyAlignment="1">
      <alignment vertical="top" wrapText="1"/>
    </xf>
    <xf numFmtId="0" fontId="58" fillId="0" borderId="0" xfId="57" applyAlignment="1" applyProtection="1">
      <alignment horizontal="left" vertical="top" wrapText="1"/>
      <protection locked="0"/>
    </xf>
    <xf numFmtId="0" fontId="13" fillId="0" borderId="0" xfId="60" applyBorder="1" applyAlignment="1" applyProtection="1">
      <protection locked="0"/>
    </xf>
    <xf numFmtId="0" fontId="0" fillId="0" borderId="0" xfId="0" applyBorder="1" applyAlignment="1" applyProtection="1">
      <alignment horizontal="left" vertical="center"/>
      <protection locked="0"/>
    </xf>
    <xf numFmtId="0" fontId="46" fillId="34" borderId="0" xfId="50" applyFont="1" applyProtection="1">
      <protection locked="0"/>
    </xf>
    <xf numFmtId="0" fontId="21" fillId="34" borderId="0" xfId="50" applyProtection="1">
      <protection locked="0"/>
    </xf>
    <xf numFmtId="0" fontId="0" fillId="37" borderId="10" xfId="66" applyFont="1" applyProtection="1">
      <alignment horizontal="left" vertical="top" wrapText="1"/>
      <protection locked="0"/>
    </xf>
    <xf numFmtId="0" fontId="0" fillId="0" borderId="0" xfId="0" applyBorder="1" applyProtection="1">
      <protection locked="0"/>
    </xf>
    <xf numFmtId="0" fontId="0" fillId="0" borderId="31" xfId="0" applyBorder="1" applyProtection="1">
      <protection locked="0"/>
    </xf>
    <xf numFmtId="0" fontId="0" fillId="0" borderId="63" xfId="0" applyBorder="1" applyProtection="1">
      <protection locked="0"/>
    </xf>
    <xf numFmtId="0" fontId="0" fillId="37" borderId="53" xfId="66" applyFont="1" applyBorder="1" applyProtection="1">
      <alignment horizontal="left" vertical="top" wrapText="1"/>
      <protection locked="0"/>
    </xf>
    <xf numFmtId="0" fontId="0" fillId="0" borderId="33" xfId="0" applyBorder="1" applyProtection="1">
      <protection locked="0"/>
    </xf>
    <xf numFmtId="0" fontId="0" fillId="0" borderId="26" xfId="0" applyBorder="1" applyProtection="1">
      <protection locked="0"/>
    </xf>
    <xf numFmtId="0" fontId="0" fillId="37" borderId="10" xfId="66" applyFont="1" applyBorder="1" applyProtection="1">
      <alignment horizontal="left" vertical="top" wrapText="1"/>
      <protection locked="0"/>
    </xf>
    <xf numFmtId="0" fontId="0" fillId="37" borderId="32" xfId="66" applyFont="1" applyBorder="1" applyProtection="1">
      <alignment horizontal="left" vertical="top" wrapText="1"/>
      <protection locked="0"/>
    </xf>
    <xf numFmtId="0" fontId="0" fillId="37" borderId="13" xfId="66" applyFont="1" applyBorder="1" applyProtection="1">
      <alignment horizontal="left" vertical="top" wrapText="1"/>
      <protection locked="0"/>
    </xf>
    <xf numFmtId="0" fontId="21" fillId="34" borderId="0" xfId="50" applyBorder="1" applyProtection="1">
      <protection locked="0"/>
    </xf>
    <xf numFmtId="0" fontId="21" fillId="34" borderId="21" xfId="50" applyBorder="1" applyProtection="1">
      <protection locked="0"/>
    </xf>
    <xf numFmtId="0" fontId="0" fillId="37" borderId="15" xfId="66" applyFont="1" applyBorder="1" applyProtection="1">
      <alignment horizontal="left" vertical="top" wrapText="1"/>
      <protection locked="0"/>
    </xf>
    <xf numFmtId="0" fontId="0" fillId="0" borderId="0" xfId="0"/>
    <xf numFmtId="0" fontId="16" fillId="0" borderId="10" xfId="0" applyFont="1" applyBorder="1" applyAlignment="1">
      <alignment horizontal="center" vertical="center"/>
    </xf>
    <xf numFmtId="0" fontId="0" fillId="0" borderId="0" xfId="0" applyAlignment="1">
      <alignment horizontal="left"/>
    </xf>
    <xf numFmtId="0" fontId="0" fillId="39" borderId="10" xfId="48" applyFont="1" applyAlignment="1">
      <alignment horizontal="left"/>
      <protection locked="0"/>
    </xf>
    <xf numFmtId="0" fontId="0" fillId="38" borderId="10" xfId="47" applyFont="1" applyAlignment="1">
      <alignment horizontal="left"/>
      <protection locked="0"/>
    </xf>
    <xf numFmtId="0" fontId="0" fillId="0" borderId="0" xfId="0" applyAlignment="1">
      <alignment horizontal="right"/>
    </xf>
    <xf numFmtId="0" fontId="0" fillId="0" borderId="0" xfId="0"/>
    <xf numFmtId="0" fontId="18" fillId="0" borderId="0" xfId="0" applyFont="1" applyBorder="1" applyAlignment="1">
      <alignment vertical="top" wrapText="1"/>
    </xf>
    <xf numFmtId="0" fontId="18" fillId="0" borderId="0" xfId="0" applyFont="1" applyBorder="1" applyAlignment="1">
      <alignment horizontal="center" vertical="center"/>
    </xf>
    <xf numFmtId="0" fontId="0" fillId="0" borderId="10" xfId="0" applyBorder="1"/>
    <xf numFmtId="0" fontId="25" fillId="0" borderId="0" xfId="0" applyFont="1" applyBorder="1" applyAlignment="1">
      <alignment horizontal="center" vertical="center"/>
    </xf>
    <xf numFmtId="0" fontId="25" fillId="0" borderId="0" xfId="0" applyFont="1" applyBorder="1" applyAlignment="1">
      <alignment horizontal="left" vertical="top" wrapText="1"/>
    </xf>
    <xf numFmtId="0" fontId="25" fillId="0" borderId="31" xfId="0" applyFont="1" applyBorder="1" applyAlignment="1">
      <alignment horizontal="left" vertical="top" wrapText="1"/>
    </xf>
    <xf numFmtId="0" fontId="25" fillId="0" borderId="31" xfId="0" applyFont="1" applyBorder="1" applyAlignment="1">
      <alignment horizontal="center" vertical="center"/>
    </xf>
    <xf numFmtId="0" fontId="18" fillId="0" borderId="31" xfId="0" applyFont="1" applyBorder="1" applyAlignment="1">
      <alignment horizontal="center" vertical="center"/>
    </xf>
    <xf numFmtId="0" fontId="18" fillId="0" borderId="31" xfId="0" applyFont="1" applyBorder="1" applyAlignment="1">
      <alignment vertical="top" wrapText="1"/>
    </xf>
    <xf numFmtId="0" fontId="0" fillId="0" borderId="0" xfId="0" applyFont="1" applyBorder="1" applyAlignment="1">
      <alignment horizontal="center" vertical="center"/>
    </xf>
    <xf numFmtId="0" fontId="18" fillId="0" borderId="10" xfId="0" applyFont="1" applyBorder="1" applyAlignment="1">
      <alignment horizontal="left" vertical="top" wrapText="1"/>
    </xf>
    <xf numFmtId="0" fontId="0" fillId="41" borderId="10" xfId="48" applyFont="1" applyFill="1" applyAlignment="1" applyProtection="1">
      <alignment horizontal="left"/>
    </xf>
    <xf numFmtId="0" fontId="0" fillId="0" borderId="0" xfId="0" applyAlignment="1" applyProtection="1">
      <alignment horizontal="left" wrapText="1"/>
    </xf>
    <xf numFmtId="0" fontId="0" fillId="0" borderId="0" xfId="0" applyAlignment="1">
      <alignment horizontal="left" wrapText="1"/>
    </xf>
    <xf numFmtId="0" fontId="30" fillId="0" borderId="31" xfId="60" applyFont="1" applyBorder="1" applyAlignment="1">
      <alignment horizontal="left" vertical="top" wrapText="1"/>
    </xf>
    <xf numFmtId="0" fontId="30" fillId="0" borderId="0" xfId="60" applyFont="1" applyBorder="1" applyAlignment="1">
      <alignment horizontal="left" vertical="top" wrapText="1"/>
    </xf>
    <xf numFmtId="0" fontId="16" fillId="0" borderId="0" xfId="0" applyFont="1"/>
    <xf numFmtId="0" fontId="0" fillId="0" borderId="0" xfId="0" applyAlignment="1">
      <alignment horizontal="right"/>
    </xf>
    <xf numFmtId="0" fontId="0" fillId="0" borderId="0" xfId="0"/>
    <xf numFmtId="0" fontId="0" fillId="37" borderId="10" xfId="54" applyFont="1">
      <alignment horizontal="left" vertical="top" wrapText="1"/>
      <protection locked="0"/>
    </xf>
    <xf numFmtId="0" fontId="16" fillId="0" borderId="10" xfId="0" applyFont="1" applyBorder="1" applyAlignment="1">
      <alignment horizontal="center" vertical="center"/>
    </xf>
    <xf numFmtId="0" fontId="16" fillId="0" borderId="0" xfId="0" applyFont="1"/>
    <xf numFmtId="0" fontId="0" fillId="0" borderId="0" xfId="0"/>
    <xf numFmtId="0" fontId="0" fillId="0" borderId="0" xfId="0" applyAlignment="1">
      <alignment horizontal="right"/>
    </xf>
    <xf numFmtId="0" fontId="16" fillId="0" borderId="10" xfId="0" applyFont="1" applyBorder="1" applyAlignment="1">
      <alignment horizontal="center" vertical="center"/>
    </xf>
    <xf numFmtId="0" fontId="0" fillId="0" borderId="0" xfId="0" applyAlignment="1">
      <alignment vertical="top" wrapText="1"/>
    </xf>
    <xf numFmtId="0" fontId="71" fillId="0" borderId="0" xfId="57" applyFont="1"/>
    <xf numFmtId="0" fontId="0" fillId="0" borderId="0" xfId="0" applyAlignment="1">
      <alignment horizontal="right"/>
    </xf>
    <xf numFmtId="0" fontId="0" fillId="37" borderId="10" xfId="54" applyFont="1">
      <alignment horizontal="left" vertical="top" wrapText="1"/>
      <protection locked="0"/>
    </xf>
    <xf numFmtId="0" fontId="0" fillId="0" borderId="0" xfId="0" applyAlignment="1">
      <alignment horizontal="center"/>
    </xf>
    <xf numFmtId="0" fontId="0" fillId="0" borderId="0" xfId="0" applyAlignment="1">
      <alignment horizontal="left"/>
    </xf>
    <xf numFmtId="0" fontId="16" fillId="0" borderId="0" xfId="0" applyFont="1"/>
    <xf numFmtId="0" fontId="0" fillId="0" borderId="0" xfId="0"/>
    <xf numFmtId="0" fontId="0" fillId="0" borderId="0" xfId="0" applyAlignment="1">
      <alignment horizontal="right"/>
    </xf>
    <xf numFmtId="0" fontId="0" fillId="37" borderId="10" xfId="54" applyFont="1">
      <alignment horizontal="left" vertical="top" wrapText="1"/>
      <protection locked="0"/>
    </xf>
    <xf numFmtId="0" fontId="0" fillId="0" borderId="10" xfId="0" applyBorder="1"/>
    <xf numFmtId="0" fontId="0" fillId="0" borderId="0" xfId="0" applyBorder="1" applyAlignment="1">
      <alignment horizontal="center" vertical="center" wrapText="1"/>
    </xf>
    <xf numFmtId="0" fontId="16" fillId="0" borderId="10" xfId="0" applyFont="1" applyBorder="1" applyAlignment="1">
      <alignment horizontal="center" vertical="center"/>
    </xf>
    <xf numFmtId="0" fontId="0" fillId="0" borderId="0" xfId="0" applyAlignment="1">
      <alignment vertical="top" wrapText="1"/>
    </xf>
    <xf numFmtId="0" fontId="0" fillId="0" borderId="26" xfId="0" applyBorder="1" applyAlignment="1">
      <alignment wrapText="1"/>
    </xf>
    <xf numFmtId="0" fontId="0" fillId="37" borderId="10" xfId="66" applyFont="1">
      <alignment horizontal="left" vertical="top" wrapText="1"/>
    </xf>
    <xf numFmtId="0" fontId="66" fillId="0" borderId="0" xfId="0" applyFont="1" applyAlignment="1">
      <alignment horizontal="left" vertical="center"/>
    </xf>
    <xf numFmtId="0" fontId="0" fillId="0" borderId="26" xfId="0" applyBorder="1" applyAlignment="1">
      <alignment horizontal="right"/>
    </xf>
    <xf numFmtId="0" fontId="0" fillId="0" borderId="0" xfId="0" applyBorder="1" applyAlignment="1">
      <alignment vertical="top" wrapText="1"/>
    </xf>
    <xf numFmtId="0" fontId="0" fillId="0" borderId="26" xfId="0" applyBorder="1" applyAlignment="1">
      <alignment vertical="top" wrapText="1"/>
    </xf>
    <xf numFmtId="0" fontId="0" fillId="0" borderId="26" xfId="0" applyBorder="1" applyAlignment="1">
      <alignment vertical="top"/>
    </xf>
    <xf numFmtId="0" fontId="18" fillId="0" borderId="0" xfId="0" applyFont="1" applyBorder="1" applyAlignment="1">
      <alignment vertical="top" wrapText="1"/>
    </xf>
    <xf numFmtId="0" fontId="18" fillId="0" borderId="26" xfId="0" applyFont="1" applyBorder="1" applyAlignment="1">
      <alignment vertical="top" wrapText="1"/>
    </xf>
    <xf numFmtId="0" fontId="68" fillId="0" borderId="0" xfId="0" applyFont="1" applyBorder="1" applyAlignment="1">
      <alignment horizontal="left" vertical="top" wrapText="1"/>
    </xf>
    <xf numFmtId="0" fontId="0" fillId="0" borderId="0" xfId="0"/>
    <xf numFmtId="0" fontId="0" fillId="0" borderId="0" xfId="0"/>
    <xf numFmtId="0" fontId="18" fillId="0" borderId="0" xfId="0" applyFont="1" applyBorder="1" applyAlignment="1">
      <alignment vertical="top" wrapText="1"/>
    </xf>
    <xf numFmtId="0" fontId="18" fillId="0" borderId="0" xfId="0" applyFont="1" applyBorder="1" applyAlignment="1">
      <alignment horizontal="center" vertical="center"/>
    </xf>
    <xf numFmtId="0" fontId="25" fillId="0" borderId="0" xfId="0" applyFont="1" applyBorder="1" applyAlignment="1">
      <alignment horizontal="left" vertical="top" wrapText="1"/>
    </xf>
    <xf numFmtId="0" fontId="0" fillId="0" borderId="0" xfId="0" applyFont="1" applyBorder="1" applyAlignment="1">
      <alignment horizontal="center" vertical="center"/>
    </xf>
    <xf numFmtId="0" fontId="18" fillId="0" borderId="10" xfId="0" applyFont="1" applyBorder="1" applyAlignment="1">
      <alignment horizontal="left" vertical="top" wrapText="1"/>
    </xf>
    <xf numFmtId="9" fontId="46" fillId="39" borderId="32" xfId="48" applyNumberFormat="1" applyFont="1" applyBorder="1">
      <protection locked="0"/>
    </xf>
    <xf numFmtId="0" fontId="0" fillId="0" borderId="0" xfId="0" applyAlignment="1">
      <alignment horizontal="right"/>
    </xf>
    <xf numFmtId="0" fontId="0" fillId="0" borderId="0" xfId="0"/>
    <xf numFmtId="0" fontId="16" fillId="0" borderId="0" xfId="0" applyFont="1" applyBorder="1" applyAlignment="1">
      <alignment horizontal="center" vertical="center"/>
    </xf>
    <xf numFmtId="0" fontId="0" fillId="0" borderId="0" xfId="0"/>
    <xf numFmtId="0" fontId="0" fillId="0" borderId="0" xfId="0" applyAlignment="1">
      <alignment horizontal="right"/>
    </xf>
    <xf numFmtId="0" fontId="25" fillId="0" borderId="0" xfId="0" applyFont="1" applyAlignment="1">
      <alignment horizontal="center" vertical="center"/>
    </xf>
    <xf numFmtId="0" fontId="16" fillId="0" borderId="0" xfId="0" applyFont="1" applyBorder="1" applyAlignment="1">
      <alignment horizontal="center" vertical="center"/>
    </xf>
    <xf numFmtId="188" fontId="46" fillId="39" borderId="10" xfId="48" applyNumberFormat="1" applyFont="1">
      <protection locked="0"/>
    </xf>
    <xf numFmtId="189" fontId="46" fillId="39" borderId="10" xfId="48" applyNumberFormat="1" applyFont="1">
      <protection locked="0"/>
    </xf>
    <xf numFmtId="190" fontId="46" fillId="39" borderId="10" xfId="48" applyNumberFormat="1" applyFont="1">
      <protection locked="0"/>
    </xf>
    <xf numFmtId="191" fontId="46" fillId="39" borderId="10" xfId="48" applyNumberFormat="1" applyFont="1">
      <protection locked="0"/>
    </xf>
    <xf numFmtId="192" fontId="46" fillId="39" borderId="10" xfId="48" applyNumberFormat="1" applyFont="1">
      <protection locked="0"/>
    </xf>
    <xf numFmtId="193" fontId="46" fillId="39" borderId="10" xfId="48" applyNumberFormat="1" applyFont="1">
      <protection locked="0"/>
    </xf>
    <xf numFmtId="166" fontId="46" fillId="39" borderId="32" xfId="48" applyNumberFormat="1" applyFont="1" applyBorder="1">
      <protection locked="0"/>
    </xf>
    <xf numFmtId="49" fontId="0" fillId="0" borderId="0" xfId="0" quotePrefix="1" applyNumberFormat="1" applyAlignment="1">
      <alignment horizontal="right"/>
    </xf>
    <xf numFmtId="0" fontId="0" fillId="0" borderId="0" xfId="0"/>
    <xf numFmtId="0" fontId="0" fillId="0" borderId="0" xfId="0" applyAlignment="1">
      <alignment wrapText="1"/>
    </xf>
    <xf numFmtId="0" fontId="16" fillId="0" borderId="0" xfId="0" applyFont="1"/>
    <xf numFmtId="0" fontId="0" fillId="0" borderId="0" xfId="0"/>
    <xf numFmtId="0" fontId="0" fillId="0" borderId="0" xfId="0" applyAlignment="1">
      <alignment horizontal="right"/>
    </xf>
    <xf numFmtId="0" fontId="16" fillId="0" borderId="10" xfId="0" applyFont="1" applyBorder="1" applyAlignment="1">
      <alignment horizontal="center" wrapText="1"/>
    </xf>
    <xf numFmtId="0" fontId="16" fillId="0" borderId="10" xfId="0" applyFont="1" applyBorder="1" applyAlignment="1">
      <alignment horizontal="center"/>
    </xf>
    <xf numFmtId="0" fontId="16" fillId="0" borderId="12" xfId="0" applyFont="1" applyBorder="1" applyAlignment="1">
      <alignment horizontal="center"/>
    </xf>
    <xf numFmtId="0" fontId="1" fillId="0" borderId="0" xfId="0" applyFont="1" applyFill="1"/>
    <xf numFmtId="0" fontId="0" fillId="0" borderId="0" xfId="0"/>
    <xf numFmtId="0" fontId="0" fillId="0" borderId="0" xfId="0"/>
    <xf numFmtId="0" fontId="0" fillId="0" borderId="0" xfId="0"/>
    <xf numFmtId="0" fontId="18" fillId="0" borderId="0" xfId="0" applyFont="1" applyBorder="1" applyAlignment="1">
      <alignment horizontal="center" vertical="center"/>
    </xf>
    <xf numFmtId="0" fontId="18" fillId="0" borderId="31" xfId="0" applyFont="1" applyBorder="1" applyAlignment="1">
      <alignment horizontal="center" vertical="center"/>
    </xf>
    <xf numFmtId="0" fontId="18" fillId="0" borderId="0" xfId="0" applyFont="1" applyAlignment="1">
      <alignment horizontal="center" vertical="center"/>
    </xf>
    <xf numFmtId="0" fontId="0" fillId="0" borderId="0" xfId="0" applyFont="1" applyAlignment="1">
      <alignment horizontal="left" vertical="top" wrapText="1"/>
    </xf>
    <xf numFmtId="0" fontId="70" fillId="0" borderId="0" xfId="0" applyFont="1" applyBorder="1" applyAlignment="1">
      <alignment horizontal="left" vertical="top" wrapText="1"/>
    </xf>
    <xf numFmtId="0" fontId="69" fillId="34" borderId="0" xfId="50" applyFont="1" applyAlignment="1" applyProtection="1">
      <protection locked="0"/>
    </xf>
    <xf numFmtId="0" fontId="21" fillId="34" borderId="0" xfId="50" applyAlignment="1"/>
    <xf numFmtId="0" fontId="23" fillId="0" borderId="0" xfId="0" applyFont="1"/>
    <xf numFmtId="0" fontId="0" fillId="0" borderId="0" xfId="0" applyAlignment="1">
      <alignment wrapText="1"/>
    </xf>
    <xf numFmtId="0" fontId="0" fillId="0" borderId="0" xfId="0" applyAlignment="1">
      <alignment horizontal="left" vertical="top" wrapText="1"/>
    </xf>
    <xf numFmtId="0" fontId="70" fillId="0" borderId="0" xfId="0" applyFont="1" applyAlignment="1">
      <alignment horizontal="left" vertical="top" wrapText="1"/>
    </xf>
    <xf numFmtId="0" fontId="71" fillId="0" borderId="0" xfId="57" applyFont="1" applyAlignment="1" applyProtection="1">
      <alignment horizontal="left" vertical="top" wrapText="1"/>
      <protection locked="0"/>
    </xf>
    <xf numFmtId="0" fontId="0" fillId="0" borderId="10" xfId="0" applyBorder="1" applyAlignment="1">
      <alignment horizontal="center" vertical="center"/>
    </xf>
    <xf numFmtId="0" fontId="19" fillId="0" borderId="10" xfId="0" applyFont="1" applyBorder="1" applyAlignment="1">
      <alignment horizontal="center" vertical="center" wrapText="1"/>
    </xf>
    <xf numFmtId="0" fontId="32" fillId="0" borderId="10" xfId="0" applyFont="1" applyBorder="1" applyAlignment="1">
      <alignment horizontal="center" vertical="top" wrapText="1"/>
    </xf>
    <xf numFmtId="0" fontId="0" fillId="0" borderId="0" xfId="0" applyAlignment="1">
      <alignment horizontal="center"/>
    </xf>
    <xf numFmtId="0" fontId="21" fillId="34" borderId="0" xfId="50" applyAlignment="1">
      <alignment horizontal="right"/>
    </xf>
    <xf numFmtId="14" fontId="21" fillId="34" borderId="23" xfId="50" applyNumberFormat="1" applyBorder="1" applyAlignment="1">
      <alignment horizontal="left"/>
    </xf>
    <xf numFmtId="0" fontId="0" fillId="0" borderId="0" xfId="0" applyAlignment="1">
      <alignment horizontal="left"/>
    </xf>
    <xf numFmtId="0" fontId="71" fillId="0" borderId="0" xfId="57" applyFont="1" applyAlignment="1" applyProtection="1">
      <alignment horizontal="left"/>
      <protection locked="0"/>
    </xf>
    <xf numFmtId="0" fontId="23" fillId="0" borderId="0" xfId="0" applyFont="1" applyAlignment="1">
      <alignment horizontal="left" vertical="top" wrapText="1"/>
    </xf>
    <xf numFmtId="0" fontId="16" fillId="0" borderId="0" xfId="0" applyFont="1" applyAlignment="1">
      <alignment horizontal="right"/>
    </xf>
    <xf numFmtId="0" fontId="13" fillId="0" borderId="0" xfId="60" applyAlignment="1">
      <alignment horizontal="right"/>
    </xf>
    <xf numFmtId="0" fontId="0" fillId="39" borderId="10" xfId="48" applyFont="1" applyAlignment="1">
      <alignment horizontal="left"/>
      <protection locked="0"/>
    </xf>
    <xf numFmtId="0" fontId="1" fillId="38" borderId="12" xfId="47" applyFont="1" applyBorder="1" applyAlignment="1">
      <alignment horizontal="left"/>
      <protection locked="0"/>
    </xf>
    <xf numFmtId="0" fontId="1" fillId="38" borderId="13" xfId="47" applyFont="1" applyBorder="1" applyAlignment="1">
      <alignment horizontal="left"/>
      <protection locked="0"/>
    </xf>
    <xf numFmtId="0" fontId="16" fillId="0" borderId="22" xfId="0" applyFont="1" applyBorder="1" applyAlignment="1">
      <alignment horizontal="right"/>
    </xf>
    <xf numFmtId="0" fontId="16" fillId="0" borderId="24" xfId="0" applyFont="1" applyBorder="1" applyAlignment="1">
      <alignment horizontal="right"/>
    </xf>
    <xf numFmtId="0" fontId="58" fillId="0" borderId="29" xfId="57" applyFont="1" applyBorder="1" applyAlignment="1" applyProtection="1">
      <alignment horizontal="center" vertical="center" wrapText="1"/>
      <protection locked="0"/>
    </xf>
    <xf numFmtId="0" fontId="58" fillId="0" borderId="0" xfId="57" applyFont="1" applyAlignment="1" applyProtection="1">
      <alignment horizontal="center" vertical="center" wrapText="1"/>
      <protection locked="0"/>
    </xf>
    <xf numFmtId="0" fontId="0" fillId="39" borderId="12" xfId="48" applyFont="1" applyBorder="1" applyAlignment="1">
      <alignment horizontal="left"/>
      <protection locked="0"/>
    </xf>
    <xf numFmtId="0" fontId="0" fillId="39" borderId="21" xfId="48" applyFont="1" applyBorder="1" applyAlignment="1">
      <alignment horizontal="left"/>
      <protection locked="0"/>
    </xf>
    <xf numFmtId="0" fontId="0" fillId="39" borderId="13" xfId="48" applyFont="1" applyBorder="1" applyAlignment="1">
      <alignment horizontal="left"/>
      <protection locked="0"/>
    </xf>
    <xf numFmtId="0" fontId="0" fillId="38" borderId="10" xfId="47" applyFont="1" applyAlignment="1">
      <alignment horizontal="left"/>
      <protection locked="0"/>
    </xf>
    <xf numFmtId="0" fontId="0" fillId="38" borderId="10" xfId="47" applyFont="1" applyBorder="1" applyAlignment="1">
      <alignment horizontal="left"/>
      <protection locked="0"/>
    </xf>
    <xf numFmtId="0" fontId="0" fillId="0" borderId="2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0" borderId="28" xfId="0" applyBorder="1" applyAlignment="1">
      <alignment wrapText="1"/>
    </xf>
    <xf numFmtId="0" fontId="0" fillId="0" borderId="25" xfId="0" applyBorder="1" applyAlignment="1">
      <alignment wrapText="1"/>
    </xf>
    <xf numFmtId="0" fontId="0" fillId="0" borderId="27" xfId="0" applyBorder="1" applyAlignment="1">
      <alignment wrapText="1"/>
    </xf>
    <xf numFmtId="0" fontId="0" fillId="39" borderId="17" xfId="48" applyFont="1" applyBorder="1" applyAlignment="1">
      <alignment horizontal="left"/>
      <protection locked="0"/>
    </xf>
    <xf numFmtId="0" fontId="0" fillId="38" borderId="12" xfId="47" applyFont="1" applyBorder="1" applyAlignment="1">
      <alignment horizontal="left"/>
      <protection locked="0"/>
    </xf>
    <xf numFmtId="0" fontId="0" fillId="38" borderId="21" xfId="47" applyFont="1" applyBorder="1" applyAlignment="1">
      <alignment horizontal="left"/>
      <protection locked="0"/>
    </xf>
    <xf numFmtId="0" fontId="0" fillId="38" borderId="13" xfId="47" applyFont="1" applyBorder="1" applyAlignment="1">
      <alignment horizontal="left"/>
      <protection locked="0"/>
    </xf>
    <xf numFmtId="0" fontId="13" fillId="0" borderId="0" xfId="60" applyAlignment="1">
      <alignment horizontal="right" wrapText="1"/>
    </xf>
    <xf numFmtId="0" fontId="0" fillId="39" borderId="22" xfId="48" applyFont="1" applyBorder="1" applyAlignment="1">
      <alignment horizontal="left" vertical="top" wrapText="1"/>
      <protection locked="0"/>
    </xf>
    <xf numFmtId="0" fontId="0" fillId="39" borderId="23" xfId="48" applyFont="1" applyBorder="1" applyAlignment="1">
      <alignment horizontal="left" vertical="top" wrapText="1"/>
      <protection locked="0"/>
    </xf>
    <xf numFmtId="0" fontId="0" fillId="39" borderId="24" xfId="48" applyFont="1" applyBorder="1" applyAlignment="1">
      <alignment horizontal="left" vertical="top" wrapText="1"/>
      <protection locked="0"/>
    </xf>
    <xf numFmtId="0" fontId="0" fillId="39" borderId="25" xfId="48" applyFont="1" applyBorder="1" applyAlignment="1">
      <alignment horizontal="left" vertical="top" wrapText="1"/>
      <protection locked="0"/>
    </xf>
    <xf numFmtId="0" fontId="0" fillId="39" borderId="26" xfId="48" applyFont="1" applyBorder="1" applyAlignment="1">
      <alignment horizontal="left" vertical="top" wrapText="1"/>
      <protection locked="0"/>
    </xf>
    <xf numFmtId="0" fontId="0" fillId="39" borderId="27" xfId="48" applyFont="1" applyBorder="1" applyAlignment="1">
      <alignment horizontal="left" vertical="top" wrapText="1"/>
      <protection locked="0"/>
    </xf>
    <xf numFmtId="0" fontId="0" fillId="0" borderId="22" xfId="0" applyBorder="1" applyAlignment="1">
      <alignment horizontal="left" wrapText="1"/>
    </xf>
    <xf numFmtId="0" fontId="0" fillId="0" borderId="23" xfId="0" applyBorder="1" applyAlignment="1">
      <alignment horizontal="left" wrapText="1"/>
    </xf>
    <xf numFmtId="0" fontId="0" fillId="0" borderId="24"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16" fillId="0" borderId="0" xfId="0" applyFont="1"/>
    <xf numFmtId="0" fontId="0" fillId="0" borderId="0" xfId="0"/>
    <xf numFmtId="0" fontId="16" fillId="0" borderId="0" xfId="0" applyFont="1" applyBorder="1" applyAlignment="1">
      <alignment horizontal="right" vertical="center"/>
    </xf>
    <xf numFmtId="0" fontId="16" fillId="0" borderId="0" xfId="0" applyFont="1" applyBorder="1" applyAlignment="1">
      <alignment horizontal="right" vertical="center" wrapText="1"/>
    </xf>
    <xf numFmtId="0" fontId="0" fillId="0" borderId="0" xfId="0" applyAlignment="1">
      <alignment horizontal="right"/>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0" fillId="37" borderId="17" xfId="54" applyFont="1" applyBorder="1">
      <alignment horizontal="left" vertical="top" wrapText="1"/>
      <protection locked="0"/>
    </xf>
    <xf numFmtId="0" fontId="0" fillId="37" borderId="10" xfId="54" applyFont="1">
      <alignment horizontal="left" vertical="top" wrapText="1"/>
      <protection locked="0"/>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18" fillId="0" borderId="23" xfId="0" applyFont="1" applyBorder="1" applyAlignment="1">
      <alignment vertical="top" wrapText="1"/>
    </xf>
    <xf numFmtId="0" fontId="18" fillId="0" borderId="26" xfId="0" applyFont="1" applyBorder="1" applyAlignment="1">
      <alignment vertical="top" wrapText="1"/>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18" fillId="0" borderId="26" xfId="0" applyFont="1" applyBorder="1" applyAlignment="1">
      <alignment horizontal="center" vertical="center"/>
    </xf>
    <xf numFmtId="0" fontId="68" fillId="0" borderId="0" xfId="0" applyFont="1" applyBorder="1" applyAlignment="1">
      <alignment horizontal="left" vertical="top" wrapText="1"/>
    </xf>
    <xf numFmtId="0" fontId="68" fillId="0" borderId="31" xfId="0" applyFont="1" applyBorder="1" applyAlignment="1">
      <alignment horizontal="left" vertical="top" wrapText="1"/>
    </xf>
    <xf numFmtId="0" fontId="25" fillId="0" borderId="0" xfId="0" applyFont="1" applyAlignment="1">
      <alignment horizontal="center" vertical="center"/>
    </xf>
    <xf numFmtId="0" fontId="25" fillId="0" borderId="31" xfId="0" applyFont="1" applyBorder="1" applyAlignment="1">
      <alignment horizontal="center" vertical="center"/>
    </xf>
    <xf numFmtId="0" fontId="68" fillId="0" borderId="23" xfId="0" applyFont="1" applyBorder="1" applyAlignment="1">
      <alignment horizontal="left" vertical="top" wrapText="1"/>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25" fillId="0" borderId="33"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Border="1" applyAlignment="1">
      <alignment horizontal="center" vertical="center"/>
    </xf>
    <xf numFmtId="0" fontId="18" fillId="0" borderId="31" xfId="0" applyFont="1"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xf>
    <xf numFmtId="0" fontId="18" fillId="0" borderId="23" xfId="0" applyFont="1" applyBorder="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center" vertical="center"/>
    </xf>
    <xf numFmtId="0" fontId="25" fillId="0" borderId="33" xfId="0" applyFont="1" applyBorder="1" applyAlignment="1">
      <alignment horizontal="left" vertical="top" wrapText="1"/>
    </xf>
    <xf numFmtId="0" fontId="25" fillId="0" borderId="0" xfId="0" applyFont="1" applyBorder="1" applyAlignment="1">
      <alignment horizontal="left" vertical="top" wrapText="1"/>
    </xf>
    <xf numFmtId="0" fontId="18" fillId="0" borderId="31" xfId="0" applyFont="1" applyBorder="1" applyAlignment="1">
      <alignment horizontal="left" vertical="top" wrapText="1"/>
    </xf>
    <xf numFmtId="0" fontId="0" fillId="37" borderId="34" xfId="54" applyFont="1" applyBorder="1">
      <alignment horizontal="left" vertical="top" wrapText="1"/>
      <protection locked="0"/>
    </xf>
    <xf numFmtId="0" fontId="55" fillId="0" borderId="0" xfId="0" applyFont="1" applyAlignment="1">
      <alignment vertical="top" wrapText="1"/>
    </xf>
    <xf numFmtId="0" fontId="68" fillId="0" borderId="26" xfId="0" applyFont="1" applyBorder="1" applyAlignment="1">
      <alignment horizontal="left" vertical="top" wrapText="1"/>
    </xf>
    <xf numFmtId="0" fontId="68" fillId="0" borderId="0" xfId="0" applyFont="1" applyAlignment="1">
      <alignment horizontal="left" vertical="top" wrapText="1"/>
    </xf>
    <xf numFmtId="0" fontId="25" fillId="0" borderId="0" xfId="0" applyFont="1" applyBorder="1" applyAlignment="1">
      <alignment horizontal="center" vertical="center" wrapText="1"/>
    </xf>
    <xf numFmtId="0" fontId="25" fillId="0" borderId="23" xfId="62" applyFont="1" applyBorder="1" applyAlignment="1">
      <alignment horizontal="center" vertical="center"/>
    </xf>
    <xf numFmtId="0" fontId="25" fillId="0" borderId="0" xfId="62" applyFont="1" applyBorder="1" applyAlignment="1">
      <alignment horizontal="center" vertical="center"/>
    </xf>
    <xf numFmtId="0" fontId="25" fillId="0" borderId="26" xfId="62"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vertical="top" wrapText="1"/>
    </xf>
    <xf numFmtId="0" fontId="25" fillId="0" borderId="0" xfId="0" applyNumberFormat="1" applyFont="1" applyBorder="1" applyAlignment="1">
      <alignment horizontal="center" vertical="center"/>
    </xf>
    <xf numFmtId="0" fontId="25" fillId="0" borderId="26" xfId="0" applyNumberFormat="1" applyFont="1" applyBorder="1" applyAlignment="1">
      <alignment horizontal="center" vertical="center"/>
    </xf>
    <xf numFmtId="0" fontId="25" fillId="0" borderId="0" xfId="0" applyFont="1" applyAlignment="1">
      <alignment horizontal="left" vertical="top" wrapText="1"/>
    </xf>
    <xf numFmtId="0" fontId="25" fillId="0" borderId="31" xfId="0" applyFont="1" applyBorder="1" applyAlignment="1">
      <alignment horizontal="left" vertical="top" wrapText="1"/>
    </xf>
    <xf numFmtId="0" fontId="0" fillId="37" borderId="15" xfId="54" applyFont="1" applyBorder="1">
      <alignment horizontal="left" vertical="top" wrapText="1"/>
      <protection locked="0"/>
    </xf>
    <xf numFmtId="0" fontId="0" fillId="37" borderId="16" xfId="54" applyFont="1" applyBorder="1">
      <alignment horizontal="left" vertical="top" wrapText="1"/>
      <protection locked="0"/>
    </xf>
    <xf numFmtId="0" fontId="0" fillId="37" borderId="53" xfId="54" applyFont="1" applyBorder="1">
      <alignment horizontal="left" vertical="top" wrapText="1"/>
      <protection locked="0"/>
    </xf>
    <xf numFmtId="0" fontId="55" fillId="0" borderId="33" xfId="0" applyFont="1" applyBorder="1" applyAlignment="1">
      <alignment vertical="top" wrapText="1"/>
    </xf>
    <xf numFmtId="0" fontId="55" fillId="0" borderId="0" xfId="0" applyFont="1" applyBorder="1" applyAlignment="1">
      <alignment vertical="top" wrapText="1"/>
    </xf>
    <xf numFmtId="0" fontId="55" fillId="0" borderId="31" xfId="0" applyFont="1" applyBorder="1" applyAlignment="1">
      <alignment vertical="top" wrapText="1"/>
    </xf>
    <xf numFmtId="164" fontId="29" fillId="40" borderId="14" xfId="65" applyAlignment="1">
      <alignment horizontal="left" vertical="top" wrapText="1"/>
    </xf>
    <xf numFmtId="49" fontId="16" fillId="0" borderId="0" xfId="0" applyNumberFormat="1" applyFont="1" applyAlignment="1">
      <alignment horizontal="center" textRotation="90"/>
    </xf>
    <xf numFmtId="0" fontId="0" fillId="0" borderId="10" xfId="0" applyBorder="1"/>
    <xf numFmtId="0" fontId="18" fillId="0" borderId="0" xfId="0" applyNumberFormat="1" applyFont="1" applyAlignment="1">
      <alignment horizontal="center" vertical="center"/>
    </xf>
    <xf numFmtId="0" fontId="18" fillId="0" borderId="0" xfId="62" applyNumberFormat="1" applyFont="1" applyBorder="1" applyAlignment="1">
      <alignment horizontal="center" vertical="center"/>
    </xf>
    <xf numFmtId="0" fontId="18" fillId="0" borderId="26" xfId="62" applyNumberFormat="1" applyFont="1" applyBorder="1" applyAlignment="1">
      <alignment horizontal="center" vertical="center"/>
    </xf>
    <xf numFmtId="0" fontId="24" fillId="34" borderId="18" xfId="63" applyBorder="1" applyAlignment="1">
      <alignment vertical="center"/>
    </xf>
    <xf numFmtId="0" fontId="24" fillId="34" borderId="18" xfId="63" applyAlignment="1">
      <alignment vertical="center"/>
    </xf>
    <xf numFmtId="0" fontId="18" fillId="0" borderId="0" xfId="62" applyNumberFormat="1" applyFont="1" applyAlignment="1">
      <alignment horizontal="center" vertical="center"/>
    </xf>
    <xf numFmtId="0" fontId="25" fillId="0" borderId="0" xfId="62" applyFont="1" applyAlignment="1">
      <alignment horizontal="center" vertical="center"/>
    </xf>
    <xf numFmtId="0" fontId="0" fillId="0" borderId="31" xfId="0" applyBorder="1" applyAlignment="1">
      <alignment horizontal="center" vertical="center"/>
    </xf>
    <xf numFmtId="0" fontId="0" fillId="37" borderId="37" xfId="54" applyFont="1" applyBorder="1">
      <alignment horizontal="left" vertical="top" wrapText="1"/>
      <protection locked="0"/>
    </xf>
    <xf numFmtId="0" fontId="18" fillId="0" borderId="23" xfId="62" applyNumberFormat="1" applyFont="1" applyBorder="1" applyAlignment="1">
      <alignment horizontal="center" vertical="center"/>
    </xf>
    <xf numFmtId="0" fontId="18" fillId="0" borderId="104" xfId="0" applyFont="1" applyBorder="1" applyAlignment="1">
      <alignment vertical="top" wrapText="1"/>
    </xf>
    <xf numFmtId="0" fontId="16" fillId="0" borderId="10" xfId="0" applyFont="1" applyBorder="1" applyAlignment="1">
      <alignment horizontal="left" vertical="center" indent="10"/>
    </xf>
    <xf numFmtId="0" fontId="16" fillId="0" borderId="10" xfId="0" applyFont="1" applyBorder="1" applyAlignment="1">
      <alignment horizontal="left" indent="10"/>
    </xf>
    <xf numFmtId="0" fontId="24" fillId="34" borderId="61" xfId="63" applyBorder="1" applyAlignment="1">
      <alignment vertical="center"/>
    </xf>
    <xf numFmtId="0" fontId="24" fillId="34" borderId="62" xfId="63" applyBorder="1" applyAlignment="1">
      <alignment vertical="center"/>
    </xf>
    <xf numFmtId="0" fontId="16" fillId="0" borderId="12" xfId="0" applyFont="1" applyBorder="1" applyAlignment="1">
      <alignment horizontal="left" vertical="center" indent="10"/>
    </xf>
    <xf numFmtId="0" fontId="16" fillId="0" borderId="21" xfId="0" applyFont="1" applyBorder="1" applyAlignment="1">
      <alignment horizontal="left" vertical="center" indent="10"/>
    </xf>
    <xf numFmtId="0" fontId="16" fillId="0" borderId="13" xfId="0" applyFont="1" applyBorder="1" applyAlignment="1">
      <alignment horizontal="left" vertical="center" indent="10"/>
    </xf>
    <xf numFmtId="14" fontId="0" fillId="0" borderId="12" xfId="0" applyNumberFormat="1" applyBorder="1"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24" fillId="34" borderId="19" xfId="63" applyBorder="1" applyAlignment="1">
      <alignment vertical="center"/>
    </xf>
    <xf numFmtId="0" fontId="24" fillId="34" borderId="0" xfId="63" applyBorder="1" applyAlignment="1">
      <alignment vertical="center"/>
    </xf>
    <xf numFmtId="0" fontId="24" fillId="34" borderId="20" xfId="63" applyBorder="1" applyAlignment="1">
      <alignment vertical="center"/>
    </xf>
    <xf numFmtId="0" fontId="24" fillId="34" borderId="18" xfId="63" applyBorder="1" applyAlignment="1">
      <alignment vertical="center" wrapText="1"/>
    </xf>
    <xf numFmtId="0" fontId="24" fillId="34" borderId="18" xfId="63" applyAlignment="1">
      <alignment vertical="center" wrapText="1"/>
    </xf>
    <xf numFmtId="0" fontId="55" fillId="0" borderId="0" xfId="0" applyFont="1" applyAlignment="1">
      <alignment horizontal="left" vertical="top" wrapText="1"/>
    </xf>
    <xf numFmtId="0" fontId="55" fillId="0" borderId="26" xfId="0" applyFont="1" applyBorder="1" applyAlignment="1">
      <alignment horizontal="left" vertical="top" wrapText="1"/>
    </xf>
    <xf numFmtId="0" fontId="55" fillId="0" borderId="23" xfId="0" applyFont="1" applyBorder="1" applyAlignment="1">
      <alignment horizontal="left" vertical="top" wrapText="1"/>
    </xf>
    <xf numFmtId="0" fontId="55" fillId="0" borderId="105" xfId="0" applyFont="1" applyBorder="1" applyAlignment="1">
      <alignment horizontal="left" vertical="top" wrapText="1"/>
    </xf>
    <xf numFmtId="0" fontId="40" fillId="2" borderId="0" xfId="0" applyFont="1" applyFill="1" applyBorder="1" applyAlignment="1">
      <alignment horizontal="center" vertical="center"/>
    </xf>
    <xf numFmtId="0" fontId="40" fillId="2" borderId="0" xfId="0" applyFont="1" applyFill="1" applyAlignment="1">
      <alignment horizontal="center" vertical="center"/>
    </xf>
    <xf numFmtId="0" fontId="40" fillId="2" borderId="31" xfId="0" applyFont="1" applyFill="1" applyBorder="1" applyAlignment="1">
      <alignment horizontal="center" vertical="center"/>
    </xf>
    <xf numFmtId="0" fontId="68" fillId="0" borderId="105" xfId="0" applyFont="1" applyBorder="1" applyAlignment="1">
      <alignment horizontal="left" vertical="top" wrapText="1"/>
    </xf>
    <xf numFmtId="0" fontId="18" fillId="0" borderId="0" xfId="0" applyFont="1" applyAlignment="1">
      <alignment vertical="top" wrapText="1"/>
    </xf>
    <xf numFmtId="0" fontId="18" fillId="0" borderId="31" xfId="0" applyFont="1" applyBorder="1" applyAlignment="1">
      <alignment vertical="top" wrapText="1"/>
    </xf>
    <xf numFmtId="0" fontId="25" fillId="0" borderId="26" xfId="0" applyFont="1" applyBorder="1" applyAlignment="1">
      <alignment horizontal="left" vertical="top" wrapText="1"/>
    </xf>
    <xf numFmtId="0" fontId="40" fillId="2" borderId="26" xfId="0" applyFont="1" applyFill="1" applyBorder="1" applyAlignment="1">
      <alignment horizontal="center" vertical="center"/>
    </xf>
    <xf numFmtId="0" fontId="26"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Border="1" applyAlignment="1">
      <alignment wrapText="1"/>
    </xf>
    <xf numFmtId="0" fontId="25" fillId="0" borderId="33" xfId="0" applyFont="1" applyBorder="1" applyAlignment="1">
      <alignment horizontal="center" vertical="center" wrapText="1"/>
    </xf>
    <xf numFmtId="164" fontId="29" fillId="40" borderId="47" xfId="65" applyBorder="1" applyAlignment="1">
      <alignment horizontal="left" vertical="top" wrapText="1"/>
    </xf>
    <xf numFmtId="164" fontId="29" fillId="40" borderId="48" xfId="65" applyBorder="1" applyAlignment="1">
      <alignment horizontal="left" vertical="top" wrapText="1"/>
    </xf>
    <xf numFmtId="0" fontId="25" fillId="0" borderId="0" xfId="0" applyFont="1" applyAlignment="1">
      <alignment horizontal="right" vertical="top" wrapText="1"/>
    </xf>
    <xf numFmtId="0" fontId="26" fillId="0" borderId="0" xfId="0" applyFont="1" applyAlignment="1">
      <alignment horizontal="left" vertical="top" wrapText="1"/>
    </xf>
    <xf numFmtId="0" fontId="27" fillId="0" borderId="23" xfId="0" applyFont="1" applyBorder="1" applyAlignment="1">
      <alignment horizontal="left" vertical="top" wrapText="1"/>
    </xf>
    <xf numFmtId="0" fontId="27" fillId="0" borderId="0" xfId="0" applyFont="1" applyBorder="1" applyAlignment="1">
      <alignment horizontal="left" vertical="top" wrapText="1"/>
    </xf>
    <xf numFmtId="164" fontId="29" fillId="40" borderId="14" xfId="65" applyBorder="1" applyAlignment="1">
      <alignment horizontal="left" vertical="top" wrapText="1"/>
    </xf>
    <xf numFmtId="0" fontId="40" fillId="2" borderId="33" xfId="0" applyFont="1" applyFill="1" applyBorder="1" applyAlignment="1">
      <alignment horizontal="center" vertical="center"/>
    </xf>
    <xf numFmtId="0" fontId="40" fillId="2" borderId="0" xfId="0" applyFont="1" applyFill="1" applyBorder="1" applyAlignment="1">
      <alignment horizontal="center" vertical="center" wrapText="1"/>
    </xf>
    <xf numFmtId="0" fontId="40" fillId="2" borderId="26" xfId="0" applyFont="1" applyFill="1" applyBorder="1" applyAlignment="1">
      <alignment horizontal="center" vertical="center" wrapText="1"/>
    </xf>
    <xf numFmtId="164" fontId="29" fillId="40" borderId="49" xfId="65" applyBorder="1" applyAlignment="1">
      <alignment horizontal="left" vertical="top" wrapText="1"/>
    </xf>
    <xf numFmtId="0" fontId="25" fillId="0" borderId="0" xfId="0" applyFont="1" applyBorder="1" applyAlignment="1">
      <alignment horizontal="right" vertical="top" wrapText="1"/>
    </xf>
    <xf numFmtId="164" fontId="29" fillId="40" borderId="50" xfId="65" applyBorder="1" applyAlignment="1">
      <alignment horizontal="left" vertical="top" wrapText="1"/>
    </xf>
    <xf numFmtId="0" fontId="26" fillId="0" borderId="0" xfId="0" applyFont="1" applyBorder="1" applyAlignment="1">
      <alignment horizontal="left" vertical="top" wrapText="1"/>
    </xf>
    <xf numFmtId="0" fontId="25" fillId="0" borderId="115" xfId="0" applyFont="1" applyBorder="1" applyAlignment="1">
      <alignment horizontal="right" vertical="top" wrapText="1"/>
    </xf>
    <xf numFmtId="0" fontId="25" fillId="0" borderId="23" xfId="0" applyFont="1" applyBorder="1" applyAlignment="1">
      <alignment horizontal="left" vertical="top" wrapText="1"/>
    </xf>
    <xf numFmtId="0" fontId="25" fillId="0" borderId="26"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0" xfId="0" applyFont="1" applyBorder="1" applyAlignment="1">
      <alignment horizontal="center" vertical="center" wrapText="1"/>
    </xf>
    <xf numFmtId="0" fontId="60" fillId="0" borderId="23" xfId="57" applyFont="1" applyBorder="1" applyAlignment="1" applyProtection="1">
      <alignment horizontal="center" vertical="center" wrapText="1"/>
      <protection locked="0"/>
    </xf>
    <xf numFmtId="0" fontId="60" fillId="0" borderId="0" xfId="57" applyFont="1" applyBorder="1" applyAlignment="1" applyProtection="1">
      <alignment horizontal="center" vertical="center" wrapText="1"/>
      <protection locked="0"/>
    </xf>
    <xf numFmtId="0" fontId="60" fillId="0" borderId="26" xfId="57" applyFont="1" applyBorder="1" applyAlignment="1" applyProtection="1">
      <alignment horizontal="center" vertical="center" wrapText="1"/>
      <protection locked="0"/>
    </xf>
    <xf numFmtId="0" fontId="60" fillId="0" borderId="0" xfId="57" applyFont="1" applyAlignment="1" applyProtection="1">
      <alignment horizontal="center" vertical="center" wrapText="1"/>
      <protection locked="0"/>
    </xf>
    <xf numFmtId="0" fontId="40" fillId="2" borderId="23" xfId="0" applyFont="1" applyFill="1" applyBorder="1" applyAlignment="1">
      <alignment horizontal="center" vertical="center"/>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25" fillId="0" borderId="0" xfId="62" applyFont="1" applyBorder="1">
      <alignment horizontal="center" vertical="center"/>
    </xf>
    <xf numFmtId="0" fontId="25" fillId="0" borderId="26" xfId="62" applyFont="1" applyBorder="1">
      <alignment horizontal="center" vertical="center"/>
    </xf>
    <xf numFmtId="0" fontId="55" fillId="0" borderId="0" xfId="0" applyFont="1" applyBorder="1" applyAlignment="1">
      <alignment horizontal="left" vertical="top" wrapText="1"/>
    </xf>
    <xf numFmtId="0" fontId="58" fillId="0" borderId="23" xfId="57" applyFont="1" applyBorder="1" applyAlignment="1" applyProtection="1">
      <alignment horizontal="center" vertical="center" wrapText="1"/>
      <protection locked="0"/>
    </xf>
    <xf numFmtId="0" fontId="58" fillId="0" borderId="26" xfId="57" applyFont="1" applyBorder="1" applyAlignment="1" applyProtection="1">
      <alignment horizontal="center" vertical="center" wrapText="1"/>
      <protection locked="0"/>
    </xf>
    <xf numFmtId="0" fontId="25" fillId="0" borderId="23" xfId="0" applyFont="1" applyBorder="1" applyAlignment="1">
      <alignment horizontal="center" vertical="center" wrapText="1"/>
    </xf>
    <xf numFmtId="0" fontId="58" fillId="0" borderId="0" xfId="57" applyFont="1" applyBorder="1" applyAlignment="1" applyProtection="1">
      <alignment horizontal="center" vertical="center" wrapText="1"/>
      <protection locked="0"/>
    </xf>
    <xf numFmtId="164" fontId="29" fillId="40" borderId="14" xfId="65" applyBorder="1">
      <alignment horizontal="left" vertical="top" wrapText="1"/>
    </xf>
    <xf numFmtId="164" fontId="29" fillId="40" borderId="50" xfId="65" applyBorder="1">
      <alignment horizontal="left" vertical="top" wrapText="1"/>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164" fontId="29" fillId="40" borderId="51" xfId="65" applyBorder="1">
      <alignment horizontal="left" vertical="top" wrapText="1"/>
    </xf>
    <xf numFmtId="164" fontId="29" fillId="40" borderId="47" xfId="65" applyBorder="1">
      <alignment horizontal="left" vertical="top" wrapText="1"/>
    </xf>
    <xf numFmtId="164" fontId="29" fillId="40" borderId="49" xfId="65" applyBorder="1">
      <alignment horizontal="left" vertical="top" wrapText="1"/>
    </xf>
    <xf numFmtId="0" fontId="25" fillId="36" borderId="33" xfId="52" applyFont="1" applyBorder="1" applyAlignment="1">
      <alignment horizontal="center" vertical="center" wrapText="1"/>
    </xf>
    <xf numFmtId="0" fontId="25" fillId="36" borderId="31" xfId="52" applyFont="1" applyBorder="1" applyAlignment="1">
      <alignment horizontal="center" vertical="center"/>
    </xf>
    <xf numFmtId="0" fontId="25" fillId="36" borderId="23" xfId="52" applyFont="1" applyBorder="1" applyAlignment="1">
      <alignment horizontal="center" vertical="center" wrapText="1"/>
    </xf>
    <xf numFmtId="0" fontId="25" fillId="36" borderId="0" xfId="52" applyFont="1" applyBorder="1" applyAlignment="1">
      <alignment horizontal="center" vertical="center" wrapText="1"/>
    </xf>
    <xf numFmtId="0" fontId="25" fillId="36" borderId="26" xfId="52" applyFont="1" applyBorder="1" applyAlignment="1">
      <alignment horizontal="center" vertical="center" wrapText="1"/>
    </xf>
    <xf numFmtId="0" fontId="24" fillId="34" borderId="18" xfId="63" applyBorder="1" applyAlignment="1">
      <alignment horizontal="center" vertical="center"/>
    </xf>
    <xf numFmtId="0" fontId="24" fillId="34" borderId="18" xfId="63" applyAlignment="1">
      <alignment horizontal="center" vertical="center"/>
    </xf>
    <xf numFmtId="0" fontId="27" fillId="0" borderId="0" xfId="0" applyFont="1" applyAlignment="1">
      <alignment horizontal="justify" vertical="top" wrapText="1"/>
    </xf>
    <xf numFmtId="0" fontId="55" fillId="0" borderId="33" xfId="0" applyFont="1" applyBorder="1" applyAlignment="1">
      <alignment horizontal="left" vertical="top" wrapText="1"/>
    </xf>
    <xf numFmtId="0" fontId="55" fillId="0" borderId="31" xfId="0" applyFont="1" applyBorder="1" applyAlignment="1">
      <alignment horizontal="left" vertical="top" wrapText="1"/>
    </xf>
    <xf numFmtId="0" fontId="43" fillId="0" borderId="0" xfId="0" applyFont="1" applyAlignment="1">
      <alignment horizontal="left" vertical="top" wrapText="1"/>
    </xf>
    <xf numFmtId="0" fontId="43" fillId="0" borderId="0" xfId="0" applyFont="1" applyBorder="1" applyAlignment="1">
      <alignment vertical="top" wrapText="1"/>
    </xf>
    <xf numFmtId="0" fontId="43" fillId="0" borderId="26" xfId="0" applyFont="1" applyBorder="1" applyAlignment="1">
      <alignment vertical="top" wrapText="1"/>
    </xf>
    <xf numFmtId="0" fontId="18" fillId="0" borderId="0" xfId="0" applyFont="1" applyAlignment="1">
      <alignment horizontal="right" vertical="top" wrapText="1"/>
    </xf>
    <xf numFmtId="164" fontId="29" fillId="40" borderId="14" xfId="65">
      <alignment horizontal="left" vertical="top" wrapText="1"/>
    </xf>
    <xf numFmtId="0" fontId="86" fillId="44" borderId="0" xfId="0" applyFont="1" applyFill="1" applyAlignment="1">
      <alignment horizontal="left" vertical="top" wrapText="1"/>
    </xf>
    <xf numFmtId="0" fontId="86" fillId="44" borderId="31" xfId="0" applyFont="1" applyFill="1" applyBorder="1" applyAlignment="1">
      <alignment horizontal="left" vertical="top" wrapText="1"/>
    </xf>
    <xf numFmtId="0" fontId="16" fillId="0" borderId="0" xfId="0" applyFont="1" applyAlignment="1">
      <alignment horizontal="center" vertical="center"/>
    </xf>
    <xf numFmtId="0" fontId="16" fillId="0" borderId="26" xfId="0" applyFont="1" applyBorder="1" applyAlignment="1">
      <alignment horizontal="center" vertical="center"/>
    </xf>
    <xf numFmtId="0" fontId="16" fillId="0" borderId="31" xfId="0" applyFont="1" applyBorder="1" applyAlignment="1">
      <alignment horizontal="center" vertical="center"/>
    </xf>
    <xf numFmtId="0" fontId="55" fillId="0" borderId="0" xfId="0" applyFont="1" applyBorder="1" applyAlignment="1">
      <alignment horizontal="center" vertical="center" wrapText="1"/>
    </xf>
    <xf numFmtId="0" fontId="55" fillId="0" borderId="26" xfId="0" applyFont="1" applyBorder="1" applyAlignment="1">
      <alignment horizontal="center" vertical="center" wrapText="1"/>
    </xf>
    <xf numFmtId="0" fontId="26" fillId="0" borderId="33" xfId="0" applyFont="1" applyBorder="1" applyAlignment="1">
      <alignment vertical="top" wrapText="1"/>
    </xf>
    <xf numFmtId="0" fontId="26" fillId="0" borderId="0" xfId="0" applyFont="1" applyBorder="1" applyAlignment="1">
      <alignment vertical="top" wrapText="1"/>
    </xf>
    <xf numFmtId="0" fontId="25" fillId="0" borderId="31" xfId="0" applyFont="1" applyBorder="1" applyAlignment="1">
      <alignment horizontal="center" vertical="center" wrapText="1"/>
    </xf>
    <xf numFmtId="0" fontId="25" fillId="0" borderId="33" xfId="0" applyFont="1" applyBorder="1" applyAlignment="1">
      <alignment vertical="top" wrapText="1"/>
    </xf>
    <xf numFmtId="0" fontId="25" fillId="0" borderId="31" xfId="0" applyFont="1" applyBorder="1" applyAlignment="1">
      <alignment vertical="top" wrapText="1"/>
    </xf>
    <xf numFmtId="0" fontId="25" fillId="0" borderId="26" xfId="0" applyFont="1" applyBorder="1" applyAlignment="1">
      <alignment horizontal="right" vertical="top" wrapText="1"/>
    </xf>
    <xf numFmtId="0" fontId="88" fillId="0" borderId="0" xfId="60" applyFont="1" applyAlignment="1">
      <alignment horizontal="center" vertical="center" wrapText="1"/>
    </xf>
    <xf numFmtId="0" fontId="26" fillId="0" borderId="0" xfId="0" applyFont="1" applyBorder="1" applyAlignment="1">
      <alignment horizontal="center" vertical="center"/>
    </xf>
    <xf numFmtId="0" fontId="26" fillId="0" borderId="26" xfId="0" applyFont="1" applyBorder="1" applyAlignment="1">
      <alignment horizontal="center" vertical="center"/>
    </xf>
    <xf numFmtId="0" fontId="25" fillId="0" borderId="105" xfId="0" applyFont="1" applyBorder="1" applyAlignment="1">
      <alignment horizontal="left" vertical="top" wrapText="1"/>
    </xf>
    <xf numFmtId="0" fontId="25" fillId="0" borderId="109" xfId="0" applyFont="1" applyBorder="1" applyAlignment="1">
      <alignment horizontal="left" vertical="top" wrapText="1"/>
    </xf>
    <xf numFmtId="0" fontId="26" fillId="0" borderId="0" xfId="0" applyFont="1" applyAlignment="1">
      <alignment horizontal="right" vertical="top" wrapText="1"/>
    </xf>
    <xf numFmtId="0" fontId="16" fillId="0" borderId="23" xfId="0" applyFont="1" applyBorder="1" applyAlignment="1">
      <alignment horizontal="center" vertical="center"/>
    </xf>
    <xf numFmtId="0" fontId="16" fillId="0" borderId="0" xfId="0" applyFont="1" applyBorder="1" applyAlignment="1">
      <alignment horizontal="center" vertical="center"/>
    </xf>
    <xf numFmtId="0" fontId="0" fillId="0" borderId="0" xfId="0" applyFont="1" applyBorder="1" applyAlignment="1">
      <alignment horizontal="center" vertical="center"/>
    </xf>
    <xf numFmtId="0" fontId="0" fillId="0" borderId="31" xfId="0" applyFont="1" applyBorder="1" applyAlignment="1">
      <alignment horizontal="center" vertical="center"/>
    </xf>
    <xf numFmtId="0" fontId="68" fillId="0" borderId="0" xfId="0" applyFont="1" applyBorder="1" applyAlignment="1">
      <alignment vertical="top" wrapText="1"/>
    </xf>
    <xf numFmtId="0" fontId="68" fillId="0" borderId="31" xfId="0" applyFont="1" applyBorder="1" applyAlignment="1">
      <alignment vertical="top" wrapText="1"/>
    </xf>
    <xf numFmtId="0" fontId="0" fillId="0" borderId="0" xfId="0" applyBorder="1" applyAlignment="1">
      <alignment horizontal="center" vertical="center"/>
    </xf>
    <xf numFmtId="0" fontId="0" fillId="0" borderId="33" xfId="0" applyBorder="1" applyAlignment="1">
      <alignment horizontal="center" vertical="center"/>
    </xf>
    <xf numFmtId="0" fontId="68" fillId="0" borderId="0" xfId="0" applyFont="1" applyAlignment="1">
      <alignment vertical="top" wrapText="1"/>
    </xf>
    <xf numFmtId="0" fontId="68" fillId="0" borderId="26" xfId="0" applyFont="1" applyBorder="1" applyAlignment="1">
      <alignment vertical="top" wrapText="1"/>
    </xf>
    <xf numFmtId="0" fontId="55" fillId="0" borderId="23" xfId="0" applyFont="1" applyBorder="1" applyAlignment="1">
      <alignment vertical="top" wrapText="1"/>
    </xf>
    <xf numFmtId="0" fontId="55" fillId="0" borderId="26" xfId="0" applyFont="1" applyBorder="1" applyAlignment="1">
      <alignment vertical="top" wrapText="1"/>
    </xf>
    <xf numFmtId="0" fontId="0" fillId="0" borderId="23" xfId="0"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12" xfId="0" applyFont="1" applyBorder="1" applyAlignment="1">
      <alignment horizontal="center" vertical="center"/>
    </xf>
    <xf numFmtId="0" fontId="55" fillId="0" borderId="105" xfId="0" applyFont="1" applyBorder="1" applyAlignment="1">
      <alignment vertical="top" wrapText="1"/>
    </xf>
    <xf numFmtId="0" fontId="26" fillId="0" borderId="0" xfId="0" applyFont="1" applyBorder="1" applyAlignment="1">
      <alignment horizontal="right" vertical="top" wrapText="1"/>
    </xf>
    <xf numFmtId="0" fontId="25" fillId="0" borderId="31" xfId="0" applyFont="1" applyBorder="1" applyAlignment="1">
      <alignment horizontal="right" vertical="top" wrapText="1"/>
    </xf>
    <xf numFmtId="0" fontId="26" fillId="0" borderId="26" xfId="0" applyFont="1" applyBorder="1" applyAlignment="1">
      <alignment horizontal="right" vertical="top" wrapText="1"/>
    </xf>
    <xf numFmtId="0" fontId="0" fillId="0" borderId="31" xfId="0" applyBorder="1" applyAlignment="1">
      <alignment wrapText="1"/>
    </xf>
    <xf numFmtId="0" fontId="18" fillId="0" borderId="113" xfId="0" applyFont="1" applyBorder="1" applyAlignment="1">
      <alignment vertical="top" wrapText="1"/>
    </xf>
    <xf numFmtId="0" fontId="18" fillId="0" borderId="109" xfId="0" applyFont="1" applyBorder="1" applyAlignment="1">
      <alignment vertical="top" wrapText="1"/>
    </xf>
    <xf numFmtId="0" fontId="18" fillId="38" borderId="0" xfId="0" applyFont="1" applyFill="1" applyAlignment="1">
      <alignment horizontal="center" vertical="center"/>
    </xf>
    <xf numFmtId="0" fontId="40" fillId="2" borderId="31" xfId="0" applyFont="1" applyFill="1" applyBorder="1" applyAlignment="1">
      <alignment horizontal="center" vertical="center" wrapText="1"/>
    </xf>
    <xf numFmtId="0" fontId="18" fillId="0" borderId="15" xfId="0" applyFont="1" applyBorder="1" applyAlignment="1">
      <alignment horizontal="left" vertical="top" wrapText="1"/>
    </xf>
    <xf numFmtId="0" fontId="18" fillId="0" borderId="17" xfId="0" applyFont="1"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18" fillId="0" borderId="16" xfId="0" applyFont="1" applyBorder="1" applyAlignment="1">
      <alignment horizontal="left" vertical="top" wrapText="1"/>
    </xf>
    <xf numFmtId="0" fontId="0" fillId="0" borderId="0" xfId="0" applyAlignment="1">
      <alignment textRotation="90"/>
    </xf>
    <xf numFmtId="0" fontId="72" fillId="0" borderId="0" xfId="0" applyFont="1" applyAlignment="1">
      <alignment horizontal="center" vertical="top" wrapText="1"/>
    </xf>
    <xf numFmtId="0" fontId="72" fillId="0" borderId="26" xfId="0" applyFont="1" applyBorder="1" applyAlignment="1">
      <alignment horizontal="center" vertical="top" wrapText="1"/>
    </xf>
    <xf numFmtId="164" fontId="29" fillId="40" borderId="117" xfId="65" applyBorder="1" applyAlignment="1">
      <alignment horizontal="left" vertical="top" wrapText="1"/>
    </xf>
    <xf numFmtId="164" fontId="29" fillId="40" borderId="119" xfId="65" applyBorder="1" applyAlignment="1">
      <alignment horizontal="left" vertical="top" wrapText="1"/>
    </xf>
    <xf numFmtId="164" fontId="29" fillId="40" borderId="81" xfId="65" applyBorder="1" applyAlignment="1">
      <alignment horizontal="left" vertical="top" wrapText="1"/>
    </xf>
    <xf numFmtId="164" fontId="29" fillId="40" borderId="116" xfId="65" applyBorder="1" applyAlignment="1">
      <alignment horizontal="left" vertical="top" wrapText="1"/>
    </xf>
    <xf numFmtId="164" fontId="29" fillId="40" borderId="118" xfId="65" applyBorder="1" applyAlignment="1">
      <alignment horizontal="left" vertical="top" wrapText="1"/>
    </xf>
    <xf numFmtId="164" fontId="29" fillId="40" borderId="120" xfId="65" applyBorder="1" applyAlignment="1">
      <alignment horizontal="left" vertical="top" wrapText="1"/>
    </xf>
    <xf numFmtId="0" fontId="18" fillId="0" borderId="0" xfId="0" applyFont="1" applyBorder="1" applyAlignment="1">
      <alignment horizontal="right" vertical="top" wrapText="1"/>
    </xf>
    <xf numFmtId="0" fontId="43" fillId="0" borderId="0" xfId="0" applyFont="1" applyBorder="1" applyAlignment="1">
      <alignment horizontal="left" vertical="top" wrapText="1"/>
    </xf>
    <xf numFmtId="0" fontId="84" fillId="0" borderId="0" xfId="0" applyFont="1" applyBorder="1" applyAlignment="1">
      <alignment horizontal="left" vertical="top" wrapText="1"/>
    </xf>
    <xf numFmtId="0" fontId="86" fillId="44" borderId="0" xfId="0" applyFont="1" applyFill="1" applyBorder="1" applyAlignment="1">
      <alignment horizontal="left" vertical="top" wrapText="1"/>
    </xf>
    <xf numFmtId="0" fontId="27" fillId="0" borderId="0" xfId="0" applyFont="1" applyBorder="1" applyAlignment="1">
      <alignment horizontal="justify" vertical="top" wrapText="1"/>
    </xf>
    <xf numFmtId="0" fontId="17" fillId="0" borderId="0" xfId="0" applyFont="1" applyBorder="1" applyAlignment="1">
      <alignment horizontal="center" wrapText="1"/>
    </xf>
    <xf numFmtId="0" fontId="18" fillId="0" borderId="15" xfId="0" applyFont="1" applyBorder="1" applyAlignment="1">
      <alignment vertical="top" wrapText="1"/>
    </xf>
    <xf numFmtId="0" fontId="18" fillId="0" borderId="16" xfId="0" applyFont="1" applyBorder="1" applyAlignment="1">
      <alignment vertical="top" wrapText="1"/>
    </xf>
    <xf numFmtId="0" fontId="18" fillId="0" borderId="10" xfId="0" applyFont="1" applyBorder="1" applyAlignment="1">
      <alignment horizontal="left" vertical="top" wrapText="1"/>
    </xf>
    <xf numFmtId="0" fontId="68" fillId="0" borderId="10" xfId="0" applyFont="1" applyBorder="1" applyAlignment="1">
      <alignment horizontal="left" vertical="top" wrapText="1"/>
    </xf>
    <xf numFmtId="0" fontId="0" fillId="0" borderId="10" xfId="0" applyBorder="1" applyAlignment="1">
      <alignment horizontal="left" vertical="top" wrapText="1"/>
    </xf>
    <xf numFmtId="164" fontId="29" fillId="40" borderId="114" xfId="65" applyBorder="1">
      <alignment horizontal="left" vertical="top" wrapText="1"/>
    </xf>
    <xf numFmtId="164" fontId="29" fillId="40" borderId="48" xfId="65" applyBorder="1">
      <alignment horizontal="left" vertical="top" wrapText="1"/>
    </xf>
    <xf numFmtId="0" fontId="18" fillId="0" borderId="17" xfId="0" applyFont="1" applyBorder="1" applyAlignment="1">
      <alignment vertical="top" wrapText="1"/>
    </xf>
    <xf numFmtId="0" fontId="25" fillId="0" borderId="15" xfId="0" applyFont="1" applyBorder="1" applyAlignment="1">
      <alignment vertical="top" wrapText="1"/>
    </xf>
    <xf numFmtId="0" fontId="25" fillId="0" borderId="17" xfId="0" applyFont="1" applyBorder="1" applyAlignment="1">
      <alignment vertical="top" wrapText="1"/>
    </xf>
    <xf numFmtId="0" fontId="19" fillId="0" borderId="12" xfId="0" applyFont="1" applyBorder="1" applyAlignment="1">
      <alignment horizontal="center" vertical="center"/>
    </xf>
    <xf numFmtId="0" fontId="19" fillId="0" borderId="21" xfId="0" applyFont="1" applyBorder="1" applyAlignment="1">
      <alignment horizontal="center" vertical="center"/>
    </xf>
    <xf numFmtId="0" fontId="19" fillId="0" borderId="13" xfId="0" applyFont="1" applyBorder="1" applyAlignment="1">
      <alignment horizontal="center" vertical="center"/>
    </xf>
    <xf numFmtId="0" fontId="16" fillId="0" borderId="10" xfId="0" applyFont="1" applyBorder="1" applyAlignment="1">
      <alignment horizontal="center" wrapText="1"/>
    </xf>
    <xf numFmtId="0" fontId="16" fillId="0" borderId="10" xfId="0" applyFont="1" applyBorder="1" applyAlignment="1">
      <alignment horizontal="center"/>
    </xf>
    <xf numFmtId="0" fontId="92" fillId="0" borderId="0" xfId="0" applyFont="1" applyBorder="1" applyAlignment="1">
      <alignment horizontal="left"/>
    </xf>
    <xf numFmtId="0" fontId="92" fillId="0" borderId="31" xfId="0" applyFont="1" applyBorder="1" applyAlignment="1">
      <alignment horizontal="left"/>
    </xf>
    <xf numFmtId="0" fontId="93" fillId="0" borderId="22" xfId="0" applyFont="1" applyBorder="1" applyAlignment="1">
      <alignment horizontal="center" vertical="center" wrapText="1"/>
    </xf>
    <xf numFmtId="0" fontId="93" fillId="0" borderId="23" xfId="0" applyFont="1" applyBorder="1" applyAlignment="1">
      <alignment horizontal="center" vertical="center" wrapText="1"/>
    </xf>
    <xf numFmtId="0" fontId="93" fillId="0" borderId="24" xfId="0" applyFont="1" applyBorder="1" applyAlignment="1">
      <alignment horizontal="center" vertical="center" wrapText="1"/>
    </xf>
    <xf numFmtId="0" fontId="93" fillId="0" borderId="121" xfId="0" applyFont="1" applyBorder="1" applyAlignment="1">
      <alignment horizontal="center" vertical="center" wrapText="1"/>
    </xf>
    <xf numFmtId="0" fontId="93" fillId="0" borderId="31" xfId="0" applyFont="1" applyBorder="1" applyAlignment="1">
      <alignment horizontal="center" vertical="center" wrapText="1"/>
    </xf>
    <xf numFmtId="0" fontId="93" fillId="0" borderId="30" xfId="0" applyFont="1" applyBorder="1" applyAlignment="1">
      <alignment horizontal="center"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95" fillId="0" borderId="0" xfId="0" applyFont="1" applyAlignment="1">
      <alignment horizontal="center" vertical="center"/>
    </xf>
    <xf numFmtId="0" fontId="0" fillId="0" borderId="17" xfId="0" applyBorder="1"/>
    <xf numFmtId="0" fontId="91" fillId="0" borderId="23" xfId="0" applyFont="1" applyBorder="1" applyAlignment="1">
      <alignment horizontal="center" vertical="center"/>
    </xf>
    <xf numFmtId="0" fontId="91" fillId="0" borderId="24" xfId="0" applyFont="1" applyBorder="1" applyAlignment="1">
      <alignment horizontal="center" vertical="center"/>
    </xf>
    <xf numFmtId="0" fontId="91" fillId="0" borderId="31" xfId="0" applyFont="1" applyBorder="1" applyAlignment="1">
      <alignment horizontal="center" vertical="center"/>
    </xf>
    <xf numFmtId="0" fontId="91" fillId="0" borderId="30" xfId="0" applyFont="1" applyBorder="1" applyAlignment="1">
      <alignment horizontal="center" vertical="center"/>
    </xf>
    <xf numFmtId="0" fontId="16" fillId="0" borderId="10" xfId="0" applyFont="1" applyBorder="1" applyAlignment="1">
      <alignment horizontal="center" vertical="center"/>
    </xf>
    <xf numFmtId="0" fontId="0" fillId="0" borderId="10" xfId="0" applyBorder="1" applyAlignment="1">
      <alignment wrapText="1"/>
    </xf>
    <xf numFmtId="0" fontId="16" fillId="0" borderId="10" xfId="0" applyFont="1" applyBorder="1"/>
    <xf numFmtId="0" fontId="16" fillId="0" borderId="12" xfId="0" applyFont="1" applyBorder="1"/>
    <xf numFmtId="0" fontId="16" fillId="0" borderId="21" xfId="0" applyFont="1" applyBorder="1"/>
    <xf numFmtId="0" fontId="16" fillId="0" borderId="13" xfId="0" applyFont="1" applyBorder="1"/>
    <xf numFmtId="0" fontId="0" fillId="0" borderId="12" xfId="0" applyBorder="1"/>
    <xf numFmtId="0" fontId="0" fillId="0" borderId="21" xfId="0" applyBorder="1"/>
    <xf numFmtId="0" fontId="0" fillId="0" borderId="13" xfId="0" applyBorder="1"/>
    <xf numFmtId="0" fontId="91" fillId="0" borderId="22" xfId="0" applyFont="1" applyBorder="1" applyAlignment="1">
      <alignment horizontal="center" vertical="center"/>
    </xf>
    <xf numFmtId="0" fontId="91" fillId="0" borderId="121" xfId="0" applyFont="1" applyBorder="1" applyAlignment="1">
      <alignment horizontal="center" vertical="center"/>
    </xf>
    <xf numFmtId="49" fontId="0" fillId="0" borderId="0" xfId="0" applyNumberFormat="1" applyAlignment="1">
      <alignment horizontal="center"/>
    </xf>
    <xf numFmtId="0" fontId="0" fillId="0" borderId="0" xfId="0" applyNumberFormat="1" applyAlignment="1">
      <alignment horizontal="center"/>
    </xf>
    <xf numFmtId="0" fontId="0" fillId="0" borderId="0" xfId="0" quotePrefix="1" applyNumberFormat="1" applyAlignment="1">
      <alignment horizont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0" fillId="0" borderId="0" xfId="0" applyAlignment="1">
      <alignment vertical="top" wrapText="1"/>
    </xf>
    <xf numFmtId="0" fontId="0" fillId="0" borderId="0" xfId="0" applyBorder="1" applyAlignment="1">
      <alignment vertical="top" wrapText="1"/>
    </xf>
    <xf numFmtId="0" fontId="0" fillId="0" borderId="26" xfId="0" applyBorder="1" applyAlignment="1">
      <alignment vertical="top" wrapText="1"/>
    </xf>
    <xf numFmtId="0" fontId="71" fillId="0" borderId="0" xfId="57" applyFont="1" applyBorder="1" applyAlignment="1" applyProtection="1">
      <alignment vertical="top"/>
      <protection locked="0"/>
    </xf>
    <xf numFmtId="0" fontId="0" fillId="0" borderId="0" xfId="0" applyFont="1" applyAlignment="1">
      <alignment vertical="top" wrapText="1"/>
    </xf>
    <xf numFmtId="0" fontId="0" fillId="0" borderId="23" xfId="0" applyBorder="1" applyAlignment="1">
      <alignment wrapText="1"/>
    </xf>
    <xf numFmtId="0" fontId="0" fillId="0" borderId="26" xfId="0" applyBorder="1" applyAlignment="1">
      <alignment wrapText="1"/>
    </xf>
    <xf numFmtId="0" fontId="0" fillId="0" borderId="26" xfId="0" applyBorder="1" applyAlignment="1" applyProtection="1">
      <alignment horizontal="center"/>
    </xf>
    <xf numFmtId="0" fontId="16" fillId="0" borderId="28" xfId="0" applyFont="1" applyBorder="1" applyAlignment="1">
      <alignment horizontal="right"/>
    </xf>
    <xf numFmtId="0" fontId="0" fillId="41" borderId="10" xfId="48" applyFont="1" applyFill="1" applyAlignment="1" applyProtection="1">
      <alignment horizontal="left"/>
    </xf>
    <xf numFmtId="0" fontId="0" fillId="41" borderId="10" xfId="47" applyFont="1" applyFill="1" applyAlignment="1" applyProtection="1">
      <alignment horizontal="left"/>
    </xf>
    <xf numFmtId="0" fontId="0" fillId="0" borderId="10" xfId="0" applyBorder="1" applyProtection="1">
      <protection locked="0"/>
    </xf>
    <xf numFmtId="0" fontId="21" fillId="34" borderId="19" xfId="50" applyBorder="1" applyAlignment="1"/>
    <xf numFmtId="0" fontId="21" fillId="34" borderId="0" xfId="50" applyBorder="1" applyAlignment="1"/>
    <xf numFmtId="0" fontId="21" fillId="34" borderId="20" xfId="50" applyBorder="1" applyAlignment="1"/>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38" borderId="10" xfId="47" applyFont="1" applyAlignment="1">
      <alignment horizontal="left" vertical="top"/>
      <protection locked="0"/>
    </xf>
    <xf numFmtId="0" fontId="1" fillId="38" borderId="10" xfId="47" applyFont="1" applyAlignment="1">
      <alignment horizontal="left"/>
      <protection locked="0"/>
    </xf>
    <xf numFmtId="0" fontId="1" fillId="41" borderId="12" xfId="47" applyFont="1" applyFill="1" applyBorder="1" applyAlignment="1" applyProtection="1">
      <alignment horizontal="left"/>
    </xf>
    <xf numFmtId="0" fontId="1" fillId="41" borderId="13" xfId="47" applyFont="1" applyFill="1" applyBorder="1" applyAlignment="1" applyProtection="1">
      <alignment horizontal="left"/>
    </xf>
    <xf numFmtId="0" fontId="13" fillId="0" borderId="0" xfId="60" applyBorder="1" applyAlignment="1">
      <alignment horizontal="right"/>
    </xf>
    <xf numFmtId="0" fontId="13" fillId="0" borderId="82" xfId="60" applyBorder="1" applyAlignment="1">
      <alignment horizontal="right"/>
    </xf>
    <xf numFmtId="0" fontId="0" fillId="41" borderId="10" xfId="47" applyFont="1" applyFill="1" applyBorder="1" applyAlignment="1" applyProtection="1">
      <alignment horizontal="left"/>
    </xf>
    <xf numFmtId="0" fontId="0" fillId="41" borderId="22" xfId="48" applyFont="1" applyFill="1" applyBorder="1" applyAlignment="1" applyProtection="1">
      <alignment horizontal="left" vertical="top" wrapText="1"/>
    </xf>
    <xf numFmtId="0" fontId="0" fillId="41" borderId="23" xfId="48" applyFont="1" applyFill="1" applyBorder="1" applyAlignment="1" applyProtection="1">
      <alignment horizontal="left" vertical="top" wrapText="1"/>
    </xf>
    <xf numFmtId="0" fontId="0" fillId="41" borderId="24" xfId="48" applyFont="1" applyFill="1" applyBorder="1" applyAlignment="1" applyProtection="1">
      <alignment horizontal="left" vertical="top" wrapText="1"/>
    </xf>
    <xf numFmtId="0" fontId="0" fillId="41" borderId="25" xfId="48" applyFont="1" applyFill="1" applyBorder="1" applyAlignment="1" applyProtection="1">
      <alignment horizontal="left" vertical="top" wrapText="1"/>
    </xf>
    <xf numFmtId="0" fontId="0" fillId="41" borderId="26" xfId="48" applyFont="1" applyFill="1" applyBorder="1" applyAlignment="1" applyProtection="1">
      <alignment horizontal="left" vertical="top" wrapText="1"/>
    </xf>
    <xf numFmtId="0" fontId="0" fillId="41" borderId="27" xfId="48" applyFont="1" applyFill="1" applyBorder="1" applyAlignment="1" applyProtection="1">
      <alignment horizontal="left" vertical="top" wrapText="1"/>
    </xf>
    <xf numFmtId="0" fontId="0" fillId="0" borderId="0" xfId="0" applyAlignment="1" applyProtection="1">
      <alignment horizontal="left"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38" borderId="10" xfId="47" applyFont="1">
      <protection locked="0"/>
    </xf>
    <xf numFmtId="164" fontId="33" fillId="40" borderId="29" xfId="65" applyFont="1" applyBorder="1" applyAlignment="1">
      <alignment horizontal="center" vertical="center" wrapText="1"/>
    </xf>
    <xf numFmtId="164" fontId="33" fillId="40" borderId="0" xfId="65" applyFont="1" applyBorder="1" applyAlignment="1">
      <alignment horizontal="center" vertical="center" wrapText="1"/>
    </xf>
    <xf numFmtId="164" fontId="33" fillId="40" borderId="28" xfId="65" applyFont="1" applyBorder="1" applyAlignment="1">
      <alignment horizontal="center" vertical="center" wrapText="1"/>
    </xf>
    <xf numFmtId="164" fontId="33" fillId="40" borderId="25" xfId="65" applyFont="1" applyBorder="1" applyAlignment="1">
      <alignment horizontal="center" vertical="center" wrapText="1"/>
    </xf>
    <xf numFmtId="164" fontId="33" fillId="40" borderId="26" xfId="65" applyFont="1" applyBorder="1" applyAlignment="1">
      <alignment horizontal="center" vertical="center" wrapText="1"/>
    </xf>
    <xf numFmtId="164" fontId="33" fillId="40" borderId="27" xfId="65" applyFont="1" applyBorder="1" applyAlignment="1">
      <alignment horizontal="center" vertical="center" wrapText="1"/>
    </xf>
    <xf numFmtId="0" fontId="79" fillId="0" borderId="55" xfId="60" applyFont="1" applyBorder="1" applyAlignment="1">
      <alignment horizontal="center" vertical="center"/>
    </xf>
    <xf numFmtId="0" fontId="79" fillId="0" borderId="56" xfId="60" applyFont="1" applyBorder="1" applyAlignment="1">
      <alignment horizontal="center" vertical="center"/>
    </xf>
    <xf numFmtId="0" fontId="79" fillId="0" borderId="57" xfId="60" applyFont="1" applyBorder="1" applyAlignment="1">
      <alignment horizontal="center" vertical="center"/>
    </xf>
    <xf numFmtId="0" fontId="79" fillId="0" borderId="58" xfId="60" applyFont="1" applyBorder="1" applyAlignment="1">
      <alignment horizontal="center" vertical="center"/>
    </xf>
    <xf numFmtId="0" fontId="79" fillId="0" borderId="59" xfId="60" applyFont="1" applyBorder="1" applyAlignment="1">
      <alignment horizontal="center" vertical="center"/>
    </xf>
    <xf numFmtId="0" fontId="79" fillId="0" borderId="60" xfId="60" applyFont="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0" xfId="0" applyFont="1" applyAlignment="1">
      <alignment horizontal="center" vertical="center"/>
    </xf>
    <xf numFmtId="0" fontId="0" fillId="0" borderId="26" xfId="0" applyFont="1" applyBorder="1" applyAlignment="1">
      <alignment horizontal="center" vertical="center"/>
    </xf>
    <xf numFmtId="0" fontId="0" fillId="37" borderId="10" xfId="66" applyFont="1">
      <alignment horizontal="left" vertical="top" wrapText="1"/>
    </xf>
    <xf numFmtId="0" fontId="0" fillId="0" borderId="21"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37" borderId="10" xfId="66" applyFont="1" applyBorder="1">
      <alignment horizontal="left" vertical="top" wrapText="1"/>
    </xf>
    <xf numFmtId="0" fontId="0" fillId="37" borderId="32" xfId="66" applyFont="1" applyBorder="1">
      <alignment horizontal="left" vertical="top" wrapText="1"/>
    </xf>
    <xf numFmtId="0" fontId="0" fillId="37" borderId="10" xfId="66" applyFont="1" applyProtection="1">
      <alignment horizontal="left" vertical="top" wrapText="1"/>
      <protection locked="0"/>
    </xf>
    <xf numFmtId="0" fontId="0" fillId="37" borderId="10" xfId="66" applyFont="1" applyBorder="1" applyProtection="1">
      <alignment horizontal="left" vertical="top" wrapText="1"/>
      <protection locked="0"/>
    </xf>
    <xf numFmtId="0" fontId="0" fillId="37" borderId="17" xfId="66" applyFont="1" applyBorder="1" applyProtection="1">
      <alignment horizontal="left" vertical="top" wrapText="1"/>
      <protection locked="0"/>
    </xf>
    <xf numFmtId="0" fontId="0" fillId="37" borderId="32" xfId="66" applyFont="1" applyBorder="1" applyProtection="1">
      <alignment horizontal="left" vertical="top" wrapText="1"/>
      <protection locked="0"/>
    </xf>
    <xf numFmtId="0" fontId="0" fillId="37" borderId="15" xfId="66" applyFont="1" applyBorder="1" applyProtection="1">
      <alignment horizontal="left" vertical="top" wrapText="1"/>
      <protection locked="0"/>
    </xf>
    <xf numFmtId="0" fontId="0" fillId="37" borderId="34" xfId="66" applyFont="1" applyBorder="1" applyProtection="1">
      <alignment horizontal="left" vertical="top" wrapText="1"/>
      <protection locked="0"/>
    </xf>
    <xf numFmtId="0" fontId="0" fillId="37" borderId="37" xfId="66" applyFont="1" applyBorder="1" applyProtection="1">
      <alignment horizontal="left" vertical="top" wrapText="1"/>
      <protection locked="0"/>
    </xf>
    <xf numFmtId="0" fontId="0" fillId="37" borderId="53" xfId="66" applyFont="1" applyBorder="1" applyProtection="1">
      <alignment horizontal="left" vertical="top" wrapText="1"/>
      <protection locked="0"/>
    </xf>
    <xf numFmtId="0" fontId="0" fillId="37" borderId="16" xfId="66" applyFont="1" applyBorder="1" applyProtection="1">
      <alignment horizontal="left" vertical="top" wrapText="1"/>
      <protection locked="0"/>
    </xf>
    <xf numFmtId="0" fontId="80" fillId="34" borderId="61" xfId="63" applyFont="1" applyBorder="1" applyAlignment="1" applyProtection="1">
      <alignment horizontal="center" vertical="center"/>
      <protection locked="0"/>
    </xf>
    <xf numFmtId="0" fontId="81" fillId="34" borderId="62" xfId="63" applyFont="1" applyBorder="1" applyAlignment="1" applyProtection="1">
      <alignment horizontal="center" vertical="center"/>
      <protection locked="0"/>
    </xf>
    <xf numFmtId="0" fontId="0" fillId="37" borderId="13" xfId="66" applyFont="1" applyBorder="1" applyProtection="1">
      <alignment horizontal="left" vertical="top" wrapText="1"/>
      <protection locked="0"/>
    </xf>
    <xf numFmtId="0" fontId="0" fillId="37" borderId="54" xfId="66" applyFont="1" applyBorder="1" applyProtection="1">
      <alignment horizontal="left" vertical="top" wrapText="1"/>
      <protection locked="0"/>
    </xf>
    <xf numFmtId="0" fontId="0" fillId="37" borderId="27" xfId="66" applyFont="1" applyBorder="1" applyProtection="1">
      <alignment horizontal="left" vertical="top" wrapText="1"/>
      <protection locked="0"/>
    </xf>
    <xf numFmtId="0" fontId="0" fillId="37" borderId="17" xfId="66" applyFont="1" applyBorder="1">
      <alignment horizontal="left" vertical="top" wrapText="1"/>
    </xf>
    <xf numFmtId="0" fontId="0" fillId="37" borderId="34" xfId="66" applyFont="1" applyBorder="1">
      <alignment horizontal="left" vertical="top" wrapText="1"/>
    </xf>
    <xf numFmtId="0" fontId="0" fillId="37" borderId="15" xfId="66" applyFont="1" applyBorder="1">
      <alignment horizontal="left" vertical="top" wrapText="1"/>
    </xf>
    <xf numFmtId="0" fontId="0" fillId="37" borderId="16" xfId="66" applyFont="1" applyBorder="1">
      <alignment horizontal="left" vertical="top" wrapText="1"/>
    </xf>
    <xf numFmtId="164" fontId="29" fillId="40" borderId="51" xfId="65" applyBorder="1" applyAlignment="1">
      <alignment horizontal="left" vertical="top" wrapText="1"/>
    </xf>
    <xf numFmtId="0" fontId="0" fillId="37" borderId="53" xfId="66" applyFont="1" applyBorder="1">
      <alignment horizontal="left" vertical="top" wrapText="1"/>
    </xf>
    <xf numFmtId="0" fontId="1" fillId="0" borderId="0" xfId="62" applyNumberFormat="1" applyFont="1" applyBorder="1" applyAlignment="1">
      <alignment horizontal="center" vertical="center"/>
    </xf>
    <xf numFmtId="0" fontId="1" fillId="0" borderId="26" xfId="62" applyNumberFormat="1" applyFont="1" applyBorder="1" applyAlignment="1">
      <alignment horizontal="center" vertical="center"/>
    </xf>
    <xf numFmtId="0" fontId="1" fillId="0" borderId="23" xfId="62" applyNumberFormat="1" applyFont="1" applyBorder="1" applyAlignment="1">
      <alignment horizontal="center" vertical="center"/>
    </xf>
    <xf numFmtId="0" fontId="13" fillId="0" borderId="12" xfId="60" applyBorder="1" applyAlignment="1"/>
    <xf numFmtId="0" fontId="13" fillId="0" borderId="13" xfId="60" applyBorder="1" applyAlignment="1"/>
    <xf numFmtId="0" fontId="24" fillId="34" borderId="18" xfId="63">
      <alignment vertical="center" wrapText="1"/>
    </xf>
    <xf numFmtId="0" fontId="0" fillId="0" borderId="21" xfId="0" applyBorder="1" applyAlignment="1">
      <alignment horizontal="left" vertical="center"/>
    </xf>
    <xf numFmtId="0" fontId="0" fillId="0" borderId="13"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NumberFormat="1" applyFont="1" applyAlignment="1">
      <alignment horizontal="center" vertical="center"/>
    </xf>
    <xf numFmtId="0" fontId="16" fillId="0" borderId="10" xfId="0" applyFont="1" applyBorder="1" applyAlignment="1">
      <alignment horizontal="right"/>
    </xf>
    <xf numFmtId="0" fontId="16" fillId="0" borderId="10" xfId="0" applyFont="1" applyFill="1" applyBorder="1" applyAlignment="1">
      <alignment horizontal="right"/>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10" xfId="0" applyFont="1" applyBorder="1" applyAlignment="1">
      <alignment horizontal="center" vertical="center"/>
    </xf>
    <xf numFmtId="0" fontId="0" fillId="0" borderId="10" xfId="0" applyFont="1" applyFill="1" applyBorder="1" applyAlignment="1">
      <alignment horizontal="left"/>
    </xf>
    <xf numFmtId="0" fontId="1" fillId="0" borderId="0" xfId="62" applyNumberFormat="1" applyFont="1" applyAlignment="1">
      <alignment horizontal="center" vertical="center"/>
    </xf>
    <xf numFmtId="0" fontId="1" fillId="0" borderId="0" xfId="62" applyFont="1">
      <alignment horizontal="center" vertical="center"/>
    </xf>
    <xf numFmtId="0" fontId="0" fillId="37" borderId="37" xfId="66" applyFont="1" applyBorder="1">
      <alignment horizontal="left" vertical="top" wrapText="1"/>
    </xf>
    <xf numFmtId="0" fontId="26" fillId="0" borderId="0" xfId="0" applyFont="1" applyAlignment="1">
      <alignment vertical="top" wrapText="1"/>
    </xf>
    <xf numFmtId="0" fontId="0" fillId="37" borderId="12" xfId="54" applyFont="1" applyBorder="1">
      <alignment horizontal="left" vertical="top" wrapText="1"/>
      <protection locked="0"/>
    </xf>
    <xf numFmtId="0" fontId="0" fillId="38" borderId="0" xfId="0" applyFont="1" applyFill="1" applyAlignment="1">
      <alignment horizontal="center" vertical="center"/>
    </xf>
    <xf numFmtId="0" fontId="18" fillId="0" borderId="105" xfId="0" applyFont="1" applyBorder="1" applyAlignment="1">
      <alignment vertical="top" wrapText="1"/>
    </xf>
    <xf numFmtId="0" fontId="16" fillId="0" borderId="0" xfId="0" applyFont="1" applyAlignment="1">
      <alignment horizontal="right" vertical="center" wrapText="1"/>
    </xf>
    <xf numFmtId="0" fontId="16" fillId="0" borderId="0" xfId="0" applyFont="1" applyAlignment="1">
      <alignment horizontal="right" vertical="center"/>
    </xf>
    <xf numFmtId="49" fontId="0" fillId="38" borderId="10" xfId="47" applyNumberFormat="1" applyFont="1" applyBorder="1" applyAlignment="1">
      <alignment horizontal="left" vertical="top"/>
      <protection locked="0"/>
    </xf>
    <xf numFmtId="49" fontId="0" fillId="38" borderId="10" xfId="47" applyNumberFormat="1" applyFont="1" applyBorder="1" applyAlignment="1">
      <alignment horizontal="left" vertical="top" wrapText="1"/>
      <protection locked="0"/>
    </xf>
    <xf numFmtId="49" fontId="0" fillId="38" borderId="10" xfId="47" applyNumberFormat="1" applyFont="1" applyBorder="1" applyAlignment="1">
      <alignment horizontal="left"/>
      <protection locked="0"/>
    </xf>
    <xf numFmtId="0" fontId="66" fillId="0" borderId="0" xfId="0" applyFont="1" applyAlignment="1">
      <alignment horizontal="left" vertical="center"/>
    </xf>
    <xf numFmtId="0" fontId="16" fillId="0" borderId="31" xfId="0" applyFont="1" applyBorder="1" applyAlignment="1">
      <alignment horizontal="left"/>
    </xf>
    <xf numFmtId="0" fontId="65" fillId="37" borderId="10" xfId="66" applyFont="1" applyBorder="1">
      <alignment horizontal="left" vertical="top" wrapText="1"/>
    </xf>
    <xf numFmtId="0" fontId="0" fillId="0" borderId="15" xfId="0" applyBorder="1" applyAlignment="1">
      <alignment horizontal="left" vertical="top" wrapText="1"/>
    </xf>
    <xf numFmtId="0" fontId="61" fillId="0" borderId="15" xfId="0" applyFont="1" applyBorder="1" applyAlignment="1">
      <alignment horizontal="center" vertical="center" wrapText="1"/>
    </xf>
    <xf numFmtId="0" fontId="61" fillId="0" borderId="16" xfId="0" applyFont="1" applyBorder="1" applyAlignment="1">
      <alignment horizontal="center" vertical="center" wrapText="1"/>
    </xf>
    <xf numFmtId="164" fontId="29" fillId="40" borderId="14" xfId="65" applyBorder="1" applyAlignment="1">
      <alignment horizontal="center" vertical="center" wrapText="1"/>
    </xf>
    <xf numFmtId="49" fontId="0" fillId="0" borderId="15" xfId="0" applyNumberFormat="1" applyBorder="1" applyAlignment="1">
      <alignment horizontal="left" vertical="top" wrapText="1"/>
    </xf>
    <xf numFmtId="49" fontId="0" fillId="0" borderId="17" xfId="0" applyNumberFormat="1" applyBorder="1" applyAlignment="1">
      <alignment horizontal="left" vertical="top" wrapText="1"/>
    </xf>
    <xf numFmtId="0" fontId="0" fillId="41" borderId="0" xfId="0" applyFill="1" applyAlignment="1">
      <alignment horizontal="left" indent="1"/>
    </xf>
    <xf numFmtId="49" fontId="0" fillId="39" borderId="12" xfId="48" applyNumberFormat="1" applyFont="1" applyBorder="1">
      <protection locked="0"/>
    </xf>
    <xf numFmtId="49" fontId="0" fillId="39" borderId="13" xfId="48" applyNumberFormat="1" applyFont="1" applyBorder="1">
      <protection locked="0"/>
    </xf>
    <xf numFmtId="49" fontId="18" fillId="39" borderId="10" xfId="48" applyNumberFormat="1" applyFont="1" applyAlignment="1">
      <alignment horizontal="left"/>
      <protection locked="0"/>
    </xf>
    <xf numFmtId="0" fontId="0" fillId="39" borderId="22" xfId="48" applyNumberFormat="1" applyFont="1" applyBorder="1" applyAlignment="1" applyProtection="1">
      <alignment horizontal="center" vertical="center"/>
    </xf>
    <xf numFmtId="0" fontId="0" fillId="39" borderId="29" xfId="48" applyNumberFormat="1" applyFont="1" applyBorder="1" applyAlignment="1" applyProtection="1">
      <alignment horizontal="center" vertical="center"/>
    </xf>
    <xf numFmtId="0" fontId="0" fillId="39" borderId="25" xfId="48" applyNumberFormat="1" applyFont="1" applyBorder="1" applyAlignment="1" applyProtection="1">
      <alignment horizontal="center" vertical="center"/>
    </xf>
    <xf numFmtId="49" fontId="0" fillId="39" borderId="10" xfId="48" applyNumberFormat="1" applyFont="1">
      <protection locked="0"/>
    </xf>
    <xf numFmtId="0" fontId="0" fillId="0" borderId="0" xfId="0" applyAlignment="1">
      <alignment horizontal="left" vertical="top"/>
    </xf>
    <xf numFmtId="0" fontId="16" fillId="0" borderId="0" xfId="0" applyFont="1" applyBorder="1" applyAlignment="1">
      <alignment horizontal="right" vertical="top"/>
    </xf>
    <xf numFmtId="49" fontId="0" fillId="39" borderId="10" xfId="48" applyNumberFormat="1" applyFont="1" applyAlignment="1">
      <alignment horizontal="left" vertical="top" wrapText="1"/>
      <protection locked="0"/>
    </xf>
    <xf numFmtId="0" fontId="13" fillId="0" borderId="0" xfId="60" applyBorder="1" applyAlignment="1">
      <alignment vertical="center"/>
    </xf>
    <xf numFmtId="0" fontId="16" fillId="0" borderId="15" xfId="0" applyFont="1" applyBorder="1" applyAlignment="1">
      <alignment horizontal="center" wrapText="1"/>
    </xf>
    <xf numFmtId="0" fontId="16" fillId="0" borderId="17" xfId="0" applyFont="1" applyBorder="1" applyAlignment="1">
      <alignment horizontal="center" wrapText="1"/>
    </xf>
    <xf numFmtId="0" fontId="0" fillId="0" borderId="0" xfId="0" applyFill="1" applyAlignment="1">
      <alignment horizontal="left" vertical="top"/>
    </xf>
    <xf numFmtId="0" fontId="13" fillId="0" borderId="0" xfId="60" applyAlignment="1"/>
    <xf numFmtId="49" fontId="0" fillId="39" borderId="10" xfId="48" applyNumberFormat="1" applyFont="1" applyAlignment="1">
      <alignment horizontal="left"/>
      <protection locked="0"/>
    </xf>
    <xf numFmtId="49" fontId="0" fillId="38" borderId="22" xfId="47" applyNumberFormat="1" applyFont="1" applyBorder="1" applyAlignment="1">
      <alignment horizontal="left" vertical="top" wrapText="1"/>
      <protection locked="0"/>
    </xf>
    <xf numFmtId="49" fontId="0" fillId="38" borderId="23" xfId="47" applyNumberFormat="1" applyFont="1" applyBorder="1" applyAlignment="1">
      <alignment horizontal="left" vertical="top" wrapText="1"/>
      <protection locked="0"/>
    </xf>
    <xf numFmtId="49" fontId="0" fillId="38" borderId="24" xfId="47" applyNumberFormat="1" applyFont="1" applyBorder="1" applyAlignment="1">
      <alignment horizontal="left" vertical="top" wrapText="1"/>
      <protection locked="0"/>
    </xf>
    <xf numFmtId="49" fontId="0" fillId="38" borderId="29" xfId="47" applyNumberFormat="1" applyFont="1" applyBorder="1" applyAlignment="1">
      <alignment horizontal="left" vertical="top" wrapText="1"/>
      <protection locked="0"/>
    </xf>
    <xf numFmtId="49" fontId="0" fillId="38" borderId="0" xfId="47" applyNumberFormat="1" applyFont="1" applyBorder="1" applyAlignment="1">
      <alignment horizontal="left" vertical="top" wrapText="1"/>
      <protection locked="0"/>
    </xf>
    <xf numFmtId="49" fontId="0" fillId="38" borderId="28" xfId="47" applyNumberFormat="1" applyFont="1" applyBorder="1" applyAlignment="1">
      <alignment horizontal="left" vertical="top" wrapText="1"/>
      <protection locked="0"/>
    </xf>
    <xf numFmtId="49" fontId="0" fillId="38" borderId="25" xfId="47" applyNumberFormat="1" applyFont="1" applyBorder="1" applyAlignment="1">
      <alignment horizontal="left" vertical="top" wrapText="1"/>
      <protection locked="0"/>
    </xf>
    <xf numFmtId="49" fontId="0" fillId="38" borderId="26" xfId="47" applyNumberFormat="1" applyFont="1" applyBorder="1" applyAlignment="1">
      <alignment horizontal="left" vertical="top" wrapText="1"/>
      <protection locked="0"/>
    </xf>
    <xf numFmtId="49" fontId="0" fillId="38" borderId="27" xfId="47" applyNumberFormat="1" applyFont="1" applyBorder="1" applyAlignment="1">
      <alignment horizontal="left" vertical="top" wrapText="1"/>
      <protection locked="0"/>
    </xf>
    <xf numFmtId="0" fontId="46" fillId="0" borderId="0" xfId="0" applyFont="1" applyAlignment="1">
      <alignment horizontal="left"/>
    </xf>
    <xf numFmtId="0" fontId="16" fillId="0" borderId="0" xfId="0" applyFont="1" applyBorder="1" applyAlignment="1">
      <alignment horizontal="left"/>
    </xf>
    <xf numFmtId="0" fontId="0" fillId="0" borderId="0" xfId="0" applyAlignment="1">
      <alignment horizontal="center" wrapText="1"/>
    </xf>
    <xf numFmtId="0" fontId="13" fillId="0" borderId="0" xfId="60" applyBorder="1" applyAlignment="1">
      <alignment wrapText="1"/>
    </xf>
    <xf numFmtId="0" fontId="13" fillId="0" borderId="0" xfId="60" applyAlignment="1">
      <alignment wrapText="1"/>
    </xf>
    <xf numFmtId="0" fontId="0" fillId="41" borderId="0" xfId="0" applyFill="1" applyAlignment="1">
      <alignment horizontal="left" vertical="center" wrapText="1" indent="1"/>
    </xf>
    <xf numFmtId="0" fontId="0" fillId="41" borderId="0" xfId="0" applyFill="1" applyAlignment="1">
      <alignment horizontal="left" wrapText="1" indent="1"/>
    </xf>
    <xf numFmtId="49" fontId="18" fillId="39" borderId="10" xfId="48" applyNumberFormat="1" applyFont="1" applyBorder="1" applyAlignment="1">
      <alignment horizontal="left"/>
      <protection locked="0"/>
    </xf>
    <xf numFmtId="0" fontId="16" fillId="0" borderId="10" xfId="0" applyFont="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6" fillId="0" borderId="0" xfId="0" applyFont="1" applyBorder="1" applyAlignment="1">
      <alignment horizontal="right"/>
    </xf>
    <xf numFmtId="0" fontId="16" fillId="0" borderId="0" xfId="0" applyFont="1" applyBorder="1" applyAlignment="1">
      <alignment horizontal="left" vertical="center"/>
    </xf>
    <xf numFmtId="49" fontId="0" fillId="38" borderId="10" xfId="47" applyNumberFormat="1" applyFont="1" applyAlignment="1">
      <alignment horizontal="center"/>
      <protection locked="0"/>
    </xf>
    <xf numFmtId="49" fontId="0" fillId="38" borderId="22" xfId="47" applyNumberFormat="1" applyFont="1" applyBorder="1" applyAlignment="1">
      <alignment horizontal="center" wrapText="1"/>
      <protection locked="0"/>
    </xf>
    <xf numFmtId="49" fontId="0" fillId="38" borderId="23" xfId="47" applyNumberFormat="1" applyFont="1" applyBorder="1" applyAlignment="1">
      <alignment horizontal="center" wrapText="1"/>
      <protection locked="0"/>
    </xf>
    <xf numFmtId="49" fontId="0" fillId="38" borderId="24" xfId="47" applyNumberFormat="1" applyFont="1" applyBorder="1" applyAlignment="1">
      <alignment horizontal="center" wrapText="1"/>
      <protection locked="0"/>
    </xf>
    <xf numFmtId="49" fontId="0" fillId="38" borderId="29" xfId="47" applyNumberFormat="1" applyFont="1" applyBorder="1" applyAlignment="1">
      <alignment horizontal="center" wrapText="1"/>
      <protection locked="0"/>
    </xf>
    <xf numFmtId="49" fontId="0" fillId="38" borderId="0" xfId="47" applyNumberFormat="1" applyFont="1" applyBorder="1" applyAlignment="1">
      <alignment horizontal="center" wrapText="1"/>
      <protection locked="0"/>
    </xf>
    <xf numFmtId="49" fontId="0" fillId="38" borderId="28" xfId="47" applyNumberFormat="1" applyFont="1" applyBorder="1" applyAlignment="1">
      <alignment horizontal="center" wrapText="1"/>
      <protection locked="0"/>
    </xf>
    <xf numFmtId="49" fontId="0" fillId="38" borderId="25" xfId="47" applyNumberFormat="1" applyFont="1" applyBorder="1" applyAlignment="1">
      <alignment horizontal="center" wrapText="1"/>
      <protection locked="0"/>
    </xf>
    <xf numFmtId="49" fontId="0" fillId="38" borderId="26" xfId="47" applyNumberFormat="1" applyFont="1" applyBorder="1" applyAlignment="1">
      <alignment horizontal="center" wrapText="1"/>
      <protection locked="0"/>
    </xf>
    <xf numFmtId="49" fontId="0" fillId="38" borderId="27" xfId="47" applyNumberFormat="1" applyFont="1" applyBorder="1" applyAlignment="1">
      <alignment horizontal="center" wrapText="1"/>
      <protection locked="0"/>
    </xf>
    <xf numFmtId="0" fontId="77" fillId="0" borderId="0" xfId="0" applyFont="1" applyAlignment="1">
      <alignment horizontal="left" vertical="center" wrapText="1"/>
    </xf>
    <xf numFmtId="0" fontId="76" fillId="0" borderId="10" xfId="0" applyFont="1" applyBorder="1" applyAlignment="1">
      <alignment vertical="center" wrapText="1"/>
    </xf>
    <xf numFmtId="0" fontId="76" fillId="0" borderId="86" xfId="0" applyFont="1" applyBorder="1" applyAlignment="1">
      <alignment vertical="center" wrapText="1"/>
    </xf>
    <xf numFmtId="0" fontId="71" fillId="0" borderId="10" xfId="67" applyBorder="1" applyAlignment="1">
      <alignment vertical="center" wrapText="1"/>
    </xf>
    <xf numFmtId="0" fontId="71" fillId="0" borderId="86" xfId="67" applyBorder="1" applyAlignment="1">
      <alignment vertical="center" wrapText="1"/>
    </xf>
    <xf numFmtId="0" fontId="76" fillId="0" borderId="84" xfId="0" applyFont="1" applyBorder="1" applyAlignment="1">
      <alignment vertical="center" wrapText="1"/>
    </xf>
    <xf numFmtId="0" fontId="76" fillId="0" borderId="83" xfId="0" applyFont="1" applyBorder="1" applyAlignment="1">
      <alignment vertical="center" wrapText="1"/>
    </xf>
    <xf numFmtId="0" fontId="74" fillId="0" borderId="28" xfId="0" applyFont="1" applyBorder="1" applyAlignment="1">
      <alignment horizontal="center" vertical="center" wrapText="1"/>
    </xf>
    <xf numFmtId="0" fontId="74" fillId="0" borderId="16" xfId="0" applyFont="1" applyBorder="1" applyAlignment="1">
      <alignment horizontal="center" vertical="center" wrapText="1"/>
    </xf>
    <xf numFmtId="0" fontId="74" fillId="0" borderId="29" xfId="0" applyFont="1" applyBorder="1" applyAlignment="1">
      <alignment horizontal="center" vertical="center" wrapText="1"/>
    </xf>
    <xf numFmtId="0" fontId="74" fillId="0" borderId="97" xfId="0" applyFont="1" applyBorder="1" applyAlignment="1">
      <alignment horizontal="center" vertical="center" wrapText="1"/>
    </xf>
    <xf numFmtId="0" fontId="74" fillId="0" borderId="96" xfId="0" applyFont="1" applyBorder="1" applyAlignment="1">
      <alignment horizontal="center" vertical="center" wrapText="1"/>
    </xf>
    <xf numFmtId="0" fontId="74" fillId="0" borderId="95" xfId="0" applyFont="1" applyBorder="1" applyAlignment="1">
      <alignment horizontal="center" vertical="center" wrapText="1"/>
    </xf>
    <xf numFmtId="0" fontId="73" fillId="0" borderId="100" xfId="0" applyFont="1" applyBorder="1" applyAlignment="1">
      <alignment vertical="center" wrapText="1"/>
    </xf>
    <xf numFmtId="0" fontId="73" fillId="0" borderId="99" xfId="0" applyFont="1" applyBorder="1" applyAlignment="1">
      <alignment vertical="center" wrapText="1"/>
    </xf>
    <xf numFmtId="0" fontId="73" fillId="0" borderId="87" xfId="0" applyFont="1" applyBorder="1" applyAlignment="1">
      <alignment vertical="center" wrapText="1"/>
    </xf>
    <xf numFmtId="0" fontId="73" fillId="0" borderId="10" xfId="0" applyFont="1" applyBorder="1" applyAlignment="1">
      <alignment vertical="center" wrapText="1"/>
    </xf>
    <xf numFmtId="0" fontId="73" fillId="0" borderId="85" xfId="0" applyFont="1" applyBorder="1" applyAlignment="1">
      <alignment vertical="center" wrapText="1"/>
    </xf>
    <xf numFmtId="0" fontId="73" fillId="0" borderId="84" xfId="0" applyFont="1" applyBorder="1" applyAlignment="1">
      <alignment vertical="center" wrapText="1"/>
    </xf>
    <xf numFmtId="0" fontId="74" fillId="0" borderId="94" xfId="0" applyFont="1" applyBorder="1" applyAlignment="1">
      <alignment horizontal="center" vertical="center" wrapText="1"/>
    </xf>
    <xf numFmtId="0" fontId="74" fillId="0" borderId="93" xfId="0" applyFont="1" applyBorder="1" applyAlignment="1">
      <alignment horizontal="center" vertical="center" wrapText="1"/>
    </xf>
    <xf numFmtId="0" fontId="74" fillId="0" borderId="92" xfId="0" applyFont="1" applyBorder="1" applyAlignment="1">
      <alignment horizontal="center" vertical="center" wrapText="1"/>
    </xf>
    <xf numFmtId="0" fontId="76" fillId="0" borderId="17" xfId="0" applyFont="1" applyBorder="1" applyAlignment="1">
      <alignment vertical="center" wrapText="1"/>
    </xf>
    <xf numFmtId="0" fontId="76" fillId="0" borderId="90" xfId="0" applyFont="1" applyBorder="1" applyAlignment="1">
      <alignment vertical="center" wrapText="1"/>
    </xf>
    <xf numFmtId="0" fontId="74" fillId="0" borderId="73" xfId="0" applyFont="1" applyBorder="1" applyAlignment="1">
      <alignment horizontal="center" vertical="center" wrapText="1"/>
    </xf>
    <xf numFmtId="0" fontId="74" fillId="0" borderId="89" xfId="0" applyFont="1" applyBorder="1" applyAlignment="1">
      <alignment horizontal="center" vertical="center" wrapText="1"/>
    </xf>
    <xf numFmtId="0" fontId="74" fillId="0" borderId="72" xfId="0" applyFont="1" applyBorder="1" applyAlignment="1">
      <alignment horizontal="center" vertical="center" wrapText="1"/>
    </xf>
    <xf numFmtId="0" fontId="74" fillId="0" borderId="68" xfId="0" applyFont="1" applyBorder="1" applyAlignment="1">
      <alignment horizontal="center" vertical="center" wrapText="1"/>
    </xf>
    <xf numFmtId="0" fontId="74" fillId="0" borderId="74" xfId="0" applyFont="1" applyBorder="1" applyAlignment="1">
      <alignment horizontal="center" vertical="center" wrapText="1"/>
    </xf>
    <xf numFmtId="0" fontId="74" fillId="0" borderId="64" xfId="0" applyFont="1" applyBorder="1" applyAlignment="1">
      <alignment horizontal="center" vertical="center" wrapText="1"/>
    </xf>
    <xf numFmtId="0" fontId="73" fillId="0" borderId="91" xfId="0" applyFont="1" applyBorder="1" applyAlignment="1">
      <alignment vertical="center" wrapText="1"/>
    </xf>
    <xf numFmtId="0" fontId="73" fillId="0" borderId="17" xfId="0" applyFont="1" applyBorder="1" applyAlignment="1">
      <alignment vertical="center" wrapText="1"/>
    </xf>
    <xf numFmtId="0" fontId="73" fillId="0" borderId="86" xfId="0" applyFont="1" applyBorder="1" applyAlignment="1">
      <alignment vertical="center" wrapText="1"/>
    </xf>
    <xf numFmtId="0" fontId="74" fillId="0" borderId="0" xfId="0" applyFont="1" applyBorder="1" applyAlignment="1">
      <alignment horizontal="justify" vertical="center" wrapText="1"/>
    </xf>
    <xf numFmtId="0" fontId="74" fillId="0" borderId="0" xfId="0" applyFont="1" applyBorder="1" applyAlignment="1">
      <alignment horizontal="justify" vertical="top" wrapText="1"/>
    </xf>
    <xf numFmtId="0" fontId="75" fillId="45" borderId="88" xfId="0" applyFont="1" applyFill="1" applyBorder="1" applyAlignment="1">
      <alignment vertical="center" wrapText="1"/>
    </xf>
    <xf numFmtId="0" fontId="75" fillId="45" borderId="0" xfId="0" applyFont="1" applyFill="1" applyBorder="1" applyAlignment="1">
      <alignment vertical="center" wrapText="1"/>
    </xf>
    <xf numFmtId="0" fontId="73" fillId="0" borderId="0" xfId="0" applyFont="1" applyBorder="1" applyAlignment="1">
      <alignment horizontal="justify" vertical="center" wrapText="1"/>
    </xf>
    <xf numFmtId="0" fontId="74" fillId="0" borderId="0" xfId="0" applyFont="1" applyBorder="1" applyAlignment="1">
      <alignment horizontal="center" vertical="center" wrapText="1"/>
    </xf>
    <xf numFmtId="0" fontId="73" fillId="0" borderId="98" xfId="0" applyFont="1" applyBorder="1" applyAlignment="1">
      <alignment vertical="center" wrapText="1"/>
    </xf>
    <xf numFmtId="0" fontId="73" fillId="0" borderId="83" xfId="0" applyFont="1" applyBorder="1" applyAlignment="1">
      <alignment vertical="center" wrapText="1"/>
    </xf>
    <xf numFmtId="0" fontId="27" fillId="0" borderId="0" xfId="0" applyFont="1" applyAlignment="1">
      <alignment vertical="center" wrapText="1"/>
    </xf>
    <xf numFmtId="0" fontId="26" fillId="0" borderId="0" xfId="0" applyFont="1" applyAlignment="1">
      <alignment horizontal="center" vertical="center"/>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6" fillId="0" borderId="10" xfId="0" applyFont="1" applyBorder="1" applyAlignment="1">
      <alignment horizontal="center" vertical="center"/>
    </xf>
    <xf numFmtId="0" fontId="27" fillId="0" borderId="10" xfId="0" applyFont="1" applyBorder="1" applyAlignment="1">
      <alignment horizontal="center" vertical="center"/>
    </xf>
    <xf numFmtId="0" fontId="26" fillId="0" borderId="26" xfId="0" applyFont="1" applyBorder="1" applyAlignment="1">
      <alignment horizontal="center" vertical="center" wrapText="1"/>
    </xf>
    <xf numFmtId="0" fontId="58" fillId="0" borderId="0" xfId="57" applyAlignment="1" applyProtection="1">
      <alignment horizontal="left" vertical="top" wrapText="1"/>
      <protection locked="0"/>
    </xf>
    <xf numFmtId="0" fontId="58" fillId="37" borderId="77" xfId="57" applyFill="1" applyBorder="1" applyAlignment="1" applyProtection="1">
      <alignment horizontal="center"/>
      <protection locked="0"/>
    </xf>
    <xf numFmtId="0" fontId="58" fillId="37" borderId="78" xfId="57" applyFill="1" applyBorder="1" applyAlignment="1" applyProtection="1">
      <alignment horizontal="center"/>
      <protection locked="0"/>
    </xf>
    <xf numFmtId="0" fontId="58" fillId="37" borderId="79" xfId="57" applyFill="1" applyBorder="1" applyAlignment="1" applyProtection="1">
      <alignment horizontal="center"/>
      <protection locked="0"/>
    </xf>
    <xf numFmtId="0" fontId="58" fillId="37" borderId="46" xfId="57" applyFill="1" applyBorder="1" applyAlignment="1" applyProtection="1">
      <alignment horizontal="center"/>
      <protection locked="0"/>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45" fillId="43" borderId="12" xfId="0" applyFont="1" applyFill="1" applyBorder="1" applyAlignment="1">
      <alignment horizontal="center" vertical="center" wrapText="1"/>
    </xf>
    <xf numFmtId="0" fontId="45" fillId="43" borderId="21" xfId="0" applyFont="1" applyFill="1" applyBorder="1" applyAlignment="1">
      <alignment horizontal="center" vertical="center" wrapText="1"/>
    </xf>
    <xf numFmtId="0" fontId="45" fillId="43" borderId="13" xfId="0" applyFont="1" applyFill="1" applyBorder="1" applyAlignment="1">
      <alignment horizontal="center" vertical="center" wrapText="1"/>
    </xf>
    <xf numFmtId="0" fontId="45" fillId="43" borderId="21" xfId="0" applyFont="1" applyFill="1" applyBorder="1" applyAlignment="1">
      <alignment horizontal="center" vertical="top"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58" fillId="37" borderId="10" xfId="57" applyFill="1" applyBorder="1" applyAlignment="1" applyProtection="1">
      <alignment horizontal="center"/>
      <protection locked="0"/>
    </xf>
    <xf numFmtId="0" fontId="58" fillId="0" borderId="41" xfId="57" applyBorder="1" applyAlignment="1" applyProtection="1">
      <alignment horizontal="center"/>
    </xf>
    <xf numFmtId="0" fontId="58" fillId="0" borderId="0" xfId="57" applyBorder="1" applyAlignment="1" applyProtection="1">
      <alignment horizont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18" fillId="0" borderId="10" xfId="0" applyFont="1" applyBorder="1" applyAlignment="1">
      <alignment horizontal="left" vertical="top"/>
    </xf>
    <xf numFmtId="0" fontId="25" fillId="0" borderId="26" xfId="0" applyFont="1" applyBorder="1" applyAlignment="1">
      <alignment horizontal="center" wrapText="1"/>
    </xf>
    <xf numFmtId="0" fontId="26" fillId="0" borderId="0" xfId="0" applyFont="1" applyAlignment="1">
      <alignment horizontal="center" vertical="top" wrapText="1"/>
    </xf>
    <xf numFmtId="0" fontId="49" fillId="0" borderId="22" xfId="0" applyFont="1" applyBorder="1" applyAlignment="1">
      <alignment horizontal="left" vertical="top" wrapText="1"/>
    </xf>
    <xf numFmtId="0" fontId="49" fillId="0" borderId="23" xfId="0" applyFont="1" applyBorder="1" applyAlignment="1">
      <alignment horizontal="left" vertical="top" wrapText="1"/>
    </xf>
    <xf numFmtId="0" fontId="49" fillId="0" borderId="24" xfId="0" applyFont="1" applyBorder="1" applyAlignment="1">
      <alignment horizontal="left" vertical="top" wrapText="1"/>
    </xf>
    <xf numFmtId="0" fontId="49" fillId="0" borderId="29" xfId="0" applyFont="1" applyBorder="1" applyAlignment="1">
      <alignment horizontal="left" vertical="top" wrapText="1"/>
    </xf>
    <xf numFmtId="0" fontId="49" fillId="0" borderId="0" xfId="0" applyFont="1" applyBorder="1" applyAlignment="1">
      <alignment horizontal="left" vertical="top" wrapText="1"/>
    </xf>
    <xf numFmtId="0" fontId="49" fillId="0" borderId="28" xfId="0" applyFont="1" applyBorder="1" applyAlignment="1">
      <alignment horizontal="left" vertical="top" wrapText="1"/>
    </xf>
    <xf numFmtId="0" fontId="38" fillId="0" borderId="25" xfId="0" applyFont="1" applyBorder="1" applyAlignment="1">
      <alignment horizontal="left" vertical="top" wrapText="1"/>
    </xf>
    <xf numFmtId="0" fontId="38" fillId="0" borderId="26" xfId="0" applyFont="1" applyBorder="1" applyAlignment="1">
      <alignment horizontal="left" vertical="top" wrapText="1"/>
    </xf>
    <xf numFmtId="0" fontId="38" fillId="0" borderId="27" xfId="0" applyFont="1" applyBorder="1" applyAlignment="1">
      <alignment horizontal="left" vertical="top" wrapText="1"/>
    </xf>
    <xf numFmtId="0" fontId="72" fillId="0" borderId="10" xfId="0" applyFont="1" applyBorder="1" applyAlignment="1">
      <alignment vertical="center" wrapText="1"/>
    </xf>
    <xf numFmtId="0" fontId="18" fillId="0" borderId="10" xfId="0" applyFont="1" applyBorder="1" applyAlignment="1">
      <alignment horizontal="left" wrapText="1"/>
    </xf>
    <xf numFmtId="0" fontId="25" fillId="0" borderId="0" xfId="0" applyFont="1" applyBorder="1" applyAlignment="1">
      <alignment horizontal="center" wrapText="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22"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5" xfId="0" applyFont="1" applyBorder="1" applyAlignment="1">
      <alignment horizontal="center" vertical="center" wrapText="1"/>
    </xf>
    <xf numFmtId="0" fontId="44" fillId="43" borderId="12" xfId="0" applyFont="1" applyFill="1" applyBorder="1" applyAlignment="1">
      <alignment horizontal="center"/>
    </xf>
    <xf numFmtId="0" fontId="44" fillId="43" borderId="21" xfId="0" applyFont="1" applyFill="1" applyBorder="1" applyAlignment="1">
      <alignment horizontal="center"/>
    </xf>
    <xf numFmtId="0" fontId="44" fillId="43" borderId="13" xfId="0" applyFont="1" applyFill="1" applyBorder="1" applyAlignment="1">
      <alignment horizontal="center"/>
    </xf>
    <xf numFmtId="0" fontId="43" fillId="47" borderId="106" xfId="0" applyFont="1" applyFill="1" applyBorder="1" applyAlignment="1">
      <alignment horizontal="center" vertical="center" wrapText="1"/>
    </xf>
    <xf numFmtId="0" fontId="43" fillId="47" borderId="107" xfId="0" applyFont="1" applyFill="1" applyBorder="1" applyAlignment="1">
      <alignment horizontal="center" vertical="center" wrapText="1"/>
    </xf>
    <xf numFmtId="0" fontId="18" fillId="0" borderId="10" xfId="0" applyFont="1" applyBorder="1" applyAlignment="1">
      <alignment horizontal="center" vertical="center"/>
    </xf>
    <xf numFmtId="0" fontId="25" fillId="0" borderId="0" xfId="0" applyFont="1" applyAlignment="1">
      <alignment horizontal="center"/>
    </xf>
    <xf numFmtId="0" fontId="25" fillId="47" borderId="0" xfId="0" applyFont="1" applyFill="1" applyAlignment="1">
      <alignment horizontal="center" vertical="center" wrapText="1"/>
    </xf>
    <xf numFmtId="0" fontId="25" fillId="0" borderId="22"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3" xfId="0" applyFont="1" applyBorder="1" applyAlignment="1">
      <alignment horizontal="center" vertical="center"/>
    </xf>
    <xf numFmtId="0" fontId="18" fillId="0" borderId="10" xfId="0" applyFont="1" applyBorder="1" applyAlignment="1">
      <alignment vertical="center" wrapText="1"/>
    </xf>
    <xf numFmtId="0" fontId="43" fillId="47" borderId="0" xfId="0" applyFont="1" applyFill="1" applyBorder="1" applyAlignment="1">
      <alignment horizontal="center" vertical="center" wrapText="1"/>
    </xf>
    <xf numFmtId="0" fontId="43" fillId="0" borderId="10" xfId="0" applyFont="1" applyBorder="1" applyAlignment="1">
      <alignment horizontal="center" vertical="center" wrapText="1"/>
    </xf>
    <xf numFmtId="0" fontId="85" fillId="45" borderId="10" xfId="0" applyFont="1" applyFill="1" applyBorder="1" applyAlignment="1">
      <alignment horizontal="center" vertical="center" wrapText="1"/>
    </xf>
    <xf numFmtId="0" fontId="72" fillId="0" borderId="23" xfId="0" applyFont="1" applyBorder="1" applyAlignment="1">
      <alignment vertical="center" wrapText="1"/>
    </xf>
    <xf numFmtId="0" fontId="65" fillId="0" borderId="0" xfId="0" applyFont="1" applyBorder="1" applyAlignment="1">
      <alignment vertical="center" wrapText="1"/>
    </xf>
    <xf numFmtId="0" fontId="18" fillId="0" borderId="12" xfId="0" applyNumberFormat="1" applyFont="1" applyBorder="1" applyAlignment="1">
      <alignment horizontal="center" vertical="center" wrapText="1"/>
    </xf>
    <xf numFmtId="0" fontId="18" fillId="0" borderId="13" xfId="0" applyNumberFormat="1" applyFont="1" applyBorder="1" applyAlignment="1">
      <alignment horizontal="center" vertical="center" wrapText="1"/>
    </xf>
    <xf numFmtId="0" fontId="27" fillId="0" borderId="0" xfId="0" applyFont="1" applyAlignment="1">
      <alignment horizontal="left" vertical="top" wrapText="1"/>
    </xf>
    <xf numFmtId="0" fontId="18" fillId="0" borderId="15" xfId="0" applyFont="1" applyBorder="1" applyAlignment="1">
      <alignment horizontal="center" vertical="center" wrapText="1"/>
    </xf>
    <xf numFmtId="0" fontId="18" fillId="0" borderId="17" xfId="0" applyFont="1" applyBorder="1" applyAlignment="1">
      <alignment horizontal="center" vertical="center" wrapText="1"/>
    </xf>
    <xf numFmtId="0" fontId="44" fillId="43" borderId="15" xfId="0" applyFont="1" applyFill="1" applyBorder="1" applyAlignment="1">
      <alignment horizontal="center" vertical="center" wrapText="1"/>
    </xf>
    <xf numFmtId="0" fontId="44" fillId="43" borderId="17" xfId="0" applyFont="1" applyFill="1" applyBorder="1" applyAlignment="1">
      <alignment horizontal="center" vertical="center" wrapText="1"/>
    </xf>
    <xf numFmtId="0" fontId="26" fillId="0" borderId="67" xfId="0" applyFont="1" applyBorder="1" applyAlignment="1">
      <alignment horizontal="center" vertical="center" textRotation="90" wrapText="1"/>
    </xf>
    <xf numFmtId="0" fontId="26" fillId="0" borderId="66" xfId="0" applyFont="1" applyBorder="1" applyAlignment="1">
      <alignment horizontal="center" vertical="center" textRotation="90" wrapText="1"/>
    </xf>
    <xf numFmtId="0" fontId="26" fillId="0" borderId="65" xfId="0" applyFont="1" applyBorder="1" applyAlignment="1">
      <alignment horizontal="center" vertical="center" textRotation="90" wrapText="1"/>
    </xf>
    <xf numFmtId="0" fontId="26" fillId="0" borderId="74" xfId="0" applyFont="1" applyBorder="1" applyAlignment="1">
      <alignment horizontal="center" vertical="center"/>
    </xf>
    <xf numFmtId="0" fontId="26" fillId="44" borderId="73" xfId="0" applyFont="1" applyFill="1" applyBorder="1" applyAlignment="1">
      <alignment horizontal="center" vertical="center"/>
    </xf>
    <xf numFmtId="0" fontId="26" fillId="44" borderId="72" xfId="0" applyFont="1" applyFill="1" applyBorder="1" applyAlignment="1">
      <alignment horizontal="center" vertical="center"/>
    </xf>
    <xf numFmtId="0" fontId="26" fillId="44" borderId="68" xfId="0" applyFont="1" applyFill="1" applyBorder="1" applyAlignment="1">
      <alignment horizontal="center" vertical="center"/>
    </xf>
    <xf numFmtId="0" fontId="26" fillId="44" borderId="64" xfId="0" applyFont="1" applyFill="1" applyBorder="1" applyAlignment="1">
      <alignment horizontal="center" vertical="center"/>
    </xf>
    <xf numFmtId="0" fontId="26" fillId="0" borderId="71"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69" xfId="0" applyFont="1" applyBorder="1" applyAlignment="1">
      <alignment horizontal="center" vertical="center" wrapText="1"/>
    </xf>
    <xf numFmtId="0" fontId="58" fillId="37" borderId="101" xfId="57" applyFill="1" applyBorder="1" applyAlignment="1" applyProtection="1">
      <alignment horizontal="center"/>
      <protection locked="0"/>
    </xf>
    <xf numFmtId="0" fontId="58" fillId="37" borderId="102" xfId="57" applyFill="1" applyBorder="1" applyAlignment="1" applyProtection="1">
      <alignment horizontal="center"/>
      <protection locked="0"/>
    </xf>
    <xf numFmtId="0" fontId="58" fillId="37" borderId="103" xfId="57" applyFill="1" applyBorder="1" applyAlignment="1" applyProtection="1">
      <alignment horizontal="center"/>
      <protection locked="0"/>
    </xf>
    <xf numFmtId="0" fontId="25" fillId="0" borderId="10" xfId="0" applyFont="1" applyBorder="1" applyAlignment="1">
      <alignment horizontal="center"/>
    </xf>
    <xf numFmtId="0" fontId="25" fillId="0" borderId="26" xfId="0" applyFont="1" applyBorder="1" applyAlignment="1">
      <alignment horizontal="center"/>
    </xf>
    <xf numFmtId="0" fontId="25" fillId="0" borderId="0" xfId="0" applyFont="1" applyBorder="1" applyAlignment="1">
      <alignment horizontal="center"/>
    </xf>
    <xf numFmtId="0" fontId="25" fillId="0" borderId="22"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0" xfId="0" applyFont="1" applyBorder="1" applyAlignment="1">
      <alignment horizontal="center" vertical="center" wrapText="1"/>
    </xf>
    <xf numFmtId="0" fontId="54" fillId="0" borderId="67" xfId="0" applyFont="1" applyBorder="1" applyAlignment="1">
      <alignment horizontal="center" vertical="center" wrapText="1"/>
    </xf>
    <xf numFmtId="0" fontId="54" fillId="0" borderId="65" xfId="0" applyFont="1" applyBorder="1" applyAlignment="1">
      <alignment horizontal="center" vertical="center" wrapText="1"/>
    </xf>
    <xf numFmtId="0" fontId="26" fillId="0" borderId="74" xfId="0" applyFont="1" applyBorder="1" applyAlignment="1">
      <alignment horizontal="center" vertical="center" wrapText="1"/>
    </xf>
    <xf numFmtId="0" fontId="27" fillId="0" borderId="0" xfId="0" applyFont="1" applyAlignment="1">
      <alignment horizontal="left" vertical="center"/>
    </xf>
    <xf numFmtId="0" fontId="57" fillId="0" borderId="0" xfId="0" applyFont="1" applyBorder="1" applyAlignment="1">
      <alignment horizontal="left" vertical="top" wrapText="1"/>
    </xf>
    <xf numFmtId="0" fontId="85" fillId="0" borderId="0" xfId="60" applyFont="1" applyAlignment="1">
      <alignment horizontal="center" vertical="center" wrapText="1"/>
    </xf>
    <xf numFmtId="0" fontId="96" fillId="0" borderId="10" xfId="60" applyFont="1" applyBorder="1" applyAlignment="1"/>
    <xf numFmtId="0" fontId="96" fillId="0" borderId="0" xfId="60" applyFont="1">
      <alignment horizontal="left"/>
    </xf>
    <xf numFmtId="0" fontId="97" fillId="0" borderId="0" xfId="0" applyFont="1"/>
    <xf numFmtId="0" fontId="96" fillId="0" borderId="31" xfId="60" applyFont="1" applyBorder="1" applyAlignment="1">
      <alignment horizontal="left" vertical="top" wrapText="1"/>
    </xf>
    <xf numFmtId="0" fontId="96" fillId="0" borderId="0" xfId="60" applyFont="1" applyBorder="1" applyAlignment="1">
      <alignment horizontal="left" vertical="top" wrapText="1"/>
    </xf>
    <xf numFmtId="0" fontId="96" fillId="0" borderId="23" xfId="60" applyFont="1" applyBorder="1" applyAlignment="1">
      <alignment wrapText="1"/>
    </xf>
    <xf numFmtId="0" fontId="96" fillId="0" borderId="0" xfId="60" applyFont="1" applyBorder="1" applyAlignment="1">
      <alignment wrapText="1"/>
    </xf>
    <xf numFmtId="0" fontId="96" fillId="0" borderId="0" xfId="60" applyFont="1" applyBorder="1" applyAlignment="1">
      <alignment vertical="center"/>
    </xf>
    <xf numFmtId="0" fontId="96" fillId="0" borderId="0" xfId="60" applyFont="1" applyAlignment="1"/>
    <xf numFmtId="0" fontId="96" fillId="0" borderId="0" xfId="60" applyFont="1" applyAlignment="1">
      <alignment horizontal="right" wrapText="1"/>
    </xf>
    <xf numFmtId="0" fontId="96" fillId="0" borderId="0" xfId="60" applyFont="1" applyAlignment="1">
      <alignment horizontal="left"/>
    </xf>
    <xf numFmtId="0" fontId="96" fillId="0" borderId="0" xfId="60" applyFont="1" applyAlignment="1">
      <alignment horizontal="right"/>
    </xf>
    <xf numFmtId="0" fontId="96" fillId="0" borderId="0" xfId="60" applyFont="1" applyAlignment="1" applyProtection="1"/>
    <xf numFmtId="0" fontId="96" fillId="0" borderId="0" xfId="60" applyFont="1" applyAlignment="1" applyProtection="1">
      <alignment horizontal="left"/>
    </xf>
    <xf numFmtId="0" fontId="96" fillId="0" borderId="0" xfId="60" applyFont="1" applyBorder="1" applyAlignment="1">
      <alignment horizontal="right"/>
    </xf>
    <xf numFmtId="0" fontId="96" fillId="0" borderId="0" xfId="60" applyFont="1" applyAlignment="1"/>
    <xf numFmtId="0" fontId="96" fillId="0" borderId="12" xfId="60" applyFont="1" applyBorder="1" applyAlignment="1"/>
    <xf numFmtId="0" fontId="0" fillId="41" borderId="0" xfId="0" applyFill="1" applyAlignment="1">
      <alignment textRotation="90"/>
    </xf>
    <xf numFmtId="0" fontId="17" fillId="41" borderId="0" xfId="0" applyFont="1" applyFill="1" applyAlignment="1">
      <alignment horizontal="right"/>
    </xf>
    <xf numFmtId="0" fontId="0" fillId="41" borderId="0" xfId="0" quotePrefix="1" applyNumberFormat="1" applyFont="1" applyFill="1"/>
    <xf numFmtId="0" fontId="0" fillId="41" borderId="0" xfId="0" quotePrefix="1" applyFill="1"/>
    <xf numFmtId="0" fontId="0" fillId="41" borderId="0" xfId="0" applyFill="1" applyAlignment="1">
      <alignment horizontal="center" vertical="center" textRotation="90"/>
    </xf>
    <xf numFmtId="0" fontId="0" fillId="41" borderId="28" xfId="0" applyFill="1" applyBorder="1" applyAlignment="1">
      <alignment horizontal="center" vertical="center" textRotation="90"/>
    </xf>
    <xf numFmtId="0" fontId="0" fillId="41" borderId="0" xfId="0" applyFill="1" applyAlignment="1">
      <alignment horizontal="center" vertical="center" textRotation="90"/>
    </xf>
    <xf numFmtId="0" fontId="0" fillId="41" borderId="0" xfId="0" applyNumberFormat="1" applyFill="1" applyAlignment="1">
      <alignment textRotation="90"/>
    </xf>
    <xf numFmtId="0" fontId="0" fillId="41" borderId="0" xfId="0" applyFill="1" applyAlignment="1">
      <alignment horizontal="center" vertical="top" textRotation="90"/>
    </xf>
    <xf numFmtId="0" fontId="0" fillId="41" borderId="0" xfId="0" applyFill="1" applyAlignment="1">
      <alignment textRotation="90"/>
    </xf>
    <xf numFmtId="0" fontId="0" fillId="41" borderId="0" xfId="0" applyFont="1" applyFill="1"/>
    <xf numFmtId="0" fontId="16" fillId="41" borderId="0" xfId="0" applyNumberFormat="1" applyFont="1" applyFill="1"/>
    <xf numFmtId="0" fontId="0" fillId="41" borderId="0" xfId="0" applyNumberFormat="1" applyFont="1" applyFill="1"/>
    <xf numFmtId="49" fontId="18" fillId="41" borderId="0" xfId="0" applyNumberFormat="1" applyFont="1" applyFill="1"/>
    <xf numFmtId="49" fontId="0" fillId="41" borderId="0" xfId="0" applyNumberFormat="1" applyFont="1" applyFill="1"/>
    <xf numFmtId="49" fontId="18" fillId="41" borderId="0" xfId="0" quotePrefix="1" applyNumberFormat="1" applyFont="1" applyFill="1"/>
    <xf numFmtId="0" fontId="0" fillId="41" borderId="0" xfId="0" applyNumberFormat="1" applyFont="1" applyFill="1" applyBorder="1"/>
    <xf numFmtId="49" fontId="0" fillId="41" borderId="0" xfId="0" applyNumberFormat="1" applyFont="1" applyFill="1" applyBorder="1"/>
    <xf numFmtId="49" fontId="0" fillId="41" borderId="0" xfId="0" quotePrefix="1" applyNumberFormat="1" applyFont="1" applyFill="1"/>
    <xf numFmtId="49" fontId="0" fillId="41" borderId="0" xfId="0" applyNumberFormat="1" applyFill="1"/>
    <xf numFmtId="49" fontId="18" fillId="41" borderId="0" xfId="0" applyNumberFormat="1" applyFont="1" applyFill="1" applyAlignment="1">
      <alignment vertical="top"/>
    </xf>
    <xf numFmtId="49" fontId="18" fillId="41" borderId="0" xfId="0" applyNumberFormat="1" applyFont="1" applyFill="1" applyAlignment="1">
      <alignment horizontal="right" vertical="top"/>
    </xf>
    <xf numFmtId="49" fontId="18" fillId="41" borderId="0" xfId="0" applyNumberFormat="1" applyFont="1" applyFill="1" applyAlignment="1">
      <alignment horizontal="left"/>
    </xf>
    <xf numFmtId="49" fontId="18" fillId="41" borderId="0" xfId="0" applyNumberFormat="1" applyFont="1" applyFill="1" applyAlignment="1"/>
    <xf numFmtId="49" fontId="18" fillId="41" borderId="0" xfId="0" applyNumberFormat="1" applyFont="1" applyFill="1" applyAlignment="1">
      <alignment horizontal="left" vertical="top"/>
    </xf>
    <xf numFmtId="0" fontId="0" fillId="41" borderId="0" xfId="0" applyFont="1" applyFill="1" applyAlignment="1">
      <alignment horizontal="left"/>
    </xf>
    <xf numFmtId="49" fontId="25" fillId="41" borderId="0" xfId="0" applyNumberFormat="1" applyFont="1" applyFill="1" applyAlignment="1">
      <alignment horizontal="left"/>
    </xf>
    <xf numFmtId="49" fontId="18" fillId="41" borderId="0" xfId="0" applyNumberFormat="1" applyFont="1" applyFill="1" applyAlignment="1">
      <alignment horizontal="left" vertical="top" wrapText="1"/>
    </xf>
    <xf numFmtId="49" fontId="18" fillId="41" borderId="0" xfId="0" applyNumberFormat="1" applyFont="1" applyFill="1" applyBorder="1" applyAlignment="1">
      <alignment horizontal="left"/>
    </xf>
    <xf numFmtId="49" fontId="18" fillId="41" borderId="0" xfId="0" applyNumberFormat="1" applyFont="1" applyFill="1" applyBorder="1"/>
    <xf numFmtId="49" fontId="0" fillId="41" borderId="0" xfId="0" applyNumberFormat="1" applyFont="1" applyFill="1" applyProtection="1">
      <protection locked="0"/>
    </xf>
    <xf numFmtId="0" fontId="0" fillId="41" borderId="0" xfId="0" applyNumberFormat="1" applyFont="1" applyFill="1" applyAlignment="1">
      <alignment horizontal="left" vertical="top"/>
    </xf>
    <xf numFmtId="49" fontId="25" fillId="41" borderId="0" xfId="0" applyNumberFormat="1" applyFont="1" applyFill="1"/>
    <xf numFmtId="49" fontId="18" fillId="41" borderId="0" xfId="0" applyNumberFormat="1" applyFont="1" applyFill="1" applyBorder="1" applyAlignment="1">
      <alignment horizontal="left" vertical="top"/>
    </xf>
    <xf numFmtId="49" fontId="18" fillId="41" borderId="0" xfId="0" applyNumberFormat="1" applyFont="1" applyFill="1" applyAlignment="1">
      <alignment horizontal="center"/>
    </xf>
    <xf numFmtId="49" fontId="18" fillId="41" borderId="0" xfId="0" applyNumberFormat="1" applyFont="1" applyFill="1" applyAlignment="1">
      <alignment horizontal="left" vertical="center"/>
    </xf>
    <xf numFmtId="49" fontId="18" fillId="41" borderId="0" xfId="0" applyNumberFormat="1" applyFont="1" applyFill="1" applyProtection="1">
      <protection locked="0"/>
    </xf>
    <xf numFmtId="49" fontId="18" fillId="41" borderId="0" xfId="0" applyNumberFormat="1" applyFont="1" applyFill="1" applyBorder="1" applyProtection="1">
      <protection locked="0"/>
    </xf>
    <xf numFmtId="0" fontId="0" fillId="41" borderId="0" xfId="0" applyFont="1" applyFill="1" applyBorder="1"/>
    <xf numFmtId="0" fontId="18" fillId="41" borderId="0" xfId="0" applyFont="1" applyFill="1" applyAlignment="1">
      <alignment horizontal="left" vertical="center"/>
    </xf>
    <xf numFmtId="49" fontId="0" fillId="41" borderId="0" xfId="0" applyNumberFormat="1" applyFont="1" applyFill="1" applyAlignment="1">
      <alignment horizontal="left"/>
    </xf>
    <xf numFmtId="49" fontId="18" fillId="41" borderId="0" xfId="0" applyNumberFormat="1" applyFont="1" applyFill="1" applyAlignment="1" applyProtection="1">
      <alignment horizontal="left"/>
      <protection locked="0"/>
    </xf>
    <xf numFmtId="49" fontId="18" fillId="41" borderId="0" xfId="0" quotePrefix="1" applyNumberFormat="1" applyFont="1" applyFill="1" applyAlignment="1">
      <alignment horizontal="left" vertical="top"/>
    </xf>
    <xf numFmtId="0" fontId="18" fillId="41" borderId="0" xfId="0" applyFont="1" applyFill="1" applyAlignment="1">
      <alignment horizontal="left" vertical="top"/>
    </xf>
    <xf numFmtId="0" fontId="18" fillId="41" borderId="0" xfId="0" applyFont="1" applyFill="1"/>
    <xf numFmtId="0" fontId="0" fillId="41" borderId="0" xfId="0" applyNumberFormat="1" applyFill="1"/>
    <xf numFmtId="0" fontId="0" fillId="41" borderId="0" xfId="0" applyFill="1" applyAlignment="1">
      <alignment horizontal="right"/>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nswered" xfId="64" xr:uid="{00000000-0005-0000-0000-000018000000}"/>
    <cellStyle name="Bad" xfId="12" builtinId="27" hidden="1"/>
    <cellStyle name="Calculation" xfId="16" builtinId="22" hidden="1"/>
    <cellStyle name="Calculation" xfId="51" builtinId="22" hidden="1" customBuilti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Followed Hyperlink" xfId="56" builtinId="9" hidden="1"/>
    <cellStyle name="Followed Hyperlink" xfId="58" builtinId="9" hidden="1"/>
    <cellStyle name="Followed Hyperlink" xfId="59" builtinId="9" hidden="1"/>
    <cellStyle name="Followed Hyperlink" xfId="61" builtinId="9" hidden="1"/>
    <cellStyle name="Good" xfId="11" builtinId="26" hidden="1"/>
    <cellStyle name="Heading 1" xfId="7" builtinId="16" hidden="1"/>
    <cellStyle name="Heading 2" xfId="8" builtinId="17" hidden="1"/>
    <cellStyle name="Heading 3" xfId="9" builtinId="18" hidden="1"/>
    <cellStyle name="Heading 4" xfId="10" builtinId="19" hidden="1"/>
    <cellStyle name="Hidden" xfId="60" xr:uid="{00000000-0005-0000-0000-00002B000000}"/>
    <cellStyle name="Hyperlink" xfId="49" builtinId="8" hidden="1"/>
    <cellStyle name="Hyperlink" xfId="55" builtinId="8" hidden="1"/>
    <cellStyle name="Hyperlink" xfId="57" builtinId="8" customBuiltin="1"/>
    <cellStyle name="Hyperlink 2" xfId="67" xr:uid="{00000000-0005-0000-0000-00002F000000}"/>
    <cellStyle name="Input" xfId="14" builtinId="20" hidden="1"/>
    <cellStyle name="Linked Cell" xfId="17" builtinId="24" hidden="1"/>
    <cellStyle name="Main Title" xfId="50" xr:uid="{00000000-0005-0000-0000-000032000000}"/>
    <cellStyle name="Mandatory" xfId="47" xr:uid="{00000000-0005-0000-0000-000033000000}"/>
    <cellStyle name="Neutral" xfId="13" builtinId="28" hidden="1"/>
    <cellStyle name="Normal" xfId="0" builtinId="0"/>
    <cellStyle name="Normal Entry" xfId="48" xr:uid="{00000000-0005-0000-0000-000036000000}"/>
    <cellStyle name="Note" xfId="20" builtinId="10" hidden="1"/>
    <cellStyle name="Note" xfId="53" builtinId="10" hidden="1" customBuiltin="1"/>
    <cellStyle name="Note Entry" xfId="54" xr:uid="{00000000-0005-0000-0000-000039000000}"/>
    <cellStyle name="Note Entry 2" xfId="66" xr:uid="{00000000-0005-0000-0000-00003A000000}"/>
    <cellStyle name="Output" xfId="15" builtinId="21" hidden="1"/>
    <cellStyle name="Percent" xfId="5" builtinId="5" hidden="1"/>
    <cellStyle name="Points" xfId="62" xr:uid="{00000000-0005-0000-0000-00003D000000}"/>
    <cellStyle name="Section Header" xfId="63" xr:uid="{00000000-0005-0000-0000-00003E000000}"/>
    <cellStyle name="Title" xfId="6" builtinId="15" hidden="1"/>
    <cellStyle name="Total" xfId="22" builtinId="25" hidden="1"/>
    <cellStyle name="Warning" xfId="52" xr:uid="{00000000-0005-0000-0000-000041000000}"/>
    <cellStyle name="Warning Text" xfId="19" builtinId="11" hidden="1"/>
    <cellStyle name="Warnings" xfId="65" xr:uid="{00000000-0005-0000-0000-000043000000}"/>
  </cellStyles>
  <dxfs count="5917">
    <dxf>
      <font>
        <b/>
        <i val="0"/>
        <color theme="1"/>
      </font>
      <fill>
        <patternFill>
          <bgColor rgb="FFFFFF00"/>
        </patternFill>
      </fill>
      <border>
        <left style="thin">
          <color auto="1"/>
        </left>
        <right style="thin">
          <color auto="1"/>
        </right>
        <top style="thin">
          <color auto="1"/>
        </top>
        <bottom style="thin">
          <color auto="1"/>
        </bottom>
      </border>
    </dxf>
    <dxf>
      <fill>
        <patternFill patternType="lightGray"/>
      </fill>
    </dxf>
    <dxf>
      <fill>
        <patternFill patternType="lightGray"/>
      </fill>
    </dxf>
    <dxf>
      <fill>
        <patternFill patternType="lightGray"/>
      </fill>
    </dxf>
    <dxf>
      <fill>
        <patternFill patternType="lightGray"/>
      </fill>
    </dxf>
    <dxf>
      <font>
        <b/>
        <i val="0"/>
        <color theme="1"/>
      </font>
      <fill>
        <patternFill>
          <bgColor rgb="FFFF0000"/>
        </patternFill>
      </fill>
    </dxf>
    <dxf>
      <fill>
        <patternFill patternType="lightGray"/>
      </fill>
    </dxf>
    <dxf>
      <fill>
        <patternFill patternType="lightGray"/>
      </fill>
    </dxf>
    <dxf>
      <fill>
        <patternFill>
          <bgColor rgb="FFFFFF99"/>
        </patternFill>
      </fill>
    </dxf>
    <dxf>
      <fill>
        <patternFill>
          <bgColor rgb="FF92D050"/>
        </patternFill>
      </fill>
    </dxf>
    <dxf>
      <fill>
        <patternFill>
          <bgColor rgb="FFFFFF99"/>
        </patternFill>
      </fill>
    </dxf>
    <dxf>
      <fill>
        <patternFill>
          <bgColor rgb="FF92D050"/>
        </patternFill>
      </fill>
    </dxf>
    <dxf>
      <fill>
        <patternFill>
          <bgColor rgb="FFFFFF99"/>
        </patternFill>
      </fill>
    </dxf>
    <dxf>
      <fill>
        <patternFill>
          <bgColor rgb="FF92D050"/>
        </patternFill>
      </fill>
    </dxf>
    <dxf>
      <font>
        <color theme="1"/>
      </font>
      <fill>
        <patternFill>
          <bgColor rgb="FFFF0000"/>
        </patternFill>
      </fill>
    </dxf>
    <dxf>
      <fill>
        <patternFill>
          <bgColor rgb="FFFF0000"/>
        </patternFill>
      </fill>
    </dxf>
    <dxf>
      <fill>
        <patternFill>
          <bgColor rgb="FFFF9393"/>
        </patternFill>
      </fill>
    </dxf>
    <dxf>
      <fill>
        <patternFill>
          <bgColor rgb="FF92D050"/>
        </patternFill>
      </fill>
    </dxf>
    <dxf>
      <font>
        <color theme="1"/>
      </font>
      <fill>
        <patternFill>
          <bgColor rgb="FFFF9393"/>
        </patternFill>
      </fill>
    </dxf>
    <dxf>
      <fill>
        <patternFill>
          <bgColor rgb="FF92D050"/>
        </patternFill>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ill>
        <patternFill>
          <bgColor rgb="FF92D050"/>
        </patternFill>
      </fill>
    </dxf>
    <dxf>
      <fill>
        <patternFill patternType="lightGray"/>
      </fill>
    </dxf>
    <dxf>
      <fill>
        <patternFill patternType="lightGray"/>
      </fill>
    </dxf>
    <dxf>
      <fill>
        <patternFill patternType="lightGray"/>
      </fill>
    </dxf>
    <dxf>
      <fill>
        <patternFill patternType="lightGray"/>
      </fill>
    </dxf>
    <dxf>
      <font>
        <b/>
        <i val="0"/>
        <color theme="1"/>
      </font>
      <fill>
        <patternFill>
          <bgColor rgb="FFFFFF00"/>
        </patternFill>
      </fill>
      <border>
        <left style="thin">
          <color auto="1"/>
        </left>
        <right style="thin">
          <color auto="1"/>
        </right>
        <top style="thin">
          <color auto="1"/>
        </top>
        <bottom style="thin">
          <color auto="1"/>
        </bottom>
      </border>
    </dxf>
    <dxf>
      <font>
        <b/>
        <i val="0"/>
        <color theme="1"/>
      </font>
      <fill>
        <patternFill>
          <bgColor rgb="FFFF0000"/>
        </patternFill>
      </fill>
    </dxf>
    <dxf>
      <fill>
        <patternFill patternType="lightGray"/>
      </fill>
    </dxf>
    <dxf>
      <fill>
        <patternFill patternType="lightGray"/>
      </fill>
    </dxf>
    <dxf>
      <fill>
        <patternFill>
          <bgColor rgb="FFFFFF99"/>
        </patternFill>
      </fill>
    </dxf>
    <dxf>
      <fill>
        <patternFill>
          <bgColor rgb="FF92D050"/>
        </patternFill>
      </fill>
    </dxf>
    <dxf>
      <fill>
        <patternFill>
          <bgColor rgb="FFFFFF99"/>
        </patternFill>
      </fill>
    </dxf>
    <dxf>
      <fill>
        <patternFill>
          <bgColor rgb="FF92D050"/>
        </patternFill>
      </fill>
    </dxf>
    <dxf>
      <font>
        <color theme="1"/>
      </font>
      <fill>
        <patternFill>
          <bgColor rgb="FFFF9393"/>
        </patternFill>
      </fill>
    </dxf>
    <dxf>
      <font>
        <color theme="1"/>
      </font>
      <fill>
        <patternFill>
          <bgColor rgb="FFFF0000"/>
        </patternFill>
      </fill>
    </dxf>
    <dxf>
      <fill>
        <patternFill>
          <bgColor rgb="FFFF0000"/>
        </patternFill>
      </fill>
    </dxf>
    <dxf>
      <fill>
        <patternFill>
          <bgColor rgb="FFFF9393"/>
        </patternFill>
      </fill>
    </dxf>
    <dxf>
      <fill>
        <patternFill>
          <bgColor rgb="FF92D050"/>
        </patternFill>
      </fill>
    </dxf>
    <dxf>
      <fill>
        <patternFill>
          <bgColor rgb="FF92D050"/>
        </patternFill>
      </fill>
    </dxf>
    <dxf>
      <fill>
        <patternFill>
          <bgColor rgb="FFFFFF99"/>
        </patternFill>
      </fill>
    </dxf>
    <dxf>
      <fill>
        <patternFill>
          <bgColor rgb="FF92D050"/>
        </patternFill>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ill>
        <patternFill>
          <bgColor rgb="FF92D05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theme="7" tint="0.59996337778862885"/>
        </patternFill>
      </fill>
    </dxf>
    <dxf>
      <fill>
        <patternFill>
          <bgColor theme="7" tint="0.59996337778862885"/>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92D050"/>
        </patternFill>
      </fill>
    </dxf>
    <dxf>
      <fill>
        <patternFill>
          <bgColor rgb="FF92D05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rgb="FFFFFF00"/>
      </font>
      <fill>
        <patternFill>
          <bgColor rgb="FFFF0000"/>
        </patternFill>
      </fill>
      <border>
        <left style="thin">
          <color auto="1"/>
        </left>
        <right style="thin">
          <color auto="1"/>
        </right>
        <top style="thin">
          <color auto="1"/>
        </top>
        <bottom style="thin">
          <color auto="1"/>
        </bottom>
      </border>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FF00"/>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ont>
        <color theme="1"/>
      </font>
      <fill>
        <patternFill>
          <bgColor rgb="FFFF0000"/>
        </patternFill>
      </fill>
    </dxf>
    <dxf>
      <font>
        <color theme="0"/>
      </font>
      <fill>
        <patternFill patternType="none">
          <bgColor auto="1"/>
        </patternFill>
      </fill>
    </dxf>
    <dxf>
      <font>
        <color theme="0"/>
      </font>
      <fill>
        <patternFill patternType="none">
          <bgColor auto="1"/>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ont>
        <color theme="1"/>
      </font>
      <fill>
        <patternFill>
          <bgColor rgb="FFFF0000"/>
        </patternFill>
      </fill>
    </dxf>
    <dxf>
      <fill>
        <patternFill patternType="darkGrid">
          <bgColor theme="0"/>
        </patternFill>
      </fill>
    </dxf>
    <dxf>
      <fill>
        <patternFill patternType="darkGrid">
          <bgColor theme="0"/>
        </patternFill>
      </fill>
    </dxf>
    <dxf>
      <fill>
        <patternFill patternType="darkGrid">
          <bgColor theme="0"/>
        </patternFill>
      </fill>
    </dxf>
    <dxf>
      <font>
        <color theme="1"/>
      </font>
    </dxf>
    <dxf>
      <fill>
        <patternFill>
          <bgColor rgb="FF92D050"/>
        </patternFill>
      </fill>
    </dxf>
    <dxf>
      <fill>
        <patternFill>
          <bgColor rgb="FF92D050"/>
        </patternFill>
      </fill>
    </dxf>
    <dxf>
      <font>
        <color rgb="FF92D050"/>
      </font>
      <fill>
        <patternFill>
          <bgColor rgb="FF92D050"/>
        </patternFill>
      </fill>
    </dxf>
    <dxf>
      <font>
        <color rgb="FF92D050"/>
      </font>
      <fill>
        <patternFill>
          <bgColor rgb="FF92D050"/>
        </patternFill>
      </fill>
    </dxf>
    <dxf>
      <fill>
        <patternFill>
          <bgColor rgb="FF92D050"/>
        </patternFill>
      </fill>
    </dxf>
    <dxf>
      <fill>
        <patternFill>
          <bgColor rgb="FF92D050"/>
        </patternFill>
      </fill>
    </dxf>
    <dxf>
      <fill>
        <patternFill patternType="darkGrid">
          <bgColor theme="0"/>
        </patternFill>
      </fill>
    </dxf>
    <dxf>
      <fill>
        <patternFill>
          <bgColor rgb="FFFF0000"/>
        </patternFill>
      </fill>
    </dxf>
    <dxf>
      <font>
        <color rgb="FFFF0000"/>
      </font>
    </dxf>
    <dxf>
      <font>
        <color rgb="FFFF0000"/>
      </font>
    </dxf>
    <dxf>
      <fill>
        <patternFill patternType="darkGrid"/>
      </fill>
    </dxf>
    <dxf>
      <fill>
        <patternFill>
          <bgColor rgb="FFFFFF99"/>
        </patternFill>
      </fill>
    </dxf>
    <dxf>
      <fill>
        <patternFill>
          <bgColor rgb="FF92D050"/>
        </patternFill>
      </fill>
    </dxf>
    <dxf>
      <fill>
        <patternFill patternType="darkGrid"/>
      </fill>
    </dxf>
    <dxf>
      <fill>
        <patternFill>
          <bgColor rgb="FFFFFF99"/>
        </patternFill>
      </fill>
    </dxf>
    <dxf>
      <fill>
        <patternFill>
          <bgColor rgb="FF92D050"/>
        </patternFill>
      </fill>
    </dxf>
    <dxf>
      <fill>
        <patternFill patternType="darkGrid"/>
      </fill>
    </dxf>
    <dxf>
      <fill>
        <patternFill>
          <bgColor rgb="FFFFFF99"/>
        </patternFill>
      </fill>
    </dxf>
    <dxf>
      <fill>
        <patternFill>
          <bgColor rgb="FF92D050"/>
        </patternFill>
      </fill>
    </dxf>
    <dxf>
      <fill>
        <patternFill patternType="darkGrid"/>
      </fill>
    </dxf>
    <dxf>
      <fill>
        <patternFill>
          <bgColor rgb="FFFFFF99"/>
        </patternFill>
      </fill>
    </dxf>
    <dxf>
      <fill>
        <patternFill>
          <bgColor rgb="FF92D050"/>
        </patternFill>
      </fill>
    </dxf>
    <dxf>
      <fill>
        <patternFill patternType="darkGrid"/>
      </fill>
    </dxf>
    <dxf>
      <fill>
        <patternFill>
          <bgColor rgb="FFFFFF99"/>
        </patternFill>
      </fill>
    </dxf>
    <dxf>
      <fill>
        <patternFill>
          <bgColor rgb="FF92D050"/>
        </patternFill>
      </fill>
    </dxf>
    <dxf>
      <font>
        <color rgb="FFFF0000"/>
      </font>
    </dxf>
    <dxf>
      <fill>
        <patternFill patternType="darkGrid"/>
      </fill>
    </dxf>
    <dxf>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b/>
        <i val="0"/>
        <color theme="1"/>
      </font>
      <fill>
        <patternFill>
          <bgColor rgb="FFFF0000"/>
        </patternFill>
      </fill>
    </dxf>
    <dxf>
      <fill>
        <patternFill patternType="darkGrid"/>
      </fill>
    </dxf>
    <dxf>
      <fill>
        <patternFill>
          <bgColor rgb="FFFFFF99"/>
        </patternFill>
      </fill>
    </dxf>
    <dxf>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theme="1"/>
      </font>
      <fill>
        <patternFill>
          <bgColor rgb="FFFF0000"/>
        </patternFill>
      </fill>
    </dxf>
    <dxf>
      <fill>
        <patternFill>
          <bgColor theme="7" tint="0.59996337778862885"/>
        </patternFill>
      </fill>
    </dxf>
    <dxf>
      <fill>
        <patternFill>
          <bgColor theme="7" tint="0.59996337778862885"/>
        </patternFill>
      </fill>
    </dxf>
    <dxf>
      <font>
        <color theme="1"/>
      </font>
      <fill>
        <patternFill>
          <bgColor rgb="FFFF0000"/>
        </patternFill>
      </fill>
    </dxf>
    <dxf>
      <font>
        <color theme="1"/>
      </font>
      <fill>
        <patternFill>
          <bgColor rgb="FFFF0000"/>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theme="1"/>
      </font>
      <fill>
        <patternFill>
          <bgColor rgb="FFFF0000"/>
        </patternFill>
      </fill>
    </dxf>
    <dxf>
      <fill>
        <patternFill>
          <bgColor rgb="FF92D050"/>
        </patternFill>
      </fill>
    </dxf>
    <dxf>
      <font>
        <color theme="1"/>
      </font>
      <fill>
        <patternFill>
          <bgColor rgb="FFFF0000"/>
        </patternFill>
      </fill>
    </dxf>
    <dxf>
      <font>
        <color auto="1"/>
      </font>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006100"/>
      </font>
      <fill>
        <patternFill>
          <bgColor rgb="FFC6EFCE"/>
        </patternFill>
      </fill>
    </dxf>
    <dxf>
      <font>
        <color rgb="FF006100"/>
      </font>
      <fill>
        <patternFill>
          <bgColor rgb="FFC6EFCE"/>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92D050"/>
        </patternFill>
      </fill>
    </dxf>
    <dxf>
      <fill>
        <patternFill>
          <bgColor rgb="FF92D050"/>
        </patternFill>
      </fill>
    </dxf>
    <dxf>
      <fill>
        <patternFill>
          <bgColor rgb="FF92D050"/>
        </patternFill>
      </fill>
    </dxf>
    <dxf>
      <font>
        <color theme="1"/>
      </font>
      <fill>
        <patternFill>
          <bgColor rgb="FFFF0000"/>
        </patternFill>
      </fill>
    </dxf>
    <dxf>
      <font>
        <color theme="1"/>
      </font>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ont>
        <color rgb="FFFF0000"/>
      </font>
      <fill>
        <patternFill>
          <bgColor rgb="FFFFFF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theme="1"/>
      </font>
      <fill>
        <patternFill>
          <bgColor rgb="FFFF0000"/>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92D050"/>
        </patternFill>
      </fill>
    </dxf>
    <dxf>
      <fill>
        <patternFill patternType="darkTrellis">
          <fgColor indexed="64"/>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ill>
        <patternFill>
          <bgColor rgb="FF92D050"/>
        </patternFill>
      </fill>
    </dxf>
    <dxf>
      <fill>
        <patternFill>
          <bgColor rgb="FFFFFF99"/>
        </patternFill>
      </fill>
    </dxf>
    <dxf>
      <fill>
        <patternFill patternType="lightGray"/>
      </fill>
    </dxf>
    <dxf>
      <fill>
        <patternFill>
          <bgColor rgb="FF92D050"/>
        </patternFill>
      </fill>
    </dxf>
    <dxf>
      <fill>
        <patternFill>
          <bgColor rgb="FFFF0000"/>
        </patternFill>
      </fill>
    </dxf>
    <dxf>
      <font>
        <color theme="1"/>
      </font>
    </dxf>
    <dxf>
      <font>
        <color rgb="FF92D050"/>
      </font>
      <fill>
        <patternFill>
          <bgColor rgb="FF92D050"/>
        </patternFill>
      </fill>
    </dxf>
    <dxf>
      <fill>
        <patternFill patternType="lightGray"/>
      </fill>
    </dxf>
    <dxf>
      <fill>
        <patternFill patternType="lightGray"/>
      </fill>
    </dxf>
    <dxf>
      <font>
        <color theme="1"/>
      </font>
    </dxf>
    <dxf>
      <font>
        <color theme="1"/>
      </font>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FFF99"/>
      <color rgb="FF37CBFF"/>
      <color rgb="FFFF9393"/>
      <color rgb="FFFFB1B1"/>
      <color rgb="FFFFD700"/>
      <color rgb="FF8FE2FF"/>
      <color rgb="FFCC6600"/>
      <color rgb="FFCCFF66"/>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G$8" lockText="1" noThreeD="1"/>
</file>

<file path=xl/ctrlProps/ctrlProp10.xml><?xml version="1.0" encoding="utf-8"?>
<formControlPr xmlns="http://schemas.microsoft.com/office/spreadsheetml/2009/9/main" objectType="CheckBox" fmlaLink="$W$43" lockText="1" noThreeD="1"/>
</file>

<file path=xl/ctrlProps/ctrlProp100.xml><?xml version="1.0" encoding="utf-8"?>
<formControlPr xmlns="http://schemas.microsoft.com/office/spreadsheetml/2009/9/main" objectType="CheckBox" fmlaLink="$W$55" lockText="1" noThreeD="1"/>
</file>

<file path=xl/ctrlProps/ctrlProp101.xml><?xml version="1.0" encoding="utf-8"?>
<formControlPr xmlns="http://schemas.microsoft.com/office/spreadsheetml/2009/9/main" objectType="CheckBox" fmlaLink="$W$56" lockText="1" noThreeD="1"/>
</file>

<file path=xl/ctrlProps/ctrlProp102.xml><?xml version="1.0" encoding="utf-8"?>
<formControlPr xmlns="http://schemas.microsoft.com/office/spreadsheetml/2009/9/main" objectType="CheckBox" fmlaLink="$W$80" lockText="1" noThreeD="1"/>
</file>

<file path=xl/ctrlProps/ctrlProp103.xml><?xml version="1.0" encoding="utf-8"?>
<formControlPr xmlns="http://schemas.microsoft.com/office/spreadsheetml/2009/9/main" objectType="CheckBox" fmlaLink="$W$96" lockText="1" noThreeD="1"/>
</file>

<file path=xl/ctrlProps/ctrlProp104.xml><?xml version="1.0" encoding="utf-8"?>
<formControlPr xmlns="http://schemas.microsoft.com/office/spreadsheetml/2009/9/main" objectType="CheckBox" fmlaLink="$W$100" lockText="1" noThreeD="1"/>
</file>

<file path=xl/ctrlProps/ctrlProp105.xml><?xml version="1.0" encoding="utf-8"?>
<formControlPr xmlns="http://schemas.microsoft.com/office/spreadsheetml/2009/9/main" objectType="CheckBox" fmlaLink="$W$101" lockText="1" noThreeD="1"/>
</file>

<file path=xl/ctrlProps/ctrlProp106.xml><?xml version="1.0" encoding="utf-8"?>
<formControlPr xmlns="http://schemas.microsoft.com/office/spreadsheetml/2009/9/main" objectType="CheckBox" fmlaLink="$W$103" lockText="1" noThreeD="1"/>
</file>

<file path=xl/ctrlProps/ctrlProp107.xml><?xml version="1.0" encoding="utf-8"?>
<formControlPr xmlns="http://schemas.microsoft.com/office/spreadsheetml/2009/9/main" objectType="CheckBox" fmlaLink="$W$105" lockText="1" noThreeD="1"/>
</file>

<file path=xl/ctrlProps/ctrlProp108.xml><?xml version="1.0" encoding="utf-8"?>
<formControlPr xmlns="http://schemas.microsoft.com/office/spreadsheetml/2009/9/main" objectType="CheckBox" fmlaLink="$W$111" lockText="1" noThreeD="1"/>
</file>

<file path=xl/ctrlProps/ctrlProp109.xml><?xml version="1.0" encoding="utf-8"?>
<formControlPr xmlns="http://schemas.microsoft.com/office/spreadsheetml/2009/9/main" objectType="CheckBox" fmlaLink="$W$117" lockText="1" noThreeD="1"/>
</file>

<file path=xl/ctrlProps/ctrlProp11.xml><?xml version="1.0" encoding="utf-8"?>
<formControlPr xmlns="http://schemas.microsoft.com/office/spreadsheetml/2009/9/main" objectType="CheckBox" fmlaLink="$W$59" lockText="1" noThreeD="1"/>
</file>

<file path=xl/ctrlProps/ctrlProp110.xml><?xml version="1.0" encoding="utf-8"?>
<formControlPr xmlns="http://schemas.microsoft.com/office/spreadsheetml/2009/9/main" objectType="CheckBox" fmlaLink="$W$123" lockText="1" noThreeD="1"/>
</file>

<file path=xl/ctrlProps/ctrlProp111.xml><?xml version="1.0" encoding="utf-8"?>
<formControlPr xmlns="http://schemas.microsoft.com/office/spreadsheetml/2009/9/main" objectType="CheckBox" fmlaLink="$W$125" lockText="1" noThreeD="1"/>
</file>

<file path=xl/ctrlProps/ctrlProp112.xml><?xml version="1.0" encoding="utf-8"?>
<formControlPr xmlns="http://schemas.microsoft.com/office/spreadsheetml/2009/9/main" objectType="CheckBox" fmlaLink="$W$131" lockText="1" noThreeD="1"/>
</file>

<file path=xl/ctrlProps/ctrlProp113.xml><?xml version="1.0" encoding="utf-8"?>
<formControlPr xmlns="http://schemas.microsoft.com/office/spreadsheetml/2009/9/main" objectType="CheckBox" fmlaLink="$W$135" lockText="1" noThreeD="1"/>
</file>

<file path=xl/ctrlProps/ctrlProp114.xml><?xml version="1.0" encoding="utf-8"?>
<formControlPr xmlns="http://schemas.microsoft.com/office/spreadsheetml/2009/9/main" objectType="CheckBox" fmlaLink="$W$139" lockText="1" noThreeD="1"/>
</file>

<file path=xl/ctrlProps/ctrlProp115.xml><?xml version="1.0" encoding="utf-8"?>
<formControlPr xmlns="http://schemas.microsoft.com/office/spreadsheetml/2009/9/main" objectType="CheckBox" fmlaLink="$W$144" lockText="1" noThreeD="1"/>
</file>

<file path=xl/ctrlProps/ctrlProp116.xml><?xml version="1.0" encoding="utf-8"?>
<formControlPr xmlns="http://schemas.microsoft.com/office/spreadsheetml/2009/9/main" objectType="CheckBox" fmlaLink="$W$149" lockText="1" noThreeD="1"/>
</file>

<file path=xl/ctrlProps/ctrlProp117.xml><?xml version="1.0" encoding="utf-8"?>
<formControlPr xmlns="http://schemas.microsoft.com/office/spreadsheetml/2009/9/main" objectType="CheckBox" fmlaLink="$W$151" lockText="1" noThreeD="1"/>
</file>

<file path=xl/ctrlProps/ctrlProp118.xml><?xml version="1.0" encoding="utf-8"?>
<formControlPr xmlns="http://schemas.microsoft.com/office/spreadsheetml/2009/9/main" objectType="CheckBox" fmlaLink="$W$153" lockText="1" noThreeD="1"/>
</file>

<file path=xl/ctrlProps/ctrlProp119.xml><?xml version="1.0" encoding="utf-8"?>
<formControlPr xmlns="http://schemas.microsoft.com/office/spreadsheetml/2009/9/main" objectType="CheckBox" fmlaLink="$W$165" lockText="1" noThreeD="1"/>
</file>

<file path=xl/ctrlProps/ctrlProp12.xml><?xml version="1.0" encoding="utf-8"?>
<formControlPr xmlns="http://schemas.microsoft.com/office/spreadsheetml/2009/9/main" objectType="CheckBox" fmlaLink="$W$70" lockText="1" noThreeD="1"/>
</file>

<file path=xl/ctrlProps/ctrlProp120.xml><?xml version="1.0" encoding="utf-8"?>
<formControlPr xmlns="http://schemas.microsoft.com/office/spreadsheetml/2009/9/main" objectType="CheckBox" fmlaLink="$W$175" lockText="1" noThreeD="1"/>
</file>

<file path=xl/ctrlProps/ctrlProp121.xml><?xml version="1.0" encoding="utf-8"?>
<formControlPr xmlns="http://schemas.microsoft.com/office/spreadsheetml/2009/9/main" objectType="CheckBox" fmlaLink="$W$178" lockText="1" noThreeD="1"/>
</file>

<file path=xl/ctrlProps/ctrlProp122.xml><?xml version="1.0" encoding="utf-8"?>
<formControlPr xmlns="http://schemas.microsoft.com/office/spreadsheetml/2009/9/main" objectType="CheckBox" fmlaLink="$W$179" lockText="1" noThreeD="1"/>
</file>

<file path=xl/ctrlProps/ctrlProp123.xml><?xml version="1.0" encoding="utf-8"?>
<formControlPr xmlns="http://schemas.microsoft.com/office/spreadsheetml/2009/9/main" objectType="CheckBox" fmlaLink="$W$189" lockText="1" noThreeD="1"/>
</file>

<file path=xl/ctrlProps/ctrlProp124.xml><?xml version="1.0" encoding="utf-8"?>
<formControlPr xmlns="http://schemas.microsoft.com/office/spreadsheetml/2009/9/main" objectType="CheckBox" fmlaLink="$W$191" lockText="1" noThreeD="1"/>
</file>

<file path=xl/ctrlProps/ctrlProp125.xml><?xml version="1.0" encoding="utf-8"?>
<formControlPr xmlns="http://schemas.microsoft.com/office/spreadsheetml/2009/9/main" objectType="CheckBox" fmlaLink="$W$207" lockText="1" noThreeD="1"/>
</file>

<file path=xl/ctrlProps/ctrlProp126.xml><?xml version="1.0" encoding="utf-8"?>
<formControlPr xmlns="http://schemas.microsoft.com/office/spreadsheetml/2009/9/main" objectType="CheckBox" fmlaLink="$W$218" lockText="1" noThreeD="1"/>
</file>

<file path=xl/ctrlProps/ctrlProp127.xml><?xml version="1.0" encoding="utf-8"?>
<formControlPr xmlns="http://schemas.microsoft.com/office/spreadsheetml/2009/9/main" objectType="CheckBox" fmlaLink="$W$219" lockText="1" noThreeD="1"/>
</file>

<file path=xl/ctrlProps/ctrlProp128.xml><?xml version="1.0" encoding="utf-8"?>
<formControlPr xmlns="http://schemas.microsoft.com/office/spreadsheetml/2009/9/main" objectType="CheckBox" fmlaLink="$W$227" lockText="1" noThreeD="1"/>
</file>

<file path=xl/ctrlProps/ctrlProp129.xml><?xml version="1.0" encoding="utf-8"?>
<formControlPr xmlns="http://schemas.microsoft.com/office/spreadsheetml/2009/9/main" objectType="CheckBox" fmlaLink="$W$229" lockText="1" noThreeD="1"/>
</file>

<file path=xl/ctrlProps/ctrlProp13.xml><?xml version="1.0" encoding="utf-8"?>
<formControlPr xmlns="http://schemas.microsoft.com/office/spreadsheetml/2009/9/main" objectType="CheckBox" fmlaLink="$W$72" lockText="1" noThreeD="1"/>
</file>

<file path=xl/ctrlProps/ctrlProp130.xml><?xml version="1.0" encoding="utf-8"?>
<formControlPr xmlns="http://schemas.microsoft.com/office/spreadsheetml/2009/9/main" objectType="CheckBox" fmlaLink="$W$230" lockText="1" noThreeD="1"/>
</file>

<file path=xl/ctrlProps/ctrlProp131.xml><?xml version="1.0" encoding="utf-8"?>
<formControlPr xmlns="http://schemas.microsoft.com/office/spreadsheetml/2009/9/main" objectType="CheckBox" fmlaLink="$W$233" lockText="1" noThreeD="1"/>
</file>

<file path=xl/ctrlProps/ctrlProp132.xml><?xml version="1.0" encoding="utf-8"?>
<formControlPr xmlns="http://schemas.microsoft.com/office/spreadsheetml/2009/9/main" objectType="CheckBox" fmlaLink="$W$237" lockText="1" noThreeD="1"/>
</file>

<file path=xl/ctrlProps/ctrlProp133.xml><?xml version="1.0" encoding="utf-8"?>
<formControlPr xmlns="http://schemas.microsoft.com/office/spreadsheetml/2009/9/main" objectType="CheckBox" fmlaLink="$W$242" lockText="1" noThreeD="1"/>
</file>

<file path=xl/ctrlProps/ctrlProp134.xml><?xml version="1.0" encoding="utf-8"?>
<formControlPr xmlns="http://schemas.microsoft.com/office/spreadsheetml/2009/9/main" objectType="CheckBox" fmlaLink="$W$244" lockText="1" noThreeD="1"/>
</file>

<file path=xl/ctrlProps/ctrlProp135.xml><?xml version="1.0" encoding="utf-8"?>
<formControlPr xmlns="http://schemas.microsoft.com/office/spreadsheetml/2009/9/main" objectType="CheckBox" fmlaLink="$W$261" lockText="1" noThreeD="1"/>
</file>

<file path=xl/ctrlProps/ctrlProp136.xml><?xml version="1.0" encoding="utf-8"?>
<formControlPr xmlns="http://schemas.microsoft.com/office/spreadsheetml/2009/9/main" objectType="CheckBox" fmlaLink="$W$278" lockText="1" noThreeD="1"/>
</file>

<file path=xl/ctrlProps/ctrlProp137.xml><?xml version="1.0" encoding="utf-8"?>
<formControlPr xmlns="http://schemas.microsoft.com/office/spreadsheetml/2009/9/main" objectType="CheckBox" fmlaLink="$W$291" lockText="1" noThreeD="1"/>
</file>

<file path=xl/ctrlProps/ctrlProp138.xml><?xml version="1.0" encoding="utf-8"?>
<formControlPr xmlns="http://schemas.microsoft.com/office/spreadsheetml/2009/9/main" objectType="CheckBox" fmlaLink="$W$293" lockText="1" noThreeD="1"/>
</file>

<file path=xl/ctrlProps/ctrlProp139.xml><?xml version="1.0" encoding="utf-8"?>
<formControlPr xmlns="http://schemas.microsoft.com/office/spreadsheetml/2009/9/main" objectType="CheckBox" fmlaLink="$W$306" lockText="1" noThreeD="1"/>
</file>

<file path=xl/ctrlProps/ctrlProp14.xml><?xml version="1.0" encoding="utf-8"?>
<formControlPr xmlns="http://schemas.microsoft.com/office/spreadsheetml/2009/9/main" objectType="CheckBox" fmlaLink="$W$74" lockText="1" noThreeD="1"/>
</file>

<file path=xl/ctrlProps/ctrlProp140.xml><?xml version="1.0" encoding="utf-8"?>
<formControlPr xmlns="http://schemas.microsoft.com/office/spreadsheetml/2009/9/main" objectType="CheckBox" fmlaLink="$W$307" lockText="1" noThreeD="1"/>
</file>

<file path=xl/ctrlProps/ctrlProp141.xml><?xml version="1.0" encoding="utf-8"?>
<formControlPr xmlns="http://schemas.microsoft.com/office/spreadsheetml/2009/9/main" objectType="CheckBox" fmlaLink="$W$308" lockText="1" noThreeD="1"/>
</file>

<file path=xl/ctrlProps/ctrlProp142.xml><?xml version="1.0" encoding="utf-8"?>
<formControlPr xmlns="http://schemas.microsoft.com/office/spreadsheetml/2009/9/main" objectType="CheckBox" fmlaLink="$W$309" lockText="1" noThreeD="1"/>
</file>

<file path=xl/ctrlProps/ctrlProp143.xml><?xml version="1.0" encoding="utf-8"?>
<formControlPr xmlns="http://schemas.microsoft.com/office/spreadsheetml/2009/9/main" objectType="CheckBox" fmlaLink="$W$310" lockText="1" noThreeD="1"/>
</file>

<file path=xl/ctrlProps/ctrlProp144.xml><?xml version="1.0" encoding="utf-8"?>
<formControlPr xmlns="http://schemas.microsoft.com/office/spreadsheetml/2009/9/main" objectType="CheckBox" fmlaLink="$W$311" lockText="1" noThreeD="1"/>
</file>

<file path=xl/ctrlProps/ctrlProp145.xml><?xml version="1.0" encoding="utf-8"?>
<formControlPr xmlns="http://schemas.microsoft.com/office/spreadsheetml/2009/9/main" objectType="CheckBox" fmlaLink="$W$312" lockText="1" noThreeD="1"/>
</file>

<file path=xl/ctrlProps/ctrlProp146.xml><?xml version="1.0" encoding="utf-8"?>
<formControlPr xmlns="http://schemas.microsoft.com/office/spreadsheetml/2009/9/main" objectType="CheckBox" fmlaLink="$W$313" lockText="1" noThreeD="1"/>
</file>

<file path=xl/ctrlProps/ctrlProp147.xml><?xml version="1.0" encoding="utf-8"?>
<formControlPr xmlns="http://schemas.microsoft.com/office/spreadsheetml/2009/9/main" objectType="CheckBox" fmlaLink="$W$314" lockText="1" noThreeD="1"/>
</file>

<file path=xl/ctrlProps/ctrlProp148.xml><?xml version="1.0" encoding="utf-8"?>
<formControlPr xmlns="http://schemas.microsoft.com/office/spreadsheetml/2009/9/main" objectType="CheckBox" fmlaLink="$W$365" lockText="1" noThreeD="1"/>
</file>

<file path=xl/ctrlProps/ctrlProp149.xml><?xml version="1.0" encoding="utf-8"?>
<formControlPr xmlns="http://schemas.microsoft.com/office/spreadsheetml/2009/9/main" objectType="CheckBox" fmlaLink="$W$370" lockText="1" noThreeD="1"/>
</file>

<file path=xl/ctrlProps/ctrlProp15.xml><?xml version="1.0" encoding="utf-8"?>
<formControlPr xmlns="http://schemas.microsoft.com/office/spreadsheetml/2009/9/main" objectType="CheckBox" fmlaLink="$W$76" lockText="1" noThreeD="1"/>
</file>

<file path=xl/ctrlProps/ctrlProp150.xml><?xml version="1.0" encoding="utf-8"?>
<formControlPr xmlns="http://schemas.microsoft.com/office/spreadsheetml/2009/9/main" objectType="CheckBox" fmlaLink="$W$376" lockText="1" noThreeD="1"/>
</file>

<file path=xl/ctrlProps/ctrlProp151.xml><?xml version="1.0" encoding="utf-8"?>
<formControlPr xmlns="http://schemas.microsoft.com/office/spreadsheetml/2009/9/main" objectType="CheckBox" fmlaLink="$W$409" lockText="1" noThreeD="1"/>
</file>

<file path=xl/ctrlProps/ctrlProp152.xml><?xml version="1.0" encoding="utf-8"?>
<formControlPr xmlns="http://schemas.microsoft.com/office/spreadsheetml/2009/9/main" objectType="CheckBox" fmlaLink="$W$418" lockText="1" noThreeD="1"/>
</file>

<file path=xl/ctrlProps/ctrlProp153.xml><?xml version="1.0" encoding="utf-8"?>
<formControlPr xmlns="http://schemas.microsoft.com/office/spreadsheetml/2009/9/main" objectType="CheckBox" fmlaLink="$W$426" lockText="1" noThreeD="1"/>
</file>

<file path=xl/ctrlProps/ctrlProp154.xml><?xml version="1.0" encoding="utf-8"?>
<formControlPr xmlns="http://schemas.microsoft.com/office/spreadsheetml/2009/9/main" objectType="CheckBox" fmlaLink="$W$506" lockText="1" noThreeD="1"/>
</file>

<file path=xl/ctrlProps/ctrlProp155.xml><?xml version="1.0" encoding="utf-8"?>
<formControlPr xmlns="http://schemas.microsoft.com/office/spreadsheetml/2009/9/main" objectType="CheckBox" fmlaLink="$W$507" lockText="1" noThreeD="1"/>
</file>

<file path=xl/ctrlProps/ctrlProp156.xml><?xml version="1.0" encoding="utf-8"?>
<formControlPr xmlns="http://schemas.microsoft.com/office/spreadsheetml/2009/9/main" objectType="CheckBox" fmlaLink="$W$509" lockText="1" noThreeD="1"/>
</file>

<file path=xl/ctrlProps/ctrlProp157.xml><?xml version="1.0" encoding="utf-8"?>
<formControlPr xmlns="http://schemas.microsoft.com/office/spreadsheetml/2009/9/main" objectType="CheckBox" fmlaLink="$W$511" lockText="1" noThreeD="1"/>
</file>

<file path=xl/ctrlProps/ctrlProp158.xml><?xml version="1.0" encoding="utf-8"?>
<formControlPr xmlns="http://schemas.microsoft.com/office/spreadsheetml/2009/9/main" objectType="CheckBox" fmlaLink="$W$513" lockText="1" noThreeD="1"/>
</file>

<file path=xl/ctrlProps/ctrlProp159.xml><?xml version="1.0" encoding="utf-8"?>
<formControlPr xmlns="http://schemas.microsoft.com/office/spreadsheetml/2009/9/main" objectType="CheckBox" fmlaLink="$W$515" lockText="1" noThreeD="1"/>
</file>

<file path=xl/ctrlProps/ctrlProp16.xml><?xml version="1.0" encoding="utf-8"?>
<formControlPr xmlns="http://schemas.microsoft.com/office/spreadsheetml/2009/9/main" objectType="CheckBox" fmlaLink="$W$78" lockText="1" noThreeD="1"/>
</file>

<file path=xl/ctrlProps/ctrlProp160.xml><?xml version="1.0" encoding="utf-8"?>
<formControlPr xmlns="http://schemas.microsoft.com/office/spreadsheetml/2009/9/main" objectType="CheckBox" fmlaLink="$W$517" lockText="1" noThreeD="1"/>
</file>

<file path=xl/ctrlProps/ctrlProp161.xml><?xml version="1.0" encoding="utf-8"?>
<formControlPr xmlns="http://schemas.microsoft.com/office/spreadsheetml/2009/9/main" objectType="CheckBox" fmlaLink="$W$521" lockText="1" noThreeD="1"/>
</file>

<file path=xl/ctrlProps/ctrlProp162.xml><?xml version="1.0" encoding="utf-8"?>
<formControlPr xmlns="http://schemas.microsoft.com/office/spreadsheetml/2009/9/main" objectType="CheckBox" fmlaLink="$W$526" lockText="1" noThreeD="1"/>
</file>

<file path=xl/ctrlProps/ctrlProp163.xml><?xml version="1.0" encoding="utf-8"?>
<formControlPr xmlns="http://schemas.microsoft.com/office/spreadsheetml/2009/9/main" objectType="CheckBox" fmlaLink="$W$530" lockText="1" noThreeD="1"/>
</file>

<file path=xl/ctrlProps/ctrlProp164.xml><?xml version="1.0" encoding="utf-8"?>
<formControlPr xmlns="http://schemas.microsoft.com/office/spreadsheetml/2009/9/main" objectType="CheckBox" fmlaLink="$W$532" lockText="1" noThreeD="1"/>
</file>

<file path=xl/ctrlProps/ctrlProp165.xml><?xml version="1.0" encoding="utf-8"?>
<formControlPr xmlns="http://schemas.microsoft.com/office/spreadsheetml/2009/9/main" objectType="CheckBox" fmlaLink="$W$534" lockText="1" noThreeD="1"/>
</file>

<file path=xl/ctrlProps/ctrlProp166.xml><?xml version="1.0" encoding="utf-8"?>
<formControlPr xmlns="http://schemas.microsoft.com/office/spreadsheetml/2009/9/main" objectType="CheckBox" fmlaLink="$W$535" lockText="1" noThreeD="1"/>
</file>

<file path=xl/ctrlProps/ctrlProp167.xml><?xml version="1.0" encoding="utf-8"?>
<formControlPr xmlns="http://schemas.microsoft.com/office/spreadsheetml/2009/9/main" objectType="CheckBox" fmlaLink="$W$536" lockText="1" noThreeD="1"/>
</file>

<file path=xl/ctrlProps/ctrlProp168.xml><?xml version="1.0" encoding="utf-8"?>
<formControlPr xmlns="http://schemas.microsoft.com/office/spreadsheetml/2009/9/main" objectType="CheckBox" fmlaLink="$W$540" lockText="1" noThreeD="1"/>
</file>

<file path=xl/ctrlProps/ctrlProp169.xml><?xml version="1.0" encoding="utf-8"?>
<formControlPr xmlns="http://schemas.microsoft.com/office/spreadsheetml/2009/9/main" objectType="CheckBox" fmlaLink="$W$220" lockText="1" noThreeD="1"/>
</file>

<file path=xl/ctrlProps/ctrlProp17.xml><?xml version="1.0" encoding="utf-8"?>
<formControlPr xmlns="http://schemas.microsoft.com/office/spreadsheetml/2009/9/main" objectType="CheckBox" fmlaLink="$W$80" lockText="1" noThreeD="1"/>
</file>

<file path=xl/ctrlProps/ctrlProp170.xml><?xml version="1.0" encoding="utf-8"?>
<formControlPr xmlns="http://schemas.microsoft.com/office/spreadsheetml/2009/9/main" objectType="CheckBox" fmlaLink="$W$275" lockText="1" noThreeD="1"/>
</file>

<file path=xl/ctrlProps/ctrlProp171.xml><?xml version="1.0" encoding="utf-8"?>
<formControlPr xmlns="http://schemas.microsoft.com/office/spreadsheetml/2009/9/main" objectType="CheckBox" fmlaLink="$W$63" lockText="1" noThreeD="1"/>
</file>

<file path=xl/ctrlProps/ctrlProp172.xml><?xml version="1.0" encoding="utf-8"?>
<formControlPr xmlns="http://schemas.microsoft.com/office/spreadsheetml/2009/9/main" objectType="CheckBox" fmlaLink="$W$68" lockText="1" noThreeD="1"/>
</file>

<file path=xl/ctrlProps/ctrlProp173.xml><?xml version="1.0" encoding="utf-8"?>
<formControlPr xmlns="http://schemas.microsoft.com/office/spreadsheetml/2009/9/main" objectType="CheckBox" fmlaLink="$W$85" lockText="1" noThreeD="1"/>
</file>

<file path=xl/ctrlProps/ctrlProp174.xml><?xml version="1.0" encoding="utf-8"?>
<formControlPr xmlns="http://schemas.microsoft.com/office/spreadsheetml/2009/9/main" objectType="CheckBox" fmlaLink="$W$150" lockText="1" noThreeD="1"/>
</file>

<file path=xl/ctrlProps/ctrlProp175.xml><?xml version="1.0" encoding="utf-8"?>
<formControlPr xmlns="http://schemas.microsoft.com/office/spreadsheetml/2009/9/main" objectType="CheckBox" fmlaLink="$W$170" lockText="1" noThreeD="1"/>
</file>

<file path=xl/ctrlProps/ctrlProp176.xml><?xml version="1.0" encoding="utf-8"?>
<formControlPr xmlns="http://schemas.microsoft.com/office/spreadsheetml/2009/9/main" objectType="CheckBox" fmlaLink="$W$172" lockText="1" noThreeD="1"/>
</file>

<file path=xl/ctrlProps/ctrlProp177.xml><?xml version="1.0" encoding="utf-8"?>
<formControlPr xmlns="http://schemas.microsoft.com/office/spreadsheetml/2009/9/main" objectType="CheckBox" fmlaLink="$W$179" lockText="1" noThreeD="1"/>
</file>

<file path=xl/ctrlProps/ctrlProp178.xml><?xml version="1.0" encoding="utf-8"?>
<formControlPr xmlns="http://schemas.microsoft.com/office/spreadsheetml/2009/9/main" objectType="CheckBox" fmlaLink="$W$77" lockText="1" noThreeD="1"/>
</file>

<file path=xl/ctrlProps/ctrlProp179.xml><?xml version="1.0" encoding="utf-8"?>
<formControlPr xmlns="http://schemas.microsoft.com/office/spreadsheetml/2009/9/main" objectType="CheckBox" fmlaLink="$W$80" lockText="1" noThreeD="1"/>
</file>

<file path=xl/ctrlProps/ctrlProp18.xml><?xml version="1.0" encoding="utf-8"?>
<formControlPr xmlns="http://schemas.microsoft.com/office/spreadsheetml/2009/9/main" objectType="CheckBox" fmlaLink="$W$82" lockText="1" noThreeD="1"/>
</file>

<file path=xl/ctrlProps/ctrlProp180.xml><?xml version="1.0" encoding="utf-8"?>
<formControlPr xmlns="http://schemas.microsoft.com/office/spreadsheetml/2009/9/main" objectType="CheckBox" fmlaLink="$W$81" lockText="1" noThreeD="1"/>
</file>

<file path=xl/ctrlProps/ctrlProp181.xml><?xml version="1.0" encoding="utf-8"?>
<formControlPr xmlns="http://schemas.microsoft.com/office/spreadsheetml/2009/9/main" objectType="CheckBox" fmlaLink="$W$121" lockText="1" noThreeD="1"/>
</file>

<file path=xl/ctrlProps/ctrlProp182.xml><?xml version="1.0" encoding="utf-8"?>
<formControlPr xmlns="http://schemas.microsoft.com/office/spreadsheetml/2009/9/main" objectType="CheckBox" fmlaLink="$W$124" lockText="1" noThreeD="1"/>
</file>

<file path=xl/ctrlProps/ctrlProp183.xml><?xml version="1.0" encoding="utf-8"?>
<formControlPr xmlns="http://schemas.microsoft.com/office/spreadsheetml/2009/9/main" objectType="CheckBox" fmlaLink="$W$173" lockText="1" noThreeD="1"/>
</file>

<file path=xl/ctrlProps/ctrlProp184.xml><?xml version="1.0" encoding="utf-8"?>
<formControlPr xmlns="http://schemas.microsoft.com/office/spreadsheetml/2009/9/main" objectType="CheckBox" fmlaLink="$W$196" lockText="1" noThreeD="1"/>
</file>

<file path=xl/ctrlProps/ctrlProp185.xml><?xml version="1.0" encoding="utf-8"?>
<formControlPr xmlns="http://schemas.microsoft.com/office/spreadsheetml/2009/9/main" objectType="CheckBox" fmlaLink="$W$211" lockText="1" noThreeD="1"/>
</file>

<file path=xl/ctrlProps/ctrlProp186.xml><?xml version="1.0" encoding="utf-8"?>
<formControlPr xmlns="http://schemas.microsoft.com/office/spreadsheetml/2009/9/main" objectType="CheckBox" fmlaLink="$W$220" lockText="1" noThreeD="1"/>
</file>

<file path=xl/ctrlProps/ctrlProp187.xml><?xml version="1.0" encoding="utf-8"?>
<formControlPr xmlns="http://schemas.microsoft.com/office/spreadsheetml/2009/9/main" objectType="CheckBox" fmlaLink="$W$229" lockText="1" noThreeD="1"/>
</file>

<file path=xl/ctrlProps/ctrlProp188.xml><?xml version="1.0" encoding="utf-8"?>
<formControlPr xmlns="http://schemas.microsoft.com/office/spreadsheetml/2009/9/main" objectType="CheckBox" fmlaLink="$W$666" lockText="1" noThreeD="1"/>
</file>

<file path=xl/ctrlProps/ctrlProp189.xml><?xml version="1.0" encoding="utf-8"?>
<formControlPr xmlns="http://schemas.microsoft.com/office/spreadsheetml/2009/9/main" objectType="CheckBox" fmlaLink="$W$667" lockText="1" noThreeD="1"/>
</file>

<file path=xl/ctrlProps/ctrlProp19.xml><?xml version="1.0" encoding="utf-8"?>
<formControlPr xmlns="http://schemas.microsoft.com/office/spreadsheetml/2009/9/main" objectType="CheckBox" fmlaLink="$W$91" lockText="1" noThreeD="1"/>
</file>

<file path=xl/ctrlProps/ctrlProp190.xml><?xml version="1.0" encoding="utf-8"?>
<formControlPr xmlns="http://schemas.microsoft.com/office/spreadsheetml/2009/9/main" objectType="CheckBox" fmlaLink="$W$668" lockText="1" noThreeD="1"/>
</file>

<file path=xl/ctrlProps/ctrlProp191.xml><?xml version="1.0" encoding="utf-8"?>
<formControlPr xmlns="http://schemas.microsoft.com/office/spreadsheetml/2009/9/main" objectType="CheckBox" fmlaLink="$W$669" lockText="1" noThreeD="1"/>
</file>

<file path=xl/ctrlProps/ctrlProp192.xml><?xml version="1.0" encoding="utf-8"?>
<formControlPr xmlns="http://schemas.microsoft.com/office/spreadsheetml/2009/9/main" objectType="CheckBox" fmlaLink="$W$671" lockText="1" noThreeD="1"/>
</file>

<file path=xl/ctrlProps/ctrlProp193.xml><?xml version="1.0" encoding="utf-8"?>
<formControlPr xmlns="http://schemas.microsoft.com/office/spreadsheetml/2009/9/main" objectType="CheckBox" fmlaLink="$W$674" lockText="1" noThreeD="1"/>
</file>

<file path=xl/ctrlProps/ctrlProp194.xml><?xml version="1.0" encoding="utf-8"?>
<formControlPr xmlns="http://schemas.microsoft.com/office/spreadsheetml/2009/9/main" objectType="CheckBox" fmlaLink="$W$694" lockText="1" noThreeD="1"/>
</file>

<file path=xl/ctrlProps/ctrlProp195.xml><?xml version="1.0" encoding="utf-8"?>
<formControlPr xmlns="http://schemas.microsoft.com/office/spreadsheetml/2009/9/main" objectType="CheckBox" fmlaLink="$W$695" lockText="1" noThreeD="1"/>
</file>

<file path=xl/ctrlProps/ctrlProp196.xml><?xml version="1.0" encoding="utf-8"?>
<formControlPr xmlns="http://schemas.microsoft.com/office/spreadsheetml/2009/9/main" objectType="CheckBox" fmlaLink="$W$696" lockText="1" noThreeD="1"/>
</file>

<file path=xl/ctrlProps/ctrlProp197.xml><?xml version="1.0" encoding="utf-8"?>
<formControlPr xmlns="http://schemas.microsoft.com/office/spreadsheetml/2009/9/main" objectType="CheckBox" fmlaLink="$W$697" lockText="1" noThreeD="1"/>
</file>

<file path=xl/ctrlProps/ctrlProp198.xml><?xml version="1.0" encoding="utf-8"?>
<formControlPr xmlns="http://schemas.microsoft.com/office/spreadsheetml/2009/9/main" objectType="CheckBox" fmlaLink="$W$698" lockText="1" noThreeD="1"/>
</file>

<file path=xl/ctrlProps/ctrlProp199.xml><?xml version="1.0" encoding="utf-8"?>
<formControlPr xmlns="http://schemas.microsoft.com/office/spreadsheetml/2009/9/main" objectType="CheckBox" fmlaLink="$W$699" lockText="1" noThreeD="1"/>
</file>

<file path=xl/ctrlProps/ctrlProp2.xml><?xml version="1.0" encoding="utf-8"?>
<formControlPr xmlns="http://schemas.microsoft.com/office/spreadsheetml/2009/9/main" objectType="CheckBox" fmlaLink="$W$15" lockText="1" noThreeD="1"/>
</file>

<file path=xl/ctrlProps/ctrlProp20.xml><?xml version="1.0" encoding="utf-8"?>
<formControlPr xmlns="http://schemas.microsoft.com/office/spreadsheetml/2009/9/main" objectType="CheckBox" fmlaLink="$W$92" lockText="1" noThreeD="1"/>
</file>

<file path=xl/ctrlProps/ctrlProp200.xml><?xml version="1.0" encoding="utf-8"?>
<formControlPr xmlns="http://schemas.microsoft.com/office/spreadsheetml/2009/9/main" objectType="CheckBox" fmlaLink="$W$700" lockText="1" noThreeD="1"/>
</file>

<file path=xl/ctrlProps/ctrlProp201.xml><?xml version="1.0" encoding="utf-8"?>
<formControlPr xmlns="http://schemas.microsoft.com/office/spreadsheetml/2009/9/main" objectType="CheckBox" fmlaLink="$W$701" lockText="1" noThreeD="1"/>
</file>

<file path=xl/ctrlProps/ctrlProp202.xml><?xml version="1.0" encoding="utf-8"?>
<formControlPr xmlns="http://schemas.microsoft.com/office/spreadsheetml/2009/9/main" objectType="CheckBox" fmlaLink="$W$704" lockText="1" noThreeD="1"/>
</file>

<file path=xl/ctrlProps/ctrlProp203.xml><?xml version="1.0" encoding="utf-8"?>
<formControlPr xmlns="http://schemas.microsoft.com/office/spreadsheetml/2009/9/main" objectType="CheckBox" fmlaLink="$W$706" lockText="1" noThreeD="1"/>
</file>

<file path=xl/ctrlProps/ctrlProp204.xml><?xml version="1.0" encoding="utf-8"?>
<formControlPr xmlns="http://schemas.microsoft.com/office/spreadsheetml/2009/9/main" objectType="CheckBox" fmlaLink="$W$708" lockText="1" noThreeD="1"/>
</file>

<file path=xl/ctrlProps/ctrlProp205.xml><?xml version="1.0" encoding="utf-8"?>
<formControlPr xmlns="http://schemas.microsoft.com/office/spreadsheetml/2009/9/main" objectType="CheckBox" fmlaLink="$W$725" lockText="1" noThreeD="1"/>
</file>

<file path=xl/ctrlProps/ctrlProp206.xml><?xml version="1.0" encoding="utf-8"?>
<formControlPr xmlns="http://schemas.microsoft.com/office/spreadsheetml/2009/9/main" objectType="CheckBox" fmlaLink="$W$733" lockText="1" noThreeD="1"/>
</file>

<file path=xl/ctrlProps/ctrlProp207.xml><?xml version="1.0" encoding="utf-8"?>
<formControlPr xmlns="http://schemas.microsoft.com/office/spreadsheetml/2009/9/main" objectType="CheckBox" fmlaLink="$W$729" lockText="1" noThreeD="1"/>
</file>

<file path=xl/ctrlProps/ctrlProp208.xml><?xml version="1.0" encoding="utf-8"?>
<formControlPr xmlns="http://schemas.microsoft.com/office/spreadsheetml/2009/9/main" objectType="CheckBox" fmlaLink="$W$730" lockText="1" noThreeD="1"/>
</file>

<file path=xl/ctrlProps/ctrlProp209.xml><?xml version="1.0" encoding="utf-8"?>
<formControlPr xmlns="http://schemas.microsoft.com/office/spreadsheetml/2009/9/main" objectType="CheckBox" fmlaLink="$W$741" lockText="1" noThreeD="1"/>
</file>

<file path=xl/ctrlProps/ctrlProp21.xml><?xml version="1.0" encoding="utf-8"?>
<formControlPr xmlns="http://schemas.microsoft.com/office/spreadsheetml/2009/9/main" objectType="CheckBox" fmlaLink="$W$99" lockText="1" noThreeD="1"/>
</file>

<file path=xl/ctrlProps/ctrlProp210.xml><?xml version="1.0" encoding="utf-8"?>
<formControlPr xmlns="http://schemas.microsoft.com/office/spreadsheetml/2009/9/main" objectType="CheckBox" fmlaLink="$W$561" lockText="1" noThreeD="1"/>
</file>

<file path=xl/ctrlProps/ctrlProp211.xml><?xml version="1.0" encoding="utf-8"?>
<formControlPr xmlns="http://schemas.microsoft.com/office/spreadsheetml/2009/9/main" objectType="CheckBox" fmlaLink="$W$578" lockText="1" noThreeD="1"/>
</file>

<file path=xl/ctrlProps/ctrlProp212.xml><?xml version="1.0" encoding="utf-8"?>
<formControlPr xmlns="http://schemas.microsoft.com/office/spreadsheetml/2009/9/main" objectType="CheckBox" fmlaLink="$W$581" lockText="1" noThreeD="1"/>
</file>

<file path=xl/ctrlProps/ctrlProp213.xml><?xml version="1.0" encoding="utf-8"?>
<formControlPr xmlns="http://schemas.microsoft.com/office/spreadsheetml/2009/9/main" objectType="CheckBox" fmlaLink="$W$586" lockText="1" noThreeD="1"/>
</file>

<file path=xl/ctrlProps/ctrlProp214.xml><?xml version="1.0" encoding="utf-8"?>
<formControlPr xmlns="http://schemas.microsoft.com/office/spreadsheetml/2009/9/main" objectType="CheckBox" fmlaLink="$W$587" lockText="1" noThreeD="1"/>
</file>

<file path=xl/ctrlProps/ctrlProp215.xml><?xml version="1.0" encoding="utf-8"?>
<formControlPr xmlns="http://schemas.microsoft.com/office/spreadsheetml/2009/9/main" objectType="CheckBox" fmlaLink="$W$597" lockText="1" noThreeD="1"/>
</file>

<file path=xl/ctrlProps/ctrlProp216.xml><?xml version="1.0" encoding="utf-8"?>
<formControlPr xmlns="http://schemas.microsoft.com/office/spreadsheetml/2009/9/main" objectType="CheckBox" fmlaLink="$W$626" lockText="1" noThreeD="1"/>
</file>

<file path=xl/ctrlProps/ctrlProp217.xml><?xml version="1.0" encoding="utf-8"?>
<formControlPr xmlns="http://schemas.microsoft.com/office/spreadsheetml/2009/9/main" objectType="CheckBox" fmlaLink="$W$643" lockText="1" noThreeD="1"/>
</file>

<file path=xl/ctrlProps/ctrlProp218.xml><?xml version="1.0" encoding="utf-8"?>
<formControlPr xmlns="http://schemas.microsoft.com/office/spreadsheetml/2009/9/main" objectType="CheckBox" fmlaLink="$W$655" lockText="1" noThreeD="1"/>
</file>

<file path=xl/ctrlProps/ctrlProp219.xml><?xml version="1.0" encoding="utf-8"?>
<formControlPr xmlns="http://schemas.microsoft.com/office/spreadsheetml/2009/9/main" objectType="CheckBox" fmlaLink="$W$657" lockText="1" noThreeD="1"/>
</file>

<file path=xl/ctrlProps/ctrlProp22.xml><?xml version="1.0" encoding="utf-8"?>
<formControlPr xmlns="http://schemas.microsoft.com/office/spreadsheetml/2009/9/main" objectType="CheckBox" fmlaLink="$W$101" lockText="1" noThreeD="1"/>
</file>

<file path=xl/ctrlProps/ctrlProp220.xml><?xml version="1.0" encoding="utf-8"?>
<formControlPr xmlns="http://schemas.microsoft.com/office/spreadsheetml/2009/9/main" objectType="CheckBox" fmlaLink="$W$659" lockText="1" noThreeD="1"/>
</file>

<file path=xl/ctrlProps/ctrlProp221.xml><?xml version="1.0" encoding="utf-8"?>
<formControlPr xmlns="http://schemas.microsoft.com/office/spreadsheetml/2009/9/main" objectType="CheckBox" fmlaLink="$W$460" lockText="1" noThreeD="1"/>
</file>

<file path=xl/ctrlProps/ctrlProp222.xml><?xml version="1.0" encoding="utf-8"?>
<formControlPr xmlns="http://schemas.microsoft.com/office/spreadsheetml/2009/9/main" objectType="CheckBox" fmlaLink="$W$455" lockText="1" noThreeD="1"/>
</file>

<file path=xl/ctrlProps/ctrlProp223.xml><?xml version="1.0" encoding="utf-8"?>
<formControlPr xmlns="http://schemas.microsoft.com/office/spreadsheetml/2009/9/main" objectType="CheckBox" fmlaLink="$W$456" lockText="1" noThreeD="1"/>
</file>

<file path=xl/ctrlProps/ctrlProp224.xml><?xml version="1.0" encoding="utf-8"?>
<formControlPr xmlns="http://schemas.microsoft.com/office/spreadsheetml/2009/9/main" objectType="CheckBox" fmlaLink="$W$457" lockText="1" noThreeD="1"/>
</file>

<file path=xl/ctrlProps/ctrlProp225.xml><?xml version="1.0" encoding="utf-8"?>
<formControlPr xmlns="http://schemas.microsoft.com/office/spreadsheetml/2009/9/main" objectType="CheckBox" fmlaLink="$W$487" lockText="1" noThreeD="1"/>
</file>

<file path=xl/ctrlProps/ctrlProp226.xml><?xml version="1.0" encoding="utf-8"?>
<formControlPr xmlns="http://schemas.microsoft.com/office/spreadsheetml/2009/9/main" objectType="CheckBox" fmlaLink="$W$495" lockText="1" noThreeD="1"/>
</file>

<file path=xl/ctrlProps/ctrlProp227.xml><?xml version="1.0" encoding="utf-8"?>
<formControlPr xmlns="http://schemas.microsoft.com/office/spreadsheetml/2009/9/main" objectType="CheckBox" fmlaLink="$W$497" lockText="1" noThreeD="1"/>
</file>

<file path=xl/ctrlProps/ctrlProp228.xml><?xml version="1.0" encoding="utf-8"?>
<formControlPr xmlns="http://schemas.microsoft.com/office/spreadsheetml/2009/9/main" objectType="CheckBox" fmlaLink="$W$498" lockText="1" noThreeD="1"/>
</file>

<file path=xl/ctrlProps/ctrlProp229.xml><?xml version="1.0" encoding="utf-8"?>
<formControlPr xmlns="http://schemas.microsoft.com/office/spreadsheetml/2009/9/main" objectType="CheckBox" fmlaLink="$W$499" lockText="1" noThreeD="1"/>
</file>

<file path=xl/ctrlProps/ctrlProp23.xml><?xml version="1.0" encoding="utf-8"?>
<formControlPr xmlns="http://schemas.microsoft.com/office/spreadsheetml/2009/9/main" objectType="CheckBox" fmlaLink="$W$105" lockText="1" noThreeD="1"/>
</file>

<file path=xl/ctrlProps/ctrlProp230.xml><?xml version="1.0" encoding="utf-8"?>
<formControlPr xmlns="http://schemas.microsoft.com/office/spreadsheetml/2009/9/main" objectType="CheckBox" fmlaLink="$W$501" lockText="1" noThreeD="1"/>
</file>

<file path=xl/ctrlProps/ctrlProp231.xml><?xml version="1.0" encoding="utf-8"?>
<formControlPr xmlns="http://schemas.microsoft.com/office/spreadsheetml/2009/9/main" objectType="CheckBox" fmlaLink="$W$504" lockText="1" noThreeD="1"/>
</file>

<file path=xl/ctrlProps/ctrlProp232.xml><?xml version="1.0" encoding="utf-8"?>
<formControlPr xmlns="http://schemas.microsoft.com/office/spreadsheetml/2009/9/main" objectType="CheckBox" fmlaLink="$W$506" lockText="1" noThreeD="1"/>
</file>

<file path=xl/ctrlProps/ctrlProp233.xml><?xml version="1.0" encoding="utf-8"?>
<formControlPr xmlns="http://schemas.microsoft.com/office/spreadsheetml/2009/9/main" objectType="CheckBox" fmlaLink="$W$511" lockText="1" noThreeD="1"/>
</file>

<file path=xl/ctrlProps/ctrlProp234.xml><?xml version="1.0" encoding="utf-8"?>
<formControlPr xmlns="http://schemas.microsoft.com/office/spreadsheetml/2009/9/main" objectType="CheckBox" fmlaLink="$W$513" lockText="1" noThreeD="1"/>
</file>

<file path=xl/ctrlProps/ctrlProp235.xml><?xml version="1.0" encoding="utf-8"?>
<formControlPr xmlns="http://schemas.microsoft.com/office/spreadsheetml/2009/9/main" objectType="CheckBox" fmlaLink="$W$515" lockText="1" noThreeD="1"/>
</file>

<file path=xl/ctrlProps/ctrlProp236.xml><?xml version="1.0" encoding="utf-8"?>
<formControlPr xmlns="http://schemas.microsoft.com/office/spreadsheetml/2009/9/main" objectType="CheckBox" fmlaLink="$W$517" lockText="1" noThreeD="1"/>
</file>

<file path=xl/ctrlProps/ctrlProp237.xml><?xml version="1.0" encoding="utf-8"?>
<formControlPr xmlns="http://schemas.microsoft.com/office/spreadsheetml/2009/9/main" objectType="CheckBox" fmlaLink="$W$448" lockText="1" noThreeD="1"/>
</file>

<file path=xl/ctrlProps/ctrlProp238.xml><?xml version="1.0" encoding="utf-8"?>
<formControlPr xmlns="http://schemas.microsoft.com/office/spreadsheetml/2009/9/main" objectType="CheckBox" fmlaLink="$W$450" lockText="1" noThreeD="1"/>
</file>

<file path=xl/ctrlProps/ctrlProp239.xml><?xml version="1.0" encoding="utf-8"?>
<formControlPr xmlns="http://schemas.microsoft.com/office/spreadsheetml/2009/9/main" objectType="CheckBox" fmlaLink="$W$452" lockText="1" noThreeD="1"/>
</file>

<file path=xl/ctrlProps/ctrlProp24.xml><?xml version="1.0" encoding="utf-8"?>
<formControlPr xmlns="http://schemas.microsoft.com/office/spreadsheetml/2009/9/main" objectType="CheckBox" fmlaLink="$W$109" lockText="1" noThreeD="1"/>
</file>

<file path=xl/ctrlProps/ctrlProp240.xml><?xml version="1.0" encoding="utf-8"?>
<formControlPr xmlns="http://schemas.microsoft.com/office/spreadsheetml/2009/9/main" objectType="CheckBox" fmlaLink="$W$425" lockText="1" noThreeD="1"/>
</file>

<file path=xl/ctrlProps/ctrlProp241.xml><?xml version="1.0" encoding="utf-8"?>
<formControlPr xmlns="http://schemas.microsoft.com/office/spreadsheetml/2009/9/main" objectType="CheckBox" fmlaLink="$W$427" lockText="1" noThreeD="1"/>
</file>

<file path=xl/ctrlProps/ctrlProp242.xml><?xml version="1.0" encoding="utf-8"?>
<formControlPr xmlns="http://schemas.microsoft.com/office/spreadsheetml/2009/9/main" objectType="CheckBox" fmlaLink="$W$423" lockText="1" noThreeD="1"/>
</file>

<file path=xl/ctrlProps/ctrlProp243.xml><?xml version="1.0" encoding="utf-8"?>
<formControlPr xmlns="http://schemas.microsoft.com/office/spreadsheetml/2009/9/main" objectType="CheckBox" fmlaLink="$W$354" lockText="1" noThreeD="1"/>
</file>

<file path=xl/ctrlProps/ctrlProp244.xml><?xml version="1.0" encoding="utf-8"?>
<formControlPr xmlns="http://schemas.microsoft.com/office/spreadsheetml/2009/9/main" objectType="CheckBox" fmlaLink="$W$356" lockText="1" noThreeD="1"/>
</file>

<file path=xl/ctrlProps/ctrlProp245.xml><?xml version="1.0" encoding="utf-8"?>
<formControlPr xmlns="http://schemas.microsoft.com/office/spreadsheetml/2009/9/main" objectType="CheckBox" fmlaLink="$W$359" lockText="1" noThreeD="1"/>
</file>

<file path=xl/ctrlProps/ctrlProp246.xml><?xml version="1.0" encoding="utf-8"?>
<formControlPr xmlns="http://schemas.microsoft.com/office/spreadsheetml/2009/9/main" objectType="CheckBox" fmlaLink="$W$360" lockText="1" noThreeD="1"/>
</file>

<file path=xl/ctrlProps/ctrlProp247.xml><?xml version="1.0" encoding="utf-8"?>
<formControlPr xmlns="http://schemas.microsoft.com/office/spreadsheetml/2009/9/main" objectType="CheckBox" fmlaLink="$W$362" lockText="1" noThreeD="1"/>
</file>

<file path=xl/ctrlProps/ctrlProp248.xml><?xml version="1.0" encoding="utf-8"?>
<formControlPr xmlns="http://schemas.microsoft.com/office/spreadsheetml/2009/9/main" objectType="CheckBox" fmlaLink="$W$348" lockText="1" noThreeD="1"/>
</file>

<file path=xl/ctrlProps/ctrlProp249.xml><?xml version="1.0" encoding="utf-8"?>
<formControlPr xmlns="http://schemas.microsoft.com/office/spreadsheetml/2009/9/main" objectType="CheckBox" fmlaLink="$W$284" lockText="1" noThreeD="1"/>
</file>

<file path=xl/ctrlProps/ctrlProp25.xml><?xml version="1.0" encoding="utf-8"?>
<formControlPr xmlns="http://schemas.microsoft.com/office/spreadsheetml/2009/9/main" objectType="CheckBox" fmlaLink="$W$110" lockText="1" noThreeD="1"/>
</file>

<file path=xl/ctrlProps/ctrlProp250.xml><?xml version="1.0" encoding="utf-8"?>
<formControlPr xmlns="http://schemas.microsoft.com/office/spreadsheetml/2009/9/main" objectType="CheckBox" fmlaLink="$W$328" lockText="1" noThreeD="1"/>
</file>

<file path=xl/ctrlProps/ctrlProp251.xml><?xml version="1.0" encoding="utf-8"?>
<formControlPr xmlns="http://schemas.microsoft.com/office/spreadsheetml/2009/9/main" objectType="CheckBox" fmlaLink="$W$331" lockText="1" noThreeD="1"/>
</file>

<file path=xl/ctrlProps/ctrlProp252.xml><?xml version="1.0" encoding="utf-8"?>
<formControlPr xmlns="http://schemas.microsoft.com/office/spreadsheetml/2009/9/main" objectType="CheckBox" fmlaLink="$W$341" lockText="1" noThreeD="1"/>
</file>

<file path=xl/ctrlProps/ctrlProp253.xml><?xml version="1.0" encoding="utf-8"?>
<formControlPr xmlns="http://schemas.microsoft.com/office/spreadsheetml/2009/9/main" objectType="CheckBox" fmlaLink="$W$645" lockText="1" noThreeD="1"/>
</file>

<file path=xl/ctrlProps/ctrlProp254.xml><?xml version="1.0" encoding="utf-8"?>
<formControlPr xmlns="http://schemas.microsoft.com/office/spreadsheetml/2009/9/main" objectType="CheckBox" fmlaLink="$W$41" lockText="1" noThreeD="1"/>
</file>

<file path=xl/ctrlProps/ctrlProp255.xml><?xml version="1.0" encoding="utf-8"?>
<formControlPr xmlns="http://schemas.microsoft.com/office/spreadsheetml/2009/9/main" objectType="CheckBox" fmlaLink="$W$42" lockText="1" noThreeD="1"/>
</file>

<file path=xl/ctrlProps/ctrlProp256.xml><?xml version="1.0" encoding="utf-8"?>
<formControlPr xmlns="http://schemas.microsoft.com/office/spreadsheetml/2009/9/main" objectType="CheckBox" fmlaLink="$W$45" lockText="1" noThreeD="1"/>
</file>

<file path=xl/ctrlProps/ctrlProp257.xml><?xml version="1.0" encoding="utf-8"?>
<formControlPr xmlns="http://schemas.microsoft.com/office/spreadsheetml/2009/9/main" objectType="CheckBox" fmlaLink="$W$50" lockText="1" noThreeD="1"/>
</file>

<file path=xl/ctrlProps/ctrlProp258.xml><?xml version="1.0" encoding="utf-8"?>
<formControlPr xmlns="http://schemas.microsoft.com/office/spreadsheetml/2009/9/main" objectType="CheckBox" fmlaLink="$W$51" lockText="1" noThreeD="1"/>
</file>

<file path=xl/ctrlProps/ctrlProp259.xml><?xml version="1.0" encoding="utf-8"?>
<formControlPr xmlns="http://schemas.microsoft.com/office/spreadsheetml/2009/9/main" objectType="CheckBox" fmlaLink="$W$52" lockText="1" noThreeD="1"/>
</file>

<file path=xl/ctrlProps/ctrlProp26.xml><?xml version="1.0" encoding="utf-8"?>
<formControlPr xmlns="http://schemas.microsoft.com/office/spreadsheetml/2009/9/main" objectType="CheckBox" fmlaLink="$W$112" lockText="1" noThreeD="1"/>
</file>

<file path=xl/ctrlProps/ctrlProp260.xml><?xml version="1.0" encoding="utf-8"?>
<formControlPr xmlns="http://schemas.microsoft.com/office/spreadsheetml/2009/9/main" objectType="CheckBox" fmlaLink="$W$54" lockText="1" noThreeD="1"/>
</file>

<file path=xl/ctrlProps/ctrlProp261.xml><?xml version="1.0" encoding="utf-8"?>
<formControlPr xmlns="http://schemas.microsoft.com/office/spreadsheetml/2009/9/main" objectType="CheckBox" fmlaLink="$W$55" lockText="1" noThreeD="1"/>
</file>

<file path=xl/ctrlProps/ctrlProp262.xml><?xml version="1.0" encoding="utf-8"?>
<formControlPr xmlns="http://schemas.microsoft.com/office/spreadsheetml/2009/9/main" objectType="CheckBox" fmlaLink="$W$56" lockText="1" noThreeD="1"/>
</file>

<file path=xl/ctrlProps/ctrlProp263.xml><?xml version="1.0" encoding="utf-8"?>
<formControlPr xmlns="http://schemas.microsoft.com/office/spreadsheetml/2009/9/main" objectType="CheckBox" fmlaLink="$W$57" lockText="1" noThreeD="1"/>
</file>

<file path=xl/ctrlProps/ctrlProp264.xml><?xml version="1.0" encoding="utf-8"?>
<formControlPr xmlns="http://schemas.microsoft.com/office/spreadsheetml/2009/9/main" objectType="CheckBox" fmlaLink="$W$59" lockText="1" noThreeD="1"/>
</file>

<file path=xl/ctrlProps/ctrlProp265.xml><?xml version="1.0" encoding="utf-8"?>
<formControlPr xmlns="http://schemas.microsoft.com/office/spreadsheetml/2009/9/main" objectType="CheckBox" fmlaLink="$W$592" lockText="1" noThreeD="1"/>
</file>

<file path=xl/ctrlProps/ctrlProp266.xml><?xml version="1.0" encoding="utf-8"?>
<formControlPr xmlns="http://schemas.microsoft.com/office/spreadsheetml/2009/9/main" objectType="CheckBox" fmlaLink="$W$595" lockText="1" noThreeD="1"/>
</file>

<file path=xl/ctrlProps/ctrlProp267.xml><?xml version="1.0" encoding="utf-8"?>
<formControlPr xmlns="http://schemas.microsoft.com/office/spreadsheetml/2009/9/main" objectType="CheckBox" fmlaLink="$W$606" lockText="1" noThreeD="1"/>
</file>

<file path=xl/ctrlProps/ctrlProp268.xml><?xml version="1.0" encoding="utf-8"?>
<formControlPr xmlns="http://schemas.microsoft.com/office/spreadsheetml/2009/9/main" objectType="CheckBox" fmlaLink="$W$608" lockText="1" noThreeD="1"/>
</file>

<file path=xl/ctrlProps/ctrlProp269.xml><?xml version="1.0" encoding="utf-8"?>
<formControlPr xmlns="http://schemas.microsoft.com/office/spreadsheetml/2009/9/main" objectType="CheckBox" fmlaLink="$W$632" lockText="1" noThreeD="1"/>
</file>

<file path=xl/ctrlProps/ctrlProp27.xml><?xml version="1.0" encoding="utf-8"?>
<formControlPr xmlns="http://schemas.microsoft.com/office/spreadsheetml/2009/9/main" objectType="CheckBox" fmlaLink="$W$113" lockText="1" noThreeD="1"/>
</file>

<file path=xl/ctrlProps/ctrlProp270.xml><?xml version="1.0" encoding="utf-8"?>
<formControlPr xmlns="http://schemas.microsoft.com/office/spreadsheetml/2009/9/main" objectType="CheckBox" fmlaLink="$W$634" lockText="1" noThreeD="1"/>
</file>

<file path=xl/ctrlProps/ctrlProp271.xml><?xml version="1.0" encoding="utf-8"?>
<formControlPr xmlns="http://schemas.microsoft.com/office/spreadsheetml/2009/9/main" objectType="CheckBox" fmlaLink="$W$711" lockText="1" noThreeD="1"/>
</file>

<file path=xl/ctrlProps/ctrlProp272.xml><?xml version="1.0" encoding="utf-8"?>
<formControlPr xmlns="http://schemas.microsoft.com/office/spreadsheetml/2009/9/main" objectType="CheckBox" fmlaLink="$W$746" lockText="1" noThreeD="1"/>
</file>

<file path=xl/ctrlProps/ctrlProp273.xml><?xml version="1.0" encoding="utf-8"?>
<formControlPr xmlns="http://schemas.microsoft.com/office/spreadsheetml/2009/9/main" objectType="CheckBox" fmlaLink="$W$748" lockText="1" noThreeD="1"/>
</file>

<file path=xl/ctrlProps/ctrlProp274.xml><?xml version="1.0" encoding="utf-8"?>
<formControlPr xmlns="http://schemas.microsoft.com/office/spreadsheetml/2009/9/main" objectType="CheckBox" fmlaLink="$W$757" lockText="1" noThreeD="1"/>
</file>

<file path=xl/ctrlProps/ctrlProp275.xml><?xml version="1.0" encoding="utf-8"?>
<formControlPr xmlns="http://schemas.microsoft.com/office/spreadsheetml/2009/9/main" objectType="CheckBox" fmlaLink="$W$761" lockText="1" noThreeD="1"/>
</file>

<file path=xl/ctrlProps/ctrlProp276.xml><?xml version="1.0" encoding="utf-8"?>
<formControlPr xmlns="http://schemas.microsoft.com/office/spreadsheetml/2009/9/main" objectType="CheckBox" fmlaLink="$W$766" lockText="1" noThreeD="1"/>
</file>

<file path=xl/ctrlProps/ctrlProp277.xml><?xml version="1.0" encoding="utf-8"?>
<formControlPr xmlns="http://schemas.microsoft.com/office/spreadsheetml/2009/9/main" objectType="CheckBox" fmlaLink="$W$767" lockText="1" noThreeD="1"/>
</file>

<file path=xl/ctrlProps/ctrlProp278.xml><?xml version="1.0" encoding="utf-8"?>
<formControlPr xmlns="http://schemas.microsoft.com/office/spreadsheetml/2009/9/main" objectType="CheckBox" fmlaLink="$W$736" lockText="1" noThreeD="1"/>
</file>

<file path=xl/ctrlProps/ctrlProp279.xml><?xml version="1.0" encoding="utf-8"?>
<formControlPr xmlns="http://schemas.microsoft.com/office/spreadsheetml/2009/9/main" objectType="CheckBox" fmlaLink="$W$55" lockText="1" noThreeD="1"/>
</file>

<file path=xl/ctrlProps/ctrlProp28.xml><?xml version="1.0" encoding="utf-8"?>
<formControlPr xmlns="http://schemas.microsoft.com/office/spreadsheetml/2009/9/main" objectType="CheckBox" fmlaLink="$W$114" lockText="1" noThreeD="1"/>
</file>

<file path=xl/ctrlProps/ctrlProp280.xml><?xml version="1.0" encoding="utf-8"?>
<formControlPr xmlns="http://schemas.microsoft.com/office/spreadsheetml/2009/9/main" objectType="CheckBox" fmlaLink="$W$50" lockText="1" noThreeD="1"/>
</file>

<file path=xl/ctrlProps/ctrlProp281.xml><?xml version="1.0" encoding="utf-8"?>
<formControlPr xmlns="http://schemas.microsoft.com/office/spreadsheetml/2009/9/main" objectType="CheckBox" fmlaLink="$W$131" lockText="1" noThreeD="1"/>
</file>

<file path=xl/ctrlProps/ctrlProp282.xml><?xml version="1.0" encoding="utf-8"?>
<formControlPr xmlns="http://schemas.microsoft.com/office/spreadsheetml/2009/9/main" objectType="CheckBox" fmlaLink="$W$138" lockText="1" noThreeD="1"/>
</file>

<file path=xl/ctrlProps/ctrlProp283.xml><?xml version="1.0" encoding="utf-8"?>
<formControlPr xmlns="http://schemas.microsoft.com/office/spreadsheetml/2009/9/main" objectType="CheckBox" fmlaLink="$W$140" lockText="1" noThreeD="1"/>
</file>

<file path=xl/ctrlProps/ctrlProp284.xml><?xml version="1.0" encoding="utf-8"?>
<formControlPr xmlns="http://schemas.microsoft.com/office/spreadsheetml/2009/9/main" objectType="CheckBox" fmlaLink="$W$156" lockText="1" noThreeD="1"/>
</file>

<file path=xl/ctrlProps/ctrlProp285.xml><?xml version="1.0" encoding="utf-8"?>
<formControlPr xmlns="http://schemas.microsoft.com/office/spreadsheetml/2009/9/main" objectType="CheckBox" fmlaLink="$W$158" lockText="1" noThreeD="1"/>
</file>

<file path=xl/ctrlProps/ctrlProp286.xml><?xml version="1.0" encoding="utf-8"?>
<formControlPr xmlns="http://schemas.microsoft.com/office/spreadsheetml/2009/9/main" objectType="CheckBox" fmlaLink="$W$164" lockText="1" noThreeD="1"/>
</file>

<file path=xl/ctrlProps/ctrlProp287.xml><?xml version="1.0" encoding="utf-8"?>
<formControlPr xmlns="http://schemas.microsoft.com/office/spreadsheetml/2009/9/main" objectType="CheckBox" fmlaLink="$W$192" lockText="1" noThreeD="1"/>
</file>

<file path=xl/ctrlProps/ctrlProp288.xml><?xml version="1.0" encoding="utf-8"?>
<formControlPr xmlns="http://schemas.microsoft.com/office/spreadsheetml/2009/9/main" objectType="CheckBox" fmlaLink="$W$191" lockText="1" noThreeD="1"/>
</file>

<file path=xl/ctrlProps/ctrlProp289.xml><?xml version="1.0" encoding="utf-8"?>
<formControlPr xmlns="http://schemas.microsoft.com/office/spreadsheetml/2009/9/main" objectType="CheckBox" fmlaLink="$W$233" lockText="1" noThreeD="1"/>
</file>

<file path=xl/ctrlProps/ctrlProp29.xml><?xml version="1.0" encoding="utf-8"?>
<formControlPr xmlns="http://schemas.microsoft.com/office/spreadsheetml/2009/9/main" objectType="CheckBox" fmlaLink="$W$122" lockText="1" noThreeD="1"/>
</file>

<file path=xl/ctrlProps/ctrlProp290.xml><?xml version="1.0" encoding="utf-8"?>
<formControlPr xmlns="http://schemas.microsoft.com/office/spreadsheetml/2009/9/main" objectType="CheckBox" fmlaLink="$W$231" lockText="1" noThreeD="1"/>
</file>

<file path=xl/ctrlProps/ctrlProp291.xml><?xml version="1.0" encoding="utf-8"?>
<formControlPr xmlns="http://schemas.microsoft.com/office/spreadsheetml/2009/9/main" objectType="CheckBox" fmlaLink="$W$228" lockText="1" noThreeD="1"/>
</file>

<file path=xl/ctrlProps/ctrlProp292.xml><?xml version="1.0" encoding="utf-8"?>
<formControlPr xmlns="http://schemas.microsoft.com/office/spreadsheetml/2009/9/main" objectType="CheckBox" fmlaLink="$W$219" lockText="1" noThreeD="1"/>
</file>

<file path=xl/ctrlProps/ctrlProp293.xml><?xml version="1.0" encoding="utf-8"?>
<formControlPr xmlns="http://schemas.microsoft.com/office/spreadsheetml/2009/9/main" objectType="CheckBox" fmlaLink="$W$145" lockText="1" noThreeD="1"/>
</file>

<file path=xl/ctrlProps/ctrlProp294.xml><?xml version="1.0" encoding="utf-8"?>
<formControlPr xmlns="http://schemas.microsoft.com/office/spreadsheetml/2009/9/main" objectType="CheckBox" fmlaLink="$W$149" lockText="1" noThreeD="1"/>
</file>

<file path=xl/ctrlProps/ctrlProp295.xml><?xml version="1.0" encoding="utf-8"?>
<formControlPr xmlns="http://schemas.microsoft.com/office/spreadsheetml/2009/9/main" objectType="CheckBox" fmlaLink="$W$150" lockText="1" noThreeD="1"/>
</file>

<file path=xl/ctrlProps/ctrlProp296.xml><?xml version="1.0" encoding="utf-8"?>
<formControlPr xmlns="http://schemas.microsoft.com/office/spreadsheetml/2009/9/main" objectType="CheckBox" fmlaLink="$W$151" lockText="1" noThreeD="1"/>
</file>

<file path=xl/ctrlProps/ctrlProp297.xml><?xml version="1.0" encoding="utf-8"?>
<formControlPr xmlns="http://schemas.microsoft.com/office/spreadsheetml/2009/9/main" objectType="CheckBox" fmlaLink="$W$166" lockText="1" noThreeD="1"/>
</file>

<file path=xl/ctrlProps/ctrlProp298.xml><?xml version="1.0" encoding="utf-8"?>
<formControlPr xmlns="http://schemas.microsoft.com/office/spreadsheetml/2009/9/main" objectType="CheckBox" fmlaLink="$W$168" lockText="1" noThreeD="1"/>
</file>

<file path=xl/ctrlProps/ctrlProp299.xml><?xml version="1.0" encoding="utf-8"?>
<formControlPr xmlns="http://schemas.microsoft.com/office/spreadsheetml/2009/9/main" objectType="CheckBox" fmlaLink="$W$169" lockText="1" noThreeD="1"/>
</file>

<file path=xl/ctrlProps/ctrlProp3.xml><?xml version="1.0" encoding="utf-8"?>
<formControlPr xmlns="http://schemas.microsoft.com/office/spreadsheetml/2009/9/main" objectType="CheckBox" fmlaLink="$W$17" lockText="1" noThreeD="1"/>
</file>

<file path=xl/ctrlProps/ctrlProp30.xml><?xml version="1.0" encoding="utf-8"?>
<formControlPr xmlns="http://schemas.microsoft.com/office/spreadsheetml/2009/9/main" objectType="CheckBox" fmlaLink="$W$125" lockText="1" noThreeD="1"/>
</file>

<file path=xl/ctrlProps/ctrlProp300.xml><?xml version="1.0" encoding="utf-8"?>
<formControlPr xmlns="http://schemas.microsoft.com/office/spreadsheetml/2009/9/main" objectType="CheckBox" fmlaLink="$W$171" lockText="1" noThreeD="1"/>
</file>

<file path=xl/ctrlProps/ctrlProp301.xml><?xml version="1.0" encoding="utf-8"?>
<formControlPr xmlns="http://schemas.microsoft.com/office/spreadsheetml/2009/9/main" objectType="CheckBox" fmlaLink="$W$211" lockText="1" noThreeD="1"/>
</file>

<file path=xl/ctrlProps/ctrlProp302.xml><?xml version="1.0" encoding="utf-8"?>
<formControlPr xmlns="http://schemas.microsoft.com/office/spreadsheetml/2009/9/main" objectType="CheckBox" fmlaLink="$W$12" lockText="1" noThreeD="1"/>
</file>

<file path=xl/ctrlProps/ctrlProp303.xml><?xml version="1.0" encoding="utf-8"?>
<formControlPr xmlns="http://schemas.microsoft.com/office/spreadsheetml/2009/9/main" objectType="CheckBox" fmlaLink="$W$18" lockText="1" noThreeD="1"/>
</file>

<file path=xl/ctrlProps/ctrlProp304.xml><?xml version="1.0" encoding="utf-8"?>
<formControlPr xmlns="http://schemas.microsoft.com/office/spreadsheetml/2009/9/main" objectType="CheckBox" fmlaLink="$W$34" lockText="1" noThreeD="1"/>
</file>

<file path=xl/ctrlProps/ctrlProp305.xml><?xml version="1.0" encoding="utf-8"?>
<formControlPr xmlns="http://schemas.microsoft.com/office/spreadsheetml/2009/9/main" objectType="CheckBox" fmlaLink="$W$55" lockText="1" noThreeD="1"/>
</file>

<file path=xl/ctrlProps/ctrlProp306.xml><?xml version="1.0" encoding="utf-8"?>
<formControlPr xmlns="http://schemas.microsoft.com/office/spreadsheetml/2009/9/main" objectType="CheckBox" fmlaLink="$W$68" lockText="1" noThreeD="1"/>
</file>

<file path=xl/ctrlProps/ctrlProp307.xml><?xml version="1.0" encoding="utf-8"?>
<formControlPr xmlns="http://schemas.microsoft.com/office/spreadsheetml/2009/9/main" objectType="CheckBox" fmlaLink="$W$62" lockText="1" noThreeD="1"/>
</file>

<file path=xl/ctrlProps/ctrlProp308.xml><?xml version="1.0" encoding="utf-8"?>
<formControlPr xmlns="http://schemas.microsoft.com/office/spreadsheetml/2009/9/main" objectType="CheckBox" fmlaLink="$W$91" lockText="1" noThreeD="1"/>
</file>

<file path=xl/ctrlProps/ctrlProp309.xml><?xml version="1.0" encoding="utf-8"?>
<formControlPr xmlns="http://schemas.microsoft.com/office/spreadsheetml/2009/9/main" objectType="CheckBox" fmlaLink="$W$93" lockText="1" noThreeD="1"/>
</file>

<file path=xl/ctrlProps/ctrlProp31.xml><?xml version="1.0" encoding="utf-8"?>
<formControlPr xmlns="http://schemas.microsoft.com/office/spreadsheetml/2009/9/main" objectType="CheckBox" fmlaLink="$W$156" lockText="1" noThreeD="1"/>
</file>

<file path=xl/ctrlProps/ctrlProp310.xml><?xml version="1.0" encoding="utf-8"?>
<formControlPr xmlns="http://schemas.microsoft.com/office/spreadsheetml/2009/9/main" objectType="CheckBox" fmlaLink="$W$96" lockText="1" noThreeD="1"/>
</file>

<file path=xl/ctrlProps/ctrlProp311.xml><?xml version="1.0" encoding="utf-8"?>
<formControlPr xmlns="http://schemas.microsoft.com/office/spreadsheetml/2009/9/main" objectType="CheckBox" fmlaLink="$W$119" lockText="1" noThreeD="1"/>
</file>

<file path=xl/ctrlProps/ctrlProp312.xml><?xml version="1.0" encoding="utf-8"?>
<formControlPr xmlns="http://schemas.microsoft.com/office/spreadsheetml/2009/9/main" objectType="CheckBox" fmlaLink="$W$130" lockText="1" noThreeD="1"/>
</file>

<file path=xl/ctrlProps/ctrlProp313.xml><?xml version="1.0" encoding="utf-8"?>
<formControlPr xmlns="http://schemas.microsoft.com/office/spreadsheetml/2009/9/main" objectType="CheckBox" fmlaLink="$W$132" lockText="1" noThreeD="1"/>
</file>

<file path=xl/ctrlProps/ctrlProp314.xml><?xml version="1.0" encoding="utf-8"?>
<formControlPr xmlns="http://schemas.microsoft.com/office/spreadsheetml/2009/9/main" objectType="CheckBox" fmlaLink="$W$133" lockText="1" noThreeD="1"/>
</file>

<file path=xl/ctrlProps/ctrlProp315.xml><?xml version="1.0" encoding="utf-8"?>
<formControlPr xmlns="http://schemas.microsoft.com/office/spreadsheetml/2009/9/main" objectType="CheckBox" fmlaLink="$W$140" lockText="1" noThreeD="1"/>
</file>

<file path=xl/ctrlProps/ctrlProp316.xml><?xml version="1.0" encoding="utf-8"?>
<formControlPr xmlns="http://schemas.microsoft.com/office/spreadsheetml/2009/9/main" objectType="CheckBox" fmlaLink="$W$149" lockText="1" noThreeD="1"/>
</file>

<file path=xl/ctrlProps/ctrlProp317.xml><?xml version="1.0" encoding="utf-8"?>
<formControlPr xmlns="http://schemas.microsoft.com/office/spreadsheetml/2009/9/main" objectType="CheckBox" fmlaLink="$W$154" lockText="1" noThreeD="1"/>
</file>

<file path=xl/ctrlProps/ctrlProp318.xml><?xml version="1.0" encoding="utf-8"?>
<formControlPr xmlns="http://schemas.microsoft.com/office/spreadsheetml/2009/9/main" objectType="CheckBox" fmlaLink="$W$155" lockText="1" noThreeD="1"/>
</file>

<file path=xl/ctrlProps/ctrlProp319.xml><?xml version="1.0" encoding="utf-8"?>
<formControlPr xmlns="http://schemas.microsoft.com/office/spreadsheetml/2009/9/main" objectType="CheckBox" fmlaLink="$W$159" lockText="1" noThreeD="1"/>
</file>

<file path=xl/ctrlProps/ctrlProp32.xml><?xml version="1.0" encoding="utf-8"?>
<formControlPr xmlns="http://schemas.microsoft.com/office/spreadsheetml/2009/9/main" objectType="CheckBox" fmlaLink="$W$158" lockText="1" noThreeD="1"/>
</file>

<file path=xl/ctrlProps/ctrlProp320.xml><?xml version="1.0" encoding="utf-8"?>
<formControlPr xmlns="http://schemas.microsoft.com/office/spreadsheetml/2009/9/main" objectType="CheckBox" fmlaLink="$W$172" lockText="1" noThreeD="1"/>
</file>

<file path=xl/ctrlProps/ctrlProp321.xml><?xml version="1.0" encoding="utf-8"?>
<formControlPr xmlns="http://schemas.microsoft.com/office/spreadsheetml/2009/9/main" objectType="CheckBox" fmlaLink="$W$173" lockText="1" noThreeD="1"/>
</file>

<file path=xl/ctrlProps/ctrlProp322.xml><?xml version="1.0" encoding="utf-8"?>
<formControlPr xmlns="http://schemas.microsoft.com/office/spreadsheetml/2009/9/main" objectType="CheckBox" fmlaLink="$W$176" lockText="1" noThreeD="1"/>
</file>

<file path=xl/ctrlProps/ctrlProp323.xml><?xml version="1.0" encoding="utf-8"?>
<formControlPr xmlns="http://schemas.microsoft.com/office/spreadsheetml/2009/9/main" objectType="CheckBox" fmlaLink="$W$178" lockText="1" noThreeD="1"/>
</file>

<file path=xl/ctrlProps/ctrlProp324.xml><?xml version="1.0" encoding="utf-8"?>
<formControlPr xmlns="http://schemas.microsoft.com/office/spreadsheetml/2009/9/main" objectType="CheckBox" fmlaLink="$W$184" lockText="1" noThreeD="1"/>
</file>

<file path=xl/ctrlProps/ctrlProp325.xml><?xml version="1.0" encoding="utf-8"?>
<formControlPr xmlns="http://schemas.microsoft.com/office/spreadsheetml/2009/9/main" objectType="CheckBox" fmlaLink="$W$186" lockText="1" noThreeD="1"/>
</file>

<file path=xl/ctrlProps/ctrlProp326.xml><?xml version="1.0" encoding="utf-8"?>
<formControlPr xmlns="http://schemas.microsoft.com/office/spreadsheetml/2009/9/main" objectType="CheckBox" fmlaLink="$W$190" lockText="1" noThreeD="1"/>
</file>

<file path=xl/ctrlProps/ctrlProp327.xml><?xml version="1.0" encoding="utf-8"?>
<formControlPr xmlns="http://schemas.microsoft.com/office/spreadsheetml/2009/9/main" objectType="CheckBox" fmlaLink="$W$197" lockText="1" noThreeD="1"/>
</file>

<file path=xl/ctrlProps/ctrlProp328.xml><?xml version="1.0" encoding="utf-8"?>
<formControlPr xmlns="http://schemas.microsoft.com/office/spreadsheetml/2009/9/main" objectType="CheckBox" fmlaLink="$W$208" lockText="1" noThreeD="1"/>
</file>

<file path=xl/ctrlProps/ctrlProp329.xml><?xml version="1.0" encoding="utf-8"?>
<formControlPr xmlns="http://schemas.microsoft.com/office/spreadsheetml/2009/9/main" objectType="CheckBox" fmlaLink="$W$210" lockText="1" noThreeD="1"/>
</file>

<file path=xl/ctrlProps/ctrlProp33.xml><?xml version="1.0" encoding="utf-8"?>
<formControlPr xmlns="http://schemas.microsoft.com/office/spreadsheetml/2009/9/main" objectType="CheckBox" fmlaLink="$W$161" lockText="1" noThreeD="1"/>
</file>

<file path=xl/ctrlProps/ctrlProp330.xml><?xml version="1.0" encoding="utf-8"?>
<formControlPr xmlns="http://schemas.microsoft.com/office/spreadsheetml/2009/9/main" objectType="CheckBox" fmlaLink="$W$212" lockText="1" noThreeD="1"/>
</file>

<file path=xl/ctrlProps/ctrlProp331.xml><?xml version="1.0" encoding="utf-8"?>
<formControlPr xmlns="http://schemas.microsoft.com/office/spreadsheetml/2009/9/main" objectType="CheckBox" fmlaLink="$W$230" lockText="1" noThreeD="1"/>
</file>

<file path=xl/ctrlProps/ctrlProp332.xml><?xml version="1.0" encoding="utf-8"?>
<formControlPr xmlns="http://schemas.microsoft.com/office/spreadsheetml/2009/9/main" objectType="CheckBox" fmlaLink="$W$232" lockText="1" noThreeD="1"/>
</file>

<file path=xl/ctrlProps/ctrlProp333.xml><?xml version="1.0" encoding="utf-8"?>
<formControlPr xmlns="http://schemas.microsoft.com/office/spreadsheetml/2009/9/main" objectType="CheckBox" fmlaLink="$W$235" lockText="1" noThreeD="1"/>
</file>

<file path=xl/ctrlProps/ctrlProp334.xml><?xml version="1.0" encoding="utf-8"?>
<formControlPr xmlns="http://schemas.microsoft.com/office/spreadsheetml/2009/9/main" objectType="CheckBox" fmlaLink="$W$314" lockText="1" noThreeD="1"/>
</file>

<file path=xl/ctrlProps/ctrlProp335.xml><?xml version="1.0" encoding="utf-8"?>
<formControlPr xmlns="http://schemas.microsoft.com/office/spreadsheetml/2009/9/main" objectType="CheckBox" fmlaLink="$W$316" lockText="1" noThreeD="1"/>
</file>

<file path=xl/ctrlProps/ctrlProp336.xml><?xml version="1.0" encoding="utf-8"?>
<formControlPr xmlns="http://schemas.microsoft.com/office/spreadsheetml/2009/9/main" objectType="CheckBox" fmlaLink="$W$322" lockText="1" noThreeD="1"/>
</file>

<file path=xl/ctrlProps/ctrlProp337.xml><?xml version="1.0" encoding="utf-8"?>
<formControlPr xmlns="http://schemas.microsoft.com/office/spreadsheetml/2009/9/main" objectType="CheckBox" fmlaLink="$W$324" lockText="1" noThreeD="1"/>
</file>

<file path=xl/ctrlProps/ctrlProp338.xml><?xml version="1.0" encoding="utf-8"?>
<formControlPr xmlns="http://schemas.microsoft.com/office/spreadsheetml/2009/9/main" objectType="CheckBox" fmlaLink="$W$338" lockText="1" noThreeD="1"/>
</file>

<file path=xl/ctrlProps/ctrlProp339.xml><?xml version="1.0" encoding="utf-8"?>
<formControlPr xmlns="http://schemas.microsoft.com/office/spreadsheetml/2009/9/main" objectType="CheckBox" fmlaLink="$W$339" lockText="1" noThreeD="1"/>
</file>

<file path=xl/ctrlProps/ctrlProp34.xml><?xml version="1.0" encoding="utf-8"?>
<formControlPr xmlns="http://schemas.microsoft.com/office/spreadsheetml/2009/9/main" objectType="CheckBox" fmlaLink="$W$171" lockText="1" noThreeD="1"/>
</file>

<file path=xl/ctrlProps/ctrlProp340.xml><?xml version="1.0" encoding="utf-8"?>
<formControlPr xmlns="http://schemas.microsoft.com/office/spreadsheetml/2009/9/main" objectType="CheckBox" fmlaLink="$W$344" lockText="1" noThreeD="1"/>
</file>

<file path=xl/ctrlProps/ctrlProp341.xml><?xml version="1.0" encoding="utf-8"?>
<formControlPr xmlns="http://schemas.microsoft.com/office/spreadsheetml/2009/9/main" objectType="CheckBox" fmlaLink="$W$349" lockText="1" noThreeD="1"/>
</file>

<file path=xl/ctrlProps/ctrlProp342.xml><?xml version="1.0" encoding="utf-8"?>
<formControlPr xmlns="http://schemas.microsoft.com/office/spreadsheetml/2009/9/main" objectType="CheckBox" fmlaLink="$W$366" lockText="1" noThreeD="1"/>
</file>

<file path=xl/ctrlProps/ctrlProp343.xml><?xml version="1.0" encoding="utf-8"?>
<formControlPr xmlns="http://schemas.microsoft.com/office/spreadsheetml/2009/9/main" objectType="CheckBox" fmlaLink="$W$371" lockText="1" noThreeD="1"/>
</file>

<file path=xl/ctrlProps/ctrlProp344.xml><?xml version="1.0" encoding="utf-8"?>
<formControlPr xmlns="http://schemas.microsoft.com/office/spreadsheetml/2009/9/main" objectType="CheckBox" fmlaLink="$W$135" lockText="1" noThreeD="1"/>
</file>

<file path=xl/ctrlProps/ctrlProp345.xml><?xml version="1.0" encoding="utf-8"?>
<formControlPr xmlns="http://schemas.microsoft.com/office/spreadsheetml/2009/9/main" objectType="CheckBox" fmlaLink="$W$164" lockText="1" noThreeD="1"/>
</file>

<file path=xl/ctrlProps/ctrlProp346.xml><?xml version="1.0" encoding="utf-8"?>
<formControlPr xmlns="http://schemas.microsoft.com/office/spreadsheetml/2009/9/main" objectType="CheckBox" fmlaLink="$W$215" lockText="1" noThreeD="1"/>
</file>

<file path=xl/ctrlProps/ctrlProp347.xml><?xml version="1.0" encoding="utf-8"?>
<formControlPr xmlns="http://schemas.microsoft.com/office/spreadsheetml/2009/9/main" objectType="CheckBox" fmlaLink="$W$286" lockText="1" noThreeD="1"/>
</file>

<file path=xl/ctrlProps/ctrlProp348.xml><?xml version="1.0" encoding="utf-8"?>
<formControlPr xmlns="http://schemas.microsoft.com/office/spreadsheetml/2009/9/main" objectType="CheckBox" fmlaLink="$W$288" lockText="1" noThreeD="1"/>
</file>

<file path=xl/ctrlProps/ctrlProp349.xml><?xml version="1.0" encoding="utf-8"?>
<formControlPr xmlns="http://schemas.microsoft.com/office/spreadsheetml/2009/9/main" objectType="CheckBox" fmlaLink="$W$319" lockText="1" noThreeD="1"/>
</file>

<file path=xl/ctrlProps/ctrlProp35.xml><?xml version="1.0" encoding="utf-8"?>
<formControlPr xmlns="http://schemas.microsoft.com/office/spreadsheetml/2009/9/main" objectType="CheckBox" fmlaLink="$W$172" lockText="1" noThreeD="1"/>
</file>

<file path=xl/ctrlProps/ctrlProp350.xml><?xml version="1.0" encoding="utf-8"?>
<formControlPr xmlns="http://schemas.microsoft.com/office/spreadsheetml/2009/9/main" objectType="CheckBox" fmlaLink="$W$354" lockText="1" noThreeD="1"/>
</file>

<file path=xl/ctrlProps/ctrlProp351.xml><?xml version="1.0" encoding="utf-8"?>
<formControlPr xmlns="http://schemas.microsoft.com/office/spreadsheetml/2009/9/main" objectType="CheckBox" fmlaLink="$W$362" lockText="1" noThreeD="1"/>
</file>

<file path=xl/ctrlProps/ctrlProp352.xml><?xml version="1.0" encoding="utf-8"?>
<formControlPr xmlns="http://schemas.microsoft.com/office/spreadsheetml/2009/9/main" objectType="CheckBox" fmlaLink="$W$374" lockText="1" noThreeD="1"/>
</file>

<file path=xl/ctrlProps/ctrlProp353.xml><?xml version="1.0" encoding="utf-8"?>
<formControlPr xmlns="http://schemas.microsoft.com/office/spreadsheetml/2009/9/main" objectType="CheckBox" fmlaLink="$W$375" lockText="1" noThreeD="1"/>
</file>

<file path=xl/ctrlProps/ctrlProp354.xml><?xml version="1.0" encoding="utf-8"?>
<formControlPr xmlns="http://schemas.microsoft.com/office/spreadsheetml/2009/9/main" objectType="CheckBox" fmlaLink="$W$377" lockText="1" noThreeD="1"/>
</file>

<file path=xl/ctrlProps/ctrlProp355.xml><?xml version="1.0" encoding="utf-8"?>
<formControlPr xmlns="http://schemas.microsoft.com/office/spreadsheetml/2009/9/main" objectType="CheckBox" fmlaLink="$W$382" lockText="1" noThreeD="1"/>
</file>

<file path=xl/ctrlProps/ctrlProp356.xml><?xml version="1.0" encoding="utf-8"?>
<formControlPr xmlns="http://schemas.microsoft.com/office/spreadsheetml/2009/9/main" objectType="CheckBox" fmlaLink="$W$15" lockText="1" noThreeD="1"/>
</file>

<file path=xl/ctrlProps/ctrlProp357.xml><?xml version="1.0" encoding="utf-8"?>
<formControlPr xmlns="http://schemas.microsoft.com/office/spreadsheetml/2009/9/main" objectType="CheckBox" fmlaLink="$W$16" lockText="1" noThreeD="1"/>
</file>

<file path=xl/ctrlProps/ctrlProp358.xml><?xml version="1.0" encoding="utf-8"?>
<formControlPr xmlns="http://schemas.microsoft.com/office/spreadsheetml/2009/9/main" objectType="CheckBox" fmlaLink="$W$17" lockText="1" noThreeD="1"/>
</file>

<file path=xl/ctrlProps/ctrlProp359.xml><?xml version="1.0" encoding="utf-8"?>
<formControlPr xmlns="http://schemas.microsoft.com/office/spreadsheetml/2009/9/main" objectType="CheckBox" fmlaLink="$W$21" lockText="1" noThreeD="1"/>
</file>

<file path=xl/ctrlProps/ctrlProp36.xml><?xml version="1.0" encoding="utf-8"?>
<formControlPr xmlns="http://schemas.microsoft.com/office/spreadsheetml/2009/9/main" objectType="CheckBox" fmlaLink="$W$177" lockText="1" noThreeD="1"/>
</file>

<file path=xl/ctrlProps/ctrlProp360.xml><?xml version="1.0" encoding="utf-8"?>
<formControlPr xmlns="http://schemas.microsoft.com/office/spreadsheetml/2009/9/main" objectType="CheckBox" fmlaLink="$W$22" lockText="1" noThreeD="1"/>
</file>

<file path=xl/ctrlProps/ctrlProp361.xml><?xml version="1.0" encoding="utf-8"?>
<formControlPr xmlns="http://schemas.microsoft.com/office/spreadsheetml/2009/9/main" objectType="CheckBox" fmlaLink="$W$23" lockText="1" noThreeD="1"/>
</file>

<file path=xl/ctrlProps/ctrlProp362.xml><?xml version="1.0" encoding="utf-8"?>
<formControlPr xmlns="http://schemas.microsoft.com/office/spreadsheetml/2009/9/main" objectType="CheckBox" fmlaLink="$W$25" lockText="1" noThreeD="1"/>
</file>

<file path=xl/ctrlProps/ctrlProp363.xml><?xml version="1.0" encoding="utf-8"?>
<formControlPr xmlns="http://schemas.microsoft.com/office/spreadsheetml/2009/9/main" objectType="CheckBox" fmlaLink="$W$27" lockText="1" noThreeD="1"/>
</file>

<file path=xl/ctrlProps/ctrlProp364.xml><?xml version="1.0" encoding="utf-8"?>
<formControlPr xmlns="http://schemas.microsoft.com/office/spreadsheetml/2009/9/main" objectType="CheckBox" fmlaLink="$W$28" lockText="1" noThreeD="1"/>
</file>

<file path=xl/ctrlProps/ctrlProp365.xml><?xml version="1.0" encoding="utf-8"?>
<formControlPr xmlns="http://schemas.microsoft.com/office/spreadsheetml/2009/9/main" objectType="CheckBox" fmlaLink="$W$30" lockText="1" noThreeD="1"/>
</file>

<file path=xl/ctrlProps/ctrlProp366.xml><?xml version="1.0" encoding="utf-8"?>
<formControlPr xmlns="http://schemas.microsoft.com/office/spreadsheetml/2009/9/main" objectType="CheckBox" fmlaLink="$W$31" lockText="1" noThreeD="1"/>
</file>

<file path=xl/ctrlProps/ctrlProp367.xml><?xml version="1.0" encoding="utf-8"?>
<formControlPr xmlns="http://schemas.microsoft.com/office/spreadsheetml/2009/9/main" objectType="CheckBox" fmlaLink="$W$32" lockText="1" noThreeD="1"/>
</file>

<file path=xl/ctrlProps/ctrlProp368.xml><?xml version="1.0" encoding="utf-8"?>
<formControlPr xmlns="http://schemas.microsoft.com/office/spreadsheetml/2009/9/main" objectType="CheckBox" fmlaLink="$W$38" lockText="1" noThreeD="1"/>
</file>

<file path=xl/ctrlProps/ctrlProp369.xml><?xml version="1.0" encoding="utf-8"?>
<formControlPr xmlns="http://schemas.microsoft.com/office/spreadsheetml/2009/9/main" objectType="CheckBox" fmlaLink="$W$42" lockText="1" noThreeD="1"/>
</file>

<file path=xl/ctrlProps/ctrlProp37.xml><?xml version="1.0" encoding="utf-8"?>
<formControlPr xmlns="http://schemas.microsoft.com/office/spreadsheetml/2009/9/main" objectType="CheckBox" fmlaLink="$W$179" lockText="1" noThreeD="1"/>
</file>

<file path=xl/ctrlProps/ctrlProp370.xml><?xml version="1.0" encoding="utf-8"?>
<formControlPr xmlns="http://schemas.microsoft.com/office/spreadsheetml/2009/9/main" objectType="CheckBox" fmlaLink="$W$44" lockText="1" noThreeD="1"/>
</file>

<file path=xl/ctrlProps/ctrlProp371.xml><?xml version="1.0" encoding="utf-8"?>
<formControlPr xmlns="http://schemas.microsoft.com/office/spreadsheetml/2009/9/main" objectType="CheckBox" fmlaLink="$W$46" lockText="1" noThreeD="1"/>
</file>

<file path=xl/ctrlProps/ctrlProp372.xml><?xml version="1.0" encoding="utf-8"?>
<formControlPr xmlns="http://schemas.microsoft.com/office/spreadsheetml/2009/9/main" objectType="CheckBox" fmlaLink="$W$47" lockText="1" noThreeD="1"/>
</file>

<file path=xl/ctrlProps/ctrlProp373.xml><?xml version="1.0" encoding="utf-8"?>
<formControlPr xmlns="http://schemas.microsoft.com/office/spreadsheetml/2009/9/main" objectType="CheckBox" fmlaLink="$W$49" lockText="1" noThreeD="1"/>
</file>

<file path=xl/ctrlProps/ctrlProp374.xml><?xml version="1.0" encoding="utf-8"?>
<formControlPr xmlns="http://schemas.microsoft.com/office/spreadsheetml/2009/9/main" objectType="CheckBox" fmlaLink="$W$51" lockText="1" noThreeD="1"/>
</file>

<file path=xl/ctrlProps/ctrlProp375.xml><?xml version="1.0" encoding="utf-8"?>
<formControlPr xmlns="http://schemas.microsoft.com/office/spreadsheetml/2009/9/main" objectType="CheckBox" fmlaLink="$W$52" lockText="1" noThreeD="1"/>
</file>

<file path=xl/ctrlProps/ctrlProp376.xml><?xml version="1.0" encoding="utf-8"?>
<formControlPr xmlns="http://schemas.microsoft.com/office/spreadsheetml/2009/9/main" objectType="CheckBox" fmlaLink="$W$54" lockText="1" noThreeD="1"/>
</file>

<file path=xl/ctrlProps/ctrlProp377.xml><?xml version="1.0" encoding="utf-8"?>
<formControlPr xmlns="http://schemas.microsoft.com/office/spreadsheetml/2009/9/main" objectType="CheckBox" fmlaLink="$W$56" lockText="1" noThreeD="1"/>
</file>

<file path=xl/ctrlProps/ctrlProp378.xml><?xml version="1.0" encoding="utf-8"?>
<formControlPr xmlns="http://schemas.microsoft.com/office/spreadsheetml/2009/9/main" objectType="CheckBox" fmlaLink="$W$58" lockText="1" noThreeD="1"/>
</file>

<file path=xl/ctrlProps/ctrlProp379.xml><?xml version="1.0" encoding="utf-8"?>
<formControlPr xmlns="http://schemas.microsoft.com/office/spreadsheetml/2009/9/main" objectType="CheckBox" fmlaLink="$W$59" lockText="1" noThreeD="1"/>
</file>

<file path=xl/ctrlProps/ctrlProp38.xml><?xml version="1.0" encoding="utf-8"?>
<formControlPr xmlns="http://schemas.microsoft.com/office/spreadsheetml/2009/9/main" objectType="CheckBox" fmlaLink="$W$182" lockText="1" noThreeD="1"/>
</file>

<file path=xl/ctrlProps/ctrlProp380.xml><?xml version="1.0" encoding="utf-8"?>
<formControlPr xmlns="http://schemas.microsoft.com/office/spreadsheetml/2009/9/main" objectType="CheckBox" fmlaLink="$W$60" lockText="1" noThreeD="1"/>
</file>

<file path=xl/ctrlProps/ctrlProp381.xml><?xml version="1.0" encoding="utf-8"?>
<formControlPr xmlns="http://schemas.microsoft.com/office/spreadsheetml/2009/9/main" objectType="CheckBox" fmlaLink="$W$82" lockText="1" noThreeD="1"/>
</file>

<file path=xl/ctrlProps/ctrlProp382.xml><?xml version="1.0" encoding="utf-8"?>
<formControlPr xmlns="http://schemas.microsoft.com/office/spreadsheetml/2009/9/main" objectType="CheckBox" fmlaLink="$W$85" lockText="1" noThreeD="1"/>
</file>

<file path=xl/ctrlProps/ctrlProp383.xml><?xml version="1.0" encoding="utf-8"?>
<formControlPr xmlns="http://schemas.microsoft.com/office/spreadsheetml/2009/9/main" objectType="CheckBox" fmlaLink="$W$88" lockText="1" noThreeD="1"/>
</file>

<file path=xl/ctrlProps/ctrlProp384.xml><?xml version="1.0" encoding="utf-8"?>
<formControlPr xmlns="http://schemas.microsoft.com/office/spreadsheetml/2009/9/main" objectType="CheckBox" fmlaLink="$W$90" lockText="1" noThreeD="1"/>
</file>

<file path=xl/ctrlProps/ctrlProp385.xml><?xml version="1.0" encoding="utf-8"?>
<formControlPr xmlns="http://schemas.microsoft.com/office/spreadsheetml/2009/9/main" objectType="CheckBox" fmlaLink="$W$91" lockText="1" noThreeD="1"/>
</file>

<file path=xl/ctrlProps/ctrlProp386.xml><?xml version="1.0" encoding="utf-8"?>
<formControlPr xmlns="http://schemas.microsoft.com/office/spreadsheetml/2009/9/main" objectType="CheckBox" fmlaLink="$W$93" lockText="1" noThreeD="1"/>
</file>

<file path=xl/ctrlProps/ctrlProp387.xml><?xml version="1.0" encoding="utf-8"?>
<formControlPr xmlns="http://schemas.microsoft.com/office/spreadsheetml/2009/9/main" objectType="CheckBox" fmlaLink="$W$94" lockText="1" noThreeD="1"/>
</file>

<file path=xl/ctrlProps/ctrlProp388.xml><?xml version="1.0" encoding="utf-8"?>
<formControlPr xmlns="http://schemas.microsoft.com/office/spreadsheetml/2009/9/main" objectType="CheckBox" fmlaLink="$W$95" lockText="1" noThreeD="1"/>
</file>

<file path=xl/ctrlProps/ctrlProp389.xml><?xml version="1.0" encoding="utf-8"?>
<formControlPr xmlns="http://schemas.microsoft.com/office/spreadsheetml/2009/9/main" objectType="CheckBox" fmlaLink="$W$101" lockText="1" noThreeD="1"/>
</file>

<file path=xl/ctrlProps/ctrlProp39.xml><?xml version="1.0" encoding="utf-8"?>
<formControlPr xmlns="http://schemas.microsoft.com/office/spreadsheetml/2009/9/main" objectType="CheckBox" fmlaLink="$W$184" lockText="1" noThreeD="1"/>
</file>

<file path=xl/ctrlProps/ctrlProp390.xml><?xml version="1.0" encoding="utf-8"?>
<formControlPr xmlns="http://schemas.microsoft.com/office/spreadsheetml/2009/9/main" objectType="CheckBox" fmlaLink="$W$103" lockText="1" noThreeD="1"/>
</file>

<file path=xl/ctrlProps/ctrlProp391.xml><?xml version="1.0" encoding="utf-8"?>
<formControlPr xmlns="http://schemas.microsoft.com/office/spreadsheetml/2009/9/main" objectType="CheckBox" fmlaLink="$W$106" lockText="1" noThreeD="1"/>
</file>

<file path=xl/ctrlProps/ctrlProp392.xml><?xml version="1.0" encoding="utf-8"?>
<formControlPr xmlns="http://schemas.microsoft.com/office/spreadsheetml/2009/9/main" objectType="CheckBox" fmlaLink="$W$108" lockText="1" noThreeD="1"/>
</file>

<file path=xl/ctrlProps/ctrlProp393.xml><?xml version="1.0" encoding="utf-8"?>
<formControlPr xmlns="http://schemas.microsoft.com/office/spreadsheetml/2009/9/main" objectType="CheckBox" fmlaLink="$W$111" lockText="1" noThreeD="1"/>
</file>

<file path=xl/ctrlProps/ctrlProp394.xml><?xml version="1.0" encoding="utf-8"?>
<formControlPr xmlns="http://schemas.microsoft.com/office/spreadsheetml/2009/9/main" objectType="CheckBox" fmlaLink="$W$113" lockText="1" noThreeD="1"/>
</file>

<file path=xl/ctrlProps/ctrlProp395.xml><?xml version="1.0" encoding="utf-8"?>
<formControlPr xmlns="http://schemas.microsoft.com/office/spreadsheetml/2009/9/main" objectType="CheckBox" fmlaLink="$W$114" lockText="1" noThreeD="1"/>
</file>

<file path=xl/ctrlProps/ctrlProp396.xml><?xml version="1.0" encoding="utf-8"?>
<formControlPr xmlns="http://schemas.microsoft.com/office/spreadsheetml/2009/9/main" objectType="CheckBox" fmlaLink="$W$116" lockText="1" noThreeD="1"/>
</file>

<file path=xl/ctrlProps/ctrlProp397.xml><?xml version="1.0" encoding="utf-8"?>
<formControlPr xmlns="http://schemas.microsoft.com/office/spreadsheetml/2009/9/main" objectType="CheckBox" fmlaLink="$W$118" lockText="1" noThreeD="1"/>
</file>

<file path=xl/ctrlProps/ctrlProp398.xml><?xml version="1.0" encoding="utf-8"?>
<formControlPr xmlns="http://schemas.microsoft.com/office/spreadsheetml/2009/9/main" objectType="CheckBox" fmlaLink="$W$119" lockText="1" noThreeD="1"/>
</file>

<file path=xl/ctrlProps/ctrlProp399.xml><?xml version="1.0" encoding="utf-8"?>
<formControlPr xmlns="http://schemas.microsoft.com/office/spreadsheetml/2009/9/main" objectType="CheckBox" fmlaLink="$W$122" lockText="1" noThreeD="1"/>
</file>

<file path=xl/ctrlProps/ctrlProp4.xml><?xml version="1.0" encoding="utf-8"?>
<formControlPr xmlns="http://schemas.microsoft.com/office/spreadsheetml/2009/9/main" objectType="CheckBox" fmlaLink="$W$18" lockText="1" noThreeD="1"/>
</file>

<file path=xl/ctrlProps/ctrlProp40.xml><?xml version="1.0" encoding="utf-8"?>
<formControlPr xmlns="http://schemas.microsoft.com/office/spreadsheetml/2009/9/main" objectType="CheckBox" fmlaLink="$W$186" lockText="1" noThreeD="1"/>
</file>

<file path=xl/ctrlProps/ctrlProp400.xml><?xml version="1.0" encoding="utf-8"?>
<formControlPr xmlns="http://schemas.microsoft.com/office/spreadsheetml/2009/9/main" objectType="CheckBox" fmlaLink="$W$128" lockText="1" noThreeD="1"/>
</file>

<file path=xl/ctrlProps/ctrlProp401.xml><?xml version="1.0" encoding="utf-8"?>
<formControlPr xmlns="http://schemas.microsoft.com/office/spreadsheetml/2009/9/main" objectType="CheckBox" fmlaLink="$W$130" lockText="1" noThreeD="1"/>
</file>

<file path=xl/ctrlProps/ctrlProp402.xml><?xml version="1.0" encoding="utf-8"?>
<formControlPr xmlns="http://schemas.microsoft.com/office/spreadsheetml/2009/9/main" objectType="CheckBox" fmlaLink="$W$134" lockText="1" noThreeD="1"/>
</file>

<file path=xl/ctrlProps/ctrlProp403.xml><?xml version="1.0" encoding="utf-8"?>
<formControlPr xmlns="http://schemas.microsoft.com/office/spreadsheetml/2009/9/main" objectType="CheckBox" fmlaLink="$W$141" lockText="1" noThreeD="1"/>
</file>

<file path=xl/ctrlProps/ctrlProp404.xml><?xml version="1.0" encoding="utf-8"?>
<formControlPr xmlns="http://schemas.microsoft.com/office/spreadsheetml/2009/9/main" objectType="CheckBox" fmlaLink="$W$143" lockText="1" noThreeD="1"/>
</file>

<file path=xl/ctrlProps/ctrlProp405.xml><?xml version="1.0" encoding="utf-8"?>
<formControlPr xmlns="http://schemas.microsoft.com/office/spreadsheetml/2009/9/main" objectType="CheckBox" fmlaLink="$W$144" lockText="1" noThreeD="1"/>
</file>

<file path=xl/ctrlProps/ctrlProp406.xml><?xml version="1.0" encoding="utf-8"?>
<formControlPr xmlns="http://schemas.microsoft.com/office/spreadsheetml/2009/9/main" objectType="CheckBox" fmlaLink="$W$146" lockText="1" noThreeD="1"/>
</file>

<file path=xl/ctrlProps/ctrlProp407.xml><?xml version="1.0" encoding="utf-8"?>
<formControlPr xmlns="http://schemas.microsoft.com/office/spreadsheetml/2009/9/main" objectType="CheckBox" fmlaLink="$W$147" lockText="1" noThreeD="1"/>
</file>

<file path=xl/ctrlProps/ctrlProp408.xml><?xml version="1.0" encoding="utf-8"?>
<formControlPr xmlns="http://schemas.microsoft.com/office/spreadsheetml/2009/9/main" objectType="CheckBox" fmlaLink="$W$148" lockText="1" noThreeD="1"/>
</file>

<file path=xl/ctrlProps/ctrlProp409.xml><?xml version="1.0" encoding="utf-8"?>
<formControlPr xmlns="http://schemas.microsoft.com/office/spreadsheetml/2009/9/main" objectType="CheckBox" fmlaLink="$W$149" lockText="1" noThreeD="1"/>
</file>

<file path=xl/ctrlProps/ctrlProp41.xml><?xml version="1.0" encoding="utf-8"?>
<formControlPr xmlns="http://schemas.microsoft.com/office/spreadsheetml/2009/9/main" objectType="CheckBox" fmlaLink="$W$190" lockText="1" noThreeD="1"/>
</file>

<file path=xl/ctrlProps/ctrlProp410.xml><?xml version="1.0" encoding="utf-8"?>
<formControlPr xmlns="http://schemas.microsoft.com/office/spreadsheetml/2009/9/main" objectType="CheckBox" fmlaLink="$W$152" lockText="1" noThreeD="1"/>
</file>

<file path=xl/ctrlProps/ctrlProp411.xml><?xml version="1.0" encoding="utf-8"?>
<formControlPr xmlns="http://schemas.microsoft.com/office/spreadsheetml/2009/9/main" objectType="CheckBox" fmlaLink="$W$193" lockText="1" noThreeD="1"/>
</file>

<file path=xl/ctrlProps/ctrlProp412.xml><?xml version="1.0" encoding="utf-8"?>
<formControlPr xmlns="http://schemas.microsoft.com/office/spreadsheetml/2009/9/main" objectType="CheckBox" fmlaLink="$W$195" lockText="1" noThreeD="1"/>
</file>

<file path=xl/ctrlProps/ctrlProp413.xml><?xml version="1.0" encoding="utf-8"?>
<formControlPr xmlns="http://schemas.microsoft.com/office/spreadsheetml/2009/9/main" objectType="CheckBox" fmlaLink="$W$198" lockText="1" noThreeD="1"/>
</file>

<file path=xl/ctrlProps/ctrlProp414.xml><?xml version="1.0" encoding="utf-8"?>
<formControlPr xmlns="http://schemas.microsoft.com/office/spreadsheetml/2009/9/main" objectType="CheckBox" fmlaLink="$W$211" lockText="1" noThreeD="1"/>
</file>

<file path=xl/ctrlProps/ctrlProp415.xml><?xml version="1.0" encoding="utf-8"?>
<formControlPr xmlns="http://schemas.microsoft.com/office/spreadsheetml/2009/9/main" objectType="CheckBox" fmlaLink="$W$213" lockText="1" noThreeD="1"/>
</file>

<file path=xl/ctrlProps/ctrlProp416.xml><?xml version="1.0" encoding="utf-8"?>
<formControlPr xmlns="http://schemas.microsoft.com/office/spreadsheetml/2009/9/main" objectType="CheckBox" fmlaLink="$W$150" lockText="1" noThreeD="1"/>
</file>

<file path=xl/ctrlProps/ctrlProp417.xml><?xml version="1.0" encoding="utf-8"?>
<formControlPr xmlns="http://schemas.microsoft.com/office/spreadsheetml/2009/9/main" objectType="CheckBox" fmlaLink="$W$167" lockText="1" noThreeD="1"/>
</file>

<file path=xl/ctrlProps/ctrlProp418.xml><?xml version="1.0" encoding="utf-8"?>
<formControlPr xmlns="http://schemas.microsoft.com/office/spreadsheetml/2009/9/main" objectType="CheckBox" fmlaLink="$W$168" lockText="1" noThreeD="1"/>
</file>

<file path=xl/ctrlProps/ctrlProp419.xml><?xml version="1.0" encoding="utf-8"?>
<formControlPr xmlns="http://schemas.microsoft.com/office/spreadsheetml/2009/9/main" objectType="CheckBox" fmlaLink="$W$169" lockText="1" noThreeD="1"/>
</file>

<file path=xl/ctrlProps/ctrlProp42.xml><?xml version="1.0" encoding="utf-8"?>
<formControlPr xmlns="http://schemas.microsoft.com/office/spreadsheetml/2009/9/main" objectType="CheckBox" fmlaLink="$W$191" lockText="1" noThreeD="1"/>
</file>

<file path=xl/ctrlProps/ctrlProp420.xml><?xml version="1.0" encoding="utf-8"?>
<formControlPr xmlns="http://schemas.microsoft.com/office/spreadsheetml/2009/9/main" objectType="CheckBox" fmlaLink="$W$171" lockText="1" noThreeD="1"/>
</file>

<file path=xl/ctrlProps/ctrlProp421.xml><?xml version="1.0" encoding="utf-8"?>
<formControlPr xmlns="http://schemas.microsoft.com/office/spreadsheetml/2009/9/main" objectType="CheckBox" fmlaLink="$W$172" lockText="1" noThreeD="1"/>
</file>

<file path=xl/ctrlProps/ctrlProp422.xml><?xml version="1.0" encoding="utf-8"?>
<formControlPr xmlns="http://schemas.microsoft.com/office/spreadsheetml/2009/9/main" objectType="CheckBox" fmlaLink="$W$173" lockText="1" noThreeD="1"/>
</file>

<file path=xl/ctrlProps/ctrlProp423.xml><?xml version="1.0" encoding="utf-8"?>
<formControlPr xmlns="http://schemas.microsoft.com/office/spreadsheetml/2009/9/main" objectType="CheckBox" fmlaLink="$W$174" lockText="1" noThreeD="1"/>
</file>

<file path=xl/ctrlProps/ctrlProp424.xml><?xml version="1.0" encoding="utf-8"?>
<formControlPr xmlns="http://schemas.microsoft.com/office/spreadsheetml/2009/9/main" objectType="CheckBox" fmlaLink="$W$175" lockText="1" noThreeD="1"/>
</file>

<file path=xl/ctrlProps/ctrlProp425.xml><?xml version="1.0" encoding="utf-8"?>
<formControlPr xmlns="http://schemas.microsoft.com/office/spreadsheetml/2009/9/main" objectType="CheckBox" fmlaLink="$W$176" lockText="1" noThreeD="1"/>
</file>

<file path=xl/ctrlProps/ctrlProp426.xml><?xml version="1.0" encoding="utf-8"?>
<formControlPr xmlns="http://schemas.microsoft.com/office/spreadsheetml/2009/9/main" objectType="CheckBox" fmlaLink="$W$181" lockText="1" noThreeD="1"/>
</file>

<file path=xl/ctrlProps/ctrlProp427.xml><?xml version="1.0" encoding="utf-8"?>
<formControlPr xmlns="http://schemas.microsoft.com/office/spreadsheetml/2009/9/main" objectType="CheckBox" fmlaLink="$W$182" lockText="1" noThreeD="1"/>
</file>

<file path=xl/ctrlProps/ctrlProp428.xml><?xml version="1.0" encoding="utf-8"?>
<formControlPr xmlns="http://schemas.microsoft.com/office/spreadsheetml/2009/9/main" objectType="CheckBox" fmlaLink="$W$183" lockText="1" noThreeD="1"/>
</file>

<file path=xl/ctrlProps/ctrlProp429.xml><?xml version="1.0" encoding="utf-8"?>
<formControlPr xmlns="http://schemas.microsoft.com/office/spreadsheetml/2009/9/main" objectType="CheckBox" fmlaLink="$W$184" lockText="1" noThreeD="1"/>
</file>

<file path=xl/ctrlProps/ctrlProp43.xml><?xml version="1.0" encoding="utf-8"?>
<formControlPr xmlns="http://schemas.microsoft.com/office/spreadsheetml/2009/9/main" objectType="CheckBox" fmlaLink="$W$192" lockText="1" noThreeD="1"/>
</file>

<file path=xl/ctrlProps/ctrlProp430.xml><?xml version="1.0" encoding="utf-8"?>
<formControlPr xmlns="http://schemas.microsoft.com/office/spreadsheetml/2009/9/main" objectType="CheckBox" fmlaLink="$W$185" lockText="1" noThreeD="1"/>
</file>

<file path=xl/ctrlProps/ctrlProp431.xml><?xml version="1.0" encoding="utf-8"?>
<formControlPr xmlns="http://schemas.microsoft.com/office/spreadsheetml/2009/9/main" objectType="CheckBox" fmlaLink="$W$186" lockText="1" noThreeD="1"/>
</file>

<file path=xl/ctrlProps/ctrlProp432.xml><?xml version="1.0" encoding="utf-8"?>
<formControlPr xmlns="http://schemas.microsoft.com/office/spreadsheetml/2009/9/main" objectType="CheckBox" fmlaLink="$W$187" lockText="1" noThreeD="1"/>
</file>

<file path=xl/ctrlProps/ctrlProp433.xml><?xml version="1.0" encoding="utf-8"?>
<formControlPr xmlns="http://schemas.microsoft.com/office/spreadsheetml/2009/9/main" objectType="CheckBox" fmlaLink="$W$220" lockText="1" noThreeD="1"/>
</file>

<file path=xl/ctrlProps/ctrlProp434.xml><?xml version="1.0" encoding="utf-8"?>
<formControlPr xmlns="http://schemas.microsoft.com/office/spreadsheetml/2009/9/main" objectType="CheckBox" fmlaLink="$W$217" lockText="1" noThreeD="1"/>
</file>

<file path=xl/ctrlProps/ctrlProp435.xml><?xml version="1.0" encoding="utf-8"?>
<formControlPr xmlns="http://schemas.microsoft.com/office/spreadsheetml/2009/9/main" objectType="CheckBox" fmlaLink="$W$110" lockText="1" noThreeD="1"/>
</file>

<file path=xl/ctrlProps/ctrlProp436.xml><?xml version="1.0" encoding="utf-8"?>
<formControlPr xmlns="http://schemas.microsoft.com/office/spreadsheetml/2009/9/main" objectType="CheckBox" fmlaLink="$W$166" lockText="1" noThreeD="1"/>
</file>

<file path=xl/ctrlProps/ctrlProp437.xml><?xml version="1.0" encoding="utf-8"?>
<formControlPr xmlns="http://schemas.microsoft.com/office/spreadsheetml/2009/9/main" objectType="CheckBox" fmlaLink="$W$152" lockText="1" noThreeD="1"/>
</file>

<file path=xl/ctrlProps/ctrlProp438.xml><?xml version="1.0" encoding="utf-8"?>
<formControlPr xmlns="http://schemas.microsoft.com/office/spreadsheetml/2009/9/main" objectType="CheckBox" fmlaLink="$W$153" lockText="1" noThreeD="1"/>
</file>

<file path=xl/ctrlProps/ctrlProp439.xml><?xml version="1.0" encoding="utf-8"?>
<formControlPr xmlns="http://schemas.microsoft.com/office/spreadsheetml/2009/9/main" objectType="CheckBox" fmlaLink="$W$154" lockText="1" noThreeD="1"/>
</file>

<file path=xl/ctrlProps/ctrlProp44.xml><?xml version="1.0" encoding="utf-8"?>
<formControlPr xmlns="http://schemas.microsoft.com/office/spreadsheetml/2009/9/main" objectType="CheckBox" fmlaLink="$W$194" lockText="1" noThreeD="1"/>
</file>

<file path=xl/ctrlProps/ctrlProp440.xml><?xml version="1.0" encoding="utf-8"?>
<formControlPr xmlns="http://schemas.microsoft.com/office/spreadsheetml/2009/9/main" objectType="CheckBox" fmlaLink="$W$126" lockText="1" noThreeD="1"/>
</file>

<file path=xl/ctrlProps/ctrlProp441.xml><?xml version="1.0" encoding="utf-8"?>
<formControlPr xmlns="http://schemas.microsoft.com/office/spreadsheetml/2009/9/main" objectType="CheckBox" fmlaLink="$W$39" lockText="1" noThreeD="1"/>
</file>

<file path=xl/ctrlProps/ctrlProp442.xml><?xml version="1.0" encoding="utf-8"?>
<formControlPr xmlns="http://schemas.microsoft.com/office/spreadsheetml/2009/9/main" objectType="CheckBox" fmlaLink="$W$40" lockText="1" noThreeD="1"/>
</file>

<file path=xl/ctrlProps/ctrlProp443.xml><?xml version="1.0" encoding="utf-8"?>
<formControlPr xmlns="http://schemas.microsoft.com/office/spreadsheetml/2009/9/main" objectType="CheckBox" fmlaLink="$W$41" lockText="1" noThreeD="1"/>
</file>

<file path=xl/ctrlProps/ctrlProp444.xml><?xml version="1.0" encoding="utf-8"?>
<formControlPr xmlns="http://schemas.microsoft.com/office/spreadsheetml/2009/9/main" objectType="CheckBox" fmlaLink="$W$42" lockText="1" noThreeD="1"/>
</file>

<file path=xl/ctrlProps/ctrlProp445.xml><?xml version="1.0" encoding="utf-8"?>
<formControlPr xmlns="http://schemas.microsoft.com/office/spreadsheetml/2009/9/main" objectType="CheckBox" fmlaLink="$W$43" lockText="1" noThreeD="1"/>
</file>

<file path=xl/ctrlProps/ctrlProp446.xml><?xml version="1.0" encoding="utf-8"?>
<formControlPr xmlns="http://schemas.microsoft.com/office/spreadsheetml/2009/9/main" objectType="CheckBox" fmlaLink="$W$44" lockText="1" noThreeD="1"/>
</file>

<file path=xl/ctrlProps/ctrlProp447.xml><?xml version="1.0" encoding="utf-8"?>
<formControlPr xmlns="http://schemas.microsoft.com/office/spreadsheetml/2009/9/main" objectType="CheckBox" fmlaLink="$W$45" lockText="1" noThreeD="1"/>
</file>

<file path=xl/ctrlProps/ctrlProp448.xml><?xml version="1.0" encoding="utf-8"?>
<formControlPr xmlns="http://schemas.microsoft.com/office/spreadsheetml/2009/9/main" objectType="CheckBox" fmlaLink="$W$46" lockText="1" noThreeD="1"/>
</file>

<file path=xl/ctrlProps/ctrlProp449.xml><?xml version="1.0" encoding="utf-8"?>
<formControlPr xmlns="http://schemas.microsoft.com/office/spreadsheetml/2009/9/main" objectType="CheckBox" fmlaLink="$W$47" lockText="1" noThreeD="1"/>
</file>

<file path=xl/ctrlProps/ctrlProp45.xml><?xml version="1.0" encoding="utf-8"?>
<formControlPr xmlns="http://schemas.microsoft.com/office/spreadsheetml/2009/9/main" objectType="CheckBox" fmlaLink="$W$209" lockText="1" noThreeD="1"/>
</file>

<file path=xl/ctrlProps/ctrlProp450.xml><?xml version="1.0" encoding="utf-8"?>
<formControlPr xmlns="http://schemas.microsoft.com/office/spreadsheetml/2009/9/main" objectType="CheckBox" fmlaLink="$W$48" lockText="1" noThreeD="1"/>
</file>

<file path=xl/ctrlProps/ctrlProp451.xml><?xml version="1.0" encoding="utf-8"?>
<formControlPr xmlns="http://schemas.microsoft.com/office/spreadsheetml/2009/9/main" objectType="CheckBox" fmlaLink="$W$49" lockText="1" noThreeD="1"/>
</file>

<file path=xl/ctrlProps/ctrlProp452.xml><?xml version="1.0" encoding="utf-8"?>
<formControlPr xmlns="http://schemas.microsoft.com/office/spreadsheetml/2009/9/main" objectType="CheckBox" fmlaLink="$W$54" lockText="1" noThreeD="1"/>
</file>

<file path=xl/ctrlProps/ctrlProp453.xml><?xml version="1.0" encoding="utf-8"?>
<formControlPr xmlns="http://schemas.microsoft.com/office/spreadsheetml/2009/9/main" objectType="CheckBox" fmlaLink="$W$55" lockText="1" noThreeD="1"/>
</file>

<file path=xl/ctrlProps/ctrlProp454.xml><?xml version="1.0" encoding="utf-8"?>
<formControlPr xmlns="http://schemas.microsoft.com/office/spreadsheetml/2009/9/main" objectType="CheckBox" fmlaLink="$W$18" lockText="1" noThreeD="1"/>
</file>

<file path=xl/ctrlProps/ctrlProp455.xml><?xml version="1.0" encoding="utf-8"?>
<formControlPr xmlns="http://schemas.microsoft.com/office/spreadsheetml/2009/9/main" objectType="CheckBox" fmlaLink="$W$19" lockText="1" noThreeD="1"/>
</file>

<file path=xl/ctrlProps/ctrlProp456.xml><?xml version="1.0" encoding="utf-8"?>
<formControlPr xmlns="http://schemas.microsoft.com/office/spreadsheetml/2009/9/main" objectType="CheckBox" fmlaLink="$W$20" lockText="1" noThreeD="1"/>
</file>

<file path=xl/ctrlProps/ctrlProp457.xml><?xml version="1.0" encoding="utf-8"?>
<formControlPr xmlns="http://schemas.microsoft.com/office/spreadsheetml/2009/9/main" objectType="CheckBox" fmlaLink="$W$22" lockText="1" noThreeD="1"/>
</file>

<file path=xl/ctrlProps/ctrlProp458.xml><?xml version="1.0" encoding="utf-8"?>
<formControlPr xmlns="http://schemas.microsoft.com/office/spreadsheetml/2009/9/main" objectType="CheckBox" fmlaLink="$W$23" lockText="1" noThreeD="1"/>
</file>

<file path=xl/ctrlProps/ctrlProp459.xml><?xml version="1.0" encoding="utf-8"?>
<formControlPr xmlns="http://schemas.microsoft.com/office/spreadsheetml/2009/9/main" objectType="CheckBox" fmlaLink="$W$24" lockText="1" noThreeD="1"/>
</file>

<file path=xl/ctrlProps/ctrlProp46.xml><?xml version="1.0" encoding="utf-8"?>
<formControlPr xmlns="http://schemas.microsoft.com/office/spreadsheetml/2009/9/main" objectType="CheckBox" fmlaLink="$W$216" lockText="1" noThreeD="1"/>
</file>

<file path=xl/ctrlProps/ctrlProp460.xml><?xml version="1.0" encoding="utf-8"?>
<formControlPr xmlns="http://schemas.microsoft.com/office/spreadsheetml/2009/9/main" objectType="CheckBox" fmlaLink="$W$27" lockText="1" noThreeD="1"/>
</file>

<file path=xl/ctrlProps/ctrlProp461.xml><?xml version="1.0" encoding="utf-8"?>
<formControlPr xmlns="http://schemas.microsoft.com/office/spreadsheetml/2009/9/main" objectType="CheckBox" fmlaLink="$W$28" lockText="1" noThreeD="1"/>
</file>

<file path=xl/ctrlProps/ctrlProp462.xml><?xml version="1.0" encoding="utf-8"?>
<formControlPr xmlns="http://schemas.microsoft.com/office/spreadsheetml/2009/9/main" objectType="CheckBox" fmlaLink="$W$34" lockText="1" noThreeD="1"/>
</file>

<file path=xl/ctrlProps/ctrlProp463.xml><?xml version="1.0" encoding="utf-8"?>
<formControlPr xmlns="http://schemas.microsoft.com/office/spreadsheetml/2009/9/main" objectType="CheckBox" fmlaLink="$W$41" lockText="1" noThreeD="1"/>
</file>

<file path=xl/ctrlProps/ctrlProp464.xml><?xml version="1.0" encoding="utf-8"?>
<formControlPr xmlns="http://schemas.microsoft.com/office/spreadsheetml/2009/9/main" objectType="CheckBox" fmlaLink="$W$48" lockText="1" noThreeD="1"/>
</file>

<file path=xl/ctrlProps/ctrlProp465.xml><?xml version="1.0" encoding="utf-8"?>
<formControlPr xmlns="http://schemas.microsoft.com/office/spreadsheetml/2009/9/main" objectType="CheckBox" fmlaLink="$W$55" lockText="1" noThreeD="1"/>
</file>

<file path=xl/ctrlProps/ctrlProp466.xml><?xml version="1.0" encoding="utf-8"?>
<formControlPr xmlns="http://schemas.microsoft.com/office/spreadsheetml/2009/9/main" objectType="CheckBox" fmlaLink="$W$110" lockText="1" noThreeD="1"/>
</file>

<file path=xl/ctrlProps/ctrlProp467.xml><?xml version="1.0" encoding="utf-8"?>
<formControlPr xmlns="http://schemas.microsoft.com/office/spreadsheetml/2009/9/main" objectType="CheckBox" fmlaLink="$W$115" lockText="1" noThreeD="1"/>
</file>

<file path=xl/ctrlProps/ctrlProp468.xml><?xml version="1.0" encoding="utf-8"?>
<formControlPr xmlns="http://schemas.microsoft.com/office/spreadsheetml/2009/9/main" objectType="CheckBox" fmlaLink="$W$132" lockText="1" noThreeD="1"/>
</file>

<file path=xl/ctrlProps/ctrlProp469.xml><?xml version="1.0" encoding="utf-8"?>
<formControlPr xmlns="http://schemas.microsoft.com/office/spreadsheetml/2009/9/main" objectType="CheckBox" fmlaLink="$I$10" lockText="1" noThreeD="1"/>
</file>

<file path=xl/ctrlProps/ctrlProp47.xml><?xml version="1.0" encoding="utf-8"?>
<formControlPr xmlns="http://schemas.microsoft.com/office/spreadsheetml/2009/9/main" objectType="CheckBox" fmlaLink="$W$217" lockText="1" noThreeD="1"/>
</file>

<file path=xl/ctrlProps/ctrlProp470.xml><?xml version="1.0" encoding="utf-8"?>
<formControlPr xmlns="http://schemas.microsoft.com/office/spreadsheetml/2009/9/main" objectType="CheckBox" fmlaLink="$I$11" lockText="1" noThreeD="1"/>
</file>

<file path=xl/ctrlProps/ctrlProp471.xml><?xml version="1.0" encoding="utf-8"?>
<formControlPr xmlns="http://schemas.microsoft.com/office/spreadsheetml/2009/9/main" objectType="CheckBox" fmlaLink="$I$12" lockText="1" noThreeD="1"/>
</file>

<file path=xl/ctrlProps/ctrlProp472.xml><?xml version="1.0" encoding="utf-8"?>
<formControlPr xmlns="http://schemas.microsoft.com/office/spreadsheetml/2009/9/main" objectType="CheckBox" fmlaLink="$I$13" lockText="1" noThreeD="1"/>
</file>

<file path=xl/ctrlProps/ctrlProp473.xml><?xml version="1.0" encoding="utf-8"?>
<formControlPr xmlns="http://schemas.microsoft.com/office/spreadsheetml/2009/9/main" objectType="CheckBox" fmlaLink="$I$14" lockText="1" noThreeD="1"/>
</file>

<file path=xl/ctrlProps/ctrlProp474.xml><?xml version="1.0" encoding="utf-8"?>
<formControlPr xmlns="http://schemas.microsoft.com/office/spreadsheetml/2009/9/main" objectType="CheckBox" fmlaLink="$I$15" lockText="1" noThreeD="1"/>
</file>

<file path=xl/ctrlProps/ctrlProp475.xml><?xml version="1.0" encoding="utf-8"?>
<formControlPr xmlns="http://schemas.microsoft.com/office/spreadsheetml/2009/9/main" objectType="CheckBox" fmlaLink="$I$16" lockText="1" noThreeD="1"/>
</file>

<file path=xl/ctrlProps/ctrlProp476.xml><?xml version="1.0" encoding="utf-8"?>
<formControlPr xmlns="http://schemas.microsoft.com/office/spreadsheetml/2009/9/main" objectType="CheckBox" checked="Checked" fmlaLink="$I$18" lockText="1" noThreeD="1"/>
</file>

<file path=xl/ctrlProps/ctrlProp477.xml><?xml version="1.0" encoding="utf-8"?>
<formControlPr xmlns="http://schemas.microsoft.com/office/spreadsheetml/2009/9/main" objectType="CheckBox" fmlaLink="$I$19" lockText="1" noThreeD="1"/>
</file>

<file path=xl/ctrlProps/ctrlProp478.xml><?xml version="1.0" encoding="utf-8"?>
<formControlPr xmlns="http://schemas.microsoft.com/office/spreadsheetml/2009/9/main" objectType="CheckBox" fmlaLink="$I$23" lockText="1" noThreeD="1"/>
</file>

<file path=xl/ctrlProps/ctrlProp479.xml><?xml version="1.0" encoding="utf-8"?>
<formControlPr xmlns="http://schemas.microsoft.com/office/spreadsheetml/2009/9/main" objectType="CheckBox" fmlaLink="$I$25" lockText="1" noThreeD="1"/>
</file>

<file path=xl/ctrlProps/ctrlProp48.xml><?xml version="1.0" encoding="utf-8"?>
<formControlPr xmlns="http://schemas.microsoft.com/office/spreadsheetml/2009/9/main" objectType="CheckBox" fmlaLink="$W$219" lockText="1" noThreeD="1"/>
</file>

<file path=xl/ctrlProps/ctrlProp480.xml><?xml version="1.0" encoding="utf-8"?>
<formControlPr xmlns="http://schemas.microsoft.com/office/spreadsheetml/2009/9/main" objectType="CheckBox" fmlaLink="$I$26" lockText="1" noThreeD="1"/>
</file>

<file path=xl/ctrlProps/ctrlProp481.xml><?xml version="1.0" encoding="utf-8"?>
<formControlPr xmlns="http://schemas.microsoft.com/office/spreadsheetml/2009/9/main" objectType="CheckBox" fmlaLink="$I$30" lockText="1" noThreeD="1"/>
</file>

<file path=xl/ctrlProps/ctrlProp482.xml><?xml version="1.0" encoding="utf-8"?>
<formControlPr xmlns="http://schemas.microsoft.com/office/spreadsheetml/2009/9/main" objectType="CheckBox" fmlaLink="$I$32" lockText="1" noThreeD="1"/>
</file>

<file path=xl/ctrlProps/ctrlProp483.xml><?xml version="1.0" encoding="utf-8"?>
<formControlPr xmlns="http://schemas.microsoft.com/office/spreadsheetml/2009/9/main" objectType="CheckBox" fmlaLink="$I$34" lockText="1" noThreeD="1"/>
</file>

<file path=xl/ctrlProps/ctrlProp484.xml><?xml version="1.0" encoding="utf-8"?>
<formControlPr xmlns="http://schemas.microsoft.com/office/spreadsheetml/2009/9/main" objectType="CheckBox" fmlaLink="$I$35" lockText="1" noThreeD="1"/>
</file>

<file path=xl/ctrlProps/ctrlProp485.xml><?xml version="1.0" encoding="utf-8"?>
<formControlPr xmlns="http://schemas.microsoft.com/office/spreadsheetml/2009/9/main" objectType="CheckBox" fmlaLink="$I$36" lockText="1" noThreeD="1"/>
</file>

<file path=xl/ctrlProps/ctrlProp486.xml><?xml version="1.0" encoding="utf-8"?>
<formControlPr xmlns="http://schemas.microsoft.com/office/spreadsheetml/2009/9/main" objectType="CheckBox" fmlaLink="$I$37" lockText="1" noThreeD="1"/>
</file>

<file path=xl/ctrlProps/ctrlProp487.xml><?xml version="1.0" encoding="utf-8"?>
<formControlPr xmlns="http://schemas.microsoft.com/office/spreadsheetml/2009/9/main" objectType="CheckBox" fmlaLink="$I$48" lockText="1" noThreeD="1"/>
</file>

<file path=xl/ctrlProps/ctrlProp488.xml><?xml version="1.0" encoding="utf-8"?>
<formControlPr xmlns="http://schemas.microsoft.com/office/spreadsheetml/2009/9/main" objectType="CheckBox" fmlaLink="$I$49" lockText="1" noThreeD="1"/>
</file>

<file path=xl/ctrlProps/ctrlProp489.xml><?xml version="1.0" encoding="utf-8"?>
<formControlPr xmlns="http://schemas.microsoft.com/office/spreadsheetml/2009/9/main" objectType="CheckBox" fmlaLink="$I$50" lockText="1" noThreeD="1"/>
</file>

<file path=xl/ctrlProps/ctrlProp49.xml><?xml version="1.0" encoding="utf-8"?>
<formControlPr xmlns="http://schemas.microsoft.com/office/spreadsheetml/2009/9/main" objectType="CheckBox" fmlaLink="$W$224" lockText="1" noThreeD="1"/>
</file>

<file path=xl/ctrlProps/ctrlProp490.xml><?xml version="1.0" encoding="utf-8"?>
<formControlPr xmlns="http://schemas.microsoft.com/office/spreadsheetml/2009/9/main" objectType="CheckBox" fmlaLink="$I$51" lockText="1" noThreeD="1"/>
</file>

<file path=xl/ctrlProps/ctrlProp491.xml><?xml version="1.0" encoding="utf-8"?>
<formControlPr xmlns="http://schemas.microsoft.com/office/spreadsheetml/2009/9/main" objectType="CheckBox" fmlaLink="$I$52" lockText="1" noThreeD="1"/>
</file>

<file path=xl/ctrlProps/ctrlProp492.xml><?xml version="1.0" encoding="utf-8"?>
<formControlPr xmlns="http://schemas.microsoft.com/office/spreadsheetml/2009/9/main" objectType="CheckBox" fmlaLink="$I$55" lockText="1" noThreeD="1"/>
</file>

<file path=xl/ctrlProps/ctrlProp493.xml><?xml version="1.0" encoding="utf-8"?>
<formControlPr xmlns="http://schemas.microsoft.com/office/spreadsheetml/2009/9/main" objectType="CheckBox" fmlaLink="$I$56" lockText="1" noThreeD="1"/>
</file>

<file path=xl/ctrlProps/ctrlProp494.xml><?xml version="1.0" encoding="utf-8"?>
<formControlPr xmlns="http://schemas.microsoft.com/office/spreadsheetml/2009/9/main" objectType="CheckBox" fmlaLink="$I$57" lockText="1" noThreeD="1"/>
</file>

<file path=xl/ctrlProps/ctrlProp495.xml><?xml version="1.0" encoding="utf-8"?>
<formControlPr xmlns="http://schemas.microsoft.com/office/spreadsheetml/2009/9/main" objectType="CheckBox" fmlaLink="$I$58" lockText="1" noThreeD="1"/>
</file>

<file path=xl/ctrlProps/ctrlProp496.xml><?xml version="1.0" encoding="utf-8"?>
<formControlPr xmlns="http://schemas.microsoft.com/office/spreadsheetml/2009/9/main" objectType="CheckBox" fmlaLink="$I$59" lockText="1" noThreeD="1"/>
</file>

<file path=xl/ctrlProps/ctrlProp497.xml><?xml version="1.0" encoding="utf-8"?>
<formControlPr xmlns="http://schemas.microsoft.com/office/spreadsheetml/2009/9/main" objectType="CheckBox" fmlaLink="$I$61" lockText="1" noThreeD="1"/>
</file>

<file path=xl/ctrlProps/ctrlProp498.xml><?xml version="1.0" encoding="utf-8"?>
<formControlPr xmlns="http://schemas.microsoft.com/office/spreadsheetml/2009/9/main" objectType="CheckBox" fmlaLink="$I$62" lockText="1" noThreeD="1"/>
</file>

<file path=xl/ctrlProps/ctrlProp499.xml><?xml version="1.0" encoding="utf-8"?>
<formControlPr xmlns="http://schemas.microsoft.com/office/spreadsheetml/2009/9/main" objectType="CheckBox" fmlaLink="$I$27" lockText="1" noThreeD="1"/>
</file>

<file path=xl/ctrlProps/ctrlProp5.xml><?xml version="1.0" encoding="utf-8"?>
<formControlPr xmlns="http://schemas.microsoft.com/office/spreadsheetml/2009/9/main" objectType="CheckBox" fmlaLink="$W$19" lockText="1" noThreeD="1"/>
</file>

<file path=xl/ctrlProps/ctrlProp50.xml><?xml version="1.0" encoding="utf-8"?>
<formControlPr xmlns="http://schemas.microsoft.com/office/spreadsheetml/2009/9/main" objectType="CheckBox" fmlaLink="$W$226" lockText="1" noThreeD="1"/>
</file>

<file path=xl/ctrlProps/ctrlProp500.xml><?xml version="1.0" encoding="utf-8"?>
<formControlPr xmlns="http://schemas.microsoft.com/office/spreadsheetml/2009/9/main" objectType="CheckBox" fmlaLink="$I$38" lockText="1" noThreeD="1"/>
</file>

<file path=xl/ctrlProps/ctrlProp501.xml><?xml version="1.0" encoding="utf-8"?>
<formControlPr xmlns="http://schemas.microsoft.com/office/spreadsheetml/2009/9/main" objectType="CheckBox" fmlaLink="$I$39" lockText="1" noThreeD="1"/>
</file>

<file path=xl/ctrlProps/ctrlProp502.xml><?xml version="1.0" encoding="utf-8"?>
<formControlPr xmlns="http://schemas.microsoft.com/office/spreadsheetml/2009/9/main" objectType="CheckBox" fmlaLink="$I$40" lockText="1" noThreeD="1"/>
</file>

<file path=xl/ctrlProps/ctrlProp503.xml><?xml version="1.0" encoding="utf-8"?>
<formControlPr xmlns="http://schemas.microsoft.com/office/spreadsheetml/2009/9/main" objectType="CheckBox" fmlaLink="$I$41" lockText="1" noThreeD="1"/>
</file>

<file path=xl/ctrlProps/ctrlProp504.xml><?xml version="1.0" encoding="utf-8"?>
<formControlPr xmlns="http://schemas.microsoft.com/office/spreadsheetml/2009/9/main" objectType="CheckBox" fmlaLink="$I$42" lockText="1" noThreeD="1"/>
</file>

<file path=xl/ctrlProps/ctrlProp505.xml><?xml version="1.0" encoding="utf-8"?>
<formControlPr xmlns="http://schemas.microsoft.com/office/spreadsheetml/2009/9/main" objectType="CheckBox" fmlaLink="$I$44" lockText="1" noThreeD="1"/>
</file>

<file path=xl/ctrlProps/ctrlProp506.xml><?xml version="1.0" encoding="utf-8"?>
<formControlPr xmlns="http://schemas.microsoft.com/office/spreadsheetml/2009/9/main" objectType="CheckBox" fmlaLink="$I$45" lockText="1" noThreeD="1"/>
</file>

<file path=xl/ctrlProps/ctrlProp507.xml><?xml version="1.0" encoding="utf-8"?>
<formControlPr xmlns="http://schemas.microsoft.com/office/spreadsheetml/2009/9/main" objectType="CheckBox" fmlaLink="$I$46" lockText="1" noThreeD="1"/>
</file>

<file path=xl/ctrlProps/ctrlProp508.xml><?xml version="1.0" encoding="utf-8"?>
<formControlPr xmlns="http://schemas.microsoft.com/office/spreadsheetml/2009/9/main" objectType="CheckBox" fmlaLink="$I$47" lockText="1" noThreeD="1"/>
</file>

<file path=xl/ctrlProps/ctrlProp509.xml><?xml version="1.0" encoding="utf-8"?>
<formControlPr xmlns="http://schemas.microsoft.com/office/spreadsheetml/2009/9/main" objectType="CheckBox" fmlaLink="$I$20" lockText="1" noThreeD="1"/>
</file>

<file path=xl/ctrlProps/ctrlProp51.xml><?xml version="1.0" encoding="utf-8"?>
<formControlPr xmlns="http://schemas.microsoft.com/office/spreadsheetml/2009/9/main" objectType="CheckBox" fmlaLink="$W$227" lockText="1" noThreeD="1"/>
</file>

<file path=xl/ctrlProps/ctrlProp510.xml><?xml version="1.0" encoding="utf-8"?>
<formControlPr xmlns="http://schemas.microsoft.com/office/spreadsheetml/2009/9/main" objectType="CheckBox" fmlaLink="$I$28" lockText="1" noThreeD="1"/>
</file>

<file path=xl/ctrlProps/ctrlProp511.xml><?xml version="1.0" encoding="utf-8"?>
<formControlPr xmlns="http://schemas.microsoft.com/office/spreadsheetml/2009/9/main" objectType="CheckBox" fmlaLink="$W$14" lockText="1" noThreeD="1"/>
</file>

<file path=xl/ctrlProps/ctrlProp512.xml><?xml version="1.0" encoding="utf-8"?>
<formControlPr xmlns="http://schemas.microsoft.com/office/spreadsheetml/2009/9/main" objectType="CheckBox" fmlaLink="$W$16" lockText="1" noThreeD="1"/>
</file>

<file path=xl/ctrlProps/ctrlProp513.xml><?xml version="1.0" encoding="utf-8"?>
<formControlPr xmlns="http://schemas.microsoft.com/office/spreadsheetml/2009/9/main" objectType="CheckBox" fmlaLink="$W$17" lockText="1" noThreeD="1"/>
</file>

<file path=xl/ctrlProps/ctrlProp514.xml><?xml version="1.0" encoding="utf-8"?>
<formControlPr xmlns="http://schemas.microsoft.com/office/spreadsheetml/2009/9/main" objectType="CheckBox" fmlaLink="$W$18" lockText="1" noThreeD="1"/>
</file>

<file path=xl/ctrlProps/ctrlProp515.xml><?xml version="1.0" encoding="utf-8"?>
<formControlPr xmlns="http://schemas.microsoft.com/office/spreadsheetml/2009/9/main" objectType="CheckBox" fmlaLink="$W$21" lockText="1" noThreeD="1"/>
</file>

<file path=xl/ctrlProps/ctrlProp516.xml><?xml version="1.0" encoding="utf-8"?>
<formControlPr xmlns="http://schemas.microsoft.com/office/spreadsheetml/2009/9/main" objectType="CheckBox" fmlaLink="$W$23" lockText="1" noThreeD="1"/>
</file>

<file path=xl/ctrlProps/ctrlProp517.xml><?xml version="1.0" encoding="utf-8"?>
<formControlPr xmlns="http://schemas.microsoft.com/office/spreadsheetml/2009/9/main" objectType="CheckBox" fmlaLink="$W$25" lockText="1" noThreeD="1"/>
</file>

<file path=xl/ctrlProps/ctrlProp518.xml><?xml version="1.0" encoding="utf-8"?>
<formControlPr xmlns="http://schemas.microsoft.com/office/spreadsheetml/2009/9/main" objectType="CheckBox" fmlaLink="$W$27" lockText="1" noThreeD="1"/>
</file>

<file path=xl/ctrlProps/ctrlProp519.xml><?xml version="1.0" encoding="utf-8"?>
<formControlPr xmlns="http://schemas.microsoft.com/office/spreadsheetml/2009/9/main" objectType="CheckBox" fmlaLink="$W$42" lockText="1" noThreeD="1"/>
</file>

<file path=xl/ctrlProps/ctrlProp52.xml><?xml version="1.0" encoding="utf-8"?>
<formControlPr xmlns="http://schemas.microsoft.com/office/spreadsheetml/2009/9/main" objectType="CheckBox" fmlaLink="$W$229" lockText="1" noThreeD="1"/>
</file>

<file path=xl/ctrlProps/ctrlProp520.xml><?xml version="1.0" encoding="utf-8"?>
<formControlPr xmlns="http://schemas.microsoft.com/office/spreadsheetml/2009/9/main" objectType="CheckBox" fmlaLink="$W$58" lockText="1" noThreeD="1"/>
</file>

<file path=xl/ctrlProps/ctrlProp521.xml><?xml version="1.0" encoding="utf-8"?>
<formControlPr xmlns="http://schemas.microsoft.com/office/spreadsheetml/2009/9/main" objectType="CheckBox" fmlaLink="$W$69" lockText="1" noThreeD="1"/>
</file>

<file path=xl/ctrlProps/ctrlProp522.xml><?xml version="1.0" encoding="utf-8"?>
<formControlPr xmlns="http://schemas.microsoft.com/office/spreadsheetml/2009/9/main" objectType="CheckBox" fmlaLink="$W$71" lockText="1" noThreeD="1"/>
</file>

<file path=xl/ctrlProps/ctrlProp523.xml><?xml version="1.0" encoding="utf-8"?>
<formControlPr xmlns="http://schemas.microsoft.com/office/spreadsheetml/2009/9/main" objectType="CheckBox" fmlaLink="$W$73" lockText="1" noThreeD="1"/>
</file>

<file path=xl/ctrlProps/ctrlProp524.xml><?xml version="1.0" encoding="utf-8"?>
<formControlPr xmlns="http://schemas.microsoft.com/office/spreadsheetml/2009/9/main" objectType="CheckBox" fmlaLink="$W$75" lockText="1" noThreeD="1"/>
</file>

<file path=xl/ctrlProps/ctrlProp525.xml><?xml version="1.0" encoding="utf-8"?>
<formControlPr xmlns="http://schemas.microsoft.com/office/spreadsheetml/2009/9/main" objectType="CheckBox" fmlaLink="$W$77" lockText="1" noThreeD="1"/>
</file>

<file path=xl/ctrlProps/ctrlProp526.xml><?xml version="1.0" encoding="utf-8"?>
<formControlPr xmlns="http://schemas.microsoft.com/office/spreadsheetml/2009/9/main" objectType="CheckBox" fmlaLink="$W$79" lockText="1" noThreeD="1"/>
</file>

<file path=xl/ctrlProps/ctrlProp527.xml><?xml version="1.0" encoding="utf-8"?>
<formControlPr xmlns="http://schemas.microsoft.com/office/spreadsheetml/2009/9/main" objectType="CheckBox" fmlaLink="$W$81" lockText="1" noThreeD="1"/>
</file>

<file path=xl/ctrlProps/ctrlProp528.xml><?xml version="1.0" encoding="utf-8"?>
<formControlPr xmlns="http://schemas.microsoft.com/office/spreadsheetml/2009/9/main" objectType="CheckBox" fmlaLink="$W$90" lockText="1" noThreeD="1"/>
</file>

<file path=xl/ctrlProps/ctrlProp529.xml><?xml version="1.0" encoding="utf-8"?>
<formControlPr xmlns="http://schemas.microsoft.com/office/spreadsheetml/2009/9/main" objectType="CheckBox" fmlaLink="$W$91" lockText="1" noThreeD="1"/>
</file>

<file path=xl/ctrlProps/ctrlProp53.xml><?xml version="1.0" encoding="utf-8"?>
<formControlPr xmlns="http://schemas.microsoft.com/office/spreadsheetml/2009/9/main" objectType="CheckBox" fmlaLink="$W$231" lockText="1" noThreeD="1"/>
</file>

<file path=xl/ctrlProps/ctrlProp530.xml><?xml version="1.0" encoding="utf-8"?>
<formControlPr xmlns="http://schemas.microsoft.com/office/spreadsheetml/2009/9/main" objectType="CheckBox" fmlaLink="$W$98" lockText="1" noThreeD="1"/>
</file>

<file path=xl/ctrlProps/ctrlProp531.xml><?xml version="1.0" encoding="utf-8"?>
<formControlPr xmlns="http://schemas.microsoft.com/office/spreadsheetml/2009/9/main" objectType="CheckBox" fmlaLink="$W$100" lockText="1" noThreeD="1"/>
</file>

<file path=xl/ctrlProps/ctrlProp532.xml><?xml version="1.0" encoding="utf-8"?>
<formControlPr xmlns="http://schemas.microsoft.com/office/spreadsheetml/2009/9/main" objectType="CheckBox" fmlaLink="$W$104" lockText="1" noThreeD="1"/>
</file>

<file path=xl/ctrlProps/ctrlProp533.xml><?xml version="1.0" encoding="utf-8"?>
<formControlPr xmlns="http://schemas.microsoft.com/office/spreadsheetml/2009/9/main" objectType="CheckBox" fmlaLink="$W$108" lockText="1" noThreeD="1"/>
</file>

<file path=xl/ctrlProps/ctrlProp534.xml><?xml version="1.0" encoding="utf-8"?>
<formControlPr xmlns="http://schemas.microsoft.com/office/spreadsheetml/2009/9/main" objectType="CheckBox" fmlaLink="$W$109" lockText="1" noThreeD="1"/>
</file>

<file path=xl/ctrlProps/ctrlProp535.xml><?xml version="1.0" encoding="utf-8"?>
<formControlPr xmlns="http://schemas.microsoft.com/office/spreadsheetml/2009/9/main" objectType="CheckBox" fmlaLink="$W$111" lockText="1" noThreeD="1"/>
</file>

<file path=xl/ctrlProps/ctrlProp536.xml><?xml version="1.0" encoding="utf-8"?>
<formControlPr xmlns="http://schemas.microsoft.com/office/spreadsheetml/2009/9/main" objectType="CheckBox" fmlaLink="$W$112" lockText="1" noThreeD="1"/>
</file>

<file path=xl/ctrlProps/ctrlProp537.xml><?xml version="1.0" encoding="utf-8"?>
<formControlPr xmlns="http://schemas.microsoft.com/office/spreadsheetml/2009/9/main" objectType="CheckBox" fmlaLink="$W$113" lockText="1" noThreeD="1"/>
</file>

<file path=xl/ctrlProps/ctrlProp538.xml><?xml version="1.0" encoding="utf-8"?>
<formControlPr xmlns="http://schemas.microsoft.com/office/spreadsheetml/2009/9/main" objectType="CheckBox" fmlaLink="$W$121" lockText="1" noThreeD="1"/>
</file>

<file path=xl/ctrlProps/ctrlProp539.xml><?xml version="1.0" encoding="utf-8"?>
<formControlPr xmlns="http://schemas.microsoft.com/office/spreadsheetml/2009/9/main" objectType="CheckBox" fmlaLink="$W$124" lockText="1" noThreeD="1"/>
</file>

<file path=xl/ctrlProps/ctrlProp54.xml><?xml version="1.0" encoding="utf-8"?>
<formControlPr xmlns="http://schemas.microsoft.com/office/spreadsheetml/2009/9/main" objectType="CheckBox" fmlaLink="$W$235" lockText="1" noThreeD="1"/>
</file>

<file path=xl/ctrlProps/ctrlProp540.xml><?xml version="1.0" encoding="utf-8"?>
<formControlPr xmlns="http://schemas.microsoft.com/office/spreadsheetml/2009/9/main" objectType="CheckBox" fmlaLink="$W$155" lockText="1" noThreeD="1"/>
</file>

<file path=xl/ctrlProps/ctrlProp541.xml><?xml version="1.0" encoding="utf-8"?>
<formControlPr xmlns="http://schemas.microsoft.com/office/spreadsheetml/2009/9/main" objectType="CheckBox" fmlaLink="$W$157" lockText="1" noThreeD="1"/>
</file>

<file path=xl/ctrlProps/ctrlProp542.xml><?xml version="1.0" encoding="utf-8"?>
<formControlPr xmlns="http://schemas.microsoft.com/office/spreadsheetml/2009/9/main" objectType="CheckBox" fmlaLink="$W$160" lockText="1" noThreeD="1"/>
</file>

<file path=xl/ctrlProps/ctrlProp543.xml><?xml version="1.0" encoding="utf-8"?>
<formControlPr xmlns="http://schemas.microsoft.com/office/spreadsheetml/2009/9/main" objectType="CheckBox" fmlaLink="$W$170" lockText="1" noThreeD="1"/>
</file>

<file path=xl/ctrlProps/ctrlProp544.xml><?xml version="1.0" encoding="utf-8"?>
<formControlPr xmlns="http://schemas.microsoft.com/office/spreadsheetml/2009/9/main" objectType="CheckBox" fmlaLink="$W$171" lockText="1" noThreeD="1"/>
</file>

<file path=xl/ctrlProps/ctrlProp545.xml><?xml version="1.0" encoding="utf-8"?>
<formControlPr xmlns="http://schemas.microsoft.com/office/spreadsheetml/2009/9/main" objectType="CheckBox" fmlaLink="$W$176" lockText="1" noThreeD="1"/>
</file>

<file path=xl/ctrlProps/ctrlProp546.xml><?xml version="1.0" encoding="utf-8"?>
<formControlPr xmlns="http://schemas.microsoft.com/office/spreadsheetml/2009/9/main" objectType="CheckBox" fmlaLink="$W$178" lockText="1" noThreeD="1"/>
</file>

<file path=xl/ctrlProps/ctrlProp547.xml><?xml version="1.0" encoding="utf-8"?>
<formControlPr xmlns="http://schemas.microsoft.com/office/spreadsheetml/2009/9/main" objectType="CheckBox" fmlaLink="$W$181" lockText="1" noThreeD="1"/>
</file>

<file path=xl/ctrlProps/ctrlProp548.xml><?xml version="1.0" encoding="utf-8"?>
<formControlPr xmlns="http://schemas.microsoft.com/office/spreadsheetml/2009/9/main" objectType="CheckBox" fmlaLink="$W$183" lockText="1" noThreeD="1"/>
</file>

<file path=xl/ctrlProps/ctrlProp549.xml><?xml version="1.0" encoding="utf-8"?>
<formControlPr xmlns="http://schemas.microsoft.com/office/spreadsheetml/2009/9/main" objectType="CheckBox" fmlaLink="$W$185" lockText="1" noThreeD="1"/>
</file>

<file path=xl/ctrlProps/ctrlProp55.xml><?xml version="1.0" encoding="utf-8"?>
<formControlPr xmlns="http://schemas.microsoft.com/office/spreadsheetml/2009/9/main" objectType="CheckBox" fmlaLink="$W$238" lockText="1" noThreeD="1"/>
</file>

<file path=xl/ctrlProps/ctrlProp550.xml><?xml version="1.0" encoding="utf-8"?>
<formControlPr xmlns="http://schemas.microsoft.com/office/spreadsheetml/2009/9/main" objectType="CheckBox" fmlaLink="$W$189" lockText="1" noThreeD="1"/>
</file>

<file path=xl/ctrlProps/ctrlProp551.xml><?xml version="1.0" encoding="utf-8"?>
<formControlPr xmlns="http://schemas.microsoft.com/office/spreadsheetml/2009/9/main" objectType="CheckBox" fmlaLink="$W$190" lockText="1" noThreeD="1"/>
</file>

<file path=xl/ctrlProps/ctrlProp552.xml><?xml version="1.0" encoding="utf-8"?>
<formControlPr xmlns="http://schemas.microsoft.com/office/spreadsheetml/2009/9/main" objectType="CheckBox" fmlaLink="$W$191" lockText="1" noThreeD="1"/>
</file>

<file path=xl/ctrlProps/ctrlProp553.xml><?xml version="1.0" encoding="utf-8"?>
<formControlPr xmlns="http://schemas.microsoft.com/office/spreadsheetml/2009/9/main" objectType="CheckBox" fmlaLink="$W$193" lockText="1" noThreeD="1"/>
</file>

<file path=xl/ctrlProps/ctrlProp554.xml><?xml version="1.0" encoding="utf-8"?>
<formControlPr xmlns="http://schemas.microsoft.com/office/spreadsheetml/2009/9/main" objectType="CheckBox" fmlaLink="$W$208" lockText="1" noThreeD="1"/>
</file>

<file path=xl/ctrlProps/ctrlProp555.xml><?xml version="1.0" encoding="utf-8"?>
<formControlPr xmlns="http://schemas.microsoft.com/office/spreadsheetml/2009/9/main" objectType="CheckBox" fmlaLink="$W$215" lockText="1" noThreeD="1"/>
</file>

<file path=xl/ctrlProps/ctrlProp556.xml><?xml version="1.0" encoding="utf-8"?>
<formControlPr xmlns="http://schemas.microsoft.com/office/spreadsheetml/2009/9/main" objectType="CheckBox" fmlaLink="$W$216" lockText="1" noThreeD="1"/>
</file>

<file path=xl/ctrlProps/ctrlProp557.xml><?xml version="1.0" encoding="utf-8"?>
<formControlPr xmlns="http://schemas.microsoft.com/office/spreadsheetml/2009/9/main" objectType="CheckBox" fmlaLink="$W$218" lockText="1" noThreeD="1"/>
</file>

<file path=xl/ctrlProps/ctrlProp558.xml><?xml version="1.0" encoding="utf-8"?>
<formControlPr xmlns="http://schemas.microsoft.com/office/spreadsheetml/2009/9/main" objectType="CheckBox" fmlaLink="$W$223" lockText="1" noThreeD="1"/>
</file>

<file path=xl/ctrlProps/ctrlProp559.xml><?xml version="1.0" encoding="utf-8"?>
<formControlPr xmlns="http://schemas.microsoft.com/office/spreadsheetml/2009/9/main" objectType="CheckBox" fmlaLink="$W$225" lockText="1" noThreeD="1"/>
</file>

<file path=xl/ctrlProps/ctrlProp56.xml><?xml version="1.0" encoding="utf-8"?>
<formControlPr xmlns="http://schemas.microsoft.com/office/spreadsheetml/2009/9/main" objectType="CheckBox" fmlaLink="$W$240" lockText="1" noThreeD="1"/>
</file>

<file path=xl/ctrlProps/ctrlProp560.xml><?xml version="1.0" encoding="utf-8"?>
<formControlPr xmlns="http://schemas.microsoft.com/office/spreadsheetml/2009/9/main" objectType="CheckBox" fmlaLink="$W$226" lockText="1" noThreeD="1"/>
</file>

<file path=xl/ctrlProps/ctrlProp561.xml><?xml version="1.0" encoding="utf-8"?>
<formControlPr xmlns="http://schemas.microsoft.com/office/spreadsheetml/2009/9/main" objectType="CheckBox" fmlaLink="$W$228" lockText="1" noThreeD="1"/>
</file>

<file path=xl/ctrlProps/ctrlProp562.xml><?xml version="1.0" encoding="utf-8"?>
<formControlPr xmlns="http://schemas.microsoft.com/office/spreadsheetml/2009/9/main" objectType="CheckBox" fmlaLink="$W$230" lockText="1" noThreeD="1"/>
</file>

<file path=xl/ctrlProps/ctrlProp563.xml><?xml version="1.0" encoding="utf-8"?>
<formControlPr xmlns="http://schemas.microsoft.com/office/spreadsheetml/2009/9/main" objectType="CheckBox" fmlaLink="$W$234" lockText="1" noThreeD="1"/>
</file>

<file path=xl/ctrlProps/ctrlProp564.xml><?xml version="1.0" encoding="utf-8"?>
<formControlPr xmlns="http://schemas.microsoft.com/office/spreadsheetml/2009/9/main" objectType="CheckBox" fmlaLink="$W$237" lockText="1" noThreeD="1"/>
</file>

<file path=xl/ctrlProps/ctrlProp565.xml><?xml version="1.0" encoding="utf-8"?>
<formControlPr xmlns="http://schemas.microsoft.com/office/spreadsheetml/2009/9/main" objectType="CheckBox" fmlaLink="$W$239" lockText="1" noThreeD="1"/>
</file>

<file path=xl/ctrlProps/ctrlProp566.xml><?xml version="1.0" encoding="utf-8"?>
<formControlPr xmlns="http://schemas.microsoft.com/office/spreadsheetml/2009/9/main" objectType="CheckBox" fmlaLink="$W$240" lockText="1" noThreeD="1"/>
</file>

<file path=xl/ctrlProps/ctrlProp567.xml><?xml version="1.0" encoding="utf-8"?>
<formControlPr xmlns="http://schemas.microsoft.com/office/spreadsheetml/2009/9/main" objectType="CheckBox" fmlaLink="$W$241" lockText="1" noThreeD="1"/>
</file>

<file path=xl/ctrlProps/ctrlProp568.xml><?xml version="1.0" encoding="utf-8"?>
<formControlPr xmlns="http://schemas.microsoft.com/office/spreadsheetml/2009/9/main" objectType="CheckBox" fmlaLink="$W$242" lockText="1" noThreeD="1"/>
</file>

<file path=xl/ctrlProps/ctrlProp569.xml><?xml version="1.0" encoding="utf-8"?>
<formControlPr xmlns="http://schemas.microsoft.com/office/spreadsheetml/2009/9/main" objectType="CheckBox" fmlaLink="$W$243" lockText="1" noThreeD="1"/>
</file>

<file path=xl/ctrlProps/ctrlProp57.xml><?xml version="1.0" encoding="utf-8"?>
<formControlPr xmlns="http://schemas.microsoft.com/office/spreadsheetml/2009/9/main" objectType="CheckBox" fmlaLink="$W$241" lockText="1" noThreeD="1"/>
</file>

<file path=xl/ctrlProps/ctrlProp570.xml><?xml version="1.0" encoding="utf-8"?>
<formControlPr xmlns="http://schemas.microsoft.com/office/spreadsheetml/2009/9/main" objectType="CheckBox" fmlaLink="$W$244" lockText="1" noThreeD="1"/>
</file>

<file path=xl/ctrlProps/ctrlProp571.xml><?xml version="1.0" encoding="utf-8"?>
<formControlPr xmlns="http://schemas.microsoft.com/office/spreadsheetml/2009/9/main" objectType="CheckBox" fmlaLink="$W$246" lockText="1" noThreeD="1"/>
</file>

<file path=xl/ctrlProps/ctrlProp572.xml><?xml version="1.0" encoding="utf-8"?>
<formControlPr xmlns="http://schemas.microsoft.com/office/spreadsheetml/2009/9/main" objectType="CheckBox" fmlaLink="$W$253" lockText="1" noThreeD="1"/>
</file>

<file path=xl/ctrlProps/ctrlProp573.xml><?xml version="1.0" encoding="utf-8"?>
<formControlPr xmlns="http://schemas.microsoft.com/office/spreadsheetml/2009/9/main" objectType="CheckBox" fmlaLink="$W$255" lockText="1" noThreeD="1"/>
</file>

<file path=xl/ctrlProps/ctrlProp574.xml><?xml version="1.0" encoding="utf-8"?>
<formControlPr xmlns="http://schemas.microsoft.com/office/spreadsheetml/2009/9/main" objectType="CheckBox" fmlaLink="$W$264" lockText="1" noThreeD="1"/>
</file>

<file path=xl/ctrlProps/ctrlProp575.xml><?xml version="1.0" encoding="utf-8"?>
<formControlPr xmlns="http://schemas.microsoft.com/office/spreadsheetml/2009/9/main" objectType="CheckBox" fmlaLink="$W$267" lockText="1" noThreeD="1"/>
</file>

<file path=xl/ctrlProps/ctrlProp576.xml><?xml version="1.0" encoding="utf-8"?>
<formControlPr xmlns="http://schemas.microsoft.com/office/spreadsheetml/2009/9/main" objectType="CheckBox" fmlaLink="$W$271" lockText="1" noThreeD="1"/>
</file>

<file path=xl/ctrlProps/ctrlProp577.xml><?xml version="1.0" encoding="utf-8"?>
<formControlPr xmlns="http://schemas.microsoft.com/office/spreadsheetml/2009/9/main" objectType="CheckBox" fmlaLink="$W$272" lockText="1" noThreeD="1"/>
</file>

<file path=xl/ctrlProps/ctrlProp578.xml><?xml version="1.0" encoding="utf-8"?>
<formControlPr xmlns="http://schemas.microsoft.com/office/spreadsheetml/2009/9/main" objectType="CheckBox" fmlaLink="$W$282" lockText="1" noThreeD="1"/>
</file>

<file path=xl/ctrlProps/ctrlProp579.xml><?xml version="1.0" encoding="utf-8"?>
<formControlPr xmlns="http://schemas.microsoft.com/office/spreadsheetml/2009/9/main" objectType="CheckBox" fmlaLink="$W$349" lockText="1" noThreeD="1"/>
</file>

<file path=xl/ctrlProps/ctrlProp58.xml><?xml version="1.0" encoding="utf-8"?>
<formControlPr xmlns="http://schemas.microsoft.com/office/spreadsheetml/2009/9/main" objectType="CheckBox" fmlaLink="$W$242" lockText="1" noThreeD="1"/>
</file>

<file path=xl/ctrlProps/ctrlProp580.xml><?xml version="1.0" encoding="utf-8"?>
<formControlPr xmlns="http://schemas.microsoft.com/office/spreadsheetml/2009/9/main" objectType="CheckBox" fmlaLink="$W$352" lockText="1" noThreeD="1"/>
</file>

<file path=xl/ctrlProps/ctrlProp581.xml><?xml version="1.0" encoding="utf-8"?>
<formControlPr xmlns="http://schemas.microsoft.com/office/spreadsheetml/2009/9/main" objectType="CheckBox" fmlaLink="$W$355" lockText="1" noThreeD="1"/>
</file>

<file path=xl/ctrlProps/ctrlProp582.xml><?xml version="1.0" encoding="utf-8"?>
<formControlPr xmlns="http://schemas.microsoft.com/office/spreadsheetml/2009/9/main" objectType="CheckBox" fmlaLink="$W$359" lockText="1" noThreeD="1"/>
</file>

<file path=xl/ctrlProps/ctrlProp583.xml><?xml version="1.0" encoding="utf-8"?>
<formControlPr xmlns="http://schemas.microsoft.com/office/spreadsheetml/2009/9/main" objectType="CheckBox" fmlaLink="$W$360" lockText="1" noThreeD="1"/>
</file>

<file path=xl/ctrlProps/ctrlProp584.xml><?xml version="1.0" encoding="utf-8"?>
<formControlPr xmlns="http://schemas.microsoft.com/office/spreadsheetml/2009/9/main" objectType="CheckBox" fmlaLink="$W$361" lockText="1" noThreeD="1"/>
</file>

<file path=xl/ctrlProps/ctrlProp585.xml><?xml version="1.0" encoding="utf-8"?>
<formControlPr xmlns="http://schemas.microsoft.com/office/spreadsheetml/2009/9/main" objectType="CheckBox" fmlaLink="$W$362" lockText="1" noThreeD="1"/>
</file>

<file path=xl/ctrlProps/ctrlProp586.xml><?xml version="1.0" encoding="utf-8"?>
<formControlPr xmlns="http://schemas.microsoft.com/office/spreadsheetml/2009/9/main" objectType="CheckBox" fmlaLink="$W$363" lockText="1" noThreeD="1"/>
</file>

<file path=xl/ctrlProps/ctrlProp587.xml><?xml version="1.0" encoding="utf-8"?>
<formControlPr xmlns="http://schemas.microsoft.com/office/spreadsheetml/2009/9/main" objectType="CheckBox" fmlaLink="$W$364" lockText="1" noThreeD="1"/>
</file>

<file path=xl/ctrlProps/ctrlProp588.xml><?xml version="1.0" encoding="utf-8"?>
<formControlPr xmlns="http://schemas.microsoft.com/office/spreadsheetml/2009/9/main" objectType="CheckBox" fmlaLink="$W$370" lockText="1" noThreeD="1"/>
</file>

<file path=xl/ctrlProps/ctrlProp589.xml><?xml version="1.0" encoding="utf-8"?>
<formControlPr xmlns="http://schemas.microsoft.com/office/spreadsheetml/2009/9/main" objectType="CheckBox" fmlaLink="$W$371" lockText="1" noThreeD="1"/>
</file>

<file path=xl/ctrlProps/ctrlProp59.xml><?xml version="1.0" encoding="utf-8"?>
<formControlPr xmlns="http://schemas.microsoft.com/office/spreadsheetml/2009/9/main" objectType="CheckBox" fmlaLink="$W$243" lockText="1" noThreeD="1"/>
</file>

<file path=xl/ctrlProps/ctrlProp590.xml><?xml version="1.0" encoding="utf-8"?>
<formControlPr xmlns="http://schemas.microsoft.com/office/spreadsheetml/2009/9/main" objectType="CheckBox" fmlaLink="$W$372" lockText="1" noThreeD="1"/>
</file>

<file path=xl/ctrlProps/ctrlProp591.xml><?xml version="1.0" encoding="utf-8"?>
<formControlPr xmlns="http://schemas.microsoft.com/office/spreadsheetml/2009/9/main" objectType="CheckBox" fmlaLink="$W$373" lockText="1" noThreeD="1"/>
</file>

<file path=xl/ctrlProps/ctrlProp592.xml><?xml version="1.0" encoding="utf-8"?>
<formControlPr xmlns="http://schemas.microsoft.com/office/spreadsheetml/2009/9/main" objectType="CheckBox" fmlaLink="$W$374" lockText="1" noThreeD="1"/>
</file>

<file path=xl/ctrlProps/ctrlProp593.xml><?xml version="1.0" encoding="utf-8"?>
<formControlPr xmlns="http://schemas.microsoft.com/office/spreadsheetml/2009/9/main" objectType="CheckBox" fmlaLink="$W$398" lockText="1" noThreeD="1"/>
</file>

<file path=xl/ctrlProps/ctrlProp594.xml><?xml version="1.0" encoding="utf-8"?>
<formControlPr xmlns="http://schemas.microsoft.com/office/spreadsheetml/2009/9/main" objectType="CheckBox" fmlaLink="$W$414" lockText="1" noThreeD="1"/>
</file>

<file path=xl/ctrlProps/ctrlProp595.xml><?xml version="1.0" encoding="utf-8"?>
<formControlPr xmlns="http://schemas.microsoft.com/office/spreadsheetml/2009/9/main" objectType="CheckBox" fmlaLink="$W$418" lockText="1" noThreeD="1"/>
</file>

<file path=xl/ctrlProps/ctrlProp596.xml><?xml version="1.0" encoding="utf-8"?>
<formControlPr xmlns="http://schemas.microsoft.com/office/spreadsheetml/2009/9/main" objectType="CheckBox" fmlaLink="$W$419" lockText="1" noThreeD="1"/>
</file>

<file path=xl/ctrlProps/ctrlProp597.xml><?xml version="1.0" encoding="utf-8"?>
<formControlPr xmlns="http://schemas.microsoft.com/office/spreadsheetml/2009/9/main" objectType="CheckBox" fmlaLink="$W$421" lockText="1" noThreeD="1"/>
</file>

<file path=xl/ctrlProps/ctrlProp598.xml><?xml version="1.0" encoding="utf-8"?>
<formControlPr xmlns="http://schemas.microsoft.com/office/spreadsheetml/2009/9/main" objectType="CheckBox" fmlaLink="$W$423" lockText="1" noThreeD="1"/>
</file>

<file path=xl/ctrlProps/ctrlProp599.xml><?xml version="1.0" encoding="utf-8"?>
<formControlPr xmlns="http://schemas.microsoft.com/office/spreadsheetml/2009/9/main" objectType="CheckBox" fmlaLink="$W$429" lockText="1" noThreeD="1"/>
</file>

<file path=xl/ctrlProps/ctrlProp6.xml><?xml version="1.0" encoding="utf-8"?>
<formControlPr xmlns="http://schemas.microsoft.com/office/spreadsheetml/2009/9/main" objectType="CheckBox" fmlaLink="$W$22" lockText="1" noThreeD="1"/>
</file>

<file path=xl/ctrlProps/ctrlProp60.xml><?xml version="1.0" encoding="utf-8"?>
<formControlPr xmlns="http://schemas.microsoft.com/office/spreadsheetml/2009/9/main" objectType="CheckBox" fmlaLink="$W$244" lockText="1" noThreeD="1"/>
</file>

<file path=xl/ctrlProps/ctrlProp600.xml><?xml version="1.0" encoding="utf-8"?>
<formControlPr xmlns="http://schemas.microsoft.com/office/spreadsheetml/2009/9/main" objectType="CheckBox" fmlaLink="$W$435" lockText="1" noThreeD="1"/>
</file>

<file path=xl/ctrlProps/ctrlProp601.xml><?xml version="1.0" encoding="utf-8"?>
<formControlPr xmlns="http://schemas.microsoft.com/office/spreadsheetml/2009/9/main" objectType="CheckBox" fmlaLink="$W$441" lockText="1" noThreeD="1"/>
</file>

<file path=xl/ctrlProps/ctrlProp602.xml><?xml version="1.0" encoding="utf-8"?>
<formControlPr xmlns="http://schemas.microsoft.com/office/spreadsheetml/2009/9/main" objectType="CheckBox" fmlaLink="$W$443" lockText="1" noThreeD="1"/>
</file>

<file path=xl/ctrlProps/ctrlProp603.xml><?xml version="1.0" encoding="utf-8"?>
<formControlPr xmlns="http://schemas.microsoft.com/office/spreadsheetml/2009/9/main" objectType="CheckBox" fmlaLink="$W$449" lockText="1" noThreeD="1"/>
</file>

<file path=xl/ctrlProps/ctrlProp604.xml><?xml version="1.0" encoding="utf-8"?>
<formControlPr xmlns="http://schemas.microsoft.com/office/spreadsheetml/2009/9/main" objectType="CheckBox" fmlaLink="$W$453" lockText="1" noThreeD="1"/>
</file>

<file path=xl/ctrlProps/ctrlProp605.xml><?xml version="1.0" encoding="utf-8"?>
<formControlPr xmlns="http://schemas.microsoft.com/office/spreadsheetml/2009/9/main" objectType="CheckBox" fmlaLink="$W$457" lockText="1" noThreeD="1"/>
</file>

<file path=xl/ctrlProps/ctrlProp606.xml><?xml version="1.0" encoding="utf-8"?>
<formControlPr xmlns="http://schemas.microsoft.com/office/spreadsheetml/2009/9/main" objectType="CheckBox" fmlaLink="$W$462" lockText="1" noThreeD="1"/>
</file>

<file path=xl/ctrlProps/ctrlProp607.xml><?xml version="1.0" encoding="utf-8"?>
<formControlPr xmlns="http://schemas.microsoft.com/office/spreadsheetml/2009/9/main" objectType="CheckBox" fmlaLink="$W$467" lockText="1" noThreeD="1"/>
</file>

<file path=xl/ctrlProps/ctrlProp608.xml><?xml version="1.0" encoding="utf-8"?>
<formControlPr xmlns="http://schemas.microsoft.com/office/spreadsheetml/2009/9/main" objectType="CheckBox" fmlaLink="$W$469" lockText="1" noThreeD="1"/>
</file>

<file path=xl/ctrlProps/ctrlProp609.xml><?xml version="1.0" encoding="utf-8"?>
<formControlPr xmlns="http://schemas.microsoft.com/office/spreadsheetml/2009/9/main" objectType="CheckBox" fmlaLink="$W$471" lockText="1" noThreeD="1"/>
</file>

<file path=xl/ctrlProps/ctrlProp61.xml><?xml version="1.0" encoding="utf-8"?>
<formControlPr xmlns="http://schemas.microsoft.com/office/spreadsheetml/2009/9/main" objectType="CheckBox" fmlaLink="$W$245" lockText="1" noThreeD="1"/>
</file>

<file path=xl/ctrlProps/ctrlProp610.xml><?xml version="1.0" encoding="utf-8"?>
<formControlPr xmlns="http://schemas.microsoft.com/office/spreadsheetml/2009/9/main" objectType="CheckBox" fmlaLink="$W$483" lockText="1" noThreeD="1"/>
</file>

<file path=xl/ctrlProps/ctrlProp611.xml><?xml version="1.0" encoding="utf-8"?>
<formControlPr xmlns="http://schemas.microsoft.com/office/spreadsheetml/2009/9/main" objectType="CheckBox" fmlaLink="$W$493" lockText="1" noThreeD="1"/>
</file>

<file path=xl/ctrlProps/ctrlProp612.xml><?xml version="1.0" encoding="utf-8"?>
<formControlPr xmlns="http://schemas.microsoft.com/office/spreadsheetml/2009/9/main" objectType="CheckBox" fmlaLink="$W$496" lockText="1" noThreeD="1"/>
</file>

<file path=xl/ctrlProps/ctrlProp613.xml><?xml version="1.0" encoding="utf-8"?>
<formControlPr xmlns="http://schemas.microsoft.com/office/spreadsheetml/2009/9/main" objectType="CheckBox" fmlaLink="$W$497" lockText="1" noThreeD="1"/>
</file>

<file path=xl/ctrlProps/ctrlProp614.xml><?xml version="1.0" encoding="utf-8"?>
<formControlPr xmlns="http://schemas.microsoft.com/office/spreadsheetml/2009/9/main" objectType="CheckBox" fmlaLink="$W$507" lockText="1" noThreeD="1"/>
</file>

<file path=xl/ctrlProps/ctrlProp615.xml><?xml version="1.0" encoding="utf-8"?>
<formControlPr xmlns="http://schemas.microsoft.com/office/spreadsheetml/2009/9/main" objectType="CheckBox" fmlaLink="$W$509" lockText="1" noThreeD="1"/>
</file>

<file path=xl/ctrlProps/ctrlProp616.xml><?xml version="1.0" encoding="utf-8"?>
<formControlPr xmlns="http://schemas.microsoft.com/office/spreadsheetml/2009/9/main" objectType="CheckBox" fmlaLink="$W$525" lockText="1" noThreeD="1"/>
</file>

<file path=xl/ctrlProps/ctrlProp617.xml><?xml version="1.0" encoding="utf-8"?>
<formControlPr xmlns="http://schemas.microsoft.com/office/spreadsheetml/2009/9/main" objectType="CheckBox" fmlaLink="$W$536" lockText="1" noThreeD="1"/>
</file>

<file path=xl/ctrlProps/ctrlProp618.xml><?xml version="1.0" encoding="utf-8"?>
<formControlPr xmlns="http://schemas.microsoft.com/office/spreadsheetml/2009/9/main" objectType="CheckBox" fmlaLink="$W$537" lockText="1" noThreeD="1"/>
</file>

<file path=xl/ctrlProps/ctrlProp619.xml><?xml version="1.0" encoding="utf-8"?>
<formControlPr xmlns="http://schemas.microsoft.com/office/spreadsheetml/2009/9/main" objectType="CheckBox" fmlaLink="$W$545" lockText="1" noThreeD="1"/>
</file>

<file path=xl/ctrlProps/ctrlProp62.xml><?xml version="1.0" encoding="utf-8"?>
<formControlPr xmlns="http://schemas.microsoft.com/office/spreadsheetml/2009/9/main" objectType="CheckBox" fmlaLink="$W$247" lockText="1" noThreeD="1"/>
</file>

<file path=xl/ctrlProps/ctrlProp620.xml><?xml version="1.0" encoding="utf-8"?>
<formControlPr xmlns="http://schemas.microsoft.com/office/spreadsheetml/2009/9/main" objectType="CheckBox" fmlaLink="$W$547" lockText="1" noThreeD="1"/>
</file>

<file path=xl/ctrlProps/ctrlProp621.xml><?xml version="1.0" encoding="utf-8"?>
<formControlPr xmlns="http://schemas.microsoft.com/office/spreadsheetml/2009/9/main" objectType="CheckBox" fmlaLink="$W$548" lockText="1" noThreeD="1"/>
</file>

<file path=xl/ctrlProps/ctrlProp622.xml><?xml version="1.0" encoding="utf-8"?>
<formControlPr xmlns="http://schemas.microsoft.com/office/spreadsheetml/2009/9/main" objectType="CheckBox" fmlaLink="$W$551" lockText="1" noThreeD="1"/>
</file>

<file path=xl/ctrlProps/ctrlProp623.xml><?xml version="1.0" encoding="utf-8"?>
<formControlPr xmlns="http://schemas.microsoft.com/office/spreadsheetml/2009/9/main" objectType="CheckBox" fmlaLink="$W$555" lockText="1" noThreeD="1"/>
</file>

<file path=xl/ctrlProps/ctrlProp624.xml><?xml version="1.0" encoding="utf-8"?>
<formControlPr xmlns="http://schemas.microsoft.com/office/spreadsheetml/2009/9/main" objectType="CheckBox" fmlaLink="$W$560" lockText="1" noThreeD="1"/>
</file>

<file path=xl/ctrlProps/ctrlProp625.xml><?xml version="1.0" encoding="utf-8"?>
<formControlPr xmlns="http://schemas.microsoft.com/office/spreadsheetml/2009/9/main" objectType="CheckBox" fmlaLink="$W$562" lockText="1" noThreeD="1"/>
</file>

<file path=xl/ctrlProps/ctrlProp626.xml><?xml version="1.0" encoding="utf-8"?>
<formControlPr xmlns="http://schemas.microsoft.com/office/spreadsheetml/2009/9/main" objectType="CheckBox" fmlaLink="$W$579" lockText="1" noThreeD="1"/>
</file>

<file path=xl/ctrlProps/ctrlProp627.xml><?xml version="1.0" encoding="utf-8"?>
<formControlPr xmlns="http://schemas.microsoft.com/office/spreadsheetml/2009/9/main" objectType="CheckBox" fmlaLink="$W$596" lockText="1" noThreeD="1"/>
</file>

<file path=xl/ctrlProps/ctrlProp628.xml><?xml version="1.0" encoding="utf-8"?>
<formControlPr xmlns="http://schemas.microsoft.com/office/spreadsheetml/2009/9/main" objectType="CheckBox" fmlaLink="$W$609" lockText="1" noThreeD="1"/>
</file>

<file path=xl/ctrlProps/ctrlProp629.xml><?xml version="1.0" encoding="utf-8"?>
<formControlPr xmlns="http://schemas.microsoft.com/office/spreadsheetml/2009/9/main" objectType="CheckBox" fmlaLink="$W$611" lockText="1" noThreeD="1"/>
</file>

<file path=xl/ctrlProps/ctrlProp63.xml><?xml version="1.0" encoding="utf-8"?>
<formControlPr xmlns="http://schemas.microsoft.com/office/spreadsheetml/2009/9/main" objectType="CheckBox" fmlaLink="$W$254" lockText="1" noThreeD="1"/>
</file>

<file path=xl/ctrlProps/ctrlProp630.xml><?xml version="1.0" encoding="utf-8"?>
<formControlPr xmlns="http://schemas.microsoft.com/office/spreadsheetml/2009/9/main" objectType="CheckBox" fmlaLink="$W$624" lockText="1" noThreeD="1"/>
</file>

<file path=xl/ctrlProps/ctrlProp631.xml><?xml version="1.0" encoding="utf-8"?>
<formControlPr xmlns="http://schemas.microsoft.com/office/spreadsheetml/2009/9/main" objectType="CheckBox" fmlaLink="$W$625" lockText="1" noThreeD="1"/>
</file>

<file path=xl/ctrlProps/ctrlProp632.xml><?xml version="1.0" encoding="utf-8"?>
<formControlPr xmlns="http://schemas.microsoft.com/office/spreadsheetml/2009/9/main" objectType="CheckBox" fmlaLink="$W$626" lockText="1" noThreeD="1"/>
</file>

<file path=xl/ctrlProps/ctrlProp633.xml><?xml version="1.0" encoding="utf-8"?>
<formControlPr xmlns="http://schemas.microsoft.com/office/spreadsheetml/2009/9/main" objectType="CheckBox" fmlaLink="$W$627" lockText="1" noThreeD="1"/>
</file>

<file path=xl/ctrlProps/ctrlProp634.xml><?xml version="1.0" encoding="utf-8"?>
<formControlPr xmlns="http://schemas.microsoft.com/office/spreadsheetml/2009/9/main" objectType="CheckBox" fmlaLink="$W$628" lockText="1" noThreeD="1"/>
</file>

<file path=xl/ctrlProps/ctrlProp635.xml><?xml version="1.0" encoding="utf-8"?>
<formControlPr xmlns="http://schemas.microsoft.com/office/spreadsheetml/2009/9/main" objectType="CheckBox" fmlaLink="$W$629" lockText="1" noThreeD="1"/>
</file>

<file path=xl/ctrlProps/ctrlProp636.xml><?xml version="1.0" encoding="utf-8"?>
<formControlPr xmlns="http://schemas.microsoft.com/office/spreadsheetml/2009/9/main" objectType="CheckBox" fmlaLink="$W$630" lockText="1" noThreeD="1"/>
</file>

<file path=xl/ctrlProps/ctrlProp637.xml><?xml version="1.0" encoding="utf-8"?>
<formControlPr xmlns="http://schemas.microsoft.com/office/spreadsheetml/2009/9/main" objectType="CheckBox" fmlaLink="$W$631" lockText="1" noThreeD="1"/>
</file>

<file path=xl/ctrlProps/ctrlProp638.xml><?xml version="1.0" encoding="utf-8"?>
<formControlPr xmlns="http://schemas.microsoft.com/office/spreadsheetml/2009/9/main" objectType="CheckBox" fmlaLink="$W$632" lockText="1" noThreeD="1"/>
</file>

<file path=xl/ctrlProps/ctrlProp639.xml><?xml version="1.0" encoding="utf-8"?>
<formControlPr xmlns="http://schemas.microsoft.com/office/spreadsheetml/2009/9/main" objectType="CheckBox" fmlaLink="$W$683" lockText="1" noThreeD="1"/>
</file>

<file path=xl/ctrlProps/ctrlProp64.xml><?xml version="1.0" encoding="utf-8"?>
<formControlPr xmlns="http://schemas.microsoft.com/office/spreadsheetml/2009/9/main" objectType="CheckBox" fmlaLink="$W$256" lockText="1" noThreeD="1"/>
</file>

<file path=xl/ctrlProps/ctrlProp640.xml><?xml version="1.0" encoding="utf-8"?>
<formControlPr xmlns="http://schemas.microsoft.com/office/spreadsheetml/2009/9/main" objectType="CheckBox" fmlaLink="$W$688" lockText="1" noThreeD="1"/>
</file>

<file path=xl/ctrlProps/ctrlProp641.xml><?xml version="1.0" encoding="utf-8"?>
<formControlPr xmlns="http://schemas.microsoft.com/office/spreadsheetml/2009/9/main" objectType="CheckBox" fmlaLink="$W$694" lockText="1" noThreeD="1"/>
</file>

<file path=xl/ctrlProps/ctrlProp642.xml><?xml version="1.0" encoding="utf-8"?>
<formControlPr xmlns="http://schemas.microsoft.com/office/spreadsheetml/2009/9/main" objectType="CheckBox" fmlaLink="$W$727" lockText="1" noThreeD="1"/>
</file>

<file path=xl/ctrlProps/ctrlProp643.xml><?xml version="1.0" encoding="utf-8"?>
<formControlPr xmlns="http://schemas.microsoft.com/office/spreadsheetml/2009/9/main" objectType="CheckBox" fmlaLink="$W$736" lockText="1" noThreeD="1"/>
</file>

<file path=xl/ctrlProps/ctrlProp644.xml><?xml version="1.0" encoding="utf-8"?>
<formControlPr xmlns="http://schemas.microsoft.com/office/spreadsheetml/2009/9/main" objectType="CheckBox" fmlaLink="$W$744" lockText="1" noThreeD="1"/>
</file>

<file path=xl/ctrlProps/ctrlProp645.xml><?xml version="1.0" encoding="utf-8"?>
<formControlPr xmlns="http://schemas.microsoft.com/office/spreadsheetml/2009/9/main" objectType="CheckBox" fmlaLink="$W$824" lockText="1" noThreeD="1"/>
</file>

<file path=xl/ctrlProps/ctrlProp646.xml><?xml version="1.0" encoding="utf-8"?>
<formControlPr xmlns="http://schemas.microsoft.com/office/spreadsheetml/2009/9/main" objectType="CheckBox" fmlaLink="$W$825" lockText="1" noThreeD="1"/>
</file>

<file path=xl/ctrlProps/ctrlProp647.xml><?xml version="1.0" encoding="utf-8"?>
<formControlPr xmlns="http://schemas.microsoft.com/office/spreadsheetml/2009/9/main" objectType="CheckBox" fmlaLink="$W$829" lockText="1" noThreeD="1"/>
</file>

<file path=xl/ctrlProps/ctrlProp648.xml><?xml version="1.0" encoding="utf-8"?>
<formControlPr xmlns="http://schemas.microsoft.com/office/spreadsheetml/2009/9/main" objectType="CheckBox" fmlaLink="$W$827" lockText="1" noThreeD="1"/>
</file>

<file path=xl/ctrlProps/ctrlProp649.xml><?xml version="1.0" encoding="utf-8"?>
<formControlPr xmlns="http://schemas.microsoft.com/office/spreadsheetml/2009/9/main" objectType="CheckBox" fmlaLink="$W$831" lockText="1" noThreeD="1"/>
</file>

<file path=xl/ctrlProps/ctrlProp65.xml><?xml version="1.0" encoding="utf-8"?>
<formControlPr xmlns="http://schemas.microsoft.com/office/spreadsheetml/2009/9/main" objectType="CheckBox" fmlaLink="$W$265" lockText="1" noThreeD="1"/>
</file>

<file path=xl/ctrlProps/ctrlProp650.xml><?xml version="1.0" encoding="utf-8"?>
<formControlPr xmlns="http://schemas.microsoft.com/office/spreadsheetml/2009/9/main" objectType="CheckBox" fmlaLink="$W$833" lockText="1" noThreeD="1"/>
</file>

<file path=xl/ctrlProps/ctrlProp651.xml><?xml version="1.0" encoding="utf-8"?>
<formControlPr xmlns="http://schemas.microsoft.com/office/spreadsheetml/2009/9/main" objectType="CheckBox" fmlaLink="$W$835" lockText="1" noThreeD="1"/>
</file>

<file path=xl/ctrlProps/ctrlProp652.xml><?xml version="1.0" encoding="utf-8"?>
<formControlPr xmlns="http://schemas.microsoft.com/office/spreadsheetml/2009/9/main" objectType="CheckBox" fmlaLink="$W$839" lockText="1" noThreeD="1"/>
</file>

<file path=xl/ctrlProps/ctrlProp653.xml><?xml version="1.0" encoding="utf-8"?>
<formControlPr xmlns="http://schemas.microsoft.com/office/spreadsheetml/2009/9/main" objectType="CheckBox" fmlaLink="$W$844" lockText="1" noThreeD="1"/>
</file>

<file path=xl/ctrlProps/ctrlProp654.xml><?xml version="1.0" encoding="utf-8"?>
<formControlPr xmlns="http://schemas.microsoft.com/office/spreadsheetml/2009/9/main" objectType="CheckBox" fmlaLink="$W$848" lockText="1" noThreeD="1"/>
</file>

<file path=xl/ctrlProps/ctrlProp655.xml><?xml version="1.0" encoding="utf-8"?>
<formControlPr xmlns="http://schemas.microsoft.com/office/spreadsheetml/2009/9/main" objectType="CheckBox" fmlaLink="$W$850" lockText="1" noThreeD="1"/>
</file>

<file path=xl/ctrlProps/ctrlProp656.xml><?xml version="1.0" encoding="utf-8"?>
<formControlPr xmlns="http://schemas.microsoft.com/office/spreadsheetml/2009/9/main" objectType="CheckBox" fmlaLink="$W$852" lockText="1" noThreeD="1"/>
</file>

<file path=xl/ctrlProps/ctrlProp657.xml><?xml version="1.0" encoding="utf-8"?>
<formControlPr xmlns="http://schemas.microsoft.com/office/spreadsheetml/2009/9/main" objectType="CheckBox" fmlaLink="$W$853" lockText="1" noThreeD="1"/>
</file>

<file path=xl/ctrlProps/ctrlProp658.xml><?xml version="1.0" encoding="utf-8"?>
<formControlPr xmlns="http://schemas.microsoft.com/office/spreadsheetml/2009/9/main" objectType="CheckBox" fmlaLink="$W$854" lockText="1" noThreeD="1"/>
</file>

<file path=xl/ctrlProps/ctrlProp659.xml><?xml version="1.0" encoding="utf-8"?>
<formControlPr xmlns="http://schemas.microsoft.com/office/spreadsheetml/2009/9/main" objectType="CheckBox" fmlaLink="$W$858" lockText="1" noThreeD="1"/>
</file>

<file path=xl/ctrlProps/ctrlProp66.xml><?xml version="1.0" encoding="utf-8"?>
<formControlPr xmlns="http://schemas.microsoft.com/office/spreadsheetml/2009/9/main" objectType="CheckBox" fmlaLink="$W$268" lockText="1" noThreeD="1"/>
</file>

<file path=xl/ctrlProps/ctrlProp660.xml><?xml version="1.0" encoding="utf-8"?>
<formControlPr xmlns="http://schemas.microsoft.com/office/spreadsheetml/2009/9/main" objectType="CheckBox" fmlaLink="$W$933" lockText="1" noThreeD="1"/>
</file>

<file path=xl/ctrlProps/ctrlProp661.xml><?xml version="1.0" encoding="utf-8"?>
<formControlPr xmlns="http://schemas.microsoft.com/office/spreadsheetml/2009/9/main" objectType="CheckBox" fmlaLink="$W$938" lockText="1" noThreeD="1"/>
</file>

<file path=xl/ctrlProps/ctrlProp662.xml><?xml version="1.0" encoding="utf-8"?>
<formControlPr xmlns="http://schemas.microsoft.com/office/spreadsheetml/2009/9/main" objectType="CheckBox" fmlaLink="$W$947" lockText="1" noThreeD="1"/>
</file>

<file path=xl/ctrlProps/ctrlProp663.xml><?xml version="1.0" encoding="utf-8"?>
<formControlPr xmlns="http://schemas.microsoft.com/office/spreadsheetml/2009/9/main" objectType="CheckBox" fmlaLink="$W$950" lockText="1" noThreeD="1"/>
</file>

<file path=xl/ctrlProps/ctrlProp664.xml><?xml version="1.0" encoding="utf-8"?>
<formControlPr xmlns="http://schemas.microsoft.com/office/spreadsheetml/2009/9/main" objectType="CheckBox" fmlaLink="$W$951" lockText="1" noThreeD="1"/>
</file>

<file path=xl/ctrlProps/ctrlProp665.xml><?xml version="1.0" encoding="utf-8"?>
<formControlPr xmlns="http://schemas.microsoft.com/office/spreadsheetml/2009/9/main" objectType="CheckBox" fmlaLink="$W$955" lockText="1" noThreeD="1"/>
</file>

<file path=xl/ctrlProps/ctrlProp666.xml><?xml version="1.0" encoding="utf-8"?>
<formControlPr xmlns="http://schemas.microsoft.com/office/spreadsheetml/2009/9/main" objectType="CheckBox" fmlaLink="$W$991" lockText="1" noThreeD="1"/>
</file>

<file path=xl/ctrlProps/ctrlProp667.xml><?xml version="1.0" encoding="utf-8"?>
<formControlPr xmlns="http://schemas.microsoft.com/office/spreadsheetml/2009/9/main" objectType="CheckBox" fmlaLink="$W$994" lockText="1" noThreeD="1"/>
</file>

<file path=xl/ctrlProps/ctrlProp668.xml><?xml version="1.0" encoding="utf-8"?>
<formControlPr xmlns="http://schemas.microsoft.com/office/spreadsheetml/2009/9/main" objectType="CheckBox" fmlaLink="$W$1020" lockText="1" noThreeD="1"/>
</file>

<file path=xl/ctrlProps/ctrlProp669.xml><?xml version="1.0" encoding="utf-8"?>
<formControlPr xmlns="http://schemas.microsoft.com/office/spreadsheetml/2009/9/main" objectType="CheckBox" fmlaLink="$W$1040" lockText="1" noThreeD="1"/>
</file>

<file path=xl/ctrlProps/ctrlProp67.xml><?xml version="1.0" encoding="utf-8"?>
<formControlPr xmlns="http://schemas.microsoft.com/office/spreadsheetml/2009/9/main" objectType="CheckBox" fmlaLink="$W$272" lockText="1" noThreeD="1"/>
</file>

<file path=xl/ctrlProps/ctrlProp670.xml><?xml version="1.0" encoding="utf-8"?>
<formControlPr xmlns="http://schemas.microsoft.com/office/spreadsheetml/2009/9/main" objectType="CheckBox" fmlaLink="$W$1042" lockText="1" noThreeD="1"/>
</file>

<file path=xl/ctrlProps/ctrlProp671.xml><?xml version="1.0" encoding="utf-8"?>
<formControlPr xmlns="http://schemas.microsoft.com/office/spreadsheetml/2009/9/main" objectType="CheckBox" fmlaLink="$W$1043" lockText="1" noThreeD="1"/>
</file>

<file path=xl/ctrlProps/ctrlProp672.xml><?xml version="1.0" encoding="utf-8"?>
<formControlPr xmlns="http://schemas.microsoft.com/office/spreadsheetml/2009/9/main" objectType="CheckBox" fmlaLink="$W$1049" lockText="1" noThreeD="1"/>
</file>

<file path=xl/ctrlProps/ctrlProp673.xml><?xml version="1.0" encoding="utf-8"?>
<formControlPr xmlns="http://schemas.microsoft.com/office/spreadsheetml/2009/9/main" objectType="CheckBox" fmlaLink="$W$1066" lockText="1" noThreeD="1"/>
</file>

<file path=xl/ctrlProps/ctrlProp674.xml><?xml version="1.0" encoding="utf-8"?>
<formControlPr xmlns="http://schemas.microsoft.com/office/spreadsheetml/2009/9/main" objectType="CheckBox" fmlaLink="$W$1081" lockText="1" noThreeD="1"/>
</file>

<file path=xl/ctrlProps/ctrlProp675.xml><?xml version="1.0" encoding="utf-8"?>
<formControlPr xmlns="http://schemas.microsoft.com/office/spreadsheetml/2009/9/main" objectType="CheckBox" fmlaLink="$W$1090" lockText="1" noThreeD="1"/>
</file>

<file path=xl/ctrlProps/ctrlProp676.xml><?xml version="1.0" encoding="utf-8"?>
<formControlPr xmlns="http://schemas.microsoft.com/office/spreadsheetml/2009/9/main" objectType="CheckBox" fmlaLink="$W$1099" lockText="1" noThreeD="1"/>
</file>

<file path=xl/ctrlProps/ctrlProp677.xml><?xml version="1.0" encoding="utf-8"?>
<formControlPr xmlns="http://schemas.microsoft.com/office/spreadsheetml/2009/9/main" objectType="CheckBox" fmlaLink="$W$1154" lockText="1" noThreeD="1"/>
</file>

<file path=xl/ctrlProps/ctrlProp678.xml><?xml version="1.0" encoding="utf-8"?>
<formControlPr xmlns="http://schemas.microsoft.com/office/spreadsheetml/2009/9/main" objectType="CheckBox" fmlaLink="$W$1198" lockText="1" noThreeD="1"/>
</file>

<file path=xl/ctrlProps/ctrlProp679.xml><?xml version="1.0" encoding="utf-8"?>
<formControlPr xmlns="http://schemas.microsoft.com/office/spreadsheetml/2009/9/main" objectType="CheckBox" fmlaLink="$W$1201" lockText="1" noThreeD="1"/>
</file>

<file path=xl/ctrlProps/ctrlProp68.xml><?xml version="1.0" encoding="utf-8"?>
<formControlPr xmlns="http://schemas.microsoft.com/office/spreadsheetml/2009/9/main" objectType="CheckBox" fmlaLink="$W$273" lockText="1" noThreeD="1"/>
</file>

<file path=xl/ctrlProps/ctrlProp680.xml><?xml version="1.0" encoding="utf-8"?>
<formControlPr xmlns="http://schemas.microsoft.com/office/spreadsheetml/2009/9/main" objectType="CheckBox" fmlaLink="$W$1211" lockText="1" noThreeD="1"/>
</file>

<file path=xl/ctrlProps/ctrlProp681.xml><?xml version="1.0" encoding="utf-8"?>
<formControlPr xmlns="http://schemas.microsoft.com/office/spreadsheetml/2009/9/main" objectType="CheckBox" fmlaLink="$W$1218" lockText="1" noThreeD="1"/>
</file>

<file path=xl/ctrlProps/ctrlProp682.xml><?xml version="1.0" encoding="utf-8"?>
<formControlPr xmlns="http://schemas.microsoft.com/office/spreadsheetml/2009/9/main" objectType="CheckBox" fmlaLink="$W$1224" lockText="1" noThreeD="1"/>
</file>

<file path=xl/ctrlProps/ctrlProp683.xml><?xml version="1.0" encoding="utf-8"?>
<formControlPr xmlns="http://schemas.microsoft.com/office/spreadsheetml/2009/9/main" objectType="CheckBox" fmlaLink="$W$1226" lockText="1" noThreeD="1"/>
</file>

<file path=xl/ctrlProps/ctrlProp684.xml><?xml version="1.0" encoding="utf-8"?>
<formControlPr xmlns="http://schemas.microsoft.com/office/spreadsheetml/2009/9/main" objectType="CheckBox" fmlaLink="$W$1229" lockText="1" noThreeD="1"/>
</file>

<file path=xl/ctrlProps/ctrlProp685.xml><?xml version="1.0" encoding="utf-8"?>
<formControlPr xmlns="http://schemas.microsoft.com/office/spreadsheetml/2009/9/main" objectType="CheckBox" fmlaLink="$W$1230" lockText="1" noThreeD="1"/>
</file>

<file path=xl/ctrlProps/ctrlProp686.xml><?xml version="1.0" encoding="utf-8"?>
<formControlPr xmlns="http://schemas.microsoft.com/office/spreadsheetml/2009/9/main" objectType="CheckBox" fmlaLink="$W$1232" lockText="1" noThreeD="1"/>
</file>

<file path=xl/ctrlProps/ctrlProp687.xml><?xml version="1.0" encoding="utf-8"?>
<formControlPr xmlns="http://schemas.microsoft.com/office/spreadsheetml/2009/9/main" objectType="CheckBox" fmlaLink="$W$1293" lockText="1" noThreeD="1"/>
</file>

<file path=xl/ctrlProps/ctrlProp688.xml><?xml version="1.0" encoding="utf-8"?>
<formControlPr xmlns="http://schemas.microsoft.com/office/spreadsheetml/2009/9/main" objectType="CheckBox" fmlaLink="$W$1295" lockText="1" noThreeD="1"/>
</file>

<file path=xl/ctrlProps/ctrlProp689.xml><?xml version="1.0" encoding="utf-8"?>
<formControlPr xmlns="http://schemas.microsoft.com/office/spreadsheetml/2009/9/main" objectType="CheckBox" fmlaLink="$W$1297" lockText="1" noThreeD="1"/>
</file>

<file path=xl/ctrlProps/ctrlProp69.xml><?xml version="1.0" encoding="utf-8"?>
<formControlPr xmlns="http://schemas.microsoft.com/office/spreadsheetml/2009/9/main" objectType="CheckBox" fmlaLink="$W$283" lockText="1" noThreeD="1"/>
</file>

<file path=xl/ctrlProps/ctrlProp690.xml><?xml version="1.0" encoding="utf-8"?>
<formControlPr xmlns="http://schemas.microsoft.com/office/spreadsheetml/2009/9/main" objectType="CheckBox" fmlaLink="$W$1318" lockText="1" noThreeD="1"/>
</file>

<file path=xl/ctrlProps/ctrlProp691.xml><?xml version="1.0" encoding="utf-8"?>
<formControlPr xmlns="http://schemas.microsoft.com/office/spreadsheetml/2009/9/main" objectType="CheckBox" fmlaLink="$W$1320" lockText="1" noThreeD="1"/>
</file>

<file path=xl/ctrlProps/ctrlProp692.xml><?xml version="1.0" encoding="utf-8"?>
<formControlPr xmlns="http://schemas.microsoft.com/office/spreadsheetml/2009/9/main" objectType="CheckBox" fmlaLink="$W$1322" lockText="1" noThreeD="1"/>
</file>

<file path=xl/ctrlProps/ctrlProp693.xml><?xml version="1.0" encoding="utf-8"?>
<formControlPr xmlns="http://schemas.microsoft.com/office/spreadsheetml/2009/9/main" objectType="CheckBox" fmlaLink="$W$1325" lockText="1" noThreeD="1"/>
</file>

<file path=xl/ctrlProps/ctrlProp694.xml><?xml version="1.0" encoding="utf-8"?>
<formControlPr xmlns="http://schemas.microsoft.com/office/spreadsheetml/2009/9/main" objectType="CheckBox" fmlaLink="$W$1326" lockText="1" noThreeD="1"/>
</file>

<file path=xl/ctrlProps/ctrlProp695.xml><?xml version="1.0" encoding="utf-8"?>
<formControlPr xmlns="http://schemas.microsoft.com/office/spreadsheetml/2009/9/main" objectType="CheckBox" fmlaLink="$W$1327" lockText="1" noThreeD="1"/>
</file>

<file path=xl/ctrlProps/ctrlProp696.xml><?xml version="1.0" encoding="utf-8"?>
<formControlPr xmlns="http://schemas.microsoft.com/office/spreadsheetml/2009/9/main" objectType="CheckBox" fmlaLink="$W$1330" lockText="1" noThreeD="1"/>
</file>

<file path=xl/ctrlProps/ctrlProp697.xml><?xml version="1.0" encoding="utf-8"?>
<formControlPr xmlns="http://schemas.microsoft.com/office/spreadsheetml/2009/9/main" objectType="CheckBox" fmlaLink="$W$1357" lockText="1" noThreeD="1"/>
</file>

<file path=xl/ctrlProps/ctrlProp698.xml><?xml version="1.0" encoding="utf-8"?>
<formControlPr xmlns="http://schemas.microsoft.com/office/spreadsheetml/2009/9/main" objectType="CheckBox" fmlaLink="$W$1365" lockText="1" noThreeD="1"/>
</file>

<file path=xl/ctrlProps/ctrlProp699.xml><?xml version="1.0" encoding="utf-8"?>
<formControlPr xmlns="http://schemas.microsoft.com/office/spreadsheetml/2009/9/main" objectType="CheckBox" fmlaLink="$W$1367" lockText="1" noThreeD="1"/>
</file>

<file path=xl/ctrlProps/ctrlProp7.xml><?xml version="1.0" encoding="utf-8"?>
<formControlPr xmlns="http://schemas.microsoft.com/office/spreadsheetml/2009/9/main" objectType="CheckBox" fmlaLink="$W$24" lockText="1" noThreeD="1"/>
</file>

<file path=xl/ctrlProps/ctrlProp70.xml><?xml version="1.0" encoding="utf-8"?>
<formControlPr xmlns="http://schemas.microsoft.com/office/spreadsheetml/2009/9/main" objectType="CheckBox" fmlaLink="$W$51" lockText="1" noThreeD="1"/>
</file>

<file path=xl/ctrlProps/ctrlProp700.xml><?xml version="1.0" encoding="utf-8"?>
<formControlPr xmlns="http://schemas.microsoft.com/office/spreadsheetml/2009/9/main" objectType="CheckBox" fmlaLink="$W$1368" lockText="1" noThreeD="1"/>
</file>

<file path=xl/ctrlProps/ctrlProp701.xml><?xml version="1.0" encoding="utf-8"?>
<formControlPr xmlns="http://schemas.microsoft.com/office/spreadsheetml/2009/9/main" objectType="CheckBox" fmlaLink="$W$1369" lockText="1" noThreeD="1"/>
</file>

<file path=xl/ctrlProps/ctrlProp702.xml><?xml version="1.0" encoding="utf-8"?>
<formControlPr xmlns="http://schemas.microsoft.com/office/spreadsheetml/2009/9/main" objectType="CheckBox" fmlaLink="$W$1371" lockText="1" noThreeD="1"/>
</file>

<file path=xl/ctrlProps/ctrlProp703.xml><?xml version="1.0" encoding="utf-8"?>
<formControlPr xmlns="http://schemas.microsoft.com/office/spreadsheetml/2009/9/main" objectType="CheckBox" fmlaLink="$W$1374" lockText="1" noThreeD="1"/>
</file>

<file path=xl/ctrlProps/ctrlProp704.xml><?xml version="1.0" encoding="utf-8"?>
<formControlPr xmlns="http://schemas.microsoft.com/office/spreadsheetml/2009/9/main" objectType="CheckBox" fmlaLink="$W$1376" lockText="1" noThreeD="1"/>
</file>

<file path=xl/ctrlProps/ctrlProp705.xml><?xml version="1.0" encoding="utf-8"?>
<formControlPr xmlns="http://schemas.microsoft.com/office/spreadsheetml/2009/9/main" objectType="CheckBox" fmlaLink="$W$1381" lockText="1" noThreeD="1"/>
</file>

<file path=xl/ctrlProps/ctrlProp706.xml><?xml version="1.0" encoding="utf-8"?>
<formControlPr xmlns="http://schemas.microsoft.com/office/spreadsheetml/2009/9/main" objectType="CheckBox" fmlaLink="$W$1383" lockText="1" noThreeD="1"/>
</file>

<file path=xl/ctrlProps/ctrlProp707.xml><?xml version="1.0" encoding="utf-8"?>
<formControlPr xmlns="http://schemas.microsoft.com/office/spreadsheetml/2009/9/main" objectType="CheckBox" fmlaLink="$W$1385" lockText="1" noThreeD="1"/>
</file>

<file path=xl/ctrlProps/ctrlProp708.xml><?xml version="1.0" encoding="utf-8"?>
<formControlPr xmlns="http://schemas.microsoft.com/office/spreadsheetml/2009/9/main" objectType="CheckBox" fmlaLink="$W$1387" lockText="1" noThreeD="1"/>
</file>

<file path=xl/ctrlProps/ctrlProp709.xml><?xml version="1.0" encoding="utf-8"?>
<formControlPr xmlns="http://schemas.microsoft.com/office/spreadsheetml/2009/9/main" objectType="CheckBox" fmlaLink="$W$1431" lockText="1" noThreeD="1"/>
</file>

<file path=xl/ctrlProps/ctrlProp71.xml><?xml version="1.0" encoding="utf-8"?>
<formControlPr xmlns="http://schemas.microsoft.com/office/spreadsheetml/2009/9/main" objectType="CheckBox" fmlaLink="$W$53" lockText="1" noThreeD="1"/>
</file>

<file path=xl/ctrlProps/ctrlProp710.xml><?xml version="1.0" encoding="utf-8"?>
<formControlPr xmlns="http://schemas.microsoft.com/office/spreadsheetml/2009/9/main" objectType="CheckBox" fmlaLink="$W$1448" lockText="1" noThreeD="1"/>
</file>

<file path=xl/ctrlProps/ctrlProp711.xml><?xml version="1.0" encoding="utf-8"?>
<formControlPr xmlns="http://schemas.microsoft.com/office/spreadsheetml/2009/9/main" objectType="CheckBox" fmlaLink="$W$1451" lockText="1" noThreeD="1"/>
</file>

<file path=xl/ctrlProps/ctrlProp712.xml><?xml version="1.0" encoding="utf-8"?>
<formControlPr xmlns="http://schemas.microsoft.com/office/spreadsheetml/2009/9/main" objectType="CheckBox" fmlaLink="$W$1456" lockText="1" noThreeD="1"/>
</file>

<file path=xl/ctrlProps/ctrlProp713.xml><?xml version="1.0" encoding="utf-8"?>
<formControlPr xmlns="http://schemas.microsoft.com/office/spreadsheetml/2009/9/main" objectType="CheckBox" fmlaLink="$W$1457" lockText="1" noThreeD="1"/>
</file>

<file path=xl/ctrlProps/ctrlProp714.xml><?xml version="1.0" encoding="utf-8"?>
<formControlPr xmlns="http://schemas.microsoft.com/office/spreadsheetml/2009/9/main" objectType="CheckBox" fmlaLink="$W$1467" lockText="1" noThreeD="1"/>
</file>

<file path=xl/ctrlProps/ctrlProp715.xml><?xml version="1.0" encoding="utf-8"?>
<formControlPr xmlns="http://schemas.microsoft.com/office/spreadsheetml/2009/9/main" objectType="CheckBox" fmlaLink="$W$1496" lockText="1" noThreeD="1"/>
</file>

<file path=xl/ctrlProps/ctrlProp716.xml><?xml version="1.0" encoding="utf-8"?>
<formControlPr xmlns="http://schemas.microsoft.com/office/spreadsheetml/2009/9/main" objectType="CheckBox" fmlaLink="$W$1513" lockText="1" noThreeD="1"/>
</file>

<file path=xl/ctrlProps/ctrlProp717.xml><?xml version="1.0" encoding="utf-8"?>
<formControlPr xmlns="http://schemas.microsoft.com/office/spreadsheetml/2009/9/main" objectType="CheckBox" fmlaLink="$W$1525" lockText="1" noThreeD="1"/>
</file>

<file path=xl/ctrlProps/ctrlProp718.xml><?xml version="1.0" encoding="utf-8"?>
<formControlPr xmlns="http://schemas.microsoft.com/office/spreadsheetml/2009/9/main" objectType="CheckBox" fmlaLink="$W$1527" lockText="1" noThreeD="1"/>
</file>

<file path=xl/ctrlProps/ctrlProp719.xml><?xml version="1.0" encoding="utf-8"?>
<formControlPr xmlns="http://schemas.microsoft.com/office/spreadsheetml/2009/9/main" objectType="CheckBox" fmlaLink="$W$1529" lockText="1" noThreeD="1"/>
</file>

<file path=xl/ctrlProps/ctrlProp72.xml><?xml version="1.0" encoding="utf-8"?>
<formControlPr xmlns="http://schemas.microsoft.com/office/spreadsheetml/2009/9/main" objectType="CheckBox" fmlaLink="$W$56" lockText="1" noThreeD="1"/>
</file>

<file path=xl/ctrlProps/ctrlProp720.xml><?xml version="1.0" encoding="utf-8"?>
<formControlPr xmlns="http://schemas.microsoft.com/office/spreadsheetml/2009/9/main" objectType="CheckBox" fmlaLink="$W$1536" lockText="1" noThreeD="1"/>
</file>

<file path=xl/ctrlProps/ctrlProp721.xml><?xml version="1.0" encoding="utf-8"?>
<formControlPr xmlns="http://schemas.microsoft.com/office/spreadsheetml/2009/9/main" objectType="CheckBox" fmlaLink="$W$1537" lockText="1" noThreeD="1"/>
</file>

<file path=xl/ctrlProps/ctrlProp722.xml><?xml version="1.0" encoding="utf-8"?>
<formControlPr xmlns="http://schemas.microsoft.com/office/spreadsheetml/2009/9/main" objectType="CheckBox" fmlaLink="$W$1538" lockText="1" noThreeD="1"/>
</file>

<file path=xl/ctrlProps/ctrlProp723.xml><?xml version="1.0" encoding="utf-8"?>
<formControlPr xmlns="http://schemas.microsoft.com/office/spreadsheetml/2009/9/main" objectType="CheckBox" fmlaLink="$W$1539" lockText="1" noThreeD="1"/>
</file>

<file path=xl/ctrlProps/ctrlProp724.xml><?xml version="1.0" encoding="utf-8"?>
<formControlPr xmlns="http://schemas.microsoft.com/office/spreadsheetml/2009/9/main" objectType="CheckBox" fmlaLink="$W$1541" lockText="1" noThreeD="1"/>
</file>

<file path=xl/ctrlProps/ctrlProp725.xml><?xml version="1.0" encoding="utf-8"?>
<formControlPr xmlns="http://schemas.microsoft.com/office/spreadsheetml/2009/9/main" objectType="CheckBox" fmlaLink="$W$1544" lockText="1" noThreeD="1"/>
</file>

<file path=xl/ctrlProps/ctrlProp726.xml><?xml version="1.0" encoding="utf-8"?>
<formControlPr xmlns="http://schemas.microsoft.com/office/spreadsheetml/2009/9/main" objectType="CheckBox" fmlaLink="$W$1564" lockText="1" noThreeD="1"/>
</file>

<file path=xl/ctrlProps/ctrlProp727.xml><?xml version="1.0" encoding="utf-8"?>
<formControlPr xmlns="http://schemas.microsoft.com/office/spreadsheetml/2009/9/main" objectType="CheckBox" fmlaLink="$W$1565" lockText="1" noThreeD="1"/>
</file>

<file path=xl/ctrlProps/ctrlProp728.xml><?xml version="1.0" encoding="utf-8"?>
<formControlPr xmlns="http://schemas.microsoft.com/office/spreadsheetml/2009/9/main" objectType="CheckBox" fmlaLink="$W$1566" lockText="1" noThreeD="1"/>
</file>

<file path=xl/ctrlProps/ctrlProp729.xml><?xml version="1.0" encoding="utf-8"?>
<formControlPr xmlns="http://schemas.microsoft.com/office/spreadsheetml/2009/9/main" objectType="CheckBox" fmlaLink="$W$1567" lockText="1" noThreeD="1"/>
</file>

<file path=xl/ctrlProps/ctrlProp73.xml><?xml version="1.0" encoding="utf-8"?>
<formControlPr xmlns="http://schemas.microsoft.com/office/spreadsheetml/2009/9/main" objectType="CheckBox" fmlaLink="$W$84" lockText="1" noThreeD="1"/>
</file>

<file path=xl/ctrlProps/ctrlProp730.xml><?xml version="1.0" encoding="utf-8"?>
<formControlPr xmlns="http://schemas.microsoft.com/office/spreadsheetml/2009/9/main" objectType="CheckBox" fmlaLink="$W$1568" lockText="1" noThreeD="1"/>
</file>

<file path=xl/ctrlProps/ctrlProp731.xml><?xml version="1.0" encoding="utf-8"?>
<formControlPr xmlns="http://schemas.microsoft.com/office/spreadsheetml/2009/9/main" objectType="CheckBox" fmlaLink="$W$1569" lockText="1" noThreeD="1"/>
</file>

<file path=xl/ctrlProps/ctrlProp732.xml><?xml version="1.0" encoding="utf-8"?>
<formControlPr xmlns="http://schemas.microsoft.com/office/spreadsheetml/2009/9/main" objectType="CheckBox" fmlaLink="$W$1570" lockText="1" noThreeD="1"/>
</file>

<file path=xl/ctrlProps/ctrlProp733.xml><?xml version="1.0" encoding="utf-8"?>
<formControlPr xmlns="http://schemas.microsoft.com/office/spreadsheetml/2009/9/main" objectType="CheckBox" fmlaLink="$W$1571" lockText="1" noThreeD="1"/>
</file>

<file path=xl/ctrlProps/ctrlProp734.xml><?xml version="1.0" encoding="utf-8"?>
<formControlPr xmlns="http://schemas.microsoft.com/office/spreadsheetml/2009/9/main" objectType="CheckBox" fmlaLink="$W$1574" lockText="1" noThreeD="1"/>
</file>

<file path=xl/ctrlProps/ctrlProp735.xml><?xml version="1.0" encoding="utf-8"?>
<formControlPr xmlns="http://schemas.microsoft.com/office/spreadsheetml/2009/9/main" objectType="CheckBox" fmlaLink="$W$1576" lockText="1" noThreeD="1"/>
</file>

<file path=xl/ctrlProps/ctrlProp736.xml><?xml version="1.0" encoding="utf-8"?>
<formControlPr xmlns="http://schemas.microsoft.com/office/spreadsheetml/2009/9/main" objectType="CheckBox" fmlaLink="$W$1578" lockText="1" noThreeD="1"/>
</file>

<file path=xl/ctrlProps/ctrlProp737.xml><?xml version="1.0" encoding="utf-8"?>
<formControlPr xmlns="http://schemas.microsoft.com/office/spreadsheetml/2009/9/main" objectType="CheckBox" fmlaLink="$W$1595" lockText="1" noThreeD="1"/>
</file>

<file path=xl/ctrlProps/ctrlProp738.xml><?xml version="1.0" encoding="utf-8"?>
<formControlPr xmlns="http://schemas.microsoft.com/office/spreadsheetml/2009/9/main" objectType="CheckBox" fmlaLink="$W$1599" lockText="1" noThreeD="1"/>
</file>

<file path=xl/ctrlProps/ctrlProp739.xml><?xml version="1.0" encoding="utf-8"?>
<formControlPr xmlns="http://schemas.microsoft.com/office/spreadsheetml/2009/9/main" objectType="CheckBox" fmlaLink="$W$1600" lockText="1" noThreeD="1"/>
</file>

<file path=xl/ctrlProps/ctrlProp74.xml><?xml version="1.0" encoding="utf-8"?>
<formControlPr xmlns="http://schemas.microsoft.com/office/spreadsheetml/2009/9/main" objectType="CheckBox" fmlaLink="$W$141" lockText="1" noThreeD="1"/>
</file>

<file path=xl/ctrlProps/ctrlProp740.xml><?xml version="1.0" encoding="utf-8"?>
<formControlPr xmlns="http://schemas.microsoft.com/office/spreadsheetml/2009/9/main" objectType="CheckBox" fmlaLink="$W$1603" lockText="1" noThreeD="1"/>
</file>

<file path=xl/ctrlProps/ctrlProp741.xml><?xml version="1.0" encoding="utf-8"?>
<formControlPr xmlns="http://schemas.microsoft.com/office/spreadsheetml/2009/9/main" objectType="CheckBox" fmlaLink="$W$1611" lockText="1" noThreeD="1"/>
</file>

<file path=xl/ctrlProps/ctrlProp742.xml><?xml version="1.0" encoding="utf-8"?>
<formControlPr xmlns="http://schemas.microsoft.com/office/spreadsheetml/2009/9/main" objectType="CheckBox" fmlaLink="$W$1679" lockText="1" noThreeD="1"/>
</file>

<file path=xl/ctrlProps/ctrlProp743.xml><?xml version="1.0" encoding="utf-8"?>
<formControlPr xmlns="http://schemas.microsoft.com/office/spreadsheetml/2009/9/main" objectType="CheckBox" fmlaLink="$W$1684" lockText="1" noThreeD="1"/>
</file>

<file path=xl/ctrlProps/ctrlProp744.xml><?xml version="1.0" encoding="utf-8"?>
<formControlPr xmlns="http://schemas.microsoft.com/office/spreadsheetml/2009/9/main" objectType="CheckBox" fmlaLink="$W$1760" lockText="1" noThreeD="1"/>
</file>

<file path=xl/ctrlProps/ctrlProp745.xml><?xml version="1.0" encoding="utf-8"?>
<formControlPr xmlns="http://schemas.microsoft.com/office/spreadsheetml/2009/9/main" objectType="CheckBox" fmlaLink="$W$1767" lockText="1" noThreeD="1"/>
</file>

<file path=xl/ctrlProps/ctrlProp746.xml><?xml version="1.0" encoding="utf-8"?>
<formControlPr xmlns="http://schemas.microsoft.com/office/spreadsheetml/2009/9/main" objectType="CheckBox" fmlaLink="$W$1769" lockText="1" noThreeD="1"/>
</file>

<file path=xl/ctrlProps/ctrlProp747.xml><?xml version="1.0" encoding="utf-8"?>
<formControlPr xmlns="http://schemas.microsoft.com/office/spreadsheetml/2009/9/main" objectType="CheckBox" fmlaLink="$W$1778" lockText="1" noThreeD="1"/>
</file>

<file path=xl/ctrlProps/ctrlProp748.xml><?xml version="1.0" encoding="utf-8"?>
<formControlPr xmlns="http://schemas.microsoft.com/office/spreadsheetml/2009/9/main" objectType="CheckBox" fmlaLink="$W$1779" lockText="1" noThreeD="1"/>
</file>

<file path=xl/ctrlProps/ctrlProp749.xml><?xml version="1.0" encoding="utf-8"?>
<formControlPr xmlns="http://schemas.microsoft.com/office/spreadsheetml/2009/9/main" objectType="CheckBox" fmlaLink="$W$1780" lockText="1" noThreeD="1"/>
</file>

<file path=xl/ctrlProps/ctrlProp75.xml><?xml version="1.0" encoding="utf-8"?>
<formControlPr xmlns="http://schemas.microsoft.com/office/spreadsheetml/2009/9/main" objectType="CheckBox" fmlaLink="$W$143" lockText="1" noThreeD="1"/>
</file>

<file path=xl/ctrlProps/ctrlProp750.xml><?xml version="1.0" encoding="utf-8"?>
<formControlPr xmlns="http://schemas.microsoft.com/office/spreadsheetml/2009/9/main" objectType="CheckBox" fmlaLink="$W$1785" lockText="1" noThreeD="1"/>
</file>

<file path=xl/ctrlProps/ctrlProp751.xml><?xml version="1.0" encoding="utf-8"?>
<formControlPr xmlns="http://schemas.microsoft.com/office/spreadsheetml/2009/9/main" objectType="CheckBox" fmlaLink="$W$1787" lockText="1" noThreeD="1"/>
</file>

<file path=xl/ctrlProps/ctrlProp752.xml><?xml version="1.0" encoding="utf-8"?>
<formControlPr xmlns="http://schemas.microsoft.com/office/spreadsheetml/2009/9/main" objectType="CheckBox" fmlaLink="$W$1820" lockText="1" noThreeD="1"/>
</file>

<file path=xl/ctrlProps/ctrlProp753.xml><?xml version="1.0" encoding="utf-8"?>
<formControlPr xmlns="http://schemas.microsoft.com/office/spreadsheetml/2009/9/main" objectType="CheckBox" fmlaLink="$W$1821" lockText="1" noThreeD="1"/>
</file>

<file path=xl/ctrlProps/ctrlProp754.xml><?xml version="1.0" encoding="utf-8"?>
<formControlPr xmlns="http://schemas.microsoft.com/office/spreadsheetml/2009/9/main" objectType="CheckBox" fmlaLink="$W$1848" lockText="1" noThreeD="1"/>
</file>

<file path=xl/ctrlProps/ctrlProp755.xml><?xml version="1.0" encoding="utf-8"?>
<formControlPr xmlns="http://schemas.microsoft.com/office/spreadsheetml/2009/9/main" objectType="CheckBox" fmlaLink="$W$1857" lockText="1" noThreeD="1"/>
</file>

<file path=xl/ctrlProps/ctrlProp756.xml><?xml version="1.0" encoding="utf-8"?>
<formControlPr xmlns="http://schemas.microsoft.com/office/spreadsheetml/2009/9/main" objectType="CheckBox" fmlaLink="$W$1860" lockText="1" noThreeD="1"/>
</file>

<file path=xl/ctrlProps/ctrlProp757.xml><?xml version="1.0" encoding="utf-8"?>
<formControlPr xmlns="http://schemas.microsoft.com/office/spreadsheetml/2009/9/main" objectType="CheckBox" fmlaLink="$W$1862" lockText="1" noThreeD="1"/>
</file>

<file path=xl/ctrlProps/ctrlProp758.xml><?xml version="1.0" encoding="utf-8"?>
<formControlPr xmlns="http://schemas.microsoft.com/office/spreadsheetml/2009/9/main" objectType="CheckBox" fmlaLink="$W$1878" lockText="1" noThreeD="1"/>
</file>

<file path=xl/ctrlProps/ctrlProp759.xml><?xml version="1.0" encoding="utf-8"?>
<formControlPr xmlns="http://schemas.microsoft.com/office/spreadsheetml/2009/9/main" objectType="CheckBox" fmlaLink="$W$1884" lockText="1" noThreeD="1"/>
</file>

<file path=xl/ctrlProps/ctrlProp76.xml><?xml version="1.0" encoding="utf-8"?>
<formControlPr xmlns="http://schemas.microsoft.com/office/spreadsheetml/2009/9/main" objectType="CheckBox" fmlaLink="$W$163" lockText="1" noThreeD="1"/>
</file>

<file path=xl/ctrlProps/ctrlProp760.xml><?xml version="1.0" encoding="utf-8"?>
<formControlPr xmlns="http://schemas.microsoft.com/office/spreadsheetml/2009/9/main" objectType="CheckBox" fmlaLink="$W$1900" lockText="1" noThreeD="1"/>
</file>

<file path=xl/ctrlProps/ctrlProp761.xml><?xml version="1.0" encoding="utf-8"?>
<formControlPr xmlns="http://schemas.microsoft.com/office/spreadsheetml/2009/9/main" objectType="CheckBox" fmlaLink="$W$1928" lockText="1" noThreeD="1"/>
</file>

<file path=xl/ctrlProps/ctrlProp762.xml><?xml version="1.0" encoding="utf-8"?>
<formControlPr xmlns="http://schemas.microsoft.com/office/spreadsheetml/2009/9/main" objectType="CheckBox" fmlaLink="$W$1934" lockText="1" noThreeD="1"/>
</file>

<file path=xl/ctrlProps/ctrlProp763.xml><?xml version="1.0" encoding="utf-8"?>
<formControlPr xmlns="http://schemas.microsoft.com/office/spreadsheetml/2009/9/main" objectType="CheckBox" fmlaLink="$W$1957" lockText="1" noThreeD="1"/>
</file>

<file path=xl/ctrlProps/ctrlProp764.xml><?xml version="1.0" encoding="utf-8"?>
<formControlPr xmlns="http://schemas.microsoft.com/office/spreadsheetml/2009/9/main" objectType="CheckBox" fmlaLink="$W$1959" lockText="1" noThreeD="1"/>
</file>

<file path=xl/ctrlProps/ctrlProp765.xml><?xml version="1.0" encoding="utf-8"?>
<formControlPr xmlns="http://schemas.microsoft.com/office/spreadsheetml/2009/9/main" objectType="CheckBox" fmlaLink="$W$1962" lockText="1" noThreeD="1"/>
</file>

<file path=xl/ctrlProps/ctrlProp766.xml><?xml version="1.0" encoding="utf-8"?>
<formControlPr xmlns="http://schemas.microsoft.com/office/spreadsheetml/2009/9/main" objectType="CheckBox" fmlaLink="$W$1985" lockText="1" noThreeD="1"/>
</file>

<file path=xl/ctrlProps/ctrlProp767.xml><?xml version="1.0" encoding="utf-8"?>
<formControlPr xmlns="http://schemas.microsoft.com/office/spreadsheetml/2009/9/main" objectType="CheckBox" fmlaLink="$W$1996" lockText="1" noThreeD="1"/>
</file>

<file path=xl/ctrlProps/ctrlProp768.xml><?xml version="1.0" encoding="utf-8"?>
<formControlPr xmlns="http://schemas.microsoft.com/office/spreadsheetml/2009/9/main" objectType="CheckBox" fmlaLink="$W$1998" lockText="1" noThreeD="1"/>
</file>

<file path=xl/ctrlProps/ctrlProp769.xml><?xml version="1.0" encoding="utf-8"?>
<formControlPr xmlns="http://schemas.microsoft.com/office/spreadsheetml/2009/9/main" objectType="CheckBox" fmlaLink="$W$1999" lockText="1" noThreeD="1"/>
</file>

<file path=xl/ctrlProps/ctrlProp77.xml><?xml version="1.0" encoding="utf-8"?>
<formControlPr xmlns="http://schemas.microsoft.com/office/spreadsheetml/2009/9/main" objectType="CheckBox" fmlaLink="$W$289" lockText="1" noThreeD="1"/>
</file>

<file path=xl/ctrlProps/ctrlProp770.xml><?xml version="1.0" encoding="utf-8"?>
<formControlPr xmlns="http://schemas.microsoft.com/office/spreadsheetml/2009/9/main" objectType="CheckBox" fmlaLink="$W$2001" lockText="1" noThreeD="1"/>
</file>

<file path=xl/ctrlProps/ctrlProp771.xml><?xml version="1.0" encoding="utf-8"?>
<formControlPr xmlns="http://schemas.microsoft.com/office/spreadsheetml/2009/9/main" objectType="CheckBox" fmlaLink="$W$2006" lockText="1" noThreeD="1"/>
</file>

<file path=xl/ctrlProps/ctrlProp772.xml><?xml version="1.0" encoding="utf-8"?>
<formControlPr xmlns="http://schemas.microsoft.com/office/spreadsheetml/2009/9/main" objectType="CheckBox" fmlaLink="$W$2015" lockText="1" noThreeD="1"/>
</file>

<file path=xl/ctrlProps/ctrlProp773.xml><?xml version="1.0" encoding="utf-8"?>
<formControlPr xmlns="http://schemas.microsoft.com/office/spreadsheetml/2009/9/main" objectType="CheckBox" fmlaLink="$W$2020" lockText="1" noThreeD="1"/>
</file>

<file path=xl/ctrlProps/ctrlProp774.xml><?xml version="1.0" encoding="utf-8"?>
<formControlPr xmlns="http://schemas.microsoft.com/office/spreadsheetml/2009/9/main" objectType="CheckBox" fmlaLink="$W$2021" lockText="1" noThreeD="1"/>
</file>

<file path=xl/ctrlProps/ctrlProp775.xml><?xml version="1.0" encoding="utf-8"?>
<formControlPr xmlns="http://schemas.microsoft.com/office/spreadsheetml/2009/9/main" objectType="CheckBox" fmlaLink="$W$2025" lockText="1" noThreeD="1"/>
</file>

<file path=xl/ctrlProps/ctrlProp776.xml><?xml version="1.0" encoding="utf-8"?>
<formControlPr xmlns="http://schemas.microsoft.com/office/spreadsheetml/2009/9/main" objectType="CheckBox" fmlaLink="$W$2038" lockText="1" noThreeD="1"/>
</file>

<file path=xl/ctrlProps/ctrlProp777.xml><?xml version="1.0" encoding="utf-8"?>
<formControlPr xmlns="http://schemas.microsoft.com/office/spreadsheetml/2009/9/main" objectType="CheckBox" fmlaLink="$W$2039" lockText="1" noThreeD="1"/>
</file>

<file path=xl/ctrlProps/ctrlProp778.xml><?xml version="1.0" encoding="utf-8"?>
<formControlPr xmlns="http://schemas.microsoft.com/office/spreadsheetml/2009/9/main" objectType="CheckBox" fmlaLink="$W$2042" lockText="1" noThreeD="1"/>
</file>

<file path=xl/ctrlProps/ctrlProp779.xml><?xml version="1.0" encoding="utf-8"?>
<formControlPr xmlns="http://schemas.microsoft.com/office/spreadsheetml/2009/9/main" objectType="CheckBox" fmlaLink="$W$2044" lockText="1" noThreeD="1"/>
</file>

<file path=xl/ctrlProps/ctrlProp78.xml><?xml version="1.0" encoding="utf-8"?>
<formControlPr xmlns="http://schemas.microsoft.com/office/spreadsheetml/2009/9/main" objectType="CheckBox" fmlaLink="$W$292" lockText="1" noThreeD="1"/>
</file>

<file path=xl/ctrlProps/ctrlProp780.xml><?xml version="1.0" encoding="utf-8"?>
<formControlPr xmlns="http://schemas.microsoft.com/office/spreadsheetml/2009/9/main" objectType="CheckBox" fmlaLink="$W$2050" lockText="1" noThreeD="1"/>
</file>

<file path=xl/ctrlProps/ctrlProp781.xml><?xml version="1.0" encoding="utf-8"?>
<formControlPr xmlns="http://schemas.microsoft.com/office/spreadsheetml/2009/9/main" objectType="CheckBox" fmlaLink="$W$2052" lockText="1" noThreeD="1"/>
</file>

<file path=xl/ctrlProps/ctrlProp782.xml><?xml version="1.0" encoding="utf-8"?>
<formControlPr xmlns="http://schemas.microsoft.com/office/spreadsheetml/2009/9/main" objectType="CheckBox" fmlaLink="$W$2056" lockText="1" noThreeD="1"/>
</file>

<file path=xl/ctrlProps/ctrlProp783.xml><?xml version="1.0" encoding="utf-8"?>
<formControlPr xmlns="http://schemas.microsoft.com/office/spreadsheetml/2009/9/main" objectType="CheckBox" fmlaLink="$W$2063" lockText="1" noThreeD="1"/>
</file>

<file path=xl/ctrlProps/ctrlProp784.xml><?xml version="1.0" encoding="utf-8"?>
<formControlPr xmlns="http://schemas.microsoft.com/office/spreadsheetml/2009/9/main" objectType="CheckBox" fmlaLink="$W$2074" lockText="1" noThreeD="1"/>
</file>

<file path=xl/ctrlProps/ctrlProp785.xml><?xml version="1.0" encoding="utf-8"?>
<formControlPr xmlns="http://schemas.microsoft.com/office/spreadsheetml/2009/9/main" objectType="CheckBox" fmlaLink="$W$2076" lockText="1" noThreeD="1"/>
</file>

<file path=xl/ctrlProps/ctrlProp786.xml><?xml version="1.0" encoding="utf-8"?>
<formControlPr xmlns="http://schemas.microsoft.com/office/spreadsheetml/2009/9/main" objectType="CheckBox" fmlaLink="$W$2078" lockText="1" noThreeD="1"/>
</file>

<file path=xl/ctrlProps/ctrlProp787.xml><?xml version="1.0" encoding="utf-8"?>
<formControlPr xmlns="http://schemas.microsoft.com/office/spreadsheetml/2009/9/main" objectType="CheckBox" fmlaLink="$W$2096" lockText="1" noThreeD="1"/>
</file>

<file path=xl/ctrlProps/ctrlProp788.xml><?xml version="1.0" encoding="utf-8"?>
<formControlPr xmlns="http://schemas.microsoft.com/office/spreadsheetml/2009/9/main" objectType="CheckBox" fmlaLink="$W$2098" lockText="1" noThreeD="1"/>
</file>

<file path=xl/ctrlProps/ctrlProp789.xml><?xml version="1.0" encoding="utf-8"?>
<formControlPr xmlns="http://schemas.microsoft.com/office/spreadsheetml/2009/9/main" objectType="CheckBox" fmlaLink="$W$2101" lockText="1" noThreeD="1"/>
</file>

<file path=xl/ctrlProps/ctrlProp79.xml><?xml version="1.0" encoding="utf-8"?>
<formControlPr xmlns="http://schemas.microsoft.com/office/spreadsheetml/2009/9/main" objectType="CheckBox" fmlaLink="$W$293" lockText="1" noThreeD="1"/>
</file>

<file path=xl/ctrlProps/ctrlProp790.xml><?xml version="1.0" encoding="utf-8"?>
<formControlPr xmlns="http://schemas.microsoft.com/office/spreadsheetml/2009/9/main" objectType="CheckBox" fmlaLink="$W$2180" lockText="1" noThreeD="1"/>
</file>

<file path=xl/ctrlProps/ctrlProp791.xml><?xml version="1.0" encoding="utf-8"?>
<formControlPr xmlns="http://schemas.microsoft.com/office/spreadsheetml/2009/9/main" objectType="CheckBox" fmlaLink="$W$2182" lockText="1" noThreeD="1"/>
</file>

<file path=xl/ctrlProps/ctrlProp792.xml><?xml version="1.0" encoding="utf-8"?>
<formControlPr xmlns="http://schemas.microsoft.com/office/spreadsheetml/2009/9/main" objectType="CheckBox" fmlaLink="$W$2188" lockText="1" noThreeD="1"/>
</file>

<file path=xl/ctrlProps/ctrlProp793.xml><?xml version="1.0" encoding="utf-8"?>
<formControlPr xmlns="http://schemas.microsoft.com/office/spreadsheetml/2009/9/main" objectType="CheckBox" fmlaLink="$W$2190" lockText="1" noThreeD="1"/>
</file>

<file path=xl/ctrlProps/ctrlProp794.xml><?xml version="1.0" encoding="utf-8"?>
<formControlPr xmlns="http://schemas.microsoft.com/office/spreadsheetml/2009/9/main" objectType="CheckBox" fmlaLink="$W$2204" lockText="1" noThreeD="1"/>
</file>

<file path=xl/ctrlProps/ctrlProp795.xml><?xml version="1.0" encoding="utf-8"?>
<formControlPr xmlns="http://schemas.microsoft.com/office/spreadsheetml/2009/9/main" objectType="CheckBox" fmlaLink="$W$2205" lockText="1" noThreeD="1"/>
</file>

<file path=xl/ctrlProps/ctrlProp796.xml><?xml version="1.0" encoding="utf-8"?>
<formControlPr xmlns="http://schemas.microsoft.com/office/spreadsheetml/2009/9/main" objectType="CheckBox" fmlaLink="$W$2210" lockText="1" noThreeD="1"/>
</file>

<file path=xl/ctrlProps/ctrlProp797.xml><?xml version="1.0" encoding="utf-8"?>
<formControlPr xmlns="http://schemas.microsoft.com/office/spreadsheetml/2009/9/main" objectType="CheckBox" fmlaLink="$W$2215" lockText="1" noThreeD="1"/>
</file>

<file path=xl/ctrlProps/ctrlProp798.xml><?xml version="1.0" encoding="utf-8"?>
<formControlPr xmlns="http://schemas.microsoft.com/office/spreadsheetml/2009/9/main" objectType="CheckBox" fmlaLink="$W$2232" lockText="1" noThreeD="1"/>
</file>

<file path=xl/ctrlProps/ctrlProp799.xml><?xml version="1.0" encoding="utf-8"?>
<formControlPr xmlns="http://schemas.microsoft.com/office/spreadsheetml/2009/9/main" objectType="CheckBox" fmlaLink="$W$2237" lockText="1" noThreeD="1"/>
</file>

<file path=xl/ctrlProps/ctrlProp8.xml><?xml version="1.0" encoding="utf-8"?>
<formControlPr xmlns="http://schemas.microsoft.com/office/spreadsheetml/2009/9/main" objectType="CheckBox" fmlaLink="$W$26" lockText="1" noThreeD="1"/>
</file>

<file path=xl/ctrlProps/ctrlProp80.xml><?xml version="1.0" encoding="utf-8"?>
<formControlPr xmlns="http://schemas.microsoft.com/office/spreadsheetml/2009/9/main" objectType="CheckBox" fmlaLink="$W$306" lockText="1" noThreeD="1"/>
</file>

<file path=xl/ctrlProps/ctrlProp800.xml><?xml version="1.0" encoding="utf-8"?>
<formControlPr xmlns="http://schemas.microsoft.com/office/spreadsheetml/2009/9/main" objectType="CheckBox" fmlaLink="$W$2258" lockText="1" noThreeD="1"/>
</file>

<file path=xl/ctrlProps/ctrlProp801.xml><?xml version="1.0" encoding="utf-8"?>
<formControlPr xmlns="http://schemas.microsoft.com/office/spreadsheetml/2009/9/main" objectType="CheckBox" fmlaLink="$W$2259" lockText="1" noThreeD="1"/>
</file>

<file path=xl/ctrlProps/ctrlProp802.xml><?xml version="1.0" encoding="utf-8"?>
<formControlPr xmlns="http://schemas.microsoft.com/office/spreadsheetml/2009/9/main" objectType="CheckBox" fmlaLink="$W$2260" lockText="1" noThreeD="1"/>
</file>

<file path=xl/ctrlProps/ctrlProp803.xml><?xml version="1.0" encoding="utf-8"?>
<formControlPr xmlns="http://schemas.microsoft.com/office/spreadsheetml/2009/9/main" objectType="CheckBox" fmlaLink="$W$2264" lockText="1" noThreeD="1"/>
</file>

<file path=xl/ctrlProps/ctrlProp804.xml><?xml version="1.0" encoding="utf-8"?>
<formControlPr xmlns="http://schemas.microsoft.com/office/spreadsheetml/2009/9/main" objectType="CheckBox" fmlaLink="$W$2265" lockText="1" noThreeD="1"/>
</file>

<file path=xl/ctrlProps/ctrlProp805.xml><?xml version="1.0" encoding="utf-8"?>
<formControlPr xmlns="http://schemas.microsoft.com/office/spreadsheetml/2009/9/main" objectType="CheckBox" fmlaLink="$W$2266" lockText="1" noThreeD="1"/>
</file>

<file path=xl/ctrlProps/ctrlProp806.xml><?xml version="1.0" encoding="utf-8"?>
<formControlPr xmlns="http://schemas.microsoft.com/office/spreadsheetml/2009/9/main" objectType="CheckBox" fmlaLink="$W$2268" lockText="1" noThreeD="1"/>
</file>

<file path=xl/ctrlProps/ctrlProp807.xml><?xml version="1.0" encoding="utf-8"?>
<formControlPr xmlns="http://schemas.microsoft.com/office/spreadsheetml/2009/9/main" objectType="CheckBox" fmlaLink="$W$2270" lockText="1" noThreeD="1"/>
</file>

<file path=xl/ctrlProps/ctrlProp808.xml><?xml version="1.0" encoding="utf-8"?>
<formControlPr xmlns="http://schemas.microsoft.com/office/spreadsheetml/2009/9/main" objectType="CheckBox" fmlaLink="$W$2271" lockText="1" noThreeD="1"/>
</file>

<file path=xl/ctrlProps/ctrlProp809.xml><?xml version="1.0" encoding="utf-8"?>
<formControlPr xmlns="http://schemas.microsoft.com/office/spreadsheetml/2009/9/main" objectType="CheckBox" fmlaLink="$W$2273" lockText="1" noThreeD="1"/>
</file>

<file path=xl/ctrlProps/ctrlProp81.xml><?xml version="1.0" encoding="utf-8"?>
<formControlPr xmlns="http://schemas.microsoft.com/office/spreadsheetml/2009/9/main" objectType="CheckBox" fmlaLink="$W$310" lockText="1" noThreeD="1"/>
</file>

<file path=xl/ctrlProps/ctrlProp810.xml><?xml version="1.0" encoding="utf-8"?>
<formControlPr xmlns="http://schemas.microsoft.com/office/spreadsheetml/2009/9/main" objectType="CheckBox" fmlaLink="$W$2274" lockText="1" noThreeD="1"/>
</file>

<file path=xl/ctrlProps/ctrlProp811.xml><?xml version="1.0" encoding="utf-8"?>
<formControlPr xmlns="http://schemas.microsoft.com/office/spreadsheetml/2009/9/main" objectType="CheckBox" fmlaLink="$W$2275" lockText="1" noThreeD="1"/>
</file>

<file path=xl/ctrlProps/ctrlProp812.xml><?xml version="1.0" encoding="utf-8"?>
<formControlPr xmlns="http://schemas.microsoft.com/office/spreadsheetml/2009/9/main" objectType="CheckBox" fmlaLink="$W$2281" lockText="1" noThreeD="1"/>
</file>

<file path=xl/ctrlProps/ctrlProp813.xml><?xml version="1.0" encoding="utf-8"?>
<formControlPr xmlns="http://schemas.microsoft.com/office/spreadsheetml/2009/9/main" objectType="CheckBox" fmlaLink="$W$2285" lockText="1" noThreeD="1"/>
</file>

<file path=xl/ctrlProps/ctrlProp814.xml><?xml version="1.0" encoding="utf-8"?>
<formControlPr xmlns="http://schemas.microsoft.com/office/spreadsheetml/2009/9/main" objectType="CheckBox" fmlaLink="$W$2287" lockText="1" noThreeD="1"/>
</file>

<file path=xl/ctrlProps/ctrlProp815.xml><?xml version="1.0" encoding="utf-8"?>
<formControlPr xmlns="http://schemas.microsoft.com/office/spreadsheetml/2009/9/main" objectType="CheckBox" fmlaLink="$W$2289" lockText="1" noThreeD="1"/>
</file>

<file path=xl/ctrlProps/ctrlProp816.xml><?xml version="1.0" encoding="utf-8"?>
<formControlPr xmlns="http://schemas.microsoft.com/office/spreadsheetml/2009/9/main" objectType="CheckBox" fmlaLink="$W$2290" lockText="1" noThreeD="1"/>
</file>

<file path=xl/ctrlProps/ctrlProp817.xml><?xml version="1.0" encoding="utf-8"?>
<formControlPr xmlns="http://schemas.microsoft.com/office/spreadsheetml/2009/9/main" objectType="CheckBox" fmlaLink="$W$2292" lockText="1" noThreeD="1"/>
</file>

<file path=xl/ctrlProps/ctrlProp818.xml><?xml version="1.0" encoding="utf-8"?>
<formControlPr xmlns="http://schemas.microsoft.com/office/spreadsheetml/2009/9/main" objectType="CheckBox" fmlaLink="$W$2294" lockText="1" noThreeD="1"/>
</file>

<file path=xl/ctrlProps/ctrlProp819.xml><?xml version="1.0" encoding="utf-8"?>
<formControlPr xmlns="http://schemas.microsoft.com/office/spreadsheetml/2009/9/main" objectType="CheckBox" fmlaLink="$W$2295" lockText="1" noThreeD="1"/>
</file>

<file path=xl/ctrlProps/ctrlProp82.xml><?xml version="1.0" encoding="utf-8"?>
<formControlPr xmlns="http://schemas.microsoft.com/office/spreadsheetml/2009/9/main" objectType="CheckBox" fmlaLink="$W$313" lockText="1" noThreeD="1"/>
</file>

<file path=xl/ctrlProps/ctrlProp820.xml><?xml version="1.0" encoding="utf-8"?>
<formControlPr xmlns="http://schemas.microsoft.com/office/spreadsheetml/2009/9/main" objectType="CheckBox" fmlaLink="$W$2297" lockText="1" noThreeD="1"/>
</file>

<file path=xl/ctrlProps/ctrlProp821.xml><?xml version="1.0" encoding="utf-8"?>
<formControlPr xmlns="http://schemas.microsoft.com/office/spreadsheetml/2009/9/main" objectType="CheckBox" fmlaLink="$W$2299" lockText="1" noThreeD="1"/>
</file>

<file path=xl/ctrlProps/ctrlProp822.xml><?xml version="1.0" encoding="utf-8"?>
<formControlPr xmlns="http://schemas.microsoft.com/office/spreadsheetml/2009/9/main" objectType="CheckBox" fmlaLink="$W$2301" lockText="1" noThreeD="1"/>
</file>

<file path=xl/ctrlProps/ctrlProp823.xml><?xml version="1.0" encoding="utf-8"?>
<formControlPr xmlns="http://schemas.microsoft.com/office/spreadsheetml/2009/9/main" objectType="CheckBox" fmlaLink="$W$2302" lockText="1" noThreeD="1"/>
</file>

<file path=xl/ctrlProps/ctrlProp824.xml><?xml version="1.0" encoding="utf-8"?>
<formControlPr xmlns="http://schemas.microsoft.com/office/spreadsheetml/2009/9/main" objectType="CheckBox" fmlaLink="$W$2303" lockText="1" noThreeD="1"/>
</file>

<file path=xl/ctrlProps/ctrlProp825.xml><?xml version="1.0" encoding="utf-8"?>
<formControlPr xmlns="http://schemas.microsoft.com/office/spreadsheetml/2009/9/main" objectType="CheckBox" fmlaLink="$W$2325" lockText="1" noThreeD="1"/>
</file>

<file path=xl/ctrlProps/ctrlProp826.xml><?xml version="1.0" encoding="utf-8"?>
<formControlPr xmlns="http://schemas.microsoft.com/office/spreadsheetml/2009/9/main" objectType="CheckBox" fmlaLink="$W$2328" lockText="1" noThreeD="1"/>
</file>

<file path=xl/ctrlProps/ctrlProp827.xml><?xml version="1.0" encoding="utf-8"?>
<formControlPr xmlns="http://schemas.microsoft.com/office/spreadsheetml/2009/9/main" objectType="CheckBox" fmlaLink="$W$2331" lockText="1" noThreeD="1"/>
</file>

<file path=xl/ctrlProps/ctrlProp828.xml><?xml version="1.0" encoding="utf-8"?>
<formControlPr xmlns="http://schemas.microsoft.com/office/spreadsheetml/2009/9/main" objectType="CheckBox" fmlaLink="$W$2333" lockText="1" noThreeD="1"/>
</file>

<file path=xl/ctrlProps/ctrlProp829.xml><?xml version="1.0" encoding="utf-8"?>
<formControlPr xmlns="http://schemas.microsoft.com/office/spreadsheetml/2009/9/main" objectType="CheckBox" fmlaLink="$W$2334" lockText="1" noThreeD="1"/>
</file>

<file path=xl/ctrlProps/ctrlProp83.xml><?xml version="1.0" encoding="utf-8"?>
<formControlPr xmlns="http://schemas.microsoft.com/office/spreadsheetml/2009/9/main" objectType="CheckBox" fmlaLink="$W$316" lockText="1" noThreeD="1"/>
</file>

<file path=xl/ctrlProps/ctrlProp830.xml><?xml version="1.0" encoding="utf-8"?>
<formControlPr xmlns="http://schemas.microsoft.com/office/spreadsheetml/2009/9/main" objectType="CheckBox" fmlaLink="$W$2336" lockText="1" noThreeD="1"/>
</file>

<file path=xl/ctrlProps/ctrlProp831.xml><?xml version="1.0" encoding="utf-8"?>
<formControlPr xmlns="http://schemas.microsoft.com/office/spreadsheetml/2009/9/main" objectType="CheckBox" fmlaLink="$W$2337" lockText="1" noThreeD="1"/>
</file>

<file path=xl/ctrlProps/ctrlProp832.xml><?xml version="1.0" encoding="utf-8"?>
<formControlPr xmlns="http://schemas.microsoft.com/office/spreadsheetml/2009/9/main" objectType="CheckBox" fmlaLink="$W$2338" lockText="1" noThreeD="1"/>
</file>

<file path=xl/ctrlProps/ctrlProp833.xml><?xml version="1.0" encoding="utf-8"?>
<formControlPr xmlns="http://schemas.microsoft.com/office/spreadsheetml/2009/9/main" objectType="CheckBox" fmlaLink="$W$2344" lockText="1" noThreeD="1"/>
</file>

<file path=xl/ctrlProps/ctrlProp834.xml><?xml version="1.0" encoding="utf-8"?>
<formControlPr xmlns="http://schemas.microsoft.com/office/spreadsheetml/2009/9/main" objectType="CheckBox" fmlaLink="$W$2346" lockText="1" noThreeD="1"/>
</file>

<file path=xl/ctrlProps/ctrlProp835.xml><?xml version="1.0" encoding="utf-8"?>
<formControlPr xmlns="http://schemas.microsoft.com/office/spreadsheetml/2009/9/main" objectType="CheckBox" fmlaLink="$W$2349" lockText="1" noThreeD="1"/>
</file>

<file path=xl/ctrlProps/ctrlProp836.xml><?xml version="1.0" encoding="utf-8"?>
<formControlPr xmlns="http://schemas.microsoft.com/office/spreadsheetml/2009/9/main" objectType="CheckBox" fmlaLink="$W$2351" lockText="1" noThreeD="1"/>
</file>

<file path=xl/ctrlProps/ctrlProp837.xml><?xml version="1.0" encoding="utf-8"?>
<formControlPr xmlns="http://schemas.microsoft.com/office/spreadsheetml/2009/9/main" objectType="CheckBox" fmlaLink="$W$2354" lockText="1" noThreeD="1"/>
</file>

<file path=xl/ctrlProps/ctrlProp838.xml><?xml version="1.0" encoding="utf-8"?>
<formControlPr xmlns="http://schemas.microsoft.com/office/spreadsheetml/2009/9/main" objectType="CheckBox" fmlaLink="$W$2356" lockText="1" noThreeD="1"/>
</file>

<file path=xl/ctrlProps/ctrlProp839.xml><?xml version="1.0" encoding="utf-8"?>
<formControlPr xmlns="http://schemas.microsoft.com/office/spreadsheetml/2009/9/main" objectType="CheckBox" fmlaLink="$W$2357" lockText="1" noThreeD="1"/>
</file>

<file path=xl/ctrlProps/ctrlProp84.xml><?xml version="1.0" encoding="utf-8"?>
<formControlPr xmlns="http://schemas.microsoft.com/office/spreadsheetml/2009/9/main" objectType="CheckBox" fmlaLink="$W$317" lockText="1" noThreeD="1"/>
</file>

<file path=xl/ctrlProps/ctrlProp840.xml><?xml version="1.0" encoding="utf-8"?>
<formControlPr xmlns="http://schemas.microsoft.com/office/spreadsheetml/2009/9/main" objectType="CheckBox" fmlaLink="$W$2359" lockText="1" noThreeD="1"/>
</file>

<file path=xl/ctrlProps/ctrlProp841.xml><?xml version="1.0" encoding="utf-8"?>
<formControlPr xmlns="http://schemas.microsoft.com/office/spreadsheetml/2009/9/main" objectType="CheckBox" fmlaLink="$W$2361" lockText="1" noThreeD="1"/>
</file>

<file path=xl/ctrlProps/ctrlProp842.xml><?xml version="1.0" encoding="utf-8"?>
<formControlPr xmlns="http://schemas.microsoft.com/office/spreadsheetml/2009/9/main" objectType="CheckBox" fmlaLink="$W$2362" lockText="1" noThreeD="1"/>
</file>

<file path=xl/ctrlProps/ctrlProp843.xml><?xml version="1.0" encoding="utf-8"?>
<formControlPr xmlns="http://schemas.microsoft.com/office/spreadsheetml/2009/9/main" objectType="CheckBox" fmlaLink="$W$2365" lockText="1" noThreeD="1"/>
</file>

<file path=xl/ctrlProps/ctrlProp844.xml><?xml version="1.0" encoding="utf-8"?>
<formControlPr xmlns="http://schemas.microsoft.com/office/spreadsheetml/2009/9/main" objectType="CheckBox" fmlaLink="$W$2371" lockText="1" noThreeD="1"/>
</file>

<file path=xl/ctrlProps/ctrlProp845.xml><?xml version="1.0" encoding="utf-8"?>
<formControlPr xmlns="http://schemas.microsoft.com/office/spreadsheetml/2009/9/main" objectType="CheckBox" fmlaLink="$W$2373" lockText="1" noThreeD="1"/>
</file>

<file path=xl/ctrlProps/ctrlProp846.xml><?xml version="1.0" encoding="utf-8"?>
<formControlPr xmlns="http://schemas.microsoft.com/office/spreadsheetml/2009/9/main" objectType="CheckBox" fmlaLink="$W$2377" lockText="1" noThreeD="1"/>
</file>

<file path=xl/ctrlProps/ctrlProp847.xml><?xml version="1.0" encoding="utf-8"?>
<formControlPr xmlns="http://schemas.microsoft.com/office/spreadsheetml/2009/9/main" objectType="CheckBox" fmlaLink="$W$2384" lockText="1" noThreeD="1"/>
</file>

<file path=xl/ctrlProps/ctrlProp848.xml><?xml version="1.0" encoding="utf-8"?>
<formControlPr xmlns="http://schemas.microsoft.com/office/spreadsheetml/2009/9/main" objectType="CheckBox" fmlaLink="$W$2386" lockText="1" noThreeD="1"/>
</file>

<file path=xl/ctrlProps/ctrlProp849.xml><?xml version="1.0" encoding="utf-8"?>
<formControlPr xmlns="http://schemas.microsoft.com/office/spreadsheetml/2009/9/main" objectType="CheckBox" fmlaLink="$W$2387" lockText="1" noThreeD="1"/>
</file>

<file path=xl/ctrlProps/ctrlProp85.xml><?xml version="1.0" encoding="utf-8"?>
<formControlPr xmlns="http://schemas.microsoft.com/office/spreadsheetml/2009/9/main" objectType="CheckBox" fmlaLink="$W$322" lockText="1" noThreeD="1"/>
</file>

<file path=xl/ctrlProps/ctrlProp850.xml><?xml version="1.0" encoding="utf-8"?>
<formControlPr xmlns="http://schemas.microsoft.com/office/spreadsheetml/2009/9/main" objectType="CheckBox" fmlaLink="$W$2389" lockText="1" noThreeD="1"/>
</file>

<file path=xl/ctrlProps/ctrlProp851.xml><?xml version="1.0" encoding="utf-8"?>
<formControlPr xmlns="http://schemas.microsoft.com/office/spreadsheetml/2009/9/main" objectType="CheckBox" fmlaLink="$W$2390" lockText="1" noThreeD="1"/>
</file>

<file path=xl/ctrlProps/ctrlProp852.xml><?xml version="1.0" encoding="utf-8"?>
<formControlPr xmlns="http://schemas.microsoft.com/office/spreadsheetml/2009/9/main" objectType="CheckBox" fmlaLink="$W$2391" lockText="1" noThreeD="1"/>
</file>

<file path=xl/ctrlProps/ctrlProp853.xml><?xml version="1.0" encoding="utf-8"?>
<formControlPr xmlns="http://schemas.microsoft.com/office/spreadsheetml/2009/9/main" objectType="CheckBox" fmlaLink="$W$2392" lockText="1" noThreeD="1"/>
</file>

<file path=xl/ctrlProps/ctrlProp854.xml><?xml version="1.0" encoding="utf-8"?>
<formControlPr xmlns="http://schemas.microsoft.com/office/spreadsheetml/2009/9/main" objectType="CheckBox" fmlaLink="$W$2395" lockText="1" noThreeD="1"/>
</file>

<file path=xl/ctrlProps/ctrlProp855.xml><?xml version="1.0" encoding="utf-8"?>
<formControlPr xmlns="http://schemas.microsoft.com/office/spreadsheetml/2009/9/main" objectType="CheckBox" fmlaLink="$W$2436" lockText="1" noThreeD="1"/>
</file>

<file path=xl/ctrlProps/ctrlProp856.xml><?xml version="1.0" encoding="utf-8"?>
<formControlPr xmlns="http://schemas.microsoft.com/office/spreadsheetml/2009/9/main" objectType="CheckBox" fmlaLink="$W$2438" lockText="1" noThreeD="1"/>
</file>

<file path=xl/ctrlProps/ctrlProp857.xml><?xml version="1.0" encoding="utf-8"?>
<formControlPr xmlns="http://schemas.microsoft.com/office/spreadsheetml/2009/9/main" objectType="CheckBox" fmlaLink="$W$2441" lockText="1" noThreeD="1"/>
</file>

<file path=xl/ctrlProps/ctrlProp858.xml><?xml version="1.0" encoding="utf-8"?>
<formControlPr xmlns="http://schemas.microsoft.com/office/spreadsheetml/2009/9/main" objectType="CheckBox" fmlaLink="$W$2454" lockText="1" noThreeD="1"/>
</file>

<file path=xl/ctrlProps/ctrlProp859.xml><?xml version="1.0" encoding="utf-8"?>
<formControlPr xmlns="http://schemas.microsoft.com/office/spreadsheetml/2009/9/main" objectType="CheckBox" fmlaLink="$W$2456" lockText="1" noThreeD="1"/>
</file>

<file path=xl/ctrlProps/ctrlProp86.xml><?xml version="1.0" encoding="utf-8"?>
<formControlPr xmlns="http://schemas.microsoft.com/office/spreadsheetml/2009/9/main" objectType="CheckBox" fmlaLink="$W$324" lockText="1" noThreeD="1"/>
</file>

<file path=xl/ctrlProps/ctrlProp860.xml><?xml version="1.0" encoding="utf-8"?>
<formControlPr xmlns="http://schemas.microsoft.com/office/spreadsheetml/2009/9/main" objectType="CheckBox" fmlaLink="$W$1921" lockText="1" noThreeD="1"/>
</file>

<file path=xl/ctrlProps/ctrlProp861.xml><?xml version="1.0" encoding="utf-8"?>
<formControlPr xmlns="http://schemas.microsoft.com/office/spreadsheetml/2009/9/main" objectType="CheckBox" fmlaLink="$W$1515" lockText="1" noThreeD="1"/>
</file>

<file path=xl/ctrlProps/ctrlProp862.xml><?xml version="1.0" encoding="utf-8"?>
<formControlPr xmlns="http://schemas.microsoft.com/office/spreadsheetml/2009/9/main" objectType="CheckBox" fmlaLink="$W$50" lockText="1" noThreeD="1"/>
</file>

<file path=xl/ctrlProps/ctrlProp863.xml><?xml version="1.0" encoding="utf-8"?>
<formControlPr xmlns="http://schemas.microsoft.com/office/spreadsheetml/2009/9/main" objectType="CheckBox" fmlaLink="$W$52" lockText="1" noThreeD="1"/>
</file>

<file path=xl/ctrlProps/ctrlProp864.xml><?xml version="1.0" encoding="utf-8"?>
<formControlPr xmlns="http://schemas.microsoft.com/office/spreadsheetml/2009/9/main" objectType="CheckBox" fmlaLink="$W$55" lockText="1" noThreeD="1"/>
</file>

<file path=xl/ctrlProps/ctrlProp865.xml><?xml version="1.0" encoding="utf-8"?>
<formControlPr xmlns="http://schemas.microsoft.com/office/spreadsheetml/2009/9/main" objectType="CheckBox" fmlaLink="$W$83" lockText="1" noThreeD="1"/>
</file>

<file path=xl/ctrlProps/ctrlProp866.xml><?xml version="1.0" encoding="utf-8"?>
<formControlPr xmlns="http://schemas.microsoft.com/office/spreadsheetml/2009/9/main" objectType="CheckBox" fmlaLink="$W$140" lockText="1" noThreeD="1"/>
</file>

<file path=xl/ctrlProps/ctrlProp867.xml><?xml version="1.0" encoding="utf-8"?>
<formControlPr xmlns="http://schemas.microsoft.com/office/spreadsheetml/2009/9/main" objectType="CheckBox" fmlaLink="$W$142" lockText="1" noThreeD="1"/>
</file>

<file path=xl/ctrlProps/ctrlProp868.xml><?xml version="1.0" encoding="utf-8"?>
<formControlPr xmlns="http://schemas.microsoft.com/office/spreadsheetml/2009/9/main" objectType="CheckBox" fmlaLink="$W$162" lockText="1" noThreeD="1"/>
</file>

<file path=xl/ctrlProps/ctrlProp869.xml><?xml version="1.0" encoding="utf-8"?>
<formControlPr xmlns="http://schemas.microsoft.com/office/spreadsheetml/2009/9/main" objectType="CheckBox" fmlaLink="$W$288" lockText="1" noThreeD="1"/>
</file>

<file path=xl/ctrlProps/ctrlProp87.xml><?xml version="1.0" encoding="utf-8"?>
<formControlPr xmlns="http://schemas.microsoft.com/office/spreadsheetml/2009/9/main" objectType="CheckBox" fmlaLink="$W$326" lockText="1" noThreeD="1"/>
</file>

<file path=xl/ctrlProps/ctrlProp870.xml><?xml version="1.0" encoding="utf-8"?>
<formControlPr xmlns="http://schemas.microsoft.com/office/spreadsheetml/2009/9/main" objectType="CheckBox" fmlaLink="$W$291" lockText="1" noThreeD="1"/>
</file>

<file path=xl/ctrlProps/ctrlProp871.xml><?xml version="1.0" encoding="utf-8"?>
<formControlPr xmlns="http://schemas.microsoft.com/office/spreadsheetml/2009/9/main" objectType="CheckBox" fmlaLink="$W$292" lockText="1" noThreeD="1"/>
</file>

<file path=xl/ctrlProps/ctrlProp872.xml><?xml version="1.0" encoding="utf-8"?>
<formControlPr xmlns="http://schemas.microsoft.com/office/spreadsheetml/2009/9/main" objectType="CheckBox" fmlaLink="$W$305" lockText="1" noThreeD="1"/>
</file>

<file path=xl/ctrlProps/ctrlProp873.xml><?xml version="1.0" encoding="utf-8"?>
<formControlPr xmlns="http://schemas.microsoft.com/office/spreadsheetml/2009/9/main" objectType="CheckBox" fmlaLink="$W$309" lockText="1" noThreeD="1"/>
</file>

<file path=xl/ctrlProps/ctrlProp874.xml><?xml version="1.0" encoding="utf-8"?>
<formControlPr xmlns="http://schemas.microsoft.com/office/spreadsheetml/2009/9/main" objectType="CheckBox" fmlaLink="$W$312" lockText="1" noThreeD="1"/>
</file>

<file path=xl/ctrlProps/ctrlProp875.xml><?xml version="1.0" encoding="utf-8"?>
<formControlPr xmlns="http://schemas.microsoft.com/office/spreadsheetml/2009/9/main" objectType="CheckBox" fmlaLink="$W$315" lockText="1" noThreeD="1"/>
</file>

<file path=xl/ctrlProps/ctrlProp876.xml><?xml version="1.0" encoding="utf-8"?>
<formControlPr xmlns="http://schemas.microsoft.com/office/spreadsheetml/2009/9/main" objectType="CheckBox" fmlaLink="$W$316" lockText="1" noThreeD="1"/>
</file>

<file path=xl/ctrlProps/ctrlProp877.xml><?xml version="1.0" encoding="utf-8"?>
<formControlPr xmlns="http://schemas.microsoft.com/office/spreadsheetml/2009/9/main" objectType="CheckBox" fmlaLink="$W$321" lockText="1" noThreeD="1"/>
</file>

<file path=xl/ctrlProps/ctrlProp878.xml><?xml version="1.0" encoding="utf-8"?>
<formControlPr xmlns="http://schemas.microsoft.com/office/spreadsheetml/2009/9/main" objectType="CheckBox" fmlaLink="$W$323" lockText="1" noThreeD="1"/>
</file>

<file path=xl/ctrlProps/ctrlProp879.xml><?xml version="1.0" encoding="utf-8"?>
<formControlPr xmlns="http://schemas.microsoft.com/office/spreadsheetml/2009/9/main" objectType="CheckBox" fmlaLink="$W$325" lockText="1" noThreeD="1"/>
</file>

<file path=xl/ctrlProps/ctrlProp88.xml><?xml version="1.0" encoding="utf-8"?>
<formControlPr xmlns="http://schemas.microsoft.com/office/spreadsheetml/2009/9/main" objectType="CheckBox" fmlaLink="$W$31" lockText="1" noThreeD="1"/>
</file>

<file path=xl/ctrlProps/ctrlProp880.xml><?xml version="1.0" encoding="utf-8"?>
<formControlPr xmlns="http://schemas.microsoft.com/office/spreadsheetml/2009/9/main" objectType="CheckBox" fmlaLink="$W$538" lockText="1" noThreeD="1"/>
</file>

<file path=xl/ctrlProps/ctrlProp881.xml><?xml version="1.0" encoding="utf-8"?>
<formControlPr xmlns="http://schemas.microsoft.com/office/spreadsheetml/2009/9/main" objectType="CheckBox" fmlaLink="$W$593" lockText="1" noThreeD="1"/>
</file>

<file path=xl/ctrlProps/ctrlProp882.xml><?xml version="1.0" encoding="utf-8"?>
<formControlPr xmlns="http://schemas.microsoft.com/office/spreadsheetml/2009/9/main" objectType="CheckBox" fmlaLink="$W$911" lockText="1" noThreeD="1"/>
</file>

<file path=xl/ctrlProps/ctrlProp883.xml><?xml version="1.0" encoding="utf-8"?>
<formControlPr xmlns="http://schemas.microsoft.com/office/spreadsheetml/2009/9/main" objectType="CheckBox" fmlaLink="$W$912" lockText="1" noThreeD="1"/>
</file>

<file path=xl/ctrlProps/ctrlProp884.xml><?xml version="1.0" encoding="utf-8"?>
<formControlPr xmlns="http://schemas.microsoft.com/office/spreadsheetml/2009/9/main" objectType="CheckBox" fmlaLink="$W$915" lockText="1" noThreeD="1"/>
</file>

<file path=xl/ctrlProps/ctrlProp885.xml><?xml version="1.0" encoding="utf-8"?>
<formControlPr xmlns="http://schemas.microsoft.com/office/spreadsheetml/2009/9/main" objectType="CheckBox" fmlaLink="$W$920" lockText="1" noThreeD="1"/>
</file>

<file path=xl/ctrlProps/ctrlProp886.xml><?xml version="1.0" encoding="utf-8"?>
<formControlPr xmlns="http://schemas.microsoft.com/office/spreadsheetml/2009/9/main" objectType="CheckBox" fmlaLink="$W$921" lockText="1" noThreeD="1"/>
</file>

<file path=xl/ctrlProps/ctrlProp887.xml><?xml version="1.0" encoding="utf-8"?>
<formControlPr xmlns="http://schemas.microsoft.com/office/spreadsheetml/2009/9/main" objectType="CheckBox" fmlaLink="$W$922" lockText="1" noThreeD="1"/>
</file>

<file path=xl/ctrlProps/ctrlProp888.xml><?xml version="1.0" encoding="utf-8"?>
<formControlPr xmlns="http://schemas.microsoft.com/office/spreadsheetml/2009/9/main" objectType="CheckBox" fmlaLink="$W$924" lockText="1" noThreeD="1"/>
</file>

<file path=xl/ctrlProps/ctrlProp889.xml><?xml version="1.0" encoding="utf-8"?>
<formControlPr xmlns="http://schemas.microsoft.com/office/spreadsheetml/2009/9/main" objectType="CheckBox" fmlaLink="$W$925" lockText="1" noThreeD="1"/>
</file>

<file path=xl/ctrlProps/ctrlProp89.xml><?xml version="1.0" encoding="utf-8"?>
<formControlPr xmlns="http://schemas.microsoft.com/office/spreadsheetml/2009/9/main" objectType="CheckBox" fmlaLink="$W$34" lockText="1" noThreeD="1"/>
</file>

<file path=xl/ctrlProps/ctrlProp890.xml><?xml version="1.0" encoding="utf-8"?>
<formControlPr xmlns="http://schemas.microsoft.com/office/spreadsheetml/2009/9/main" objectType="CheckBox" fmlaLink="$W$926" lockText="1" noThreeD="1"/>
</file>

<file path=xl/ctrlProps/ctrlProp891.xml><?xml version="1.0" encoding="utf-8"?>
<formControlPr xmlns="http://schemas.microsoft.com/office/spreadsheetml/2009/9/main" objectType="CheckBox" fmlaLink="$W$927" lockText="1" noThreeD="1"/>
</file>

<file path=xl/ctrlProps/ctrlProp892.xml><?xml version="1.0" encoding="utf-8"?>
<formControlPr xmlns="http://schemas.microsoft.com/office/spreadsheetml/2009/9/main" objectType="CheckBox" fmlaLink="$W$929" lockText="1" noThreeD="1"/>
</file>

<file path=xl/ctrlProps/ctrlProp893.xml><?xml version="1.0" encoding="utf-8"?>
<formControlPr xmlns="http://schemas.microsoft.com/office/spreadsheetml/2009/9/main" objectType="CheckBox" fmlaLink="$W$1462" lockText="1" noThreeD="1"/>
</file>

<file path=xl/ctrlProps/ctrlProp894.xml><?xml version="1.0" encoding="utf-8"?>
<formControlPr xmlns="http://schemas.microsoft.com/office/spreadsheetml/2009/9/main" objectType="CheckBox" fmlaLink="$W$1465" lockText="1" noThreeD="1"/>
</file>

<file path=xl/ctrlProps/ctrlProp895.xml><?xml version="1.0" encoding="utf-8"?>
<formControlPr xmlns="http://schemas.microsoft.com/office/spreadsheetml/2009/9/main" objectType="CheckBox" fmlaLink="$W$1476" lockText="1" noThreeD="1"/>
</file>

<file path=xl/ctrlProps/ctrlProp896.xml><?xml version="1.0" encoding="utf-8"?>
<formControlPr xmlns="http://schemas.microsoft.com/office/spreadsheetml/2009/9/main" objectType="CheckBox" fmlaLink="$W$1478" lockText="1" noThreeD="1"/>
</file>

<file path=xl/ctrlProps/ctrlProp897.xml><?xml version="1.0" encoding="utf-8"?>
<formControlPr xmlns="http://schemas.microsoft.com/office/spreadsheetml/2009/9/main" objectType="CheckBox" fmlaLink="$W$1502" lockText="1" noThreeD="1"/>
</file>

<file path=xl/ctrlProps/ctrlProp898.xml><?xml version="1.0" encoding="utf-8"?>
<formControlPr xmlns="http://schemas.microsoft.com/office/spreadsheetml/2009/9/main" objectType="CheckBox" fmlaLink="$W$1504" lockText="1" noThreeD="1"/>
</file>

<file path=xl/ctrlProps/ctrlProp899.xml><?xml version="1.0" encoding="utf-8"?>
<formControlPr xmlns="http://schemas.microsoft.com/office/spreadsheetml/2009/9/main" objectType="CheckBox" fmlaLink="$W$1581" lockText="1" noThreeD="1"/>
</file>

<file path=xl/ctrlProps/ctrlProp9.xml><?xml version="1.0" encoding="utf-8"?>
<formControlPr xmlns="http://schemas.microsoft.com/office/spreadsheetml/2009/9/main" objectType="CheckBox" fmlaLink="$W$28" lockText="1" noThreeD="1"/>
</file>

<file path=xl/ctrlProps/ctrlProp90.xml><?xml version="1.0" encoding="utf-8"?>
<formControlPr xmlns="http://schemas.microsoft.com/office/spreadsheetml/2009/9/main" objectType="CheckBox" fmlaLink="$W$37" lockText="1" noThreeD="1"/>
</file>

<file path=xl/ctrlProps/ctrlProp900.xml><?xml version="1.0" encoding="utf-8"?>
<formControlPr xmlns="http://schemas.microsoft.com/office/spreadsheetml/2009/9/main" objectType="CheckBox" fmlaLink="$W$1606" lockText="1" noThreeD="1"/>
</file>

<file path=xl/ctrlProps/ctrlProp901.xml><?xml version="1.0" encoding="utf-8"?>
<formControlPr xmlns="http://schemas.microsoft.com/office/spreadsheetml/2009/9/main" objectType="CheckBox" fmlaLink="$W$1616" lockText="1" noThreeD="1"/>
</file>

<file path=xl/ctrlProps/ctrlProp902.xml><?xml version="1.0" encoding="utf-8"?>
<formControlPr xmlns="http://schemas.microsoft.com/office/spreadsheetml/2009/9/main" objectType="CheckBox" fmlaLink="$W$1618" lockText="1" noThreeD="1"/>
</file>

<file path=xl/ctrlProps/ctrlProp903.xml><?xml version="1.0" encoding="utf-8"?>
<formControlPr xmlns="http://schemas.microsoft.com/office/spreadsheetml/2009/9/main" objectType="CheckBox" fmlaLink="$W$1627" lockText="1" noThreeD="1"/>
</file>

<file path=xl/ctrlProps/ctrlProp904.xml><?xml version="1.0" encoding="utf-8"?>
<formControlPr xmlns="http://schemas.microsoft.com/office/spreadsheetml/2009/9/main" objectType="CheckBox" fmlaLink="$W$1631" lockText="1" noThreeD="1"/>
</file>

<file path=xl/ctrlProps/ctrlProp905.xml><?xml version="1.0" encoding="utf-8"?>
<formControlPr xmlns="http://schemas.microsoft.com/office/spreadsheetml/2009/9/main" objectType="CheckBox" fmlaLink="$W$1636" lockText="1" noThreeD="1"/>
</file>

<file path=xl/ctrlProps/ctrlProp906.xml><?xml version="1.0" encoding="utf-8"?>
<formControlPr xmlns="http://schemas.microsoft.com/office/spreadsheetml/2009/9/main" objectType="CheckBox" fmlaLink="$W$1637" lockText="1" noThreeD="1"/>
</file>

<file path=xl/ctrlProps/ctrlProp907.xml><?xml version="1.0" encoding="utf-8"?>
<formControlPr xmlns="http://schemas.microsoft.com/office/spreadsheetml/2009/9/main" objectType="CheckBox" fmlaLink="$W$1774" lockText="1" noThreeD="1"/>
</file>

<file path=xl/ctrlProps/ctrlProp908.xml><?xml version="1.0" encoding="utf-8"?>
<formControlPr xmlns="http://schemas.microsoft.com/office/spreadsheetml/2009/9/main" objectType="CheckBox" fmlaLink="$W$1793" lockText="1" noThreeD="1"/>
</file>

<file path=xl/ctrlProps/ctrlProp909.xml><?xml version="1.0" encoding="utf-8"?>
<formControlPr xmlns="http://schemas.microsoft.com/office/spreadsheetml/2009/9/main" objectType="CheckBox" fmlaLink="$W$1795" lockText="1" noThreeD="1"/>
</file>

<file path=xl/ctrlProps/ctrlProp91.xml><?xml version="1.0" encoding="utf-8"?>
<formControlPr xmlns="http://schemas.microsoft.com/office/spreadsheetml/2009/9/main" objectType="CheckBox" fmlaLink="$W$41" lockText="1" noThreeD="1"/>
</file>

<file path=xl/ctrlProps/ctrlProp910.xml><?xml version="1.0" encoding="utf-8"?>
<formControlPr xmlns="http://schemas.microsoft.com/office/spreadsheetml/2009/9/main" objectType="CheckBox" fmlaLink="$W$1797" lockText="1" noThreeD="1"/>
</file>

<file path=xl/ctrlProps/ctrlProp911.xml><?xml version="1.0" encoding="utf-8"?>
<formControlPr xmlns="http://schemas.microsoft.com/office/spreadsheetml/2009/9/main" objectType="CheckBox" fmlaLink="$W$1798" lockText="1" noThreeD="1"/>
</file>

<file path=xl/ctrlProps/ctrlProp912.xml><?xml version="1.0" encoding="utf-8"?>
<formControlPr xmlns="http://schemas.microsoft.com/office/spreadsheetml/2009/9/main" objectType="CheckBox" fmlaLink="$W$1800" lockText="1" noThreeD="1"/>
</file>

<file path=xl/ctrlProps/ctrlProp913.xml><?xml version="1.0" encoding="utf-8"?>
<formControlPr xmlns="http://schemas.microsoft.com/office/spreadsheetml/2009/9/main" objectType="CheckBox" fmlaLink="$W$1840" lockText="1" noThreeD="1"/>
</file>

<file path=xl/ctrlProps/ctrlProp914.xml><?xml version="1.0" encoding="utf-8"?>
<formControlPr xmlns="http://schemas.microsoft.com/office/spreadsheetml/2009/9/main" objectType="CheckBox" fmlaLink="$W$2030" lockText="1" noThreeD="1"/>
</file>

<file path=xl/ctrlProps/ctrlProp915.xml><?xml version="1.0" encoding="utf-8"?>
<formControlPr xmlns="http://schemas.microsoft.com/office/spreadsheetml/2009/9/main" objectType="CheckBox" fmlaLink="$W$2081" lockText="1" noThreeD="1"/>
</file>

<file path=xl/ctrlProps/ctrlProp916.xml><?xml version="1.0" encoding="utf-8"?>
<formControlPr xmlns="http://schemas.microsoft.com/office/spreadsheetml/2009/9/main" objectType="CheckBox" fmlaLink="$W$2152" lockText="1" noThreeD="1"/>
</file>

<file path=xl/ctrlProps/ctrlProp917.xml><?xml version="1.0" encoding="utf-8"?>
<formControlPr xmlns="http://schemas.microsoft.com/office/spreadsheetml/2009/9/main" objectType="CheckBox" fmlaLink="$W$2154" lockText="1" noThreeD="1"/>
</file>

<file path=xl/ctrlProps/ctrlProp918.xml><?xml version="1.0" encoding="utf-8"?>
<formControlPr xmlns="http://schemas.microsoft.com/office/spreadsheetml/2009/9/main" objectType="CheckBox" fmlaLink="$W$2185" lockText="1" noThreeD="1"/>
</file>

<file path=xl/ctrlProps/ctrlProp919.xml><?xml version="1.0" encoding="utf-8"?>
<formControlPr xmlns="http://schemas.microsoft.com/office/spreadsheetml/2009/9/main" objectType="CheckBox" fmlaLink="$W$2220" lockText="1" noThreeD="1"/>
</file>

<file path=xl/ctrlProps/ctrlProp92.xml><?xml version="1.0" encoding="utf-8"?>
<formControlPr xmlns="http://schemas.microsoft.com/office/spreadsheetml/2009/9/main" objectType="CheckBox" fmlaLink="$W$42" lockText="1" noThreeD="1"/>
</file>

<file path=xl/ctrlProps/ctrlProp920.xml><?xml version="1.0" encoding="utf-8"?>
<formControlPr xmlns="http://schemas.microsoft.com/office/spreadsheetml/2009/9/main" objectType="CheckBox" fmlaLink="$W$2228" lockText="1" noThreeD="1"/>
</file>

<file path=xl/ctrlProps/ctrlProp921.xml><?xml version="1.0" encoding="utf-8"?>
<formControlPr xmlns="http://schemas.microsoft.com/office/spreadsheetml/2009/9/main" objectType="CheckBox" fmlaLink="$W$2240" lockText="1" noThreeD="1"/>
</file>

<file path=xl/ctrlProps/ctrlProp922.xml><?xml version="1.0" encoding="utf-8"?>
<formControlPr xmlns="http://schemas.microsoft.com/office/spreadsheetml/2009/9/main" objectType="CheckBox" fmlaLink="$W$2241" lockText="1" noThreeD="1"/>
</file>

<file path=xl/ctrlProps/ctrlProp923.xml><?xml version="1.0" encoding="utf-8"?>
<formControlPr xmlns="http://schemas.microsoft.com/office/spreadsheetml/2009/9/main" objectType="CheckBox" fmlaLink="$W$2243" lockText="1" noThreeD="1"/>
</file>

<file path=xl/ctrlProps/ctrlProp924.xml><?xml version="1.0" encoding="utf-8"?>
<formControlPr xmlns="http://schemas.microsoft.com/office/spreadsheetml/2009/9/main" objectType="CheckBox" fmlaLink="$W$2248" lockText="1" noThreeD="1"/>
</file>

<file path=xl/ctrlProps/ctrlProp925.xml><?xml version="1.0" encoding="utf-8"?>
<formControlPr xmlns="http://schemas.microsoft.com/office/spreadsheetml/2009/9/main" objectType="CheckBox" fmlaLink="$W$2393" lockText="1" noThreeD="1"/>
</file>

<file path=xl/ctrlProps/ctrlProp926.xml><?xml version="1.0" encoding="utf-8"?>
<formControlPr xmlns="http://schemas.microsoft.com/office/spreadsheetml/2009/9/main" objectType="CheckBox" fmlaLink="$W$2410" lockText="1" noThreeD="1"/>
</file>

<file path=xl/ctrlProps/ctrlProp927.xml><?xml version="1.0" encoding="utf-8"?>
<formControlPr xmlns="http://schemas.microsoft.com/office/spreadsheetml/2009/9/main" objectType="CheckBox" fmlaLink="$W$2411" lockText="1" noThreeD="1"/>
</file>

<file path=xl/ctrlProps/ctrlProp928.xml><?xml version="1.0" encoding="utf-8"?>
<formControlPr xmlns="http://schemas.microsoft.com/office/spreadsheetml/2009/9/main" objectType="CheckBox" fmlaLink="$W$2412" lockText="1" noThreeD="1"/>
</file>

<file path=xl/ctrlProps/ctrlProp929.xml><?xml version="1.0" encoding="utf-8"?>
<formControlPr xmlns="http://schemas.microsoft.com/office/spreadsheetml/2009/9/main" objectType="CheckBox" fmlaLink="$W$2414" lockText="1" noThreeD="1"/>
</file>

<file path=xl/ctrlProps/ctrlProp93.xml><?xml version="1.0" encoding="utf-8"?>
<formControlPr xmlns="http://schemas.microsoft.com/office/spreadsheetml/2009/9/main" objectType="CheckBox" fmlaLink="$W$43" lockText="1" noThreeD="1"/>
</file>

<file path=xl/ctrlProps/ctrlProp930.xml><?xml version="1.0" encoding="utf-8"?>
<formControlPr xmlns="http://schemas.microsoft.com/office/spreadsheetml/2009/9/main" objectType="CheckBox" fmlaLink="$W$2415" lockText="1" noThreeD="1"/>
</file>

<file path=xl/ctrlProps/ctrlProp931.xml><?xml version="1.0" encoding="utf-8"?>
<formControlPr xmlns="http://schemas.microsoft.com/office/spreadsheetml/2009/9/main" objectType="CheckBox" fmlaLink="$W$2416" lockText="1" noThreeD="1"/>
</file>

<file path=xl/ctrlProps/ctrlProp932.xml><?xml version="1.0" encoding="utf-8"?>
<formControlPr xmlns="http://schemas.microsoft.com/office/spreadsheetml/2009/9/main" objectType="CheckBox" fmlaLink="$W$2417" lockText="1" noThreeD="1"/>
</file>

<file path=xl/ctrlProps/ctrlProp933.xml><?xml version="1.0" encoding="utf-8"?>
<formControlPr xmlns="http://schemas.microsoft.com/office/spreadsheetml/2009/9/main" objectType="CheckBox" fmlaLink="$W$2418" lockText="1" noThreeD="1"/>
</file>

<file path=xl/ctrlProps/ctrlProp934.xml><?xml version="1.0" encoding="utf-8"?>
<formControlPr xmlns="http://schemas.microsoft.com/office/spreadsheetml/2009/9/main" objectType="CheckBox" fmlaLink="$W$2419" lockText="1" noThreeD="1"/>
</file>

<file path=xl/ctrlProps/ctrlProp935.xml><?xml version="1.0" encoding="utf-8"?>
<formControlPr xmlns="http://schemas.microsoft.com/office/spreadsheetml/2009/9/main" objectType="CheckBox" fmlaLink="$W$2424" lockText="1" noThreeD="1"/>
</file>

<file path=xl/ctrlProps/ctrlProp936.xml><?xml version="1.0" encoding="utf-8"?>
<formControlPr xmlns="http://schemas.microsoft.com/office/spreadsheetml/2009/9/main" objectType="CheckBox" fmlaLink="$W$2425" lockText="1" noThreeD="1"/>
</file>

<file path=xl/ctrlProps/ctrlProp937.xml><?xml version="1.0" encoding="utf-8"?>
<formControlPr xmlns="http://schemas.microsoft.com/office/spreadsheetml/2009/9/main" objectType="CheckBox" fmlaLink="$W$2426" lockText="1" noThreeD="1"/>
</file>

<file path=xl/ctrlProps/ctrlProp938.xml><?xml version="1.0" encoding="utf-8"?>
<formControlPr xmlns="http://schemas.microsoft.com/office/spreadsheetml/2009/9/main" objectType="CheckBox" fmlaLink="$W$2427" lockText="1" noThreeD="1"/>
</file>

<file path=xl/ctrlProps/ctrlProp939.xml><?xml version="1.0" encoding="utf-8"?>
<formControlPr xmlns="http://schemas.microsoft.com/office/spreadsheetml/2009/9/main" objectType="CheckBox" fmlaLink="$W$2428" lockText="1" noThreeD="1"/>
</file>

<file path=xl/ctrlProps/ctrlProp94.xml><?xml version="1.0" encoding="utf-8"?>
<formControlPr xmlns="http://schemas.microsoft.com/office/spreadsheetml/2009/9/main" objectType="CheckBox" fmlaLink="$W$44" lockText="1" noThreeD="1"/>
</file>

<file path=xl/ctrlProps/ctrlProp940.xml><?xml version="1.0" encoding="utf-8"?>
<formControlPr xmlns="http://schemas.microsoft.com/office/spreadsheetml/2009/9/main" objectType="CheckBox" fmlaLink="$W$2429" lockText="1" noThreeD="1"/>
</file>

<file path=xl/ctrlProps/ctrlProp941.xml><?xml version="1.0" encoding="utf-8"?>
<formControlPr xmlns="http://schemas.microsoft.com/office/spreadsheetml/2009/9/main" objectType="CheckBox" fmlaLink="$W$2430" lockText="1" noThreeD="1"/>
</file>

<file path=xl/ctrlProps/ctrlProp942.xml><?xml version="1.0" encoding="utf-8"?>
<formControlPr xmlns="http://schemas.microsoft.com/office/spreadsheetml/2009/9/main" objectType="CheckBox" fmlaLink="$W$2460" lockText="1" noThreeD="1"/>
</file>

<file path=xl/ctrlProps/ctrlProp943.xml><?xml version="1.0" encoding="utf-8"?>
<formControlPr xmlns="http://schemas.microsoft.com/office/spreadsheetml/2009/9/main" objectType="CheckBox" fmlaLink="$W$2463" lockText="1" noThreeD="1"/>
</file>

<file path=xl/ctrlProps/ctrlProp944.xml><?xml version="1.0" encoding="utf-8"?>
<formControlPr xmlns="http://schemas.microsoft.com/office/spreadsheetml/2009/9/main" objectType="CheckBox" fmlaLink="$W$110" lockText="1" noThreeD="1"/>
</file>

<file path=xl/ctrlProps/ctrlProp945.xml><?xml version="1.0" encoding="utf-8"?>
<formControlPr xmlns="http://schemas.microsoft.com/office/spreadsheetml/2009/9/main" objectType="CheckBox" fmlaLink="$W$166" lockText="1" noThreeD="1"/>
</file>

<file path=xl/ctrlProps/ctrlProp946.xml><?xml version="1.0" encoding="utf-8"?>
<formControlPr xmlns="http://schemas.microsoft.com/office/spreadsheetml/2009/9/main" objectType="CheckBox" fmlaLink="$W$152" lockText="1" noThreeD="1"/>
</file>

<file path=xl/ctrlProps/ctrlProp947.xml><?xml version="1.0" encoding="utf-8"?>
<formControlPr xmlns="http://schemas.microsoft.com/office/spreadsheetml/2009/9/main" objectType="CheckBox" fmlaLink="$W$153" lockText="1" noThreeD="1"/>
</file>

<file path=xl/ctrlProps/ctrlProp948.xml><?xml version="1.0" encoding="utf-8"?>
<formControlPr xmlns="http://schemas.microsoft.com/office/spreadsheetml/2009/9/main" objectType="CheckBox" fmlaLink="$W$154" lockText="1" noThreeD="1"/>
</file>

<file path=xl/ctrlProps/ctrlProp949.xml><?xml version="1.0" encoding="utf-8"?>
<formControlPr xmlns="http://schemas.microsoft.com/office/spreadsheetml/2009/9/main" objectType="CheckBox" fmlaLink="$W$126" lockText="1" noThreeD="1"/>
</file>

<file path=xl/ctrlProps/ctrlProp95.xml><?xml version="1.0" encoding="utf-8"?>
<formControlPr xmlns="http://schemas.microsoft.com/office/spreadsheetml/2009/9/main" objectType="CheckBox" fmlaLink="$W$45" lockText="1" noThreeD="1"/>
</file>

<file path=xl/ctrlProps/ctrlProp950.xml><?xml version="1.0" encoding="utf-8"?>
<formControlPr xmlns="http://schemas.microsoft.com/office/spreadsheetml/2009/9/main" objectType="CheckBox" fmlaLink="$W$39" lockText="1" noThreeD="1"/>
</file>

<file path=xl/ctrlProps/ctrlProp951.xml><?xml version="1.0" encoding="utf-8"?>
<formControlPr xmlns="http://schemas.microsoft.com/office/spreadsheetml/2009/9/main" objectType="CheckBox" fmlaLink="$W$40" lockText="1" noThreeD="1"/>
</file>

<file path=xl/ctrlProps/ctrlProp952.xml><?xml version="1.0" encoding="utf-8"?>
<formControlPr xmlns="http://schemas.microsoft.com/office/spreadsheetml/2009/9/main" objectType="CheckBox" fmlaLink="$W$41" lockText="1" noThreeD="1"/>
</file>

<file path=xl/ctrlProps/ctrlProp953.xml><?xml version="1.0" encoding="utf-8"?>
<formControlPr xmlns="http://schemas.microsoft.com/office/spreadsheetml/2009/9/main" objectType="CheckBox" fmlaLink="$W$42" lockText="1" noThreeD="1"/>
</file>

<file path=xl/ctrlProps/ctrlProp954.xml><?xml version="1.0" encoding="utf-8"?>
<formControlPr xmlns="http://schemas.microsoft.com/office/spreadsheetml/2009/9/main" objectType="CheckBox" fmlaLink="$W$43" lockText="1" noThreeD="1"/>
</file>

<file path=xl/ctrlProps/ctrlProp955.xml><?xml version="1.0" encoding="utf-8"?>
<formControlPr xmlns="http://schemas.microsoft.com/office/spreadsheetml/2009/9/main" objectType="CheckBox" fmlaLink="$W$44" lockText="1" noThreeD="1"/>
</file>

<file path=xl/ctrlProps/ctrlProp956.xml><?xml version="1.0" encoding="utf-8"?>
<formControlPr xmlns="http://schemas.microsoft.com/office/spreadsheetml/2009/9/main" objectType="CheckBox" fmlaLink="$W$45" lockText="1" noThreeD="1"/>
</file>

<file path=xl/ctrlProps/ctrlProp957.xml><?xml version="1.0" encoding="utf-8"?>
<formControlPr xmlns="http://schemas.microsoft.com/office/spreadsheetml/2009/9/main" objectType="CheckBox" fmlaLink="$W$46" lockText="1" noThreeD="1"/>
</file>

<file path=xl/ctrlProps/ctrlProp958.xml><?xml version="1.0" encoding="utf-8"?>
<formControlPr xmlns="http://schemas.microsoft.com/office/spreadsheetml/2009/9/main" objectType="CheckBox" fmlaLink="$W$47" lockText="1" noThreeD="1"/>
</file>

<file path=xl/ctrlProps/ctrlProp959.xml><?xml version="1.0" encoding="utf-8"?>
<formControlPr xmlns="http://schemas.microsoft.com/office/spreadsheetml/2009/9/main" objectType="CheckBox" fmlaLink="$W$48" lockText="1" noThreeD="1"/>
</file>

<file path=xl/ctrlProps/ctrlProp96.xml><?xml version="1.0" encoding="utf-8"?>
<formControlPr xmlns="http://schemas.microsoft.com/office/spreadsheetml/2009/9/main" objectType="CheckBox" fmlaLink="$W$46" lockText="1" noThreeD="1"/>
</file>

<file path=xl/ctrlProps/ctrlProp960.xml><?xml version="1.0" encoding="utf-8"?>
<formControlPr xmlns="http://schemas.microsoft.com/office/spreadsheetml/2009/9/main" objectType="CheckBox" fmlaLink="$W$49" lockText="1" noThreeD="1"/>
</file>

<file path=xl/ctrlProps/ctrlProp961.xml><?xml version="1.0" encoding="utf-8"?>
<formControlPr xmlns="http://schemas.microsoft.com/office/spreadsheetml/2009/9/main" objectType="CheckBox" fmlaLink="$W$54" lockText="1" noThreeD="1"/>
</file>

<file path=xl/ctrlProps/ctrlProp962.xml><?xml version="1.0" encoding="utf-8"?>
<formControlPr xmlns="http://schemas.microsoft.com/office/spreadsheetml/2009/9/main" objectType="CheckBox" fmlaLink="$W$55" lockText="1" noThreeD="1"/>
</file>

<file path=xl/ctrlProps/ctrlProp963.xml><?xml version="1.0" encoding="utf-8"?>
<formControlPr xmlns="http://schemas.microsoft.com/office/spreadsheetml/2009/9/main" objectType="CheckBox" fmlaLink="$W$18" lockText="1" noThreeD="1"/>
</file>

<file path=xl/ctrlProps/ctrlProp964.xml><?xml version="1.0" encoding="utf-8"?>
<formControlPr xmlns="http://schemas.microsoft.com/office/spreadsheetml/2009/9/main" objectType="CheckBox" fmlaLink="$W$19" lockText="1" noThreeD="1"/>
</file>

<file path=xl/ctrlProps/ctrlProp965.xml><?xml version="1.0" encoding="utf-8"?>
<formControlPr xmlns="http://schemas.microsoft.com/office/spreadsheetml/2009/9/main" objectType="CheckBox" fmlaLink="$W$20" lockText="1" noThreeD="1"/>
</file>

<file path=xl/ctrlProps/ctrlProp966.xml><?xml version="1.0" encoding="utf-8"?>
<formControlPr xmlns="http://schemas.microsoft.com/office/spreadsheetml/2009/9/main" objectType="CheckBox" fmlaLink="$W$22" lockText="1" noThreeD="1"/>
</file>

<file path=xl/ctrlProps/ctrlProp967.xml><?xml version="1.0" encoding="utf-8"?>
<formControlPr xmlns="http://schemas.microsoft.com/office/spreadsheetml/2009/9/main" objectType="CheckBox" fmlaLink="$W$23" lockText="1" noThreeD="1"/>
</file>

<file path=xl/ctrlProps/ctrlProp968.xml><?xml version="1.0" encoding="utf-8"?>
<formControlPr xmlns="http://schemas.microsoft.com/office/spreadsheetml/2009/9/main" objectType="CheckBox" fmlaLink="$W$24" lockText="1" noThreeD="1"/>
</file>

<file path=xl/ctrlProps/ctrlProp969.xml><?xml version="1.0" encoding="utf-8"?>
<formControlPr xmlns="http://schemas.microsoft.com/office/spreadsheetml/2009/9/main" objectType="CheckBox" fmlaLink="$W$27" lockText="1" noThreeD="1"/>
</file>

<file path=xl/ctrlProps/ctrlProp97.xml><?xml version="1.0" encoding="utf-8"?>
<formControlPr xmlns="http://schemas.microsoft.com/office/spreadsheetml/2009/9/main" objectType="CheckBox" fmlaLink="$W$52" lockText="1" noThreeD="1"/>
</file>

<file path=xl/ctrlProps/ctrlProp970.xml><?xml version="1.0" encoding="utf-8"?>
<formControlPr xmlns="http://schemas.microsoft.com/office/spreadsheetml/2009/9/main" objectType="CheckBox" fmlaLink="$W$28" lockText="1" noThreeD="1"/>
</file>

<file path=xl/ctrlProps/ctrlProp971.xml><?xml version="1.0" encoding="utf-8"?>
<formControlPr xmlns="http://schemas.microsoft.com/office/spreadsheetml/2009/9/main" objectType="CheckBox" fmlaLink="$W$34" lockText="1" noThreeD="1"/>
</file>

<file path=xl/ctrlProps/ctrlProp972.xml><?xml version="1.0" encoding="utf-8"?>
<formControlPr xmlns="http://schemas.microsoft.com/office/spreadsheetml/2009/9/main" objectType="CheckBox" fmlaLink="$W$41" lockText="1" noThreeD="1"/>
</file>

<file path=xl/ctrlProps/ctrlProp973.xml><?xml version="1.0" encoding="utf-8"?>
<formControlPr xmlns="http://schemas.microsoft.com/office/spreadsheetml/2009/9/main" objectType="CheckBox" fmlaLink="$W$48" lockText="1" noThreeD="1"/>
</file>

<file path=xl/ctrlProps/ctrlProp974.xml><?xml version="1.0" encoding="utf-8"?>
<formControlPr xmlns="http://schemas.microsoft.com/office/spreadsheetml/2009/9/main" objectType="CheckBox" fmlaLink="$W$55" lockText="1" noThreeD="1"/>
</file>

<file path=xl/ctrlProps/ctrlProp975.xml><?xml version="1.0" encoding="utf-8"?>
<formControlPr xmlns="http://schemas.microsoft.com/office/spreadsheetml/2009/9/main" objectType="CheckBox" fmlaLink="$W$110" lockText="1" noThreeD="1"/>
</file>

<file path=xl/ctrlProps/ctrlProp976.xml><?xml version="1.0" encoding="utf-8"?>
<formControlPr xmlns="http://schemas.microsoft.com/office/spreadsheetml/2009/9/main" objectType="CheckBox" fmlaLink="$W$115" lockText="1" noThreeD="1"/>
</file>

<file path=xl/ctrlProps/ctrlProp977.xml><?xml version="1.0" encoding="utf-8"?>
<formControlPr xmlns="http://schemas.microsoft.com/office/spreadsheetml/2009/9/main" objectType="CheckBox" fmlaLink="$W$132" lockText="1" noThreeD="1"/>
</file>

<file path=xl/ctrlProps/ctrlProp98.xml><?xml version="1.0" encoding="utf-8"?>
<formControlPr xmlns="http://schemas.microsoft.com/office/spreadsheetml/2009/9/main" objectType="CheckBox" fmlaLink="$W$53" lockText="1" noThreeD="1"/>
</file>

<file path=xl/ctrlProps/ctrlProp99.xml><?xml version="1.0" encoding="utf-8"?>
<formControlPr xmlns="http://schemas.microsoft.com/office/spreadsheetml/2009/9/main" objectType="CheckBox" fmlaLink="$W$5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3</xdr:col>
      <xdr:colOff>0</xdr:colOff>
      <xdr:row>5</xdr:row>
      <xdr:rowOff>141103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828800" cy="9888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1019175</xdr:colOff>
      <xdr:row>0</xdr:row>
      <xdr:rowOff>0</xdr:rowOff>
    </xdr:from>
    <xdr:to>
      <xdr:col>2</xdr:col>
      <xdr:colOff>2847975</xdr:colOff>
      <xdr:row>4</xdr:row>
      <xdr:rowOff>141767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8775" y="0"/>
          <a:ext cx="1828800" cy="903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180975</xdr:colOff>
          <xdr:row>109</xdr:row>
          <xdr:rowOff>180975</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B00-000001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165</xdr:row>
          <xdr:rowOff>0</xdr:rowOff>
        </xdr:from>
        <xdr:to>
          <xdr:col>22</xdr:col>
          <xdr:colOff>180975</xdr:colOff>
          <xdr:row>165</xdr:row>
          <xdr:rowOff>180975</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B00-000002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151</xdr:row>
          <xdr:rowOff>0</xdr:rowOff>
        </xdr:from>
        <xdr:to>
          <xdr:col>22</xdr:col>
          <xdr:colOff>180975</xdr:colOff>
          <xdr:row>151</xdr:row>
          <xdr:rowOff>180975</xdr:rowOff>
        </xdr:to>
        <xdr:sp macro="" textlink="">
          <xdr:nvSpPr>
            <xdr:cNvPr id="205827" name="Check Box 3" hidden="1">
              <a:extLst>
                <a:ext uri="{63B3BB69-23CF-44E3-9099-C40C66FF867C}">
                  <a14:compatExt spid="_x0000_s205827"/>
                </a:ext>
                <a:ext uri="{FF2B5EF4-FFF2-40B4-BE49-F238E27FC236}">
                  <a16:creationId xmlns:a16="http://schemas.microsoft.com/office/drawing/2014/main" id="{00000000-0008-0000-0B00-000003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152</xdr:row>
          <xdr:rowOff>0</xdr:rowOff>
        </xdr:from>
        <xdr:to>
          <xdr:col>22</xdr:col>
          <xdr:colOff>180975</xdr:colOff>
          <xdr:row>152</xdr:row>
          <xdr:rowOff>180975</xdr:rowOff>
        </xdr:to>
        <xdr:sp macro="" textlink="">
          <xdr:nvSpPr>
            <xdr:cNvPr id="205828" name="Check Box 4" hidden="1">
              <a:extLst>
                <a:ext uri="{63B3BB69-23CF-44E3-9099-C40C66FF867C}">
                  <a14:compatExt spid="_x0000_s205828"/>
                </a:ext>
                <a:ext uri="{FF2B5EF4-FFF2-40B4-BE49-F238E27FC236}">
                  <a16:creationId xmlns:a16="http://schemas.microsoft.com/office/drawing/2014/main" id="{00000000-0008-0000-0B00-000004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153</xdr:row>
          <xdr:rowOff>0</xdr:rowOff>
        </xdr:from>
        <xdr:to>
          <xdr:col>22</xdr:col>
          <xdr:colOff>180975</xdr:colOff>
          <xdr:row>153</xdr:row>
          <xdr:rowOff>180975</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B00-000005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125</xdr:row>
          <xdr:rowOff>0</xdr:rowOff>
        </xdr:from>
        <xdr:to>
          <xdr:col>22</xdr:col>
          <xdr:colOff>180975</xdr:colOff>
          <xdr:row>125</xdr:row>
          <xdr:rowOff>180975</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22</xdr:col>
          <xdr:colOff>180975</xdr:colOff>
          <xdr:row>38</xdr:row>
          <xdr:rowOff>180975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B00-000007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0</xdr:rowOff>
        </xdr:from>
        <xdr:to>
          <xdr:col>22</xdr:col>
          <xdr:colOff>180975</xdr:colOff>
          <xdr:row>39</xdr:row>
          <xdr:rowOff>180975</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180975</xdr:colOff>
          <xdr:row>40</xdr:row>
          <xdr:rowOff>180975</xdr:rowOff>
        </xdr:to>
        <xdr:sp macro="" textlink="">
          <xdr:nvSpPr>
            <xdr:cNvPr id="205833" name="Check Box 9" hidden="1">
              <a:extLst>
                <a:ext uri="{63B3BB69-23CF-44E3-9099-C40C66FF867C}">
                  <a14:compatExt spid="_x0000_s205833"/>
                </a:ext>
                <a:ext uri="{FF2B5EF4-FFF2-40B4-BE49-F238E27FC236}">
                  <a16:creationId xmlns:a16="http://schemas.microsoft.com/office/drawing/2014/main" id="{00000000-0008-0000-0B00-000009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0</xdr:rowOff>
        </xdr:from>
        <xdr:to>
          <xdr:col>22</xdr:col>
          <xdr:colOff>180975</xdr:colOff>
          <xdr:row>41</xdr:row>
          <xdr:rowOff>180975</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B00-00000A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0</xdr:rowOff>
        </xdr:from>
        <xdr:to>
          <xdr:col>22</xdr:col>
          <xdr:colOff>180975</xdr:colOff>
          <xdr:row>42</xdr:row>
          <xdr:rowOff>180975</xdr:rowOff>
        </xdr:to>
        <xdr:sp macro="" textlink="">
          <xdr:nvSpPr>
            <xdr:cNvPr id="205835" name="Check Box 11" hidden="1">
              <a:extLst>
                <a:ext uri="{63B3BB69-23CF-44E3-9099-C40C66FF867C}">
                  <a14:compatExt spid="_x0000_s205835"/>
                </a:ext>
                <a:ext uri="{FF2B5EF4-FFF2-40B4-BE49-F238E27FC236}">
                  <a16:creationId xmlns:a16="http://schemas.microsoft.com/office/drawing/2014/main" id="{00000000-0008-0000-0B00-00000B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0</xdr:rowOff>
        </xdr:from>
        <xdr:to>
          <xdr:col>22</xdr:col>
          <xdr:colOff>180975</xdr:colOff>
          <xdr:row>43</xdr:row>
          <xdr:rowOff>180975</xdr:rowOff>
        </xdr:to>
        <xdr:sp macro="" textlink="">
          <xdr:nvSpPr>
            <xdr:cNvPr id="205836" name="Check Box 12" hidden="1">
              <a:extLst>
                <a:ext uri="{63B3BB69-23CF-44E3-9099-C40C66FF867C}">
                  <a14:compatExt spid="_x0000_s205836"/>
                </a:ext>
                <a:ext uri="{FF2B5EF4-FFF2-40B4-BE49-F238E27FC236}">
                  <a16:creationId xmlns:a16="http://schemas.microsoft.com/office/drawing/2014/main" id="{00000000-0008-0000-0B00-00000C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44</xdr:row>
          <xdr:rowOff>0</xdr:rowOff>
        </xdr:from>
        <xdr:to>
          <xdr:col>22</xdr:col>
          <xdr:colOff>180975</xdr:colOff>
          <xdr:row>44</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B00-00000D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0</xdr:rowOff>
        </xdr:from>
        <xdr:to>
          <xdr:col>22</xdr:col>
          <xdr:colOff>180975</xdr:colOff>
          <xdr:row>45</xdr:row>
          <xdr:rowOff>180975</xdr:rowOff>
        </xdr:to>
        <xdr:sp macro="" textlink="">
          <xdr:nvSpPr>
            <xdr:cNvPr id="205838" name="Check Box 14" hidden="1">
              <a:extLst>
                <a:ext uri="{63B3BB69-23CF-44E3-9099-C40C66FF867C}">
                  <a14:compatExt spid="_x0000_s205838"/>
                </a:ext>
                <a:ext uri="{FF2B5EF4-FFF2-40B4-BE49-F238E27FC236}">
                  <a16:creationId xmlns:a16="http://schemas.microsoft.com/office/drawing/2014/main" id="{00000000-0008-0000-0B00-00000E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22</xdr:col>
          <xdr:colOff>180975</xdr:colOff>
          <xdr:row>46</xdr:row>
          <xdr:rowOff>180975</xdr:rowOff>
        </xdr:to>
        <xdr:sp macro="" textlink="">
          <xdr:nvSpPr>
            <xdr:cNvPr id="205839" name="Check Box 15" hidden="1">
              <a:extLst>
                <a:ext uri="{63B3BB69-23CF-44E3-9099-C40C66FF867C}">
                  <a14:compatExt spid="_x0000_s205839"/>
                </a:ext>
                <a:ext uri="{FF2B5EF4-FFF2-40B4-BE49-F238E27FC236}">
                  <a16:creationId xmlns:a16="http://schemas.microsoft.com/office/drawing/2014/main" id="{00000000-0008-0000-0B00-00000F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180975</xdr:colOff>
          <xdr:row>47</xdr:row>
          <xdr:rowOff>180975</xdr:rowOff>
        </xdr:to>
        <xdr:sp macro="" textlink="">
          <xdr:nvSpPr>
            <xdr:cNvPr id="205840" name="Check Box 16" hidden="1">
              <a:extLst>
                <a:ext uri="{63B3BB69-23CF-44E3-9099-C40C66FF867C}">
                  <a14:compatExt spid="_x0000_s205840"/>
                </a:ext>
                <a:ext uri="{FF2B5EF4-FFF2-40B4-BE49-F238E27FC236}">
                  <a16:creationId xmlns:a16="http://schemas.microsoft.com/office/drawing/2014/main" id="{00000000-0008-0000-0B00-000010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22</xdr:col>
          <xdr:colOff>180975</xdr:colOff>
          <xdr:row>48</xdr:row>
          <xdr:rowOff>180975</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B00-000011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22</xdr:col>
          <xdr:colOff>180975</xdr:colOff>
          <xdr:row>53</xdr:row>
          <xdr:rowOff>180975</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B00-000012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180975</xdr:colOff>
          <xdr:row>54</xdr:row>
          <xdr:rowOff>180975</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B00-000013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22</xdr:col>
          <xdr:colOff>180975</xdr:colOff>
          <xdr:row>17</xdr:row>
          <xdr:rowOff>180975</xdr:rowOff>
        </xdr:to>
        <xdr:sp macro="" textlink="">
          <xdr:nvSpPr>
            <xdr:cNvPr id="218133" name="Check Box 21" hidden="1">
              <a:extLst>
                <a:ext uri="{63B3BB69-23CF-44E3-9099-C40C66FF867C}">
                  <a14:compatExt spid="_x0000_s218133"/>
                </a:ext>
                <a:ext uri="{FF2B5EF4-FFF2-40B4-BE49-F238E27FC236}">
                  <a16:creationId xmlns:a16="http://schemas.microsoft.com/office/drawing/2014/main" id="{00000000-0008-0000-0C00-000015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22</xdr:col>
          <xdr:colOff>180975</xdr:colOff>
          <xdr:row>18</xdr:row>
          <xdr:rowOff>180975</xdr:rowOff>
        </xdr:to>
        <xdr:sp macro="" textlink="">
          <xdr:nvSpPr>
            <xdr:cNvPr id="218134" name="Check Box 22" hidden="1">
              <a:extLst>
                <a:ext uri="{63B3BB69-23CF-44E3-9099-C40C66FF867C}">
                  <a14:compatExt spid="_x0000_s218134"/>
                </a:ext>
                <a:ext uri="{FF2B5EF4-FFF2-40B4-BE49-F238E27FC236}">
                  <a16:creationId xmlns:a16="http://schemas.microsoft.com/office/drawing/2014/main" id="{00000000-0008-0000-0C00-000016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0</xdr:rowOff>
        </xdr:from>
        <xdr:to>
          <xdr:col>22</xdr:col>
          <xdr:colOff>180975</xdr:colOff>
          <xdr:row>19</xdr:row>
          <xdr:rowOff>180975</xdr:rowOff>
        </xdr:to>
        <xdr:sp macro="" textlink="">
          <xdr:nvSpPr>
            <xdr:cNvPr id="218135" name="Check Box 23" hidden="1">
              <a:extLst>
                <a:ext uri="{63B3BB69-23CF-44E3-9099-C40C66FF867C}">
                  <a14:compatExt spid="_x0000_s218135"/>
                </a:ext>
                <a:ext uri="{FF2B5EF4-FFF2-40B4-BE49-F238E27FC236}">
                  <a16:creationId xmlns:a16="http://schemas.microsoft.com/office/drawing/2014/main" id="{00000000-0008-0000-0C00-000017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22</xdr:col>
          <xdr:colOff>180975</xdr:colOff>
          <xdr:row>21</xdr:row>
          <xdr:rowOff>180975</xdr:rowOff>
        </xdr:to>
        <xdr:sp macro="" textlink="">
          <xdr:nvSpPr>
            <xdr:cNvPr id="218136" name="Check Box 24" hidden="1">
              <a:extLst>
                <a:ext uri="{63B3BB69-23CF-44E3-9099-C40C66FF867C}">
                  <a14:compatExt spid="_x0000_s218136"/>
                </a:ext>
                <a:ext uri="{FF2B5EF4-FFF2-40B4-BE49-F238E27FC236}">
                  <a16:creationId xmlns:a16="http://schemas.microsoft.com/office/drawing/2014/main" id="{00000000-0008-0000-0C00-000018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22</xdr:col>
          <xdr:colOff>180975</xdr:colOff>
          <xdr:row>22</xdr:row>
          <xdr:rowOff>180975</xdr:rowOff>
        </xdr:to>
        <xdr:sp macro="" textlink="">
          <xdr:nvSpPr>
            <xdr:cNvPr id="218137" name="Check Box 25" hidden="1">
              <a:extLst>
                <a:ext uri="{63B3BB69-23CF-44E3-9099-C40C66FF867C}">
                  <a14:compatExt spid="_x0000_s218137"/>
                </a:ext>
                <a:ext uri="{FF2B5EF4-FFF2-40B4-BE49-F238E27FC236}">
                  <a16:creationId xmlns:a16="http://schemas.microsoft.com/office/drawing/2014/main" id="{00000000-0008-0000-0C00-000019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0</xdr:rowOff>
        </xdr:from>
        <xdr:to>
          <xdr:col>22</xdr:col>
          <xdr:colOff>180975</xdr:colOff>
          <xdr:row>23</xdr:row>
          <xdr:rowOff>180975</xdr:rowOff>
        </xdr:to>
        <xdr:sp macro="" textlink="">
          <xdr:nvSpPr>
            <xdr:cNvPr id="218138" name="Check Box 26" hidden="1">
              <a:extLst>
                <a:ext uri="{63B3BB69-23CF-44E3-9099-C40C66FF867C}">
                  <a14:compatExt spid="_x0000_s218138"/>
                </a:ext>
                <a:ext uri="{FF2B5EF4-FFF2-40B4-BE49-F238E27FC236}">
                  <a16:creationId xmlns:a16="http://schemas.microsoft.com/office/drawing/2014/main" id="{00000000-0008-0000-0C00-00001A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22</xdr:col>
          <xdr:colOff>180975</xdr:colOff>
          <xdr:row>26</xdr:row>
          <xdr:rowOff>180975</xdr:rowOff>
        </xdr:to>
        <xdr:sp macro="" textlink="">
          <xdr:nvSpPr>
            <xdr:cNvPr id="218139" name="Check Box 27" hidden="1">
              <a:extLst>
                <a:ext uri="{63B3BB69-23CF-44E3-9099-C40C66FF867C}">
                  <a14:compatExt spid="_x0000_s218139"/>
                </a:ext>
                <a:ext uri="{FF2B5EF4-FFF2-40B4-BE49-F238E27FC236}">
                  <a16:creationId xmlns:a16="http://schemas.microsoft.com/office/drawing/2014/main" id="{00000000-0008-0000-0C00-00001B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22</xdr:col>
          <xdr:colOff>180975</xdr:colOff>
          <xdr:row>27</xdr:row>
          <xdr:rowOff>180975</xdr:rowOff>
        </xdr:to>
        <xdr:sp macro="" textlink="">
          <xdr:nvSpPr>
            <xdr:cNvPr id="218140" name="Check Box 28" hidden="1">
              <a:extLst>
                <a:ext uri="{63B3BB69-23CF-44E3-9099-C40C66FF867C}">
                  <a14:compatExt spid="_x0000_s218140"/>
                </a:ext>
                <a:ext uri="{FF2B5EF4-FFF2-40B4-BE49-F238E27FC236}">
                  <a16:creationId xmlns:a16="http://schemas.microsoft.com/office/drawing/2014/main" id="{00000000-0008-0000-0C00-00001C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22</xdr:col>
          <xdr:colOff>180975</xdr:colOff>
          <xdr:row>33</xdr:row>
          <xdr:rowOff>180975</xdr:rowOff>
        </xdr:to>
        <xdr:sp macro="" textlink="">
          <xdr:nvSpPr>
            <xdr:cNvPr id="218143" name="Check Box 31" hidden="1">
              <a:extLst>
                <a:ext uri="{63B3BB69-23CF-44E3-9099-C40C66FF867C}">
                  <a14:compatExt spid="_x0000_s218143"/>
                </a:ext>
                <a:ext uri="{FF2B5EF4-FFF2-40B4-BE49-F238E27FC236}">
                  <a16:creationId xmlns:a16="http://schemas.microsoft.com/office/drawing/2014/main" id="{00000000-0008-0000-0C00-00001F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180975</xdr:colOff>
          <xdr:row>40</xdr:row>
          <xdr:rowOff>180975</xdr:rowOff>
        </xdr:to>
        <xdr:sp macro="" textlink="">
          <xdr:nvSpPr>
            <xdr:cNvPr id="218145" name="Check Box 33" hidden="1">
              <a:extLst>
                <a:ext uri="{63B3BB69-23CF-44E3-9099-C40C66FF867C}">
                  <a14:compatExt spid="_x0000_s218145"/>
                </a:ext>
                <a:ext uri="{FF2B5EF4-FFF2-40B4-BE49-F238E27FC236}">
                  <a16:creationId xmlns:a16="http://schemas.microsoft.com/office/drawing/2014/main" id="{00000000-0008-0000-0C00-000021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180975</xdr:colOff>
          <xdr:row>47</xdr:row>
          <xdr:rowOff>180975</xdr:rowOff>
        </xdr:to>
        <xdr:sp macro="" textlink="">
          <xdr:nvSpPr>
            <xdr:cNvPr id="218147" name="Check Box 35" hidden="1">
              <a:extLst>
                <a:ext uri="{63B3BB69-23CF-44E3-9099-C40C66FF867C}">
                  <a14:compatExt spid="_x0000_s218147"/>
                </a:ext>
                <a:ext uri="{FF2B5EF4-FFF2-40B4-BE49-F238E27FC236}">
                  <a16:creationId xmlns:a16="http://schemas.microsoft.com/office/drawing/2014/main" id="{00000000-0008-0000-0C00-000023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180975</xdr:colOff>
          <xdr:row>54</xdr:row>
          <xdr:rowOff>180975</xdr:rowOff>
        </xdr:to>
        <xdr:sp macro="" textlink="">
          <xdr:nvSpPr>
            <xdr:cNvPr id="218149" name="Check Box 37" hidden="1">
              <a:extLst>
                <a:ext uri="{63B3BB69-23CF-44E3-9099-C40C66FF867C}">
                  <a14:compatExt spid="_x0000_s218149"/>
                </a:ext>
                <a:ext uri="{FF2B5EF4-FFF2-40B4-BE49-F238E27FC236}">
                  <a16:creationId xmlns:a16="http://schemas.microsoft.com/office/drawing/2014/main" id="{00000000-0008-0000-0C00-000025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180975</xdr:colOff>
          <xdr:row>109</xdr:row>
          <xdr:rowOff>180975</xdr:rowOff>
        </xdr:to>
        <xdr:sp macro="" textlink="">
          <xdr:nvSpPr>
            <xdr:cNvPr id="218151" name="Check Box 39" hidden="1">
              <a:extLst>
                <a:ext uri="{63B3BB69-23CF-44E3-9099-C40C66FF867C}">
                  <a14:compatExt spid="_x0000_s218151"/>
                </a:ext>
                <a:ext uri="{FF2B5EF4-FFF2-40B4-BE49-F238E27FC236}">
                  <a16:creationId xmlns:a16="http://schemas.microsoft.com/office/drawing/2014/main" id="{00000000-0008-0000-0C00-000027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114</xdr:row>
          <xdr:rowOff>0</xdr:rowOff>
        </xdr:from>
        <xdr:to>
          <xdr:col>22</xdr:col>
          <xdr:colOff>180975</xdr:colOff>
          <xdr:row>114</xdr:row>
          <xdr:rowOff>180975</xdr:rowOff>
        </xdr:to>
        <xdr:sp macro="" textlink="">
          <xdr:nvSpPr>
            <xdr:cNvPr id="218152" name="Check Box 40" hidden="1">
              <a:extLst>
                <a:ext uri="{63B3BB69-23CF-44E3-9099-C40C66FF867C}">
                  <a14:compatExt spid="_x0000_s218152"/>
                </a:ext>
                <a:ext uri="{FF2B5EF4-FFF2-40B4-BE49-F238E27FC236}">
                  <a16:creationId xmlns:a16="http://schemas.microsoft.com/office/drawing/2014/main" id="{00000000-0008-0000-0C00-000028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0</xdr:rowOff>
        </xdr:from>
        <xdr:to>
          <xdr:col>22</xdr:col>
          <xdr:colOff>180975</xdr:colOff>
          <xdr:row>131</xdr:row>
          <xdr:rowOff>180975</xdr:rowOff>
        </xdr:to>
        <xdr:sp macro="" textlink="">
          <xdr:nvSpPr>
            <xdr:cNvPr id="218154" name="Check Box 42" hidden="1">
              <a:extLst>
                <a:ext uri="{63B3BB69-23CF-44E3-9099-C40C66FF867C}">
                  <a14:compatExt spid="_x0000_s218154"/>
                </a:ext>
                <a:ext uri="{FF2B5EF4-FFF2-40B4-BE49-F238E27FC236}">
                  <a16:creationId xmlns:a16="http://schemas.microsoft.com/office/drawing/2014/main" id="{00000000-0008-0000-0C00-00002A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180975</xdr:colOff>
          <xdr:row>9</xdr:row>
          <xdr:rowOff>180975</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000-00002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180975</xdr:colOff>
          <xdr:row>10</xdr:row>
          <xdr:rowOff>180975</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000-00002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180975</xdr:colOff>
          <xdr:row>11</xdr:row>
          <xdr:rowOff>180975</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000-00002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180975</xdr:colOff>
          <xdr:row>12</xdr:row>
          <xdr:rowOff>180975</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000-00002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8</xdr:col>
          <xdr:colOff>180975</xdr:colOff>
          <xdr:row>13</xdr:row>
          <xdr:rowOff>180975</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000-00003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8</xdr:col>
          <xdr:colOff>180975</xdr:colOff>
          <xdr:row>14</xdr:row>
          <xdr:rowOff>180975</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1000-00003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8</xdr:col>
          <xdr:colOff>180975</xdr:colOff>
          <xdr:row>15</xdr:row>
          <xdr:rowOff>180975</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1000-00003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8</xdr:col>
          <xdr:colOff>180975</xdr:colOff>
          <xdr:row>17</xdr:row>
          <xdr:rowOff>180975</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000-00003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8</xdr:col>
          <xdr:colOff>180975</xdr:colOff>
          <xdr:row>18</xdr:row>
          <xdr:rowOff>180975</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000-00003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8</xdr:col>
          <xdr:colOff>180975</xdr:colOff>
          <xdr:row>22</xdr:row>
          <xdr:rowOff>180975</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000-00003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8</xdr:col>
          <xdr:colOff>180975</xdr:colOff>
          <xdr:row>24</xdr:row>
          <xdr:rowOff>180975</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000-00003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8</xdr:col>
          <xdr:colOff>180975</xdr:colOff>
          <xdr:row>25</xdr:row>
          <xdr:rowOff>180975</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000-00003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8</xdr:col>
          <xdr:colOff>180975</xdr:colOff>
          <xdr:row>29</xdr:row>
          <xdr:rowOff>180975</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000-00003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8</xdr:col>
          <xdr:colOff>180975</xdr:colOff>
          <xdr:row>31</xdr:row>
          <xdr:rowOff>180975</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000-00003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8</xdr:col>
          <xdr:colOff>180975</xdr:colOff>
          <xdr:row>33</xdr:row>
          <xdr:rowOff>180975</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000-00003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8</xdr:col>
          <xdr:colOff>180975</xdr:colOff>
          <xdr:row>34</xdr:row>
          <xdr:rowOff>180975</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000-00003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8</xdr:col>
          <xdr:colOff>180975</xdr:colOff>
          <xdr:row>35</xdr:row>
          <xdr:rowOff>180975</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000-00003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180975</xdr:colOff>
          <xdr:row>36</xdr:row>
          <xdr:rowOff>180975</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000-00003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8</xdr:col>
          <xdr:colOff>180975</xdr:colOff>
          <xdr:row>47</xdr:row>
          <xdr:rowOff>180975</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000-00003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8</xdr:col>
          <xdr:colOff>180975</xdr:colOff>
          <xdr:row>48</xdr:row>
          <xdr:rowOff>180975</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000-00004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8</xdr:col>
          <xdr:colOff>180975</xdr:colOff>
          <xdr:row>49</xdr:row>
          <xdr:rowOff>180975</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000-00004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8</xdr:col>
          <xdr:colOff>180975</xdr:colOff>
          <xdr:row>50</xdr:row>
          <xdr:rowOff>180975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000-00004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180975</xdr:colOff>
          <xdr:row>51</xdr:row>
          <xdr:rowOff>180975</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000-00004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8</xdr:col>
          <xdr:colOff>180975</xdr:colOff>
          <xdr:row>54</xdr:row>
          <xdr:rowOff>180975</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000-00004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8</xdr:col>
          <xdr:colOff>180975</xdr:colOff>
          <xdr:row>55</xdr:row>
          <xdr:rowOff>180975</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000-00004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8</xdr:col>
          <xdr:colOff>180975</xdr:colOff>
          <xdr:row>56</xdr:row>
          <xdr:rowOff>180975</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000-00004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8</xdr:col>
          <xdr:colOff>180975</xdr:colOff>
          <xdr:row>57</xdr:row>
          <xdr:rowOff>180975</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000-00004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8</xdr:col>
          <xdr:colOff>180975</xdr:colOff>
          <xdr:row>59</xdr:row>
          <xdr:rowOff>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000-00004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8</xdr:col>
          <xdr:colOff>180975</xdr:colOff>
          <xdr:row>60</xdr:row>
          <xdr:rowOff>180975</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000-00004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8</xdr:col>
          <xdr:colOff>180975</xdr:colOff>
          <xdr:row>61</xdr:row>
          <xdr:rowOff>180975</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000-00004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8</xdr:col>
          <xdr:colOff>180975</xdr:colOff>
          <xdr:row>26</xdr:row>
          <xdr:rowOff>180975</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1000-00004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8</xdr:col>
          <xdr:colOff>180975</xdr:colOff>
          <xdr:row>37</xdr:row>
          <xdr:rowOff>180975</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1000-00004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8</xdr:col>
          <xdr:colOff>180975</xdr:colOff>
          <xdr:row>38</xdr:row>
          <xdr:rowOff>180975</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1000-00005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8</xdr:col>
          <xdr:colOff>180975</xdr:colOff>
          <xdr:row>39</xdr:row>
          <xdr:rowOff>180975</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1000-00005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8</xdr:col>
          <xdr:colOff>180975</xdr:colOff>
          <xdr:row>40</xdr:row>
          <xdr:rowOff>180975</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1000-00005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180975</xdr:colOff>
          <xdr:row>41</xdr:row>
          <xdr:rowOff>180975</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1000-00005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8</xdr:col>
          <xdr:colOff>180975</xdr:colOff>
          <xdr:row>43</xdr:row>
          <xdr:rowOff>180975</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1000-00005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8</xdr:col>
          <xdr:colOff>180975</xdr:colOff>
          <xdr:row>44</xdr:row>
          <xdr:rowOff>180975</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1000-00005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8</xdr:col>
          <xdr:colOff>180975</xdr:colOff>
          <xdr:row>45</xdr:row>
          <xdr:rowOff>180975</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1000-00005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180975</xdr:colOff>
          <xdr:row>46</xdr:row>
          <xdr:rowOff>180975</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1000-00005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8</xdr:col>
          <xdr:colOff>180975</xdr:colOff>
          <xdr:row>19</xdr:row>
          <xdr:rowOff>180975</xdr:rowOff>
        </xdr:to>
        <xdr:sp macro="" textlink="">
          <xdr:nvSpPr>
            <xdr:cNvPr id="27738" name="Check Box 90" hidden="1">
              <a:extLst>
                <a:ext uri="{63B3BB69-23CF-44E3-9099-C40C66FF867C}">
                  <a14:compatExt spid="_x0000_s27738"/>
                </a:ext>
                <a:ext uri="{FF2B5EF4-FFF2-40B4-BE49-F238E27FC236}">
                  <a16:creationId xmlns:a16="http://schemas.microsoft.com/office/drawing/2014/main" id="{00000000-0008-0000-1000-00005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8</xdr:col>
          <xdr:colOff>180975</xdr:colOff>
          <xdr:row>27</xdr:row>
          <xdr:rowOff>180975</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000-00005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12</xdr:col>
      <xdr:colOff>38100</xdr:colOff>
      <xdr:row>0</xdr:row>
      <xdr:rowOff>0</xdr:rowOff>
    </xdr:from>
    <xdr:to>
      <xdr:col>14</xdr:col>
      <xdr:colOff>447675</xdr:colOff>
      <xdr:row>4</xdr:row>
      <xdr:rowOff>141767</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13</xdr:row>
          <xdr:rowOff>0</xdr:rowOff>
        </xdr:from>
        <xdr:to>
          <xdr:col>22</xdr:col>
          <xdr:colOff>180975</xdr:colOff>
          <xdr:row>13</xdr:row>
          <xdr:rowOff>180975</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1100-0000C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180975</xdr:colOff>
          <xdr:row>15</xdr:row>
          <xdr:rowOff>180975</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1100-0000C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180975</xdr:colOff>
          <xdr:row>16</xdr:row>
          <xdr:rowOff>180975</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1100-0000C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180975</xdr:colOff>
          <xdr:row>17</xdr:row>
          <xdr:rowOff>180975</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1100-0000C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180975</xdr:colOff>
          <xdr:row>20</xdr:row>
          <xdr:rowOff>180975</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1100-0000C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180975</xdr:colOff>
          <xdr:row>22</xdr:row>
          <xdr:rowOff>180975</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1100-0000C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180975</xdr:colOff>
          <xdr:row>24</xdr:row>
          <xdr:rowOff>180975</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1100-0000C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180975</xdr:colOff>
          <xdr:row>26</xdr:row>
          <xdr:rowOff>180975</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1100-0000C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180975</xdr:colOff>
          <xdr:row>41</xdr:row>
          <xdr:rowOff>180975</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1100-0000D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180975</xdr:colOff>
          <xdr:row>57</xdr:row>
          <xdr:rowOff>180975</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1100-0000D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xdr:row>
          <xdr:rowOff>0</xdr:rowOff>
        </xdr:from>
        <xdr:to>
          <xdr:col>22</xdr:col>
          <xdr:colOff>180975</xdr:colOff>
          <xdr:row>68</xdr:row>
          <xdr:rowOff>180975</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1100-0000D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xdr:row>
          <xdr:rowOff>0</xdr:rowOff>
        </xdr:from>
        <xdr:to>
          <xdr:col>22</xdr:col>
          <xdr:colOff>180975</xdr:colOff>
          <xdr:row>70</xdr:row>
          <xdr:rowOff>180975</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1100-0000D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xdr:row>
          <xdr:rowOff>0</xdr:rowOff>
        </xdr:from>
        <xdr:to>
          <xdr:col>22</xdr:col>
          <xdr:colOff>180975</xdr:colOff>
          <xdr:row>72</xdr:row>
          <xdr:rowOff>180975</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1100-0000D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xdr:row>
          <xdr:rowOff>0</xdr:rowOff>
        </xdr:from>
        <xdr:to>
          <xdr:col>22</xdr:col>
          <xdr:colOff>180975</xdr:colOff>
          <xdr:row>74</xdr:row>
          <xdr:rowOff>180975</xdr:rowOff>
        </xdr:to>
        <xdr:sp macro="" textlink="">
          <xdr:nvSpPr>
            <xdr:cNvPr id="15573" name="Check Box 213" hidden="1">
              <a:extLst>
                <a:ext uri="{63B3BB69-23CF-44E3-9099-C40C66FF867C}">
                  <a14:compatExt spid="_x0000_s15573"/>
                </a:ext>
                <a:ext uri="{FF2B5EF4-FFF2-40B4-BE49-F238E27FC236}">
                  <a16:creationId xmlns:a16="http://schemas.microsoft.com/office/drawing/2014/main" id="{00000000-0008-0000-1100-0000D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180975</xdr:colOff>
          <xdr:row>76</xdr:row>
          <xdr:rowOff>180975</xdr:rowOff>
        </xdr:to>
        <xdr:sp macro="" textlink="">
          <xdr:nvSpPr>
            <xdr:cNvPr id="15574" name="Check Box 214" hidden="1">
              <a:extLst>
                <a:ext uri="{63B3BB69-23CF-44E3-9099-C40C66FF867C}">
                  <a14:compatExt spid="_x0000_s15574"/>
                </a:ext>
                <a:ext uri="{FF2B5EF4-FFF2-40B4-BE49-F238E27FC236}">
                  <a16:creationId xmlns:a16="http://schemas.microsoft.com/office/drawing/2014/main" id="{00000000-0008-0000-1100-0000D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78</xdr:row>
          <xdr:rowOff>0</xdr:rowOff>
        </xdr:from>
        <xdr:to>
          <xdr:col>22</xdr:col>
          <xdr:colOff>180975</xdr:colOff>
          <xdr:row>78</xdr:row>
          <xdr:rowOff>180975</xdr:rowOff>
        </xdr:to>
        <xdr:sp macro="" textlink="">
          <xdr:nvSpPr>
            <xdr:cNvPr id="15575" name="Check Box 215" hidden="1">
              <a:extLst>
                <a:ext uri="{63B3BB69-23CF-44E3-9099-C40C66FF867C}">
                  <a14:compatExt spid="_x0000_s15575"/>
                </a:ext>
                <a:ext uri="{FF2B5EF4-FFF2-40B4-BE49-F238E27FC236}">
                  <a16:creationId xmlns:a16="http://schemas.microsoft.com/office/drawing/2014/main" id="{00000000-0008-0000-1100-0000D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180975</xdr:colOff>
          <xdr:row>80</xdr:row>
          <xdr:rowOff>180975</xdr:rowOff>
        </xdr:to>
        <xdr:sp macro="" textlink="">
          <xdr:nvSpPr>
            <xdr:cNvPr id="15576" name="Check Box 216" hidden="1">
              <a:extLst>
                <a:ext uri="{63B3BB69-23CF-44E3-9099-C40C66FF867C}">
                  <a14:compatExt spid="_x0000_s15576"/>
                </a:ext>
                <a:ext uri="{FF2B5EF4-FFF2-40B4-BE49-F238E27FC236}">
                  <a16:creationId xmlns:a16="http://schemas.microsoft.com/office/drawing/2014/main" id="{00000000-0008-0000-1100-0000D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180975</xdr:colOff>
          <xdr:row>89</xdr:row>
          <xdr:rowOff>180975</xdr:rowOff>
        </xdr:to>
        <xdr:sp macro="" textlink="">
          <xdr:nvSpPr>
            <xdr:cNvPr id="15577" name="Check Box 217" hidden="1">
              <a:extLst>
                <a:ext uri="{63B3BB69-23CF-44E3-9099-C40C66FF867C}">
                  <a14:compatExt spid="_x0000_s15577"/>
                </a:ext>
                <a:ext uri="{FF2B5EF4-FFF2-40B4-BE49-F238E27FC236}">
                  <a16:creationId xmlns:a16="http://schemas.microsoft.com/office/drawing/2014/main" id="{00000000-0008-0000-1100-0000D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180975</xdr:colOff>
          <xdr:row>90</xdr:row>
          <xdr:rowOff>180975</xdr:rowOff>
        </xdr:to>
        <xdr:sp macro="" textlink="">
          <xdr:nvSpPr>
            <xdr:cNvPr id="15578" name="Check Box 218" hidden="1">
              <a:extLst>
                <a:ext uri="{63B3BB69-23CF-44E3-9099-C40C66FF867C}">
                  <a14:compatExt spid="_x0000_s15578"/>
                </a:ext>
                <a:ext uri="{FF2B5EF4-FFF2-40B4-BE49-F238E27FC236}">
                  <a16:creationId xmlns:a16="http://schemas.microsoft.com/office/drawing/2014/main" id="{00000000-0008-0000-1100-0000D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97</xdr:row>
          <xdr:rowOff>0</xdr:rowOff>
        </xdr:from>
        <xdr:to>
          <xdr:col>22</xdr:col>
          <xdr:colOff>180975</xdr:colOff>
          <xdr:row>97</xdr:row>
          <xdr:rowOff>180975</xdr:rowOff>
        </xdr:to>
        <xdr:sp macro="" textlink="">
          <xdr:nvSpPr>
            <xdr:cNvPr id="15579" name="Check Box 219" hidden="1">
              <a:extLst>
                <a:ext uri="{63B3BB69-23CF-44E3-9099-C40C66FF867C}">
                  <a14:compatExt spid="_x0000_s15579"/>
                </a:ext>
                <a:ext uri="{FF2B5EF4-FFF2-40B4-BE49-F238E27FC236}">
                  <a16:creationId xmlns:a16="http://schemas.microsoft.com/office/drawing/2014/main" id="{00000000-0008-0000-1100-0000D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180975</xdr:colOff>
          <xdr:row>99</xdr:row>
          <xdr:rowOff>180975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1100-0000D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xdr:row>
          <xdr:rowOff>0</xdr:rowOff>
        </xdr:from>
        <xdr:to>
          <xdr:col>22</xdr:col>
          <xdr:colOff>180975</xdr:colOff>
          <xdr:row>103</xdr:row>
          <xdr:rowOff>180975</xdr:rowOff>
        </xdr:to>
        <xdr:sp macro="" textlink="">
          <xdr:nvSpPr>
            <xdr:cNvPr id="15581" name="Check Box 221" hidden="1">
              <a:extLst>
                <a:ext uri="{63B3BB69-23CF-44E3-9099-C40C66FF867C}">
                  <a14:compatExt spid="_x0000_s15581"/>
                </a:ext>
                <a:ext uri="{FF2B5EF4-FFF2-40B4-BE49-F238E27FC236}">
                  <a16:creationId xmlns:a16="http://schemas.microsoft.com/office/drawing/2014/main" id="{00000000-0008-0000-1100-0000D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180975</xdr:colOff>
          <xdr:row>107</xdr:row>
          <xdr:rowOff>180975</xdr:rowOff>
        </xdr:to>
        <xdr:sp macro="" textlink="">
          <xdr:nvSpPr>
            <xdr:cNvPr id="15582" name="Check Box 222" hidden="1">
              <a:extLst>
                <a:ext uri="{63B3BB69-23CF-44E3-9099-C40C66FF867C}">
                  <a14:compatExt spid="_x0000_s15582"/>
                </a:ext>
                <a:ext uri="{FF2B5EF4-FFF2-40B4-BE49-F238E27FC236}">
                  <a16:creationId xmlns:a16="http://schemas.microsoft.com/office/drawing/2014/main" id="{00000000-0008-0000-1100-0000D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180975</xdr:colOff>
          <xdr:row>108</xdr:row>
          <xdr:rowOff>180975</xdr:rowOff>
        </xdr:to>
        <xdr:sp macro="" textlink="">
          <xdr:nvSpPr>
            <xdr:cNvPr id="15583" name="Check Box 223" hidden="1">
              <a:extLst>
                <a:ext uri="{63B3BB69-23CF-44E3-9099-C40C66FF867C}">
                  <a14:compatExt spid="_x0000_s15583"/>
                </a:ext>
                <a:ext uri="{FF2B5EF4-FFF2-40B4-BE49-F238E27FC236}">
                  <a16:creationId xmlns:a16="http://schemas.microsoft.com/office/drawing/2014/main" id="{00000000-0008-0000-1100-0000D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180975</xdr:colOff>
          <xdr:row>110</xdr:row>
          <xdr:rowOff>180975</xdr:rowOff>
        </xdr:to>
        <xdr:sp macro="" textlink="">
          <xdr:nvSpPr>
            <xdr:cNvPr id="15584" name="Check Box 224" hidden="1">
              <a:extLst>
                <a:ext uri="{63B3BB69-23CF-44E3-9099-C40C66FF867C}">
                  <a14:compatExt spid="_x0000_s15584"/>
                </a:ext>
                <a:ext uri="{FF2B5EF4-FFF2-40B4-BE49-F238E27FC236}">
                  <a16:creationId xmlns:a16="http://schemas.microsoft.com/office/drawing/2014/main" id="{00000000-0008-0000-1100-0000E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180975</xdr:colOff>
          <xdr:row>111</xdr:row>
          <xdr:rowOff>180975</xdr:rowOff>
        </xdr:to>
        <xdr:sp macro="" textlink="">
          <xdr:nvSpPr>
            <xdr:cNvPr id="15585" name="Check Box 225" hidden="1">
              <a:extLst>
                <a:ext uri="{63B3BB69-23CF-44E3-9099-C40C66FF867C}">
                  <a14:compatExt spid="_x0000_s15585"/>
                </a:ext>
                <a:ext uri="{FF2B5EF4-FFF2-40B4-BE49-F238E27FC236}">
                  <a16:creationId xmlns:a16="http://schemas.microsoft.com/office/drawing/2014/main" id="{00000000-0008-0000-1100-0000E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180975</xdr:colOff>
          <xdr:row>112</xdr:row>
          <xdr:rowOff>180975</xdr:rowOff>
        </xdr:to>
        <xdr:sp macro="" textlink="">
          <xdr:nvSpPr>
            <xdr:cNvPr id="15586" name="Check Box 226" hidden="1">
              <a:extLst>
                <a:ext uri="{63B3BB69-23CF-44E3-9099-C40C66FF867C}">
                  <a14:compatExt spid="_x0000_s15586"/>
                </a:ext>
                <a:ext uri="{FF2B5EF4-FFF2-40B4-BE49-F238E27FC236}">
                  <a16:creationId xmlns:a16="http://schemas.microsoft.com/office/drawing/2014/main" id="{00000000-0008-0000-1100-0000E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180975</xdr:colOff>
          <xdr:row>120</xdr:row>
          <xdr:rowOff>180975</xdr:rowOff>
        </xdr:to>
        <xdr:sp macro="" textlink="">
          <xdr:nvSpPr>
            <xdr:cNvPr id="15587" name="Check Box 227" hidden="1">
              <a:extLst>
                <a:ext uri="{63B3BB69-23CF-44E3-9099-C40C66FF867C}">
                  <a14:compatExt spid="_x0000_s15587"/>
                </a:ext>
                <a:ext uri="{FF2B5EF4-FFF2-40B4-BE49-F238E27FC236}">
                  <a16:creationId xmlns:a16="http://schemas.microsoft.com/office/drawing/2014/main" id="{00000000-0008-0000-1100-0000E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xdr:row>
          <xdr:rowOff>0</xdr:rowOff>
        </xdr:from>
        <xdr:to>
          <xdr:col>22</xdr:col>
          <xdr:colOff>180975</xdr:colOff>
          <xdr:row>123</xdr:row>
          <xdr:rowOff>180975</xdr:rowOff>
        </xdr:to>
        <xdr:sp macro="" textlink="">
          <xdr:nvSpPr>
            <xdr:cNvPr id="15588" name="Check Box 228" hidden="1">
              <a:extLst>
                <a:ext uri="{63B3BB69-23CF-44E3-9099-C40C66FF867C}">
                  <a14:compatExt spid="_x0000_s15588"/>
                </a:ext>
                <a:ext uri="{FF2B5EF4-FFF2-40B4-BE49-F238E27FC236}">
                  <a16:creationId xmlns:a16="http://schemas.microsoft.com/office/drawing/2014/main" id="{00000000-0008-0000-1100-0000E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180975</xdr:colOff>
          <xdr:row>154</xdr:row>
          <xdr:rowOff>180975</xdr:rowOff>
        </xdr:to>
        <xdr:sp macro="" textlink="">
          <xdr:nvSpPr>
            <xdr:cNvPr id="15589" name="Check Box 229" hidden="1">
              <a:extLst>
                <a:ext uri="{63B3BB69-23CF-44E3-9099-C40C66FF867C}">
                  <a14:compatExt spid="_x0000_s15589"/>
                </a:ext>
                <a:ext uri="{FF2B5EF4-FFF2-40B4-BE49-F238E27FC236}">
                  <a16:creationId xmlns:a16="http://schemas.microsoft.com/office/drawing/2014/main" id="{00000000-0008-0000-1100-0000E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xdr:row>
          <xdr:rowOff>0</xdr:rowOff>
        </xdr:from>
        <xdr:to>
          <xdr:col>22</xdr:col>
          <xdr:colOff>180975</xdr:colOff>
          <xdr:row>156</xdr:row>
          <xdr:rowOff>180975</xdr:rowOff>
        </xdr:to>
        <xdr:sp macro="" textlink="">
          <xdr:nvSpPr>
            <xdr:cNvPr id="15590" name="Check Box 230" hidden="1">
              <a:extLst>
                <a:ext uri="{63B3BB69-23CF-44E3-9099-C40C66FF867C}">
                  <a14:compatExt spid="_x0000_s15590"/>
                </a:ext>
                <a:ext uri="{FF2B5EF4-FFF2-40B4-BE49-F238E27FC236}">
                  <a16:creationId xmlns:a16="http://schemas.microsoft.com/office/drawing/2014/main" id="{00000000-0008-0000-1100-0000E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180975</xdr:colOff>
          <xdr:row>159</xdr:row>
          <xdr:rowOff>180975</xdr:rowOff>
        </xdr:to>
        <xdr:sp macro="" textlink="">
          <xdr:nvSpPr>
            <xdr:cNvPr id="15591" name="Check Box 231" hidden="1">
              <a:extLst>
                <a:ext uri="{63B3BB69-23CF-44E3-9099-C40C66FF867C}">
                  <a14:compatExt spid="_x0000_s15591"/>
                </a:ext>
                <a:ext uri="{FF2B5EF4-FFF2-40B4-BE49-F238E27FC236}">
                  <a16:creationId xmlns:a16="http://schemas.microsoft.com/office/drawing/2014/main" id="{00000000-0008-0000-1100-0000E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xdr:row>
          <xdr:rowOff>0</xdr:rowOff>
        </xdr:from>
        <xdr:to>
          <xdr:col>22</xdr:col>
          <xdr:colOff>180975</xdr:colOff>
          <xdr:row>169</xdr:row>
          <xdr:rowOff>180975</xdr:rowOff>
        </xdr:to>
        <xdr:sp macro="" textlink="">
          <xdr:nvSpPr>
            <xdr:cNvPr id="15592" name="Check Box 232" hidden="1">
              <a:extLst>
                <a:ext uri="{63B3BB69-23CF-44E3-9099-C40C66FF867C}">
                  <a14:compatExt spid="_x0000_s15592"/>
                </a:ext>
                <a:ext uri="{FF2B5EF4-FFF2-40B4-BE49-F238E27FC236}">
                  <a16:creationId xmlns:a16="http://schemas.microsoft.com/office/drawing/2014/main" id="{00000000-0008-0000-1100-0000E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180975</xdr:colOff>
          <xdr:row>170</xdr:row>
          <xdr:rowOff>180975</xdr:rowOff>
        </xdr:to>
        <xdr:sp macro="" textlink="">
          <xdr:nvSpPr>
            <xdr:cNvPr id="15593" name="Check Box 233" hidden="1">
              <a:extLst>
                <a:ext uri="{63B3BB69-23CF-44E3-9099-C40C66FF867C}">
                  <a14:compatExt spid="_x0000_s15593"/>
                </a:ext>
                <a:ext uri="{FF2B5EF4-FFF2-40B4-BE49-F238E27FC236}">
                  <a16:creationId xmlns:a16="http://schemas.microsoft.com/office/drawing/2014/main" id="{00000000-0008-0000-1100-0000E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180975</xdr:colOff>
          <xdr:row>175</xdr:row>
          <xdr:rowOff>180975</xdr:rowOff>
        </xdr:to>
        <xdr:sp macro="" textlink="">
          <xdr:nvSpPr>
            <xdr:cNvPr id="15594" name="Check Box 234" hidden="1">
              <a:extLst>
                <a:ext uri="{63B3BB69-23CF-44E3-9099-C40C66FF867C}">
                  <a14:compatExt spid="_x0000_s15594"/>
                </a:ext>
                <a:ext uri="{FF2B5EF4-FFF2-40B4-BE49-F238E27FC236}">
                  <a16:creationId xmlns:a16="http://schemas.microsoft.com/office/drawing/2014/main" id="{00000000-0008-0000-1100-0000E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180975</xdr:colOff>
          <xdr:row>177</xdr:row>
          <xdr:rowOff>180975</xdr:rowOff>
        </xdr:to>
        <xdr:sp macro="" textlink="">
          <xdr:nvSpPr>
            <xdr:cNvPr id="15595" name="Check Box 235" hidden="1">
              <a:extLst>
                <a:ext uri="{63B3BB69-23CF-44E3-9099-C40C66FF867C}">
                  <a14:compatExt spid="_x0000_s15595"/>
                </a:ext>
                <a:ext uri="{FF2B5EF4-FFF2-40B4-BE49-F238E27FC236}">
                  <a16:creationId xmlns:a16="http://schemas.microsoft.com/office/drawing/2014/main" id="{00000000-0008-0000-1100-0000E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180975</xdr:colOff>
          <xdr:row>180</xdr:row>
          <xdr:rowOff>180975</xdr:rowOff>
        </xdr:to>
        <xdr:sp macro="" textlink="">
          <xdr:nvSpPr>
            <xdr:cNvPr id="15596" name="Check Box 236" hidden="1">
              <a:extLst>
                <a:ext uri="{63B3BB69-23CF-44E3-9099-C40C66FF867C}">
                  <a14:compatExt spid="_x0000_s15596"/>
                </a:ext>
                <a:ext uri="{FF2B5EF4-FFF2-40B4-BE49-F238E27FC236}">
                  <a16:creationId xmlns:a16="http://schemas.microsoft.com/office/drawing/2014/main" id="{00000000-0008-0000-1100-0000E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180975</xdr:colOff>
          <xdr:row>182</xdr:row>
          <xdr:rowOff>180975</xdr:rowOff>
        </xdr:to>
        <xdr:sp macro="" textlink="">
          <xdr:nvSpPr>
            <xdr:cNvPr id="15597" name="Check Box 237" hidden="1">
              <a:extLst>
                <a:ext uri="{63B3BB69-23CF-44E3-9099-C40C66FF867C}">
                  <a14:compatExt spid="_x0000_s15597"/>
                </a:ext>
                <a:ext uri="{FF2B5EF4-FFF2-40B4-BE49-F238E27FC236}">
                  <a16:creationId xmlns:a16="http://schemas.microsoft.com/office/drawing/2014/main" id="{00000000-0008-0000-1100-0000E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180975</xdr:colOff>
          <xdr:row>184</xdr:row>
          <xdr:rowOff>180975</xdr:rowOff>
        </xdr:to>
        <xdr:sp macro="" textlink="">
          <xdr:nvSpPr>
            <xdr:cNvPr id="15598" name="Check Box 238" hidden="1">
              <a:extLst>
                <a:ext uri="{63B3BB69-23CF-44E3-9099-C40C66FF867C}">
                  <a14:compatExt spid="_x0000_s15598"/>
                </a:ext>
                <a:ext uri="{FF2B5EF4-FFF2-40B4-BE49-F238E27FC236}">
                  <a16:creationId xmlns:a16="http://schemas.microsoft.com/office/drawing/2014/main" id="{00000000-0008-0000-1100-0000E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xdr:row>
          <xdr:rowOff>0</xdr:rowOff>
        </xdr:from>
        <xdr:to>
          <xdr:col>22</xdr:col>
          <xdr:colOff>180975</xdr:colOff>
          <xdr:row>188</xdr:row>
          <xdr:rowOff>180975</xdr:rowOff>
        </xdr:to>
        <xdr:sp macro="" textlink="">
          <xdr:nvSpPr>
            <xdr:cNvPr id="15599" name="Check Box 239" hidden="1">
              <a:extLst>
                <a:ext uri="{63B3BB69-23CF-44E3-9099-C40C66FF867C}">
                  <a14:compatExt spid="_x0000_s15599"/>
                </a:ext>
                <a:ext uri="{FF2B5EF4-FFF2-40B4-BE49-F238E27FC236}">
                  <a16:creationId xmlns:a16="http://schemas.microsoft.com/office/drawing/2014/main" id="{00000000-0008-0000-1100-0000E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180975</xdr:colOff>
          <xdr:row>189</xdr:row>
          <xdr:rowOff>180975</xdr:rowOff>
        </xdr:to>
        <xdr:sp macro="" textlink="">
          <xdr:nvSpPr>
            <xdr:cNvPr id="15600" name="Check Box 240" hidden="1">
              <a:extLst>
                <a:ext uri="{63B3BB69-23CF-44E3-9099-C40C66FF867C}">
                  <a14:compatExt spid="_x0000_s15600"/>
                </a:ext>
                <a:ext uri="{FF2B5EF4-FFF2-40B4-BE49-F238E27FC236}">
                  <a16:creationId xmlns:a16="http://schemas.microsoft.com/office/drawing/2014/main" id="{00000000-0008-0000-1100-0000F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180975</xdr:colOff>
          <xdr:row>190</xdr:row>
          <xdr:rowOff>180975</xdr:rowOff>
        </xdr:to>
        <xdr:sp macro="" textlink="">
          <xdr:nvSpPr>
            <xdr:cNvPr id="15601" name="Check Box 241" hidden="1">
              <a:extLst>
                <a:ext uri="{63B3BB69-23CF-44E3-9099-C40C66FF867C}">
                  <a14:compatExt spid="_x0000_s15601"/>
                </a:ext>
                <a:ext uri="{FF2B5EF4-FFF2-40B4-BE49-F238E27FC236}">
                  <a16:creationId xmlns:a16="http://schemas.microsoft.com/office/drawing/2014/main" id="{00000000-0008-0000-1100-0000F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180975</xdr:colOff>
          <xdr:row>192</xdr:row>
          <xdr:rowOff>180975</xdr:rowOff>
        </xdr:to>
        <xdr:sp macro="" textlink="">
          <xdr:nvSpPr>
            <xdr:cNvPr id="15602" name="Check Box 242" hidden="1">
              <a:extLst>
                <a:ext uri="{63B3BB69-23CF-44E3-9099-C40C66FF867C}">
                  <a14:compatExt spid="_x0000_s15602"/>
                </a:ext>
                <a:ext uri="{FF2B5EF4-FFF2-40B4-BE49-F238E27FC236}">
                  <a16:creationId xmlns:a16="http://schemas.microsoft.com/office/drawing/2014/main" id="{00000000-0008-0000-1100-0000F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180975</xdr:colOff>
          <xdr:row>207</xdr:row>
          <xdr:rowOff>180975</xdr:rowOff>
        </xdr:to>
        <xdr:sp macro="" textlink="">
          <xdr:nvSpPr>
            <xdr:cNvPr id="15605" name="Check Box 245" hidden="1">
              <a:extLst>
                <a:ext uri="{63B3BB69-23CF-44E3-9099-C40C66FF867C}">
                  <a14:compatExt spid="_x0000_s15605"/>
                </a:ext>
                <a:ext uri="{FF2B5EF4-FFF2-40B4-BE49-F238E27FC236}">
                  <a16:creationId xmlns:a16="http://schemas.microsoft.com/office/drawing/2014/main" id="{00000000-0008-0000-1100-0000F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180975</xdr:colOff>
          <xdr:row>214</xdr:row>
          <xdr:rowOff>180975</xdr:rowOff>
        </xdr:to>
        <xdr:sp macro="" textlink="">
          <xdr:nvSpPr>
            <xdr:cNvPr id="15606" name="Check Box 246" hidden="1">
              <a:extLst>
                <a:ext uri="{63B3BB69-23CF-44E3-9099-C40C66FF867C}">
                  <a14:compatExt spid="_x0000_s15606"/>
                </a:ext>
                <a:ext uri="{FF2B5EF4-FFF2-40B4-BE49-F238E27FC236}">
                  <a16:creationId xmlns:a16="http://schemas.microsoft.com/office/drawing/2014/main" id="{00000000-0008-0000-1100-0000F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180975</xdr:colOff>
          <xdr:row>215</xdr:row>
          <xdr:rowOff>180975</xdr:rowOff>
        </xdr:to>
        <xdr:sp macro="" textlink="">
          <xdr:nvSpPr>
            <xdr:cNvPr id="15607" name="Check Box 247" hidden="1">
              <a:extLst>
                <a:ext uri="{63B3BB69-23CF-44E3-9099-C40C66FF867C}">
                  <a14:compatExt spid="_x0000_s15607"/>
                </a:ext>
                <a:ext uri="{FF2B5EF4-FFF2-40B4-BE49-F238E27FC236}">
                  <a16:creationId xmlns:a16="http://schemas.microsoft.com/office/drawing/2014/main" id="{00000000-0008-0000-1100-0000F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xdr:row>
          <xdr:rowOff>0</xdr:rowOff>
        </xdr:from>
        <xdr:to>
          <xdr:col>22</xdr:col>
          <xdr:colOff>180975</xdr:colOff>
          <xdr:row>217</xdr:row>
          <xdr:rowOff>180975</xdr:rowOff>
        </xdr:to>
        <xdr:sp macro="" textlink="">
          <xdr:nvSpPr>
            <xdr:cNvPr id="15608" name="Check Box 248" hidden="1">
              <a:extLst>
                <a:ext uri="{63B3BB69-23CF-44E3-9099-C40C66FF867C}">
                  <a14:compatExt spid="_x0000_s15608"/>
                </a:ext>
                <a:ext uri="{FF2B5EF4-FFF2-40B4-BE49-F238E27FC236}">
                  <a16:creationId xmlns:a16="http://schemas.microsoft.com/office/drawing/2014/main" id="{00000000-0008-0000-1100-0000F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180975</xdr:colOff>
          <xdr:row>222</xdr:row>
          <xdr:rowOff>180975</xdr:rowOff>
        </xdr:to>
        <xdr:sp macro="" textlink="">
          <xdr:nvSpPr>
            <xdr:cNvPr id="15609" name="Check Box 249" hidden="1">
              <a:extLst>
                <a:ext uri="{63B3BB69-23CF-44E3-9099-C40C66FF867C}">
                  <a14:compatExt spid="_x0000_s15609"/>
                </a:ext>
                <a:ext uri="{FF2B5EF4-FFF2-40B4-BE49-F238E27FC236}">
                  <a16:creationId xmlns:a16="http://schemas.microsoft.com/office/drawing/2014/main" id="{00000000-0008-0000-1100-0000F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180975</xdr:colOff>
          <xdr:row>224</xdr:row>
          <xdr:rowOff>180975</xdr:rowOff>
        </xdr:to>
        <xdr:sp macro="" textlink="">
          <xdr:nvSpPr>
            <xdr:cNvPr id="15610" name="Check Box 250" hidden="1">
              <a:extLst>
                <a:ext uri="{63B3BB69-23CF-44E3-9099-C40C66FF867C}">
                  <a14:compatExt spid="_x0000_s15610"/>
                </a:ext>
                <a:ext uri="{FF2B5EF4-FFF2-40B4-BE49-F238E27FC236}">
                  <a16:creationId xmlns:a16="http://schemas.microsoft.com/office/drawing/2014/main" id="{00000000-0008-0000-1100-0000F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xdr:row>
          <xdr:rowOff>0</xdr:rowOff>
        </xdr:from>
        <xdr:to>
          <xdr:col>22</xdr:col>
          <xdr:colOff>180975</xdr:colOff>
          <xdr:row>225</xdr:row>
          <xdr:rowOff>180975</xdr:rowOff>
        </xdr:to>
        <xdr:sp macro="" textlink="">
          <xdr:nvSpPr>
            <xdr:cNvPr id="15611" name="Check Box 251" hidden="1">
              <a:extLst>
                <a:ext uri="{63B3BB69-23CF-44E3-9099-C40C66FF867C}">
                  <a14:compatExt spid="_x0000_s15611"/>
                </a:ext>
                <a:ext uri="{FF2B5EF4-FFF2-40B4-BE49-F238E27FC236}">
                  <a16:creationId xmlns:a16="http://schemas.microsoft.com/office/drawing/2014/main" id="{00000000-0008-0000-1100-0000F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180975</xdr:colOff>
          <xdr:row>227</xdr:row>
          <xdr:rowOff>180975</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1100-0000F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180975</xdr:colOff>
          <xdr:row>229</xdr:row>
          <xdr:rowOff>180975</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1100-0000F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180975</xdr:colOff>
          <xdr:row>233</xdr:row>
          <xdr:rowOff>180975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1100-0000F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180975</xdr:colOff>
          <xdr:row>236</xdr:row>
          <xdr:rowOff>180975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1100-0000F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xdr:row>
          <xdr:rowOff>0</xdr:rowOff>
        </xdr:from>
        <xdr:to>
          <xdr:col>22</xdr:col>
          <xdr:colOff>180975</xdr:colOff>
          <xdr:row>238</xdr:row>
          <xdr:rowOff>180975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1100-00000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xdr:row>
          <xdr:rowOff>0</xdr:rowOff>
        </xdr:from>
        <xdr:to>
          <xdr:col>22</xdr:col>
          <xdr:colOff>180975</xdr:colOff>
          <xdr:row>239</xdr:row>
          <xdr:rowOff>180975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1100-00000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180975</xdr:colOff>
          <xdr:row>240</xdr:row>
          <xdr:rowOff>180975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1100-00000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180975</xdr:colOff>
          <xdr:row>241</xdr:row>
          <xdr:rowOff>180975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1100-00000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180975</xdr:colOff>
          <xdr:row>242</xdr:row>
          <xdr:rowOff>180975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1100-00000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180975</xdr:colOff>
          <xdr:row>243</xdr:row>
          <xdr:rowOff>180975</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1100-00000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xdr:row>
          <xdr:rowOff>0</xdr:rowOff>
        </xdr:from>
        <xdr:to>
          <xdr:col>22</xdr:col>
          <xdr:colOff>180975</xdr:colOff>
          <xdr:row>245</xdr:row>
          <xdr:rowOff>180975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1100-00000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252</xdr:row>
          <xdr:rowOff>0</xdr:rowOff>
        </xdr:from>
        <xdr:to>
          <xdr:col>22</xdr:col>
          <xdr:colOff>180975</xdr:colOff>
          <xdr:row>252</xdr:row>
          <xdr:rowOff>180975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1100-00000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254</xdr:row>
          <xdr:rowOff>0</xdr:rowOff>
        </xdr:from>
        <xdr:to>
          <xdr:col>22</xdr:col>
          <xdr:colOff>180975</xdr:colOff>
          <xdr:row>254</xdr:row>
          <xdr:rowOff>180975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1100-00000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263</xdr:row>
          <xdr:rowOff>0</xdr:rowOff>
        </xdr:from>
        <xdr:to>
          <xdr:col>22</xdr:col>
          <xdr:colOff>180975</xdr:colOff>
          <xdr:row>263</xdr:row>
          <xdr:rowOff>180975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1100-00000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266</xdr:row>
          <xdr:rowOff>0</xdr:rowOff>
        </xdr:from>
        <xdr:to>
          <xdr:col>22</xdr:col>
          <xdr:colOff>180975</xdr:colOff>
          <xdr:row>266</xdr:row>
          <xdr:rowOff>180975</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1100-00000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270</xdr:row>
          <xdr:rowOff>0</xdr:rowOff>
        </xdr:from>
        <xdr:to>
          <xdr:col>22</xdr:col>
          <xdr:colOff>180975</xdr:colOff>
          <xdr:row>270</xdr:row>
          <xdr:rowOff>180975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1100-00000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271</xdr:row>
          <xdr:rowOff>0</xdr:rowOff>
        </xdr:from>
        <xdr:to>
          <xdr:col>22</xdr:col>
          <xdr:colOff>180975</xdr:colOff>
          <xdr:row>271</xdr:row>
          <xdr:rowOff>180975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1100-00000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281</xdr:row>
          <xdr:rowOff>0</xdr:rowOff>
        </xdr:from>
        <xdr:to>
          <xdr:col>22</xdr:col>
          <xdr:colOff>180975</xdr:colOff>
          <xdr:row>281</xdr:row>
          <xdr:rowOff>180975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1100-00000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348</xdr:row>
          <xdr:rowOff>0</xdr:rowOff>
        </xdr:from>
        <xdr:to>
          <xdr:col>22</xdr:col>
          <xdr:colOff>180975</xdr:colOff>
          <xdr:row>348</xdr:row>
          <xdr:rowOff>180975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1100-00001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351</xdr:row>
          <xdr:rowOff>0</xdr:rowOff>
        </xdr:from>
        <xdr:to>
          <xdr:col>22</xdr:col>
          <xdr:colOff>180975</xdr:colOff>
          <xdr:row>351</xdr:row>
          <xdr:rowOff>180975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1100-00001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354</xdr:row>
          <xdr:rowOff>0</xdr:rowOff>
        </xdr:from>
        <xdr:to>
          <xdr:col>22</xdr:col>
          <xdr:colOff>180975</xdr:colOff>
          <xdr:row>354</xdr:row>
          <xdr:rowOff>180975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1100-00001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180975</xdr:colOff>
          <xdr:row>358</xdr:row>
          <xdr:rowOff>180975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1100-00001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359</xdr:row>
          <xdr:rowOff>0</xdr:rowOff>
        </xdr:from>
        <xdr:to>
          <xdr:col>22</xdr:col>
          <xdr:colOff>180975</xdr:colOff>
          <xdr:row>359</xdr:row>
          <xdr:rowOff>180975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1100-00001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180975</xdr:colOff>
          <xdr:row>360</xdr:row>
          <xdr:rowOff>180975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1100-00001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180975</xdr:colOff>
          <xdr:row>361</xdr:row>
          <xdr:rowOff>180975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1100-00001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362</xdr:row>
          <xdr:rowOff>0</xdr:rowOff>
        </xdr:from>
        <xdr:to>
          <xdr:col>22</xdr:col>
          <xdr:colOff>180975</xdr:colOff>
          <xdr:row>362</xdr:row>
          <xdr:rowOff>180975</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1100-00001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180975</xdr:colOff>
          <xdr:row>363</xdr:row>
          <xdr:rowOff>180975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1100-00001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369</xdr:row>
          <xdr:rowOff>0</xdr:rowOff>
        </xdr:from>
        <xdr:to>
          <xdr:col>22</xdr:col>
          <xdr:colOff>180975</xdr:colOff>
          <xdr:row>369</xdr:row>
          <xdr:rowOff>180975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1100-00001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370</xdr:row>
          <xdr:rowOff>0</xdr:rowOff>
        </xdr:from>
        <xdr:to>
          <xdr:col>22</xdr:col>
          <xdr:colOff>180975</xdr:colOff>
          <xdr:row>370</xdr:row>
          <xdr:rowOff>180975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1100-00001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371</xdr:row>
          <xdr:rowOff>0</xdr:rowOff>
        </xdr:from>
        <xdr:to>
          <xdr:col>22</xdr:col>
          <xdr:colOff>180975</xdr:colOff>
          <xdr:row>371</xdr:row>
          <xdr:rowOff>180975</xdr:rowOff>
        </xdr:to>
        <xdr:sp macro="" textlink="">
          <xdr:nvSpPr>
            <xdr:cNvPr id="15643" name="Check Box 283" hidden="1">
              <a:extLst>
                <a:ext uri="{63B3BB69-23CF-44E3-9099-C40C66FF867C}">
                  <a14:compatExt spid="_x0000_s15643"/>
                </a:ext>
                <a:ext uri="{FF2B5EF4-FFF2-40B4-BE49-F238E27FC236}">
                  <a16:creationId xmlns:a16="http://schemas.microsoft.com/office/drawing/2014/main" id="{00000000-0008-0000-1100-00001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372</xdr:row>
          <xdr:rowOff>0</xdr:rowOff>
        </xdr:from>
        <xdr:to>
          <xdr:col>22</xdr:col>
          <xdr:colOff>180975</xdr:colOff>
          <xdr:row>372</xdr:row>
          <xdr:rowOff>180975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1100-00001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373</xdr:row>
          <xdr:rowOff>0</xdr:rowOff>
        </xdr:from>
        <xdr:to>
          <xdr:col>22</xdr:col>
          <xdr:colOff>180975</xdr:colOff>
          <xdr:row>373</xdr:row>
          <xdr:rowOff>180975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1100-00001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397</xdr:row>
          <xdr:rowOff>0</xdr:rowOff>
        </xdr:from>
        <xdr:to>
          <xdr:col>22</xdr:col>
          <xdr:colOff>180975</xdr:colOff>
          <xdr:row>397</xdr:row>
          <xdr:rowOff>180975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1100-00001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413</xdr:row>
          <xdr:rowOff>0</xdr:rowOff>
        </xdr:from>
        <xdr:to>
          <xdr:col>22</xdr:col>
          <xdr:colOff>180975</xdr:colOff>
          <xdr:row>413</xdr:row>
          <xdr:rowOff>180975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1100-00002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417</xdr:row>
          <xdr:rowOff>0</xdr:rowOff>
        </xdr:from>
        <xdr:to>
          <xdr:col>22</xdr:col>
          <xdr:colOff>180975</xdr:colOff>
          <xdr:row>417</xdr:row>
          <xdr:rowOff>180975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1100-00002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418</xdr:row>
          <xdr:rowOff>0</xdr:rowOff>
        </xdr:from>
        <xdr:to>
          <xdr:col>22</xdr:col>
          <xdr:colOff>180975</xdr:colOff>
          <xdr:row>418</xdr:row>
          <xdr:rowOff>180975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1100-00002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420</xdr:row>
          <xdr:rowOff>0</xdr:rowOff>
        </xdr:from>
        <xdr:to>
          <xdr:col>22</xdr:col>
          <xdr:colOff>180975</xdr:colOff>
          <xdr:row>420</xdr:row>
          <xdr:rowOff>180975</xdr:rowOff>
        </xdr:to>
        <xdr:sp macro="" textlink="">
          <xdr:nvSpPr>
            <xdr:cNvPr id="15652" name="Check Box 292" hidden="1">
              <a:extLst>
                <a:ext uri="{63B3BB69-23CF-44E3-9099-C40C66FF867C}">
                  <a14:compatExt spid="_x0000_s15652"/>
                </a:ext>
                <a:ext uri="{FF2B5EF4-FFF2-40B4-BE49-F238E27FC236}">
                  <a16:creationId xmlns:a16="http://schemas.microsoft.com/office/drawing/2014/main" id="{00000000-0008-0000-1100-00002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422</xdr:row>
          <xdr:rowOff>0</xdr:rowOff>
        </xdr:from>
        <xdr:to>
          <xdr:col>22</xdr:col>
          <xdr:colOff>180975</xdr:colOff>
          <xdr:row>422</xdr:row>
          <xdr:rowOff>180975</xdr:rowOff>
        </xdr:to>
        <xdr:sp macro="" textlink="">
          <xdr:nvSpPr>
            <xdr:cNvPr id="15653" name="Check Box 293" hidden="1">
              <a:extLst>
                <a:ext uri="{63B3BB69-23CF-44E3-9099-C40C66FF867C}">
                  <a14:compatExt spid="_x0000_s15653"/>
                </a:ext>
                <a:ext uri="{FF2B5EF4-FFF2-40B4-BE49-F238E27FC236}">
                  <a16:creationId xmlns:a16="http://schemas.microsoft.com/office/drawing/2014/main" id="{00000000-0008-0000-1100-00002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428</xdr:row>
          <xdr:rowOff>0</xdr:rowOff>
        </xdr:from>
        <xdr:to>
          <xdr:col>22</xdr:col>
          <xdr:colOff>180975</xdr:colOff>
          <xdr:row>428</xdr:row>
          <xdr:rowOff>180975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1100-00002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434</xdr:row>
          <xdr:rowOff>0</xdr:rowOff>
        </xdr:from>
        <xdr:to>
          <xdr:col>22</xdr:col>
          <xdr:colOff>180975</xdr:colOff>
          <xdr:row>434</xdr:row>
          <xdr:rowOff>180975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1100-00002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440</xdr:row>
          <xdr:rowOff>0</xdr:rowOff>
        </xdr:from>
        <xdr:to>
          <xdr:col>22</xdr:col>
          <xdr:colOff>180975</xdr:colOff>
          <xdr:row>440</xdr:row>
          <xdr:rowOff>180975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1100-00002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442</xdr:row>
          <xdr:rowOff>0</xdr:rowOff>
        </xdr:from>
        <xdr:to>
          <xdr:col>22</xdr:col>
          <xdr:colOff>180975</xdr:colOff>
          <xdr:row>442</xdr:row>
          <xdr:rowOff>180975</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1100-00002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448</xdr:row>
          <xdr:rowOff>0</xdr:rowOff>
        </xdr:from>
        <xdr:to>
          <xdr:col>22</xdr:col>
          <xdr:colOff>180975</xdr:colOff>
          <xdr:row>448</xdr:row>
          <xdr:rowOff>180975</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1100-00002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452</xdr:row>
          <xdr:rowOff>0</xdr:rowOff>
        </xdr:from>
        <xdr:to>
          <xdr:col>22</xdr:col>
          <xdr:colOff>180975</xdr:colOff>
          <xdr:row>452</xdr:row>
          <xdr:rowOff>180975</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1100-00002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0</xdr:rowOff>
        </xdr:from>
        <xdr:to>
          <xdr:col>22</xdr:col>
          <xdr:colOff>180975</xdr:colOff>
          <xdr:row>456</xdr:row>
          <xdr:rowOff>180975</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1100-00002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461</xdr:row>
          <xdr:rowOff>0</xdr:rowOff>
        </xdr:from>
        <xdr:to>
          <xdr:col>22</xdr:col>
          <xdr:colOff>180975</xdr:colOff>
          <xdr:row>461</xdr:row>
          <xdr:rowOff>180975</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1100-00002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466</xdr:row>
          <xdr:rowOff>0</xdr:rowOff>
        </xdr:from>
        <xdr:to>
          <xdr:col>22</xdr:col>
          <xdr:colOff>180975</xdr:colOff>
          <xdr:row>466</xdr:row>
          <xdr:rowOff>180975</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1100-00002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0</xdr:rowOff>
        </xdr:from>
        <xdr:to>
          <xdr:col>22</xdr:col>
          <xdr:colOff>180975</xdr:colOff>
          <xdr:row>468</xdr:row>
          <xdr:rowOff>180975</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1100-00002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470</xdr:row>
          <xdr:rowOff>0</xdr:rowOff>
        </xdr:from>
        <xdr:to>
          <xdr:col>22</xdr:col>
          <xdr:colOff>180975</xdr:colOff>
          <xdr:row>470</xdr:row>
          <xdr:rowOff>180975</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1100-00003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482</xdr:row>
          <xdr:rowOff>0</xdr:rowOff>
        </xdr:from>
        <xdr:to>
          <xdr:col>22</xdr:col>
          <xdr:colOff>180975</xdr:colOff>
          <xdr:row>482</xdr:row>
          <xdr:rowOff>180975</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1100-00003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180975</xdr:colOff>
          <xdr:row>492</xdr:row>
          <xdr:rowOff>180975</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1100-00003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495</xdr:row>
          <xdr:rowOff>0</xdr:rowOff>
        </xdr:from>
        <xdr:to>
          <xdr:col>22</xdr:col>
          <xdr:colOff>180975</xdr:colOff>
          <xdr:row>495</xdr:row>
          <xdr:rowOff>180975</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1100-00003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180975</xdr:colOff>
          <xdr:row>496</xdr:row>
          <xdr:rowOff>180975</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1100-00003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506</xdr:row>
          <xdr:rowOff>0</xdr:rowOff>
        </xdr:from>
        <xdr:to>
          <xdr:col>22</xdr:col>
          <xdr:colOff>180975</xdr:colOff>
          <xdr:row>506</xdr:row>
          <xdr:rowOff>180975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1100-00003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508</xdr:row>
          <xdr:rowOff>0</xdr:rowOff>
        </xdr:from>
        <xdr:to>
          <xdr:col>22</xdr:col>
          <xdr:colOff>180975</xdr:colOff>
          <xdr:row>508</xdr:row>
          <xdr:rowOff>180975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1100-00003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524</xdr:row>
          <xdr:rowOff>0</xdr:rowOff>
        </xdr:from>
        <xdr:to>
          <xdr:col>22</xdr:col>
          <xdr:colOff>180975</xdr:colOff>
          <xdr:row>524</xdr:row>
          <xdr:rowOff>180975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1100-00003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535</xdr:row>
          <xdr:rowOff>0</xdr:rowOff>
        </xdr:from>
        <xdr:to>
          <xdr:col>22</xdr:col>
          <xdr:colOff>180975</xdr:colOff>
          <xdr:row>535</xdr:row>
          <xdr:rowOff>180975</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1100-00003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536</xdr:row>
          <xdr:rowOff>0</xdr:rowOff>
        </xdr:from>
        <xdr:to>
          <xdr:col>22</xdr:col>
          <xdr:colOff>180975</xdr:colOff>
          <xdr:row>536</xdr:row>
          <xdr:rowOff>180975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1100-00003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544</xdr:row>
          <xdr:rowOff>0</xdr:rowOff>
        </xdr:from>
        <xdr:to>
          <xdr:col>22</xdr:col>
          <xdr:colOff>180975</xdr:colOff>
          <xdr:row>544</xdr:row>
          <xdr:rowOff>180975</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1100-00003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546</xdr:row>
          <xdr:rowOff>0</xdr:rowOff>
        </xdr:from>
        <xdr:to>
          <xdr:col>22</xdr:col>
          <xdr:colOff>180975</xdr:colOff>
          <xdr:row>546</xdr:row>
          <xdr:rowOff>180975</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1100-00003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547</xdr:row>
          <xdr:rowOff>0</xdr:rowOff>
        </xdr:from>
        <xdr:to>
          <xdr:col>22</xdr:col>
          <xdr:colOff>180975</xdr:colOff>
          <xdr:row>547</xdr:row>
          <xdr:rowOff>180975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1100-00003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550</xdr:row>
          <xdr:rowOff>0</xdr:rowOff>
        </xdr:from>
        <xdr:to>
          <xdr:col>22</xdr:col>
          <xdr:colOff>180975</xdr:colOff>
          <xdr:row>550</xdr:row>
          <xdr:rowOff>180975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1100-00003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554</xdr:row>
          <xdr:rowOff>0</xdr:rowOff>
        </xdr:from>
        <xdr:to>
          <xdr:col>22</xdr:col>
          <xdr:colOff>180975</xdr:colOff>
          <xdr:row>554</xdr:row>
          <xdr:rowOff>180975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1100-00003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559</xdr:row>
          <xdr:rowOff>0</xdr:rowOff>
        </xdr:from>
        <xdr:to>
          <xdr:col>22</xdr:col>
          <xdr:colOff>180975</xdr:colOff>
          <xdr:row>559</xdr:row>
          <xdr:rowOff>180975</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1100-00003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561</xdr:row>
          <xdr:rowOff>0</xdr:rowOff>
        </xdr:from>
        <xdr:to>
          <xdr:col>22</xdr:col>
          <xdr:colOff>180975</xdr:colOff>
          <xdr:row>561</xdr:row>
          <xdr:rowOff>180975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1100-00004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578</xdr:row>
          <xdr:rowOff>0</xdr:rowOff>
        </xdr:from>
        <xdr:to>
          <xdr:col>22</xdr:col>
          <xdr:colOff>180975</xdr:colOff>
          <xdr:row>578</xdr:row>
          <xdr:rowOff>180975</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1100-00004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595</xdr:row>
          <xdr:rowOff>0</xdr:rowOff>
        </xdr:from>
        <xdr:to>
          <xdr:col>22</xdr:col>
          <xdr:colOff>180975</xdr:colOff>
          <xdr:row>595</xdr:row>
          <xdr:rowOff>180975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1100-00004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608</xdr:row>
          <xdr:rowOff>0</xdr:rowOff>
        </xdr:from>
        <xdr:to>
          <xdr:col>22</xdr:col>
          <xdr:colOff>180975</xdr:colOff>
          <xdr:row>608</xdr:row>
          <xdr:rowOff>180975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1100-00004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0</xdr:rowOff>
        </xdr:from>
        <xdr:to>
          <xdr:col>22</xdr:col>
          <xdr:colOff>180975</xdr:colOff>
          <xdr:row>610</xdr:row>
          <xdr:rowOff>180975</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1100-00004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623</xdr:row>
          <xdr:rowOff>0</xdr:rowOff>
        </xdr:from>
        <xdr:to>
          <xdr:col>22</xdr:col>
          <xdr:colOff>180975</xdr:colOff>
          <xdr:row>623</xdr:row>
          <xdr:rowOff>180975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1100-00004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624</xdr:row>
          <xdr:rowOff>0</xdr:rowOff>
        </xdr:from>
        <xdr:to>
          <xdr:col>22</xdr:col>
          <xdr:colOff>180975</xdr:colOff>
          <xdr:row>624</xdr:row>
          <xdr:rowOff>180975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1100-00004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625</xdr:row>
          <xdr:rowOff>0</xdr:rowOff>
        </xdr:from>
        <xdr:to>
          <xdr:col>22</xdr:col>
          <xdr:colOff>180975</xdr:colOff>
          <xdr:row>625</xdr:row>
          <xdr:rowOff>180975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1100-00004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626</xdr:row>
          <xdr:rowOff>0</xdr:rowOff>
        </xdr:from>
        <xdr:to>
          <xdr:col>22</xdr:col>
          <xdr:colOff>180975</xdr:colOff>
          <xdr:row>626</xdr:row>
          <xdr:rowOff>180975</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1100-00004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627</xdr:row>
          <xdr:rowOff>0</xdr:rowOff>
        </xdr:from>
        <xdr:to>
          <xdr:col>22</xdr:col>
          <xdr:colOff>180975</xdr:colOff>
          <xdr:row>627</xdr:row>
          <xdr:rowOff>180975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1100-00004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628</xdr:row>
          <xdr:rowOff>0</xdr:rowOff>
        </xdr:from>
        <xdr:to>
          <xdr:col>22</xdr:col>
          <xdr:colOff>180975</xdr:colOff>
          <xdr:row>628</xdr:row>
          <xdr:rowOff>180975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1100-00004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629</xdr:row>
          <xdr:rowOff>0</xdr:rowOff>
        </xdr:from>
        <xdr:to>
          <xdr:col>22</xdr:col>
          <xdr:colOff>180975</xdr:colOff>
          <xdr:row>629</xdr:row>
          <xdr:rowOff>180975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1100-00004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630</xdr:row>
          <xdr:rowOff>0</xdr:rowOff>
        </xdr:from>
        <xdr:to>
          <xdr:col>22</xdr:col>
          <xdr:colOff>180975</xdr:colOff>
          <xdr:row>630</xdr:row>
          <xdr:rowOff>180975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1100-00004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631</xdr:row>
          <xdr:rowOff>0</xdr:rowOff>
        </xdr:from>
        <xdr:to>
          <xdr:col>22</xdr:col>
          <xdr:colOff>180975</xdr:colOff>
          <xdr:row>631</xdr:row>
          <xdr:rowOff>180975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1100-00004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682</xdr:row>
          <xdr:rowOff>0</xdr:rowOff>
        </xdr:from>
        <xdr:to>
          <xdr:col>22</xdr:col>
          <xdr:colOff>180975</xdr:colOff>
          <xdr:row>682</xdr:row>
          <xdr:rowOff>180975</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1100-00004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687</xdr:row>
          <xdr:rowOff>0</xdr:rowOff>
        </xdr:from>
        <xdr:to>
          <xdr:col>22</xdr:col>
          <xdr:colOff>180975</xdr:colOff>
          <xdr:row>687</xdr:row>
          <xdr:rowOff>180975</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1100-00004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693</xdr:row>
          <xdr:rowOff>0</xdr:rowOff>
        </xdr:from>
        <xdr:to>
          <xdr:col>22</xdr:col>
          <xdr:colOff>180975</xdr:colOff>
          <xdr:row>693</xdr:row>
          <xdr:rowOff>180975</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1100-00005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726</xdr:row>
          <xdr:rowOff>0</xdr:rowOff>
        </xdr:from>
        <xdr:to>
          <xdr:col>22</xdr:col>
          <xdr:colOff>180975</xdr:colOff>
          <xdr:row>726</xdr:row>
          <xdr:rowOff>180975</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1100-00005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735</xdr:row>
          <xdr:rowOff>0</xdr:rowOff>
        </xdr:from>
        <xdr:to>
          <xdr:col>22</xdr:col>
          <xdr:colOff>180975</xdr:colOff>
          <xdr:row>735</xdr:row>
          <xdr:rowOff>180975</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1100-00005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743</xdr:row>
          <xdr:rowOff>0</xdr:rowOff>
        </xdr:from>
        <xdr:to>
          <xdr:col>22</xdr:col>
          <xdr:colOff>180975</xdr:colOff>
          <xdr:row>743</xdr:row>
          <xdr:rowOff>180975</xdr:rowOff>
        </xdr:to>
        <xdr:sp macro="" textlink="">
          <xdr:nvSpPr>
            <xdr:cNvPr id="15699" name="Check Box 339" hidden="1">
              <a:extLst>
                <a:ext uri="{63B3BB69-23CF-44E3-9099-C40C66FF867C}">
                  <a14:compatExt spid="_x0000_s15699"/>
                </a:ext>
                <a:ext uri="{FF2B5EF4-FFF2-40B4-BE49-F238E27FC236}">
                  <a16:creationId xmlns:a16="http://schemas.microsoft.com/office/drawing/2014/main" id="{00000000-0008-0000-1100-00005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823</xdr:row>
          <xdr:rowOff>0</xdr:rowOff>
        </xdr:from>
        <xdr:to>
          <xdr:col>22</xdr:col>
          <xdr:colOff>180975</xdr:colOff>
          <xdr:row>823</xdr:row>
          <xdr:rowOff>180975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1100-00005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824</xdr:row>
          <xdr:rowOff>0</xdr:rowOff>
        </xdr:from>
        <xdr:to>
          <xdr:col>22</xdr:col>
          <xdr:colOff>180975</xdr:colOff>
          <xdr:row>824</xdr:row>
          <xdr:rowOff>180975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1100-00005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828</xdr:row>
          <xdr:rowOff>0</xdr:rowOff>
        </xdr:from>
        <xdr:to>
          <xdr:col>22</xdr:col>
          <xdr:colOff>180975</xdr:colOff>
          <xdr:row>828</xdr:row>
          <xdr:rowOff>180975</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1100-00005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826</xdr:row>
          <xdr:rowOff>0</xdr:rowOff>
        </xdr:from>
        <xdr:to>
          <xdr:col>22</xdr:col>
          <xdr:colOff>180975</xdr:colOff>
          <xdr:row>826</xdr:row>
          <xdr:rowOff>180975</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1100-00005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830</xdr:row>
          <xdr:rowOff>0</xdr:rowOff>
        </xdr:from>
        <xdr:to>
          <xdr:col>22</xdr:col>
          <xdr:colOff>180975</xdr:colOff>
          <xdr:row>830</xdr:row>
          <xdr:rowOff>180975</xdr:rowOff>
        </xdr:to>
        <xdr:sp macro="" textlink="">
          <xdr:nvSpPr>
            <xdr:cNvPr id="15704" name="Check Box 344" hidden="1">
              <a:extLst>
                <a:ext uri="{63B3BB69-23CF-44E3-9099-C40C66FF867C}">
                  <a14:compatExt spid="_x0000_s15704"/>
                </a:ext>
                <a:ext uri="{FF2B5EF4-FFF2-40B4-BE49-F238E27FC236}">
                  <a16:creationId xmlns:a16="http://schemas.microsoft.com/office/drawing/2014/main" id="{00000000-0008-0000-1100-00005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832</xdr:row>
          <xdr:rowOff>0</xdr:rowOff>
        </xdr:from>
        <xdr:to>
          <xdr:col>22</xdr:col>
          <xdr:colOff>180975</xdr:colOff>
          <xdr:row>832</xdr:row>
          <xdr:rowOff>180975</xdr:rowOff>
        </xdr:to>
        <xdr:sp macro="" textlink="">
          <xdr:nvSpPr>
            <xdr:cNvPr id="15705" name="Check Box 345" hidden="1">
              <a:extLst>
                <a:ext uri="{63B3BB69-23CF-44E3-9099-C40C66FF867C}">
                  <a14:compatExt spid="_x0000_s15705"/>
                </a:ext>
                <a:ext uri="{FF2B5EF4-FFF2-40B4-BE49-F238E27FC236}">
                  <a16:creationId xmlns:a16="http://schemas.microsoft.com/office/drawing/2014/main" id="{00000000-0008-0000-1100-00005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834</xdr:row>
          <xdr:rowOff>0</xdr:rowOff>
        </xdr:from>
        <xdr:to>
          <xdr:col>22</xdr:col>
          <xdr:colOff>180975</xdr:colOff>
          <xdr:row>834</xdr:row>
          <xdr:rowOff>180975</xdr:rowOff>
        </xdr:to>
        <xdr:sp macro="" textlink="">
          <xdr:nvSpPr>
            <xdr:cNvPr id="15706" name="Check Box 346" hidden="1">
              <a:extLst>
                <a:ext uri="{63B3BB69-23CF-44E3-9099-C40C66FF867C}">
                  <a14:compatExt spid="_x0000_s15706"/>
                </a:ext>
                <a:ext uri="{FF2B5EF4-FFF2-40B4-BE49-F238E27FC236}">
                  <a16:creationId xmlns:a16="http://schemas.microsoft.com/office/drawing/2014/main" id="{00000000-0008-0000-1100-00005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838</xdr:row>
          <xdr:rowOff>0</xdr:rowOff>
        </xdr:from>
        <xdr:to>
          <xdr:col>22</xdr:col>
          <xdr:colOff>180975</xdr:colOff>
          <xdr:row>838</xdr:row>
          <xdr:rowOff>180975</xdr:rowOff>
        </xdr:to>
        <xdr:sp macro="" textlink="">
          <xdr:nvSpPr>
            <xdr:cNvPr id="15707" name="Check Box 347" hidden="1">
              <a:extLst>
                <a:ext uri="{63B3BB69-23CF-44E3-9099-C40C66FF867C}">
                  <a14:compatExt spid="_x0000_s15707"/>
                </a:ext>
                <a:ext uri="{FF2B5EF4-FFF2-40B4-BE49-F238E27FC236}">
                  <a16:creationId xmlns:a16="http://schemas.microsoft.com/office/drawing/2014/main" id="{00000000-0008-0000-1100-00005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843</xdr:row>
          <xdr:rowOff>0</xdr:rowOff>
        </xdr:from>
        <xdr:to>
          <xdr:col>22</xdr:col>
          <xdr:colOff>180975</xdr:colOff>
          <xdr:row>843</xdr:row>
          <xdr:rowOff>180975</xdr:rowOff>
        </xdr:to>
        <xdr:sp macro="" textlink="">
          <xdr:nvSpPr>
            <xdr:cNvPr id="15708" name="Check Box 348" hidden="1">
              <a:extLst>
                <a:ext uri="{63B3BB69-23CF-44E3-9099-C40C66FF867C}">
                  <a14:compatExt spid="_x0000_s15708"/>
                </a:ext>
                <a:ext uri="{FF2B5EF4-FFF2-40B4-BE49-F238E27FC236}">
                  <a16:creationId xmlns:a16="http://schemas.microsoft.com/office/drawing/2014/main" id="{00000000-0008-0000-1100-00005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847</xdr:row>
          <xdr:rowOff>0</xdr:rowOff>
        </xdr:from>
        <xdr:to>
          <xdr:col>22</xdr:col>
          <xdr:colOff>180975</xdr:colOff>
          <xdr:row>847</xdr:row>
          <xdr:rowOff>180975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1100-00005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849</xdr:row>
          <xdr:rowOff>0</xdr:rowOff>
        </xdr:from>
        <xdr:to>
          <xdr:col>22</xdr:col>
          <xdr:colOff>180975</xdr:colOff>
          <xdr:row>849</xdr:row>
          <xdr:rowOff>180975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1100-00005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851</xdr:row>
          <xdr:rowOff>0</xdr:rowOff>
        </xdr:from>
        <xdr:to>
          <xdr:col>22</xdr:col>
          <xdr:colOff>180975</xdr:colOff>
          <xdr:row>851</xdr:row>
          <xdr:rowOff>180975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1100-00005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852</xdr:row>
          <xdr:rowOff>0</xdr:rowOff>
        </xdr:from>
        <xdr:to>
          <xdr:col>22</xdr:col>
          <xdr:colOff>180975</xdr:colOff>
          <xdr:row>852</xdr:row>
          <xdr:rowOff>180975</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1100-00006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853</xdr:row>
          <xdr:rowOff>0</xdr:rowOff>
        </xdr:from>
        <xdr:to>
          <xdr:col>22</xdr:col>
          <xdr:colOff>180975</xdr:colOff>
          <xdr:row>853</xdr:row>
          <xdr:rowOff>180975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1100-00006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857</xdr:row>
          <xdr:rowOff>0</xdr:rowOff>
        </xdr:from>
        <xdr:to>
          <xdr:col>22</xdr:col>
          <xdr:colOff>180975</xdr:colOff>
          <xdr:row>857</xdr:row>
          <xdr:rowOff>180975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1100-00006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932</xdr:row>
          <xdr:rowOff>0</xdr:rowOff>
        </xdr:from>
        <xdr:to>
          <xdr:col>22</xdr:col>
          <xdr:colOff>180975</xdr:colOff>
          <xdr:row>932</xdr:row>
          <xdr:rowOff>180975</xdr:rowOff>
        </xdr:to>
        <xdr:sp macro="" textlink="">
          <xdr:nvSpPr>
            <xdr:cNvPr id="15804" name="Check Box 444" hidden="1">
              <a:extLst>
                <a:ext uri="{63B3BB69-23CF-44E3-9099-C40C66FF867C}">
                  <a14:compatExt spid="_x0000_s15804"/>
                </a:ext>
                <a:ext uri="{FF2B5EF4-FFF2-40B4-BE49-F238E27FC236}">
                  <a16:creationId xmlns:a16="http://schemas.microsoft.com/office/drawing/2014/main" id="{00000000-0008-0000-1100-0000B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937</xdr:row>
          <xdr:rowOff>0</xdr:rowOff>
        </xdr:from>
        <xdr:to>
          <xdr:col>22</xdr:col>
          <xdr:colOff>180975</xdr:colOff>
          <xdr:row>937</xdr:row>
          <xdr:rowOff>180975</xdr:rowOff>
        </xdr:to>
        <xdr:sp macro="" textlink="">
          <xdr:nvSpPr>
            <xdr:cNvPr id="15805" name="Check Box 445" hidden="1">
              <a:extLst>
                <a:ext uri="{63B3BB69-23CF-44E3-9099-C40C66FF867C}">
                  <a14:compatExt spid="_x0000_s15805"/>
                </a:ext>
                <a:ext uri="{FF2B5EF4-FFF2-40B4-BE49-F238E27FC236}">
                  <a16:creationId xmlns:a16="http://schemas.microsoft.com/office/drawing/2014/main" id="{00000000-0008-0000-1100-0000B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946</xdr:row>
          <xdr:rowOff>0</xdr:rowOff>
        </xdr:from>
        <xdr:to>
          <xdr:col>22</xdr:col>
          <xdr:colOff>180975</xdr:colOff>
          <xdr:row>946</xdr:row>
          <xdr:rowOff>180975</xdr:rowOff>
        </xdr:to>
        <xdr:sp macro="" textlink="">
          <xdr:nvSpPr>
            <xdr:cNvPr id="15806" name="Check Box 446" hidden="1">
              <a:extLst>
                <a:ext uri="{63B3BB69-23CF-44E3-9099-C40C66FF867C}">
                  <a14:compatExt spid="_x0000_s15806"/>
                </a:ext>
                <a:ext uri="{FF2B5EF4-FFF2-40B4-BE49-F238E27FC236}">
                  <a16:creationId xmlns:a16="http://schemas.microsoft.com/office/drawing/2014/main" id="{00000000-0008-0000-1100-0000B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949</xdr:row>
          <xdr:rowOff>0</xdr:rowOff>
        </xdr:from>
        <xdr:to>
          <xdr:col>22</xdr:col>
          <xdr:colOff>180975</xdr:colOff>
          <xdr:row>949</xdr:row>
          <xdr:rowOff>180975</xdr:rowOff>
        </xdr:to>
        <xdr:sp macro="" textlink="">
          <xdr:nvSpPr>
            <xdr:cNvPr id="15807" name="Check Box 447" hidden="1">
              <a:extLst>
                <a:ext uri="{63B3BB69-23CF-44E3-9099-C40C66FF867C}">
                  <a14:compatExt spid="_x0000_s15807"/>
                </a:ext>
                <a:ext uri="{FF2B5EF4-FFF2-40B4-BE49-F238E27FC236}">
                  <a16:creationId xmlns:a16="http://schemas.microsoft.com/office/drawing/2014/main" id="{00000000-0008-0000-1100-0000B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950</xdr:row>
          <xdr:rowOff>0</xdr:rowOff>
        </xdr:from>
        <xdr:to>
          <xdr:col>22</xdr:col>
          <xdr:colOff>180975</xdr:colOff>
          <xdr:row>950</xdr:row>
          <xdr:rowOff>180975</xdr:rowOff>
        </xdr:to>
        <xdr:sp macro="" textlink="">
          <xdr:nvSpPr>
            <xdr:cNvPr id="15808" name="Check Box 448" hidden="1">
              <a:extLst>
                <a:ext uri="{63B3BB69-23CF-44E3-9099-C40C66FF867C}">
                  <a14:compatExt spid="_x0000_s15808"/>
                </a:ext>
                <a:ext uri="{FF2B5EF4-FFF2-40B4-BE49-F238E27FC236}">
                  <a16:creationId xmlns:a16="http://schemas.microsoft.com/office/drawing/2014/main" id="{00000000-0008-0000-1100-0000C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954</xdr:row>
          <xdr:rowOff>0</xdr:rowOff>
        </xdr:from>
        <xdr:to>
          <xdr:col>22</xdr:col>
          <xdr:colOff>180975</xdr:colOff>
          <xdr:row>954</xdr:row>
          <xdr:rowOff>180975</xdr:rowOff>
        </xdr:to>
        <xdr:sp macro="" textlink="">
          <xdr:nvSpPr>
            <xdr:cNvPr id="15809" name="Check Box 449" hidden="1">
              <a:extLst>
                <a:ext uri="{63B3BB69-23CF-44E3-9099-C40C66FF867C}">
                  <a14:compatExt spid="_x0000_s15809"/>
                </a:ext>
                <a:ext uri="{FF2B5EF4-FFF2-40B4-BE49-F238E27FC236}">
                  <a16:creationId xmlns:a16="http://schemas.microsoft.com/office/drawing/2014/main" id="{00000000-0008-0000-1100-0000C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990</xdr:row>
          <xdr:rowOff>0</xdr:rowOff>
        </xdr:from>
        <xdr:to>
          <xdr:col>22</xdr:col>
          <xdr:colOff>180975</xdr:colOff>
          <xdr:row>990</xdr:row>
          <xdr:rowOff>180975</xdr:rowOff>
        </xdr:to>
        <xdr:sp macro="" textlink="">
          <xdr:nvSpPr>
            <xdr:cNvPr id="15811" name="Check Box 451" hidden="1">
              <a:extLst>
                <a:ext uri="{63B3BB69-23CF-44E3-9099-C40C66FF867C}">
                  <a14:compatExt spid="_x0000_s15811"/>
                </a:ext>
                <a:ext uri="{FF2B5EF4-FFF2-40B4-BE49-F238E27FC236}">
                  <a16:creationId xmlns:a16="http://schemas.microsoft.com/office/drawing/2014/main" id="{00000000-0008-0000-1100-0000C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993</xdr:row>
          <xdr:rowOff>0</xdr:rowOff>
        </xdr:from>
        <xdr:to>
          <xdr:col>22</xdr:col>
          <xdr:colOff>180975</xdr:colOff>
          <xdr:row>993</xdr:row>
          <xdr:rowOff>180975</xdr:rowOff>
        </xdr:to>
        <xdr:sp macro="" textlink="">
          <xdr:nvSpPr>
            <xdr:cNvPr id="15812" name="Check Box 452" hidden="1">
              <a:extLst>
                <a:ext uri="{63B3BB69-23CF-44E3-9099-C40C66FF867C}">
                  <a14:compatExt spid="_x0000_s15812"/>
                </a:ext>
                <a:ext uri="{FF2B5EF4-FFF2-40B4-BE49-F238E27FC236}">
                  <a16:creationId xmlns:a16="http://schemas.microsoft.com/office/drawing/2014/main" id="{00000000-0008-0000-1100-0000C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1019</xdr:row>
          <xdr:rowOff>0</xdr:rowOff>
        </xdr:from>
        <xdr:to>
          <xdr:col>22</xdr:col>
          <xdr:colOff>180975</xdr:colOff>
          <xdr:row>1019</xdr:row>
          <xdr:rowOff>180975</xdr:rowOff>
        </xdr:to>
        <xdr:sp macro="" textlink="">
          <xdr:nvSpPr>
            <xdr:cNvPr id="15813" name="Check Box 453" hidden="1">
              <a:extLst>
                <a:ext uri="{63B3BB69-23CF-44E3-9099-C40C66FF867C}">
                  <a14:compatExt spid="_x0000_s15813"/>
                </a:ext>
                <a:ext uri="{FF2B5EF4-FFF2-40B4-BE49-F238E27FC236}">
                  <a16:creationId xmlns:a16="http://schemas.microsoft.com/office/drawing/2014/main" id="{00000000-0008-0000-1100-0000C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1039</xdr:row>
          <xdr:rowOff>0</xdr:rowOff>
        </xdr:from>
        <xdr:to>
          <xdr:col>22</xdr:col>
          <xdr:colOff>180975</xdr:colOff>
          <xdr:row>1039</xdr:row>
          <xdr:rowOff>180975</xdr:rowOff>
        </xdr:to>
        <xdr:sp macro="" textlink="">
          <xdr:nvSpPr>
            <xdr:cNvPr id="15814" name="Check Box 454" hidden="1">
              <a:extLst>
                <a:ext uri="{63B3BB69-23CF-44E3-9099-C40C66FF867C}">
                  <a14:compatExt spid="_x0000_s15814"/>
                </a:ext>
                <a:ext uri="{FF2B5EF4-FFF2-40B4-BE49-F238E27FC236}">
                  <a16:creationId xmlns:a16="http://schemas.microsoft.com/office/drawing/2014/main" id="{00000000-0008-0000-1100-0000C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1041</xdr:row>
          <xdr:rowOff>0</xdr:rowOff>
        </xdr:from>
        <xdr:to>
          <xdr:col>22</xdr:col>
          <xdr:colOff>180975</xdr:colOff>
          <xdr:row>1041</xdr:row>
          <xdr:rowOff>180975</xdr:rowOff>
        </xdr:to>
        <xdr:sp macro="" textlink="">
          <xdr:nvSpPr>
            <xdr:cNvPr id="15815" name="Check Box 455" hidden="1">
              <a:extLst>
                <a:ext uri="{63B3BB69-23CF-44E3-9099-C40C66FF867C}">
                  <a14:compatExt spid="_x0000_s15815"/>
                </a:ext>
                <a:ext uri="{FF2B5EF4-FFF2-40B4-BE49-F238E27FC236}">
                  <a16:creationId xmlns:a16="http://schemas.microsoft.com/office/drawing/2014/main" id="{00000000-0008-0000-1100-0000C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1042</xdr:row>
          <xdr:rowOff>0</xdr:rowOff>
        </xdr:from>
        <xdr:to>
          <xdr:col>22</xdr:col>
          <xdr:colOff>180975</xdr:colOff>
          <xdr:row>1042</xdr:row>
          <xdr:rowOff>180975</xdr:rowOff>
        </xdr:to>
        <xdr:sp macro="" textlink="">
          <xdr:nvSpPr>
            <xdr:cNvPr id="15816" name="Check Box 456" hidden="1">
              <a:extLst>
                <a:ext uri="{63B3BB69-23CF-44E3-9099-C40C66FF867C}">
                  <a14:compatExt spid="_x0000_s15816"/>
                </a:ext>
                <a:ext uri="{FF2B5EF4-FFF2-40B4-BE49-F238E27FC236}">
                  <a16:creationId xmlns:a16="http://schemas.microsoft.com/office/drawing/2014/main" id="{00000000-0008-0000-1100-0000C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1048</xdr:row>
          <xdr:rowOff>0</xdr:rowOff>
        </xdr:from>
        <xdr:to>
          <xdr:col>22</xdr:col>
          <xdr:colOff>180975</xdr:colOff>
          <xdr:row>1048</xdr:row>
          <xdr:rowOff>180975</xdr:rowOff>
        </xdr:to>
        <xdr:sp macro="" textlink="">
          <xdr:nvSpPr>
            <xdr:cNvPr id="15817" name="Check Box 457" hidden="1">
              <a:extLst>
                <a:ext uri="{63B3BB69-23CF-44E3-9099-C40C66FF867C}">
                  <a14:compatExt spid="_x0000_s15817"/>
                </a:ext>
                <a:ext uri="{FF2B5EF4-FFF2-40B4-BE49-F238E27FC236}">
                  <a16:creationId xmlns:a16="http://schemas.microsoft.com/office/drawing/2014/main" id="{00000000-0008-0000-1100-0000C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1065</xdr:row>
          <xdr:rowOff>0</xdr:rowOff>
        </xdr:from>
        <xdr:to>
          <xdr:col>22</xdr:col>
          <xdr:colOff>180975</xdr:colOff>
          <xdr:row>1065</xdr:row>
          <xdr:rowOff>180975</xdr:rowOff>
        </xdr:to>
        <xdr:sp macro="" textlink="">
          <xdr:nvSpPr>
            <xdr:cNvPr id="15818" name="Check Box 458" hidden="1">
              <a:extLst>
                <a:ext uri="{63B3BB69-23CF-44E3-9099-C40C66FF867C}">
                  <a14:compatExt spid="_x0000_s15818"/>
                </a:ext>
                <a:ext uri="{FF2B5EF4-FFF2-40B4-BE49-F238E27FC236}">
                  <a16:creationId xmlns:a16="http://schemas.microsoft.com/office/drawing/2014/main" id="{00000000-0008-0000-1100-0000C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1080</xdr:row>
          <xdr:rowOff>0</xdr:rowOff>
        </xdr:from>
        <xdr:to>
          <xdr:col>22</xdr:col>
          <xdr:colOff>180975</xdr:colOff>
          <xdr:row>1080</xdr:row>
          <xdr:rowOff>180975</xdr:rowOff>
        </xdr:to>
        <xdr:sp macro="" textlink="">
          <xdr:nvSpPr>
            <xdr:cNvPr id="15819" name="Check Box 459" hidden="1">
              <a:extLst>
                <a:ext uri="{63B3BB69-23CF-44E3-9099-C40C66FF867C}">
                  <a14:compatExt spid="_x0000_s15819"/>
                </a:ext>
                <a:ext uri="{FF2B5EF4-FFF2-40B4-BE49-F238E27FC236}">
                  <a16:creationId xmlns:a16="http://schemas.microsoft.com/office/drawing/2014/main" id="{00000000-0008-0000-1100-0000C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1089</xdr:row>
          <xdr:rowOff>0</xdr:rowOff>
        </xdr:from>
        <xdr:to>
          <xdr:col>22</xdr:col>
          <xdr:colOff>180975</xdr:colOff>
          <xdr:row>1089</xdr:row>
          <xdr:rowOff>180975</xdr:rowOff>
        </xdr:to>
        <xdr:sp macro="" textlink="">
          <xdr:nvSpPr>
            <xdr:cNvPr id="15821" name="Check Box 461" hidden="1">
              <a:extLst>
                <a:ext uri="{63B3BB69-23CF-44E3-9099-C40C66FF867C}">
                  <a14:compatExt spid="_x0000_s15821"/>
                </a:ext>
                <a:ext uri="{FF2B5EF4-FFF2-40B4-BE49-F238E27FC236}">
                  <a16:creationId xmlns:a16="http://schemas.microsoft.com/office/drawing/2014/main" id="{00000000-0008-0000-1100-0000C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1098</xdr:row>
          <xdr:rowOff>0</xdr:rowOff>
        </xdr:from>
        <xdr:to>
          <xdr:col>22</xdr:col>
          <xdr:colOff>180975</xdr:colOff>
          <xdr:row>1098</xdr:row>
          <xdr:rowOff>180975</xdr:rowOff>
        </xdr:to>
        <xdr:sp macro="" textlink="">
          <xdr:nvSpPr>
            <xdr:cNvPr id="15822" name="Check Box 462" hidden="1">
              <a:extLst>
                <a:ext uri="{63B3BB69-23CF-44E3-9099-C40C66FF867C}">
                  <a14:compatExt spid="_x0000_s15822"/>
                </a:ext>
                <a:ext uri="{FF2B5EF4-FFF2-40B4-BE49-F238E27FC236}">
                  <a16:creationId xmlns:a16="http://schemas.microsoft.com/office/drawing/2014/main" id="{00000000-0008-0000-1100-0000C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1153</xdr:row>
          <xdr:rowOff>0</xdr:rowOff>
        </xdr:from>
        <xdr:to>
          <xdr:col>22</xdr:col>
          <xdr:colOff>180975</xdr:colOff>
          <xdr:row>1153</xdr:row>
          <xdr:rowOff>180975</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1100-0000D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1197</xdr:row>
          <xdr:rowOff>0</xdr:rowOff>
        </xdr:from>
        <xdr:to>
          <xdr:col>22</xdr:col>
          <xdr:colOff>180975</xdr:colOff>
          <xdr:row>1197</xdr:row>
          <xdr:rowOff>180975</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1100-0000D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1200</xdr:row>
          <xdr:rowOff>0</xdr:rowOff>
        </xdr:from>
        <xdr:to>
          <xdr:col>22</xdr:col>
          <xdr:colOff>180975</xdr:colOff>
          <xdr:row>1200</xdr:row>
          <xdr:rowOff>180975</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1100-0000D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1210</xdr:row>
          <xdr:rowOff>0</xdr:rowOff>
        </xdr:from>
        <xdr:to>
          <xdr:col>22</xdr:col>
          <xdr:colOff>180975</xdr:colOff>
          <xdr:row>1210</xdr:row>
          <xdr:rowOff>180975</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1100-0000D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1217</xdr:row>
          <xdr:rowOff>0</xdr:rowOff>
        </xdr:from>
        <xdr:to>
          <xdr:col>22</xdr:col>
          <xdr:colOff>180975</xdr:colOff>
          <xdr:row>1217</xdr:row>
          <xdr:rowOff>180975</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1100-0000D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1223</xdr:row>
          <xdr:rowOff>0</xdr:rowOff>
        </xdr:from>
        <xdr:to>
          <xdr:col>22</xdr:col>
          <xdr:colOff>180975</xdr:colOff>
          <xdr:row>1223</xdr:row>
          <xdr:rowOff>180975</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1100-0000D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1225</xdr:row>
          <xdr:rowOff>0</xdr:rowOff>
        </xdr:from>
        <xdr:to>
          <xdr:col>22</xdr:col>
          <xdr:colOff>180975</xdr:colOff>
          <xdr:row>1225</xdr:row>
          <xdr:rowOff>180975</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1100-0000D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1228</xdr:row>
          <xdr:rowOff>0</xdr:rowOff>
        </xdr:from>
        <xdr:to>
          <xdr:col>22</xdr:col>
          <xdr:colOff>180975</xdr:colOff>
          <xdr:row>1228</xdr:row>
          <xdr:rowOff>180975</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1100-0000D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1229</xdr:row>
          <xdr:rowOff>0</xdr:rowOff>
        </xdr:from>
        <xdr:to>
          <xdr:col>22</xdr:col>
          <xdr:colOff>180975</xdr:colOff>
          <xdr:row>1229</xdr:row>
          <xdr:rowOff>180975</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1100-0000D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1231</xdr:row>
          <xdr:rowOff>0</xdr:rowOff>
        </xdr:from>
        <xdr:to>
          <xdr:col>22</xdr:col>
          <xdr:colOff>180975</xdr:colOff>
          <xdr:row>1231</xdr:row>
          <xdr:rowOff>180975</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1100-0000D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1292</xdr:row>
          <xdr:rowOff>0</xdr:rowOff>
        </xdr:from>
        <xdr:to>
          <xdr:col>22</xdr:col>
          <xdr:colOff>180975</xdr:colOff>
          <xdr:row>1292</xdr:row>
          <xdr:rowOff>180975</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1100-0000D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1294</xdr:row>
          <xdr:rowOff>0</xdr:rowOff>
        </xdr:from>
        <xdr:to>
          <xdr:col>22</xdr:col>
          <xdr:colOff>180975</xdr:colOff>
          <xdr:row>1294</xdr:row>
          <xdr:rowOff>180975</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1100-0000D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1296</xdr:row>
          <xdr:rowOff>0</xdr:rowOff>
        </xdr:from>
        <xdr:to>
          <xdr:col>22</xdr:col>
          <xdr:colOff>180975</xdr:colOff>
          <xdr:row>1296</xdr:row>
          <xdr:rowOff>180975</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1100-0000D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1317</xdr:row>
          <xdr:rowOff>0</xdr:rowOff>
        </xdr:from>
        <xdr:to>
          <xdr:col>22</xdr:col>
          <xdr:colOff>180975</xdr:colOff>
          <xdr:row>1317</xdr:row>
          <xdr:rowOff>180975</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1100-0000D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1319</xdr:row>
          <xdr:rowOff>0</xdr:rowOff>
        </xdr:from>
        <xdr:to>
          <xdr:col>22</xdr:col>
          <xdr:colOff>180975</xdr:colOff>
          <xdr:row>1319</xdr:row>
          <xdr:rowOff>180975</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1100-0000D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1321</xdr:row>
          <xdr:rowOff>0</xdr:rowOff>
        </xdr:from>
        <xdr:to>
          <xdr:col>22</xdr:col>
          <xdr:colOff>180975</xdr:colOff>
          <xdr:row>1321</xdr:row>
          <xdr:rowOff>180975</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1100-0000D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1324</xdr:row>
          <xdr:rowOff>0</xdr:rowOff>
        </xdr:from>
        <xdr:to>
          <xdr:col>22</xdr:col>
          <xdr:colOff>180975</xdr:colOff>
          <xdr:row>1324</xdr:row>
          <xdr:rowOff>180975</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1100-0000E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1325</xdr:row>
          <xdr:rowOff>0</xdr:rowOff>
        </xdr:from>
        <xdr:to>
          <xdr:col>22</xdr:col>
          <xdr:colOff>180975</xdr:colOff>
          <xdr:row>1325</xdr:row>
          <xdr:rowOff>180975</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1100-0000E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1326</xdr:row>
          <xdr:rowOff>0</xdr:rowOff>
        </xdr:from>
        <xdr:to>
          <xdr:col>22</xdr:col>
          <xdr:colOff>180975</xdr:colOff>
          <xdr:row>1326</xdr:row>
          <xdr:rowOff>180975</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1100-0000E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1329</xdr:row>
          <xdr:rowOff>0</xdr:rowOff>
        </xdr:from>
        <xdr:to>
          <xdr:col>22</xdr:col>
          <xdr:colOff>180975</xdr:colOff>
          <xdr:row>1329</xdr:row>
          <xdr:rowOff>180975</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1100-0000E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1356</xdr:row>
          <xdr:rowOff>0</xdr:rowOff>
        </xdr:from>
        <xdr:to>
          <xdr:col>22</xdr:col>
          <xdr:colOff>180975</xdr:colOff>
          <xdr:row>1356</xdr:row>
          <xdr:rowOff>180975</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1100-0000E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1364</xdr:row>
          <xdr:rowOff>0</xdr:rowOff>
        </xdr:from>
        <xdr:to>
          <xdr:col>22</xdr:col>
          <xdr:colOff>180975</xdr:colOff>
          <xdr:row>1364</xdr:row>
          <xdr:rowOff>180975</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1100-0000E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1366</xdr:row>
          <xdr:rowOff>0</xdr:rowOff>
        </xdr:from>
        <xdr:to>
          <xdr:col>22</xdr:col>
          <xdr:colOff>180975</xdr:colOff>
          <xdr:row>1366</xdr:row>
          <xdr:rowOff>180975</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1100-0000E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1367</xdr:row>
          <xdr:rowOff>0</xdr:rowOff>
        </xdr:from>
        <xdr:to>
          <xdr:col>22</xdr:col>
          <xdr:colOff>180975</xdr:colOff>
          <xdr:row>1367</xdr:row>
          <xdr:rowOff>180975</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1100-0000E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1368</xdr:row>
          <xdr:rowOff>0</xdr:rowOff>
        </xdr:from>
        <xdr:to>
          <xdr:col>22</xdr:col>
          <xdr:colOff>180975</xdr:colOff>
          <xdr:row>1368</xdr:row>
          <xdr:rowOff>180975</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1100-0000E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1370</xdr:row>
          <xdr:rowOff>0</xdr:rowOff>
        </xdr:from>
        <xdr:to>
          <xdr:col>22</xdr:col>
          <xdr:colOff>180975</xdr:colOff>
          <xdr:row>1370</xdr:row>
          <xdr:rowOff>180975</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1100-0000E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1373</xdr:row>
          <xdr:rowOff>0</xdr:rowOff>
        </xdr:from>
        <xdr:to>
          <xdr:col>22</xdr:col>
          <xdr:colOff>180975</xdr:colOff>
          <xdr:row>1373</xdr:row>
          <xdr:rowOff>180975</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1100-0000E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1375</xdr:row>
          <xdr:rowOff>0</xdr:rowOff>
        </xdr:from>
        <xdr:to>
          <xdr:col>22</xdr:col>
          <xdr:colOff>180975</xdr:colOff>
          <xdr:row>1375</xdr:row>
          <xdr:rowOff>180975</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1100-0000E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1380</xdr:row>
          <xdr:rowOff>0</xdr:rowOff>
        </xdr:from>
        <xdr:to>
          <xdr:col>22</xdr:col>
          <xdr:colOff>180975</xdr:colOff>
          <xdr:row>1380</xdr:row>
          <xdr:rowOff>180975</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1100-0000E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1382</xdr:row>
          <xdr:rowOff>0</xdr:rowOff>
        </xdr:from>
        <xdr:to>
          <xdr:col>22</xdr:col>
          <xdr:colOff>180975</xdr:colOff>
          <xdr:row>1382</xdr:row>
          <xdr:rowOff>180975</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1100-0000E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1384</xdr:row>
          <xdr:rowOff>0</xdr:rowOff>
        </xdr:from>
        <xdr:to>
          <xdr:col>22</xdr:col>
          <xdr:colOff>180975</xdr:colOff>
          <xdr:row>1384</xdr:row>
          <xdr:rowOff>180975</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1100-0000E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1386</xdr:row>
          <xdr:rowOff>0</xdr:rowOff>
        </xdr:from>
        <xdr:to>
          <xdr:col>22</xdr:col>
          <xdr:colOff>180975</xdr:colOff>
          <xdr:row>1386</xdr:row>
          <xdr:rowOff>180975</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1100-0000E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1430</xdr:row>
          <xdr:rowOff>0</xdr:rowOff>
        </xdr:from>
        <xdr:to>
          <xdr:col>22</xdr:col>
          <xdr:colOff>180975</xdr:colOff>
          <xdr:row>1430</xdr:row>
          <xdr:rowOff>180975</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1100-0000F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1447</xdr:row>
          <xdr:rowOff>0</xdr:rowOff>
        </xdr:from>
        <xdr:to>
          <xdr:col>22</xdr:col>
          <xdr:colOff>180975</xdr:colOff>
          <xdr:row>1447</xdr:row>
          <xdr:rowOff>180975</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1100-0000F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1450</xdr:row>
          <xdr:rowOff>0</xdr:rowOff>
        </xdr:from>
        <xdr:to>
          <xdr:col>22</xdr:col>
          <xdr:colOff>180975</xdr:colOff>
          <xdr:row>1450</xdr:row>
          <xdr:rowOff>180975</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1100-0000F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1455</xdr:row>
          <xdr:rowOff>0</xdr:rowOff>
        </xdr:from>
        <xdr:to>
          <xdr:col>22</xdr:col>
          <xdr:colOff>180975</xdr:colOff>
          <xdr:row>1455</xdr:row>
          <xdr:rowOff>180975</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1100-0000F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1456</xdr:row>
          <xdr:rowOff>0</xdr:rowOff>
        </xdr:from>
        <xdr:to>
          <xdr:col>22</xdr:col>
          <xdr:colOff>180975</xdr:colOff>
          <xdr:row>1456</xdr:row>
          <xdr:rowOff>180975</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1100-0000F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1466</xdr:row>
          <xdr:rowOff>0</xdr:rowOff>
        </xdr:from>
        <xdr:to>
          <xdr:col>22</xdr:col>
          <xdr:colOff>180975</xdr:colOff>
          <xdr:row>1466</xdr:row>
          <xdr:rowOff>180975</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1100-0000F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1495</xdr:row>
          <xdr:rowOff>0</xdr:rowOff>
        </xdr:from>
        <xdr:to>
          <xdr:col>22</xdr:col>
          <xdr:colOff>180975</xdr:colOff>
          <xdr:row>1495</xdr:row>
          <xdr:rowOff>180975</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1100-0000F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1512</xdr:row>
          <xdr:rowOff>0</xdr:rowOff>
        </xdr:from>
        <xdr:to>
          <xdr:col>22</xdr:col>
          <xdr:colOff>180975</xdr:colOff>
          <xdr:row>1512</xdr:row>
          <xdr:rowOff>180975</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1100-0000F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1524</xdr:row>
          <xdr:rowOff>0</xdr:rowOff>
        </xdr:from>
        <xdr:to>
          <xdr:col>22</xdr:col>
          <xdr:colOff>180975</xdr:colOff>
          <xdr:row>1524</xdr:row>
          <xdr:rowOff>180975</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1100-0000F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1526</xdr:row>
          <xdr:rowOff>0</xdr:rowOff>
        </xdr:from>
        <xdr:to>
          <xdr:col>22</xdr:col>
          <xdr:colOff>180975</xdr:colOff>
          <xdr:row>1526</xdr:row>
          <xdr:rowOff>180975</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1100-0000F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1528</xdr:row>
          <xdr:rowOff>0</xdr:rowOff>
        </xdr:from>
        <xdr:to>
          <xdr:col>22</xdr:col>
          <xdr:colOff>180975</xdr:colOff>
          <xdr:row>1528</xdr:row>
          <xdr:rowOff>180975</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1100-0000F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1535</xdr:row>
          <xdr:rowOff>0</xdr:rowOff>
        </xdr:from>
        <xdr:to>
          <xdr:col>22</xdr:col>
          <xdr:colOff>180975</xdr:colOff>
          <xdr:row>1535</xdr:row>
          <xdr:rowOff>180975</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1100-0000F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1536</xdr:row>
          <xdr:rowOff>0</xdr:rowOff>
        </xdr:from>
        <xdr:to>
          <xdr:col>22</xdr:col>
          <xdr:colOff>180975</xdr:colOff>
          <xdr:row>1536</xdr:row>
          <xdr:rowOff>180975</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1100-0000F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1537</xdr:row>
          <xdr:rowOff>0</xdr:rowOff>
        </xdr:from>
        <xdr:to>
          <xdr:col>22</xdr:col>
          <xdr:colOff>180975</xdr:colOff>
          <xdr:row>1537</xdr:row>
          <xdr:rowOff>180975</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1100-0000F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1538</xdr:row>
          <xdr:rowOff>0</xdr:rowOff>
        </xdr:from>
        <xdr:to>
          <xdr:col>22</xdr:col>
          <xdr:colOff>180975</xdr:colOff>
          <xdr:row>1538</xdr:row>
          <xdr:rowOff>180975</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1100-00000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1540</xdr:row>
          <xdr:rowOff>0</xdr:rowOff>
        </xdr:from>
        <xdr:to>
          <xdr:col>22</xdr:col>
          <xdr:colOff>180975</xdr:colOff>
          <xdr:row>1540</xdr:row>
          <xdr:rowOff>180975</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1100-00000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1543</xdr:row>
          <xdr:rowOff>0</xdr:rowOff>
        </xdr:from>
        <xdr:to>
          <xdr:col>22</xdr:col>
          <xdr:colOff>180975</xdr:colOff>
          <xdr:row>1543</xdr:row>
          <xdr:rowOff>180975</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1100-00000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1563</xdr:row>
          <xdr:rowOff>0</xdr:rowOff>
        </xdr:from>
        <xdr:to>
          <xdr:col>22</xdr:col>
          <xdr:colOff>180975</xdr:colOff>
          <xdr:row>1563</xdr:row>
          <xdr:rowOff>180975</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1100-00000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1564</xdr:row>
          <xdr:rowOff>0</xdr:rowOff>
        </xdr:from>
        <xdr:to>
          <xdr:col>22</xdr:col>
          <xdr:colOff>180975</xdr:colOff>
          <xdr:row>1564</xdr:row>
          <xdr:rowOff>180975</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1100-00000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1565</xdr:row>
          <xdr:rowOff>0</xdr:rowOff>
        </xdr:from>
        <xdr:to>
          <xdr:col>22</xdr:col>
          <xdr:colOff>180975</xdr:colOff>
          <xdr:row>1565</xdr:row>
          <xdr:rowOff>180975</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1100-00000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1566</xdr:row>
          <xdr:rowOff>0</xdr:rowOff>
        </xdr:from>
        <xdr:to>
          <xdr:col>22</xdr:col>
          <xdr:colOff>180975</xdr:colOff>
          <xdr:row>1566</xdr:row>
          <xdr:rowOff>180975</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1100-00000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1567</xdr:row>
          <xdr:rowOff>0</xdr:rowOff>
        </xdr:from>
        <xdr:to>
          <xdr:col>22</xdr:col>
          <xdr:colOff>180975</xdr:colOff>
          <xdr:row>1567</xdr:row>
          <xdr:rowOff>180975</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1100-00000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1568</xdr:row>
          <xdr:rowOff>0</xdr:rowOff>
        </xdr:from>
        <xdr:to>
          <xdr:col>22</xdr:col>
          <xdr:colOff>180975</xdr:colOff>
          <xdr:row>1568</xdr:row>
          <xdr:rowOff>180975</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1100-00000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1569</xdr:row>
          <xdr:rowOff>0</xdr:rowOff>
        </xdr:from>
        <xdr:to>
          <xdr:col>22</xdr:col>
          <xdr:colOff>180975</xdr:colOff>
          <xdr:row>1569</xdr:row>
          <xdr:rowOff>180975</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1100-00000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1570</xdr:row>
          <xdr:rowOff>0</xdr:rowOff>
        </xdr:from>
        <xdr:to>
          <xdr:col>22</xdr:col>
          <xdr:colOff>180975</xdr:colOff>
          <xdr:row>1570</xdr:row>
          <xdr:rowOff>180975</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1100-00000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1573</xdr:row>
          <xdr:rowOff>0</xdr:rowOff>
        </xdr:from>
        <xdr:to>
          <xdr:col>22</xdr:col>
          <xdr:colOff>180975</xdr:colOff>
          <xdr:row>1573</xdr:row>
          <xdr:rowOff>180975</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1100-00000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1575</xdr:row>
          <xdr:rowOff>0</xdr:rowOff>
        </xdr:from>
        <xdr:to>
          <xdr:col>22</xdr:col>
          <xdr:colOff>180975</xdr:colOff>
          <xdr:row>1575</xdr:row>
          <xdr:rowOff>180975</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1100-00000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1577</xdr:row>
          <xdr:rowOff>0</xdr:rowOff>
        </xdr:from>
        <xdr:to>
          <xdr:col>22</xdr:col>
          <xdr:colOff>180975</xdr:colOff>
          <xdr:row>1577</xdr:row>
          <xdr:rowOff>180975</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1100-00000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1594</xdr:row>
          <xdr:rowOff>0</xdr:rowOff>
        </xdr:from>
        <xdr:to>
          <xdr:col>22</xdr:col>
          <xdr:colOff>180975</xdr:colOff>
          <xdr:row>1594</xdr:row>
          <xdr:rowOff>180975</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1100-00000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1598</xdr:row>
          <xdr:rowOff>0</xdr:rowOff>
        </xdr:from>
        <xdr:to>
          <xdr:col>22</xdr:col>
          <xdr:colOff>180975</xdr:colOff>
          <xdr:row>1598</xdr:row>
          <xdr:rowOff>180975</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1100-00000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1599</xdr:row>
          <xdr:rowOff>0</xdr:rowOff>
        </xdr:from>
        <xdr:to>
          <xdr:col>22</xdr:col>
          <xdr:colOff>180975</xdr:colOff>
          <xdr:row>1599</xdr:row>
          <xdr:rowOff>180975</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1100-00001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1602</xdr:row>
          <xdr:rowOff>0</xdr:rowOff>
        </xdr:from>
        <xdr:to>
          <xdr:col>22</xdr:col>
          <xdr:colOff>180975</xdr:colOff>
          <xdr:row>1602</xdr:row>
          <xdr:rowOff>180975</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1100-00001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1610</xdr:row>
          <xdr:rowOff>0</xdr:rowOff>
        </xdr:from>
        <xdr:to>
          <xdr:col>22</xdr:col>
          <xdr:colOff>180975</xdr:colOff>
          <xdr:row>1610</xdr:row>
          <xdr:rowOff>180975</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1100-00001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1678</xdr:row>
          <xdr:rowOff>0</xdr:rowOff>
        </xdr:from>
        <xdr:to>
          <xdr:col>22</xdr:col>
          <xdr:colOff>180975</xdr:colOff>
          <xdr:row>1678</xdr:row>
          <xdr:rowOff>180975</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1100-00002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1683</xdr:row>
          <xdr:rowOff>0</xdr:rowOff>
        </xdr:from>
        <xdr:to>
          <xdr:col>22</xdr:col>
          <xdr:colOff>180975</xdr:colOff>
          <xdr:row>1683</xdr:row>
          <xdr:rowOff>180975</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1100-00002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1759</xdr:row>
          <xdr:rowOff>0</xdr:rowOff>
        </xdr:from>
        <xdr:to>
          <xdr:col>22</xdr:col>
          <xdr:colOff>180975</xdr:colOff>
          <xdr:row>1759</xdr:row>
          <xdr:rowOff>180975</xdr:rowOff>
        </xdr:to>
        <xdr:sp macro="" textlink="">
          <xdr:nvSpPr>
            <xdr:cNvPr id="15918" name="Check Box 558" hidden="1">
              <a:extLst>
                <a:ext uri="{63B3BB69-23CF-44E3-9099-C40C66FF867C}">
                  <a14:compatExt spid="_x0000_s15918"/>
                </a:ext>
                <a:ext uri="{FF2B5EF4-FFF2-40B4-BE49-F238E27FC236}">
                  <a16:creationId xmlns:a16="http://schemas.microsoft.com/office/drawing/2014/main" id="{00000000-0008-0000-1100-00002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1766</xdr:row>
          <xdr:rowOff>0</xdr:rowOff>
        </xdr:from>
        <xdr:to>
          <xdr:col>22</xdr:col>
          <xdr:colOff>180975</xdr:colOff>
          <xdr:row>1766</xdr:row>
          <xdr:rowOff>180975</xdr:rowOff>
        </xdr:to>
        <xdr:sp macro="" textlink="">
          <xdr:nvSpPr>
            <xdr:cNvPr id="15919" name="Check Box 559" hidden="1">
              <a:extLst>
                <a:ext uri="{63B3BB69-23CF-44E3-9099-C40C66FF867C}">
                  <a14:compatExt spid="_x0000_s15919"/>
                </a:ext>
                <a:ext uri="{FF2B5EF4-FFF2-40B4-BE49-F238E27FC236}">
                  <a16:creationId xmlns:a16="http://schemas.microsoft.com/office/drawing/2014/main" id="{00000000-0008-0000-1100-00002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1768</xdr:row>
          <xdr:rowOff>0</xdr:rowOff>
        </xdr:from>
        <xdr:to>
          <xdr:col>22</xdr:col>
          <xdr:colOff>180975</xdr:colOff>
          <xdr:row>1768</xdr:row>
          <xdr:rowOff>180975</xdr:rowOff>
        </xdr:to>
        <xdr:sp macro="" textlink="">
          <xdr:nvSpPr>
            <xdr:cNvPr id="15920" name="Check Box 560" hidden="1">
              <a:extLst>
                <a:ext uri="{63B3BB69-23CF-44E3-9099-C40C66FF867C}">
                  <a14:compatExt spid="_x0000_s15920"/>
                </a:ext>
                <a:ext uri="{FF2B5EF4-FFF2-40B4-BE49-F238E27FC236}">
                  <a16:creationId xmlns:a16="http://schemas.microsoft.com/office/drawing/2014/main" id="{00000000-0008-0000-1100-00003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1777</xdr:row>
          <xdr:rowOff>0</xdr:rowOff>
        </xdr:from>
        <xdr:to>
          <xdr:col>22</xdr:col>
          <xdr:colOff>180975</xdr:colOff>
          <xdr:row>1777</xdr:row>
          <xdr:rowOff>180975</xdr:rowOff>
        </xdr:to>
        <xdr:sp macro="" textlink="">
          <xdr:nvSpPr>
            <xdr:cNvPr id="15922" name="Check Box 562" hidden="1">
              <a:extLst>
                <a:ext uri="{63B3BB69-23CF-44E3-9099-C40C66FF867C}">
                  <a14:compatExt spid="_x0000_s15922"/>
                </a:ext>
                <a:ext uri="{FF2B5EF4-FFF2-40B4-BE49-F238E27FC236}">
                  <a16:creationId xmlns:a16="http://schemas.microsoft.com/office/drawing/2014/main" id="{00000000-0008-0000-1100-00003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1778</xdr:row>
          <xdr:rowOff>0</xdr:rowOff>
        </xdr:from>
        <xdr:to>
          <xdr:col>22</xdr:col>
          <xdr:colOff>180975</xdr:colOff>
          <xdr:row>1778</xdr:row>
          <xdr:rowOff>180975</xdr:rowOff>
        </xdr:to>
        <xdr:sp macro="" textlink="">
          <xdr:nvSpPr>
            <xdr:cNvPr id="15923" name="Check Box 563" hidden="1">
              <a:extLst>
                <a:ext uri="{63B3BB69-23CF-44E3-9099-C40C66FF867C}">
                  <a14:compatExt spid="_x0000_s15923"/>
                </a:ext>
                <a:ext uri="{FF2B5EF4-FFF2-40B4-BE49-F238E27FC236}">
                  <a16:creationId xmlns:a16="http://schemas.microsoft.com/office/drawing/2014/main" id="{00000000-0008-0000-1100-00003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1779</xdr:row>
          <xdr:rowOff>0</xdr:rowOff>
        </xdr:from>
        <xdr:to>
          <xdr:col>22</xdr:col>
          <xdr:colOff>180975</xdr:colOff>
          <xdr:row>1779</xdr:row>
          <xdr:rowOff>180975</xdr:rowOff>
        </xdr:to>
        <xdr:sp macro="" textlink="">
          <xdr:nvSpPr>
            <xdr:cNvPr id="15924" name="Check Box 564" hidden="1">
              <a:extLst>
                <a:ext uri="{63B3BB69-23CF-44E3-9099-C40C66FF867C}">
                  <a14:compatExt spid="_x0000_s15924"/>
                </a:ext>
                <a:ext uri="{FF2B5EF4-FFF2-40B4-BE49-F238E27FC236}">
                  <a16:creationId xmlns:a16="http://schemas.microsoft.com/office/drawing/2014/main" id="{00000000-0008-0000-1100-00003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1784</xdr:row>
          <xdr:rowOff>0</xdr:rowOff>
        </xdr:from>
        <xdr:to>
          <xdr:col>22</xdr:col>
          <xdr:colOff>180975</xdr:colOff>
          <xdr:row>1784</xdr:row>
          <xdr:rowOff>180975</xdr:rowOff>
        </xdr:to>
        <xdr:sp macro="" textlink="">
          <xdr:nvSpPr>
            <xdr:cNvPr id="15927" name="Check Box 567" hidden="1">
              <a:extLst>
                <a:ext uri="{63B3BB69-23CF-44E3-9099-C40C66FF867C}">
                  <a14:compatExt spid="_x0000_s15927"/>
                </a:ext>
                <a:ext uri="{FF2B5EF4-FFF2-40B4-BE49-F238E27FC236}">
                  <a16:creationId xmlns:a16="http://schemas.microsoft.com/office/drawing/2014/main" id="{00000000-0008-0000-1100-00003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1786</xdr:row>
          <xdr:rowOff>0</xdr:rowOff>
        </xdr:from>
        <xdr:to>
          <xdr:col>22</xdr:col>
          <xdr:colOff>180975</xdr:colOff>
          <xdr:row>1786</xdr:row>
          <xdr:rowOff>180975</xdr:rowOff>
        </xdr:to>
        <xdr:sp macro="" textlink="">
          <xdr:nvSpPr>
            <xdr:cNvPr id="15928" name="Check Box 568" hidden="1">
              <a:extLst>
                <a:ext uri="{63B3BB69-23CF-44E3-9099-C40C66FF867C}">
                  <a14:compatExt spid="_x0000_s15928"/>
                </a:ext>
                <a:ext uri="{FF2B5EF4-FFF2-40B4-BE49-F238E27FC236}">
                  <a16:creationId xmlns:a16="http://schemas.microsoft.com/office/drawing/2014/main" id="{00000000-0008-0000-1100-00003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1819</xdr:row>
          <xdr:rowOff>0</xdr:rowOff>
        </xdr:from>
        <xdr:to>
          <xdr:col>22</xdr:col>
          <xdr:colOff>180975</xdr:colOff>
          <xdr:row>1819</xdr:row>
          <xdr:rowOff>180975</xdr:rowOff>
        </xdr:to>
        <xdr:sp macro="" textlink="">
          <xdr:nvSpPr>
            <xdr:cNvPr id="15930" name="Check Box 570" hidden="1">
              <a:extLst>
                <a:ext uri="{63B3BB69-23CF-44E3-9099-C40C66FF867C}">
                  <a14:compatExt spid="_x0000_s15930"/>
                </a:ext>
                <a:ext uri="{FF2B5EF4-FFF2-40B4-BE49-F238E27FC236}">
                  <a16:creationId xmlns:a16="http://schemas.microsoft.com/office/drawing/2014/main" id="{00000000-0008-0000-1100-00003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1820</xdr:row>
          <xdr:rowOff>0</xdr:rowOff>
        </xdr:from>
        <xdr:to>
          <xdr:col>22</xdr:col>
          <xdr:colOff>180975</xdr:colOff>
          <xdr:row>1820</xdr:row>
          <xdr:rowOff>180975</xdr:rowOff>
        </xdr:to>
        <xdr:sp macro="" textlink="">
          <xdr:nvSpPr>
            <xdr:cNvPr id="15931" name="Check Box 571" hidden="1">
              <a:extLst>
                <a:ext uri="{63B3BB69-23CF-44E3-9099-C40C66FF867C}">
                  <a14:compatExt spid="_x0000_s15931"/>
                </a:ext>
                <a:ext uri="{FF2B5EF4-FFF2-40B4-BE49-F238E27FC236}">
                  <a16:creationId xmlns:a16="http://schemas.microsoft.com/office/drawing/2014/main" id="{00000000-0008-0000-1100-00003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1847</xdr:row>
          <xdr:rowOff>0</xdr:rowOff>
        </xdr:from>
        <xdr:to>
          <xdr:col>22</xdr:col>
          <xdr:colOff>180975</xdr:colOff>
          <xdr:row>1847</xdr:row>
          <xdr:rowOff>180975</xdr:rowOff>
        </xdr:to>
        <xdr:sp macro="" textlink="">
          <xdr:nvSpPr>
            <xdr:cNvPr id="15932" name="Check Box 572" hidden="1">
              <a:extLst>
                <a:ext uri="{63B3BB69-23CF-44E3-9099-C40C66FF867C}">
                  <a14:compatExt spid="_x0000_s15932"/>
                </a:ext>
                <a:ext uri="{FF2B5EF4-FFF2-40B4-BE49-F238E27FC236}">
                  <a16:creationId xmlns:a16="http://schemas.microsoft.com/office/drawing/2014/main" id="{00000000-0008-0000-1100-00003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1856</xdr:row>
          <xdr:rowOff>0</xdr:rowOff>
        </xdr:from>
        <xdr:to>
          <xdr:col>22</xdr:col>
          <xdr:colOff>180975</xdr:colOff>
          <xdr:row>1856</xdr:row>
          <xdr:rowOff>180975</xdr:rowOff>
        </xdr:to>
        <xdr:sp macro="" textlink="">
          <xdr:nvSpPr>
            <xdr:cNvPr id="15935" name="Check Box 575" hidden="1">
              <a:extLst>
                <a:ext uri="{63B3BB69-23CF-44E3-9099-C40C66FF867C}">
                  <a14:compatExt spid="_x0000_s15935"/>
                </a:ext>
                <a:ext uri="{FF2B5EF4-FFF2-40B4-BE49-F238E27FC236}">
                  <a16:creationId xmlns:a16="http://schemas.microsoft.com/office/drawing/2014/main" id="{00000000-0008-0000-1100-00003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1859</xdr:row>
          <xdr:rowOff>0</xdr:rowOff>
        </xdr:from>
        <xdr:to>
          <xdr:col>22</xdr:col>
          <xdr:colOff>180975</xdr:colOff>
          <xdr:row>1859</xdr:row>
          <xdr:rowOff>180975</xdr:rowOff>
        </xdr:to>
        <xdr:sp macro="" textlink="">
          <xdr:nvSpPr>
            <xdr:cNvPr id="15936" name="Check Box 576" hidden="1">
              <a:extLst>
                <a:ext uri="{63B3BB69-23CF-44E3-9099-C40C66FF867C}">
                  <a14:compatExt spid="_x0000_s15936"/>
                </a:ext>
                <a:ext uri="{FF2B5EF4-FFF2-40B4-BE49-F238E27FC236}">
                  <a16:creationId xmlns:a16="http://schemas.microsoft.com/office/drawing/2014/main" id="{00000000-0008-0000-1100-00004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1861</xdr:row>
          <xdr:rowOff>0</xdr:rowOff>
        </xdr:from>
        <xdr:to>
          <xdr:col>22</xdr:col>
          <xdr:colOff>180975</xdr:colOff>
          <xdr:row>1861</xdr:row>
          <xdr:rowOff>180975</xdr:rowOff>
        </xdr:to>
        <xdr:sp macro="" textlink="">
          <xdr:nvSpPr>
            <xdr:cNvPr id="15937" name="Check Box 577" hidden="1">
              <a:extLst>
                <a:ext uri="{63B3BB69-23CF-44E3-9099-C40C66FF867C}">
                  <a14:compatExt spid="_x0000_s15937"/>
                </a:ext>
                <a:ext uri="{FF2B5EF4-FFF2-40B4-BE49-F238E27FC236}">
                  <a16:creationId xmlns:a16="http://schemas.microsoft.com/office/drawing/2014/main" id="{00000000-0008-0000-1100-00004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1877</xdr:row>
          <xdr:rowOff>0</xdr:rowOff>
        </xdr:from>
        <xdr:to>
          <xdr:col>22</xdr:col>
          <xdr:colOff>180975</xdr:colOff>
          <xdr:row>1877</xdr:row>
          <xdr:rowOff>180975</xdr:rowOff>
        </xdr:to>
        <xdr:sp macro="" textlink="">
          <xdr:nvSpPr>
            <xdr:cNvPr id="15982" name="Check Box 622" hidden="1">
              <a:extLst>
                <a:ext uri="{63B3BB69-23CF-44E3-9099-C40C66FF867C}">
                  <a14:compatExt spid="_x0000_s15982"/>
                </a:ext>
                <a:ext uri="{FF2B5EF4-FFF2-40B4-BE49-F238E27FC236}">
                  <a16:creationId xmlns:a16="http://schemas.microsoft.com/office/drawing/2014/main" id="{00000000-0008-0000-1100-00006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1883</xdr:row>
          <xdr:rowOff>0</xdr:rowOff>
        </xdr:from>
        <xdr:to>
          <xdr:col>22</xdr:col>
          <xdr:colOff>180975</xdr:colOff>
          <xdr:row>1883</xdr:row>
          <xdr:rowOff>180975</xdr:rowOff>
        </xdr:to>
        <xdr:sp macro="" textlink="">
          <xdr:nvSpPr>
            <xdr:cNvPr id="15983" name="Check Box 623" hidden="1">
              <a:extLst>
                <a:ext uri="{63B3BB69-23CF-44E3-9099-C40C66FF867C}">
                  <a14:compatExt spid="_x0000_s15983"/>
                </a:ext>
                <a:ext uri="{FF2B5EF4-FFF2-40B4-BE49-F238E27FC236}">
                  <a16:creationId xmlns:a16="http://schemas.microsoft.com/office/drawing/2014/main" id="{00000000-0008-0000-1100-00006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1899</xdr:row>
          <xdr:rowOff>0</xdr:rowOff>
        </xdr:from>
        <xdr:to>
          <xdr:col>22</xdr:col>
          <xdr:colOff>180975</xdr:colOff>
          <xdr:row>1899</xdr:row>
          <xdr:rowOff>180975</xdr:rowOff>
        </xdr:to>
        <xdr:sp macro="" textlink="">
          <xdr:nvSpPr>
            <xdr:cNvPr id="15984" name="Check Box 624" hidden="1">
              <a:extLst>
                <a:ext uri="{63B3BB69-23CF-44E3-9099-C40C66FF867C}">
                  <a14:compatExt spid="_x0000_s15984"/>
                </a:ext>
                <a:ext uri="{FF2B5EF4-FFF2-40B4-BE49-F238E27FC236}">
                  <a16:creationId xmlns:a16="http://schemas.microsoft.com/office/drawing/2014/main" id="{00000000-0008-0000-1100-00007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1927</xdr:row>
          <xdr:rowOff>0</xdr:rowOff>
        </xdr:from>
        <xdr:to>
          <xdr:col>22</xdr:col>
          <xdr:colOff>180975</xdr:colOff>
          <xdr:row>1927</xdr:row>
          <xdr:rowOff>180975</xdr:rowOff>
        </xdr:to>
        <xdr:sp macro="" textlink="">
          <xdr:nvSpPr>
            <xdr:cNvPr id="15985" name="Check Box 625" hidden="1">
              <a:extLst>
                <a:ext uri="{63B3BB69-23CF-44E3-9099-C40C66FF867C}">
                  <a14:compatExt spid="_x0000_s15985"/>
                </a:ext>
                <a:ext uri="{FF2B5EF4-FFF2-40B4-BE49-F238E27FC236}">
                  <a16:creationId xmlns:a16="http://schemas.microsoft.com/office/drawing/2014/main" id="{00000000-0008-0000-1100-00007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1933</xdr:row>
          <xdr:rowOff>0</xdr:rowOff>
        </xdr:from>
        <xdr:to>
          <xdr:col>22</xdr:col>
          <xdr:colOff>180975</xdr:colOff>
          <xdr:row>1933</xdr:row>
          <xdr:rowOff>180975</xdr:rowOff>
        </xdr:to>
        <xdr:sp macro="" textlink="">
          <xdr:nvSpPr>
            <xdr:cNvPr id="15986" name="Check Box 626" hidden="1">
              <a:extLst>
                <a:ext uri="{63B3BB69-23CF-44E3-9099-C40C66FF867C}">
                  <a14:compatExt spid="_x0000_s15986"/>
                </a:ext>
                <a:ext uri="{FF2B5EF4-FFF2-40B4-BE49-F238E27FC236}">
                  <a16:creationId xmlns:a16="http://schemas.microsoft.com/office/drawing/2014/main" id="{00000000-0008-0000-1100-00007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1956</xdr:row>
          <xdr:rowOff>0</xdr:rowOff>
        </xdr:from>
        <xdr:to>
          <xdr:col>22</xdr:col>
          <xdr:colOff>180975</xdr:colOff>
          <xdr:row>1956</xdr:row>
          <xdr:rowOff>180975</xdr:rowOff>
        </xdr:to>
        <xdr:sp macro="" textlink="">
          <xdr:nvSpPr>
            <xdr:cNvPr id="15987" name="Check Box 627" hidden="1">
              <a:extLst>
                <a:ext uri="{63B3BB69-23CF-44E3-9099-C40C66FF867C}">
                  <a14:compatExt spid="_x0000_s15987"/>
                </a:ext>
                <a:ext uri="{FF2B5EF4-FFF2-40B4-BE49-F238E27FC236}">
                  <a16:creationId xmlns:a16="http://schemas.microsoft.com/office/drawing/2014/main" id="{00000000-0008-0000-1100-00007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1958</xdr:row>
          <xdr:rowOff>0</xdr:rowOff>
        </xdr:from>
        <xdr:to>
          <xdr:col>22</xdr:col>
          <xdr:colOff>180975</xdr:colOff>
          <xdr:row>1958</xdr:row>
          <xdr:rowOff>180975</xdr:rowOff>
        </xdr:to>
        <xdr:sp macro="" textlink="">
          <xdr:nvSpPr>
            <xdr:cNvPr id="15988" name="Check Box 628" hidden="1">
              <a:extLst>
                <a:ext uri="{63B3BB69-23CF-44E3-9099-C40C66FF867C}">
                  <a14:compatExt spid="_x0000_s15988"/>
                </a:ext>
                <a:ext uri="{FF2B5EF4-FFF2-40B4-BE49-F238E27FC236}">
                  <a16:creationId xmlns:a16="http://schemas.microsoft.com/office/drawing/2014/main" id="{00000000-0008-0000-1100-00007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1961</xdr:row>
          <xdr:rowOff>0</xdr:rowOff>
        </xdr:from>
        <xdr:to>
          <xdr:col>22</xdr:col>
          <xdr:colOff>180975</xdr:colOff>
          <xdr:row>1961</xdr:row>
          <xdr:rowOff>180975</xdr:rowOff>
        </xdr:to>
        <xdr:sp macro="" textlink="">
          <xdr:nvSpPr>
            <xdr:cNvPr id="15989" name="Check Box 629" hidden="1">
              <a:extLst>
                <a:ext uri="{63B3BB69-23CF-44E3-9099-C40C66FF867C}">
                  <a14:compatExt spid="_x0000_s15989"/>
                </a:ext>
                <a:ext uri="{FF2B5EF4-FFF2-40B4-BE49-F238E27FC236}">
                  <a16:creationId xmlns:a16="http://schemas.microsoft.com/office/drawing/2014/main" id="{00000000-0008-0000-1100-00007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1984</xdr:row>
          <xdr:rowOff>0</xdr:rowOff>
        </xdr:from>
        <xdr:to>
          <xdr:col>22</xdr:col>
          <xdr:colOff>180975</xdr:colOff>
          <xdr:row>1984</xdr:row>
          <xdr:rowOff>180975</xdr:rowOff>
        </xdr:to>
        <xdr:sp macro="" textlink="">
          <xdr:nvSpPr>
            <xdr:cNvPr id="15990" name="Check Box 630" hidden="1">
              <a:extLst>
                <a:ext uri="{63B3BB69-23CF-44E3-9099-C40C66FF867C}">
                  <a14:compatExt spid="_x0000_s15990"/>
                </a:ext>
                <a:ext uri="{FF2B5EF4-FFF2-40B4-BE49-F238E27FC236}">
                  <a16:creationId xmlns:a16="http://schemas.microsoft.com/office/drawing/2014/main" id="{00000000-0008-0000-1100-00007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1995</xdr:row>
          <xdr:rowOff>0</xdr:rowOff>
        </xdr:from>
        <xdr:to>
          <xdr:col>22</xdr:col>
          <xdr:colOff>180975</xdr:colOff>
          <xdr:row>1995</xdr:row>
          <xdr:rowOff>180975</xdr:rowOff>
        </xdr:to>
        <xdr:sp macro="" textlink="">
          <xdr:nvSpPr>
            <xdr:cNvPr id="15991" name="Check Box 631" hidden="1">
              <a:extLst>
                <a:ext uri="{63B3BB69-23CF-44E3-9099-C40C66FF867C}">
                  <a14:compatExt spid="_x0000_s15991"/>
                </a:ext>
                <a:ext uri="{FF2B5EF4-FFF2-40B4-BE49-F238E27FC236}">
                  <a16:creationId xmlns:a16="http://schemas.microsoft.com/office/drawing/2014/main" id="{00000000-0008-0000-1100-00007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1997</xdr:row>
          <xdr:rowOff>0</xdr:rowOff>
        </xdr:from>
        <xdr:to>
          <xdr:col>22</xdr:col>
          <xdr:colOff>180975</xdr:colOff>
          <xdr:row>1997</xdr:row>
          <xdr:rowOff>180975</xdr:rowOff>
        </xdr:to>
        <xdr:sp macro="" textlink="">
          <xdr:nvSpPr>
            <xdr:cNvPr id="15992" name="Check Box 632" hidden="1">
              <a:extLst>
                <a:ext uri="{63B3BB69-23CF-44E3-9099-C40C66FF867C}">
                  <a14:compatExt spid="_x0000_s15992"/>
                </a:ext>
                <a:ext uri="{FF2B5EF4-FFF2-40B4-BE49-F238E27FC236}">
                  <a16:creationId xmlns:a16="http://schemas.microsoft.com/office/drawing/2014/main" id="{00000000-0008-0000-1100-00007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1998</xdr:row>
          <xdr:rowOff>0</xdr:rowOff>
        </xdr:from>
        <xdr:to>
          <xdr:col>22</xdr:col>
          <xdr:colOff>180975</xdr:colOff>
          <xdr:row>1998</xdr:row>
          <xdr:rowOff>180975</xdr:rowOff>
        </xdr:to>
        <xdr:sp macro="" textlink="">
          <xdr:nvSpPr>
            <xdr:cNvPr id="15993" name="Check Box 633" hidden="1">
              <a:extLst>
                <a:ext uri="{63B3BB69-23CF-44E3-9099-C40C66FF867C}">
                  <a14:compatExt spid="_x0000_s15993"/>
                </a:ext>
                <a:ext uri="{FF2B5EF4-FFF2-40B4-BE49-F238E27FC236}">
                  <a16:creationId xmlns:a16="http://schemas.microsoft.com/office/drawing/2014/main" id="{00000000-0008-0000-1100-00007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2000</xdr:row>
          <xdr:rowOff>0</xdr:rowOff>
        </xdr:from>
        <xdr:to>
          <xdr:col>22</xdr:col>
          <xdr:colOff>180975</xdr:colOff>
          <xdr:row>2000</xdr:row>
          <xdr:rowOff>180975</xdr:rowOff>
        </xdr:to>
        <xdr:sp macro="" textlink="">
          <xdr:nvSpPr>
            <xdr:cNvPr id="15994" name="Check Box 634" hidden="1">
              <a:extLst>
                <a:ext uri="{63B3BB69-23CF-44E3-9099-C40C66FF867C}">
                  <a14:compatExt spid="_x0000_s15994"/>
                </a:ext>
                <a:ext uri="{FF2B5EF4-FFF2-40B4-BE49-F238E27FC236}">
                  <a16:creationId xmlns:a16="http://schemas.microsoft.com/office/drawing/2014/main" id="{00000000-0008-0000-1100-00007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2005</xdr:row>
          <xdr:rowOff>0</xdr:rowOff>
        </xdr:from>
        <xdr:to>
          <xdr:col>22</xdr:col>
          <xdr:colOff>180975</xdr:colOff>
          <xdr:row>2005</xdr:row>
          <xdr:rowOff>180975</xdr:rowOff>
        </xdr:to>
        <xdr:sp macro="" textlink="">
          <xdr:nvSpPr>
            <xdr:cNvPr id="15995" name="Check Box 635" hidden="1">
              <a:extLst>
                <a:ext uri="{63B3BB69-23CF-44E3-9099-C40C66FF867C}">
                  <a14:compatExt spid="_x0000_s15995"/>
                </a:ext>
                <a:ext uri="{FF2B5EF4-FFF2-40B4-BE49-F238E27FC236}">
                  <a16:creationId xmlns:a16="http://schemas.microsoft.com/office/drawing/2014/main" id="{00000000-0008-0000-1100-00007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2014</xdr:row>
          <xdr:rowOff>0</xdr:rowOff>
        </xdr:from>
        <xdr:to>
          <xdr:col>22</xdr:col>
          <xdr:colOff>180975</xdr:colOff>
          <xdr:row>2014</xdr:row>
          <xdr:rowOff>180975</xdr:rowOff>
        </xdr:to>
        <xdr:sp macro="" textlink="">
          <xdr:nvSpPr>
            <xdr:cNvPr id="15996" name="Check Box 636" hidden="1">
              <a:extLst>
                <a:ext uri="{63B3BB69-23CF-44E3-9099-C40C66FF867C}">
                  <a14:compatExt spid="_x0000_s15996"/>
                </a:ext>
                <a:ext uri="{FF2B5EF4-FFF2-40B4-BE49-F238E27FC236}">
                  <a16:creationId xmlns:a16="http://schemas.microsoft.com/office/drawing/2014/main" id="{00000000-0008-0000-1100-00007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2019</xdr:row>
          <xdr:rowOff>0</xdr:rowOff>
        </xdr:from>
        <xdr:to>
          <xdr:col>22</xdr:col>
          <xdr:colOff>180975</xdr:colOff>
          <xdr:row>2019</xdr:row>
          <xdr:rowOff>180975</xdr:rowOff>
        </xdr:to>
        <xdr:sp macro="" textlink="">
          <xdr:nvSpPr>
            <xdr:cNvPr id="15997" name="Check Box 637" hidden="1">
              <a:extLst>
                <a:ext uri="{63B3BB69-23CF-44E3-9099-C40C66FF867C}">
                  <a14:compatExt spid="_x0000_s15997"/>
                </a:ext>
                <a:ext uri="{FF2B5EF4-FFF2-40B4-BE49-F238E27FC236}">
                  <a16:creationId xmlns:a16="http://schemas.microsoft.com/office/drawing/2014/main" id="{00000000-0008-0000-1100-00007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2020</xdr:row>
          <xdr:rowOff>0</xdr:rowOff>
        </xdr:from>
        <xdr:to>
          <xdr:col>22</xdr:col>
          <xdr:colOff>180975</xdr:colOff>
          <xdr:row>2020</xdr:row>
          <xdr:rowOff>180975</xdr:rowOff>
        </xdr:to>
        <xdr:sp macro="" textlink="">
          <xdr:nvSpPr>
            <xdr:cNvPr id="15998" name="Check Box 638" hidden="1">
              <a:extLst>
                <a:ext uri="{63B3BB69-23CF-44E3-9099-C40C66FF867C}">
                  <a14:compatExt spid="_x0000_s15998"/>
                </a:ext>
                <a:ext uri="{FF2B5EF4-FFF2-40B4-BE49-F238E27FC236}">
                  <a16:creationId xmlns:a16="http://schemas.microsoft.com/office/drawing/2014/main" id="{00000000-0008-0000-1100-00007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2024</xdr:row>
          <xdr:rowOff>0</xdr:rowOff>
        </xdr:from>
        <xdr:to>
          <xdr:col>22</xdr:col>
          <xdr:colOff>180975</xdr:colOff>
          <xdr:row>2024</xdr:row>
          <xdr:rowOff>180975</xdr:rowOff>
        </xdr:to>
        <xdr:sp macro="" textlink="">
          <xdr:nvSpPr>
            <xdr:cNvPr id="15999" name="Check Box 639" hidden="1">
              <a:extLst>
                <a:ext uri="{63B3BB69-23CF-44E3-9099-C40C66FF867C}">
                  <a14:compatExt spid="_x0000_s15999"/>
                </a:ext>
                <a:ext uri="{FF2B5EF4-FFF2-40B4-BE49-F238E27FC236}">
                  <a16:creationId xmlns:a16="http://schemas.microsoft.com/office/drawing/2014/main" id="{00000000-0008-0000-1100-00007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2037</xdr:row>
          <xdr:rowOff>0</xdr:rowOff>
        </xdr:from>
        <xdr:to>
          <xdr:col>22</xdr:col>
          <xdr:colOff>180975</xdr:colOff>
          <xdr:row>2037</xdr:row>
          <xdr:rowOff>180975</xdr:rowOff>
        </xdr:to>
        <xdr:sp macro="" textlink="">
          <xdr:nvSpPr>
            <xdr:cNvPr id="16000" name="Check Box 640" hidden="1">
              <a:extLst>
                <a:ext uri="{63B3BB69-23CF-44E3-9099-C40C66FF867C}">
                  <a14:compatExt spid="_x0000_s16000"/>
                </a:ext>
                <a:ext uri="{FF2B5EF4-FFF2-40B4-BE49-F238E27FC236}">
                  <a16:creationId xmlns:a16="http://schemas.microsoft.com/office/drawing/2014/main" id="{00000000-0008-0000-1100-00008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2038</xdr:row>
          <xdr:rowOff>0</xdr:rowOff>
        </xdr:from>
        <xdr:to>
          <xdr:col>22</xdr:col>
          <xdr:colOff>180975</xdr:colOff>
          <xdr:row>2038</xdr:row>
          <xdr:rowOff>180975</xdr:rowOff>
        </xdr:to>
        <xdr:sp macro="" textlink="">
          <xdr:nvSpPr>
            <xdr:cNvPr id="16001" name="Check Box 641" hidden="1">
              <a:extLst>
                <a:ext uri="{63B3BB69-23CF-44E3-9099-C40C66FF867C}">
                  <a14:compatExt spid="_x0000_s16001"/>
                </a:ext>
                <a:ext uri="{FF2B5EF4-FFF2-40B4-BE49-F238E27FC236}">
                  <a16:creationId xmlns:a16="http://schemas.microsoft.com/office/drawing/2014/main" id="{00000000-0008-0000-1100-00008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2041</xdr:row>
          <xdr:rowOff>0</xdr:rowOff>
        </xdr:from>
        <xdr:to>
          <xdr:col>22</xdr:col>
          <xdr:colOff>180975</xdr:colOff>
          <xdr:row>2041</xdr:row>
          <xdr:rowOff>180975</xdr:rowOff>
        </xdr:to>
        <xdr:sp macro="" textlink="">
          <xdr:nvSpPr>
            <xdr:cNvPr id="16002" name="Check Box 642" hidden="1">
              <a:extLst>
                <a:ext uri="{63B3BB69-23CF-44E3-9099-C40C66FF867C}">
                  <a14:compatExt spid="_x0000_s16002"/>
                </a:ext>
                <a:ext uri="{FF2B5EF4-FFF2-40B4-BE49-F238E27FC236}">
                  <a16:creationId xmlns:a16="http://schemas.microsoft.com/office/drawing/2014/main" id="{00000000-0008-0000-1100-00008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2043</xdr:row>
          <xdr:rowOff>0</xdr:rowOff>
        </xdr:from>
        <xdr:to>
          <xdr:col>22</xdr:col>
          <xdr:colOff>180975</xdr:colOff>
          <xdr:row>2043</xdr:row>
          <xdr:rowOff>180975</xdr:rowOff>
        </xdr:to>
        <xdr:sp macro="" textlink="">
          <xdr:nvSpPr>
            <xdr:cNvPr id="16003" name="Check Box 643" hidden="1">
              <a:extLst>
                <a:ext uri="{63B3BB69-23CF-44E3-9099-C40C66FF867C}">
                  <a14:compatExt spid="_x0000_s16003"/>
                </a:ext>
                <a:ext uri="{FF2B5EF4-FFF2-40B4-BE49-F238E27FC236}">
                  <a16:creationId xmlns:a16="http://schemas.microsoft.com/office/drawing/2014/main" id="{00000000-0008-0000-1100-00008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2049</xdr:row>
          <xdr:rowOff>0</xdr:rowOff>
        </xdr:from>
        <xdr:to>
          <xdr:col>22</xdr:col>
          <xdr:colOff>180975</xdr:colOff>
          <xdr:row>2049</xdr:row>
          <xdr:rowOff>180975</xdr:rowOff>
        </xdr:to>
        <xdr:sp macro="" textlink="">
          <xdr:nvSpPr>
            <xdr:cNvPr id="16004" name="Check Box 644" hidden="1">
              <a:extLst>
                <a:ext uri="{63B3BB69-23CF-44E3-9099-C40C66FF867C}">
                  <a14:compatExt spid="_x0000_s16004"/>
                </a:ext>
                <a:ext uri="{FF2B5EF4-FFF2-40B4-BE49-F238E27FC236}">
                  <a16:creationId xmlns:a16="http://schemas.microsoft.com/office/drawing/2014/main" id="{00000000-0008-0000-1100-00008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2051</xdr:row>
          <xdr:rowOff>0</xdr:rowOff>
        </xdr:from>
        <xdr:to>
          <xdr:col>22</xdr:col>
          <xdr:colOff>180975</xdr:colOff>
          <xdr:row>2051</xdr:row>
          <xdr:rowOff>180975</xdr:rowOff>
        </xdr:to>
        <xdr:sp macro="" textlink="">
          <xdr:nvSpPr>
            <xdr:cNvPr id="16005" name="Check Box 645" hidden="1">
              <a:extLst>
                <a:ext uri="{63B3BB69-23CF-44E3-9099-C40C66FF867C}">
                  <a14:compatExt spid="_x0000_s16005"/>
                </a:ext>
                <a:ext uri="{FF2B5EF4-FFF2-40B4-BE49-F238E27FC236}">
                  <a16:creationId xmlns:a16="http://schemas.microsoft.com/office/drawing/2014/main" id="{00000000-0008-0000-1100-00008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2055</xdr:row>
          <xdr:rowOff>0</xdr:rowOff>
        </xdr:from>
        <xdr:to>
          <xdr:col>22</xdr:col>
          <xdr:colOff>180975</xdr:colOff>
          <xdr:row>2055</xdr:row>
          <xdr:rowOff>180975</xdr:rowOff>
        </xdr:to>
        <xdr:sp macro="" textlink="">
          <xdr:nvSpPr>
            <xdr:cNvPr id="16006" name="Check Box 646" hidden="1">
              <a:extLst>
                <a:ext uri="{63B3BB69-23CF-44E3-9099-C40C66FF867C}">
                  <a14:compatExt spid="_x0000_s16006"/>
                </a:ext>
                <a:ext uri="{FF2B5EF4-FFF2-40B4-BE49-F238E27FC236}">
                  <a16:creationId xmlns:a16="http://schemas.microsoft.com/office/drawing/2014/main" id="{00000000-0008-0000-1100-00008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2062</xdr:row>
          <xdr:rowOff>0</xdr:rowOff>
        </xdr:from>
        <xdr:to>
          <xdr:col>22</xdr:col>
          <xdr:colOff>180975</xdr:colOff>
          <xdr:row>2062</xdr:row>
          <xdr:rowOff>180975</xdr:rowOff>
        </xdr:to>
        <xdr:sp macro="" textlink="">
          <xdr:nvSpPr>
            <xdr:cNvPr id="16007" name="Check Box 647" hidden="1">
              <a:extLst>
                <a:ext uri="{63B3BB69-23CF-44E3-9099-C40C66FF867C}">
                  <a14:compatExt spid="_x0000_s16007"/>
                </a:ext>
                <a:ext uri="{FF2B5EF4-FFF2-40B4-BE49-F238E27FC236}">
                  <a16:creationId xmlns:a16="http://schemas.microsoft.com/office/drawing/2014/main" id="{00000000-0008-0000-1100-00008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2073</xdr:row>
          <xdr:rowOff>0</xdr:rowOff>
        </xdr:from>
        <xdr:to>
          <xdr:col>22</xdr:col>
          <xdr:colOff>180975</xdr:colOff>
          <xdr:row>2073</xdr:row>
          <xdr:rowOff>180975</xdr:rowOff>
        </xdr:to>
        <xdr:sp macro="" textlink="">
          <xdr:nvSpPr>
            <xdr:cNvPr id="16008" name="Check Box 648" hidden="1">
              <a:extLst>
                <a:ext uri="{63B3BB69-23CF-44E3-9099-C40C66FF867C}">
                  <a14:compatExt spid="_x0000_s16008"/>
                </a:ext>
                <a:ext uri="{FF2B5EF4-FFF2-40B4-BE49-F238E27FC236}">
                  <a16:creationId xmlns:a16="http://schemas.microsoft.com/office/drawing/2014/main" id="{00000000-0008-0000-1100-00008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2075</xdr:row>
          <xdr:rowOff>0</xdr:rowOff>
        </xdr:from>
        <xdr:to>
          <xdr:col>22</xdr:col>
          <xdr:colOff>180975</xdr:colOff>
          <xdr:row>2075</xdr:row>
          <xdr:rowOff>180975</xdr:rowOff>
        </xdr:to>
        <xdr:sp macro="" textlink="">
          <xdr:nvSpPr>
            <xdr:cNvPr id="16009" name="Check Box 649" hidden="1">
              <a:extLst>
                <a:ext uri="{63B3BB69-23CF-44E3-9099-C40C66FF867C}">
                  <a14:compatExt spid="_x0000_s16009"/>
                </a:ext>
                <a:ext uri="{FF2B5EF4-FFF2-40B4-BE49-F238E27FC236}">
                  <a16:creationId xmlns:a16="http://schemas.microsoft.com/office/drawing/2014/main" id="{00000000-0008-0000-1100-00008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2077</xdr:row>
          <xdr:rowOff>0</xdr:rowOff>
        </xdr:from>
        <xdr:to>
          <xdr:col>22</xdr:col>
          <xdr:colOff>180975</xdr:colOff>
          <xdr:row>2077</xdr:row>
          <xdr:rowOff>180975</xdr:rowOff>
        </xdr:to>
        <xdr:sp macro="" textlink="">
          <xdr:nvSpPr>
            <xdr:cNvPr id="16010" name="Check Box 650" hidden="1">
              <a:extLst>
                <a:ext uri="{63B3BB69-23CF-44E3-9099-C40C66FF867C}">
                  <a14:compatExt spid="_x0000_s16010"/>
                </a:ext>
                <a:ext uri="{FF2B5EF4-FFF2-40B4-BE49-F238E27FC236}">
                  <a16:creationId xmlns:a16="http://schemas.microsoft.com/office/drawing/2014/main" id="{00000000-0008-0000-1100-00008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2095</xdr:row>
          <xdr:rowOff>0</xdr:rowOff>
        </xdr:from>
        <xdr:to>
          <xdr:col>22</xdr:col>
          <xdr:colOff>180975</xdr:colOff>
          <xdr:row>2095</xdr:row>
          <xdr:rowOff>180975</xdr:rowOff>
        </xdr:to>
        <xdr:sp macro="" textlink="">
          <xdr:nvSpPr>
            <xdr:cNvPr id="16011" name="Check Box 651" hidden="1">
              <a:extLst>
                <a:ext uri="{63B3BB69-23CF-44E3-9099-C40C66FF867C}">
                  <a14:compatExt spid="_x0000_s16011"/>
                </a:ext>
                <a:ext uri="{FF2B5EF4-FFF2-40B4-BE49-F238E27FC236}">
                  <a16:creationId xmlns:a16="http://schemas.microsoft.com/office/drawing/2014/main" id="{00000000-0008-0000-1100-00008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2097</xdr:row>
          <xdr:rowOff>0</xdr:rowOff>
        </xdr:from>
        <xdr:to>
          <xdr:col>22</xdr:col>
          <xdr:colOff>180975</xdr:colOff>
          <xdr:row>2097</xdr:row>
          <xdr:rowOff>180975</xdr:rowOff>
        </xdr:to>
        <xdr:sp macro="" textlink="">
          <xdr:nvSpPr>
            <xdr:cNvPr id="16012" name="Check Box 652" hidden="1">
              <a:extLst>
                <a:ext uri="{63B3BB69-23CF-44E3-9099-C40C66FF867C}">
                  <a14:compatExt spid="_x0000_s16012"/>
                </a:ext>
                <a:ext uri="{FF2B5EF4-FFF2-40B4-BE49-F238E27FC236}">
                  <a16:creationId xmlns:a16="http://schemas.microsoft.com/office/drawing/2014/main" id="{00000000-0008-0000-1100-00008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2100</xdr:row>
          <xdr:rowOff>0</xdr:rowOff>
        </xdr:from>
        <xdr:to>
          <xdr:col>22</xdr:col>
          <xdr:colOff>180975</xdr:colOff>
          <xdr:row>2100</xdr:row>
          <xdr:rowOff>180975</xdr:rowOff>
        </xdr:to>
        <xdr:sp macro="" textlink="">
          <xdr:nvSpPr>
            <xdr:cNvPr id="16013" name="Check Box 653" hidden="1">
              <a:extLst>
                <a:ext uri="{63B3BB69-23CF-44E3-9099-C40C66FF867C}">
                  <a14:compatExt spid="_x0000_s16013"/>
                </a:ext>
                <a:ext uri="{FF2B5EF4-FFF2-40B4-BE49-F238E27FC236}">
                  <a16:creationId xmlns:a16="http://schemas.microsoft.com/office/drawing/2014/main" id="{00000000-0008-0000-1100-00008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2179</xdr:row>
          <xdr:rowOff>0</xdr:rowOff>
        </xdr:from>
        <xdr:to>
          <xdr:col>22</xdr:col>
          <xdr:colOff>180975</xdr:colOff>
          <xdr:row>2179</xdr:row>
          <xdr:rowOff>180975</xdr:rowOff>
        </xdr:to>
        <xdr:sp macro="" textlink="">
          <xdr:nvSpPr>
            <xdr:cNvPr id="16015" name="Check Box 655" hidden="1">
              <a:extLst>
                <a:ext uri="{63B3BB69-23CF-44E3-9099-C40C66FF867C}">
                  <a14:compatExt spid="_x0000_s16015"/>
                </a:ext>
                <a:ext uri="{FF2B5EF4-FFF2-40B4-BE49-F238E27FC236}">
                  <a16:creationId xmlns:a16="http://schemas.microsoft.com/office/drawing/2014/main" id="{00000000-0008-0000-1100-00008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2181</xdr:row>
          <xdr:rowOff>0</xdr:rowOff>
        </xdr:from>
        <xdr:to>
          <xdr:col>22</xdr:col>
          <xdr:colOff>180975</xdr:colOff>
          <xdr:row>2181</xdr:row>
          <xdr:rowOff>180975</xdr:rowOff>
        </xdr:to>
        <xdr:sp macro="" textlink="">
          <xdr:nvSpPr>
            <xdr:cNvPr id="16016" name="Check Box 656" hidden="1">
              <a:extLst>
                <a:ext uri="{63B3BB69-23CF-44E3-9099-C40C66FF867C}">
                  <a14:compatExt spid="_x0000_s16016"/>
                </a:ext>
                <a:ext uri="{FF2B5EF4-FFF2-40B4-BE49-F238E27FC236}">
                  <a16:creationId xmlns:a16="http://schemas.microsoft.com/office/drawing/2014/main" id="{00000000-0008-0000-1100-00009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2187</xdr:row>
          <xdr:rowOff>0</xdr:rowOff>
        </xdr:from>
        <xdr:to>
          <xdr:col>22</xdr:col>
          <xdr:colOff>180975</xdr:colOff>
          <xdr:row>2187</xdr:row>
          <xdr:rowOff>180975</xdr:rowOff>
        </xdr:to>
        <xdr:sp macro="" textlink="">
          <xdr:nvSpPr>
            <xdr:cNvPr id="16017" name="Check Box 657" hidden="1">
              <a:extLst>
                <a:ext uri="{63B3BB69-23CF-44E3-9099-C40C66FF867C}">
                  <a14:compatExt spid="_x0000_s16017"/>
                </a:ext>
                <a:ext uri="{FF2B5EF4-FFF2-40B4-BE49-F238E27FC236}">
                  <a16:creationId xmlns:a16="http://schemas.microsoft.com/office/drawing/2014/main" id="{00000000-0008-0000-1100-00009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2189</xdr:row>
          <xdr:rowOff>0</xdr:rowOff>
        </xdr:from>
        <xdr:to>
          <xdr:col>22</xdr:col>
          <xdr:colOff>180975</xdr:colOff>
          <xdr:row>2189</xdr:row>
          <xdr:rowOff>180975</xdr:rowOff>
        </xdr:to>
        <xdr:sp macro="" textlink="">
          <xdr:nvSpPr>
            <xdr:cNvPr id="16018" name="Check Box 658" hidden="1">
              <a:extLst>
                <a:ext uri="{63B3BB69-23CF-44E3-9099-C40C66FF867C}">
                  <a14:compatExt spid="_x0000_s16018"/>
                </a:ext>
                <a:ext uri="{FF2B5EF4-FFF2-40B4-BE49-F238E27FC236}">
                  <a16:creationId xmlns:a16="http://schemas.microsoft.com/office/drawing/2014/main" id="{00000000-0008-0000-1100-00009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2203</xdr:row>
          <xdr:rowOff>0</xdr:rowOff>
        </xdr:from>
        <xdr:to>
          <xdr:col>22</xdr:col>
          <xdr:colOff>180975</xdr:colOff>
          <xdr:row>2203</xdr:row>
          <xdr:rowOff>180975</xdr:rowOff>
        </xdr:to>
        <xdr:sp macro="" textlink="">
          <xdr:nvSpPr>
            <xdr:cNvPr id="16019" name="Check Box 659" hidden="1">
              <a:extLst>
                <a:ext uri="{63B3BB69-23CF-44E3-9099-C40C66FF867C}">
                  <a14:compatExt spid="_x0000_s16019"/>
                </a:ext>
                <a:ext uri="{FF2B5EF4-FFF2-40B4-BE49-F238E27FC236}">
                  <a16:creationId xmlns:a16="http://schemas.microsoft.com/office/drawing/2014/main" id="{00000000-0008-0000-1100-00009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2204</xdr:row>
          <xdr:rowOff>0</xdr:rowOff>
        </xdr:from>
        <xdr:to>
          <xdr:col>22</xdr:col>
          <xdr:colOff>180975</xdr:colOff>
          <xdr:row>2204</xdr:row>
          <xdr:rowOff>180975</xdr:rowOff>
        </xdr:to>
        <xdr:sp macro="" textlink="">
          <xdr:nvSpPr>
            <xdr:cNvPr id="16020" name="Check Box 660" hidden="1">
              <a:extLst>
                <a:ext uri="{63B3BB69-23CF-44E3-9099-C40C66FF867C}">
                  <a14:compatExt spid="_x0000_s16020"/>
                </a:ext>
                <a:ext uri="{FF2B5EF4-FFF2-40B4-BE49-F238E27FC236}">
                  <a16:creationId xmlns:a16="http://schemas.microsoft.com/office/drawing/2014/main" id="{00000000-0008-0000-1100-00009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2209</xdr:row>
          <xdr:rowOff>0</xdr:rowOff>
        </xdr:from>
        <xdr:to>
          <xdr:col>22</xdr:col>
          <xdr:colOff>180975</xdr:colOff>
          <xdr:row>2209</xdr:row>
          <xdr:rowOff>180975</xdr:rowOff>
        </xdr:to>
        <xdr:sp macro="" textlink="">
          <xdr:nvSpPr>
            <xdr:cNvPr id="16021" name="Check Box 661" hidden="1">
              <a:extLst>
                <a:ext uri="{63B3BB69-23CF-44E3-9099-C40C66FF867C}">
                  <a14:compatExt spid="_x0000_s16021"/>
                </a:ext>
                <a:ext uri="{FF2B5EF4-FFF2-40B4-BE49-F238E27FC236}">
                  <a16:creationId xmlns:a16="http://schemas.microsoft.com/office/drawing/2014/main" id="{00000000-0008-0000-1100-00009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2214</xdr:row>
          <xdr:rowOff>0</xdr:rowOff>
        </xdr:from>
        <xdr:to>
          <xdr:col>22</xdr:col>
          <xdr:colOff>180975</xdr:colOff>
          <xdr:row>2214</xdr:row>
          <xdr:rowOff>180975</xdr:rowOff>
        </xdr:to>
        <xdr:sp macro="" textlink="">
          <xdr:nvSpPr>
            <xdr:cNvPr id="16022" name="Check Box 662" hidden="1">
              <a:extLst>
                <a:ext uri="{63B3BB69-23CF-44E3-9099-C40C66FF867C}">
                  <a14:compatExt spid="_x0000_s16022"/>
                </a:ext>
                <a:ext uri="{FF2B5EF4-FFF2-40B4-BE49-F238E27FC236}">
                  <a16:creationId xmlns:a16="http://schemas.microsoft.com/office/drawing/2014/main" id="{00000000-0008-0000-1100-00009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2231</xdr:row>
          <xdr:rowOff>0</xdr:rowOff>
        </xdr:from>
        <xdr:to>
          <xdr:col>22</xdr:col>
          <xdr:colOff>180975</xdr:colOff>
          <xdr:row>2231</xdr:row>
          <xdr:rowOff>180975</xdr:rowOff>
        </xdr:to>
        <xdr:sp macro="" textlink="">
          <xdr:nvSpPr>
            <xdr:cNvPr id="16023" name="Check Box 663" hidden="1">
              <a:extLst>
                <a:ext uri="{63B3BB69-23CF-44E3-9099-C40C66FF867C}">
                  <a14:compatExt spid="_x0000_s16023"/>
                </a:ext>
                <a:ext uri="{FF2B5EF4-FFF2-40B4-BE49-F238E27FC236}">
                  <a16:creationId xmlns:a16="http://schemas.microsoft.com/office/drawing/2014/main" id="{00000000-0008-0000-1100-00009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2236</xdr:row>
          <xdr:rowOff>0</xdr:rowOff>
        </xdr:from>
        <xdr:to>
          <xdr:col>22</xdr:col>
          <xdr:colOff>180975</xdr:colOff>
          <xdr:row>2236</xdr:row>
          <xdr:rowOff>180975</xdr:rowOff>
        </xdr:to>
        <xdr:sp macro="" textlink="">
          <xdr:nvSpPr>
            <xdr:cNvPr id="16024" name="Check Box 664" hidden="1">
              <a:extLst>
                <a:ext uri="{63B3BB69-23CF-44E3-9099-C40C66FF867C}">
                  <a14:compatExt spid="_x0000_s16024"/>
                </a:ext>
                <a:ext uri="{FF2B5EF4-FFF2-40B4-BE49-F238E27FC236}">
                  <a16:creationId xmlns:a16="http://schemas.microsoft.com/office/drawing/2014/main" id="{00000000-0008-0000-1100-00009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2257</xdr:row>
          <xdr:rowOff>0</xdr:rowOff>
        </xdr:from>
        <xdr:to>
          <xdr:col>22</xdr:col>
          <xdr:colOff>180975</xdr:colOff>
          <xdr:row>2257</xdr:row>
          <xdr:rowOff>180975</xdr:rowOff>
        </xdr:to>
        <xdr:sp macro="" textlink="">
          <xdr:nvSpPr>
            <xdr:cNvPr id="16086" name="Check Box 726" hidden="1">
              <a:extLst>
                <a:ext uri="{63B3BB69-23CF-44E3-9099-C40C66FF867C}">
                  <a14:compatExt spid="_x0000_s16086"/>
                </a:ext>
                <a:ext uri="{FF2B5EF4-FFF2-40B4-BE49-F238E27FC236}">
                  <a16:creationId xmlns:a16="http://schemas.microsoft.com/office/drawing/2014/main" id="{00000000-0008-0000-1100-0000D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2258</xdr:row>
          <xdr:rowOff>0</xdr:rowOff>
        </xdr:from>
        <xdr:to>
          <xdr:col>22</xdr:col>
          <xdr:colOff>180975</xdr:colOff>
          <xdr:row>2258</xdr:row>
          <xdr:rowOff>180975</xdr:rowOff>
        </xdr:to>
        <xdr:sp macro="" textlink="">
          <xdr:nvSpPr>
            <xdr:cNvPr id="16087" name="Check Box 727" hidden="1">
              <a:extLst>
                <a:ext uri="{63B3BB69-23CF-44E3-9099-C40C66FF867C}">
                  <a14:compatExt spid="_x0000_s16087"/>
                </a:ext>
                <a:ext uri="{FF2B5EF4-FFF2-40B4-BE49-F238E27FC236}">
                  <a16:creationId xmlns:a16="http://schemas.microsoft.com/office/drawing/2014/main" id="{00000000-0008-0000-1100-0000D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2259</xdr:row>
          <xdr:rowOff>0</xdr:rowOff>
        </xdr:from>
        <xdr:to>
          <xdr:col>22</xdr:col>
          <xdr:colOff>180975</xdr:colOff>
          <xdr:row>2259</xdr:row>
          <xdr:rowOff>180975</xdr:rowOff>
        </xdr:to>
        <xdr:sp macro="" textlink="">
          <xdr:nvSpPr>
            <xdr:cNvPr id="16088" name="Check Box 728" hidden="1">
              <a:extLst>
                <a:ext uri="{63B3BB69-23CF-44E3-9099-C40C66FF867C}">
                  <a14:compatExt spid="_x0000_s16088"/>
                </a:ext>
                <a:ext uri="{FF2B5EF4-FFF2-40B4-BE49-F238E27FC236}">
                  <a16:creationId xmlns:a16="http://schemas.microsoft.com/office/drawing/2014/main" id="{00000000-0008-0000-1100-0000D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2263</xdr:row>
          <xdr:rowOff>0</xdr:rowOff>
        </xdr:from>
        <xdr:to>
          <xdr:col>22</xdr:col>
          <xdr:colOff>180975</xdr:colOff>
          <xdr:row>2263</xdr:row>
          <xdr:rowOff>180975</xdr:rowOff>
        </xdr:to>
        <xdr:sp macro="" textlink="">
          <xdr:nvSpPr>
            <xdr:cNvPr id="16089" name="Check Box 729" hidden="1">
              <a:extLst>
                <a:ext uri="{63B3BB69-23CF-44E3-9099-C40C66FF867C}">
                  <a14:compatExt spid="_x0000_s16089"/>
                </a:ext>
                <a:ext uri="{FF2B5EF4-FFF2-40B4-BE49-F238E27FC236}">
                  <a16:creationId xmlns:a16="http://schemas.microsoft.com/office/drawing/2014/main" id="{00000000-0008-0000-1100-0000D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2264</xdr:row>
          <xdr:rowOff>0</xdr:rowOff>
        </xdr:from>
        <xdr:to>
          <xdr:col>22</xdr:col>
          <xdr:colOff>180975</xdr:colOff>
          <xdr:row>2264</xdr:row>
          <xdr:rowOff>180975</xdr:rowOff>
        </xdr:to>
        <xdr:sp macro="" textlink="">
          <xdr:nvSpPr>
            <xdr:cNvPr id="16090" name="Check Box 730" hidden="1">
              <a:extLst>
                <a:ext uri="{63B3BB69-23CF-44E3-9099-C40C66FF867C}">
                  <a14:compatExt spid="_x0000_s16090"/>
                </a:ext>
                <a:ext uri="{FF2B5EF4-FFF2-40B4-BE49-F238E27FC236}">
                  <a16:creationId xmlns:a16="http://schemas.microsoft.com/office/drawing/2014/main" id="{00000000-0008-0000-1100-0000D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2265</xdr:row>
          <xdr:rowOff>0</xdr:rowOff>
        </xdr:from>
        <xdr:to>
          <xdr:col>22</xdr:col>
          <xdr:colOff>180975</xdr:colOff>
          <xdr:row>2265</xdr:row>
          <xdr:rowOff>180975</xdr:rowOff>
        </xdr:to>
        <xdr:sp macro="" textlink="">
          <xdr:nvSpPr>
            <xdr:cNvPr id="16091" name="Check Box 731" hidden="1">
              <a:extLst>
                <a:ext uri="{63B3BB69-23CF-44E3-9099-C40C66FF867C}">
                  <a14:compatExt spid="_x0000_s16091"/>
                </a:ext>
                <a:ext uri="{FF2B5EF4-FFF2-40B4-BE49-F238E27FC236}">
                  <a16:creationId xmlns:a16="http://schemas.microsoft.com/office/drawing/2014/main" id="{00000000-0008-0000-1100-0000D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2267</xdr:row>
          <xdr:rowOff>0</xdr:rowOff>
        </xdr:from>
        <xdr:to>
          <xdr:col>22</xdr:col>
          <xdr:colOff>180975</xdr:colOff>
          <xdr:row>2267</xdr:row>
          <xdr:rowOff>180975</xdr:rowOff>
        </xdr:to>
        <xdr:sp macro="" textlink="">
          <xdr:nvSpPr>
            <xdr:cNvPr id="16092" name="Check Box 732" hidden="1">
              <a:extLst>
                <a:ext uri="{63B3BB69-23CF-44E3-9099-C40C66FF867C}">
                  <a14:compatExt spid="_x0000_s16092"/>
                </a:ext>
                <a:ext uri="{FF2B5EF4-FFF2-40B4-BE49-F238E27FC236}">
                  <a16:creationId xmlns:a16="http://schemas.microsoft.com/office/drawing/2014/main" id="{00000000-0008-0000-1100-0000D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2269</xdr:row>
          <xdr:rowOff>0</xdr:rowOff>
        </xdr:from>
        <xdr:to>
          <xdr:col>22</xdr:col>
          <xdr:colOff>180975</xdr:colOff>
          <xdr:row>2269</xdr:row>
          <xdr:rowOff>180975</xdr:rowOff>
        </xdr:to>
        <xdr:sp macro="" textlink="">
          <xdr:nvSpPr>
            <xdr:cNvPr id="16093" name="Check Box 733" hidden="1">
              <a:extLst>
                <a:ext uri="{63B3BB69-23CF-44E3-9099-C40C66FF867C}">
                  <a14:compatExt spid="_x0000_s16093"/>
                </a:ext>
                <a:ext uri="{FF2B5EF4-FFF2-40B4-BE49-F238E27FC236}">
                  <a16:creationId xmlns:a16="http://schemas.microsoft.com/office/drawing/2014/main" id="{00000000-0008-0000-1100-0000D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2270</xdr:row>
          <xdr:rowOff>0</xdr:rowOff>
        </xdr:from>
        <xdr:to>
          <xdr:col>22</xdr:col>
          <xdr:colOff>180975</xdr:colOff>
          <xdr:row>2270</xdr:row>
          <xdr:rowOff>180975</xdr:rowOff>
        </xdr:to>
        <xdr:sp macro="" textlink="">
          <xdr:nvSpPr>
            <xdr:cNvPr id="16094" name="Check Box 734" hidden="1">
              <a:extLst>
                <a:ext uri="{63B3BB69-23CF-44E3-9099-C40C66FF867C}">
                  <a14:compatExt spid="_x0000_s16094"/>
                </a:ext>
                <a:ext uri="{FF2B5EF4-FFF2-40B4-BE49-F238E27FC236}">
                  <a16:creationId xmlns:a16="http://schemas.microsoft.com/office/drawing/2014/main" id="{00000000-0008-0000-1100-0000D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2272</xdr:row>
          <xdr:rowOff>0</xdr:rowOff>
        </xdr:from>
        <xdr:to>
          <xdr:col>22</xdr:col>
          <xdr:colOff>180975</xdr:colOff>
          <xdr:row>2272</xdr:row>
          <xdr:rowOff>180975</xdr:rowOff>
        </xdr:to>
        <xdr:sp macro="" textlink="">
          <xdr:nvSpPr>
            <xdr:cNvPr id="16095" name="Check Box 735" hidden="1">
              <a:extLst>
                <a:ext uri="{63B3BB69-23CF-44E3-9099-C40C66FF867C}">
                  <a14:compatExt spid="_x0000_s16095"/>
                </a:ext>
                <a:ext uri="{FF2B5EF4-FFF2-40B4-BE49-F238E27FC236}">
                  <a16:creationId xmlns:a16="http://schemas.microsoft.com/office/drawing/2014/main" id="{00000000-0008-0000-1100-0000D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2273</xdr:row>
          <xdr:rowOff>0</xdr:rowOff>
        </xdr:from>
        <xdr:to>
          <xdr:col>22</xdr:col>
          <xdr:colOff>180975</xdr:colOff>
          <xdr:row>2273</xdr:row>
          <xdr:rowOff>180975</xdr:rowOff>
        </xdr:to>
        <xdr:sp macro="" textlink="">
          <xdr:nvSpPr>
            <xdr:cNvPr id="16096" name="Check Box 736" hidden="1">
              <a:extLst>
                <a:ext uri="{63B3BB69-23CF-44E3-9099-C40C66FF867C}">
                  <a14:compatExt spid="_x0000_s16096"/>
                </a:ext>
                <a:ext uri="{FF2B5EF4-FFF2-40B4-BE49-F238E27FC236}">
                  <a16:creationId xmlns:a16="http://schemas.microsoft.com/office/drawing/2014/main" id="{00000000-0008-0000-1100-0000E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2274</xdr:row>
          <xdr:rowOff>0</xdr:rowOff>
        </xdr:from>
        <xdr:to>
          <xdr:col>22</xdr:col>
          <xdr:colOff>180975</xdr:colOff>
          <xdr:row>2274</xdr:row>
          <xdr:rowOff>180975</xdr:rowOff>
        </xdr:to>
        <xdr:sp macro="" textlink="">
          <xdr:nvSpPr>
            <xdr:cNvPr id="16097" name="Check Box 737" hidden="1">
              <a:extLst>
                <a:ext uri="{63B3BB69-23CF-44E3-9099-C40C66FF867C}">
                  <a14:compatExt spid="_x0000_s16097"/>
                </a:ext>
                <a:ext uri="{FF2B5EF4-FFF2-40B4-BE49-F238E27FC236}">
                  <a16:creationId xmlns:a16="http://schemas.microsoft.com/office/drawing/2014/main" id="{00000000-0008-0000-1100-0000E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2280</xdr:row>
          <xdr:rowOff>0</xdr:rowOff>
        </xdr:from>
        <xdr:to>
          <xdr:col>22</xdr:col>
          <xdr:colOff>180975</xdr:colOff>
          <xdr:row>2280</xdr:row>
          <xdr:rowOff>180975</xdr:rowOff>
        </xdr:to>
        <xdr:sp macro="" textlink="">
          <xdr:nvSpPr>
            <xdr:cNvPr id="16098" name="Check Box 738" hidden="1">
              <a:extLst>
                <a:ext uri="{63B3BB69-23CF-44E3-9099-C40C66FF867C}">
                  <a14:compatExt spid="_x0000_s16098"/>
                </a:ext>
                <a:ext uri="{FF2B5EF4-FFF2-40B4-BE49-F238E27FC236}">
                  <a16:creationId xmlns:a16="http://schemas.microsoft.com/office/drawing/2014/main" id="{00000000-0008-0000-1100-0000E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2284</xdr:row>
          <xdr:rowOff>0</xdr:rowOff>
        </xdr:from>
        <xdr:to>
          <xdr:col>22</xdr:col>
          <xdr:colOff>180975</xdr:colOff>
          <xdr:row>2284</xdr:row>
          <xdr:rowOff>180975</xdr:rowOff>
        </xdr:to>
        <xdr:sp macro="" textlink="">
          <xdr:nvSpPr>
            <xdr:cNvPr id="16099" name="Check Box 739" hidden="1">
              <a:extLst>
                <a:ext uri="{63B3BB69-23CF-44E3-9099-C40C66FF867C}">
                  <a14:compatExt spid="_x0000_s16099"/>
                </a:ext>
                <a:ext uri="{FF2B5EF4-FFF2-40B4-BE49-F238E27FC236}">
                  <a16:creationId xmlns:a16="http://schemas.microsoft.com/office/drawing/2014/main" id="{00000000-0008-0000-1100-0000E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2286</xdr:row>
          <xdr:rowOff>0</xdr:rowOff>
        </xdr:from>
        <xdr:to>
          <xdr:col>22</xdr:col>
          <xdr:colOff>180975</xdr:colOff>
          <xdr:row>2286</xdr:row>
          <xdr:rowOff>180975</xdr:rowOff>
        </xdr:to>
        <xdr:sp macro="" textlink="">
          <xdr:nvSpPr>
            <xdr:cNvPr id="16100" name="Check Box 740" hidden="1">
              <a:extLst>
                <a:ext uri="{63B3BB69-23CF-44E3-9099-C40C66FF867C}">
                  <a14:compatExt spid="_x0000_s16100"/>
                </a:ext>
                <a:ext uri="{FF2B5EF4-FFF2-40B4-BE49-F238E27FC236}">
                  <a16:creationId xmlns:a16="http://schemas.microsoft.com/office/drawing/2014/main" id="{00000000-0008-0000-1100-0000E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2288</xdr:row>
          <xdr:rowOff>0</xdr:rowOff>
        </xdr:from>
        <xdr:to>
          <xdr:col>22</xdr:col>
          <xdr:colOff>180975</xdr:colOff>
          <xdr:row>2288</xdr:row>
          <xdr:rowOff>180975</xdr:rowOff>
        </xdr:to>
        <xdr:sp macro="" textlink="">
          <xdr:nvSpPr>
            <xdr:cNvPr id="16101" name="Check Box 741" hidden="1">
              <a:extLst>
                <a:ext uri="{63B3BB69-23CF-44E3-9099-C40C66FF867C}">
                  <a14:compatExt spid="_x0000_s16101"/>
                </a:ext>
                <a:ext uri="{FF2B5EF4-FFF2-40B4-BE49-F238E27FC236}">
                  <a16:creationId xmlns:a16="http://schemas.microsoft.com/office/drawing/2014/main" id="{00000000-0008-0000-1100-0000E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2289</xdr:row>
          <xdr:rowOff>0</xdr:rowOff>
        </xdr:from>
        <xdr:to>
          <xdr:col>22</xdr:col>
          <xdr:colOff>180975</xdr:colOff>
          <xdr:row>2289</xdr:row>
          <xdr:rowOff>180975</xdr:rowOff>
        </xdr:to>
        <xdr:sp macro="" textlink="">
          <xdr:nvSpPr>
            <xdr:cNvPr id="16102" name="Check Box 742" hidden="1">
              <a:extLst>
                <a:ext uri="{63B3BB69-23CF-44E3-9099-C40C66FF867C}">
                  <a14:compatExt spid="_x0000_s16102"/>
                </a:ext>
                <a:ext uri="{FF2B5EF4-FFF2-40B4-BE49-F238E27FC236}">
                  <a16:creationId xmlns:a16="http://schemas.microsoft.com/office/drawing/2014/main" id="{00000000-0008-0000-1100-0000E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2291</xdr:row>
          <xdr:rowOff>0</xdr:rowOff>
        </xdr:from>
        <xdr:to>
          <xdr:col>22</xdr:col>
          <xdr:colOff>180975</xdr:colOff>
          <xdr:row>2291</xdr:row>
          <xdr:rowOff>180975</xdr:rowOff>
        </xdr:to>
        <xdr:sp macro="" textlink="">
          <xdr:nvSpPr>
            <xdr:cNvPr id="16103" name="Check Box 743" hidden="1">
              <a:extLst>
                <a:ext uri="{63B3BB69-23CF-44E3-9099-C40C66FF867C}">
                  <a14:compatExt spid="_x0000_s16103"/>
                </a:ext>
                <a:ext uri="{FF2B5EF4-FFF2-40B4-BE49-F238E27FC236}">
                  <a16:creationId xmlns:a16="http://schemas.microsoft.com/office/drawing/2014/main" id="{00000000-0008-0000-1100-0000E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2293</xdr:row>
          <xdr:rowOff>0</xdr:rowOff>
        </xdr:from>
        <xdr:to>
          <xdr:col>22</xdr:col>
          <xdr:colOff>180975</xdr:colOff>
          <xdr:row>2293</xdr:row>
          <xdr:rowOff>180975</xdr:rowOff>
        </xdr:to>
        <xdr:sp macro="" textlink="">
          <xdr:nvSpPr>
            <xdr:cNvPr id="16104" name="Check Box 744" hidden="1">
              <a:extLst>
                <a:ext uri="{63B3BB69-23CF-44E3-9099-C40C66FF867C}">
                  <a14:compatExt spid="_x0000_s16104"/>
                </a:ext>
                <a:ext uri="{FF2B5EF4-FFF2-40B4-BE49-F238E27FC236}">
                  <a16:creationId xmlns:a16="http://schemas.microsoft.com/office/drawing/2014/main" id="{00000000-0008-0000-1100-0000E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2294</xdr:row>
          <xdr:rowOff>0</xdr:rowOff>
        </xdr:from>
        <xdr:to>
          <xdr:col>22</xdr:col>
          <xdr:colOff>180975</xdr:colOff>
          <xdr:row>2294</xdr:row>
          <xdr:rowOff>180975</xdr:rowOff>
        </xdr:to>
        <xdr:sp macro="" textlink="">
          <xdr:nvSpPr>
            <xdr:cNvPr id="16105" name="Check Box 745" hidden="1">
              <a:extLst>
                <a:ext uri="{63B3BB69-23CF-44E3-9099-C40C66FF867C}">
                  <a14:compatExt spid="_x0000_s16105"/>
                </a:ext>
                <a:ext uri="{FF2B5EF4-FFF2-40B4-BE49-F238E27FC236}">
                  <a16:creationId xmlns:a16="http://schemas.microsoft.com/office/drawing/2014/main" id="{00000000-0008-0000-1100-0000E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2296</xdr:row>
          <xdr:rowOff>0</xdr:rowOff>
        </xdr:from>
        <xdr:to>
          <xdr:col>22</xdr:col>
          <xdr:colOff>180975</xdr:colOff>
          <xdr:row>2296</xdr:row>
          <xdr:rowOff>180975</xdr:rowOff>
        </xdr:to>
        <xdr:sp macro="" textlink="">
          <xdr:nvSpPr>
            <xdr:cNvPr id="16106" name="Check Box 746" hidden="1">
              <a:extLst>
                <a:ext uri="{63B3BB69-23CF-44E3-9099-C40C66FF867C}">
                  <a14:compatExt spid="_x0000_s16106"/>
                </a:ext>
                <a:ext uri="{FF2B5EF4-FFF2-40B4-BE49-F238E27FC236}">
                  <a16:creationId xmlns:a16="http://schemas.microsoft.com/office/drawing/2014/main" id="{00000000-0008-0000-1100-0000E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2298</xdr:row>
          <xdr:rowOff>0</xdr:rowOff>
        </xdr:from>
        <xdr:to>
          <xdr:col>22</xdr:col>
          <xdr:colOff>180975</xdr:colOff>
          <xdr:row>2298</xdr:row>
          <xdr:rowOff>180975</xdr:rowOff>
        </xdr:to>
        <xdr:sp macro="" textlink="">
          <xdr:nvSpPr>
            <xdr:cNvPr id="16107" name="Check Box 747" hidden="1">
              <a:extLst>
                <a:ext uri="{63B3BB69-23CF-44E3-9099-C40C66FF867C}">
                  <a14:compatExt spid="_x0000_s16107"/>
                </a:ext>
                <a:ext uri="{FF2B5EF4-FFF2-40B4-BE49-F238E27FC236}">
                  <a16:creationId xmlns:a16="http://schemas.microsoft.com/office/drawing/2014/main" id="{00000000-0008-0000-1100-0000E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2300</xdr:row>
          <xdr:rowOff>0</xdr:rowOff>
        </xdr:from>
        <xdr:to>
          <xdr:col>22</xdr:col>
          <xdr:colOff>180975</xdr:colOff>
          <xdr:row>2300</xdr:row>
          <xdr:rowOff>180975</xdr:rowOff>
        </xdr:to>
        <xdr:sp macro="" textlink="">
          <xdr:nvSpPr>
            <xdr:cNvPr id="16108" name="Check Box 748" hidden="1">
              <a:extLst>
                <a:ext uri="{63B3BB69-23CF-44E3-9099-C40C66FF867C}">
                  <a14:compatExt spid="_x0000_s16108"/>
                </a:ext>
                <a:ext uri="{FF2B5EF4-FFF2-40B4-BE49-F238E27FC236}">
                  <a16:creationId xmlns:a16="http://schemas.microsoft.com/office/drawing/2014/main" id="{00000000-0008-0000-1100-0000E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2301</xdr:row>
          <xdr:rowOff>0</xdr:rowOff>
        </xdr:from>
        <xdr:to>
          <xdr:col>22</xdr:col>
          <xdr:colOff>180975</xdr:colOff>
          <xdr:row>2301</xdr:row>
          <xdr:rowOff>180975</xdr:rowOff>
        </xdr:to>
        <xdr:sp macro="" textlink="">
          <xdr:nvSpPr>
            <xdr:cNvPr id="16109" name="Check Box 749" hidden="1">
              <a:extLst>
                <a:ext uri="{63B3BB69-23CF-44E3-9099-C40C66FF867C}">
                  <a14:compatExt spid="_x0000_s16109"/>
                </a:ext>
                <a:ext uri="{FF2B5EF4-FFF2-40B4-BE49-F238E27FC236}">
                  <a16:creationId xmlns:a16="http://schemas.microsoft.com/office/drawing/2014/main" id="{00000000-0008-0000-1100-0000E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2302</xdr:row>
          <xdr:rowOff>0</xdr:rowOff>
        </xdr:from>
        <xdr:to>
          <xdr:col>22</xdr:col>
          <xdr:colOff>180975</xdr:colOff>
          <xdr:row>2302</xdr:row>
          <xdr:rowOff>180975</xdr:rowOff>
        </xdr:to>
        <xdr:sp macro="" textlink="">
          <xdr:nvSpPr>
            <xdr:cNvPr id="16110" name="Check Box 750" hidden="1">
              <a:extLst>
                <a:ext uri="{63B3BB69-23CF-44E3-9099-C40C66FF867C}">
                  <a14:compatExt spid="_x0000_s16110"/>
                </a:ext>
                <a:ext uri="{FF2B5EF4-FFF2-40B4-BE49-F238E27FC236}">
                  <a16:creationId xmlns:a16="http://schemas.microsoft.com/office/drawing/2014/main" id="{00000000-0008-0000-1100-0000E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2324</xdr:row>
          <xdr:rowOff>0</xdr:rowOff>
        </xdr:from>
        <xdr:to>
          <xdr:col>22</xdr:col>
          <xdr:colOff>180975</xdr:colOff>
          <xdr:row>2324</xdr:row>
          <xdr:rowOff>180975</xdr:rowOff>
        </xdr:to>
        <xdr:sp macro="" textlink="">
          <xdr:nvSpPr>
            <xdr:cNvPr id="16111" name="Check Box 751" hidden="1">
              <a:extLst>
                <a:ext uri="{63B3BB69-23CF-44E3-9099-C40C66FF867C}">
                  <a14:compatExt spid="_x0000_s16111"/>
                </a:ext>
                <a:ext uri="{FF2B5EF4-FFF2-40B4-BE49-F238E27FC236}">
                  <a16:creationId xmlns:a16="http://schemas.microsoft.com/office/drawing/2014/main" id="{00000000-0008-0000-1100-0000E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2327</xdr:row>
          <xdr:rowOff>0</xdr:rowOff>
        </xdr:from>
        <xdr:to>
          <xdr:col>22</xdr:col>
          <xdr:colOff>180975</xdr:colOff>
          <xdr:row>2327</xdr:row>
          <xdr:rowOff>180975</xdr:rowOff>
        </xdr:to>
        <xdr:sp macro="" textlink="">
          <xdr:nvSpPr>
            <xdr:cNvPr id="16112" name="Check Box 752" hidden="1">
              <a:extLst>
                <a:ext uri="{63B3BB69-23CF-44E3-9099-C40C66FF867C}">
                  <a14:compatExt spid="_x0000_s16112"/>
                </a:ext>
                <a:ext uri="{FF2B5EF4-FFF2-40B4-BE49-F238E27FC236}">
                  <a16:creationId xmlns:a16="http://schemas.microsoft.com/office/drawing/2014/main" id="{00000000-0008-0000-1100-0000F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2330</xdr:row>
          <xdr:rowOff>0</xdr:rowOff>
        </xdr:from>
        <xdr:to>
          <xdr:col>22</xdr:col>
          <xdr:colOff>180975</xdr:colOff>
          <xdr:row>2330</xdr:row>
          <xdr:rowOff>180975</xdr:rowOff>
        </xdr:to>
        <xdr:sp macro="" textlink="">
          <xdr:nvSpPr>
            <xdr:cNvPr id="16113" name="Check Box 753" hidden="1">
              <a:extLst>
                <a:ext uri="{63B3BB69-23CF-44E3-9099-C40C66FF867C}">
                  <a14:compatExt spid="_x0000_s16113"/>
                </a:ext>
                <a:ext uri="{FF2B5EF4-FFF2-40B4-BE49-F238E27FC236}">
                  <a16:creationId xmlns:a16="http://schemas.microsoft.com/office/drawing/2014/main" id="{00000000-0008-0000-1100-0000F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2332</xdr:row>
          <xdr:rowOff>0</xdr:rowOff>
        </xdr:from>
        <xdr:to>
          <xdr:col>22</xdr:col>
          <xdr:colOff>180975</xdr:colOff>
          <xdr:row>2332</xdr:row>
          <xdr:rowOff>180975</xdr:rowOff>
        </xdr:to>
        <xdr:sp macro="" textlink="">
          <xdr:nvSpPr>
            <xdr:cNvPr id="16114" name="Check Box 754" hidden="1">
              <a:extLst>
                <a:ext uri="{63B3BB69-23CF-44E3-9099-C40C66FF867C}">
                  <a14:compatExt spid="_x0000_s16114"/>
                </a:ext>
                <a:ext uri="{FF2B5EF4-FFF2-40B4-BE49-F238E27FC236}">
                  <a16:creationId xmlns:a16="http://schemas.microsoft.com/office/drawing/2014/main" id="{00000000-0008-0000-1100-0000F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2333</xdr:row>
          <xdr:rowOff>0</xdr:rowOff>
        </xdr:from>
        <xdr:to>
          <xdr:col>22</xdr:col>
          <xdr:colOff>180975</xdr:colOff>
          <xdr:row>2333</xdr:row>
          <xdr:rowOff>180975</xdr:rowOff>
        </xdr:to>
        <xdr:sp macro="" textlink="">
          <xdr:nvSpPr>
            <xdr:cNvPr id="16115" name="Check Box 755" hidden="1">
              <a:extLst>
                <a:ext uri="{63B3BB69-23CF-44E3-9099-C40C66FF867C}">
                  <a14:compatExt spid="_x0000_s16115"/>
                </a:ext>
                <a:ext uri="{FF2B5EF4-FFF2-40B4-BE49-F238E27FC236}">
                  <a16:creationId xmlns:a16="http://schemas.microsoft.com/office/drawing/2014/main" id="{00000000-0008-0000-1100-0000F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2335</xdr:row>
          <xdr:rowOff>0</xdr:rowOff>
        </xdr:from>
        <xdr:to>
          <xdr:col>22</xdr:col>
          <xdr:colOff>180975</xdr:colOff>
          <xdr:row>2335</xdr:row>
          <xdr:rowOff>180975</xdr:rowOff>
        </xdr:to>
        <xdr:sp macro="" textlink="">
          <xdr:nvSpPr>
            <xdr:cNvPr id="16116" name="Check Box 756" hidden="1">
              <a:extLst>
                <a:ext uri="{63B3BB69-23CF-44E3-9099-C40C66FF867C}">
                  <a14:compatExt spid="_x0000_s16116"/>
                </a:ext>
                <a:ext uri="{FF2B5EF4-FFF2-40B4-BE49-F238E27FC236}">
                  <a16:creationId xmlns:a16="http://schemas.microsoft.com/office/drawing/2014/main" id="{00000000-0008-0000-1100-0000F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2336</xdr:row>
          <xdr:rowOff>0</xdr:rowOff>
        </xdr:from>
        <xdr:to>
          <xdr:col>22</xdr:col>
          <xdr:colOff>180975</xdr:colOff>
          <xdr:row>2336</xdr:row>
          <xdr:rowOff>180975</xdr:rowOff>
        </xdr:to>
        <xdr:sp macro="" textlink="">
          <xdr:nvSpPr>
            <xdr:cNvPr id="16117" name="Check Box 757" hidden="1">
              <a:extLst>
                <a:ext uri="{63B3BB69-23CF-44E3-9099-C40C66FF867C}">
                  <a14:compatExt spid="_x0000_s16117"/>
                </a:ext>
                <a:ext uri="{FF2B5EF4-FFF2-40B4-BE49-F238E27FC236}">
                  <a16:creationId xmlns:a16="http://schemas.microsoft.com/office/drawing/2014/main" id="{00000000-0008-0000-1100-0000F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2337</xdr:row>
          <xdr:rowOff>0</xdr:rowOff>
        </xdr:from>
        <xdr:to>
          <xdr:col>22</xdr:col>
          <xdr:colOff>180975</xdr:colOff>
          <xdr:row>2337</xdr:row>
          <xdr:rowOff>180975</xdr:rowOff>
        </xdr:to>
        <xdr:sp macro="" textlink="">
          <xdr:nvSpPr>
            <xdr:cNvPr id="16118" name="Check Box 758" hidden="1">
              <a:extLst>
                <a:ext uri="{63B3BB69-23CF-44E3-9099-C40C66FF867C}">
                  <a14:compatExt spid="_x0000_s16118"/>
                </a:ext>
                <a:ext uri="{FF2B5EF4-FFF2-40B4-BE49-F238E27FC236}">
                  <a16:creationId xmlns:a16="http://schemas.microsoft.com/office/drawing/2014/main" id="{00000000-0008-0000-1100-0000F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2343</xdr:row>
          <xdr:rowOff>0</xdr:rowOff>
        </xdr:from>
        <xdr:to>
          <xdr:col>22</xdr:col>
          <xdr:colOff>180975</xdr:colOff>
          <xdr:row>2343</xdr:row>
          <xdr:rowOff>180975</xdr:rowOff>
        </xdr:to>
        <xdr:sp macro="" textlink="">
          <xdr:nvSpPr>
            <xdr:cNvPr id="16119" name="Check Box 759" hidden="1">
              <a:extLst>
                <a:ext uri="{63B3BB69-23CF-44E3-9099-C40C66FF867C}">
                  <a14:compatExt spid="_x0000_s16119"/>
                </a:ext>
                <a:ext uri="{FF2B5EF4-FFF2-40B4-BE49-F238E27FC236}">
                  <a16:creationId xmlns:a16="http://schemas.microsoft.com/office/drawing/2014/main" id="{00000000-0008-0000-1100-0000F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2345</xdr:row>
          <xdr:rowOff>0</xdr:rowOff>
        </xdr:from>
        <xdr:to>
          <xdr:col>22</xdr:col>
          <xdr:colOff>180975</xdr:colOff>
          <xdr:row>2345</xdr:row>
          <xdr:rowOff>180975</xdr:rowOff>
        </xdr:to>
        <xdr:sp macro="" textlink="">
          <xdr:nvSpPr>
            <xdr:cNvPr id="16120" name="Check Box 760" hidden="1">
              <a:extLst>
                <a:ext uri="{63B3BB69-23CF-44E3-9099-C40C66FF867C}">
                  <a14:compatExt spid="_x0000_s16120"/>
                </a:ext>
                <a:ext uri="{FF2B5EF4-FFF2-40B4-BE49-F238E27FC236}">
                  <a16:creationId xmlns:a16="http://schemas.microsoft.com/office/drawing/2014/main" id="{00000000-0008-0000-1100-0000F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2348</xdr:row>
          <xdr:rowOff>0</xdr:rowOff>
        </xdr:from>
        <xdr:to>
          <xdr:col>22</xdr:col>
          <xdr:colOff>180975</xdr:colOff>
          <xdr:row>2348</xdr:row>
          <xdr:rowOff>180975</xdr:rowOff>
        </xdr:to>
        <xdr:sp macro="" textlink="">
          <xdr:nvSpPr>
            <xdr:cNvPr id="16121" name="Check Box 761" hidden="1">
              <a:extLst>
                <a:ext uri="{63B3BB69-23CF-44E3-9099-C40C66FF867C}">
                  <a14:compatExt spid="_x0000_s16121"/>
                </a:ext>
                <a:ext uri="{FF2B5EF4-FFF2-40B4-BE49-F238E27FC236}">
                  <a16:creationId xmlns:a16="http://schemas.microsoft.com/office/drawing/2014/main" id="{00000000-0008-0000-1100-0000F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2350</xdr:row>
          <xdr:rowOff>0</xdr:rowOff>
        </xdr:from>
        <xdr:to>
          <xdr:col>22</xdr:col>
          <xdr:colOff>180975</xdr:colOff>
          <xdr:row>2350</xdr:row>
          <xdr:rowOff>180975</xdr:rowOff>
        </xdr:to>
        <xdr:sp macro="" textlink="">
          <xdr:nvSpPr>
            <xdr:cNvPr id="16122" name="Check Box 762" hidden="1">
              <a:extLst>
                <a:ext uri="{63B3BB69-23CF-44E3-9099-C40C66FF867C}">
                  <a14:compatExt spid="_x0000_s16122"/>
                </a:ext>
                <a:ext uri="{FF2B5EF4-FFF2-40B4-BE49-F238E27FC236}">
                  <a16:creationId xmlns:a16="http://schemas.microsoft.com/office/drawing/2014/main" id="{00000000-0008-0000-1100-0000F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2353</xdr:row>
          <xdr:rowOff>0</xdr:rowOff>
        </xdr:from>
        <xdr:to>
          <xdr:col>22</xdr:col>
          <xdr:colOff>180975</xdr:colOff>
          <xdr:row>2353</xdr:row>
          <xdr:rowOff>180975</xdr:rowOff>
        </xdr:to>
        <xdr:sp macro="" textlink="">
          <xdr:nvSpPr>
            <xdr:cNvPr id="16123" name="Check Box 763" hidden="1">
              <a:extLst>
                <a:ext uri="{63B3BB69-23CF-44E3-9099-C40C66FF867C}">
                  <a14:compatExt spid="_x0000_s16123"/>
                </a:ext>
                <a:ext uri="{FF2B5EF4-FFF2-40B4-BE49-F238E27FC236}">
                  <a16:creationId xmlns:a16="http://schemas.microsoft.com/office/drawing/2014/main" id="{00000000-0008-0000-1100-0000F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2355</xdr:row>
          <xdr:rowOff>0</xdr:rowOff>
        </xdr:from>
        <xdr:to>
          <xdr:col>22</xdr:col>
          <xdr:colOff>180975</xdr:colOff>
          <xdr:row>2355</xdr:row>
          <xdr:rowOff>180975</xdr:rowOff>
        </xdr:to>
        <xdr:sp macro="" textlink="">
          <xdr:nvSpPr>
            <xdr:cNvPr id="16124" name="Check Box 764" hidden="1">
              <a:extLst>
                <a:ext uri="{63B3BB69-23CF-44E3-9099-C40C66FF867C}">
                  <a14:compatExt spid="_x0000_s16124"/>
                </a:ext>
                <a:ext uri="{FF2B5EF4-FFF2-40B4-BE49-F238E27FC236}">
                  <a16:creationId xmlns:a16="http://schemas.microsoft.com/office/drawing/2014/main" id="{00000000-0008-0000-1100-0000F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2356</xdr:row>
          <xdr:rowOff>0</xdr:rowOff>
        </xdr:from>
        <xdr:to>
          <xdr:col>22</xdr:col>
          <xdr:colOff>180975</xdr:colOff>
          <xdr:row>2356</xdr:row>
          <xdr:rowOff>180975</xdr:rowOff>
        </xdr:to>
        <xdr:sp macro="" textlink="">
          <xdr:nvSpPr>
            <xdr:cNvPr id="16125" name="Check Box 765" hidden="1">
              <a:extLst>
                <a:ext uri="{63B3BB69-23CF-44E3-9099-C40C66FF867C}">
                  <a14:compatExt spid="_x0000_s16125"/>
                </a:ext>
                <a:ext uri="{FF2B5EF4-FFF2-40B4-BE49-F238E27FC236}">
                  <a16:creationId xmlns:a16="http://schemas.microsoft.com/office/drawing/2014/main" id="{00000000-0008-0000-1100-0000F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2358</xdr:row>
          <xdr:rowOff>0</xdr:rowOff>
        </xdr:from>
        <xdr:to>
          <xdr:col>22</xdr:col>
          <xdr:colOff>180975</xdr:colOff>
          <xdr:row>2358</xdr:row>
          <xdr:rowOff>180975</xdr:rowOff>
        </xdr:to>
        <xdr:sp macro="" textlink="">
          <xdr:nvSpPr>
            <xdr:cNvPr id="16126" name="Check Box 766" hidden="1">
              <a:extLst>
                <a:ext uri="{63B3BB69-23CF-44E3-9099-C40C66FF867C}">
                  <a14:compatExt spid="_x0000_s16126"/>
                </a:ext>
                <a:ext uri="{FF2B5EF4-FFF2-40B4-BE49-F238E27FC236}">
                  <a16:creationId xmlns:a16="http://schemas.microsoft.com/office/drawing/2014/main" id="{00000000-0008-0000-1100-0000F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2360</xdr:row>
          <xdr:rowOff>0</xdr:rowOff>
        </xdr:from>
        <xdr:to>
          <xdr:col>22</xdr:col>
          <xdr:colOff>180975</xdr:colOff>
          <xdr:row>2360</xdr:row>
          <xdr:rowOff>180975</xdr:rowOff>
        </xdr:to>
        <xdr:sp macro="" textlink="">
          <xdr:nvSpPr>
            <xdr:cNvPr id="16127" name="Check Box 767" hidden="1">
              <a:extLst>
                <a:ext uri="{63B3BB69-23CF-44E3-9099-C40C66FF867C}">
                  <a14:compatExt spid="_x0000_s16127"/>
                </a:ext>
                <a:ext uri="{FF2B5EF4-FFF2-40B4-BE49-F238E27FC236}">
                  <a16:creationId xmlns:a16="http://schemas.microsoft.com/office/drawing/2014/main" id="{00000000-0008-0000-1100-0000F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2361</xdr:row>
          <xdr:rowOff>0</xdr:rowOff>
        </xdr:from>
        <xdr:to>
          <xdr:col>22</xdr:col>
          <xdr:colOff>180975</xdr:colOff>
          <xdr:row>2361</xdr:row>
          <xdr:rowOff>180975</xdr:rowOff>
        </xdr:to>
        <xdr:sp macro="" textlink="">
          <xdr:nvSpPr>
            <xdr:cNvPr id="16128" name="Check Box 768" hidden="1">
              <a:extLst>
                <a:ext uri="{63B3BB69-23CF-44E3-9099-C40C66FF867C}">
                  <a14:compatExt spid="_x0000_s16128"/>
                </a:ext>
                <a:ext uri="{FF2B5EF4-FFF2-40B4-BE49-F238E27FC236}">
                  <a16:creationId xmlns:a16="http://schemas.microsoft.com/office/drawing/2014/main" id="{00000000-0008-0000-1100-00000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2364</xdr:row>
          <xdr:rowOff>0</xdr:rowOff>
        </xdr:from>
        <xdr:to>
          <xdr:col>22</xdr:col>
          <xdr:colOff>180975</xdr:colOff>
          <xdr:row>2364</xdr:row>
          <xdr:rowOff>180975</xdr:rowOff>
        </xdr:to>
        <xdr:sp macro="" textlink="">
          <xdr:nvSpPr>
            <xdr:cNvPr id="16129" name="Check Box 769" hidden="1">
              <a:extLst>
                <a:ext uri="{63B3BB69-23CF-44E3-9099-C40C66FF867C}">
                  <a14:compatExt spid="_x0000_s16129"/>
                </a:ext>
                <a:ext uri="{FF2B5EF4-FFF2-40B4-BE49-F238E27FC236}">
                  <a16:creationId xmlns:a16="http://schemas.microsoft.com/office/drawing/2014/main" id="{00000000-0008-0000-1100-00000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2370</xdr:row>
          <xdr:rowOff>0</xdr:rowOff>
        </xdr:from>
        <xdr:to>
          <xdr:col>22</xdr:col>
          <xdr:colOff>180975</xdr:colOff>
          <xdr:row>2370</xdr:row>
          <xdr:rowOff>180975</xdr:rowOff>
        </xdr:to>
        <xdr:sp macro="" textlink="">
          <xdr:nvSpPr>
            <xdr:cNvPr id="16130" name="Check Box 770" hidden="1">
              <a:extLst>
                <a:ext uri="{63B3BB69-23CF-44E3-9099-C40C66FF867C}">
                  <a14:compatExt spid="_x0000_s16130"/>
                </a:ext>
                <a:ext uri="{FF2B5EF4-FFF2-40B4-BE49-F238E27FC236}">
                  <a16:creationId xmlns:a16="http://schemas.microsoft.com/office/drawing/2014/main" id="{00000000-0008-0000-1100-00000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2372</xdr:row>
          <xdr:rowOff>0</xdr:rowOff>
        </xdr:from>
        <xdr:to>
          <xdr:col>22</xdr:col>
          <xdr:colOff>180975</xdr:colOff>
          <xdr:row>2372</xdr:row>
          <xdr:rowOff>180975</xdr:rowOff>
        </xdr:to>
        <xdr:sp macro="" textlink="">
          <xdr:nvSpPr>
            <xdr:cNvPr id="16131" name="Check Box 771" hidden="1">
              <a:extLst>
                <a:ext uri="{63B3BB69-23CF-44E3-9099-C40C66FF867C}">
                  <a14:compatExt spid="_x0000_s16131"/>
                </a:ext>
                <a:ext uri="{FF2B5EF4-FFF2-40B4-BE49-F238E27FC236}">
                  <a16:creationId xmlns:a16="http://schemas.microsoft.com/office/drawing/2014/main" id="{00000000-0008-0000-1100-00000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2376</xdr:row>
          <xdr:rowOff>0</xdr:rowOff>
        </xdr:from>
        <xdr:to>
          <xdr:col>22</xdr:col>
          <xdr:colOff>180975</xdr:colOff>
          <xdr:row>2376</xdr:row>
          <xdr:rowOff>180975</xdr:rowOff>
        </xdr:to>
        <xdr:sp macro="" textlink="">
          <xdr:nvSpPr>
            <xdr:cNvPr id="16132" name="Check Box 772" hidden="1">
              <a:extLst>
                <a:ext uri="{63B3BB69-23CF-44E3-9099-C40C66FF867C}">
                  <a14:compatExt spid="_x0000_s16132"/>
                </a:ext>
                <a:ext uri="{FF2B5EF4-FFF2-40B4-BE49-F238E27FC236}">
                  <a16:creationId xmlns:a16="http://schemas.microsoft.com/office/drawing/2014/main" id="{00000000-0008-0000-1100-00000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2383</xdr:row>
          <xdr:rowOff>0</xdr:rowOff>
        </xdr:from>
        <xdr:to>
          <xdr:col>22</xdr:col>
          <xdr:colOff>180975</xdr:colOff>
          <xdr:row>2383</xdr:row>
          <xdr:rowOff>180975</xdr:rowOff>
        </xdr:to>
        <xdr:sp macro="" textlink="">
          <xdr:nvSpPr>
            <xdr:cNvPr id="16133" name="Check Box 773" hidden="1">
              <a:extLst>
                <a:ext uri="{63B3BB69-23CF-44E3-9099-C40C66FF867C}">
                  <a14:compatExt spid="_x0000_s16133"/>
                </a:ext>
                <a:ext uri="{FF2B5EF4-FFF2-40B4-BE49-F238E27FC236}">
                  <a16:creationId xmlns:a16="http://schemas.microsoft.com/office/drawing/2014/main" id="{00000000-0008-0000-1100-00000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2385</xdr:row>
          <xdr:rowOff>0</xdr:rowOff>
        </xdr:from>
        <xdr:to>
          <xdr:col>22</xdr:col>
          <xdr:colOff>180975</xdr:colOff>
          <xdr:row>2385</xdr:row>
          <xdr:rowOff>180975</xdr:rowOff>
        </xdr:to>
        <xdr:sp macro="" textlink="">
          <xdr:nvSpPr>
            <xdr:cNvPr id="16134" name="Check Box 774" hidden="1">
              <a:extLst>
                <a:ext uri="{63B3BB69-23CF-44E3-9099-C40C66FF867C}">
                  <a14:compatExt spid="_x0000_s16134"/>
                </a:ext>
                <a:ext uri="{FF2B5EF4-FFF2-40B4-BE49-F238E27FC236}">
                  <a16:creationId xmlns:a16="http://schemas.microsoft.com/office/drawing/2014/main" id="{00000000-0008-0000-1100-00000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2386</xdr:row>
          <xdr:rowOff>0</xdr:rowOff>
        </xdr:from>
        <xdr:to>
          <xdr:col>22</xdr:col>
          <xdr:colOff>180975</xdr:colOff>
          <xdr:row>2386</xdr:row>
          <xdr:rowOff>180975</xdr:rowOff>
        </xdr:to>
        <xdr:sp macro="" textlink="">
          <xdr:nvSpPr>
            <xdr:cNvPr id="16135" name="Check Box 775" hidden="1">
              <a:extLst>
                <a:ext uri="{63B3BB69-23CF-44E3-9099-C40C66FF867C}">
                  <a14:compatExt spid="_x0000_s16135"/>
                </a:ext>
                <a:ext uri="{FF2B5EF4-FFF2-40B4-BE49-F238E27FC236}">
                  <a16:creationId xmlns:a16="http://schemas.microsoft.com/office/drawing/2014/main" id="{00000000-0008-0000-1100-00000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2388</xdr:row>
          <xdr:rowOff>0</xdr:rowOff>
        </xdr:from>
        <xdr:to>
          <xdr:col>22</xdr:col>
          <xdr:colOff>180975</xdr:colOff>
          <xdr:row>2388</xdr:row>
          <xdr:rowOff>180975</xdr:rowOff>
        </xdr:to>
        <xdr:sp macro="" textlink="">
          <xdr:nvSpPr>
            <xdr:cNvPr id="16136" name="Check Box 776" hidden="1">
              <a:extLst>
                <a:ext uri="{63B3BB69-23CF-44E3-9099-C40C66FF867C}">
                  <a14:compatExt spid="_x0000_s16136"/>
                </a:ext>
                <a:ext uri="{FF2B5EF4-FFF2-40B4-BE49-F238E27FC236}">
                  <a16:creationId xmlns:a16="http://schemas.microsoft.com/office/drawing/2014/main" id="{00000000-0008-0000-1100-00000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2389</xdr:row>
          <xdr:rowOff>0</xdr:rowOff>
        </xdr:from>
        <xdr:to>
          <xdr:col>22</xdr:col>
          <xdr:colOff>180975</xdr:colOff>
          <xdr:row>2389</xdr:row>
          <xdr:rowOff>180975</xdr:rowOff>
        </xdr:to>
        <xdr:sp macro="" textlink="">
          <xdr:nvSpPr>
            <xdr:cNvPr id="16137" name="Check Box 777" hidden="1">
              <a:extLst>
                <a:ext uri="{63B3BB69-23CF-44E3-9099-C40C66FF867C}">
                  <a14:compatExt spid="_x0000_s16137"/>
                </a:ext>
                <a:ext uri="{FF2B5EF4-FFF2-40B4-BE49-F238E27FC236}">
                  <a16:creationId xmlns:a16="http://schemas.microsoft.com/office/drawing/2014/main" id="{00000000-0008-0000-1100-00000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2390</xdr:row>
          <xdr:rowOff>0</xdr:rowOff>
        </xdr:from>
        <xdr:to>
          <xdr:col>22</xdr:col>
          <xdr:colOff>180975</xdr:colOff>
          <xdr:row>2390</xdr:row>
          <xdr:rowOff>180975</xdr:rowOff>
        </xdr:to>
        <xdr:sp macro="" textlink="">
          <xdr:nvSpPr>
            <xdr:cNvPr id="16138" name="Check Box 778" hidden="1">
              <a:extLst>
                <a:ext uri="{63B3BB69-23CF-44E3-9099-C40C66FF867C}">
                  <a14:compatExt spid="_x0000_s16138"/>
                </a:ext>
                <a:ext uri="{FF2B5EF4-FFF2-40B4-BE49-F238E27FC236}">
                  <a16:creationId xmlns:a16="http://schemas.microsoft.com/office/drawing/2014/main" id="{00000000-0008-0000-1100-00000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2391</xdr:row>
          <xdr:rowOff>0</xdr:rowOff>
        </xdr:from>
        <xdr:to>
          <xdr:col>22</xdr:col>
          <xdr:colOff>180975</xdr:colOff>
          <xdr:row>2391</xdr:row>
          <xdr:rowOff>180975</xdr:rowOff>
        </xdr:to>
        <xdr:sp macro="" textlink="">
          <xdr:nvSpPr>
            <xdr:cNvPr id="16139" name="Check Box 779" hidden="1">
              <a:extLst>
                <a:ext uri="{63B3BB69-23CF-44E3-9099-C40C66FF867C}">
                  <a14:compatExt spid="_x0000_s16139"/>
                </a:ext>
                <a:ext uri="{FF2B5EF4-FFF2-40B4-BE49-F238E27FC236}">
                  <a16:creationId xmlns:a16="http://schemas.microsoft.com/office/drawing/2014/main" id="{00000000-0008-0000-1100-00000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2394</xdr:row>
          <xdr:rowOff>0</xdr:rowOff>
        </xdr:from>
        <xdr:to>
          <xdr:col>22</xdr:col>
          <xdr:colOff>180975</xdr:colOff>
          <xdr:row>2394</xdr:row>
          <xdr:rowOff>180975</xdr:rowOff>
        </xdr:to>
        <xdr:sp macro="" textlink="">
          <xdr:nvSpPr>
            <xdr:cNvPr id="16140" name="Check Box 780" hidden="1">
              <a:extLst>
                <a:ext uri="{63B3BB69-23CF-44E3-9099-C40C66FF867C}">
                  <a14:compatExt spid="_x0000_s16140"/>
                </a:ext>
                <a:ext uri="{FF2B5EF4-FFF2-40B4-BE49-F238E27FC236}">
                  <a16:creationId xmlns:a16="http://schemas.microsoft.com/office/drawing/2014/main" id="{00000000-0008-0000-1100-00000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2435</xdr:row>
          <xdr:rowOff>0</xdr:rowOff>
        </xdr:from>
        <xdr:to>
          <xdr:col>22</xdr:col>
          <xdr:colOff>180975</xdr:colOff>
          <xdr:row>2435</xdr:row>
          <xdr:rowOff>180975</xdr:rowOff>
        </xdr:to>
        <xdr:sp macro="" textlink="">
          <xdr:nvSpPr>
            <xdr:cNvPr id="16141" name="Check Box 781" hidden="1">
              <a:extLst>
                <a:ext uri="{63B3BB69-23CF-44E3-9099-C40C66FF867C}">
                  <a14:compatExt spid="_x0000_s16141"/>
                </a:ext>
                <a:ext uri="{FF2B5EF4-FFF2-40B4-BE49-F238E27FC236}">
                  <a16:creationId xmlns:a16="http://schemas.microsoft.com/office/drawing/2014/main" id="{00000000-0008-0000-1100-00000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2437</xdr:row>
          <xdr:rowOff>0</xdr:rowOff>
        </xdr:from>
        <xdr:to>
          <xdr:col>22</xdr:col>
          <xdr:colOff>180975</xdr:colOff>
          <xdr:row>2437</xdr:row>
          <xdr:rowOff>180975</xdr:rowOff>
        </xdr:to>
        <xdr:sp macro="" textlink="">
          <xdr:nvSpPr>
            <xdr:cNvPr id="16142" name="Check Box 782" hidden="1">
              <a:extLst>
                <a:ext uri="{63B3BB69-23CF-44E3-9099-C40C66FF867C}">
                  <a14:compatExt spid="_x0000_s16142"/>
                </a:ext>
                <a:ext uri="{FF2B5EF4-FFF2-40B4-BE49-F238E27FC236}">
                  <a16:creationId xmlns:a16="http://schemas.microsoft.com/office/drawing/2014/main" id="{00000000-0008-0000-1100-00000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2440</xdr:row>
          <xdr:rowOff>0</xdr:rowOff>
        </xdr:from>
        <xdr:to>
          <xdr:col>22</xdr:col>
          <xdr:colOff>180975</xdr:colOff>
          <xdr:row>2440</xdr:row>
          <xdr:rowOff>180975</xdr:rowOff>
        </xdr:to>
        <xdr:sp macro="" textlink="">
          <xdr:nvSpPr>
            <xdr:cNvPr id="16143" name="Check Box 783" hidden="1">
              <a:extLst>
                <a:ext uri="{63B3BB69-23CF-44E3-9099-C40C66FF867C}">
                  <a14:compatExt spid="_x0000_s16143"/>
                </a:ext>
                <a:ext uri="{FF2B5EF4-FFF2-40B4-BE49-F238E27FC236}">
                  <a16:creationId xmlns:a16="http://schemas.microsoft.com/office/drawing/2014/main" id="{00000000-0008-0000-1100-00000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2453</xdr:row>
          <xdr:rowOff>0</xdr:rowOff>
        </xdr:from>
        <xdr:to>
          <xdr:col>22</xdr:col>
          <xdr:colOff>180975</xdr:colOff>
          <xdr:row>2453</xdr:row>
          <xdr:rowOff>180975</xdr:rowOff>
        </xdr:to>
        <xdr:sp macro="" textlink="">
          <xdr:nvSpPr>
            <xdr:cNvPr id="16144" name="Check Box 784" hidden="1">
              <a:extLst>
                <a:ext uri="{63B3BB69-23CF-44E3-9099-C40C66FF867C}">
                  <a14:compatExt spid="_x0000_s16144"/>
                </a:ext>
                <a:ext uri="{FF2B5EF4-FFF2-40B4-BE49-F238E27FC236}">
                  <a16:creationId xmlns:a16="http://schemas.microsoft.com/office/drawing/2014/main" id="{00000000-0008-0000-1100-00001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2455</xdr:row>
          <xdr:rowOff>0</xdr:rowOff>
        </xdr:from>
        <xdr:to>
          <xdr:col>22</xdr:col>
          <xdr:colOff>180975</xdr:colOff>
          <xdr:row>2455</xdr:row>
          <xdr:rowOff>180975</xdr:rowOff>
        </xdr:to>
        <xdr:sp macro="" textlink="">
          <xdr:nvSpPr>
            <xdr:cNvPr id="16145" name="Check Box 785" hidden="1">
              <a:extLst>
                <a:ext uri="{63B3BB69-23CF-44E3-9099-C40C66FF867C}">
                  <a14:compatExt spid="_x0000_s16145"/>
                </a:ext>
                <a:ext uri="{FF2B5EF4-FFF2-40B4-BE49-F238E27FC236}">
                  <a16:creationId xmlns:a16="http://schemas.microsoft.com/office/drawing/2014/main" id="{00000000-0008-0000-1100-00001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1920</xdr:row>
          <xdr:rowOff>0</xdr:rowOff>
        </xdr:from>
        <xdr:to>
          <xdr:col>22</xdr:col>
          <xdr:colOff>180975</xdr:colOff>
          <xdr:row>1920</xdr:row>
          <xdr:rowOff>180975</xdr:rowOff>
        </xdr:to>
        <xdr:sp macro="" textlink="">
          <xdr:nvSpPr>
            <xdr:cNvPr id="16148" name="Check Box 788" hidden="1">
              <a:extLst>
                <a:ext uri="{63B3BB69-23CF-44E3-9099-C40C66FF867C}">
                  <a14:compatExt spid="_x0000_s16148"/>
                </a:ext>
                <a:ext uri="{FF2B5EF4-FFF2-40B4-BE49-F238E27FC236}">
                  <a16:creationId xmlns:a16="http://schemas.microsoft.com/office/drawing/2014/main" id="{00000000-0008-0000-1100-00001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1514</xdr:row>
          <xdr:rowOff>0</xdr:rowOff>
        </xdr:from>
        <xdr:to>
          <xdr:col>22</xdr:col>
          <xdr:colOff>180975</xdr:colOff>
          <xdr:row>1514</xdr:row>
          <xdr:rowOff>180975</xdr:rowOff>
        </xdr:to>
        <xdr:sp macro="" textlink="">
          <xdr:nvSpPr>
            <xdr:cNvPr id="16150" name="Check Box 790" hidden="1">
              <a:extLst>
                <a:ext uri="{63B3BB69-23CF-44E3-9099-C40C66FF867C}">
                  <a14:compatExt spid="_x0000_s16150"/>
                </a:ext>
                <a:ext uri="{FF2B5EF4-FFF2-40B4-BE49-F238E27FC236}">
                  <a16:creationId xmlns:a16="http://schemas.microsoft.com/office/drawing/2014/main" id="{00000000-0008-0000-1100-00001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180975</xdr:colOff>
          <xdr:row>49</xdr:row>
          <xdr:rowOff>180975</xdr:rowOff>
        </xdr:to>
        <xdr:sp macro="" textlink="">
          <xdr:nvSpPr>
            <xdr:cNvPr id="16153" name="Check Box 793" hidden="1">
              <a:extLst>
                <a:ext uri="{63B3BB69-23CF-44E3-9099-C40C66FF867C}">
                  <a14:compatExt spid="_x0000_s16153"/>
                </a:ext>
                <a:ext uri="{FF2B5EF4-FFF2-40B4-BE49-F238E27FC236}">
                  <a16:creationId xmlns:a16="http://schemas.microsoft.com/office/drawing/2014/main" id="{00000000-0008-0000-1100-00001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180975</xdr:colOff>
          <xdr:row>51</xdr:row>
          <xdr:rowOff>180975</xdr:rowOff>
        </xdr:to>
        <xdr:sp macro="" textlink="">
          <xdr:nvSpPr>
            <xdr:cNvPr id="16154" name="Check Box 794" hidden="1">
              <a:extLst>
                <a:ext uri="{63B3BB69-23CF-44E3-9099-C40C66FF867C}">
                  <a14:compatExt spid="_x0000_s16154"/>
                </a:ext>
                <a:ext uri="{FF2B5EF4-FFF2-40B4-BE49-F238E27FC236}">
                  <a16:creationId xmlns:a16="http://schemas.microsoft.com/office/drawing/2014/main" id="{00000000-0008-0000-1100-00001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180975</xdr:colOff>
          <xdr:row>54</xdr:row>
          <xdr:rowOff>180975</xdr:rowOff>
        </xdr:to>
        <xdr:sp macro="" textlink="">
          <xdr:nvSpPr>
            <xdr:cNvPr id="16155" name="Check Box 795" hidden="1">
              <a:extLst>
                <a:ext uri="{63B3BB69-23CF-44E3-9099-C40C66FF867C}">
                  <a14:compatExt spid="_x0000_s16155"/>
                </a:ext>
                <a:ext uri="{FF2B5EF4-FFF2-40B4-BE49-F238E27FC236}">
                  <a16:creationId xmlns:a16="http://schemas.microsoft.com/office/drawing/2014/main" id="{00000000-0008-0000-1100-00001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xdr:row>
          <xdr:rowOff>0</xdr:rowOff>
        </xdr:from>
        <xdr:to>
          <xdr:col>22</xdr:col>
          <xdr:colOff>180975</xdr:colOff>
          <xdr:row>82</xdr:row>
          <xdr:rowOff>180975</xdr:rowOff>
        </xdr:to>
        <xdr:sp macro="" textlink="">
          <xdr:nvSpPr>
            <xdr:cNvPr id="16156" name="Check Box 796" hidden="1">
              <a:extLst>
                <a:ext uri="{63B3BB69-23CF-44E3-9099-C40C66FF867C}">
                  <a14:compatExt spid="_x0000_s16156"/>
                </a:ext>
                <a:ext uri="{FF2B5EF4-FFF2-40B4-BE49-F238E27FC236}">
                  <a16:creationId xmlns:a16="http://schemas.microsoft.com/office/drawing/2014/main" id="{00000000-0008-0000-1100-00001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180975</xdr:colOff>
          <xdr:row>139</xdr:row>
          <xdr:rowOff>180975</xdr:rowOff>
        </xdr:to>
        <xdr:sp macro="" textlink="">
          <xdr:nvSpPr>
            <xdr:cNvPr id="16157" name="Check Box 797" hidden="1">
              <a:extLst>
                <a:ext uri="{63B3BB69-23CF-44E3-9099-C40C66FF867C}">
                  <a14:compatExt spid="_x0000_s16157"/>
                </a:ext>
                <a:ext uri="{FF2B5EF4-FFF2-40B4-BE49-F238E27FC236}">
                  <a16:creationId xmlns:a16="http://schemas.microsoft.com/office/drawing/2014/main" id="{00000000-0008-0000-1100-00001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141</xdr:row>
          <xdr:rowOff>0</xdr:rowOff>
        </xdr:from>
        <xdr:to>
          <xdr:col>22</xdr:col>
          <xdr:colOff>180975</xdr:colOff>
          <xdr:row>141</xdr:row>
          <xdr:rowOff>180975</xdr:rowOff>
        </xdr:to>
        <xdr:sp macro="" textlink="">
          <xdr:nvSpPr>
            <xdr:cNvPr id="16158" name="Check Box 798" hidden="1">
              <a:extLst>
                <a:ext uri="{63B3BB69-23CF-44E3-9099-C40C66FF867C}">
                  <a14:compatExt spid="_x0000_s16158"/>
                </a:ext>
                <a:ext uri="{FF2B5EF4-FFF2-40B4-BE49-F238E27FC236}">
                  <a16:creationId xmlns:a16="http://schemas.microsoft.com/office/drawing/2014/main" id="{00000000-0008-0000-1100-00001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180975</xdr:colOff>
          <xdr:row>161</xdr:row>
          <xdr:rowOff>180975</xdr:rowOff>
        </xdr:to>
        <xdr:sp macro="" textlink="">
          <xdr:nvSpPr>
            <xdr:cNvPr id="16159" name="Check Box 799" hidden="1">
              <a:extLst>
                <a:ext uri="{63B3BB69-23CF-44E3-9099-C40C66FF867C}">
                  <a14:compatExt spid="_x0000_s16159"/>
                </a:ext>
                <a:ext uri="{FF2B5EF4-FFF2-40B4-BE49-F238E27FC236}">
                  <a16:creationId xmlns:a16="http://schemas.microsoft.com/office/drawing/2014/main" id="{00000000-0008-0000-1100-00001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287</xdr:row>
          <xdr:rowOff>0</xdr:rowOff>
        </xdr:from>
        <xdr:to>
          <xdr:col>22</xdr:col>
          <xdr:colOff>180975</xdr:colOff>
          <xdr:row>287</xdr:row>
          <xdr:rowOff>180975</xdr:rowOff>
        </xdr:to>
        <xdr:sp macro="" textlink="">
          <xdr:nvSpPr>
            <xdr:cNvPr id="16160" name="Check Box 800" hidden="1">
              <a:extLst>
                <a:ext uri="{63B3BB69-23CF-44E3-9099-C40C66FF867C}">
                  <a14:compatExt spid="_x0000_s16160"/>
                </a:ext>
                <a:ext uri="{FF2B5EF4-FFF2-40B4-BE49-F238E27FC236}">
                  <a16:creationId xmlns:a16="http://schemas.microsoft.com/office/drawing/2014/main" id="{00000000-0008-0000-1100-00002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180975</xdr:colOff>
          <xdr:row>290</xdr:row>
          <xdr:rowOff>180975</xdr:rowOff>
        </xdr:to>
        <xdr:sp macro="" textlink="">
          <xdr:nvSpPr>
            <xdr:cNvPr id="16161" name="Check Box 801" hidden="1">
              <a:extLst>
                <a:ext uri="{63B3BB69-23CF-44E3-9099-C40C66FF867C}">
                  <a14:compatExt spid="_x0000_s16161"/>
                </a:ext>
                <a:ext uri="{FF2B5EF4-FFF2-40B4-BE49-F238E27FC236}">
                  <a16:creationId xmlns:a16="http://schemas.microsoft.com/office/drawing/2014/main" id="{00000000-0008-0000-1100-00002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291</xdr:row>
          <xdr:rowOff>0</xdr:rowOff>
        </xdr:from>
        <xdr:to>
          <xdr:col>22</xdr:col>
          <xdr:colOff>180975</xdr:colOff>
          <xdr:row>291</xdr:row>
          <xdr:rowOff>180975</xdr:rowOff>
        </xdr:to>
        <xdr:sp macro="" textlink="">
          <xdr:nvSpPr>
            <xdr:cNvPr id="16162" name="Check Box 802" hidden="1">
              <a:extLst>
                <a:ext uri="{63B3BB69-23CF-44E3-9099-C40C66FF867C}">
                  <a14:compatExt spid="_x0000_s16162"/>
                </a:ext>
                <a:ext uri="{FF2B5EF4-FFF2-40B4-BE49-F238E27FC236}">
                  <a16:creationId xmlns:a16="http://schemas.microsoft.com/office/drawing/2014/main" id="{00000000-0008-0000-1100-00002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304</xdr:row>
          <xdr:rowOff>0</xdr:rowOff>
        </xdr:from>
        <xdr:to>
          <xdr:col>22</xdr:col>
          <xdr:colOff>180975</xdr:colOff>
          <xdr:row>304</xdr:row>
          <xdr:rowOff>180975</xdr:rowOff>
        </xdr:to>
        <xdr:sp macro="" textlink="">
          <xdr:nvSpPr>
            <xdr:cNvPr id="16163" name="Check Box 803" hidden="1">
              <a:extLst>
                <a:ext uri="{63B3BB69-23CF-44E3-9099-C40C66FF867C}">
                  <a14:compatExt spid="_x0000_s16163"/>
                </a:ext>
                <a:ext uri="{FF2B5EF4-FFF2-40B4-BE49-F238E27FC236}">
                  <a16:creationId xmlns:a16="http://schemas.microsoft.com/office/drawing/2014/main" id="{00000000-0008-0000-1100-00002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180975</xdr:colOff>
          <xdr:row>308</xdr:row>
          <xdr:rowOff>180975</xdr:rowOff>
        </xdr:to>
        <xdr:sp macro="" textlink="">
          <xdr:nvSpPr>
            <xdr:cNvPr id="16164" name="Check Box 804" hidden="1">
              <a:extLst>
                <a:ext uri="{63B3BB69-23CF-44E3-9099-C40C66FF867C}">
                  <a14:compatExt spid="_x0000_s16164"/>
                </a:ext>
                <a:ext uri="{FF2B5EF4-FFF2-40B4-BE49-F238E27FC236}">
                  <a16:creationId xmlns:a16="http://schemas.microsoft.com/office/drawing/2014/main" id="{00000000-0008-0000-1100-00002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180975</xdr:colOff>
          <xdr:row>311</xdr:row>
          <xdr:rowOff>180975</xdr:rowOff>
        </xdr:to>
        <xdr:sp macro="" textlink="">
          <xdr:nvSpPr>
            <xdr:cNvPr id="16165" name="Check Box 805" hidden="1">
              <a:extLst>
                <a:ext uri="{63B3BB69-23CF-44E3-9099-C40C66FF867C}">
                  <a14:compatExt spid="_x0000_s16165"/>
                </a:ext>
                <a:ext uri="{FF2B5EF4-FFF2-40B4-BE49-F238E27FC236}">
                  <a16:creationId xmlns:a16="http://schemas.microsoft.com/office/drawing/2014/main" id="{00000000-0008-0000-1100-00002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314</xdr:row>
          <xdr:rowOff>0</xdr:rowOff>
        </xdr:from>
        <xdr:to>
          <xdr:col>22</xdr:col>
          <xdr:colOff>180975</xdr:colOff>
          <xdr:row>314</xdr:row>
          <xdr:rowOff>180975</xdr:rowOff>
        </xdr:to>
        <xdr:sp macro="" textlink="">
          <xdr:nvSpPr>
            <xdr:cNvPr id="16166" name="Check Box 806" hidden="1">
              <a:extLst>
                <a:ext uri="{63B3BB69-23CF-44E3-9099-C40C66FF867C}">
                  <a14:compatExt spid="_x0000_s16166"/>
                </a:ext>
                <a:ext uri="{FF2B5EF4-FFF2-40B4-BE49-F238E27FC236}">
                  <a16:creationId xmlns:a16="http://schemas.microsoft.com/office/drawing/2014/main" id="{00000000-0008-0000-1100-00002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180975</xdr:colOff>
          <xdr:row>315</xdr:row>
          <xdr:rowOff>180975</xdr:rowOff>
        </xdr:to>
        <xdr:sp macro="" textlink="">
          <xdr:nvSpPr>
            <xdr:cNvPr id="16167" name="Check Box 807" hidden="1">
              <a:extLst>
                <a:ext uri="{63B3BB69-23CF-44E3-9099-C40C66FF867C}">
                  <a14:compatExt spid="_x0000_s16167"/>
                </a:ext>
                <a:ext uri="{FF2B5EF4-FFF2-40B4-BE49-F238E27FC236}">
                  <a16:creationId xmlns:a16="http://schemas.microsoft.com/office/drawing/2014/main" id="{00000000-0008-0000-1100-00002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320</xdr:row>
          <xdr:rowOff>0</xdr:rowOff>
        </xdr:from>
        <xdr:to>
          <xdr:col>22</xdr:col>
          <xdr:colOff>180975</xdr:colOff>
          <xdr:row>320</xdr:row>
          <xdr:rowOff>180975</xdr:rowOff>
        </xdr:to>
        <xdr:sp macro="" textlink="">
          <xdr:nvSpPr>
            <xdr:cNvPr id="16168" name="Check Box 808" hidden="1">
              <a:extLst>
                <a:ext uri="{63B3BB69-23CF-44E3-9099-C40C66FF867C}">
                  <a14:compatExt spid="_x0000_s16168"/>
                </a:ext>
                <a:ext uri="{FF2B5EF4-FFF2-40B4-BE49-F238E27FC236}">
                  <a16:creationId xmlns:a16="http://schemas.microsoft.com/office/drawing/2014/main" id="{00000000-0008-0000-1100-00002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322</xdr:row>
          <xdr:rowOff>0</xdr:rowOff>
        </xdr:from>
        <xdr:to>
          <xdr:col>22</xdr:col>
          <xdr:colOff>180975</xdr:colOff>
          <xdr:row>322</xdr:row>
          <xdr:rowOff>180975</xdr:rowOff>
        </xdr:to>
        <xdr:sp macro="" textlink="">
          <xdr:nvSpPr>
            <xdr:cNvPr id="16169" name="Check Box 809" hidden="1">
              <a:extLst>
                <a:ext uri="{63B3BB69-23CF-44E3-9099-C40C66FF867C}">
                  <a14:compatExt spid="_x0000_s16169"/>
                </a:ext>
                <a:ext uri="{FF2B5EF4-FFF2-40B4-BE49-F238E27FC236}">
                  <a16:creationId xmlns:a16="http://schemas.microsoft.com/office/drawing/2014/main" id="{00000000-0008-0000-1100-00002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324</xdr:row>
          <xdr:rowOff>0</xdr:rowOff>
        </xdr:from>
        <xdr:to>
          <xdr:col>22</xdr:col>
          <xdr:colOff>180975</xdr:colOff>
          <xdr:row>324</xdr:row>
          <xdr:rowOff>180975</xdr:rowOff>
        </xdr:to>
        <xdr:sp macro="" textlink="">
          <xdr:nvSpPr>
            <xdr:cNvPr id="16170" name="Check Box 810" hidden="1">
              <a:extLst>
                <a:ext uri="{63B3BB69-23CF-44E3-9099-C40C66FF867C}">
                  <a14:compatExt spid="_x0000_s16170"/>
                </a:ext>
                <a:ext uri="{FF2B5EF4-FFF2-40B4-BE49-F238E27FC236}">
                  <a16:creationId xmlns:a16="http://schemas.microsoft.com/office/drawing/2014/main" id="{00000000-0008-0000-1100-00002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22</xdr:col>
          <xdr:colOff>180975</xdr:colOff>
          <xdr:row>537</xdr:row>
          <xdr:rowOff>180975</xdr:rowOff>
        </xdr:to>
        <xdr:sp macro="" textlink="">
          <xdr:nvSpPr>
            <xdr:cNvPr id="16171" name="Check Box 811" hidden="1">
              <a:extLst>
                <a:ext uri="{63B3BB69-23CF-44E3-9099-C40C66FF867C}">
                  <a14:compatExt spid="_x0000_s16171"/>
                </a:ext>
                <a:ext uri="{FF2B5EF4-FFF2-40B4-BE49-F238E27FC236}">
                  <a16:creationId xmlns:a16="http://schemas.microsoft.com/office/drawing/2014/main" id="{00000000-0008-0000-1100-00002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592</xdr:row>
          <xdr:rowOff>0</xdr:rowOff>
        </xdr:from>
        <xdr:to>
          <xdr:col>22</xdr:col>
          <xdr:colOff>180975</xdr:colOff>
          <xdr:row>592</xdr:row>
          <xdr:rowOff>180975</xdr:rowOff>
        </xdr:to>
        <xdr:sp macro="" textlink="">
          <xdr:nvSpPr>
            <xdr:cNvPr id="16172" name="Check Box 812" hidden="1">
              <a:extLst>
                <a:ext uri="{63B3BB69-23CF-44E3-9099-C40C66FF867C}">
                  <a14:compatExt spid="_x0000_s16172"/>
                </a:ext>
                <a:ext uri="{FF2B5EF4-FFF2-40B4-BE49-F238E27FC236}">
                  <a16:creationId xmlns:a16="http://schemas.microsoft.com/office/drawing/2014/main" id="{00000000-0008-0000-1100-00002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910</xdr:row>
          <xdr:rowOff>0</xdr:rowOff>
        </xdr:from>
        <xdr:to>
          <xdr:col>22</xdr:col>
          <xdr:colOff>180975</xdr:colOff>
          <xdr:row>910</xdr:row>
          <xdr:rowOff>180975</xdr:rowOff>
        </xdr:to>
        <xdr:sp macro="" textlink="">
          <xdr:nvSpPr>
            <xdr:cNvPr id="16174" name="Check Box 814" hidden="1">
              <a:extLst>
                <a:ext uri="{63B3BB69-23CF-44E3-9099-C40C66FF867C}">
                  <a14:compatExt spid="_x0000_s16174"/>
                </a:ext>
                <a:ext uri="{FF2B5EF4-FFF2-40B4-BE49-F238E27FC236}">
                  <a16:creationId xmlns:a16="http://schemas.microsoft.com/office/drawing/2014/main" id="{00000000-0008-0000-1100-00002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911</xdr:row>
          <xdr:rowOff>0</xdr:rowOff>
        </xdr:from>
        <xdr:to>
          <xdr:col>22</xdr:col>
          <xdr:colOff>180975</xdr:colOff>
          <xdr:row>911</xdr:row>
          <xdr:rowOff>180975</xdr:rowOff>
        </xdr:to>
        <xdr:sp macro="" textlink="">
          <xdr:nvSpPr>
            <xdr:cNvPr id="16175" name="Check Box 815" hidden="1">
              <a:extLst>
                <a:ext uri="{63B3BB69-23CF-44E3-9099-C40C66FF867C}">
                  <a14:compatExt spid="_x0000_s16175"/>
                </a:ext>
                <a:ext uri="{FF2B5EF4-FFF2-40B4-BE49-F238E27FC236}">
                  <a16:creationId xmlns:a16="http://schemas.microsoft.com/office/drawing/2014/main" id="{00000000-0008-0000-1100-00002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914</xdr:row>
          <xdr:rowOff>0</xdr:rowOff>
        </xdr:from>
        <xdr:to>
          <xdr:col>22</xdr:col>
          <xdr:colOff>180975</xdr:colOff>
          <xdr:row>914</xdr:row>
          <xdr:rowOff>180975</xdr:rowOff>
        </xdr:to>
        <xdr:sp macro="" textlink="">
          <xdr:nvSpPr>
            <xdr:cNvPr id="16176" name="Check Box 816" hidden="1">
              <a:extLst>
                <a:ext uri="{63B3BB69-23CF-44E3-9099-C40C66FF867C}">
                  <a14:compatExt spid="_x0000_s16176"/>
                </a:ext>
                <a:ext uri="{FF2B5EF4-FFF2-40B4-BE49-F238E27FC236}">
                  <a16:creationId xmlns:a16="http://schemas.microsoft.com/office/drawing/2014/main" id="{00000000-0008-0000-1100-00003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919</xdr:row>
          <xdr:rowOff>0</xdr:rowOff>
        </xdr:from>
        <xdr:to>
          <xdr:col>22</xdr:col>
          <xdr:colOff>180975</xdr:colOff>
          <xdr:row>919</xdr:row>
          <xdr:rowOff>180975</xdr:rowOff>
        </xdr:to>
        <xdr:sp macro="" textlink="">
          <xdr:nvSpPr>
            <xdr:cNvPr id="16177" name="Check Box 817" hidden="1">
              <a:extLst>
                <a:ext uri="{63B3BB69-23CF-44E3-9099-C40C66FF867C}">
                  <a14:compatExt spid="_x0000_s16177"/>
                </a:ext>
                <a:ext uri="{FF2B5EF4-FFF2-40B4-BE49-F238E27FC236}">
                  <a16:creationId xmlns:a16="http://schemas.microsoft.com/office/drawing/2014/main" id="{00000000-0008-0000-1100-00003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920</xdr:row>
          <xdr:rowOff>0</xdr:rowOff>
        </xdr:from>
        <xdr:to>
          <xdr:col>22</xdr:col>
          <xdr:colOff>180975</xdr:colOff>
          <xdr:row>920</xdr:row>
          <xdr:rowOff>180975</xdr:rowOff>
        </xdr:to>
        <xdr:sp macro="" textlink="">
          <xdr:nvSpPr>
            <xdr:cNvPr id="16178" name="Check Box 818" hidden="1">
              <a:extLst>
                <a:ext uri="{63B3BB69-23CF-44E3-9099-C40C66FF867C}">
                  <a14:compatExt spid="_x0000_s16178"/>
                </a:ext>
                <a:ext uri="{FF2B5EF4-FFF2-40B4-BE49-F238E27FC236}">
                  <a16:creationId xmlns:a16="http://schemas.microsoft.com/office/drawing/2014/main" id="{00000000-0008-0000-1100-00003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921</xdr:row>
          <xdr:rowOff>0</xdr:rowOff>
        </xdr:from>
        <xdr:to>
          <xdr:col>22</xdr:col>
          <xdr:colOff>180975</xdr:colOff>
          <xdr:row>921</xdr:row>
          <xdr:rowOff>180975</xdr:rowOff>
        </xdr:to>
        <xdr:sp macro="" textlink="">
          <xdr:nvSpPr>
            <xdr:cNvPr id="16179" name="Check Box 819" hidden="1">
              <a:extLst>
                <a:ext uri="{63B3BB69-23CF-44E3-9099-C40C66FF867C}">
                  <a14:compatExt spid="_x0000_s16179"/>
                </a:ext>
                <a:ext uri="{FF2B5EF4-FFF2-40B4-BE49-F238E27FC236}">
                  <a16:creationId xmlns:a16="http://schemas.microsoft.com/office/drawing/2014/main" id="{00000000-0008-0000-1100-00003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923</xdr:row>
          <xdr:rowOff>0</xdr:rowOff>
        </xdr:from>
        <xdr:to>
          <xdr:col>22</xdr:col>
          <xdr:colOff>180975</xdr:colOff>
          <xdr:row>923</xdr:row>
          <xdr:rowOff>180975</xdr:rowOff>
        </xdr:to>
        <xdr:sp macro="" textlink="">
          <xdr:nvSpPr>
            <xdr:cNvPr id="16180" name="Check Box 820" hidden="1">
              <a:extLst>
                <a:ext uri="{63B3BB69-23CF-44E3-9099-C40C66FF867C}">
                  <a14:compatExt spid="_x0000_s16180"/>
                </a:ext>
                <a:ext uri="{FF2B5EF4-FFF2-40B4-BE49-F238E27FC236}">
                  <a16:creationId xmlns:a16="http://schemas.microsoft.com/office/drawing/2014/main" id="{00000000-0008-0000-1100-00003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924</xdr:row>
          <xdr:rowOff>0</xdr:rowOff>
        </xdr:from>
        <xdr:to>
          <xdr:col>22</xdr:col>
          <xdr:colOff>180975</xdr:colOff>
          <xdr:row>924</xdr:row>
          <xdr:rowOff>180975</xdr:rowOff>
        </xdr:to>
        <xdr:sp macro="" textlink="">
          <xdr:nvSpPr>
            <xdr:cNvPr id="16181" name="Check Box 821" hidden="1">
              <a:extLst>
                <a:ext uri="{63B3BB69-23CF-44E3-9099-C40C66FF867C}">
                  <a14:compatExt spid="_x0000_s16181"/>
                </a:ext>
                <a:ext uri="{FF2B5EF4-FFF2-40B4-BE49-F238E27FC236}">
                  <a16:creationId xmlns:a16="http://schemas.microsoft.com/office/drawing/2014/main" id="{00000000-0008-0000-1100-00003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925</xdr:row>
          <xdr:rowOff>0</xdr:rowOff>
        </xdr:from>
        <xdr:to>
          <xdr:col>22</xdr:col>
          <xdr:colOff>180975</xdr:colOff>
          <xdr:row>925</xdr:row>
          <xdr:rowOff>180975</xdr:rowOff>
        </xdr:to>
        <xdr:sp macro="" textlink="">
          <xdr:nvSpPr>
            <xdr:cNvPr id="16182" name="Check Box 822" hidden="1">
              <a:extLst>
                <a:ext uri="{63B3BB69-23CF-44E3-9099-C40C66FF867C}">
                  <a14:compatExt spid="_x0000_s16182"/>
                </a:ext>
                <a:ext uri="{FF2B5EF4-FFF2-40B4-BE49-F238E27FC236}">
                  <a16:creationId xmlns:a16="http://schemas.microsoft.com/office/drawing/2014/main" id="{00000000-0008-0000-1100-00003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926</xdr:row>
          <xdr:rowOff>0</xdr:rowOff>
        </xdr:from>
        <xdr:to>
          <xdr:col>22</xdr:col>
          <xdr:colOff>180975</xdr:colOff>
          <xdr:row>926</xdr:row>
          <xdr:rowOff>180975</xdr:rowOff>
        </xdr:to>
        <xdr:sp macro="" textlink="">
          <xdr:nvSpPr>
            <xdr:cNvPr id="16183" name="Check Box 823" hidden="1">
              <a:extLst>
                <a:ext uri="{63B3BB69-23CF-44E3-9099-C40C66FF867C}">
                  <a14:compatExt spid="_x0000_s16183"/>
                </a:ext>
                <a:ext uri="{FF2B5EF4-FFF2-40B4-BE49-F238E27FC236}">
                  <a16:creationId xmlns:a16="http://schemas.microsoft.com/office/drawing/2014/main" id="{00000000-0008-0000-1100-00003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928</xdr:row>
          <xdr:rowOff>0</xdr:rowOff>
        </xdr:from>
        <xdr:to>
          <xdr:col>22</xdr:col>
          <xdr:colOff>180975</xdr:colOff>
          <xdr:row>928</xdr:row>
          <xdr:rowOff>180975</xdr:rowOff>
        </xdr:to>
        <xdr:sp macro="" textlink="">
          <xdr:nvSpPr>
            <xdr:cNvPr id="16184" name="Check Box 824" hidden="1">
              <a:extLst>
                <a:ext uri="{63B3BB69-23CF-44E3-9099-C40C66FF867C}">
                  <a14:compatExt spid="_x0000_s16184"/>
                </a:ext>
                <a:ext uri="{FF2B5EF4-FFF2-40B4-BE49-F238E27FC236}">
                  <a16:creationId xmlns:a16="http://schemas.microsoft.com/office/drawing/2014/main" id="{00000000-0008-0000-1100-00003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1461</xdr:row>
          <xdr:rowOff>0</xdr:rowOff>
        </xdr:from>
        <xdr:to>
          <xdr:col>22</xdr:col>
          <xdr:colOff>180975</xdr:colOff>
          <xdr:row>1461</xdr:row>
          <xdr:rowOff>180975</xdr:rowOff>
        </xdr:to>
        <xdr:sp macro="" textlink="">
          <xdr:nvSpPr>
            <xdr:cNvPr id="16188" name="Check Box 828" hidden="1">
              <a:extLst>
                <a:ext uri="{63B3BB69-23CF-44E3-9099-C40C66FF867C}">
                  <a14:compatExt spid="_x0000_s16188"/>
                </a:ext>
                <a:ext uri="{FF2B5EF4-FFF2-40B4-BE49-F238E27FC236}">
                  <a16:creationId xmlns:a16="http://schemas.microsoft.com/office/drawing/2014/main" id="{00000000-0008-0000-1100-00003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1464</xdr:row>
          <xdr:rowOff>0</xdr:rowOff>
        </xdr:from>
        <xdr:to>
          <xdr:col>22</xdr:col>
          <xdr:colOff>180975</xdr:colOff>
          <xdr:row>1464</xdr:row>
          <xdr:rowOff>180975</xdr:rowOff>
        </xdr:to>
        <xdr:sp macro="" textlink="">
          <xdr:nvSpPr>
            <xdr:cNvPr id="16189" name="Check Box 829" hidden="1">
              <a:extLst>
                <a:ext uri="{63B3BB69-23CF-44E3-9099-C40C66FF867C}">
                  <a14:compatExt spid="_x0000_s16189"/>
                </a:ext>
                <a:ext uri="{FF2B5EF4-FFF2-40B4-BE49-F238E27FC236}">
                  <a16:creationId xmlns:a16="http://schemas.microsoft.com/office/drawing/2014/main" id="{00000000-0008-0000-1100-00003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1475</xdr:row>
          <xdr:rowOff>0</xdr:rowOff>
        </xdr:from>
        <xdr:to>
          <xdr:col>22</xdr:col>
          <xdr:colOff>180975</xdr:colOff>
          <xdr:row>1475</xdr:row>
          <xdr:rowOff>180975</xdr:rowOff>
        </xdr:to>
        <xdr:sp macro="" textlink="">
          <xdr:nvSpPr>
            <xdr:cNvPr id="16190" name="Check Box 830" hidden="1">
              <a:extLst>
                <a:ext uri="{63B3BB69-23CF-44E3-9099-C40C66FF867C}">
                  <a14:compatExt spid="_x0000_s16190"/>
                </a:ext>
                <a:ext uri="{FF2B5EF4-FFF2-40B4-BE49-F238E27FC236}">
                  <a16:creationId xmlns:a16="http://schemas.microsoft.com/office/drawing/2014/main" id="{00000000-0008-0000-1100-00003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1477</xdr:row>
          <xdr:rowOff>0</xdr:rowOff>
        </xdr:from>
        <xdr:to>
          <xdr:col>22</xdr:col>
          <xdr:colOff>180975</xdr:colOff>
          <xdr:row>1477</xdr:row>
          <xdr:rowOff>180975</xdr:rowOff>
        </xdr:to>
        <xdr:sp macro="" textlink="">
          <xdr:nvSpPr>
            <xdr:cNvPr id="16191" name="Check Box 831" hidden="1">
              <a:extLst>
                <a:ext uri="{63B3BB69-23CF-44E3-9099-C40C66FF867C}">
                  <a14:compatExt spid="_x0000_s16191"/>
                </a:ext>
                <a:ext uri="{FF2B5EF4-FFF2-40B4-BE49-F238E27FC236}">
                  <a16:creationId xmlns:a16="http://schemas.microsoft.com/office/drawing/2014/main" id="{00000000-0008-0000-1100-00003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1501</xdr:row>
          <xdr:rowOff>0</xdr:rowOff>
        </xdr:from>
        <xdr:to>
          <xdr:col>22</xdr:col>
          <xdr:colOff>180975</xdr:colOff>
          <xdr:row>1501</xdr:row>
          <xdr:rowOff>180975</xdr:rowOff>
        </xdr:to>
        <xdr:sp macro="" textlink="">
          <xdr:nvSpPr>
            <xdr:cNvPr id="16192" name="Check Box 832" hidden="1">
              <a:extLst>
                <a:ext uri="{63B3BB69-23CF-44E3-9099-C40C66FF867C}">
                  <a14:compatExt spid="_x0000_s16192"/>
                </a:ext>
                <a:ext uri="{FF2B5EF4-FFF2-40B4-BE49-F238E27FC236}">
                  <a16:creationId xmlns:a16="http://schemas.microsoft.com/office/drawing/2014/main" id="{00000000-0008-0000-1100-00004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1503</xdr:row>
          <xdr:rowOff>0</xdr:rowOff>
        </xdr:from>
        <xdr:to>
          <xdr:col>22</xdr:col>
          <xdr:colOff>180975</xdr:colOff>
          <xdr:row>1503</xdr:row>
          <xdr:rowOff>180975</xdr:rowOff>
        </xdr:to>
        <xdr:sp macro="" textlink="">
          <xdr:nvSpPr>
            <xdr:cNvPr id="16193" name="Check Box 833" hidden="1">
              <a:extLst>
                <a:ext uri="{63B3BB69-23CF-44E3-9099-C40C66FF867C}">
                  <a14:compatExt spid="_x0000_s16193"/>
                </a:ext>
                <a:ext uri="{FF2B5EF4-FFF2-40B4-BE49-F238E27FC236}">
                  <a16:creationId xmlns:a16="http://schemas.microsoft.com/office/drawing/2014/main" id="{00000000-0008-0000-1100-00004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1580</xdr:row>
          <xdr:rowOff>0</xdr:rowOff>
        </xdr:from>
        <xdr:to>
          <xdr:col>22</xdr:col>
          <xdr:colOff>180975</xdr:colOff>
          <xdr:row>1580</xdr:row>
          <xdr:rowOff>180975</xdr:rowOff>
        </xdr:to>
        <xdr:sp macro="" textlink="">
          <xdr:nvSpPr>
            <xdr:cNvPr id="16195" name="Check Box 835" hidden="1">
              <a:extLst>
                <a:ext uri="{63B3BB69-23CF-44E3-9099-C40C66FF867C}">
                  <a14:compatExt spid="_x0000_s16195"/>
                </a:ext>
                <a:ext uri="{FF2B5EF4-FFF2-40B4-BE49-F238E27FC236}">
                  <a16:creationId xmlns:a16="http://schemas.microsoft.com/office/drawing/2014/main" id="{00000000-0008-0000-1100-00004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1605</xdr:row>
          <xdr:rowOff>0</xdr:rowOff>
        </xdr:from>
        <xdr:to>
          <xdr:col>22</xdr:col>
          <xdr:colOff>180975</xdr:colOff>
          <xdr:row>1605</xdr:row>
          <xdr:rowOff>180975</xdr:rowOff>
        </xdr:to>
        <xdr:sp macro="" textlink="">
          <xdr:nvSpPr>
            <xdr:cNvPr id="16196" name="Check Box 836" hidden="1">
              <a:extLst>
                <a:ext uri="{63B3BB69-23CF-44E3-9099-C40C66FF867C}">
                  <a14:compatExt spid="_x0000_s16196"/>
                </a:ext>
                <a:ext uri="{FF2B5EF4-FFF2-40B4-BE49-F238E27FC236}">
                  <a16:creationId xmlns:a16="http://schemas.microsoft.com/office/drawing/2014/main" id="{00000000-0008-0000-1100-00004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1615</xdr:row>
          <xdr:rowOff>0</xdr:rowOff>
        </xdr:from>
        <xdr:to>
          <xdr:col>22</xdr:col>
          <xdr:colOff>180975</xdr:colOff>
          <xdr:row>1615</xdr:row>
          <xdr:rowOff>180975</xdr:rowOff>
        </xdr:to>
        <xdr:sp macro="" textlink="">
          <xdr:nvSpPr>
            <xdr:cNvPr id="16197" name="Check Box 837" hidden="1">
              <a:extLst>
                <a:ext uri="{63B3BB69-23CF-44E3-9099-C40C66FF867C}">
                  <a14:compatExt spid="_x0000_s16197"/>
                </a:ext>
                <a:ext uri="{FF2B5EF4-FFF2-40B4-BE49-F238E27FC236}">
                  <a16:creationId xmlns:a16="http://schemas.microsoft.com/office/drawing/2014/main" id="{00000000-0008-0000-1100-00004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1617</xdr:row>
          <xdr:rowOff>0</xdr:rowOff>
        </xdr:from>
        <xdr:to>
          <xdr:col>22</xdr:col>
          <xdr:colOff>180975</xdr:colOff>
          <xdr:row>1617</xdr:row>
          <xdr:rowOff>180975</xdr:rowOff>
        </xdr:to>
        <xdr:sp macro="" textlink="">
          <xdr:nvSpPr>
            <xdr:cNvPr id="16198" name="Check Box 838" hidden="1">
              <a:extLst>
                <a:ext uri="{63B3BB69-23CF-44E3-9099-C40C66FF867C}">
                  <a14:compatExt spid="_x0000_s16198"/>
                </a:ext>
                <a:ext uri="{FF2B5EF4-FFF2-40B4-BE49-F238E27FC236}">
                  <a16:creationId xmlns:a16="http://schemas.microsoft.com/office/drawing/2014/main" id="{00000000-0008-0000-1100-00004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1626</xdr:row>
          <xdr:rowOff>0</xdr:rowOff>
        </xdr:from>
        <xdr:to>
          <xdr:col>22</xdr:col>
          <xdr:colOff>180975</xdr:colOff>
          <xdr:row>1626</xdr:row>
          <xdr:rowOff>180975</xdr:rowOff>
        </xdr:to>
        <xdr:sp macro="" textlink="">
          <xdr:nvSpPr>
            <xdr:cNvPr id="16199" name="Check Box 839" hidden="1">
              <a:extLst>
                <a:ext uri="{63B3BB69-23CF-44E3-9099-C40C66FF867C}">
                  <a14:compatExt spid="_x0000_s16199"/>
                </a:ext>
                <a:ext uri="{FF2B5EF4-FFF2-40B4-BE49-F238E27FC236}">
                  <a16:creationId xmlns:a16="http://schemas.microsoft.com/office/drawing/2014/main" id="{00000000-0008-0000-1100-00004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1630</xdr:row>
          <xdr:rowOff>0</xdr:rowOff>
        </xdr:from>
        <xdr:to>
          <xdr:col>22</xdr:col>
          <xdr:colOff>180975</xdr:colOff>
          <xdr:row>1630</xdr:row>
          <xdr:rowOff>180975</xdr:rowOff>
        </xdr:to>
        <xdr:sp macro="" textlink="">
          <xdr:nvSpPr>
            <xdr:cNvPr id="16200" name="Check Box 840" hidden="1">
              <a:extLst>
                <a:ext uri="{63B3BB69-23CF-44E3-9099-C40C66FF867C}">
                  <a14:compatExt spid="_x0000_s16200"/>
                </a:ext>
                <a:ext uri="{FF2B5EF4-FFF2-40B4-BE49-F238E27FC236}">
                  <a16:creationId xmlns:a16="http://schemas.microsoft.com/office/drawing/2014/main" id="{00000000-0008-0000-1100-00004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1635</xdr:row>
          <xdr:rowOff>0</xdr:rowOff>
        </xdr:from>
        <xdr:to>
          <xdr:col>22</xdr:col>
          <xdr:colOff>180975</xdr:colOff>
          <xdr:row>1635</xdr:row>
          <xdr:rowOff>180975</xdr:rowOff>
        </xdr:to>
        <xdr:sp macro="" textlink="">
          <xdr:nvSpPr>
            <xdr:cNvPr id="16201" name="Check Box 841" hidden="1">
              <a:extLst>
                <a:ext uri="{63B3BB69-23CF-44E3-9099-C40C66FF867C}">
                  <a14:compatExt spid="_x0000_s16201"/>
                </a:ext>
                <a:ext uri="{FF2B5EF4-FFF2-40B4-BE49-F238E27FC236}">
                  <a16:creationId xmlns:a16="http://schemas.microsoft.com/office/drawing/2014/main" id="{00000000-0008-0000-1100-00004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1636</xdr:row>
          <xdr:rowOff>0</xdr:rowOff>
        </xdr:from>
        <xdr:to>
          <xdr:col>22</xdr:col>
          <xdr:colOff>180975</xdr:colOff>
          <xdr:row>1636</xdr:row>
          <xdr:rowOff>180975</xdr:rowOff>
        </xdr:to>
        <xdr:sp macro="" textlink="">
          <xdr:nvSpPr>
            <xdr:cNvPr id="16202" name="Check Box 842" hidden="1">
              <a:extLst>
                <a:ext uri="{63B3BB69-23CF-44E3-9099-C40C66FF867C}">
                  <a14:compatExt spid="_x0000_s16202"/>
                </a:ext>
                <a:ext uri="{FF2B5EF4-FFF2-40B4-BE49-F238E27FC236}">
                  <a16:creationId xmlns:a16="http://schemas.microsoft.com/office/drawing/2014/main" id="{00000000-0008-0000-1100-00004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1773</xdr:row>
          <xdr:rowOff>0</xdr:rowOff>
        </xdr:from>
        <xdr:to>
          <xdr:col>22</xdr:col>
          <xdr:colOff>180975</xdr:colOff>
          <xdr:row>1773</xdr:row>
          <xdr:rowOff>180975</xdr:rowOff>
        </xdr:to>
        <xdr:sp macro="" textlink="">
          <xdr:nvSpPr>
            <xdr:cNvPr id="16205" name="Check Box 845" hidden="1">
              <a:extLst>
                <a:ext uri="{63B3BB69-23CF-44E3-9099-C40C66FF867C}">
                  <a14:compatExt spid="_x0000_s16205"/>
                </a:ext>
                <a:ext uri="{FF2B5EF4-FFF2-40B4-BE49-F238E27FC236}">
                  <a16:creationId xmlns:a16="http://schemas.microsoft.com/office/drawing/2014/main" id="{00000000-0008-0000-1100-00004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1792</xdr:row>
          <xdr:rowOff>0</xdr:rowOff>
        </xdr:from>
        <xdr:to>
          <xdr:col>22</xdr:col>
          <xdr:colOff>180975</xdr:colOff>
          <xdr:row>1792</xdr:row>
          <xdr:rowOff>180975</xdr:rowOff>
        </xdr:to>
        <xdr:sp macro="" textlink="">
          <xdr:nvSpPr>
            <xdr:cNvPr id="16206" name="Check Box 846" hidden="1">
              <a:extLst>
                <a:ext uri="{63B3BB69-23CF-44E3-9099-C40C66FF867C}">
                  <a14:compatExt spid="_x0000_s16206"/>
                </a:ext>
                <a:ext uri="{FF2B5EF4-FFF2-40B4-BE49-F238E27FC236}">
                  <a16:creationId xmlns:a16="http://schemas.microsoft.com/office/drawing/2014/main" id="{00000000-0008-0000-1100-00004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1794</xdr:row>
          <xdr:rowOff>0</xdr:rowOff>
        </xdr:from>
        <xdr:to>
          <xdr:col>22</xdr:col>
          <xdr:colOff>180975</xdr:colOff>
          <xdr:row>1794</xdr:row>
          <xdr:rowOff>180975</xdr:rowOff>
        </xdr:to>
        <xdr:sp macro="" textlink="">
          <xdr:nvSpPr>
            <xdr:cNvPr id="16207" name="Check Box 847" hidden="1">
              <a:extLst>
                <a:ext uri="{63B3BB69-23CF-44E3-9099-C40C66FF867C}">
                  <a14:compatExt spid="_x0000_s16207"/>
                </a:ext>
                <a:ext uri="{FF2B5EF4-FFF2-40B4-BE49-F238E27FC236}">
                  <a16:creationId xmlns:a16="http://schemas.microsoft.com/office/drawing/2014/main" id="{00000000-0008-0000-1100-00004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1796</xdr:row>
          <xdr:rowOff>0</xdr:rowOff>
        </xdr:from>
        <xdr:to>
          <xdr:col>22</xdr:col>
          <xdr:colOff>180975</xdr:colOff>
          <xdr:row>1796</xdr:row>
          <xdr:rowOff>180975</xdr:rowOff>
        </xdr:to>
        <xdr:sp macro="" textlink="">
          <xdr:nvSpPr>
            <xdr:cNvPr id="16208" name="Check Box 848" hidden="1">
              <a:extLst>
                <a:ext uri="{63B3BB69-23CF-44E3-9099-C40C66FF867C}">
                  <a14:compatExt spid="_x0000_s16208"/>
                </a:ext>
                <a:ext uri="{FF2B5EF4-FFF2-40B4-BE49-F238E27FC236}">
                  <a16:creationId xmlns:a16="http://schemas.microsoft.com/office/drawing/2014/main" id="{00000000-0008-0000-1100-00005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1797</xdr:row>
          <xdr:rowOff>0</xdr:rowOff>
        </xdr:from>
        <xdr:to>
          <xdr:col>22</xdr:col>
          <xdr:colOff>180975</xdr:colOff>
          <xdr:row>1797</xdr:row>
          <xdr:rowOff>180975</xdr:rowOff>
        </xdr:to>
        <xdr:sp macro="" textlink="">
          <xdr:nvSpPr>
            <xdr:cNvPr id="16209" name="Check Box 849" hidden="1">
              <a:extLst>
                <a:ext uri="{63B3BB69-23CF-44E3-9099-C40C66FF867C}">
                  <a14:compatExt spid="_x0000_s16209"/>
                </a:ext>
                <a:ext uri="{FF2B5EF4-FFF2-40B4-BE49-F238E27FC236}">
                  <a16:creationId xmlns:a16="http://schemas.microsoft.com/office/drawing/2014/main" id="{00000000-0008-0000-1100-00005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1799</xdr:row>
          <xdr:rowOff>0</xdr:rowOff>
        </xdr:from>
        <xdr:to>
          <xdr:col>22</xdr:col>
          <xdr:colOff>180975</xdr:colOff>
          <xdr:row>1799</xdr:row>
          <xdr:rowOff>180975</xdr:rowOff>
        </xdr:to>
        <xdr:sp macro="" textlink="">
          <xdr:nvSpPr>
            <xdr:cNvPr id="16210" name="Check Box 850" hidden="1">
              <a:extLst>
                <a:ext uri="{63B3BB69-23CF-44E3-9099-C40C66FF867C}">
                  <a14:compatExt spid="_x0000_s16210"/>
                </a:ext>
                <a:ext uri="{FF2B5EF4-FFF2-40B4-BE49-F238E27FC236}">
                  <a16:creationId xmlns:a16="http://schemas.microsoft.com/office/drawing/2014/main" id="{00000000-0008-0000-1100-00005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1839</xdr:row>
          <xdr:rowOff>0</xdr:rowOff>
        </xdr:from>
        <xdr:to>
          <xdr:col>22</xdr:col>
          <xdr:colOff>180975</xdr:colOff>
          <xdr:row>1839</xdr:row>
          <xdr:rowOff>180975</xdr:rowOff>
        </xdr:to>
        <xdr:sp macro="" textlink="">
          <xdr:nvSpPr>
            <xdr:cNvPr id="16212" name="Check Box 852" hidden="1">
              <a:extLst>
                <a:ext uri="{63B3BB69-23CF-44E3-9099-C40C66FF867C}">
                  <a14:compatExt spid="_x0000_s16212"/>
                </a:ext>
                <a:ext uri="{FF2B5EF4-FFF2-40B4-BE49-F238E27FC236}">
                  <a16:creationId xmlns:a16="http://schemas.microsoft.com/office/drawing/2014/main" id="{00000000-0008-0000-1100-00005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2029</xdr:row>
          <xdr:rowOff>0</xdr:rowOff>
        </xdr:from>
        <xdr:to>
          <xdr:col>22</xdr:col>
          <xdr:colOff>180975</xdr:colOff>
          <xdr:row>2029</xdr:row>
          <xdr:rowOff>180975</xdr:rowOff>
        </xdr:to>
        <xdr:sp macro="" textlink="">
          <xdr:nvSpPr>
            <xdr:cNvPr id="16214" name="Check Box 854" hidden="1">
              <a:extLst>
                <a:ext uri="{63B3BB69-23CF-44E3-9099-C40C66FF867C}">
                  <a14:compatExt spid="_x0000_s16214"/>
                </a:ext>
                <a:ext uri="{FF2B5EF4-FFF2-40B4-BE49-F238E27FC236}">
                  <a16:creationId xmlns:a16="http://schemas.microsoft.com/office/drawing/2014/main" id="{00000000-0008-0000-1100-00005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2080</xdr:row>
          <xdr:rowOff>0</xdr:rowOff>
        </xdr:from>
        <xdr:to>
          <xdr:col>22</xdr:col>
          <xdr:colOff>180975</xdr:colOff>
          <xdr:row>2080</xdr:row>
          <xdr:rowOff>180975</xdr:rowOff>
        </xdr:to>
        <xdr:sp macro="" textlink="">
          <xdr:nvSpPr>
            <xdr:cNvPr id="16215" name="Check Box 855" hidden="1">
              <a:extLst>
                <a:ext uri="{63B3BB69-23CF-44E3-9099-C40C66FF867C}">
                  <a14:compatExt spid="_x0000_s16215"/>
                </a:ext>
                <a:ext uri="{FF2B5EF4-FFF2-40B4-BE49-F238E27FC236}">
                  <a16:creationId xmlns:a16="http://schemas.microsoft.com/office/drawing/2014/main" id="{00000000-0008-0000-1100-00005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2151</xdr:row>
          <xdr:rowOff>0</xdr:rowOff>
        </xdr:from>
        <xdr:to>
          <xdr:col>22</xdr:col>
          <xdr:colOff>180975</xdr:colOff>
          <xdr:row>2151</xdr:row>
          <xdr:rowOff>180975</xdr:rowOff>
        </xdr:to>
        <xdr:sp macro="" textlink="">
          <xdr:nvSpPr>
            <xdr:cNvPr id="16218" name="Check Box 858" hidden="1">
              <a:extLst>
                <a:ext uri="{63B3BB69-23CF-44E3-9099-C40C66FF867C}">
                  <a14:compatExt spid="_x0000_s16218"/>
                </a:ext>
                <a:ext uri="{FF2B5EF4-FFF2-40B4-BE49-F238E27FC236}">
                  <a16:creationId xmlns:a16="http://schemas.microsoft.com/office/drawing/2014/main" id="{00000000-0008-0000-1100-00005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2153</xdr:row>
          <xdr:rowOff>0</xdr:rowOff>
        </xdr:from>
        <xdr:to>
          <xdr:col>22</xdr:col>
          <xdr:colOff>180975</xdr:colOff>
          <xdr:row>2153</xdr:row>
          <xdr:rowOff>180975</xdr:rowOff>
        </xdr:to>
        <xdr:sp macro="" textlink="">
          <xdr:nvSpPr>
            <xdr:cNvPr id="16219" name="Check Box 859" hidden="1">
              <a:extLst>
                <a:ext uri="{63B3BB69-23CF-44E3-9099-C40C66FF867C}">
                  <a14:compatExt spid="_x0000_s16219"/>
                </a:ext>
                <a:ext uri="{FF2B5EF4-FFF2-40B4-BE49-F238E27FC236}">
                  <a16:creationId xmlns:a16="http://schemas.microsoft.com/office/drawing/2014/main" id="{00000000-0008-0000-1100-00005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2184</xdr:row>
          <xdr:rowOff>0</xdr:rowOff>
        </xdr:from>
        <xdr:to>
          <xdr:col>22</xdr:col>
          <xdr:colOff>180975</xdr:colOff>
          <xdr:row>2184</xdr:row>
          <xdr:rowOff>180975</xdr:rowOff>
        </xdr:to>
        <xdr:sp macro="" textlink="">
          <xdr:nvSpPr>
            <xdr:cNvPr id="16221" name="Check Box 861" hidden="1">
              <a:extLst>
                <a:ext uri="{63B3BB69-23CF-44E3-9099-C40C66FF867C}">
                  <a14:compatExt spid="_x0000_s16221"/>
                </a:ext>
                <a:ext uri="{FF2B5EF4-FFF2-40B4-BE49-F238E27FC236}">
                  <a16:creationId xmlns:a16="http://schemas.microsoft.com/office/drawing/2014/main" id="{00000000-0008-0000-1100-00005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2219</xdr:row>
          <xdr:rowOff>0</xdr:rowOff>
        </xdr:from>
        <xdr:to>
          <xdr:col>22</xdr:col>
          <xdr:colOff>180975</xdr:colOff>
          <xdr:row>2219</xdr:row>
          <xdr:rowOff>180975</xdr:rowOff>
        </xdr:to>
        <xdr:sp macro="" textlink="">
          <xdr:nvSpPr>
            <xdr:cNvPr id="16222" name="Check Box 862" hidden="1">
              <a:extLst>
                <a:ext uri="{63B3BB69-23CF-44E3-9099-C40C66FF867C}">
                  <a14:compatExt spid="_x0000_s16222"/>
                </a:ext>
                <a:ext uri="{FF2B5EF4-FFF2-40B4-BE49-F238E27FC236}">
                  <a16:creationId xmlns:a16="http://schemas.microsoft.com/office/drawing/2014/main" id="{00000000-0008-0000-1100-00005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2227</xdr:row>
          <xdr:rowOff>0</xdr:rowOff>
        </xdr:from>
        <xdr:to>
          <xdr:col>22</xdr:col>
          <xdr:colOff>180975</xdr:colOff>
          <xdr:row>2227</xdr:row>
          <xdr:rowOff>180975</xdr:rowOff>
        </xdr:to>
        <xdr:sp macro="" textlink="">
          <xdr:nvSpPr>
            <xdr:cNvPr id="16223" name="Check Box 863" hidden="1">
              <a:extLst>
                <a:ext uri="{63B3BB69-23CF-44E3-9099-C40C66FF867C}">
                  <a14:compatExt spid="_x0000_s16223"/>
                </a:ext>
                <a:ext uri="{FF2B5EF4-FFF2-40B4-BE49-F238E27FC236}">
                  <a16:creationId xmlns:a16="http://schemas.microsoft.com/office/drawing/2014/main" id="{00000000-0008-0000-1100-00005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2239</xdr:row>
          <xdr:rowOff>0</xdr:rowOff>
        </xdr:from>
        <xdr:to>
          <xdr:col>22</xdr:col>
          <xdr:colOff>180975</xdr:colOff>
          <xdr:row>2239</xdr:row>
          <xdr:rowOff>180975</xdr:rowOff>
        </xdr:to>
        <xdr:sp macro="" textlink="">
          <xdr:nvSpPr>
            <xdr:cNvPr id="16224" name="Check Box 864" hidden="1">
              <a:extLst>
                <a:ext uri="{63B3BB69-23CF-44E3-9099-C40C66FF867C}">
                  <a14:compatExt spid="_x0000_s16224"/>
                </a:ext>
                <a:ext uri="{FF2B5EF4-FFF2-40B4-BE49-F238E27FC236}">
                  <a16:creationId xmlns:a16="http://schemas.microsoft.com/office/drawing/2014/main" id="{00000000-0008-0000-1100-00006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2240</xdr:row>
          <xdr:rowOff>0</xdr:rowOff>
        </xdr:from>
        <xdr:to>
          <xdr:col>22</xdr:col>
          <xdr:colOff>180975</xdr:colOff>
          <xdr:row>2240</xdr:row>
          <xdr:rowOff>180975</xdr:rowOff>
        </xdr:to>
        <xdr:sp macro="" textlink="">
          <xdr:nvSpPr>
            <xdr:cNvPr id="16225" name="Check Box 865" hidden="1">
              <a:extLst>
                <a:ext uri="{63B3BB69-23CF-44E3-9099-C40C66FF867C}">
                  <a14:compatExt spid="_x0000_s16225"/>
                </a:ext>
                <a:ext uri="{FF2B5EF4-FFF2-40B4-BE49-F238E27FC236}">
                  <a16:creationId xmlns:a16="http://schemas.microsoft.com/office/drawing/2014/main" id="{00000000-0008-0000-1100-00006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2242</xdr:row>
          <xdr:rowOff>0</xdr:rowOff>
        </xdr:from>
        <xdr:to>
          <xdr:col>22</xdr:col>
          <xdr:colOff>180975</xdr:colOff>
          <xdr:row>2242</xdr:row>
          <xdr:rowOff>180975</xdr:rowOff>
        </xdr:to>
        <xdr:sp macro="" textlink="">
          <xdr:nvSpPr>
            <xdr:cNvPr id="16226" name="Check Box 866" hidden="1">
              <a:extLst>
                <a:ext uri="{63B3BB69-23CF-44E3-9099-C40C66FF867C}">
                  <a14:compatExt spid="_x0000_s16226"/>
                </a:ext>
                <a:ext uri="{FF2B5EF4-FFF2-40B4-BE49-F238E27FC236}">
                  <a16:creationId xmlns:a16="http://schemas.microsoft.com/office/drawing/2014/main" id="{00000000-0008-0000-1100-00006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2247</xdr:row>
          <xdr:rowOff>0</xdr:rowOff>
        </xdr:from>
        <xdr:to>
          <xdr:col>22</xdr:col>
          <xdr:colOff>180975</xdr:colOff>
          <xdr:row>2247</xdr:row>
          <xdr:rowOff>180975</xdr:rowOff>
        </xdr:to>
        <xdr:sp macro="" textlink="">
          <xdr:nvSpPr>
            <xdr:cNvPr id="16227" name="Check Box 867" hidden="1">
              <a:extLst>
                <a:ext uri="{63B3BB69-23CF-44E3-9099-C40C66FF867C}">
                  <a14:compatExt spid="_x0000_s16227"/>
                </a:ext>
                <a:ext uri="{FF2B5EF4-FFF2-40B4-BE49-F238E27FC236}">
                  <a16:creationId xmlns:a16="http://schemas.microsoft.com/office/drawing/2014/main" id="{00000000-0008-0000-1100-00006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2392</xdr:row>
          <xdr:rowOff>0</xdr:rowOff>
        </xdr:from>
        <xdr:to>
          <xdr:col>22</xdr:col>
          <xdr:colOff>180975</xdr:colOff>
          <xdr:row>2392</xdr:row>
          <xdr:rowOff>180975</xdr:rowOff>
        </xdr:to>
        <xdr:sp macro="" textlink="">
          <xdr:nvSpPr>
            <xdr:cNvPr id="16229" name="Check Box 869" hidden="1">
              <a:extLst>
                <a:ext uri="{63B3BB69-23CF-44E3-9099-C40C66FF867C}">
                  <a14:compatExt spid="_x0000_s16229"/>
                </a:ext>
                <a:ext uri="{FF2B5EF4-FFF2-40B4-BE49-F238E27FC236}">
                  <a16:creationId xmlns:a16="http://schemas.microsoft.com/office/drawing/2014/main" id="{00000000-0008-0000-1100-00006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2409</xdr:row>
          <xdr:rowOff>0</xdr:rowOff>
        </xdr:from>
        <xdr:to>
          <xdr:col>22</xdr:col>
          <xdr:colOff>180975</xdr:colOff>
          <xdr:row>2409</xdr:row>
          <xdr:rowOff>180975</xdr:rowOff>
        </xdr:to>
        <xdr:sp macro="" textlink="">
          <xdr:nvSpPr>
            <xdr:cNvPr id="16230" name="Check Box 870" hidden="1">
              <a:extLst>
                <a:ext uri="{63B3BB69-23CF-44E3-9099-C40C66FF867C}">
                  <a14:compatExt spid="_x0000_s16230"/>
                </a:ext>
                <a:ext uri="{FF2B5EF4-FFF2-40B4-BE49-F238E27FC236}">
                  <a16:creationId xmlns:a16="http://schemas.microsoft.com/office/drawing/2014/main" id="{00000000-0008-0000-1100-00006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2410</xdr:row>
          <xdr:rowOff>0</xdr:rowOff>
        </xdr:from>
        <xdr:to>
          <xdr:col>22</xdr:col>
          <xdr:colOff>180975</xdr:colOff>
          <xdr:row>2410</xdr:row>
          <xdr:rowOff>180975</xdr:rowOff>
        </xdr:to>
        <xdr:sp macro="" textlink="">
          <xdr:nvSpPr>
            <xdr:cNvPr id="16231" name="Check Box 871" hidden="1">
              <a:extLst>
                <a:ext uri="{63B3BB69-23CF-44E3-9099-C40C66FF867C}">
                  <a14:compatExt spid="_x0000_s16231"/>
                </a:ext>
                <a:ext uri="{FF2B5EF4-FFF2-40B4-BE49-F238E27FC236}">
                  <a16:creationId xmlns:a16="http://schemas.microsoft.com/office/drawing/2014/main" id="{00000000-0008-0000-1100-00006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2411</xdr:row>
          <xdr:rowOff>0</xdr:rowOff>
        </xdr:from>
        <xdr:to>
          <xdr:col>22</xdr:col>
          <xdr:colOff>180975</xdr:colOff>
          <xdr:row>2411</xdr:row>
          <xdr:rowOff>180975</xdr:rowOff>
        </xdr:to>
        <xdr:sp macro="" textlink="">
          <xdr:nvSpPr>
            <xdr:cNvPr id="16232" name="Check Box 872" hidden="1">
              <a:extLst>
                <a:ext uri="{63B3BB69-23CF-44E3-9099-C40C66FF867C}">
                  <a14:compatExt spid="_x0000_s16232"/>
                </a:ext>
                <a:ext uri="{FF2B5EF4-FFF2-40B4-BE49-F238E27FC236}">
                  <a16:creationId xmlns:a16="http://schemas.microsoft.com/office/drawing/2014/main" id="{00000000-0008-0000-1100-00006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2413</xdr:row>
          <xdr:rowOff>0</xdr:rowOff>
        </xdr:from>
        <xdr:to>
          <xdr:col>22</xdr:col>
          <xdr:colOff>180975</xdr:colOff>
          <xdr:row>2413</xdr:row>
          <xdr:rowOff>180975</xdr:rowOff>
        </xdr:to>
        <xdr:sp macro="" textlink="">
          <xdr:nvSpPr>
            <xdr:cNvPr id="16233" name="Check Box 873" hidden="1">
              <a:extLst>
                <a:ext uri="{63B3BB69-23CF-44E3-9099-C40C66FF867C}">
                  <a14:compatExt spid="_x0000_s16233"/>
                </a:ext>
                <a:ext uri="{FF2B5EF4-FFF2-40B4-BE49-F238E27FC236}">
                  <a16:creationId xmlns:a16="http://schemas.microsoft.com/office/drawing/2014/main" id="{00000000-0008-0000-1100-00006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2414</xdr:row>
          <xdr:rowOff>0</xdr:rowOff>
        </xdr:from>
        <xdr:to>
          <xdr:col>22</xdr:col>
          <xdr:colOff>180975</xdr:colOff>
          <xdr:row>2414</xdr:row>
          <xdr:rowOff>180975</xdr:rowOff>
        </xdr:to>
        <xdr:sp macro="" textlink="">
          <xdr:nvSpPr>
            <xdr:cNvPr id="16234" name="Check Box 874" hidden="1">
              <a:extLst>
                <a:ext uri="{63B3BB69-23CF-44E3-9099-C40C66FF867C}">
                  <a14:compatExt spid="_x0000_s16234"/>
                </a:ext>
                <a:ext uri="{FF2B5EF4-FFF2-40B4-BE49-F238E27FC236}">
                  <a16:creationId xmlns:a16="http://schemas.microsoft.com/office/drawing/2014/main" id="{00000000-0008-0000-1100-00006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2415</xdr:row>
          <xdr:rowOff>0</xdr:rowOff>
        </xdr:from>
        <xdr:to>
          <xdr:col>22</xdr:col>
          <xdr:colOff>180975</xdr:colOff>
          <xdr:row>2415</xdr:row>
          <xdr:rowOff>180975</xdr:rowOff>
        </xdr:to>
        <xdr:sp macro="" textlink="">
          <xdr:nvSpPr>
            <xdr:cNvPr id="16235" name="Check Box 875" hidden="1">
              <a:extLst>
                <a:ext uri="{63B3BB69-23CF-44E3-9099-C40C66FF867C}">
                  <a14:compatExt spid="_x0000_s16235"/>
                </a:ext>
                <a:ext uri="{FF2B5EF4-FFF2-40B4-BE49-F238E27FC236}">
                  <a16:creationId xmlns:a16="http://schemas.microsoft.com/office/drawing/2014/main" id="{00000000-0008-0000-1100-00006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2416</xdr:row>
          <xdr:rowOff>0</xdr:rowOff>
        </xdr:from>
        <xdr:to>
          <xdr:col>22</xdr:col>
          <xdr:colOff>180975</xdr:colOff>
          <xdr:row>2416</xdr:row>
          <xdr:rowOff>180975</xdr:rowOff>
        </xdr:to>
        <xdr:sp macro="" textlink="">
          <xdr:nvSpPr>
            <xdr:cNvPr id="16236" name="Check Box 876" hidden="1">
              <a:extLst>
                <a:ext uri="{63B3BB69-23CF-44E3-9099-C40C66FF867C}">
                  <a14:compatExt spid="_x0000_s16236"/>
                </a:ext>
                <a:ext uri="{FF2B5EF4-FFF2-40B4-BE49-F238E27FC236}">
                  <a16:creationId xmlns:a16="http://schemas.microsoft.com/office/drawing/2014/main" id="{00000000-0008-0000-1100-00006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2417</xdr:row>
          <xdr:rowOff>0</xdr:rowOff>
        </xdr:from>
        <xdr:to>
          <xdr:col>22</xdr:col>
          <xdr:colOff>180975</xdr:colOff>
          <xdr:row>2417</xdr:row>
          <xdr:rowOff>180975</xdr:rowOff>
        </xdr:to>
        <xdr:sp macro="" textlink="">
          <xdr:nvSpPr>
            <xdr:cNvPr id="16237" name="Check Box 877" hidden="1">
              <a:extLst>
                <a:ext uri="{63B3BB69-23CF-44E3-9099-C40C66FF867C}">
                  <a14:compatExt spid="_x0000_s16237"/>
                </a:ext>
                <a:ext uri="{FF2B5EF4-FFF2-40B4-BE49-F238E27FC236}">
                  <a16:creationId xmlns:a16="http://schemas.microsoft.com/office/drawing/2014/main" id="{00000000-0008-0000-1100-00006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2418</xdr:row>
          <xdr:rowOff>0</xdr:rowOff>
        </xdr:from>
        <xdr:to>
          <xdr:col>22</xdr:col>
          <xdr:colOff>180975</xdr:colOff>
          <xdr:row>2418</xdr:row>
          <xdr:rowOff>180975</xdr:rowOff>
        </xdr:to>
        <xdr:sp macro="" textlink="">
          <xdr:nvSpPr>
            <xdr:cNvPr id="16238" name="Check Box 878" hidden="1">
              <a:extLst>
                <a:ext uri="{63B3BB69-23CF-44E3-9099-C40C66FF867C}">
                  <a14:compatExt spid="_x0000_s16238"/>
                </a:ext>
                <a:ext uri="{FF2B5EF4-FFF2-40B4-BE49-F238E27FC236}">
                  <a16:creationId xmlns:a16="http://schemas.microsoft.com/office/drawing/2014/main" id="{00000000-0008-0000-1100-00006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2423</xdr:row>
          <xdr:rowOff>0</xdr:rowOff>
        </xdr:from>
        <xdr:to>
          <xdr:col>22</xdr:col>
          <xdr:colOff>180975</xdr:colOff>
          <xdr:row>2423</xdr:row>
          <xdr:rowOff>180975</xdr:rowOff>
        </xdr:to>
        <xdr:sp macro="" textlink="">
          <xdr:nvSpPr>
            <xdr:cNvPr id="16239" name="Check Box 879" hidden="1">
              <a:extLst>
                <a:ext uri="{63B3BB69-23CF-44E3-9099-C40C66FF867C}">
                  <a14:compatExt spid="_x0000_s16239"/>
                </a:ext>
                <a:ext uri="{FF2B5EF4-FFF2-40B4-BE49-F238E27FC236}">
                  <a16:creationId xmlns:a16="http://schemas.microsoft.com/office/drawing/2014/main" id="{00000000-0008-0000-1100-00006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2424</xdr:row>
          <xdr:rowOff>0</xdr:rowOff>
        </xdr:from>
        <xdr:to>
          <xdr:col>22</xdr:col>
          <xdr:colOff>180975</xdr:colOff>
          <xdr:row>2424</xdr:row>
          <xdr:rowOff>180975</xdr:rowOff>
        </xdr:to>
        <xdr:sp macro="" textlink="">
          <xdr:nvSpPr>
            <xdr:cNvPr id="16240" name="Check Box 880" hidden="1">
              <a:extLst>
                <a:ext uri="{63B3BB69-23CF-44E3-9099-C40C66FF867C}">
                  <a14:compatExt spid="_x0000_s16240"/>
                </a:ext>
                <a:ext uri="{FF2B5EF4-FFF2-40B4-BE49-F238E27FC236}">
                  <a16:creationId xmlns:a16="http://schemas.microsoft.com/office/drawing/2014/main" id="{00000000-0008-0000-1100-00007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2425</xdr:row>
          <xdr:rowOff>0</xdr:rowOff>
        </xdr:from>
        <xdr:to>
          <xdr:col>22</xdr:col>
          <xdr:colOff>180975</xdr:colOff>
          <xdr:row>2425</xdr:row>
          <xdr:rowOff>180975</xdr:rowOff>
        </xdr:to>
        <xdr:sp macro="" textlink="">
          <xdr:nvSpPr>
            <xdr:cNvPr id="16241" name="Check Box 881" hidden="1">
              <a:extLst>
                <a:ext uri="{63B3BB69-23CF-44E3-9099-C40C66FF867C}">
                  <a14:compatExt spid="_x0000_s16241"/>
                </a:ext>
                <a:ext uri="{FF2B5EF4-FFF2-40B4-BE49-F238E27FC236}">
                  <a16:creationId xmlns:a16="http://schemas.microsoft.com/office/drawing/2014/main" id="{00000000-0008-0000-1100-00007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2426</xdr:row>
          <xdr:rowOff>0</xdr:rowOff>
        </xdr:from>
        <xdr:to>
          <xdr:col>22</xdr:col>
          <xdr:colOff>180975</xdr:colOff>
          <xdr:row>2426</xdr:row>
          <xdr:rowOff>180975</xdr:rowOff>
        </xdr:to>
        <xdr:sp macro="" textlink="">
          <xdr:nvSpPr>
            <xdr:cNvPr id="16242" name="Check Box 882" hidden="1">
              <a:extLst>
                <a:ext uri="{63B3BB69-23CF-44E3-9099-C40C66FF867C}">
                  <a14:compatExt spid="_x0000_s16242"/>
                </a:ext>
                <a:ext uri="{FF2B5EF4-FFF2-40B4-BE49-F238E27FC236}">
                  <a16:creationId xmlns:a16="http://schemas.microsoft.com/office/drawing/2014/main" id="{00000000-0008-0000-1100-00007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2427</xdr:row>
          <xdr:rowOff>0</xdr:rowOff>
        </xdr:from>
        <xdr:to>
          <xdr:col>22</xdr:col>
          <xdr:colOff>180975</xdr:colOff>
          <xdr:row>2427</xdr:row>
          <xdr:rowOff>180975</xdr:rowOff>
        </xdr:to>
        <xdr:sp macro="" textlink="">
          <xdr:nvSpPr>
            <xdr:cNvPr id="16243" name="Check Box 883" hidden="1">
              <a:extLst>
                <a:ext uri="{63B3BB69-23CF-44E3-9099-C40C66FF867C}">
                  <a14:compatExt spid="_x0000_s16243"/>
                </a:ext>
                <a:ext uri="{FF2B5EF4-FFF2-40B4-BE49-F238E27FC236}">
                  <a16:creationId xmlns:a16="http://schemas.microsoft.com/office/drawing/2014/main" id="{00000000-0008-0000-1100-00007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2428</xdr:row>
          <xdr:rowOff>0</xdr:rowOff>
        </xdr:from>
        <xdr:to>
          <xdr:col>22</xdr:col>
          <xdr:colOff>180975</xdr:colOff>
          <xdr:row>2428</xdr:row>
          <xdr:rowOff>180975</xdr:rowOff>
        </xdr:to>
        <xdr:sp macro="" textlink="">
          <xdr:nvSpPr>
            <xdr:cNvPr id="16244" name="Check Box 884" hidden="1">
              <a:extLst>
                <a:ext uri="{63B3BB69-23CF-44E3-9099-C40C66FF867C}">
                  <a14:compatExt spid="_x0000_s16244"/>
                </a:ext>
                <a:ext uri="{FF2B5EF4-FFF2-40B4-BE49-F238E27FC236}">
                  <a16:creationId xmlns:a16="http://schemas.microsoft.com/office/drawing/2014/main" id="{00000000-0008-0000-1100-00007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2429</xdr:row>
          <xdr:rowOff>0</xdr:rowOff>
        </xdr:from>
        <xdr:to>
          <xdr:col>22</xdr:col>
          <xdr:colOff>180975</xdr:colOff>
          <xdr:row>2429</xdr:row>
          <xdr:rowOff>180975</xdr:rowOff>
        </xdr:to>
        <xdr:sp macro="" textlink="">
          <xdr:nvSpPr>
            <xdr:cNvPr id="16245" name="Check Box 885" hidden="1">
              <a:extLst>
                <a:ext uri="{63B3BB69-23CF-44E3-9099-C40C66FF867C}">
                  <a14:compatExt spid="_x0000_s16245"/>
                </a:ext>
                <a:ext uri="{FF2B5EF4-FFF2-40B4-BE49-F238E27FC236}">
                  <a16:creationId xmlns:a16="http://schemas.microsoft.com/office/drawing/2014/main" id="{00000000-0008-0000-1100-00007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2459</xdr:row>
          <xdr:rowOff>0</xdr:rowOff>
        </xdr:from>
        <xdr:to>
          <xdr:col>22</xdr:col>
          <xdr:colOff>180975</xdr:colOff>
          <xdr:row>2459</xdr:row>
          <xdr:rowOff>180975</xdr:rowOff>
        </xdr:to>
        <xdr:sp macro="" textlink="">
          <xdr:nvSpPr>
            <xdr:cNvPr id="16246" name="Check Box 886" hidden="1">
              <a:extLst>
                <a:ext uri="{63B3BB69-23CF-44E3-9099-C40C66FF867C}">
                  <a14:compatExt spid="_x0000_s16246"/>
                </a:ext>
                <a:ext uri="{FF2B5EF4-FFF2-40B4-BE49-F238E27FC236}">
                  <a16:creationId xmlns:a16="http://schemas.microsoft.com/office/drawing/2014/main" id="{00000000-0008-0000-1100-00007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2462</xdr:row>
          <xdr:rowOff>0</xdr:rowOff>
        </xdr:from>
        <xdr:to>
          <xdr:col>22</xdr:col>
          <xdr:colOff>180975</xdr:colOff>
          <xdr:row>2462</xdr:row>
          <xdr:rowOff>180975</xdr:rowOff>
        </xdr:to>
        <xdr:sp macro="" textlink="">
          <xdr:nvSpPr>
            <xdr:cNvPr id="16247" name="Check Box 887" hidden="1">
              <a:extLst>
                <a:ext uri="{63B3BB69-23CF-44E3-9099-C40C66FF867C}">
                  <a14:compatExt spid="_x0000_s16247"/>
                </a:ext>
                <a:ext uri="{FF2B5EF4-FFF2-40B4-BE49-F238E27FC236}">
                  <a16:creationId xmlns:a16="http://schemas.microsoft.com/office/drawing/2014/main" id="{00000000-0008-0000-1100-00007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180975</xdr:colOff>
          <xdr:row>109</xdr:row>
          <xdr:rowOff>180975</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1300-000002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165</xdr:row>
          <xdr:rowOff>0</xdr:rowOff>
        </xdr:from>
        <xdr:to>
          <xdr:col>22</xdr:col>
          <xdr:colOff>180975</xdr:colOff>
          <xdr:row>165</xdr:row>
          <xdr:rowOff>180975</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1300-000004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151</xdr:row>
          <xdr:rowOff>0</xdr:rowOff>
        </xdr:from>
        <xdr:to>
          <xdr:col>22</xdr:col>
          <xdr:colOff>180975</xdr:colOff>
          <xdr:row>151</xdr:row>
          <xdr:rowOff>180975</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1300-000006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152</xdr:row>
          <xdr:rowOff>0</xdr:rowOff>
        </xdr:from>
        <xdr:to>
          <xdr:col>22</xdr:col>
          <xdr:colOff>180975</xdr:colOff>
          <xdr:row>152</xdr:row>
          <xdr:rowOff>180975</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1300-000007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153</xdr:row>
          <xdr:rowOff>0</xdr:rowOff>
        </xdr:from>
        <xdr:to>
          <xdr:col>22</xdr:col>
          <xdr:colOff>180975</xdr:colOff>
          <xdr:row>153</xdr:row>
          <xdr:rowOff>180975</xdr:rowOff>
        </xdr:to>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1300-000008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125</xdr:row>
          <xdr:rowOff>0</xdr:rowOff>
        </xdr:from>
        <xdr:to>
          <xdr:col>22</xdr:col>
          <xdr:colOff>180975</xdr:colOff>
          <xdr:row>125</xdr:row>
          <xdr:rowOff>180975</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1300-000009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22</xdr:col>
          <xdr:colOff>180975</xdr:colOff>
          <xdr:row>38</xdr:row>
          <xdr:rowOff>180975</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1300-00000B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0</xdr:rowOff>
        </xdr:from>
        <xdr:to>
          <xdr:col>22</xdr:col>
          <xdr:colOff>180975</xdr:colOff>
          <xdr:row>39</xdr:row>
          <xdr:rowOff>180975</xdr:rowOff>
        </xdr:to>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1300-00000C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180975</xdr:colOff>
          <xdr:row>40</xdr:row>
          <xdr:rowOff>180975</xdr:rowOff>
        </xdr:to>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1300-00000D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0</xdr:rowOff>
        </xdr:from>
        <xdr:to>
          <xdr:col>22</xdr:col>
          <xdr:colOff>180975</xdr:colOff>
          <xdr:row>41</xdr:row>
          <xdr:rowOff>180975</xdr:rowOff>
        </xdr:to>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1300-00000E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0</xdr:rowOff>
        </xdr:from>
        <xdr:to>
          <xdr:col>22</xdr:col>
          <xdr:colOff>180975</xdr:colOff>
          <xdr:row>42</xdr:row>
          <xdr:rowOff>180975</xdr:rowOff>
        </xdr:to>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1300-00000F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0</xdr:rowOff>
        </xdr:from>
        <xdr:to>
          <xdr:col>22</xdr:col>
          <xdr:colOff>180975</xdr:colOff>
          <xdr:row>43</xdr:row>
          <xdr:rowOff>180975</xdr:rowOff>
        </xdr:to>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1300-000010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44</xdr:row>
          <xdr:rowOff>0</xdr:rowOff>
        </xdr:from>
        <xdr:to>
          <xdr:col>22</xdr:col>
          <xdr:colOff>180975</xdr:colOff>
          <xdr:row>44</xdr:row>
          <xdr:rowOff>180975</xdr:rowOff>
        </xdr:to>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1300-000011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0</xdr:rowOff>
        </xdr:from>
        <xdr:to>
          <xdr:col>22</xdr:col>
          <xdr:colOff>180975</xdr:colOff>
          <xdr:row>45</xdr:row>
          <xdr:rowOff>180975</xdr:rowOff>
        </xdr:to>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1300-000012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22</xdr:col>
          <xdr:colOff>180975</xdr:colOff>
          <xdr:row>46</xdr:row>
          <xdr:rowOff>180975</xdr:rowOff>
        </xdr:to>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1300-000013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180975</xdr:colOff>
          <xdr:row>47</xdr:row>
          <xdr:rowOff>180975</xdr:rowOff>
        </xdr:to>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1300-000014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22</xdr:col>
          <xdr:colOff>180975</xdr:colOff>
          <xdr:row>48</xdr:row>
          <xdr:rowOff>180975</xdr:rowOff>
        </xdr:to>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1300-000015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22</xdr:col>
          <xdr:colOff>180975</xdr:colOff>
          <xdr:row>53</xdr:row>
          <xdr:rowOff>180975</xdr:rowOff>
        </xdr:to>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1300-000016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180975</xdr:colOff>
          <xdr:row>54</xdr:row>
          <xdr:rowOff>180975</xdr:rowOff>
        </xdr:to>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1300-000017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22</xdr:col>
          <xdr:colOff>180975</xdr:colOff>
          <xdr:row>17</xdr:row>
          <xdr:rowOff>180975</xdr:rowOff>
        </xdr:to>
        <xdr:sp macro="" textlink="">
          <xdr:nvSpPr>
            <xdr:cNvPr id="253988" name="Check Box 36" hidden="1">
              <a:extLst>
                <a:ext uri="{63B3BB69-23CF-44E3-9099-C40C66FF867C}">
                  <a14:compatExt spid="_x0000_s253988"/>
                </a:ext>
                <a:ext uri="{FF2B5EF4-FFF2-40B4-BE49-F238E27FC236}">
                  <a16:creationId xmlns:a16="http://schemas.microsoft.com/office/drawing/2014/main" id="{00000000-0008-0000-1400-000024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22</xdr:col>
          <xdr:colOff>180975</xdr:colOff>
          <xdr:row>18</xdr:row>
          <xdr:rowOff>180975</xdr:rowOff>
        </xdr:to>
        <xdr:sp macro="" textlink="">
          <xdr:nvSpPr>
            <xdr:cNvPr id="253989" name="Check Box 37" hidden="1">
              <a:extLst>
                <a:ext uri="{63B3BB69-23CF-44E3-9099-C40C66FF867C}">
                  <a14:compatExt spid="_x0000_s253989"/>
                </a:ext>
                <a:ext uri="{FF2B5EF4-FFF2-40B4-BE49-F238E27FC236}">
                  <a16:creationId xmlns:a16="http://schemas.microsoft.com/office/drawing/2014/main" id="{00000000-0008-0000-1400-000025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0</xdr:rowOff>
        </xdr:from>
        <xdr:to>
          <xdr:col>22</xdr:col>
          <xdr:colOff>180975</xdr:colOff>
          <xdr:row>19</xdr:row>
          <xdr:rowOff>180975</xdr:rowOff>
        </xdr:to>
        <xdr:sp macro="" textlink="">
          <xdr:nvSpPr>
            <xdr:cNvPr id="253990" name="Check Box 38" hidden="1">
              <a:extLst>
                <a:ext uri="{63B3BB69-23CF-44E3-9099-C40C66FF867C}">
                  <a14:compatExt spid="_x0000_s253990"/>
                </a:ext>
                <a:ext uri="{FF2B5EF4-FFF2-40B4-BE49-F238E27FC236}">
                  <a16:creationId xmlns:a16="http://schemas.microsoft.com/office/drawing/2014/main" id="{00000000-0008-0000-1400-000026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22</xdr:col>
          <xdr:colOff>180975</xdr:colOff>
          <xdr:row>21</xdr:row>
          <xdr:rowOff>180975</xdr:rowOff>
        </xdr:to>
        <xdr:sp macro="" textlink="">
          <xdr:nvSpPr>
            <xdr:cNvPr id="253991" name="Check Box 39" hidden="1">
              <a:extLst>
                <a:ext uri="{63B3BB69-23CF-44E3-9099-C40C66FF867C}">
                  <a14:compatExt spid="_x0000_s253991"/>
                </a:ext>
                <a:ext uri="{FF2B5EF4-FFF2-40B4-BE49-F238E27FC236}">
                  <a16:creationId xmlns:a16="http://schemas.microsoft.com/office/drawing/2014/main" id="{00000000-0008-0000-1400-000027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22</xdr:col>
          <xdr:colOff>180975</xdr:colOff>
          <xdr:row>22</xdr:row>
          <xdr:rowOff>180975</xdr:rowOff>
        </xdr:to>
        <xdr:sp macro="" textlink="">
          <xdr:nvSpPr>
            <xdr:cNvPr id="253992" name="Check Box 40" hidden="1">
              <a:extLst>
                <a:ext uri="{63B3BB69-23CF-44E3-9099-C40C66FF867C}">
                  <a14:compatExt spid="_x0000_s253992"/>
                </a:ext>
                <a:ext uri="{FF2B5EF4-FFF2-40B4-BE49-F238E27FC236}">
                  <a16:creationId xmlns:a16="http://schemas.microsoft.com/office/drawing/2014/main" id="{00000000-0008-0000-1400-000028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0</xdr:rowOff>
        </xdr:from>
        <xdr:to>
          <xdr:col>22</xdr:col>
          <xdr:colOff>180975</xdr:colOff>
          <xdr:row>23</xdr:row>
          <xdr:rowOff>180975</xdr:rowOff>
        </xdr:to>
        <xdr:sp macro="" textlink="">
          <xdr:nvSpPr>
            <xdr:cNvPr id="253993" name="Check Box 41" hidden="1">
              <a:extLst>
                <a:ext uri="{63B3BB69-23CF-44E3-9099-C40C66FF867C}">
                  <a14:compatExt spid="_x0000_s253993"/>
                </a:ext>
                <a:ext uri="{FF2B5EF4-FFF2-40B4-BE49-F238E27FC236}">
                  <a16:creationId xmlns:a16="http://schemas.microsoft.com/office/drawing/2014/main" id="{00000000-0008-0000-1400-000029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22</xdr:col>
          <xdr:colOff>180975</xdr:colOff>
          <xdr:row>26</xdr:row>
          <xdr:rowOff>180975</xdr:rowOff>
        </xdr:to>
        <xdr:sp macro="" textlink="">
          <xdr:nvSpPr>
            <xdr:cNvPr id="253994" name="Check Box 42" hidden="1">
              <a:extLst>
                <a:ext uri="{63B3BB69-23CF-44E3-9099-C40C66FF867C}">
                  <a14:compatExt spid="_x0000_s253994"/>
                </a:ext>
                <a:ext uri="{FF2B5EF4-FFF2-40B4-BE49-F238E27FC236}">
                  <a16:creationId xmlns:a16="http://schemas.microsoft.com/office/drawing/2014/main" id="{00000000-0008-0000-1400-00002A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22</xdr:col>
          <xdr:colOff>180975</xdr:colOff>
          <xdr:row>27</xdr:row>
          <xdr:rowOff>180975</xdr:rowOff>
        </xdr:to>
        <xdr:sp macro="" textlink="">
          <xdr:nvSpPr>
            <xdr:cNvPr id="253995" name="Check Box 43" hidden="1">
              <a:extLst>
                <a:ext uri="{63B3BB69-23CF-44E3-9099-C40C66FF867C}">
                  <a14:compatExt spid="_x0000_s253995"/>
                </a:ext>
                <a:ext uri="{FF2B5EF4-FFF2-40B4-BE49-F238E27FC236}">
                  <a16:creationId xmlns:a16="http://schemas.microsoft.com/office/drawing/2014/main" id="{00000000-0008-0000-1400-00002B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22</xdr:col>
          <xdr:colOff>180975</xdr:colOff>
          <xdr:row>33</xdr:row>
          <xdr:rowOff>180975</xdr:rowOff>
        </xdr:to>
        <xdr:sp macro="" textlink="">
          <xdr:nvSpPr>
            <xdr:cNvPr id="253996" name="Check Box 44" hidden="1">
              <a:extLst>
                <a:ext uri="{63B3BB69-23CF-44E3-9099-C40C66FF867C}">
                  <a14:compatExt spid="_x0000_s253996"/>
                </a:ext>
                <a:ext uri="{FF2B5EF4-FFF2-40B4-BE49-F238E27FC236}">
                  <a16:creationId xmlns:a16="http://schemas.microsoft.com/office/drawing/2014/main" id="{00000000-0008-0000-1400-00002C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180975</xdr:colOff>
          <xdr:row>40</xdr:row>
          <xdr:rowOff>180975</xdr:rowOff>
        </xdr:to>
        <xdr:sp macro="" textlink="">
          <xdr:nvSpPr>
            <xdr:cNvPr id="253997" name="Check Box 45" hidden="1">
              <a:extLst>
                <a:ext uri="{63B3BB69-23CF-44E3-9099-C40C66FF867C}">
                  <a14:compatExt spid="_x0000_s253997"/>
                </a:ext>
                <a:ext uri="{FF2B5EF4-FFF2-40B4-BE49-F238E27FC236}">
                  <a16:creationId xmlns:a16="http://schemas.microsoft.com/office/drawing/2014/main" id="{00000000-0008-0000-1400-00002D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180975</xdr:colOff>
          <xdr:row>47</xdr:row>
          <xdr:rowOff>180975</xdr:rowOff>
        </xdr:to>
        <xdr:sp macro="" textlink="">
          <xdr:nvSpPr>
            <xdr:cNvPr id="253998" name="Check Box 46" hidden="1">
              <a:extLst>
                <a:ext uri="{63B3BB69-23CF-44E3-9099-C40C66FF867C}">
                  <a14:compatExt spid="_x0000_s253998"/>
                </a:ext>
                <a:ext uri="{FF2B5EF4-FFF2-40B4-BE49-F238E27FC236}">
                  <a16:creationId xmlns:a16="http://schemas.microsoft.com/office/drawing/2014/main" id="{00000000-0008-0000-1400-00002E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180975</xdr:colOff>
          <xdr:row>54</xdr:row>
          <xdr:rowOff>180975</xdr:rowOff>
        </xdr:to>
        <xdr:sp macro="" textlink="">
          <xdr:nvSpPr>
            <xdr:cNvPr id="253999" name="Check Box 47" hidden="1">
              <a:extLst>
                <a:ext uri="{63B3BB69-23CF-44E3-9099-C40C66FF867C}">
                  <a14:compatExt spid="_x0000_s253999"/>
                </a:ext>
                <a:ext uri="{FF2B5EF4-FFF2-40B4-BE49-F238E27FC236}">
                  <a16:creationId xmlns:a16="http://schemas.microsoft.com/office/drawing/2014/main" id="{00000000-0008-0000-1400-00002F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180975</xdr:colOff>
          <xdr:row>109</xdr:row>
          <xdr:rowOff>180975</xdr:rowOff>
        </xdr:to>
        <xdr:sp macro="" textlink="">
          <xdr:nvSpPr>
            <xdr:cNvPr id="254000" name="Check Box 48" hidden="1">
              <a:extLst>
                <a:ext uri="{63B3BB69-23CF-44E3-9099-C40C66FF867C}">
                  <a14:compatExt spid="_x0000_s254000"/>
                </a:ext>
                <a:ext uri="{FF2B5EF4-FFF2-40B4-BE49-F238E27FC236}">
                  <a16:creationId xmlns:a16="http://schemas.microsoft.com/office/drawing/2014/main" id="{00000000-0008-0000-1400-000030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114</xdr:row>
          <xdr:rowOff>0</xdr:rowOff>
        </xdr:from>
        <xdr:to>
          <xdr:col>22</xdr:col>
          <xdr:colOff>180975</xdr:colOff>
          <xdr:row>114</xdr:row>
          <xdr:rowOff>180975</xdr:rowOff>
        </xdr:to>
        <xdr:sp macro="" textlink="">
          <xdr:nvSpPr>
            <xdr:cNvPr id="254001" name="Check Box 49" hidden="1">
              <a:extLst>
                <a:ext uri="{63B3BB69-23CF-44E3-9099-C40C66FF867C}">
                  <a14:compatExt spid="_x0000_s254001"/>
                </a:ext>
                <a:ext uri="{FF2B5EF4-FFF2-40B4-BE49-F238E27FC236}">
                  <a16:creationId xmlns:a16="http://schemas.microsoft.com/office/drawing/2014/main" id="{00000000-0008-0000-1400-000031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0</xdr:rowOff>
        </xdr:from>
        <xdr:to>
          <xdr:col>22</xdr:col>
          <xdr:colOff>180975</xdr:colOff>
          <xdr:row>131</xdr:row>
          <xdr:rowOff>180975</xdr:rowOff>
        </xdr:to>
        <xdr:sp macro="" textlink="">
          <xdr:nvSpPr>
            <xdr:cNvPr id="254002" name="Check Box 50" hidden="1">
              <a:extLst>
                <a:ext uri="{63B3BB69-23CF-44E3-9099-C40C66FF867C}">
                  <a14:compatExt spid="_x0000_s254002"/>
                </a:ext>
                <a:ext uri="{FF2B5EF4-FFF2-40B4-BE49-F238E27FC236}">
                  <a16:creationId xmlns:a16="http://schemas.microsoft.com/office/drawing/2014/main" id="{00000000-0008-0000-1400-000032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5</xdr:row>
      <xdr:rowOff>47625</xdr:rowOff>
    </xdr:from>
    <xdr:to>
      <xdr:col>16</xdr:col>
      <xdr:colOff>433917</xdr:colOff>
      <xdr:row>32</xdr:row>
      <xdr:rowOff>161924</xdr:rowOff>
    </xdr:to>
    <xdr:pic>
      <xdr:nvPicPr>
        <xdr:cNvPr id="8" name="Picture 7" descr="climatezonesbystates.gif">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1" cstate="print"/>
        <a:stretch>
          <a:fillRect/>
        </a:stretch>
      </xdr:blipFill>
      <xdr:spPr>
        <a:xfrm>
          <a:off x="657225" y="1057275"/>
          <a:ext cx="9530292" cy="5257799"/>
        </a:xfrm>
        <a:prstGeom prst="rect">
          <a:avLst/>
        </a:prstGeom>
        <a:effectLst>
          <a:outerShdw blurRad="63500" sx="102000" sy="102000" algn="ct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1143000</xdr:colOff>
          <xdr:row>7</xdr:row>
          <xdr:rowOff>0</xdr:rowOff>
        </xdr:from>
        <xdr:to>
          <xdr:col>6</xdr:col>
          <xdr:colOff>200025</xdr:colOff>
          <xdr:row>8</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247650</xdr:colOff>
      <xdr:row>3</xdr:row>
      <xdr:rowOff>161925</xdr:rowOff>
    </xdr:from>
    <xdr:to>
      <xdr:col>14</xdr:col>
      <xdr:colOff>557742</xdr:colOff>
      <xdr:row>29</xdr:row>
      <xdr:rowOff>85725</xdr:rowOff>
    </xdr:to>
    <xdr:pic>
      <xdr:nvPicPr>
        <xdr:cNvPr id="3" name="Picture 2" descr="Climate Zone Map of the United States">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790575"/>
          <a:ext cx="7625292" cy="4876800"/>
        </a:xfrm>
        <a:prstGeom prst="rect">
          <a:avLst/>
        </a:prstGeom>
        <a:noFill/>
        <a:ln w="9525">
          <a:noFill/>
          <a:miter lim="800000"/>
          <a:headEnd/>
          <a:tailEnd/>
        </a:ln>
        <a:effectLst>
          <a:outerShdw blurRad="63500" sx="102000" sy="102000" algn="ctr" rotWithShape="0">
            <a:prstClr val="black">
              <a:alpha val="40000"/>
            </a:prstClr>
          </a:outerShdw>
        </a:effec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600073</xdr:colOff>
      <xdr:row>6</xdr:row>
      <xdr:rowOff>47622</xdr:rowOff>
    </xdr:from>
    <xdr:ext cx="6816196" cy="8256342"/>
    <xdr:pic>
      <xdr:nvPicPr>
        <xdr:cNvPr id="2" name="Picture 1">
          <a:extLst>
            <a:ext uri="{FF2B5EF4-FFF2-40B4-BE49-F238E27FC236}">
              <a16:creationId xmlns:a16="http://schemas.microsoft.com/office/drawing/2014/main" id="{00000000-0008-0000-2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13" r="2167"/>
        <a:stretch/>
      </xdr:blipFill>
      <xdr:spPr bwMode="auto">
        <a:xfrm>
          <a:off x="600073" y="809622"/>
          <a:ext cx="6816196" cy="8256342"/>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180975</xdr:colOff>
          <xdr:row>14</xdr:row>
          <xdr:rowOff>180975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180975</xdr:colOff>
          <xdr:row>16</xdr:row>
          <xdr:rowOff>180975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180975</xdr:colOff>
          <xdr:row>17</xdr:row>
          <xdr:rowOff>180975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xdr:row>
          <xdr:rowOff>0</xdr:rowOff>
        </xdr:from>
        <xdr:to>
          <xdr:col>22</xdr:col>
          <xdr:colOff>180975</xdr:colOff>
          <xdr:row>18</xdr:row>
          <xdr:rowOff>180975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180975</xdr:colOff>
          <xdr:row>21</xdr:row>
          <xdr:rowOff>180975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xdr:row>
          <xdr:rowOff>0</xdr:rowOff>
        </xdr:from>
        <xdr:to>
          <xdr:col>22</xdr:col>
          <xdr:colOff>180975</xdr:colOff>
          <xdr:row>23</xdr:row>
          <xdr:rowOff>180975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xdr:row>
          <xdr:rowOff>0</xdr:rowOff>
        </xdr:from>
        <xdr:to>
          <xdr:col>22</xdr:col>
          <xdr:colOff>180975</xdr:colOff>
          <xdr:row>25</xdr:row>
          <xdr:rowOff>180975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180975</xdr:colOff>
          <xdr:row>27</xdr:row>
          <xdr:rowOff>180975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180975</xdr:colOff>
          <xdr:row>42</xdr:row>
          <xdr:rowOff>180975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180975</xdr:colOff>
          <xdr:row>58</xdr:row>
          <xdr:rowOff>180975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xdr:row>
          <xdr:rowOff>0</xdr:rowOff>
        </xdr:from>
        <xdr:to>
          <xdr:col>22</xdr:col>
          <xdr:colOff>180975</xdr:colOff>
          <xdr:row>69</xdr:row>
          <xdr:rowOff>180975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xdr:row>
          <xdr:rowOff>0</xdr:rowOff>
        </xdr:from>
        <xdr:to>
          <xdr:col>22</xdr:col>
          <xdr:colOff>180975</xdr:colOff>
          <xdr:row>71</xdr:row>
          <xdr:rowOff>180975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xdr:row>
          <xdr:rowOff>0</xdr:rowOff>
        </xdr:from>
        <xdr:to>
          <xdr:col>22</xdr:col>
          <xdr:colOff>180975</xdr:colOff>
          <xdr:row>73</xdr:row>
          <xdr:rowOff>180975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75</xdr:row>
          <xdr:rowOff>0</xdr:rowOff>
        </xdr:from>
        <xdr:to>
          <xdr:col>22</xdr:col>
          <xdr:colOff>180975</xdr:colOff>
          <xdr:row>75</xdr:row>
          <xdr:rowOff>180975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180975</xdr:colOff>
          <xdr:row>77</xdr:row>
          <xdr:rowOff>180975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180975</xdr:colOff>
          <xdr:row>79</xdr:row>
          <xdr:rowOff>180975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xdr:row>
          <xdr:rowOff>0</xdr:rowOff>
        </xdr:from>
        <xdr:to>
          <xdr:col>22</xdr:col>
          <xdr:colOff>180975</xdr:colOff>
          <xdr:row>81</xdr:row>
          <xdr:rowOff>180975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180975</xdr:colOff>
          <xdr:row>90</xdr:row>
          <xdr:rowOff>180975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180975</xdr:colOff>
          <xdr:row>91</xdr:row>
          <xdr:rowOff>180975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98</xdr:row>
          <xdr:rowOff>0</xdr:rowOff>
        </xdr:from>
        <xdr:to>
          <xdr:col>22</xdr:col>
          <xdr:colOff>180975</xdr:colOff>
          <xdr:row>98</xdr:row>
          <xdr:rowOff>180975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180975</xdr:colOff>
          <xdr:row>100</xdr:row>
          <xdr:rowOff>180975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180975</xdr:colOff>
          <xdr:row>104</xdr:row>
          <xdr:rowOff>180975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180975</xdr:colOff>
          <xdr:row>108</xdr:row>
          <xdr:rowOff>180975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xdr:row>
          <xdr:rowOff>0</xdr:rowOff>
        </xdr:from>
        <xdr:to>
          <xdr:col>22</xdr:col>
          <xdr:colOff>180975</xdr:colOff>
          <xdr:row>109</xdr:row>
          <xdr:rowOff>180975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180975</xdr:colOff>
          <xdr:row>111</xdr:row>
          <xdr:rowOff>180975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180975</xdr:colOff>
          <xdr:row>112</xdr:row>
          <xdr:rowOff>180975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xdr:row>
          <xdr:rowOff>0</xdr:rowOff>
        </xdr:from>
        <xdr:to>
          <xdr:col>22</xdr:col>
          <xdr:colOff>180975</xdr:colOff>
          <xdr:row>113</xdr:row>
          <xdr:rowOff>180975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xdr:row>
          <xdr:rowOff>0</xdr:rowOff>
        </xdr:from>
        <xdr:to>
          <xdr:col>22</xdr:col>
          <xdr:colOff>180975</xdr:colOff>
          <xdr:row>121</xdr:row>
          <xdr:rowOff>180975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xdr:row>
          <xdr:rowOff>0</xdr:rowOff>
        </xdr:from>
        <xdr:to>
          <xdr:col>22</xdr:col>
          <xdr:colOff>180975</xdr:colOff>
          <xdr:row>124</xdr:row>
          <xdr:rowOff>180975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xdr:row>
          <xdr:rowOff>0</xdr:rowOff>
        </xdr:from>
        <xdr:to>
          <xdr:col>22</xdr:col>
          <xdr:colOff>180975</xdr:colOff>
          <xdr:row>155</xdr:row>
          <xdr:rowOff>180975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180975</xdr:colOff>
          <xdr:row>157</xdr:row>
          <xdr:rowOff>180975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180975</xdr:colOff>
          <xdr:row>160</xdr:row>
          <xdr:rowOff>180975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180975</xdr:colOff>
          <xdr:row>170</xdr:row>
          <xdr:rowOff>180975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180975</xdr:colOff>
          <xdr:row>171</xdr:row>
          <xdr:rowOff>180975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xdr:row>
          <xdr:rowOff>0</xdr:rowOff>
        </xdr:from>
        <xdr:to>
          <xdr:col>22</xdr:col>
          <xdr:colOff>180975</xdr:colOff>
          <xdr:row>176</xdr:row>
          <xdr:rowOff>180975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180975</xdr:colOff>
          <xdr:row>178</xdr:row>
          <xdr:rowOff>180975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180975</xdr:colOff>
          <xdr:row>181</xdr:row>
          <xdr:rowOff>180975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180975</xdr:colOff>
          <xdr:row>183</xdr:row>
          <xdr:rowOff>180975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180975</xdr:colOff>
          <xdr:row>185</xdr:row>
          <xdr:rowOff>180975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180975</xdr:colOff>
          <xdr:row>189</xdr:row>
          <xdr:rowOff>180975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180975</xdr:colOff>
          <xdr:row>190</xdr:row>
          <xdr:rowOff>180975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180975</xdr:colOff>
          <xdr:row>191</xdr:row>
          <xdr:rowOff>180975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xdr:row>
          <xdr:rowOff>0</xdr:rowOff>
        </xdr:from>
        <xdr:to>
          <xdr:col>22</xdr:col>
          <xdr:colOff>180975</xdr:colOff>
          <xdr:row>193</xdr:row>
          <xdr:rowOff>180975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xdr:row>
          <xdr:rowOff>0</xdr:rowOff>
        </xdr:from>
        <xdr:to>
          <xdr:col>22</xdr:col>
          <xdr:colOff>180975</xdr:colOff>
          <xdr:row>208</xdr:row>
          <xdr:rowOff>180975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180975</xdr:colOff>
          <xdr:row>215</xdr:row>
          <xdr:rowOff>180975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216</xdr:row>
          <xdr:rowOff>0</xdr:rowOff>
        </xdr:from>
        <xdr:to>
          <xdr:col>22</xdr:col>
          <xdr:colOff>180975</xdr:colOff>
          <xdr:row>216</xdr:row>
          <xdr:rowOff>180975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180975</xdr:colOff>
          <xdr:row>218</xdr:row>
          <xdr:rowOff>180975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xdr:row>
          <xdr:rowOff>0</xdr:rowOff>
        </xdr:from>
        <xdr:to>
          <xdr:col>22</xdr:col>
          <xdr:colOff>180975</xdr:colOff>
          <xdr:row>223</xdr:row>
          <xdr:rowOff>180975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xdr:row>
          <xdr:rowOff>0</xdr:rowOff>
        </xdr:from>
        <xdr:to>
          <xdr:col>22</xdr:col>
          <xdr:colOff>180975</xdr:colOff>
          <xdr:row>225</xdr:row>
          <xdr:rowOff>180975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xdr:row>
          <xdr:rowOff>0</xdr:rowOff>
        </xdr:from>
        <xdr:to>
          <xdr:col>22</xdr:col>
          <xdr:colOff>180975</xdr:colOff>
          <xdr:row>226</xdr:row>
          <xdr:rowOff>180975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180975</xdr:colOff>
          <xdr:row>228</xdr:row>
          <xdr:rowOff>180975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180975</xdr:colOff>
          <xdr:row>230</xdr:row>
          <xdr:rowOff>180975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xdr:row>
          <xdr:rowOff>0</xdr:rowOff>
        </xdr:from>
        <xdr:to>
          <xdr:col>22</xdr:col>
          <xdr:colOff>180975</xdr:colOff>
          <xdr:row>234</xdr:row>
          <xdr:rowOff>180975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180975</xdr:colOff>
          <xdr:row>237</xdr:row>
          <xdr:rowOff>180975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xdr:row>
          <xdr:rowOff>0</xdr:rowOff>
        </xdr:from>
        <xdr:to>
          <xdr:col>22</xdr:col>
          <xdr:colOff>180975</xdr:colOff>
          <xdr:row>239</xdr:row>
          <xdr:rowOff>180975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180975</xdr:colOff>
          <xdr:row>240</xdr:row>
          <xdr:rowOff>180975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180975</xdr:colOff>
          <xdr:row>241</xdr:row>
          <xdr:rowOff>180975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180975</xdr:colOff>
          <xdr:row>242</xdr:row>
          <xdr:rowOff>180975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180975</xdr:colOff>
          <xdr:row>243</xdr:row>
          <xdr:rowOff>180975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180975</xdr:colOff>
          <xdr:row>244</xdr:row>
          <xdr:rowOff>180975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246</xdr:row>
          <xdr:rowOff>0</xdr:rowOff>
        </xdr:from>
        <xdr:to>
          <xdr:col>22</xdr:col>
          <xdr:colOff>180975</xdr:colOff>
          <xdr:row>246</xdr:row>
          <xdr:rowOff>180975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253</xdr:row>
          <xdr:rowOff>0</xdr:rowOff>
        </xdr:from>
        <xdr:to>
          <xdr:col>22</xdr:col>
          <xdr:colOff>180975</xdr:colOff>
          <xdr:row>253</xdr:row>
          <xdr:rowOff>180975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255</xdr:row>
          <xdr:rowOff>0</xdr:rowOff>
        </xdr:from>
        <xdr:to>
          <xdr:col>22</xdr:col>
          <xdr:colOff>180975</xdr:colOff>
          <xdr:row>255</xdr:row>
          <xdr:rowOff>180975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264</xdr:row>
          <xdr:rowOff>0</xdr:rowOff>
        </xdr:from>
        <xdr:to>
          <xdr:col>22</xdr:col>
          <xdr:colOff>180975</xdr:colOff>
          <xdr:row>264</xdr:row>
          <xdr:rowOff>180975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267</xdr:row>
          <xdr:rowOff>0</xdr:rowOff>
        </xdr:from>
        <xdr:to>
          <xdr:col>22</xdr:col>
          <xdr:colOff>180975</xdr:colOff>
          <xdr:row>267</xdr:row>
          <xdr:rowOff>180975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271</xdr:row>
          <xdr:rowOff>0</xdr:rowOff>
        </xdr:from>
        <xdr:to>
          <xdr:col>22</xdr:col>
          <xdr:colOff>180975</xdr:colOff>
          <xdr:row>271</xdr:row>
          <xdr:rowOff>180975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272</xdr:row>
          <xdr:rowOff>0</xdr:rowOff>
        </xdr:from>
        <xdr:to>
          <xdr:col>22</xdr:col>
          <xdr:colOff>180975</xdr:colOff>
          <xdr:row>272</xdr:row>
          <xdr:rowOff>180975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282</xdr:row>
          <xdr:rowOff>0</xdr:rowOff>
        </xdr:from>
        <xdr:to>
          <xdr:col>22</xdr:col>
          <xdr:colOff>180975</xdr:colOff>
          <xdr:row>282</xdr:row>
          <xdr:rowOff>180975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180975</xdr:colOff>
          <xdr:row>50</xdr:row>
          <xdr:rowOff>180975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180975</xdr:colOff>
          <xdr:row>52</xdr:row>
          <xdr:rowOff>180975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180975</xdr:colOff>
          <xdr:row>55</xdr:row>
          <xdr:rowOff>180975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xdr:row>
          <xdr:rowOff>0</xdr:rowOff>
        </xdr:from>
        <xdr:to>
          <xdr:col>22</xdr:col>
          <xdr:colOff>180975</xdr:colOff>
          <xdr:row>83</xdr:row>
          <xdr:rowOff>180975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180975</xdr:colOff>
          <xdr:row>140</xdr:row>
          <xdr:rowOff>180975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180975</xdr:colOff>
          <xdr:row>142</xdr:row>
          <xdr:rowOff>180975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xdr:row>
          <xdr:rowOff>0</xdr:rowOff>
        </xdr:from>
        <xdr:to>
          <xdr:col>22</xdr:col>
          <xdr:colOff>180975</xdr:colOff>
          <xdr:row>162</xdr:row>
          <xdr:rowOff>180975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288</xdr:row>
          <xdr:rowOff>0</xdr:rowOff>
        </xdr:from>
        <xdr:to>
          <xdr:col>22</xdr:col>
          <xdr:colOff>180975</xdr:colOff>
          <xdr:row>288</xdr:row>
          <xdr:rowOff>180975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291</xdr:row>
          <xdr:rowOff>0</xdr:rowOff>
        </xdr:from>
        <xdr:to>
          <xdr:col>22</xdr:col>
          <xdr:colOff>180975</xdr:colOff>
          <xdr:row>291</xdr:row>
          <xdr:rowOff>180975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180975</xdr:colOff>
          <xdr:row>292</xdr:row>
          <xdr:rowOff>180975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180975</xdr:colOff>
          <xdr:row>305</xdr:row>
          <xdr:rowOff>180975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180975</xdr:colOff>
          <xdr:row>309</xdr:row>
          <xdr:rowOff>180975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180975</xdr:colOff>
          <xdr:row>312</xdr:row>
          <xdr:rowOff>180975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180975</xdr:colOff>
          <xdr:row>315</xdr:row>
          <xdr:rowOff>180975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316</xdr:row>
          <xdr:rowOff>0</xdr:rowOff>
        </xdr:from>
        <xdr:to>
          <xdr:col>22</xdr:col>
          <xdr:colOff>180975</xdr:colOff>
          <xdr:row>316</xdr:row>
          <xdr:rowOff>180975</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321</xdr:row>
          <xdr:rowOff>0</xdr:rowOff>
        </xdr:from>
        <xdr:to>
          <xdr:col>22</xdr:col>
          <xdr:colOff>180975</xdr:colOff>
          <xdr:row>321</xdr:row>
          <xdr:rowOff>180975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323</xdr:row>
          <xdr:rowOff>0</xdr:rowOff>
        </xdr:from>
        <xdr:to>
          <xdr:col>22</xdr:col>
          <xdr:colOff>180975</xdr:colOff>
          <xdr:row>323</xdr:row>
          <xdr:rowOff>180975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325</xdr:row>
          <xdr:rowOff>0</xdr:rowOff>
        </xdr:from>
        <xdr:to>
          <xdr:col>22</xdr:col>
          <xdr:colOff>180975</xdr:colOff>
          <xdr:row>325</xdr:row>
          <xdr:rowOff>180975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180975</xdr:colOff>
          <xdr:row>30</xdr:row>
          <xdr:rowOff>180975</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xdr:row>
          <xdr:rowOff>0</xdr:rowOff>
        </xdr:from>
        <xdr:to>
          <xdr:col>22</xdr:col>
          <xdr:colOff>180975</xdr:colOff>
          <xdr:row>33</xdr:row>
          <xdr:rowOff>180975</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xdr:row>
          <xdr:rowOff>0</xdr:rowOff>
        </xdr:from>
        <xdr:to>
          <xdr:col>22</xdr:col>
          <xdr:colOff>180975</xdr:colOff>
          <xdr:row>36</xdr:row>
          <xdr:rowOff>180975</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180975</xdr:colOff>
          <xdr:row>40</xdr:row>
          <xdr:rowOff>180975</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180975</xdr:colOff>
          <xdr:row>41</xdr:row>
          <xdr:rowOff>180975</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180975</xdr:colOff>
          <xdr:row>42</xdr:row>
          <xdr:rowOff>180975</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180975</xdr:colOff>
          <xdr:row>43</xdr:row>
          <xdr:rowOff>180975</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180975</xdr:colOff>
          <xdr:row>44</xdr:row>
          <xdr:rowOff>180975</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180975</xdr:colOff>
          <xdr:row>45</xdr:row>
          <xdr:rowOff>180975</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180975</xdr:colOff>
          <xdr:row>51</xdr:row>
          <xdr:rowOff>180975</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180975</xdr:colOff>
          <xdr:row>52</xdr:row>
          <xdr:rowOff>180975</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180975</xdr:colOff>
          <xdr:row>53</xdr:row>
          <xdr:rowOff>180975</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180975</xdr:colOff>
          <xdr:row>54</xdr:row>
          <xdr:rowOff>180975</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180975</xdr:colOff>
          <xdr:row>55</xdr:row>
          <xdr:rowOff>180975</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180975</xdr:colOff>
          <xdr:row>79</xdr:row>
          <xdr:rowOff>180975</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xdr:row>
          <xdr:rowOff>0</xdr:rowOff>
        </xdr:from>
        <xdr:to>
          <xdr:col>22</xdr:col>
          <xdr:colOff>180975</xdr:colOff>
          <xdr:row>95</xdr:row>
          <xdr:rowOff>180975</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180975</xdr:colOff>
          <xdr:row>99</xdr:row>
          <xdr:rowOff>180975</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180975</xdr:colOff>
          <xdr:row>100</xdr:row>
          <xdr:rowOff>180975</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180975</xdr:colOff>
          <xdr:row>102</xdr:row>
          <xdr:rowOff>180975</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180975</xdr:colOff>
          <xdr:row>104</xdr:row>
          <xdr:rowOff>180975</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180975</xdr:colOff>
          <xdr:row>110</xdr:row>
          <xdr:rowOff>180975</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xdr:row>
          <xdr:rowOff>0</xdr:rowOff>
        </xdr:from>
        <xdr:to>
          <xdr:col>22</xdr:col>
          <xdr:colOff>180975</xdr:colOff>
          <xdr:row>116</xdr:row>
          <xdr:rowOff>180975</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xdr:row>
          <xdr:rowOff>0</xdr:rowOff>
        </xdr:from>
        <xdr:to>
          <xdr:col>22</xdr:col>
          <xdr:colOff>180975</xdr:colOff>
          <xdr:row>122</xdr:row>
          <xdr:rowOff>180975</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xdr:row>
          <xdr:rowOff>0</xdr:rowOff>
        </xdr:from>
        <xdr:to>
          <xdr:col>22</xdr:col>
          <xdr:colOff>180975</xdr:colOff>
          <xdr:row>124</xdr:row>
          <xdr:rowOff>180975</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180975</xdr:colOff>
          <xdr:row>130</xdr:row>
          <xdr:rowOff>180975</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180975</xdr:colOff>
          <xdr:row>134</xdr:row>
          <xdr:rowOff>180975</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180975</xdr:colOff>
          <xdr:row>138</xdr:row>
          <xdr:rowOff>180975</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180975</xdr:colOff>
          <xdr:row>143</xdr:row>
          <xdr:rowOff>180975</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180975</xdr:colOff>
          <xdr:row>148</xdr:row>
          <xdr:rowOff>180975</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180975</xdr:colOff>
          <xdr:row>150</xdr:row>
          <xdr:rowOff>180975</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180975</xdr:colOff>
          <xdr:row>152</xdr:row>
          <xdr:rowOff>180975</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xdr:row>
          <xdr:rowOff>0</xdr:rowOff>
        </xdr:from>
        <xdr:to>
          <xdr:col>22</xdr:col>
          <xdr:colOff>180975</xdr:colOff>
          <xdr:row>164</xdr:row>
          <xdr:rowOff>180975</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xdr:row>
          <xdr:rowOff>0</xdr:rowOff>
        </xdr:from>
        <xdr:to>
          <xdr:col>22</xdr:col>
          <xdr:colOff>180975</xdr:colOff>
          <xdr:row>174</xdr:row>
          <xdr:rowOff>180975</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180975</xdr:colOff>
          <xdr:row>177</xdr:row>
          <xdr:rowOff>180975</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180975</xdr:colOff>
          <xdr:row>178</xdr:row>
          <xdr:rowOff>180975</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xdr:row>
          <xdr:rowOff>0</xdr:rowOff>
        </xdr:from>
        <xdr:to>
          <xdr:col>22</xdr:col>
          <xdr:colOff>180975</xdr:colOff>
          <xdr:row>188</xdr:row>
          <xdr:rowOff>180975</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180975</xdr:colOff>
          <xdr:row>190</xdr:row>
          <xdr:rowOff>180975</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180975</xdr:colOff>
          <xdr:row>206</xdr:row>
          <xdr:rowOff>180975</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xdr:row>
          <xdr:rowOff>0</xdr:rowOff>
        </xdr:from>
        <xdr:to>
          <xdr:col>22</xdr:col>
          <xdr:colOff>180975</xdr:colOff>
          <xdr:row>217</xdr:row>
          <xdr:rowOff>180975</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180975</xdr:colOff>
          <xdr:row>218</xdr:row>
          <xdr:rowOff>180975</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xdr:row>
          <xdr:rowOff>0</xdr:rowOff>
        </xdr:from>
        <xdr:to>
          <xdr:col>22</xdr:col>
          <xdr:colOff>180975</xdr:colOff>
          <xdr:row>226</xdr:row>
          <xdr:rowOff>180975</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180975</xdr:colOff>
          <xdr:row>228</xdr:row>
          <xdr:rowOff>180975</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180975</xdr:colOff>
          <xdr:row>229</xdr:row>
          <xdr:rowOff>180975</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xdr:row>
          <xdr:rowOff>0</xdr:rowOff>
        </xdr:from>
        <xdr:to>
          <xdr:col>22</xdr:col>
          <xdr:colOff>180975</xdr:colOff>
          <xdr:row>232</xdr:row>
          <xdr:rowOff>180975</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180975</xdr:colOff>
          <xdr:row>236</xdr:row>
          <xdr:rowOff>180975</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180975</xdr:colOff>
          <xdr:row>241</xdr:row>
          <xdr:rowOff>180975</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180975</xdr:colOff>
          <xdr:row>243</xdr:row>
          <xdr:rowOff>180975</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260</xdr:row>
          <xdr:rowOff>0</xdr:rowOff>
        </xdr:from>
        <xdr:to>
          <xdr:col>22</xdr:col>
          <xdr:colOff>180975</xdr:colOff>
          <xdr:row>260</xdr:row>
          <xdr:rowOff>180975</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180975</xdr:colOff>
          <xdr:row>277</xdr:row>
          <xdr:rowOff>180975</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180975</xdr:colOff>
          <xdr:row>290</xdr:row>
          <xdr:rowOff>180975</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180975</xdr:colOff>
          <xdr:row>292</xdr:row>
          <xdr:rowOff>180975</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180975</xdr:colOff>
          <xdr:row>305</xdr:row>
          <xdr:rowOff>180975</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180975</xdr:colOff>
          <xdr:row>306</xdr:row>
          <xdr:rowOff>180975</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180975</xdr:colOff>
          <xdr:row>307</xdr:row>
          <xdr:rowOff>180975</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180975</xdr:colOff>
          <xdr:row>308</xdr:row>
          <xdr:rowOff>180975</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180975</xdr:colOff>
          <xdr:row>309</xdr:row>
          <xdr:rowOff>180975</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310</xdr:row>
          <xdr:rowOff>0</xdr:rowOff>
        </xdr:from>
        <xdr:to>
          <xdr:col>22</xdr:col>
          <xdr:colOff>180975</xdr:colOff>
          <xdr:row>310</xdr:row>
          <xdr:rowOff>180975</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180975</xdr:colOff>
          <xdr:row>311</xdr:row>
          <xdr:rowOff>180975</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180975</xdr:colOff>
          <xdr:row>312</xdr:row>
          <xdr:rowOff>180975</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180975</xdr:colOff>
          <xdr:row>313</xdr:row>
          <xdr:rowOff>180975</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364</xdr:row>
          <xdr:rowOff>0</xdr:rowOff>
        </xdr:from>
        <xdr:to>
          <xdr:col>22</xdr:col>
          <xdr:colOff>180975</xdr:colOff>
          <xdr:row>364</xdr:row>
          <xdr:rowOff>180975</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369</xdr:row>
          <xdr:rowOff>0</xdr:rowOff>
        </xdr:from>
        <xdr:to>
          <xdr:col>22</xdr:col>
          <xdr:colOff>180975</xdr:colOff>
          <xdr:row>369</xdr:row>
          <xdr:rowOff>180975</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375</xdr:row>
          <xdr:rowOff>0</xdr:rowOff>
        </xdr:from>
        <xdr:to>
          <xdr:col>22</xdr:col>
          <xdr:colOff>180975</xdr:colOff>
          <xdr:row>375</xdr:row>
          <xdr:rowOff>180975</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408</xdr:row>
          <xdr:rowOff>0</xdr:rowOff>
        </xdr:from>
        <xdr:to>
          <xdr:col>22</xdr:col>
          <xdr:colOff>180975</xdr:colOff>
          <xdr:row>408</xdr:row>
          <xdr:rowOff>180975</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417</xdr:row>
          <xdr:rowOff>0</xdr:rowOff>
        </xdr:from>
        <xdr:to>
          <xdr:col>22</xdr:col>
          <xdr:colOff>180975</xdr:colOff>
          <xdr:row>417</xdr:row>
          <xdr:rowOff>180975</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425</xdr:row>
          <xdr:rowOff>0</xdr:rowOff>
        </xdr:from>
        <xdr:to>
          <xdr:col>22</xdr:col>
          <xdr:colOff>180975</xdr:colOff>
          <xdr:row>425</xdr:row>
          <xdr:rowOff>180975</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505</xdr:row>
          <xdr:rowOff>0</xdr:rowOff>
        </xdr:from>
        <xdr:to>
          <xdr:col>22</xdr:col>
          <xdr:colOff>180975</xdr:colOff>
          <xdr:row>505</xdr:row>
          <xdr:rowOff>180975</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506</xdr:row>
          <xdr:rowOff>0</xdr:rowOff>
        </xdr:from>
        <xdr:to>
          <xdr:col>22</xdr:col>
          <xdr:colOff>180975</xdr:colOff>
          <xdr:row>506</xdr:row>
          <xdr:rowOff>180975</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508</xdr:row>
          <xdr:rowOff>0</xdr:rowOff>
        </xdr:from>
        <xdr:to>
          <xdr:col>22</xdr:col>
          <xdr:colOff>180975</xdr:colOff>
          <xdr:row>508</xdr:row>
          <xdr:rowOff>180975</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510</xdr:row>
          <xdr:rowOff>0</xdr:rowOff>
        </xdr:from>
        <xdr:to>
          <xdr:col>22</xdr:col>
          <xdr:colOff>180975</xdr:colOff>
          <xdr:row>510</xdr:row>
          <xdr:rowOff>180975</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512</xdr:row>
          <xdr:rowOff>0</xdr:rowOff>
        </xdr:from>
        <xdr:to>
          <xdr:col>22</xdr:col>
          <xdr:colOff>180975</xdr:colOff>
          <xdr:row>512</xdr:row>
          <xdr:rowOff>180975</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22</xdr:col>
          <xdr:colOff>180975</xdr:colOff>
          <xdr:row>514</xdr:row>
          <xdr:rowOff>180975</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516</xdr:row>
          <xdr:rowOff>0</xdr:rowOff>
        </xdr:from>
        <xdr:to>
          <xdr:col>22</xdr:col>
          <xdr:colOff>180975</xdr:colOff>
          <xdr:row>516</xdr:row>
          <xdr:rowOff>180975</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520</xdr:row>
          <xdr:rowOff>0</xdr:rowOff>
        </xdr:from>
        <xdr:to>
          <xdr:col>22</xdr:col>
          <xdr:colOff>180975</xdr:colOff>
          <xdr:row>520</xdr:row>
          <xdr:rowOff>180975</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525</xdr:row>
          <xdr:rowOff>0</xdr:rowOff>
        </xdr:from>
        <xdr:to>
          <xdr:col>22</xdr:col>
          <xdr:colOff>180975</xdr:colOff>
          <xdr:row>525</xdr:row>
          <xdr:rowOff>180975</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529</xdr:row>
          <xdr:rowOff>0</xdr:rowOff>
        </xdr:from>
        <xdr:to>
          <xdr:col>22</xdr:col>
          <xdr:colOff>180975</xdr:colOff>
          <xdr:row>529</xdr:row>
          <xdr:rowOff>180975</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531</xdr:row>
          <xdr:rowOff>0</xdr:rowOff>
        </xdr:from>
        <xdr:to>
          <xdr:col>22</xdr:col>
          <xdr:colOff>180975</xdr:colOff>
          <xdr:row>531</xdr:row>
          <xdr:rowOff>180975</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533</xdr:row>
          <xdr:rowOff>0</xdr:rowOff>
        </xdr:from>
        <xdr:to>
          <xdr:col>22</xdr:col>
          <xdr:colOff>180975</xdr:colOff>
          <xdr:row>533</xdr:row>
          <xdr:rowOff>180975</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534</xdr:row>
          <xdr:rowOff>0</xdr:rowOff>
        </xdr:from>
        <xdr:to>
          <xdr:col>22</xdr:col>
          <xdr:colOff>180975</xdr:colOff>
          <xdr:row>534</xdr:row>
          <xdr:rowOff>180975</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535</xdr:row>
          <xdr:rowOff>0</xdr:rowOff>
        </xdr:from>
        <xdr:to>
          <xdr:col>22</xdr:col>
          <xdr:colOff>180975</xdr:colOff>
          <xdr:row>535</xdr:row>
          <xdr:rowOff>180975</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539</xdr:row>
          <xdr:rowOff>0</xdr:rowOff>
        </xdr:from>
        <xdr:to>
          <xdr:col>22</xdr:col>
          <xdr:colOff>180975</xdr:colOff>
          <xdr:row>539</xdr:row>
          <xdr:rowOff>180975</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180975</xdr:colOff>
          <xdr:row>219</xdr:row>
          <xdr:rowOff>180975</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274</xdr:row>
          <xdr:rowOff>0</xdr:rowOff>
        </xdr:from>
        <xdr:to>
          <xdr:col>22</xdr:col>
          <xdr:colOff>180975</xdr:colOff>
          <xdr:row>274</xdr:row>
          <xdr:rowOff>180975</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62</xdr:row>
          <xdr:rowOff>0</xdr:rowOff>
        </xdr:from>
        <xdr:to>
          <xdr:col>22</xdr:col>
          <xdr:colOff>180975</xdr:colOff>
          <xdr:row>62</xdr:row>
          <xdr:rowOff>180975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xdr:row>
          <xdr:rowOff>0</xdr:rowOff>
        </xdr:from>
        <xdr:to>
          <xdr:col>22</xdr:col>
          <xdr:colOff>180975</xdr:colOff>
          <xdr:row>67</xdr:row>
          <xdr:rowOff>180975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xdr:row>
          <xdr:rowOff>0</xdr:rowOff>
        </xdr:from>
        <xdr:to>
          <xdr:col>22</xdr:col>
          <xdr:colOff>180975</xdr:colOff>
          <xdr:row>84</xdr:row>
          <xdr:rowOff>180975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180975</xdr:colOff>
          <xdr:row>149</xdr:row>
          <xdr:rowOff>180975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xdr:row>
          <xdr:rowOff>0</xdr:rowOff>
        </xdr:from>
        <xdr:to>
          <xdr:col>22</xdr:col>
          <xdr:colOff>180975</xdr:colOff>
          <xdr:row>169</xdr:row>
          <xdr:rowOff>180975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180975</xdr:colOff>
          <xdr:row>171</xdr:row>
          <xdr:rowOff>180975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180975</xdr:colOff>
          <xdr:row>178</xdr:row>
          <xdr:rowOff>180975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180975</xdr:colOff>
          <xdr:row>76</xdr:row>
          <xdr:rowOff>180975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180975</xdr:colOff>
          <xdr:row>79</xdr:row>
          <xdr:rowOff>180975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180975</xdr:colOff>
          <xdr:row>80</xdr:row>
          <xdr:rowOff>180975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180975</xdr:colOff>
          <xdr:row>120</xdr:row>
          <xdr:rowOff>180975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xdr:row>
          <xdr:rowOff>0</xdr:rowOff>
        </xdr:from>
        <xdr:to>
          <xdr:col>22</xdr:col>
          <xdr:colOff>180975</xdr:colOff>
          <xdr:row>123</xdr:row>
          <xdr:rowOff>180975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180975</xdr:colOff>
          <xdr:row>172</xdr:row>
          <xdr:rowOff>180975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xdr:row>
          <xdr:rowOff>0</xdr:rowOff>
        </xdr:from>
        <xdr:to>
          <xdr:col>22</xdr:col>
          <xdr:colOff>180975</xdr:colOff>
          <xdr:row>195</xdr:row>
          <xdr:rowOff>180975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180975</xdr:colOff>
          <xdr:row>210</xdr:row>
          <xdr:rowOff>180975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180975</xdr:colOff>
          <xdr:row>219</xdr:row>
          <xdr:rowOff>180975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180975</xdr:colOff>
          <xdr:row>228</xdr:row>
          <xdr:rowOff>180975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665</xdr:row>
          <xdr:rowOff>0</xdr:rowOff>
        </xdr:from>
        <xdr:to>
          <xdr:col>22</xdr:col>
          <xdr:colOff>180975</xdr:colOff>
          <xdr:row>665</xdr:row>
          <xdr:rowOff>180975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666</xdr:row>
          <xdr:rowOff>0</xdr:rowOff>
        </xdr:from>
        <xdr:to>
          <xdr:col>22</xdr:col>
          <xdr:colOff>180975</xdr:colOff>
          <xdr:row>666</xdr:row>
          <xdr:rowOff>180975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667</xdr:row>
          <xdr:rowOff>0</xdr:rowOff>
        </xdr:from>
        <xdr:to>
          <xdr:col>22</xdr:col>
          <xdr:colOff>180975</xdr:colOff>
          <xdr:row>667</xdr:row>
          <xdr:rowOff>180975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668</xdr:row>
          <xdr:rowOff>0</xdr:rowOff>
        </xdr:from>
        <xdr:to>
          <xdr:col>22</xdr:col>
          <xdr:colOff>180975</xdr:colOff>
          <xdr:row>668</xdr:row>
          <xdr:rowOff>180975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670</xdr:row>
          <xdr:rowOff>0</xdr:rowOff>
        </xdr:from>
        <xdr:to>
          <xdr:col>22</xdr:col>
          <xdr:colOff>180975</xdr:colOff>
          <xdr:row>670</xdr:row>
          <xdr:rowOff>180975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673</xdr:row>
          <xdr:rowOff>0</xdr:rowOff>
        </xdr:from>
        <xdr:to>
          <xdr:col>22</xdr:col>
          <xdr:colOff>180975</xdr:colOff>
          <xdr:row>673</xdr:row>
          <xdr:rowOff>180975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693</xdr:row>
          <xdr:rowOff>0</xdr:rowOff>
        </xdr:from>
        <xdr:to>
          <xdr:col>22</xdr:col>
          <xdr:colOff>180975</xdr:colOff>
          <xdr:row>693</xdr:row>
          <xdr:rowOff>180975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694</xdr:row>
          <xdr:rowOff>0</xdr:rowOff>
        </xdr:from>
        <xdr:to>
          <xdr:col>22</xdr:col>
          <xdr:colOff>180975</xdr:colOff>
          <xdr:row>694</xdr:row>
          <xdr:rowOff>180975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695</xdr:row>
          <xdr:rowOff>0</xdr:rowOff>
        </xdr:from>
        <xdr:to>
          <xdr:col>22</xdr:col>
          <xdr:colOff>180975</xdr:colOff>
          <xdr:row>695</xdr:row>
          <xdr:rowOff>180975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696</xdr:row>
          <xdr:rowOff>0</xdr:rowOff>
        </xdr:from>
        <xdr:to>
          <xdr:col>22</xdr:col>
          <xdr:colOff>180975</xdr:colOff>
          <xdr:row>696</xdr:row>
          <xdr:rowOff>180975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697</xdr:row>
          <xdr:rowOff>0</xdr:rowOff>
        </xdr:from>
        <xdr:to>
          <xdr:col>22</xdr:col>
          <xdr:colOff>180975</xdr:colOff>
          <xdr:row>697</xdr:row>
          <xdr:rowOff>180975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698</xdr:row>
          <xdr:rowOff>0</xdr:rowOff>
        </xdr:from>
        <xdr:to>
          <xdr:col>22</xdr:col>
          <xdr:colOff>180975</xdr:colOff>
          <xdr:row>698</xdr:row>
          <xdr:rowOff>180975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699</xdr:row>
          <xdr:rowOff>0</xdr:rowOff>
        </xdr:from>
        <xdr:to>
          <xdr:col>22</xdr:col>
          <xdr:colOff>180975</xdr:colOff>
          <xdr:row>699</xdr:row>
          <xdr:rowOff>180975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700</xdr:row>
          <xdr:rowOff>0</xdr:rowOff>
        </xdr:from>
        <xdr:to>
          <xdr:col>22</xdr:col>
          <xdr:colOff>180975</xdr:colOff>
          <xdr:row>700</xdr:row>
          <xdr:rowOff>180975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703</xdr:row>
          <xdr:rowOff>0</xdr:rowOff>
        </xdr:from>
        <xdr:to>
          <xdr:col>22</xdr:col>
          <xdr:colOff>180975</xdr:colOff>
          <xdr:row>703</xdr:row>
          <xdr:rowOff>180975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705</xdr:row>
          <xdr:rowOff>0</xdr:rowOff>
        </xdr:from>
        <xdr:to>
          <xdr:col>22</xdr:col>
          <xdr:colOff>180975</xdr:colOff>
          <xdr:row>705</xdr:row>
          <xdr:rowOff>180975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707</xdr:row>
          <xdr:rowOff>0</xdr:rowOff>
        </xdr:from>
        <xdr:to>
          <xdr:col>22</xdr:col>
          <xdr:colOff>180975</xdr:colOff>
          <xdr:row>707</xdr:row>
          <xdr:rowOff>180975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724</xdr:row>
          <xdr:rowOff>0</xdr:rowOff>
        </xdr:from>
        <xdr:to>
          <xdr:col>22</xdr:col>
          <xdr:colOff>180975</xdr:colOff>
          <xdr:row>724</xdr:row>
          <xdr:rowOff>180975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732</xdr:row>
          <xdr:rowOff>0</xdr:rowOff>
        </xdr:from>
        <xdr:to>
          <xdr:col>22</xdr:col>
          <xdr:colOff>180975</xdr:colOff>
          <xdr:row>732</xdr:row>
          <xdr:rowOff>180975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728</xdr:row>
          <xdr:rowOff>0</xdr:rowOff>
        </xdr:from>
        <xdr:to>
          <xdr:col>22</xdr:col>
          <xdr:colOff>180975</xdr:colOff>
          <xdr:row>728</xdr:row>
          <xdr:rowOff>180975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729</xdr:row>
          <xdr:rowOff>0</xdr:rowOff>
        </xdr:from>
        <xdr:to>
          <xdr:col>22</xdr:col>
          <xdr:colOff>180975</xdr:colOff>
          <xdr:row>729</xdr:row>
          <xdr:rowOff>180975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740</xdr:row>
          <xdr:rowOff>0</xdr:rowOff>
        </xdr:from>
        <xdr:to>
          <xdr:col>22</xdr:col>
          <xdr:colOff>180975</xdr:colOff>
          <xdr:row>740</xdr:row>
          <xdr:rowOff>180975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0</xdr:rowOff>
        </xdr:from>
        <xdr:to>
          <xdr:col>22</xdr:col>
          <xdr:colOff>180975</xdr:colOff>
          <xdr:row>560</xdr:row>
          <xdr:rowOff>180975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577</xdr:row>
          <xdr:rowOff>0</xdr:rowOff>
        </xdr:from>
        <xdr:to>
          <xdr:col>22</xdr:col>
          <xdr:colOff>180975</xdr:colOff>
          <xdr:row>577</xdr:row>
          <xdr:rowOff>180975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580</xdr:row>
          <xdr:rowOff>0</xdr:rowOff>
        </xdr:from>
        <xdr:to>
          <xdr:col>22</xdr:col>
          <xdr:colOff>180975</xdr:colOff>
          <xdr:row>580</xdr:row>
          <xdr:rowOff>180975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585</xdr:row>
          <xdr:rowOff>0</xdr:rowOff>
        </xdr:from>
        <xdr:to>
          <xdr:col>22</xdr:col>
          <xdr:colOff>180975</xdr:colOff>
          <xdr:row>585</xdr:row>
          <xdr:rowOff>180975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586</xdr:row>
          <xdr:rowOff>0</xdr:rowOff>
        </xdr:from>
        <xdr:to>
          <xdr:col>22</xdr:col>
          <xdr:colOff>180975</xdr:colOff>
          <xdr:row>586</xdr:row>
          <xdr:rowOff>180975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596</xdr:row>
          <xdr:rowOff>0</xdr:rowOff>
        </xdr:from>
        <xdr:to>
          <xdr:col>22</xdr:col>
          <xdr:colOff>180975</xdr:colOff>
          <xdr:row>596</xdr:row>
          <xdr:rowOff>180975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625</xdr:row>
          <xdr:rowOff>0</xdr:rowOff>
        </xdr:from>
        <xdr:to>
          <xdr:col>22</xdr:col>
          <xdr:colOff>180975</xdr:colOff>
          <xdr:row>625</xdr:row>
          <xdr:rowOff>180975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642</xdr:row>
          <xdr:rowOff>0</xdr:rowOff>
        </xdr:from>
        <xdr:to>
          <xdr:col>22</xdr:col>
          <xdr:colOff>180975</xdr:colOff>
          <xdr:row>642</xdr:row>
          <xdr:rowOff>180975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654</xdr:row>
          <xdr:rowOff>0</xdr:rowOff>
        </xdr:from>
        <xdr:to>
          <xdr:col>22</xdr:col>
          <xdr:colOff>180975</xdr:colOff>
          <xdr:row>654</xdr:row>
          <xdr:rowOff>180975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656</xdr:row>
          <xdr:rowOff>0</xdr:rowOff>
        </xdr:from>
        <xdr:to>
          <xdr:col>22</xdr:col>
          <xdr:colOff>180975</xdr:colOff>
          <xdr:row>656</xdr:row>
          <xdr:rowOff>180975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658</xdr:row>
          <xdr:rowOff>0</xdr:rowOff>
        </xdr:from>
        <xdr:to>
          <xdr:col>22</xdr:col>
          <xdr:colOff>180975</xdr:colOff>
          <xdr:row>658</xdr:row>
          <xdr:rowOff>180975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459</xdr:row>
          <xdr:rowOff>0</xdr:rowOff>
        </xdr:from>
        <xdr:to>
          <xdr:col>22</xdr:col>
          <xdr:colOff>180975</xdr:colOff>
          <xdr:row>459</xdr:row>
          <xdr:rowOff>180975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454</xdr:row>
          <xdr:rowOff>0</xdr:rowOff>
        </xdr:from>
        <xdr:to>
          <xdr:col>22</xdr:col>
          <xdr:colOff>180975</xdr:colOff>
          <xdr:row>454</xdr:row>
          <xdr:rowOff>180975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455</xdr:row>
          <xdr:rowOff>0</xdr:rowOff>
        </xdr:from>
        <xdr:to>
          <xdr:col>22</xdr:col>
          <xdr:colOff>180975</xdr:colOff>
          <xdr:row>455</xdr:row>
          <xdr:rowOff>180975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0</xdr:rowOff>
        </xdr:from>
        <xdr:to>
          <xdr:col>22</xdr:col>
          <xdr:colOff>180975</xdr:colOff>
          <xdr:row>456</xdr:row>
          <xdr:rowOff>180975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22</xdr:col>
          <xdr:colOff>180975</xdr:colOff>
          <xdr:row>486</xdr:row>
          <xdr:rowOff>180975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494</xdr:row>
          <xdr:rowOff>0</xdr:rowOff>
        </xdr:from>
        <xdr:to>
          <xdr:col>22</xdr:col>
          <xdr:colOff>180975</xdr:colOff>
          <xdr:row>494</xdr:row>
          <xdr:rowOff>180975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180975</xdr:colOff>
          <xdr:row>496</xdr:row>
          <xdr:rowOff>180975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497</xdr:row>
          <xdr:rowOff>0</xdr:rowOff>
        </xdr:from>
        <xdr:to>
          <xdr:col>22</xdr:col>
          <xdr:colOff>180975</xdr:colOff>
          <xdr:row>497</xdr:row>
          <xdr:rowOff>180975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498</xdr:row>
          <xdr:rowOff>0</xdr:rowOff>
        </xdr:from>
        <xdr:to>
          <xdr:col>22</xdr:col>
          <xdr:colOff>180975</xdr:colOff>
          <xdr:row>498</xdr:row>
          <xdr:rowOff>180975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500</xdr:row>
          <xdr:rowOff>0</xdr:rowOff>
        </xdr:from>
        <xdr:to>
          <xdr:col>22</xdr:col>
          <xdr:colOff>180975</xdr:colOff>
          <xdr:row>500</xdr:row>
          <xdr:rowOff>180975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503</xdr:row>
          <xdr:rowOff>0</xdr:rowOff>
        </xdr:from>
        <xdr:to>
          <xdr:col>22</xdr:col>
          <xdr:colOff>180975</xdr:colOff>
          <xdr:row>503</xdr:row>
          <xdr:rowOff>180975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505</xdr:row>
          <xdr:rowOff>0</xdr:rowOff>
        </xdr:from>
        <xdr:to>
          <xdr:col>22</xdr:col>
          <xdr:colOff>180975</xdr:colOff>
          <xdr:row>505</xdr:row>
          <xdr:rowOff>180975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510</xdr:row>
          <xdr:rowOff>0</xdr:rowOff>
        </xdr:from>
        <xdr:to>
          <xdr:col>22</xdr:col>
          <xdr:colOff>180975</xdr:colOff>
          <xdr:row>510</xdr:row>
          <xdr:rowOff>180975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512</xdr:row>
          <xdr:rowOff>0</xdr:rowOff>
        </xdr:from>
        <xdr:to>
          <xdr:col>22</xdr:col>
          <xdr:colOff>180975</xdr:colOff>
          <xdr:row>512</xdr:row>
          <xdr:rowOff>180975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22</xdr:col>
          <xdr:colOff>180975</xdr:colOff>
          <xdr:row>514</xdr:row>
          <xdr:rowOff>180975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516</xdr:row>
          <xdr:rowOff>0</xdr:rowOff>
        </xdr:from>
        <xdr:to>
          <xdr:col>22</xdr:col>
          <xdr:colOff>180975</xdr:colOff>
          <xdr:row>516</xdr:row>
          <xdr:rowOff>180975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447</xdr:row>
          <xdr:rowOff>0</xdr:rowOff>
        </xdr:from>
        <xdr:to>
          <xdr:col>22</xdr:col>
          <xdr:colOff>180975</xdr:colOff>
          <xdr:row>447</xdr:row>
          <xdr:rowOff>180975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449</xdr:row>
          <xdr:rowOff>0</xdr:rowOff>
        </xdr:from>
        <xdr:to>
          <xdr:col>22</xdr:col>
          <xdr:colOff>180975</xdr:colOff>
          <xdr:row>449</xdr:row>
          <xdr:rowOff>180975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451</xdr:row>
          <xdr:rowOff>0</xdr:rowOff>
        </xdr:from>
        <xdr:to>
          <xdr:col>22</xdr:col>
          <xdr:colOff>180975</xdr:colOff>
          <xdr:row>451</xdr:row>
          <xdr:rowOff>180975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424</xdr:row>
          <xdr:rowOff>0</xdr:rowOff>
        </xdr:from>
        <xdr:to>
          <xdr:col>22</xdr:col>
          <xdr:colOff>180975</xdr:colOff>
          <xdr:row>424</xdr:row>
          <xdr:rowOff>180975</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426</xdr:row>
          <xdr:rowOff>0</xdr:rowOff>
        </xdr:from>
        <xdr:to>
          <xdr:col>22</xdr:col>
          <xdr:colOff>180975</xdr:colOff>
          <xdr:row>426</xdr:row>
          <xdr:rowOff>180975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422</xdr:row>
          <xdr:rowOff>0</xdr:rowOff>
        </xdr:from>
        <xdr:to>
          <xdr:col>22</xdr:col>
          <xdr:colOff>180975</xdr:colOff>
          <xdr:row>422</xdr:row>
          <xdr:rowOff>180975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353</xdr:row>
          <xdr:rowOff>0</xdr:rowOff>
        </xdr:from>
        <xdr:to>
          <xdr:col>22</xdr:col>
          <xdr:colOff>180975</xdr:colOff>
          <xdr:row>353</xdr:row>
          <xdr:rowOff>180975</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355</xdr:row>
          <xdr:rowOff>0</xdr:rowOff>
        </xdr:from>
        <xdr:to>
          <xdr:col>22</xdr:col>
          <xdr:colOff>180975</xdr:colOff>
          <xdr:row>355</xdr:row>
          <xdr:rowOff>180975</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180975</xdr:colOff>
          <xdr:row>358</xdr:row>
          <xdr:rowOff>180975</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359</xdr:row>
          <xdr:rowOff>0</xdr:rowOff>
        </xdr:from>
        <xdr:to>
          <xdr:col>22</xdr:col>
          <xdr:colOff>180975</xdr:colOff>
          <xdr:row>359</xdr:row>
          <xdr:rowOff>180975</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180975</xdr:colOff>
          <xdr:row>361</xdr:row>
          <xdr:rowOff>180975</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347</xdr:row>
          <xdr:rowOff>0</xdr:rowOff>
        </xdr:from>
        <xdr:to>
          <xdr:col>22</xdr:col>
          <xdr:colOff>180975</xdr:colOff>
          <xdr:row>347</xdr:row>
          <xdr:rowOff>180975</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283</xdr:row>
          <xdr:rowOff>0</xdr:rowOff>
        </xdr:from>
        <xdr:to>
          <xdr:col>22</xdr:col>
          <xdr:colOff>180975</xdr:colOff>
          <xdr:row>283</xdr:row>
          <xdr:rowOff>180975</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327</xdr:row>
          <xdr:rowOff>0</xdr:rowOff>
        </xdr:from>
        <xdr:to>
          <xdr:col>22</xdr:col>
          <xdr:colOff>180975</xdr:colOff>
          <xdr:row>327</xdr:row>
          <xdr:rowOff>180975</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330</xdr:row>
          <xdr:rowOff>0</xdr:rowOff>
        </xdr:from>
        <xdr:to>
          <xdr:col>22</xdr:col>
          <xdr:colOff>180975</xdr:colOff>
          <xdr:row>330</xdr:row>
          <xdr:rowOff>180975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340</xdr:row>
          <xdr:rowOff>0</xdr:rowOff>
        </xdr:from>
        <xdr:to>
          <xdr:col>22</xdr:col>
          <xdr:colOff>180975</xdr:colOff>
          <xdr:row>340</xdr:row>
          <xdr:rowOff>180975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644</xdr:row>
          <xdr:rowOff>0</xdr:rowOff>
        </xdr:from>
        <xdr:to>
          <xdr:col>22</xdr:col>
          <xdr:colOff>180975</xdr:colOff>
          <xdr:row>644</xdr:row>
          <xdr:rowOff>180975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180975</xdr:colOff>
          <xdr:row>40</xdr:row>
          <xdr:rowOff>180975</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180975</xdr:colOff>
          <xdr:row>41</xdr:row>
          <xdr:rowOff>180975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180975</xdr:colOff>
          <xdr:row>44</xdr:row>
          <xdr:rowOff>180975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180975</xdr:colOff>
          <xdr:row>49</xdr:row>
          <xdr:rowOff>180975</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180975</xdr:colOff>
          <xdr:row>50</xdr:row>
          <xdr:rowOff>180975</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180975</xdr:colOff>
          <xdr:row>51</xdr:row>
          <xdr:rowOff>180975</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180975</xdr:colOff>
          <xdr:row>53</xdr:row>
          <xdr:rowOff>180975</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180975</xdr:colOff>
          <xdr:row>54</xdr:row>
          <xdr:rowOff>180975</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180975</xdr:colOff>
          <xdr:row>55</xdr:row>
          <xdr:rowOff>180975</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180975</xdr:colOff>
          <xdr:row>56</xdr:row>
          <xdr:rowOff>180975</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180975</xdr:colOff>
          <xdr:row>58</xdr:row>
          <xdr:rowOff>180975</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591</xdr:row>
          <xdr:rowOff>0</xdr:rowOff>
        </xdr:from>
        <xdr:to>
          <xdr:col>22</xdr:col>
          <xdr:colOff>180975</xdr:colOff>
          <xdr:row>591</xdr:row>
          <xdr:rowOff>180975</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594</xdr:row>
          <xdr:rowOff>0</xdr:rowOff>
        </xdr:from>
        <xdr:to>
          <xdr:col>22</xdr:col>
          <xdr:colOff>180975</xdr:colOff>
          <xdr:row>594</xdr:row>
          <xdr:rowOff>180975</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605</xdr:row>
          <xdr:rowOff>0</xdr:rowOff>
        </xdr:from>
        <xdr:to>
          <xdr:col>22</xdr:col>
          <xdr:colOff>180975</xdr:colOff>
          <xdr:row>605</xdr:row>
          <xdr:rowOff>180975</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607</xdr:row>
          <xdr:rowOff>0</xdr:rowOff>
        </xdr:from>
        <xdr:to>
          <xdr:col>22</xdr:col>
          <xdr:colOff>180975</xdr:colOff>
          <xdr:row>607</xdr:row>
          <xdr:rowOff>180975</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631</xdr:row>
          <xdr:rowOff>0</xdr:rowOff>
        </xdr:from>
        <xdr:to>
          <xdr:col>22</xdr:col>
          <xdr:colOff>180975</xdr:colOff>
          <xdr:row>631</xdr:row>
          <xdr:rowOff>180975</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633</xdr:row>
          <xdr:rowOff>0</xdr:rowOff>
        </xdr:from>
        <xdr:to>
          <xdr:col>22</xdr:col>
          <xdr:colOff>180975</xdr:colOff>
          <xdr:row>633</xdr:row>
          <xdr:rowOff>180975</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710</xdr:row>
          <xdr:rowOff>0</xdr:rowOff>
        </xdr:from>
        <xdr:to>
          <xdr:col>22</xdr:col>
          <xdr:colOff>180975</xdr:colOff>
          <xdr:row>710</xdr:row>
          <xdr:rowOff>180975</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745</xdr:row>
          <xdr:rowOff>0</xdr:rowOff>
        </xdr:from>
        <xdr:to>
          <xdr:col>22</xdr:col>
          <xdr:colOff>180975</xdr:colOff>
          <xdr:row>745</xdr:row>
          <xdr:rowOff>180975</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747</xdr:row>
          <xdr:rowOff>0</xdr:rowOff>
        </xdr:from>
        <xdr:to>
          <xdr:col>22</xdr:col>
          <xdr:colOff>180975</xdr:colOff>
          <xdr:row>747</xdr:row>
          <xdr:rowOff>180975</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756</xdr:row>
          <xdr:rowOff>0</xdr:rowOff>
        </xdr:from>
        <xdr:to>
          <xdr:col>22</xdr:col>
          <xdr:colOff>180975</xdr:colOff>
          <xdr:row>756</xdr:row>
          <xdr:rowOff>180975</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760</xdr:row>
          <xdr:rowOff>0</xdr:rowOff>
        </xdr:from>
        <xdr:to>
          <xdr:col>22</xdr:col>
          <xdr:colOff>180975</xdr:colOff>
          <xdr:row>760</xdr:row>
          <xdr:rowOff>180975</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765</xdr:row>
          <xdr:rowOff>0</xdr:rowOff>
        </xdr:from>
        <xdr:to>
          <xdr:col>22</xdr:col>
          <xdr:colOff>180975</xdr:colOff>
          <xdr:row>765</xdr:row>
          <xdr:rowOff>180975</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766</xdr:row>
          <xdr:rowOff>0</xdr:rowOff>
        </xdr:from>
        <xdr:to>
          <xdr:col>22</xdr:col>
          <xdr:colOff>180975</xdr:colOff>
          <xdr:row>766</xdr:row>
          <xdr:rowOff>180975</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735</xdr:row>
          <xdr:rowOff>0</xdr:rowOff>
        </xdr:from>
        <xdr:to>
          <xdr:col>22</xdr:col>
          <xdr:colOff>180975</xdr:colOff>
          <xdr:row>735</xdr:row>
          <xdr:rowOff>180975</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180975</xdr:colOff>
          <xdr:row>54</xdr:row>
          <xdr:rowOff>180975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180975</xdr:colOff>
          <xdr:row>49</xdr:row>
          <xdr:rowOff>180975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180975</xdr:colOff>
          <xdr:row>130</xdr:row>
          <xdr:rowOff>180975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xdr:row>
          <xdr:rowOff>0</xdr:rowOff>
        </xdr:from>
        <xdr:to>
          <xdr:col>22</xdr:col>
          <xdr:colOff>180975</xdr:colOff>
          <xdr:row>137</xdr:row>
          <xdr:rowOff>180975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180975</xdr:colOff>
          <xdr:row>139</xdr:row>
          <xdr:rowOff>180975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xdr:row>
          <xdr:rowOff>0</xdr:rowOff>
        </xdr:from>
        <xdr:to>
          <xdr:col>22</xdr:col>
          <xdr:colOff>180975</xdr:colOff>
          <xdr:row>155</xdr:row>
          <xdr:rowOff>180975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180975</xdr:colOff>
          <xdr:row>157</xdr:row>
          <xdr:rowOff>180975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xdr:row>
          <xdr:rowOff>0</xdr:rowOff>
        </xdr:from>
        <xdr:to>
          <xdr:col>22</xdr:col>
          <xdr:colOff>180975</xdr:colOff>
          <xdr:row>163</xdr:row>
          <xdr:rowOff>180975</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180975</xdr:colOff>
          <xdr:row>191</xdr:row>
          <xdr:rowOff>180975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180975</xdr:colOff>
          <xdr:row>190</xdr:row>
          <xdr:rowOff>180975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xdr:row>
          <xdr:rowOff>0</xdr:rowOff>
        </xdr:from>
        <xdr:to>
          <xdr:col>22</xdr:col>
          <xdr:colOff>180975</xdr:colOff>
          <xdr:row>232</xdr:row>
          <xdr:rowOff>180975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180975</xdr:colOff>
          <xdr:row>230</xdr:row>
          <xdr:rowOff>180975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180975</xdr:colOff>
          <xdr:row>227</xdr:row>
          <xdr:rowOff>180975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180975</xdr:colOff>
          <xdr:row>218</xdr:row>
          <xdr:rowOff>180975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xdr:row>
          <xdr:rowOff>0</xdr:rowOff>
        </xdr:from>
        <xdr:to>
          <xdr:col>22</xdr:col>
          <xdr:colOff>180975</xdr:colOff>
          <xdr:row>144</xdr:row>
          <xdr:rowOff>180975</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180975</xdr:colOff>
          <xdr:row>148</xdr:row>
          <xdr:rowOff>180975</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180975</xdr:colOff>
          <xdr:row>149</xdr:row>
          <xdr:rowOff>180975</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180975</xdr:colOff>
          <xdr:row>150</xdr:row>
          <xdr:rowOff>180975</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xdr:row>
          <xdr:rowOff>0</xdr:rowOff>
        </xdr:from>
        <xdr:to>
          <xdr:col>22</xdr:col>
          <xdr:colOff>180975</xdr:colOff>
          <xdr:row>165</xdr:row>
          <xdr:rowOff>180975</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180975</xdr:colOff>
          <xdr:row>167</xdr:row>
          <xdr:rowOff>180975</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180975</xdr:colOff>
          <xdr:row>168</xdr:row>
          <xdr:rowOff>180975</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180975</xdr:colOff>
          <xdr:row>170</xdr:row>
          <xdr:rowOff>180975</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180975</xdr:colOff>
          <xdr:row>210</xdr:row>
          <xdr:rowOff>180975</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11</xdr:row>
          <xdr:rowOff>0</xdr:rowOff>
        </xdr:from>
        <xdr:to>
          <xdr:col>22</xdr:col>
          <xdr:colOff>180975</xdr:colOff>
          <xdr:row>11</xdr:row>
          <xdr:rowOff>180975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180975</xdr:colOff>
          <xdr:row>17</xdr:row>
          <xdr:rowOff>180975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xdr:row>
          <xdr:rowOff>0</xdr:rowOff>
        </xdr:from>
        <xdr:to>
          <xdr:col>22</xdr:col>
          <xdr:colOff>180975</xdr:colOff>
          <xdr:row>33</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180975</xdr:colOff>
          <xdr:row>54</xdr:row>
          <xdr:rowOff>180975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xdr:row>
          <xdr:rowOff>0</xdr:rowOff>
        </xdr:from>
        <xdr:to>
          <xdr:col>22</xdr:col>
          <xdr:colOff>180975</xdr:colOff>
          <xdr:row>67</xdr:row>
          <xdr:rowOff>180975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180975</xdr:colOff>
          <xdr:row>61</xdr:row>
          <xdr:rowOff>180975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180975</xdr:colOff>
          <xdr:row>90</xdr:row>
          <xdr:rowOff>180975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180975</xdr:colOff>
          <xdr:row>92</xdr:row>
          <xdr:rowOff>180975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xdr:row>
          <xdr:rowOff>0</xdr:rowOff>
        </xdr:from>
        <xdr:to>
          <xdr:col>22</xdr:col>
          <xdr:colOff>180975</xdr:colOff>
          <xdr:row>95</xdr:row>
          <xdr:rowOff>180975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180975</xdr:colOff>
          <xdr:row>118</xdr:row>
          <xdr:rowOff>180975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180975</xdr:colOff>
          <xdr:row>129</xdr:row>
          <xdr:rowOff>180975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180975</xdr:colOff>
          <xdr:row>131</xdr:row>
          <xdr:rowOff>180975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180975</xdr:colOff>
          <xdr:row>132</xdr:row>
          <xdr:rowOff>180975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180975</xdr:colOff>
          <xdr:row>139</xdr:row>
          <xdr:rowOff>180975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180975</xdr:colOff>
          <xdr:row>148</xdr:row>
          <xdr:rowOff>180975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180975</xdr:colOff>
          <xdr:row>153</xdr:row>
          <xdr:rowOff>180975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180975</xdr:colOff>
          <xdr:row>154</xdr:row>
          <xdr:rowOff>180975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xdr:row>
          <xdr:rowOff>0</xdr:rowOff>
        </xdr:from>
        <xdr:to>
          <xdr:col>22</xdr:col>
          <xdr:colOff>180975</xdr:colOff>
          <xdr:row>158</xdr:row>
          <xdr:rowOff>180975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180975</xdr:colOff>
          <xdr:row>171</xdr:row>
          <xdr:rowOff>180975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180975</xdr:colOff>
          <xdr:row>172</xdr:row>
          <xdr:rowOff>180975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180975</xdr:colOff>
          <xdr:row>175</xdr:row>
          <xdr:rowOff>180975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180975</xdr:colOff>
          <xdr:row>177</xdr:row>
          <xdr:rowOff>180975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180975</xdr:colOff>
          <xdr:row>183</xdr:row>
          <xdr:rowOff>180975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180975</xdr:colOff>
          <xdr:row>185</xdr:row>
          <xdr:rowOff>180975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180975</xdr:colOff>
          <xdr:row>189</xdr:row>
          <xdr:rowOff>180975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xdr:row>
          <xdr:rowOff>0</xdr:rowOff>
        </xdr:from>
        <xdr:to>
          <xdr:col>22</xdr:col>
          <xdr:colOff>180975</xdr:colOff>
          <xdr:row>196</xdr:row>
          <xdr:rowOff>180975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180975</xdr:colOff>
          <xdr:row>207</xdr:row>
          <xdr:rowOff>180975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180975</xdr:colOff>
          <xdr:row>209</xdr:row>
          <xdr:rowOff>180975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180975</xdr:colOff>
          <xdr:row>211</xdr:row>
          <xdr:rowOff>180975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180975</xdr:colOff>
          <xdr:row>229</xdr:row>
          <xdr:rowOff>180975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231</xdr:row>
          <xdr:rowOff>0</xdr:rowOff>
        </xdr:from>
        <xdr:to>
          <xdr:col>22</xdr:col>
          <xdr:colOff>180975</xdr:colOff>
          <xdr:row>231</xdr:row>
          <xdr:rowOff>180975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xdr:row>
          <xdr:rowOff>0</xdr:rowOff>
        </xdr:from>
        <xdr:to>
          <xdr:col>22</xdr:col>
          <xdr:colOff>180975</xdr:colOff>
          <xdr:row>234</xdr:row>
          <xdr:rowOff>180975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180975</xdr:colOff>
          <xdr:row>313</xdr:row>
          <xdr:rowOff>180975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180975</xdr:colOff>
          <xdr:row>315</xdr:row>
          <xdr:rowOff>180975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321</xdr:row>
          <xdr:rowOff>0</xdr:rowOff>
        </xdr:from>
        <xdr:to>
          <xdr:col>22</xdr:col>
          <xdr:colOff>180975</xdr:colOff>
          <xdr:row>321</xdr:row>
          <xdr:rowOff>180975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323</xdr:row>
          <xdr:rowOff>0</xdr:rowOff>
        </xdr:from>
        <xdr:to>
          <xdr:col>22</xdr:col>
          <xdr:colOff>180975</xdr:colOff>
          <xdr:row>323</xdr:row>
          <xdr:rowOff>180975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337</xdr:row>
          <xdr:rowOff>0</xdr:rowOff>
        </xdr:from>
        <xdr:to>
          <xdr:col>22</xdr:col>
          <xdr:colOff>180975</xdr:colOff>
          <xdr:row>337</xdr:row>
          <xdr:rowOff>180975</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338</xdr:row>
          <xdr:rowOff>0</xdr:rowOff>
        </xdr:from>
        <xdr:to>
          <xdr:col>22</xdr:col>
          <xdr:colOff>180975</xdr:colOff>
          <xdr:row>338</xdr:row>
          <xdr:rowOff>180975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343</xdr:row>
          <xdr:rowOff>0</xdr:rowOff>
        </xdr:from>
        <xdr:to>
          <xdr:col>22</xdr:col>
          <xdr:colOff>180975</xdr:colOff>
          <xdr:row>343</xdr:row>
          <xdr:rowOff>180975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348</xdr:row>
          <xdr:rowOff>0</xdr:rowOff>
        </xdr:from>
        <xdr:to>
          <xdr:col>22</xdr:col>
          <xdr:colOff>180975</xdr:colOff>
          <xdr:row>348</xdr:row>
          <xdr:rowOff>180975</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365</xdr:row>
          <xdr:rowOff>0</xdr:rowOff>
        </xdr:from>
        <xdr:to>
          <xdr:col>22</xdr:col>
          <xdr:colOff>180975</xdr:colOff>
          <xdr:row>365</xdr:row>
          <xdr:rowOff>180975</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370</xdr:row>
          <xdr:rowOff>0</xdr:rowOff>
        </xdr:from>
        <xdr:to>
          <xdr:col>22</xdr:col>
          <xdr:colOff>180975</xdr:colOff>
          <xdr:row>370</xdr:row>
          <xdr:rowOff>180975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180975</xdr:colOff>
          <xdr:row>134</xdr:row>
          <xdr:rowOff>180975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xdr:row>
          <xdr:rowOff>0</xdr:rowOff>
        </xdr:from>
        <xdr:to>
          <xdr:col>22</xdr:col>
          <xdr:colOff>180975</xdr:colOff>
          <xdr:row>163</xdr:row>
          <xdr:rowOff>180975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180975</xdr:colOff>
          <xdr:row>214</xdr:row>
          <xdr:rowOff>180975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285</xdr:row>
          <xdr:rowOff>0</xdr:rowOff>
        </xdr:from>
        <xdr:to>
          <xdr:col>22</xdr:col>
          <xdr:colOff>180975</xdr:colOff>
          <xdr:row>285</xdr:row>
          <xdr:rowOff>180975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287</xdr:row>
          <xdr:rowOff>0</xdr:rowOff>
        </xdr:from>
        <xdr:to>
          <xdr:col>22</xdr:col>
          <xdr:colOff>180975</xdr:colOff>
          <xdr:row>287</xdr:row>
          <xdr:rowOff>180975</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318</xdr:row>
          <xdr:rowOff>0</xdr:rowOff>
        </xdr:from>
        <xdr:to>
          <xdr:col>22</xdr:col>
          <xdr:colOff>180975</xdr:colOff>
          <xdr:row>318</xdr:row>
          <xdr:rowOff>180975</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353</xdr:row>
          <xdr:rowOff>0</xdr:rowOff>
        </xdr:from>
        <xdr:to>
          <xdr:col>22</xdr:col>
          <xdr:colOff>180975</xdr:colOff>
          <xdr:row>353</xdr:row>
          <xdr:rowOff>180975</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180975</xdr:colOff>
          <xdr:row>361</xdr:row>
          <xdr:rowOff>180975</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373</xdr:row>
          <xdr:rowOff>0</xdr:rowOff>
        </xdr:from>
        <xdr:to>
          <xdr:col>22</xdr:col>
          <xdr:colOff>180975</xdr:colOff>
          <xdr:row>373</xdr:row>
          <xdr:rowOff>180975</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374</xdr:row>
          <xdr:rowOff>0</xdr:rowOff>
        </xdr:from>
        <xdr:to>
          <xdr:col>22</xdr:col>
          <xdr:colOff>180975</xdr:colOff>
          <xdr:row>374</xdr:row>
          <xdr:rowOff>180975</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376</xdr:row>
          <xdr:rowOff>0</xdr:rowOff>
        </xdr:from>
        <xdr:to>
          <xdr:col>22</xdr:col>
          <xdr:colOff>180975</xdr:colOff>
          <xdr:row>376</xdr:row>
          <xdr:rowOff>180975</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381</xdr:row>
          <xdr:rowOff>0</xdr:rowOff>
        </xdr:from>
        <xdr:to>
          <xdr:col>22</xdr:col>
          <xdr:colOff>180975</xdr:colOff>
          <xdr:row>381</xdr:row>
          <xdr:rowOff>180975</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180975</xdr:colOff>
          <xdr:row>14</xdr:row>
          <xdr:rowOff>180975</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180975</xdr:colOff>
          <xdr:row>15</xdr:row>
          <xdr:rowOff>180975</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180975</xdr:colOff>
          <xdr:row>16</xdr:row>
          <xdr:rowOff>180975</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180975</xdr:colOff>
          <xdr:row>20</xdr:row>
          <xdr:rowOff>180975</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180975</xdr:colOff>
          <xdr:row>21</xdr:row>
          <xdr:rowOff>180975</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180975</xdr:colOff>
          <xdr:row>22</xdr:row>
          <xdr:rowOff>180975</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180975</xdr:colOff>
          <xdr:row>24</xdr:row>
          <xdr:rowOff>180975</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180975</xdr:colOff>
          <xdr:row>26</xdr:row>
          <xdr:rowOff>180975</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180975</xdr:colOff>
          <xdr:row>27</xdr:row>
          <xdr:rowOff>180975</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xdr:row>
          <xdr:rowOff>0</xdr:rowOff>
        </xdr:from>
        <xdr:to>
          <xdr:col>22</xdr:col>
          <xdr:colOff>180975</xdr:colOff>
          <xdr:row>29</xdr:row>
          <xdr:rowOff>180975</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180975</xdr:colOff>
          <xdr:row>30</xdr:row>
          <xdr:rowOff>180975</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180975</xdr:colOff>
          <xdr:row>31</xdr:row>
          <xdr:rowOff>180975</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xdr:row>
          <xdr:rowOff>0</xdr:rowOff>
        </xdr:from>
        <xdr:to>
          <xdr:col>22</xdr:col>
          <xdr:colOff>180975</xdr:colOff>
          <xdr:row>37</xdr:row>
          <xdr:rowOff>180975</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180975</xdr:colOff>
          <xdr:row>41</xdr:row>
          <xdr:rowOff>180975</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180975</xdr:colOff>
          <xdr:row>43</xdr:row>
          <xdr:rowOff>180975</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180975</xdr:colOff>
          <xdr:row>45</xdr:row>
          <xdr:rowOff>180975</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xdr:row>
          <xdr:rowOff>0</xdr:rowOff>
        </xdr:from>
        <xdr:to>
          <xdr:col>22</xdr:col>
          <xdr:colOff>180975</xdr:colOff>
          <xdr:row>46</xdr:row>
          <xdr:rowOff>180975</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180975</xdr:colOff>
          <xdr:row>48</xdr:row>
          <xdr:rowOff>180975</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180975</xdr:colOff>
          <xdr:row>50</xdr:row>
          <xdr:rowOff>180975</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180975</xdr:colOff>
          <xdr:row>51</xdr:row>
          <xdr:rowOff>180975</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180975</xdr:colOff>
          <xdr:row>53</xdr:row>
          <xdr:rowOff>180975</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180975</xdr:colOff>
          <xdr:row>55</xdr:row>
          <xdr:rowOff>180975</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180975</xdr:colOff>
          <xdr:row>57</xdr:row>
          <xdr:rowOff>180975</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180975</xdr:colOff>
          <xdr:row>58</xdr:row>
          <xdr:rowOff>180975</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180975</xdr:colOff>
          <xdr:row>59</xdr:row>
          <xdr:rowOff>180975</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xdr:row>
          <xdr:rowOff>0</xdr:rowOff>
        </xdr:from>
        <xdr:to>
          <xdr:col>22</xdr:col>
          <xdr:colOff>180975</xdr:colOff>
          <xdr:row>81</xdr:row>
          <xdr:rowOff>180975</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xdr:row>
          <xdr:rowOff>0</xdr:rowOff>
        </xdr:from>
        <xdr:to>
          <xdr:col>22</xdr:col>
          <xdr:colOff>180975</xdr:colOff>
          <xdr:row>84</xdr:row>
          <xdr:rowOff>180975</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180975</xdr:colOff>
          <xdr:row>87</xdr:row>
          <xdr:rowOff>180975</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180975</xdr:colOff>
          <xdr:row>89</xdr:row>
          <xdr:rowOff>180975</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180975</xdr:colOff>
          <xdr:row>90</xdr:row>
          <xdr:rowOff>180975</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180975</xdr:colOff>
          <xdr:row>92</xdr:row>
          <xdr:rowOff>180975</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xdr:row>
          <xdr:rowOff>0</xdr:rowOff>
        </xdr:from>
        <xdr:to>
          <xdr:col>22</xdr:col>
          <xdr:colOff>180975</xdr:colOff>
          <xdr:row>93</xdr:row>
          <xdr:rowOff>180975</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xdr:row>
          <xdr:rowOff>0</xdr:rowOff>
        </xdr:from>
        <xdr:to>
          <xdr:col>22</xdr:col>
          <xdr:colOff>180975</xdr:colOff>
          <xdr:row>94</xdr:row>
          <xdr:rowOff>180975</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180975</xdr:colOff>
          <xdr:row>100</xdr:row>
          <xdr:rowOff>180975</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180975</xdr:colOff>
          <xdr:row>102</xdr:row>
          <xdr:rowOff>180975</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105</xdr:row>
          <xdr:rowOff>0</xdr:rowOff>
        </xdr:from>
        <xdr:to>
          <xdr:col>22</xdr:col>
          <xdr:colOff>180975</xdr:colOff>
          <xdr:row>105</xdr:row>
          <xdr:rowOff>180975</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180975</xdr:colOff>
          <xdr:row>107</xdr:row>
          <xdr:rowOff>180975</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180975</xdr:colOff>
          <xdr:row>110</xdr:row>
          <xdr:rowOff>180975</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180975</xdr:colOff>
          <xdr:row>112</xdr:row>
          <xdr:rowOff>180975</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xdr:row>
          <xdr:rowOff>0</xdr:rowOff>
        </xdr:from>
        <xdr:to>
          <xdr:col>22</xdr:col>
          <xdr:colOff>180975</xdr:colOff>
          <xdr:row>113</xdr:row>
          <xdr:rowOff>180975</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xdr:row>
          <xdr:rowOff>0</xdr:rowOff>
        </xdr:from>
        <xdr:to>
          <xdr:col>22</xdr:col>
          <xdr:colOff>180975</xdr:colOff>
          <xdr:row>115</xdr:row>
          <xdr:rowOff>180975</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180975</xdr:colOff>
          <xdr:row>117</xdr:row>
          <xdr:rowOff>180975</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180975</xdr:colOff>
          <xdr:row>118</xdr:row>
          <xdr:rowOff>180975</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xdr:row>
          <xdr:rowOff>0</xdr:rowOff>
        </xdr:from>
        <xdr:to>
          <xdr:col>22</xdr:col>
          <xdr:colOff>180975</xdr:colOff>
          <xdr:row>121</xdr:row>
          <xdr:rowOff>180975</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127</xdr:row>
          <xdr:rowOff>0</xdr:rowOff>
        </xdr:from>
        <xdr:to>
          <xdr:col>22</xdr:col>
          <xdr:colOff>180975</xdr:colOff>
          <xdr:row>127</xdr:row>
          <xdr:rowOff>180975</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180975</xdr:colOff>
          <xdr:row>129</xdr:row>
          <xdr:rowOff>180975</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180975</xdr:colOff>
          <xdr:row>133</xdr:row>
          <xdr:rowOff>180975</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180975</xdr:colOff>
          <xdr:row>140</xdr:row>
          <xdr:rowOff>180975</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180975</xdr:colOff>
          <xdr:row>142</xdr:row>
          <xdr:rowOff>180975</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180975</xdr:colOff>
          <xdr:row>143</xdr:row>
          <xdr:rowOff>180975</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180975</xdr:colOff>
          <xdr:row>145</xdr:row>
          <xdr:rowOff>180975</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180975</xdr:colOff>
          <xdr:row>146</xdr:row>
          <xdr:rowOff>180975</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180975</xdr:colOff>
          <xdr:row>147</xdr:row>
          <xdr:rowOff>180975</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180975</xdr:colOff>
          <xdr:row>148</xdr:row>
          <xdr:rowOff>180975</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xdr:row>
          <xdr:rowOff>0</xdr:rowOff>
        </xdr:from>
        <xdr:to>
          <xdr:col>22</xdr:col>
          <xdr:colOff>180975</xdr:colOff>
          <xdr:row>151</xdr:row>
          <xdr:rowOff>180975</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180975</xdr:colOff>
          <xdr:row>192</xdr:row>
          <xdr:rowOff>180975</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180975</xdr:colOff>
          <xdr:row>194</xdr:row>
          <xdr:rowOff>180975</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xdr:row>
          <xdr:rowOff>0</xdr:rowOff>
        </xdr:from>
        <xdr:to>
          <xdr:col>22</xdr:col>
          <xdr:colOff>180975</xdr:colOff>
          <xdr:row>197</xdr:row>
          <xdr:rowOff>180975</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180975</xdr:colOff>
          <xdr:row>210</xdr:row>
          <xdr:rowOff>180975</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180975</xdr:colOff>
          <xdr:row>212</xdr:row>
          <xdr:rowOff>180975</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180975</xdr:colOff>
          <xdr:row>149</xdr:row>
          <xdr:rowOff>180975</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180975</xdr:colOff>
          <xdr:row>166</xdr:row>
          <xdr:rowOff>180975</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180975</xdr:colOff>
          <xdr:row>167</xdr:row>
          <xdr:rowOff>180975</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180975</xdr:colOff>
          <xdr:row>168</xdr:row>
          <xdr:rowOff>180975</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180975</xdr:colOff>
          <xdr:row>170</xdr:row>
          <xdr:rowOff>180975</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180975</xdr:colOff>
          <xdr:row>171</xdr:row>
          <xdr:rowOff>180975</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180975</xdr:colOff>
          <xdr:row>172</xdr:row>
          <xdr:rowOff>180975</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xdr:row>
          <xdr:rowOff>0</xdr:rowOff>
        </xdr:from>
        <xdr:to>
          <xdr:col>22</xdr:col>
          <xdr:colOff>180975</xdr:colOff>
          <xdr:row>173</xdr:row>
          <xdr:rowOff>180975</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xdr:row>
          <xdr:rowOff>0</xdr:rowOff>
        </xdr:from>
        <xdr:to>
          <xdr:col>22</xdr:col>
          <xdr:colOff>180975</xdr:colOff>
          <xdr:row>174</xdr:row>
          <xdr:rowOff>180975</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180975</xdr:colOff>
          <xdr:row>175</xdr:row>
          <xdr:rowOff>180975</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180975</xdr:colOff>
          <xdr:row>180</xdr:row>
          <xdr:rowOff>180975</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180975</xdr:colOff>
          <xdr:row>181</xdr:row>
          <xdr:rowOff>180975</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180975</xdr:colOff>
          <xdr:row>182</xdr:row>
          <xdr:rowOff>180975</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180975</xdr:colOff>
          <xdr:row>183</xdr:row>
          <xdr:rowOff>180975</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180975</xdr:colOff>
          <xdr:row>184</xdr:row>
          <xdr:rowOff>180975</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180975</xdr:colOff>
          <xdr:row>185</xdr:row>
          <xdr:rowOff>180975</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xdr:row>
          <xdr:rowOff>0</xdr:rowOff>
        </xdr:from>
        <xdr:to>
          <xdr:col>22</xdr:col>
          <xdr:colOff>180975</xdr:colOff>
          <xdr:row>186</xdr:row>
          <xdr:rowOff>180975</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180975</xdr:colOff>
          <xdr:row>219</xdr:row>
          <xdr:rowOff>180975</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216</xdr:row>
          <xdr:rowOff>0</xdr:rowOff>
        </xdr:from>
        <xdr:to>
          <xdr:col>22</xdr:col>
          <xdr:colOff>180975</xdr:colOff>
          <xdr:row>216</xdr:row>
          <xdr:rowOff>180975</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2924175</xdr:colOff>
      <xdr:row>0</xdr:row>
      <xdr:rowOff>0</xdr:rowOff>
    </xdr:from>
    <xdr:to>
      <xdr:col>6</xdr:col>
      <xdr:colOff>4752975</xdr:colOff>
      <xdr:row>4</xdr:row>
      <xdr:rowOff>141767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0"/>
          <a:ext cx="1828800" cy="903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tt/Documents/working/working%202019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9"/>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omeinnovation.com/FindNGBSverifier" TargetMode="External"/><Relationship Id="rId1" Type="http://schemas.openxmlformats.org/officeDocument/2006/relationships/hyperlink" Target="http://www.homeinnovation.com/greenscor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up.codes/viewer/connecticut/iecc-2015/chapter/CE_4/ce-commercial-energy-efficiency" TargetMode="External"/><Relationship Id="rId1" Type="http://schemas.openxmlformats.org/officeDocument/2006/relationships/hyperlink" Target="https://www.energystar.gov/sites/default/files/ES%20HERS%20Index%20Target%20Procedure%20v40%202018-03-15_clean.pdf"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9.xml"/><Relationship Id="rId13" Type="http://schemas.openxmlformats.org/officeDocument/2006/relationships/ctrlProp" Target="../ctrlProps/ctrlProp444.xml"/><Relationship Id="rId18" Type="http://schemas.openxmlformats.org/officeDocument/2006/relationships/ctrlProp" Target="../ctrlProps/ctrlProp449.xml"/><Relationship Id="rId3" Type="http://schemas.openxmlformats.org/officeDocument/2006/relationships/vmlDrawing" Target="../drawings/vmlDrawing8.vml"/><Relationship Id="rId21" Type="http://schemas.openxmlformats.org/officeDocument/2006/relationships/ctrlProp" Target="../ctrlProps/ctrlProp452.xml"/><Relationship Id="rId7" Type="http://schemas.openxmlformats.org/officeDocument/2006/relationships/ctrlProp" Target="../ctrlProps/ctrlProp438.xml"/><Relationship Id="rId12" Type="http://schemas.openxmlformats.org/officeDocument/2006/relationships/ctrlProp" Target="../ctrlProps/ctrlProp443.xml"/><Relationship Id="rId17" Type="http://schemas.openxmlformats.org/officeDocument/2006/relationships/ctrlProp" Target="../ctrlProps/ctrlProp448.xml"/><Relationship Id="rId2" Type="http://schemas.openxmlformats.org/officeDocument/2006/relationships/drawing" Target="../drawings/drawing11.xml"/><Relationship Id="rId16" Type="http://schemas.openxmlformats.org/officeDocument/2006/relationships/ctrlProp" Target="../ctrlProps/ctrlProp447.xml"/><Relationship Id="rId20" Type="http://schemas.openxmlformats.org/officeDocument/2006/relationships/ctrlProp" Target="../ctrlProps/ctrlProp451.xml"/><Relationship Id="rId1" Type="http://schemas.openxmlformats.org/officeDocument/2006/relationships/printerSettings" Target="../printerSettings/printerSettings12.bin"/><Relationship Id="rId6" Type="http://schemas.openxmlformats.org/officeDocument/2006/relationships/ctrlProp" Target="../ctrlProps/ctrlProp437.xml"/><Relationship Id="rId11" Type="http://schemas.openxmlformats.org/officeDocument/2006/relationships/ctrlProp" Target="../ctrlProps/ctrlProp442.xml"/><Relationship Id="rId5" Type="http://schemas.openxmlformats.org/officeDocument/2006/relationships/ctrlProp" Target="../ctrlProps/ctrlProp436.xml"/><Relationship Id="rId15" Type="http://schemas.openxmlformats.org/officeDocument/2006/relationships/ctrlProp" Target="../ctrlProps/ctrlProp446.xml"/><Relationship Id="rId10" Type="http://schemas.openxmlformats.org/officeDocument/2006/relationships/ctrlProp" Target="../ctrlProps/ctrlProp441.xml"/><Relationship Id="rId19" Type="http://schemas.openxmlformats.org/officeDocument/2006/relationships/ctrlProp" Target="../ctrlProps/ctrlProp450.xml"/><Relationship Id="rId4" Type="http://schemas.openxmlformats.org/officeDocument/2006/relationships/ctrlProp" Target="../ctrlProps/ctrlProp435.xml"/><Relationship Id="rId9" Type="http://schemas.openxmlformats.org/officeDocument/2006/relationships/ctrlProp" Target="../ctrlProps/ctrlProp440.xml"/><Relationship Id="rId14" Type="http://schemas.openxmlformats.org/officeDocument/2006/relationships/ctrlProp" Target="../ctrlProps/ctrlProp445.xml"/><Relationship Id="rId22" Type="http://schemas.openxmlformats.org/officeDocument/2006/relationships/ctrlProp" Target="../ctrlProps/ctrlProp45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56.xml"/><Relationship Id="rId13" Type="http://schemas.openxmlformats.org/officeDocument/2006/relationships/ctrlProp" Target="../ctrlProps/ctrlProp461.xml"/><Relationship Id="rId18" Type="http://schemas.openxmlformats.org/officeDocument/2006/relationships/ctrlProp" Target="../ctrlProps/ctrlProp466.xml"/><Relationship Id="rId3" Type="http://schemas.openxmlformats.org/officeDocument/2006/relationships/printerSettings" Target="../printerSettings/printerSettings13.bin"/><Relationship Id="rId7" Type="http://schemas.openxmlformats.org/officeDocument/2006/relationships/ctrlProp" Target="../ctrlProps/ctrlProp455.xml"/><Relationship Id="rId12" Type="http://schemas.openxmlformats.org/officeDocument/2006/relationships/ctrlProp" Target="../ctrlProps/ctrlProp460.xml"/><Relationship Id="rId17" Type="http://schemas.openxmlformats.org/officeDocument/2006/relationships/ctrlProp" Target="../ctrlProps/ctrlProp465.xml"/><Relationship Id="rId2" Type="http://schemas.openxmlformats.org/officeDocument/2006/relationships/hyperlink" Target="https://www.epa.gov/watersense/irrigation-pro" TargetMode="External"/><Relationship Id="rId16" Type="http://schemas.openxmlformats.org/officeDocument/2006/relationships/ctrlProp" Target="../ctrlProps/ctrlProp464.xml"/><Relationship Id="rId20" Type="http://schemas.openxmlformats.org/officeDocument/2006/relationships/ctrlProp" Target="../ctrlProps/ctrlProp468.xml"/><Relationship Id="rId1" Type="http://schemas.openxmlformats.org/officeDocument/2006/relationships/hyperlink" Target="https://www.epa.gov/watersense/irrigation-controllers" TargetMode="External"/><Relationship Id="rId6" Type="http://schemas.openxmlformats.org/officeDocument/2006/relationships/ctrlProp" Target="../ctrlProps/ctrlProp454.xml"/><Relationship Id="rId11" Type="http://schemas.openxmlformats.org/officeDocument/2006/relationships/ctrlProp" Target="../ctrlProps/ctrlProp459.xml"/><Relationship Id="rId5" Type="http://schemas.openxmlformats.org/officeDocument/2006/relationships/vmlDrawing" Target="../drawings/vmlDrawing9.vml"/><Relationship Id="rId15" Type="http://schemas.openxmlformats.org/officeDocument/2006/relationships/ctrlProp" Target="../ctrlProps/ctrlProp463.xml"/><Relationship Id="rId10" Type="http://schemas.openxmlformats.org/officeDocument/2006/relationships/ctrlProp" Target="../ctrlProps/ctrlProp458.xml"/><Relationship Id="rId19" Type="http://schemas.openxmlformats.org/officeDocument/2006/relationships/ctrlProp" Target="../ctrlProps/ctrlProp467.xml"/><Relationship Id="rId4" Type="http://schemas.openxmlformats.org/officeDocument/2006/relationships/drawing" Target="../drawings/drawing12.xml"/><Relationship Id="rId9" Type="http://schemas.openxmlformats.org/officeDocument/2006/relationships/ctrlProp" Target="../ctrlProps/ctrlProp457.xml"/><Relationship Id="rId14" Type="http://schemas.openxmlformats.org/officeDocument/2006/relationships/ctrlProp" Target="../ctrlProps/ctrlProp46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478.xml"/><Relationship Id="rId18" Type="http://schemas.openxmlformats.org/officeDocument/2006/relationships/ctrlProp" Target="../ctrlProps/ctrlProp483.xml"/><Relationship Id="rId26" Type="http://schemas.openxmlformats.org/officeDocument/2006/relationships/ctrlProp" Target="../ctrlProps/ctrlProp491.xml"/><Relationship Id="rId39" Type="http://schemas.openxmlformats.org/officeDocument/2006/relationships/ctrlProp" Target="../ctrlProps/ctrlProp504.xml"/><Relationship Id="rId21" Type="http://schemas.openxmlformats.org/officeDocument/2006/relationships/ctrlProp" Target="../ctrlProps/ctrlProp486.xml"/><Relationship Id="rId34" Type="http://schemas.openxmlformats.org/officeDocument/2006/relationships/ctrlProp" Target="../ctrlProps/ctrlProp499.xml"/><Relationship Id="rId42" Type="http://schemas.openxmlformats.org/officeDocument/2006/relationships/ctrlProp" Target="../ctrlProps/ctrlProp507.xml"/><Relationship Id="rId7" Type="http://schemas.openxmlformats.org/officeDocument/2006/relationships/ctrlProp" Target="../ctrlProps/ctrlProp472.xml"/><Relationship Id="rId2" Type="http://schemas.openxmlformats.org/officeDocument/2006/relationships/drawing" Target="../drawings/drawing13.xml"/><Relationship Id="rId16" Type="http://schemas.openxmlformats.org/officeDocument/2006/relationships/ctrlProp" Target="../ctrlProps/ctrlProp481.xml"/><Relationship Id="rId29" Type="http://schemas.openxmlformats.org/officeDocument/2006/relationships/ctrlProp" Target="../ctrlProps/ctrlProp494.xml"/><Relationship Id="rId1" Type="http://schemas.openxmlformats.org/officeDocument/2006/relationships/printerSettings" Target="../printerSettings/printerSettings17.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32" Type="http://schemas.openxmlformats.org/officeDocument/2006/relationships/ctrlProp" Target="../ctrlProps/ctrlProp497.xml"/><Relationship Id="rId37" Type="http://schemas.openxmlformats.org/officeDocument/2006/relationships/ctrlProp" Target="../ctrlProps/ctrlProp502.xml"/><Relationship Id="rId40" Type="http://schemas.openxmlformats.org/officeDocument/2006/relationships/ctrlProp" Target="../ctrlProps/ctrlProp505.xml"/><Relationship Id="rId45" Type="http://schemas.openxmlformats.org/officeDocument/2006/relationships/ctrlProp" Target="../ctrlProps/ctrlProp510.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10" Type="http://schemas.openxmlformats.org/officeDocument/2006/relationships/ctrlProp" Target="../ctrlProps/ctrlProp475.xml"/><Relationship Id="rId19" Type="http://schemas.openxmlformats.org/officeDocument/2006/relationships/ctrlProp" Target="../ctrlProps/ctrlProp484.xml"/><Relationship Id="rId31" Type="http://schemas.openxmlformats.org/officeDocument/2006/relationships/ctrlProp" Target="../ctrlProps/ctrlProp496.xml"/><Relationship Id="rId44" Type="http://schemas.openxmlformats.org/officeDocument/2006/relationships/ctrlProp" Target="../ctrlProps/ctrlProp509.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 Id="rId43" Type="http://schemas.openxmlformats.org/officeDocument/2006/relationships/ctrlProp" Target="../ctrlProps/ctrlProp508.xml"/><Relationship Id="rId8" Type="http://schemas.openxmlformats.org/officeDocument/2006/relationships/ctrlProp" Target="../ctrlProps/ctrlProp473.xml"/><Relationship Id="rId3" Type="http://schemas.openxmlformats.org/officeDocument/2006/relationships/vmlDrawing" Target="../drawings/vmlDrawing10.v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38" Type="http://schemas.openxmlformats.org/officeDocument/2006/relationships/ctrlProp" Target="../ctrlProps/ctrlProp503.xml"/><Relationship Id="rId20" Type="http://schemas.openxmlformats.org/officeDocument/2006/relationships/ctrlProp" Target="../ctrlProps/ctrlProp485.xml"/><Relationship Id="rId41" Type="http://schemas.openxmlformats.org/officeDocument/2006/relationships/ctrlProp" Target="../ctrlProps/ctrlProp506.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624.xml"/><Relationship Id="rId299" Type="http://schemas.openxmlformats.org/officeDocument/2006/relationships/ctrlProp" Target="../ctrlProps/ctrlProp806.xml"/><Relationship Id="rId21" Type="http://schemas.openxmlformats.org/officeDocument/2006/relationships/ctrlProp" Target="../ctrlProps/ctrlProp528.xml"/><Relationship Id="rId63" Type="http://schemas.openxmlformats.org/officeDocument/2006/relationships/ctrlProp" Target="../ctrlProps/ctrlProp570.xml"/><Relationship Id="rId159" Type="http://schemas.openxmlformats.org/officeDocument/2006/relationships/ctrlProp" Target="../ctrlProps/ctrlProp666.xml"/><Relationship Id="rId324" Type="http://schemas.openxmlformats.org/officeDocument/2006/relationships/ctrlProp" Target="../ctrlProps/ctrlProp831.xml"/><Relationship Id="rId366" Type="http://schemas.openxmlformats.org/officeDocument/2006/relationships/ctrlProp" Target="../ctrlProps/ctrlProp873.xml"/><Relationship Id="rId170" Type="http://schemas.openxmlformats.org/officeDocument/2006/relationships/ctrlProp" Target="../ctrlProps/ctrlProp677.xml"/><Relationship Id="rId226" Type="http://schemas.openxmlformats.org/officeDocument/2006/relationships/ctrlProp" Target="../ctrlProps/ctrlProp733.xml"/><Relationship Id="rId433" Type="http://schemas.openxmlformats.org/officeDocument/2006/relationships/ctrlProp" Target="../ctrlProps/ctrlProp940.xml"/><Relationship Id="rId268" Type="http://schemas.openxmlformats.org/officeDocument/2006/relationships/ctrlProp" Target="../ctrlProps/ctrlProp775.xml"/><Relationship Id="rId32" Type="http://schemas.openxmlformats.org/officeDocument/2006/relationships/ctrlProp" Target="../ctrlProps/ctrlProp539.xml"/><Relationship Id="rId74" Type="http://schemas.openxmlformats.org/officeDocument/2006/relationships/ctrlProp" Target="../ctrlProps/ctrlProp581.xml"/><Relationship Id="rId128" Type="http://schemas.openxmlformats.org/officeDocument/2006/relationships/ctrlProp" Target="../ctrlProps/ctrlProp635.xml"/><Relationship Id="rId335" Type="http://schemas.openxmlformats.org/officeDocument/2006/relationships/ctrlProp" Target="../ctrlProps/ctrlProp842.xml"/><Relationship Id="rId377" Type="http://schemas.openxmlformats.org/officeDocument/2006/relationships/ctrlProp" Target="../ctrlProps/ctrlProp884.xml"/><Relationship Id="rId5" Type="http://schemas.openxmlformats.org/officeDocument/2006/relationships/ctrlProp" Target="../ctrlProps/ctrlProp512.xml"/><Relationship Id="rId181" Type="http://schemas.openxmlformats.org/officeDocument/2006/relationships/ctrlProp" Target="../ctrlProps/ctrlProp688.xml"/><Relationship Id="rId237" Type="http://schemas.openxmlformats.org/officeDocument/2006/relationships/ctrlProp" Target="../ctrlProps/ctrlProp744.xml"/><Relationship Id="rId402" Type="http://schemas.openxmlformats.org/officeDocument/2006/relationships/ctrlProp" Target="../ctrlProps/ctrlProp909.xml"/><Relationship Id="rId279" Type="http://schemas.openxmlformats.org/officeDocument/2006/relationships/ctrlProp" Target="../ctrlProps/ctrlProp786.xml"/><Relationship Id="rId43" Type="http://schemas.openxmlformats.org/officeDocument/2006/relationships/ctrlProp" Target="../ctrlProps/ctrlProp550.xml"/><Relationship Id="rId139" Type="http://schemas.openxmlformats.org/officeDocument/2006/relationships/ctrlProp" Target="../ctrlProps/ctrlProp646.xml"/><Relationship Id="rId290" Type="http://schemas.openxmlformats.org/officeDocument/2006/relationships/ctrlProp" Target="../ctrlProps/ctrlProp797.xml"/><Relationship Id="rId304" Type="http://schemas.openxmlformats.org/officeDocument/2006/relationships/ctrlProp" Target="../ctrlProps/ctrlProp811.xml"/><Relationship Id="rId346" Type="http://schemas.openxmlformats.org/officeDocument/2006/relationships/ctrlProp" Target="../ctrlProps/ctrlProp853.xml"/><Relationship Id="rId388" Type="http://schemas.openxmlformats.org/officeDocument/2006/relationships/ctrlProp" Target="../ctrlProps/ctrlProp895.xml"/><Relationship Id="rId85" Type="http://schemas.openxmlformats.org/officeDocument/2006/relationships/ctrlProp" Target="../ctrlProps/ctrlProp592.xml"/><Relationship Id="rId150" Type="http://schemas.openxmlformats.org/officeDocument/2006/relationships/ctrlProp" Target="../ctrlProps/ctrlProp657.xml"/><Relationship Id="rId192" Type="http://schemas.openxmlformats.org/officeDocument/2006/relationships/ctrlProp" Target="../ctrlProps/ctrlProp699.xml"/><Relationship Id="rId206" Type="http://schemas.openxmlformats.org/officeDocument/2006/relationships/ctrlProp" Target="../ctrlProps/ctrlProp713.xml"/><Relationship Id="rId413" Type="http://schemas.openxmlformats.org/officeDocument/2006/relationships/ctrlProp" Target="../ctrlProps/ctrlProp920.xml"/><Relationship Id="rId248" Type="http://schemas.openxmlformats.org/officeDocument/2006/relationships/ctrlProp" Target="../ctrlProps/ctrlProp755.xml"/><Relationship Id="rId12" Type="http://schemas.openxmlformats.org/officeDocument/2006/relationships/ctrlProp" Target="../ctrlProps/ctrlProp519.xml"/><Relationship Id="rId108" Type="http://schemas.openxmlformats.org/officeDocument/2006/relationships/ctrlProp" Target="../ctrlProps/ctrlProp615.xml"/><Relationship Id="rId315" Type="http://schemas.openxmlformats.org/officeDocument/2006/relationships/ctrlProp" Target="../ctrlProps/ctrlProp822.xml"/><Relationship Id="rId357" Type="http://schemas.openxmlformats.org/officeDocument/2006/relationships/ctrlProp" Target="../ctrlProps/ctrlProp864.xml"/><Relationship Id="rId54" Type="http://schemas.openxmlformats.org/officeDocument/2006/relationships/ctrlProp" Target="../ctrlProps/ctrlProp561.xml"/><Relationship Id="rId96" Type="http://schemas.openxmlformats.org/officeDocument/2006/relationships/ctrlProp" Target="../ctrlProps/ctrlProp603.xml"/><Relationship Id="rId161" Type="http://schemas.openxmlformats.org/officeDocument/2006/relationships/ctrlProp" Target="../ctrlProps/ctrlProp668.xml"/><Relationship Id="rId217" Type="http://schemas.openxmlformats.org/officeDocument/2006/relationships/ctrlProp" Target="../ctrlProps/ctrlProp724.xml"/><Relationship Id="rId399" Type="http://schemas.openxmlformats.org/officeDocument/2006/relationships/ctrlProp" Target="../ctrlProps/ctrlProp906.xml"/><Relationship Id="rId259" Type="http://schemas.openxmlformats.org/officeDocument/2006/relationships/ctrlProp" Target="../ctrlProps/ctrlProp766.xml"/><Relationship Id="rId424" Type="http://schemas.openxmlformats.org/officeDocument/2006/relationships/ctrlProp" Target="../ctrlProps/ctrlProp931.xml"/><Relationship Id="rId23" Type="http://schemas.openxmlformats.org/officeDocument/2006/relationships/ctrlProp" Target="../ctrlProps/ctrlProp530.xml"/><Relationship Id="rId119" Type="http://schemas.openxmlformats.org/officeDocument/2006/relationships/ctrlProp" Target="../ctrlProps/ctrlProp626.xml"/><Relationship Id="rId270" Type="http://schemas.openxmlformats.org/officeDocument/2006/relationships/ctrlProp" Target="../ctrlProps/ctrlProp777.xml"/><Relationship Id="rId326" Type="http://schemas.openxmlformats.org/officeDocument/2006/relationships/ctrlProp" Target="../ctrlProps/ctrlProp833.xml"/><Relationship Id="rId65" Type="http://schemas.openxmlformats.org/officeDocument/2006/relationships/ctrlProp" Target="../ctrlProps/ctrlProp572.xml"/><Relationship Id="rId130" Type="http://schemas.openxmlformats.org/officeDocument/2006/relationships/ctrlProp" Target="../ctrlProps/ctrlProp637.xml"/><Relationship Id="rId368" Type="http://schemas.openxmlformats.org/officeDocument/2006/relationships/ctrlProp" Target="../ctrlProps/ctrlProp875.xml"/><Relationship Id="rId172" Type="http://schemas.openxmlformats.org/officeDocument/2006/relationships/ctrlProp" Target="../ctrlProps/ctrlProp679.xml"/><Relationship Id="rId228" Type="http://schemas.openxmlformats.org/officeDocument/2006/relationships/ctrlProp" Target="../ctrlProps/ctrlProp735.xml"/><Relationship Id="rId435" Type="http://schemas.openxmlformats.org/officeDocument/2006/relationships/ctrlProp" Target="../ctrlProps/ctrlProp942.xml"/><Relationship Id="rId281" Type="http://schemas.openxmlformats.org/officeDocument/2006/relationships/ctrlProp" Target="../ctrlProps/ctrlProp788.xml"/><Relationship Id="rId337" Type="http://schemas.openxmlformats.org/officeDocument/2006/relationships/ctrlProp" Target="../ctrlProps/ctrlProp844.xml"/><Relationship Id="rId34" Type="http://schemas.openxmlformats.org/officeDocument/2006/relationships/ctrlProp" Target="../ctrlProps/ctrlProp541.xml"/><Relationship Id="rId76" Type="http://schemas.openxmlformats.org/officeDocument/2006/relationships/ctrlProp" Target="../ctrlProps/ctrlProp583.xml"/><Relationship Id="rId141" Type="http://schemas.openxmlformats.org/officeDocument/2006/relationships/ctrlProp" Target="../ctrlProps/ctrlProp648.xml"/><Relationship Id="rId379" Type="http://schemas.openxmlformats.org/officeDocument/2006/relationships/ctrlProp" Target="../ctrlProps/ctrlProp886.xml"/><Relationship Id="rId7" Type="http://schemas.openxmlformats.org/officeDocument/2006/relationships/ctrlProp" Target="../ctrlProps/ctrlProp514.xml"/><Relationship Id="rId183" Type="http://schemas.openxmlformats.org/officeDocument/2006/relationships/ctrlProp" Target="../ctrlProps/ctrlProp690.xml"/><Relationship Id="rId239" Type="http://schemas.openxmlformats.org/officeDocument/2006/relationships/ctrlProp" Target="../ctrlProps/ctrlProp746.xml"/><Relationship Id="rId390" Type="http://schemas.openxmlformats.org/officeDocument/2006/relationships/ctrlProp" Target="../ctrlProps/ctrlProp897.xml"/><Relationship Id="rId404" Type="http://schemas.openxmlformats.org/officeDocument/2006/relationships/ctrlProp" Target="../ctrlProps/ctrlProp911.xml"/><Relationship Id="rId250" Type="http://schemas.openxmlformats.org/officeDocument/2006/relationships/ctrlProp" Target="../ctrlProps/ctrlProp757.xml"/><Relationship Id="rId292" Type="http://schemas.openxmlformats.org/officeDocument/2006/relationships/ctrlProp" Target="../ctrlProps/ctrlProp799.xml"/><Relationship Id="rId306" Type="http://schemas.openxmlformats.org/officeDocument/2006/relationships/ctrlProp" Target="../ctrlProps/ctrlProp813.xml"/><Relationship Id="rId45" Type="http://schemas.openxmlformats.org/officeDocument/2006/relationships/ctrlProp" Target="../ctrlProps/ctrlProp552.xml"/><Relationship Id="rId87" Type="http://schemas.openxmlformats.org/officeDocument/2006/relationships/ctrlProp" Target="../ctrlProps/ctrlProp594.xml"/><Relationship Id="rId110" Type="http://schemas.openxmlformats.org/officeDocument/2006/relationships/ctrlProp" Target="../ctrlProps/ctrlProp617.xml"/><Relationship Id="rId348" Type="http://schemas.openxmlformats.org/officeDocument/2006/relationships/ctrlProp" Target="../ctrlProps/ctrlProp855.xml"/><Relationship Id="rId152" Type="http://schemas.openxmlformats.org/officeDocument/2006/relationships/ctrlProp" Target="../ctrlProps/ctrlProp659.xml"/><Relationship Id="rId194" Type="http://schemas.openxmlformats.org/officeDocument/2006/relationships/ctrlProp" Target="../ctrlProps/ctrlProp701.xml"/><Relationship Id="rId208" Type="http://schemas.openxmlformats.org/officeDocument/2006/relationships/ctrlProp" Target="../ctrlProps/ctrlProp715.xml"/><Relationship Id="rId415" Type="http://schemas.openxmlformats.org/officeDocument/2006/relationships/ctrlProp" Target="../ctrlProps/ctrlProp922.xml"/><Relationship Id="rId261" Type="http://schemas.openxmlformats.org/officeDocument/2006/relationships/ctrlProp" Target="../ctrlProps/ctrlProp768.xml"/><Relationship Id="rId14" Type="http://schemas.openxmlformats.org/officeDocument/2006/relationships/ctrlProp" Target="../ctrlProps/ctrlProp521.xml"/><Relationship Id="rId56" Type="http://schemas.openxmlformats.org/officeDocument/2006/relationships/ctrlProp" Target="../ctrlProps/ctrlProp563.xml"/><Relationship Id="rId317" Type="http://schemas.openxmlformats.org/officeDocument/2006/relationships/ctrlProp" Target="../ctrlProps/ctrlProp824.xml"/><Relationship Id="rId359" Type="http://schemas.openxmlformats.org/officeDocument/2006/relationships/ctrlProp" Target="../ctrlProps/ctrlProp866.xml"/><Relationship Id="rId98" Type="http://schemas.openxmlformats.org/officeDocument/2006/relationships/ctrlProp" Target="../ctrlProps/ctrlProp605.xml"/><Relationship Id="rId121" Type="http://schemas.openxmlformats.org/officeDocument/2006/relationships/ctrlProp" Target="../ctrlProps/ctrlProp628.xml"/><Relationship Id="rId163" Type="http://schemas.openxmlformats.org/officeDocument/2006/relationships/ctrlProp" Target="../ctrlProps/ctrlProp670.xml"/><Relationship Id="rId219" Type="http://schemas.openxmlformats.org/officeDocument/2006/relationships/ctrlProp" Target="../ctrlProps/ctrlProp726.xml"/><Relationship Id="rId370" Type="http://schemas.openxmlformats.org/officeDocument/2006/relationships/ctrlProp" Target="../ctrlProps/ctrlProp877.xml"/><Relationship Id="rId426" Type="http://schemas.openxmlformats.org/officeDocument/2006/relationships/ctrlProp" Target="../ctrlProps/ctrlProp933.xml"/><Relationship Id="rId230" Type="http://schemas.openxmlformats.org/officeDocument/2006/relationships/ctrlProp" Target="../ctrlProps/ctrlProp737.xml"/><Relationship Id="rId25" Type="http://schemas.openxmlformats.org/officeDocument/2006/relationships/ctrlProp" Target="../ctrlProps/ctrlProp532.xml"/><Relationship Id="rId67" Type="http://schemas.openxmlformats.org/officeDocument/2006/relationships/ctrlProp" Target="../ctrlProps/ctrlProp574.xml"/><Relationship Id="rId272" Type="http://schemas.openxmlformats.org/officeDocument/2006/relationships/ctrlProp" Target="../ctrlProps/ctrlProp779.xml"/><Relationship Id="rId328" Type="http://schemas.openxmlformats.org/officeDocument/2006/relationships/ctrlProp" Target="../ctrlProps/ctrlProp835.xml"/><Relationship Id="rId132" Type="http://schemas.openxmlformats.org/officeDocument/2006/relationships/ctrlProp" Target="../ctrlProps/ctrlProp639.xml"/><Relationship Id="rId174" Type="http://schemas.openxmlformats.org/officeDocument/2006/relationships/ctrlProp" Target="../ctrlProps/ctrlProp681.xml"/><Relationship Id="rId381" Type="http://schemas.openxmlformats.org/officeDocument/2006/relationships/ctrlProp" Target="../ctrlProps/ctrlProp888.xml"/><Relationship Id="rId241" Type="http://schemas.openxmlformats.org/officeDocument/2006/relationships/ctrlProp" Target="../ctrlProps/ctrlProp748.xml"/><Relationship Id="rId36" Type="http://schemas.openxmlformats.org/officeDocument/2006/relationships/ctrlProp" Target="../ctrlProps/ctrlProp543.xml"/><Relationship Id="rId283" Type="http://schemas.openxmlformats.org/officeDocument/2006/relationships/ctrlProp" Target="../ctrlProps/ctrlProp790.xml"/><Relationship Id="rId339" Type="http://schemas.openxmlformats.org/officeDocument/2006/relationships/ctrlProp" Target="../ctrlProps/ctrlProp846.xml"/><Relationship Id="rId78" Type="http://schemas.openxmlformats.org/officeDocument/2006/relationships/ctrlProp" Target="../ctrlProps/ctrlProp585.xml"/><Relationship Id="rId101" Type="http://schemas.openxmlformats.org/officeDocument/2006/relationships/ctrlProp" Target="../ctrlProps/ctrlProp608.xml"/><Relationship Id="rId143" Type="http://schemas.openxmlformats.org/officeDocument/2006/relationships/ctrlProp" Target="../ctrlProps/ctrlProp650.xml"/><Relationship Id="rId185" Type="http://schemas.openxmlformats.org/officeDocument/2006/relationships/ctrlProp" Target="../ctrlProps/ctrlProp692.xml"/><Relationship Id="rId350" Type="http://schemas.openxmlformats.org/officeDocument/2006/relationships/ctrlProp" Target="../ctrlProps/ctrlProp857.xml"/><Relationship Id="rId406" Type="http://schemas.openxmlformats.org/officeDocument/2006/relationships/ctrlProp" Target="../ctrlProps/ctrlProp913.xml"/><Relationship Id="rId9" Type="http://schemas.openxmlformats.org/officeDocument/2006/relationships/ctrlProp" Target="../ctrlProps/ctrlProp516.xml"/><Relationship Id="rId210" Type="http://schemas.openxmlformats.org/officeDocument/2006/relationships/ctrlProp" Target="../ctrlProps/ctrlProp717.xml"/><Relationship Id="rId392" Type="http://schemas.openxmlformats.org/officeDocument/2006/relationships/ctrlProp" Target="../ctrlProps/ctrlProp899.xml"/><Relationship Id="rId252" Type="http://schemas.openxmlformats.org/officeDocument/2006/relationships/ctrlProp" Target="../ctrlProps/ctrlProp759.xml"/><Relationship Id="rId294" Type="http://schemas.openxmlformats.org/officeDocument/2006/relationships/ctrlProp" Target="../ctrlProps/ctrlProp801.xml"/><Relationship Id="rId308" Type="http://schemas.openxmlformats.org/officeDocument/2006/relationships/ctrlProp" Target="../ctrlProps/ctrlProp815.xml"/><Relationship Id="rId47" Type="http://schemas.openxmlformats.org/officeDocument/2006/relationships/ctrlProp" Target="../ctrlProps/ctrlProp554.xml"/><Relationship Id="rId89" Type="http://schemas.openxmlformats.org/officeDocument/2006/relationships/ctrlProp" Target="../ctrlProps/ctrlProp596.xml"/><Relationship Id="rId112" Type="http://schemas.openxmlformats.org/officeDocument/2006/relationships/ctrlProp" Target="../ctrlProps/ctrlProp619.xml"/><Relationship Id="rId154" Type="http://schemas.openxmlformats.org/officeDocument/2006/relationships/ctrlProp" Target="../ctrlProps/ctrlProp661.xml"/><Relationship Id="rId361" Type="http://schemas.openxmlformats.org/officeDocument/2006/relationships/ctrlProp" Target="../ctrlProps/ctrlProp868.xml"/><Relationship Id="rId196" Type="http://schemas.openxmlformats.org/officeDocument/2006/relationships/ctrlProp" Target="../ctrlProps/ctrlProp703.xml"/><Relationship Id="rId417" Type="http://schemas.openxmlformats.org/officeDocument/2006/relationships/ctrlProp" Target="../ctrlProps/ctrlProp924.xml"/><Relationship Id="rId16" Type="http://schemas.openxmlformats.org/officeDocument/2006/relationships/ctrlProp" Target="../ctrlProps/ctrlProp523.xml"/><Relationship Id="rId221" Type="http://schemas.openxmlformats.org/officeDocument/2006/relationships/ctrlProp" Target="../ctrlProps/ctrlProp728.xml"/><Relationship Id="rId263" Type="http://schemas.openxmlformats.org/officeDocument/2006/relationships/ctrlProp" Target="../ctrlProps/ctrlProp770.xml"/><Relationship Id="rId319" Type="http://schemas.openxmlformats.org/officeDocument/2006/relationships/ctrlProp" Target="../ctrlProps/ctrlProp826.xml"/><Relationship Id="rId58" Type="http://schemas.openxmlformats.org/officeDocument/2006/relationships/ctrlProp" Target="../ctrlProps/ctrlProp565.xml"/><Relationship Id="rId123" Type="http://schemas.openxmlformats.org/officeDocument/2006/relationships/ctrlProp" Target="../ctrlProps/ctrlProp630.xml"/><Relationship Id="rId330" Type="http://schemas.openxmlformats.org/officeDocument/2006/relationships/ctrlProp" Target="../ctrlProps/ctrlProp837.xml"/><Relationship Id="rId165" Type="http://schemas.openxmlformats.org/officeDocument/2006/relationships/ctrlProp" Target="../ctrlProps/ctrlProp672.xml"/><Relationship Id="rId372" Type="http://schemas.openxmlformats.org/officeDocument/2006/relationships/ctrlProp" Target="../ctrlProps/ctrlProp879.xml"/><Relationship Id="rId428" Type="http://schemas.openxmlformats.org/officeDocument/2006/relationships/ctrlProp" Target="../ctrlProps/ctrlProp935.xml"/><Relationship Id="rId232" Type="http://schemas.openxmlformats.org/officeDocument/2006/relationships/ctrlProp" Target="../ctrlProps/ctrlProp739.xml"/><Relationship Id="rId274" Type="http://schemas.openxmlformats.org/officeDocument/2006/relationships/ctrlProp" Target="../ctrlProps/ctrlProp781.xml"/><Relationship Id="rId27" Type="http://schemas.openxmlformats.org/officeDocument/2006/relationships/ctrlProp" Target="../ctrlProps/ctrlProp534.xml"/><Relationship Id="rId69" Type="http://schemas.openxmlformats.org/officeDocument/2006/relationships/ctrlProp" Target="../ctrlProps/ctrlProp576.xml"/><Relationship Id="rId134" Type="http://schemas.openxmlformats.org/officeDocument/2006/relationships/ctrlProp" Target="../ctrlProps/ctrlProp641.xml"/><Relationship Id="rId80" Type="http://schemas.openxmlformats.org/officeDocument/2006/relationships/ctrlProp" Target="../ctrlProps/ctrlProp587.xml"/><Relationship Id="rId176" Type="http://schemas.openxmlformats.org/officeDocument/2006/relationships/ctrlProp" Target="../ctrlProps/ctrlProp683.xml"/><Relationship Id="rId341" Type="http://schemas.openxmlformats.org/officeDocument/2006/relationships/ctrlProp" Target="../ctrlProps/ctrlProp848.xml"/><Relationship Id="rId383" Type="http://schemas.openxmlformats.org/officeDocument/2006/relationships/ctrlProp" Target="../ctrlProps/ctrlProp890.xml"/><Relationship Id="rId201" Type="http://schemas.openxmlformats.org/officeDocument/2006/relationships/ctrlProp" Target="../ctrlProps/ctrlProp708.xml"/><Relationship Id="rId243" Type="http://schemas.openxmlformats.org/officeDocument/2006/relationships/ctrlProp" Target="../ctrlProps/ctrlProp750.xml"/><Relationship Id="rId285" Type="http://schemas.openxmlformats.org/officeDocument/2006/relationships/ctrlProp" Target="../ctrlProps/ctrlProp792.xml"/><Relationship Id="rId38" Type="http://schemas.openxmlformats.org/officeDocument/2006/relationships/ctrlProp" Target="../ctrlProps/ctrlProp545.xml"/><Relationship Id="rId103" Type="http://schemas.openxmlformats.org/officeDocument/2006/relationships/ctrlProp" Target="../ctrlProps/ctrlProp610.xml"/><Relationship Id="rId310" Type="http://schemas.openxmlformats.org/officeDocument/2006/relationships/ctrlProp" Target="../ctrlProps/ctrlProp817.xml"/><Relationship Id="rId91" Type="http://schemas.openxmlformats.org/officeDocument/2006/relationships/ctrlProp" Target="../ctrlProps/ctrlProp598.xml"/><Relationship Id="rId145" Type="http://schemas.openxmlformats.org/officeDocument/2006/relationships/ctrlProp" Target="../ctrlProps/ctrlProp652.xml"/><Relationship Id="rId187" Type="http://schemas.openxmlformats.org/officeDocument/2006/relationships/ctrlProp" Target="../ctrlProps/ctrlProp694.xml"/><Relationship Id="rId352" Type="http://schemas.openxmlformats.org/officeDocument/2006/relationships/ctrlProp" Target="../ctrlProps/ctrlProp859.xml"/><Relationship Id="rId394" Type="http://schemas.openxmlformats.org/officeDocument/2006/relationships/ctrlProp" Target="../ctrlProps/ctrlProp901.xml"/><Relationship Id="rId408" Type="http://schemas.openxmlformats.org/officeDocument/2006/relationships/ctrlProp" Target="../ctrlProps/ctrlProp915.xml"/><Relationship Id="rId212" Type="http://schemas.openxmlformats.org/officeDocument/2006/relationships/ctrlProp" Target="../ctrlProps/ctrlProp719.xml"/><Relationship Id="rId254" Type="http://schemas.openxmlformats.org/officeDocument/2006/relationships/ctrlProp" Target="../ctrlProps/ctrlProp761.xml"/><Relationship Id="rId28" Type="http://schemas.openxmlformats.org/officeDocument/2006/relationships/ctrlProp" Target="../ctrlProps/ctrlProp535.xml"/><Relationship Id="rId49" Type="http://schemas.openxmlformats.org/officeDocument/2006/relationships/ctrlProp" Target="../ctrlProps/ctrlProp556.xml"/><Relationship Id="rId114" Type="http://schemas.openxmlformats.org/officeDocument/2006/relationships/ctrlProp" Target="../ctrlProps/ctrlProp621.xml"/><Relationship Id="rId275" Type="http://schemas.openxmlformats.org/officeDocument/2006/relationships/ctrlProp" Target="../ctrlProps/ctrlProp782.xml"/><Relationship Id="rId296" Type="http://schemas.openxmlformats.org/officeDocument/2006/relationships/ctrlProp" Target="../ctrlProps/ctrlProp803.xml"/><Relationship Id="rId300" Type="http://schemas.openxmlformats.org/officeDocument/2006/relationships/ctrlProp" Target="../ctrlProps/ctrlProp807.xml"/><Relationship Id="rId60" Type="http://schemas.openxmlformats.org/officeDocument/2006/relationships/ctrlProp" Target="../ctrlProps/ctrlProp567.xml"/><Relationship Id="rId81" Type="http://schemas.openxmlformats.org/officeDocument/2006/relationships/ctrlProp" Target="../ctrlProps/ctrlProp588.xml"/><Relationship Id="rId135" Type="http://schemas.openxmlformats.org/officeDocument/2006/relationships/ctrlProp" Target="../ctrlProps/ctrlProp642.xml"/><Relationship Id="rId156" Type="http://schemas.openxmlformats.org/officeDocument/2006/relationships/ctrlProp" Target="../ctrlProps/ctrlProp663.xml"/><Relationship Id="rId177" Type="http://schemas.openxmlformats.org/officeDocument/2006/relationships/ctrlProp" Target="../ctrlProps/ctrlProp684.xml"/><Relationship Id="rId198" Type="http://schemas.openxmlformats.org/officeDocument/2006/relationships/ctrlProp" Target="../ctrlProps/ctrlProp705.xml"/><Relationship Id="rId321" Type="http://schemas.openxmlformats.org/officeDocument/2006/relationships/ctrlProp" Target="../ctrlProps/ctrlProp828.xml"/><Relationship Id="rId342" Type="http://schemas.openxmlformats.org/officeDocument/2006/relationships/ctrlProp" Target="../ctrlProps/ctrlProp849.xml"/><Relationship Id="rId363" Type="http://schemas.openxmlformats.org/officeDocument/2006/relationships/ctrlProp" Target="../ctrlProps/ctrlProp870.xml"/><Relationship Id="rId384" Type="http://schemas.openxmlformats.org/officeDocument/2006/relationships/ctrlProp" Target="../ctrlProps/ctrlProp891.xml"/><Relationship Id="rId419" Type="http://schemas.openxmlformats.org/officeDocument/2006/relationships/ctrlProp" Target="../ctrlProps/ctrlProp926.xml"/><Relationship Id="rId202" Type="http://schemas.openxmlformats.org/officeDocument/2006/relationships/ctrlProp" Target="../ctrlProps/ctrlProp709.xml"/><Relationship Id="rId223" Type="http://schemas.openxmlformats.org/officeDocument/2006/relationships/ctrlProp" Target="../ctrlProps/ctrlProp730.xml"/><Relationship Id="rId244" Type="http://schemas.openxmlformats.org/officeDocument/2006/relationships/ctrlProp" Target="../ctrlProps/ctrlProp751.xml"/><Relationship Id="rId430" Type="http://schemas.openxmlformats.org/officeDocument/2006/relationships/ctrlProp" Target="../ctrlProps/ctrlProp937.xml"/><Relationship Id="rId18" Type="http://schemas.openxmlformats.org/officeDocument/2006/relationships/ctrlProp" Target="../ctrlProps/ctrlProp525.xml"/><Relationship Id="rId39" Type="http://schemas.openxmlformats.org/officeDocument/2006/relationships/ctrlProp" Target="../ctrlProps/ctrlProp546.xml"/><Relationship Id="rId265" Type="http://schemas.openxmlformats.org/officeDocument/2006/relationships/ctrlProp" Target="../ctrlProps/ctrlProp772.xml"/><Relationship Id="rId286" Type="http://schemas.openxmlformats.org/officeDocument/2006/relationships/ctrlProp" Target="../ctrlProps/ctrlProp793.xml"/><Relationship Id="rId50" Type="http://schemas.openxmlformats.org/officeDocument/2006/relationships/ctrlProp" Target="../ctrlProps/ctrlProp557.xml"/><Relationship Id="rId104" Type="http://schemas.openxmlformats.org/officeDocument/2006/relationships/ctrlProp" Target="../ctrlProps/ctrlProp611.xml"/><Relationship Id="rId125" Type="http://schemas.openxmlformats.org/officeDocument/2006/relationships/ctrlProp" Target="../ctrlProps/ctrlProp632.xml"/><Relationship Id="rId146" Type="http://schemas.openxmlformats.org/officeDocument/2006/relationships/ctrlProp" Target="../ctrlProps/ctrlProp653.xml"/><Relationship Id="rId167" Type="http://schemas.openxmlformats.org/officeDocument/2006/relationships/ctrlProp" Target="../ctrlProps/ctrlProp674.xml"/><Relationship Id="rId188" Type="http://schemas.openxmlformats.org/officeDocument/2006/relationships/ctrlProp" Target="../ctrlProps/ctrlProp695.xml"/><Relationship Id="rId311" Type="http://schemas.openxmlformats.org/officeDocument/2006/relationships/ctrlProp" Target="../ctrlProps/ctrlProp818.xml"/><Relationship Id="rId332" Type="http://schemas.openxmlformats.org/officeDocument/2006/relationships/ctrlProp" Target="../ctrlProps/ctrlProp839.xml"/><Relationship Id="rId353" Type="http://schemas.openxmlformats.org/officeDocument/2006/relationships/ctrlProp" Target="../ctrlProps/ctrlProp860.xml"/><Relationship Id="rId374" Type="http://schemas.openxmlformats.org/officeDocument/2006/relationships/ctrlProp" Target="../ctrlProps/ctrlProp881.xml"/><Relationship Id="rId395" Type="http://schemas.openxmlformats.org/officeDocument/2006/relationships/ctrlProp" Target="../ctrlProps/ctrlProp902.xml"/><Relationship Id="rId409" Type="http://schemas.openxmlformats.org/officeDocument/2006/relationships/ctrlProp" Target="../ctrlProps/ctrlProp916.xml"/><Relationship Id="rId71" Type="http://schemas.openxmlformats.org/officeDocument/2006/relationships/ctrlProp" Target="../ctrlProps/ctrlProp578.xml"/><Relationship Id="rId92" Type="http://schemas.openxmlformats.org/officeDocument/2006/relationships/ctrlProp" Target="../ctrlProps/ctrlProp599.xml"/><Relationship Id="rId213" Type="http://schemas.openxmlformats.org/officeDocument/2006/relationships/ctrlProp" Target="../ctrlProps/ctrlProp720.xml"/><Relationship Id="rId234" Type="http://schemas.openxmlformats.org/officeDocument/2006/relationships/ctrlProp" Target="../ctrlProps/ctrlProp741.xml"/><Relationship Id="rId420" Type="http://schemas.openxmlformats.org/officeDocument/2006/relationships/ctrlProp" Target="../ctrlProps/ctrlProp927.xml"/><Relationship Id="rId2" Type="http://schemas.openxmlformats.org/officeDocument/2006/relationships/drawing" Target="../drawings/drawing14.xml"/><Relationship Id="rId29" Type="http://schemas.openxmlformats.org/officeDocument/2006/relationships/ctrlProp" Target="../ctrlProps/ctrlProp536.xml"/><Relationship Id="rId255" Type="http://schemas.openxmlformats.org/officeDocument/2006/relationships/ctrlProp" Target="../ctrlProps/ctrlProp762.xml"/><Relationship Id="rId276" Type="http://schemas.openxmlformats.org/officeDocument/2006/relationships/ctrlProp" Target="../ctrlProps/ctrlProp783.xml"/><Relationship Id="rId297" Type="http://schemas.openxmlformats.org/officeDocument/2006/relationships/ctrlProp" Target="../ctrlProps/ctrlProp804.xml"/><Relationship Id="rId40" Type="http://schemas.openxmlformats.org/officeDocument/2006/relationships/ctrlProp" Target="../ctrlProps/ctrlProp547.xml"/><Relationship Id="rId115" Type="http://schemas.openxmlformats.org/officeDocument/2006/relationships/ctrlProp" Target="../ctrlProps/ctrlProp622.xml"/><Relationship Id="rId136" Type="http://schemas.openxmlformats.org/officeDocument/2006/relationships/ctrlProp" Target="../ctrlProps/ctrlProp643.xml"/><Relationship Id="rId157" Type="http://schemas.openxmlformats.org/officeDocument/2006/relationships/ctrlProp" Target="../ctrlProps/ctrlProp664.xml"/><Relationship Id="rId178" Type="http://schemas.openxmlformats.org/officeDocument/2006/relationships/ctrlProp" Target="../ctrlProps/ctrlProp685.xml"/><Relationship Id="rId301" Type="http://schemas.openxmlformats.org/officeDocument/2006/relationships/ctrlProp" Target="../ctrlProps/ctrlProp808.xml"/><Relationship Id="rId322" Type="http://schemas.openxmlformats.org/officeDocument/2006/relationships/ctrlProp" Target="../ctrlProps/ctrlProp829.xml"/><Relationship Id="rId343" Type="http://schemas.openxmlformats.org/officeDocument/2006/relationships/ctrlProp" Target="../ctrlProps/ctrlProp850.xml"/><Relationship Id="rId364" Type="http://schemas.openxmlformats.org/officeDocument/2006/relationships/ctrlProp" Target="../ctrlProps/ctrlProp871.xml"/><Relationship Id="rId61" Type="http://schemas.openxmlformats.org/officeDocument/2006/relationships/ctrlProp" Target="../ctrlProps/ctrlProp568.xml"/><Relationship Id="rId82" Type="http://schemas.openxmlformats.org/officeDocument/2006/relationships/ctrlProp" Target="../ctrlProps/ctrlProp589.xml"/><Relationship Id="rId199" Type="http://schemas.openxmlformats.org/officeDocument/2006/relationships/ctrlProp" Target="../ctrlProps/ctrlProp706.xml"/><Relationship Id="rId203" Type="http://schemas.openxmlformats.org/officeDocument/2006/relationships/ctrlProp" Target="../ctrlProps/ctrlProp710.xml"/><Relationship Id="rId385" Type="http://schemas.openxmlformats.org/officeDocument/2006/relationships/ctrlProp" Target="../ctrlProps/ctrlProp892.xml"/><Relationship Id="rId19" Type="http://schemas.openxmlformats.org/officeDocument/2006/relationships/ctrlProp" Target="../ctrlProps/ctrlProp526.xml"/><Relationship Id="rId224" Type="http://schemas.openxmlformats.org/officeDocument/2006/relationships/ctrlProp" Target="../ctrlProps/ctrlProp731.xml"/><Relationship Id="rId245" Type="http://schemas.openxmlformats.org/officeDocument/2006/relationships/ctrlProp" Target="../ctrlProps/ctrlProp752.xml"/><Relationship Id="rId266" Type="http://schemas.openxmlformats.org/officeDocument/2006/relationships/ctrlProp" Target="../ctrlProps/ctrlProp773.xml"/><Relationship Id="rId287" Type="http://schemas.openxmlformats.org/officeDocument/2006/relationships/ctrlProp" Target="../ctrlProps/ctrlProp794.xml"/><Relationship Id="rId410" Type="http://schemas.openxmlformats.org/officeDocument/2006/relationships/ctrlProp" Target="../ctrlProps/ctrlProp917.xml"/><Relationship Id="rId431" Type="http://schemas.openxmlformats.org/officeDocument/2006/relationships/ctrlProp" Target="../ctrlProps/ctrlProp938.xml"/><Relationship Id="rId30" Type="http://schemas.openxmlformats.org/officeDocument/2006/relationships/ctrlProp" Target="../ctrlProps/ctrlProp537.xml"/><Relationship Id="rId105" Type="http://schemas.openxmlformats.org/officeDocument/2006/relationships/ctrlProp" Target="../ctrlProps/ctrlProp612.xml"/><Relationship Id="rId126" Type="http://schemas.openxmlformats.org/officeDocument/2006/relationships/ctrlProp" Target="../ctrlProps/ctrlProp633.xml"/><Relationship Id="rId147" Type="http://schemas.openxmlformats.org/officeDocument/2006/relationships/ctrlProp" Target="../ctrlProps/ctrlProp654.xml"/><Relationship Id="rId168" Type="http://schemas.openxmlformats.org/officeDocument/2006/relationships/ctrlProp" Target="../ctrlProps/ctrlProp675.xml"/><Relationship Id="rId312" Type="http://schemas.openxmlformats.org/officeDocument/2006/relationships/ctrlProp" Target="../ctrlProps/ctrlProp819.xml"/><Relationship Id="rId333" Type="http://schemas.openxmlformats.org/officeDocument/2006/relationships/ctrlProp" Target="../ctrlProps/ctrlProp840.xml"/><Relationship Id="rId354" Type="http://schemas.openxmlformats.org/officeDocument/2006/relationships/ctrlProp" Target="../ctrlProps/ctrlProp861.xml"/><Relationship Id="rId51" Type="http://schemas.openxmlformats.org/officeDocument/2006/relationships/ctrlProp" Target="../ctrlProps/ctrlProp558.xml"/><Relationship Id="rId72" Type="http://schemas.openxmlformats.org/officeDocument/2006/relationships/ctrlProp" Target="../ctrlProps/ctrlProp579.xml"/><Relationship Id="rId93" Type="http://schemas.openxmlformats.org/officeDocument/2006/relationships/ctrlProp" Target="../ctrlProps/ctrlProp600.xml"/><Relationship Id="rId189" Type="http://schemas.openxmlformats.org/officeDocument/2006/relationships/ctrlProp" Target="../ctrlProps/ctrlProp696.xml"/><Relationship Id="rId375" Type="http://schemas.openxmlformats.org/officeDocument/2006/relationships/ctrlProp" Target="../ctrlProps/ctrlProp882.xml"/><Relationship Id="rId396" Type="http://schemas.openxmlformats.org/officeDocument/2006/relationships/ctrlProp" Target="../ctrlProps/ctrlProp903.xml"/><Relationship Id="rId3" Type="http://schemas.openxmlformats.org/officeDocument/2006/relationships/vmlDrawing" Target="../drawings/vmlDrawing11.vml"/><Relationship Id="rId214" Type="http://schemas.openxmlformats.org/officeDocument/2006/relationships/ctrlProp" Target="../ctrlProps/ctrlProp721.xml"/><Relationship Id="rId235" Type="http://schemas.openxmlformats.org/officeDocument/2006/relationships/ctrlProp" Target="../ctrlProps/ctrlProp742.xml"/><Relationship Id="rId256" Type="http://schemas.openxmlformats.org/officeDocument/2006/relationships/ctrlProp" Target="../ctrlProps/ctrlProp763.xml"/><Relationship Id="rId277" Type="http://schemas.openxmlformats.org/officeDocument/2006/relationships/ctrlProp" Target="../ctrlProps/ctrlProp784.xml"/><Relationship Id="rId298" Type="http://schemas.openxmlformats.org/officeDocument/2006/relationships/ctrlProp" Target="../ctrlProps/ctrlProp805.xml"/><Relationship Id="rId400" Type="http://schemas.openxmlformats.org/officeDocument/2006/relationships/ctrlProp" Target="../ctrlProps/ctrlProp907.xml"/><Relationship Id="rId421" Type="http://schemas.openxmlformats.org/officeDocument/2006/relationships/ctrlProp" Target="../ctrlProps/ctrlProp928.xml"/><Relationship Id="rId116" Type="http://schemas.openxmlformats.org/officeDocument/2006/relationships/ctrlProp" Target="../ctrlProps/ctrlProp623.xml"/><Relationship Id="rId137" Type="http://schemas.openxmlformats.org/officeDocument/2006/relationships/ctrlProp" Target="../ctrlProps/ctrlProp644.xml"/><Relationship Id="rId158" Type="http://schemas.openxmlformats.org/officeDocument/2006/relationships/ctrlProp" Target="../ctrlProps/ctrlProp665.xml"/><Relationship Id="rId302" Type="http://schemas.openxmlformats.org/officeDocument/2006/relationships/ctrlProp" Target="../ctrlProps/ctrlProp809.xml"/><Relationship Id="rId323" Type="http://schemas.openxmlformats.org/officeDocument/2006/relationships/ctrlProp" Target="../ctrlProps/ctrlProp830.xml"/><Relationship Id="rId344" Type="http://schemas.openxmlformats.org/officeDocument/2006/relationships/ctrlProp" Target="../ctrlProps/ctrlProp851.xml"/><Relationship Id="rId20" Type="http://schemas.openxmlformats.org/officeDocument/2006/relationships/ctrlProp" Target="../ctrlProps/ctrlProp527.xml"/><Relationship Id="rId41" Type="http://schemas.openxmlformats.org/officeDocument/2006/relationships/ctrlProp" Target="../ctrlProps/ctrlProp548.xml"/><Relationship Id="rId62" Type="http://schemas.openxmlformats.org/officeDocument/2006/relationships/ctrlProp" Target="../ctrlProps/ctrlProp569.xml"/><Relationship Id="rId83" Type="http://schemas.openxmlformats.org/officeDocument/2006/relationships/ctrlProp" Target="../ctrlProps/ctrlProp590.xml"/><Relationship Id="rId179" Type="http://schemas.openxmlformats.org/officeDocument/2006/relationships/ctrlProp" Target="../ctrlProps/ctrlProp686.xml"/><Relationship Id="rId365" Type="http://schemas.openxmlformats.org/officeDocument/2006/relationships/ctrlProp" Target="../ctrlProps/ctrlProp872.xml"/><Relationship Id="rId386" Type="http://schemas.openxmlformats.org/officeDocument/2006/relationships/ctrlProp" Target="../ctrlProps/ctrlProp893.xml"/><Relationship Id="rId190" Type="http://schemas.openxmlformats.org/officeDocument/2006/relationships/ctrlProp" Target="../ctrlProps/ctrlProp697.xml"/><Relationship Id="rId204" Type="http://schemas.openxmlformats.org/officeDocument/2006/relationships/ctrlProp" Target="../ctrlProps/ctrlProp711.xml"/><Relationship Id="rId225" Type="http://schemas.openxmlformats.org/officeDocument/2006/relationships/ctrlProp" Target="../ctrlProps/ctrlProp732.xml"/><Relationship Id="rId246" Type="http://schemas.openxmlformats.org/officeDocument/2006/relationships/ctrlProp" Target="../ctrlProps/ctrlProp753.xml"/><Relationship Id="rId267" Type="http://schemas.openxmlformats.org/officeDocument/2006/relationships/ctrlProp" Target="../ctrlProps/ctrlProp774.xml"/><Relationship Id="rId288" Type="http://schemas.openxmlformats.org/officeDocument/2006/relationships/ctrlProp" Target="../ctrlProps/ctrlProp795.xml"/><Relationship Id="rId411" Type="http://schemas.openxmlformats.org/officeDocument/2006/relationships/ctrlProp" Target="../ctrlProps/ctrlProp918.xml"/><Relationship Id="rId432" Type="http://schemas.openxmlformats.org/officeDocument/2006/relationships/ctrlProp" Target="../ctrlProps/ctrlProp939.xml"/><Relationship Id="rId106" Type="http://schemas.openxmlformats.org/officeDocument/2006/relationships/ctrlProp" Target="../ctrlProps/ctrlProp613.xml"/><Relationship Id="rId127" Type="http://schemas.openxmlformats.org/officeDocument/2006/relationships/ctrlProp" Target="../ctrlProps/ctrlProp634.xml"/><Relationship Id="rId313" Type="http://schemas.openxmlformats.org/officeDocument/2006/relationships/ctrlProp" Target="../ctrlProps/ctrlProp820.xml"/><Relationship Id="rId10" Type="http://schemas.openxmlformats.org/officeDocument/2006/relationships/ctrlProp" Target="../ctrlProps/ctrlProp517.xml"/><Relationship Id="rId31" Type="http://schemas.openxmlformats.org/officeDocument/2006/relationships/ctrlProp" Target="../ctrlProps/ctrlProp538.xml"/><Relationship Id="rId52" Type="http://schemas.openxmlformats.org/officeDocument/2006/relationships/ctrlProp" Target="../ctrlProps/ctrlProp559.xml"/><Relationship Id="rId73" Type="http://schemas.openxmlformats.org/officeDocument/2006/relationships/ctrlProp" Target="../ctrlProps/ctrlProp580.xml"/><Relationship Id="rId94" Type="http://schemas.openxmlformats.org/officeDocument/2006/relationships/ctrlProp" Target="../ctrlProps/ctrlProp601.xml"/><Relationship Id="rId148" Type="http://schemas.openxmlformats.org/officeDocument/2006/relationships/ctrlProp" Target="../ctrlProps/ctrlProp655.xml"/><Relationship Id="rId169" Type="http://schemas.openxmlformats.org/officeDocument/2006/relationships/ctrlProp" Target="../ctrlProps/ctrlProp676.xml"/><Relationship Id="rId334" Type="http://schemas.openxmlformats.org/officeDocument/2006/relationships/ctrlProp" Target="../ctrlProps/ctrlProp841.xml"/><Relationship Id="rId355" Type="http://schemas.openxmlformats.org/officeDocument/2006/relationships/ctrlProp" Target="../ctrlProps/ctrlProp862.xml"/><Relationship Id="rId376" Type="http://schemas.openxmlformats.org/officeDocument/2006/relationships/ctrlProp" Target="../ctrlProps/ctrlProp883.xml"/><Relationship Id="rId397" Type="http://schemas.openxmlformats.org/officeDocument/2006/relationships/ctrlProp" Target="../ctrlProps/ctrlProp904.xml"/><Relationship Id="rId4" Type="http://schemas.openxmlformats.org/officeDocument/2006/relationships/ctrlProp" Target="../ctrlProps/ctrlProp511.xml"/><Relationship Id="rId180" Type="http://schemas.openxmlformats.org/officeDocument/2006/relationships/ctrlProp" Target="../ctrlProps/ctrlProp687.xml"/><Relationship Id="rId215" Type="http://schemas.openxmlformats.org/officeDocument/2006/relationships/ctrlProp" Target="../ctrlProps/ctrlProp722.xml"/><Relationship Id="rId236" Type="http://schemas.openxmlformats.org/officeDocument/2006/relationships/ctrlProp" Target="../ctrlProps/ctrlProp743.xml"/><Relationship Id="rId257" Type="http://schemas.openxmlformats.org/officeDocument/2006/relationships/ctrlProp" Target="../ctrlProps/ctrlProp764.xml"/><Relationship Id="rId278" Type="http://schemas.openxmlformats.org/officeDocument/2006/relationships/ctrlProp" Target="../ctrlProps/ctrlProp785.xml"/><Relationship Id="rId401" Type="http://schemas.openxmlformats.org/officeDocument/2006/relationships/ctrlProp" Target="../ctrlProps/ctrlProp908.xml"/><Relationship Id="rId422" Type="http://schemas.openxmlformats.org/officeDocument/2006/relationships/ctrlProp" Target="../ctrlProps/ctrlProp929.xml"/><Relationship Id="rId303" Type="http://schemas.openxmlformats.org/officeDocument/2006/relationships/ctrlProp" Target="../ctrlProps/ctrlProp810.xml"/><Relationship Id="rId42" Type="http://schemas.openxmlformats.org/officeDocument/2006/relationships/ctrlProp" Target="../ctrlProps/ctrlProp549.xml"/><Relationship Id="rId84" Type="http://schemas.openxmlformats.org/officeDocument/2006/relationships/ctrlProp" Target="../ctrlProps/ctrlProp591.xml"/><Relationship Id="rId138" Type="http://schemas.openxmlformats.org/officeDocument/2006/relationships/ctrlProp" Target="../ctrlProps/ctrlProp645.xml"/><Relationship Id="rId345" Type="http://schemas.openxmlformats.org/officeDocument/2006/relationships/ctrlProp" Target="../ctrlProps/ctrlProp852.xml"/><Relationship Id="rId387" Type="http://schemas.openxmlformats.org/officeDocument/2006/relationships/ctrlProp" Target="../ctrlProps/ctrlProp894.xml"/><Relationship Id="rId191" Type="http://schemas.openxmlformats.org/officeDocument/2006/relationships/ctrlProp" Target="../ctrlProps/ctrlProp698.xml"/><Relationship Id="rId205" Type="http://schemas.openxmlformats.org/officeDocument/2006/relationships/ctrlProp" Target="../ctrlProps/ctrlProp712.xml"/><Relationship Id="rId247" Type="http://schemas.openxmlformats.org/officeDocument/2006/relationships/ctrlProp" Target="../ctrlProps/ctrlProp754.xml"/><Relationship Id="rId412" Type="http://schemas.openxmlformats.org/officeDocument/2006/relationships/ctrlProp" Target="../ctrlProps/ctrlProp919.xml"/><Relationship Id="rId107" Type="http://schemas.openxmlformats.org/officeDocument/2006/relationships/ctrlProp" Target="../ctrlProps/ctrlProp614.xml"/><Relationship Id="rId289" Type="http://schemas.openxmlformats.org/officeDocument/2006/relationships/ctrlProp" Target="../ctrlProps/ctrlProp796.xml"/><Relationship Id="rId11" Type="http://schemas.openxmlformats.org/officeDocument/2006/relationships/ctrlProp" Target="../ctrlProps/ctrlProp518.xml"/><Relationship Id="rId53" Type="http://schemas.openxmlformats.org/officeDocument/2006/relationships/ctrlProp" Target="../ctrlProps/ctrlProp560.xml"/><Relationship Id="rId149" Type="http://schemas.openxmlformats.org/officeDocument/2006/relationships/ctrlProp" Target="../ctrlProps/ctrlProp656.xml"/><Relationship Id="rId314" Type="http://schemas.openxmlformats.org/officeDocument/2006/relationships/ctrlProp" Target="../ctrlProps/ctrlProp821.xml"/><Relationship Id="rId356" Type="http://schemas.openxmlformats.org/officeDocument/2006/relationships/ctrlProp" Target="../ctrlProps/ctrlProp863.xml"/><Relationship Id="rId398" Type="http://schemas.openxmlformats.org/officeDocument/2006/relationships/ctrlProp" Target="../ctrlProps/ctrlProp905.xml"/><Relationship Id="rId95" Type="http://schemas.openxmlformats.org/officeDocument/2006/relationships/ctrlProp" Target="../ctrlProps/ctrlProp602.xml"/><Relationship Id="rId160" Type="http://schemas.openxmlformats.org/officeDocument/2006/relationships/ctrlProp" Target="../ctrlProps/ctrlProp667.xml"/><Relationship Id="rId216" Type="http://schemas.openxmlformats.org/officeDocument/2006/relationships/ctrlProp" Target="../ctrlProps/ctrlProp723.xml"/><Relationship Id="rId423" Type="http://schemas.openxmlformats.org/officeDocument/2006/relationships/ctrlProp" Target="../ctrlProps/ctrlProp930.xml"/><Relationship Id="rId258" Type="http://schemas.openxmlformats.org/officeDocument/2006/relationships/ctrlProp" Target="../ctrlProps/ctrlProp765.xml"/><Relationship Id="rId22" Type="http://schemas.openxmlformats.org/officeDocument/2006/relationships/ctrlProp" Target="../ctrlProps/ctrlProp529.xml"/><Relationship Id="rId64" Type="http://schemas.openxmlformats.org/officeDocument/2006/relationships/ctrlProp" Target="../ctrlProps/ctrlProp571.xml"/><Relationship Id="rId118" Type="http://schemas.openxmlformats.org/officeDocument/2006/relationships/ctrlProp" Target="../ctrlProps/ctrlProp625.xml"/><Relationship Id="rId325" Type="http://schemas.openxmlformats.org/officeDocument/2006/relationships/ctrlProp" Target="../ctrlProps/ctrlProp832.xml"/><Relationship Id="rId367" Type="http://schemas.openxmlformats.org/officeDocument/2006/relationships/ctrlProp" Target="../ctrlProps/ctrlProp874.xml"/><Relationship Id="rId171" Type="http://schemas.openxmlformats.org/officeDocument/2006/relationships/ctrlProp" Target="../ctrlProps/ctrlProp678.xml"/><Relationship Id="rId227" Type="http://schemas.openxmlformats.org/officeDocument/2006/relationships/ctrlProp" Target="../ctrlProps/ctrlProp734.xml"/><Relationship Id="rId269" Type="http://schemas.openxmlformats.org/officeDocument/2006/relationships/ctrlProp" Target="../ctrlProps/ctrlProp776.xml"/><Relationship Id="rId434" Type="http://schemas.openxmlformats.org/officeDocument/2006/relationships/ctrlProp" Target="../ctrlProps/ctrlProp941.xml"/><Relationship Id="rId33" Type="http://schemas.openxmlformats.org/officeDocument/2006/relationships/ctrlProp" Target="../ctrlProps/ctrlProp540.xml"/><Relationship Id="rId129" Type="http://schemas.openxmlformats.org/officeDocument/2006/relationships/ctrlProp" Target="../ctrlProps/ctrlProp636.xml"/><Relationship Id="rId280" Type="http://schemas.openxmlformats.org/officeDocument/2006/relationships/ctrlProp" Target="../ctrlProps/ctrlProp787.xml"/><Relationship Id="rId336" Type="http://schemas.openxmlformats.org/officeDocument/2006/relationships/ctrlProp" Target="../ctrlProps/ctrlProp843.xml"/><Relationship Id="rId75" Type="http://schemas.openxmlformats.org/officeDocument/2006/relationships/ctrlProp" Target="../ctrlProps/ctrlProp582.xml"/><Relationship Id="rId140" Type="http://schemas.openxmlformats.org/officeDocument/2006/relationships/ctrlProp" Target="../ctrlProps/ctrlProp647.xml"/><Relationship Id="rId182" Type="http://schemas.openxmlformats.org/officeDocument/2006/relationships/ctrlProp" Target="../ctrlProps/ctrlProp689.xml"/><Relationship Id="rId378" Type="http://schemas.openxmlformats.org/officeDocument/2006/relationships/ctrlProp" Target="../ctrlProps/ctrlProp885.xml"/><Relationship Id="rId403" Type="http://schemas.openxmlformats.org/officeDocument/2006/relationships/ctrlProp" Target="../ctrlProps/ctrlProp910.xml"/><Relationship Id="rId6" Type="http://schemas.openxmlformats.org/officeDocument/2006/relationships/ctrlProp" Target="../ctrlProps/ctrlProp513.xml"/><Relationship Id="rId238" Type="http://schemas.openxmlformats.org/officeDocument/2006/relationships/ctrlProp" Target="../ctrlProps/ctrlProp745.xml"/><Relationship Id="rId291" Type="http://schemas.openxmlformats.org/officeDocument/2006/relationships/ctrlProp" Target="../ctrlProps/ctrlProp798.xml"/><Relationship Id="rId305" Type="http://schemas.openxmlformats.org/officeDocument/2006/relationships/ctrlProp" Target="../ctrlProps/ctrlProp812.xml"/><Relationship Id="rId347" Type="http://schemas.openxmlformats.org/officeDocument/2006/relationships/ctrlProp" Target="../ctrlProps/ctrlProp854.xml"/><Relationship Id="rId44" Type="http://schemas.openxmlformats.org/officeDocument/2006/relationships/ctrlProp" Target="../ctrlProps/ctrlProp551.xml"/><Relationship Id="rId86" Type="http://schemas.openxmlformats.org/officeDocument/2006/relationships/ctrlProp" Target="../ctrlProps/ctrlProp593.xml"/><Relationship Id="rId151" Type="http://schemas.openxmlformats.org/officeDocument/2006/relationships/ctrlProp" Target="../ctrlProps/ctrlProp658.xml"/><Relationship Id="rId389" Type="http://schemas.openxmlformats.org/officeDocument/2006/relationships/ctrlProp" Target="../ctrlProps/ctrlProp896.xml"/><Relationship Id="rId193" Type="http://schemas.openxmlformats.org/officeDocument/2006/relationships/ctrlProp" Target="../ctrlProps/ctrlProp700.xml"/><Relationship Id="rId207" Type="http://schemas.openxmlformats.org/officeDocument/2006/relationships/ctrlProp" Target="../ctrlProps/ctrlProp714.xml"/><Relationship Id="rId249" Type="http://schemas.openxmlformats.org/officeDocument/2006/relationships/ctrlProp" Target="../ctrlProps/ctrlProp756.xml"/><Relationship Id="rId414" Type="http://schemas.openxmlformats.org/officeDocument/2006/relationships/ctrlProp" Target="../ctrlProps/ctrlProp921.xml"/><Relationship Id="rId13" Type="http://schemas.openxmlformats.org/officeDocument/2006/relationships/ctrlProp" Target="../ctrlProps/ctrlProp520.xml"/><Relationship Id="rId109" Type="http://schemas.openxmlformats.org/officeDocument/2006/relationships/ctrlProp" Target="../ctrlProps/ctrlProp616.xml"/><Relationship Id="rId260" Type="http://schemas.openxmlformats.org/officeDocument/2006/relationships/ctrlProp" Target="../ctrlProps/ctrlProp767.xml"/><Relationship Id="rId316" Type="http://schemas.openxmlformats.org/officeDocument/2006/relationships/ctrlProp" Target="../ctrlProps/ctrlProp823.xml"/><Relationship Id="rId55" Type="http://schemas.openxmlformats.org/officeDocument/2006/relationships/ctrlProp" Target="../ctrlProps/ctrlProp562.xml"/><Relationship Id="rId97" Type="http://schemas.openxmlformats.org/officeDocument/2006/relationships/ctrlProp" Target="../ctrlProps/ctrlProp604.xml"/><Relationship Id="rId120" Type="http://schemas.openxmlformats.org/officeDocument/2006/relationships/ctrlProp" Target="../ctrlProps/ctrlProp627.xml"/><Relationship Id="rId358" Type="http://schemas.openxmlformats.org/officeDocument/2006/relationships/ctrlProp" Target="../ctrlProps/ctrlProp865.xml"/><Relationship Id="rId162" Type="http://schemas.openxmlformats.org/officeDocument/2006/relationships/ctrlProp" Target="../ctrlProps/ctrlProp669.xml"/><Relationship Id="rId218" Type="http://schemas.openxmlformats.org/officeDocument/2006/relationships/ctrlProp" Target="../ctrlProps/ctrlProp725.xml"/><Relationship Id="rId425" Type="http://schemas.openxmlformats.org/officeDocument/2006/relationships/ctrlProp" Target="../ctrlProps/ctrlProp932.xml"/><Relationship Id="rId271" Type="http://schemas.openxmlformats.org/officeDocument/2006/relationships/ctrlProp" Target="../ctrlProps/ctrlProp778.xml"/><Relationship Id="rId24" Type="http://schemas.openxmlformats.org/officeDocument/2006/relationships/ctrlProp" Target="../ctrlProps/ctrlProp531.xml"/><Relationship Id="rId66" Type="http://schemas.openxmlformats.org/officeDocument/2006/relationships/ctrlProp" Target="../ctrlProps/ctrlProp573.xml"/><Relationship Id="rId131" Type="http://schemas.openxmlformats.org/officeDocument/2006/relationships/ctrlProp" Target="../ctrlProps/ctrlProp638.xml"/><Relationship Id="rId327" Type="http://schemas.openxmlformats.org/officeDocument/2006/relationships/ctrlProp" Target="../ctrlProps/ctrlProp834.xml"/><Relationship Id="rId369" Type="http://schemas.openxmlformats.org/officeDocument/2006/relationships/ctrlProp" Target="../ctrlProps/ctrlProp876.xml"/><Relationship Id="rId173" Type="http://schemas.openxmlformats.org/officeDocument/2006/relationships/ctrlProp" Target="../ctrlProps/ctrlProp680.xml"/><Relationship Id="rId229" Type="http://schemas.openxmlformats.org/officeDocument/2006/relationships/ctrlProp" Target="../ctrlProps/ctrlProp736.xml"/><Relationship Id="rId380" Type="http://schemas.openxmlformats.org/officeDocument/2006/relationships/ctrlProp" Target="../ctrlProps/ctrlProp887.xml"/><Relationship Id="rId436" Type="http://schemas.openxmlformats.org/officeDocument/2006/relationships/ctrlProp" Target="../ctrlProps/ctrlProp943.xml"/><Relationship Id="rId240" Type="http://schemas.openxmlformats.org/officeDocument/2006/relationships/ctrlProp" Target="../ctrlProps/ctrlProp747.xml"/><Relationship Id="rId35" Type="http://schemas.openxmlformats.org/officeDocument/2006/relationships/ctrlProp" Target="../ctrlProps/ctrlProp542.xml"/><Relationship Id="rId77" Type="http://schemas.openxmlformats.org/officeDocument/2006/relationships/ctrlProp" Target="../ctrlProps/ctrlProp584.xml"/><Relationship Id="rId100" Type="http://schemas.openxmlformats.org/officeDocument/2006/relationships/ctrlProp" Target="../ctrlProps/ctrlProp607.xml"/><Relationship Id="rId282" Type="http://schemas.openxmlformats.org/officeDocument/2006/relationships/ctrlProp" Target="../ctrlProps/ctrlProp789.xml"/><Relationship Id="rId338" Type="http://schemas.openxmlformats.org/officeDocument/2006/relationships/ctrlProp" Target="../ctrlProps/ctrlProp845.xml"/><Relationship Id="rId8" Type="http://schemas.openxmlformats.org/officeDocument/2006/relationships/ctrlProp" Target="../ctrlProps/ctrlProp515.xml"/><Relationship Id="rId142" Type="http://schemas.openxmlformats.org/officeDocument/2006/relationships/ctrlProp" Target="../ctrlProps/ctrlProp649.xml"/><Relationship Id="rId184" Type="http://schemas.openxmlformats.org/officeDocument/2006/relationships/ctrlProp" Target="../ctrlProps/ctrlProp691.xml"/><Relationship Id="rId391" Type="http://schemas.openxmlformats.org/officeDocument/2006/relationships/ctrlProp" Target="../ctrlProps/ctrlProp898.xml"/><Relationship Id="rId405" Type="http://schemas.openxmlformats.org/officeDocument/2006/relationships/ctrlProp" Target="../ctrlProps/ctrlProp912.xml"/><Relationship Id="rId251" Type="http://schemas.openxmlformats.org/officeDocument/2006/relationships/ctrlProp" Target="../ctrlProps/ctrlProp758.xml"/><Relationship Id="rId46" Type="http://schemas.openxmlformats.org/officeDocument/2006/relationships/ctrlProp" Target="../ctrlProps/ctrlProp553.xml"/><Relationship Id="rId293" Type="http://schemas.openxmlformats.org/officeDocument/2006/relationships/ctrlProp" Target="../ctrlProps/ctrlProp800.xml"/><Relationship Id="rId307" Type="http://schemas.openxmlformats.org/officeDocument/2006/relationships/ctrlProp" Target="../ctrlProps/ctrlProp814.xml"/><Relationship Id="rId349" Type="http://schemas.openxmlformats.org/officeDocument/2006/relationships/ctrlProp" Target="../ctrlProps/ctrlProp856.xml"/><Relationship Id="rId88" Type="http://schemas.openxmlformats.org/officeDocument/2006/relationships/ctrlProp" Target="../ctrlProps/ctrlProp595.xml"/><Relationship Id="rId111" Type="http://schemas.openxmlformats.org/officeDocument/2006/relationships/ctrlProp" Target="../ctrlProps/ctrlProp618.xml"/><Relationship Id="rId153" Type="http://schemas.openxmlformats.org/officeDocument/2006/relationships/ctrlProp" Target="../ctrlProps/ctrlProp660.xml"/><Relationship Id="rId195" Type="http://schemas.openxmlformats.org/officeDocument/2006/relationships/ctrlProp" Target="../ctrlProps/ctrlProp702.xml"/><Relationship Id="rId209" Type="http://schemas.openxmlformats.org/officeDocument/2006/relationships/ctrlProp" Target="../ctrlProps/ctrlProp716.xml"/><Relationship Id="rId360" Type="http://schemas.openxmlformats.org/officeDocument/2006/relationships/ctrlProp" Target="../ctrlProps/ctrlProp867.xml"/><Relationship Id="rId416" Type="http://schemas.openxmlformats.org/officeDocument/2006/relationships/ctrlProp" Target="../ctrlProps/ctrlProp923.xml"/><Relationship Id="rId220" Type="http://schemas.openxmlformats.org/officeDocument/2006/relationships/ctrlProp" Target="../ctrlProps/ctrlProp727.xml"/><Relationship Id="rId15" Type="http://schemas.openxmlformats.org/officeDocument/2006/relationships/ctrlProp" Target="../ctrlProps/ctrlProp522.xml"/><Relationship Id="rId57" Type="http://schemas.openxmlformats.org/officeDocument/2006/relationships/ctrlProp" Target="../ctrlProps/ctrlProp564.xml"/><Relationship Id="rId262" Type="http://schemas.openxmlformats.org/officeDocument/2006/relationships/ctrlProp" Target="../ctrlProps/ctrlProp769.xml"/><Relationship Id="rId318" Type="http://schemas.openxmlformats.org/officeDocument/2006/relationships/ctrlProp" Target="../ctrlProps/ctrlProp825.xml"/><Relationship Id="rId99" Type="http://schemas.openxmlformats.org/officeDocument/2006/relationships/ctrlProp" Target="../ctrlProps/ctrlProp606.xml"/><Relationship Id="rId122" Type="http://schemas.openxmlformats.org/officeDocument/2006/relationships/ctrlProp" Target="../ctrlProps/ctrlProp629.xml"/><Relationship Id="rId164" Type="http://schemas.openxmlformats.org/officeDocument/2006/relationships/ctrlProp" Target="../ctrlProps/ctrlProp671.xml"/><Relationship Id="rId371" Type="http://schemas.openxmlformats.org/officeDocument/2006/relationships/ctrlProp" Target="../ctrlProps/ctrlProp878.xml"/><Relationship Id="rId427" Type="http://schemas.openxmlformats.org/officeDocument/2006/relationships/ctrlProp" Target="../ctrlProps/ctrlProp934.xml"/><Relationship Id="rId26" Type="http://schemas.openxmlformats.org/officeDocument/2006/relationships/ctrlProp" Target="../ctrlProps/ctrlProp533.xml"/><Relationship Id="rId231" Type="http://schemas.openxmlformats.org/officeDocument/2006/relationships/ctrlProp" Target="../ctrlProps/ctrlProp738.xml"/><Relationship Id="rId273" Type="http://schemas.openxmlformats.org/officeDocument/2006/relationships/ctrlProp" Target="../ctrlProps/ctrlProp780.xml"/><Relationship Id="rId329" Type="http://schemas.openxmlformats.org/officeDocument/2006/relationships/ctrlProp" Target="../ctrlProps/ctrlProp836.xml"/><Relationship Id="rId68" Type="http://schemas.openxmlformats.org/officeDocument/2006/relationships/ctrlProp" Target="../ctrlProps/ctrlProp575.xml"/><Relationship Id="rId133" Type="http://schemas.openxmlformats.org/officeDocument/2006/relationships/ctrlProp" Target="../ctrlProps/ctrlProp640.xml"/><Relationship Id="rId175" Type="http://schemas.openxmlformats.org/officeDocument/2006/relationships/ctrlProp" Target="../ctrlProps/ctrlProp682.xml"/><Relationship Id="rId340" Type="http://schemas.openxmlformats.org/officeDocument/2006/relationships/ctrlProp" Target="../ctrlProps/ctrlProp847.xml"/><Relationship Id="rId200" Type="http://schemas.openxmlformats.org/officeDocument/2006/relationships/ctrlProp" Target="../ctrlProps/ctrlProp707.xml"/><Relationship Id="rId382" Type="http://schemas.openxmlformats.org/officeDocument/2006/relationships/ctrlProp" Target="../ctrlProps/ctrlProp889.xml"/><Relationship Id="rId242" Type="http://schemas.openxmlformats.org/officeDocument/2006/relationships/ctrlProp" Target="../ctrlProps/ctrlProp749.xml"/><Relationship Id="rId284" Type="http://schemas.openxmlformats.org/officeDocument/2006/relationships/ctrlProp" Target="../ctrlProps/ctrlProp791.xml"/><Relationship Id="rId37" Type="http://schemas.openxmlformats.org/officeDocument/2006/relationships/ctrlProp" Target="../ctrlProps/ctrlProp544.xml"/><Relationship Id="rId79" Type="http://schemas.openxmlformats.org/officeDocument/2006/relationships/ctrlProp" Target="../ctrlProps/ctrlProp586.xml"/><Relationship Id="rId102" Type="http://schemas.openxmlformats.org/officeDocument/2006/relationships/ctrlProp" Target="../ctrlProps/ctrlProp609.xml"/><Relationship Id="rId144" Type="http://schemas.openxmlformats.org/officeDocument/2006/relationships/ctrlProp" Target="../ctrlProps/ctrlProp651.xml"/><Relationship Id="rId90" Type="http://schemas.openxmlformats.org/officeDocument/2006/relationships/ctrlProp" Target="../ctrlProps/ctrlProp597.xml"/><Relationship Id="rId186" Type="http://schemas.openxmlformats.org/officeDocument/2006/relationships/ctrlProp" Target="../ctrlProps/ctrlProp693.xml"/><Relationship Id="rId351" Type="http://schemas.openxmlformats.org/officeDocument/2006/relationships/ctrlProp" Target="../ctrlProps/ctrlProp858.xml"/><Relationship Id="rId393" Type="http://schemas.openxmlformats.org/officeDocument/2006/relationships/ctrlProp" Target="../ctrlProps/ctrlProp900.xml"/><Relationship Id="rId407" Type="http://schemas.openxmlformats.org/officeDocument/2006/relationships/ctrlProp" Target="../ctrlProps/ctrlProp914.xml"/><Relationship Id="rId211" Type="http://schemas.openxmlformats.org/officeDocument/2006/relationships/ctrlProp" Target="../ctrlProps/ctrlProp718.xml"/><Relationship Id="rId253" Type="http://schemas.openxmlformats.org/officeDocument/2006/relationships/ctrlProp" Target="../ctrlProps/ctrlProp760.xml"/><Relationship Id="rId295" Type="http://schemas.openxmlformats.org/officeDocument/2006/relationships/ctrlProp" Target="../ctrlProps/ctrlProp802.xml"/><Relationship Id="rId309" Type="http://schemas.openxmlformats.org/officeDocument/2006/relationships/ctrlProp" Target="../ctrlProps/ctrlProp816.xml"/><Relationship Id="rId48" Type="http://schemas.openxmlformats.org/officeDocument/2006/relationships/ctrlProp" Target="../ctrlProps/ctrlProp555.xml"/><Relationship Id="rId113" Type="http://schemas.openxmlformats.org/officeDocument/2006/relationships/ctrlProp" Target="../ctrlProps/ctrlProp620.xml"/><Relationship Id="rId320" Type="http://schemas.openxmlformats.org/officeDocument/2006/relationships/ctrlProp" Target="../ctrlProps/ctrlProp827.xml"/><Relationship Id="rId155" Type="http://schemas.openxmlformats.org/officeDocument/2006/relationships/ctrlProp" Target="../ctrlProps/ctrlProp662.xml"/><Relationship Id="rId197" Type="http://schemas.openxmlformats.org/officeDocument/2006/relationships/ctrlProp" Target="../ctrlProps/ctrlProp704.xml"/><Relationship Id="rId362" Type="http://schemas.openxmlformats.org/officeDocument/2006/relationships/ctrlProp" Target="../ctrlProps/ctrlProp869.xml"/><Relationship Id="rId418" Type="http://schemas.openxmlformats.org/officeDocument/2006/relationships/ctrlProp" Target="../ctrlProps/ctrlProp925.xml"/><Relationship Id="rId222" Type="http://schemas.openxmlformats.org/officeDocument/2006/relationships/ctrlProp" Target="../ctrlProps/ctrlProp729.xml"/><Relationship Id="rId264" Type="http://schemas.openxmlformats.org/officeDocument/2006/relationships/ctrlProp" Target="../ctrlProps/ctrlProp771.xml"/><Relationship Id="rId17" Type="http://schemas.openxmlformats.org/officeDocument/2006/relationships/ctrlProp" Target="../ctrlProps/ctrlProp524.xml"/><Relationship Id="rId59" Type="http://schemas.openxmlformats.org/officeDocument/2006/relationships/ctrlProp" Target="../ctrlProps/ctrlProp566.xml"/><Relationship Id="rId124" Type="http://schemas.openxmlformats.org/officeDocument/2006/relationships/ctrlProp" Target="../ctrlProps/ctrlProp631.xml"/><Relationship Id="rId70" Type="http://schemas.openxmlformats.org/officeDocument/2006/relationships/ctrlProp" Target="../ctrlProps/ctrlProp577.xml"/><Relationship Id="rId166" Type="http://schemas.openxmlformats.org/officeDocument/2006/relationships/ctrlProp" Target="../ctrlProps/ctrlProp673.xml"/><Relationship Id="rId331" Type="http://schemas.openxmlformats.org/officeDocument/2006/relationships/ctrlProp" Target="../ctrlProps/ctrlProp838.xml"/><Relationship Id="rId373" Type="http://schemas.openxmlformats.org/officeDocument/2006/relationships/ctrlProp" Target="../ctrlProps/ctrlProp880.xml"/><Relationship Id="rId429" Type="http://schemas.openxmlformats.org/officeDocument/2006/relationships/ctrlProp" Target="../ctrlProps/ctrlProp936.xml"/><Relationship Id="rId1" Type="http://schemas.openxmlformats.org/officeDocument/2006/relationships/printerSettings" Target="../printerSettings/printerSettings18.bin"/><Relationship Id="rId233" Type="http://schemas.openxmlformats.org/officeDocument/2006/relationships/ctrlProp" Target="../ctrlProps/ctrlProp74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48.xml"/><Relationship Id="rId13" Type="http://schemas.openxmlformats.org/officeDocument/2006/relationships/ctrlProp" Target="../ctrlProps/ctrlProp953.xml"/><Relationship Id="rId18" Type="http://schemas.openxmlformats.org/officeDocument/2006/relationships/ctrlProp" Target="../ctrlProps/ctrlProp958.xml"/><Relationship Id="rId3" Type="http://schemas.openxmlformats.org/officeDocument/2006/relationships/vmlDrawing" Target="../drawings/vmlDrawing12.vml"/><Relationship Id="rId21" Type="http://schemas.openxmlformats.org/officeDocument/2006/relationships/ctrlProp" Target="../ctrlProps/ctrlProp961.xml"/><Relationship Id="rId7" Type="http://schemas.openxmlformats.org/officeDocument/2006/relationships/ctrlProp" Target="../ctrlProps/ctrlProp947.xml"/><Relationship Id="rId12" Type="http://schemas.openxmlformats.org/officeDocument/2006/relationships/ctrlProp" Target="../ctrlProps/ctrlProp952.xml"/><Relationship Id="rId17" Type="http://schemas.openxmlformats.org/officeDocument/2006/relationships/ctrlProp" Target="../ctrlProps/ctrlProp957.xml"/><Relationship Id="rId2" Type="http://schemas.openxmlformats.org/officeDocument/2006/relationships/drawing" Target="../drawings/drawing15.xml"/><Relationship Id="rId16" Type="http://schemas.openxmlformats.org/officeDocument/2006/relationships/ctrlProp" Target="../ctrlProps/ctrlProp956.xml"/><Relationship Id="rId20" Type="http://schemas.openxmlformats.org/officeDocument/2006/relationships/ctrlProp" Target="../ctrlProps/ctrlProp960.xml"/><Relationship Id="rId1" Type="http://schemas.openxmlformats.org/officeDocument/2006/relationships/printerSettings" Target="../printerSettings/printerSettings19.bin"/><Relationship Id="rId6" Type="http://schemas.openxmlformats.org/officeDocument/2006/relationships/ctrlProp" Target="../ctrlProps/ctrlProp946.xml"/><Relationship Id="rId11" Type="http://schemas.openxmlformats.org/officeDocument/2006/relationships/ctrlProp" Target="../ctrlProps/ctrlProp951.xml"/><Relationship Id="rId5" Type="http://schemas.openxmlformats.org/officeDocument/2006/relationships/ctrlProp" Target="../ctrlProps/ctrlProp945.xml"/><Relationship Id="rId15" Type="http://schemas.openxmlformats.org/officeDocument/2006/relationships/ctrlProp" Target="../ctrlProps/ctrlProp955.xml"/><Relationship Id="rId10" Type="http://schemas.openxmlformats.org/officeDocument/2006/relationships/ctrlProp" Target="../ctrlProps/ctrlProp950.xml"/><Relationship Id="rId19" Type="http://schemas.openxmlformats.org/officeDocument/2006/relationships/ctrlProp" Target="../ctrlProps/ctrlProp959.xml"/><Relationship Id="rId4" Type="http://schemas.openxmlformats.org/officeDocument/2006/relationships/ctrlProp" Target="../ctrlProps/ctrlProp944.xml"/><Relationship Id="rId9" Type="http://schemas.openxmlformats.org/officeDocument/2006/relationships/ctrlProp" Target="../ctrlProps/ctrlProp949.xml"/><Relationship Id="rId14" Type="http://schemas.openxmlformats.org/officeDocument/2006/relationships/ctrlProp" Target="../ctrlProps/ctrlProp954.xml"/><Relationship Id="rId22" Type="http://schemas.openxmlformats.org/officeDocument/2006/relationships/ctrlProp" Target="../ctrlProps/ctrlProp96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965.xml"/><Relationship Id="rId13" Type="http://schemas.openxmlformats.org/officeDocument/2006/relationships/ctrlProp" Target="../ctrlProps/ctrlProp970.xml"/><Relationship Id="rId18" Type="http://schemas.openxmlformats.org/officeDocument/2006/relationships/ctrlProp" Target="../ctrlProps/ctrlProp975.xml"/><Relationship Id="rId3" Type="http://schemas.openxmlformats.org/officeDocument/2006/relationships/printerSettings" Target="../printerSettings/printerSettings20.bin"/><Relationship Id="rId7" Type="http://schemas.openxmlformats.org/officeDocument/2006/relationships/ctrlProp" Target="../ctrlProps/ctrlProp964.xml"/><Relationship Id="rId12" Type="http://schemas.openxmlformats.org/officeDocument/2006/relationships/ctrlProp" Target="../ctrlProps/ctrlProp969.xml"/><Relationship Id="rId17" Type="http://schemas.openxmlformats.org/officeDocument/2006/relationships/ctrlProp" Target="../ctrlProps/ctrlProp974.xml"/><Relationship Id="rId2" Type="http://schemas.openxmlformats.org/officeDocument/2006/relationships/hyperlink" Target="https://www.epa.gov/watersense/irrigation-pro" TargetMode="External"/><Relationship Id="rId16" Type="http://schemas.openxmlformats.org/officeDocument/2006/relationships/ctrlProp" Target="../ctrlProps/ctrlProp973.xml"/><Relationship Id="rId20" Type="http://schemas.openxmlformats.org/officeDocument/2006/relationships/ctrlProp" Target="../ctrlProps/ctrlProp977.xml"/><Relationship Id="rId1" Type="http://schemas.openxmlformats.org/officeDocument/2006/relationships/hyperlink" Target="https://www.epa.gov/watersense/irrigation-controllers" TargetMode="External"/><Relationship Id="rId6" Type="http://schemas.openxmlformats.org/officeDocument/2006/relationships/ctrlProp" Target="../ctrlProps/ctrlProp963.xml"/><Relationship Id="rId11" Type="http://schemas.openxmlformats.org/officeDocument/2006/relationships/ctrlProp" Target="../ctrlProps/ctrlProp968.xml"/><Relationship Id="rId5" Type="http://schemas.openxmlformats.org/officeDocument/2006/relationships/vmlDrawing" Target="../drawings/vmlDrawing13.vml"/><Relationship Id="rId15" Type="http://schemas.openxmlformats.org/officeDocument/2006/relationships/ctrlProp" Target="../ctrlProps/ctrlProp972.xml"/><Relationship Id="rId10" Type="http://schemas.openxmlformats.org/officeDocument/2006/relationships/ctrlProp" Target="../ctrlProps/ctrlProp967.xml"/><Relationship Id="rId19" Type="http://schemas.openxmlformats.org/officeDocument/2006/relationships/ctrlProp" Target="../ctrlProps/ctrlProp976.xml"/><Relationship Id="rId4" Type="http://schemas.openxmlformats.org/officeDocument/2006/relationships/drawing" Target="../drawings/drawing16.xml"/><Relationship Id="rId9" Type="http://schemas.openxmlformats.org/officeDocument/2006/relationships/ctrlProp" Target="../ctrlProps/ctrlProp966.xml"/><Relationship Id="rId14" Type="http://schemas.openxmlformats.org/officeDocument/2006/relationships/ctrlProp" Target="../ctrlProps/ctrlProp97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www.ul.com/" TargetMode="External"/><Relationship Id="rId7" Type="http://schemas.openxmlformats.org/officeDocument/2006/relationships/hyperlink" Target="http://www.ul.com/" TargetMode="External"/><Relationship Id="rId2" Type="http://schemas.openxmlformats.org/officeDocument/2006/relationships/hyperlink" Target="http://www.carpet-rug.org/" TargetMode="External"/><Relationship Id="rId1" Type="http://schemas.openxmlformats.org/officeDocument/2006/relationships/hyperlink" Target="http://www.kcma.org/" TargetMode="External"/><Relationship Id="rId6" Type="http://schemas.openxmlformats.org/officeDocument/2006/relationships/hyperlink" Target="http://www.greenseal.org/" TargetMode="External"/><Relationship Id="rId5" Type="http://schemas.openxmlformats.org/officeDocument/2006/relationships/hyperlink" Target="http://www.scscertified.com/" TargetMode="External"/><Relationship Id="rId4" Type="http://schemas.openxmlformats.org/officeDocument/2006/relationships/hyperlink" Target="http://www.rfci.com/"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9.bin"/><Relationship Id="rId1" Type="http://schemas.openxmlformats.org/officeDocument/2006/relationships/hyperlink" Target="http://www.nationalatlas.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0.bin"/><Relationship Id="rId1" Type="http://schemas.openxmlformats.org/officeDocument/2006/relationships/hyperlink" Target="http://www.iccsafe.org/"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16" Type="http://schemas.openxmlformats.org/officeDocument/2006/relationships/ctrlProp" Target="../ctrlProps/ctrlProp14.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5" Type="http://schemas.openxmlformats.org/officeDocument/2006/relationships/ctrlProp" Target="../ctrlProps/ctrlProp3.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10.xml"/><Relationship Id="rId21" Type="http://schemas.openxmlformats.org/officeDocument/2006/relationships/ctrlProp" Target="../ctrlProps/ctrlProp105.xml"/><Relationship Id="rId42" Type="http://schemas.openxmlformats.org/officeDocument/2006/relationships/ctrlProp" Target="../ctrlProps/ctrlProp126.xml"/><Relationship Id="rId47" Type="http://schemas.openxmlformats.org/officeDocument/2006/relationships/ctrlProp" Target="../ctrlProps/ctrlProp131.xml"/><Relationship Id="rId63" Type="http://schemas.openxmlformats.org/officeDocument/2006/relationships/ctrlProp" Target="../ctrlProps/ctrlProp147.xml"/><Relationship Id="rId68" Type="http://schemas.openxmlformats.org/officeDocument/2006/relationships/ctrlProp" Target="../ctrlProps/ctrlProp152.xml"/><Relationship Id="rId84" Type="http://schemas.openxmlformats.org/officeDocument/2006/relationships/ctrlProp" Target="../ctrlProps/ctrlProp168.xml"/><Relationship Id="rId16" Type="http://schemas.openxmlformats.org/officeDocument/2006/relationships/ctrlProp" Target="../ctrlProps/ctrlProp100.xml"/><Relationship Id="rId11" Type="http://schemas.openxmlformats.org/officeDocument/2006/relationships/ctrlProp" Target="../ctrlProps/ctrlProp95.xml"/><Relationship Id="rId32" Type="http://schemas.openxmlformats.org/officeDocument/2006/relationships/ctrlProp" Target="../ctrlProps/ctrlProp116.xml"/><Relationship Id="rId37" Type="http://schemas.openxmlformats.org/officeDocument/2006/relationships/ctrlProp" Target="../ctrlProps/ctrlProp121.xml"/><Relationship Id="rId53" Type="http://schemas.openxmlformats.org/officeDocument/2006/relationships/ctrlProp" Target="../ctrlProps/ctrlProp137.xml"/><Relationship Id="rId58" Type="http://schemas.openxmlformats.org/officeDocument/2006/relationships/ctrlProp" Target="../ctrlProps/ctrlProp142.xml"/><Relationship Id="rId74" Type="http://schemas.openxmlformats.org/officeDocument/2006/relationships/ctrlProp" Target="../ctrlProps/ctrlProp158.xml"/><Relationship Id="rId79" Type="http://schemas.openxmlformats.org/officeDocument/2006/relationships/ctrlProp" Target="../ctrlProps/ctrlProp163.xml"/><Relationship Id="rId5" Type="http://schemas.openxmlformats.org/officeDocument/2006/relationships/ctrlProp" Target="../ctrlProps/ctrlProp89.xml"/><Relationship Id="rId19" Type="http://schemas.openxmlformats.org/officeDocument/2006/relationships/ctrlProp" Target="../ctrlProps/ctrlProp10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48" Type="http://schemas.openxmlformats.org/officeDocument/2006/relationships/ctrlProp" Target="../ctrlProps/ctrlProp132.xml"/><Relationship Id="rId56" Type="http://schemas.openxmlformats.org/officeDocument/2006/relationships/ctrlProp" Target="../ctrlProps/ctrlProp140.xml"/><Relationship Id="rId64" Type="http://schemas.openxmlformats.org/officeDocument/2006/relationships/ctrlProp" Target="../ctrlProps/ctrlProp148.xml"/><Relationship Id="rId69" Type="http://schemas.openxmlformats.org/officeDocument/2006/relationships/ctrlProp" Target="../ctrlProps/ctrlProp153.xml"/><Relationship Id="rId77" Type="http://schemas.openxmlformats.org/officeDocument/2006/relationships/ctrlProp" Target="../ctrlProps/ctrlProp161.xml"/><Relationship Id="rId8" Type="http://schemas.openxmlformats.org/officeDocument/2006/relationships/ctrlProp" Target="../ctrlProps/ctrlProp92.xml"/><Relationship Id="rId51" Type="http://schemas.openxmlformats.org/officeDocument/2006/relationships/ctrlProp" Target="../ctrlProps/ctrlProp135.xml"/><Relationship Id="rId72" Type="http://schemas.openxmlformats.org/officeDocument/2006/relationships/ctrlProp" Target="../ctrlProps/ctrlProp156.xml"/><Relationship Id="rId80" Type="http://schemas.openxmlformats.org/officeDocument/2006/relationships/ctrlProp" Target="../ctrlProps/ctrlProp164.xml"/><Relationship Id="rId85" Type="http://schemas.openxmlformats.org/officeDocument/2006/relationships/ctrlProp" Target="../ctrlProps/ctrlProp169.xml"/><Relationship Id="rId3" Type="http://schemas.openxmlformats.org/officeDocument/2006/relationships/vmlDrawing" Target="../drawings/vmlDrawing3.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 Id="rId46" Type="http://schemas.openxmlformats.org/officeDocument/2006/relationships/ctrlProp" Target="../ctrlProps/ctrlProp130.xml"/><Relationship Id="rId59" Type="http://schemas.openxmlformats.org/officeDocument/2006/relationships/ctrlProp" Target="../ctrlProps/ctrlProp143.xml"/><Relationship Id="rId67" Type="http://schemas.openxmlformats.org/officeDocument/2006/relationships/ctrlProp" Target="../ctrlProps/ctrlProp151.xml"/><Relationship Id="rId20" Type="http://schemas.openxmlformats.org/officeDocument/2006/relationships/ctrlProp" Target="../ctrlProps/ctrlProp104.xml"/><Relationship Id="rId41" Type="http://schemas.openxmlformats.org/officeDocument/2006/relationships/ctrlProp" Target="../ctrlProps/ctrlProp125.xml"/><Relationship Id="rId54" Type="http://schemas.openxmlformats.org/officeDocument/2006/relationships/ctrlProp" Target="../ctrlProps/ctrlProp138.xml"/><Relationship Id="rId62" Type="http://schemas.openxmlformats.org/officeDocument/2006/relationships/ctrlProp" Target="../ctrlProps/ctrlProp146.xml"/><Relationship Id="rId70" Type="http://schemas.openxmlformats.org/officeDocument/2006/relationships/ctrlProp" Target="../ctrlProps/ctrlProp154.xml"/><Relationship Id="rId75" Type="http://schemas.openxmlformats.org/officeDocument/2006/relationships/ctrlProp" Target="../ctrlProps/ctrlProp159.xml"/><Relationship Id="rId83" Type="http://schemas.openxmlformats.org/officeDocument/2006/relationships/ctrlProp" Target="../ctrlProps/ctrlProp167.xml"/><Relationship Id="rId1" Type="http://schemas.openxmlformats.org/officeDocument/2006/relationships/printerSettings" Target="../printerSettings/printerSettings5.bin"/><Relationship Id="rId6" Type="http://schemas.openxmlformats.org/officeDocument/2006/relationships/ctrlProp" Target="../ctrlProps/ctrlProp90.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49" Type="http://schemas.openxmlformats.org/officeDocument/2006/relationships/ctrlProp" Target="../ctrlProps/ctrlProp133.xml"/><Relationship Id="rId57" Type="http://schemas.openxmlformats.org/officeDocument/2006/relationships/ctrlProp" Target="../ctrlProps/ctrlProp141.xml"/><Relationship Id="rId10" Type="http://schemas.openxmlformats.org/officeDocument/2006/relationships/ctrlProp" Target="../ctrlProps/ctrlProp94.xml"/><Relationship Id="rId31" Type="http://schemas.openxmlformats.org/officeDocument/2006/relationships/ctrlProp" Target="../ctrlProps/ctrlProp115.xml"/><Relationship Id="rId44" Type="http://schemas.openxmlformats.org/officeDocument/2006/relationships/ctrlProp" Target="../ctrlProps/ctrlProp128.xml"/><Relationship Id="rId52" Type="http://schemas.openxmlformats.org/officeDocument/2006/relationships/ctrlProp" Target="../ctrlProps/ctrlProp136.xml"/><Relationship Id="rId60" Type="http://schemas.openxmlformats.org/officeDocument/2006/relationships/ctrlProp" Target="../ctrlProps/ctrlProp144.xml"/><Relationship Id="rId65" Type="http://schemas.openxmlformats.org/officeDocument/2006/relationships/ctrlProp" Target="../ctrlProps/ctrlProp149.xml"/><Relationship Id="rId73" Type="http://schemas.openxmlformats.org/officeDocument/2006/relationships/ctrlProp" Target="../ctrlProps/ctrlProp157.xml"/><Relationship Id="rId78" Type="http://schemas.openxmlformats.org/officeDocument/2006/relationships/ctrlProp" Target="../ctrlProps/ctrlProp162.xml"/><Relationship Id="rId81" Type="http://schemas.openxmlformats.org/officeDocument/2006/relationships/ctrlProp" Target="../ctrlProps/ctrlProp165.xml"/><Relationship Id="rId86" Type="http://schemas.openxmlformats.org/officeDocument/2006/relationships/ctrlProp" Target="../ctrlProps/ctrlProp170.xml"/><Relationship Id="rId4" Type="http://schemas.openxmlformats.org/officeDocument/2006/relationships/ctrlProp" Target="../ctrlProps/ctrlProp88.xml"/><Relationship Id="rId9" Type="http://schemas.openxmlformats.org/officeDocument/2006/relationships/ctrlProp" Target="../ctrlProps/ctrlProp93.xml"/><Relationship Id="rId13" Type="http://schemas.openxmlformats.org/officeDocument/2006/relationships/ctrlProp" Target="../ctrlProps/ctrlProp97.xml"/><Relationship Id="rId18" Type="http://schemas.openxmlformats.org/officeDocument/2006/relationships/ctrlProp" Target="../ctrlProps/ctrlProp102.xml"/><Relationship Id="rId39" Type="http://schemas.openxmlformats.org/officeDocument/2006/relationships/ctrlProp" Target="../ctrlProps/ctrlProp123.xml"/><Relationship Id="rId34" Type="http://schemas.openxmlformats.org/officeDocument/2006/relationships/ctrlProp" Target="../ctrlProps/ctrlProp118.xml"/><Relationship Id="rId50" Type="http://schemas.openxmlformats.org/officeDocument/2006/relationships/ctrlProp" Target="../ctrlProps/ctrlProp134.xml"/><Relationship Id="rId55" Type="http://schemas.openxmlformats.org/officeDocument/2006/relationships/ctrlProp" Target="../ctrlProps/ctrlProp139.xml"/><Relationship Id="rId76" Type="http://schemas.openxmlformats.org/officeDocument/2006/relationships/ctrlProp" Target="../ctrlProps/ctrlProp160.xml"/><Relationship Id="rId7" Type="http://schemas.openxmlformats.org/officeDocument/2006/relationships/ctrlProp" Target="../ctrlProps/ctrlProp91.xml"/><Relationship Id="rId71" Type="http://schemas.openxmlformats.org/officeDocument/2006/relationships/ctrlProp" Target="../ctrlProps/ctrlProp155.xml"/><Relationship Id="rId2" Type="http://schemas.openxmlformats.org/officeDocument/2006/relationships/drawing" Target="../drawings/drawing4.xml"/><Relationship Id="rId29" Type="http://schemas.openxmlformats.org/officeDocument/2006/relationships/ctrlProp" Target="../ctrlProps/ctrlProp113.xml"/><Relationship Id="rId24" Type="http://schemas.openxmlformats.org/officeDocument/2006/relationships/ctrlProp" Target="../ctrlProps/ctrlProp108.xml"/><Relationship Id="rId40" Type="http://schemas.openxmlformats.org/officeDocument/2006/relationships/ctrlProp" Target="../ctrlProps/ctrlProp124.xml"/><Relationship Id="rId45" Type="http://schemas.openxmlformats.org/officeDocument/2006/relationships/ctrlProp" Target="../ctrlProps/ctrlProp129.xml"/><Relationship Id="rId66" Type="http://schemas.openxmlformats.org/officeDocument/2006/relationships/ctrlProp" Target="../ctrlProps/ctrlProp150.xml"/><Relationship Id="rId61" Type="http://schemas.openxmlformats.org/officeDocument/2006/relationships/ctrlProp" Target="../ctrlProps/ctrlProp145.xml"/><Relationship Id="rId82" Type="http://schemas.openxmlformats.org/officeDocument/2006/relationships/ctrlProp" Target="../ctrlProps/ctrlProp16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07" Type="http://schemas.openxmlformats.org/officeDocument/2006/relationships/ctrlProp" Target="../ctrlProps/ctrlProp274.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102" Type="http://schemas.openxmlformats.org/officeDocument/2006/relationships/ctrlProp" Target="../ctrlProps/ctrlProp269.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33" Type="http://schemas.openxmlformats.org/officeDocument/2006/relationships/ctrlProp" Target="../ctrlProps/ctrlProp200.xml"/><Relationship Id="rId38" Type="http://schemas.openxmlformats.org/officeDocument/2006/relationships/ctrlProp" Target="../ctrlProps/ctrlProp205.xml"/><Relationship Id="rId59" Type="http://schemas.openxmlformats.org/officeDocument/2006/relationships/ctrlProp" Target="../ctrlProps/ctrlProp226.xml"/><Relationship Id="rId103" Type="http://schemas.openxmlformats.org/officeDocument/2006/relationships/ctrlProp" Target="../ctrlProps/ctrlProp270.xml"/><Relationship Id="rId108" Type="http://schemas.openxmlformats.org/officeDocument/2006/relationships/ctrlProp" Target="../ctrlProps/ctrlProp275.xml"/><Relationship Id="rId54" Type="http://schemas.openxmlformats.org/officeDocument/2006/relationships/ctrlProp" Target="../ctrlProps/ctrlProp221.xml"/><Relationship Id="rId70" Type="http://schemas.openxmlformats.org/officeDocument/2006/relationships/ctrlProp" Target="../ctrlProps/ctrlProp237.xml"/><Relationship Id="rId75" Type="http://schemas.openxmlformats.org/officeDocument/2006/relationships/ctrlProp" Target="../ctrlProps/ctrlProp242.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6.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6" Type="http://schemas.openxmlformats.org/officeDocument/2006/relationships/ctrlProp" Target="../ctrlProps/ctrlProp273.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109" Type="http://schemas.openxmlformats.org/officeDocument/2006/relationships/ctrlProp" Target="../ctrlProps/ctrlProp27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104" Type="http://schemas.openxmlformats.org/officeDocument/2006/relationships/ctrlProp" Target="../ctrlProps/ctrlProp271.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5.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110" Type="http://schemas.openxmlformats.org/officeDocument/2006/relationships/ctrlProp" Target="../ctrlProps/ctrlProp277.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105" Type="http://schemas.openxmlformats.org/officeDocument/2006/relationships/ctrlProp" Target="../ctrlProps/ctrlProp272.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4.vml"/><Relationship Id="rId25" Type="http://schemas.openxmlformats.org/officeDocument/2006/relationships/ctrlProp" Target="../ctrlProps/ctrlProp192.xml"/><Relationship Id="rId46" Type="http://schemas.openxmlformats.org/officeDocument/2006/relationships/ctrlProp" Target="../ctrlProps/ctrlProp213.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62" Type="http://schemas.openxmlformats.org/officeDocument/2006/relationships/ctrlProp" Target="../ctrlProps/ctrlProp229.xml"/><Relationship Id="rId83" Type="http://schemas.openxmlformats.org/officeDocument/2006/relationships/ctrlProp" Target="../ctrlProps/ctrlProp250.xml"/><Relationship Id="rId88" Type="http://schemas.openxmlformats.org/officeDocument/2006/relationships/ctrlProp" Target="../ctrlProps/ctrlProp255.xml"/><Relationship Id="rId111" Type="http://schemas.openxmlformats.org/officeDocument/2006/relationships/ctrlProp" Target="../ctrlProps/ctrlProp27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26" Type="http://schemas.openxmlformats.org/officeDocument/2006/relationships/ctrlProp" Target="../ctrlProps/ctrlProp301.xml"/><Relationship Id="rId3" Type="http://schemas.openxmlformats.org/officeDocument/2006/relationships/vmlDrawing" Target="../drawings/vmlDrawing5.vml"/><Relationship Id="rId21" Type="http://schemas.openxmlformats.org/officeDocument/2006/relationships/ctrlProp" Target="../ctrlProps/ctrlProp296.x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5" Type="http://schemas.openxmlformats.org/officeDocument/2006/relationships/ctrlProp" Target="../ctrlProps/ctrlProp300.xml"/><Relationship Id="rId2" Type="http://schemas.openxmlformats.org/officeDocument/2006/relationships/drawing" Target="../drawings/drawing6.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7.bin"/><Relationship Id="rId6" Type="http://schemas.openxmlformats.org/officeDocument/2006/relationships/ctrlProp" Target="../ctrlProps/ctrlProp281.xml"/><Relationship Id="rId11" Type="http://schemas.openxmlformats.org/officeDocument/2006/relationships/ctrlProp" Target="../ctrlProps/ctrlProp286.xml"/><Relationship Id="rId24" Type="http://schemas.openxmlformats.org/officeDocument/2006/relationships/ctrlProp" Target="../ctrlProps/ctrlProp299.xml"/><Relationship Id="rId5" Type="http://schemas.openxmlformats.org/officeDocument/2006/relationships/ctrlProp" Target="../ctrlProps/ctrlProp280.xml"/><Relationship Id="rId15" Type="http://schemas.openxmlformats.org/officeDocument/2006/relationships/ctrlProp" Target="../ctrlProps/ctrlProp290.xml"/><Relationship Id="rId23" Type="http://schemas.openxmlformats.org/officeDocument/2006/relationships/ctrlProp" Target="../ctrlProps/ctrlProp298.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 Id="rId22" Type="http://schemas.openxmlformats.org/officeDocument/2006/relationships/ctrlProp" Target="../ctrlProps/ctrlProp29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7.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 Type="http://schemas.openxmlformats.org/officeDocument/2006/relationships/ctrlProp" Target="../ctrlProps/ctrlProp303.xml"/><Relationship Id="rId19" Type="http://schemas.openxmlformats.org/officeDocument/2006/relationships/ctrlProp" Target="../ctrlProps/ctrlProp317.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6.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8.xml"/><Relationship Id="rId21" Type="http://schemas.openxmlformats.org/officeDocument/2006/relationships/ctrlProp" Target="../ctrlProps/ctrlProp373.xml"/><Relationship Id="rId42" Type="http://schemas.openxmlformats.org/officeDocument/2006/relationships/ctrlProp" Target="../ctrlProps/ctrlProp394.xml"/><Relationship Id="rId47" Type="http://schemas.openxmlformats.org/officeDocument/2006/relationships/ctrlProp" Target="../ctrlProps/ctrlProp399.xml"/><Relationship Id="rId63" Type="http://schemas.openxmlformats.org/officeDocument/2006/relationships/ctrlProp" Target="../ctrlProps/ctrlProp415.xml"/><Relationship Id="rId68" Type="http://schemas.openxmlformats.org/officeDocument/2006/relationships/ctrlProp" Target="../ctrlProps/ctrlProp420.xml"/><Relationship Id="rId16" Type="http://schemas.openxmlformats.org/officeDocument/2006/relationships/ctrlProp" Target="../ctrlProps/ctrlProp368.xml"/><Relationship Id="rId11" Type="http://schemas.openxmlformats.org/officeDocument/2006/relationships/ctrlProp" Target="../ctrlProps/ctrlProp363.xml"/><Relationship Id="rId32" Type="http://schemas.openxmlformats.org/officeDocument/2006/relationships/ctrlProp" Target="../ctrlProps/ctrlProp384.xml"/><Relationship Id="rId37" Type="http://schemas.openxmlformats.org/officeDocument/2006/relationships/ctrlProp" Target="../ctrlProps/ctrlProp389.xml"/><Relationship Id="rId53" Type="http://schemas.openxmlformats.org/officeDocument/2006/relationships/ctrlProp" Target="../ctrlProps/ctrlProp405.xml"/><Relationship Id="rId58" Type="http://schemas.openxmlformats.org/officeDocument/2006/relationships/ctrlProp" Target="../ctrlProps/ctrlProp410.xml"/><Relationship Id="rId74" Type="http://schemas.openxmlformats.org/officeDocument/2006/relationships/ctrlProp" Target="../ctrlProps/ctrlProp426.xml"/><Relationship Id="rId79" Type="http://schemas.openxmlformats.org/officeDocument/2006/relationships/ctrlProp" Target="../ctrlProps/ctrlProp431.xml"/><Relationship Id="rId5" Type="http://schemas.openxmlformats.org/officeDocument/2006/relationships/ctrlProp" Target="../ctrlProps/ctrlProp357.xml"/><Relationship Id="rId61" Type="http://schemas.openxmlformats.org/officeDocument/2006/relationships/ctrlProp" Target="../ctrlProps/ctrlProp413.xml"/><Relationship Id="rId82" Type="http://schemas.openxmlformats.org/officeDocument/2006/relationships/ctrlProp" Target="../ctrlProps/ctrlProp434.xml"/><Relationship Id="rId19" Type="http://schemas.openxmlformats.org/officeDocument/2006/relationships/ctrlProp" Target="../ctrlProps/ctrlProp37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 Id="rId35" Type="http://schemas.openxmlformats.org/officeDocument/2006/relationships/ctrlProp" Target="../ctrlProps/ctrlProp387.xml"/><Relationship Id="rId43" Type="http://schemas.openxmlformats.org/officeDocument/2006/relationships/ctrlProp" Target="../ctrlProps/ctrlProp395.xml"/><Relationship Id="rId48" Type="http://schemas.openxmlformats.org/officeDocument/2006/relationships/ctrlProp" Target="../ctrlProps/ctrlProp400.xml"/><Relationship Id="rId56" Type="http://schemas.openxmlformats.org/officeDocument/2006/relationships/ctrlProp" Target="../ctrlProps/ctrlProp408.xml"/><Relationship Id="rId64" Type="http://schemas.openxmlformats.org/officeDocument/2006/relationships/ctrlProp" Target="../ctrlProps/ctrlProp416.xml"/><Relationship Id="rId69" Type="http://schemas.openxmlformats.org/officeDocument/2006/relationships/ctrlProp" Target="../ctrlProps/ctrlProp421.xml"/><Relationship Id="rId77" Type="http://schemas.openxmlformats.org/officeDocument/2006/relationships/ctrlProp" Target="../ctrlProps/ctrlProp429.xml"/><Relationship Id="rId8" Type="http://schemas.openxmlformats.org/officeDocument/2006/relationships/ctrlProp" Target="../ctrlProps/ctrlProp360.xml"/><Relationship Id="rId51" Type="http://schemas.openxmlformats.org/officeDocument/2006/relationships/ctrlProp" Target="../ctrlProps/ctrlProp403.xml"/><Relationship Id="rId72" Type="http://schemas.openxmlformats.org/officeDocument/2006/relationships/ctrlProp" Target="../ctrlProps/ctrlProp424.xml"/><Relationship Id="rId80" Type="http://schemas.openxmlformats.org/officeDocument/2006/relationships/ctrlProp" Target="../ctrlProps/ctrlProp432.xml"/><Relationship Id="rId3" Type="http://schemas.openxmlformats.org/officeDocument/2006/relationships/vmlDrawing" Target="../drawings/vmlDrawing7.v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33" Type="http://schemas.openxmlformats.org/officeDocument/2006/relationships/ctrlProp" Target="../ctrlProps/ctrlProp385.xml"/><Relationship Id="rId38" Type="http://schemas.openxmlformats.org/officeDocument/2006/relationships/ctrlProp" Target="../ctrlProps/ctrlProp390.xml"/><Relationship Id="rId46" Type="http://schemas.openxmlformats.org/officeDocument/2006/relationships/ctrlProp" Target="../ctrlProps/ctrlProp398.xml"/><Relationship Id="rId59" Type="http://schemas.openxmlformats.org/officeDocument/2006/relationships/ctrlProp" Target="../ctrlProps/ctrlProp411.xml"/><Relationship Id="rId67" Type="http://schemas.openxmlformats.org/officeDocument/2006/relationships/ctrlProp" Target="../ctrlProps/ctrlProp419.xml"/><Relationship Id="rId20" Type="http://schemas.openxmlformats.org/officeDocument/2006/relationships/ctrlProp" Target="../ctrlProps/ctrlProp372.xml"/><Relationship Id="rId41" Type="http://schemas.openxmlformats.org/officeDocument/2006/relationships/ctrlProp" Target="../ctrlProps/ctrlProp393.xml"/><Relationship Id="rId54" Type="http://schemas.openxmlformats.org/officeDocument/2006/relationships/ctrlProp" Target="../ctrlProps/ctrlProp406.xml"/><Relationship Id="rId62" Type="http://schemas.openxmlformats.org/officeDocument/2006/relationships/ctrlProp" Target="../ctrlProps/ctrlProp414.xml"/><Relationship Id="rId70" Type="http://schemas.openxmlformats.org/officeDocument/2006/relationships/ctrlProp" Target="../ctrlProps/ctrlProp422.xml"/><Relationship Id="rId75" Type="http://schemas.openxmlformats.org/officeDocument/2006/relationships/ctrlProp" Target="../ctrlProps/ctrlProp427.xml"/><Relationship Id="rId1" Type="http://schemas.openxmlformats.org/officeDocument/2006/relationships/printerSettings" Target="../printerSettings/printerSettings9.bin"/><Relationship Id="rId6" Type="http://schemas.openxmlformats.org/officeDocument/2006/relationships/ctrlProp" Target="../ctrlProps/ctrlProp358.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36" Type="http://schemas.openxmlformats.org/officeDocument/2006/relationships/ctrlProp" Target="../ctrlProps/ctrlProp388.xml"/><Relationship Id="rId49" Type="http://schemas.openxmlformats.org/officeDocument/2006/relationships/ctrlProp" Target="../ctrlProps/ctrlProp401.xml"/><Relationship Id="rId57" Type="http://schemas.openxmlformats.org/officeDocument/2006/relationships/ctrlProp" Target="../ctrlProps/ctrlProp409.xml"/><Relationship Id="rId10" Type="http://schemas.openxmlformats.org/officeDocument/2006/relationships/ctrlProp" Target="../ctrlProps/ctrlProp362.xml"/><Relationship Id="rId31" Type="http://schemas.openxmlformats.org/officeDocument/2006/relationships/ctrlProp" Target="../ctrlProps/ctrlProp383.xml"/><Relationship Id="rId44" Type="http://schemas.openxmlformats.org/officeDocument/2006/relationships/ctrlProp" Target="../ctrlProps/ctrlProp396.xml"/><Relationship Id="rId52" Type="http://schemas.openxmlformats.org/officeDocument/2006/relationships/ctrlProp" Target="../ctrlProps/ctrlProp404.xml"/><Relationship Id="rId60" Type="http://schemas.openxmlformats.org/officeDocument/2006/relationships/ctrlProp" Target="../ctrlProps/ctrlProp412.xml"/><Relationship Id="rId65" Type="http://schemas.openxmlformats.org/officeDocument/2006/relationships/ctrlProp" Target="../ctrlProps/ctrlProp417.xml"/><Relationship Id="rId73" Type="http://schemas.openxmlformats.org/officeDocument/2006/relationships/ctrlProp" Target="../ctrlProps/ctrlProp425.xml"/><Relationship Id="rId78" Type="http://schemas.openxmlformats.org/officeDocument/2006/relationships/ctrlProp" Target="../ctrlProps/ctrlProp430.xml"/><Relationship Id="rId81" Type="http://schemas.openxmlformats.org/officeDocument/2006/relationships/ctrlProp" Target="../ctrlProps/ctrlProp433.xml"/><Relationship Id="rId4" Type="http://schemas.openxmlformats.org/officeDocument/2006/relationships/ctrlProp" Target="../ctrlProps/ctrlProp356.xml"/><Relationship Id="rId9" Type="http://schemas.openxmlformats.org/officeDocument/2006/relationships/ctrlProp" Target="../ctrlProps/ctrlProp361.xml"/><Relationship Id="rId13" Type="http://schemas.openxmlformats.org/officeDocument/2006/relationships/ctrlProp" Target="../ctrlProps/ctrlProp365.xml"/><Relationship Id="rId18" Type="http://schemas.openxmlformats.org/officeDocument/2006/relationships/ctrlProp" Target="../ctrlProps/ctrlProp370.xml"/><Relationship Id="rId39" Type="http://schemas.openxmlformats.org/officeDocument/2006/relationships/ctrlProp" Target="../ctrlProps/ctrlProp391.xml"/><Relationship Id="rId34" Type="http://schemas.openxmlformats.org/officeDocument/2006/relationships/ctrlProp" Target="../ctrlProps/ctrlProp386.xml"/><Relationship Id="rId50" Type="http://schemas.openxmlformats.org/officeDocument/2006/relationships/ctrlProp" Target="../ctrlProps/ctrlProp402.xml"/><Relationship Id="rId55" Type="http://schemas.openxmlformats.org/officeDocument/2006/relationships/ctrlProp" Target="../ctrlProps/ctrlProp407.xml"/><Relationship Id="rId76" Type="http://schemas.openxmlformats.org/officeDocument/2006/relationships/ctrlProp" Target="../ctrlProps/ctrlProp428.xml"/><Relationship Id="rId7" Type="http://schemas.openxmlformats.org/officeDocument/2006/relationships/ctrlProp" Target="../ctrlProps/ctrlProp359.xml"/><Relationship Id="rId71" Type="http://schemas.openxmlformats.org/officeDocument/2006/relationships/ctrlProp" Target="../ctrlProps/ctrlProp423.xml"/><Relationship Id="rId2" Type="http://schemas.openxmlformats.org/officeDocument/2006/relationships/drawing" Target="../drawings/drawing8.xml"/><Relationship Id="rId29" Type="http://schemas.openxmlformats.org/officeDocument/2006/relationships/ctrlProp" Target="../ctrlProps/ctrlProp381.xml"/><Relationship Id="rId24" Type="http://schemas.openxmlformats.org/officeDocument/2006/relationships/ctrlProp" Target="../ctrlProps/ctrlProp376.xml"/><Relationship Id="rId40" Type="http://schemas.openxmlformats.org/officeDocument/2006/relationships/ctrlProp" Target="../ctrlProps/ctrlProp392.xml"/><Relationship Id="rId45" Type="http://schemas.openxmlformats.org/officeDocument/2006/relationships/ctrlProp" Target="../ctrlProps/ctrlProp397.xml"/><Relationship Id="rId66" Type="http://schemas.openxmlformats.org/officeDocument/2006/relationships/ctrlProp" Target="../ctrlProps/ctrlProp4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S105"/>
  <sheetViews>
    <sheetView showGridLines="0" tabSelected="1" zoomScaleNormal="100" workbookViewId="0">
      <selection activeCell="B10" sqref="B10:R10"/>
    </sheetView>
  </sheetViews>
  <sheetFormatPr defaultRowHeight="15" x14ac:dyDescent="0.25"/>
  <sheetData>
    <row r="1" spans="1:19" ht="14.45" customHeight="1" x14ac:dyDescent="0.25">
      <c r="A1" s="1703"/>
      <c r="B1" s="1703"/>
      <c r="C1" s="1703"/>
      <c r="D1" s="1704" t="s">
        <v>5151</v>
      </c>
      <c r="E1" s="1704"/>
      <c r="F1" s="1704"/>
      <c r="G1" s="1704"/>
      <c r="H1" s="1704"/>
      <c r="I1" s="1704"/>
      <c r="J1" s="1704"/>
      <c r="K1" s="1704"/>
      <c r="L1" s="1704"/>
      <c r="M1" s="1704"/>
      <c r="N1" s="1704"/>
      <c r="O1" s="1704"/>
      <c r="P1" s="1704"/>
      <c r="Q1" s="1704"/>
      <c r="R1" s="1704"/>
      <c r="S1" s="1704"/>
    </row>
    <row r="2" spans="1:19" ht="14.45" customHeight="1" x14ac:dyDescent="0.25">
      <c r="A2" s="1703"/>
      <c r="B2" s="1703"/>
      <c r="C2" s="1703"/>
      <c r="D2" s="1704"/>
      <c r="E2" s="1704"/>
      <c r="F2" s="1704"/>
      <c r="G2" s="1704"/>
      <c r="H2" s="1704"/>
      <c r="I2" s="1704"/>
      <c r="J2" s="1704"/>
      <c r="K2" s="1704"/>
      <c r="L2" s="1704"/>
      <c r="M2" s="1704"/>
      <c r="N2" s="1704"/>
      <c r="O2" s="1704"/>
      <c r="P2" s="1704"/>
      <c r="Q2" s="1704"/>
      <c r="R2" s="1704"/>
      <c r="S2" s="1704"/>
    </row>
    <row r="3" spans="1:19" ht="14.45" customHeight="1" x14ac:dyDescent="0.25">
      <c r="A3" s="1703"/>
      <c r="B3" s="1703"/>
      <c r="C3" s="1703"/>
      <c r="D3" s="1704"/>
      <c r="E3" s="1704"/>
      <c r="F3" s="1704"/>
      <c r="G3" s="1704"/>
      <c r="H3" s="1704"/>
      <c r="I3" s="1704"/>
      <c r="J3" s="1704"/>
      <c r="K3" s="1704"/>
      <c r="L3" s="1704"/>
      <c r="M3" s="1704"/>
      <c r="N3" s="1704"/>
      <c r="O3" s="1704"/>
      <c r="P3" s="1704"/>
      <c r="Q3" s="1704"/>
      <c r="R3" s="1704"/>
      <c r="S3" s="1704"/>
    </row>
    <row r="4" spans="1:19" ht="14.45" customHeight="1" x14ac:dyDescent="0.25">
      <c r="A4" s="1703"/>
      <c r="B4" s="1703"/>
      <c r="C4" s="1703"/>
      <c r="D4" s="1705" t="s">
        <v>5246</v>
      </c>
      <c r="E4" s="1705"/>
      <c r="F4" s="1705"/>
      <c r="G4" s="1705"/>
      <c r="H4" s="1705"/>
      <c r="I4" s="1705"/>
      <c r="J4" s="1705"/>
      <c r="K4" s="1705"/>
      <c r="L4" s="1705"/>
      <c r="M4" s="1705"/>
      <c r="N4" s="1705"/>
      <c r="O4" s="1705"/>
      <c r="P4" s="1705"/>
      <c r="Q4" s="1705"/>
      <c r="R4" s="1705"/>
      <c r="S4" s="1705"/>
    </row>
    <row r="5" spans="1:19" x14ac:dyDescent="0.25">
      <c r="A5" s="1703"/>
      <c r="B5" s="1703"/>
      <c r="C5" s="1703"/>
      <c r="D5" s="1705"/>
      <c r="E5" s="1705"/>
      <c r="F5" s="1705"/>
      <c r="G5" s="1705"/>
      <c r="H5" s="1705"/>
      <c r="I5" s="1705"/>
      <c r="J5" s="1705"/>
      <c r="K5" s="1705"/>
      <c r="L5" s="1705"/>
      <c r="M5" s="1705"/>
      <c r="N5" s="1705"/>
      <c r="O5" s="1705"/>
      <c r="P5" s="1705"/>
      <c r="Q5" s="1705"/>
      <c r="R5" s="1705"/>
      <c r="S5" s="1705"/>
    </row>
    <row r="6" spans="1:19" x14ac:dyDescent="0.25">
      <c r="A6" s="1703"/>
      <c r="B6" s="1703"/>
      <c r="C6" s="1703"/>
      <c r="D6" s="1705"/>
      <c r="E6" s="1705"/>
      <c r="F6" s="1705"/>
      <c r="G6" s="1705"/>
      <c r="H6" s="1705"/>
      <c r="I6" s="1705"/>
      <c r="J6" s="1705"/>
      <c r="K6" s="1705"/>
      <c r="L6" s="1705"/>
      <c r="M6" s="1705"/>
      <c r="N6" s="1705"/>
      <c r="O6" s="1705"/>
      <c r="P6" s="1705"/>
      <c r="Q6" s="1705"/>
      <c r="R6" s="1705"/>
      <c r="S6" s="1705"/>
    </row>
    <row r="7" spans="1:19" ht="18.75" x14ac:dyDescent="0.3">
      <c r="A7" s="660" t="s">
        <v>241</v>
      </c>
      <c r="B7" s="730" t="s">
        <v>5820</v>
      </c>
      <c r="C7" s="1707" t="s">
        <v>246</v>
      </c>
      <c r="D7" s="1707"/>
      <c r="E7" s="1708">
        <v>44810.584897106484</v>
      </c>
      <c r="F7" s="1708"/>
      <c r="G7" s="660"/>
      <c r="H7" s="660"/>
      <c r="I7" s="660"/>
      <c r="J7" s="660"/>
      <c r="K7" s="660"/>
      <c r="L7" s="660"/>
      <c r="M7" s="660"/>
      <c r="N7" s="660"/>
      <c r="O7" s="660"/>
      <c r="P7" s="660"/>
      <c r="Q7" s="660"/>
      <c r="R7" s="660"/>
      <c r="S7" s="660"/>
    </row>
    <row r="8" spans="1:19" s="16" customFormat="1" x14ac:dyDescent="0.25">
      <c r="A8" s="1706"/>
      <c r="B8" s="1706"/>
      <c r="C8" s="1706"/>
      <c r="D8" s="1706"/>
      <c r="E8" s="1706"/>
      <c r="F8" s="1706"/>
      <c r="G8" s="1706"/>
      <c r="H8" s="1706"/>
      <c r="I8" s="1706"/>
      <c r="J8" s="1706"/>
      <c r="K8" s="1706"/>
      <c r="L8" s="1706"/>
      <c r="M8" s="1706"/>
      <c r="N8" s="1706"/>
      <c r="O8" s="1706"/>
      <c r="P8" s="1706"/>
      <c r="Q8" s="1706"/>
      <c r="R8" s="1706"/>
      <c r="S8" s="1706"/>
    </row>
    <row r="9" spans="1:19" x14ac:dyDescent="0.25">
      <c r="A9" s="661"/>
      <c r="B9" s="1709" t="s">
        <v>3976</v>
      </c>
      <c r="C9" s="1709"/>
      <c r="D9" s="1709"/>
      <c r="E9" s="1709"/>
      <c r="F9" s="1709"/>
      <c r="G9" s="1709"/>
      <c r="H9" s="1709"/>
      <c r="I9" s="1709"/>
      <c r="J9" s="1709"/>
      <c r="K9" s="1709"/>
      <c r="L9" s="1709"/>
      <c r="M9" s="1709"/>
      <c r="N9" s="1709"/>
      <c r="O9" s="1709"/>
      <c r="P9" s="1709"/>
      <c r="Q9" s="1709"/>
      <c r="R9" s="1709"/>
      <c r="S9" s="661"/>
    </row>
    <row r="10" spans="1:19" x14ac:dyDescent="0.25">
      <c r="A10" s="661"/>
      <c r="B10" s="1710" t="s">
        <v>245</v>
      </c>
      <c r="C10" s="1710"/>
      <c r="D10" s="1710"/>
      <c r="E10" s="1710"/>
      <c r="F10" s="1710"/>
      <c r="G10" s="1710"/>
      <c r="H10" s="1710"/>
      <c r="I10" s="1710"/>
      <c r="J10" s="1710"/>
      <c r="K10" s="1710"/>
      <c r="L10" s="1710"/>
      <c r="M10" s="1710"/>
      <c r="N10" s="1710"/>
      <c r="O10" s="1710"/>
      <c r="P10" s="1710"/>
      <c r="Q10" s="1710"/>
      <c r="R10" s="1710"/>
      <c r="S10" s="661"/>
    </row>
    <row r="11" spans="1:19" s="16" customFormat="1" x14ac:dyDescent="0.25">
      <c r="A11" s="1706"/>
      <c r="B11" s="1706"/>
      <c r="C11" s="1706"/>
      <c r="D11" s="1706"/>
      <c r="E11" s="1706"/>
      <c r="F11" s="1706"/>
      <c r="G11" s="1706"/>
      <c r="H11" s="1706"/>
      <c r="I11" s="1706"/>
      <c r="J11" s="1706"/>
      <c r="K11" s="1706"/>
      <c r="L11" s="1706"/>
      <c r="M11" s="1706"/>
      <c r="N11" s="1706"/>
      <c r="O11" s="1706"/>
      <c r="P11" s="1706"/>
      <c r="Q11" s="1706"/>
      <c r="R11" s="1706"/>
      <c r="S11" s="1706"/>
    </row>
    <row r="12" spans="1:19" s="13" customFormat="1" ht="18.75" x14ac:dyDescent="0.3">
      <c r="A12" s="1697" t="s">
        <v>244</v>
      </c>
      <c r="B12" s="1697"/>
      <c r="C12" s="1697"/>
      <c r="D12" s="1697"/>
      <c r="E12" s="1697"/>
      <c r="F12" s="1697"/>
      <c r="G12" s="1697"/>
      <c r="H12" s="1697"/>
      <c r="I12" s="1697"/>
      <c r="J12" s="1697"/>
      <c r="K12" s="1697"/>
      <c r="L12" s="1697"/>
      <c r="M12" s="1697"/>
      <c r="N12" s="1697"/>
      <c r="O12" s="1697"/>
      <c r="P12" s="1697"/>
      <c r="Q12" s="1697"/>
      <c r="R12" s="1697"/>
      <c r="S12" s="1697"/>
    </row>
    <row r="13" spans="1:19" s="16" customFormat="1" x14ac:dyDescent="0.25">
      <c r="A13" s="1706"/>
      <c r="B13" s="1706"/>
      <c r="C13" s="1706"/>
      <c r="D13" s="1706"/>
      <c r="E13" s="1706"/>
      <c r="F13" s="1706"/>
      <c r="G13" s="1706"/>
      <c r="H13" s="1706"/>
      <c r="I13" s="1706"/>
      <c r="J13" s="1706"/>
      <c r="K13" s="1706"/>
      <c r="L13" s="1706"/>
      <c r="M13" s="1706"/>
      <c r="N13" s="1706"/>
      <c r="O13" s="1706"/>
      <c r="P13" s="1706"/>
      <c r="Q13" s="1706"/>
      <c r="R13" s="1706"/>
      <c r="S13" s="1706"/>
    </row>
    <row r="14" spans="1:19" s="13" customFormat="1" ht="14.45" customHeight="1" x14ac:dyDescent="0.25">
      <c r="A14" s="661"/>
      <c r="B14" s="1700" t="s">
        <v>5153</v>
      </c>
      <c r="C14" s="1700"/>
      <c r="D14" s="1700"/>
      <c r="E14" s="1700"/>
      <c r="F14" s="1700"/>
      <c r="G14" s="1700"/>
      <c r="H14" s="1700"/>
      <c r="I14" s="1700"/>
      <c r="J14" s="1700"/>
      <c r="K14" s="1700"/>
      <c r="L14" s="1700"/>
      <c r="M14" s="1700"/>
      <c r="N14" s="1700"/>
      <c r="O14" s="1700"/>
      <c r="P14" s="1700"/>
      <c r="Q14" s="1700"/>
      <c r="R14" s="1700"/>
      <c r="S14" s="661"/>
    </row>
    <row r="15" spans="1:19" s="13" customFormat="1" x14ac:dyDescent="0.25">
      <c r="A15" s="661"/>
      <c r="B15" s="1700"/>
      <c r="C15" s="1700"/>
      <c r="D15" s="1700"/>
      <c r="E15" s="1700"/>
      <c r="F15" s="1700"/>
      <c r="G15" s="1700"/>
      <c r="H15" s="1700"/>
      <c r="I15" s="1700"/>
      <c r="J15" s="1700"/>
      <c r="K15" s="1700"/>
      <c r="L15" s="1700"/>
      <c r="M15" s="1700"/>
      <c r="N15" s="1700"/>
      <c r="O15" s="1700"/>
      <c r="P15" s="1700"/>
      <c r="Q15" s="1700"/>
      <c r="R15" s="1700"/>
      <c r="S15" s="661"/>
    </row>
    <row r="16" spans="1:19" s="788" customFormat="1" x14ac:dyDescent="0.25">
      <c r="B16" s="1700"/>
      <c r="C16" s="1700"/>
      <c r="D16" s="1700"/>
      <c r="E16" s="1700"/>
      <c r="F16" s="1700"/>
      <c r="G16" s="1700"/>
      <c r="H16" s="1700"/>
      <c r="I16" s="1700"/>
      <c r="J16" s="1700"/>
      <c r="K16" s="1700"/>
      <c r="L16" s="1700"/>
      <c r="M16" s="1700"/>
      <c r="N16" s="1700"/>
      <c r="O16" s="1700"/>
      <c r="P16" s="1700"/>
      <c r="Q16" s="1700"/>
      <c r="R16" s="1700"/>
    </row>
    <row r="17" spans="1:19" s="13" customFormat="1" x14ac:dyDescent="0.25">
      <c r="A17" s="661"/>
      <c r="B17" s="1700"/>
      <c r="C17" s="1700"/>
      <c r="D17" s="1700"/>
      <c r="E17" s="1700"/>
      <c r="F17" s="1700"/>
      <c r="G17" s="1700"/>
      <c r="H17" s="1700"/>
      <c r="I17" s="1700"/>
      <c r="J17" s="1700"/>
      <c r="K17" s="1700"/>
      <c r="L17" s="1700"/>
      <c r="M17" s="1700"/>
      <c r="N17" s="1700"/>
      <c r="O17" s="1700"/>
      <c r="P17" s="1700"/>
      <c r="Q17" s="1700"/>
      <c r="R17" s="1700"/>
      <c r="S17" s="661"/>
    </row>
    <row r="18" spans="1:19" s="16" customFormat="1" x14ac:dyDescent="0.25">
      <c r="A18" s="1706"/>
      <c r="B18" s="1706"/>
      <c r="C18" s="1706"/>
      <c r="D18" s="1706"/>
      <c r="E18" s="1706"/>
      <c r="F18" s="1706"/>
      <c r="G18" s="1706"/>
      <c r="H18" s="1706"/>
      <c r="I18" s="1706"/>
      <c r="J18" s="1706"/>
      <c r="K18" s="1706"/>
      <c r="L18" s="1706"/>
      <c r="M18" s="1706"/>
      <c r="N18" s="1706"/>
      <c r="O18" s="1706"/>
      <c r="P18" s="1706"/>
      <c r="Q18" s="1706"/>
      <c r="R18" s="1706"/>
      <c r="S18" s="1706"/>
    </row>
    <row r="19" spans="1:19" s="621" customFormat="1" ht="18.75" x14ac:dyDescent="0.3">
      <c r="A19" s="1697" t="s">
        <v>3954</v>
      </c>
      <c r="B19" s="1697"/>
      <c r="C19" s="1697"/>
      <c r="D19" s="1697"/>
      <c r="E19" s="1697"/>
      <c r="F19" s="1697"/>
      <c r="G19" s="1697"/>
      <c r="H19" s="1697"/>
      <c r="I19" s="1697"/>
      <c r="J19" s="1697"/>
      <c r="K19" s="1697"/>
      <c r="L19" s="1697"/>
      <c r="M19" s="1697"/>
      <c r="N19" s="1697"/>
      <c r="O19" s="1697"/>
      <c r="P19" s="1697"/>
      <c r="Q19" s="1697"/>
      <c r="R19" s="1697"/>
      <c r="S19" s="1697"/>
    </row>
    <row r="20" spans="1:19" s="621" customFormat="1" x14ac:dyDescent="0.25">
      <c r="A20" s="661"/>
      <c r="B20" s="661"/>
      <c r="C20" s="661"/>
      <c r="D20" s="661"/>
      <c r="E20" s="661"/>
      <c r="F20" s="661"/>
      <c r="G20" s="661"/>
      <c r="H20" s="661"/>
      <c r="I20" s="661"/>
      <c r="J20" s="661"/>
      <c r="K20" s="661"/>
      <c r="L20" s="661"/>
      <c r="M20" s="661"/>
      <c r="N20" s="661"/>
      <c r="O20" s="661"/>
      <c r="P20" s="661"/>
      <c r="Q20" s="661"/>
      <c r="R20" s="661"/>
      <c r="S20" s="661"/>
    </row>
    <row r="21" spans="1:19" s="621" customFormat="1" x14ac:dyDescent="0.25">
      <c r="A21" s="661"/>
      <c r="B21" s="1698" t="s">
        <v>3501</v>
      </c>
      <c r="C21" s="1698"/>
      <c r="D21" s="1698"/>
      <c r="E21" s="1698"/>
      <c r="F21" s="1698"/>
      <c r="G21" s="1698"/>
      <c r="H21" s="1698"/>
      <c r="I21" s="1698"/>
      <c r="J21" s="1698"/>
      <c r="K21" s="1698"/>
      <c r="L21" s="1698"/>
      <c r="M21" s="1698"/>
      <c r="N21" s="1698"/>
      <c r="O21" s="1698"/>
      <c r="P21" s="1698"/>
      <c r="Q21" s="1698"/>
      <c r="R21" s="1698"/>
      <c r="S21" s="661"/>
    </row>
    <row r="22" spans="1:19" s="621" customFormat="1" x14ac:dyDescent="0.25">
      <c r="A22" s="661"/>
      <c r="B22" s="661"/>
      <c r="C22" s="661"/>
      <c r="D22" s="661"/>
      <c r="E22" s="661"/>
      <c r="F22" s="661"/>
      <c r="G22" s="661"/>
      <c r="H22" s="661"/>
      <c r="I22" s="661"/>
      <c r="J22" s="661"/>
      <c r="K22" s="661"/>
      <c r="L22" s="661"/>
      <c r="M22" s="661"/>
      <c r="N22" s="661"/>
      <c r="O22" s="661"/>
      <c r="P22" s="661"/>
      <c r="Q22" s="661"/>
      <c r="R22" s="661"/>
      <c r="S22" s="661"/>
    </row>
    <row r="23" spans="1:19" s="621" customFormat="1" ht="15" customHeight="1" x14ac:dyDescent="0.25">
      <c r="A23" s="661"/>
      <c r="B23" s="1699" t="s">
        <v>3977</v>
      </c>
      <c r="C23" s="1699"/>
      <c r="D23" s="1699"/>
      <c r="E23" s="1699"/>
      <c r="F23" s="1699"/>
      <c r="G23" s="1699"/>
      <c r="H23" s="1699"/>
      <c r="I23" s="1699"/>
      <c r="J23" s="1699"/>
      <c r="K23" s="1699"/>
      <c r="L23" s="1699"/>
      <c r="M23" s="1699"/>
      <c r="N23" s="1699"/>
      <c r="O23" s="1699"/>
      <c r="P23" s="1699"/>
      <c r="Q23" s="1699"/>
      <c r="R23" s="1699"/>
      <c r="S23" s="661"/>
    </row>
    <row r="24" spans="1:19" s="621" customFormat="1" x14ac:dyDescent="0.25">
      <c r="A24" s="661"/>
      <c r="B24" s="1699"/>
      <c r="C24" s="1699"/>
      <c r="D24" s="1699"/>
      <c r="E24" s="1699"/>
      <c r="F24" s="1699"/>
      <c r="G24" s="1699"/>
      <c r="H24" s="1699"/>
      <c r="I24" s="1699"/>
      <c r="J24" s="1699"/>
      <c r="K24" s="1699"/>
      <c r="L24" s="1699"/>
      <c r="M24" s="1699"/>
      <c r="N24" s="1699"/>
      <c r="O24" s="1699"/>
      <c r="P24" s="1699"/>
      <c r="Q24" s="1699"/>
      <c r="R24" s="1699"/>
      <c r="S24" s="661"/>
    </row>
    <row r="25" spans="1:19" s="621" customFormat="1" x14ac:dyDescent="0.25">
      <c r="A25" s="661"/>
      <c r="B25" s="661"/>
      <c r="C25" s="661"/>
      <c r="D25" s="661"/>
      <c r="E25" s="661"/>
      <c r="F25" s="661"/>
      <c r="G25" s="661"/>
      <c r="H25" s="661"/>
      <c r="I25" s="661"/>
      <c r="J25" s="661"/>
      <c r="K25" s="661"/>
      <c r="L25" s="661"/>
      <c r="M25" s="661"/>
      <c r="N25" s="661"/>
      <c r="O25" s="661"/>
      <c r="P25" s="661"/>
      <c r="Q25" s="661"/>
      <c r="R25" s="661"/>
      <c r="S25" s="661"/>
    </row>
    <row r="26" spans="1:19" ht="18.75" x14ac:dyDescent="0.3">
      <c r="A26" s="1697" t="s">
        <v>242</v>
      </c>
      <c r="B26" s="1697"/>
      <c r="C26" s="1697"/>
      <c r="D26" s="1697"/>
      <c r="E26" s="1697"/>
      <c r="F26" s="1697"/>
      <c r="G26" s="1697"/>
      <c r="H26" s="1697"/>
      <c r="I26" s="1697"/>
      <c r="J26" s="1697"/>
      <c r="K26" s="1697"/>
      <c r="L26" s="1697"/>
      <c r="M26" s="1697"/>
      <c r="N26" s="1697"/>
      <c r="O26" s="1697"/>
      <c r="P26" s="1697"/>
      <c r="Q26" s="1697"/>
      <c r="R26" s="1697"/>
      <c r="S26" s="1697"/>
    </row>
    <row r="27" spans="1:19" x14ac:dyDescent="0.25">
      <c r="A27" s="661"/>
      <c r="B27" s="661"/>
      <c r="C27" s="661"/>
      <c r="D27" s="661"/>
      <c r="E27" s="661"/>
      <c r="F27" s="661"/>
      <c r="G27" s="661"/>
      <c r="H27" s="661"/>
      <c r="I27" s="661"/>
      <c r="J27" s="661"/>
      <c r="K27" s="661"/>
      <c r="L27" s="661"/>
      <c r="M27" s="661"/>
      <c r="N27" s="661"/>
      <c r="O27" s="661"/>
      <c r="P27" s="661"/>
      <c r="Q27" s="661"/>
      <c r="R27" s="661"/>
      <c r="S27" s="661"/>
    </row>
    <row r="28" spans="1:19" s="621" customFormat="1" ht="15" customHeight="1" x14ac:dyDescent="0.25">
      <c r="A28" s="661"/>
      <c r="B28" s="1700" t="s">
        <v>4899</v>
      </c>
      <c r="C28" s="1700"/>
      <c r="D28" s="1700"/>
      <c r="E28" s="1700"/>
      <c r="F28" s="1700"/>
      <c r="G28" s="1700"/>
      <c r="H28" s="1700"/>
      <c r="I28" s="1700"/>
      <c r="J28" s="1700"/>
      <c r="K28" s="1700"/>
      <c r="L28" s="1700"/>
      <c r="M28" s="1700"/>
      <c r="N28" s="1700"/>
      <c r="O28" s="1700"/>
      <c r="P28" s="1700"/>
      <c r="Q28" s="1700"/>
      <c r="R28" s="1700"/>
      <c r="S28" s="661"/>
    </row>
    <row r="29" spans="1:19" s="621" customFormat="1" x14ac:dyDescent="0.25">
      <c r="A29" s="661"/>
      <c r="B29" s="1700"/>
      <c r="C29" s="1700"/>
      <c r="D29" s="1700"/>
      <c r="E29" s="1700"/>
      <c r="F29" s="1700"/>
      <c r="G29" s="1700"/>
      <c r="H29" s="1700"/>
      <c r="I29" s="1700"/>
      <c r="J29" s="1700"/>
      <c r="K29" s="1700"/>
      <c r="L29" s="1700"/>
      <c r="M29" s="1700"/>
      <c r="N29" s="1700"/>
      <c r="O29" s="1700"/>
      <c r="P29" s="1700"/>
      <c r="Q29" s="1700"/>
      <c r="R29" s="1700"/>
      <c r="S29" s="661"/>
    </row>
    <row r="30" spans="1:19" s="621" customFormat="1" x14ac:dyDescent="0.25">
      <c r="A30" s="661"/>
      <c r="B30" s="1700"/>
      <c r="C30" s="1700"/>
      <c r="D30" s="1700"/>
      <c r="E30" s="1700"/>
      <c r="F30" s="1700"/>
      <c r="G30" s="1700"/>
      <c r="H30" s="1700"/>
      <c r="I30" s="1700"/>
      <c r="J30" s="1700"/>
      <c r="K30" s="1700"/>
      <c r="L30" s="1700"/>
      <c r="M30" s="1700"/>
      <c r="N30" s="1700"/>
      <c r="O30" s="1700"/>
      <c r="P30" s="1700"/>
      <c r="Q30" s="1700"/>
      <c r="R30" s="1700"/>
      <c r="S30" s="661"/>
    </row>
    <row r="31" spans="1:19" s="13" customFormat="1" x14ac:dyDescent="0.25">
      <c r="A31" s="661"/>
      <c r="B31" s="659"/>
      <c r="C31" s="659"/>
      <c r="D31" s="659"/>
      <c r="E31" s="659"/>
      <c r="F31" s="659"/>
      <c r="G31" s="659"/>
      <c r="H31" s="659"/>
      <c r="I31" s="659"/>
      <c r="J31" s="659"/>
      <c r="K31" s="659"/>
      <c r="L31" s="659"/>
      <c r="M31" s="659"/>
      <c r="N31" s="659"/>
      <c r="O31" s="659"/>
      <c r="P31" s="659"/>
      <c r="Q31" s="659"/>
      <c r="R31" s="659"/>
      <c r="S31" s="661"/>
    </row>
    <row r="32" spans="1:19" s="621" customFormat="1" ht="15" customHeight="1" x14ac:dyDescent="0.25">
      <c r="A32" s="661"/>
      <c r="B32" s="1701" t="s">
        <v>3956</v>
      </c>
      <c r="C32" s="1701"/>
      <c r="D32" s="1701"/>
      <c r="E32" s="1701"/>
      <c r="F32" s="1701"/>
      <c r="G32" s="1701"/>
      <c r="H32" s="1701"/>
      <c r="I32" s="1701"/>
      <c r="J32" s="1701"/>
      <c r="K32" s="1701"/>
      <c r="L32" s="1701"/>
      <c r="M32" s="1701"/>
      <c r="N32" s="1701"/>
      <c r="O32" s="1701"/>
      <c r="P32" s="1701"/>
      <c r="Q32" s="1701"/>
      <c r="R32" s="1701"/>
      <c r="S32" s="661"/>
    </row>
    <row r="33" spans="1:19" s="621" customFormat="1" x14ac:dyDescent="0.25">
      <c r="A33" s="661"/>
      <c r="B33" s="659"/>
      <c r="C33" s="659"/>
      <c r="D33" s="659"/>
      <c r="E33" s="659"/>
      <c r="F33" s="659"/>
      <c r="G33" s="659"/>
      <c r="H33" s="659"/>
      <c r="I33" s="659"/>
      <c r="J33" s="659"/>
      <c r="K33" s="659"/>
      <c r="L33" s="659"/>
      <c r="M33" s="659"/>
      <c r="N33" s="659"/>
      <c r="O33" s="659"/>
      <c r="P33" s="659"/>
      <c r="Q33" s="659"/>
      <c r="R33" s="659"/>
      <c r="S33" s="661"/>
    </row>
    <row r="34" spans="1:19" s="621" customFormat="1" ht="15" customHeight="1" x14ac:dyDescent="0.25">
      <c r="A34" s="661"/>
      <c r="B34" s="1700" t="s">
        <v>3957</v>
      </c>
      <c r="C34" s="1700"/>
      <c r="D34" s="1700"/>
      <c r="E34" s="1700"/>
      <c r="F34" s="1700"/>
      <c r="G34" s="1700"/>
      <c r="H34" s="1700"/>
      <c r="I34" s="1700"/>
      <c r="J34" s="1700"/>
      <c r="K34" s="1700"/>
      <c r="L34" s="1700"/>
      <c r="M34" s="1700"/>
      <c r="N34" s="1700"/>
      <c r="O34" s="1700"/>
      <c r="P34" s="1700"/>
      <c r="Q34" s="1700"/>
      <c r="R34" s="1700"/>
      <c r="S34" s="1700"/>
    </row>
    <row r="35" spans="1:19" s="621" customFormat="1" x14ac:dyDescent="0.25">
      <c r="A35" s="661"/>
      <c r="B35" s="659"/>
      <c r="C35" s="659"/>
      <c r="D35" s="659"/>
      <c r="E35" s="659"/>
      <c r="F35" s="659"/>
      <c r="G35" s="659"/>
      <c r="H35" s="659"/>
      <c r="I35" s="659"/>
      <c r="J35" s="659"/>
      <c r="K35" s="659"/>
      <c r="L35" s="659"/>
      <c r="M35" s="659"/>
      <c r="N35" s="659"/>
      <c r="O35" s="659"/>
      <c r="P35" s="659"/>
      <c r="Q35" s="659"/>
      <c r="R35" s="659"/>
      <c r="S35" s="661"/>
    </row>
    <row r="36" spans="1:19" s="621" customFormat="1" ht="15" customHeight="1" x14ac:dyDescent="0.25">
      <c r="A36" s="661"/>
      <c r="B36" s="1700" t="s">
        <v>3978</v>
      </c>
      <c r="C36" s="1700"/>
      <c r="D36" s="1700"/>
      <c r="E36" s="1700"/>
      <c r="F36" s="1700"/>
      <c r="G36" s="1700"/>
      <c r="H36" s="1700"/>
      <c r="I36" s="1700"/>
      <c r="J36" s="1700"/>
      <c r="K36" s="1700"/>
      <c r="L36" s="1700"/>
      <c r="M36" s="1700"/>
      <c r="N36" s="1700"/>
      <c r="O36" s="1700"/>
      <c r="P36" s="1700"/>
      <c r="Q36" s="1700"/>
      <c r="R36" s="1700"/>
      <c r="S36" s="661"/>
    </row>
    <row r="37" spans="1:19" s="621" customFormat="1" x14ac:dyDescent="0.25">
      <c r="A37" s="661"/>
      <c r="B37" s="1700"/>
      <c r="C37" s="1700"/>
      <c r="D37" s="1700"/>
      <c r="E37" s="1700"/>
      <c r="F37" s="1700"/>
      <c r="G37" s="1700"/>
      <c r="H37" s="1700"/>
      <c r="I37" s="1700"/>
      <c r="J37" s="1700"/>
      <c r="K37" s="1700"/>
      <c r="L37" s="1700"/>
      <c r="M37" s="1700"/>
      <c r="N37" s="1700"/>
      <c r="O37" s="1700"/>
      <c r="P37" s="1700"/>
      <c r="Q37" s="1700"/>
      <c r="R37" s="1700"/>
      <c r="S37" s="661"/>
    </row>
    <row r="38" spans="1:19" s="621" customFormat="1" x14ac:dyDescent="0.25">
      <c r="A38" s="661"/>
      <c r="B38" s="659"/>
      <c r="C38" s="659"/>
      <c r="D38" s="659"/>
      <c r="E38" s="659"/>
      <c r="F38" s="659"/>
      <c r="G38" s="659"/>
      <c r="H38" s="659"/>
      <c r="I38" s="659"/>
      <c r="J38" s="659"/>
      <c r="K38" s="659"/>
      <c r="L38" s="659"/>
      <c r="M38" s="659"/>
      <c r="N38" s="659"/>
      <c r="O38" s="659"/>
      <c r="P38" s="659"/>
      <c r="Q38" s="659"/>
      <c r="R38" s="659"/>
      <c r="S38" s="661"/>
    </row>
    <row r="39" spans="1:19" s="621" customFormat="1" ht="15" customHeight="1" x14ac:dyDescent="0.25">
      <c r="A39" s="661"/>
      <c r="B39" s="661"/>
      <c r="C39" s="1694" t="s">
        <v>4062</v>
      </c>
      <c r="D39" s="1694"/>
      <c r="E39" s="1694"/>
      <c r="F39" s="1694"/>
      <c r="G39" s="1694"/>
      <c r="H39" s="1694"/>
      <c r="I39" s="1694"/>
      <c r="J39" s="1694"/>
      <c r="K39" s="1694"/>
      <c r="L39" s="1694"/>
      <c r="M39" s="1694"/>
      <c r="N39" s="1694"/>
      <c r="O39" s="1694"/>
      <c r="P39" s="1694"/>
      <c r="Q39" s="1694"/>
      <c r="R39" s="1694"/>
      <c r="S39" s="661"/>
    </row>
    <row r="40" spans="1:19" s="621" customFormat="1" x14ac:dyDescent="0.25">
      <c r="A40" s="661"/>
      <c r="B40" s="659"/>
      <c r="C40" s="659"/>
      <c r="D40" s="659"/>
      <c r="E40" s="659"/>
      <c r="F40" s="659"/>
      <c r="G40" s="659"/>
      <c r="H40" s="659"/>
      <c r="I40" s="659"/>
      <c r="J40" s="659"/>
      <c r="K40" s="659"/>
      <c r="L40" s="659"/>
      <c r="M40" s="659"/>
      <c r="N40" s="659"/>
      <c r="O40" s="659"/>
      <c r="P40" s="659"/>
      <c r="Q40" s="659"/>
      <c r="R40" s="659"/>
      <c r="S40" s="661"/>
    </row>
    <row r="41" spans="1:19" s="621" customFormat="1" ht="15" customHeight="1" x14ac:dyDescent="0.25">
      <c r="A41" s="661"/>
      <c r="B41" s="661"/>
      <c r="C41" s="1694" t="s">
        <v>3959</v>
      </c>
      <c r="D41" s="1694"/>
      <c r="E41" s="1694"/>
      <c r="F41" s="1694"/>
      <c r="G41" s="1694"/>
      <c r="H41" s="1694"/>
      <c r="I41" s="1694"/>
      <c r="J41" s="1694"/>
      <c r="K41" s="1694"/>
      <c r="L41" s="1694"/>
      <c r="M41" s="1694"/>
      <c r="N41" s="1694"/>
      <c r="O41" s="1694"/>
      <c r="P41" s="1694"/>
      <c r="Q41" s="1694"/>
      <c r="R41" s="1694"/>
      <c r="S41" s="661"/>
    </row>
    <row r="42" spans="1:19" s="621" customFormat="1" x14ac:dyDescent="0.25">
      <c r="A42" s="661"/>
      <c r="B42" s="662"/>
      <c r="C42" s="1694"/>
      <c r="D42" s="1694"/>
      <c r="E42" s="1694"/>
      <c r="F42" s="1694"/>
      <c r="G42" s="1694"/>
      <c r="H42" s="1694"/>
      <c r="I42" s="1694"/>
      <c r="J42" s="1694"/>
      <c r="K42" s="1694"/>
      <c r="L42" s="1694"/>
      <c r="M42" s="1694"/>
      <c r="N42" s="1694"/>
      <c r="O42" s="1694"/>
      <c r="P42" s="1694"/>
      <c r="Q42" s="1694"/>
      <c r="R42" s="1694"/>
      <c r="S42" s="661"/>
    </row>
    <row r="43" spans="1:19" s="621" customFormat="1" x14ac:dyDescent="0.25">
      <c r="A43" s="661"/>
      <c r="B43" s="659"/>
      <c r="C43" s="659"/>
      <c r="D43" s="659"/>
      <c r="E43" s="659"/>
      <c r="F43" s="659"/>
      <c r="G43" s="659"/>
      <c r="H43" s="659"/>
      <c r="I43" s="659"/>
      <c r="J43" s="659"/>
      <c r="K43" s="659"/>
      <c r="L43" s="659"/>
      <c r="M43" s="659"/>
      <c r="N43" s="659"/>
      <c r="O43" s="659"/>
      <c r="P43" s="659"/>
      <c r="Q43" s="659"/>
      <c r="R43" s="659"/>
      <c r="S43" s="661"/>
    </row>
    <row r="44" spans="1:19" s="621" customFormat="1" ht="15" customHeight="1" x14ac:dyDescent="0.25">
      <c r="A44" s="661"/>
      <c r="B44" s="1694" t="s">
        <v>4070</v>
      </c>
      <c r="C44" s="1694"/>
      <c r="D44" s="1694"/>
      <c r="E44" s="1694"/>
      <c r="F44" s="1694"/>
      <c r="G44" s="1694"/>
      <c r="H44" s="1694"/>
      <c r="I44" s="1694"/>
      <c r="J44" s="1694"/>
      <c r="K44" s="1694"/>
      <c r="L44" s="1694"/>
      <c r="M44" s="1694"/>
      <c r="N44" s="1694"/>
      <c r="O44" s="1694"/>
      <c r="P44" s="1694"/>
      <c r="Q44" s="1694"/>
      <c r="R44" s="1694"/>
      <c r="S44" s="1694"/>
    </row>
    <row r="45" spans="1:19" s="621" customFormat="1" x14ac:dyDescent="0.25">
      <c r="A45" s="661"/>
      <c r="B45" s="659"/>
      <c r="C45" s="659"/>
      <c r="D45" s="659"/>
      <c r="E45" s="659"/>
      <c r="F45" s="659"/>
      <c r="G45" s="659"/>
      <c r="H45" s="659"/>
      <c r="I45" s="659"/>
      <c r="J45" s="659"/>
      <c r="K45" s="659"/>
      <c r="L45" s="659"/>
      <c r="M45" s="659"/>
      <c r="N45" s="659"/>
      <c r="O45" s="659"/>
      <c r="P45" s="659"/>
      <c r="Q45" s="659"/>
      <c r="R45" s="659"/>
      <c r="S45" s="661"/>
    </row>
    <row r="46" spans="1:19" s="621" customFormat="1" ht="15" customHeight="1" x14ac:dyDescent="0.25">
      <c r="A46" s="661"/>
      <c r="B46" s="1694" t="s">
        <v>3962</v>
      </c>
      <c r="C46" s="1694"/>
      <c r="D46" s="1694"/>
      <c r="E46" s="1694"/>
      <c r="F46" s="1694"/>
      <c r="G46" s="1694"/>
      <c r="H46" s="1694"/>
      <c r="I46" s="1694"/>
      <c r="J46" s="1694"/>
      <c r="K46" s="1694"/>
      <c r="L46" s="1694"/>
      <c r="M46" s="1694"/>
      <c r="N46" s="1694"/>
      <c r="O46" s="1694"/>
      <c r="P46" s="1694"/>
      <c r="Q46" s="1694"/>
      <c r="R46" s="1694"/>
      <c r="S46" s="661"/>
    </row>
    <row r="47" spans="1:19" s="621" customFormat="1" x14ac:dyDescent="0.25">
      <c r="A47" s="661"/>
      <c r="B47" s="659"/>
      <c r="C47" s="659"/>
      <c r="D47" s="659"/>
      <c r="E47" s="659"/>
      <c r="F47" s="659"/>
      <c r="G47" s="659"/>
      <c r="H47" s="659"/>
      <c r="I47" s="659"/>
      <c r="J47" s="659"/>
      <c r="K47" s="659"/>
      <c r="L47" s="659"/>
      <c r="M47" s="659"/>
      <c r="N47" s="659"/>
      <c r="O47" s="659"/>
      <c r="P47" s="659"/>
      <c r="Q47" s="659"/>
      <c r="R47" s="659"/>
      <c r="S47" s="661"/>
    </row>
    <row r="48" spans="1:19" s="621" customFormat="1" ht="15" customHeight="1" x14ac:dyDescent="0.25">
      <c r="A48" s="661"/>
      <c r="B48" s="1694" t="s">
        <v>3961</v>
      </c>
      <c r="C48" s="1694"/>
      <c r="D48" s="1694"/>
      <c r="E48" s="1694"/>
      <c r="F48" s="1694"/>
      <c r="G48" s="1694"/>
      <c r="H48" s="1694"/>
      <c r="I48" s="1694"/>
      <c r="J48" s="1694"/>
      <c r="K48" s="1694"/>
      <c r="L48" s="1694"/>
      <c r="M48" s="1694"/>
      <c r="N48" s="1694"/>
      <c r="O48" s="1694"/>
      <c r="P48" s="1694"/>
      <c r="Q48" s="1694"/>
      <c r="R48" s="1694"/>
      <c r="S48" s="661"/>
    </row>
    <row r="49" spans="1:19" s="621" customFormat="1" ht="15" customHeight="1" x14ac:dyDescent="0.25">
      <c r="A49" s="661"/>
      <c r="B49" s="1702" t="s">
        <v>3960</v>
      </c>
      <c r="C49" s="1702"/>
      <c r="D49" s="1702"/>
      <c r="E49" s="1702"/>
      <c r="F49" s="1702"/>
      <c r="G49" s="1702"/>
      <c r="H49" s="1702"/>
      <c r="I49" s="1702"/>
      <c r="J49" s="1702"/>
      <c r="K49" s="1702"/>
      <c r="L49" s="1702"/>
      <c r="M49" s="1702"/>
      <c r="N49" s="1702"/>
      <c r="O49" s="1702"/>
      <c r="P49" s="1702"/>
      <c r="Q49" s="1702"/>
      <c r="R49" s="1702"/>
      <c r="S49" s="661"/>
    </row>
    <row r="50" spans="1:19" s="621" customFormat="1" x14ac:dyDescent="0.25">
      <c r="A50" s="661"/>
      <c r="B50" s="662"/>
      <c r="C50" s="662"/>
      <c r="D50" s="662"/>
      <c r="E50" s="662"/>
      <c r="F50" s="662"/>
      <c r="G50" s="662"/>
      <c r="H50" s="662"/>
      <c r="I50" s="662"/>
      <c r="J50" s="662"/>
      <c r="K50" s="662"/>
      <c r="L50" s="662"/>
      <c r="M50" s="662"/>
      <c r="N50" s="662"/>
      <c r="O50" s="662"/>
      <c r="P50" s="662"/>
      <c r="Q50" s="662"/>
      <c r="R50" s="662"/>
      <c r="S50" s="661"/>
    </row>
    <row r="51" spans="1:19" s="621" customFormat="1" ht="15" customHeight="1" x14ac:dyDescent="0.25">
      <c r="A51" s="661"/>
      <c r="B51" s="1701" t="s">
        <v>3958</v>
      </c>
      <c r="C51" s="1701"/>
      <c r="D51" s="1701"/>
      <c r="E51" s="1701"/>
      <c r="F51" s="1701"/>
      <c r="G51" s="1701"/>
      <c r="H51" s="1701"/>
      <c r="I51" s="1701"/>
      <c r="J51" s="1701"/>
      <c r="K51" s="1701"/>
      <c r="L51" s="1701"/>
      <c r="M51" s="1701"/>
      <c r="N51" s="1701"/>
      <c r="O51" s="1701"/>
      <c r="P51" s="1701"/>
      <c r="Q51" s="1701"/>
      <c r="R51" s="1701"/>
      <c r="S51" s="661"/>
    </row>
    <row r="52" spans="1:19" s="621" customFormat="1" x14ac:dyDescent="0.25">
      <c r="A52" s="661"/>
      <c r="B52" s="661"/>
      <c r="C52" s="661"/>
      <c r="D52" s="661"/>
      <c r="E52" s="661"/>
      <c r="F52" s="661"/>
      <c r="G52" s="661"/>
      <c r="H52" s="661"/>
      <c r="I52" s="661"/>
      <c r="J52" s="661"/>
      <c r="K52" s="661"/>
      <c r="L52" s="661"/>
      <c r="M52" s="661"/>
      <c r="N52" s="661"/>
      <c r="O52" s="661"/>
      <c r="P52" s="661"/>
      <c r="Q52" s="661"/>
      <c r="R52" s="661"/>
      <c r="S52" s="661"/>
    </row>
    <row r="53" spans="1:19" s="621" customFormat="1" ht="15" customHeight="1" x14ac:dyDescent="0.25">
      <c r="A53" s="661"/>
      <c r="B53" s="1694" t="s">
        <v>3979</v>
      </c>
      <c r="C53" s="1694"/>
      <c r="D53" s="1694"/>
      <c r="E53" s="1694"/>
      <c r="F53" s="1694"/>
      <c r="G53" s="1694"/>
      <c r="H53" s="1694"/>
      <c r="I53" s="1694"/>
      <c r="J53" s="1694"/>
      <c r="K53" s="1694"/>
      <c r="L53" s="1694"/>
      <c r="M53" s="1694"/>
      <c r="N53" s="1694"/>
      <c r="O53" s="1694"/>
      <c r="P53" s="1694"/>
      <c r="Q53" s="1694"/>
      <c r="R53" s="1694"/>
      <c r="S53" s="661"/>
    </row>
    <row r="54" spans="1:19" s="621" customFormat="1" x14ac:dyDescent="0.25">
      <c r="A54" s="661"/>
      <c r="B54" s="1694"/>
      <c r="C54" s="1694"/>
      <c r="D54" s="1694"/>
      <c r="E54" s="1694"/>
      <c r="F54" s="1694"/>
      <c r="G54" s="1694"/>
      <c r="H54" s="1694"/>
      <c r="I54" s="1694"/>
      <c r="J54" s="1694"/>
      <c r="K54" s="1694"/>
      <c r="L54" s="1694"/>
      <c r="M54" s="1694"/>
      <c r="N54" s="1694"/>
      <c r="O54" s="1694"/>
      <c r="P54" s="1694"/>
      <c r="Q54" s="1694"/>
      <c r="R54" s="1694"/>
      <c r="S54" s="661"/>
    </row>
    <row r="55" spans="1:19" s="621" customFormat="1" x14ac:dyDescent="0.25">
      <c r="A55" s="661"/>
      <c r="B55" s="661"/>
      <c r="C55" s="661"/>
      <c r="D55" s="661"/>
      <c r="E55" s="661"/>
      <c r="F55" s="661"/>
      <c r="G55" s="661"/>
      <c r="H55" s="661"/>
      <c r="I55" s="661"/>
      <c r="J55" s="661"/>
      <c r="K55" s="661"/>
      <c r="L55" s="661"/>
      <c r="M55" s="661"/>
      <c r="N55" s="661"/>
      <c r="O55" s="661"/>
      <c r="P55" s="661"/>
      <c r="Q55" s="661"/>
      <c r="R55" s="661"/>
      <c r="S55" s="661"/>
    </row>
    <row r="56" spans="1:19" s="621" customFormat="1" ht="15" customHeight="1" x14ac:dyDescent="0.25">
      <c r="A56" s="661"/>
      <c r="B56" s="1694" t="s">
        <v>3964</v>
      </c>
      <c r="C56" s="1694"/>
      <c r="D56" s="1694"/>
      <c r="E56" s="1694"/>
      <c r="F56" s="1694"/>
      <c r="G56" s="1694"/>
      <c r="H56" s="1694"/>
      <c r="I56" s="1694"/>
      <c r="J56" s="1694"/>
      <c r="K56" s="1694"/>
      <c r="L56" s="1694"/>
      <c r="M56" s="1694"/>
      <c r="N56" s="1694"/>
      <c r="O56" s="1694"/>
      <c r="P56" s="1694"/>
      <c r="Q56" s="1694"/>
      <c r="R56" s="1694"/>
      <c r="S56" s="661"/>
    </row>
    <row r="57" spans="1:19" s="621" customFormat="1" x14ac:dyDescent="0.25">
      <c r="A57" s="661"/>
      <c r="B57" s="661"/>
      <c r="C57" s="661"/>
      <c r="D57" s="661"/>
      <c r="E57" s="661"/>
      <c r="F57" s="661"/>
      <c r="G57" s="661"/>
      <c r="H57" s="661"/>
      <c r="I57" s="661"/>
      <c r="J57" s="661"/>
      <c r="K57" s="661"/>
      <c r="L57" s="661"/>
      <c r="M57" s="661"/>
      <c r="N57" s="661"/>
      <c r="O57" s="661"/>
      <c r="P57" s="661"/>
      <c r="Q57" s="661"/>
      <c r="R57" s="661"/>
      <c r="S57" s="661"/>
    </row>
    <row r="58" spans="1:19" s="621" customFormat="1" ht="15" customHeight="1" x14ac:dyDescent="0.25">
      <c r="A58" s="661"/>
      <c r="B58" s="661"/>
      <c r="C58" s="1694" t="s">
        <v>3965</v>
      </c>
      <c r="D58" s="1694"/>
      <c r="E58" s="1694"/>
      <c r="F58" s="1694"/>
      <c r="G58" s="1694"/>
      <c r="H58" s="1694"/>
      <c r="I58" s="1694"/>
      <c r="J58" s="1694"/>
      <c r="K58" s="1694"/>
      <c r="L58" s="1694"/>
      <c r="M58" s="1694"/>
      <c r="N58" s="1694"/>
      <c r="O58" s="1694"/>
      <c r="P58" s="1694"/>
      <c r="Q58" s="1694"/>
      <c r="R58" s="1694"/>
      <c r="S58" s="661"/>
    </row>
    <row r="59" spans="1:19" s="621" customFormat="1" x14ac:dyDescent="0.25">
      <c r="A59" s="661"/>
      <c r="B59" s="661"/>
      <c r="C59" s="661"/>
      <c r="D59" s="661"/>
      <c r="E59" s="661"/>
      <c r="F59" s="661"/>
      <c r="G59" s="661"/>
      <c r="H59" s="661"/>
      <c r="I59" s="661"/>
      <c r="J59" s="661"/>
      <c r="K59" s="661"/>
      <c r="L59" s="661"/>
      <c r="M59" s="661"/>
      <c r="N59" s="661"/>
      <c r="O59" s="661"/>
      <c r="P59" s="661"/>
      <c r="Q59" s="661"/>
      <c r="R59" s="661"/>
      <c r="S59" s="661"/>
    </row>
    <row r="60" spans="1:19" s="621" customFormat="1" ht="15" customHeight="1" x14ac:dyDescent="0.25">
      <c r="A60" s="661"/>
      <c r="B60" s="661"/>
      <c r="C60" s="1694" t="s">
        <v>3966</v>
      </c>
      <c r="D60" s="1694"/>
      <c r="E60" s="1694"/>
      <c r="F60" s="1694"/>
      <c r="G60" s="1694"/>
      <c r="H60" s="1694"/>
      <c r="I60" s="1694"/>
      <c r="J60" s="1694"/>
      <c r="K60" s="1694"/>
      <c r="L60" s="1694"/>
      <c r="M60" s="1694"/>
      <c r="N60" s="1694"/>
      <c r="O60" s="1694"/>
      <c r="P60" s="1694"/>
      <c r="Q60" s="1694"/>
      <c r="R60" s="1694"/>
      <c r="S60" s="661"/>
    </row>
    <row r="61" spans="1:19" s="621" customFormat="1" ht="15" customHeight="1" x14ac:dyDescent="0.25">
      <c r="A61" s="661"/>
      <c r="B61" s="661"/>
      <c r="C61" s="1694"/>
      <c r="D61" s="1694"/>
      <c r="E61" s="1694"/>
      <c r="F61" s="1694"/>
      <c r="G61" s="1694"/>
      <c r="H61" s="1694"/>
      <c r="I61" s="1694"/>
      <c r="J61" s="1694"/>
      <c r="K61" s="1694"/>
      <c r="L61" s="1694"/>
      <c r="M61" s="1694"/>
      <c r="N61" s="1694"/>
      <c r="O61" s="1694"/>
      <c r="P61" s="1694"/>
      <c r="Q61" s="1694"/>
      <c r="R61" s="1694"/>
      <c r="S61" s="661"/>
    </row>
    <row r="62" spans="1:19" s="621" customFormat="1" x14ac:dyDescent="0.25">
      <c r="A62" s="661"/>
      <c r="B62" s="661"/>
      <c r="C62" s="661"/>
      <c r="D62" s="661"/>
      <c r="E62" s="661"/>
      <c r="F62" s="661"/>
      <c r="G62" s="661"/>
      <c r="H62" s="661"/>
      <c r="I62" s="661"/>
      <c r="J62" s="661"/>
      <c r="K62" s="661"/>
      <c r="L62" s="661"/>
      <c r="M62" s="661"/>
      <c r="N62" s="661"/>
      <c r="O62" s="661"/>
      <c r="P62" s="661"/>
      <c r="Q62" s="661"/>
      <c r="R62" s="661"/>
      <c r="S62" s="661"/>
    </row>
    <row r="63" spans="1:19" s="621" customFormat="1" ht="15" customHeight="1" x14ac:dyDescent="0.25">
      <c r="A63" s="661"/>
      <c r="B63" s="1694" t="s">
        <v>5805</v>
      </c>
      <c r="C63" s="1694"/>
      <c r="D63" s="1694"/>
      <c r="E63" s="1694"/>
      <c r="F63" s="1694"/>
      <c r="G63" s="1694"/>
      <c r="H63" s="1694"/>
      <c r="I63" s="1694"/>
      <c r="J63" s="1694"/>
      <c r="K63" s="1694"/>
      <c r="L63" s="1694"/>
      <c r="M63" s="1694"/>
      <c r="N63" s="1694"/>
      <c r="O63" s="1694"/>
      <c r="P63" s="1694"/>
      <c r="Q63" s="1694"/>
      <c r="R63" s="1694"/>
      <c r="S63" s="1694"/>
    </row>
    <row r="64" spans="1:19" s="621" customFormat="1" x14ac:dyDescent="0.25">
      <c r="A64" s="661"/>
      <c r="B64" s="661"/>
      <c r="C64" s="661"/>
      <c r="D64" s="661"/>
      <c r="E64" s="661"/>
      <c r="F64" s="661"/>
      <c r="G64" s="661"/>
      <c r="H64" s="661"/>
      <c r="I64" s="661"/>
      <c r="J64" s="661"/>
      <c r="K64" s="661"/>
      <c r="L64" s="661"/>
      <c r="M64" s="661"/>
      <c r="N64" s="661"/>
      <c r="O64" s="661"/>
      <c r="P64" s="661"/>
      <c r="Q64" s="661"/>
      <c r="R64" s="661"/>
      <c r="S64" s="661"/>
    </row>
    <row r="65" spans="1:19" s="621" customFormat="1" ht="15" customHeight="1" x14ac:dyDescent="0.25">
      <c r="A65" s="661"/>
      <c r="B65" s="1694" t="s">
        <v>5806</v>
      </c>
      <c r="C65" s="1694"/>
      <c r="D65" s="1694"/>
      <c r="E65" s="1694"/>
      <c r="F65" s="1694"/>
      <c r="G65" s="1694"/>
      <c r="H65" s="1694"/>
      <c r="I65" s="1694"/>
      <c r="J65" s="1694"/>
      <c r="K65" s="1694"/>
      <c r="L65" s="1694"/>
      <c r="M65" s="1694"/>
      <c r="N65" s="1694"/>
      <c r="O65" s="1694"/>
      <c r="P65" s="1694"/>
      <c r="Q65" s="1694"/>
      <c r="R65" s="1694"/>
      <c r="S65" s="1694"/>
    </row>
    <row r="66" spans="1:19" s="1066" customFormat="1" ht="15" customHeight="1" x14ac:dyDescent="0.25">
      <c r="B66" s="1064"/>
      <c r="C66" s="1064"/>
      <c r="D66" s="1064"/>
      <c r="E66" s="1064"/>
      <c r="F66" s="1064"/>
      <c r="G66" s="1064"/>
      <c r="H66" s="1064"/>
      <c r="I66" s="1064"/>
      <c r="J66" s="1064"/>
      <c r="K66" s="1064"/>
      <c r="L66" s="1064"/>
      <c r="M66" s="1064"/>
      <c r="N66" s="1064"/>
      <c r="O66" s="1064"/>
      <c r="P66" s="1064"/>
      <c r="Q66" s="1064"/>
      <c r="R66" s="1064"/>
      <c r="S66" s="1064"/>
    </row>
    <row r="67" spans="1:19" s="1066" customFormat="1" ht="15" customHeight="1" x14ac:dyDescent="0.25">
      <c r="B67" s="1695" t="s">
        <v>4825</v>
      </c>
      <c r="C67" s="1695"/>
      <c r="D67" s="1695"/>
      <c r="E67" s="1064"/>
      <c r="F67" s="1064"/>
      <c r="G67" s="1064"/>
      <c r="H67" s="1064"/>
      <c r="I67" s="1064"/>
      <c r="J67" s="1064"/>
      <c r="K67" s="1064"/>
      <c r="L67" s="1064"/>
      <c r="M67" s="1064"/>
      <c r="N67" s="1064"/>
      <c r="O67" s="1064"/>
      <c r="P67" s="1064"/>
      <c r="Q67" s="1064"/>
      <c r="R67" s="1064"/>
      <c r="S67" s="1064"/>
    </row>
    <row r="68" spans="1:19" s="1066" customFormat="1" ht="15" customHeight="1" x14ac:dyDescent="0.25">
      <c r="B68" s="1064"/>
      <c r="C68" s="1064"/>
      <c r="D68" s="1064"/>
      <c r="E68" s="1064"/>
      <c r="F68" s="1064"/>
      <c r="G68" s="1064"/>
      <c r="H68" s="1064"/>
      <c r="I68" s="1064"/>
      <c r="J68" s="1064"/>
      <c r="K68" s="1064"/>
      <c r="L68" s="1064"/>
      <c r="M68" s="1064"/>
      <c r="N68" s="1064"/>
      <c r="O68" s="1064"/>
      <c r="P68" s="1064"/>
      <c r="Q68" s="1064"/>
      <c r="R68" s="1064"/>
      <c r="S68" s="1064"/>
    </row>
    <row r="69" spans="1:19" s="1066" customFormat="1" ht="15" customHeight="1" x14ac:dyDescent="0.25">
      <c r="B69" s="1694" t="s">
        <v>4826</v>
      </c>
      <c r="C69" s="1694"/>
      <c r="D69" s="1694"/>
      <c r="E69" s="1694"/>
      <c r="F69" s="1694"/>
      <c r="G69" s="1694"/>
      <c r="H69" s="1694"/>
      <c r="I69" s="1694"/>
      <c r="J69" s="1694"/>
      <c r="K69" s="1694"/>
      <c r="L69" s="1694"/>
      <c r="M69" s="1694"/>
      <c r="N69" s="1694"/>
      <c r="O69" s="1694"/>
      <c r="P69" s="1694"/>
      <c r="Q69" s="1694"/>
      <c r="R69" s="1694"/>
      <c r="S69" s="1694"/>
    </row>
    <row r="70" spans="1:19" s="1066" customFormat="1" ht="15" customHeight="1" x14ac:dyDescent="0.25">
      <c r="B70" s="1694"/>
      <c r="C70" s="1694"/>
      <c r="D70" s="1694"/>
      <c r="E70" s="1694"/>
      <c r="F70" s="1694"/>
      <c r="G70" s="1694"/>
      <c r="H70" s="1694"/>
      <c r="I70" s="1694"/>
      <c r="J70" s="1694"/>
      <c r="K70" s="1694"/>
      <c r="L70" s="1694"/>
      <c r="M70" s="1694"/>
      <c r="N70" s="1694"/>
      <c r="O70" s="1694"/>
      <c r="P70" s="1694"/>
      <c r="Q70" s="1694"/>
      <c r="R70" s="1694"/>
      <c r="S70" s="1694"/>
    </row>
    <row r="71" spans="1:19" s="1066" customFormat="1" ht="15" customHeight="1" x14ac:dyDescent="0.25">
      <c r="B71" s="1064"/>
      <c r="C71" s="1064"/>
      <c r="D71" s="1064"/>
      <c r="E71" s="1064"/>
      <c r="F71" s="1064"/>
      <c r="G71" s="1064"/>
      <c r="H71" s="1064"/>
      <c r="I71" s="1064"/>
      <c r="J71" s="1064"/>
      <c r="K71" s="1064"/>
      <c r="L71" s="1064"/>
      <c r="M71" s="1064"/>
      <c r="N71" s="1064"/>
      <c r="O71" s="1064"/>
      <c r="P71" s="1064"/>
      <c r="Q71" s="1064"/>
      <c r="R71" s="1064"/>
      <c r="S71" s="1064"/>
    </row>
    <row r="72" spans="1:19" s="1066" customFormat="1" ht="15" customHeight="1" x14ac:dyDescent="0.25">
      <c r="B72" s="1694" t="s">
        <v>4824</v>
      </c>
      <c r="C72" s="1694"/>
      <c r="D72" s="1694"/>
      <c r="E72" s="1694"/>
      <c r="F72" s="1694"/>
      <c r="G72" s="1694"/>
      <c r="H72" s="1694"/>
      <c r="I72" s="1694"/>
      <c r="J72" s="1694"/>
      <c r="K72" s="1694"/>
      <c r="L72" s="1694"/>
      <c r="M72" s="1694"/>
      <c r="N72" s="1694"/>
      <c r="O72" s="1694"/>
      <c r="P72" s="1694"/>
      <c r="Q72" s="1694"/>
      <c r="R72" s="1694"/>
      <c r="S72" s="1694"/>
    </row>
    <row r="73" spans="1:19" s="1066" customFormat="1" ht="15" customHeight="1" x14ac:dyDescent="0.25">
      <c r="B73" s="1694"/>
      <c r="C73" s="1694"/>
      <c r="D73" s="1694"/>
      <c r="E73" s="1694"/>
      <c r="F73" s="1694"/>
      <c r="G73" s="1694"/>
      <c r="H73" s="1694"/>
      <c r="I73" s="1694"/>
      <c r="J73" s="1694"/>
      <c r="K73" s="1694"/>
      <c r="L73" s="1694"/>
      <c r="M73" s="1694"/>
      <c r="N73" s="1694"/>
      <c r="O73" s="1694"/>
      <c r="P73" s="1694"/>
      <c r="Q73" s="1694"/>
      <c r="R73" s="1694"/>
      <c r="S73" s="1694"/>
    </row>
    <row r="74" spans="1:19" s="1066" customFormat="1" ht="15" customHeight="1" x14ac:dyDescent="0.25">
      <c r="B74" s="1064"/>
      <c r="C74" s="1064"/>
      <c r="D74" s="1064"/>
      <c r="E74" s="1064"/>
      <c r="F74" s="1064"/>
      <c r="G74" s="1064"/>
      <c r="H74" s="1064"/>
      <c r="I74" s="1064"/>
      <c r="J74" s="1064"/>
      <c r="K74" s="1064"/>
      <c r="L74" s="1064"/>
      <c r="M74" s="1064"/>
      <c r="N74" s="1064"/>
      <c r="O74" s="1064"/>
      <c r="P74" s="1064"/>
      <c r="Q74" s="1064"/>
      <c r="R74" s="1064"/>
      <c r="S74" s="1064"/>
    </row>
    <row r="75" spans="1:19" s="1066" customFormat="1" ht="15" customHeight="1" x14ac:dyDescent="0.25">
      <c r="B75" s="1694" t="s">
        <v>5807</v>
      </c>
      <c r="C75" s="1694"/>
      <c r="D75" s="1694"/>
      <c r="E75" s="1694"/>
      <c r="F75" s="1694"/>
      <c r="G75" s="1694"/>
      <c r="H75" s="1694"/>
      <c r="I75" s="1694"/>
      <c r="J75" s="1694"/>
      <c r="K75" s="1694"/>
      <c r="L75" s="1694"/>
      <c r="M75" s="1694"/>
      <c r="N75" s="1694"/>
      <c r="O75" s="1694"/>
      <c r="P75" s="1694"/>
      <c r="Q75" s="1694"/>
      <c r="R75" s="1694"/>
      <c r="S75" s="1694"/>
    </row>
    <row r="76" spans="1:19" s="1066" customFormat="1" ht="15" customHeight="1" x14ac:dyDescent="0.25">
      <c r="B76" s="1064"/>
      <c r="C76" s="1064"/>
      <c r="D76" s="1064"/>
      <c r="E76" s="1064"/>
      <c r="F76" s="1064"/>
      <c r="G76" s="1064"/>
      <c r="H76" s="1064"/>
      <c r="I76" s="1064"/>
      <c r="J76" s="1064"/>
      <c r="K76" s="1064"/>
      <c r="L76" s="1064"/>
      <c r="M76" s="1064"/>
      <c r="N76" s="1064"/>
      <c r="O76" s="1064"/>
      <c r="P76" s="1064"/>
      <c r="Q76" s="1064"/>
      <c r="R76" s="1064"/>
      <c r="S76" s="1064"/>
    </row>
    <row r="77" spans="1:19" s="720" customFormat="1" ht="18.75" x14ac:dyDescent="0.3">
      <c r="A77" s="1697" t="s">
        <v>4056</v>
      </c>
      <c r="B77" s="1697"/>
      <c r="C77" s="1697"/>
      <c r="D77" s="1697"/>
      <c r="E77" s="1697"/>
      <c r="F77" s="1697"/>
      <c r="G77" s="1697"/>
      <c r="H77" s="1697"/>
      <c r="I77" s="1697"/>
      <c r="J77" s="1697"/>
      <c r="K77" s="1697"/>
      <c r="L77" s="1697"/>
      <c r="M77" s="1697"/>
      <c r="N77" s="1697"/>
      <c r="O77" s="1697"/>
      <c r="P77" s="1697"/>
      <c r="Q77" s="1697"/>
      <c r="R77" s="1697"/>
      <c r="S77" s="1697"/>
    </row>
    <row r="78" spans="1:19" s="720" customFormat="1" x14ac:dyDescent="0.25"/>
    <row r="79" spans="1:19" s="720" customFormat="1" x14ac:dyDescent="0.25">
      <c r="B79" s="1694" t="s">
        <v>4055</v>
      </c>
      <c r="C79" s="1694"/>
      <c r="D79" s="1694"/>
      <c r="E79" s="1694"/>
      <c r="F79" s="1694"/>
      <c r="G79" s="1694"/>
      <c r="H79" s="1694"/>
      <c r="I79" s="1694"/>
      <c r="J79" s="1694"/>
      <c r="K79" s="1694"/>
      <c r="L79" s="1694"/>
      <c r="M79" s="1694"/>
      <c r="N79" s="1694"/>
      <c r="O79" s="1694"/>
      <c r="P79" s="1694"/>
      <c r="Q79" s="1694"/>
      <c r="R79" s="1694"/>
      <c r="S79" s="1694"/>
    </row>
    <row r="80" spans="1:19" s="720" customFormat="1" x14ac:dyDescent="0.25"/>
    <row r="81" spans="1:19" s="720" customFormat="1" ht="15" customHeight="1" x14ac:dyDescent="0.25">
      <c r="C81" s="1694" t="s">
        <v>4094</v>
      </c>
      <c r="D81" s="1694"/>
      <c r="E81" s="1694"/>
      <c r="F81" s="1694"/>
      <c r="G81" s="1694"/>
      <c r="H81" s="1694"/>
      <c r="I81" s="1694"/>
      <c r="J81" s="1694"/>
      <c r="K81" s="1694"/>
      <c r="L81" s="1694"/>
      <c r="M81" s="1694"/>
      <c r="N81" s="1694"/>
      <c r="O81" s="1694"/>
      <c r="P81" s="1694"/>
      <c r="Q81" s="1694"/>
      <c r="R81" s="1694"/>
      <c r="S81" s="721"/>
    </row>
    <row r="82" spans="1:19" s="720" customFormat="1" ht="15" customHeight="1" x14ac:dyDescent="0.25">
      <c r="C82" s="1694" t="s">
        <v>4087</v>
      </c>
      <c r="D82" s="1694"/>
      <c r="E82" s="1694"/>
      <c r="F82" s="1694"/>
      <c r="G82" s="1694"/>
      <c r="H82" s="1694"/>
      <c r="I82" s="1694"/>
      <c r="J82" s="1694"/>
      <c r="K82" s="1694"/>
      <c r="L82" s="1694"/>
      <c r="M82" s="1694"/>
      <c r="N82" s="1694"/>
      <c r="O82" s="1694"/>
      <c r="P82" s="1694"/>
      <c r="Q82" s="1694"/>
      <c r="R82" s="1694"/>
      <c r="S82" s="721"/>
    </row>
    <row r="83" spans="1:19" s="720" customFormat="1" x14ac:dyDescent="0.25"/>
    <row r="84" spans="1:19" s="720" customFormat="1" ht="15" customHeight="1" x14ac:dyDescent="0.25">
      <c r="C84" s="1694" t="s">
        <v>4057</v>
      </c>
      <c r="D84" s="1694"/>
      <c r="E84" s="1694"/>
      <c r="F84" s="1694"/>
      <c r="G84" s="1694"/>
      <c r="H84" s="1694"/>
      <c r="I84" s="1694"/>
      <c r="J84" s="1694"/>
      <c r="K84" s="1694"/>
      <c r="L84" s="1694"/>
      <c r="M84" s="1694"/>
      <c r="N84" s="1694"/>
      <c r="O84" s="1694"/>
      <c r="P84" s="1694"/>
      <c r="Q84" s="1694"/>
      <c r="R84" s="1694"/>
      <c r="S84" s="721"/>
    </row>
    <row r="85" spans="1:19" s="720" customFormat="1" ht="15" customHeight="1" x14ac:dyDescent="0.25">
      <c r="C85" s="721"/>
      <c r="D85" s="721"/>
      <c r="E85" s="721"/>
      <c r="F85" s="721"/>
      <c r="G85" s="721"/>
      <c r="H85" s="721"/>
      <c r="I85" s="721"/>
      <c r="J85" s="721"/>
      <c r="K85" s="721"/>
      <c r="L85" s="721"/>
      <c r="M85" s="721"/>
      <c r="N85" s="721"/>
      <c r="O85" s="721"/>
      <c r="P85" s="721"/>
      <c r="Q85" s="721"/>
      <c r="R85" s="721"/>
      <c r="S85" s="721"/>
    </row>
    <row r="86" spans="1:19" s="720" customFormat="1" ht="15" customHeight="1" x14ac:dyDescent="0.25">
      <c r="B86" s="1694" t="s">
        <v>4059</v>
      </c>
      <c r="C86" s="1694"/>
      <c r="D86" s="1694"/>
      <c r="E86" s="1694"/>
      <c r="F86" s="1694"/>
      <c r="G86" s="1694"/>
      <c r="H86" s="1694"/>
      <c r="I86" s="1694"/>
      <c r="J86" s="1694"/>
      <c r="K86" s="1694"/>
      <c r="L86" s="1694"/>
      <c r="M86" s="1694"/>
      <c r="N86" s="1694"/>
      <c r="O86" s="1694"/>
      <c r="P86" s="1694"/>
      <c r="Q86" s="1694"/>
      <c r="R86" s="1694"/>
      <c r="S86" s="1694"/>
    </row>
    <row r="87" spans="1:19" s="720" customFormat="1" ht="15" customHeight="1" x14ac:dyDescent="0.25">
      <c r="B87" s="1694" t="s">
        <v>4058</v>
      </c>
      <c r="C87" s="1694"/>
      <c r="D87" s="1694"/>
      <c r="E87" s="1694"/>
      <c r="F87" s="1694"/>
      <c r="G87" s="1694"/>
      <c r="H87" s="1694"/>
      <c r="I87" s="1694"/>
      <c r="J87" s="1694"/>
      <c r="K87" s="1694"/>
      <c r="L87" s="1694"/>
      <c r="M87" s="1694"/>
      <c r="N87" s="1694"/>
      <c r="O87" s="1694"/>
      <c r="P87" s="1694"/>
      <c r="Q87" s="1694"/>
      <c r="R87" s="1694"/>
      <c r="S87" s="1694"/>
    </row>
    <row r="88" spans="1:19" s="720" customFormat="1" ht="15" customHeight="1" x14ac:dyDescent="0.25">
      <c r="B88" s="721"/>
      <c r="C88" s="721"/>
      <c r="D88" s="721"/>
      <c r="E88" s="721"/>
      <c r="F88" s="721"/>
      <c r="G88" s="721"/>
      <c r="H88" s="721"/>
      <c r="I88" s="721"/>
      <c r="J88" s="721"/>
      <c r="K88" s="721"/>
      <c r="L88" s="721"/>
      <c r="M88" s="721"/>
      <c r="N88" s="721"/>
      <c r="O88" s="721"/>
      <c r="P88" s="721"/>
      <c r="Q88" s="721"/>
      <c r="R88" s="721"/>
      <c r="S88" s="721"/>
    </row>
    <row r="89" spans="1:19" s="720" customFormat="1" ht="15" customHeight="1" x14ac:dyDescent="0.25">
      <c r="B89" s="1711" t="s">
        <v>4060</v>
      </c>
      <c r="C89" s="1711"/>
      <c r="D89" s="1711"/>
      <c r="E89" s="1711"/>
      <c r="F89" s="1711"/>
      <c r="G89" s="1711"/>
      <c r="H89" s="1711"/>
      <c r="I89" s="1711"/>
      <c r="J89" s="1711"/>
      <c r="K89" s="1711"/>
      <c r="L89" s="1711"/>
      <c r="M89" s="1711"/>
      <c r="N89" s="1711"/>
      <c r="O89" s="1711"/>
      <c r="P89" s="1711"/>
      <c r="Q89" s="1711"/>
      <c r="R89" s="1711"/>
      <c r="S89" s="1711"/>
    </row>
    <row r="90" spans="1:19" s="720" customFormat="1" x14ac:dyDescent="0.25"/>
    <row r="91" spans="1:19" ht="18.75" x14ac:dyDescent="0.3">
      <c r="A91" s="1697" t="s">
        <v>243</v>
      </c>
      <c r="B91" s="1697"/>
      <c r="C91" s="1697"/>
      <c r="D91" s="1697"/>
      <c r="E91" s="1697"/>
      <c r="F91" s="1697"/>
      <c r="G91" s="1697"/>
      <c r="H91" s="1697"/>
      <c r="I91" s="1697"/>
      <c r="J91" s="1697"/>
      <c r="K91" s="1697"/>
      <c r="L91" s="1697"/>
      <c r="M91" s="1697"/>
      <c r="N91" s="1697"/>
      <c r="O91" s="1697"/>
      <c r="P91" s="1697"/>
      <c r="Q91" s="1697"/>
      <c r="R91" s="1697"/>
      <c r="S91" s="1697"/>
    </row>
    <row r="93" spans="1:19" x14ac:dyDescent="0.25">
      <c r="B93" s="615"/>
      <c r="C93" t="s">
        <v>3518</v>
      </c>
    </row>
    <row r="95" spans="1:19" x14ac:dyDescent="0.25">
      <c r="B95" s="616"/>
      <c r="C95" t="s">
        <v>3519</v>
      </c>
    </row>
    <row r="97" spans="1:19" x14ac:dyDescent="0.25">
      <c r="B97" s="617"/>
      <c r="C97" t="s">
        <v>3820</v>
      </c>
    </row>
    <row r="99" spans="1:19" x14ac:dyDescent="0.25">
      <c r="B99" s="618"/>
      <c r="C99" t="s">
        <v>3515</v>
      </c>
    </row>
    <row r="101" spans="1:19" x14ac:dyDescent="0.25">
      <c r="B101" s="619"/>
      <c r="C101" t="s">
        <v>3516</v>
      </c>
    </row>
    <row r="103" spans="1:19" x14ac:dyDescent="0.25">
      <c r="B103" s="620"/>
      <c r="C103" t="s">
        <v>3517</v>
      </c>
    </row>
    <row r="105" spans="1:19" ht="18.75" customHeight="1" x14ac:dyDescent="0.3">
      <c r="A105" s="1696" t="s">
        <v>3955</v>
      </c>
      <c r="B105" s="1696"/>
      <c r="C105" s="1696"/>
      <c r="D105" s="1696"/>
      <c r="E105" s="1696"/>
      <c r="F105" s="1696"/>
      <c r="G105" s="1696"/>
      <c r="H105" s="1696"/>
      <c r="I105" s="1696"/>
      <c r="J105" s="1696"/>
      <c r="K105" s="1696"/>
      <c r="L105" s="1696"/>
      <c r="M105" s="1696"/>
      <c r="N105" s="1696"/>
      <c r="O105" s="1696"/>
      <c r="P105" s="1696"/>
      <c r="Q105" s="1696"/>
      <c r="R105" s="1696"/>
      <c r="S105" s="1696"/>
    </row>
  </sheetData>
  <sheetProtection algorithmName="SHA-512" hashValue="OJxD87vMPkEbkHNeI3/sZnLLogsNOA+sBjRK66wnaz6QH76jDJvWoCKbDDOWeoUQszX4cTil41dA9el9TlIqxA==" saltValue="55e788m5QweEiZdXXjePuQ==" spinCount="100000" sheet="1" objects="1" scenarios="1" selectLockedCells="1"/>
  <dataConsolidate link="1"/>
  <mergeCells count="48">
    <mergeCell ref="B87:S87"/>
    <mergeCell ref="B89:S89"/>
    <mergeCell ref="B86:S86"/>
    <mergeCell ref="A77:S77"/>
    <mergeCell ref="B79:S79"/>
    <mergeCell ref="C82:R82"/>
    <mergeCell ref="C84:R84"/>
    <mergeCell ref="C81:R81"/>
    <mergeCell ref="A1:C6"/>
    <mergeCell ref="D1:S3"/>
    <mergeCell ref="D4:S6"/>
    <mergeCell ref="A18:S18"/>
    <mergeCell ref="C7:D7"/>
    <mergeCell ref="E7:F7"/>
    <mergeCell ref="B14:R17"/>
    <mergeCell ref="A8:S8"/>
    <mergeCell ref="B9:R9"/>
    <mergeCell ref="B10:R10"/>
    <mergeCell ref="A11:S11"/>
    <mergeCell ref="A13:S13"/>
    <mergeCell ref="A105:S105"/>
    <mergeCell ref="A12:S12"/>
    <mergeCell ref="A19:S19"/>
    <mergeCell ref="A26:S26"/>
    <mergeCell ref="A91:S91"/>
    <mergeCell ref="B21:R21"/>
    <mergeCell ref="B23:R24"/>
    <mergeCell ref="B28:R30"/>
    <mergeCell ref="B32:R32"/>
    <mergeCell ref="B34:S34"/>
    <mergeCell ref="B51:R51"/>
    <mergeCell ref="B46:R46"/>
    <mergeCell ref="B36:R37"/>
    <mergeCell ref="C58:R58"/>
    <mergeCell ref="B48:R48"/>
    <mergeCell ref="B49:R49"/>
    <mergeCell ref="C39:R39"/>
    <mergeCell ref="C41:R42"/>
    <mergeCell ref="B53:R54"/>
    <mergeCell ref="B75:S75"/>
    <mergeCell ref="B69:S70"/>
    <mergeCell ref="B72:S73"/>
    <mergeCell ref="B67:D67"/>
    <mergeCell ref="B65:S65"/>
    <mergeCell ref="C60:R61"/>
    <mergeCell ref="B63:S63"/>
    <mergeCell ref="B56:R56"/>
    <mergeCell ref="B44:S44"/>
  </mergeCells>
  <hyperlinks>
    <hyperlink ref="A105" location="'Overview (Design)'!A1" display="CLICK HERE TO GET STARTED!" xr:uid="{00000000-0004-0000-0000-000000000000}"/>
    <hyperlink ref="B10:R10" r:id="rId1" display="Go to http://www.homeinnovation.com/greenscoring to download the latest version of the NGBS Scoring for New Construction spreadsheet." xr:uid="{00000000-0004-0000-0000-000001000000}"/>
    <hyperlink ref="B49" r:id="rId2" xr:uid="{00000000-0004-0000-0000-000002000000}"/>
  </hyperlinks>
  <pageMargins left="0.7" right="0.7" top="0.75" bottom="0.75" header="0.3" footer="0.3"/>
  <pageSetup scale="51" fitToHeight="0" orientation="portrait" r:id="rId3"/>
  <rowBreaks count="1" manualBreakCount="1">
    <brk id="76" max="1638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4EA8-A1D2-4D2C-845A-047C24E8DDD1}">
  <sheetPr codeName="Sheet26">
    <pageSetUpPr fitToPage="1"/>
  </sheetPr>
  <dimension ref="A1:J3118"/>
  <sheetViews>
    <sheetView showGridLines="0" zoomScaleNormal="100" workbookViewId="0">
      <pane ySplit="6" topLeftCell="A7" activePane="bottomLeft" state="frozen"/>
      <selection activeCell="E90" sqref="E90"/>
      <selection pane="bottomLeft" sqref="A1:A1048576"/>
    </sheetView>
  </sheetViews>
  <sheetFormatPr defaultRowHeight="15" x14ac:dyDescent="0.25"/>
  <cols>
    <col min="1" max="1" width="3.7109375" style="585" bestFit="1" customWidth="1"/>
    <col min="2" max="3" width="3.7109375" style="1203" customWidth="1"/>
    <col min="4" max="4" width="10.42578125" style="1384" customWidth="1"/>
    <col min="5" max="6" width="3.85546875" style="1384" customWidth="1"/>
    <col min="7" max="7" width="71.7109375" style="94" customWidth="1"/>
    <col min="8" max="8" width="19.140625" style="854" hidden="1" customWidth="1"/>
    <col min="9" max="9" width="3" style="86" hidden="1" customWidth="1"/>
    <col min="10" max="10" width="73.5703125" style="4" customWidth="1"/>
    <col min="11" max="16384" width="9.140625" style="1203"/>
  </cols>
  <sheetData>
    <row r="1" spans="1:10" ht="15" customHeight="1" x14ac:dyDescent="0.25">
      <c r="A1" s="2361" t="s">
        <v>3542</v>
      </c>
      <c r="B1" s="1955" t="s">
        <v>4090</v>
      </c>
      <c r="C1" s="1955" t="s">
        <v>4091</v>
      </c>
      <c r="D1" s="1753"/>
      <c r="E1" s="1753"/>
      <c r="F1" s="1753"/>
      <c r="G1" s="1753"/>
      <c r="J1" s="1956" t="s">
        <v>5058</v>
      </c>
    </row>
    <row r="2" spans="1:10" x14ac:dyDescent="0.25">
      <c r="A2" s="2361"/>
      <c r="B2" s="1955"/>
      <c r="C2" s="1955"/>
      <c r="D2" s="1753"/>
      <c r="E2" s="1753"/>
      <c r="F2" s="1753"/>
      <c r="G2" s="1753"/>
      <c r="J2" s="1956"/>
    </row>
    <row r="3" spans="1:10" x14ac:dyDescent="0.25">
      <c r="A3" s="2361"/>
      <c r="B3" s="1955"/>
      <c r="C3" s="1955"/>
      <c r="D3" s="1753"/>
      <c r="E3" s="1753"/>
      <c r="F3" s="1753"/>
      <c r="G3" s="1753"/>
      <c r="J3" s="1956"/>
    </row>
    <row r="4" spans="1:10" x14ac:dyDescent="0.25">
      <c r="A4" s="2361"/>
      <c r="B4" s="1955"/>
      <c r="C4" s="1955"/>
      <c r="D4" s="1753"/>
      <c r="E4" s="1753"/>
      <c r="F4" s="1753"/>
      <c r="G4" s="1753"/>
      <c r="J4" s="1956"/>
    </row>
    <row r="5" spans="1:10" x14ac:dyDescent="0.25">
      <c r="A5" s="2361"/>
      <c r="B5" s="1955"/>
      <c r="C5" s="1955"/>
      <c r="D5" s="1753"/>
      <c r="E5" s="1753"/>
      <c r="F5" s="1753"/>
      <c r="G5" s="1753"/>
      <c r="J5" s="1956"/>
    </row>
    <row r="6" spans="1:10" ht="21" x14ac:dyDescent="0.35">
      <c r="A6" s="2362" t="s">
        <v>4061</v>
      </c>
      <c r="G6" s="1310" t="s">
        <v>3543</v>
      </c>
      <c r="J6" s="1957"/>
    </row>
    <row r="7" spans="1:10" ht="18.75" x14ac:dyDescent="0.3">
      <c r="A7" s="585" t="s">
        <v>3974</v>
      </c>
      <c r="B7" s="254" t="str">
        <f>IF(LEN('Ch5'!H9)=0,"",'Ch5'!H9)</f>
        <v/>
      </c>
      <c r="C7" s="254" t="str">
        <f>IF(LEN(B7)=0,IF(A7="P","P",""),B7)</f>
        <v>P</v>
      </c>
      <c r="D7" s="1385" t="s">
        <v>737</v>
      </c>
      <c r="E7" s="1385"/>
      <c r="F7" s="1385"/>
      <c r="G7" s="1311"/>
      <c r="H7" s="968"/>
      <c r="I7" s="23"/>
      <c r="J7" s="1204"/>
    </row>
    <row r="8" spans="1:10" x14ac:dyDescent="0.25">
      <c r="B8" s="254" t="str">
        <f>IF(LEN('Ch5'!H10)=0,"",'Ch5'!H10)</f>
        <v/>
      </c>
      <c r="C8" s="254" t="str">
        <f t="shared" ref="C8:C71" si="0">IF(LEN(B8)=0,IF(A8="P","P",""),B8)</f>
        <v/>
      </c>
      <c r="D8" s="667" t="s">
        <v>254</v>
      </c>
      <c r="E8" s="667"/>
      <c r="F8" s="667"/>
      <c r="G8" s="1782" t="s">
        <v>4116</v>
      </c>
      <c r="H8" s="94"/>
      <c r="J8" s="1204"/>
    </row>
    <row r="9" spans="1:10" x14ac:dyDescent="0.25">
      <c r="B9" s="254" t="str">
        <f>IF(LEN('Ch5'!H11)=0,"",'Ch5'!H11)</f>
        <v/>
      </c>
      <c r="C9" s="254" t="str">
        <f t="shared" si="0"/>
        <v/>
      </c>
      <c r="D9" s="667"/>
      <c r="E9" s="667"/>
      <c r="F9" s="667"/>
      <c r="G9" s="1782"/>
      <c r="H9" s="94"/>
      <c r="J9" s="1204"/>
    </row>
    <row r="10" spans="1:10" x14ac:dyDescent="0.25">
      <c r="B10" s="254" t="str">
        <f>IF(LEN('Ch5'!H12)=0,"",'Ch5'!H12)</f>
        <v/>
      </c>
      <c r="C10" s="254" t="str">
        <f t="shared" si="0"/>
        <v/>
      </c>
      <c r="D10" s="667"/>
      <c r="E10" s="667"/>
      <c r="F10" s="667"/>
      <c r="G10" s="1782"/>
      <c r="H10" s="94"/>
      <c r="J10" s="1204"/>
    </row>
    <row r="11" spans="1:10" ht="18.75" x14ac:dyDescent="0.25">
      <c r="A11" s="585" t="s">
        <v>3974</v>
      </c>
      <c r="B11" s="254" t="str">
        <f>IF(LEN('Ch5'!H13)=0,"",'Ch5'!H13)</f>
        <v/>
      </c>
      <c r="C11" s="254" t="str">
        <f t="shared" si="0"/>
        <v>P</v>
      </c>
      <c r="D11" s="1385" t="s">
        <v>736</v>
      </c>
      <c r="E11" s="1385"/>
      <c r="F11" s="1385"/>
      <c r="G11" s="1312"/>
      <c r="H11" s="94"/>
      <c r="J11" s="1204"/>
    </row>
    <row r="12" spans="1:10" ht="38.25" x14ac:dyDescent="0.25">
      <c r="A12" s="585" t="str">
        <f>IF(I12&gt;0,"P","")</f>
        <v/>
      </c>
      <c r="B12" s="254" t="str">
        <f>IF(LEN('Ch5'!H14)=0,"",'Ch5'!H14)</f>
        <v/>
      </c>
      <c r="C12" s="254" t="str">
        <f t="shared" si="0"/>
        <v/>
      </c>
      <c r="D12" s="668" t="s">
        <v>255</v>
      </c>
      <c r="E12" s="668"/>
      <c r="F12" s="668"/>
      <c r="G12" s="1233" t="s">
        <v>4900</v>
      </c>
      <c r="H12" s="94"/>
      <c r="I12" s="86">
        <f>'Ch5'!O14</f>
        <v>0</v>
      </c>
      <c r="J12" s="1256" t="s">
        <v>4905</v>
      </c>
    </row>
    <row r="13" spans="1:10" x14ac:dyDescent="0.25">
      <c r="B13" s="254" t="str">
        <f>IF(LEN('Ch5'!H15)=0,"",'Ch5'!H15)</f>
        <v/>
      </c>
      <c r="C13" s="254" t="str">
        <f t="shared" si="0"/>
        <v/>
      </c>
      <c r="D13" s="668"/>
      <c r="E13" s="684" t="s">
        <v>256</v>
      </c>
      <c r="F13" s="684"/>
      <c r="G13" s="1247" t="s">
        <v>4901</v>
      </c>
      <c r="H13" s="1313" t="str">
        <f>IF(LEN('Ch5'!W15)=0,"",'Ch5'!W15)</f>
        <v/>
      </c>
      <c r="J13" s="1204"/>
    </row>
    <row r="14" spans="1:10" x14ac:dyDescent="0.25">
      <c r="A14" s="2363" t="str">
        <f>IF(COUNTIF(A15:A17,"P")&gt;0,"P","")</f>
        <v/>
      </c>
      <c r="B14" s="254" t="str">
        <f>IF(LEN('Ch5'!H16)=0,"",'Ch5'!H16)</f>
        <v/>
      </c>
      <c r="C14" s="254" t="str">
        <f t="shared" si="0"/>
        <v/>
      </c>
      <c r="D14" s="668"/>
      <c r="E14" s="693" t="s">
        <v>258</v>
      </c>
      <c r="F14" s="668"/>
      <c r="G14" s="1231" t="s">
        <v>4902</v>
      </c>
      <c r="H14" s="94"/>
      <c r="J14" s="1204"/>
    </row>
    <row r="15" spans="1:10" x14ac:dyDescent="0.25">
      <c r="A15" s="585" t="str">
        <f>IF(AND(LEN(H15)&gt;0,NOT(H15=FALSE)),"P","")</f>
        <v/>
      </c>
      <c r="B15" s="254" t="str">
        <f>IF(LEN('Ch5'!H17)=0,"",'Ch5'!H17)</f>
        <v/>
      </c>
      <c r="C15" s="254" t="str">
        <f t="shared" si="0"/>
        <v/>
      </c>
      <c r="D15" s="668"/>
      <c r="F15" s="684" t="s">
        <v>121</v>
      </c>
      <c r="G15" s="1215" t="s">
        <v>257</v>
      </c>
      <c r="H15" s="1313" t="str">
        <f>IF(LEN('Ch5'!W17)=0,"",'Ch5'!W17)</f>
        <v/>
      </c>
      <c r="J15" s="1950" t="s">
        <v>4906</v>
      </c>
    </row>
    <row r="16" spans="1:10" x14ac:dyDescent="0.25">
      <c r="A16" s="585" t="str">
        <f>IF(AND(LEN(H16)&gt;0,NOT(H16=FALSE)),"P","")</f>
        <v/>
      </c>
      <c r="B16" s="254" t="str">
        <f>IF(LEN('Ch5'!H18)=0,"",'Ch5'!H18)</f>
        <v/>
      </c>
      <c r="C16" s="254" t="str">
        <f t="shared" si="0"/>
        <v/>
      </c>
      <c r="D16" s="668"/>
      <c r="F16" s="691" t="s">
        <v>122</v>
      </c>
      <c r="G16" s="1215" t="s">
        <v>259</v>
      </c>
      <c r="H16" s="1313" t="str">
        <f>IF(LEN('Ch5'!W18)=0,"",'Ch5'!W18)</f>
        <v/>
      </c>
      <c r="J16" s="1954"/>
    </row>
    <row r="17" spans="1:10" ht="15.75" thickBot="1" x14ac:dyDescent="0.3">
      <c r="A17" s="585" t="str">
        <f>IF(AND(LEN(H17)&gt;0,NOT(H17=FALSE)),"P","")</f>
        <v/>
      </c>
      <c r="B17" s="254" t="str">
        <f>IF(LEN('Ch5'!H19)=0,"",'Ch5'!H19)</f>
        <v/>
      </c>
      <c r="C17" s="254" t="str">
        <f t="shared" si="0"/>
        <v/>
      </c>
      <c r="D17" s="673"/>
      <c r="E17" s="1386"/>
      <c r="F17" s="690" t="s">
        <v>123</v>
      </c>
      <c r="G17" s="1229" t="s">
        <v>261</v>
      </c>
      <c r="H17" s="1313" t="str">
        <f>IF(LEN('Ch5'!W19)=0,"",'Ch5'!W19)</f>
        <v/>
      </c>
      <c r="J17" s="1951"/>
    </row>
    <row r="18" spans="1:10" ht="15.75" thickTop="1" x14ac:dyDescent="0.25">
      <c r="A18" s="585" t="str">
        <f ca="1">IF(I18&gt;0,"P","")</f>
        <v/>
      </c>
      <c r="B18" s="254" t="str">
        <f>IF(LEN('Ch5'!H20)=0,"",'Ch5'!H20)</f>
        <v/>
      </c>
      <c r="C18" s="254" t="str">
        <f t="shared" ca="1" si="0"/>
        <v/>
      </c>
      <c r="D18" s="667" t="s">
        <v>264</v>
      </c>
      <c r="E18" s="667"/>
      <c r="F18" s="667"/>
      <c r="G18" s="1782" t="s">
        <v>265</v>
      </c>
      <c r="H18" s="94"/>
      <c r="I18" s="706">
        <f ca="1">SUM(I20:I54)</f>
        <v>0</v>
      </c>
      <c r="J18" s="1204"/>
    </row>
    <row r="19" spans="1:10" x14ac:dyDescent="0.25">
      <c r="A19" s="585" t="str">
        <f ca="1">A18</f>
        <v/>
      </c>
      <c r="B19" s="254" t="str">
        <f>IF(LEN('Ch5'!H21)=0,"",'Ch5'!H21)</f>
        <v/>
      </c>
      <c r="C19" s="254" t="str">
        <f t="shared" ca="1" si="0"/>
        <v/>
      </c>
      <c r="D19" s="667"/>
      <c r="E19" s="667"/>
      <c r="F19" s="667"/>
      <c r="G19" s="1782"/>
      <c r="H19" s="94"/>
      <c r="J19" s="1204"/>
    </row>
    <row r="20" spans="1:10" x14ac:dyDescent="0.25">
      <c r="A20" s="585" t="str">
        <f>IF(I20&gt;0,"P","")</f>
        <v/>
      </c>
      <c r="B20" s="254" t="str">
        <f>IF(LEN('Ch5'!H22)=0,"",'Ch5'!H22)</f>
        <v/>
      </c>
      <c r="C20" s="254" t="str">
        <f t="shared" si="0"/>
        <v/>
      </c>
      <c r="D20" s="667"/>
      <c r="E20" s="668" t="s">
        <v>256</v>
      </c>
      <c r="F20" s="668"/>
      <c r="G20" s="1793" t="s">
        <v>266</v>
      </c>
      <c r="H20" s="1313" t="str">
        <f>IF(LEN('Ch5'!W22)=0,"",'Ch5'!W22)</f>
        <v/>
      </c>
      <c r="I20" s="86">
        <f>'Ch5'!O22</f>
        <v>0</v>
      </c>
      <c r="J20" s="1204" t="s">
        <v>4907</v>
      </c>
    </row>
    <row r="21" spans="1:10" x14ac:dyDescent="0.25">
      <c r="A21" s="585" t="str">
        <f>A20</f>
        <v/>
      </c>
      <c r="B21" s="254" t="str">
        <f>IF(LEN('Ch5'!H23)=0,"",'Ch5'!H23)</f>
        <v/>
      </c>
      <c r="C21" s="254" t="str">
        <f t="shared" si="0"/>
        <v/>
      </c>
      <c r="D21" s="667"/>
      <c r="E21" s="684"/>
      <c r="F21" s="684"/>
      <c r="G21" s="1761"/>
      <c r="H21" s="94"/>
      <c r="J21" s="1204"/>
    </row>
    <row r="22" spans="1:10" x14ac:dyDescent="0.25">
      <c r="A22" s="585" t="str">
        <f>IF(I22&gt;0,"P","")</f>
        <v/>
      </c>
      <c r="B22" s="254" t="str">
        <f>IF(LEN('Ch5'!H24)=0,"",'Ch5'!H24)</f>
        <v/>
      </c>
      <c r="C22" s="254" t="str">
        <f t="shared" si="0"/>
        <v/>
      </c>
      <c r="D22" s="667"/>
      <c r="E22" s="668" t="s">
        <v>258</v>
      </c>
      <c r="F22" s="668"/>
      <c r="G22" s="1754" t="s">
        <v>267</v>
      </c>
      <c r="H22" s="1313" t="str">
        <f>IF(LEN('Ch5'!W24)=0,"",'Ch5'!W24)</f>
        <v/>
      </c>
      <c r="I22" s="86">
        <f>'Ch5'!O24</f>
        <v>0</v>
      </c>
      <c r="J22" s="1950" t="s">
        <v>4908</v>
      </c>
    </row>
    <row r="23" spans="1:10" x14ac:dyDescent="0.25">
      <c r="A23" s="585" t="str">
        <f>A22</f>
        <v/>
      </c>
      <c r="B23" s="254" t="str">
        <f>IF(LEN('Ch5'!H25)=0,"",'Ch5'!H25)</f>
        <v/>
      </c>
      <c r="C23" s="254" t="str">
        <f t="shared" si="0"/>
        <v/>
      </c>
      <c r="D23" s="667"/>
      <c r="E23" s="684"/>
      <c r="F23" s="684"/>
      <c r="G23" s="1755"/>
      <c r="H23" s="94"/>
      <c r="J23" s="1951"/>
    </row>
    <row r="24" spans="1:10" x14ac:dyDescent="0.25">
      <c r="A24" s="585" t="str">
        <f>IF(I24&gt;0,"P","")</f>
        <v/>
      </c>
      <c r="B24" s="254" t="str">
        <f>IF(LEN('Ch5'!H26)=0,"",'Ch5'!H26)</f>
        <v/>
      </c>
      <c r="C24" s="254" t="str">
        <f t="shared" si="0"/>
        <v/>
      </c>
      <c r="D24" s="667"/>
      <c r="E24" s="668" t="s">
        <v>260</v>
      </c>
      <c r="F24" s="668"/>
      <c r="G24" s="1793" t="s">
        <v>268</v>
      </c>
      <c r="H24" s="1313" t="str">
        <f>IF(LEN('Ch5'!W26)=0,"",'Ch5'!W26)</f>
        <v/>
      </c>
      <c r="I24" s="86">
        <f>'Ch5'!O26</f>
        <v>0</v>
      </c>
      <c r="J24" s="1950" t="s">
        <v>4909</v>
      </c>
    </row>
    <row r="25" spans="1:10" x14ac:dyDescent="0.25">
      <c r="A25" s="585" t="str">
        <f>A24</f>
        <v/>
      </c>
      <c r="B25" s="254" t="str">
        <f>IF(LEN('Ch5'!H27)=0,"",'Ch5'!H27)</f>
        <v/>
      </c>
      <c r="C25" s="254" t="str">
        <f t="shared" si="0"/>
        <v/>
      </c>
      <c r="D25" s="667"/>
      <c r="E25" s="684"/>
      <c r="F25" s="684"/>
      <c r="G25" s="1761"/>
      <c r="H25" s="94"/>
      <c r="J25" s="1951"/>
    </row>
    <row r="26" spans="1:10" x14ac:dyDescent="0.25">
      <c r="A26" s="585" t="str">
        <f>IF(I26&gt;0,"P","")</f>
        <v/>
      </c>
      <c r="B26" s="254" t="str">
        <f>IF(LEN('Ch5'!H28)=0,"",'Ch5'!H28)</f>
        <v/>
      </c>
      <c r="C26" s="254" t="str">
        <f t="shared" si="0"/>
        <v/>
      </c>
      <c r="D26" s="667"/>
      <c r="E26" s="668" t="s">
        <v>269</v>
      </c>
      <c r="F26" s="668"/>
      <c r="G26" s="1754" t="s">
        <v>270</v>
      </c>
      <c r="H26" s="1313" t="str">
        <f>IF(LEN('Ch5'!W28)=0,"",'Ch5'!W28)</f>
        <v/>
      </c>
      <c r="I26" s="86">
        <f>'Ch5'!O28</f>
        <v>0</v>
      </c>
      <c r="J26" s="1950" t="s">
        <v>4910</v>
      </c>
    </row>
    <row r="27" spans="1:10" x14ac:dyDescent="0.25">
      <c r="A27" s="585" t="str">
        <f>A26</f>
        <v/>
      </c>
      <c r="B27" s="254" t="str">
        <f>IF(LEN('Ch5'!H29)=0,"",'Ch5'!H29)</f>
        <v/>
      </c>
      <c r="C27" s="254" t="str">
        <f t="shared" si="0"/>
        <v/>
      </c>
      <c r="D27" s="667"/>
      <c r="E27" s="668"/>
      <c r="F27" s="668"/>
      <c r="G27" s="1754"/>
      <c r="H27" s="94"/>
      <c r="J27" s="1951"/>
    </row>
    <row r="28" spans="1:10" x14ac:dyDescent="0.25">
      <c r="A28" s="585" t="str">
        <f>A27</f>
        <v/>
      </c>
      <c r="B28" s="254" t="str">
        <f>IF(LEN('Ch5'!H30)=0,"",'Ch5'!H30)</f>
        <v/>
      </c>
      <c r="C28" s="254" t="str">
        <f t="shared" si="0"/>
        <v/>
      </c>
      <c r="D28" s="667"/>
      <c r="E28" s="668"/>
      <c r="F28" s="668"/>
      <c r="G28" s="1754"/>
      <c r="H28" s="94"/>
      <c r="J28" s="1204"/>
    </row>
    <row r="29" spans="1:10" x14ac:dyDescent="0.25">
      <c r="A29" s="585" t="str">
        <f>A28</f>
        <v/>
      </c>
      <c r="B29" s="254" t="str">
        <f>IF(LEN('Ch5'!H31)=0,"",'Ch5'!H31)</f>
        <v/>
      </c>
      <c r="C29" s="254" t="str">
        <f t="shared" si="0"/>
        <v/>
      </c>
      <c r="D29" s="667"/>
      <c r="E29" s="668"/>
      <c r="F29" s="668"/>
      <c r="G29" s="1754"/>
      <c r="H29" s="94"/>
      <c r="J29" s="1204"/>
    </row>
    <row r="30" spans="1:10" ht="15" customHeight="1" x14ac:dyDescent="0.25">
      <c r="B30" s="254" t="str">
        <f>IF(LEN('Ch5'!H32)=0,"",'Ch5'!H32)</f>
        <v/>
      </c>
      <c r="C30" s="254" t="str">
        <f t="shared" si="0"/>
        <v/>
      </c>
      <c r="D30" s="667"/>
      <c r="E30" s="668"/>
      <c r="F30" s="668"/>
      <c r="G30" s="1225" t="s">
        <v>271</v>
      </c>
      <c r="H30" s="94"/>
      <c r="J30" s="1204"/>
    </row>
    <row r="31" spans="1:10" x14ac:dyDescent="0.25">
      <c r="B31" s="254" t="str">
        <f>IF(LEN('Ch5'!H33)=0,"",'Ch5'!H33)</f>
        <v/>
      </c>
      <c r="C31" s="254" t="str">
        <f t="shared" si="0"/>
        <v/>
      </c>
      <c r="D31" s="667"/>
      <c r="E31" s="668"/>
      <c r="F31" s="668"/>
      <c r="G31" s="1225" t="s">
        <v>272</v>
      </c>
      <c r="H31" s="94"/>
      <c r="J31" s="1204"/>
    </row>
    <row r="32" spans="1:10" x14ac:dyDescent="0.25">
      <c r="B32" s="254" t="str">
        <f>IF(LEN('Ch5'!H34)=0,"",'Ch5'!H34)</f>
        <v/>
      </c>
      <c r="C32" s="254" t="str">
        <f t="shared" si="0"/>
        <v/>
      </c>
      <c r="D32" s="667"/>
      <c r="E32" s="668"/>
      <c r="F32" s="668"/>
      <c r="G32" s="1225" t="s">
        <v>273</v>
      </c>
      <c r="H32" s="94"/>
      <c r="J32" s="1204"/>
    </row>
    <row r="33" spans="1:10" x14ac:dyDescent="0.25">
      <c r="B33" s="254" t="str">
        <f>IF(LEN('Ch5'!H35)=0,"",'Ch5'!H35)</f>
        <v/>
      </c>
      <c r="C33" s="254" t="str">
        <f t="shared" si="0"/>
        <v/>
      </c>
      <c r="D33" s="667"/>
      <c r="E33" s="668"/>
      <c r="F33" s="668"/>
      <c r="G33" s="1225" t="s">
        <v>274</v>
      </c>
      <c r="H33" s="94"/>
      <c r="J33" s="1204"/>
    </row>
    <row r="34" spans="1:10" x14ac:dyDescent="0.25">
      <c r="B34" s="254" t="str">
        <f>IF(LEN('Ch5'!H36)=0,"",'Ch5'!H36)</f>
        <v/>
      </c>
      <c r="C34" s="254" t="str">
        <f t="shared" si="0"/>
        <v/>
      </c>
      <c r="D34" s="667"/>
      <c r="E34" s="684"/>
      <c r="F34" s="684"/>
      <c r="G34" s="1314" t="s">
        <v>284</v>
      </c>
      <c r="H34" s="94"/>
      <c r="J34" s="1204"/>
    </row>
    <row r="35" spans="1:10" x14ac:dyDescent="0.25">
      <c r="A35" s="585" t="str">
        <f ca="1">IF(I35&gt;0,"P","")</f>
        <v/>
      </c>
      <c r="B35" s="254" t="str">
        <f>IF(LEN('Ch5'!H37)=0,"",'Ch5'!H37)</f>
        <v/>
      </c>
      <c r="C35" s="254" t="str">
        <f t="shared" ca="1" si="0"/>
        <v/>
      </c>
      <c r="G35" s="1817" t="s">
        <v>4117</v>
      </c>
      <c r="H35" s="94"/>
      <c r="I35" s="706">
        <f ca="1">SUM(I36)</f>
        <v>0</v>
      </c>
      <c r="J35" s="1204"/>
    </row>
    <row r="36" spans="1:10" x14ac:dyDescent="0.25">
      <c r="A36" s="585" t="str">
        <f ca="1">IF(I36&gt;0,"P","")</f>
        <v/>
      </c>
      <c r="B36" s="254" t="str">
        <f>IF(LEN('Ch5'!H38)=0,"",'Ch5'!H38)</f>
        <v/>
      </c>
      <c r="C36" s="254" t="str">
        <f t="shared" ca="1" si="0"/>
        <v/>
      </c>
      <c r="G36" s="1793"/>
      <c r="H36" s="1313" t="str">
        <f>IF(LEN('Ch5'!W38)=0,"",'Ch5'!W38)</f>
        <v/>
      </c>
      <c r="I36" s="86">
        <f ca="1">'Ch5'!O38</f>
        <v>0</v>
      </c>
      <c r="J36" s="1950" t="s">
        <v>4911</v>
      </c>
    </row>
    <row r="37" spans="1:10" x14ac:dyDescent="0.25">
      <c r="A37" s="585" t="str">
        <f ca="1">A36</f>
        <v/>
      </c>
      <c r="B37" s="254" t="str">
        <f>IF(LEN('Ch5'!H39)=0,"",'Ch5'!H39)</f>
        <v/>
      </c>
      <c r="C37" s="254" t="str">
        <f t="shared" ca="1" si="0"/>
        <v/>
      </c>
      <c r="G37" s="1793"/>
      <c r="H37" s="94"/>
      <c r="J37" s="1952"/>
    </row>
    <row r="38" spans="1:10" x14ac:dyDescent="0.25">
      <c r="A38" s="585" t="str">
        <f ca="1">A37</f>
        <v/>
      </c>
      <c r="B38" s="254" t="str">
        <f>IF(LEN('Ch5'!H40)=0,"",'Ch5'!H40)</f>
        <v/>
      </c>
      <c r="C38" s="254" t="str">
        <f t="shared" ca="1" si="0"/>
        <v/>
      </c>
      <c r="G38" s="1793"/>
      <c r="H38" s="94"/>
      <c r="J38" s="1952"/>
    </row>
    <row r="39" spans="1:10" x14ac:dyDescent="0.25">
      <c r="A39" s="585" t="str">
        <f ca="1">A38</f>
        <v/>
      </c>
      <c r="B39" s="254" t="str">
        <f>IF(LEN('Ch5'!H41)=0,"",'Ch5'!H41)</f>
        <v/>
      </c>
      <c r="C39" s="254" t="str">
        <f t="shared" ca="1" si="0"/>
        <v/>
      </c>
      <c r="F39" s="667" t="s">
        <v>121</v>
      </c>
      <c r="G39" s="1216" t="s">
        <v>4118</v>
      </c>
      <c r="H39" s="94"/>
      <c r="J39" s="1952"/>
    </row>
    <row r="40" spans="1:10" x14ac:dyDescent="0.25">
      <c r="A40" s="585" t="str">
        <f ca="1">A39</f>
        <v/>
      </c>
      <c r="B40" s="254" t="str">
        <f>IF(LEN('Ch5'!H42)=0,"",'Ch5'!H42)</f>
        <v/>
      </c>
      <c r="C40" s="254" t="str">
        <f t="shared" ca="1" si="0"/>
        <v/>
      </c>
      <c r="E40" s="1387"/>
      <c r="F40" s="684" t="s">
        <v>122</v>
      </c>
      <c r="G40" s="1217" t="s">
        <v>4119</v>
      </c>
      <c r="H40" s="94"/>
      <c r="J40" s="1953"/>
    </row>
    <row r="41" spans="1:10" x14ac:dyDescent="0.25">
      <c r="A41" s="585" t="str">
        <f>IF(I41&gt;0,"P","")</f>
        <v/>
      </c>
      <c r="B41" s="254" t="str">
        <f>IF(LEN('Ch5'!H43)=0,"",'Ch5'!H43)</f>
        <v/>
      </c>
      <c r="C41" s="254" t="str">
        <f t="shared" si="0"/>
        <v/>
      </c>
      <c r="D41" s="667"/>
      <c r="E41" s="668" t="s">
        <v>275</v>
      </c>
      <c r="F41" s="668"/>
      <c r="G41" s="1754" t="s">
        <v>276</v>
      </c>
      <c r="H41" s="1313" t="str">
        <f>IF(LEN('Ch5'!W43)=0,"",'Ch5'!W43)</f>
        <v/>
      </c>
      <c r="I41" s="86">
        <f>'Ch5'!O43</f>
        <v>0</v>
      </c>
      <c r="J41" s="1204" t="s">
        <v>3878</v>
      </c>
    </row>
    <row r="42" spans="1:10" x14ac:dyDescent="0.25">
      <c r="A42" s="585" t="str">
        <f>A41</f>
        <v/>
      </c>
      <c r="B42" s="254" t="str">
        <f>IF(LEN('Ch5'!H44)=0,"",'Ch5'!H44)</f>
        <v/>
      </c>
      <c r="C42" s="254" t="str">
        <f t="shared" si="0"/>
        <v/>
      </c>
      <c r="D42" s="667"/>
      <c r="E42" s="668"/>
      <c r="F42" s="668"/>
      <c r="G42" s="1754"/>
      <c r="H42" s="94"/>
      <c r="J42" s="1204"/>
    </row>
    <row r="43" spans="1:10" x14ac:dyDescent="0.25">
      <c r="A43" s="585" t="str">
        <f>A42</f>
        <v/>
      </c>
      <c r="B43" s="254" t="str">
        <f>IF(LEN('Ch5'!H45)=0,"",'Ch5'!H45)</f>
        <v/>
      </c>
      <c r="C43" s="254" t="str">
        <f t="shared" si="0"/>
        <v/>
      </c>
      <c r="D43" s="667"/>
      <c r="E43" s="684"/>
      <c r="F43" s="684"/>
      <c r="G43" s="1755"/>
      <c r="H43" s="94"/>
      <c r="J43" s="1204"/>
    </row>
    <row r="44" spans="1:10" x14ac:dyDescent="0.25">
      <c r="A44" s="585" t="str">
        <f ca="1">IF(I44&gt;0,"P","")</f>
        <v/>
      </c>
      <c r="B44" s="254" t="str">
        <f>IF(LEN('Ch5'!H46)=0,"",'Ch5'!H46)</f>
        <v/>
      </c>
      <c r="C44" s="254" t="str">
        <f t="shared" ca="1" si="0"/>
        <v/>
      </c>
      <c r="D44" s="667"/>
      <c r="E44" s="667" t="s">
        <v>277</v>
      </c>
      <c r="F44" s="667"/>
      <c r="G44" s="1754" t="s">
        <v>278</v>
      </c>
      <c r="H44" s="1313" t="str">
        <f>IF(LEN('Ch5'!W46)=0,"",'Ch5'!W46)</f>
        <v/>
      </c>
      <c r="I44" s="86">
        <f ca="1">'Ch5'!O46</f>
        <v>0</v>
      </c>
      <c r="J44" s="1204" t="s">
        <v>4912</v>
      </c>
    </row>
    <row r="45" spans="1:10" x14ac:dyDescent="0.25">
      <c r="A45" s="585" t="str">
        <f ca="1">A44</f>
        <v/>
      </c>
      <c r="B45" s="254" t="str">
        <f>IF(LEN('Ch5'!H47)=0,"",'Ch5'!H47)</f>
        <v/>
      </c>
      <c r="C45" s="254" t="str">
        <f t="shared" ca="1" si="0"/>
        <v/>
      </c>
      <c r="D45" s="667"/>
      <c r="E45" s="667"/>
      <c r="F45" s="667"/>
      <c r="G45" s="1754"/>
      <c r="H45" s="94"/>
      <c r="J45" s="1204"/>
    </row>
    <row r="46" spans="1:10" x14ac:dyDescent="0.25">
      <c r="B46" s="254" t="str">
        <f>IF(LEN('Ch5'!H48)=0,"",'Ch5'!H48)</f>
        <v/>
      </c>
      <c r="C46" s="254" t="str">
        <f t="shared" si="0"/>
        <v/>
      </c>
      <c r="D46" s="667"/>
      <c r="E46" s="667"/>
      <c r="F46" s="667" t="s">
        <v>121</v>
      </c>
      <c r="G46" s="1225" t="s">
        <v>279</v>
      </c>
      <c r="H46" s="94"/>
      <c r="J46" s="1204"/>
    </row>
    <row r="47" spans="1:10" x14ac:dyDescent="0.25">
      <c r="B47" s="254" t="str">
        <f>IF(LEN('Ch5'!H49)=0,"",'Ch5'!H49)</f>
        <v/>
      </c>
      <c r="C47" s="254" t="str">
        <f t="shared" si="0"/>
        <v/>
      </c>
      <c r="D47" s="667"/>
      <c r="E47" s="667"/>
      <c r="F47" s="667" t="s">
        <v>122</v>
      </c>
      <c r="G47" s="1225" t="s">
        <v>280</v>
      </c>
      <c r="H47" s="94"/>
      <c r="J47" s="1204"/>
    </row>
    <row r="48" spans="1:10" x14ac:dyDescent="0.25">
      <c r="B48" s="254" t="str">
        <f>IF(LEN('Ch5'!H50)=0,"",'Ch5'!H50)</f>
        <v/>
      </c>
      <c r="C48" s="254" t="str">
        <f t="shared" si="0"/>
        <v/>
      </c>
      <c r="D48" s="667"/>
      <c r="E48" s="667"/>
      <c r="F48" s="685" t="s">
        <v>123</v>
      </c>
      <c r="G48" s="1225" t="s">
        <v>281</v>
      </c>
      <c r="H48" s="94"/>
      <c r="J48" s="1204"/>
    </row>
    <row r="49" spans="1:10" x14ac:dyDescent="0.25">
      <c r="B49" s="254" t="str">
        <f>IF(LEN('Ch5'!H51)=0,"",'Ch5'!H51)</f>
        <v/>
      </c>
      <c r="C49" s="254" t="str">
        <f t="shared" si="0"/>
        <v/>
      </c>
      <c r="F49" s="685" t="s">
        <v>401</v>
      </c>
      <c r="G49" s="1765" t="s">
        <v>4120</v>
      </c>
      <c r="H49" s="1313" t="str">
        <f>IF(LEN('Ch5'!W51)=0,"",'Ch5'!W51)</f>
        <v/>
      </c>
      <c r="I49" s="86">
        <f ca="1">'Ch5'!O51</f>
        <v>0</v>
      </c>
      <c r="J49" s="1204"/>
    </row>
    <row r="50" spans="1:10" x14ac:dyDescent="0.25">
      <c r="B50" s="254" t="str">
        <f>IF(LEN('Ch5'!H52)=0,"",'Ch5'!H52)</f>
        <v/>
      </c>
      <c r="C50" s="254" t="str">
        <f t="shared" si="0"/>
        <v/>
      </c>
      <c r="G50" s="1765"/>
      <c r="H50" s="94"/>
      <c r="J50" s="1204"/>
    </row>
    <row r="51" spans="1:10" x14ac:dyDescent="0.25">
      <c r="A51" s="585" t="str">
        <f>IF(I51&gt;0,"P","")</f>
        <v/>
      </c>
      <c r="B51" s="254" t="str">
        <f>IF(LEN('Ch5'!H53)=0,"",'Ch5'!H53)</f>
        <v/>
      </c>
      <c r="C51" s="254" t="str">
        <f t="shared" si="0"/>
        <v/>
      </c>
      <c r="E51" s="693" t="s">
        <v>383</v>
      </c>
      <c r="F51" s="693"/>
      <c r="G51" s="1769" t="s">
        <v>4122</v>
      </c>
      <c r="H51" s="1313" t="str">
        <f>IF(LEN('Ch5'!W53)=0,"",'Ch5'!W53)</f>
        <v/>
      </c>
      <c r="I51" s="86">
        <f>'Ch5'!O53</f>
        <v>0</v>
      </c>
      <c r="J51" s="1950" t="s">
        <v>4913</v>
      </c>
    </row>
    <row r="52" spans="1:10" x14ac:dyDescent="0.25">
      <c r="A52" s="585" t="str">
        <f>A51</f>
        <v/>
      </c>
      <c r="B52" s="254" t="str">
        <f>IF(LEN('Ch5'!H54)=0,"",'Ch5'!H54)</f>
        <v/>
      </c>
      <c r="C52" s="254" t="str">
        <f t="shared" si="0"/>
        <v/>
      </c>
      <c r="E52" s="667"/>
      <c r="F52" s="667"/>
      <c r="G52" s="1765"/>
      <c r="H52" s="94"/>
      <c r="J52" s="1951"/>
    </row>
    <row r="53" spans="1:10" x14ac:dyDescent="0.25">
      <c r="B53" s="254" t="str">
        <f>IF(LEN('Ch5'!H55)=0,"",'Ch5'!H55)</f>
        <v/>
      </c>
      <c r="C53" s="254" t="str">
        <f t="shared" si="0"/>
        <v/>
      </c>
      <c r="E53" s="684"/>
      <c r="F53" s="684"/>
      <c r="G53" s="1314" t="s">
        <v>4125</v>
      </c>
      <c r="H53" s="94"/>
      <c r="J53" s="1204"/>
    </row>
    <row r="54" spans="1:10" ht="51" x14ac:dyDescent="0.25">
      <c r="A54" s="585" t="str">
        <f>IF(I54&gt;0,"P","")</f>
        <v/>
      </c>
      <c r="B54" s="254" t="str">
        <f>IF(LEN('Ch5'!H56)=0,"",'Ch5'!H56)</f>
        <v/>
      </c>
      <c r="C54" s="254" t="str">
        <f t="shared" si="0"/>
        <v/>
      </c>
      <c r="E54" s="693" t="s">
        <v>428</v>
      </c>
      <c r="F54" s="693"/>
      <c r="G54" s="1219" t="s">
        <v>4123</v>
      </c>
      <c r="H54" s="1313" t="str">
        <f>IF(LEN('Ch5'!W56)=0,"",'Ch5'!W56)</f>
        <v/>
      </c>
      <c r="I54" s="86">
        <f>'Ch5'!O56</f>
        <v>0</v>
      </c>
      <c r="J54" s="1204" t="s">
        <v>4914</v>
      </c>
    </row>
    <row r="55" spans="1:10" x14ac:dyDescent="0.25">
      <c r="B55" s="254" t="str">
        <f>IF(LEN('Ch5'!H57)=0,"",'Ch5'!H57)</f>
        <v/>
      </c>
      <c r="C55" s="254" t="str">
        <f t="shared" si="0"/>
        <v/>
      </c>
      <c r="E55" s="667"/>
      <c r="F55" s="667"/>
      <c r="G55" s="1315" t="s">
        <v>4124</v>
      </c>
      <c r="H55" s="94"/>
      <c r="J55" s="1204"/>
    </row>
    <row r="56" spans="1:10" ht="18.75" x14ac:dyDescent="0.25">
      <c r="A56" s="585" t="s">
        <v>3974</v>
      </c>
      <c r="B56" s="254" t="str">
        <f>IF(LEN('Ch5'!H58)=0,"",'Ch5'!H58)</f>
        <v/>
      </c>
      <c r="C56" s="254" t="str">
        <f t="shared" si="0"/>
        <v>P</v>
      </c>
      <c r="D56" s="1388" t="s">
        <v>367</v>
      </c>
      <c r="E56" s="1388"/>
      <c r="F56" s="1388"/>
      <c r="G56" s="1316"/>
      <c r="H56" s="94"/>
      <c r="J56" s="1204"/>
    </row>
    <row r="57" spans="1:10" x14ac:dyDescent="0.25">
      <c r="A57" s="585" t="str">
        <f>IF(I57&gt;0,"P","")</f>
        <v/>
      </c>
      <c r="B57" s="254" t="str">
        <f>IF(LEN('Ch5'!H59)=0,"",'Ch5'!H59)</f>
        <v/>
      </c>
      <c r="C57" s="254" t="str">
        <f t="shared" si="0"/>
        <v/>
      </c>
      <c r="D57" s="139">
        <v>502.1</v>
      </c>
      <c r="E57" s="667"/>
      <c r="F57" s="667"/>
      <c r="G57" s="1782" t="s">
        <v>369</v>
      </c>
      <c r="H57" s="1313" t="str">
        <f>IF(LEN('Ch5'!W59)=0,"",'Ch5'!W59)</f>
        <v/>
      </c>
      <c r="I57" s="86">
        <f>'Ch5'!O59</f>
        <v>0</v>
      </c>
      <c r="J57" s="1950" t="s">
        <v>4915</v>
      </c>
    </row>
    <row r="58" spans="1:10" x14ac:dyDescent="0.25">
      <c r="A58" s="585" t="str">
        <f>A57</f>
        <v/>
      </c>
      <c r="B58" s="254" t="str">
        <f>IF(LEN('Ch5'!H60)=0,"",'Ch5'!H60)</f>
        <v/>
      </c>
      <c r="C58" s="254" t="str">
        <f t="shared" si="0"/>
        <v/>
      </c>
      <c r="D58" s="667"/>
      <c r="E58" s="667"/>
      <c r="F58" s="667"/>
      <c r="G58" s="1782"/>
      <c r="H58" s="94"/>
      <c r="J58" s="1954"/>
    </row>
    <row r="59" spans="1:10" x14ac:dyDescent="0.25">
      <c r="A59" s="585" t="str">
        <f>A58</f>
        <v/>
      </c>
      <c r="B59" s="254" t="str">
        <f>IF(LEN('Ch5'!H61)=0,"",'Ch5'!H61)</f>
        <v/>
      </c>
      <c r="C59" s="254" t="str">
        <f t="shared" si="0"/>
        <v/>
      </c>
      <c r="D59" s="667"/>
      <c r="E59" s="667"/>
      <c r="F59" s="667"/>
      <c r="G59" s="1782"/>
      <c r="H59" s="94"/>
      <c r="J59" s="1954"/>
    </row>
    <row r="60" spans="1:10" x14ac:dyDescent="0.25">
      <c r="A60" s="585" t="str">
        <f>A59</f>
        <v/>
      </c>
      <c r="B60" s="254" t="str">
        <f>IF(LEN('Ch5'!H62)=0,"",'Ch5'!H62)</f>
        <v/>
      </c>
      <c r="C60" s="254" t="str">
        <f t="shared" si="0"/>
        <v/>
      </c>
      <c r="D60" s="667"/>
      <c r="E60" s="667"/>
      <c r="F60" s="667"/>
      <c r="G60" s="1782"/>
      <c r="H60" s="94"/>
      <c r="J60" s="1951"/>
    </row>
    <row r="61" spans="1:10" ht="18.75" x14ac:dyDescent="0.25">
      <c r="A61" s="585" t="s">
        <v>3974</v>
      </c>
      <c r="B61" s="254" t="str">
        <f>IF(LEN('Ch5'!H63)=0,"",'Ch5'!H63)</f>
        <v/>
      </c>
      <c r="C61" s="254" t="str">
        <f t="shared" si="0"/>
        <v>P</v>
      </c>
      <c r="D61" s="1388" t="s">
        <v>371</v>
      </c>
      <c r="E61" s="1385"/>
      <c r="F61" s="1385"/>
      <c r="G61" s="1312"/>
      <c r="H61" s="94"/>
      <c r="J61" s="1204"/>
    </row>
    <row r="62" spans="1:10" x14ac:dyDescent="0.25">
      <c r="B62" s="254" t="str">
        <f>IF(LEN('Ch5'!H64)=0,"",'Ch5'!H64)</f>
        <v/>
      </c>
      <c r="C62" s="254" t="str">
        <f t="shared" si="0"/>
        <v/>
      </c>
      <c r="D62" s="668" t="s">
        <v>372</v>
      </c>
      <c r="E62" s="668"/>
      <c r="F62" s="668"/>
      <c r="G62" s="1782" t="s">
        <v>373</v>
      </c>
      <c r="H62" s="94"/>
      <c r="J62" s="1204"/>
    </row>
    <row r="63" spans="1:10" x14ac:dyDescent="0.25">
      <c r="B63" s="254" t="str">
        <f>IF(LEN('Ch5'!H65)=0,"",'Ch5'!H65)</f>
        <v/>
      </c>
      <c r="C63" s="254" t="str">
        <f t="shared" si="0"/>
        <v/>
      </c>
      <c r="D63" s="668"/>
      <c r="E63" s="668"/>
      <c r="F63" s="668"/>
      <c r="G63" s="1782"/>
      <c r="H63" s="94"/>
      <c r="J63" s="1204"/>
    </row>
    <row r="64" spans="1:10" x14ac:dyDescent="0.25">
      <c r="B64" s="254" t="str">
        <f>IF(LEN('Ch5'!H66)=0,"",'Ch5'!H66)</f>
        <v/>
      </c>
      <c r="C64" s="254" t="str">
        <f t="shared" si="0"/>
        <v/>
      </c>
      <c r="D64" s="668"/>
      <c r="E64" s="668"/>
      <c r="F64" s="668"/>
      <c r="G64" s="1782"/>
      <c r="H64" s="94"/>
      <c r="J64" s="1204"/>
    </row>
    <row r="65" spans="1:10" x14ac:dyDescent="0.25">
      <c r="B65" s="254" t="str">
        <f>IF(LEN('Ch5'!H67)=0,"",'Ch5'!H67)</f>
        <v/>
      </c>
      <c r="C65" s="254" t="str">
        <f t="shared" si="0"/>
        <v/>
      </c>
      <c r="D65" s="668"/>
      <c r="E65" s="668"/>
      <c r="F65" s="668"/>
      <c r="G65" s="1782"/>
      <c r="H65" s="94"/>
      <c r="J65" s="1204"/>
    </row>
    <row r="66" spans="1:10" ht="15.75" thickBot="1" x14ac:dyDescent="0.3">
      <c r="B66" s="254" t="str">
        <f>IF(LEN('Ch5'!H68)=0,"",'Ch5'!H68)</f>
        <v/>
      </c>
      <c r="C66" s="254" t="str">
        <f t="shared" si="0"/>
        <v/>
      </c>
      <c r="D66" s="673"/>
      <c r="E66" s="673"/>
      <c r="F66" s="673"/>
      <c r="G66" s="1241" t="s">
        <v>374</v>
      </c>
      <c r="H66" s="94"/>
      <c r="J66" s="1204"/>
    </row>
    <row r="67" spans="1:10" ht="15" customHeight="1" thickTop="1" x14ac:dyDescent="0.25">
      <c r="A67" s="585" t="str">
        <f>IF(I67&gt;0,"P","")</f>
        <v/>
      </c>
      <c r="B67" s="254" t="str">
        <f>IF(LEN('Ch5'!H69)=0,"",'Ch5'!H69)</f>
        <v/>
      </c>
      <c r="C67" s="254" t="str">
        <f t="shared" si="0"/>
        <v/>
      </c>
      <c r="D67" s="139">
        <v>503.1</v>
      </c>
      <c r="E67" s="1307"/>
      <c r="F67" s="1307"/>
      <c r="G67" s="1252" t="s">
        <v>376</v>
      </c>
      <c r="H67" s="94"/>
      <c r="I67" s="706">
        <f>SUM(I68:I82)</f>
        <v>0</v>
      </c>
      <c r="J67" s="1204" t="s">
        <v>3879</v>
      </c>
    </row>
    <row r="68" spans="1:10" x14ac:dyDescent="0.25">
      <c r="A68" s="585" t="str">
        <f>IF(I68&gt;0,"P","")</f>
        <v/>
      </c>
      <c r="B68" s="254" t="str">
        <f>IF(LEN('Ch5'!H70)=0,"",'Ch5'!H70)</f>
        <v/>
      </c>
      <c r="C68" s="254" t="str">
        <f t="shared" si="0"/>
        <v/>
      </c>
      <c r="D68" s="668"/>
      <c r="E68" s="668" t="s">
        <v>256</v>
      </c>
      <c r="F68" s="668"/>
      <c r="G68" s="1761" t="s">
        <v>377</v>
      </c>
      <c r="H68" s="1313" t="str">
        <f>IF(LEN('Ch5'!W70)=0,"",'Ch5'!W70)</f>
        <v/>
      </c>
      <c r="I68" s="86">
        <f>'Ch5'!O70</f>
        <v>0</v>
      </c>
      <c r="J68" s="1950" t="s">
        <v>4916</v>
      </c>
    </row>
    <row r="69" spans="1:10" x14ac:dyDescent="0.25">
      <c r="A69" s="585" t="str">
        <f>A68</f>
        <v/>
      </c>
      <c r="B69" s="254" t="str">
        <f>IF(LEN('Ch5'!H71)=0,"",'Ch5'!H71)</f>
        <v/>
      </c>
      <c r="C69" s="254" t="str">
        <f t="shared" si="0"/>
        <v/>
      </c>
      <c r="D69" s="668"/>
      <c r="E69" s="684"/>
      <c r="F69" s="684"/>
      <c r="G69" s="1761"/>
      <c r="H69" s="94"/>
      <c r="J69" s="1951"/>
    </row>
    <row r="70" spans="1:10" x14ac:dyDescent="0.25">
      <c r="A70" s="585" t="str">
        <f>IF(I70&gt;0,"P","")</f>
        <v/>
      </c>
      <c r="B70" s="254" t="str">
        <f>IF(LEN('Ch5'!H72)=0,"",'Ch5'!H72)</f>
        <v/>
      </c>
      <c r="C70" s="254" t="str">
        <f t="shared" si="0"/>
        <v/>
      </c>
      <c r="D70" s="668"/>
      <c r="E70" s="668" t="s">
        <v>258</v>
      </c>
      <c r="F70" s="668"/>
      <c r="G70" s="1754" t="s">
        <v>378</v>
      </c>
      <c r="H70" s="1313" t="str">
        <f>IF(LEN('Ch5'!W72)=0,"",'Ch5'!W72)</f>
        <v/>
      </c>
      <c r="I70" s="86">
        <f>'Ch5'!O72</f>
        <v>0</v>
      </c>
      <c r="J70" s="1950" t="s">
        <v>4917</v>
      </c>
    </row>
    <row r="71" spans="1:10" x14ac:dyDescent="0.25">
      <c r="A71" s="585" t="str">
        <f>A70</f>
        <v/>
      </c>
      <c r="B71" s="254" t="str">
        <f>IF(LEN('Ch5'!H73)=0,"",'Ch5'!H73)</f>
        <v/>
      </c>
      <c r="C71" s="254" t="str">
        <f t="shared" si="0"/>
        <v/>
      </c>
      <c r="D71" s="668"/>
      <c r="E71" s="684"/>
      <c r="F71" s="684"/>
      <c r="G71" s="1755"/>
      <c r="H71" s="94"/>
      <c r="J71" s="1951"/>
    </row>
    <row r="72" spans="1:10" x14ac:dyDescent="0.25">
      <c r="A72" s="585" t="str">
        <f>IF(I72&gt;0,"P","")</f>
        <v/>
      </c>
      <c r="B72" s="254" t="str">
        <f>IF(LEN('Ch5'!H74)=0,"",'Ch5'!H74)</f>
        <v/>
      </c>
      <c r="C72" s="254" t="str">
        <f t="shared" ref="C72:C135" si="1">IF(LEN(B72)=0,IF(A72="P","P",""),B72)</f>
        <v/>
      </c>
      <c r="D72" s="668"/>
      <c r="E72" s="668" t="s">
        <v>260</v>
      </c>
      <c r="F72" s="668"/>
      <c r="G72" s="1754" t="s">
        <v>379</v>
      </c>
      <c r="H72" s="1313" t="str">
        <f>IF(LEN('Ch5'!W74)=0,"",'Ch5'!W74)</f>
        <v/>
      </c>
      <c r="I72" s="86">
        <f>'Ch5'!O74</f>
        <v>0</v>
      </c>
      <c r="J72" s="1950" t="s">
        <v>4918</v>
      </c>
    </row>
    <row r="73" spans="1:10" x14ac:dyDescent="0.25">
      <c r="A73" s="585" t="str">
        <f>A72</f>
        <v/>
      </c>
      <c r="B73" s="254" t="str">
        <f>IF(LEN('Ch5'!H75)=0,"",'Ch5'!H75)</f>
        <v/>
      </c>
      <c r="C73" s="254" t="str">
        <f t="shared" si="1"/>
        <v/>
      </c>
      <c r="D73" s="668"/>
      <c r="E73" s="684"/>
      <c r="F73" s="684"/>
      <c r="G73" s="1755"/>
      <c r="H73" s="94"/>
      <c r="J73" s="1951"/>
    </row>
    <row r="74" spans="1:10" x14ac:dyDescent="0.25">
      <c r="A74" s="585" t="str">
        <f>IF(I74&gt;0,"P","")</f>
        <v/>
      </c>
      <c r="B74" s="254" t="str">
        <f>IF(LEN('Ch5'!H76)=0,"",'Ch5'!H76)</f>
        <v/>
      </c>
      <c r="C74" s="254" t="str">
        <f t="shared" si="1"/>
        <v/>
      </c>
      <c r="D74" s="668"/>
      <c r="E74" s="668" t="s">
        <v>269</v>
      </c>
      <c r="F74" s="668"/>
      <c r="G74" s="1760" t="s">
        <v>380</v>
      </c>
      <c r="H74" s="1313" t="str">
        <f>IF(LEN('Ch5'!W76)=0,"",'Ch5'!W76)</f>
        <v/>
      </c>
      <c r="I74" s="86">
        <f>'Ch5'!O76</f>
        <v>0</v>
      </c>
      <c r="J74" s="1950" t="s">
        <v>4919</v>
      </c>
    </row>
    <row r="75" spans="1:10" x14ac:dyDescent="0.25">
      <c r="A75" s="585" t="str">
        <f>A74</f>
        <v/>
      </c>
      <c r="B75" s="254" t="str">
        <f>IF(LEN('Ch5'!H77)=0,"",'Ch5'!H77)</f>
        <v/>
      </c>
      <c r="C75" s="254" t="str">
        <f t="shared" si="1"/>
        <v/>
      </c>
      <c r="D75" s="668"/>
      <c r="E75" s="684"/>
      <c r="F75" s="684"/>
      <c r="G75" s="1761"/>
      <c r="H75" s="94"/>
      <c r="J75" s="1951"/>
    </row>
    <row r="76" spans="1:10" x14ac:dyDescent="0.25">
      <c r="A76" s="585" t="str">
        <f>IF(I76&gt;0,"P","")</f>
        <v/>
      </c>
      <c r="B76" s="254" t="str">
        <f>IF(LEN('Ch5'!H78)=0,"",'Ch5'!H78)</f>
        <v/>
      </c>
      <c r="C76" s="254" t="str">
        <f t="shared" si="1"/>
        <v/>
      </c>
      <c r="D76" s="668"/>
      <c r="E76" s="693" t="s">
        <v>275</v>
      </c>
      <c r="F76" s="693"/>
      <c r="G76" s="1760" t="s">
        <v>381</v>
      </c>
      <c r="H76" s="1313" t="str">
        <f>IF(LEN('Ch5'!W78)=0,"",'Ch5'!W78)</f>
        <v/>
      </c>
      <c r="I76" s="86">
        <f>'Ch5'!O78</f>
        <v>0</v>
      </c>
      <c r="J76" s="1256" t="s">
        <v>3880</v>
      </c>
    </row>
    <row r="77" spans="1:10" x14ac:dyDescent="0.25">
      <c r="A77" s="585" t="str">
        <f>A76</f>
        <v/>
      </c>
      <c r="B77" s="254" t="str">
        <f>IF(LEN('Ch5'!H79)=0,"",'Ch5'!H79)</f>
        <v/>
      </c>
      <c r="C77" s="254" t="str">
        <f t="shared" si="1"/>
        <v/>
      </c>
      <c r="D77" s="668"/>
      <c r="E77" s="684"/>
      <c r="F77" s="684"/>
      <c r="G77" s="1761"/>
      <c r="H77" s="94"/>
      <c r="J77" s="1204"/>
    </row>
    <row r="78" spans="1:10" ht="15" customHeight="1" x14ac:dyDescent="0.25">
      <c r="A78" s="585" t="str">
        <f>IF(I78&gt;0,"P","")</f>
        <v/>
      </c>
      <c r="B78" s="254" t="str">
        <f>IF(LEN('Ch5'!H80)=0,"",'Ch5'!H80)</f>
        <v/>
      </c>
      <c r="C78" s="254" t="str">
        <f t="shared" si="1"/>
        <v/>
      </c>
      <c r="D78" s="668"/>
      <c r="E78" s="668" t="s">
        <v>277</v>
      </c>
      <c r="F78" s="668"/>
      <c r="G78" s="1754" t="s">
        <v>382</v>
      </c>
      <c r="H78" s="1313" t="str">
        <f>IF(LEN('Ch5'!W80)=0,"",'Ch5'!W80)</f>
        <v/>
      </c>
      <c r="I78" s="86">
        <f>'Ch5'!O80</f>
        <v>0</v>
      </c>
      <c r="J78" s="1256" t="s">
        <v>3881</v>
      </c>
    </row>
    <row r="79" spans="1:10" x14ac:dyDescent="0.25">
      <c r="A79" s="585" t="str">
        <f>A78</f>
        <v/>
      </c>
      <c r="B79" s="254" t="str">
        <f>IF(LEN('Ch5'!H81)=0,"",'Ch5'!H81)</f>
        <v/>
      </c>
      <c r="C79" s="254" t="str">
        <f t="shared" si="1"/>
        <v/>
      </c>
      <c r="D79" s="668"/>
      <c r="E79" s="684"/>
      <c r="F79" s="684"/>
      <c r="G79" s="1755"/>
      <c r="H79" s="94"/>
      <c r="J79" s="1204"/>
    </row>
    <row r="80" spans="1:10" x14ac:dyDescent="0.25">
      <c r="A80" s="585" t="str">
        <f>IF(I80&gt;0,"P","")</f>
        <v/>
      </c>
      <c r="B80" s="254" t="str">
        <f>IF(LEN('Ch5'!H82)=0,"",'Ch5'!H82)</f>
        <v/>
      </c>
      <c r="C80" s="254" t="str">
        <f t="shared" si="1"/>
        <v/>
      </c>
      <c r="D80" s="668"/>
      <c r="E80" s="668" t="s">
        <v>383</v>
      </c>
      <c r="F80" s="668"/>
      <c r="G80" s="1754" t="s">
        <v>384</v>
      </c>
      <c r="H80" s="1313" t="str">
        <f>IF(LEN('Ch5'!W82)=0,"",'Ch5'!W82)</f>
        <v/>
      </c>
      <c r="I80" s="86">
        <f>'Ch5'!O82</f>
        <v>0</v>
      </c>
      <c r="J80" s="1204" t="s">
        <v>3882</v>
      </c>
    </row>
    <row r="81" spans="1:10" x14ac:dyDescent="0.25">
      <c r="A81" s="585" t="str">
        <f>A80</f>
        <v/>
      </c>
      <c r="B81" s="254" t="str">
        <f>IF(LEN('Ch5'!H83)=0,"",'Ch5'!H83)</f>
        <v/>
      </c>
      <c r="C81" s="254" t="str">
        <f t="shared" si="1"/>
        <v/>
      </c>
      <c r="D81" s="668"/>
      <c r="E81" s="668"/>
      <c r="F81" s="668"/>
      <c r="G81" s="1754"/>
      <c r="H81" s="94"/>
      <c r="J81" s="1204"/>
    </row>
    <row r="82" spans="1:10" x14ac:dyDescent="0.25">
      <c r="A82" s="585" t="str">
        <f>IF(I82&gt;0,"P","")</f>
        <v/>
      </c>
      <c r="B82" s="254" t="str">
        <f>IF(LEN('Ch5'!H84)=0,"",'Ch5'!H84)</f>
        <v/>
      </c>
      <c r="C82" s="254" t="str">
        <f t="shared" si="1"/>
        <v/>
      </c>
      <c r="E82" s="693" t="s">
        <v>428</v>
      </c>
      <c r="F82" s="693"/>
      <c r="G82" s="1769" t="s">
        <v>4126</v>
      </c>
      <c r="H82" s="1313" t="str">
        <f>IF(LEN('Ch5'!W84)=0,"",'Ch5'!W84)</f>
        <v/>
      </c>
      <c r="I82" s="86">
        <f>'Ch5'!O84</f>
        <v>0</v>
      </c>
      <c r="J82" s="1204" t="s">
        <v>4920</v>
      </c>
    </row>
    <row r="83" spans="1:10" x14ac:dyDescent="0.25">
      <c r="A83" s="585" t="str">
        <f>A82</f>
        <v/>
      </c>
      <c r="B83" s="254" t="str">
        <f>IF(LEN('Ch5'!H85)=0,"",'Ch5'!H85)</f>
        <v/>
      </c>
      <c r="C83" s="254" t="str">
        <f t="shared" si="1"/>
        <v/>
      </c>
      <c r="E83" s="667"/>
      <c r="F83" s="667"/>
      <c r="G83" s="1765"/>
      <c r="H83" s="94"/>
      <c r="J83" s="1204"/>
    </row>
    <row r="84" spans="1:10" x14ac:dyDescent="0.25">
      <c r="A84" s="585" t="str">
        <f>A83</f>
        <v/>
      </c>
      <c r="B84" s="254" t="str">
        <f>IF(LEN('Ch5'!H86)=0,"",'Ch5'!H86)</f>
        <v/>
      </c>
      <c r="C84" s="254" t="str">
        <f t="shared" si="1"/>
        <v/>
      </c>
      <c r="E84" s="667"/>
      <c r="F84" s="667"/>
      <c r="G84" s="1765"/>
      <c r="H84" s="94"/>
      <c r="J84" s="1204"/>
    </row>
    <row r="85" spans="1:10" x14ac:dyDescent="0.25">
      <c r="A85" s="585" t="str">
        <f>A84</f>
        <v/>
      </c>
      <c r="B85" s="254" t="str">
        <f>IF(LEN('Ch5'!H87)=0,"",'Ch5'!H87)</f>
        <v/>
      </c>
      <c r="C85" s="254" t="str">
        <f t="shared" si="1"/>
        <v/>
      </c>
      <c r="E85" s="667"/>
      <c r="F85" s="667"/>
      <c r="G85" s="1765"/>
      <c r="H85" s="94"/>
      <c r="J85" s="1204"/>
    </row>
    <row r="86" spans="1:10" ht="15.75" thickBot="1" x14ac:dyDescent="0.3">
      <c r="A86" s="585" t="str">
        <f>A85</f>
        <v/>
      </c>
      <c r="B86" s="254" t="str">
        <f>IF(LEN('Ch5'!H88)=0,"",'Ch5'!H88)</f>
        <v/>
      </c>
      <c r="C86" s="254" t="str">
        <f t="shared" si="1"/>
        <v/>
      </c>
      <c r="E86" s="673"/>
      <c r="F86" s="673"/>
      <c r="G86" s="1766"/>
      <c r="H86" s="94"/>
      <c r="J86" s="1204"/>
    </row>
    <row r="87" spans="1:10" ht="15" customHeight="1" thickTop="1" x14ac:dyDescent="0.25">
      <c r="A87" s="585" t="str">
        <f ca="1">IF(I87&gt;0,"P","")</f>
        <v/>
      </c>
      <c r="B87" s="254" t="str">
        <f>IF(LEN('Ch5'!H89)=0,"",'Ch5'!H89)</f>
        <v/>
      </c>
      <c r="C87" s="254" t="str">
        <f t="shared" ca="1" si="1"/>
        <v/>
      </c>
      <c r="D87" s="106">
        <v>503.2</v>
      </c>
      <c r="E87" s="682"/>
      <c r="F87" s="682"/>
      <c r="G87" s="1240" t="s">
        <v>386</v>
      </c>
      <c r="H87" s="94"/>
      <c r="I87" s="706">
        <f ca="1">SUM(I89:I99)</f>
        <v>0</v>
      </c>
      <c r="J87" s="1204"/>
    </row>
    <row r="88" spans="1:10" x14ac:dyDescent="0.25">
      <c r="B88" s="254" t="str">
        <f>IF(LEN('Ch5'!H90)=0,"",'Ch5'!H90)</f>
        <v/>
      </c>
      <c r="C88" s="254" t="str">
        <f t="shared" si="1"/>
        <v/>
      </c>
      <c r="D88" s="101"/>
      <c r="E88" s="668"/>
      <c r="F88" s="668"/>
      <c r="G88" s="1315" t="s">
        <v>3380</v>
      </c>
      <c r="H88" s="1313" t="str">
        <f>IF(LEN('Ch5'!W90)=0,"",'Ch5'!W90)</f>
        <v/>
      </c>
      <c r="J88" s="1204"/>
    </row>
    <row r="89" spans="1:10" x14ac:dyDescent="0.25">
      <c r="A89" s="585" t="str">
        <f>IF(I89&gt;0,"P","")</f>
        <v/>
      </c>
      <c r="B89" s="254" t="str">
        <f>IF(LEN('Ch5'!H91)=0,"",'Ch5'!H91)</f>
        <v/>
      </c>
      <c r="C89" s="254" t="str">
        <f t="shared" si="1"/>
        <v/>
      </c>
      <c r="D89" s="668"/>
      <c r="E89" s="684" t="s">
        <v>256</v>
      </c>
      <c r="F89" s="684"/>
      <c r="G89" s="1215" t="s">
        <v>387</v>
      </c>
      <c r="H89" s="1313" t="str">
        <f>IF(LEN('Ch5'!W91)=0,"",'Ch5'!W91)</f>
        <v/>
      </c>
      <c r="I89" s="86">
        <f>'Ch5'!O91</f>
        <v>0</v>
      </c>
      <c r="J89" s="1204" t="s">
        <v>3892</v>
      </c>
    </row>
    <row r="90" spans="1:10" x14ac:dyDescent="0.25">
      <c r="A90" s="585" t="str">
        <f>IF(I90&gt;0,"P","")</f>
        <v/>
      </c>
      <c r="B90" s="254" t="str">
        <f>IF(LEN('Ch5'!H92)=0,"",'Ch5'!H92)</f>
        <v/>
      </c>
      <c r="C90" s="254" t="str">
        <f t="shared" si="1"/>
        <v/>
      </c>
      <c r="D90" s="668"/>
      <c r="E90" s="668" t="s">
        <v>258</v>
      </c>
      <c r="F90" s="668"/>
      <c r="G90" s="1754" t="s">
        <v>388</v>
      </c>
      <c r="H90" s="1313" t="str">
        <f>IF(LEN('Ch5'!W92)=0,"",'Ch5'!W92)</f>
        <v/>
      </c>
      <c r="I90" s="86">
        <f>'Ch5'!O92</f>
        <v>0</v>
      </c>
      <c r="J90" s="1950" t="s">
        <v>4921</v>
      </c>
    </row>
    <row r="91" spans="1:10" x14ac:dyDescent="0.25">
      <c r="A91" s="585" t="str">
        <f>A90</f>
        <v/>
      </c>
      <c r="B91" s="254" t="str">
        <f>IF(LEN('Ch5'!H93)=0,"",'Ch5'!H93)</f>
        <v/>
      </c>
      <c r="C91" s="254" t="str">
        <f t="shared" si="1"/>
        <v/>
      </c>
      <c r="D91" s="668"/>
      <c r="E91" s="684"/>
      <c r="F91" s="684"/>
      <c r="G91" s="1755"/>
      <c r="H91" s="94"/>
      <c r="J91" s="1951"/>
    </row>
    <row r="92" spans="1:10" x14ac:dyDescent="0.25">
      <c r="A92" s="585" t="str">
        <f ca="1">IF(I92&gt;0,"P","")</f>
        <v/>
      </c>
      <c r="B92" s="254" t="str">
        <f>IF(LEN('Ch5'!H94)=0,"",'Ch5'!H94)</f>
        <v/>
      </c>
      <c r="C92" s="254" t="str">
        <f t="shared" ca="1" si="1"/>
        <v/>
      </c>
      <c r="D92" s="668"/>
      <c r="E92" s="668" t="s">
        <v>260</v>
      </c>
      <c r="F92" s="668"/>
      <c r="G92" s="1754" t="s">
        <v>389</v>
      </c>
      <c r="H92" s="1313" t="str">
        <f>IF(LEN('Ch5'!W94)=0,"",'Ch5'!W94)</f>
        <v/>
      </c>
      <c r="I92" s="86">
        <f ca="1">'Ch5'!O94</f>
        <v>0</v>
      </c>
      <c r="J92" s="1204" t="s">
        <v>3883</v>
      </c>
    </row>
    <row r="93" spans="1:10" x14ac:dyDescent="0.25">
      <c r="A93" s="585" t="str">
        <f ca="1">A92</f>
        <v/>
      </c>
      <c r="B93" s="254" t="str">
        <f>IF(LEN('Ch5'!H95)=0,"",'Ch5'!H95)</f>
        <v/>
      </c>
      <c r="C93" s="254" t="str">
        <f t="shared" ca="1" si="1"/>
        <v/>
      </c>
      <c r="D93" s="668"/>
      <c r="E93" s="668"/>
      <c r="F93" s="668"/>
      <c r="G93" s="1754"/>
      <c r="H93" s="94"/>
      <c r="J93" s="1204"/>
    </row>
    <row r="94" spans="1:10" x14ac:dyDescent="0.25">
      <c r="B94" s="254" t="str">
        <f>IF(LEN('Ch5'!H96)=0,"",'Ch5'!H96)</f>
        <v/>
      </c>
      <c r="C94" s="254" t="str">
        <f t="shared" si="1"/>
        <v/>
      </c>
      <c r="D94" s="668"/>
      <c r="E94" s="668"/>
      <c r="F94" s="668" t="s">
        <v>121</v>
      </c>
      <c r="G94" s="1225" t="s">
        <v>767</v>
      </c>
      <c r="H94" s="94"/>
      <c r="J94" s="1204"/>
    </row>
    <row r="95" spans="1:10" x14ac:dyDescent="0.25">
      <c r="B95" s="254" t="str">
        <f>IF(LEN('Ch5'!H97)=0,"",'Ch5'!H97)</f>
        <v/>
      </c>
      <c r="C95" s="254" t="str">
        <f t="shared" si="1"/>
        <v/>
      </c>
      <c r="D95" s="668"/>
      <c r="E95" s="668"/>
      <c r="F95" s="668" t="s">
        <v>122</v>
      </c>
      <c r="G95" s="1225" t="s">
        <v>390</v>
      </c>
      <c r="H95" s="94"/>
      <c r="J95" s="1204"/>
    </row>
    <row r="96" spans="1:10" x14ac:dyDescent="0.25">
      <c r="B96" s="254" t="str">
        <f>IF(LEN('Ch5'!H98)=0,"",'Ch5'!H98)</f>
        <v/>
      </c>
      <c r="C96" s="254" t="str">
        <f t="shared" si="1"/>
        <v/>
      </c>
      <c r="D96" s="668"/>
      <c r="E96" s="684"/>
      <c r="F96" s="688" t="s">
        <v>123</v>
      </c>
      <c r="G96" s="1215" t="s">
        <v>391</v>
      </c>
      <c r="H96" s="94"/>
      <c r="J96" s="1204"/>
    </row>
    <row r="97" spans="1:10" x14ac:dyDescent="0.25">
      <c r="A97" s="585" t="str">
        <f>IF(I97&gt;0,"P","")</f>
        <v/>
      </c>
      <c r="B97" s="254" t="str">
        <f>IF(LEN('Ch5'!H99)=0,"",'Ch5'!H99)</f>
        <v/>
      </c>
      <c r="C97" s="254" t="str">
        <f t="shared" si="1"/>
        <v/>
      </c>
      <c r="D97" s="668"/>
      <c r="E97" s="668" t="s">
        <v>269</v>
      </c>
      <c r="F97" s="668"/>
      <c r="G97" s="1754" t="s">
        <v>392</v>
      </c>
      <c r="H97" s="1313" t="str">
        <f>IF(LEN('Ch5'!W99)=0,"",'Ch5'!W99)</f>
        <v/>
      </c>
      <c r="I97" s="86">
        <f>'Ch5'!O99</f>
        <v>0</v>
      </c>
      <c r="J97" s="1950" t="s">
        <v>4922</v>
      </c>
    </row>
    <row r="98" spans="1:10" x14ac:dyDescent="0.25">
      <c r="A98" s="585" t="str">
        <f>A97</f>
        <v/>
      </c>
      <c r="B98" s="254" t="str">
        <f>IF(LEN('Ch5'!H100)=0,"",'Ch5'!H100)</f>
        <v/>
      </c>
      <c r="C98" s="254" t="str">
        <f t="shared" si="1"/>
        <v/>
      </c>
      <c r="D98" s="668"/>
      <c r="E98" s="684"/>
      <c r="F98" s="684"/>
      <c r="G98" s="1755"/>
      <c r="H98" s="94"/>
      <c r="J98" s="1951"/>
    </row>
    <row r="99" spans="1:10" ht="15.75" thickBot="1" x14ac:dyDescent="0.3">
      <c r="A99" s="585" t="str">
        <f>IF(I99&gt;0,"P","")</f>
        <v/>
      </c>
      <c r="B99" s="254" t="str">
        <f>IF(LEN('Ch5'!H101)=0,"",'Ch5'!H101)</f>
        <v/>
      </c>
      <c r="C99" s="254" t="str">
        <f t="shared" si="1"/>
        <v/>
      </c>
      <c r="D99" s="673"/>
      <c r="E99" s="673" t="s">
        <v>275</v>
      </c>
      <c r="F99" s="673"/>
      <c r="G99" s="1229" t="s">
        <v>393</v>
      </c>
      <c r="H99" s="1313" t="str">
        <f>IF(LEN('Ch5'!W101)=0,"",'Ch5'!W101)</f>
        <v/>
      </c>
      <c r="I99" s="86">
        <f>'Ch5'!O101</f>
        <v>0</v>
      </c>
      <c r="J99" s="1204" t="s">
        <v>3892</v>
      </c>
    </row>
    <row r="100" spans="1:10" ht="15.75" thickTop="1" x14ac:dyDescent="0.25">
      <c r="A100" s="585" t="str">
        <f>IF(I100&gt;0,"P","")</f>
        <v/>
      </c>
      <c r="B100" s="254" t="str">
        <f>IF(LEN('Ch5'!H102)=0,"",'Ch5'!H102)</f>
        <v/>
      </c>
      <c r="C100" s="254" t="str">
        <f t="shared" si="1"/>
        <v/>
      </c>
      <c r="D100" s="106">
        <v>503.3</v>
      </c>
      <c r="E100" s="682"/>
      <c r="F100" s="682"/>
      <c r="G100" s="1781" t="s">
        <v>395</v>
      </c>
      <c r="H100" s="94"/>
      <c r="I100" s="706">
        <f>SUM(I103:I112)</f>
        <v>0</v>
      </c>
      <c r="J100" s="1204"/>
    </row>
    <row r="101" spans="1:10" x14ac:dyDescent="0.25">
      <c r="A101" s="585" t="str">
        <f>A100</f>
        <v/>
      </c>
      <c r="B101" s="254" t="str">
        <f>IF(LEN('Ch5'!H103)=0,"",'Ch5'!H103)</f>
        <v/>
      </c>
      <c r="C101" s="254" t="str">
        <f t="shared" si="1"/>
        <v/>
      </c>
      <c r="D101" s="668"/>
      <c r="E101" s="668"/>
      <c r="F101" s="668"/>
      <c r="G101" s="1782"/>
      <c r="H101" s="94"/>
      <c r="J101" s="1204"/>
    </row>
    <row r="102" spans="1:10" x14ac:dyDescent="0.25">
      <c r="B102" s="254" t="str">
        <f>IF(LEN('Ch5'!H104)=0,"",'Ch5'!H104)</f>
        <v/>
      </c>
      <c r="C102" s="254" t="str">
        <f t="shared" si="1"/>
        <v/>
      </c>
      <c r="D102" s="668"/>
      <c r="E102" s="668"/>
      <c r="F102" s="668"/>
      <c r="G102" s="1315" t="s">
        <v>768</v>
      </c>
      <c r="H102" s="94"/>
      <c r="J102" s="1204"/>
    </row>
    <row r="103" spans="1:10" ht="54" customHeight="1" x14ac:dyDescent="0.25">
      <c r="A103" s="585" t="str">
        <f>IF(I103&gt;0,"P","")</f>
        <v/>
      </c>
      <c r="B103" s="254" t="str">
        <f>IF(LEN('Ch5'!H105)=0,"",'Ch5'!H105)</f>
        <v/>
      </c>
      <c r="C103" s="254" t="str">
        <f t="shared" si="1"/>
        <v/>
      </c>
      <c r="D103" s="668"/>
      <c r="E103" s="668" t="s">
        <v>256</v>
      </c>
      <c r="F103" s="668"/>
      <c r="G103" s="1754" t="s">
        <v>5057</v>
      </c>
      <c r="H103" s="1313" t="str">
        <f>IF(LEN('Ch5'!W105)=0,"",'Ch5'!W105)</f>
        <v/>
      </c>
      <c r="I103" s="86">
        <f>'Ch5'!O105</f>
        <v>0</v>
      </c>
      <c r="J103" s="1950" t="s">
        <v>4923</v>
      </c>
    </row>
    <row r="104" spans="1:10" x14ac:dyDescent="0.25">
      <c r="A104" s="585" t="str">
        <f>A103</f>
        <v/>
      </c>
      <c r="B104" s="254" t="str">
        <f>IF(LEN('Ch5'!H106)=0,"",'Ch5'!H106)</f>
        <v/>
      </c>
      <c r="C104" s="254" t="str">
        <f t="shared" si="1"/>
        <v/>
      </c>
      <c r="D104" s="668"/>
      <c r="E104" s="684"/>
      <c r="F104" s="684"/>
      <c r="G104" s="1755"/>
      <c r="H104" s="94"/>
      <c r="J104" s="1951"/>
    </row>
    <row r="105" spans="1:10" x14ac:dyDescent="0.25">
      <c r="A105" s="585" t="str">
        <f>IF(I105&gt;0,"P","")</f>
        <v/>
      </c>
      <c r="B105" s="254" t="str">
        <f>IF(LEN('Ch5'!H107)=0,"",'Ch5'!H107)</f>
        <v/>
      </c>
      <c r="C105" s="254" t="str">
        <f t="shared" si="1"/>
        <v/>
      </c>
      <c r="D105" s="668"/>
      <c r="E105" s="668" t="s">
        <v>258</v>
      </c>
      <c r="F105" s="668"/>
      <c r="G105" s="1754" t="s">
        <v>397</v>
      </c>
      <c r="H105" s="94"/>
      <c r="I105" s="86">
        <f>'Ch5'!O107</f>
        <v>0</v>
      </c>
      <c r="J105" s="1204" t="s">
        <v>4924</v>
      </c>
    </row>
    <row r="106" spans="1:10" x14ac:dyDescent="0.25">
      <c r="A106" s="585" t="str">
        <f>A105</f>
        <v/>
      </c>
      <c r="B106" s="254" t="str">
        <f>IF(LEN('Ch5'!H108)=0,"",'Ch5'!H108)</f>
        <v/>
      </c>
      <c r="C106" s="254" t="str">
        <f t="shared" si="1"/>
        <v/>
      </c>
      <c r="D106" s="668"/>
      <c r="E106" s="668"/>
      <c r="F106" s="668"/>
      <c r="G106" s="1754"/>
      <c r="H106" s="94"/>
      <c r="J106" s="1204"/>
    </row>
    <row r="107" spans="1:10" x14ac:dyDescent="0.25">
      <c r="B107" s="254" t="str">
        <f>IF(LEN('Ch5'!H109)=0,"",'Ch5'!H109)</f>
        <v/>
      </c>
      <c r="C107" s="254" t="str">
        <f t="shared" si="1"/>
        <v/>
      </c>
      <c r="D107" s="668"/>
      <c r="E107" s="668"/>
      <c r="F107" s="668" t="s">
        <v>121</v>
      </c>
      <c r="G107" s="1225" t="s">
        <v>398</v>
      </c>
      <c r="H107" s="1313" t="str">
        <f>IF(LEN('Ch5'!W109)=0,"",'Ch5'!W109)</f>
        <v/>
      </c>
      <c r="J107" s="1204"/>
    </row>
    <row r="108" spans="1:10" x14ac:dyDescent="0.25">
      <c r="B108" s="254" t="str">
        <f>IF(LEN('Ch5'!H110)=0,"",'Ch5'!H110)</f>
        <v/>
      </c>
      <c r="C108" s="254" t="str">
        <f t="shared" si="1"/>
        <v/>
      </c>
      <c r="D108" s="668"/>
      <c r="E108" s="668"/>
      <c r="F108" s="668" t="s">
        <v>122</v>
      </c>
      <c r="G108" s="1754" t="s">
        <v>399</v>
      </c>
      <c r="H108" s="1313" t="str">
        <f>IF(LEN('Ch5'!W110)=0,"",'Ch5'!W110)</f>
        <v/>
      </c>
      <c r="J108" s="1204"/>
    </row>
    <row r="109" spans="1:10" x14ac:dyDescent="0.25">
      <c r="B109" s="254" t="str">
        <f>IF(LEN('Ch5'!H111)=0,"",'Ch5'!H111)</f>
        <v/>
      </c>
      <c r="C109" s="254" t="str">
        <f t="shared" si="1"/>
        <v/>
      </c>
      <c r="D109" s="668"/>
      <c r="E109" s="668"/>
      <c r="F109" s="668"/>
      <c r="G109" s="1754"/>
      <c r="H109" s="94"/>
      <c r="J109" s="1204"/>
    </row>
    <row r="110" spans="1:10" x14ac:dyDescent="0.25">
      <c r="B110" s="254" t="str">
        <f>IF(LEN('Ch5'!H112)=0,"",'Ch5'!H112)</f>
        <v/>
      </c>
      <c r="C110" s="254" t="str">
        <f t="shared" si="1"/>
        <v/>
      </c>
      <c r="D110" s="668"/>
      <c r="E110" s="668"/>
      <c r="F110" s="689" t="s">
        <v>123</v>
      </c>
      <c r="G110" s="1225" t="s">
        <v>400</v>
      </c>
      <c r="H110" s="1313" t="str">
        <f>IF(LEN('Ch5'!W112)=0,"",'Ch5'!W112)</f>
        <v/>
      </c>
      <c r="J110" s="1204"/>
    </row>
    <row r="111" spans="1:10" x14ac:dyDescent="0.25">
      <c r="B111" s="254" t="str">
        <f>IF(LEN('Ch5'!H113)=0,"",'Ch5'!H113)</f>
        <v/>
      </c>
      <c r="C111" s="254" t="str">
        <f t="shared" si="1"/>
        <v/>
      </c>
      <c r="D111" s="668"/>
      <c r="E111" s="684"/>
      <c r="F111" s="688" t="s">
        <v>401</v>
      </c>
      <c r="G111" s="1215" t="s">
        <v>402</v>
      </c>
      <c r="H111" s="1313" t="str">
        <f>IF(LEN('Ch5'!W113)=0,"",'Ch5'!W113)</f>
        <v/>
      </c>
      <c r="J111" s="1204"/>
    </row>
    <row r="112" spans="1:10" ht="15.75" thickBot="1" x14ac:dyDescent="0.3">
      <c r="A112" s="585" t="str">
        <f>IF(I112&gt;0,"P","")</f>
        <v/>
      </c>
      <c r="B112" s="254" t="str">
        <f>IF(LEN('Ch5'!H114)=0,"",'Ch5'!H114)</f>
        <v/>
      </c>
      <c r="C112" s="254" t="str">
        <f t="shared" si="1"/>
        <v/>
      </c>
      <c r="D112" s="673"/>
      <c r="E112" s="673" t="s">
        <v>260</v>
      </c>
      <c r="F112" s="673"/>
      <c r="G112" s="1229" t="s">
        <v>403</v>
      </c>
      <c r="H112" s="1313" t="str">
        <f>IF(LEN('Ch5'!W114)=0,"",'Ch5'!W114)</f>
        <v/>
      </c>
      <c r="I112" s="86">
        <f>'Ch5'!O114</f>
        <v>0</v>
      </c>
      <c r="J112" s="1204" t="s">
        <v>3884</v>
      </c>
    </row>
    <row r="113" spans="1:10" ht="15.75" thickTop="1" x14ac:dyDescent="0.25">
      <c r="A113" s="585" t="str">
        <f ca="1">IF(I113&gt;0,"P","")</f>
        <v/>
      </c>
      <c r="B113" s="254" t="str">
        <f>IF(LEN('Ch5'!H115)=0,"",'Ch5'!H115)</f>
        <v/>
      </c>
      <c r="C113" s="254" t="str">
        <f t="shared" ca="1" si="1"/>
        <v/>
      </c>
      <c r="D113" s="139">
        <v>503.4</v>
      </c>
      <c r="E113" s="667"/>
      <c r="F113" s="667"/>
      <c r="G113" s="1781" t="s">
        <v>405</v>
      </c>
      <c r="H113" s="94"/>
      <c r="I113" s="706">
        <f ca="1">SUM(I120:I141)</f>
        <v>0</v>
      </c>
      <c r="J113" s="1204" t="s">
        <v>4925</v>
      </c>
    </row>
    <row r="114" spans="1:10" x14ac:dyDescent="0.25">
      <c r="A114" s="585" t="str">
        <f ca="1">A113</f>
        <v/>
      </c>
      <c r="B114" s="254" t="str">
        <f>IF(LEN('Ch5'!H116)=0,"",'Ch5'!H116)</f>
        <v/>
      </c>
      <c r="C114" s="254" t="str">
        <f t="shared" ca="1" si="1"/>
        <v/>
      </c>
      <c r="D114" s="667"/>
      <c r="E114" s="667"/>
      <c r="F114" s="667"/>
      <c r="G114" s="1782"/>
      <c r="H114" s="94"/>
      <c r="J114" s="1204"/>
    </row>
    <row r="115" spans="1:10" x14ac:dyDescent="0.25">
      <c r="A115" s="585" t="str">
        <f ca="1">A114</f>
        <v/>
      </c>
      <c r="B115" s="254" t="str">
        <f>IF(LEN('Ch5'!H117)=0,"",'Ch5'!H117)</f>
        <v/>
      </c>
      <c r="C115" s="254" t="str">
        <f t="shared" ca="1" si="1"/>
        <v/>
      </c>
      <c r="D115" s="667"/>
      <c r="E115" s="667"/>
      <c r="F115" s="667"/>
      <c r="G115" s="1782"/>
      <c r="H115" s="94"/>
      <c r="J115" s="1204"/>
    </row>
    <row r="116" spans="1:10" x14ac:dyDescent="0.25">
      <c r="A116" s="585" t="str">
        <f ca="1">A115</f>
        <v/>
      </c>
      <c r="B116" s="254" t="str">
        <f>IF(LEN('Ch5'!H118)=0,"",'Ch5'!H118)</f>
        <v/>
      </c>
      <c r="C116" s="254" t="str">
        <f t="shared" ca="1" si="1"/>
        <v/>
      </c>
      <c r="D116" s="667"/>
      <c r="E116" s="667"/>
      <c r="F116" s="667"/>
      <c r="G116" s="1782"/>
      <c r="H116" s="94"/>
      <c r="J116" s="1204"/>
    </row>
    <row r="117" spans="1:10" x14ac:dyDescent="0.25">
      <c r="B117" s="254" t="str">
        <f>IF(LEN('Ch5'!H119)=0,"",'Ch5'!H119)</f>
        <v/>
      </c>
      <c r="C117" s="254" t="str">
        <f t="shared" si="1"/>
        <v/>
      </c>
      <c r="D117" s="667"/>
      <c r="E117" s="667"/>
      <c r="F117" s="667"/>
      <c r="G117" s="1958" t="s">
        <v>2965</v>
      </c>
      <c r="H117" s="94"/>
      <c r="J117" s="1204"/>
    </row>
    <row r="118" spans="1:10" x14ac:dyDescent="0.25">
      <c r="B118" s="254" t="str">
        <f>IF(LEN('Ch5'!H120)=0,"",'Ch5'!H120)</f>
        <v/>
      </c>
      <c r="C118" s="254" t="str">
        <f t="shared" si="1"/>
        <v/>
      </c>
      <c r="D118" s="667"/>
      <c r="E118" s="667"/>
      <c r="F118" s="667"/>
      <c r="G118" s="1958"/>
      <c r="H118" s="94"/>
      <c r="J118" s="1204"/>
    </row>
    <row r="119" spans="1:10" x14ac:dyDescent="0.25">
      <c r="B119" s="254" t="str">
        <f>IF(LEN('Ch5'!H121)=0,"",'Ch5'!H121)</f>
        <v/>
      </c>
      <c r="C119" s="254" t="str">
        <f t="shared" si="1"/>
        <v/>
      </c>
      <c r="D119" s="667"/>
      <c r="E119" s="667"/>
      <c r="F119" s="667"/>
      <c r="G119" s="1958"/>
      <c r="H119" s="94"/>
      <c r="J119" s="1204"/>
    </row>
    <row r="120" spans="1:10" x14ac:dyDescent="0.25">
      <c r="A120" s="585" t="str">
        <f>IF(I120&gt;0,"P","")</f>
        <v/>
      </c>
      <c r="B120" s="254" t="str">
        <f>IF(LEN('Ch5'!H122)=0,"",'Ch5'!H122)</f>
        <v/>
      </c>
      <c r="C120" s="254" t="str">
        <f t="shared" si="1"/>
        <v/>
      </c>
      <c r="D120" s="667"/>
      <c r="E120" s="668" t="s">
        <v>256</v>
      </c>
      <c r="F120" s="668"/>
      <c r="G120" s="1754" t="s">
        <v>406</v>
      </c>
      <c r="H120" s="1313" t="str">
        <f>IF(LEN('Ch5'!W122)=0,"",'Ch5'!W122)</f>
        <v/>
      </c>
      <c r="I120" s="86">
        <f>'Ch5'!O122</f>
        <v>0</v>
      </c>
      <c r="J120" s="1950" t="s">
        <v>4926</v>
      </c>
    </row>
    <row r="121" spans="1:10" x14ac:dyDescent="0.25">
      <c r="A121" s="585" t="str">
        <f>A120</f>
        <v/>
      </c>
      <c r="B121" s="254" t="str">
        <f>IF(LEN('Ch5'!H123)=0,"",'Ch5'!H123)</f>
        <v/>
      </c>
      <c r="C121" s="254" t="str">
        <f t="shared" si="1"/>
        <v/>
      </c>
      <c r="D121" s="667"/>
      <c r="E121" s="668"/>
      <c r="F121" s="668"/>
      <c r="G121" s="1754"/>
      <c r="H121" s="94"/>
      <c r="J121" s="1954"/>
    </row>
    <row r="122" spans="1:10" x14ac:dyDescent="0.25">
      <c r="A122" s="585" t="str">
        <f>A121</f>
        <v/>
      </c>
      <c r="B122" s="254" t="str">
        <f>IF(LEN('Ch5'!H124)=0,"",'Ch5'!H124)</f>
        <v/>
      </c>
      <c r="C122" s="254" t="str">
        <f t="shared" si="1"/>
        <v/>
      </c>
      <c r="D122" s="667"/>
      <c r="E122" s="684"/>
      <c r="F122" s="684"/>
      <c r="G122" s="1755"/>
      <c r="H122" s="94"/>
      <c r="J122" s="1951"/>
    </row>
    <row r="123" spans="1:10" x14ac:dyDescent="0.25">
      <c r="A123" s="585" t="str">
        <f>IF(I123&gt;0,"P","")</f>
        <v/>
      </c>
      <c r="B123" s="254" t="str">
        <f>IF(LEN('Ch5'!H125)=0,"",'Ch5'!H125)</f>
        <v/>
      </c>
      <c r="C123" s="254" t="str">
        <f t="shared" si="1"/>
        <v/>
      </c>
      <c r="D123" s="667"/>
      <c r="E123" s="668" t="s">
        <v>258</v>
      </c>
      <c r="F123" s="668"/>
      <c r="G123" s="1754" t="s">
        <v>407</v>
      </c>
      <c r="H123" s="1313" t="str">
        <f>IF(LEN('Ch5'!W125)=0,"",'Ch5'!W125)</f>
        <v/>
      </c>
      <c r="I123" s="86">
        <f>'Ch5'!O125</f>
        <v>0</v>
      </c>
      <c r="J123" s="1204" t="s">
        <v>3975</v>
      </c>
    </row>
    <row r="124" spans="1:10" x14ac:dyDescent="0.25">
      <c r="A124" s="585" t="str">
        <f>A123</f>
        <v/>
      </c>
      <c r="B124" s="254" t="str">
        <f>IF(LEN('Ch5'!H126)=0,"",'Ch5'!H126)</f>
        <v/>
      </c>
      <c r="C124" s="254" t="str">
        <f t="shared" si="1"/>
        <v/>
      </c>
      <c r="D124" s="667"/>
      <c r="E124" s="668"/>
      <c r="F124" s="668"/>
      <c r="G124" s="1754"/>
      <c r="H124" s="94"/>
      <c r="J124" s="1204"/>
    </row>
    <row r="125" spans="1:10" x14ac:dyDescent="0.25">
      <c r="A125" s="585" t="str">
        <f>A124</f>
        <v/>
      </c>
      <c r="B125" s="254" t="str">
        <f>IF(LEN('Ch5'!H127)=0,"",'Ch5'!H127)</f>
        <v/>
      </c>
      <c r="C125" s="254" t="str">
        <f t="shared" si="1"/>
        <v/>
      </c>
      <c r="D125" s="667"/>
      <c r="E125" s="668"/>
      <c r="F125" s="668"/>
      <c r="G125" s="1754"/>
      <c r="H125" s="94"/>
      <c r="J125" s="1204"/>
    </row>
    <row r="126" spans="1:10" x14ac:dyDescent="0.25">
      <c r="A126" s="585" t="str">
        <f>A125</f>
        <v/>
      </c>
      <c r="B126" s="254" t="str">
        <f>IF(LEN('Ch5'!H128)=0,"",'Ch5'!H128)</f>
        <v/>
      </c>
      <c r="C126" s="254" t="str">
        <f t="shared" si="1"/>
        <v/>
      </c>
      <c r="D126" s="667"/>
      <c r="E126" s="684"/>
      <c r="F126" s="684"/>
      <c r="G126" s="1755"/>
      <c r="H126" s="94"/>
      <c r="J126" s="1204"/>
    </row>
    <row r="127" spans="1:10" x14ac:dyDescent="0.25">
      <c r="A127" s="585" t="str">
        <f ca="1">IF(I127&gt;0,"P","")</f>
        <v/>
      </c>
      <c r="B127" s="254" t="str">
        <f>IF(LEN('Ch5'!H129)=0,"",'Ch5'!H129)</f>
        <v/>
      </c>
      <c r="C127" s="254" t="str">
        <f t="shared" ca="1" si="1"/>
        <v/>
      </c>
      <c r="D127" s="667"/>
      <c r="E127" s="667" t="s">
        <v>260</v>
      </c>
      <c r="F127" s="667"/>
      <c r="G127" s="1754" t="s">
        <v>408</v>
      </c>
      <c r="H127" s="1313" t="str">
        <f>IF(LEN('Ch5'!W129)=0,"",'Ch5'!W129)</f>
        <v/>
      </c>
      <c r="I127" s="86">
        <f ca="1">'Ch5'!O129</f>
        <v>0</v>
      </c>
      <c r="J127" s="1950" t="s">
        <v>4927</v>
      </c>
    </row>
    <row r="128" spans="1:10" x14ac:dyDescent="0.25">
      <c r="A128" s="585" t="str">
        <f ca="1">A127</f>
        <v/>
      </c>
      <c r="B128" s="254" t="str">
        <f>IF(LEN('Ch5'!H130)=0,"",'Ch5'!H130)</f>
        <v/>
      </c>
      <c r="C128" s="254" t="str">
        <f t="shared" ca="1" si="1"/>
        <v/>
      </c>
      <c r="D128" s="667"/>
      <c r="E128" s="667"/>
      <c r="F128" s="667"/>
      <c r="G128" s="1754"/>
      <c r="H128" s="94"/>
      <c r="J128" s="1951"/>
    </row>
    <row r="129" spans="1:10" x14ac:dyDescent="0.25">
      <c r="A129" s="585" t="str">
        <f ca="1">A128</f>
        <v/>
      </c>
      <c r="B129" s="254" t="str">
        <f>IF(LEN('Ch5'!H131)=0,"",'Ch5'!H131)</f>
        <v/>
      </c>
      <c r="C129" s="254" t="str">
        <f t="shared" ca="1" si="1"/>
        <v/>
      </c>
      <c r="D129" s="667"/>
      <c r="E129" s="667"/>
      <c r="F129" s="667"/>
      <c r="G129" s="1754"/>
      <c r="H129" s="94"/>
      <c r="J129" s="1204"/>
    </row>
    <row r="130" spans="1:10" x14ac:dyDescent="0.25">
      <c r="A130" s="585" t="str">
        <f ca="1">A129</f>
        <v/>
      </c>
      <c r="B130" s="254" t="str">
        <f>IF(LEN('Ch5'!H132)=0,"",'Ch5'!H132)</f>
        <v/>
      </c>
      <c r="C130" s="254" t="str">
        <f t="shared" ca="1" si="1"/>
        <v/>
      </c>
      <c r="D130" s="667"/>
      <c r="E130" s="667"/>
      <c r="F130" s="667"/>
      <c r="G130" s="1754"/>
      <c r="H130" s="94"/>
      <c r="J130" s="1204"/>
    </row>
    <row r="131" spans="1:10" x14ac:dyDescent="0.25">
      <c r="B131" s="254" t="str">
        <f>IF(LEN('Ch5'!H133)=0,"",'Ch5'!H133)</f>
        <v/>
      </c>
      <c r="C131" s="254" t="str">
        <f t="shared" si="1"/>
        <v/>
      </c>
      <c r="D131" s="667"/>
      <c r="E131" s="667"/>
      <c r="F131" s="667" t="s">
        <v>121</v>
      </c>
      <c r="G131" s="1225" t="s">
        <v>409</v>
      </c>
      <c r="H131" s="94"/>
      <c r="J131" s="1204"/>
    </row>
    <row r="132" spans="1:10" x14ac:dyDescent="0.25">
      <c r="B132" s="254" t="str">
        <f>IF(LEN('Ch5'!H134)=0,"",'Ch5'!H134)</f>
        <v/>
      </c>
      <c r="C132" s="254" t="str">
        <f t="shared" si="1"/>
        <v/>
      </c>
      <c r="D132" s="667"/>
      <c r="E132" s="667"/>
      <c r="F132" s="667" t="s">
        <v>122</v>
      </c>
      <c r="G132" s="1225" t="s">
        <v>410</v>
      </c>
      <c r="H132" s="94"/>
      <c r="J132" s="1204"/>
    </row>
    <row r="133" spans="1:10" x14ac:dyDescent="0.25">
      <c r="B133" s="254" t="str">
        <f>IF(LEN('Ch5'!H135)=0,"",'Ch5'!H135)</f>
        <v/>
      </c>
      <c r="C133" s="254" t="str">
        <f t="shared" si="1"/>
        <v/>
      </c>
      <c r="D133" s="667"/>
      <c r="E133" s="684"/>
      <c r="F133" s="688" t="s">
        <v>123</v>
      </c>
      <c r="G133" s="1215" t="s">
        <v>411</v>
      </c>
      <c r="H133" s="94"/>
      <c r="J133" s="1204"/>
    </row>
    <row r="134" spans="1:10" x14ac:dyDescent="0.25">
      <c r="A134" s="585" t="str">
        <f ca="1">IF(I134&gt;0,"P","")</f>
        <v/>
      </c>
      <c r="B134" s="254" t="str">
        <f>IF(LEN('Ch5'!H136)=0,"",'Ch5'!H136)</f>
        <v/>
      </c>
      <c r="C134" s="254" t="str">
        <f t="shared" ca="1" si="1"/>
        <v/>
      </c>
      <c r="D134" s="668"/>
      <c r="E134" s="668" t="s">
        <v>269</v>
      </c>
      <c r="F134" s="689"/>
      <c r="G134" s="1754" t="s">
        <v>412</v>
      </c>
      <c r="H134" s="1313" t="str">
        <f>IF(LEN('Ch5'!W136)=0,"",'Ch5'!W136)</f>
        <v/>
      </c>
      <c r="I134" s="86">
        <f ca="1">'Ch5'!O136</f>
        <v>0</v>
      </c>
      <c r="J134" s="1204" t="s">
        <v>3885</v>
      </c>
    </row>
    <row r="135" spans="1:10" x14ac:dyDescent="0.25">
      <c r="A135" s="585" t="str">
        <f ca="1">A134</f>
        <v/>
      </c>
      <c r="B135" s="254" t="str">
        <f>IF(LEN('Ch5'!H137)=0,"",'Ch5'!H137)</f>
        <v/>
      </c>
      <c r="C135" s="254" t="str">
        <f t="shared" ca="1" si="1"/>
        <v/>
      </c>
      <c r="D135" s="668"/>
      <c r="E135" s="668"/>
      <c r="F135" s="668"/>
      <c r="G135" s="1754"/>
      <c r="H135" s="94"/>
      <c r="J135" s="1204"/>
    </row>
    <row r="136" spans="1:10" x14ac:dyDescent="0.25">
      <c r="B136" s="254" t="str">
        <f>IF(LEN('Ch5'!H138)=0,"",'Ch5'!H138)</f>
        <v/>
      </c>
      <c r="C136" s="254" t="str">
        <f t="shared" ref="C136:C199" si="2">IF(LEN(B136)=0,IF(A136="P","P",""),B136)</f>
        <v/>
      </c>
      <c r="D136" s="668"/>
      <c r="E136" s="667"/>
      <c r="F136" s="667" t="s">
        <v>121</v>
      </c>
      <c r="G136" s="1225" t="s">
        <v>4127</v>
      </c>
      <c r="H136" s="94"/>
      <c r="J136" s="1204"/>
    </row>
    <row r="137" spans="1:10" x14ac:dyDescent="0.25">
      <c r="B137" s="254" t="str">
        <f>IF(LEN('Ch5'!H139)=0,"",'Ch5'!H139)</f>
        <v/>
      </c>
      <c r="C137" s="254" t="str">
        <f t="shared" si="2"/>
        <v/>
      </c>
      <c r="D137" s="668"/>
      <c r="E137" s="667"/>
      <c r="F137" s="667" t="s">
        <v>122</v>
      </c>
      <c r="G137" s="1225" t="s">
        <v>4128</v>
      </c>
      <c r="H137" s="94"/>
      <c r="J137" s="1204"/>
    </row>
    <row r="138" spans="1:10" x14ac:dyDescent="0.25">
      <c r="B138" s="254" t="str">
        <f>IF(LEN('Ch5'!H140)=0,"",'Ch5'!H140)</f>
        <v/>
      </c>
      <c r="C138" s="254" t="str">
        <f t="shared" si="2"/>
        <v/>
      </c>
      <c r="D138" s="668"/>
      <c r="E138" s="667"/>
      <c r="F138" s="685" t="s">
        <v>123</v>
      </c>
      <c r="G138" s="1225" t="s">
        <v>4129</v>
      </c>
      <c r="H138" s="94"/>
      <c r="J138" s="1204"/>
    </row>
    <row r="139" spans="1:10" x14ac:dyDescent="0.25">
      <c r="B139" s="254" t="str">
        <f>IF(LEN('Ch5'!H141)=0,"",'Ch5'!H141)</f>
        <v/>
      </c>
      <c r="C139" s="254" t="str">
        <f t="shared" si="2"/>
        <v/>
      </c>
      <c r="G139" s="1793" t="s">
        <v>4130</v>
      </c>
      <c r="H139" s="1313" t="str">
        <f>IF(LEN('Ch5'!W141)=0,"",'Ch5'!W141)</f>
        <v/>
      </c>
      <c r="I139" s="86">
        <f ca="1">'Ch5'!O141</f>
        <v>0</v>
      </c>
      <c r="J139" s="1204"/>
    </row>
    <row r="140" spans="1:10" x14ac:dyDescent="0.25">
      <c r="B140" s="254" t="str">
        <f>IF(LEN('Ch5'!H142)=0,"",'Ch5'!H142)</f>
        <v/>
      </c>
      <c r="C140" s="254" t="str">
        <f t="shared" si="2"/>
        <v/>
      </c>
      <c r="E140" s="1387"/>
      <c r="F140" s="1387"/>
      <c r="G140" s="1761"/>
      <c r="H140" s="94"/>
      <c r="J140" s="1204"/>
    </row>
    <row r="141" spans="1:10" x14ac:dyDescent="0.25">
      <c r="A141" s="585" t="str">
        <f>IF(I141&gt;0,"P","")</f>
        <v/>
      </c>
      <c r="B141" s="254" t="str">
        <f>IF(LEN('Ch5'!H143)=0,"",'Ch5'!H143)</f>
        <v/>
      </c>
      <c r="C141" s="254" t="str">
        <f t="shared" si="2"/>
        <v/>
      </c>
      <c r="E141" s="667" t="s">
        <v>275</v>
      </c>
      <c r="F141" s="667"/>
      <c r="G141" s="1765" t="s">
        <v>4131</v>
      </c>
      <c r="H141" s="1313" t="str">
        <f>IF(LEN('Ch5'!W143)=0,"",'Ch5'!W143)</f>
        <v/>
      </c>
      <c r="I141" s="86">
        <f>'Ch5'!O143</f>
        <v>0</v>
      </c>
      <c r="J141" s="1204" t="s">
        <v>3892</v>
      </c>
    </row>
    <row r="142" spans="1:10" x14ac:dyDescent="0.25">
      <c r="A142" s="585" t="str">
        <f>A141</f>
        <v/>
      </c>
      <c r="B142" s="254" t="str">
        <f>IF(LEN('Ch5'!H144)=0,"",'Ch5'!H144)</f>
        <v/>
      </c>
      <c r="C142" s="254" t="str">
        <f t="shared" si="2"/>
        <v/>
      </c>
      <c r="E142" s="667"/>
      <c r="F142" s="667"/>
      <c r="G142" s="1765"/>
      <c r="H142" s="94"/>
      <c r="J142" s="1204"/>
    </row>
    <row r="143" spans="1:10" ht="15.75" thickBot="1" x14ac:dyDescent="0.3">
      <c r="A143" s="585" t="str">
        <f>A142</f>
        <v/>
      </c>
      <c r="B143" s="254" t="str">
        <f>IF(LEN('Ch5'!H145)=0,"",'Ch5'!H145)</f>
        <v/>
      </c>
      <c r="C143" s="254" t="str">
        <f t="shared" si="2"/>
        <v/>
      </c>
      <c r="E143" s="673"/>
      <c r="F143" s="673"/>
      <c r="G143" s="1766"/>
      <c r="H143" s="94"/>
      <c r="J143" s="1204"/>
    </row>
    <row r="144" spans="1:10" ht="15.75" thickTop="1" x14ac:dyDescent="0.25">
      <c r="A144" s="585" t="str">
        <f ca="1">IF(I144&gt;0,"P","")</f>
        <v/>
      </c>
      <c r="B144" s="254" t="str">
        <f>IF(LEN('Ch5'!H146)=0,"",'Ch5'!H146)</f>
        <v/>
      </c>
      <c r="C144" s="254" t="str">
        <f t="shared" ca="1" si="2"/>
        <v/>
      </c>
      <c r="D144" s="139">
        <v>503.5</v>
      </c>
      <c r="E144" s="667"/>
      <c r="F144" s="667"/>
      <c r="G144" s="1782" t="s">
        <v>414</v>
      </c>
      <c r="H144" s="94"/>
      <c r="I144" s="706">
        <f ca="1">SUM(I148:I184)</f>
        <v>0</v>
      </c>
      <c r="J144" s="1204" t="s">
        <v>4928</v>
      </c>
    </row>
    <row r="145" spans="1:10" x14ac:dyDescent="0.25">
      <c r="A145" s="585" t="str">
        <f ca="1">A144</f>
        <v/>
      </c>
      <c r="B145" s="254" t="str">
        <f>IF(LEN('Ch5'!H147)=0,"",'Ch5'!H147)</f>
        <v/>
      </c>
      <c r="C145" s="254" t="str">
        <f t="shared" ca="1" si="2"/>
        <v/>
      </c>
      <c r="D145" s="667"/>
      <c r="E145" s="667"/>
      <c r="F145" s="667"/>
      <c r="G145" s="1782"/>
      <c r="H145" s="94"/>
      <c r="J145" s="1204"/>
    </row>
    <row r="146" spans="1:10" x14ac:dyDescent="0.25">
      <c r="B146" s="254" t="str">
        <f>IF(LEN('Ch5'!H148)=0,"",'Ch5'!H148)</f>
        <v/>
      </c>
      <c r="C146" s="254" t="str">
        <f t="shared" si="2"/>
        <v/>
      </c>
      <c r="D146" s="667"/>
      <c r="E146" s="667"/>
      <c r="F146" s="667"/>
      <c r="G146" s="1958" t="s">
        <v>4132</v>
      </c>
      <c r="H146" s="1313" t="str">
        <f>IF(LEN('Ch5'!W148)=0,"",'Ch5'!W148)</f>
        <v/>
      </c>
      <c r="J146" s="1204"/>
    </row>
    <row r="147" spans="1:10" x14ac:dyDescent="0.25">
      <c r="B147" s="254" t="str">
        <f>IF(LEN('Ch5'!H149)=0,"",'Ch5'!H149)</f>
        <v/>
      </c>
      <c r="C147" s="254" t="str">
        <f t="shared" si="2"/>
        <v/>
      </c>
      <c r="D147" s="667"/>
      <c r="E147" s="667"/>
      <c r="F147" s="667"/>
      <c r="G147" s="1958"/>
      <c r="H147" s="94"/>
      <c r="J147" s="1204"/>
    </row>
    <row r="148" spans="1:10" x14ac:dyDescent="0.25">
      <c r="A148" s="585" t="str">
        <f ca="1">IF(I148&gt;0,"P","")</f>
        <v/>
      </c>
      <c r="B148" s="254" t="str">
        <f>IF(LEN('Ch5'!H150)=0,"",'Ch5'!H150)</f>
        <v/>
      </c>
      <c r="C148" s="254" t="str">
        <f t="shared" ca="1" si="2"/>
        <v/>
      </c>
      <c r="D148" s="667"/>
      <c r="E148" s="667" t="s">
        <v>256</v>
      </c>
      <c r="F148" s="667"/>
      <c r="G148" s="1754" t="s">
        <v>415</v>
      </c>
      <c r="H148" s="1313" t="str">
        <f>IF(LEN('Ch5'!W150)=0,"",'Ch5'!W150)</f>
        <v/>
      </c>
      <c r="I148" s="86">
        <f ca="1">'Ch5'!O150</f>
        <v>0</v>
      </c>
      <c r="J148" s="1950" t="s">
        <v>3886</v>
      </c>
    </row>
    <row r="149" spans="1:10" x14ac:dyDescent="0.25">
      <c r="A149" s="585" t="str">
        <f ca="1">A148</f>
        <v/>
      </c>
      <c r="B149" s="254" t="str">
        <f>IF(LEN('Ch5'!H151)=0,"",'Ch5'!H151)</f>
        <v/>
      </c>
      <c r="C149" s="254" t="str">
        <f t="shared" ca="1" si="2"/>
        <v/>
      </c>
      <c r="D149" s="667"/>
      <c r="E149" s="667"/>
      <c r="F149" s="667"/>
      <c r="G149" s="1754"/>
      <c r="H149" s="94"/>
      <c r="J149" s="1951"/>
    </row>
    <row r="150" spans="1:10" x14ac:dyDescent="0.25">
      <c r="B150" s="254" t="str">
        <f>IF(LEN('Ch5'!H152)=0,"",'Ch5'!H152)</f>
        <v/>
      </c>
      <c r="C150" s="254" t="str">
        <f t="shared" si="2"/>
        <v/>
      </c>
      <c r="D150" s="667"/>
      <c r="E150" s="667"/>
      <c r="F150" s="667" t="s">
        <v>121</v>
      </c>
      <c r="G150" s="1225" t="s">
        <v>416</v>
      </c>
      <c r="H150" s="94"/>
      <c r="J150" s="1204"/>
    </row>
    <row r="151" spans="1:10" x14ac:dyDescent="0.25">
      <c r="B151" s="254" t="str">
        <f>IF(LEN('Ch5'!H153)=0,"",'Ch5'!H153)</f>
        <v/>
      </c>
      <c r="C151" s="254" t="str">
        <f t="shared" si="2"/>
        <v/>
      </c>
      <c r="D151" s="667"/>
      <c r="E151" s="667"/>
      <c r="F151" s="667" t="s">
        <v>122</v>
      </c>
      <c r="G151" s="1225" t="s">
        <v>417</v>
      </c>
      <c r="H151" s="94"/>
      <c r="J151" s="1204"/>
    </row>
    <row r="152" spans="1:10" x14ac:dyDescent="0.25">
      <c r="B152" s="254" t="str">
        <f>IF(LEN('Ch5'!H154)=0,"",'Ch5'!H154)</f>
        <v/>
      </c>
      <c r="C152" s="254" t="str">
        <f t="shared" si="2"/>
        <v/>
      </c>
      <c r="D152" s="667"/>
      <c r="E152" s="667"/>
      <c r="F152" s="685" t="s">
        <v>123</v>
      </c>
      <c r="G152" s="1225" t="s">
        <v>418</v>
      </c>
      <c r="H152" s="94"/>
      <c r="J152" s="1204"/>
    </row>
    <row r="153" spans="1:10" x14ac:dyDescent="0.25">
      <c r="B153" s="254" t="str">
        <f>IF(LEN('Ch5'!H155)=0,"",'Ch5'!H155)</f>
        <v/>
      </c>
      <c r="C153" s="254" t="str">
        <f t="shared" si="2"/>
        <v/>
      </c>
      <c r="D153" s="667"/>
      <c r="E153" s="684"/>
      <c r="F153" s="688" t="s">
        <v>401</v>
      </c>
      <c r="G153" s="1215" t="s">
        <v>419</v>
      </c>
      <c r="H153" s="94"/>
      <c r="J153" s="1204"/>
    </row>
    <row r="154" spans="1:10" x14ac:dyDescent="0.25">
      <c r="A154" s="585" t="str">
        <f ca="1">IF(I154&gt;0,"P","")</f>
        <v/>
      </c>
      <c r="B154" s="254" t="str">
        <f>IF(LEN('Ch5'!H156)=0,"",'Ch5'!H156)</f>
        <v/>
      </c>
      <c r="C154" s="254" t="str">
        <f t="shared" ca="1" si="2"/>
        <v/>
      </c>
      <c r="D154" s="667"/>
      <c r="E154" s="667" t="s">
        <v>258</v>
      </c>
      <c r="F154" s="667"/>
      <c r="G154" s="1754" t="s">
        <v>420</v>
      </c>
      <c r="H154" s="1313" t="str">
        <f>IF(LEN('Ch5'!W156)=0,"",'Ch5'!W156)</f>
        <v/>
      </c>
      <c r="I154" s="86">
        <f ca="1">'Ch5'!O156</f>
        <v>0</v>
      </c>
      <c r="J154" s="1950" t="s">
        <v>3887</v>
      </c>
    </row>
    <row r="155" spans="1:10" x14ac:dyDescent="0.25">
      <c r="A155" s="585" t="str">
        <f ca="1">A154</f>
        <v/>
      </c>
      <c r="B155" s="254" t="str">
        <f>IF(LEN('Ch5'!H157)=0,"",'Ch5'!H157)</f>
        <v/>
      </c>
      <c r="C155" s="254" t="str">
        <f t="shared" ca="1" si="2"/>
        <v/>
      </c>
      <c r="D155" s="667"/>
      <c r="E155" s="684"/>
      <c r="F155" s="684"/>
      <c r="G155" s="1755"/>
      <c r="H155" s="94"/>
      <c r="J155" s="1951"/>
    </row>
    <row r="156" spans="1:10" x14ac:dyDescent="0.25">
      <c r="A156" s="585" t="str">
        <f ca="1">IF(I156&gt;0,"P","")</f>
        <v/>
      </c>
      <c r="B156" s="254" t="str">
        <f>IF(LEN('Ch5'!H158)=0,"",'Ch5'!H158)</f>
        <v/>
      </c>
      <c r="C156" s="254" t="str">
        <f t="shared" ca="1" si="2"/>
        <v/>
      </c>
      <c r="D156" s="667"/>
      <c r="E156" s="667" t="s">
        <v>260</v>
      </c>
      <c r="F156" s="667"/>
      <c r="G156" s="1754" t="s">
        <v>4133</v>
      </c>
      <c r="H156" s="1313" t="str">
        <f>IF(LEN('Ch5'!W158)=0,"",'Ch5'!W158)</f>
        <v/>
      </c>
      <c r="I156" s="86">
        <f ca="1">'Ch5'!O158</f>
        <v>0</v>
      </c>
      <c r="J156" s="1950" t="s">
        <v>3888</v>
      </c>
    </row>
    <row r="157" spans="1:10" x14ac:dyDescent="0.25">
      <c r="A157" s="585" t="str">
        <f ca="1">A156</f>
        <v/>
      </c>
      <c r="B157" s="254" t="str">
        <f>IF(LEN('Ch5'!H159)=0,"",'Ch5'!H159)</f>
        <v/>
      </c>
      <c r="C157" s="254" t="str">
        <f t="shared" ca="1" si="2"/>
        <v/>
      </c>
      <c r="D157" s="667"/>
      <c r="E157" s="667"/>
      <c r="F157" s="667"/>
      <c r="G157" s="1754"/>
      <c r="H157" s="94"/>
      <c r="J157" s="1951"/>
    </row>
    <row r="158" spans="1:10" x14ac:dyDescent="0.25">
      <c r="A158" s="585" t="str">
        <f ca="1">A157</f>
        <v/>
      </c>
      <c r="B158" s="254" t="str">
        <f>IF(LEN('Ch5'!H160)=0,"",'Ch5'!H160)</f>
        <v/>
      </c>
      <c r="C158" s="254" t="str">
        <f t="shared" ca="1" si="2"/>
        <v/>
      </c>
      <c r="D158" s="667"/>
      <c r="E158" s="684"/>
      <c r="F158" s="684"/>
      <c r="G158" s="1755"/>
      <c r="H158" s="94"/>
      <c r="J158" s="1204"/>
    </row>
    <row r="159" spans="1:10" x14ac:dyDescent="0.25">
      <c r="A159" s="585" t="str">
        <f ca="1">IF(I159&gt;0,"P","")</f>
        <v/>
      </c>
      <c r="B159" s="254" t="str">
        <f>IF(LEN('Ch5'!H161)=0,"",'Ch5'!H161)</f>
        <v/>
      </c>
      <c r="C159" s="254" t="str">
        <f t="shared" ca="1" si="2"/>
        <v/>
      </c>
      <c r="D159" s="667"/>
      <c r="E159" s="667" t="s">
        <v>269</v>
      </c>
      <c r="F159" s="667"/>
      <c r="G159" s="1754" t="s">
        <v>4134</v>
      </c>
      <c r="H159" s="1313" t="str">
        <f>IF(LEN('Ch5'!W161)=0,"",'Ch5'!W161)</f>
        <v/>
      </c>
      <c r="I159" s="86">
        <f ca="1">'Ch5'!O161</f>
        <v>0</v>
      </c>
      <c r="J159" s="1950" t="s">
        <v>4929</v>
      </c>
    </row>
    <row r="160" spans="1:10" x14ac:dyDescent="0.25">
      <c r="A160" s="585" t="str">
        <f ca="1">A159</f>
        <v/>
      </c>
      <c r="B160" s="254" t="str">
        <f>IF(LEN('Ch5'!H162)=0,"",'Ch5'!H162)</f>
        <v/>
      </c>
      <c r="C160" s="254" t="str">
        <f t="shared" ca="1" si="2"/>
        <v/>
      </c>
      <c r="D160" s="667"/>
      <c r="E160" s="684"/>
      <c r="F160" s="684"/>
      <c r="G160" s="1755"/>
      <c r="H160" s="94"/>
      <c r="J160" s="1951"/>
    </row>
    <row r="161" spans="1:10" x14ac:dyDescent="0.25">
      <c r="A161" s="585" t="str">
        <f ca="1">IF(I161&gt;0,"P","")</f>
        <v/>
      </c>
      <c r="B161" s="254" t="str">
        <f>IF(LEN('Ch5'!H163)=0,"",'Ch5'!H163)</f>
        <v/>
      </c>
      <c r="C161" s="254" t="str">
        <f t="shared" ca="1" si="2"/>
        <v/>
      </c>
      <c r="E161" s="693" t="s">
        <v>275</v>
      </c>
      <c r="F161" s="1389"/>
      <c r="G161" s="1760" t="s">
        <v>4135</v>
      </c>
      <c r="H161" s="1313" t="str">
        <f>IF(LEN('Ch5'!W163)=0,"",'Ch5'!W163)</f>
        <v/>
      </c>
      <c r="I161" s="86">
        <f ca="1">'Ch5'!O163</f>
        <v>0</v>
      </c>
      <c r="J161" s="1950" t="s">
        <v>4930</v>
      </c>
    </row>
    <row r="162" spans="1:10" x14ac:dyDescent="0.25">
      <c r="A162" s="585" t="str">
        <f ca="1">A161</f>
        <v/>
      </c>
      <c r="B162" s="254" t="str">
        <f>IF(LEN('Ch5'!H164)=0,"",'Ch5'!H164)</f>
        <v/>
      </c>
      <c r="C162" s="254" t="str">
        <f t="shared" ca="1" si="2"/>
        <v/>
      </c>
      <c r="G162" s="1793"/>
      <c r="H162" s="94"/>
      <c r="J162" s="1951"/>
    </row>
    <row r="163" spans="1:10" x14ac:dyDescent="0.25">
      <c r="A163" s="585" t="str">
        <f ca="1">A162</f>
        <v/>
      </c>
      <c r="B163" s="254" t="str">
        <f>IF(LEN('Ch5'!H165)=0,"",'Ch5'!H165)</f>
        <v/>
      </c>
      <c r="C163" s="254" t="str">
        <f t="shared" ca="1" si="2"/>
        <v/>
      </c>
      <c r="E163" s="1387"/>
      <c r="F163" s="1387"/>
      <c r="G163" s="1761"/>
      <c r="H163" s="94"/>
      <c r="J163" s="1204"/>
    </row>
    <row r="164" spans="1:10" x14ac:dyDescent="0.25">
      <c r="A164" s="585" t="str">
        <f ca="1">IF(I164&gt;0,"P","")</f>
        <v/>
      </c>
      <c r="B164" s="254" t="str">
        <f>IF(LEN('Ch5'!H166)=0,"",'Ch5'!H166)</f>
        <v/>
      </c>
      <c r="C164" s="254" t="str">
        <f t="shared" ca="1" si="2"/>
        <v/>
      </c>
      <c r="D164" s="667"/>
      <c r="E164" s="667" t="s">
        <v>277</v>
      </c>
      <c r="F164" s="667"/>
      <c r="G164" s="1225" t="s">
        <v>421</v>
      </c>
      <c r="H164" s="1313" t="str">
        <f>IF(LEN('Ch5'!W166)=0,"",'Ch5'!W166)</f>
        <v/>
      </c>
      <c r="I164" s="86">
        <f ca="1">'Ch5'!O166</f>
        <v>0</v>
      </c>
      <c r="J164" s="1204" t="s">
        <v>4931</v>
      </c>
    </row>
    <row r="165" spans="1:10" x14ac:dyDescent="0.25">
      <c r="B165" s="254" t="str">
        <f>IF(LEN('Ch5'!H167)=0,"",'Ch5'!H167)</f>
        <v/>
      </c>
      <c r="C165" s="254" t="str">
        <f t="shared" si="2"/>
        <v/>
      </c>
      <c r="D165" s="667"/>
      <c r="E165" s="667"/>
      <c r="F165" s="667" t="s">
        <v>121</v>
      </c>
      <c r="G165" s="1225" t="s">
        <v>422</v>
      </c>
      <c r="H165" s="94"/>
      <c r="J165" s="1204"/>
    </row>
    <row r="166" spans="1:10" x14ac:dyDescent="0.25">
      <c r="B166" s="254" t="str">
        <f>IF(LEN('Ch5'!H168)=0,"",'Ch5'!H168)</f>
        <v/>
      </c>
      <c r="C166" s="254" t="str">
        <f t="shared" si="2"/>
        <v/>
      </c>
      <c r="D166" s="667"/>
      <c r="E166" s="667"/>
      <c r="F166" s="667" t="s">
        <v>122</v>
      </c>
      <c r="G166" s="1225" t="s">
        <v>423</v>
      </c>
      <c r="H166" s="94"/>
      <c r="J166" s="1204"/>
    </row>
    <row r="167" spans="1:10" x14ac:dyDescent="0.25">
      <c r="B167" s="254" t="str">
        <f>IF(LEN('Ch5'!H169)=0,"",'Ch5'!H169)</f>
        <v/>
      </c>
      <c r="C167" s="254" t="str">
        <f t="shared" si="2"/>
        <v/>
      </c>
      <c r="D167" s="667"/>
      <c r="E167" s="667"/>
      <c r="F167" s="685" t="s">
        <v>123</v>
      </c>
      <c r="G167" s="1225" t="s">
        <v>424</v>
      </c>
      <c r="H167" s="94"/>
      <c r="J167" s="1204"/>
    </row>
    <row r="168" spans="1:10" x14ac:dyDescent="0.25">
      <c r="B168" s="254" t="str">
        <f>IF(LEN('Ch5'!H170)=0,"",'Ch5'!H170)</f>
        <v/>
      </c>
      <c r="C168" s="254" t="str">
        <f t="shared" si="2"/>
        <v/>
      </c>
      <c r="D168" s="667"/>
      <c r="E168" s="684"/>
      <c r="F168" s="688" t="s">
        <v>401</v>
      </c>
      <c r="G168" s="1215" t="s">
        <v>425</v>
      </c>
      <c r="H168" s="94"/>
      <c r="J168" s="1204"/>
    </row>
    <row r="169" spans="1:10" ht="25.5" x14ac:dyDescent="0.25">
      <c r="A169" s="585" t="str">
        <f ca="1">IF(I169&gt;0,"P","")</f>
        <v/>
      </c>
      <c r="B169" s="254" t="str">
        <f>IF(LEN('Ch5'!H171)=0,"",'Ch5'!H171)</f>
        <v/>
      </c>
      <c r="C169" s="254" t="str">
        <f t="shared" ca="1" si="2"/>
        <v/>
      </c>
      <c r="D169" s="667"/>
      <c r="E169" s="684" t="s">
        <v>383</v>
      </c>
      <c r="F169" s="684"/>
      <c r="G169" s="1215" t="s">
        <v>426</v>
      </c>
      <c r="H169" s="1313" t="str">
        <f>IF(LEN('Ch5'!W171)=0,"",'Ch5'!W171)</f>
        <v/>
      </c>
      <c r="I169" s="86">
        <f ca="1">'Ch5'!O171</f>
        <v>0</v>
      </c>
      <c r="J169" s="1204" t="s">
        <v>4932</v>
      </c>
    </row>
    <row r="170" spans="1:10" x14ac:dyDescent="0.25">
      <c r="A170" s="585" t="str">
        <f ca="1">IF(I170&gt;0,"P","")</f>
        <v/>
      </c>
      <c r="B170" s="254" t="str">
        <f>IF(LEN('Ch5'!H172)=0,"",'Ch5'!H172)</f>
        <v/>
      </c>
      <c r="C170" s="254" t="str">
        <f t="shared" ca="1" si="2"/>
        <v/>
      </c>
      <c r="D170" s="667"/>
      <c r="E170" s="667" t="s">
        <v>428</v>
      </c>
      <c r="F170" s="667"/>
      <c r="G170" s="1754" t="s">
        <v>427</v>
      </c>
      <c r="H170" s="1313" t="str">
        <f>IF(LEN('Ch5'!W172)=0,"",'Ch5'!W172)</f>
        <v/>
      </c>
      <c r="I170" s="86">
        <f ca="1">'Ch5'!O172</f>
        <v>0</v>
      </c>
      <c r="J170" s="1204" t="s">
        <v>3890</v>
      </c>
    </row>
    <row r="171" spans="1:10" x14ac:dyDescent="0.25">
      <c r="A171" s="585" t="str">
        <f ca="1">A170</f>
        <v/>
      </c>
      <c r="B171" s="254" t="str">
        <f>IF(LEN('Ch5'!H173)=0,"",'Ch5'!H173)</f>
        <v/>
      </c>
      <c r="C171" s="254" t="str">
        <f t="shared" ca="1" si="2"/>
        <v/>
      </c>
      <c r="D171" s="667"/>
      <c r="E171" s="667"/>
      <c r="F171" s="667"/>
      <c r="G171" s="1754"/>
      <c r="H171" s="94"/>
      <c r="J171" s="1204"/>
    </row>
    <row r="172" spans="1:10" x14ac:dyDescent="0.25">
      <c r="A172" s="585" t="str">
        <f ca="1">A171</f>
        <v/>
      </c>
      <c r="B172" s="254" t="str">
        <f>IF(LEN('Ch5'!H174)=0,"",'Ch5'!H174)</f>
        <v/>
      </c>
      <c r="C172" s="254" t="str">
        <f t="shared" ca="1" si="2"/>
        <v/>
      </c>
      <c r="D172" s="667"/>
      <c r="E172" s="667"/>
      <c r="F172" s="667"/>
      <c r="G172" s="1754"/>
      <c r="H172" s="94"/>
      <c r="J172" s="1204"/>
    </row>
    <row r="173" spans="1:10" x14ac:dyDescent="0.25">
      <c r="A173" s="585" t="str">
        <f ca="1">A172</f>
        <v/>
      </c>
      <c r="B173" s="254" t="str">
        <f>IF(LEN('Ch5'!H175)=0,"",'Ch5'!H175)</f>
        <v/>
      </c>
      <c r="C173" s="254" t="str">
        <f t="shared" ca="1" si="2"/>
        <v/>
      </c>
      <c r="D173" s="667"/>
      <c r="E173" s="667"/>
      <c r="F173" s="667"/>
      <c r="G173" s="1754"/>
      <c r="H173" s="94"/>
      <c r="J173" s="1204"/>
    </row>
    <row r="174" spans="1:10" x14ac:dyDescent="0.25">
      <c r="A174" s="585" t="str">
        <f ca="1">A173</f>
        <v/>
      </c>
      <c r="B174" s="254" t="str">
        <f>IF(LEN('Ch5'!H176)=0,"",'Ch5'!H176)</f>
        <v/>
      </c>
      <c r="C174" s="254" t="str">
        <f t="shared" ca="1" si="2"/>
        <v/>
      </c>
      <c r="D174" s="667"/>
      <c r="E174" s="684"/>
      <c r="F174" s="684"/>
      <c r="G174" s="1755"/>
      <c r="H174" s="94"/>
      <c r="J174" s="1204"/>
    </row>
    <row r="175" spans="1:10" x14ac:dyDescent="0.25">
      <c r="A175" s="585" t="str">
        <f ca="1">IF(I175&gt;0,"P","")</f>
        <v/>
      </c>
      <c r="B175" s="254" t="str">
        <f>IF(LEN('Ch5'!H177)=0,"",'Ch5'!H177)</f>
        <v/>
      </c>
      <c r="C175" s="254" t="str">
        <f t="shared" ca="1" si="2"/>
        <v/>
      </c>
      <c r="D175" s="667"/>
      <c r="E175" s="667" t="s">
        <v>430</v>
      </c>
      <c r="F175" s="667"/>
      <c r="G175" s="1754" t="s">
        <v>429</v>
      </c>
      <c r="H175" s="1313" t="str">
        <f>IF(LEN('Ch5'!W177)=0,"",'Ch5'!W177)</f>
        <v/>
      </c>
      <c r="I175" s="86">
        <f ca="1">'Ch5'!O177</f>
        <v>0</v>
      </c>
      <c r="J175" s="1950" t="s">
        <v>4933</v>
      </c>
    </row>
    <row r="176" spans="1:10" x14ac:dyDescent="0.25">
      <c r="A176" s="585" t="str">
        <f ca="1">A175</f>
        <v/>
      </c>
      <c r="B176" s="254" t="str">
        <f>IF(LEN('Ch5'!H178)=0,"",'Ch5'!H178)</f>
        <v/>
      </c>
      <c r="C176" s="254" t="str">
        <f t="shared" ca="1" si="2"/>
        <v/>
      </c>
      <c r="D176" s="667"/>
      <c r="E176" s="684"/>
      <c r="F176" s="684"/>
      <c r="G176" s="1755"/>
      <c r="H176" s="94"/>
      <c r="J176" s="1951"/>
    </row>
    <row r="177" spans="1:10" x14ac:dyDescent="0.25">
      <c r="A177" s="585" t="str">
        <f>IF(I177&gt;0,"P","")</f>
        <v/>
      </c>
      <c r="B177" s="254" t="str">
        <f>IF(LEN('Ch5'!H179)=0,"",'Ch5'!H179)</f>
        <v/>
      </c>
      <c r="C177" s="254" t="str">
        <f t="shared" si="2"/>
        <v/>
      </c>
      <c r="D177" s="667"/>
      <c r="E177" s="667" t="s">
        <v>432</v>
      </c>
      <c r="F177" s="667"/>
      <c r="G177" s="1754" t="s">
        <v>431</v>
      </c>
      <c r="H177" s="1313" t="str">
        <f>IF(LEN('Ch5'!W179)=0,"",'Ch5'!W179)</f>
        <v/>
      </c>
      <c r="I177" s="86">
        <f>'Ch5'!O179</f>
        <v>0</v>
      </c>
      <c r="J177" s="1204" t="s">
        <v>3891</v>
      </c>
    </row>
    <row r="178" spans="1:10" x14ac:dyDescent="0.25">
      <c r="A178" s="585" t="str">
        <f>A177</f>
        <v/>
      </c>
      <c r="B178" s="254" t="str">
        <f>IF(LEN('Ch5'!H180)=0,"",'Ch5'!H180)</f>
        <v/>
      </c>
      <c r="C178" s="254" t="str">
        <f t="shared" si="2"/>
        <v/>
      </c>
      <c r="D178" s="667"/>
      <c r="E178" s="667"/>
      <c r="F178" s="667"/>
      <c r="G178" s="1754"/>
      <c r="H178" s="94"/>
      <c r="J178" s="1204"/>
    </row>
    <row r="179" spans="1:10" x14ac:dyDescent="0.25">
      <c r="A179" s="585" t="str">
        <f>A178</f>
        <v/>
      </c>
      <c r="B179" s="254" t="str">
        <f>IF(LEN('Ch5'!H181)=0,"",'Ch5'!H181)</f>
        <v/>
      </c>
      <c r="C179" s="254" t="str">
        <f t="shared" si="2"/>
        <v/>
      </c>
      <c r="D179" s="667"/>
      <c r="E179" s="684"/>
      <c r="F179" s="684"/>
      <c r="G179" s="1755"/>
      <c r="H179" s="94"/>
      <c r="J179" s="1204"/>
    </row>
    <row r="180" spans="1:10" x14ac:dyDescent="0.25">
      <c r="A180" s="585" t="str">
        <f>IF(I180&gt;0,"P","")</f>
        <v/>
      </c>
      <c r="B180" s="254" t="str">
        <f>IF(LEN('Ch5'!H182)=0,"",'Ch5'!H182)</f>
        <v/>
      </c>
      <c r="C180" s="254" t="str">
        <f t="shared" si="2"/>
        <v/>
      </c>
      <c r="D180" s="667"/>
      <c r="E180" s="667" t="s">
        <v>434</v>
      </c>
      <c r="F180" s="667"/>
      <c r="G180" s="1754" t="s">
        <v>433</v>
      </c>
      <c r="H180" s="1313" t="str">
        <f>IF(LEN('Ch5'!W182)=0,"",'Ch5'!W182)</f>
        <v/>
      </c>
      <c r="I180" s="86">
        <f>'Ch5'!O182</f>
        <v>0</v>
      </c>
      <c r="J180" s="1204" t="s">
        <v>4934</v>
      </c>
    </row>
    <row r="181" spans="1:10" x14ac:dyDescent="0.25">
      <c r="A181" s="585" t="str">
        <f>A180</f>
        <v/>
      </c>
      <c r="B181" s="254" t="str">
        <f>IF(LEN('Ch5'!H183)=0,"",'Ch5'!H183)</f>
        <v/>
      </c>
      <c r="C181" s="254" t="str">
        <f t="shared" si="2"/>
        <v/>
      </c>
      <c r="D181" s="667"/>
      <c r="E181" s="684"/>
      <c r="F181" s="684"/>
      <c r="G181" s="1755"/>
      <c r="H181" s="94"/>
      <c r="J181" s="1204"/>
    </row>
    <row r="182" spans="1:10" x14ac:dyDescent="0.25">
      <c r="A182" s="585" t="str">
        <f>IF(I182&gt;0,"P","")</f>
        <v/>
      </c>
      <c r="B182" s="254" t="str">
        <f>IF(LEN('Ch5'!H184)=0,"",'Ch5'!H184)</f>
        <v/>
      </c>
      <c r="C182" s="254" t="str">
        <f t="shared" si="2"/>
        <v/>
      </c>
      <c r="D182" s="667"/>
      <c r="E182" s="667" t="s">
        <v>436</v>
      </c>
      <c r="F182" s="667"/>
      <c r="G182" s="1754" t="s">
        <v>435</v>
      </c>
      <c r="H182" s="1313" t="str">
        <f>IF(LEN('Ch5'!W184)=0,"",'Ch5'!W184)</f>
        <v/>
      </c>
      <c r="I182" s="86">
        <f>'Ch5'!O184</f>
        <v>0</v>
      </c>
      <c r="J182" s="1204" t="s">
        <v>3889</v>
      </c>
    </row>
    <row r="183" spans="1:10" x14ac:dyDescent="0.25">
      <c r="A183" s="585" t="str">
        <f>A182</f>
        <v/>
      </c>
      <c r="B183" s="254" t="str">
        <f>IF(LEN('Ch5'!H185)=0,"",'Ch5'!H185)</f>
        <v/>
      </c>
      <c r="C183" s="254" t="str">
        <f t="shared" si="2"/>
        <v/>
      </c>
      <c r="D183" s="667"/>
      <c r="E183" s="684"/>
      <c r="F183" s="684"/>
      <c r="G183" s="1755"/>
      <c r="H183" s="94"/>
      <c r="J183" s="1204"/>
    </row>
    <row r="184" spans="1:10" x14ac:dyDescent="0.25">
      <c r="A184" s="585" t="str">
        <f>IF(I184&gt;0,"P","")</f>
        <v/>
      </c>
      <c r="B184" s="254" t="str">
        <f>IF(LEN('Ch5'!H186)=0,"",'Ch5'!H186)</f>
        <v/>
      </c>
      <c r="C184" s="254" t="str">
        <f t="shared" si="2"/>
        <v/>
      </c>
      <c r="D184" s="668"/>
      <c r="E184" s="667" t="s">
        <v>3295</v>
      </c>
      <c r="F184" s="667"/>
      <c r="G184" s="1754" t="s">
        <v>437</v>
      </c>
      <c r="H184" s="1313" t="str">
        <f>IF(LEN('Ch5'!W186)=0,"",'Ch5'!W186)</f>
        <v/>
      </c>
      <c r="I184" s="86">
        <f>'Ch5'!O186</f>
        <v>0</v>
      </c>
      <c r="J184" s="1204" t="s">
        <v>3889</v>
      </c>
    </row>
    <row r="185" spans="1:10" ht="15.75" thickBot="1" x14ac:dyDescent="0.3">
      <c r="A185" s="585" t="str">
        <f>A184</f>
        <v/>
      </c>
      <c r="B185" s="254" t="str">
        <f>IF(LEN('Ch5'!H187)=0,"",'Ch5'!H187)</f>
        <v/>
      </c>
      <c r="C185" s="254" t="str">
        <f t="shared" si="2"/>
        <v/>
      </c>
      <c r="D185" s="673"/>
      <c r="E185" s="673"/>
      <c r="F185" s="673"/>
      <c r="G185" s="1783"/>
      <c r="H185" s="94"/>
      <c r="J185" s="1204"/>
    </row>
    <row r="186" spans="1:10" ht="15.75" thickTop="1" x14ac:dyDescent="0.25">
      <c r="A186" s="585" t="str">
        <f>IF(I186&gt;0,"P","")</f>
        <v/>
      </c>
      <c r="B186" s="254" t="str">
        <f>IF(LEN('Ch5'!H188)=0,"",'Ch5'!H188)</f>
        <v/>
      </c>
      <c r="C186" s="254" t="str">
        <f t="shared" si="2"/>
        <v/>
      </c>
      <c r="D186" s="139">
        <v>503.6</v>
      </c>
      <c r="E186" s="667"/>
      <c r="F186" s="667"/>
      <c r="G186" s="1782" t="s">
        <v>439</v>
      </c>
      <c r="H186" s="94"/>
      <c r="I186" s="86">
        <f>'Ch5'!O188</f>
        <v>0</v>
      </c>
      <c r="J186" s="1204" t="s">
        <v>4935</v>
      </c>
    </row>
    <row r="187" spans="1:10" x14ac:dyDescent="0.25">
      <c r="A187" s="585" t="str">
        <f>A186</f>
        <v/>
      </c>
      <c r="B187" s="254" t="str">
        <f>IF(LEN('Ch5'!H189)=0,"",'Ch5'!H189)</f>
        <v/>
      </c>
      <c r="C187" s="254" t="str">
        <f t="shared" si="2"/>
        <v/>
      </c>
      <c r="D187" s="667"/>
      <c r="E187" s="667"/>
      <c r="F187" s="667"/>
      <c r="G187" s="1782"/>
      <c r="H187" s="94"/>
      <c r="J187" s="1204"/>
    </row>
    <row r="188" spans="1:10" x14ac:dyDescent="0.25">
      <c r="B188" s="254" t="str">
        <f>IF(LEN('Ch5'!H190)=0,"",'Ch5'!H190)</f>
        <v/>
      </c>
      <c r="C188" s="254" t="str">
        <f t="shared" si="2"/>
        <v/>
      </c>
      <c r="D188" s="667"/>
      <c r="E188" s="684" t="s">
        <v>256</v>
      </c>
      <c r="F188" s="684"/>
      <c r="G188" s="1215" t="s">
        <v>440</v>
      </c>
      <c r="H188" s="1313" t="str">
        <f>IF(LEN('Ch5'!W190)=0,"",'Ch5'!W190)</f>
        <v/>
      </c>
      <c r="J188" s="1204"/>
    </row>
    <row r="189" spans="1:10" x14ac:dyDescent="0.25">
      <c r="B189" s="254" t="str">
        <f>IF(LEN('Ch5'!H191)=0,"",'Ch5'!H191)</f>
        <v/>
      </c>
      <c r="C189" s="254" t="str">
        <f t="shared" si="2"/>
        <v/>
      </c>
      <c r="D189" s="667"/>
      <c r="E189" s="684" t="s">
        <v>258</v>
      </c>
      <c r="F189" s="684"/>
      <c r="G189" s="1215" t="s">
        <v>441</v>
      </c>
      <c r="H189" s="1313" t="str">
        <f>IF(LEN('Ch5'!W191)=0,"",'Ch5'!W191)</f>
        <v/>
      </c>
      <c r="J189" s="1204"/>
    </row>
    <row r="190" spans="1:10" x14ac:dyDescent="0.25">
      <c r="B190" s="254" t="str">
        <f>IF(LEN('Ch5'!H192)=0,"",'Ch5'!H192)</f>
        <v/>
      </c>
      <c r="C190" s="254" t="str">
        <f t="shared" si="2"/>
        <v/>
      </c>
      <c r="D190" s="667"/>
      <c r="E190" s="668" t="s">
        <v>260</v>
      </c>
      <c r="F190" s="668"/>
      <c r="G190" s="1754" t="s">
        <v>442</v>
      </c>
      <c r="H190" s="1313" t="str">
        <f>IF(LEN('Ch5'!W192)=0,"",'Ch5'!W192)</f>
        <v/>
      </c>
      <c r="J190" s="1204"/>
    </row>
    <row r="191" spans="1:10" x14ac:dyDescent="0.25">
      <c r="B191" s="254" t="str">
        <f>IF(LEN('Ch5'!H193)=0,"",'Ch5'!H193)</f>
        <v/>
      </c>
      <c r="C191" s="254" t="str">
        <f t="shared" si="2"/>
        <v/>
      </c>
      <c r="D191" s="667"/>
      <c r="E191" s="684"/>
      <c r="F191" s="684"/>
      <c r="G191" s="1755"/>
      <c r="H191" s="94"/>
      <c r="J191" s="1204"/>
    </row>
    <row r="192" spans="1:10" ht="15.75" thickBot="1" x14ac:dyDescent="0.3">
      <c r="B192" s="254" t="str">
        <f>IF(LEN('Ch5'!H194)=0,"",'Ch5'!H194)</f>
        <v/>
      </c>
      <c r="C192" s="254" t="str">
        <f t="shared" si="2"/>
        <v/>
      </c>
      <c r="D192" s="673"/>
      <c r="E192" s="673" t="s">
        <v>269</v>
      </c>
      <c r="F192" s="673"/>
      <c r="G192" s="1229" t="s">
        <v>443</v>
      </c>
      <c r="H192" s="1313" t="str">
        <f>IF(LEN('Ch5'!W194)=0,"",'Ch5'!W194)</f>
        <v/>
      </c>
      <c r="J192" s="1204"/>
    </row>
    <row r="193" spans="1:10" ht="15.75" thickTop="1" x14ac:dyDescent="0.25">
      <c r="A193" s="585" t="str">
        <f>IF(I193&gt;0,"P","")</f>
        <v/>
      </c>
      <c r="B193" s="254" t="str">
        <f>IF(LEN('Ch5'!H195)=0,"",'Ch5'!H195)</f>
        <v/>
      </c>
      <c r="C193" s="254" t="str">
        <f t="shared" si="2"/>
        <v/>
      </c>
      <c r="D193" s="139">
        <v>503.7</v>
      </c>
      <c r="E193" s="667"/>
      <c r="F193" s="667"/>
      <c r="G193" s="1782" t="s">
        <v>445</v>
      </c>
      <c r="H193" s="94"/>
      <c r="I193" s="706">
        <f>SUM(I195:I197)</f>
        <v>0</v>
      </c>
      <c r="J193" s="1204"/>
    </row>
    <row r="194" spans="1:10" x14ac:dyDescent="0.25">
      <c r="A194" s="585" t="str">
        <f>A193</f>
        <v/>
      </c>
      <c r="B194" s="254" t="str">
        <f>IF(LEN('Ch5'!H196)=0,"",'Ch5'!H196)</f>
        <v/>
      </c>
      <c r="C194" s="254" t="str">
        <f t="shared" si="2"/>
        <v/>
      </c>
      <c r="D194" s="667"/>
      <c r="E194" s="667"/>
      <c r="F194" s="667"/>
      <c r="G194" s="1782"/>
      <c r="H194" s="94"/>
      <c r="J194" s="1204"/>
    </row>
    <row r="195" spans="1:10" x14ac:dyDescent="0.25">
      <c r="A195" s="585" t="str">
        <f>IF(I195&gt;0,"P","")</f>
        <v/>
      </c>
      <c r="B195" s="254" t="str">
        <f>IF(LEN('Ch5'!H197)=0,"",'Ch5'!H197)</f>
        <v/>
      </c>
      <c r="C195" s="254" t="str">
        <f t="shared" si="2"/>
        <v/>
      </c>
      <c r="D195" s="667"/>
      <c r="E195" s="668" t="s">
        <v>256</v>
      </c>
      <c r="F195" s="668"/>
      <c r="G195" s="1754" t="s">
        <v>446</v>
      </c>
      <c r="H195" s="1313" t="str">
        <f>IF(LEN('Ch5'!W197)=0,"",'Ch5'!W197)</f>
        <v/>
      </c>
      <c r="I195" s="86">
        <f>'Ch5'!O197</f>
        <v>0</v>
      </c>
      <c r="J195" s="1204" t="s">
        <v>4936</v>
      </c>
    </row>
    <row r="196" spans="1:10" x14ac:dyDescent="0.25">
      <c r="A196" s="585" t="str">
        <f>A195</f>
        <v/>
      </c>
      <c r="B196" s="254" t="str">
        <f>IF(LEN('Ch5'!H198)=0,"",'Ch5'!H198)</f>
        <v/>
      </c>
      <c r="C196" s="254" t="str">
        <f t="shared" si="2"/>
        <v/>
      </c>
      <c r="D196" s="667"/>
      <c r="E196" s="684"/>
      <c r="F196" s="684"/>
      <c r="G196" s="1755"/>
      <c r="H196" s="94"/>
      <c r="J196" s="1204"/>
    </row>
    <row r="197" spans="1:10" x14ac:dyDescent="0.25">
      <c r="A197" s="585" t="str">
        <f>IF(I197&gt;0,"P","")</f>
        <v/>
      </c>
      <c r="B197" s="254" t="str">
        <f>IF(LEN('Ch5'!H199)=0,"",'Ch5'!H199)</f>
        <v/>
      </c>
      <c r="C197" s="254" t="str">
        <f t="shared" si="2"/>
        <v/>
      </c>
      <c r="D197" s="668"/>
      <c r="E197" s="668" t="s">
        <v>258</v>
      </c>
      <c r="F197" s="668"/>
      <c r="G197" s="1754" t="s">
        <v>447</v>
      </c>
      <c r="H197" s="1313" t="str">
        <f>IF(LEN('Ch5'!W199)=0,"",'Ch5'!W199)</f>
        <v/>
      </c>
      <c r="I197" s="86">
        <f>'Ch5'!O199</f>
        <v>0</v>
      </c>
      <c r="J197" s="1950" t="s">
        <v>4937</v>
      </c>
    </row>
    <row r="198" spans="1:10" ht="15.75" thickBot="1" x14ac:dyDescent="0.3">
      <c r="A198" s="585" t="str">
        <f>A197</f>
        <v/>
      </c>
      <c r="B198" s="254" t="str">
        <f>IF(LEN('Ch5'!H200)=0,"",'Ch5'!H200)</f>
        <v/>
      </c>
      <c r="C198" s="254" t="str">
        <f t="shared" si="2"/>
        <v/>
      </c>
      <c r="D198" s="673"/>
      <c r="E198" s="673"/>
      <c r="F198" s="673"/>
      <c r="G198" s="1783"/>
      <c r="H198" s="94"/>
      <c r="J198" s="1951"/>
    </row>
    <row r="199" spans="1:10" ht="15.75" thickTop="1" x14ac:dyDescent="0.25">
      <c r="A199" s="585" t="str">
        <f ca="1">IF(I199&gt;0,"P","")</f>
        <v/>
      </c>
      <c r="B199" s="254" t="str">
        <f>IF(LEN('Ch5'!H201)=0,"",'Ch5'!H201)</f>
        <v/>
      </c>
      <c r="C199" s="254" t="str">
        <f t="shared" ca="1" si="2"/>
        <v/>
      </c>
      <c r="D199" s="139">
        <v>503.8</v>
      </c>
      <c r="E199" s="667"/>
      <c r="F199" s="667"/>
      <c r="G199" s="1782" t="s">
        <v>449</v>
      </c>
      <c r="H199" s="94"/>
      <c r="I199" s="86">
        <f ca="1">'Ch5'!O201</f>
        <v>0</v>
      </c>
      <c r="J199" s="1204" t="s">
        <v>4938</v>
      </c>
    </row>
    <row r="200" spans="1:10" x14ac:dyDescent="0.25">
      <c r="A200" s="585" t="str">
        <f ca="1">A199</f>
        <v/>
      </c>
      <c r="B200" s="254" t="str">
        <f>IF(LEN('Ch5'!H202)=0,"",'Ch5'!H202)</f>
        <v/>
      </c>
      <c r="C200" s="254" t="str">
        <f t="shared" ref="C200:C263" ca="1" si="3">IF(LEN(B200)=0,IF(A200="P","P",""),B200)</f>
        <v/>
      </c>
      <c r="D200" s="667"/>
      <c r="E200" s="667"/>
      <c r="F200" s="667"/>
      <c r="G200" s="1782"/>
      <c r="H200" s="1313" t="str">
        <f>IF(LEN('Ch5'!W202)=0,"",'Ch5'!W202)</f>
        <v/>
      </c>
      <c r="J200" s="1204"/>
    </row>
    <row r="201" spans="1:10" x14ac:dyDescent="0.25">
      <c r="A201" s="585" t="str">
        <f ca="1">A200</f>
        <v/>
      </c>
      <c r="B201" s="254" t="str">
        <f>IF(LEN('Ch5'!H203)=0,"",'Ch5'!H203)</f>
        <v/>
      </c>
      <c r="C201" s="254" t="str">
        <f t="shared" ca="1" si="3"/>
        <v/>
      </c>
      <c r="D201" s="667"/>
      <c r="E201" s="667"/>
      <c r="F201" s="667"/>
      <c r="G201" s="1782"/>
      <c r="H201" s="94"/>
      <c r="J201" s="1204"/>
    </row>
    <row r="202" spans="1:10" x14ac:dyDescent="0.25">
      <c r="B202" s="254" t="str">
        <f>IF(LEN('Ch5'!H204)=0,"",'Ch5'!H204)</f>
        <v/>
      </c>
      <c r="C202" s="254" t="str">
        <f t="shared" si="3"/>
        <v/>
      </c>
      <c r="D202" s="667"/>
      <c r="E202" s="667"/>
      <c r="F202" s="667"/>
      <c r="G202" s="1754" t="s">
        <v>450</v>
      </c>
      <c r="H202" s="94"/>
      <c r="J202" s="1204"/>
    </row>
    <row r="203" spans="1:10" x14ac:dyDescent="0.25">
      <c r="B203" s="254" t="str">
        <f>IF(LEN('Ch5'!H205)=0,"",'Ch5'!H205)</f>
        <v/>
      </c>
      <c r="C203" s="254" t="str">
        <f t="shared" si="3"/>
        <v/>
      </c>
      <c r="D203" s="667"/>
      <c r="E203" s="667"/>
      <c r="F203" s="667"/>
      <c r="G203" s="1754"/>
      <c r="H203" s="94"/>
      <c r="J203" s="1204"/>
    </row>
    <row r="204" spans="1:10" ht="18.75" x14ac:dyDescent="0.25">
      <c r="A204" s="585" t="s">
        <v>3974</v>
      </c>
      <c r="B204" s="254" t="str">
        <f>IF(LEN('Ch5'!H206)=0,"",'Ch5'!H206)</f>
        <v/>
      </c>
      <c r="C204" s="254" t="str">
        <f t="shared" si="3"/>
        <v>P</v>
      </c>
      <c r="D204" s="1385" t="s">
        <v>452</v>
      </c>
      <c r="E204" s="1385"/>
      <c r="F204" s="1385"/>
      <c r="G204" s="1312"/>
      <c r="H204" s="94"/>
      <c r="J204" s="1204"/>
    </row>
    <row r="205" spans="1:10" x14ac:dyDescent="0.25">
      <c r="B205" s="254" t="str">
        <f>IF(LEN('Ch5'!H207)=0,"",'Ch5'!H207)</f>
        <v/>
      </c>
      <c r="C205" s="254" t="str">
        <f t="shared" si="3"/>
        <v/>
      </c>
      <c r="D205" s="668" t="s">
        <v>451</v>
      </c>
      <c r="E205" s="668"/>
      <c r="F205" s="668"/>
      <c r="G205" s="1782" t="s">
        <v>453</v>
      </c>
      <c r="H205" s="94"/>
      <c r="J205" s="1204"/>
    </row>
    <row r="206" spans="1:10" ht="15.75" thickBot="1" x14ac:dyDescent="0.3">
      <c r="B206" s="254" t="str">
        <f>IF(LEN('Ch5'!H208)=0,"",'Ch5'!H208)</f>
        <v/>
      </c>
      <c r="C206" s="254" t="str">
        <f t="shared" si="3"/>
        <v/>
      </c>
      <c r="D206" s="673"/>
      <c r="E206" s="673"/>
      <c r="F206" s="673"/>
      <c r="G206" s="1797"/>
      <c r="H206" s="94"/>
      <c r="J206" s="1204"/>
    </row>
    <row r="207" spans="1:10" ht="15.75" thickTop="1" x14ac:dyDescent="0.25">
      <c r="A207" s="585" t="str">
        <f>IF(I207&gt;0,"P","")</f>
        <v/>
      </c>
      <c r="B207" s="254" t="str">
        <f>IF(LEN('Ch5'!H209)=0,"",'Ch5'!H209)</f>
        <v/>
      </c>
      <c r="C207" s="254" t="str">
        <f t="shared" si="3"/>
        <v/>
      </c>
      <c r="D207" s="682" t="s">
        <v>454</v>
      </c>
      <c r="E207" s="682"/>
      <c r="F207" s="682"/>
      <c r="G207" s="1781" t="s">
        <v>455</v>
      </c>
      <c r="H207" s="1313" t="str">
        <f>IF(LEN('Ch5'!W209)=0,"",'Ch5'!W209)</f>
        <v/>
      </c>
      <c r="I207" s="86">
        <f>'Ch5'!O209</f>
        <v>0</v>
      </c>
      <c r="J207" s="1204" t="s">
        <v>4939</v>
      </c>
    </row>
    <row r="208" spans="1:10" x14ac:dyDescent="0.25">
      <c r="A208" s="585" t="str">
        <f>A207</f>
        <v/>
      </c>
      <c r="B208" s="254" t="str">
        <f>IF(LEN('Ch5'!H210)=0,"",'Ch5'!H210)</f>
        <v/>
      </c>
      <c r="C208" s="254" t="str">
        <f t="shared" si="3"/>
        <v/>
      </c>
      <c r="D208" s="668"/>
      <c r="E208" s="668"/>
      <c r="F208" s="668"/>
      <c r="G208" s="1782"/>
      <c r="H208" s="94"/>
      <c r="J208" s="1204"/>
    </row>
    <row r="209" spans="1:10" x14ac:dyDescent="0.25">
      <c r="A209" s="585" t="str">
        <f>A208</f>
        <v/>
      </c>
      <c r="B209" s="254" t="str">
        <f>IF(LEN('Ch5'!H211)=0,"",'Ch5'!H211)</f>
        <v/>
      </c>
      <c r="C209" s="254" t="str">
        <f t="shared" si="3"/>
        <v/>
      </c>
      <c r="D209" s="668"/>
      <c r="E209" s="668"/>
      <c r="F209" s="668"/>
      <c r="G209" s="1782"/>
      <c r="H209" s="94"/>
      <c r="J209" s="1204"/>
    </row>
    <row r="210" spans="1:10" x14ac:dyDescent="0.25">
      <c r="A210" s="585" t="str">
        <f>A209</f>
        <v/>
      </c>
      <c r="B210" s="254" t="str">
        <f>IF(LEN('Ch5'!H212)=0,"",'Ch5'!H212)</f>
        <v/>
      </c>
      <c r="C210" s="254" t="str">
        <f t="shared" si="3"/>
        <v/>
      </c>
      <c r="D210" s="668"/>
      <c r="E210" s="668"/>
      <c r="F210" s="668"/>
      <c r="G210" s="1782"/>
      <c r="H210" s="94"/>
      <c r="J210" s="1204"/>
    </row>
    <row r="211" spans="1:10" ht="15.75" thickBot="1" x14ac:dyDescent="0.3">
      <c r="B211" s="254" t="str">
        <f>IF(LEN('Ch5'!H213)=0,"",'Ch5'!H213)</f>
        <v/>
      </c>
      <c r="C211" s="254" t="str">
        <f t="shared" si="3"/>
        <v/>
      </c>
      <c r="D211" s="673"/>
      <c r="E211" s="673"/>
      <c r="F211" s="673"/>
      <c r="G211" s="1317" t="s">
        <v>769</v>
      </c>
      <c r="H211" s="94"/>
      <c r="J211" s="1204"/>
    </row>
    <row r="212" spans="1:10" ht="15.75" thickTop="1" x14ac:dyDescent="0.25">
      <c r="A212" s="585" t="str">
        <f>IF(I212&gt;0,"P","")</f>
        <v/>
      </c>
      <c r="B212" s="254" t="str">
        <f>IF(LEN('Ch5'!H214)=0,"",'Ch5'!H214)</f>
        <v/>
      </c>
      <c r="C212" s="254" t="str">
        <f t="shared" si="3"/>
        <v/>
      </c>
      <c r="D212" s="667" t="s">
        <v>456</v>
      </c>
      <c r="E212" s="667"/>
      <c r="F212" s="667"/>
      <c r="G212" s="1782" t="s">
        <v>457</v>
      </c>
      <c r="H212" s="94"/>
      <c r="I212" s="706">
        <f>SUM(I214:I217)</f>
        <v>0</v>
      </c>
      <c r="J212" s="1204"/>
    </row>
    <row r="213" spans="1:10" x14ac:dyDescent="0.25">
      <c r="A213" s="585" t="str">
        <f>A212</f>
        <v/>
      </c>
      <c r="B213" s="254" t="str">
        <f>IF(LEN('Ch5'!H215)=0,"",'Ch5'!H215)</f>
        <v/>
      </c>
      <c r="C213" s="254" t="str">
        <f t="shared" si="3"/>
        <v/>
      </c>
      <c r="D213" s="667"/>
      <c r="E213" s="667"/>
      <c r="F213" s="667"/>
      <c r="G213" s="1782"/>
      <c r="H213" s="94"/>
      <c r="J213" s="1204"/>
    </row>
    <row r="214" spans="1:10" ht="25.5" x14ac:dyDescent="0.25">
      <c r="A214" s="585" t="str">
        <f>IF(I214&gt;0,"P","")</f>
        <v/>
      </c>
      <c r="B214" s="254" t="str">
        <f>IF(LEN('Ch5'!H216)=0,"",'Ch5'!H216)</f>
        <v/>
      </c>
      <c r="C214" s="254" t="str">
        <f t="shared" si="3"/>
        <v/>
      </c>
      <c r="D214" s="667"/>
      <c r="E214" s="684" t="s">
        <v>256</v>
      </c>
      <c r="F214" s="684"/>
      <c r="G214" s="1215" t="s">
        <v>458</v>
      </c>
      <c r="H214" s="1313" t="str">
        <f>IF(LEN('Ch5'!W216)=0,"",'Ch5'!W216)</f>
        <v/>
      </c>
      <c r="I214" s="86">
        <f>'Ch5'!O216</f>
        <v>0</v>
      </c>
      <c r="J214" s="1204" t="s">
        <v>4940</v>
      </c>
    </row>
    <row r="215" spans="1:10" x14ac:dyDescent="0.25">
      <c r="A215" s="585" t="str">
        <f>IF(I215&gt;0,"P","")</f>
        <v/>
      </c>
      <c r="B215" s="254" t="str">
        <f>IF(LEN('Ch5'!H217)=0,"",'Ch5'!H217)</f>
        <v/>
      </c>
      <c r="C215" s="254" t="str">
        <f t="shared" si="3"/>
        <v/>
      </c>
      <c r="D215" s="667"/>
      <c r="E215" s="668" t="s">
        <v>258</v>
      </c>
      <c r="F215" s="668"/>
      <c r="G215" s="1754" t="s">
        <v>459</v>
      </c>
      <c r="H215" s="1313" t="str">
        <f>IF(LEN('Ch5'!W217)=0,"",'Ch5'!W217)</f>
        <v/>
      </c>
      <c r="I215" s="86">
        <f>'Ch5'!O217</f>
        <v>0</v>
      </c>
      <c r="J215" s="1204" t="s">
        <v>4941</v>
      </c>
    </row>
    <row r="216" spans="1:10" x14ac:dyDescent="0.25">
      <c r="A216" s="585" t="str">
        <f>A215</f>
        <v/>
      </c>
      <c r="B216" s="254" t="str">
        <f>IF(LEN('Ch5'!H218)=0,"",'Ch5'!H218)</f>
        <v/>
      </c>
      <c r="C216" s="254" t="str">
        <f t="shared" si="3"/>
        <v/>
      </c>
      <c r="D216" s="667"/>
      <c r="E216" s="684"/>
      <c r="F216" s="684"/>
      <c r="G216" s="1755"/>
      <c r="H216" s="94"/>
      <c r="J216" s="1204"/>
    </row>
    <row r="217" spans="1:10" x14ac:dyDescent="0.25">
      <c r="A217" s="585" t="str">
        <f>IF(I217&gt;0,"P","")</f>
        <v/>
      </c>
      <c r="B217" s="254" t="str">
        <f>IF(LEN('Ch5'!H219)=0,"",'Ch5'!H219)</f>
        <v/>
      </c>
      <c r="C217" s="254" t="str">
        <f t="shared" si="3"/>
        <v/>
      </c>
      <c r="D217" s="668"/>
      <c r="E217" s="668" t="s">
        <v>260</v>
      </c>
      <c r="F217" s="668"/>
      <c r="G217" s="1754" t="s">
        <v>460</v>
      </c>
      <c r="H217" s="1313" t="str">
        <f>IF(LEN('Ch5'!W219)=0,"",'Ch5'!W219)</f>
        <v/>
      </c>
      <c r="I217" s="86">
        <f>'Ch5'!O219</f>
        <v>0</v>
      </c>
      <c r="J217" s="1204" t="s">
        <v>4942</v>
      </c>
    </row>
    <row r="218" spans="1:10" ht="15.75" thickBot="1" x14ac:dyDescent="0.3">
      <c r="A218" s="585" t="str">
        <f>A217</f>
        <v/>
      </c>
      <c r="B218" s="254" t="str">
        <f>IF(LEN('Ch5'!H220)=0,"",'Ch5'!H220)</f>
        <v/>
      </c>
      <c r="C218" s="254" t="str">
        <f t="shared" si="3"/>
        <v/>
      </c>
      <c r="D218" s="673"/>
      <c r="E218" s="673"/>
      <c r="F218" s="673"/>
      <c r="G218" s="1783"/>
      <c r="H218" s="94"/>
      <c r="J218" s="1204"/>
    </row>
    <row r="219" spans="1:10" ht="15.75" thickTop="1" x14ac:dyDescent="0.25">
      <c r="A219" s="585" t="str">
        <f>IF(I219&gt;0,"P","")</f>
        <v/>
      </c>
      <c r="B219" s="254" t="str">
        <f>IF(LEN('Ch5'!H221)=0,"",'Ch5'!H221)</f>
        <v/>
      </c>
      <c r="C219" s="254" t="str">
        <f t="shared" si="3"/>
        <v/>
      </c>
      <c r="D219" s="667" t="s">
        <v>461</v>
      </c>
      <c r="E219" s="667"/>
      <c r="F219" s="667"/>
      <c r="G219" s="1782" t="s">
        <v>462</v>
      </c>
      <c r="H219" s="94"/>
      <c r="I219" s="706">
        <f>SUM(I222:I245)</f>
        <v>0</v>
      </c>
      <c r="J219" s="1204"/>
    </row>
    <row r="220" spans="1:10" x14ac:dyDescent="0.25">
      <c r="A220" s="585" t="str">
        <f>A219</f>
        <v/>
      </c>
      <c r="B220" s="254" t="str">
        <f>IF(LEN('Ch5'!H222)=0,"",'Ch5'!H222)</f>
        <v/>
      </c>
      <c r="C220" s="254" t="str">
        <f t="shared" si="3"/>
        <v/>
      </c>
      <c r="D220" s="667"/>
      <c r="E220" s="667"/>
      <c r="F220" s="667"/>
      <c r="G220" s="1782"/>
      <c r="H220" s="94"/>
      <c r="J220" s="1204"/>
    </row>
    <row r="221" spans="1:10" x14ac:dyDescent="0.25">
      <c r="A221" s="585" t="str">
        <f>A220</f>
        <v/>
      </c>
      <c r="B221" s="254" t="str">
        <f>IF(LEN('Ch5'!H223)=0,"",'Ch5'!H223)</f>
        <v/>
      </c>
      <c r="C221" s="254" t="str">
        <f t="shared" si="3"/>
        <v/>
      </c>
      <c r="D221" s="667"/>
      <c r="E221" s="667"/>
      <c r="F221" s="667"/>
      <c r="G221" s="1782"/>
      <c r="H221" s="94"/>
      <c r="J221" s="1204"/>
    </row>
    <row r="222" spans="1:10" x14ac:dyDescent="0.25">
      <c r="A222" s="585" t="str">
        <f>IF(I222&gt;0,"P","")</f>
        <v/>
      </c>
      <c r="B222" s="254" t="str">
        <f>IF(LEN('Ch5'!H224)=0,"",'Ch5'!H224)</f>
        <v/>
      </c>
      <c r="C222" s="254" t="str">
        <f t="shared" si="3"/>
        <v/>
      </c>
      <c r="D222" s="667"/>
      <c r="E222" s="668" t="s">
        <v>256</v>
      </c>
      <c r="F222" s="668"/>
      <c r="G222" s="1754" t="s">
        <v>463</v>
      </c>
      <c r="H222" s="1313" t="str">
        <f>IF(LEN('Ch5'!W224)=0,"",'Ch5'!W224)</f>
        <v/>
      </c>
      <c r="I222" s="86">
        <f>'Ch5'!O224</f>
        <v>0</v>
      </c>
      <c r="J222" s="1204" t="s">
        <v>4943</v>
      </c>
    </row>
    <row r="223" spans="1:10" x14ac:dyDescent="0.25">
      <c r="A223" s="585" t="str">
        <f>A222</f>
        <v/>
      </c>
      <c r="B223" s="254" t="str">
        <f>IF(LEN('Ch5'!H225)=0,"",'Ch5'!H225)</f>
        <v/>
      </c>
      <c r="C223" s="254" t="str">
        <f t="shared" si="3"/>
        <v/>
      </c>
      <c r="D223" s="667"/>
      <c r="E223" s="684"/>
      <c r="F223" s="684"/>
      <c r="G223" s="1755"/>
      <c r="H223" s="94"/>
      <c r="J223" s="1204"/>
    </row>
    <row r="224" spans="1:10" x14ac:dyDescent="0.25">
      <c r="A224" s="585" t="str">
        <f>IF(I224&gt;0,"P","")</f>
        <v/>
      </c>
      <c r="B224" s="254" t="str">
        <f>IF(LEN('Ch5'!H226)=0,"",'Ch5'!H226)</f>
        <v/>
      </c>
      <c r="C224" s="254" t="str">
        <f t="shared" si="3"/>
        <v/>
      </c>
      <c r="D224" s="667"/>
      <c r="E224" s="684" t="s">
        <v>258</v>
      </c>
      <c r="F224" s="684"/>
      <c r="G224" s="1215" t="s">
        <v>464</v>
      </c>
      <c r="H224" s="1313" t="str">
        <f>IF(LEN('Ch5'!W226)=0,"",'Ch5'!W226)</f>
        <v/>
      </c>
      <c r="I224" s="86">
        <f>'Ch5'!O226</f>
        <v>0</v>
      </c>
      <c r="J224" s="1204" t="s">
        <v>3892</v>
      </c>
    </row>
    <row r="225" spans="1:10" x14ac:dyDescent="0.25">
      <c r="A225" s="585" t="str">
        <f>IF(I225&gt;0,"P","")</f>
        <v/>
      </c>
      <c r="B225" s="254" t="str">
        <f>IF(LEN('Ch5'!H227)=0,"",'Ch5'!H227)</f>
        <v/>
      </c>
      <c r="C225" s="254" t="str">
        <f t="shared" si="3"/>
        <v/>
      </c>
      <c r="D225" s="667"/>
      <c r="E225" s="668" t="s">
        <v>260</v>
      </c>
      <c r="F225" s="668"/>
      <c r="G225" s="1754" t="s">
        <v>465</v>
      </c>
      <c r="H225" s="1313" t="str">
        <f>IF(LEN('Ch5'!W227)=0,"",'Ch5'!W227)</f>
        <v/>
      </c>
      <c r="I225" s="86">
        <f>'Ch5'!O227</f>
        <v>0</v>
      </c>
      <c r="J225" s="1204" t="s">
        <v>3892</v>
      </c>
    </row>
    <row r="226" spans="1:10" x14ac:dyDescent="0.25">
      <c r="A226" s="585" t="str">
        <f>A225</f>
        <v/>
      </c>
      <c r="B226" s="254" t="str">
        <f>IF(LEN('Ch5'!H228)=0,"",'Ch5'!H228)</f>
        <v/>
      </c>
      <c r="C226" s="254" t="str">
        <f t="shared" si="3"/>
        <v/>
      </c>
      <c r="D226" s="667"/>
      <c r="E226" s="684"/>
      <c r="F226" s="684"/>
      <c r="G226" s="1755"/>
      <c r="H226" s="94"/>
      <c r="J226" s="1204"/>
    </row>
    <row r="227" spans="1:10" x14ac:dyDescent="0.25">
      <c r="A227" s="585" t="str">
        <f>IF(I227&gt;0,"P","")</f>
        <v/>
      </c>
      <c r="B227" s="254" t="str">
        <f>IF(LEN('Ch5'!H229)=0,"",'Ch5'!H229)</f>
        <v/>
      </c>
      <c r="C227" s="254" t="str">
        <f t="shared" si="3"/>
        <v/>
      </c>
      <c r="D227" s="667"/>
      <c r="E227" s="668" t="s">
        <v>269</v>
      </c>
      <c r="F227" s="668"/>
      <c r="G227" s="1754" t="s">
        <v>466</v>
      </c>
      <c r="H227" s="1313" t="str">
        <f>IF(LEN('Ch5'!W229)=0,"",'Ch5'!W229)</f>
        <v/>
      </c>
      <c r="I227" s="86">
        <f>'Ch5'!O229</f>
        <v>0</v>
      </c>
      <c r="J227" s="1204" t="s">
        <v>3892</v>
      </c>
    </row>
    <row r="228" spans="1:10" x14ac:dyDescent="0.25">
      <c r="A228" s="585" t="str">
        <f>A227</f>
        <v/>
      </c>
      <c r="B228" s="254" t="str">
        <f>IF(LEN('Ch5'!H230)=0,"",'Ch5'!H230)</f>
        <v/>
      </c>
      <c r="C228" s="254" t="str">
        <f t="shared" si="3"/>
        <v/>
      </c>
      <c r="D228" s="667"/>
      <c r="E228" s="684"/>
      <c r="F228" s="684"/>
      <c r="G228" s="1755"/>
      <c r="H228" s="94"/>
      <c r="J228" s="1204"/>
    </row>
    <row r="229" spans="1:10" x14ac:dyDescent="0.25">
      <c r="A229" s="585" t="str">
        <f>IF(I229&gt;0,"P","")</f>
        <v/>
      </c>
      <c r="B229" s="254" t="str">
        <f>IF(LEN('Ch5'!H231)=0,"",'Ch5'!H231)</f>
        <v/>
      </c>
      <c r="C229" s="254" t="str">
        <f t="shared" si="3"/>
        <v/>
      </c>
      <c r="D229" s="667"/>
      <c r="E229" s="668" t="s">
        <v>275</v>
      </c>
      <c r="F229" s="668"/>
      <c r="G229" s="1754" t="s">
        <v>467</v>
      </c>
      <c r="H229" s="1313" t="str">
        <f>IF(LEN('Ch5'!W231)=0,"",'Ch5'!W231)</f>
        <v/>
      </c>
      <c r="I229" s="86">
        <f>'Ch5'!O231</f>
        <v>0</v>
      </c>
      <c r="J229" s="1204" t="s">
        <v>3892</v>
      </c>
    </row>
    <row r="230" spans="1:10" x14ac:dyDescent="0.25">
      <c r="A230" s="585" t="str">
        <f>A229</f>
        <v/>
      </c>
      <c r="B230" s="254" t="str">
        <f>IF(LEN('Ch5'!H232)=0,"",'Ch5'!H232)</f>
        <v/>
      </c>
      <c r="C230" s="254" t="str">
        <f t="shared" si="3"/>
        <v/>
      </c>
      <c r="D230" s="667"/>
      <c r="E230" s="668"/>
      <c r="F230" s="668"/>
      <c r="G230" s="1754"/>
      <c r="H230" s="94"/>
      <c r="J230" s="1204"/>
    </row>
    <row r="231" spans="1:10" x14ac:dyDescent="0.25">
      <c r="A231" s="585" t="str">
        <f>A230</f>
        <v/>
      </c>
      <c r="B231" s="254" t="str">
        <f>IF(LEN('Ch5'!H233)=0,"",'Ch5'!H233)</f>
        <v/>
      </c>
      <c r="C231" s="254" t="str">
        <f t="shared" si="3"/>
        <v/>
      </c>
      <c r="D231" s="667"/>
      <c r="E231" s="668"/>
      <c r="F231" s="668"/>
      <c r="G231" s="1754"/>
      <c r="H231" s="94"/>
      <c r="J231" s="1204"/>
    </row>
    <row r="232" spans="1:10" x14ac:dyDescent="0.25">
      <c r="A232" s="585" t="str">
        <f>A231</f>
        <v/>
      </c>
      <c r="B232" s="254" t="str">
        <f>IF(LEN('Ch5'!H234)=0,"",'Ch5'!H234)</f>
        <v/>
      </c>
      <c r="C232" s="254" t="str">
        <f t="shared" si="3"/>
        <v/>
      </c>
      <c r="D232" s="667"/>
      <c r="E232" s="684"/>
      <c r="F232" s="684"/>
      <c r="G232" s="1755"/>
      <c r="H232" s="94"/>
      <c r="J232" s="1204"/>
    </row>
    <row r="233" spans="1:10" x14ac:dyDescent="0.25">
      <c r="A233" s="585" t="str">
        <f>IF(I233&gt;0,"P","")</f>
        <v/>
      </c>
      <c r="B233" s="254" t="str">
        <f>IF(LEN('Ch5'!H235)=0,"",'Ch5'!H235)</f>
        <v/>
      </c>
      <c r="C233" s="254" t="str">
        <f t="shared" si="3"/>
        <v/>
      </c>
      <c r="D233" s="667"/>
      <c r="E233" s="668" t="s">
        <v>277</v>
      </c>
      <c r="F233" s="668"/>
      <c r="G233" s="1754" t="s">
        <v>468</v>
      </c>
      <c r="H233" s="1313" t="str">
        <f>IF(LEN('Ch5'!W235)=0,"",'Ch5'!W235)</f>
        <v/>
      </c>
      <c r="I233" s="86">
        <f>'Ch5'!O235</f>
        <v>0</v>
      </c>
      <c r="J233" s="1204" t="s">
        <v>4944</v>
      </c>
    </row>
    <row r="234" spans="1:10" x14ac:dyDescent="0.25">
      <c r="A234" s="585" t="str">
        <f>A233</f>
        <v/>
      </c>
      <c r="B234" s="254" t="str">
        <f>IF(LEN('Ch5'!H236)=0,"",'Ch5'!H236)</f>
        <v/>
      </c>
      <c r="C234" s="254" t="str">
        <f t="shared" si="3"/>
        <v/>
      </c>
      <c r="D234" s="667"/>
      <c r="E234" s="668"/>
      <c r="F234" s="668"/>
      <c r="G234" s="1754"/>
      <c r="H234" s="94"/>
      <c r="J234" s="1204"/>
    </row>
    <row r="235" spans="1:10" x14ac:dyDescent="0.25">
      <c r="A235" s="585" t="str">
        <f>A234</f>
        <v/>
      </c>
      <c r="B235" s="254" t="str">
        <f>IF(LEN('Ch5'!H237)=0,"",'Ch5'!H237)</f>
        <v/>
      </c>
      <c r="C235" s="254" t="str">
        <f t="shared" si="3"/>
        <v/>
      </c>
      <c r="D235" s="667"/>
      <c r="E235" s="684"/>
      <c r="F235" s="684"/>
      <c r="G235" s="1755"/>
      <c r="H235" s="94"/>
      <c r="J235" s="1204"/>
    </row>
    <row r="236" spans="1:10" x14ac:dyDescent="0.25">
      <c r="A236" s="585" t="str">
        <f>IF(I236&gt;0,"P","")</f>
        <v/>
      </c>
      <c r="B236" s="254" t="str">
        <f>IF(LEN('Ch5'!H238)=0,"",'Ch5'!H238)</f>
        <v/>
      </c>
      <c r="C236" s="254" t="str">
        <f t="shared" si="3"/>
        <v/>
      </c>
      <c r="D236" s="667"/>
      <c r="E236" s="684" t="s">
        <v>383</v>
      </c>
      <c r="F236" s="684"/>
      <c r="G236" s="1215" t="s">
        <v>469</v>
      </c>
      <c r="H236" s="1313" t="str">
        <f>IF(LEN('Ch5'!W238)=0,"",'Ch5'!W238)</f>
        <v/>
      </c>
      <c r="I236" s="86">
        <f>'Ch5'!O238</f>
        <v>0</v>
      </c>
      <c r="J236" s="1204" t="s">
        <v>4945</v>
      </c>
    </row>
    <row r="237" spans="1:10" x14ac:dyDescent="0.25">
      <c r="A237" s="585" t="str">
        <f>IF(I237&gt;0,"P","")</f>
        <v/>
      </c>
      <c r="B237" s="254" t="str">
        <f>IF(LEN('Ch5'!H239)=0,"",'Ch5'!H239)</f>
        <v/>
      </c>
      <c r="C237" s="254" t="str">
        <f t="shared" si="3"/>
        <v/>
      </c>
      <c r="D237" s="667"/>
      <c r="E237" s="668" t="s">
        <v>428</v>
      </c>
      <c r="F237" s="668"/>
      <c r="G237" s="1223" t="s">
        <v>2978</v>
      </c>
      <c r="H237" s="94"/>
      <c r="I237" s="86">
        <f>'Ch5'!O239</f>
        <v>0</v>
      </c>
      <c r="J237" s="1204" t="s">
        <v>4946</v>
      </c>
    </row>
    <row r="238" spans="1:10" x14ac:dyDescent="0.25">
      <c r="B238" s="254" t="str">
        <f>IF(LEN('Ch5'!H240)=0,"",'Ch5'!H240)</f>
        <v/>
      </c>
      <c r="C238" s="254" t="str">
        <f t="shared" si="3"/>
        <v/>
      </c>
      <c r="D238" s="667"/>
      <c r="E238" s="668"/>
      <c r="F238" s="668"/>
      <c r="G238" s="1223" t="s">
        <v>2984</v>
      </c>
      <c r="H238" s="1313" t="str">
        <f>IF(LEN('Ch5'!W240)=0,"",'Ch5'!W240)</f>
        <v/>
      </c>
      <c r="J238" s="1204"/>
    </row>
    <row r="239" spans="1:10" x14ac:dyDescent="0.25">
      <c r="B239" s="254" t="str">
        <f>IF(LEN('Ch5'!H241)=0,"",'Ch5'!H241)</f>
        <v/>
      </c>
      <c r="C239" s="254" t="str">
        <f t="shared" si="3"/>
        <v/>
      </c>
      <c r="D239" s="667"/>
      <c r="E239" s="668"/>
      <c r="F239" s="668"/>
      <c r="G239" s="1223" t="s">
        <v>2983</v>
      </c>
      <c r="H239" s="1313" t="str">
        <f>IF(LEN('Ch5'!W241)=0,"",'Ch5'!W241)</f>
        <v/>
      </c>
      <c r="J239" s="1204"/>
    </row>
    <row r="240" spans="1:10" x14ac:dyDescent="0.25">
      <c r="B240" s="254" t="str">
        <f>IF(LEN('Ch5'!H242)=0,"",'Ch5'!H242)</f>
        <v/>
      </c>
      <c r="C240" s="254" t="str">
        <f t="shared" si="3"/>
        <v/>
      </c>
      <c r="D240" s="667"/>
      <c r="E240" s="668"/>
      <c r="F240" s="668"/>
      <c r="G240" s="1223" t="s">
        <v>2982</v>
      </c>
      <c r="H240" s="1313" t="str">
        <f>IF(LEN('Ch5'!W242)=0,"",'Ch5'!W242)</f>
        <v/>
      </c>
      <c r="J240" s="1204"/>
    </row>
    <row r="241" spans="1:10" x14ac:dyDescent="0.25">
      <c r="B241" s="254" t="str">
        <f>IF(LEN('Ch5'!H243)=0,"",'Ch5'!H243)</f>
        <v/>
      </c>
      <c r="C241" s="254" t="str">
        <f t="shared" si="3"/>
        <v/>
      </c>
      <c r="D241" s="667"/>
      <c r="E241" s="668"/>
      <c r="F241" s="668"/>
      <c r="G241" s="1223" t="s">
        <v>2981</v>
      </c>
      <c r="H241" s="1313" t="str">
        <f>IF(LEN('Ch5'!W243)=0,"",'Ch5'!W243)</f>
        <v/>
      </c>
      <c r="J241" s="1204"/>
    </row>
    <row r="242" spans="1:10" x14ac:dyDescent="0.25">
      <c r="B242" s="254" t="str">
        <f>IF(LEN('Ch5'!H244)=0,"",'Ch5'!H244)</f>
        <v/>
      </c>
      <c r="C242" s="254" t="str">
        <f t="shared" si="3"/>
        <v/>
      </c>
      <c r="D242" s="667"/>
      <c r="E242" s="668"/>
      <c r="F242" s="668"/>
      <c r="G242" s="1223" t="s">
        <v>2980</v>
      </c>
      <c r="H242" s="1313" t="str">
        <f>IF(LEN('Ch5'!W244)=0,"",'Ch5'!W244)</f>
        <v/>
      </c>
      <c r="J242" s="1204"/>
    </row>
    <row r="243" spans="1:10" x14ac:dyDescent="0.25">
      <c r="B243" s="254" t="str">
        <f>IF(LEN('Ch5'!H245)=0,"",'Ch5'!H245)</f>
        <v/>
      </c>
      <c r="C243" s="254" t="str">
        <f t="shared" si="3"/>
        <v/>
      </c>
      <c r="D243" s="667"/>
      <c r="E243" s="668"/>
      <c r="F243" s="668"/>
      <c r="G243" s="1223" t="s">
        <v>2979</v>
      </c>
      <c r="H243" s="1313" t="str">
        <f>IF(LEN('Ch5'!W245)=0,"",'Ch5'!W245)</f>
        <v/>
      </c>
      <c r="J243" s="1204"/>
    </row>
    <row r="244" spans="1:10" x14ac:dyDescent="0.25">
      <c r="B244" s="254" t="str">
        <f>IF(LEN('Ch5'!H246)=0,"",'Ch5'!H246)</f>
        <v/>
      </c>
      <c r="C244" s="254" t="str">
        <f t="shared" si="3"/>
        <v/>
      </c>
      <c r="D244" s="667"/>
      <c r="E244" s="684"/>
      <c r="F244" s="684"/>
      <c r="G244" s="1314" t="s">
        <v>2977</v>
      </c>
      <c r="H244" s="94"/>
      <c r="J244" s="1204"/>
    </row>
    <row r="245" spans="1:10" x14ac:dyDescent="0.25">
      <c r="A245" s="585" t="str">
        <f>IF(I245&gt;0,"P","")</f>
        <v/>
      </c>
      <c r="B245" s="254" t="str">
        <f>IF(LEN('Ch5'!H247)=0,"",'Ch5'!H247)</f>
        <v/>
      </c>
      <c r="C245" s="254" t="str">
        <f t="shared" si="3"/>
        <v/>
      </c>
      <c r="D245" s="667"/>
      <c r="E245" s="667" t="s">
        <v>430</v>
      </c>
      <c r="F245" s="667"/>
      <c r="G245" s="1225" t="s">
        <v>470</v>
      </c>
      <c r="H245" s="1313" t="str">
        <f>IF(LEN('Ch5'!W247)=0,"",'Ch5'!W247)</f>
        <v/>
      </c>
      <c r="I245" s="86">
        <f>'Ch5'!O247</f>
        <v>0</v>
      </c>
      <c r="J245" s="1204" t="s">
        <v>4947</v>
      </c>
    </row>
    <row r="246" spans="1:10" ht="18.75" x14ac:dyDescent="0.25">
      <c r="A246" s="585" t="s">
        <v>3974</v>
      </c>
      <c r="B246" s="254" t="str">
        <f>IF(LEN('Ch5'!H248)=0,"",'Ch5'!H248)</f>
        <v/>
      </c>
      <c r="C246" s="254" t="str">
        <f t="shared" si="3"/>
        <v>P</v>
      </c>
      <c r="D246" s="1388" t="s">
        <v>472</v>
      </c>
      <c r="E246" s="1388"/>
      <c r="F246" s="1388"/>
      <c r="G246" s="1312"/>
      <c r="H246" s="94"/>
      <c r="J246" s="1204"/>
    </row>
    <row r="247" spans="1:10" x14ac:dyDescent="0.25">
      <c r="B247" s="254" t="str">
        <f>IF(LEN('Ch5'!H249)=0,"",'Ch5'!H249)</f>
        <v/>
      </c>
      <c r="C247" s="254" t="str">
        <f t="shared" si="3"/>
        <v/>
      </c>
      <c r="D247" s="668" t="s">
        <v>3984</v>
      </c>
      <c r="E247" s="668"/>
      <c r="F247" s="668"/>
      <c r="G247" s="1782" t="s">
        <v>473</v>
      </c>
      <c r="H247" s="94"/>
      <c r="J247" s="1204"/>
    </row>
    <row r="248" spans="1:10" x14ac:dyDescent="0.25">
      <c r="B248" s="254" t="str">
        <f>IF(LEN('Ch5'!H250)=0,"",'Ch5'!H250)</f>
        <v/>
      </c>
      <c r="C248" s="254" t="str">
        <f t="shared" si="3"/>
        <v/>
      </c>
      <c r="D248" s="668"/>
      <c r="E248" s="668"/>
      <c r="F248" s="668"/>
      <c r="G248" s="1782"/>
      <c r="H248" s="94"/>
      <c r="J248" s="1204"/>
    </row>
    <row r="249" spans="1:10" ht="15.75" thickBot="1" x14ac:dyDescent="0.3">
      <c r="B249" s="254" t="str">
        <f>IF(LEN('Ch5'!H251)=0,"",'Ch5'!H251)</f>
        <v/>
      </c>
      <c r="C249" s="254" t="str">
        <f t="shared" si="3"/>
        <v/>
      </c>
      <c r="D249" s="673"/>
      <c r="E249" s="673"/>
      <c r="F249" s="673"/>
      <c r="G249" s="1797"/>
      <c r="H249" s="94"/>
      <c r="J249" s="1204"/>
    </row>
    <row r="250" spans="1:10" ht="15.75" thickTop="1" x14ac:dyDescent="0.25">
      <c r="A250" s="585" t="str">
        <f ca="1">IF(I250&gt;0,"P","")</f>
        <v/>
      </c>
      <c r="B250" s="254" t="str">
        <f>IF(LEN('Ch5'!H252)=0,"",'Ch5'!H252)</f>
        <v/>
      </c>
      <c r="C250" s="254" t="str">
        <f t="shared" ca="1" si="3"/>
        <v/>
      </c>
      <c r="D250" s="667" t="s">
        <v>474</v>
      </c>
      <c r="E250" s="667"/>
      <c r="F250" s="667"/>
      <c r="G250" s="1782" t="s">
        <v>475</v>
      </c>
      <c r="H250" s="94"/>
      <c r="I250" s="706">
        <f ca="1">SUM(I252:I256)</f>
        <v>0</v>
      </c>
      <c r="J250" s="1204"/>
    </row>
    <row r="251" spans="1:10" x14ac:dyDescent="0.25">
      <c r="A251" s="585" t="str">
        <f ca="1">A250</f>
        <v/>
      </c>
      <c r="B251" s="254" t="str">
        <f>IF(LEN('Ch5'!H253)=0,"",'Ch5'!H253)</f>
        <v/>
      </c>
      <c r="C251" s="254" t="str">
        <f t="shared" ca="1" si="3"/>
        <v/>
      </c>
      <c r="D251" s="667"/>
      <c r="E251" s="667"/>
      <c r="F251" s="667"/>
      <c r="G251" s="1782"/>
      <c r="H251" s="94"/>
      <c r="J251" s="1204"/>
    </row>
    <row r="252" spans="1:10" x14ac:dyDescent="0.25">
      <c r="A252" s="585" t="str">
        <f>IF(I252&gt;0,"P","")</f>
        <v/>
      </c>
      <c r="B252" s="254" t="str">
        <f>IF(LEN('Ch5'!H254)=0,"",'Ch5'!H254)</f>
        <v/>
      </c>
      <c r="C252" s="254" t="str">
        <f t="shared" si="3"/>
        <v/>
      </c>
      <c r="D252" s="667"/>
      <c r="E252" s="668" t="s">
        <v>256</v>
      </c>
      <c r="F252" s="668"/>
      <c r="G252" s="1754" t="s">
        <v>476</v>
      </c>
      <c r="H252" s="1313" t="str">
        <f>IF(LEN('Ch5'!W254)=0,"",'Ch5'!W254)</f>
        <v/>
      </c>
      <c r="I252" s="86">
        <f>'Ch5'!O254</f>
        <v>0</v>
      </c>
      <c r="J252" s="1204" t="s">
        <v>3892</v>
      </c>
    </row>
    <row r="253" spans="1:10" x14ac:dyDescent="0.25">
      <c r="A253" s="585" t="str">
        <f>A252</f>
        <v/>
      </c>
      <c r="B253" s="254" t="str">
        <f>IF(LEN('Ch5'!H255)=0,"",'Ch5'!H255)</f>
        <v/>
      </c>
      <c r="C253" s="254" t="str">
        <f t="shared" si="3"/>
        <v/>
      </c>
      <c r="D253" s="667"/>
      <c r="E253" s="684"/>
      <c r="F253" s="684"/>
      <c r="G253" s="1755"/>
      <c r="H253" s="94"/>
      <c r="J253" s="1204"/>
    </row>
    <row r="254" spans="1:10" x14ac:dyDescent="0.25">
      <c r="A254" s="585" t="str">
        <f ca="1">IF(I254&gt;0,"P","")</f>
        <v/>
      </c>
      <c r="B254" s="254" t="str">
        <f>IF(LEN('Ch5'!H256)=0,"",'Ch5'!H256)</f>
        <v/>
      </c>
      <c r="C254" s="254" t="str">
        <f t="shared" ca="1" si="3"/>
        <v/>
      </c>
      <c r="D254" s="667"/>
      <c r="E254" s="693" t="s">
        <v>258</v>
      </c>
      <c r="F254" s="693"/>
      <c r="G254" s="1760" t="s">
        <v>477</v>
      </c>
      <c r="H254" s="1313" t="str">
        <f>IF(LEN('Ch5'!W256)=0,"",'Ch5'!W256)</f>
        <v/>
      </c>
      <c r="I254" s="86">
        <f ca="1">'Ch5'!O256</f>
        <v>0</v>
      </c>
      <c r="J254" s="1256" t="s">
        <v>4948</v>
      </c>
    </row>
    <row r="255" spans="1:10" x14ac:dyDescent="0.25">
      <c r="A255" s="585" t="str">
        <f ca="1">A254</f>
        <v/>
      </c>
      <c r="B255" s="254" t="str">
        <f>IF(LEN('Ch5'!H257)=0,"",'Ch5'!H257)</f>
        <v/>
      </c>
      <c r="C255" s="254" t="str">
        <f t="shared" ca="1" si="3"/>
        <v/>
      </c>
      <c r="E255" s="1387"/>
      <c r="F255" s="1387"/>
      <c r="G255" s="1761"/>
      <c r="H255" s="94"/>
      <c r="J255" s="1204"/>
    </row>
    <row r="256" spans="1:10" x14ac:dyDescent="0.25">
      <c r="A256" s="585" t="str">
        <f ca="1">IF(I256&gt;0,"P","")</f>
        <v/>
      </c>
      <c r="B256" s="254" t="str">
        <f>IF(LEN('Ch5'!H258)=0,"",'Ch5'!H258)</f>
        <v/>
      </c>
      <c r="C256" s="254" t="str">
        <f t="shared" ca="1" si="3"/>
        <v/>
      </c>
      <c r="D256" s="668"/>
      <c r="E256" s="668" t="s">
        <v>260</v>
      </c>
      <c r="F256" s="668"/>
      <c r="G256" s="1225" t="s">
        <v>478</v>
      </c>
      <c r="H256" s="1313" t="str">
        <f>IF(LEN('Ch5'!W258)=0,"",'Ch5'!W258)</f>
        <v/>
      </c>
      <c r="I256" s="86">
        <f ca="1">'Ch5'!O258</f>
        <v>0</v>
      </c>
      <c r="J256" s="1204" t="s">
        <v>3892</v>
      </c>
    </row>
    <row r="257" spans="1:10" x14ac:dyDescent="0.25">
      <c r="B257" s="254" t="str">
        <f>IF(LEN('Ch5'!H259)=0,"",'Ch5'!H259)</f>
        <v/>
      </c>
      <c r="C257" s="254" t="str">
        <f t="shared" si="3"/>
        <v/>
      </c>
      <c r="D257" s="1390"/>
      <c r="E257" s="668"/>
      <c r="F257" s="668" t="s">
        <v>121</v>
      </c>
      <c r="G257" s="1225" t="s">
        <v>479</v>
      </c>
      <c r="H257" s="94"/>
      <c r="J257" s="1204"/>
    </row>
    <row r="258" spans="1:10" x14ac:dyDescent="0.25">
      <c r="B258" s="254" t="str">
        <f>IF(LEN('Ch5'!H260)=0,"",'Ch5'!H260)</f>
        <v/>
      </c>
      <c r="C258" s="254" t="str">
        <f t="shared" si="3"/>
        <v/>
      </c>
      <c r="D258" s="1390"/>
      <c r="E258" s="668"/>
      <c r="F258" s="668" t="s">
        <v>122</v>
      </c>
      <c r="G258" s="1225" t="s">
        <v>480</v>
      </c>
      <c r="H258" s="94"/>
      <c r="J258" s="1204"/>
    </row>
    <row r="259" spans="1:10" ht="15.75" thickBot="1" x14ac:dyDescent="0.3">
      <c r="B259" s="254" t="str">
        <f>IF(LEN('Ch5'!H261)=0,"",'Ch5'!H261)</f>
        <v/>
      </c>
      <c r="C259" s="254" t="str">
        <f t="shared" si="3"/>
        <v/>
      </c>
      <c r="D259" s="1386"/>
      <c r="E259" s="673"/>
      <c r="F259" s="690" t="s">
        <v>123</v>
      </c>
      <c r="G259" s="1229" t="s">
        <v>391</v>
      </c>
      <c r="H259" s="94"/>
      <c r="J259" s="1204"/>
    </row>
    <row r="260" spans="1:10" ht="15.75" thickTop="1" x14ac:dyDescent="0.25">
      <c r="A260" s="585" t="str">
        <f>IF(I260&gt;0,"P","")</f>
        <v/>
      </c>
      <c r="B260" s="254" t="str">
        <f>IF(LEN('Ch5'!H262)=0,"",'Ch5'!H262)</f>
        <v/>
      </c>
      <c r="C260" s="254" t="str">
        <f t="shared" si="3"/>
        <v/>
      </c>
      <c r="D260" s="667" t="s">
        <v>482</v>
      </c>
      <c r="E260" s="667"/>
      <c r="F260" s="667"/>
      <c r="G260" s="1235" t="s">
        <v>483</v>
      </c>
      <c r="H260" s="94"/>
      <c r="I260" s="706">
        <f>SUM(I261:I271)</f>
        <v>0</v>
      </c>
      <c r="J260" s="1204"/>
    </row>
    <row r="261" spans="1:10" x14ac:dyDescent="0.25">
      <c r="A261" s="585" t="str">
        <f>IF(I261&gt;0,"P","")</f>
        <v/>
      </c>
      <c r="B261" s="254" t="str">
        <f>IF(LEN('Ch5'!H263)=0,"",'Ch5'!H263)</f>
        <v/>
      </c>
      <c r="C261" s="254" t="str">
        <f t="shared" si="3"/>
        <v/>
      </c>
      <c r="D261" s="667"/>
      <c r="E261" s="667" t="s">
        <v>256</v>
      </c>
      <c r="F261" s="667"/>
      <c r="G261" s="1754" t="s">
        <v>484</v>
      </c>
      <c r="H261" s="94"/>
      <c r="I261" s="86">
        <f>'Ch5'!O263</f>
        <v>0</v>
      </c>
      <c r="J261" s="1970" t="s">
        <v>4949</v>
      </c>
    </row>
    <row r="262" spans="1:10" x14ac:dyDescent="0.25">
      <c r="A262" s="585" t="str">
        <f>A261</f>
        <v/>
      </c>
      <c r="B262" s="254" t="str">
        <f>IF(LEN('Ch5'!H264)=0,"",'Ch5'!H264)</f>
        <v/>
      </c>
      <c r="C262" s="254" t="str">
        <f t="shared" si="3"/>
        <v/>
      </c>
      <c r="D262" s="667"/>
      <c r="E262" s="667"/>
      <c r="F262" s="667"/>
      <c r="G262" s="1754"/>
      <c r="H262" s="94"/>
      <c r="J262" s="1971"/>
    </row>
    <row r="263" spans="1:10" x14ac:dyDescent="0.25">
      <c r="B263" s="254" t="str">
        <f>IF(LEN('Ch5'!H265)=0,"",'Ch5'!H265)</f>
        <v/>
      </c>
      <c r="C263" s="254" t="str">
        <f t="shared" si="3"/>
        <v/>
      </c>
      <c r="E263" s="667"/>
      <c r="F263" s="667" t="s">
        <v>121</v>
      </c>
      <c r="G263" s="1754" t="s">
        <v>485</v>
      </c>
      <c r="H263" s="1313" t="str">
        <f>IF(LEN('Ch5'!W265)=0,"",'Ch5'!W265)</f>
        <v/>
      </c>
      <c r="J263" s="1204"/>
    </row>
    <row r="264" spans="1:10" x14ac:dyDescent="0.25">
      <c r="B264" s="254" t="str">
        <f>IF(LEN('Ch5'!H266)=0,"",'Ch5'!H266)</f>
        <v/>
      </c>
      <c r="C264" s="254" t="str">
        <f t="shared" ref="C264:C327" si="4">IF(LEN(B264)=0,IF(A264="P","P",""),B264)</f>
        <v/>
      </c>
      <c r="E264" s="667"/>
      <c r="F264" s="667"/>
      <c r="G264" s="1754"/>
      <c r="H264" s="94"/>
      <c r="J264" s="1204"/>
    </row>
    <row r="265" spans="1:10" x14ac:dyDescent="0.25">
      <c r="B265" s="254" t="str">
        <f>IF(LEN('Ch5'!H267)=0,"",'Ch5'!H267)</f>
        <v/>
      </c>
      <c r="C265" s="254" t="str">
        <f t="shared" si="4"/>
        <v/>
      </c>
      <c r="E265" s="667"/>
      <c r="F265" s="667"/>
      <c r="G265" s="1754"/>
      <c r="H265" s="94"/>
      <c r="J265" s="1204"/>
    </row>
    <row r="266" spans="1:10" x14ac:dyDescent="0.25">
      <c r="B266" s="254" t="str">
        <f>IF(LEN('Ch5'!H268)=0,"",'Ch5'!H268)</f>
        <v/>
      </c>
      <c r="C266" s="254" t="str">
        <f t="shared" si="4"/>
        <v/>
      </c>
      <c r="E266" s="667"/>
      <c r="F266" s="667" t="s">
        <v>122</v>
      </c>
      <c r="G266" s="1754" t="s">
        <v>486</v>
      </c>
      <c r="H266" s="1313" t="str">
        <f>IF(LEN('Ch5'!W268)=0,"",'Ch5'!W268)</f>
        <v/>
      </c>
      <c r="J266" s="1204"/>
    </row>
    <row r="267" spans="1:10" x14ac:dyDescent="0.25">
      <c r="B267" s="254" t="str">
        <f>IF(LEN('Ch5'!H269)=0,"",'Ch5'!H269)</f>
        <v/>
      </c>
      <c r="C267" s="254" t="str">
        <f t="shared" si="4"/>
        <v/>
      </c>
      <c r="E267" s="667"/>
      <c r="F267" s="667"/>
      <c r="G267" s="1754"/>
      <c r="H267" s="94"/>
      <c r="J267" s="1204"/>
    </row>
    <row r="268" spans="1:10" x14ac:dyDescent="0.25">
      <c r="B268" s="254" t="str">
        <f>IF(LEN('Ch5'!H270)=0,"",'Ch5'!H270)</f>
        <v/>
      </c>
      <c r="C268" s="254" t="str">
        <f t="shared" si="4"/>
        <v/>
      </c>
      <c r="E268" s="667"/>
      <c r="F268" s="667"/>
      <c r="G268" s="1754"/>
      <c r="H268" s="94"/>
      <c r="J268" s="1204"/>
    </row>
    <row r="269" spans="1:10" x14ac:dyDescent="0.25">
      <c r="B269" s="254" t="str">
        <f>IF(LEN('Ch5'!H271)=0,"",'Ch5'!H271)</f>
        <v/>
      </c>
      <c r="C269" s="254" t="str">
        <f t="shared" si="4"/>
        <v/>
      </c>
      <c r="E269" s="667"/>
      <c r="F269" s="667"/>
      <c r="G269" s="1754"/>
      <c r="H269" s="94"/>
      <c r="J269" s="1204"/>
    </row>
    <row r="270" spans="1:10" x14ac:dyDescent="0.25">
      <c r="B270" s="254" t="str">
        <f>IF(LEN('Ch5'!H272)=0,"",'Ch5'!H272)</f>
        <v/>
      </c>
      <c r="C270" s="254" t="str">
        <f t="shared" si="4"/>
        <v/>
      </c>
      <c r="E270" s="684"/>
      <c r="F270" s="688" t="s">
        <v>123</v>
      </c>
      <c r="G270" s="1215" t="s">
        <v>487</v>
      </c>
      <c r="H270" s="1313" t="str">
        <f>IF(LEN('Ch5'!W272)=0,"",'Ch5'!W272)</f>
        <v/>
      </c>
      <c r="J270" s="1204"/>
    </row>
    <row r="271" spans="1:10" x14ac:dyDescent="0.25">
      <c r="A271" s="585" t="str">
        <f>IF(I271&gt;0,"P","")</f>
        <v/>
      </c>
      <c r="B271" s="254" t="str">
        <f>IF(LEN('Ch5'!H273)=0,"",'Ch5'!H273)</f>
        <v/>
      </c>
      <c r="C271" s="254" t="str">
        <f t="shared" si="4"/>
        <v/>
      </c>
      <c r="D271" s="668"/>
      <c r="E271" s="668" t="s">
        <v>258</v>
      </c>
      <c r="F271" s="668"/>
      <c r="G271" s="1754" t="s">
        <v>488</v>
      </c>
      <c r="H271" s="1313" t="str">
        <f>IF(LEN('Ch5'!W273)=0,"",'Ch5'!W273)</f>
        <v/>
      </c>
      <c r="I271" s="86">
        <f>'Ch5'!O273</f>
        <v>0</v>
      </c>
      <c r="J271" s="1204" t="s">
        <v>4950</v>
      </c>
    </row>
    <row r="272" spans="1:10" x14ac:dyDescent="0.25">
      <c r="A272" s="585" t="str">
        <f>A271</f>
        <v/>
      </c>
      <c r="B272" s="254" t="str">
        <f>IF(LEN('Ch5'!H274)=0,"",'Ch5'!H274)</f>
        <v/>
      </c>
      <c r="C272" s="254" t="str">
        <f t="shared" si="4"/>
        <v/>
      </c>
      <c r="D272" s="668"/>
      <c r="E272" s="668"/>
      <c r="F272" s="668"/>
      <c r="G272" s="1754"/>
      <c r="H272" s="94"/>
      <c r="J272" s="1204"/>
    </row>
    <row r="273" spans="1:10" ht="15.75" thickBot="1" x14ac:dyDescent="0.3">
      <c r="A273" s="585" t="str">
        <f>A272</f>
        <v/>
      </c>
      <c r="B273" s="254" t="str">
        <f>IF(LEN('Ch5'!H275)=0,"",'Ch5'!H275)</f>
        <v/>
      </c>
      <c r="C273" s="254" t="str">
        <f t="shared" si="4"/>
        <v/>
      </c>
      <c r="D273" s="673"/>
      <c r="E273" s="673"/>
      <c r="F273" s="673"/>
      <c r="G273" s="1783"/>
      <c r="H273" s="94"/>
      <c r="J273" s="1204"/>
    </row>
    <row r="274" spans="1:10" ht="15.75" thickTop="1" x14ac:dyDescent="0.25">
      <c r="A274" s="585" t="str">
        <f ca="1">IF(I274&gt;0,"P","")</f>
        <v/>
      </c>
      <c r="B274" s="254" t="str">
        <f>IF(LEN('Ch5'!H276)=0,"",'Ch5'!H276)</f>
        <v/>
      </c>
      <c r="C274" s="254" t="str">
        <f t="shared" ca="1" si="4"/>
        <v/>
      </c>
      <c r="D274" s="667" t="s">
        <v>489</v>
      </c>
      <c r="E274" s="667"/>
      <c r="F274" s="667"/>
      <c r="G274" s="1235" t="s">
        <v>490</v>
      </c>
      <c r="H274" s="588"/>
      <c r="I274" s="86">
        <f ca="1">'Ch5'!O276</f>
        <v>0</v>
      </c>
      <c r="J274" s="1204" t="s">
        <v>3893</v>
      </c>
    </row>
    <row r="275" spans="1:10" x14ac:dyDescent="0.25">
      <c r="B275" s="254" t="str">
        <f>IF(LEN('Ch5'!H277)=0,"",'Ch5'!H277)</f>
        <v/>
      </c>
      <c r="C275" s="254" t="str">
        <f t="shared" si="4"/>
        <v/>
      </c>
      <c r="D275" s="667"/>
      <c r="E275" s="684" t="s">
        <v>256</v>
      </c>
      <c r="F275" s="684"/>
      <c r="G275" s="1215" t="s">
        <v>4136</v>
      </c>
      <c r="H275" s="1313" t="str">
        <f>IF(LEN('Ch5'!W277)=0,"",'Ch5'!W277)</f>
        <v/>
      </c>
      <c r="J275" s="1204"/>
    </row>
    <row r="276" spans="1:10" x14ac:dyDescent="0.25">
      <c r="B276" s="254" t="str">
        <f>IF(LEN('Ch5'!H278)=0,"",'Ch5'!H278)</f>
        <v/>
      </c>
      <c r="C276" s="254" t="str">
        <f t="shared" si="4"/>
        <v/>
      </c>
      <c r="D276" s="667"/>
      <c r="E276" s="684" t="s">
        <v>258</v>
      </c>
      <c r="F276" s="684"/>
      <c r="G276" s="1215" t="s">
        <v>4137</v>
      </c>
      <c r="H276" s="94"/>
      <c r="J276" s="1204"/>
    </row>
    <row r="277" spans="1:10" x14ac:dyDescent="0.25">
      <c r="B277" s="254" t="str">
        <f>IF(LEN('Ch5'!H279)=0,"",'Ch5'!H279)</f>
        <v/>
      </c>
      <c r="C277" s="254" t="str">
        <f t="shared" si="4"/>
        <v/>
      </c>
      <c r="D277" s="667"/>
      <c r="E277" s="684" t="s">
        <v>260</v>
      </c>
      <c r="F277" s="684"/>
      <c r="G277" s="1215" t="s">
        <v>4138</v>
      </c>
      <c r="H277" s="1253"/>
      <c r="J277" s="1204"/>
    </row>
    <row r="278" spans="1:10" x14ac:dyDescent="0.25">
      <c r="B278" s="254" t="str">
        <f>IF(LEN('Ch5'!H280)=0,"",'Ch5'!H280)</f>
        <v/>
      </c>
      <c r="C278" s="254" t="str">
        <f t="shared" si="4"/>
        <v/>
      </c>
      <c r="D278" s="667"/>
      <c r="E278" s="684" t="s">
        <v>269</v>
      </c>
      <c r="F278" s="684"/>
      <c r="G278" s="1215" t="s">
        <v>4139</v>
      </c>
      <c r="H278" s="94"/>
      <c r="J278" s="1204"/>
    </row>
    <row r="279" spans="1:10" ht="15.75" thickBot="1" x14ac:dyDescent="0.3">
      <c r="B279" s="254" t="str">
        <f>IF(LEN('Ch5'!H281)=0,"",'Ch5'!H281)</f>
        <v/>
      </c>
      <c r="C279" s="254" t="str">
        <f t="shared" si="4"/>
        <v/>
      </c>
      <c r="D279" s="673"/>
      <c r="E279" s="673" t="s">
        <v>275</v>
      </c>
      <c r="F279" s="673"/>
      <c r="G279" s="1229" t="s">
        <v>4140</v>
      </c>
      <c r="H279" s="94"/>
      <c r="J279" s="1204"/>
    </row>
    <row r="280" spans="1:10" ht="15.75" thickTop="1" x14ac:dyDescent="0.25">
      <c r="A280" s="2364" t="str">
        <f ca="1">IF(COUNTIF(A281,"P")&gt;0,"P","")</f>
        <v/>
      </c>
      <c r="B280" s="254" t="str">
        <f>IF(LEN('Ch5'!H282)=0,"",'Ch5'!H282)</f>
        <v/>
      </c>
      <c r="C280" s="254" t="str">
        <f t="shared" ca="1" si="4"/>
        <v/>
      </c>
      <c r="D280" s="682" t="s">
        <v>491</v>
      </c>
      <c r="E280" s="682"/>
      <c r="F280" s="682"/>
      <c r="G280" s="1240" t="s">
        <v>4141</v>
      </c>
      <c r="H280" s="94"/>
      <c r="I280"/>
      <c r="J280" s="1204" t="s">
        <v>3892</v>
      </c>
    </row>
    <row r="281" spans="1:10" ht="15.75" thickBot="1" x14ac:dyDescent="0.3">
      <c r="A281" s="585" t="str">
        <f ca="1">IF(I281&gt;0,"P","")</f>
        <v/>
      </c>
      <c r="B281" s="254" t="str">
        <f>IF(LEN('Ch5'!H283)=0,"",'Ch5'!H283)</f>
        <v/>
      </c>
      <c r="C281" s="254" t="str">
        <f t="shared" ca="1" si="4"/>
        <v/>
      </c>
      <c r="D281" s="1386"/>
      <c r="E281" s="673" t="s">
        <v>256</v>
      </c>
      <c r="F281" s="673"/>
      <c r="G281" s="1229" t="s">
        <v>4142</v>
      </c>
      <c r="H281" s="1313" t="str">
        <f>IF(LEN('Ch5'!W283)=0,"",'Ch5'!W283)</f>
        <v/>
      </c>
      <c r="I281" s="86">
        <f ca="1">'Ch5'!O283</f>
        <v>0</v>
      </c>
      <c r="J281" s="1204"/>
    </row>
    <row r="282" spans="1:10" ht="15.75" thickTop="1" x14ac:dyDescent="0.25">
      <c r="A282" s="585" t="str">
        <f ca="1">IF(I282&gt;0,"P","")</f>
        <v/>
      </c>
      <c r="B282" s="254" t="str">
        <f>IF(LEN('Ch5'!H284)=0,"",'Ch5'!H284)</f>
        <v/>
      </c>
      <c r="C282" s="254" t="str">
        <f t="shared" ca="1" si="4"/>
        <v/>
      </c>
      <c r="D282" s="682" t="s">
        <v>492</v>
      </c>
      <c r="E282" s="682"/>
      <c r="F282" s="682"/>
      <c r="G282" s="1781" t="s">
        <v>4852</v>
      </c>
      <c r="H282" s="94"/>
      <c r="I282" s="706">
        <f ca="1">SUM(I285:I287)</f>
        <v>0</v>
      </c>
      <c r="J282" s="1950" t="s">
        <v>4951</v>
      </c>
    </row>
    <row r="283" spans="1:10" x14ac:dyDescent="0.25">
      <c r="A283" s="585" t="str">
        <f ca="1">A282</f>
        <v/>
      </c>
      <c r="B283" s="254" t="str">
        <f>IF(LEN('Ch5'!H285)=0,"",'Ch5'!H285)</f>
        <v/>
      </c>
      <c r="C283" s="254" t="str">
        <f t="shared" ca="1" si="4"/>
        <v/>
      </c>
      <c r="D283" s="668"/>
      <c r="E283" s="668"/>
      <c r="F283" s="668"/>
      <c r="G283" s="1782"/>
      <c r="H283" s="94"/>
      <c r="J283" s="1954"/>
    </row>
    <row r="284" spans="1:10" x14ac:dyDescent="0.25">
      <c r="A284" s="585" t="str">
        <f ca="1">A283</f>
        <v/>
      </c>
      <c r="B284" s="254" t="str">
        <f>IF(LEN('Ch5'!H286)=0,"",'Ch5'!H286)</f>
        <v/>
      </c>
      <c r="C284" s="254" t="str">
        <f t="shared" ca="1" si="4"/>
        <v/>
      </c>
      <c r="D284" s="667"/>
      <c r="E284" s="667"/>
      <c r="F284" s="667"/>
      <c r="G284" s="1782"/>
      <c r="H284" s="588"/>
      <c r="J284" s="1951"/>
    </row>
    <row r="285" spans="1:10" x14ac:dyDescent="0.25">
      <c r="B285" s="254" t="str">
        <f>IF(LEN('Ch5'!H287)=0,"",'Ch5'!H287)</f>
        <v/>
      </c>
      <c r="C285" s="254" t="str">
        <f t="shared" si="4"/>
        <v/>
      </c>
      <c r="F285" s="139" t="s">
        <v>121</v>
      </c>
      <c r="G285" s="1754" t="s">
        <v>4143</v>
      </c>
      <c r="H285" s="1313" t="str">
        <f>IF(LEN('Ch5'!W287)=0,"",'Ch5'!W287)</f>
        <v/>
      </c>
      <c r="I285" s="86">
        <f ca="1">'Ch5'!O287</f>
        <v>0</v>
      </c>
      <c r="J285" s="1204"/>
    </row>
    <row r="286" spans="1:10" x14ac:dyDescent="0.25">
      <c r="B286" s="254" t="str">
        <f>IF(LEN('Ch5'!H288)=0,"",'Ch5'!H288)</f>
        <v/>
      </c>
      <c r="C286" s="254" t="str">
        <f t="shared" si="4"/>
        <v/>
      </c>
      <c r="F286" s="669"/>
      <c r="G286" s="1755"/>
      <c r="H286" s="94"/>
      <c r="J286" s="1204"/>
    </row>
    <row r="287" spans="1:10" x14ac:dyDescent="0.25">
      <c r="B287" s="254" t="str">
        <f>IF(LEN('Ch5'!H289)=0,"",'Ch5'!H289)</f>
        <v/>
      </c>
      <c r="C287" s="254" t="str">
        <f t="shared" si="4"/>
        <v/>
      </c>
      <c r="F287" s="671" t="s">
        <v>122</v>
      </c>
      <c r="G287" s="1778" t="s">
        <v>4145</v>
      </c>
      <c r="H287" s="1313" t="str">
        <f>IF(LEN('Ch5'!W289)=0,"",'Ch5'!W289)</f>
        <v/>
      </c>
      <c r="I287" s="86">
        <f ca="1">'Ch5'!O289</f>
        <v>0</v>
      </c>
      <c r="J287" s="1204"/>
    </row>
    <row r="288" spans="1:10" x14ac:dyDescent="0.25">
      <c r="B288" s="254" t="str">
        <f>IF(LEN('Ch5'!H290)=0,"",'Ch5'!H290)</f>
        <v/>
      </c>
      <c r="C288" s="254" t="str">
        <f t="shared" si="4"/>
        <v/>
      </c>
      <c r="F288" s="139"/>
      <c r="G288" s="1754"/>
      <c r="H288" s="94"/>
      <c r="J288" s="1204"/>
    </row>
    <row r="289" spans="1:10" x14ac:dyDescent="0.25">
      <c r="B289" s="254" t="str">
        <f>IF(LEN('Ch5'!H291)=0,"",'Ch5'!H291)</f>
        <v/>
      </c>
      <c r="C289" s="254" t="str">
        <f t="shared" si="4"/>
        <v/>
      </c>
      <c r="F289" s="669"/>
      <c r="G289" s="1755"/>
      <c r="H289" s="94"/>
      <c r="J289" s="1204"/>
    </row>
    <row r="290" spans="1:10" x14ac:dyDescent="0.25">
      <c r="B290" s="254" t="str">
        <f>IF(LEN('Ch5'!H292)=0,"",'Ch5'!H292)</f>
        <v/>
      </c>
      <c r="C290" s="254" t="str">
        <f t="shared" si="4"/>
        <v/>
      </c>
      <c r="F290" s="683" t="s">
        <v>123</v>
      </c>
      <c r="G290" s="279" t="s">
        <v>4146</v>
      </c>
      <c r="H290" s="1313" t="str">
        <f>IF(LEN('Ch5'!W292)=0,"",'Ch5'!W292)</f>
        <v/>
      </c>
      <c r="I290" s="86">
        <f ca="1">'Ch5'!O292</f>
        <v>0</v>
      </c>
      <c r="J290" s="1204"/>
    </row>
    <row r="291" spans="1:10" ht="15.75" thickBot="1" x14ac:dyDescent="0.3">
      <c r="B291" s="254" t="str">
        <f>IF(LEN('Ch5'!H293)=0,"",'Ch5'!H293)</f>
        <v/>
      </c>
      <c r="C291" s="254" t="str">
        <f t="shared" si="4"/>
        <v/>
      </c>
      <c r="F291" s="670" t="s">
        <v>401</v>
      </c>
      <c r="G291" s="1224" t="s">
        <v>4147</v>
      </c>
      <c r="H291" s="1313" t="str">
        <f>IF(LEN('Ch5'!W293)=0,"",'Ch5'!W293)</f>
        <v/>
      </c>
      <c r="I291" s="86">
        <f ca="1">'Ch5'!O293</f>
        <v>0</v>
      </c>
      <c r="J291" s="1204"/>
    </row>
    <row r="292" spans="1:10" ht="15.75" thickTop="1" x14ac:dyDescent="0.25">
      <c r="A292" s="2364" t="str">
        <f ca="1">IF(COUNTIF(A293,"P")&gt;0,"P","")</f>
        <v/>
      </c>
      <c r="B292" s="254" t="str">
        <f>IF(LEN('Ch5'!H294)=0,"",'Ch5'!H294)</f>
        <v/>
      </c>
      <c r="C292" s="254" t="str">
        <f t="shared" ca="1" si="4"/>
        <v/>
      </c>
      <c r="D292" s="682" t="s">
        <v>493</v>
      </c>
      <c r="E292" s="682"/>
      <c r="F292" s="682"/>
      <c r="G292" s="1781" t="s">
        <v>4149</v>
      </c>
      <c r="H292" s="94"/>
      <c r="I292"/>
      <c r="J292" s="1204" t="s">
        <v>4952</v>
      </c>
    </row>
    <row r="293" spans="1:10" x14ac:dyDescent="0.25">
      <c r="A293" s="585" t="str">
        <f ca="1">IF(I293&gt;0,"P","")</f>
        <v/>
      </c>
      <c r="B293" s="254" t="str">
        <f>IF(LEN('Ch5'!H295)=0,"",'Ch5'!H295)</f>
        <v/>
      </c>
      <c r="C293" s="254" t="str">
        <f t="shared" ca="1" si="4"/>
        <v/>
      </c>
      <c r="D293" s="667"/>
      <c r="E293" s="667"/>
      <c r="F293" s="667"/>
      <c r="G293" s="1782"/>
      <c r="H293" s="1313" t="str">
        <f>IF(LEN('Ch5'!W295)=0,"",'Ch5'!W295)</f>
        <v/>
      </c>
      <c r="I293" s="86">
        <f ca="1">'Ch5'!O295</f>
        <v>0</v>
      </c>
      <c r="J293" s="1204"/>
    </row>
    <row r="294" spans="1:10" x14ac:dyDescent="0.25">
      <c r="A294" s="585" t="str">
        <f ca="1">A293</f>
        <v/>
      </c>
      <c r="B294" s="254" t="str">
        <f>IF(LEN('Ch5'!H296)=0,"",'Ch5'!H296)</f>
        <v/>
      </c>
      <c r="C294" s="254" t="str">
        <f t="shared" ca="1" si="4"/>
        <v/>
      </c>
      <c r="D294" s="667"/>
      <c r="E294" s="667"/>
      <c r="F294" s="667"/>
      <c r="G294" s="1782"/>
      <c r="H294" s="94"/>
      <c r="J294" s="1204"/>
    </row>
    <row r="295" spans="1:10" x14ac:dyDescent="0.25">
      <c r="A295" s="585" t="str">
        <f ca="1">A294</f>
        <v/>
      </c>
      <c r="B295" s="254" t="str">
        <f>IF(LEN('Ch5'!H297)=0,"",'Ch5'!H297)</f>
        <v/>
      </c>
      <c r="C295" s="254" t="str">
        <f t="shared" ca="1" si="4"/>
        <v/>
      </c>
      <c r="D295" s="667"/>
      <c r="E295" s="667"/>
      <c r="F295" s="667"/>
      <c r="G295" s="1782"/>
      <c r="H295" s="94"/>
      <c r="J295" s="1204"/>
    </row>
    <row r="296" spans="1:10" x14ac:dyDescent="0.25">
      <c r="B296" s="254" t="str">
        <f>IF(LEN('Ch5'!H298)=0,"",'Ch5'!H298)</f>
        <v/>
      </c>
      <c r="C296" s="254" t="str">
        <f t="shared" si="4"/>
        <v/>
      </c>
      <c r="D296" s="667"/>
      <c r="E296" s="667"/>
      <c r="F296" s="667"/>
      <c r="G296" s="1754" t="s">
        <v>4150</v>
      </c>
      <c r="H296" s="94"/>
      <c r="J296" s="1204"/>
    </row>
    <row r="297" spans="1:10" x14ac:dyDescent="0.25">
      <c r="B297" s="254" t="str">
        <f>IF(LEN('Ch5'!H299)=0,"",'Ch5'!H299)</f>
        <v/>
      </c>
      <c r="C297" s="254" t="str">
        <f t="shared" si="4"/>
        <v/>
      </c>
      <c r="D297" s="667"/>
      <c r="E297" s="667"/>
      <c r="F297" s="667"/>
      <c r="G297" s="1754"/>
      <c r="H297" s="94"/>
      <c r="J297" s="1204"/>
    </row>
    <row r="298" spans="1:10" x14ac:dyDescent="0.25">
      <c r="B298" s="254" t="str">
        <f>IF(LEN('Ch5'!H300)=0,"",'Ch5'!H300)</f>
        <v/>
      </c>
      <c r="C298" s="254" t="str">
        <f t="shared" si="4"/>
        <v/>
      </c>
      <c r="D298" s="667"/>
      <c r="E298" s="667"/>
      <c r="F298" s="667"/>
      <c r="G298" s="1754"/>
      <c r="H298" s="94"/>
      <c r="J298" s="1204"/>
    </row>
    <row r="299" spans="1:10" x14ac:dyDescent="0.25">
      <c r="B299" s="254" t="str">
        <f>IF(LEN('Ch5'!H301)=0,"",'Ch5'!H301)</f>
        <v/>
      </c>
      <c r="C299" s="254" t="str">
        <f t="shared" si="4"/>
        <v/>
      </c>
      <c r="D299" s="667"/>
      <c r="E299" s="667"/>
      <c r="F299" s="667"/>
      <c r="G299" s="1754"/>
      <c r="H299" s="94"/>
      <c r="J299" s="1204"/>
    </row>
    <row r="300" spans="1:10" x14ac:dyDescent="0.25">
      <c r="B300" s="254" t="str">
        <f>IF(LEN('Ch5'!H302)=0,"",'Ch5'!H302)</f>
        <v/>
      </c>
      <c r="C300" s="254" t="str">
        <f t="shared" si="4"/>
        <v/>
      </c>
      <c r="D300" s="667"/>
      <c r="E300" s="667"/>
      <c r="F300" s="667"/>
      <c r="G300" s="1754"/>
      <c r="H300" s="94"/>
      <c r="J300" s="1204"/>
    </row>
    <row r="301" spans="1:10" x14ac:dyDescent="0.25">
      <c r="B301" s="254" t="str">
        <f>IF(LEN('Ch5'!H303)=0,"",'Ch5'!H303)</f>
        <v/>
      </c>
      <c r="C301" s="254" t="str">
        <f t="shared" si="4"/>
        <v/>
      </c>
      <c r="D301" s="667"/>
      <c r="E301" s="667"/>
      <c r="F301" s="667"/>
      <c r="G301" s="1754"/>
      <c r="H301" s="94"/>
      <c r="J301" s="1204"/>
    </row>
    <row r="302" spans="1:10" x14ac:dyDescent="0.25">
      <c r="B302" s="254" t="str">
        <f>IF(LEN('Ch5'!H304)=0,"",'Ch5'!H304)</f>
        <v/>
      </c>
      <c r="C302" s="254" t="str">
        <f t="shared" si="4"/>
        <v/>
      </c>
      <c r="D302" s="667"/>
      <c r="E302" s="667"/>
      <c r="F302" s="667"/>
      <c r="G302" s="1754"/>
      <c r="H302" s="94"/>
      <c r="J302" s="1204"/>
    </row>
    <row r="303" spans="1:10" ht="15.75" thickBot="1" x14ac:dyDescent="0.3">
      <c r="B303" s="254" t="str">
        <f>IF(LEN('Ch5'!H305)=0,"",'Ch5'!H305)</f>
        <v/>
      </c>
      <c r="C303" s="254" t="str">
        <f t="shared" si="4"/>
        <v/>
      </c>
      <c r="D303" s="673"/>
      <c r="E303" s="673"/>
      <c r="F303" s="673"/>
      <c r="G303" s="1783"/>
      <c r="H303" s="94"/>
      <c r="J303" s="1204"/>
    </row>
    <row r="304" spans="1:10" ht="15.75" thickTop="1" x14ac:dyDescent="0.25">
      <c r="A304" s="585" t="str">
        <f ca="1">IF(I304&gt;0,"P","")</f>
        <v/>
      </c>
      <c r="B304" s="254" t="str">
        <f>IF(LEN('Ch5'!H306)=0,"",'Ch5'!H306)</f>
        <v/>
      </c>
      <c r="C304" s="254" t="str">
        <f t="shared" ca="1" si="4"/>
        <v/>
      </c>
      <c r="D304" s="106" t="s">
        <v>4152</v>
      </c>
      <c r="E304" s="106"/>
      <c r="F304" s="1391"/>
      <c r="G304" s="1801" t="s">
        <v>4156</v>
      </c>
      <c r="H304" s="1313" t="str">
        <f>IF(LEN('Ch5'!W306)=0,"",'Ch5'!W306)</f>
        <v/>
      </c>
      <c r="I304" s="86">
        <f ca="1">'Ch5'!O306</f>
        <v>0</v>
      </c>
      <c r="J304" s="1204" t="s">
        <v>4952</v>
      </c>
    </row>
    <row r="305" spans="1:10" x14ac:dyDescent="0.25">
      <c r="A305" s="585" t="str">
        <f ca="1">A304</f>
        <v/>
      </c>
      <c r="B305" s="254" t="str">
        <f>IF(LEN('Ch5'!H307)=0,"",'Ch5'!H307)</f>
        <v/>
      </c>
      <c r="C305" s="254" t="str">
        <f t="shared" ca="1" si="4"/>
        <v/>
      </c>
      <c r="D305" s="139"/>
      <c r="E305" s="139"/>
      <c r="G305" s="1802"/>
      <c r="H305" s="94"/>
      <c r="J305" s="1204"/>
    </row>
    <row r="306" spans="1:10" x14ac:dyDescent="0.25">
      <c r="A306" s="585" t="str">
        <f ca="1">A305</f>
        <v/>
      </c>
      <c r="B306" s="254" t="str">
        <f>IF(LEN('Ch5'!H308)=0,"",'Ch5'!H308)</f>
        <v/>
      </c>
      <c r="C306" s="254" t="str">
        <f t="shared" ca="1" si="4"/>
        <v/>
      </c>
      <c r="D306" s="139"/>
      <c r="E306" s="139"/>
      <c r="G306" s="1802"/>
      <c r="H306" s="94"/>
      <c r="J306" s="1204"/>
    </row>
    <row r="307" spans="1:10" ht="15.75" thickBot="1" x14ac:dyDescent="0.3">
      <c r="A307" s="585" t="str">
        <f ca="1">A306</f>
        <v/>
      </c>
      <c r="B307" s="254" t="str">
        <f>IF(LEN('Ch5'!H309)=0,"",'Ch5'!H309)</f>
        <v/>
      </c>
      <c r="C307" s="254" t="str">
        <f t="shared" ca="1" si="4"/>
        <v/>
      </c>
      <c r="D307" s="670"/>
      <c r="E307" s="670"/>
      <c r="F307" s="1386"/>
      <c r="G307" s="1803"/>
      <c r="H307" s="94"/>
      <c r="J307" s="1204"/>
    </row>
    <row r="308" spans="1:10" ht="27" thickTop="1" thickBot="1" x14ac:dyDescent="0.3">
      <c r="A308" s="585" t="str">
        <f>IF(I308&gt;0,"P","")</f>
        <v/>
      </c>
      <c r="B308" s="254" t="str">
        <f>IF(LEN('Ch5'!H310)=0,"",'Ch5'!H310)</f>
        <v/>
      </c>
      <c r="C308" s="254" t="str">
        <f t="shared" si="4"/>
        <v/>
      </c>
      <c r="D308" s="670" t="s">
        <v>4153</v>
      </c>
      <c r="E308" s="670"/>
      <c r="F308" s="1386"/>
      <c r="G308" s="1228" t="s">
        <v>4157</v>
      </c>
      <c r="H308" s="1313" t="str">
        <f>IF(LEN('Ch5'!W310)=0,"",'Ch5'!W310)</f>
        <v/>
      </c>
      <c r="I308" s="86">
        <f>'Ch5'!O310</f>
        <v>0</v>
      </c>
      <c r="J308" s="1204" t="s">
        <v>4953</v>
      </c>
    </row>
    <row r="309" spans="1:10" ht="15.75" thickTop="1" x14ac:dyDescent="0.25">
      <c r="A309" s="585" t="str">
        <f ca="1">IF(I309&gt;0,"P","")</f>
        <v/>
      </c>
      <c r="B309" s="254" t="str">
        <f>IF(LEN('Ch5'!H311)=0,"",'Ch5'!H311)</f>
        <v/>
      </c>
      <c r="C309" s="254" t="str">
        <f t="shared" ca="1" si="4"/>
        <v/>
      </c>
      <c r="D309" s="139" t="s">
        <v>4154</v>
      </c>
      <c r="E309" s="139"/>
      <c r="G309" s="1802" t="s">
        <v>4158</v>
      </c>
      <c r="H309" s="94"/>
      <c r="I309" s="706">
        <f ca="1">SUM(I311:I315)</f>
        <v>0</v>
      </c>
      <c r="J309" s="1204" t="s">
        <v>4954</v>
      </c>
    </row>
    <row r="310" spans="1:10" x14ac:dyDescent="0.25">
      <c r="A310" s="585" t="str">
        <f ca="1">A309</f>
        <v/>
      </c>
      <c r="B310" s="254" t="str">
        <f>IF(LEN('Ch5'!H312)=0,"",'Ch5'!H312)</f>
        <v/>
      </c>
      <c r="C310" s="254" t="str">
        <f t="shared" ca="1" si="4"/>
        <v/>
      </c>
      <c r="D310" s="139"/>
      <c r="E310" s="139"/>
      <c r="G310" s="1802"/>
      <c r="H310" s="94"/>
      <c r="J310" s="1204"/>
    </row>
    <row r="311" spans="1:10" x14ac:dyDescent="0.25">
      <c r="B311" s="254" t="str">
        <f>IF(LEN('Ch5'!H313)=0,"",'Ch5'!H313)</f>
        <v/>
      </c>
      <c r="C311" s="254" t="str">
        <f t="shared" si="4"/>
        <v/>
      </c>
      <c r="D311" s="139"/>
      <c r="E311" s="139" t="s">
        <v>121</v>
      </c>
      <c r="G311" s="1765" t="s">
        <v>4159</v>
      </c>
      <c r="H311" s="1313" t="str">
        <f>IF(LEN('Ch5'!W313)=0,"",'Ch5'!W313)</f>
        <v/>
      </c>
      <c r="I311" s="86">
        <f ca="1">'Ch5'!O313</f>
        <v>0</v>
      </c>
      <c r="J311" s="1204"/>
    </row>
    <row r="312" spans="1:10" x14ac:dyDescent="0.25">
      <c r="B312" s="254" t="str">
        <f>IF(LEN('Ch5'!H314)=0,"",'Ch5'!H314)</f>
        <v/>
      </c>
      <c r="C312" s="254" t="str">
        <f t="shared" si="4"/>
        <v/>
      </c>
      <c r="D312" s="139"/>
      <c r="E312" s="139"/>
      <c r="G312" s="1765"/>
      <c r="H312" s="94"/>
      <c r="J312" s="1204"/>
    </row>
    <row r="313" spans="1:10" x14ac:dyDescent="0.25">
      <c r="B313" s="254" t="str">
        <f>IF(LEN('Ch5'!H315)=0,"",'Ch5'!H315)</f>
        <v/>
      </c>
      <c r="C313" s="254" t="str">
        <f t="shared" si="4"/>
        <v/>
      </c>
      <c r="D313" s="139"/>
      <c r="E313" s="669"/>
      <c r="F313" s="1387"/>
      <c r="G313" s="1786"/>
      <c r="H313" s="94"/>
      <c r="J313" s="1204"/>
    </row>
    <row r="314" spans="1:10" x14ac:dyDescent="0.25">
      <c r="B314" s="254" t="str">
        <f>IF(LEN('Ch5'!H316)=0,"",'Ch5'!H316)</f>
        <v/>
      </c>
      <c r="C314" s="254" t="str">
        <f t="shared" si="4"/>
        <v/>
      </c>
      <c r="D314" s="139"/>
      <c r="E314" s="683" t="s">
        <v>122</v>
      </c>
      <c r="F314" s="1392"/>
      <c r="G314" s="858" t="s">
        <v>4160</v>
      </c>
      <c r="H314" s="1313" t="str">
        <f>IF(LEN('Ch5'!W316)=0,"",'Ch5'!W316)</f>
        <v/>
      </c>
      <c r="I314" s="86">
        <f ca="1">'Ch5'!O316</f>
        <v>0</v>
      </c>
      <c r="J314" s="1204"/>
    </row>
    <row r="315" spans="1:10" x14ac:dyDescent="0.25">
      <c r="B315" s="254" t="str">
        <f>IF(LEN('Ch5'!H317)=0,"",'Ch5'!H317)</f>
        <v/>
      </c>
      <c r="C315" s="254" t="str">
        <f t="shared" si="4"/>
        <v/>
      </c>
      <c r="D315" s="139"/>
      <c r="E315" s="139" t="s">
        <v>123</v>
      </c>
      <c r="G315" s="1765" t="s">
        <v>4161</v>
      </c>
      <c r="H315" s="1313" t="str">
        <f>IF(LEN('Ch5'!W317)=0,"",'Ch5'!W317)</f>
        <v/>
      </c>
      <c r="I315" s="86">
        <f ca="1">'Ch5'!O317</f>
        <v>0</v>
      </c>
      <c r="J315" s="1204"/>
    </row>
    <row r="316" spans="1:10" ht="15.75" thickBot="1" x14ac:dyDescent="0.3">
      <c r="B316" s="254" t="str">
        <f>IF(LEN('Ch5'!H318)=0,"",'Ch5'!H318)</f>
        <v/>
      </c>
      <c r="C316" s="254" t="str">
        <f t="shared" si="4"/>
        <v/>
      </c>
      <c r="D316" s="670"/>
      <c r="E316" s="670"/>
      <c r="F316" s="1386"/>
      <c r="G316" s="1766"/>
      <c r="H316" s="94"/>
      <c r="J316" s="1204"/>
    </row>
    <row r="317" spans="1:10" ht="15.75" thickTop="1" x14ac:dyDescent="0.25">
      <c r="A317" s="585" t="str">
        <f ca="1">IF(I317&gt;0,"P","")</f>
        <v/>
      </c>
      <c r="B317" s="254" t="str">
        <f>IF(LEN('Ch5'!H319)=0,"",'Ch5'!H319)</f>
        <v/>
      </c>
      <c r="C317" s="254" t="str">
        <f t="shared" ca="1" si="4"/>
        <v/>
      </c>
      <c r="D317" s="139" t="s">
        <v>4155</v>
      </c>
      <c r="E317" s="139"/>
      <c r="G317" s="1802" t="s">
        <v>4165</v>
      </c>
      <c r="H317" s="94"/>
      <c r="I317" s="706">
        <f ca="1">SUM(I320:I324)</f>
        <v>0</v>
      </c>
      <c r="J317" s="1204" t="s">
        <v>3894</v>
      </c>
    </row>
    <row r="318" spans="1:10" x14ac:dyDescent="0.25">
      <c r="A318" s="585" t="str">
        <f ca="1">A317</f>
        <v/>
      </c>
      <c r="B318" s="254" t="str">
        <f>IF(LEN('Ch5'!H320)=0,"",'Ch5'!H320)</f>
        <v/>
      </c>
      <c r="C318" s="254" t="str">
        <f t="shared" ca="1" si="4"/>
        <v/>
      </c>
      <c r="D318" s="139"/>
      <c r="E318" s="139"/>
      <c r="G318" s="1802"/>
      <c r="H318" s="94"/>
      <c r="J318" s="1204"/>
    </row>
    <row r="319" spans="1:10" x14ac:dyDescent="0.25">
      <c r="A319" s="585" t="str">
        <f ca="1">A318</f>
        <v/>
      </c>
      <c r="B319" s="254" t="str">
        <f>IF(LEN('Ch5'!H321)=0,"",'Ch5'!H321)</f>
        <v/>
      </c>
      <c r="C319" s="254" t="str">
        <f t="shared" ca="1" si="4"/>
        <v/>
      </c>
      <c r="D319" s="139"/>
      <c r="E319" s="139"/>
      <c r="G319" s="1802"/>
      <c r="H319" s="94"/>
      <c r="J319" s="1204"/>
    </row>
    <row r="320" spans="1:10" x14ac:dyDescent="0.25">
      <c r="B320" s="254" t="str">
        <f>IF(LEN('Ch5'!H322)=0,"",'Ch5'!H322)</f>
        <v/>
      </c>
      <c r="C320" s="254" t="str">
        <f t="shared" si="4"/>
        <v/>
      </c>
      <c r="D320" s="139"/>
      <c r="E320" s="139" t="s">
        <v>121</v>
      </c>
      <c r="G320" s="1765" t="s">
        <v>4162</v>
      </c>
      <c r="H320" s="1313" t="str">
        <f>IF(LEN('Ch5'!W322)=0,"",'Ch5'!W322)</f>
        <v/>
      </c>
      <c r="I320" s="86">
        <f ca="1">'Ch5'!O322</f>
        <v>0</v>
      </c>
      <c r="J320" s="1204"/>
    </row>
    <row r="321" spans="1:10" x14ac:dyDescent="0.25">
      <c r="B321" s="254" t="str">
        <f>IF(LEN('Ch5'!H323)=0,"",'Ch5'!H323)</f>
        <v/>
      </c>
      <c r="C321" s="254" t="str">
        <f t="shared" si="4"/>
        <v/>
      </c>
      <c r="D321" s="139"/>
      <c r="E321" s="669"/>
      <c r="F321" s="1387"/>
      <c r="G321" s="1786"/>
      <c r="H321" s="94"/>
      <c r="J321" s="1204"/>
    </row>
    <row r="322" spans="1:10" x14ac:dyDescent="0.25">
      <c r="B322" s="254" t="str">
        <f>IF(LEN('Ch5'!H324)=0,"",'Ch5'!H324)</f>
        <v/>
      </c>
      <c r="C322" s="254" t="str">
        <f t="shared" si="4"/>
        <v/>
      </c>
      <c r="D322" s="139"/>
      <c r="E322" s="671" t="s">
        <v>122</v>
      </c>
      <c r="F322" s="1389"/>
      <c r="G322" s="1769" t="s">
        <v>4163</v>
      </c>
      <c r="H322" s="1313" t="str">
        <f>IF(LEN('Ch5'!W324)=0,"",'Ch5'!W324)</f>
        <v/>
      </c>
      <c r="I322" s="86">
        <f ca="1">'Ch5'!O324</f>
        <v>0</v>
      </c>
      <c r="J322" s="1204"/>
    </row>
    <row r="323" spans="1:10" x14ac:dyDescent="0.25">
      <c r="B323" s="254" t="str">
        <f>IF(LEN('Ch5'!H325)=0,"",'Ch5'!H325)</f>
        <v/>
      </c>
      <c r="C323" s="254" t="str">
        <f t="shared" si="4"/>
        <v/>
      </c>
      <c r="D323" s="139"/>
      <c r="E323" s="669"/>
      <c r="F323" s="1387"/>
      <c r="G323" s="1786"/>
      <c r="H323" s="94"/>
      <c r="J323" s="1204"/>
    </row>
    <row r="324" spans="1:10" x14ac:dyDescent="0.25">
      <c r="B324" s="254" t="str">
        <f>IF(LEN('Ch5'!H326)=0,"",'Ch5'!H326)</f>
        <v/>
      </c>
      <c r="C324" s="254" t="str">
        <f t="shared" si="4"/>
        <v/>
      </c>
      <c r="D324" s="101"/>
      <c r="E324" s="101" t="s">
        <v>123</v>
      </c>
      <c r="F324" s="1390"/>
      <c r="G324" s="1765" t="s">
        <v>4164</v>
      </c>
      <c r="H324" s="1313" t="str">
        <f>IF(LEN('Ch5'!W326)=0,"",'Ch5'!W326)</f>
        <v/>
      </c>
      <c r="I324" s="86">
        <f ca="1">'Ch5'!O326</f>
        <v>0</v>
      </c>
      <c r="J324" s="1204"/>
    </row>
    <row r="325" spans="1:10" x14ac:dyDescent="0.25">
      <c r="B325" s="254" t="str">
        <f>IF(LEN('Ch5'!H327)=0,"",'Ch5'!H327)</f>
        <v/>
      </c>
      <c r="C325" s="254" t="str">
        <f t="shared" si="4"/>
        <v/>
      </c>
      <c r="D325" s="669"/>
      <c r="E325" s="669"/>
      <c r="F325" s="1387"/>
      <c r="G325" s="1786"/>
      <c r="H325" s="94"/>
      <c r="J325" s="1204"/>
    </row>
    <row r="326" spans="1:10" ht="18.75" x14ac:dyDescent="0.3">
      <c r="A326" s="585" t="s">
        <v>3974</v>
      </c>
      <c r="B326" s="254" t="str">
        <f>IF(LEN('Ch6'!H9)=0,"",'Ch6'!H9)</f>
        <v/>
      </c>
      <c r="C326" s="254" t="str">
        <f t="shared" si="4"/>
        <v>P</v>
      </c>
      <c r="D326" s="1385" t="s">
        <v>498</v>
      </c>
      <c r="E326" s="1385"/>
      <c r="F326" s="1385"/>
      <c r="G326" s="1311"/>
      <c r="H326" s="94"/>
      <c r="J326" s="1204"/>
    </row>
    <row r="327" spans="1:10" x14ac:dyDescent="0.25">
      <c r="B327" s="254" t="str">
        <f>IF(LEN('Ch6'!H10)=0,"",'Ch6'!H10)</f>
        <v/>
      </c>
      <c r="C327" s="254" t="str">
        <f t="shared" si="4"/>
        <v/>
      </c>
      <c r="D327" s="667" t="s">
        <v>499</v>
      </c>
      <c r="E327" s="667"/>
      <c r="F327" s="667"/>
      <c r="G327" s="1782" t="s">
        <v>500</v>
      </c>
      <c r="H327" s="94"/>
      <c r="J327" s="1204"/>
    </row>
    <row r="328" spans="1:10" x14ac:dyDescent="0.25">
      <c r="B328" s="254" t="str">
        <f>IF(LEN('Ch6'!H11)=0,"",'Ch6'!H11)</f>
        <v/>
      </c>
      <c r="C328" s="254" t="str">
        <f t="shared" ref="C328:C391" si="5">IF(LEN(B328)=0,IF(A328="P","P",""),B328)</f>
        <v/>
      </c>
      <c r="D328" s="139"/>
      <c r="E328" s="139"/>
      <c r="F328" s="139"/>
      <c r="G328" s="1782"/>
      <c r="H328" s="94"/>
      <c r="J328" s="1204"/>
    </row>
    <row r="329" spans="1:10" ht="15.75" thickBot="1" x14ac:dyDescent="0.3">
      <c r="B329" s="254" t="str">
        <f>IF(LEN('Ch6'!H12)=0,"",'Ch6'!H12)</f>
        <v/>
      </c>
      <c r="C329" s="254" t="str">
        <f t="shared" si="5"/>
        <v/>
      </c>
      <c r="D329" s="139"/>
      <c r="E329" s="139"/>
      <c r="F329" s="139"/>
      <c r="G329" s="1782"/>
      <c r="H329" s="94"/>
      <c r="J329" s="1204"/>
    </row>
    <row r="330" spans="1:10" ht="15.75" thickTop="1" x14ac:dyDescent="0.25">
      <c r="A330" s="585" t="str">
        <f>IF(I330&gt;0,"P","")</f>
        <v/>
      </c>
      <c r="B330" s="254" t="str">
        <f>IF(LEN('Ch6'!H13)=0,"",'Ch6'!H13)</f>
        <v/>
      </c>
      <c r="C330" s="254" t="str">
        <f t="shared" si="5"/>
        <v/>
      </c>
      <c r="D330" s="106">
        <v>601.1</v>
      </c>
      <c r="E330" s="106"/>
      <c r="F330" s="106"/>
      <c r="G330" s="1781" t="s">
        <v>4166</v>
      </c>
      <c r="H330" s="94"/>
      <c r="I330" s="86">
        <f>'Ch6'!O13</f>
        <v>0</v>
      </c>
      <c r="J330" s="1972" t="s">
        <v>4955</v>
      </c>
    </row>
    <row r="331" spans="1:10" x14ac:dyDescent="0.25">
      <c r="A331" s="585" t="str">
        <f>A330</f>
        <v/>
      </c>
      <c r="B331" s="254" t="str">
        <f>IF(LEN('Ch6'!H14)=0,"",'Ch6'!H14)</f>
        <v/>
      </c>
      <c r="C331" s="254" t="str">
        <f t="shared" si="5"/>
        <v/>
      </c>
      <c r="D331" s="101"/>
      <c r="E331" s="101"/>
      <c r="F331" s="101"/>
      <c r="G331" s="1782"/>
      <c r="H331" s="94"/>
      <c r="J331" s="1972"/>
    </row>
    <row r="332" spans="1:10" x14ac:dyDescent="0.25">
      <c r="A332" s="585" t="str">
        <f>A331</f>
        <v/>
      </c>
      <c r="B332" s="254" t="str">
        <f>IF(LEN('Ch6'!H15)=0,"",'Ch6'!H15)</f>
        <v/>
      </c>
      <c r="C332" s="254" t="str">
        <f t="shared" si="5"/>
        <v/>
      </c>
      <c r="D332" s="101"/>
      <c r="E332" s="101"/>
      <c r="F332" s="101"/>
      <c r="G332" s="1782"/>
      <c r="H332" s="94"/>
      <c r="J332" s="1972"/>
    </row>
    <row r="333" spans="1:10" x14ac:dyDescent="0.25">
      <c r="A333" s="585" t="str">
        <f>A332</f>
        <v/>
      </c>
      <c r="B333" s="254" t="str">
        <f>IF(LEN('Ch6'!H16)=0,"",'Ch6'!H16)</f>
        <v/>
      </c>
      <c r="C333" s="254" t="str">
        <f t="shared" si="5"/>
        <v/>
      </c>
      <c r="D333" s="101"/>
      <c r="E333" s="101"/>
      <c r="F333" s="101"/>
      <c r="G333" s="1782"/>
      <c r="H333" s="94"/>
      <c r="J333" s="1972"/>
    </row>
    <row r="334" spans="1:10" x14ac:dyDescent="0.25">
      <c r="A334" s="585" t="str">
        <f>A333</f>
        <v/>
      </c>
      <c r="B334" s="254" t="str">
        <f>IF(LEN('Ch6'!H17)=0,"",'Ch6'!H17)</f>
        <v/>
      </c>
      <c r="C334" s="254" t="str">
        <f t="shared" si="5"/>
        <v/>
      </c>
      <c r="D334" s="101"/>
      <c r="E334" s="101"/>
      <c r="F334" s="101"/>
      <c r="G334" s="1782"/>
      <c r="H334" s="94"/>
      <c r="J334" s="1204"/>
    </row>
    <row r="335" spans="1:10" x14ac:dyDescent="0.25">
      <c r="A335" s="585" t="str">
        <f>A334</f>
        <v/>
      </c>
      <c r="B335" s="254" t="str">
        <f>IF(LEN('Ch6'!H18)=0,"",'Ch6'!H18)</f>
        <v/>
      </c>
      <c r="C335" s="254" t="str">
        <f t="shared" si="5"/>
        <v/>
      </c>
      <c r="D335" s="101"/>
      <c r="E335" s="101"/>
      <c r="F335" s="101"/>
      <c r="G335" s="1782"/>
      <c r="H335" s="94"/>
      <c r="J335" s="1204"/>
    </row>
    <row r="336" spans="1:10" x14ac:dyDescent="0.25">
      <c r="B336" s="254" t="str">
        <f>IF(LEN('Ch6'!H19)=0,"",'Ch6'!H19)</f>
        <v/>
      </c>
      <c r="C336" s="254" t="str">
        <f t="shared" si="5"/>
        <v/>
      </c>
      <c r="D336" s="101"/>
      <c r="E336" s="684" t="s">
        <v>256</v>
      </c>
      <c r="F336" s="669"/>
      <c r="G336" s="1220" t="s">
        <v>501</v>
      </c>
      <c r="H336" s="94"/>
      <c r="J336" s="1204"/>
    </row>
    <row r="337" spans="1:10" x14ac:dyDescent="0.25">
      <c r="B337" s="254" t="str">
        <f>IF(LEN('Ch6'!H20)=0,"",'Ch6'!H20)</f>
        <v/>
      </c>
      <c r="C337" s="254" t="str">
        <f t="shared" si="5"/>
        <v/>
      </c>
      <c r="D337" s="101"/>
      <c r="E337" s="691" t="s">
        <v>258</v>
      </c>
      <c r="F337" s="683"/>
      <c r="G337" s="279" t="s">
        <v>502</v>
      </c>
      <c r="H337" s="94"/>
      <c r="J337" s="1204"/>
    </row>
    <row r="338" spans="1:10" x14ac:dyDescent="0.25">
      <c r="B338" s="254" t="str">
        <f>IF(LEN('Ch6'!H21)=0,"",'Ch6'!H21)</f>
        <v/>
      </c>
      <c r="C338" s="254" t="str">
        <f t="shared" si="5"/>
        <v/>
      </c>
      <c r="D338" s="101"/>
      <c r="E338" s="691" t="s">
        <v>260</v>
      </c>
      <c r="F338" s="683"/>
      <c r="G338" s="279" t="s">
        <v>503</v>
      </c>
      <c r="H338" s="94"/>
      <c r="J338" s="1204"/>
    </row>
    <row r="339" spans="1:10" x14ac:dyDescent="0.25">
      <c r="B339" s="254" t="str">
        <f>IF(LEN('Ch6'!H22)=0,"",'Ch6'!H22)</f>
        <v/>
      </c>
      <c r="C339" s="254" t="str">
        <f t="shared" si="5"/>
        <v/>
      </c>
      <c r="D339" s="101"/>
      <c r="E339" s="691" t="s">
        <v>269</v>
      </c>
      <c r="F339" s="683"/>
      <c r="G339" s="279" t="s">
        <v>504</v>
      </c>
      <c r="H339" s="94"/>
      <c r="J339" s="1204"/>
    </row>
    <row r="340" spans="1:10" x14ac:dyDescent="0.25">
      <c r="B340" s="254" t="str">
        <f>IF(LEN('Ch6'!H23)=0,"",'Ch6'!H23)</f>
        <v/>
      </c>
      <c r="C340" s="254" t="str">
        <f t="shared" si="5"/>
        <v/>
      </c>
      <c r="D340" s="101"/>
      <c r="E340" s="691" t="s">
        <v>275</v>
      </c>
      <c r="F340" s="683"/>
      <c r="G340" s="279" t="s">
        <v>505</v>
      </c>
      <c r="H340" s="94"/>
      <c r="J340" s="1204"/>
    </row>
    <row r="341" spans="1:10" x14ac:dyDescent="0.25">
      <c r="B341" s="254" t="str">
        <f>IF(LEN('Ch6'!H24)=0,"",'Ch6'!H24)</f>
        <v/>
      </c>
      <c r="C341" s="254" t="str">
        <f t="shared" si="5"/>
        <v/>
      </c>
      <c r="D341" s="101"/>
      <c r="E341" s="668" t="s">
        <v>277</v>
      </c>
      <c r="F341" s="101"/>
      <c r="G341" s="1223" t="s">
        <v>506</v>
      </c>
      <c r="H341" s="94"/>
      <c r="J341" s="1204"/>
    </row>
    <row r="342" spans="1:10" x14ac:dyDescent="0.25">
      <c r="B342" s="254" t="str">
        <f>IF(LEN('Ch6'!H25)=0,"",'Ch6'!H25)</f>
        <v/>
      </c>
      <c r="C342" s="254" t="str">
        <f t="shared" si="5"/>
        <v/>
      </c>
      <c r="D342" s="101"/>
      <c r="E342" s="101"/>
      <c r="F342" s="101"/>
      <c r="G342" s="1782" t="s">
        <v>507</v>
      </c>
      <c r="H342" s="94"/>
      <c r="J342" s="1204"/>
    </row>
    <row r="343" spans="1:10" x14ac:dyDescent="0.25">
      <c r="B343" s="254" t="str">
        <f>IF(LEN('Ch6'!H26)=0,"",'Ch6'!H26)</f>
        <v/>
      </c>
      <c r="C343" s="254" t="str">
        <f t="shared" si="5"/>
        <v/>
      </c>
      <c r="D343" s="101"/>
      <c r="E343" s="101"/>
      <c r="F343" s="101"/>
      <c r="G343" s="1782"/>
      <c r="H343" s="94"/>
      <c r="J343" s="1204"/>
    </row>
    <row r="344" spans="1:10" x14ac:dyDescent="0.25">
      <c r="B344" s="254" t="str">
        <f>IF(LEN('Ch6'!H27)=0,"",'Ch6'!H27)</f>
        <v/>
      </c>
      <c r="C344" s="254" t="str">
        <f t="shared" si="5"/>
        <v/>
      </c>
      <c r="D344" s="101"/>
      <c r="E344" s="101"/>
      <c r="G344" s="1958" t="s">
        <v>3833</v>
      </c>
      <c r="H344" s="94"/>
      <c r="J344" s="1204"/>
    </row>
    <row r="345" spans="1:10" ht="15.75" thickBot="1" x14ac:dyDescent="0.3">
      <c r="B345" s="254" t="str">
        <f>IF(LEN('Ch6'!H28)=0,"",'Ch6'!H28)</f>
        <v/>
      </c>
      <c r="C345" s="254" t="str">
        <f t="shared" si="5"/>
        <v/>
      </c>
      <c r="D345" s="101"/>
      <c r="E345" s="101"/>
      <c r="F345" s="566"/>
      <c r="G345" s="1958"/>
      <c r="H345" s="94"/>
      <c r="J345" s="1204"/>
    </row>
    <row r="346" spans="1:10" ht="15.75" thickTop="1" x14ac:dyDescent="0.25">
      <c r="A346" s="585" t="str">
        <f>IF(I346&gt;0,"P","")</f>
        <v/>
      </c>
      <c r="B346" s="254" t="str">
        <f>IF(LEN('Ch6'!H29)=0,"",'Ch6'!H29)</f>
        <v/>
      </c>
      <c r="C346" s="254" t="str">
        <f t="shared" si="5"/>
        <v/>
      </c>
      <c r="D346" s="106">
        <v>601.20000000000005</v>
      </c>
      <c r="E346" s="106"/>
      <c r="F346" s="106"/>
      <c r="G346" s="1781" t="s">
        <v>508</v>
      </c>
      <c r="H346" s="94"/>
      <c r="I346" s="706">
        <f>SUM(I348:I354)</f>
        <v>0</v>
      </c>
      <c r="J346" s="1204"/>
    </row>
    <row r="347" spans="1:10" x14ac:dyDescent="0.25">
      <c r="A347" s="585" t="str">
        <f>A346</f>
        <v/>
      </c>
      <c r="B347" s="254" t="str">
        <f>IF(LEN('Ch6'!H30)=0,"",'Ch6'!H30)</f>
        <v/>
      </c>
      <c r="C347" s="254" t="str">
        <f t="shared" si="5"/>
        <v/>
      </c>
      <c r="D347" s="101"/>
      <c r="E347" s="101"/>
      <c r="F347" s="101"/>
      <c r="G347" s="1782"/>
      <c r="H347" s="94"/>
      <c r="J347" s="1204"/>
    </row>
    <row r="348" spans="1:10" x14ac:dyDescent="0.25">
      <c r="A348" s="585" t="str">
        <f>IF(I348&gt;0,"P","")</f>
        <v/>
      </c>
      <c r="B348" s="254" t="str">
        <f>IF(LEN('Ch6'!H31)=0,"",'Ch6'!H31)</f>
        <v/>
      </c>
      <c r="C348" s="254" t="str">
        <f t="shared" si="5"/>
        <v/>
      </c>
      <c r="D348" s="139"/>
      <c r="E348" s="668" t="s">
        <v>256</v>
      </c>
      <c r="F348" s="101"/>
      <c r="G348" s="1754" t="s">
        <v>510</v>
      </c>
      <c r="H348" s="1313" t="str">
        <f>IF(LEN('Ch6'!W31)=0,"",'Ch6'!W31)</f>
        <v/>
      </c>
      <c r="I348" s="86">
        <f>'Ch6'!O31</f>
        <v>0</v>
      </c>
      <c r="J348" s="1204" t="s">
        <v>3895</v>
      </c>
    </row>
    <row r="349" spans="1:10" x14ac:dyDescent="0.25">
      <c r="A349" s="585" t="str">
        <f>A348</f>
        <v/>
      </c>
      <c r="B349" s="254" t="str">
        <f>IF(LEN('Ch6'!H32)=0,"",'Ch6'!H32)</f>
        <v/>
      </c>
      <c r="C349" s="254" t="str">
        <f t="shared" si="5"/>
        <v/>
      </c>
      <c r="D349" s="139"/>
      <c r="E349" s="101"/>
      <c r="F349" s="101"/>
      <c r="G349" s="1754"/>
      <c r="H349" s="94"/>
      <c r="J349" s="1204"/>
    </row>
    <row r="350" spans="1:10" x14ac:dyDescent="0.25">
      <c r="A350" s="585" t="str">
        <f>A349</f>
        <v/>
      </c>
      <c r="B350" s="254" t="str">
        <f>IF(LEN('Ch6'!H33)=0,"",'Ch6'!H33)</f>
        <v/>
      </c>
      <c r="C350" s="254" t="str">
        <f t="shared" si="5"/>
        <v/>
      </c>
      <c r="D350" s="139"/>
      <c r="E350" s="669"/>
      <c r="F350" s="669"/>
      <c r="G350" s="1755"/>
      <c r="H350" s="94"/>
      <c r="J350" s="1204"/>
    </row>
    <row r="351" spans="1:10" x14ac:dyDescent="0.25">
      <c r="A351" s="585" t="str">
        <f>IF(I351&gt;0,"P","")</f>
        <v/>
      </c>
      <c r="B351" s="254" t="str">
        <f>IF(LEN('Ch6'!H34)=0,"",'Ch6'!H34)</f>
        <v/>
      </c>
      <c r="C351" s="254" t="str">
        <f t="shared" si="5"/>
        <v/>
      </c>
      <c r="D351" s="139"/>
      <c r="E351" s="668" t="s">
        <v>258</v>
      </c>
      <c r="F351" s="101"/>
      <c r="G351" s="1754" t="s">
        <v>511</v>
      </c>
      <c r="H351" s="1313" t="str">
        <f>IF(LEN('Ch6'!W34)=0,"",'Ch6'!W34)</f>
        <v/>
      </c>
      <c r="I351" s="86">
        <f>'Ch6'!O34</f>
        <v>0</v>
      </c>
      <c r="J351" s="1204" t="s">
        <v>3896</v>
      </c>
    </row>
    <row r="352" spans="1:10" x14ac:dyDescent="0.25">
      <c r="A352" s="585" t="str">
        <f>A351</f>
        <v/>
      </c>
      <c r="B352" s="254" t="str">
        <f>IF(LEN('Ch6'!H35)=0,"",'Ch6'!H35)</f>
        <v/>
      </c>
      <c r="C352" s="254" t="str">
        <f t="shared" si="5"/>
        <v/>
      </c>
      <c r="D352" s="139"/>
      <c r="E352" s="101"/>
      <c r="F352" s="101"/>
      <c r="G352" s="1754"/>
      <c r="H352" s="94"/>
      <c r="J352" s="1204"/>
    </row>
    <row r="353" spans="1:10" x14ac:dyDescent="0.25">
      <c r="A353" s="585" t="str">
        <f>A352</f>
        <v/>
      </c>
      <c r="B353" s="254" t="str">
        <f>IF(LEN('Ch6'!H36)=0,"",'Ch6'!H36)</f>
        <v/>
      </c>
      <c r="C353" s="254" t="str">
        <f t="shared" si="5"/>
        <v/>
      </c>
      <c r="D353" s="139"/>
      <c r="E353" s="669"/>
      <c r="F353" s="669"/>
      <c r="G353" s="1755"/>
      <c r="H353" s="94"/>
      <c r="J353" s="1204"/>
    </row>
    <row r="354" spans="1:10" ht="26.25" thickBot="1" x14ac:dyDescent="0.3">
      <c r="A354" s="585" t="str">
        <f>IF(I354&gt;0,"P","")</f>
        <v/>
      </c>
      <c r="B354" s="254" t="str">
        <f>IF(LEN('Ch6'!H37)=0,"",'Ch6'!H37)</f>
        <v/>
      </c>
      <c r="C354" s="254" t="str">
        <f t="shared" si="5"/>
        <v/>
      </c>
      <c r="D354" s="139"/>
      <c r="E354" s="667" t="s">
        <v>260</v>
      </c>
      <c r="F354" s="139"/>
      <c r="G354" s="1225" t="s">
        <v>512</v>
      </c>
      <c r="H354" s="1313" t="str">
        <f>IF(LEN('Ch6'!W37)=0,"",'Ch6'!W37)</f>
        <v/>
      </c>
      <c r="I354" s="86">
        <f>'Ch6'!O37</f>
        <v>0</v>
      </c>
      <c r="J354" s="1204" t="s">
        <v>4956</v>
      </c>
    </row>
    <row r="355" spans="1:10" ht="15.75" thickTop="1" x14ac:dyDescent="0.25">
      <c r="A355" s="585" t="str">
        <f>IF(I355&gt;0,"P","")</f>
        <v/>
      </c>
      <c r="B355" s="254" t="str">
        <f>IF(LEN('Ch6'!H38)=0,"",'Ch6'!H38)</f>
        <v/>
      </c>
      <c r="C355" s="254" t="str">
        <f t="shared" si="5"/>
        <v/>
      </c>
      <c r="D355" s="106">
        <v>601.29999999999995</v>
      </c>
      <c r="E355" s="106"/>
      <c r="F355" s="106"/>
      <c r="G355" s="1781" t="s">
        <v>513</v>
      </c>
      <c r="H355" s="94"/>
      <c r="I355" s="706">
        <f>SUM(I358:I362)</f>
        <v>0</v>
      </c>
      <c r="J355" s="1204" t="s">
        <v>3897</v>
      </c>
    </row>
    <row r="356" spans="1:10" x14ac:dyDescent="0.25">
      <c r="A356" s="585" t="str">
        <f>A355</f>
        <v/>
      </c>
      <c r="B356" s="254" t="str">
        <f>IF(LEN('Ch6'!H39)=0,"",'Ch6'!H39)</f>
        <v/>
      </c>
      <c r="C356" s="254" t="str">
        <f t="shared" si="5"/>
        <v/>
      </c>
      <c r="D356" s="101"/>
      <c r="E356" s="101"/>
      <c r="F356" s="101"/>
      <c r="G356" s="1782"/>
      <c r="H356" s="94"/>
      <c r="J356" s="1204"/>
    </row>
    <row r="357" spans="1:10" x14ac:dyDescent="0.25">
      <c r="A357" s="585" t="str">
        <f>A356</f>
        <v/>
      </c>
      <c r="B357" s="254" t="str">
        <f>IF(LEN('Ch6'!H40)=0,"",'Ch6'!H40)</f>
        <v/>
      </c>
      <c r="C357" s="254" t="str">
        <f t="shared" si="5"/>
        <v/>
      </c>
      <c r="D357" s="101"/>
      <c r="E357" s="101"/>
      <c r="F357" s="101"/>
      <c r="G357" s="1782"/>
      <c r="H357" s="94"/>
      <c r="J357" s="1204"/>
    </row>
    <row r="358" spans="1:10" x14ac:dyDescent="0.25">
      <c r="B358" s="254" t="str">
        <f>IF(LEN('Ch6'!H41)=0,"",'Ch6'!H41)</f>
        <v/>
      </c>
      <c r="C358" s="254" t="str">
        <f t="shared" si="5"/>
        <v/>
      </c>
      <c r="D358" s="139"/>
      <c r="E358" s="684" t="s">
        <v>256</v>
      </c>
      <c r="F358" s="669"/>
      <c r="G358" s="1215" t="s">
        <v>514</v>
      </c>
      <c r="H358" s="1313" t="str">
        <f>IF(LEN('Ch6'!W41)=0,"",'Ch6'!W41)</f>
        <v/>
      </c>
      <c r="I358" s="86">
        <f>'Ch6'!O41</f>
        <v>0</v>
      </c>
      <c r="J358" s="1204"/>
    </row>
    <row r="359" spans="1:10" x14ac:dyDescent="0.25">
      <c r="B359" s="254" t="str">
        <f>IF(LEN('Ch6'!H42)=0,"",'Ch6'!H42)</f>
        <v/>
      </c>
      <c r="C359" s="254" t="str">
        <f t="shared" si="5"/>
        <v/>
      </c>
      <c r="D359" s="139"/>
      <c r="E359" s="691" t="s">
        <v>258</v>
      </c>
      <c r="F359" s="683"/>
      <c r="G359" s="280" t="s">
        <v>515</v>
      </c>
      <c r="H359" s="1313" t="str">
        <f>IF(LEN('Ch6'!W42)=0,"",'Ch6'!W42)</f>
        <v/>
      </c>
      <c r="I359" s="86">
        <f>'Ch6'!O42</f>
        <v>0</v>
      </c>
      <c r="J359" s="1204"/>
    </row>
    <row r="360" spans="1:10" x14ac:dyDescent="0.25">
      <c r="B360" s="254" t="str">
        <f>IF(LEN('Ch6'!H43)=0,"",'Ch6'!H43)</f>
        <v/>
      </c>
      <c r="C360" s="254" t="str">
        <f t="shared" si="5"/>
        <v/>
      </c>
      <c r="D360" s="139"/>
      <c r="E360" s="691" t="s">
        <v>260</v>
      </c>
      <c r="F360" s="683"/>
      <c r="G360" s="280" t="s">
        <v>516</v>
      </c>
      <c r="H360" s="1313" t="str">
        <f>IF(LEN('Ch6'!W43)=0,"",'Ch6'!W43)</f>
        <v/>
      </c>
      <c r="I360" s="86">
        <f>'Ch6'!O43</f>
        <v>0</v>
      </c>
      <c r="J360" s="1204"/>
    </row>
    <row r="361" spans="1:10" x14ac:dyDescent="0.25">
      <c r="B361" s="254" t="str">
        <f>IF(LEN('Ch6'!H44)=0,"",'Ch6'!H44)</f>
        <v/>
      </c>
      <c r="C361" s="254" t="str">
        <f t="shared" si="5"/>
        <v/>
      </c>
      <c r="D361" s="139"/>
      <c r="E361" s="691" t="s">
        <v>269</v>
      </c>
      <c r="F361" s="683"/>
      <c r="G361" s="280" t="s">
        <v>517</v>
      </c>
      <c r="H361" s="1313" t="str">
        <f>IF(LEN('Ch6'!W44)=0,"",'Ch6'!W44)</f>
        <v/>
      </c>
      <c r="I361" s="86">
        <f>'Ch6'!O44</f>
        <v>0</v>
      </c>
      <c r="J361" s="1204"/>
    </row>
    <row r="362" spans="1:10" ht="15.75" thickBot="1" x14ac:dyDescent="0.3">
      <c r="B362" s="254" t="str">
        <f>IF(LEN('Ch6'!H45)=0,"",'Ch6'!H45)</f>
        <v/>
      </c>
      <c r="C362" s="254" t="str">
        <f t="shared" si="5"/>
        <v/>
      </c>
      <c r="D362" s="139"/>
      <c r="E362" s="667" t="s">
        <v>275</v>
      </c>
      <c r="F362" s="139"/>
      <c r="G362" s="1225" t="s">
        <v>518</v>
      </c>
      <c r="H362" s="1313" t="str">
        <f>IF(LEN('Ch6'!W45)=0,"",'Ch6'!W45)</f>
        <v/>
      </c>
      <c r="I362" s="86">
        <f>'Ch6'!O45</f>
        <v>0</v>
      </c>
      <c r="J362" s="1204"/>
    </row>
    <row r="363" spans="1:10" ht="15.75" thickTop="1" x14ac:dyDescent="0.25">
      <c r="A363" s="585" t="str">
        <f>IF(AND(LEN(H363)&gt;0,NOT(H363=FALSE)),"P","")</f>
        <v/>
      </c>
      <c r="B363" s="254" t="str">
        <f>IF(LEN('Ch6'!H46)=0,"",'Ch6'!H46)</f>
        <v/>
      </c>
      <c r="C363" s="254" t="str">
        <f t="shared" si="5"/>
        <v/>
      </c>
      <c r="D363" s="106">
        <v>601.4</v>
      </c>
      <c r="E363" s="106"/>
      <c r="F363" s="106"/>
      <c r="G363" s="1781" t="s">
        <v>519</v>
      </c>
      <c r="H363" s="1313" t="str">
        <f>IF(LEN('Ch6'!W46)=0,"",'Ch6'!W46)</f>
        <v/>
      </c>
      <c r="I363" s="86">
        <f>'Ch6'!O46</f>
        <v>0</v>
      </c>
      <c r="J363" s="1950" t="s">
        <v>4957</v>
      </c>
    </row>
    <row r="364" spans="1:10" x14ac:dyDescent="0.25">
      <c r="A364" s="585" t="str">
        <f>A363</f>
        <v/>
      </c>
      <c r="B364" s="254" t="str">
        <f>IF(LEN('Ch6'!H47)=0,"",'Ch6'!H47)</f>
        <v/>
      </c>
      <c r="C364" s="254" t="str">
        <f t="shared" si="5"/>
        <v/>
      </c>
      <c r="D364" s="101"/>
      <c r="E364" s="101"/>
      <c r="F364" s="101"/>
      <c r="G364" s="1782"/>
      <c r="H364" s="94"/>
      <c r="J364" s="1951"/>
    </row>
    <row r="365" spans="1:10" ht="15.75" thickBot="1" x14ac:dyDescent="0.3">
      <c r="A365" s="585" t="str">
        <f>A364</f>
        <v/>
      </c>
      <c r="B365" s="254" t="str">
        <f>IF(LEN('Ch6'!H48)=0,"",'Ch6'!H48)</f>
        <v/>
      </c>
      <c r="C365" s="254" t="str">
        <f t="shared" si="5"/>
        <v/>
      </c>
      <c r="D365" s="101"/>
      <c r="E365" s="101"/>
      <c r="F365" s="101"/>
      <c r="G365" s="1782"/>
      <c r="H365" s="94"/>
      <c r="J365" s="1204"/>
    </row>
    <row r="366" spans="1:10" ht="15.75" thickTop="1" x14ac:dyDescent="0.25">
      <c r="A366" s="2364" t="str">
        <f>IF(COUNTIF(A369:A373,"P")&gt;0,"P","")</f>
        <v/>
      </c>
      <c r="B366" s="254" t="str">
        <f>IF(LEN('Ch6'!H49)=0,"",'Ch6'!H49)</f>
        <v/>
      </c>
      <c r="C366" s="254" t="str">
        <f t="shared" si="5"/>
        <v/>
      </c>
      <c r="D366" s="106">
        <v>601.5</v>
      </c>
      <c r="E366" s="106"/>
      <c r="F366" s="106"/>
      <c r="G366" s="1781" t="s">
        <v>520</v>
      </c>
      <c r="H366" s="94"/>
      <c r="I366"/>
      <c r="J366" s="1204"/>
    </row>
    <row r="367" spans="1:10" x14ac:dyDescent="0.25">
      <c r="A367" s="585" t="str">
        <f>A366</f>
        <v/>
      </c>
      <c r="B367" s="254" t="str">
        <f>IF(LEN('Ch6'!H50)=0,"",'Ch6'!H50)</f>
        <v/>
      </c>
      <c r="C367" s="254" t="str">
        <f t="shared" si="5"/>
        <v/>
      </c>
      <c r="D367" s="101"/>
      <c r="E367" s="101"/>
      <c r="F367" s="101"/>
      <c r="G367" s="1782"/>
      <c r="H367" s="94"/>
      <c r="J367" s="1204"/>
    </row>
    <row r="368" spans="1:10" x14ac:dyDescent="0.25">
      <c r="A368" s="585" t="str">
        <f>A367</f>
        <v/>
      </c>
      <c r="B368" s="254" t="str">
        <f>IF(LEN('Ch6'!H51)=0,"",'Ch6'!H51)</f>
        <v/>
      </c>
      <c r="C368" s="254" t="str">
        <f t="shared" si="5"/>
        <v/>
      </c>
      <c r="D368" s="101"/>
      <c r="E368" s="101"/>
      <c r="F368" s="101"/>
      <c r="G368" s="1782"/>
      <c r="H368" s="94"/>
      <c r="J368" s="1204"/>
    </row>
    <row r="369" spans="1:10" x14ac:dyDescent="0.25">
      <c r="A369" s="585" t="str">
        <f>IF(I369&gt;0,"P","")</f>
        <v/>
      </c>
      <c r="B369" s="254" t="str">
        <f>IF(LEN('Ch6'!H52)=0,"",'Ch6'!H52)</f>
        <v/>
      </c>
      <c r="C369" s="254" t="str">
        <f t="shared" si="5"/>
        <v/>
      </c>
      <c r="D369" s="139"/>
      <c r="E369" s="684" t="s">
        <v>256</v>
      </c>
      <c r="F369" s="669"/>
      <c r="G369" s="1215" t="s">
        <v>522</v>
      </c>
      <c r="H369" s="1313" t="str">
        <f>IF(LEN('Ch6'!W52)=0,"",'Ch6'!W52)</f>
        <v/>
      </c>
      <c r="I369" s="86">
        <f>'Ch6'!O52</f>
        <v>0</v>
      </c>
      <c r="J369" s="1204" t="s">
        <v>3892</v>
      </c>
    </row>
    <row r="370" spans="1:10" x14ac:dyDescent="0.25">
      <c r="A370" s="585" t="str">
        <f>IF(I370&gt;0,"P","")</f>
        <v/>
      </c>
      <c r="B370" s="254" t="str">
        <f>IF(LEN('Ch6'!H53)=0,"",'Ch6'!H53)</f>
        <v/>
      </c>
      <c r="C370" s="254" t="str">
        <f t="shared" si="5"/>
        <v/>
      </c>
      <c r="D370" s="139"/>
      <c r="E370" s="691" t="s">
        <v>258</v>
      </c>
      <c r="F370" s="683"/>
      <c r="G370" s="280" t="s">
        <v>523</v>
      </c>
      <c r="H370" s="1313" t="str">
        <f>IF(LEN('Ch6'!W53)=0,"",'Ch6'!W53)</f>
        <v/>
      </c>
      <c r="I370" s="86">
        <f>'Ch6'!O53</f>
        <v>0</v>
      </c>
      <c r="J370" s="1204" t="s">
        <v>3892</v>
      </c>
    </row>
    <row r="371" spans="1:10" x14ac:dyDescent="0.25">
      <c r="A371" s="585" t="str">
        <f>IF(I371&gt;0,"P","")</f>
        <v/>
      </c>
      <c r="B371" s="254" t="str">
        <f>IF(LEN('Ch6'!H54)=0,"",'Ch6'!H54)</f>
        <v/>
      </c>
      <c r="C371" s="254" t="str">
        <f t="shared" si="5"/>
        <v/>
      </c>
      <c r="D371" s="139"/>
      <c r="E371" s="691" t="s">
        <v>260</v>
      </c>
      <c r="F371" s="683"/>
      <c r="G371" s="280" t="s">
        <v>524</v>
      </c>
      <c r="H371" s="1313" t="str">
        <f>IF(LEN('Ch6'!W54)=0,"",'Ch6'!W54)</f>
        <v/>
      </c>
      <c r="I371" s="86">
        <f>'Ch6'!O54</f>
        <v>0</v>
      </c>
      <c r="J371" s="1204" t="s">
        <v>3892</v>
      </c>
    </row>
    <row r="372" spans="1:10" x14ac:dyDescent="0.25">
      <c r="A372" s="585" t="str">
        <f>IF(I372&gt;0,"P","")</f>
        <v/>
      </c>
      <c r="B372" s="254" t="str">
        <f>IF(LEN('Ch6'!H55)=0,"",'Ch6'!H55)</f>
        <v/>
      </c>
      <c r="C372" s="254" t="str">
        <f t="shared" si="5"/>
        <v/>
      </c>
      <c r="D372" s="139"/>
      <c r="E372" s="691" t="s">
        <v>269</v>
      </c>
      <c r="F372" s="683"/>
      <c r="G372" s="280" t="s">
        <v>525</v>
      </c>
      <c r="H372" s="1313" t="str">
        <f>IF(LEN('Ch6'!W55)=0,"",'Ch6'!W55)</f>
        <v/>
      </c>
      <c r="I372" s="86">
        <f>'Ch6'!O55</f>
        <v>0</v>
      </c>
      <c r="J372" s="1204" t="s">
        <v>3898</v>
      </c>
    </row>
    <row r="373" spans="1:10" ht="15.75" thickBot="1" x14ac:dyDescent="0.3">
      <c r="A373" s="585" t="str">
        <f>IF(I373&gt;0,"P","")</f>
        <v/>
      </c>
      <c r="B373" s="254" t="str">
        <f>IF(LEN('Ch6'!H56)=0,"",'Ch6'!H56)</f>
        <v/>
      </c>
      <c r="C373" s="254" t="str">
        <f t="shared" si="5"/>
        <v/>
      </c>
      <c r="D373" s="139"/>
      <c r="E373" s="667" t="s">
        <v>275</v>
      </c>
      <c r="F373" s="139"/>
      <c r="G373" s="1225" t="s">
        <v>526</v>
      </c>
      <c r="H373" s="1313" t="str">
        <f>IF(LEN('Ch6'!W56)=0,"",'Ch6'!W56)</f>
        <v/>
      </c>
      <c r="I373" s="86">
        <f>'Ch6'!O56</f>
        <v>0</v>
      </c>
      <c r="J373" s="1204" t="s">
        <v>3898</v>
      </c>
    </row>
    <row r="374" spans="1:10" ht="15.75" thickTop="1" x14ac:dyDescent="0.25">
      <c r="A374" s="585" t="str">
        <f ca="1">IF(I374&gt;0,"P","")</f>
        <v/>
      </c>
      <c r="B374" s="254" t="str">
        <f>IF(LEN('Ch6'!H57)=0,"",'Ch6'!H57)</f>
        <v/>
      </c>
      <c r="C374" s="254" t="str">
        <f t="shared" ca="1" si="5"/>
        <v/>
      </c>
      <c r="D374" s="106">
        <v>601.6</v>
      </c>
      <c r="E374" s="106"/>
      <c r="F374" s="106"/>
      <c r="G374" s="1781" t="s">
        <v>527</v>
      </c>
      <c r="H374" s="94"/>
      <c r="I374" s="86">
        <f ca="1">'Ch6'!O57</f>
        <v>0</v>
      </c>
      <c r="J374" s="1204" t="s">
        <v>3892</v>
      </c>
    </row>
    <row r="375" spans="1:10" x14ac:dyDescent="0.25">
      <c r="A375" s="585" t="str">
        <f ca="1">A374</f>
        <v/>
      </c>
      <c r="B375" s="254" t="str">
        <f>IF(LEN('Ch6'!H58)=0,"",'Ch6'!H58)</f>
        <v/>
      </c>
      <c r="C375" s="254" t="str">
        <f t="shared" ca="1" si="5"/>
        <v/>
      </c>
      <c r="D375" s="101"/>
      <c r="E375" s="101"/>
      <c r="F375" s="101"/>
      <c r="G375" s="1782"/>
      <c r="H375" s="94"/>
      <c r="J375" s="1204"/>
    </row>
    <row r="376" spans="1:10" x14ac:dyDescent="0.25">
      <c r="A376" s="585" t="str">
        <f ca="1">A375</f>
        <v/>
      </c>
      <c r="B376" s="254" t="str">
        <f>IF(LEN('Ch6'!H59)=0,"",'Ch6'!H59)</f>
        <v/>
      </c>
      <c r="C376" s="254" t="str">
        <f t="shared" ca="1" si="5"/>
        <v/>
      </c>
      <c r="D376" s="101"/>
      <c r="E376" s="101"/>
      <c r="F376" s="101"/>
      <c r="G376" s="1782"/>
      <c r="H376" s="94"/>
      <c r="J376" s="1204"/>
    </row>
    <row r="377" spans="1:10" x14ac:dyDescent="0.25">
      <c r="B377" s="254" t="str">
        <f>IF(LEN('Ch6'!H60)=0,"",'Ch6'!H60)</f>
        <v/>
      </c>
      <c r="C377" s="254" t="str">
        <f t="shared" si="5"/>
        <v/>
      </c>
      <c r="D377" s="101"/>
      <c r="E377" s="684" t="s">
        <v>256</v>
      </c>
      <c r="F377" s="669"/>
      <c r="G377" s="1215" t="s">
        <v>529</v>
      </c>
      <c r="H377" s="94"/>
      <c r="J377" s="1204"/>
    </row>
    <row r="378" spans="1:10" ht="15.75" thickBot="1" x14ac:dyDescent="0.3">
      <c r="B378" s="254" t="str">
        <f>IF(LEN('Ch6'!H61)=0,"",'Ch6'!H61)</f>
        <v/>
      </c>
      <c r="C378" s="254" t="str">
        <f t="shared" si="5"/>
        <v/>
      </c>
      <c r="D378" s="101"/>
      <c r="E378" s="668" t="s">
        <v>258</v>
      </c>
      <c r="F378" s="101"/>
      <c r="G378" s="1225" t="s">
        <v>530</v>
      </c>
      <c r="H378" s="94"/>
      <c r="J378" s="1204"/>
    </row>
    <row r="379" spans="1:10" ht="15.75" thickTop="1" x14ac:dyDescent="0.25">
      <c r="A379" s="585" t="str">
        <f ca="1">IF(I379&gt;0,"P","")</f>
        <v/>
      </c>
      <c r="B379" s="254" t="str">
        <f>IF(LEN('Ch6'!H62)=0,"",'Ch6'!H62)</f>
        <v/>
      </c>
      <c r="C379" s="254" t="str">
        <f t="shared" ca="1" si="5"/>
        <v/>
      </c>
      <c r="D379" s="106">
        <v>601.70000000000005</v>
      </c>
      <c r="E379" s="106"/>
      <c r="F379" s="106"/>
      <c r="G379" s="1781" t="s">
        <v>531</v>
      </c>
      <c r="H379" s="94"/>
      <c r="I379" s="86">
        <f ca="1">'Ch6'!O62</f>
        <v>0</v>
      </c>
      <c r="J379" s="1950" t="s">
        <v>4958</v>
      </c>
    </row>
    <row r="380" spans="1:10" x14ac:dyDescent="0.25">
      <c r="A380" s="585" t="str">
        <f ca="1">A379</f>
        <v/>
      </c>
      <c r="B380" s="254" t="str">
        <f>IF(LEN('Ch6'!H63)=0,"",'Ch6'!H63)</f>
        <v/>
      </c>
      <c r="C380" s="254" t="str">
        <f t="shared" ca="1" si="5"/>
        <v/>
      </c>
      <c r="D380" s="101"/>
      <c r="E380" s="101"/>
      <c r="F380" s="101"/>
      <c r="G380" s="1782"/>
      <c r="H380" s="94"/>
      <c r="J380" s="1951"/>
    </row>
    <row r="381" spans="1:10" x14ac:dyDescent="0.25">
      <c r="B381" s="254" t="str">
        <f>IF(LEN('Ch6'!H64)=0,"",'Ch6'!H64)</f>
        <v/>
      </c>
      <c r="C381" s="254" t="str">
        <f t="shared" si="5"/>
        <v/>
      </c>
      <c r="D381" s="101"/>
      <c r="E381" s="101"/>
      <c r="F381" s="101"/>
      <c r="G381" s="1232" t="s">
        <v>542</v>
      </c>
      <c r="H381" s="94"/>
      <c r="J381" s="1204"/>
    </row>
    <row r="382" spans="1:10" x14ac:dyDescent="0.25">
      <c r="B382" s="254" t="str">
        <f>IF(LEN('Ch6'!H65)=0,"",'Ch6'!H65)</f>
        <v/>
      </c>
      <c r="C382" s="254" t="str">
        <f t="shared" si="5"/>
        <v/>
      </c>
      <c r="D382" s="101"/>
      <c r="E382" s="101"/>
      <c r="F382" s="684" t="s">
        <v>121</v>
      </c>
      <c r="G382" s="1215" t="s">
        <v>533</v>
      </c>
      <c r="H382" s="1313" t="str">
        <f>IF(LEN('Ch6'!W65)=0,"",'Ch6'!W65)</f>
        <v/>
      </c>
      <c r="J382" s="1204"/>
    </row>
    <row r="383" spans="1:10" x14ac:dyDescent="0.25">
      <c r="B383" s="254" t="str">
        <f>IF(LEN('Ch6'!H66)=0,"",'Ch6'!H66)</f>
        <v/>
      </c>
      <c r="C383" s="254" t="str">
        <f t="shared" si="5"/>
        <v/>
      </c>
      <c r="D383" s="101"/>
      <c r="E383" s="101"/>
      <c r="F383" s="691" t="s">
        <v>122</v>
      </c>
      <c r="G383" s="280" t="s">
        <v>534</v>
      </c>
      <c r="H383" s="1313" t="str">
        <f>IF(LEN('Ch6'!W66)=0,"",'Ch6'!W66)</f>
        <v/>
      </c>
      <c r="J383" s="1204"/>
    </row>
    <row r="384" spans="1:10" x14ac:dyDescent="0.25">
      <c r="B384" s="254" t="str">
        <f>IF(LEN('Ch6'!H67)=0,"",'Ch6'!H67)</f>
        <v/>
      </c>
      <c r="C384" s="254" t="str">
        <f t="shared" si="5"/>
        <v/>
      </c>
      <c r="D384" s="101"/>
      <c r="E384" s="101"/>
      <c r="F384" s="692" t="s">
        <v>123</v>
      </c>
      <c r="G384" s="1853" t="s">
        <v>535</v>
      </c>
      <c r="H384" s="1313" t="str">
        <f>IF(LEN('Ch6'!W67)=0,"",'Ch6'!W67)</f>
        <v/>
      </c>
      <c r="J384" s="1204"/>
    </row>
    <row r="385" spans="1:10" x14ac:dyDescent="0.25">
      <c r="B385" s="254" t="str">
        <f>IF(LEN('Ch6'!H68)=0,"",'Ch6'!H68)</f>
        <v/>
      </c>
      <c r="C385" s="254" t="str">
        <f t="shared" si="5"/>
        <v/>
      </c>
      <c r="D385" s="101"/>
      <c r="E385" s="101"/>
      <c r="F385" s="101"/>
      <c r="G385" s="1854"/>
      <c r="H385" s="94"/>
      <c r="J385" s="1204"/>
    </row>
    <row r="386" spans="1:10" x14ac:dyDescent="0.25">
      <c r="B386" s="254" t="str">
        <f>IF(LEN('Ch6'!H69)=0,"",'Ch6'!H69)</f>
        <v/>
      </c>
      <c r="C386" s="254" t="str">
        <f t="shared" si="5"/>
        <v/>
      </c>
      <c r="D386" s="101"/>
      <c r="E386" s="101"/>
      <c r="F386" s="101"/>
      <c r="G386" s="281" t="s">
        <v>536</v>
      </c>
      <c r="H386" s="94"/>
      <c r="J386" s="1204"/>
    </row>
    <row r="387" spans="1:10" x14ac:dyDescent="0.25">
      <c r="B387" s="254" t="str">
        <f>IF(LEN('Ch6'!H70)=0,"",'Ch6'!H70)</f>
        <v/>
      </c>
      <c r="C387" s="254" t="str">
        <f t="shared" si="5"/>
        <v/>
      </c>
      <c r="D387" s="101"/>
      <c r="E387" s="101"/>
      <c r="F387" s="669"/>
      <c r="G387" s="1220" t="s">
        <v>537</v>
      </c>
      <c r="H387" s="94"/>
      <c r="J387" s="1204"/>
    </row>
    <row r="388" spans="1:10" x14ac:dyDescent="0.25">
      <c r="B388" s="254" t="str">
        <f>IF(LEN('Ch6'!H71)=0,"",'Ch6'!H71)</f>
        <v/>
      </c>
      <c r="C388" s="254" t="str">
        <f t="shared" si="5"/>
        <v/>
      </c>
      <c r="D388" s="101"/>
      <c r="E388" s="101"/>
      <c r="F388" s="671" t="s">
        <v>401</v>
      </c>
      <c r="G388" s="1778" t="s">
        <v>538</v>
      </c>
      <c r="H388" s="1313" t="str">
        <f>IF(LEN('Ch6'!W71)=0,"",'Ch6'!W71)</f>
        <v/>
      </c>
      <c r="J388" s="1204"/>
    </row>
    <row r="389" spans="1:10" x14ac:dyDescent="0.25">
      <c r="B389" s="254" t="str">
        <f>IF(LEN('Ch6'!H72)=0,"",'Ch6'!H72)</f>
        <v/>
      </c>
      <c r="C389" s="254" t="str">
        <f t="shared" si="5"/>
        <v/>
      </c>
      <c r="D389" s="101"/>
      <c r="E389" s="101"/>
      <c r="F389" s="669"/>
      <c r="G389" s="1755"/>
      <c r="H389" s="94"/>
      <c r="J389" s="1204"/>
    </row>
    <row r="390" spans="1:10" x14ac:dyDescent="0.25">
      <c r="B390" s="254" t="str">
        <f>IF(LEN('Ch6'!H73)=0,"",'Ch6'!H73)</f>
        <v/>
      </c>
      <c r="C390" s="254" t="str">
        <f t="shared" si="5"/>
        <v/>
      </c>
      <c r="D390" s="101"/>
      <c r="E390" s="101"/>
      <c r="F390" s="671" t="s">
        <v>539</v>
      </c>
      <c r="G390" s="1778" t="s">
        <v>540</v>
      </c>
      <c r="H390" s="1313" t="str">
        <f>IF(LEN('Ch6'!W73)=0,"",'Ch6'!W73)</f>
        <v/>
      </c>
      <c r="J390" s="1204"/>
    </row>
    <row r="391" spans="1:10" x14ac:dyDescent="0.25">
      <c r="B391" s="254" t="str">
        <f>IF(LEN('Ch6'!H74)=0,"",'Ch6'!H74)</f>
        <v/>
      </c>
      <c r="C391" s="254" t="str">
        <f t="shared" si="5"/>
        <v/>
      </c>
      <c r="D391" s="101"/>
      <c r="E391" s="101"/>
      <c r="F391" s="669"/>
      <c r="G391" s="1755"/>
      <c r="H391" s="94"/>
      <c r="J391" s="1204"/>
    </row>
    <row r="392" spans="1:10" x14ac:dyDescent="0.25">
      <c r="B392" s="254" t="str">
        <f>IF(LEN('Ch6'!H75)=0,"",'Ch6'!H75)</f>
        <v/>
      </c>
      <c r="C392" s="254" t="str">
        <f t="shared" ref="C392:C455" si="6">IF(LEN(B392)=0,IF(A392="P","P",""),B392)</f>
        <v/>
      </c>
      <c r="D392" s="101"/>
      <c r="E392" s="684" t="s">
        <v>256</v>
      </c>
      <c r="F392" s="101"/>
      <c r="G392" s="1215" t="s">
        <v>541</v>
      </c>
      <c r="H392" s="94"/>
      <c r="J392" s="1204"/>
    </row>
    <row r="393" spans="1:10" x14ac:dyDescent="0.25">
      <c r="B393" s="254" t="str">
        <f>IF(LEN('Ch6'!H76)=0,"",'Ch6'!H76)</f>
        <v/>
      </c>
      <c r="C393" s="254" t="str">
        <f t="shared" si="6"/>
        <v/>
      </c>
      <c r="D393" s="101"/>
      <c r="E393" s="668" t="s">
        <v>258</v>
      </c>
      <c r="F393" s="1389"/>
      <c r="G393" s="1760" t="s">
        <v>543</v>
      </c>
      <c r="H393" s="94"/>
      <c r="J393" s="1204"/>
    </row>
    <row r="394" spans="1:10" x14ac:dyDescent="0.25">
      <c r="B394" s="254" t="str">
        <f>IF(LEN('Ch6'!H77)=0,"",'Ch6'!H77)</f>
        <v/>
      </c>
      <c r="C394" s="254" t="str">
        <f t="shared" si="6"/>
        <v/>
      </c>
      <c r="D394" s="101"/>
      <c r="E394" s="1387"/>
      <c r="F394" s="669"/>
      <c r="G394" s="1761"/>
      <c r="H394" s="94"/>
      <c r="J394" s="1204"/>
    </row>
    <row r="395" spans="1:10" x14ac:dyDescent="0.25">
      <c r="B395" s="254" t="str">
        <f>IF(LEN('Ch6'!H78)=0,"",'Ch6'!H78)</f>
        <v/>
      </c>
      <c r="C395" s="254" t="str">
        <f t="shared" si="6"/>
        <v/>
      </c>
      <c r="D395" s="101"/>
      <c r="E395" s="668" t="s">
        <v>260</v>
      </c>
      <c r="F395" s="101"/>
      <c r="G395" s="1793" t="s">
        <v>544</v>
      </c>
      <c r="H395" s="94"/>
      <c r="J395" s="1204"/>
    </row>
    <row r="396" spans="1:10" ht="15.75" thickBot="1" x14ac:dyDescent="0.3">
      <c r="B396" s="254" t="str">
        <f>IF(LEN('Ch6'!H79)=0,"",'Ch6'!H79)</f>
        <v/>
      </c>
      <c r="C396" s="254" t="str">
        <f t="shared" si="6"/>
        <v/>
      </c>
      <c r="D396" s="101"/>
      <c r="E396" s="668"/>
      <c r="F396" s="101"/>
      <c r="G396" s="1842"/>
      <c r="H396" s="94"/>
      <c r="J396" s="1204"/>
    </row>
    <row r="397" spans="1:10" ht="15.75" thickTop="1" x14ac:dyDescent="0.25">
      <c r="A397" s="585" t="str">
        <f>IF(I397&gt;0,"P","")</f>
        <v/>
      </c>
      <c r="B397" s="254" t="str">
        <f>IF(LEN('Ch6'!H80)=0,"",'Ch6'!H80)</f>
        <v/>
      </c>
      <c r="C397" s="254" t="str">
        <f t="shared" si="6"/>
        <v/>
      </c>
      <c r="D397" s="106">
        <v>601.79999999999995</v>
      </c>
      <c r="E397" s="106"/>
      <c r="F397" s="106"/>
      <c r="G397" s="1781" t="s">
        <v>545</v>
      </c>
      <c r="H397" s="1313" t="str">
        <f>IF(LEN('Ch6'!W80)=0,"",'Ch6'!W80)</f>
        <v/>
      </c>
      <c r="I397" s="86">
        <f>'Ch6'!O80</f>
        <v>0</v>
      </c>
      <c r="J397" s="1204" t="s">
        <v>3899</v>
      </c>
    </row>
    <row r="398" spans="1:10" x14ac:dyDescent="0.25">
      <c r="A398" s="585" t="str">
        <f>A397</f>
        <v/>
      </c>
      <c r="B398" s="254" t="str">
        <f>IF(LEN('Ch6'!H81)=0,"",'Ch6'!H81)</f>
        <v/>
      </c>
      <c r="C398" s="254" t="str">
        <f t="shared" si="6"/>
        <v/>
      </c>
      <c r="D398" s="101"/>
      <c r="E398" s="101"/>
      <c r="F398" s="101"/>
      <c r="G398" s="1782"/>
      <c r="H398" s="94"/>
      <c r="J398" s="1204"/>
    </row>
    <row r="399" spans="1:10" x14ac:dyDescent="0.25">
      <c r="A399" s="585" t="str">
        <f>A398</f>
        <v/>
      </c>
      <c r="B399" s="254" t="str">
        <f>IF(LEN('Ch6'!H82)=0,"",'Ch6'!H82)</f>
        <v/>
      </c>
      <c r="C399" s="254" t="str">
        <f t="shared" si="6"/>
        <v/>
      </c>
      <c r="D399" s="101"/>
      <c r="E399" s="101"/>
      <c r="F399" s="101"/>
      <c r="G399" s="1782"/>
      <c r="H399" s="94"/>
      <c r="J399" s="1204"/>
    </row>
    <row r="400" spans="1:10" x14ac:dyDescent="0.25">
      <c r="A400" s="585" t="str">
        <f>A399</f>
        <v/>
      </c>
      <c r="B400" s="254" t="str">
        <f>IF(LEN('Ch6'!H83)=0,"",'Ch6'!H83)</f>
        <v/>
      </c>
      <c r="C400" s="254" t="str">
        <f t="shared" si="6"/>
        <v/>
      </c>
      <c r="D400" s="101"/>
      <c r="E400" s="101"/>
      <c r="F400" s="101"/>
      <c r="G400" s="1782"/>
      <c r="H400" s="94"/>
      <c r="J400" s="1204"/>
    </row>
    <row r="401" spans="1:10" x14ac:dyDescent="0.25">
      <c r="A401" s="585" t="str">
        <f>A400</f>
        <v/>
      </c>
      <c r="B401" s="254" t="str">
        <f>IF(LEN('Ch6'!H84)=0,"",'Ch6'!H84)</f>
        <v/>
      </c>
      <c r="C401" s="254" t="str">
        <f t="shared" si="6"/>
        <v/>
      </c>
      <c r="D401" s="101"/>
      <c r="E401" s="101"/>
      <c r="F401" s="101"/>
      <c r="G401" s="1782"/>
      <c r="H401" s="94"/>
      <c r="J401" s="1204"/>
    </row>
    <row r="402" spans="1:10" x14ac:dyDescent="0.25">
      <c r="B402" s="254" t="str">
        <f>IF(LEN('Ch6'!H85)=0,"",'Ch6'!H85)</f>
        <v/>
      </c>
      <c r="C402" s="254" t="str">
        <f t="shared" si="6"/>
        <v/>
      </c>
      <c r="D402" s="101"/>
      <c r="E402" s="101"/>
      <c r="F402" s="101"/>
      <c r="G402" s="1958" t="s">
        <v>1103</v>
      </c>
      <c r="H402" s="94"/>
      <c r="J402" s="1204"/>
    </row>
    <row r="403" spans="1:10" x14ac:dyDescent="0.25">
      <c r="B403" s="254" t="str">
        <f>IF(LEN('Ch6'!H86)=0,"",'Ch6'!H86)</f>
        <v/>
      </c>
      <c r="C403" s="254" t="str">
        <f t="shared" si="6"/>
        <v/>
      </c>
      <c r="D403" s="101"/>
      <c r="E403" s="101"/>
      <c r="F403" s="101"/>
      <c r="G403" s="1958"/>
      <c r="H403" s="94"/>
      <c r="J403" s="1204"/>
    </row>
    <row r="404" spans="1:10" x14ac:dyDescent="0.25">
      <c r="B404" s="254" t="str">
        <f>IF(LEN('Ch6'!H87)=0,"",'Ch6'!H87)</f>
        <v/>
      </c>
      <c r="C404" s="254" t="str">
        <f t="shared" si="6"/>
        <v/>
      </c>
      <c r="D404" s="101"/>
      <c r="E404" s="101"/>
      <c r="F404" s="101"/>
      <c r="G404" s="1959"/>
      <c r="H404" s="94"/>
      <c r="J404" s="1204"/>
    </row>
    <row r="405" spans="1:10" ht="18.75" x14ac:dyDescent="0.25">
      <c r="A405" s="585" t="s">
        <v>3974</v>
      </c>
      <c r="B405" s="254" t="str">
        <f>IF(LEN('Ch6'!H88)=0,"",'Ch6'!H88)</f>
        <v/>
      </c>
      <c r="C405" s="254" t="str">
        <f t="shared" si="6"/>
        <v>P</v>
      </c>
      <c r="D405" s="1388" t="s">
        <v>546</v>
      </c>
      <c r="E405" s="1388"/>
      <c r="F405" s="1388"/>
      <c r="G405" s="1001"/>
      <c r="H405" s="94"/>
      <c r="J405" s="1204"/>
    </row>
    <row r="406" spans="1:10" x14ac:dyDescent="0.25">
      <c r="B406" s="254" t="str">
        <f>IF(LEN('Ch6'!H89)=0,"",'Ch6'!H89)</f>
        <v/>
      </c>
      <c r="C406" s="254" t="str">
        <f t="shared" si="6"/>
        <v/>
      </c>
      <c r="D406" s="667" t="s">
        <v>3141</v>
      </c>
      <c r="E406" s="139"/>
      <c r="F406" s="139"/>
      <c r="G406" s="1782" t="s">
        <v>547</v>
      </c>
      <c r="H406" s="94"/>
      <c r="J406" s="1204"/>
    </row>
    <row r="407" spans="1:10" ht="15.75" thickBot="1" x14ac:dyDescent="0.3">
      <c r="B407" s="254" t="str">
        <f>IF(LEN('Ch6'!H90)=0,"",'Ch6'!H90)</f>
        <v/>
      </c>
      <c r="C407" s="254" t="str">
        <f t="shared" si="6"/>
        <v/>
      </c>
      <c r="D407" s="139"/>
      <c r="E407" s="139"/>
      <c r="F407" s="139"/>
      <c r="G407" s="1782"/>
      <c r="H407" s="94"/>
      <c r="J407" s="1204"/>
    </row>
    <row r="408" spans="1:10" ht="16.5" thickTop="1" thickBot="1" x14ac:dyDescent="0.3">
      <c r="A408" s="2363" t="str">
        <f ca="1">IF(COUNTIF(A409:A537,"P")&gt;0,"P","")</f>
        <v/>
      </c>
      <c r="B408" s="254" t="str">
        <f>IF(LEN('Ch6'!H91)=0,"",'Ch6'!H91)</f>
        <v/>
      </c>
      <c r="C408" s="254" t="str">
        <f t="shared" ca="1" si="6"/>
        <v/>
      </c>
      <c r="D408" s="106">
        <v>602.1</v>
      </c>
      <c r="E408" s="106"/>
      <c r="F408" s="106"/>
      <c r="G408" s="1240" t="s">
        <v>548</v>
      </c>
      <c r="H408" s="94"/>
      <c r="J408" s="1204"/>
    </row>
    <row r="409" spans="1:10" ht="15.75" thickTop="1" x14ac:dyDescent="0.25">
      <c r="A409" s="2363" t="str">
        <f>IF(COUNTIF(A410:A413,"P")&gt;0,"P","")</f>
        <v/>
      </c>
      <c r="B409" s="254" t="str">
        <f>IF(LEN('Ch6'!H92)=0,"",'Ch6'!H92)</f>
        <v/>
      </c>
      <c r="C409" s="254" t="str">
        <f t="shared" si="6"/>
        <v/>
      </c>
      <c r="D409" s="106" t="s">
        <v>549</v>
      </c>
      <c r="E409" s="106"/>
      <c r="F409" s="106"/>
      <c r="G409" s="1240" t="s">
        <v>550</v>
      </c>
      <c r="H409" s="94"/>
      <c r="J409" s="1204"/>
    </row>
    <row r="410" spans="1:10" x14ac:dyDescent="0.25">
      <c r="A410" s="585" t="str">
        <f>IF(AND(LEN(H410)&gt;0,NOT(H410=FALSE)),"P","")</f>
        <v/>
      </c>
      <c r="B410" s="254" t="str">
        <f>IF(LEN('Ch6'!H93)=0,"",'Ch6'!H93)</f>
        <v/>
      </c>
      <c r="C410" s="254" t="str">
        <f t="shared" si="6"/>
        <v/>
      </c>
      <c r="D410" s="101" t="s">
        <v>551</v>
      </c>
      <c r="E410" s="101"/>
      <c r="F410" s="101"/>
      <c r="G410" s="1782" t="s">
        <v>4853</v>
      </c>
      <c r="H410" s="1313" t="str">
        <f>IF(LEN('Ch6'!W93)=0,"",'Ch6'!W93)</f>
        <v/>
      </c>
      <c r="J410" s="1950" t="s">
        <v>4959</v>
      </c>
    </row>
    <row r="411" spans="1:10" x14ac:dyDescent="0.25">
      <c r="A411" s="585" t="str">
        <f>A410</f>
        <v/>
      </c>
      <c r="B411" s="254" t="str">
        <f>IF(LEN('Ch6'!H94)=0,"",'Ch6'!H94)</f>
        <v/>
      </c>
      <c r="C411" s="254" t="str">
        <f t="shared" si="6"/>
        <v/>
      </c>
      <c r="D411" s="101"/>
      <c r="E411" s="101"/>
      <c r="F411" s="101"/>
      <c r="G411" s="1782"/>
      <c r="H411" s="94"/>
      <c r="J411" s="1954"/>
    </row>
    <row r="412" spans="1:10" x14ac:dyDescent="0.25">
      <c r="A412" s="585" t="str">
        <f>A411</f>
        <v/>
      </c>
      <c r="B412" s="254" t="str">
        <f>IF(LEN('Ch6'!H95)=0,"",'Ch6'!H95)</f>
        <v/>
      </c>
      <c r="C412" s="254" t="str">
        <f t="shared" si="6"/>
        <v/>
      </c>
      <c r="D412" s="669"/>
      <c r="E412" s="669"/>
      <c r="F412" s="669"/>
      <c r="G412" s="1843"/>
      <c r="H412" s="94"/>
      <c r="J412" s="1951"/>
    </row>
    <row r="413" spans="1:10" x14ac:dyDescent="0.25">
      <c r="A413" s="585" t="str">
        <f>IF(I413&gt;0,"P","")</f>
        <v/>
      </c>
      <c r="B413" s="254" t="str">
        <f>IF(LEN('Ch6'!H96)=0,"",'Ch6'!H96)</f>
        <v/>
      </c>
      <c r="C413" s="254" t="str">
        <f t="shared" si="6"/>
        <v/>
      </c>
      <c r="D413" s="139" t="s">
        <v>552</v>
      </c>
      <c r="E413" s="139"/>
      <c r="F413" s="139"/>
      <c r="G413" s="1782" t="s">
        <v>553</v>
      </c>
      <c r="H413" s="1313" t="str">
        <f>IF(LEN('Ch6'!W96)=0,"",'Ch6'!W96)</f>
        <v/>
      </c>
      <c r="I413" s="86">
        <f>'Ch6'!O96</f>
        <v>0</v>
      </c>
      <c r="J413" s="1950" t="s">
        <v>3900</v>
      </c>
    </row>
    <row r="414" spans="1:10" ht="15.75" thickBot="1" x14ac:dyDescent="0.3">
      <c r="A414" s="585" t="str">
        <f>A413</f>
        <v/>
      </c>
      <c r="B414" s="254" t="str">
        <f>IF(LEN('Ch6'!H97)=0,"",'Ch6'!H97)</f>
        <v/>
      </c>
      <c r="C414" s="254" t="str">
        <f t="shared" si="6"/>
        <v/>
      </c>
      <c r="D414" s="139"/>
      <c r="E414" s="139"/>
      <c r="F414" s="139"/>
      <c r="G414" s="1782"/>
      <c r="H414" s="94"/>
      <c r="J414" s="1951"/>
    </row>
    <row r="415" spans="1:10" ht="15.75" thickTop="1" x14ac:dyDescent="0.25">
      <c r="A415" s="585" t="str">
        <f>IF(I415&gt;0,"P","")</f>
        <v/>
      </c>
      <c r="B415" s="254" t="str">
        <f>IF(LEN('Ch6'!H98)=0,"",'Ch6'!H98)</f>
        <v/>
      </c>
      <c r="C415" s="254" t="str">
        <f t="shared" si="6"/>
        <v/>
      </c>
      <c r="D415" s="106" t="s">
        <v>3142</v>
      </c>
      <c r="E415" s="106"/>
      <c r="F415" s="106"/>
      <c r="G415" s="1781" t="s">
        <v>555</v>
      </c>
      <c r="H415" s="94"/>
      <c r="I415" s="86">
        <f>'Ch6'!O98</f>
        <v>0</v>
      </c>
      <c r="J415" s="1204" t="s">
        <v>3901</v>
      </c>
    </row>
    <row r="416" spans="1:10" x14ac:dyDescent="0.25">
      <c r="A416" s="585" t="str">
        <f>A415</f>
        <v/>
      </c>
      <c r="B416" s="254" t="str">
        <f>IF(LEN('Ch6'!H99)=0,"",'Ch6'!H99)</f>
        <v/>
      </c>
      <c r="C416" s="254" t="str">
        <f t="shared" si="6"/>
        <v/>
      </c>
      <c r="D416" s="101"/>
      <c r="E416" s="101"/>
      <c r="F416" s="101"/>
      <c r="G416" s="1782"/>
      <c r="H416" s="94"/>
      <c r="J416" s="1204"/>
    </row>
    <row r="417" spans="1:10" x14ac:dyDescent="0.25">
      <c r="B417" s="254" t="str">
        <f>IF(LEN('Ch6'!H100)=0,"",'Ch6'!H100)</f>
        <v/>
      </c>
      <c r="C417" s="254" t="str">
        <f t="shared" si="6"/>
        <v/>
      </c>
      <c r="D417" s="101"/>
      <c r="E417" s="684" t="s">
        <v>256</v>
      </c>
      <c r="F417" s="669"/>
      <c r="G417" s="1215" t="s">
        <v>556</v>
      </c>
      <c r="H417" s="1313" t="str">
        <f>IF(LEN('Ch6'!W100)=0,"",'Ch6'!W100)</f>
        <v/>
      </c>
      <c r="J417" s="1204"/>
    </row>
    <row r="418" spans="1:10" ht="15.75" thickBot="1" x14ac:dyDescent="0.3">
      <c r="B418" s="254" t="str">
        <f>IF(LEN('Ch6'!H101)=0,"",'Ch6'!H101)</f>
        <v/>
      </c>
      <c r="C418" s="254" t="str">
        <f t="shared" si="6"/>
        <v/>
      </c>
      <c r="D418" s="670"/>
      <c r="E418" s="673" t="s">
        <v>258</v>
      </c>
      <c r="F418" s="670"/>
      <c r="G418" s="1229" t="s">
        <v>557</v>
      </c>
      <c r="H418" s="1313" t="str">
        <f>IF(LEN('Ch6'!W101)=0,"",'Ch6'!W101)</f>
        <v/>
      </c>
      <c r="J418" s="1204"/>
    </row>
    <row r="419" spans="1:10" ht="15.75" thickTop="1" x14ac:dyDescent="0.25">
      <c r="A419" s="2363" t="str">
        <f>IF(COUNTIF(A420:A422,"P")&gt;0,"P","")</f>
        <v/>
      </c>
      <c r="B419" s="254" t="str">
        <f>IF(LEN('Ch6'!H102)=0,"",'Ch6'!H102)</f>
        <v/>
      </c>
      <c r="C419" s="254" t="str">
        <f t="shared" si="6"/>
        <v/>
      </c>
      <c r="D419" s="106" t="s">
        <v>558</v>
      </c>
      <c r="E419" s="106"/>
      <c r="F419" s="106"/>
      <c r="G419" s="1240" t="s">
        <v>559</v>
      </c>
      <c r="H419" s="94"/>
      <c r="J419" s="1204"/>
    </row>
    <row r="420" spans="1:10" x14ac:dyDescent="0.25">
      <c r="A420" s="585" t="str">
        <f>IF(AND(LEN(H420)&gt;0,NOT(H420=FALSE)),"P","")</f>
        <v/>
      </c>
      <c r="B420" s="254" t="str">
        <f>IF(LEN('Ch6'!H103)=0,"",'Ch6'!H103)</f>
        <v/>
      </c>
      <c r="C420" s="254" t="str">
        <f t="shared" si="6"/>
        <v/>
      </c>
      <c r="D420" s="101" t="s">
        <v>560</v>
      </c>
      <c r="E420" s="101"/>
      <c r="F420" s="101"/>
      <c r="G420" s="1782" t="s">
        <v>561</v>
      </c>
      <c r="H420" s="1313" t="str">
        <f>IF(LEN('Ch6'!W103)=0,"",'Ch6'!W103)</f>
        <v/>
      </c>
      <c r="J420" s="1950" t="s">
        <v>4960</v>
      </c>
    </row>
    <row r="421" spans="1:10" x14ac:dyDescent="0.25">
      <c r="A421" s="585" t="str">
        <f>A420</f>
        <v/>
      </c>
      <c r="B421" s="254" t="str">
        <f>IF(LEN('Ch6'!H104)=0,"",'Ch6'!H104)</f>
        <v/>
      </c>
      <c r="C421" s="254" t="str">
        <f t="shared" si="6"/>
        <v/>
      </c>
      <c r="D421" s="669"/>
      <c r="E421" s="669"/>
      <c r="F421" s="669"/>
      <c r="G421" s="1843"/>
      <c r="H421" s="94"/>
      <c r="J421" s="1951"/>
    </row>
    <row r="422" spans="1:10" x14ac:dyDescent="0.25">
      <c r="A422" s="585" t="str">
        <f>IF(I422&gt;0,"P","")</f>
        <v/>
      </c>
      <c r="B422" s="254" t="str">
        <f>IF(LEN('Ch6'!H105)=0,"",'Ch6'!H105)</f>
        <v/>
      </c>
      <c r="C422" s="254" t="str">
        <f t="shared" si="6"/>
        <v/>
      </c>
      <c r="D422" s="139" t="s">
        <v>562</v>
      </c>
      <c r="E422" s="139"/>
      <c r="F422" s="139"/>
      <c r="G422" s="1782" t="s">
        <v>563</v>
      </c>
      <c r="H422" s="1313" t="str">
        <f>IF(LEN('Ch6'!W105)=0,"",'Ch6'!W105)</f>
        <v/>
      </c>
      <c r="I422" s="86">
        <f>'Ch6'!O105</f>
        <v>0</v>
      </c>
      <c r="J422" s="1204"/>
    </row>
    <row r="423" spans="1:10" ht="15.75" thickBot="1" x14ac:dyDescent="0.3">
      <c r="A423" s="585" t="str">
        <f>A422</f>
        <v/>
      </c>
      <c r="B423" s="254" t="str">
        <f>IF(LEN('Ch6'!H106)=0,"",'Ch6'!H106)</f>
        <v/>
      </c>
      <c r="C423" s="254" t="str">
        <f t="shared" si="6"/>
        <v/>
      </c>
      <c r="D423" s="139"/>
      <c r="E423" s="139"/>
      <c r="F423" s="139"/>
      <c r="G423" s="1782"/>
      <c r="H423" s="94"/>
      <c r="J423" s="1204" t="s">
        <v>3902</v>
      </c>
    </row>
    <row r="424" spans="1:10" ht="15.75" thickTop="1" x14ac:dyDescent="0.25">
      <c r="A424" s="2363" t="str">
        <f>IF(COUNTIF(A425:A431,"P")&gt;0,"P","")</f>
        <v/>
      </c>
      <c r="B424" s="254" t="str">
        <f>IF(LEN('Ch6'!H107)=0,"",'Ch6'!H107)</f>
        <v/>
      </c>
      <c r="C424" s="254" t="str">
        <f t="shared" si="6"/>
        <v/>
      </c>
      <c r="D424" s="106" t="s">
        <v>564</v>
      </c>
      <c r="E424" s="106"/>
      <c r="F424" s="106"/>
      <c r="G424" s="1240" t="s">
        <v>565</v>
      </c>
      <c r="H424" s="94"/>
      <c r="J424" s="1204"/>
    </row>
    <row r="425" spans="1:10" x14ac:dyDescent="0.25">
      <c r="A425" s="585" t="str">
        <f>IF(I425&gt;0,"P","")</f>
        <v/>
      </c>
      <c r="B425" s="254" t="str">
        <f>IF(LEN('Ch6'!H108)=0,"",'Ch6'!H108)</f>
        <v/>
      </c>
      <c r="C425" s="254" t="str">
        <f t="shared" si="6"/>
        <v/>
      </c>
      <c r="D425" s="139" t="s">
        <v>566</v>
      </c>
      <c r="E425" s="139"/>
      <c r="F425" s="139"/>
      <c r="G425" s="1782" t="s">
        <v>567</v>
      </c>
      <c r="H425" s="94"/>
      <c r="I425" s="706">
        <f>SUM(I428:I430)</f>
        <v>0</v>
      </c>
      <c r="J425" s="1204" t="s">
        <v>3892</v>
      </c>
    </row>
    <row r="426" spans="1:10" x14ac:dyDescent="0.25">
      <c r="A426" s="585" t="str">
        <f>A425</f>
        <v/>
      </c>
      <c r="B426" s="254" t="str">
        <f>IF(LEN('Ch6'!H109)=0,"",'Ch6'!H109)</f>
        <v/>
      </c>
      <c r="C426" s="254" t="str">
        <f t="shared" si="6"/>
        <v/>
      </c>
      <c r="D426" s="139"/>
      <c r="E426" s="139"/>
      <c r="F426" s="139"/>
      <c r="G426" s="1782"/>
      <c r="H426" s="94"/>
      <c r="J426" s="1204"/>
    </row>
    <row r="427" spans="1:10" x14ac:dyDescent="0.25">
      <c r="A427" s="585" t="str">
        <f>A426</f>
        <v/>
      </c>
      <c r="B427" s="254" t="str">
        <f>IF(LEN('Ch6'!H110)=0,"",'Ch6'!H110)</f>
        <v/>
      </c>
      <c r="C427" s="254" t="str">
        <f t="shared" si="6"/>
        <v/>
      </c>
      <c r="D427" s="139"/>
      <c r="E427" s="139"/>
      <c r="F427" s="139"/>
      <c r="G427" s="1782"/>
      <c r="H427" s="94"/>
      <c r="J427" s="1204"/>
    </row>
    <row r="428" spans="1:10" x14ac:dyDescent="0.25">
      <c r="B428" s="254" t="str">
        <f>IF(LEN('Ch6'!H111)=0,"",'Ch6'!H111)</f>
        <v/>
      </c>
      <c r="C428" s="254" t="str">
        <f t="shared" si="6"/>
        <v/>
      </c>
      <c r="D428" s="139"/>
      <c r="E428" s="668" t="s">
        <v>256</v>
      </c>
      <c r="F428" s="101"/>
      <c r="G428" s="1754" t="s">
        <v>568</v>
      </c>
      <c r="H428" s="1313" t="str">
        <f>IF(LEN('Ch6'!W111)=0,"",'Ch6'!W111)</f>
        <v/>
      </c>
      <c r="I428" s="86">
        <f>'Ch6'!O111</f>
        <v>0</v>
      </c>
      <c r="J428" s="1204"/>
    </row>
    <row r="429" spans="1:10" x14ac:dyDescent="0.25">
      <c r="B429" s="254" t="str">
        <f>IF(LEN('Ch6'!H112)=0,"",'Ch6'!H112)</f>
        <v/>
      </c>
      <c r="C429" s="254" t="str">
        <f t="shared" si="6"/>
        <v/>
      </c>
      <c r="D429" s="139"/>
      <c r="E429" s="669"/>
      <c r="F429" s="669"/>
      <c r="G429" s="1755"/>
      <c r="H429" s="94"/>
      <c r="J429" s="1204"/>
    </row>
    <row r="430" spans="1:10" x14ac:dyDescent="0.25">
      <c r="B430" s="254" t="str">
        <f>IF(LEN('Ch6'!H113)=0,"",'Ch6'!H113)</f>
        <v/>
      </c>
      <c r="C430" s="254" t="str">
        <f t="shared" si="6"/>
        <v/>
      </c>
      <c r="D430" s="669"/>
      <c r="E430" s="684" t="s">
        <v>258</v>
      </c>
      <c r="F430" s="669"/>
      <c r="G430" s="1215" t="s">
        <v>569</v>
      </c>
      <c r="H430" s="1313" t="str">
        <f>IF(LEN('Ch6'!W113)=0,"",'Ch6'!W113)</f>
        <v/>
      </c>
      <c r="J430" s="1204"/>
    </row>
    <row r="431" spans="1:10" x14ac:dyDescent="0.25">
      <c r="A431" s="2363" t="str">
        <f>IF(COUNTIF(A434:A436,"P")&gt;0,"P","")</f>
        <v/>
      </c>
      <c r="B431" s="254" t="str">
        <f>IF(LEN('Ch6'!H114)=0,"",'Ch6'!H114)</f>
        <v/>
      </c>
      <c r="C431" s="254" t="str">
        <f t="shared" si="6"/>
        <v/>
      </c>
      <c r="D431" s="139" t="s">
        <v>570</v>
      </c>
      <c r="E431" s="139"/>
      <c r="F431" s="139"/>
      <c r="G431" s="1782" t="s">
        <v>571</v>
      </c>
      <c r="H431" s="94"/>
      <c r="I431"/>
      <c r="J431" s="1204"/>
    </row>
    <row r="432" spans="1:10" x14ac:dyDescent="0.25">
      <c r="A432" s="585" t="str">
        <f>A431</f>
        <v/>
      </c>
      <c r="B432" s="254" t="str">
        <f>IF(LEN('Ch6'!H115)=0,"",'Ch6'!H115)</f>
        <v/>
      </c>
      <c r="C432" s="254" t="str">
        <f t="shared" si="6"/>
        <v/>
      </c>
      <c r="D432" s="139"/>
      <c r="E432" s="139"/>
      <c r="F432" s="139"/>
      <c r="G432" s="1782"/>
      <c r="H432" s="94"/>
      <c r="J432" s="1204"/>
    </row>
    <row r="433" spans="1:10" x14ac:dyDescent="0.25">
      <c r="A433" s="585" t="str">
        <f>A432</f>
        <v/>
      </c>
      <c r="B433" s="254" t="str">
        <f>IF(LEN('Ch6'!H116)=0,"",'Ch6'!H116)</f>
        <v/>
      </c>
      <c r="C433" s="254" t="str">
        <f t="shared" si="6"/>
        <v/>
      </c>
      <c r="D433" s="139"/>
      <c r="E433" s="139"/>
      <c r="F433" s="139"/>
      <c r="G433" s="1782"/>
      <c r="H433" s="94"/>
      <c r="J433" s="1204"/>
    </row>
    <row r="434" spans="1:10" x14ac:dyDescent="0.25">
      <c r="A434" s="585" t="str">
        <f>IF(AND(LEN(H434)&gt;0,NOT(H434=FALSE)),"P","")</f>
        <v/>
      </c>
      <c r="B434" s="254" t="str">
        <f>IF(LEN('Ch6'!H117)=0,"",'Ch6'!H117)</f>
        <v/>
      </c>
      <c r="C434" s="254" t="str">
        <f t="shared" si="6"/>
        <v/>
      </c>
      <c r="D434" s="139"/>
      <c r="E434" s="668" t="s">
        <v>256</v>
      </c>
      <c r="F434" s="101"/>
      <c r="G434" s="1754" t="s">
        <v>3042</v>
      </c>
      <c r="H434" s="1313" t="str">
        <f>IF(LEN('Ch6'!W117)=0,"",'Ch6'!W117)</f>
        <v/>
      </c>
      <c r="I434" s="86">
        <f>'Ch6'!O117</f>
        <v>0</v>
      </c>
      <c r="J434" s="1950" t="s">
        <v>3900</v>
      </c>
    </row>
    <row r="435" spans="1:10" x14ac:dyDescent="0.25">
      <c r="A435" s="585" t="str">
        <f>A434</f>
        <v/>
      </c>
      <c r="B435" s="254" t="str">
        <f>IF(LEN('Ch6'!H118)=0,"",'Ch6'!H118)</f>
        <v/>
      </c>
      <c r="C435" s="254" t="str">
        <f t="shared" si="6"/>
        <v/>
      </c>
      <c r="D435" s="139"/>
      <c r="E435" s="669"/>
      <c r="F435" s="669"/>
      <c r="G435" s="1755"/>
      <c r="H435" s="94"/>
      <c r="J435" s="1951"/>
    </row>
    <row r="436" spans="1:10" x14ac:dyDescent="0.25">
      <c r="A436" s="585" t="str">
        <f>IF(AND(LEN(H436)&gt;0,NOT(H436=FALSE)),"P","")</f>
        <v/>
      </c>
      <c r="B436" s="254" t="str">
        <f>IF(LEN('Ch6'!H119)=0,"",'Ch6'!H119)</f>
        <v/>
      </c>
      <c r="C436" s="254" t="str">
        <f t="shared" si="6"/>
        <v/>
      </c>
      <c r="D436" s="139"/>
      <c r="E436" s="667" t="s">
        <v>258</v>
      </c>
      <c r="F436" s="139"/>
      <c r="G436" s="1754" t="s">
        <v>3043</v>
      </c>
      <c r="H436" s="1313" t="str">
        <f>IF(LEN('Ch6'!W119)=0,"",'Ch6'!W119)</f>
        <v/>
      </c>
      <c r="J436" s="1204" t="s">
        <v>3892</v>
      </c>
    </row>
    <row r="437" spans="1:10" ht="15.75" thickBot="1" x14ac:dyDescent="0.3">
      <c r="A437" s="585" t="str">
        <f>A436</f>
        <v/>
      </c>
      <c r="B437" s="254" t="str">
        <f>IF(LEN('Ch6'!H120)=0,"",'Ch6'!H120)</f>
        <v/>
      </c>
      <c r="C437" s="254" t="str">
        <f t="shared" si="6"/>
        <v/>
      </c>
      <c r="D437" s="139"/>
      <c r="E437" s="139"/>
      <c r="F437" s="139"/>
      <c r="G437" s="1754"/>
      <c r="H437" s="94"/>
      <c r="J437" s="1204"/>
    </row>
    <row r="438" spans="1:10" ht="15.75" thickTop="1" x14ac:dyDescent="0.25">
      <c r="A438" s="585" t="str">
        <f ca="1">IF(I438&gt;0,"P","")</f>
        <v/>
      </c>
      <c r="B438" s="254" t="str">
        <f>IF(LEN('Ch6'!H121)=0,"",'Ch6'!H121)</f>
        <v/>
      </c>
      <c r="C438" s="254" t="str">
        <f t="shared" ca="1" si="6"/>
        <v/>
      </c>
      <c r="D438" s="106" t="s">
        <v>572</v>
      </c>
      <c r="E438" s="106"/>
      <c r="F438" s="106"/>
      <c r="G438" s="1221" t="s">
        <v>573</v>
      </c>
      <c r="H438" s="94"/>
      <c r="I438" s="706">
        <f ca="1">SUM(I440:I442)</f>
        <v>0</v>
      </c>
      <c r="J438" s="1204" t="s">
        <v>3892</v>
      </c>
    </row>
    <row r="439" spans="1:10" x14ac:dyDescent="0.25">
      <c r="B439" s="254" t="str">
        <f>IF(LEN('Ch6'!H122)=0,"",'Ch6'!H122)</f>
        <v/>
      </c>
      <c r="C439" s="254" t="str">
        <f t="shared" si="6"/>
        <v/>
      </c>
      <c r="D439" s="139"/>
      <c r="E439" s="139"/>
      <c r="F439" s="139"/>
      <c r="G439" s="1318" t="s">
        <v>3034</v>
      </c>
      <c r="H439" s="1313" t="str">
        <f>IF(LEN('Ch6'!W122)=0,"",'Ch6'!W122)</f>
        <v/>
      </c>
      <c r="J439" s="1204"/>
    </row>
    <row r="440" spans="1:10" x14ac:dyDescent="0.25">
      <c r="B440" s="254" t="str">
        <f>IF(LEN('Ch6'!H123)=0,"",'Ch6'!H123)</f>
        <v/>
      </c>
      <c r="C440" s="254" t="str">
        <f t="shared" si="6"/>
        <v/>
      </c>
      <c r="D440" s="139"/>
      <c r="E440" s="668" t="s">
        <v>256</v>
      </c>
      <c r="F440" s="101"/>
      <c r="G440" s="1754" t="s">
        <v>574</v>
      </c>
      <c r="H440" s="1313" t="str">
        <f>IF(LEN('Ch6'!W123)=0,"",'Ch6'!W123)</f>
        <v/>
      </c>
      <c r="I440" s="86">
        <f ca="1">'Ch6'!O123</f>
        <v>0</v>
      </c>
      <c r="J440" s="1204"/>
    </row>
    <row r="441" spans="1:10" x14ac:dyDescent="0.25">
      <c r="B441" s="254" t="str">
        <f>IF(LEN('Ch6'!H124)=0,"",'Ch6'!H124)</f>
        <v/>
      </c>
      <c r="C441" s="254" t="str">
        <f t="shared" si="6"/>
        <v/>
      </c>
      <c r="D441" s="139"/>
      <c r="E441" s="669"/>
      <c r="F441" s="669"/>
      <c r="G441" s="1755"/>
      <c r="H441" s="94"/>
      <c r="J441" s="1204"/>
    </row>
    <row r="442" spans="1:10" x14ac:dyDescent="0.25">
      <c r="B442" s="254" t="str">
        <f>IF(LEN('Ch6'!H125)=0,"",'Ch6'!H125)</f>
        <v/>
      </c>
      <c r="C442" s="254" t="str">
        <f t="shared" si="6"/>
        <v/>
      </c>
      <c r="D442" s="139"/>
      <c r="E442" s="667" t="s">
        <v>258</v>
      </c>
      <c r="F442" s="139"/>
      <c r="G442" s="1754" t="s">
        <v>575</v>
      </c>
      <c r="H442" s="1313" t="str">
        <f>IF(LEN('Ch6'!W125)=0,"",'Ch6'!W125)</f>
        <v/>
      </c>
      <c r="I442" s="86">
        <f ca="1">'Ch6'!O125</f>
        <v>0</v>
      </c>
      <c r="J442" s="1204"/>
    </row>
    <row r="443" spans="1:10" x14ac:dyDescent="0.25">
      <c r="B443" s="254" t="str">
        <f>IF(LEN('Ch6'!H126)=0,"",'Ch6'!H126)</f>
        <v/>
      </c>
      <c r="C443" s="254" t="str">
        <f t="shared" si="6"/>
        <v/>
      </c>
      <c r="D443" s="139"/>
      <c r="E443" s="139"/>
      <c r="F443" s="139"/>
      <c r="G443" s="1754"/>
      <c r="H443" s="94"/>
      <c r="J443" s="1204"/>
    </row>
    <row r="444" spans="1:10" ht="15.75" thickBot="1" x14ac:dyDescent="0.3">
      <c r="B444" s="254" t="str">
        <f>IF(LEN('Ch6'!H127)=0,"",'Ch6'!H127)</f>
        <v/>
      </c>
      <c r="C444" s="254" t="str">
        <f t="shared" si="6"/>
        <v/>
      </c>
      <c r="D444" s="139"/>
      <c r="E444" s="139"/>
      <c r="F444" s="139"/>
      <c r="G444" s="1754"/>
      <c r="H444" s="94"/>
      <c r="J444" s="1204"/>
    </row>
    <row r="445" spans="1:10" ht="15.75" thickTop="1" x14ac:dyDescent="0.25">
      <c r="A445" s="585" t="str">
        <f ca="1">IF(I445&gt;0,"P","")</f>
        <v/>
      </c>
      <c r="B445" s="254" t="str">
        <f>IF(LEN('Ch6'!H128)=0,"",'Ch6'!H128)</f>
        <v/>
      </c>
      <c r="C445" s="254" t="str">
        <f t="shared" ca="1" si="6"/>
        <v/>
      </c>
      <c r="D445" s="106" t="s">
        <v>576</v>
      </c>
      <c r="E445" s="106"/>
      <c r="F445" s="106"/>
      <c r="G445" s="1781" t="s">
        <v>577</v>
      </c>
      <c r="H445" s="94"/>
      <c r="I445" s="706">
        <f ca="1">SUM(I448:I456)</f>
        <v>0</v>
      </c>
      <c r="J445" s="1204" t="s">
        <v>3892</v>
      </c>
    </row>
    <row r="446" spans="1:10" x14ac:dyDescent="0.25">
      <c r="A446" s="585" t="str">
        <f ca="1">A445</f>
        <v/>
      </c>
      <c r="B446" s="254" t="str">
        <f>IF(LEN('Ch6'!H129)=0,"",'Ch6'!H129)</f>
        <v/>
      </c>
      <c r="C446" s="254" t="str">
        <f t="shared" ca="1" si="6"/>
        <v/>
      </c>
      <c r="D446" s="101"/>
      <c r="E446" s="101"/>
      <c r="F446" s="101"/>
      <c r="G446" s="1782"/>
      <c r="H446" s="94"/>
      <c r="J446" s="1204"/>
    </row>
    <row r="447" spans="1:10" x14ac:dyDescent="0.25">
      <c r="B447" s="254" t="str">
        <f>IF(LEN('Ch6'!H130)=0,"",'Ch6'!H130)</f>
        <v/>
      </c>
      <c r="C447" s="254" t="str">
        <f t="shared" si="6"/>
        <v/>
      </c>
      <c r="D447" s="139"/>
      <c r="E447" s="139"/>
      <c r="F447" s="139"/>
      <c r="G447" s="1318" t="s">
        <v>3034</v>
      </c>
      <c r="H447" s="94"/>
      <c r="J447" s="1204"/>
    </row>
    <row r="448" spans="1:10" x14ac:dyDescent="0.25">
      <c r="B448" s="254" t="str">
        <f>IF(LEN('Ch6'!H131)=0,"",'Ch6'!H131)</f>
        <v/>
      </c>
      <c r="C448" s="254" t="str">
        <f t="shared" si="6"/>
        <v/>
      </c>
      <c r="D448" s="139"/>
      <c r="E448" s="668" t="s">
        <v>256</v>
      </c>
      <c r="F448" s="101"/>
      <c r="G448" s="1754" t="s">
        <v>578</v>
      </c>
      <c r="H448" s="1313" t="str">
        <f>IF(LEN('Ch6'!W131)=0,"",'Ch6'!W131)</f>
        <v/>
      </c>
      <c r="I448" s="86">
        <f ca="1">'Ch6'!O131</f>
        <v>0</v>
      </c>
      <c r="J448" s="1204"/>
    </row>
    <row r="449" spans="1:10" x14ac:dyDescent="0.25">
      <c r="B449" s="254" t="str">
        <f>IF(LEN('Ch6'!H132)=0,"",'Ch6'!H132)</f>
        <v/>
      </c>
      <c r="C449" s="254" t="str">
        <f t="shared" si="6"/>
        <v/>
      </c>
      <c r="D449" s="139"/>
      <c r="E449" s="101"/>
      <c r="F449" s="101"/>
      <c r="G449" s="1754"/>
      <c r="H449" s="94"/>
      <c r="J449" s="1204"/>
    </row>
    <row r="450" spans="1:10" x14ac:dyDescent="0.25">
      <c r="B450" s="254" t="str">
        <f>IF(LEN('Ch6'!H133)=0,"",'Ch6'!H133)</f>
        <v/>
      </c>
      <c r="C450" s="254" t="str">
        <f t="shared" si="6"/>
        <v/>
      </c>
      <c r="D450" s="139"/>
      <c r="E450" s="101"/>
      <c r="F450" s="101"/>
      <c r="G450" s="1754"/>
      <c r="H450" s="94"/>
      <c r="J450" s="1204"/>
    </row>
    <row r="451" spans="1:10" x14ac:dyDescent="0.25">
      <c r="B451" s="254" t="str">
        <f>IF(LEN('Ch6'!H134)=0,"",'Ch6'!H134)</f>
        <v/>
      </c>
      <c r="C451" s="254" t="str">
        <f t="shared" si="6"/>
        <v/>
      </c>
      <c r="D451" s="139"/>
      <c r="E451" s="669"/>
      <c r="F451" s="669"/>
      <c r="G451" s="1755"/>
      <c r="H451" s="94"/>
      <c r="J451" s="1204"/>
    </row>
    <row r="452" spans="1:10" x14ac:dyDescent="0.25">
      <c r="B452" s="254" t="str">
        <f>IF(LEN('Ch6'!H135)=0,"",'Ch6'!H135)</f>
        <v/>
      </c>
      <c r="C452" s="254" t="str">
        <f t="shared" si="6"/>
        <v/>
      </c>
      <c r="D452" s="139"/>
      <c r="E452" s="693" t="s">
        <v>258</v>
      </c>
      <c r="F452" s="671"/>
      <c r="G452" s="1778" t="s">
        <v>579</v>
      </c>
      <c r="H452" s="1313" t="str">
        <f>IF(LEN('Ch6'!W135)=0,"",'Ch6'!W135)</f>
        <v/>
      </c>
      <c r="I452" s="86">
        <f ca="1">'Ch6'!O135</f>
        <v>0</v>
      </c>
      <c r="J452" s="1204"/>
    </row>
    <row r="453" spans="1:10" x14ac:dyDescent="0.25">
      <c r="B453" s="254" t="str">
        <f>IF(LEN('Ch6'!H136)=0,"",'Ch6'!H136)</f>
        <v/>
      </c>
      <c r="C453" s="254" t="str">
        <f t="shared" si="6"/>
        <v/>
      </c>
      <c r="D453" s="139"/>
      <c r="E453" s="101"/>
      <c r="F453" s="101"/>
      <c r="G453" s="1754"/>
      <c r="H453" s="94"/>
      <c r="J453" s="1204"/>
    </row>
    <row r="454" spans="1:10" x14ac:dyDescent="0.25">
      <c r="B454" s="254" t="str">
        <f>IF(LEN('Ch6'!H137)=0,"",'Ch6'!H137)</f>
        <v/>
      </c>
      <c r="C454" s="254" t="str">
        <f t="shared" si="6"/>
        <v/>
      </c>
      <c r="D454" s="139"/>
      <c r="E454" s="101"/>
      <c r="F454" s="101"/>
      <c r="G454" s="1754"/>
      <c r="H454" s="94"/>
      <c r="J454" s="1204"/>
    </row>
    <row r="455" spans="1:10" x14ac:dyDescent="0.25">
      <c r="B455" s="254" t="str">
        <f>IF(LEN('Ch6'!H138)=0,"",'Ch6'!H138)</f>
        <v/>
      </c>
      <c r="C455" s="254" t="str">
        <f t="shared" si="6"/>
        <v/>
      </c>
      <c r="D455" s="139"/>
      <c r="E455" s="669"/>
      <c r="F455" s="669"/>
      <c r="G455" s="1755"/>
      <c r="H455" s="94"/>
      <c r="J455" s="1204"/>
    </row>
    <row r="456" spans="1:10" x14ac:dyDescent="0.25">
      <c r="B456" s="254" t="str">
        <f>IF(LEN('Ch6'!H139)=0,"",'Ch6'!H139)</f>
        <v/>
      </c>
      <c r="C456" s="254" t="str">
        <f t="shared" ref="C456:C519" si="7">IF(LEN(B456)=0,IF(A456="P","P",""),B456)</f>
        <v/>
      </c>
      <c r="D456" s="139"/>
      <c r="E456" s="667" t="s">
        <v>260</v>
      </c>
      <c r="F456" s="139"/>
      <c r="G456" s="1754" t="s">
        <v>580</v>
      </c>
      <c r="H456" s="1313" t="str">
        <f>IF(LEN('Ch6'!W139)=0,"",'Ch6'!W139)</f>
        <v/>
      </c>
      <c r="I456" s="86">
        <f ca="1">'Ch6'!O139</f>
        <v>0</v>
      </c>
      <c r="J456" s="1204"/>
    </row>
    <row r="457" spans="1:10" x14ac:dyDescent="0.25">
      <c r="B457" s="254" t="str">
        <f>IF(LEN('Ch6'!H140)=0,"",'Ch6'!H140)</f>
        <v/>
      </c>
      <c r="C457" s="254" t="str">
        <f t="shared" si="7"/>
        <v/>
      </c>
      <c r="D457" s="139"/>
      <c r="E457" s="139"/>
      <c r="F457" s="139"/>
      <c r="G457" s="1754"/>
      <c r="H457" s="94"/>
      <c r="J457" s="1204"/>
    </row>
    <row r="458" spans="1:10" ht="15.75" thickBot="1" x14ac:dyDescent="0.3">
      <c r="B458" s="254" t="str">
        <f>IF(LEN('Ch6'!H141)=0,"",'Ch6'!H141)</f>
        <v/>
      </c>
      <c r="C458" s="254" t="str">
        <f t="shared" si="7"/>
        <v/>
      </c>
      <c r="D458" s="139"/>
      <c r="E458" s="139"/>
      <c r="F458" s="139"/>
      <c r="G458" s="1754"/>
      <c r="H458" s="94"/>
      <c r="J458" s="1204"/>
    </row>
    <row r="459" spans="1:10" ht="15.75" thickTop="1" x14ac:dyDescent="0.25">
      <c r="A459" s="2363" t="str">
        <f>IF(COUNTIF(A460:A470,"P")&gt;0,"P","")</f>
        <v/>
      </c>
      <c r="B459" s="254" t="str">
        <f>IF(LEN('Ch6'!H142)=0,"",'Ch6'!H142)</f>
        <v/>
      </c>
      <c r="C459" s="254" t="str">
        <f t="shared" si="7"/>
        <v/>
      </c>
      <c r="D459" s="106" t="s">
        <v>581</v>
      </c>
      <c r="E459" s="106"/>
      <c r="F459" s="106"/>
      <c r="G459" s="1240" t="s">
        <v>582</v>
      </c>
      <c r="H459" s="94"/>
      <c r="J459" s="1204"/>
    </row>
    <row r="460" spans="1:10" x14ac:dyDescent="0.25">
      <c r="A460" s="585" t="str">
        <f>IF(I460&gt;0,"P","")</f>
        <v/>
      </c>
      <c r="B460" s="254" t="str">
        <f>IF(LEN('Ch6'!H143)=0,"",'Ch6'!H143)</f>
        <v/>
      </c>
      <c r="C460" s="254" t="str">
        <f t="shared" si="7"/>
        <v/>
      </c>
      <c r="D460" s="139" t="s">
        <v>583</v>
      </c>
      <c r="E460" s="139"/>
      <c r="F460" s="139"/>
      <c r="G460" s="1235" t="s">
        <v>584</v>
      </c>
      <c r="H460" s="94"/>
      <c r="I460" s="706">
        <f>SUM(I461:I466)</f>
        <v>0</v>
      </c>
      <c r="J460" s="1204"/>
    </row>
    <row r="461" spans="1:10" x14ac:dyDescent="0.25">
      <c r="A461" s="585" t="str">
        <f>IF(I461&gt;0,"P","")</f>
        <v/>
      </c>
      <c r="B461" s="254" t="str">
        <f>IF(LEN('Ch6'!H144)=0,"",'Ch6'!H144)</f>
        <v/>
      </c>
      <c r="C461" s="254" t="str">
        <f t="shared" si="7"/>
        <v/>
      </c>
      <c r="D461" s="139"/>
      <c r="E461" s="668" t="s">
        <v>256</v>
      </c>
      <c r="F461" s="101"/>
      <c r="G461" s="1754" t="s">
        <v>585</v>
      </c>
      <c r="H461" s="1313" t="str">
        <f>IF(LEN('Ch6'!W144)=0,"",'Ch6'!W144)</f>
        <v/>
      </c>
      <c r="I461" s="86">
        <f>'Ch6'!O144</f>
        <v>0</v>
      </c>
      <c r="J461" s="1204" t="s">
        <v>3892</v>
      </c>
    </row>
    <row r="462" spans="1:10" x14ac:dyDescent="0.25">
      <c r="A462" s="585" t="str">
        <f>A461</f>
        <v/>
      </c>
      <c r="B462" s="254" t="str">
        <f>IF(LEN('Ch6'!H145)=0,"",'Ch6'!H145)</f>
        <v/>
      </c>
      <c r="C462" s="254" t="str">
        <f t="shared" si="7"/>
        <v/>
      </c>
      <c r="D462" s="139"/>
      <c r="E462" s="669"/>
      <c r="F462" s="669"/>
      <c r="G462" s="1755"/>
      <c r="H462" s="94"/>
      <c r="J462" s="1204"/>
    </row>
    <row r="463" spans="1:10" x14ac:dyDescent="0.25">
      <c r="A463" s="585" t="str">
        <f>IF(I463&gt;0,"P","")</f>
        <v/>
      </c>
      <c r="B463" s="254" t="str">
        <f>IF(LEN('Ch6'!H146)=0,"",'Ch6'!H146)</f>
        <v/>
      </c>
      <c r="C463" s="254" t="str">
        <f t="shared" si="7"/>
        <v/>
      </c>
      <c r="D463" s="139"/>
      <c r="E463" s="668" t="s">
        <v>258</v>
      </c>
      <c r="F463" s="101"/>
      <c r="G463" s="1754" t="s">
        <v>586</v>
      </c>
      <c r="H463" s="1313" t="str">
        <f>IF(LEN('Ch6'!W146)=0,"",'Ch6'!W146)</f>
        <v/>
      </c>
      <c r="I463" s="86">
        <f>'Ch6'!O146</f>
        <v>0</v>
      </c>
      <c r="J463" s="1204" t="s">
        <v>4961</v>
      </c>
    </row>
    <row r="464" spans="1:10" x14ac:dyDescent="0.25">
      <c r="A464" s="585" t="str">
        <f>A463</f>
        <v/>
      </c>
      <c r="B464" s="254" t="str">
        <f>IF(LEN('Ch6'!H147)=0,"",'Ch6'!H147)</f>
        <v/>
      </c>
      <c r="C464" s="254" t="str">
        <f t="shared" si="7"/>
        <v/>
      </c>
      <c r="D464" s="139"/>
      <c r="E464" s="101"/>
      <c r="F464" s="101"/>
      <c r="G464" s="1754"/>
      <c r="H464" s="94"/>
      <c r="J464" s="1204"/>
    </row>
    <row r="465" spans="1:10" x14ac:dyDescent="0.25">
      <c r="B465" s="254" t="str">
        <f>IF(LEN('Ch6'!H148)=0,"",'Ch6'!H148)</f>
        <v/>
      </c>
      <c r="C465" s="254" t="str">
        <f t="shared" si="7"/>
        <v/>
      </c>
      <c r="D465" s="139"/>
      <c r="E465" s="669"/>
      <c r="F465" s="669"/>
      <c r="G465" s="1314" t="s">
        <v>1105</v>
      </c>
      <c r="H465" s="94"/>
      <c r="J465" s="1204"/>
    </row>
    <row r="466" spans="1:10" x14ac:dyDescent="0.25">
      <c r="A466" s="585" t="str">
        <f>IF(I466&gt;0,"P","")</f>
        <v/>
      </c>
      <c r="B466" s="254" t="str">
        <f>IF(LEN('Ch6'!H149)=0,"",'Ch6'!H149)</f>
        <v/>
      </c>
      <c r="C466" s="254" t="str">
        <f t="shared" si="7"/>
        <v/>
      </c>
      <c r="D466" s="101"/>
      <c r="E466" s="668" t="s">
        <v>260</v>
      </c>
      <c r="F466" s="101"/>
      <c r="G466" s="1754" t="s">
        <v>587</v>
      </c>
      <c r="H466" s="1313" t="str">
        <f>IF(LEN('Ch6'!W149)=0,"",'Ch6'!W149)</f>
        <v/>
      </c>
      <c r="I466" s="86">
        <f>'Ch6'!O149</f>
        <v>0</v>
      </c>
      <c r="J466" s="1204" t="s">
        <v>4962</v>
      </c>
    </row>
    <row r="467" spans="1:10" x14ac:dyDescent="0.25">
      <c r="A467" s="585" t="str">
        <f>A466</f>
        <v/>
      </c>
      <c r="B467" s="254" t="str">
        <f>IF(LEN('Ch6'!H150)=0,"",'Ch6'!H150)</f>
        <v/>
      </c>
      <c r="C467" s="254" t="str">
        <f t="shared" si="7"/>
        <v/>
      </c>
      <c r="D467" s="669"/>
      <c r="E467" s="669"/>
      <c r="F467" s="669"/>
      <c r="G467" s="1755"/>
      <c r="H467" s="94"/>
      <c r="J467" s="1204"/>
    </row>
    <row r="468" spans="1:10" x14ac:dyDescent="0.25">
      <c r="A468" s="585" t="str">
        <f>IF(I468&gt;0,"P","")</f>
        <v/>
      </c>
      <c r="B468" s="254" t="str">
        <f>IF(LEN('Ch6'!H151)=0,"",'Ch6'!H151)</f>
        <v/>
      </c>
      <c r="C468" s="254" t="str">
        <f t="shared" si="7"/>
        <v/>
      </c>
      <c r="D468" s="671" t="s">
        <v>589</v>
      </c>
      <c r="E468" s="671"/>
      <c r="F468" s="671"/>
      <c r="G468" s="1864" t="s">
        <v>590</v>
      </c>
      <c r="H468" s="1313" t="str">
        <f>IF(LEN('Ch6'!W151)=0,"",'Ch6'!W151)</f>
        <v/>
      </c>
      <c r="I468" s="86">
        <f>'Ch6'!O151</f>
        <v>0</v>
      </c>
      <c r="J468" s="1950" t="s">
        <v>4963</v>
      </c>
    </row>
    <row r="469" spans="1:10" x14ac:dyDescent="0.25">
      <c r="A469" s="585" t="str">
        <f>A468</f>
        <v/>
      </c>
      <c r="B469" s="254" t="str">
        <f>IF(LEN('Ch6'!H152)=0,"",'Ch6'!H152)</f>
        <v/>
      </c>
      <c r="C469" s="254" t="str">
        <f t="shared" si="7"/>
        <v/>
      </c>
      <c r="D469" s="669"/>
      <c r="E469" s="669"/>
      <c r="F469" s="669"/>
      <c r="G469" s="1843"/>
      <c r="H469" s="94"/>
      <c r="J469" s="1951"/>
    </row>
    <row r="470" spans="1:10" x14ac:dyDescent="0.25">
      <c r="A470" s="585" t="str">
        <f>IF(I470&gt;0,"P","")</f>
        <v/>
      </c>
      <c r="B470" s="254" t="str">
        <f>IF(LEN('Ch6'!H153)=0,"",'Ch6'!H153)</f>
        <v/>
      </c>
      <c r="C470" s="254" t="str">
        <f t="shared" si="7"/>
        <v/>
      </c>
      <c r="D470" s="139" t="s">
        <v>592</v>
      </c>
      <c r="E470" s="139"/>
      <c r="F470" s="139"/>
      <c r="G470" s="1782" t="s">
        <v>593</v>
      </c>
      <c r="H470" s="1313" t="str">
        <f>IF(LEN('Ch6'!W153)=0,"",'Ch6'!W153)</f>
        <v/>
      </c>
      <c r="I470" s="86">
        <f>'Ch6'!O153</f>
        <v>0</v>
      </c>
      <c r="J470" s="1204" t="s">
        <v>4964</v>
      </c>
    </row>
    <row r="471" spans="1:10" x14ac:dyDescent="0.25">
      <c r="A471" s="585" t="str">
        <f>A470</f>
        <v/>
      </c>
      <c r="B471" s="254" t="str">
        <f>IF(LEN('Ch6'!H154)=0,"",'Ch6'!H154)</f>
        <v/>
      </c>
      <c r="C471" s="254" t="str">
        <f t="shared" si="7"/>
        <v/>
      </c>
      <c r="D471" s="139"/>
      <c r="E471" s="139"/>
      <c r="F471" s="139"/>
      <c r="G471" s="1782"/>
      <c r="H471" s="94"/>
      <c r="J471" s="1204"/>
    </row>
    <row r="472" spans="1:10" x14ac:dyDescent="0.25">
      <c r="A472" s="585" t="str">
        <f>A471</f>
        <v/>
      </c>
      <c r="B472" s="254" t="str">
        <f>IF(LEN('Ch6'!H155)=0,"",'Ch6'!H155)</f>
        <v/>
      </c>
      <c r="C472" s="254" t="str">
        <f t="shared" si="7"/>
        <v/>
      </c>
      <c r="D472" s="139"/>
      <c r="E472" s="139"/>
      <c r="F472" s="139"/>
      <c r="G472" s="1782"/>
      <c r="H472" s="94"/>
      <c r="J472" s="1204"/>
    </row>
    <row r="473" spans="1:10" ht="15.75" thickBot="1" x14ac:dyDescent="0.3">
      <c r="A473" s="585" t="str">
        <f>A472</f>
        <v/>
      </c>
      <c r="B473" s="254" t="str">
        <f>IF(LEN('Ch6'!H156)=0,"",'Ch6'!H156)</f>
        <v/>
      </c>
      <c r="C473" s="254" t="str">
        <f t="shared" si="7"/>
        <v/>
      </c>
      <c r="D473" s="139"/>
      <c r="E473" s="139"/>
      <c r="F473" s="139"/>
      <c r="G473" s="1782"/>
      <c r="H473" s="94"/>
      <c r="J473" s="1204"/>
    </row>
    <row r="474" spans="1:10" ht="15.75" thickTop="1" x14ac:dyDescent="0.25">
      <c r="A474" s="585" t="str">
        <f>IF(AND(LEN(H474)&gt;0,NOT(H474=FALSE)),"P","")</f>
        <v/>
      </c>
      <c r="B474" s="254" t="str">
        <f>IF(LEN('Ch6'!H157)=0,"",'Ch6'!H157)</f>
        <v/>
      </c>
      <c r="C474" s="254" t="str">
        <f t="shared" si="7"/>
        <v/>
      </c>
      <c r="D474" s="106" t="s">
        <v>594</v>
      </c>
      <c r="E474" s="106"/>
      <c r="F474" s="106"/>
      <c r="G474" s="1781" t="s">
        <v>595</v>
      </c>
      <c r="H474" s="1313" t="str">
        <f>IF(LEN('Ch6'!W157)=0,"",'Ch6'!W157)</f>
        <v/>
      </c>
      <c r="J474" s="1204" t="s">
        <v>4965</v>
      </c>
    </row>
    <row r="475" spans="1:10" x14ac:dyDescent="0.25">
      <c r="A475" s="585" t="str">
        <f>A474</f>
        <v/>
      </c>
      <c r="B475" s="254" t="str">
        <f>IF(LEN('Ch6'!H158)=0,"",'Ch6'!H158)</f>
        <v/>
      </c>
      <c r="C475" s="254" t="str">
        <f t="shared" si="7"/>
        <v/>
      </c>
      <c r="D475" s="101"/>
      <c r="E475" s="101"/>
      <c r="F475" s="101"/>
      <c r="G475" s="1782"/>
      <c r="H475" s="94"/>
      <c r="J475" s="1204"/>
    </row>
    <row r="476" spans="1:10" ht="15.75" thickBot="1" x14ac:dyDescent="0.3">
      <c r="B476" s="254" t="str">
        <f>IF(LEN('Ch6'!H159)=0,"",'Ch6'!H159)</f>
        <v/>
      </c>
      <c r="C476" s="254" t="str">
        <f t="shared" si="7"/>
        <v/>
      </c>
      <c r="D476" s="101"/>
      <c r="E476" s="101"/>
      <c r="F476" s="101"/>
      <c r="G476" s="1319" t="s">
        <v>1105</v>
      </c>
      <c r="H476" s="94"/>
      <c r="J476" s="1204"/>
    </row>
    <row r="477" spans="1:10" ht="15.75" thickTop="1" x14ac:dyDescent="0.25">
      <c r="A477" s="2363" t="str">
        <f>IF(COUNTIF(A482,"P")&gt;0,"P","")</f>
        <v/>
      </c>
      <c r="B477" s="254" t="str">
        <f>IF(LEN('Ch6'!H160)=0,"",'Ch6'!H160)</f>
        <v/>
      </c>
      <c r="C477" s="254" t="str">
        <f t="shared" si="7"/>
        <v/>
      </c>
      <c r="D477" s="106" t="s">
        <v>596</v>
      </c>
      <c r="E477" s="106"/>
      <c r="F477" s="106"/>
      <c r="G477" s="1781" t="s">
        <v>597</v>
      </c>
      <c r="H477" s="94"/>
      <c r="J477" s="1204" t="s">
        <v>4966</v>
      </c>
    </row>
    <row r="478" spans="1:10" x14ac:dyDescent="0.25">
      <c r="A478" s="585" t="str">
        <f>A477</f>
        <v/>
      </c>
      <c r="B478" s="254" t="str">
        <f>IF(LEN('Ch6'!H161)=0,"",'Ch6'!H161)</f>
        <v/>
      </c>
      <c r="C478" s="254" t="str">
        <f t="shared" si="7"/>
        <v/>
      </c>
      <c r="D478" s="101"/>
      <c r="E478" s="101"/>
      <c r="F478" s="101"/>
      <c r="G478" s="1782"/>
      <c r="H478" s="94"/>
      <c r="J478" s="1204"/>
    </row>
    <row r="479" spans="1:10" x14ac:dyDescent="0.25">
      <c r="A479" s="585" t="str">
        <f>A478</f>
        <v/>
      </c>
      <c r="B479" s="254" t="str">
        <f>IF(LEN('Ch6'!H162)=0,"",'Ch6'!H162)</f>
        <v/>
      </c>
      <c r="C479" s="254" t="str">
        <f t="shared" si="7"/>
        <v/>
      </c>
      <c r="D479" s="101"/>
      <c r="E479" s="101"/>
      <c r="F479" s="101"/>
      <c r="G479" s="1782"/>
      <c r="H479" s="94"/>
      <c r="J479" s="1204"/>
    </row>
    <row r="480" spans="1:10" x14ac:dyDescent="0.25">
      <c r="A480" s="585" t="str">
        <f>A479</f>
        <v/>
      </c>
      <c r="B480" s="254" t="str">
        <f>IF(LEN('Ch6'!H163)=0,"",'Ch6'!H163)</f>
        <v/>
      </c>
      <c r="C480" s="254" t="str">
        <f t="shared" si="7"/>
        <v/>
      </c>
      <c r="D480" s="101"/>
      <c r="E480" s="101"/>
      <c r="F480" s="101"/>
      <c r="G480" s="1782"/>
      <c r="H480" s="94"/>
      <c r="J480" s="1204"/>
    </row>
    <row r="481" spans="1:10" x14ac:dyDescent="0.25">
      <c r="A481" s="585" t="str">
        <f>A480</f>
        <v/>
      </c>
      <c r="B481" s="254" t="str">
        <f>IF(LEN('Ch6'!H164)=0,"",'Ch6'!H164)</f>
        <v/>
      </c>
      <c r="C481" s="254" t="str">
        <f t="shared" si="7"/>
        <v/>
      </c>
      <c r="D481" s="101"/>
      <c r="E481" s="101"/>
      <c r="F481" s="101"/>
      <c r="G481" s="1782"/>
      <c r="H481" s="94"/>
      <c r="J481" s="1204"/>
    </row>
    <row r="482" spans="1:10" x14ac:dyDescent="0.25">
      <c r="A482" s="585" t="str">
        <f>IF(AND(LEN(H482)&gt;0,NOT(H482=FALSE)),"P","")</f>
        <v/>
      </c>
      <c r="B482" s="254" t="str">
        <f>IF(LEN('Ch6'!H165)=0,"",'Ch6'!H165)</f>
        <v/>
      </c>
      <c r="C482" s="254" t="str">
        <f t="shared" si="7"/>
        <v/>
      </c>
      <c r="D482" s="139"/>
      <c r="E482" s="668" t="s">
        <v>256</v>
      </c>
      <c r="F482" s="101"/>
      <c r="G482" s="1225" t="s">
        <v>598</v>
      </c>
      <c r="H482" s="1313" t="str">
        <f>IF(LEN('Ch6'!W165)=0,"",'Ch6'!W165)</f>
        <v/>
      </c>
      <c r="J482" s="1204"/>
    </row>
    <row r="483" spans="1:10" x14ac:dyDescent="0.25">
      <c r="A483" s="585" t="str">
        <f>A482</f>
        <v/>
      </c>
      <c r="B483" s="254" t="str">
        <f>IF(LEN('Ch6'!H166)=0,"",'Ch6'!H166)</f>
        <v/>
      </c>
      <c r="C483" s="254" t="str">
        <f t="shared" si="7"/>
        <v/>
      </c>
      <c r="D483" s="139"/>
      <c r="E483" s="101"/>
      <c r="F483" s="668" t="s">
        <v>121</v>
      </c>
      <c r="G483" s="1225" t="s">
        <v>599</v>
      </c>
      <c r="H483" s="94"/>
      <c r="J483" s="1204"/>
    </row>
    <row r="484" spans="1:10" x14ac:dyDescent="0.25">
      <c r="A484" s="585" t="str">
        <f t="shared" ref="A484:A491" si="8">A483</f>
        <v/>
      </c>
      <c r="B484" s="254" t="str">
        <f>IF(LEN('Ch6'!H167)=0,"",'Ch6'!H167)</f>
        <v/>
      </c>
      <c r="C484" s="254" t="str">
        <f t="shared" si="7"/>
        <v/>
      </c>
      <c r="D484" s="139"/>
      <c r="E484" s="101"/>
      <c r="F484" s="668" t="s">
        <v>122</v>
      </c>
      <c r="G484" s="1225" t="s">
        <v>600</v>
      </c>
      <c r="H484" s="94"/>
      <c r="J484" s="1204"/>
    </row>
    <row r="485" spans="1:10" x14ac:dyDescent="0.25">
      <c r="A485" s="585" t="str">
        <f t="shared" si="8"/>
        <v/>
      </c>
      <c r="B485" s="254" t="str">
        <f>IF(LEN('Ch6'!H168)=0,"",'Ch6'!H168)</f>
        <v/>
      </c>
      <c r="C485" s="254" t="str">
        <f t="shared" si="7"/>
        <v/>
      </c>
      <c r="D485" s="139"/>
      <c r="E485" s="101"/>
      <c r="F485" s="689" t="s">
        <v>123</v>
      </c>
      <c r="G485" s="1225" t="s">
        <v>601</v>
      </c>
      <c r="H485" s="94"/>
      <c r="J485" s="1204"/>
    </row>
    <row r="486" spans="1:10" x14ac:dyDescent="0.25">
      <c r="A486" s="585" t="str">
        <f t="shared" si="8"/>
        <v/>
      </c>
      <c r="B486" s="254" t="str">
        <f>IF(LEN('Ch6'!H169)=0,"",'Ch6'!H169)</f>
        <v/>
      </c>
      <c r="C486" s="254" t="str">
        <f t="shared" si="7"/>
        <v/>
      </c>
      <c r="D486" s="139"/>
      <c r="E486" s="101"/>
      <c r="F486" s="101" t="s">
        <v>401</v>
      </c>
      <c r="G486" s="1754" t="s">
        <v>602</v>
      </c>
      <c r="H486" s="94"/>
      <c r="J486" s="1204"/>
    </row>
    <row r="487" spans="1:10" x14ac:dyDescent="0.25">
      <c r="A487" s="585" t="str">
        <f t="shared" si="8"/>
        <v/>
      </c>
      <c r="B487" s="254" t="str">
        <f>IF(LEN('Ch6'!H170)=0,"",'Ch6'!H170)</f>
        <v/>
      </c>
      <c r="C487" s="254" t="str">
        <f t="shared" si="7"/>
        <v/>
      </c>
      <c r="D487" s="139"/>
      <c r="E487" s="101"/>
      <c r="F487" s="101"/>
      <c r="G487" s="1754"/>
      <c r="H487" s="94"/>
      <c r="J487" s="1204"/>
    </row>
    <row r="488" spans="1:10" x14ac:dyDescent="0.25">
      <c r="A488" s="585" t="str">
        <f t="shared" si="8"/>
        <v/>
      </c>
      <c r="B488" s="254" t="str">
        <f>IF(LEN('Ch6'!H171)=0,"",'Ch6'!H171)</f>
        <v/>
      </c>
      <c r="C488" s="254" t="str">
        <f t="shared" si="7"/>
        <v/>
      </c>
      <c r="D488" s="139"/>
      <c r="E488" s="101"/>
      <c r="F488" s="101" t="s">
        <v>539</v>
      </c>
      <c r="G488" s="1225" t="s">
        <v>603</v>
      </c>
      <c r="H488" s="94"/>
      <c r="J488" s="1204"/>
    </row>
    <row r="489" spans="1:10" x14ac:dyDescent="0.25">
      <c r="A489" s="585" t="str">
        <f t="shared" si="8"/>
        <v/>
      </c>
      <c r="B489" s="254" t="str">
        <f>IF(LEN('Ch6'!H172)=0,"",'Ch6'!H172)</f>
        <v/>
      </c>
      <c r="C489" s="254" t="str">
        <f t="shared" si="7"/>
        <v/>
      </c>
      <c r="D489" s="139"/>
      <c r="E489" s="101"/>
      <c r="F489" s="689" t="s">
        <v>604</v>
      </c>
      <c r="G489" s="1225" t="s">
        <v>605</v>
      </c>
      <c r="H489" s="94"/>
      <c r="J489" s="1204"/>
    </row>
    <row r="490" spans="1:10" x14ac:dyDescent="0.25">
      <c r="A490" s="585" t="str">
        <f t="shared" si="8"/>
        <v/>
      </c>
      <c r="B490" s="254" t="str">
        <f>IF(LEN('Ch6'!H173)=0,"",'Ch6'!H173)</f>
        <v/>
      </c>
      <c r="C490" s="254" t="str">
        <f t="shared" si="7"/>
        <v/>
      </c>
      <c r="D490" s="139"/>
      <c r="E490" s="101"/>
      <c r="F490" s="101" t="s">
        <v>606</v>
      </c>
      <c r="G490" s="1225" t="s">
        <v>607</v>
      </c>
      <c r="H490" s="94"/>
      <c r="J490" s="1204"/>
    </row>
    <row r="491" spans="1:10" x14ac:dyDescent="0.25">
      <c r="A491" s="585" t="str">
        <f t="shared" si="8"/>
        <v/>
      </c>
      <c r="B491" s="254" t="str">
        <f>IF(LEN('Ch6'!H174)=0,"",'Ch6'!H174)</f>
        <v/>
      </c>
      <c r="C491" s="254" t="str">
        <f t="shared" si="7"/>
        <v/>
      </c>
      <c r="D491" s="139"/>
      <c r="E491" s="669"/>
      <c r="F491" s="669" t="s">
        <v>608</v>
      </c>
      <c r="G491" s="1215" t="s">
        <v>609</v>
      </c>
      <c r="H491" s="94"/>
      <c r="J491" s="1204"/>
    </row>
    <row r="492" spans="1:10" x14ac:dyDescent="0.25">
      <c r="B492" s="254" t="str">
        <f>IF(LEN('Ch6'!H175)=0,"",'Ch6'!H175)</f>
        <v/>
      </c>
      <c r="C492" s="254" t="str">
        <f t="shared" si="7"/>
        <v/>
      </c>
      <c r="D492" s="139"/>
      <c r="E492" s="668" t="s">
        <v>258</v>
      </c>
      <c r="F492" s="101"/>
      <c r="G492" s="1754" t="s">
        <v>610</v>
      </c>
      <c r="H492" s="1313" t="str">
        <f>IF(LEN('Ch6'!W175)=0,"",'Ch6'!W175)</f>
        <v/>
      </c>
      <c r="I492" s="86">
        <f>'Ch6'!O175</f>
        <v>0</v>
      </c>
      <c r="J492" s="1204"/>
    </row>
    <row r="493" spans="1:10" x14ac:dyDescent="0.25">
      <c r="B493" s="254" t="str">
        <f>IF(LEN('Ch6'!H176)=0,"",'Ch6'!H176)</f>
        <v/>
      </c>
      <c r="C493" s="254" t="str">
        <f t="shared" si="7"/>
        <v/>
      </c>
      <c r="D493" s="139"/>
      <c r="E493" s="101"/>
      <c r="F493" s="101"/>
      <c r="G493" s="1754"/>
      <c r="H493" s="94"/>
      <c r="J493" s="1204"/>
    </row>
    <row r="494" spans="1:10" x14ac:dyDescent="0.25">
      <c r="B494" s="254" t="str">
        <f>IF(LEN('Ch6'!H177)=0,"",'Ch6'!H177)</f>
        <v/>
      </c>
      <c r="C494" s="254" t="str">
        <f t="shared" si="7"/>
        <v/>
      </c>
      <c r="D494" s="139"/>
      <c r="E494" s="669"/>
      <c r="F494" s="669"/>
      <c r="G494" s="1755"/>
      <c r="H494" s="94"/>
      <c r="J494" s="1204"/>
    </row>
    <row r="495" spans="1:10" x14ac:dyDescent="0.25">
      <c r="B495" s="254" t="str">
        <f>IF(LEN('Ch6'!H178)=0,"",'Ch6'!H178)</f>
        <v/>
      </c>
      <c r="C495" s="254" t="str">
        <f t="shared" si="7"/>
        <v/>
      </c>
      <c r="D495" s="139"/>
      <c r="E495" s="691" t="s">
        <v>260</v>
      </c>
      <c r="F495" s="683"/>
      <c r="G495" s="280" t="s">
        <v>611</v>
      </c>
      <c r="H495" s="1313" t="str">
        <f>IF(LEN('Ch6'!W178)=0,"",'Ch6'!W178)</f>
        <v/>
      </c>
      <c r="I495" s="86">
        <f>'Ch6'!O178</f>
        <v>0</v>
      </c>
      <c r="J495" s="1204"/>
    </row>
    <row r="496" spans="1:10" x14ac:dyDescent="0.25">
      <c r="B496" s="254" t="str">
        <f>IF(LEN('Ch6'!H179)=0,"",'Ch6'!H179)</f>
        <v/>
      </c>
      <c r="C496" s="254" t="str">
        <f t="shared" si="7"/>
        <v/>
      </c>
      <c r="D496" s="139"/>
      <c r="E496" s="693" t="s">
        <v>269</v>
      </c>
      <c r="F496" s="671"/>
      <c r="G496" s="1778" t="s">
        <v>612</v>
      </c>
      <c r="H496" s="1313" t="str">
        <f>IF(LEN('Ch6'!W179)=0,"",'Ch6'!W179)</f>
        <v/>
      </c>
      <c r="I496" s="86">
        <f>'Ch6'!O179</f>
        <v>0</v>
      </c>
      <c r="J496" s="1204"/>
    </row>
    <row r="497" spans="1:10" x14ac:dyDescent="0.25">
      <c r="B497" s="254" t="str">
        <f>IF(LEN('Ch6'!H180)=0,"",'Ch6'!H180)</f>
        <v/>
      </c>
      <c r="C497" s="254" t="str">
        <f t="shared" si="7"/>
        <v/>
      </c>
      <c r="D497" s="139"/>
      <c r="E497" s="101"/>
      <c r="F497" s="101"/>
      <c r="G497" s="1754"/>
      <c r="H497" s="94"/>
      <c r="J497" s="1204"/>
    </row>
    <row r="498" spans="1:10" x14ac:dyDescent="0.25">
      <c r="B498" s="254" t="str">
        <f>IF(LEN('Ch6'!H181)=0,"",'Ch6'!H181)</f>
        <v/>
      </c>
      <c r="C498" s="254" t="str">
        <f t="shared" si="7"/>
        <v/>
      </c>
      <c r="D498" s="139"/>
      <c r="E498" s="101"/>
      <c r="F498" s="101"/>
      <c r="G498" s="1754"/>
      <c r="H498" s="94"/>
      <c r="J498" s="1204"/>
    </row>
    <row r="499" spans="1:10" x14ac:dyDescent="0.25">
      <c r="B499" s="254" t="str">
        <f>IF(LEN('Ch6'!H182)=0,"",'Ch6'!H182)</f>
        <v/>
      </c>
      <c r="C499" s="254" t="str">
        <f t="shared" si="7"/>
        <v/>
      </c>
      <c r="D499" s="139"/>
      <c r="E499" s="669"/>
      <c r="F499" s="669"/>
      <c r="G499" s="1755"/>
      <c r="H499" s="94"/>
      <c r="J499" s="1204"/>
    </row>
    <row r="500" spans="1:10" x14ac:dyDescent="0.25">
      <c r="B500" s="254" t="str">
        <f>IF(LEN('Ch6'!H183)=0,"",'Ch6'!H183)</f>
        <v/>
      </c>
      <c r="C500" s="254" t="str">
        <f t="shared" si="7"/>
        <v/>
      </c>
      <c r="D500" s="139"/>
      <c r="E500" s="667" t="s">
        <v>275</v>
      </c>
      <c r="F500" s="139"/>
      <c r="G500" s="1225" t="s">
        <v>613</v>
      </c>
      <c r="H500" s="1313" t="str">
        <f>IF(LEN('Ch6'!W183)=0,"",'Ch6'!W183)</f>
        <v/>
      </c>
      <c r="I500" s="86">
        <f ca="1">'Ch6'!O183</f>
        <v>0</v>
      </c>
      <c r="J500" s="1204"/>
    </row>
    <row r="501" spans="1:10" x14ac:dyDescent="0.25">
      <c r="B501" s="254" t="str">
        <f>IF(LEN('Ch6'!H184)=0,"",'Ch6'!H184)</f>
        <v/>
      </c>
      <c r="C501" s="254" t="str">
        <f t="shared" si="7"/>
        <v/>
      </c>
      <c r="D501" s="139"/>
      <c r="E501" s="139"/>
      <c r="F501" s="668" t="s">
        <v>121</v>
      </c>
      <c r="G501" s="1754" t="s">
        <v>614</v>
      </c>
      <c r="H501" s="94"/>
      <c r="J501" s="1204"/>
    </row>
    <row r="502" spans="1:10" x14ac:dyDescent="0.25">
      <c r="B502" s="254" t="str">
        <f>IF(LEN('Ch6'!H185)=0,"",'Ch6'!H185)</f>
        <v/>
      </c>
      <c r="C502" s="254" t="str">
        <f t="shared" si="7"/>
        <v/>
      </c>
      <c r="D502" s="139"/>
      <c r="E502" s="139"/>
      <c r="F502" s="668"/>
      <c r="G502" s="1754"/>
      <c r="H502" s="94"/>
      <c r="J502" s="1204"/>
    </row>
    <row r="503" spans="1:10" x14ac:dyDescent="0.25">
      <c r="B503" s="254" t="str">
        <f>IF(LEN('Ch6'!H186)=0,"",'Ch6'!H186)</f>
        <v/>
      </c>
      <c r="C503" s="254" t="str">
        <f t="shared" si="7"/>
        <v/>
      </c>
      <c r="D503" s="139"/>
      <c r="E503" s="139"/>
      <c r="F503" s="684"/>
      <c r="G503" s="1755"/>
      <c r="H503" s="94"/>
      <c r="J503" s="1204"/>
    </row>
    <row r="504" spans="1:10" x14ac:dyDescent="0.25">
      <c r="B504" s="254" t="str">
        <f>IF(LEN('Ch6'!H187)=0,"",'Ch6'!H187)</f>
        <v/>
      </c>
      <c r="C504" s="254" t="str">
        <f t="shared" si="7"/>
        <v/>
      </c>
      <c r="D504" s="139"/>
      <c r="E504" s="101"/>
      <c r="F504" s="668" t="s">
        <v>122</v>
      </c>
      <c r="G504" s="1754" t="s">
        <v>615</v>
      </c>
      <c r="H504" s="94"/>
      <c r="J504" s="1204"/>
    </row>
    <row r="505" spans="1:10" x14ac:dyDescent="0.25">
      <c r="B505" s="254" t="str">
        <f>IF(LEN('Ch6'!H188)=0,"",'Ch6'!H188)</f>
        <v/>
      </c>
      <c r="C505" s="254" t="str">
        <f t="shared" si="7"/>
        <v/>
      </c>
      <c r="D505" s="139"/>
      <c r="E505" s="669"/>
      <c r="F505" s="669"/>
      <c r="G505" s="1755"/>
      <c r="H505" s="94"/>
      <c r="J505" s="1204"/>
    </row>
    <row r="506" spans="1:10" x14ac:dyDescent="0.25">
      <c r="B506" s="254" t="str">
        <f>IF(LEN('Ch6'!H189)=0,"",'Ch6'!H189)</f>
        <v/>
      </c>
      <c r="C506" s="254" t="str">
        <f t="shared" si="7"/>
        <v/>
      </c>
      <c r="D506" s="139"/>
      <c r="E506" s="693" t="s">
        <v>277</v>
      </c>
      <c r="F506" s="671"/>
      <c r="G506" s="1778" t="s">
        <v>616</v>
      </c>
      <c r="H506" s="1313" t="str">
        <f>IF(LEN('Ch6'!W189)=0,"",'Ch6'!W189)</f>
        <v/>
      </c>
      <c r="I506" s="86">
        <f>'Ch6'!O189</f>
        <v>0</v>
      </c>
      <c r="J506" s="1204"/>
    </row>
    <row r="507" spans="1:10" x14ac:dyDescent="0.25">
      <c r="B507" s="254" t="str">
        <f>IF(LEN('Ch6'!H190)=0,"",'Ch6'!H190)</f>
        <v/>
      </c>
      <c r="C507" s="254" t="str">
        <f t="shared" si="7"/>
        <v/>
      </c>
      <c r="D507" s="139"/>
      <c r="E507" s="669"/>
      <c r="F507" s="669"/>
      <c r="G507" s="1755"/>
      <c r="H507" s="94"/>
      <c r="J507" s="1204"/>
    </row>
    <row r="508" spans="1:10" ht="15.75" thickBot="1" x14ac:dyDescent="0.3">
      <c r="B508" s="254" t="str">
        <f>IF(LEN('Ch6'!H191)=0,"",'Ch6'!H191)</f>
        <v/>
      </c>
      <c r="C508" s="254" t="str">
        <f t="shared" si="7"/>
        <v/>
      </c>
      <c r="D508" s="139"/>
      <c r="E508" s="667" t="s">
        <v>383</v>
      </c>
      <c r="F508" s="139"/>
      <c r="G508" s="1225" t="s">
        <v>617</v>
      </c>
      <c r="H508" s="1313" t="str">
        <f>IF(LEN('Ch6'!W191)=0,"",'Ch6'!W191)</f>
        <v/>
      </c>
      <c r="I508" s="86">
        <f>'Ch6'!O191</f>
        <v>0</v>
      </c>
      <c r="J508" s="1204"/>
    </row>
    <row r="509" spans="1:10" ht="15.75" thickTop="1" x14ac:dyDescent="0.25">
      <c r="A509" s="585" t="str">
        <f ca="1">IF(I509&gt;0,"P","")</f>
        <v/>
      </c>
      <c r="B509" s="254" t="str">
        <f>IF(LEN('Ch6'!H192)=0,"",'Ch6'!H192)</f>
        <v/>
      </c>
      <c r="C509" s="254" t="str">
        <f t="shared" ca="1" si="7"/>
        <v/>
      </c>
      <c r="D509" s="106" t="s">
        <v>619</v>
      </c>
      <c r="E509" s="106"/>
      <c r="F509" s="106"/>
      <c r="G509" s="1781" t="s">
        <v>5588</v>
      </c>
      <c r="H509" s="94"/>
      <c r="I509" s="86">
        <f ca="1">'Ch6'!O192</f>
        <v>0</v>
      </c>
      <c r="J509" s="1950" t="s">
        <v>4967</v>
      </c>
    </row>
    <row r="510" spans="1:10" x14ac:dyDescent="0.25">
      <c r="A510" s="585" t="str">
        <f ca="1">A509</f>
        <v/>
      </c>
      <c r="B510" s="254" t="str">
        <f>IF(LEN('Ch6'!H193)=0,"",'Ch6'!H193)</f>
        <v/>
      </c>
      <c r="C510" s="254" t="str">
        <f t="shared" ca="1" si="7"/>
        <v/>
      </c>
      <c r="D510" s="101"/>
      <c r="E510" s="101"/>
      <c r="F510" s="101"/>
      <c r="G510" s="1782"/>
      <c r="H510" s="1313" t="str">
        <f>IF(LEN('Ch6'!W193)=0,"",'Ch6'!W193)</f>
        <v/>
      </c>
      <c r="J510" s="1954"/>
    </row>
    <row r="511" spans="1:10" x14ac:dyDescent="0.25">
      <c r="A511" s="585" t="str">
        <f ca="1">A510</f>
        <v/>
      </c>
      <c r="B511" s="254" t="str">
        <f>IF(LEN('Ch6'!H194)=0,"",'Ch6'!H194)</f>
        <v/>
      </c>
      <c r="C511" s="254" t="str">
        <f t="shared" ca="1" si="7"/>
        <v/>
      </c>
      <c r="D511" s="101"/>
      <c r="E511" s="101"/>
      <c r="F511" s="101"/>
      <c r="G511" s="1782"/>
      <c r="H511" s="94"/>
      <c r="J511" s="1951"/>
    </row>
    <row r="512" spans="1:10" x14ac:dyDescent="0.25">
      <c r="A512" s="585" t="str">
        <f ca="1">A511</f>
        <v/>
      </c>
      <c r="B512" s="254" t="str">
        <f>IF(LEN('Ch6'!H195)=0,"",'Ch6'!H195)</f>
        <v/>
      </c>
      <c r="C512" s="254" t="str">
        <f t="shared" ca="1" si="7"/>
        <v/>
      </c>
      <c r="D512" s="101"/>
      <c r="E512" s="101"/>
      <c r="F512" s="101"/>
      <c r="G512" s="1782"/>
      <c r="H512" s="94"/>
      <c r="J512" s="1204"/>
    </row>
    <row r="513" spans="1:10" x14ac:dyDescent="0.25">
      <c r="A513" s="585" t="str">
        <f ca="1">A512</f>
        <v/>
      </c>
      <c r="B513" s="254" t="str">
        <f>IF(LEN('Ch6'!H196)=0,"",'Ch6'!H196)</f>
        <v/>
      </c>
      <c r="C513" s="254" t="str">
        <f t="shared" ca="1" si="7"/>
        <v/>
      </c>
      <c r="D513" s="101"/>
      <c r="E513" s="101"/>
      <c r="F513" s="101"/>
      <c r="G513" s="1782"/>
      <c r="H513" s="94"/>
      <c r="J513" s="1204"/>
    </row>
    <row r="514" spans="1:10" x14ac:dyDescent="0.25">
      <c r="A514" s="585" t="str">
        <f ca="1">A513</f>
        <v/>
      </c>
      <c r="B514" s="254" t="str">
        <f>IF(LEN('Ch6'!H197)=0,"",'Ch6'!H197)</f>
        <v/>
      </c>
      <c r="C514" s="254" t="str">
        <f t="shared" ca="1" si="7"/>
        <v/>
      </c>
      <c r="D514" s="101"/>
      <c r="E514" s="101"/>
      <c r="F514" s="101"/>
      <c r="G514" s="1782"/>
      <c r="H514" s="94"/>
      <c r="J514" s="1204"/>
    </row>
    <row r="515" spans="1:10" x14ac:dyDescent="0.25">
      <c r="B515" s="254" t="str">
        <f>IF(LEN('Ch6'!H198)=0,"",'Ch6'!H198)</f>
        <v/>
      </c>
      <c r="C515" s="254" t="str">
        <f t="shared" si="7"/>
        <v/>
      </c>
      <c r="D515" s="101"/>
      <c r="E515" s="101"/>
      <c r="F515" s="101"/>
      <c r="G515" s="1315" t="str">
        <f>"This Project's Climate Zone: "&amp;BA333</f>
        <v xml:space="preserve">This Project's Climate Zone: </v>
      </c>
      <c r="H515" s="94"/>
      <c r="J515" s="1204"/>
    </row>
    <row r="516" spans="1:10" x14ac:dyDescent="0.25">
      <c r="B516" s="254" t="str">
        <f>IF(LEN('Ch6'!H199)=0,"",'Ch6'!H199)</f>
        <v/>
      </c>
      <c r="C516" s="254" t="str">
        <f t="shared" si="7"/>
        <v/>
      </c>
      <c r="D516" s="101"/>
      <c r="E516" s="101"/>
      <c r="F516" s="668" t="s">
        <v>121</v>
      </c>
      <c r="G516" s="1225" t="s">
        <v>620</v>
      </c>
      <c r="H516" s="94"/>
      <c r="J516" s="1204"/>
    </row>
    <row r="517" spans="1:10" x14ac:dyDescent="0.25">
      <c r="B517" s="254" t="str">
        <f>IF(LEN('Ch6'!H200)=0,"",'Ch6'!H200)</f>
        <v/>
      </c>
      <c r="C517" s="254" t="str">
        <f t="shared" si="7"/>
        <v/>
      </c>
      <c r="D517" s="101"/>
      <c r="E517" s="101"/>
      <c r="F517" s="668" t="s">
        <v>122</v>
      </c>
      <c r="G517" s="1225" t="s">
        <v>621</v>
      </c>
      <c r="H517" s="94"/>
      <c r="J517" s="1204"/>
    </row>
    <row r="518" spans="1:10" x14ac:dyDescent="0.25">
      <c r="B518" s="254" t="str">
        <f>IF(LEN('Ch6'!H201)=0,"",'Ch6'!H201)</f>
        <v/>
      </c>
      <c r="C518" s="254" t="str">
        <f t="shared" si="7"/>
        <v/>
      </c>
      <c r="D518" s="101"/>
      <c r="E518" s="101"/>
      <c r="F518" s="689" t="s">
        <v>123</v>
      </c>
      <c r="G518" s="1225" t="s">
        <v>622</v>
      </c>
      <c r="H518" s="94"/>
      <c r="J518" s="1204"/>
    </row>
    <row r="519" spans="1:10" x14ac:dyDescent="0.25">
      <c r="B519" s="254" t="str">
        <f>IF(LEN('Ch6'!H202)=0,"",'Ch6'!H202)</f>
        <v/>
      </c>
      <c r="C519" s="254" t="str">
        <f t="shared" si="7"/>
        <v/>
      </c>
      <c r="D519" s="101"/>
      <c r="E519" s="101"/>
      <c r="F519" s="101" t="s">
        <v>401</v>
      </c>
      <c r="G519" s="1225" t="s">
        <v>623</v>
      </c>
      <c r="H519" s="94"/>
      <c r="J519" s="1204"/>
    </row>
    <row r="520" spans="1:10" x14ac:dyDescent="0.25">
      <c r="B520" s="254" t="str">
        <f>IF(LEN('Ch6'!H203)=0,"",'Ch6'!H203)</f>
        <v/>
      </c>
      <c r="C520" s="254" t="str">
        <f t="shared" ref="C520:C583" si="9">IF(LEN(B520)=0,IF(A520="P","P",""),B520)</f>
        <v/>
      </c>
      <c r="D520" s="101"/>
      <c r="E520" s="101"/>
      <c r="F520" s="101"/>
      <c r="G520" s="1958" t="s">
        <v>3051</v>
      </c>
      <c r="H520" s="94"/>
      <c r="J520" s="1204"/>
    </row>
    <row r="521" spans="1:10" ht="15.75" thickBot="1" x14ac:dyDescent="0.3">
      <c r="B521" s="254" t="str">
        <f>IF(LEN('Ch6'!H204)=0,"",'Ch6'!H204)</f>
        <v/>
      </c>
      <c r="C521" s="254" t="str">
        <f t="shared" si="9"/>
        <v/>
      </c>
      <c r="D521" s="101"/>
      <c r="E521" s="101"/>
      <c r="F521" s="101"/>
      <c r="G521" s="1959"/>
      <c r="H521" s="94"/>
      <c r="J521" s="1204"/>
    </row>
    <row r="522" spans="1:10" ht="15.75" thickTop="1" x14ac:dyDescent="0.25">
      <c r="A522" s="585" t="str">
        <f>IF(AND(LEN(H522)&gt;0,NOT(H522=FALSE)),"P","")</f>
        <v/>
      </c>
      <c r="B522" s="254" t="str">
        <f>IF(LEN('Ch6'!H205)=0,"",'Ch6'!H205)</f>
        <v/>
      </c>
      <c r="C522" s="254" t="str">
        <f t="shared" si="9"/>
        <v/>
      </c>
      <c r="D522" s="106" t="s">
        <v>625</v>
      </c>
      <c r="E522" s="106"/>
      <c r="F522" s="106"/>
      <c r="G522" s="1781" t="s">
        <v>626</v>
      </c>
      <c r="H522" s="1313" t="str">
        <f>IF(LEN('Ch6'!W205)=0,"",'Ch6'!W205)</f>
        <v/>
      </c>
      <c r="J522" s="1950" t="s">
        <v>4968</v>
      </c>
    </row>
    <row r="523" spans="1:10" ht="15.75" thickBot="1" x14ac:dyDescent="0.3">
      <c r="A523" s="585" t="str">
        <f>A522</f>
        <v/>
      </c>
      <c r="B523" s="254" t="str">
        <f>IF(LEN('Ch6'!H206)=0,"",'Ch6'!H206)</f>
        <v/>
      </c>
      <c r="C523" s="254" t="str">
        <f t="shared" si="9"/>
        <v/>
      </c>
      <c r="D523" s="101"/>
      <c r="E523" s="101"/>
      <c r="F523" s="101"/>
      <c r="G523" s="1782"/>
      <c r="H523" s="94"/>
      <c r="J523" s="1951"/>
    </row>
    <row r="524" spans="1:10" ht="15.75" thickTop="1" x14ac:dyDescent="0.25">
      <c r="A524" s="585" t="str">
        <f ca="1">IF(I524&gt;0,"P","")</f>
        <v/>
      </c>
      <c r="B524" s="254" t="str">
        <f>IF(LEN('Ch6'!H207)=0,"",'Ch6'!H207)</f>
        <v/>
      </c>
      <c r="C524" s="254" t="str">
        <f t="shared" ca="1" si="9"/>
        <v/>
      </c>
      <c r="D524" s="106" t="s">
        <v>627</v>
      </c>
      <c r="E524" s="106"/>
      <c r="F524" s="106"/>
      <c r="G524" s="1781" t="s">
        <v>628</v>
      </c>
      <c r="H524" s="1313" t="str">
        <f>IF(LEN('Ch6'!W207)=0,"",'Ch6'!W207)</f>
        <v/>
      </c>
      <c r="I524" s="86">
        <f ca="1">'Ch6'!O207</f>
        <v>0</v>
      </c>
      <c r="J524" s="1204" t="s">
        <v>3892</v>
      </c>
    </row>
    <row r="525" spans="1:10" x14ac:dyDescent="0.25">
      <c r="A525" s="585" t="str">
        <f ca="1">A524</f>
        <v/>
      </c>
      <c r="B525" s="254" t="str">
        <f>IF(LEN('Ch6'!H208)=0,"",'Ch6'!H208)</f>
        <v/>
      </c>
      <c r="C525" s="254" t="str">
        <f t="shared" ca="1" si="9"/>
        <v/>
      </c>
      <c r="D525" s="101"/>
      <c r="E525" s="101"/>
      <c r="F525" s="101"/>
      <c r="G525" s="1782"/>
      <c r="H525" s="94"/>
      <c r="J525" s="1204"/>
    </row>
    <row r="526" spans="1:10" ht="15.75" thickBot="1" x14ac:dyDescent="0.3">
      <c r="B526" s="254" t="str">
        <f>IF(LEN('Ch6'!H209)=0,"",'Ch6'!H209)</f>
        <v/>
      </c>
      <c r="C526" s="254" t="str">
        <f t="shared" si="9"/>
        <v/>
      </c>
      <c r="D526" s="101"/>
      <c r="E526" s="101"/>
      <c r="F526" s="101"/>
      <c r="G526" s="1320" t="s">
        <v>3036</v>
      </c>
      <c r="H526" s="94"/>
      <c r="J526" s="1204"/>
    </row>
    <row r="527" spans="1:10" ht="15.75" thickTop="1" x14ac:dyDescent="0.25">
      <c r="A527" s="585" t="str">
        <f>IF(AND(LEN(H527)&gt;0,NOT(H527=FALSE)),"P","")</f>
        <v/>
      </c>
      <c r="B527" s="254" t="str">
        <f>IF(LEN('Ch6'!H210)=0,"",'Ch6'!H210)</f>
        <v/>
      </c>
      <c r="C527" s="254" t="str">
        <f t="shared" si="9"/>
        <v/>
      </c>
      <c r="D527" s="106" t="s">
        <v>630</v>
      </c>
      <c r="E527" s="106"/>
      <c r="F527" s="106"/>
      <c r="G527" s="1781" t="s">
        <v>631</v>
      </c>
      <c r="H527" s="1313" t="str">
        <f>IF(LEN('Ch6'!W210)=0,"",'Ch6'!W210)</f>
        <v/>
      </c>
      <c r="J527" s="1204" t="s">
        <v>4969</v>
      </c>
    </row>
    <row r="528" spans="1:10" x14ac:dyDescent="0.25">
      <c r="A528" s="585" t="str">
        <f>A527</f>
        <v/>
      </c>
      <c r="B528" s="254" t="str">
        <f>IF(LEN('Ch6'!H211)=0,"",'Ch6'!H211)</f>
        <v/>
      </c>
      <c r="C528" s="254" t="str">
        <f t="shared" si="9"/>
        <v/>
      </c>
      <c r="D528" s="101"/>
      <c r="E528" s="101"/>
      <c r="F528" s="101"/>
      <c r="G528" s="1782"/>
      <c r="H528" s="94"/>
      <c r="J528" s="1204"/>
    </row>
    <row r="529" spans="1:10" x14ac:dyDescent="0.25">
      <c r="A529" s="585" t="str">
        <f>A528</f>
        <v/>
      </c>
      <c r="B529" s="254" t="str">
        <f>IF(LEN('Ch6'!H212)=0,"",'Ch6'!H212)</f>
        <v/>
      </c>
      <c r="C529" s="254" t="str">
        <f t="shared" si="9"/>
        <v/>
      </c>
      <c r="D529" s="101"/>
      <c r="E529" s="101"/>
      <c r="F529" s="101"/>
      <c r="G529" s="1782"/>
      <c r="H529" s="94"/>
      <c r="J529" s="1204"/>
    </row>
    <row r="530" spans="1:10" ht="15.75" thickBot="1" x14ac:dyDescent="0.3">
      <c r="A530" s="585" t="str">
        <f>A529</f>
        <v/>
      </c>
      <c r="B530" s="254" t="str">
        <f>IF(LEN('Ch6'!H213)=0,"",'Ch6'!H213)</f>
        <v/>
      </c>
      <c r="C530" s="254" t="str">
        <f t="shared" si="9"/>
        <v/>
      </c>
      <c r="D530" s="101"/>
      <c r="E530" s="101"/>
      <c r="F530" s="101"/>
      <c r="G530" s="1782"/>
      <c r="H530" s="94"/>
      <c r="J530" s="1204"/>
    </row>
    <row r="531" spans="1:10" ht="15.75" thickTop="1" x14ac:dyDescent="0.25">
      <c r="A531" s="585" t="str">
        <f>IF(I531&gt;0,"P","")</f>
        <v/>
      </c>
      <c r="B531" s="254" t="str">
        <f>IF(LEN('Ch6'!H214)=0,"",'Ch6'!H214)</f>
        <v/>
      </c>
      <c r="C531" s="254" t="str">
        <f t="shared" si="9"/>
        <v/>
      </c>
      <c r="D531" s="106" t="s">
        <v>632</v>
      </c>
      <c r="E531" s="106"/>
      <c r="F531" s="106"/>
      <c r="G531" s="1781" t="s">
        <v>633</v>
      </c>
      <c r="H531" s="94"/>
      <c r="I531" s="706">
        <f>SUM(I533:I536)</f>
        <v>0</v>
      </c>
      <c r="J531" s="1204" t="s">
        <v>3892</v>
      </c>
    </row>
    <row r="532" spans="1:10" x14ac:dyDescent="0.25">
      <c r="A532" s="585" t="str">
        <f>A531</f>
        <v/>
      </c>
      <c r="B532" s="254" t="str">
        <f>IF(LEN('Ch6'!H215)=0,"",'Ch6'!H215)</f>
        <v/>
      </c>
      <c r="C532" s="254" t="str">
        <f t="shared" si="9"/>
        <v/>
      </c>
      <c r="D532" s="101"/>
      <c r="E532" s="101"/>
      <c r="F532" s="101"/>
      <c r="G532" s="1782"/>
      <c r="H532" s="94"/>
      <c r="J532" s="1204"/>
    </row>
    <row r="533" spans="1:10" x14ac:dyDescent="0.25">
      <c r="B533" s="254" t="str">
        <f>IF(LEN('Ch6'!H216)=0,"",'Ch6'!H216)</f>
        <v/>
      </c>
      <c r="C533" s="254" t="str">
        <f t="shared" si="9"/>
        <v/>
      </c>
      <c r="D533" s="139"/>
      <c r="E533" s="668" t="s">
        <v>256</v>
      </c>
      <c r="F533" s="101"/>
      <c r="G533" s="1754" t="s">
        <v>634</v>
      </c>
      <c r="H533" s="1313" t="str">
        <f>IF(LEN('Ch6'!W216)=0,"",'Ch6'!W216)</f>
        <v/>
      </c>
      <c r="I533" s="86">
        <f>'Ch6'!O216</f>
        <v>0</v>
      </c>
      <c r="J533" s="1204"/>
    </row>
    <row r="534" spans="1:10" x14ac:dyDescent="0.25">
      <c r="B534" s="254" t="str">
        <f>IF(LEN('Ch6'!H217)=0,"",'Ch6'!H217)</f>
        <v/>
      </c>
      <c r="C534" s="254" t="str">
        <f t="shared" si="9"/>
        <v/>
      </c>
      <c r="D534" s="139"/>
      <c r="E534" s="669"/>
      <c r="F534" s="669"/>
      <c r="G534" s="1755"/>
      <c r="H534" s="94"/>
      <c r="J534" s="1204"/>
    </row>
    <row r="535" spans="1:10" x14ac:dyDescent="0.25">
      <c r="B535" s="254" t="str">
        <f>IF(LEN('Ch6'!H218)=0,"",'Ch6'!H218)</f>
        <v/>
      </c>
      <c r="C535" s="254" t="str">
        <f t="shared" si="9"/>
        <v/>
      </c>
      <c r="D535" s="139"/>
      <c r="E535" s="691" t="s">
        <v>258</v>
      </c>
      <c r="F535" s="683"/>
      <c r="G535" s="280" t="s">
        <v>635</v>
      </c>
      <c r="H535" s="1313" t="str">
        <f>IF(LEN('Ch6'!W218)=0,"",'Ch6'!W218)</f>
        <v/>
      </c>
      <c r="I535" s="86">
        <f>'Ch6'!O218</f>
        <v>0</v>
      </c>
      <c r="J535" s="1204"/>
    </row>
    <row r="536" spans="1:10" ht="15.75" thickBot="1" x14ac:dyDescent="0.3">
      <c r="B536" s="254" t="str">
        <f>IF(LEN('Ch6'!H219)=0,"",'Ch6'!H219)</f>
        <v/>
      </c>
      <c r="C536" s="254" t="str">
        <f t="shared" si="9"/>
        <v/>
      </c>
      <c r="D536" s="139"/>
      <c r="E536" s="673" t="s">
        <v>260</v>
      </c>
      <c r="F536" s="670"/>
      <c r="G536" s="1229" t="s">
        <v>636</v>
      </c>
      <c r="H536" s="1313" t="str">
        <f>IF(LEN('Ch6'!W219)=0,"",'Ch6'!W219)</f>
        <v/>
      </c>
      <c r="I536" s="86">
        <f>'Ch6'!O219</f>
        <v>0</v>
      </c>
      <c r="J536" s="1204"/>
    </row>
    <row r="537" spans="1:10" ht="15.75" thickTop="1" x14ac:dyDescent="0.25">
      <c r="A537" s="585" t="str">
        <f>IF(I537&gt;0,"P","")</f>
        <v/>
      </c>
      <c r="B537" s="254" t="str">
        <f>IF(LEN('Ch6'!H220)=0,"",'Ch6'!H220)</f>
        <v/>
      </c>
      <c r="C537" s="254" t="str">
        <f t="shared" si="9"/>
        <v/>
      </c>
      <c r="D537" s="106" t="s">
        <v>4167</v>
      </c>
      <c r="G537" s="1877" t="s">
        <v>4168</v>
      </c>
      <c r="H537" s="1313" t="str">
        <f>IF(LEN('Ch6'!W220)=0,"",'Ch6'!W220)</f>
        <v/>
      </c>
      <c r="I537" s="86">
        <f>'Ch6'!O220</f>
        <v>0</v>
      </c>
      <c r="J537" s="1204" t="s">
        <v>4970</v>
      </c>
    </row>
    <row r="538" spans="1:10" x14ac:dyDescent="0.25">
      <c r="A538" s="585" t="str">
        <f>A537</f>
        <v/>
      </c>
      <c r="B538" s="254" t="str">
        <f>IF(LEN('Ch6'!H221)=0,"",'Ch6'!H221)</f>
        <v/>
      </c>
      <c r="C538" s="254" t="str">
        <f t="shared" si="9"/>
        <v/>
      </c>
      <c r="G538" s="1877"/>
      <c r="H538" s="94"/>
      <c r="J538" s="1204"/>
    </row>
    <row r="539" spans="1:10" ht="15.75" thickBot="1" x14ac:dyDescent="0.3">
      <c r="B539" s="254" t="str">
        <f>IF(LEN('Ch6'!H222)=0,"",'Ch6'!H222)</f>
        <v/>
      </c>
      <c r="C539" s="254" t="str">
        <f t="shared" si="9"/>
        <v/>
      </c>
      <c r="G539" s="1319" t="s">
        <v>4169</v>
      </c>
      <c r="H539" s="94"/>
      <c r="J539" s="1204"/>
    </row>
    <row r="540" spans="1:10" ht="15.75" thickTop="1" x14ac:dyDescent="0.25">
      <c r="A540" s="585" t="str">
        <f>IF(I540&gt;0,"P","")</f>
        <v/>
      </c>
      <c r="B540" s="254" t="str">
        <f>IF(LEN('Ch6'!H223)=0,"",'Ch6'!H223)</f>
        <v/>
      </c>
      <c r="C540" s="254" t="str">
        <f t="shared" si="9"/>
        <v/>
      </c>
      <c r="D540" s="106">
        <v>602.20000000000005</v>
      </c>
      <c r="E540" s="106"/>
      <c r="F540" s="106"/>
      <c r="G540" s="1781" t="s">
        <v>637</v>
      </c>
      <c r="H540" s="94"/>
      <c r="I540" s="86">
        <f>'Ch6'!O223</f>
        <v>0</v>
      </c>
      <c r="J540" s="1204"/>
    </row>
    <row r="541" spans="1:10" x14ac:dyDescent="0.25">
      <c r="A541" s="585" t="str">
        <f>A540</f>
        <v/>
      </c>
      <c r="B541" s="254" t="str">
        <f>IF(LEN('Ch6'!H224)=0,"",'Ch6'!H224)</f>
        <v/>
      </c>
      <c r="C541" s="254" t="str">
        <f t="shared" si="9"/>
        <v/>
      </c>
      <c r="D541" s="101"/>
      <c r="E541" s="101"/>
      <c r="F541" s="101"/>
      <c r="G541" s="1782"/>
      <c r="H541" s="94"/>
      <c r="J541" s="1204"/>
    </row>
    <row r="542" spans="1:10" x14ac:dyDescent="0.25">
      <c r="A542" s="585" t="str">
        <f>A541</f>
        <v/>
      </c>
      <c r="B542" s="254" t="str">
        <f>IF(LEN('Ch6'!H225)=0,"",'Ch6'!H225)</f>
        <v/>
      </c>
      <c r="C542" s="254" t="str">
        <f t="shared" si="9"/>
        <v/>
      </c>
      <c r="D542" s="101"/>
      <c r="E542" s="101"/>
      <c r="F542" s="101"/>
      <c r="G542" s="1782"/>
      <c r="H542" s="94"/>
      <c r="J542" s="1204"/>
    </row>
    <row r="543" spans="1:10" x14ac:dyDescent="0.25">
      <c r="A543" s="585" t="str">
        <f>A542</f>
        <v/>
      </c>
      <c r="B543" s="254" t="str">
        <f>IF(LEN('Ch6'!H226)=0,"",'Ch6'!H226)</f>
        <v/>
      </c>
      <c r="C543" s="254" t="str">
        <f t="shared" si="9"/>
        <v/>
      </c>
      <c r="D543" s="101"/>
      <c r="E543" s="101"/>
      <c r="F543" s="101"/>
      <c r="G543" s="1782"/>
      <c r="H543" s="94"/>
      <c r="J543" s="1204"/>
    </row>
    <row r="544" spans="1:10" x14ac:dyDescent="0.25">
      <c r="A544" s="585" t="str">
        <f>IF(AND(LEN(H544)&gt;0,NOT(H544=FALSE)),"P","")</f>
        <v/>
      </c>
      <c r="B544" s="254" t="str">
        <f>IF(LEN('Ch6'!H227)=0,"",'Ch6'!H227)</f>
        <v/>
      </c>
      <c r="C544" s="254" t="str">
        <f t="shared" si="9"/>
        <v/>
      </c>
      <c r="D544" s="139"/>
      <c r="E544" s="668" t="s">
        <v>256</v>
      </c>
      <c r="F544" s="101"/>
      <c r="G544" s="1793" t="s">
        <v>638</v>
      </c>
      <c r="H544" s="1313" t="str">
        <f>IF(LEN('Ch6'!W227)=0,"",'Ch6'!W227)</f>
        <v/>
      </c>
      <c r="J544" s="1204" t="s">
        <v>4971</v>
      </c>
    </row>
    <row r="545" spans="1:10" x14ac:dyDescent="0.25">
      <c r="A545" s="585" t="str">
        <f>A544</f>
        <v/>
      </c>
      <c r="B545" s="254" t="str">
        <f>IF(LEN('Ch6'!H228)=0,"",'Ch6'!H228)</f>
        <v/>
      </c>
      <c r="C545" s="254" t="str">
        <f t="shared" si="9"/>
        <v/>
      </c>
      <c r="D545" s="139"/>
      <c r="E545" s="684"/>
      <c r="F545" s="669"/>
      <c r="G545" s="1761"/>
      <c r="H545" s="94"/>
      <c r="J545" s="1204"/>
    </row>
    <row r="546" spans="1:10" x14ac:dyDescent="0.25">
      <c r="A546" s="585" t="str">
        <f>IF(AND(LEN(H546)&gt;0,NOT(H546=FALSE)),"P","")</f>
        <v/>
      </c>
      <c r="B546" s="254" t="str">
        <f>IF(LEN('Ch6'!H229)=0,"",'Ch6'!H229)</f>
        <v/>
      </c>
      <c r="C546" s="254" t="str">
        <f t="shared" si="9"/>
        <v/>
      </c>
      <c r="D546" s="139"/>
      <c r="E546" s="691" t="s">
        <v>258</v>
      </c>
      <c r="F546" s="683"/>
      <c r="G546" s="280" t="s">
        <v>639</v>
      </c>
      <c r="H546" s="1313" t="str">
        <f>IF(LEN('Ch6'!W229)=0,"",'Ch6'!W229)</f>
        <v/>
      </c>
      <c r="J546" s="1204" t="s">
        <v>3892</v>
      </c>
    </row>
    <row r="547" spans="1:10" x14ac:dyDescent="0.25">
      <c r="A547" s="585" t="str">
        <f>IF(AND(LEN(H547)&gt;0,NOT(H547=FALSE)),"P","")</f>
        <v/>
      </c>
      <c r="B547" s="254" t="str">
        <f>IF(LEN('Ch6'!H230)=0,"",'Ch6'!H230)</f>
        <v/>
      </c>
      <c r="C547" s="254" t="str">
        <f t="shared" si="9"/>
        <v/>
      </c>
      <c r="D547" s="139"/>
      <c r="E547" s="667" t="s">
        <v>260</v>
      </c>
      <c r="F547" s="139"/>
      <c r="G547" s="1754" t="s">
        <v>640</v>
      </c>
      <c r="H547" s="1313" t="str">
        <f>IF(LEN('Ch6'!W230)=0,"",'Ch6'!W230)</f>
        <v/>
      </c>
      <c r="J547" s="1204" t="s">
        <v>4972</v>
      </c>
    </row>
    <row r="548" spans="1:10" x14ac:dyDescent="0.25">
      <c r="A548" s="585" t="str">
        <f>A547</f>
        <v/>
      </c>
      <c r="B548" s="254" t="str">
        <f>IF(LEN('Ch6'!H231)=0,"",'Ch6'!H231)</f>
        <v/>
      </c>
      <c r="C548" s="254" t="str">
        <f t="shared" si="9"/>
        <v/>
      </c>
      <c r="D548" s="139"/>
      <c r="E548" s="139"/>
      <c r="F548" s="139"/>
      <c r="G548" s="1754"/>
      <c r="H548" s="94"/>
      <c r="J548" s="1204"/>
    </row>
    <row r="549" spans="1:10" ht="15.75" thickBot="1" x14ac:dyDescent="0.3">
      <c r="A549" s="585" t="str">
        <f>A548</f>
        <v/>
      </c>
      <c r="B549" s="254" t="str">
        <f>IF(LEN('Ch6'!H232)=0,"",'Ch6'!H232)</f>
        <v/>
      </c>
      <c r="C549" s="254" t="str">
        <f t="shared" si="9"/>
        <v/>
      </c>
      <c r="D549" s="139"/>
      <c r="E549" s="139"/>
      <c r="F549" s="139"/>
      <c r="G549" s="1754"/>
      <c r="H549" s="94"/>
      <c r="J549" s="1204"/>
    </row>
    <row r="550" spans="1:10" ht="15.75" thickTop="1" x14ac:dyDescent="0.25">
      <c r="A550" s="585" t="str">
        <f>IF(AND(LEN(H550)&gt;0,NOT(H550=FALSE)),"P","")</f>
        <v/>
      </c>
      <c r="B550" s="254" t="str">
        <f>IF(LEN('Ch6'!H233)=0,"",'Ch6'!H233)</f>
        <v/>
      </c>
      <c r="C550" s="254" t="str">
        <f t="shared" si="9"/>
        <v/>
      </c>
      <c r="D550" s="106">
        <v>602.29999999999995</v>
      </c>
      <c r="E550" s="106"/>
      <c r="F550" s="106"/>
      <c r="G550" s="1781" t="s">
        <v>641</v>
      </c>
      <c r="H550" s="1313" t="str">
        <f>IF(LEN('Ch6'!W233)=0,"",'Ch6'!W233)</f>
        <v/>
      </c>
      <c r="I550" s="86">
        <f>'Ch6'!O233</f>
        <v>0</v>
      </c>
      <c r="J550" s="1204" t="s">
        <v>3892</v>
      </c>
    </row>
    <row r="551" spans="1:10" x14ac:dyDescent="0.25">
      <c r="A551" s="585" t="str">
        <f>A550</f>
        <v/>
      </c>
      <c r="B551" s="254" t="str">
        <f>IF(LEN('Ch6'!H234)=0,"",'Ch6'!H234)</f>
        <v/>
      </c>
      <c r="C551" s="254" t="str">
        <f t="shared" si="9"/>
        <v/>
      </c>
      <c r="D551" s="101"/>
      <c r="E551" s="101"/>
      <c r="F551" s="101"/>
      <c r="G551" s="1782"/>
      <c r="H551" s="94"/>
      <c r="J551" s="1204"/>
    </row>
    <row r="552" spans="1:10" ht="15.75" thickBot="1" x14ac:dyDescent="0.3">
      <c r="A552" s="585" t="str">
        <f>A551</f>
        <v/>
      </c>
      <c r="B552" s="254" t="str">
        <f>IF(LEN('Ch6'!H235)=0,"",'Ch6'!H235)</f>
        <v/>
      </c>
      <c r="C552" s="254" t="str">
        <f t="shared" si="9"/>
        <v/>
      </c>
      <c r="D552" s="101"/>
      <c r="E552" s="101"/>
      <c r="F552" s="101"/>
      <c r="G552" s="1782"/>
      <c r="H552" s="94"/>
      <c r="J552" s="1204"/>
    </row>
    <row r="553" spans="1:10" ht="15.75" thickTop="1" x14ac:dyDescent="0.25">
      <c r="A553" s="2363" t="str">
        <f>IF(COUNTIF(A554:A561,"P")&gt;0,"P","")</f>
        <v/>
      </c>
      <c r="B553" s="254" t="str">
        <f>IF(LEN('Ch6'!H236)=0,"",'Ch6'!H236)</f>
        <v/>
      </c>
      <c r="C553" s="254" t="str">
        <f t="shared" si="9"/>
        <v/>
      </c>
      <c r="D553" s="106">
        <v>602.4</v>
      </c>
      <c r="E553" s="106"/>
      <c r="F553" s="106"/>
      <c r="G553" s="1240" t="s">
        <v>642</v>
      </c>
      <c r="H553" s="94"/>
      <c r="J553" s="1204"/>
    </row>
    <row r="554" spans="1:10" x14ac:dyDescent="0.25">
      <c r="A554" s="585" t="str">
        <f>IF(AND(LEN(H554)&gt;0,NOT(H554=FALSE)),"P","")</f>
        <v/>
      </c>
      <c r="B554" s="254" t="str">
        <f>IF(LEN('Ch6'!H237)=0,"",'Ch6'!H237)</f>
        <v/>
      </c>
      <c r="C554" s="254" t="str">
        <f t="shared" si="9"/>
        <v/>
      </c>
      <c r="D554" s="101" t="s">
        <v>643</v>
      </c>
      <c r="E554" s="101"/>
      <c r="F554" s="101"/>
      <c r="G554" s="1782" t="s">
        <v>644</v>
      </c>
      <c r="H554" s="1313" t="str">
        <f>IF(LEN('Ch6'!W237)=0,"",'Ch6'!W237)</f>
        <v/>
      </c>
      <c r="J554" s="1204" t="s">
        <v>3892</v>
      </c>
    </row>
    <row r="555" spans="1:10" x14ac:dyDescent="0.25">
      <c r="A555" s="585" t="str">
        <f>A554</f>
        <v/>
      </c>
      <c r="B555" s="254" t="str">
        <f>IF(LEN('Ch6'!H238)=0,"",'Ch6'!H238)</f>
        <v/>
      </c>
      <c r="C555" s="254" t="str">
        <f t="shared" si="9"/>
        <v/>
      </c>
      <c r="D555" s="101"/>
      <c r="E555" s="101"/>
      <c r="F555" s="101"/>
      <c r="G555" s="1782"/>
      <c r="H555" s="94"/>
      <c r="J555" s="1204"/>
    </row>
    <row r="556" spans="1:10" x14ac:dyDescent="0.25">
      <c r="A556" s="585" t="str">
        <f>A555</f>
        <v/>
      </c>
      <c r="B556" s="254" t="str">
        <f>IF(LEN('Ch6'!H239)=0,"",'Ch6'!H239)</f>
        <v/>
      </c>
      <c r="C556" s="254" t="str">
        <f t="shared" si="9"/>
        <v/>
      </c>
      <c r="D556" s="101"/>
      <c r="E556" s="101"/>
      <c r="F556" s="101"/>
      <c r="G556" s="1782"/>
      <c r="H556" s="94"/>
      <c r="J556" s="1204"/>
    </row>
    <row r="557" spans="1:10" x14ac:dyDescent="0.25">
      <c r="A557" s="585" t="str">
        <f>A556</f>
        <v/>
      </c>
      <c r="B557" s="254" t="str">
        <f>IF(LEN('Ch6'!H240)=0,"",'Ch6'!H240)</f>
        <v/>
      </c>
      <c r="C557" s="254" t="str">
        <f t="shared" si="9"/>
        <v/>
      </c>
      <c r="D557" s="101"/>
      <c r="E557" s="101"/>
      <c r="F557" s="101"/>
      <c r="G557" s="1782"/>
      <c r="H557" s="94"/>
      <c r="J557" s="1204"/>
    </row>
    <row r="558" spans="1:10" x14ac:dyDescent="0.25">
      <c r="A558" s="585" t="str">
        <f>A557</f>
        <v/>
      </c>
      <c r="B558" s="254" t="str">
        <f>IF(LEN('Ch6'!H241)=0,"",'Ch6'!H241)</f>
        <v/>
      </c>
      <c r="C558" s="254" t="str">
        <f t="shared" si="9"/>
        <v/>
      </c>
      <c r="D558" s="669"/>
      <c r="E558" s="669"/>
      <c r="F558" s="669"/>
      <c r="G558" s="1843"/>
      <c r="H558" s="94"/>
      <c r="J558" s="1204"/>
    </row>
    <row r="559" spans="1:10" x14ac:dyDescent="0.25">
      <c r="A559" s="585" t="str">
        <f>IF(AND(LEN(H559)&gt;0,NOT(H559=FALSE)),"P","")</f>
        <v/>
      </c>
      <c r="B559" s="254" t="str">
        <f>IF(LEN('Ch6'!H242)=0,"",'Ch6'!H242)</f>
        <v/>
      </c>
      <c r="C559" s="254" t="str">
        <f t="shared" si="9"/>
        <v/>
      </c>
      <c r="D559" s="101" t="s">
        <v>645</v>
      </c>
      <c r="E559" s="101"/>
      <c r="F559" s="101"/>
      <c r="G559" s="1782" t="s">
        <v>646</v>
      </c>
      <c r="H559" s="1313" t="str">
        <f>IF(LEN('Ch6'!W242)=0,"",'Ch6'!W242)</f>
        <v/>
      </c>
      <c r="I559" s="86">
        <f>'Ch6'!O242</f>
        <v>0</v>
      </c>
      <c r="J559" s="1204" t="s">
        <v>3892</v>
      </c>
    </row>
    <row r="560" spans="1:10" x14ac:dyDescent="0.25">
      <c r="A560" s="585" t="str">
        <f>A559</f>
        <v/>
      </c>
      <c r="B560" s="254" t="str">
        <f>IF(LEN('Ch6'!H243)=0,"",'Ch6'!H243)</f>
        <v/>
      </c>
      <c r="C560" s="254" t="str">
        <f t="shared" si="9"/>
        <v/>
      </c>
      <c r="D560" s="669"/>
      <c r="E560" s="669"/>
      <c r="F560" s="669"/>
      <c r="G560" s="1843"/>
      <c r="H560" s="94"/>
      <c r="J560" s="1204"/>
    </row>
    <row r="561" spans="1:10" ht="15" customHeight="1" x14ac:dyDescent="0.25">
      <c r="A561" s="585" t="str">
        <f>IF(AND(LEN(H561)&gt;0,NOT(H561=FALSE)),"P","")</f>
        <v/>
      </c>
      <c r="B561" s="254" t="str">
        <f>IF(LEN('Ch6'!H244)=0,"",'Ch6'!H244)</f>
        <v/>
      </c>
      <c r="C561" s="254" t="str">
        <f t="shared" si="9"/>
        <v/>
      </c>
      <c r="D561" s="139" t="s">
        <v>647</v>
      </c>
      <c r="E561" s="139"/>
      <c r="F561" s="139"/>
      <c r="G561" s="1235" t="s">
        <v>648</v>
      </c>
      <c r="H561" s="1313" t="str">
        <f>IF(LEN('Ch6'!W244)=0,"",'Ch6'!W244)</f>
        <v/>
      </c>
      <c r="I561" s="86">
        <f>'Ch6'!O244</f>
        <v>0</v>
      </c>
      <c r="J561" s="1204" t="s">
        <v>3892</v>
      </c>
    </row>
    <row r="562" spans="1:10" ht="18.75" x14ac:dyDescent="0.25">
      <c r="A562" s="585" t="s">
        <v>3974</v>
      </c>
      <c r="B562" s="254" t="str">
        <f>IF(LEN('Ch6'!H245)=0,"",'Ch6'!H245)</f>
        <v/>
      </c>
      <c r="C562" s="254" t="str">
        <f t="shared" si="9"/>
        <v>P</v>
      </c>
      <c r="D562" s="1388" t="s">
        <v>649</v>
      </c>
      <c r="E562" s="1388"/>
      <c r="F562" s="1388"/>
      <c r="G562" s="1001"/>
      <c r="H562" s="94"/>
      <c r="J562" s="1204"/>
    </row>
    <row r="563" spans="1:10" x14ac:dyDescent="0.25">
      <c r="B563" s="254" t="str">
        <f>IF(LEN('Ch6'!H246)=0,"",'Ch6'!H246)</f>
        <v/>
      </c>
      <c r="C563" s="254" t="str">
        <f t="shared" si="9"/>
        <v/>
      </c>
      <c r="D563" s="667" t="s">
        <v>3983</v>
      </c>
      <c r="E563" s="139"/>
      <c r="F563" s="139"/>
      <c r="G563" s="1782" t="s">
        <v>650</v>
      </c>
      <c r="H563" s="94"/>
      <c r="J563" s="1204"/>
    </row>
    <row r="564" spans="1:10" ht="15.75" thickBot="1" x14ac:dyDescent="0.3">
      <c r="B564" s="254" t="str">
        <f>IF(LEN('Ch6'!H247)=0,"",'Ch6'!H247)</f>
        <v/>
      </c>
      <c r="C564" s="254" t="str">
        <f t="shared" si="9"/>
        <v/>
      </c>
      <c r="D564" s="139"/>
      <c r="E564" s="139"/>
      <c r="F564" s="139"/>
      <c r="G564" s="1782"/>
      <c r="H564" s="94"/>
      <c r="J564" s="1204"/>
    </row>
    <row r="565" spans="1:10" ht="15.75" thickTop="1" x14ac:dyDescent="0.25">
      <c r="A565" s="585" t="str">
        <f>IF(I565&gt;0,"P","")</f>
        <v/>
      </c>
      <c r="B565" s="254" t="str">
        <f>IF(LEN('Ch6'!H248)=0,"",'Ch6'!H248)</f>
        <v/>
      </c>
      <c r="C565" s="254" t="str">
        <f t="shared" si="9"/>
        <v/>
      </c>
      <c r="D565" s="106">
        <v>603.1</v>
      </c>
      <c r="E565" s="106"/>
      <c r="F565" s="106"/>
      <c r="G565" s="1781" t="s">
        <v>651</v>
      </c>
      <c r="H565" s="1313" t="str">
        <f>IF(LEN('Ch6'!W248)=0,"",'Ch6'!W248)</f>
        <v/>
      </c>
      <c r="I565" s="86">
        <f>'Ch6'!O248</f>
        <v>0</v>
      </c>
      <c r="J565" s="1950" t="s">
        <v>3903</v>
      </c>
    </row>
    <row r="566" spans="1:10" x14ac:dyDescent="0.25">
      <c r="A566" s="585" t="str">
        <f>A565</f>
        <v/>
      </c>
      <c r="B566" s="254" t="str">
        <f>IF(LEN('Ch6'!H249)=0,"",'Ch6'!H249)</f>
        <v/>
      </c>
      <c r="C566" s="254" t="str">
        <f t="shared" si="9"/>
        <v/>
      </c>
      <c r="D566" s="101"/>
      <c r="E566" s="101"/>
      <c r="F566" s="101"/>
      <c r="G566" s="1782"/>
      <c r="H566" s="94"/>
      <c r="J566" s="1954"/>
    </row>
    <row r="567" spans="1:10" x14ac:dyDescent="0.25">
      <c r="A567" s="585" t="str">
        <f>A566</f>
        <v/>
      </c>
      <c r="B567" s="254" t="str">
        <f>IF(LEN('Ch6'!H250)=0,"",'Ch6'!H250)</f>
        <v/>
      </c>
      <c r="C567" s="254" t="str">
        <f t="shared" si="9"/>
        <v/>
      </c>
      <c r="D567" s="101"/>
      <c r="E567" s="101"/>
      <c r="F567" s="101"/>
      <c r="G567" s="1232" t="s">
        <v>652</v>
      </c>
      <c r="H567" s="94"/>
      <c r="J567" s="1951"/>
    </row>
    <row r="568" spans="1:10" x14ac:dyDescent="0.25">
      <c r="B568" s="254" t="str">
        <f>IF(LEN('Ch6'!H251)=0,"",'Ch6'!H251)</f>
        <v/>
      </c>
      <c r="C568" s="254" t="str">
        <f t="shared" si="9"/>
        <v/>
      </c>
      <c r="D568" s="101"/>
      <c r="E568" s="101"/>
      <c r="F568" s="101"/>
      <c r="G568" s="1959" t="s">
        <v>3055</v>
      </c>
      <c r="H568" s="94"/>
      <c r="J568" s="1204"/>
    </row>
    <row r="569" spans="1:10" x14ac:dyDescent="0.25">
      <c r="B569" s="254" t="str">
        <f>IF(LEN('Ch6'!H252)=0,"",'Ch6'!H252)</f>
        <v/>
      </c>
      <c r="C569" s="254" t="str">
        <f t="shared" si="9"/>
        <v/>
      </c>
      <c r="D569" s="101"/>
      <c r="E569" s="101"/>
      <c r="F569" s="101"/>
      <c r="G569" s="1960"/>
      <c r="H569" s="94"/>
      <c r="J569" s="1204"/>
    </row>
    <row r="570" spans="1:10" ht="15.75" thickBot="1" x14ac:dyDescent="0.3">
      <c r="B570" s="254" t="str">
        <f>IF(LEN('Ch6'!H253)=0,"",'Ch6'!H253)</f>
        <v/>
      </c>
      <c r="C570" s="254" t="str">
        <f t="shared" si="9"/>
        <v/>
      </c>
      <c r="D570" s="101"/>
      <c r="E570" s="101"/>
      <c r="F570" s="101"/>
      <c r="G570" s="1960"/>
      <c r="H570" s="94"/>
      <c r="J570" s="1204"/>
    </row>
    <row r="571" spans="1:10" ht="15.75" thickTop="1" x14ac:dyDescent="0.25">
      <c r="A571" s="585" t="str">
        <f>IF(I571&gt;0,"P","")</f>
        <v/>
      </c>
      <c r="B571" s="254" t="str">
        <f>IF(LEN('Ch6'!H254)=0,"",'Ch6'!H254)</f>
        <v/>
      </c>
      <c r="C571" s="254" t="str">
        <f t="shared" si="9"/>
        <v/>
      </c>
      <c r="D571" s="106">
        <v>603.20000000000005</v>
      </c>
      <c r="E571" s="106"/>
      <c r="F571" s="106"/>
      <c r="G571" s="1781" t="s">
        <v>653</v>
      </c>
      <c r="H571" s="1313" t="str">
        <f>IF(LEN('Ch6'!W254)=0,"",'Ch6'!W254)</f>
        <v/>
      </c>
      <c r="I571" s="86">
        <f>'Ch6'!O254</f>
        <v>0</v>
      </c>
      <c r="J571" s="1950" t="s">
        <v>4973</v>
      </c>
    </row>
    <row r="572" spans="1:10" x14ac:dyDescent="0.25">
      <c r="A572" s="585" t="str">
        <f>A571</f>
        <v/>
      </c>
      <c r="B572" s="254" t="str">
        <f>IF(LEN('Ch6'!H255)=0,"",'Ch6'!H255)</f>
        <v/>
      </c>
      <c r="C572" s="254" t="str">
        <f t="shared" si="9"/>
        <v/>
      </c>
      <c r="D572" s="101"/>
      <c r="E572" s="101"/>
      <c r="F572" s="101"/>
      <c r="G572" s="1782"/>
      <c r="H572" s="94"/>
      <c r="J572" s="1951"/>
    </row>
    <row r="573" spans="1:10" x14ac:dyDescent="0.25">
      <c r="A573" s="585" t="str">
        <f>A572</f>
        <v/>
      </c>
      <c r="B573" s="254" t="str">
        <f>IF(LEN('Ch6'!H256)=0,"",'Ch6'!H256)</f>
        <v/>
      </c>
      <c r="C573" s="254" t="str">
        <f t="shared" si="9"/>
        <v/>
      </c>
      <c r="D573" s="101"/>
      <c r="E573" s="101"/>
      <c r="F573" s="101"/>
      <c r="G573" s="1782"/>
      <c r="H573" s="94"/>
      <c r="J573" s="1204"/>
    </row>
    <row r="574" spans="1:10" ht="15" customHeight="1" x14ac:dyDescent="0.25">
      <c r="B574" s="254" t="str">
        <f>IF(LEN('Ch6'!H257)=0,"",'Ch6'!H257)</f>
        <v/>
      </c>
      <c r="C574" s="254" t="str">
        <f t="shared" si="9"/>
        <v/>
      </c>
      <c r="D574" s="101"/>
      <c r="E574" s="101"/>
      <c r="F574" s="101"/>
      <c r="G574" s="1245" t="s">
        <v>3057</v>
      </c>
      <c r="H574" s="94"/>
      <c r="J574" s="1204"/>
    </row>
    <row r="575" spans="1:10" x14ac:dyDescent="0.25">
      <c r="B575" s="254" t="str">
        <f>IF(LEN('Ch6'!H258)=0,"",'Ch6'!H258)</f>
        <v/>
      </c>
      <c r="C575" s="254" t="str">
        <f t="shared" si="9"/>
        <v/>
      </c>
      <c r="D575" s="101"/>
      <c r="E575" s="101"/>
      <c r="F575" s="101"/>
      <c r="G575" s="1959" t="s">
        <v>3055</v>
      </c>
      <c r="H575" s="94"/>
      <c r="J575" s="1204"/>
    </row>
    <row r="576" spans="1:10" x14ac:dyDescent="0.25">
      <c r="B576" s="254" t="str">
        <f>IF(LEN('Ch6'!H259)=0,"",'Ch6'!H259)</f>
        <v/>
      </c>
      <c r="C576" s="254" t="str">
        <f t="shared" si="9"/>
        <v/>
      </c>
      <c r="D576" s="101"/>
      <c r="E576" s="101"/>
      <c r="F576" s="101"/>
      <c r="G576" s="1960"/>
      <c r="H576" s="94"/>
      <c r="J576" s="1204"/>
    </row>
    <row r="577" spans="1:10" ht="15.75" thickBot="1" x14ac:dyDescent="0.3">
      <c r="B577" s="254" t="str">
        <f>IF(LEN('Ch6'!H260)=0,"",'Ch6'!H260)</f>
        <v/>
      </c>
      <c r="C577" s="254" t="str">
        <f t="shared" si="9"/>
        <v/>
      </c>
      <c r="D577" s="101"/>
      <c r="E577" s="101"/>
      <c r="F577" s="101"/>
      <c r="G577" s="1960"/>
      <c r="H577" s="94"/>
      <c r="J577" s="1204"/>
    </row>
    <row r="578" spans="1:10" ht="15.75" thickTop="1" x14ac:dyDescent="0.25">
      <c r="A578" s="585" t="str">
        <f>IF(I578&gt;0,"P","")</f>
        <v/>
      </c>
      <c r="B578" s="254" t="str">
        <f>IF(LEN('Ch6'!H261)=0,"",'Ch6'!H261)</f>
        <v/>
      </c>
      <c r="C578" s="254" t="str">
        <f t="shared" si="9"/>
        <v/>
      </c>
      <c r="D578" s="106">
        <v>603.29999999999995</v>
      </c>
      <c r="E578" s="106"/>
      <c r="F578" s="106"/>
      <c r="G578" s="1781" t="s">
        <v>654</v>
      </c>
      <c r="H578" s="1313" t="str">
        <f>IF(LEN('Ch6'!W261)=0,"",'Ch6'!W261)</f>
        <v/>
      </c>
      <c r="I578" s="86">
        <f>'Ch6'!O261</f>
        <v>0</v>
      </c>
      <c r="J578" s="1204" t="s">
        <v>3892</v>
      </c>
    </row>
    <row r="579" spans="1:10" x14ac:dyDescent="0.25">
      <c r="A579" s="585" t="str">
        <f>A578</f>
        <v/>
      </c>
      <c r="B579" s="254" t="str">
        <f>IF(LEN('Ch6'!H262)=0,"",'Ch6'!H262)</f>
        <v/>
      </c>
      <c r="C579" s="254" t="str">
        <f t="shared" si="9"/>
        <v/>
      </c>
      <c r="D579" s="101"/>
      <c r="E579" s="101"/>
      <c r="F579" s="101"/>
      <c r="G579" s="1782"/>
      <c r="H579" s="94"/>
      <c r="J579" s="1204"/>
    </row>
    <row r="580" spans="1:10" ht="15" customHeight="1" x14ac:dyDescent="0.25">
      <c r="B580" s="254" t="str">
        <f>IF(LEN('Ch6'!H263)=0,"",'Ch6'!H263)</f>
        <v/>
      </c>
      <c r="C580" s="254" t="str">
        <f t="shared" si="9"/>
        <v/>
      </c>
      <c r="D580" s="101"/>
      <c r="E580" s="101"/>
      <c r="F580" s="101"/>
      <c r="G580" s="1315" t="s">
        <v>3053</v>
      </c>
      <c r="H580" s="94"/>
      <c r="J580" s="1204"/>
    </row>
    <row r="581" spans="1:10" ht="18.75" x14ac:dyDescent="0.25">
      <c r="A581" s="585" t="s">
        <v>3974</v>
      </c>
      <c r="B581" s="254" t="str">
        <f>IF(LEN('Ch6'!H264)=0,"",'Ch6'!H264)</f>
        <v/>
      </c>
      <c r="C581" s="254" t="str">
        <f t="shared" si="9"/>
        <v>P</v>
      </c>
      <c r="D581" s="1388" t="s">
        <v>655</v>
      </c>
      <c r="E581" s="1388"/>
      <c r="F581" s="1388"/>
      <c r="G581" s="1001"/>
      <c r="H581" s="94"/>
      <c r="J581" s="1204"/>
    </row>
    <row r="582" spans="1:10" x14ac:dyDescent="0.25">
      <c r="A582" s="585" t="str">
        <f>IF(I582&gt;0,"P","")</f>
        <v/>
      </c>
      <c r="B582" s="254" t="str">
        <f>IF(LEN('Ch6'!H265)=0,"",'Ch6'!H265)</f>
        <v/>
      </c>
      <c r="C582" s="254" t="str">
        <f t="shared" si="9"/>
        <v/>
      </c>
      <c r="D582" s="139">
        <v>604.1</v>
      </c>
      <c r="E582" s="139"/>
      <c r="F582" s="139"/>
      <c r="G582" s="1782" t="s">
        <v>656</v>
      </c>
      <c r="H582" s="94"/>
      <c r="I582" s="86">
        <f>'Ch6'!O265</f>
        <v>0</v>
      </c>
      <c r="J582" s="1950" t="s">
        <v>3904</v>
      </c>
    </row>
    <row r="583" spans="1:10" x14ac:dyDescent="0.25">
      <c r="A583" s="585" t="str">
        <f>A582</f>
        <v/>
      </c>
      <c r="B583" s="254" t="str">
        <f>IF(LEN('Ch6'!H266)=0,"",'Ch6'!H266)</f>
        <v/>
      </c>
      <c r="C583" s="254" t="str">
        <f t="shared" si="9"/>
        <v/>
      </c>
      <c r="D583" s="139"/>
      <c r="E583" s="139"/>
      <c r="F583" s="139"/>
      <c r="G583" s="1782"/>
      <c r="H583" s="1313" t="str">
        <f>IF(LEN('Ch6'!W266)=0,"",'Ch6'!W266)</f>
        <v/>
      </c>
      <c r="J583" s="1951"/>
    </row>
    <row r="584" spans="1:10" x14ac:dyDescent="0.25">
      <c r="B584" s="254" t="str">
        <f>IF(LEN('Ch6'!H267)=0,"",'Ch6'!H267)</f>
        <v/>
      </c>
      <c r="C584" s="254" t="str">
        <f t="shared" ref="C584:C647" si="10">IF(LEN(B584)=0,IF(A584="P","P",""),B584)</f>
        <v/>
      </c>
      <c r="D584" s="139"/>
      <c r="E584" s="139"/>
      <c r="F584" s="139"/>
      <c r="G584" s="1315" t="s">
        <v>3067</v>
      </c>
      <c r="H584" s="94"/>
      <c r="J584" s="1204"/>
    </row>
    <row r="585" spans="1:10" x14ac:dyDescent="0.25">
      <c r="B585" s="254" t="str">
        <f>IF(LEN('Ch6'!H268)=0,"",'Ch6'!H268)</f>
        <v/>
      </c>
      <c r="C585" s="254" t="str">
        <f t="shared" si="10"/>
        <v/>
      </c>
      <c r="D585" s="139"/>
      <c r="E585" s="139"/>
      <c r="F585" s="139"/>
      <c r="G585" s="1321" t="s">
        <v>3064</v>
      </c>
      <c r="H585" s="1313" t="str">
        <f>IF(LEN('Ch6'!W268)=0,"",'Ch6'!W268)</f>
        <v/>
      </c>
      <c r="J585" s="1204"/>
    </row>
    <row r="586" spans="1:10" x14ac:dyDescent="0.25">
      <c r="B586" s="254" t="str">
        <f>IF(LEN('Ch6'!H269)=0,"",'Ch6'!H269)</f>
        <v/>
      </c>
      <c r="C586" s="254" t="str">
        <f t="shared" si="10"/>
        <v/>
      </c>
      <c r="D586" s="139"/>
      <c r="E586" s="139"/>
      <c r="F586" s="139"/>
      <c r="G586" s="1958" t="s">
        <v>3066</v>
      </c>
      <c r="H586" s="94"/>
      <c r="J586" s="1204"/>
    </row>
    <row r="587" spans="1:10" x14ac:dyDescent="0.25">
      <c r="B587" s="254" t="str">
        <f>IF(LEN('Ch6'!H270)=0,"",'Ch6'!H270)</f>
        <v/>
      </c>
      <c r="C587" s="254" t="str">
        <f t="shared" si="10"/>
        <v/>
      </c>
      <c r="D587" s="139"/>
      <c r="E587" s="139"/>
      <c r="F587" s="139"/>
      <c r="G587" s="1958"/>
      <c r="H587" s="1313" t="str">
        <f>IF(LEN('Ch6'!W270)=0,"",'Ch6'!W270)</f>
        <v/>
      </c>
      <c r="J587" s="1204"/>
    </row>
    <row r="588" spans="1:10" x14ac:dyDescent="0.25">
      <c r="B588" s="254" t="str">
        <f>IF(LEN('Ch6'!H271)=0,"",'Ch6'!H271)</f>
        <v/>
      </c>
      <c r="C588" s="254" t="str">
        <f t="shared" si="10"/>
        <v/>
      </c>
      <c r="D588" s="139"/>
      <c r="E588" s="139"/>
      <c r="F588" s="139"/>
      <c r="G588" s="1230"/>
      <c r="H588" s="94"/>
      <c r="J588" s="1204"/>
    </row>
    <row r="589" spans="1:10" x14ac:dyDescent="0.25">
      <c r="B589" s="254" t="str">
        <f>IF(LEN('Ch6'!H272)=0,"",'Ch6'!H272)</f>
        <v/>
      </c>
      <c r="C589" s="254" t="str">
        <f t="shared" si="10"/>
        <v/>
      </c>
      <c r="D589" s="139"/>
      <c r="E589" s="139"/>
      <c r="F589" s="139"/>
      <c r="G589" s="1230"/>
      <c r="H589" s="1313" t="str">
        <f>IF(LEN('Ch6'!W272)=0,"",'Ch6'!W272)</f>
        <v/>
      </c>
      <c r="J589" s="1204"/>
    </row>
    <row r="590" spans="1:10" ht="18.75" x14ac:dyDescent="0.25">
      <c r="A590" s="585" t="s">
        <v>3974</v>
      </c>
      <c r="B590" s="254" t="str">
        <f>IF(LEN('Ch6'!H273)=0,"",'Ch6'!H273)</f>
        <v/>
      </c>
      <c r="C590" s="254" t="str">
        <f t="shared" si="10"/>
        <v>P</v>
      </c>
      <c r="D590" s="1388" t="s">
        <v>657</v>
      </c>
      <c r="E590" s="1388"/>
      <c r="F590" s="1388"/>
      <c r="G590" s="1316"/>
      <c r="H590" s="94"/>
      <c r="J590" s="1204"/>
    </row>
    <row r="591" spans="1:10" ht="15.75" thickBot="1" x14ac:dyDescent="0.3">
      <c r="B591" s="254" t="str">
        <f>IF(LEN('Ch6'!H274)=0,"",'Ch6'!H274)</f>
        <v/>
      </c>
      <c r="C591" s="254" t="str">
        <f t="shared" si="10"/>
        <v/>
      </c>
      <c r="D591" s="667" t="s">
        <v>3982</v>
      </c>
      <c r="E591" s="670"/>
      <c r="F591" s="670"/>
      <c r="G591" s="1226" t="s">
        <v>4170</v>
      </c>
      <c r="H591" s="94"/>
      <c r="J591" s="1204"/>
    </row>
    <row r="592" spans="1:10" ht="15.75" thickTop="1" x14ac:dyDescent="0.25">
      <c r="B592" s="254" t="str">
        <f>IF(LEN('Ch6'!H275)=0,"",'Ch6'!H275)</f>
        <v/>
      </c>
      <c r="C592" s="254" t="str">
        <f t="shared" si="10"/>
        <v/>
      </c>
      <c r="D592" s="106">
        <v>605.1</v>
      </c>
      <c r="E592" s="139"/>
      <c r="F592" s="139"/>
      <c r="G592" s="1877" t="s">
        <v>4171</v>
      </c>
      <c r="H592" s="1313" t="str">
        <f>IF(LEN('Ch6'!W275)=0,"",'Ch6'!W275)</f>
        <v/>
      </c>
      <c r="J592" s="1204"/>
    </row>
    <row r="593" spans="1:10" x14ac:dyDescent="0.25">
      <c r="B593" s="254" t="str">
        <f>IF(LEN('Ch6'!H276)=0,"",'Ch6'!H276)</f>
        <v/>
      </c>
      <c r="C593" s="254" t="str">
        <f t="shared" si="10"/>
        <v/>
      </c>
      <c r="D593" s="667"/>
      <c r="E593" s="139"/>
      <c r="F593" s="139"/>
      <c r="G593" s="1877"/>
      <c r="H593" s="94"/>
      <c r="J593" s="1204"/>
    </row>
    <row r="594" spans="1:10" ht="15.75" thickBot="1" x14ac:dyDescent="0.3">
      <c r="B594" s="254" t="str">
        <f>IF(LEN('Ch6'!H277)=0,"",'Ch6'!H277)</f>
        <v/>
      </c>
      <c r="C594" s="254" t="str">
        <f t="shared" si="10"/>
        <v/>
      </c>
      <c r="D594" s="667"/>
      <c r="E594" s="139"/>
      <c r="F594" s="139"/>
      <c r="G594" s="1877"/>
      <c r="H594" s="94"/>
      <c r="J594" s="1204"/>
    </row>
    <row r="595" spans="1:10" ht="15.75" thickTop="1" x14ac:dyDescent="0.25">
      <c r="A595" s="585" t="str">
        <f>IF(I595&gt;0,"P","")</f>
        <v/>
      </c>
      <c r="B595" s="254" t="str">
        <f>IF(LEN('Ch6'!H278)=0,"",'Ch6'!H278)</f>
        <v/>
      </c>
      <c r="C595" s="254" t="str">
        <f t="shared" si="10"/>
        <v/>
      </c>
      <c r="D595" s="106">
        <v>605.20000000000005</v>
      </c>
      <c r="E595" s="106"/>
      <c r="F595" s="106"/>
      <c r="G595" s="1781" t="s">
        <v>4172</v>
      </c>
      <c r="H595" s="1313" t="str">
        <f>IF(LEN('Ch6'!W278)=0,"",'Ch6'!W278)</f>
        <v/>
      </c>
      <c r="I595" s="86">
        <f>'Ch6'!O278</f>
        <v>0</v>
      </c>
      <c r="J595" s="1950" t="s">
        <v>3905</v>
      </c>
    </row>
    <row r="596" spans="1:10" x14ac:dyDescent="0.25">
      <c r="A596" s="585" t="str">
        <f>A595</f>
        <v/>
      </c>
      <c r="B596" s="254" t="str">
        <f>IF(LEN('Ch6'!H279)=0,"",'Ch6'!H279)</f>
        <v/>
      </c>
      <c r="C596" s="254" t="str">
        <f t="shared" si="10"/>
        <v/>
      </c>
      <c r="D596" s="139"/>
      <c r="E596" s="139"/>
      <c r="F596" s="139"/>
      <c r="G596" s="1782"/>
      <c r="H596" s="94"/>
      <c r="J596" s="1951"/>
    </row>
    <row r="597" spans="1:10" x14ac:dyDescent="0.25">
      <c r="A597" s="585" t="str">
        <f>A596</f>
        <v/>
      </c>
      <c r="B597" s="254" t="str">
        <f>IF(LEN('Ch6'!H280)=0,"",'Ch6'!H280)</f>
        <v/>
      </c>
      <c r="C597" s="254" t="str">
        <f t="shared" si="10"/>
        <v/>
      </c>
      <c r="D597" s="139"/>
      <c r="E597" s="139"/>
      <c r="F597" s="139"/>
      <c r="G597" s="1782"/>
      <c r="H597" s="94"/>
      <c r="J597" s="1204"/>
    </row>
    <row r="598" spans="1:10" x14ac:dyDescent="0.25">
      <c r="A598" s="585" t="str">
        <f>A597</f>
        <v/>
      </c>
      <c r="B598" s="254" t="str">
        <f>IF(LEN('Ch6'!H281)=0,"",'Ch6'!H281)</f>
        <v/>
      </c>
      <c r="C598" s="254" t="str">
        <f t="shared" si="10"/>
        <v/>
      </c>
      <c r="D598" s="139"/>
      <c r="E598" s="139"/>
      <c r="F598" s="139"/>
      <c r="G598" s="1782"/>
      <c r="H598" s="94"/>
      <c r="J598" s="1204"/>
    </row>
    <row r="599" spans="1:10" x14ac:dyDescent="0.25">
      <c r="A599" s="585" t="str">
        <f>A598</f>
        <v/>
      </c>
      <c r="B599" s="254" t="str">
        <f>IF(LEN('Ch6'!H282)=0,"",'Ch6'!H282)</f>
        <v/>
      </c>
      <c r="C599" s="254" t="str">
        <f t="shared" si="10"/>
        <v/>
      </c>
      <c r="D599" s="139"/>
      <c r="E599" s="139"/>
      <c r="F599" s="139"/>
      <c r="G599" s="1782"/>
      <c r="H599" s="94"/>
      <c r="J599" s="1204"/>
    </row>
    <row r="600" spans="1:10" x14ac:dyDescent="0.25">
      <c r="A600" s="585" t="str">
        <f>A599</f>
        <v/>
      </c>
      <c r="B600" s="254" t="str">
        <f>IF(LEN('Ch6'!H283)=0,"",'Ch6'!H283)</f>
        <v/>
      </c>
      <c r="C600" s="254" t="str">
        <f t="shared" si="10"/>
        <v/>
      </c>
      <c r="D600" s="139"/>
      <c r="E600" s="139"/>
      <c r="F600" s="139"/>
      <c r="G600" s="1782"/>
      <c r="H600" s="94"/>
      <c r="J600" s="1204"/>
    </row>
    <row r="601" spans="1:10" x14ac:dyDescent="0.25">
      <c r="B601" s="254" t="str">
        <f>IF(LEN('Ch6'!H284)=0,"",'Ch6'!H284)</f>
        <v/>
      </c>
      <c r="C601" s="254" t="str">
        <f t="shared" si="10"/>
        <v/>
      </c>
      <c r="D601" s="101"/>
      <c r="E601" s="101"/>
      <c r="F601" s="101"/>
      <c r="G601" s="1754" t="s">
        <v>4176</v>
      </c>
      <c r="H601" s="94"/>
      <c r="J601" s="1204"/>
    </row>
    <row r="602" spans="1:10" x14ac:dyDescent="0.25">
      <c r="B602" s="254" t="str">
        <f>IF(LEN('Ch6'!H285)=0,"",'Ch6'!H285)</f>
        <v/>
      </c>
      <c r="C602" s="254" t="str">
        <f t="shared" si="10"/>
        <v/>
      </c>
      <c r="D602" s="101"/>
      <c r="E602" s="101"/>
      <c r="F602" s="101"/>
      <c r="G602" s="1754"/>
      <c r="H602" s="94"/>
      <c r="J602" s="1204"/>
    </row>
    <row r="603" spans="1:10" x14ac:dyDescent="0.25">
      <c r="B603" s="254" t="str">
        <f>IF(LEN('Ch6'!H286)=0,"",'Ch6'!H286)</f>
        <v/>
      </c>
      <c r="C603" s="254" t="str">
        <f t="shared" si="10"/>
        <v/>
      </c>
      <c r="D603" s="101"/>
      <c r="E603" s="101"/>
      <c r="F603" s="101"/>
      <c r="G603" s="1754"/>
      <c r="H603" s="94"/>
      <c r="J603" s="1204"/>
    </row>
    <row r="604" spans="1:10" x14ac:dyDescent="0.25">
      <c r="B604" s="254" t="str">
        <f>IF(LEN('Ch6'!H287)=0,"",'Ch6'!H287)</f>
        <v/>
      </c>
      <c r="C604" s="254" t="str">
        <f t="shared" si="10"/>
        <v/>
      </c>
      <c r="D604" s="101"/>
      <c r="E604" s="101"/>
      <c r="F604" s="101"/>
      <c r="G604" s="1754"/>
      <c r="H604" s="94"/>
      <c r="J604" s="1204"/>
    </row>
    <row r="605" spans="1:10" x14ac:dyDescent="0.25">
      <c r="B605" s="254" t="str">
        <f>IF(LEN('Ch6'!H288)=0,"",'Ch6'!H288)</f>
        <v/>
      </c>
      <c r="C605" s="254" t="str">
        <f t="shared" si="10"/>
        <v/>
      </c>
      <c r="D605" s="101"/>
      <c r="E605" s="101"/>
      <c r="F605" s="101"/>
      <c r="G605" s="1235" t="s">
        <v>658</v>
      </c>
      <c r="H605" s="94"/>
      <c r="J605" s="1204"/>
    </row>
    <row r="606" spans="1:10" x14ac:dyDescent="0.25">
      <c r="B606" s="254" t="str">
        <f>IF(LEN('Ch6'!H289)=0,"",'Ch6'!H289)</f>
        <v/>
      </c>
      <c r="C606" s="254" t="str">
        <f t="shared" si="10"/>
        <v/>
      </c>
      <c r="D606" s="101"/>
      <c r="E606" s="668" t="s">
        <v>256</v>
      </c>
      <c r="F606" s="101"/>
      <c r="G606" s="1754" t="s">
        <v>4177</v>
      </c>
      <c r="H606" s="94"/>
      <c r="J606" s="1204"/>
    </row>
    <row r="607" spans="1:10" x14ac:dyDescent="0.25">
      <c r="B607" s="254" t="str">
        <f>IF(LEN('Ch6'!H290)=0,"",'Ch6'!H290)</f>
        <v/>
      </c>
      <c r="C607" s="254" t="str">
        <f t="shared" si="10"/>
        <v/>
      </c>
      <c r="D607" s="101"/>
      <c r="E607" s="101"/>
      <c r="F607" s="101"/>
      <c r="G607" s="1754"/>
      <c r="H607" s="94"/>
      <c r="J607" s="1204"/>
    </row>
    <row r="608" spans="1:10" x14ac:dyDescent="0.25">
      <c r="B608" s="254" t="str">
        <f>IF(LEN('Ch6'!H291)=0,"",'Ch6'!H291)</f>
        <v/>
      </c>
      <c r="C608" s="254" t="str">
        <f t="shared" si="10"/>
        <v/>
      </c>
      <c r="D608" s="101"/>
      <c r="E608" s="668" t="s">
        <v>258</v>
      </c>
      <c r="F608" s="101"/>
      <c r="G608" s="1754" t="s">
        <v>659</v>
      </c>
      <c r="H608" s="1313" t="str">
        <f>IF(LEN('Ch6'!W291)=0,"",'Ch6'!W291)</f>
        <v/>
      </c>
      <c r="J608" s="1204"/>
    </row>
    <row r="609" spans="1:10" ht="15.75" thickBot="1" x14ac:dyDescent="0.3">
      <c r="B609" s="254" t="str">
        <f>IF(LEN('Ch6'!H292)=0,"",'Ch6'!H292)</f>
        <v/>
      </c>
      <c r="C609" s="254" t="str">
        <f t="shared" si="10"/>
        <v/>
      </c>
      <c r="D609" s="101"/>
      <c r="E609" s="101"/>
      <c r="F609" s="101"/>
      <c r="G609" s="1754"/>
      <c r="H609" s="94"/>
      <c r="J609" s="1204"/>
    </row>
    <row r="610" spans="1:10" ht="15.75" thickTop="1" x14ac:dyDescent="0.25">
      <c r="A610" s="585" t="str">
        <f>IF(I610&gt;0,"P","")</f>
        <v/>
      </c>
      <c r="B610" s="254" t="str">
        <f>IF(LEN('Ch6'!H293)=0,"",'Ch6'!H293)</f>
        <v/>
      </c>
      <c r="C610" s="254" t="str">
        <f t="shared" si="10"/>
        <v/>
      </c>
      <c r="D610" s="106">
        <v>605.29999999999995</v>
      </c>
      <c r="E610" s="106"/>
      <c r="F610" s="106"/>
      <c r="G610" s="1781" t="s">
        <v>4173</v>
      </c>
      <c r="H610" s="1313" t="str">
        <f>IF(LEN('Ch6'!W293)=0,"",'Ch6'!W293)</f>
        <v/>
      </c>
      <c r="I610" s="86">
        <f>'Ch6'!O293</f>
        <v>0</v>
      </c>
      <c r="J610" s="1950" t="s">
        <v>3906</v>
      </c>
    </row>
    <row r="611" spans="1:10" x14ac:dyDescent="0.25">
      <c r="A611" s="585" t="str">
        <f>A610</f>
        <v/>
      </c>
      <c r="B611" s="254" t="str">
        <f>IF(LEN('Ch6'!H294)=0,"",'Ch6'!H294)</f>
        <v/>
      </c>
      <c r="C611" s="254" t="str">
        <f t="shared" si="10"/>
        <v/>
      </c>
      <c r="D611" s="139"/>
      <c r="E611" s="139"/>
      <c r="F611" s="139"/>
      <c r="G611" s="1782"/>
      <c r="H611" s="94"/>
      <c r="J611" s="1951"/>
    </row>
    <row r="612" spans="1:10" x14ac:dyDescent="0.25">
      <c r="B612" s="254" t="str">
        <f>IF(LEN('Ch6'!H295)=0,"",'Ch6'!H295)</f>
        <v/>
      </c>
      <c r="C612" s="254" t="str">
        <f t="shared" si="10"/>
        <v/>
      </c>
      <c r="D612" s="101"/>
      <c r="E612" s="101"/>
      <c r="F612" s="668" t="s">
        <v>121</v>
      </c>
      <c r="G612" s="1754" t="s">
        <v>660</v>
      </c>
      <c r="H612" s="94"/>
      <c r="J612" s="1204"/>
    </row>
    <row r="613" spans="1:10" x14ac:dyDescent="0.25">
      <c r="B613" s="254" t="str">
        <f>IF(LEN('Ch6'!H296)=0,"",'Ch6'!H296)</f>
        <v/>
      </c>
      <c r="C613" s="254" t="str">
        <f t="shared" si="10"/>
        <v/>
      </c>
      <c r="D613" s="101"/>
      <c r="E613" s="101"/>
      <c r="F613" s="101"/>
      <c r="G613" s="1754"/>
      <c r="H613" s="94"/>
      <c r="J613" s="1204"/>
    </row>
    <row r="614" spans="1:10" x14ac:dyDescent="0.25">
      <c r="B614" s="254" t="str">
        <f>IF(LEN('Ch6'!H297)=0,"",'Ch6'!H297)</f>
        <v/>
      </c>
      <c r="C614" s="254" t="str">
        <f t="shared" si="10"/>
        <v/>
      </c>
      <c r="D614" s="101"/>
      <c r="E614" s="101"/>
      <c r="F614" s="669"/>
      <c r="G614" s="1755"/>
      <c r="H614" s="94"/>
      <c r="J614" s="1204"/>
    </row>
    <row r="615" spans="1:10" x14ac:dyDescent="0.25">
      <c r="B615" s="254" t="str">
        <f>IF(LEN('Ch6'!H298)=0,"",'Ch6'!H298)</f>
        <v/>
      </c>
      <c r="C615" s="254" t="str">
        <f t="shared" si="10"/>
        <v/>
      </c>
      <c r="D615" s="101"/>
      <c r="E615" s="101"/>
      <c r="F615" s="691" t="s">
        <v>122</v>
      </c>
      <c r="G615" s="280" t="s">
        <v>661</v>
      </c>
      <c r="H615" s="94"/>
      <c r="J615" s="1204"/>
    </row>
    <row r="616" spans="1:10" x14ac:dyDescent="0.25">
      <c r="B616" s="254" t="str">
        <f>IF(LEN('Ch6'!H299)=0,"",'Ch6'!H299)</f>
        <v/>
      </c>
      <c r="C616" s="254" t="str">
        <f t="shared" si="10"/>
        <v/>
      </c>
      <c r="D616" s="101"/>
      <c r="E616" s="101"/>
      <c r="F616" s="689" t="s">
        <v>123</v>
      </c>
      <c r="G616" s="1754" t="s">
        <v>662</v>
      </c>
      <c r="H616" s="94"/>
      <c r="J616" s="1204"/>
    </row>
    <row r="617" spans="1:10" x14ac:dyDescent="0.25">
      <c r="B617" s="254" t="str">
        <f>IF(LEN('Ch6'!H300)=0,"",'Ch6'!H300)</f>
        <v/>
      </c>
      <c r="C617" s="254" t="str">
        <f t="shared" si="10"/>
        <v/>
      </c>
      <c r="D617" s="101"/>
      <c r="E617" s="101"/>
      <c r="F617" s="101"/>
      <c r="G617" s="1754"/>
      <c r="H617" s="94"/>
      <c r="J617" s="1204"/>
    </row>
    <row r="618" spans="1:10" ht="15.75" thickBot="1" x14ac:dyDescent="0.3">
      <c r="B618" s="254" t="str">
        <f>IF(LEN('Ch6'!H301)=0,"",'Ch6'!H301)</f>
        <v/>
      </c>
      <c r="C618" s="254" t="str">
        <f t="shared" si="10"/>
        <v/>
      </c>
      <c r="D618" s="101"/>
      <c r="E618" s="101"/>
      <c r="F618" s="101"/>
      <c r="G618" s="1754"/>
      <c r="H618" s="94"/>
      <c r="J618" s="1204"/>
    </row>
    <row r="619" spans="1:10" ht="15.75" thickTop="1" x14ac:dyDescent="0.25">
      <c r="A619" s="585" t="str">
        <f>IF(I619&gt;0,"P","")</f>
        <v/>
      </c>
      <c r="B619" s="254" t="str">
        <f>IF(LEN('Ch6'!H302)=0,"",'Ch6'!H302)</f>
        <v/>
      </c>
      <c r="C619" s="254" t="str">
        <f t="shared" si="10"/>
        <v/>
      </c>
      <c r="D619" s="106">
        <v>605.4</v>
      </c>
      <c r="E619" s="106"/>
      <c r="F619" s="106"/>
      <c r="G619" s="1781" t="s">
        <v>4174</v>
      </c>
      <c r="H619" s="94"/>
      <c r="I619" s="86">
        <f>'Ch6'!O302</f>
        <v>0</v>
      </c>
      <c r="J619" s="1950" t="s">
        <v>3907</v>
      </c>
    </row>
    <row r="620" spans="1:10" x14ac:dyDescent="0.25">
      <c r="A620" s="585" t="str">
        <f>A619</f>
        <v/>
      </c>
      <c r="B620" s="254" t="str">
        <f>IF(LEN('Ch6'!H303)=0,"",'Ch6'!H303)</f>
        <v/>
      </c>
      <c r="C620" s="254" t="str">
        <f t="shared" si="10"/>
        <v/>
      </c>
      <c r="D620" s="139"/>
      <c r="E620" s="139"/>
      <c r="F620" s="139"/>
      <c r="G620" s="1782"/>
      <c r="H620" s="94"/>
      <c r="J620" s="1951"/>
    </row>
    <row r="621" spans="1:10" x14ac:dyDescent="0.25">
      <c r="B621" s="254" t="str">
        <f>IF(LEN('Ch6'!H304)=0,"",'Ch6'!H304)</f>
        <v/>
      </c>
      <c r="C621" s="254" t="str">
        <f t="shared" si="10"/>
        <v/>
      </c>
      <c r="D621" s="139"/>
      <c r="E621" s="684" t="s">
        <v>256</v>
      </c>
      <c r="F621" s="669"/>
      <c r="G621" s="1215" t="s">
        <v>664</v>
      </c>
      <c r="H621" s="94"/>
      <c r="J621" s="1204"/>
    </row>
    <row r="622" spans="1:10" x14ac:dyDescent="0.25">
      <c r="B622" s="254" t="str">
        <f>IF(LEN('Ch6'!H305)=0,"",'Ch6'!H305)</f>
        <v/>
      </c>
      <c r="C622" s="254" t="str">
        <f t="shared" si="10"/>
        <v/>
      </c>
      <c r="D622" s="139"/>
      <c r="E622" s="667" t="s">
        <v>258</v>
      </c>
      <c r="F622" s="139"/>
      <c r="G622" s="1225" t="s">
        <v>665</v>
      </c>
      <c r="H622" s="94"/>
      <c r="J622" s="1204"/>
    </row>
    <row r="623" spans="1:10" x14ac:dyDescent="0.25">
      <c r="B623" s="254" t="str">
        <f>IF(LEN('Ch6'!H306)=0,"",'Ch6'!H306)</f>
        <v/>
      </c>
      <c r="C623" s="254" t="str">
        <f t="shared" si="10"/>
        <v/>
      </c>
      <c r="D623" s="139"/>
      <c r="E623" s="139"/>
      <c r="F623" s="684" t="s">
        <v>121</v>
      </c>
      <c r="G623" s="1215" t="s">
        <v>3068</v>
      </c>
      <c r="H623" s="1313" t="str">
        <f>IF(LEN('Ch6'!W306)=0,"",'Ch6'!W306)</f>
        <v/>
      </c>
      <c r="J623" s="1204"/>
    </row>
    <row r="624" spans="1:10" x14ac:dyDescent="0.25">
      <c r="B624" s="254" t="str">
        <f>IF(LEN('Ch6'!H307)=0,"",'Ch6'!H307)</f>
        <v/>
      </c>
      <c r="C624" s="254" t="str">
        <f t="shared" si="10"/>
        <v/>
      </c>
      <c r="D624" s="139"/>
      <c r="E624" s="139"/>
      <c r="F624" s="691" t="s">
        <v>122</v>
      </c>
      <c r="G624" s="280" t="s">
        <v>3069</v>
      </c>
      <c r="H624" s="1313" t="str">
        <f>IF(LEN('Ch6'!W307)=0,"",'Ch6'!W307)</f>
        <v/>
      </c>
      <c r="J624" s="1204"/>
    </row>
    <row r="625" spans="1:10" x14ac:dyDescent="0.25">
      <c r="B625" s="254" t="str">
        <f>IF(LEN('Ch6'!H308)=0,"",'Ch6'!H308)</f>
        <v/>
      </c>
      <c r="C625" s="254" t="str">
        <f t="shared" si="10"/>
        <v/>
      </c>
      <c r="D625" s="139"/>
      <c r="E625" s="139"/>
      <c r="F625" s="694" t="s">
        <v>123</v>
      </c>
      <c r="G625" s="280" t="s">
        <v>3070</v>
      </c>
      <c r="H625" s="1313" t="str">
        <f>IF(LEN('Ch6'!W308)=0,"",'Ch6'!W308)</f>
        <v/>
      </c>
      <c r="J625" s="1204"/>
    </row>
    <row r="626" spans="1:10" x14ac:dyDescent="0.25">
      <c r="B626" s="254" t="str">
        <f>IF(LEN('Ch6'!H309)=0,"",'Ch6'!H309)</f>
        <v/>
      </c>
      <c r="C626" s="254" t="str">
        <f t="shared" si="10"/>
        <v/>
      </c>
      <c r="D626" s="139"/>
      <c r="E626" s="139"/>
      <c r="F626" s="683" t="s">
        <v>401</v>
      </c>
      <c r="G626" s="280" t="s">
        <v>3071</v>
      </c>
      <c r="H626" s="1313" t="str">
        <f>IF(LEN('Ch6'!W309)=0,"",'Ch6'!W309)</f>
        <v/>
      </c>
      <c r="J626" s="1204"/>
    </row>
    <row r="627" spans="1:10" x14ac:dyDescent="0.25">
      <c r="B627" s="254" t="str">
        <f>IF(LEN('Ch6'!H310)=0,"",'Ch6'!H310)</f>
        <v/>
      </c>
      <c r="C627" s="254" t="str">
        <f t="shared" si="10"/>
        <v/>
      </c>
      <c r="D627" s="139"/>
      <c r="E627" s="139"/>
      <c r="F627" s="691" t="s">
        <v>539</v>
      </c>
      <c r="G627" s="280" t="s">
        <v>3072</v>
      </c>
      <c r="H627" s="1313" t="str">
        <f>IF(LEN('Ch6'!W310)=0,"",'Ch6'!W310)</f>
        <v/>
      </c>
      <c r="J627" s="1204"/>
    </row>
    <row r="628" spans="1:10" x14ac:dyDescent="0.25">
      <c r="B628" s="254" t="str">
        <f>IF(LEN('Ch6'!H311)=0,"",'Ch6'!H311)</f>
        <v/>
      </c>
      <c r="C628" s="254" t="str">
        <f t="shared" si="10"/>
        <v/>
      </c>
      <c r="D628" s="139"/>
      <c r="E628" s="139"/>
      <c r="F628" s="691" t="s">
        <v>604</v>
      </c>
      <c r="G628" s="280" t="s">
        <v>3073</v>
      </c>
      <c r="H628" s="1313" t="str">
        <f>IF(LEN('Ch6'!W311)=0,"",'Ch6'!W311)</f>
        <v/>
      </c>
      <c r="J628" s="1204"/>
    </row>
    <row r="629" spans="1:10" x14ac:dyDescent="0.25">
      <c r="B629" s="254" t="str">
        <f>IF(LEN('Ch6'!H312)=0,"",'Ch6'!H312)</f>
        <v/>
      </c>
      <c r="C629" s="254" t="str">
        <f t="shared" si="10"/>
        <v/>
      </c>
      <c r="D629" s="139"/>
      <c r="E629" s="139"/>
      <c r="F629" s="694" t="s">
        <v>606</v>
      </c>
      <c r="G629" s="280" t="s">
        <v>3074</v>
      </c>
      <c r="H629" s="1313" t="str">
        <f>IF(LEN('Ch6'!W312)=0,"",'Ch6'!W312)</f>
        <v/>
      </c>
      <c r="J629" s="1204"/>
    </row>
    <row r="630" spans="1:10" x14ac:dyDescent="0.25">
      <c r="B630" s="254" t="str">
        <f>IF(LEN('Ch6'!H313)=0,"",'Ch6'!H313)</f>
        <v/>
      </c>
      <c r="C630" s="254" t="str">
        <f t="shared" si="10"/>
        <v/>
      </c>
      <c r="D630" s="139"/>
      <c r="F630" s="683" t="s">
        <v>608</v>
      </c>
      <c r="G630" s="280" t="s">
        <v>3075</v>
      </c>
      <c r="H630" s="1313" t="str">
        <f>IF(LEN('Ch6'!W313)=0,"",'Ch6'!W313)</f>
        <v/>
      </c>
      <c r="J630" s="1204"/>
    </row>
    <row r="631" spans="1:10" x14ac:dyDescent="0.25">
      <c r="B631" s="254" t="str">
        <f>IF(LEN('Ch6'!H314)=0,"",'Ch6'!H314)</f>
        <v/>
      </c>
      <c r="C631" s="254" t="str">
        <f t="shared" si="10"/>
        <v/>
      </c>
      <c r="D631" s="139"/>
      <c r="F631" s="139" t="s">
        <v>844</v>
      </c>
      <c r="G631" s="1225" t="s">
        <v>3075</v>
      </c>
      <c r="H631" s="1313" t="str">
        <f>IF(LEN('Ch6'!W314)=0,"",'Ch6'!W314)</f>
        <v/>
      </c>
      <c r="J631" s="1204"/>
    </row>
    <row r="632" spans="1:10" x14ac:dyDescent="0.25">
      <c r="B632" s="254" t="str">
        <f>IF(LEN('Ch6'!H315)=0,"",'Ch6'!H315)</f>
        <v/>
      </c>
      <c r="C632" s="254" t="str">
        <f t="shared" si="10"/>
        <v/>
      </c>
      <c r="D632" s="139"/>
      <c r="F632" s="139"/>
      <c r="G632" s="1315" t="s">
        <v>3076</v>
      </c>
      <c r="H632" s="94"/>
      <c r="J632" s="1204"/>
    </row>
    <row r="633" spans="1:10" ht="18.75" x14ac:dyDescent="0.25">
      <c r="A633" s="585" t="s">
        <v>3974</v>
      </c>
      <c r="B633" s="254" t="str">
        <f>IF(LEN('Ch6'!H316)=0,"",'Ch6'!H316)</f>
        <v/>
      </c>
      <c r="C633" s="254" t="str">
        <f t="shared" si="10"/>
        <v>P</v>
      </c>
      <c r="D633" s="1388" t="s">
        <v>666</v>
      </c>
      <c r="E633" s="1388"/>
      <c r="F633" s="1388"/>
      <c r="G633" s="1001"/>
      <c r="H633" s="94"/>
      <c r="J633" s="1204"/>
    </row>
    <row r="634" spans="1:10" ht="15.75" thickBot="1" x14ac:dyDescent="0.3">
      <c r="B634" s="254" t="str">
        <f>IF(LEN('Ch6'!H317)=0,"",'Ch6'!H317)</f>
        <v/>
      </c>
      <c r="C634" s="254" t="str">
        <f t="shared" si="10"/>
        <v/>
      </c>
      <c r="D634" s="667" t="s">
        <v>3981</v>
      </c>
      <c r="E634" s="139"/>
      <c r="F634" s="139"/>
      <c r="G634" s="1235" t="s">
        <v>667</v>
      </c>
      <c r="H634" s="94"/>
      <c r="J634" s="1204"/>
    </row>
    <row r="635" spans="1:10" ht="15.75" thickTop="1" x14ac:dyDescent="0.25">
      <c r="A635" s="585" t="str">
        <f ca="1">IF(I635&gt;0,"P","")</f>
        <v/>
      </c>
      <c r="B635" s="254" t="str">
        <f>IF(LEN('Ch6'!H318)=0,"",'Ch6'!H318)</f>
        <v/>
      </c>
      <c r="C635" s="254" t="str">
        <f t="shared" ca="1" si="10"/>
        <v/>
      </c>
      <c r="D635" s="106">
        <v>606.1</v>
      </c>
      <c r="E635" s="106"/>
      <c r="F635" s="106"/>
      <c r="G635" s="1240" t="s">
        <v>668</v>
      </c>
      <c r="H635" s="94"/>
      <c r="I635" s="86">
        <f ca="1">'Ch6'!O318</f>
        <v>0</v>
      </c>
      <c r="J635" s="1950" t="s">
        <v>3908</v>
      </c>
    </row>
    <row r="636" spans="1:10" x14ac:dyDescent="0.25">
      <c r="A636" s="585" t="str">
        <f ca="1">A635</f>
        <v/>
      </c>
      <c r="B636" s="254" t="str">
        <f>IF(LEN('Ch6'!H319)=0,"",'Ch6'!H319)</f>
        <v/>
      </c>
      <c r="C636" s="254" t="str">
        <f t="shared" ca="1" si="10"/>
        <v/>
      </c>
      <c r="D636" s="101"/>
      <c r="E636" s="101"/>
      <c r="F636" s="668" t="s">
        <v>121</v>
      </c>
      <c r="G636" s="1225" t="s">
        <v>669</v>
      </c>
      <c r="H636" s="1313" t="str">
        <f>IF(LEN('Ch6'!W319)=0,"",'Ch6'!W319)</f>
        <v/>
      </c>
      <c r="J636" s="1951"/>
    </row>
    <row r="637" spans="1:10" x14ac:dyDescent="0.25">
      <c r="B637" s="254" t="str">
        <f>IF(LEN('Ch6'!H320)=0,"",'Ch6'!H320)</f>
        <v/>
      </c>
      <c r="C637" s="254" t="str">
        <f t="shared" si="10"/>
        <v/>
      </c>
      <c r="D637" s="101"/>
      <c r="E637" s="101"/>
      <c r="F637" s="668" t="s">
        <v>122</v>
      </c>
      <c r="G637" s="1225" t="s">
        <v>670</v>
      </c>
      <c r="H637" s="1313" t="str">
        <f>IF(LEN('Ch6'!W320)=0,"",'Ch6'!W320)</f>
        <v/>
      </c>
      <c r="J637" s="1204"/>
    </row>
    <row r="638" spans="1:10" x14ac:dyDescent="0.25">
      <c r="B638" s="254" t="str">
        <f>IF(LEN('Ch6'!H321)=0,"",'Ch6'!H321)</f>
        <v/>
      </c>
      <c r="C638" s="254" t="str">
        <f t="shared" si="10"/>
        <v/>
      </c>
      <c r="D638" s="101"/>
      <c r="E638" s="101"/>
      <c r="F638" s="689" t="s">
        <v>123</v>
      </c>
      <c r="G638" s="1225" t="s">
        <v>671</v>
      </c>
      <c r="H638" s="1313" t="str">
        <f>IF(LEN('Ch6'!W321)=0,"",'Ch6'!W321)</f>
        <v/>
      </c>
      <c r="J638" s="1204"/>
    </row>
    <row r="639" spans="1:10" x14ac:dyDescent="0.25">
      <c r="B639" s="254" t="str">
        <f>IF(LEN('Ch6'!H322)=0,"",'Ch6'!H322)</f>
        <v/>
      </c>
      <c r="C639" s="254" t="str">
        <f t="shared" si="10"/>
        <v/>
      </c>
      <c r="D639" s="101"/>
      <c r="E639" s="101"/>
      <c r="F639" s="101" t="s">
        <v>401</v>
      </c>
      <c r="G639" s="1225" t="s">
        <v>672</v>
      </c>
      <c r="H639" s="1313" t="str">
        <f>IF(LEN('Ch6'!W322)=0,"",'Ch6'!W322)</f>
        <v/>
      </c>
      <c r="J639" s="1204"/>
    </row>
    <row r="640" spans="1:10" x14ac:dyDescent="0.25">
      <c r="B640" s="254" t="str">
        <f>IF(LEN('Ch6'!H323)=0,"",'Ch6'!H323)</f>
        <v/>
      </c>
      <c r="C640" s="254" t="str">
        <f t="shared" si="10"/>
        <v/>
      </c>
      <c r="D640" s="101"/>
      <c r="E640" s="101"/>
      <c r="F640" s="668" t="s">
        <v>539</v>
      </c>
      <c r="G640" s="1225" t="s">
        <v>673</v>
      </c>
      <c r="H640" s="1313" t="str">
        <f>IF(LEN('Ch6'!W323)=0,"",'Ch6'!W323)</f>
        <v/>
      </c>
      <c r="J640" s="1204"/>
    </row>
    <row r="641" spans="1:10" x14ac:dyDescent="0.25">
      <c r="B641" s="254" t="str">
        <f>IF(LEN('Ch6'!H324)=0,"",'Ch6'!H324)</f>
        <v/>
      </c>
      <c r="C641" s="254" t="str">
        <f t="shared" si="10"/>
        <v/>
      </c>
      <c r="D641" s="101"/>
      <c r="E641" s="101"/>
      <c r="F641" s="668" t="s">
        <v>604</v>
      </c>
      <c r="G641" s="1225" t="s">
        <v>674</v>
      </c>
      <c r="H641" s="1313" t="str">
        <f>IF(LEN('Ch6'!W324)=0,"",'Ch6'!W324)</f>
        <v/>
      </c>
      <c r="J641" s="1204"/>
    </row>
    <row r="642" spans="1:10" x14ac:dyDescent="0.25">
      <c r="B642" s="254" t="str">
        <f>IF(LEN('Ch6'!H325)=0,"",'Ch6'!H325)</f>
        <v/>
      </c>
      <c r="C642" s="254" t="str">
        <f t="shared" si="10"/>
        <v/>
      </c>
      <c r="D642" s="101"/>
      <c r="E642" s="101"/>
      <c r="F642" s="689" t="s">
        <v>606</v>
      </c>
      <c r="G642" s="1225" t="s">
        <v>675</v>
      </c>
      <c r="H642" s="1313" t="str">
        <f>IF(LEN('Ch6'!W325)=0,"",'Ch6'!W325)</f>
        <v/>
      </c>
      <c r="J642" s="1204"/>
    </row>
    <row r="643" spans="1:10" x14ac:dyDescent="0.25">
      <c r="B643" s="254" t="str">
        <f>IF(LEN('Ch6'!H326)=0,"",'Ch6'!H326)</f>
        <v/>
      </c>
      <c r="C643" s="254" t="str">
        <f t="shared" si="10"/>
        <v/>
      </c>
      <c r="D643" s="101"/>
      <c r="E643" s="101"/>
      <c r="F643" s="101" t="s">
        <v>608</v>
      </c>
      <c r="G643" s="1754" t="s">
        <v>676</v>
      </c>
      <c r="H643" s="1313" t="str">
        <f>IF(LEN('Ch6'!W326)=0,"",'Ch6'!W326)</f>
        <v/>
      </c>
      <c r="J643" s="1204"/>
    </row>
    <row r="644" spans="1:10" x14ac:dyDescent="0.25">
      <c r="B644" s="254" t="str">
        <f>IF(LEN('Ch6'!H327)=0,"",'Ch6'!H327)</f>
        <v/>
      </c>
      <c r="C644" s="254" t="str">
        <f t="shared" si="10"/>
        <v/>
      </c>
      <c r="D644" s="101"/>
      <c r="E644" s="101"/>
      <c r="F644" s="101"/>
      <c r="G644" s="1754"/>
      <c r="H644" s="94"/>
      <c r="J644" s="1204"/>
    </row>
    <row r="645" spans="1:10" x14ac:dyDescent="0.25">
      <c r="B645" s="254" t="str">
        <f>IF(LEN('Ch6'!H328)=0,"",'Ch6'!H328)</f>
        <v/>
      </c>
      <c r="C645" s="254" t="str">
        <f t="shared" si="10"/>
        <v/>
      </c>
      <c r="D645" s="101"/>
      <c r="E645" s="101"/>
      <c r="F645" s="101"/>
      <c r="G645" s="1315" t="s">
        <v>1106</v>
      </c>
      <c r="H645" s="94"/>
      <c r="J645" s="1204"/>
    </row>
    <row r="646" spans="1:10" x14ac:dyDescent="0.25">
      <c r="B646" s="254" t="str">
        <f>IF(LEN('Ch6'!H329)=0,"",'Ch6'!H329)</f>
        <v/>
      </c>
      <c r="C646" s="254" t="str">
        <f t="shared" si="10"/>
        <v/>
      </c>
      <c r="D646" s="101"/>
      <c r="E646" s="668" t="s">
        <v>256</v>
      </c>
      <c r="F646" s="101"/>
      <c r="G646" s="1754" t="s">
        <v>677</v>
      </c>
      <c r="H646" s="94"/>
      <c r="J646" s="1204"/>
    </row>
    <row r="647" spans="1:10" x14ac:dyDescent="0.25">
      <c r="B647" s="254" t="str">
        <f>IF(LEN('Ch6'!H330)=0,"",'Ch6'!H330)</f>
        <v/>
      </c>
      <c r="C647" s="254" t="str">
        <f t="shared" si="10"/>
        <v/>
      </c>
      <c r="D647" s="101"/>
      <c r="E647" s="669"/>
      <c r="F647" s="669"/>
      <c r="G647" s="1755"/>
      <c r="H647" s="94"/>
      <c r="J647" s="1204"/>
    </row>
    <row r="648" spans="1:10" x14ac:dyDescent="0.25">
      <c r="B648" s="254" t="str">
        <f>IF(LEN('Ch6'!H331)=0,"",'Ch6'!H331)</f>
        <v/>
      </c>
      <c r="C648" s="254" t="str">
        <f t="shared" ref="C648:C711" si="11">IF(LEN(B648)=0,IF(A648="P","P",""),B648)</f>
        <v/>
      </c>
      <c r="D648" s="101"/>
      <c r="E648" s="693" t="s">
        <v>258</v>
      </c>
      <c r="F648" s="671"/>
      <c r="G648" s="1778" t="s">
        <v>678</v>
      </c>
      <c r="H648" s="94"/>
      <c r="J648" s="1204"/>
    </row>
    <row r="649" spans="1:10" x14ac:dyDescent="0.25">
      <c r="B649" s="254" t="str">
        <f>IF(LEN('Ch6'!H332)=0,"",'Ch6'!H332)</f>
        <v/>
      </c>
      <c r="C649" s="254" t="str">
        <f t="shared" si="11"/>
        <v/>
      </c>
      <c r="D649" s="101"/>
      <c r="E649" s="669"/>
      <c r="F649" s="669"/>
      <c r="G649" s="1755"/>
      <c r="H649" s="94"/>
      <c r="J649" s="1204"/>
    </row>
    <row r="650" spans="1:10" x14ac:dyDescent="0.25">
      <c r="B650" s="254" t="str">
        <f>IF(LEN('Ch6'!H333)=0,"",'Ch6'!H333)</f>
        <v/>
      </c>
      <c r="C650" s="254" t="str">
        <f t="shared" si="11"/>
        <v/>
      </c>
      <c r="D650" s="101"/>
      <c r="E650" s="668" t="s">
        <v>260</v>
      </c>
      <c r="F650" s="101"/>
      <c r="G650" s="1754" t="s">
        <v>679</v>
      </c>
      <c r="H650" s="94"/>
      <c r="J650" s="1204"/>
    </row>
    <row r="651" spans="1:10" ht="15.75" thickBot="1" x14ac:dyDescent="0.3">
      <c r="B651" s="254" t="str">
        <f>IF(LEN('Ch6'!H334)=0,"",'Ch6'!H334)</f>
        <v/>
      </c>
      <c r="C651" s="254" t="str">
        <f t="shared" si="11"/>
        <v/>
      </c>
      <c r="D651" s="101"/>
      <c r="E651" s="101"/>
      <c r="F651" s="101"/>
      <c r="G651" s="1754"/>
      <c r="H651" s="94"/>
      <c r="J651" s="1204"/>
    </row>
    <row r="652" spans="1:10" ht="15.75" thickTop="1" x14ac:dyDescent="0.25">
      <c r="A652" s="585" t="str">
        <f>IF(I652&gt;0,"P","")</f>
        <v/>
      </c>
      <c r="B652" s="254" t="str">
        <f>IF(LEN('Ch6'!H335)=0,"",'Ch6'!H335)</f>
        <v/>
      </c>
      <c r="C652" s="254" t="str">
        <f t="shared" si="11"/>
        <v/>
      </c>
      <c r="D652" s="106">
        <v>606.20000000000005</v>
      </c>
      <c r="E652" s="106"/>
      <c r="F652" s="106"/>
      <c r="G652" s="1781" t="s">
        <v>4182</v>
      </c>
      <c r="H652" s="94"/>
      <c r="I652" s="706">
        <f>SUM(I667:I670)</f>
        <v>0</v>
      </c>
      <c r="J652" s="1204" t="s">
        <v>3909</v>
      </c>
    </row>
    <row r="653" spans="1:10" x14ac:dyDescent="0.25">
      <c r="A653" s="585" t="str">
        <f>A652</f>
        <v/>
      </c>
      <c r="B653" s="254" t="str">
        <f>IF(LEN('Ch6'!H336)=0,"",'Ch6'!H336)</f>
        <v/>
      </c>
      <c r="C653" s="254" t="str">
        <f t="shared" si="11"/>
        <v/>
      </c>
      <c r="D653" s="101"/>
      <c r="E653" s="101"/>
      <c r="F653" s="139"/>
      <c r="G653" s="1782"/>
      <c r="H653" s="94"/>
      <c r="J653" s="1204"/>
    </row>
    <row r="654" spans="1:10" x14ac:dyDescent="0.25">
      <c r="B654" s="254" t="str">
        <f>IF(LEN('Ch6'!H337)=0,"",'Ch6'!H337)</f>
        <v/>
      </c>
      <c r="C654" s="254" t="str">
        <f t="shared" si="11"/>
        <v/>
      </c>
      <c r="D654" s="139"/>
      <c r="E654" s="139"/>
      <c r="F654" s="667" t="s">
        <v>121</v>
      </c>
      <c r="G654" s="1225" t="s">
        <v>680</v>
      </c>
      <c r="H654" s="94"/>
      <c r="J654" s="1204"/>
    </row>
    <row r="655" spans="1:10" x14ac:dyDescent="0.25">
      <c r="B655" s="254" t="str">
        <f>IF(LEN('Ch6'!H338)=0,"",'Ch6'!H338)</f>
        <v/>
      </c>
      <c r="C655" s="254" t="str">
        <f t="shared" si="11"/>
        <v/>
      </c>
      <c r="D655" s="139"/>
      <c r="E655" s="139"/>
      <c r="F655" s="667" t="s">
        <v>122</v>
      </c>
      <c r="G655" s="1754" t="s">
        <v>681</v>
      </c>
      <c r="H655" s="94"/>
      <c r="J655" s="1204"/>
    </row>
    <row r="656" spans="1:10" x14ac:dyDescent="0.25">
      <c r="B656" s="254" t="str">
        <f>IF(LEN('Ch6'!H339)=0,"",'Ch6'!H339)</f>
        <v/>
      </c>
      <c r="C656" s="254" t="str">
        <f t="shared" si="11"/>
        <v/>
      </c>
      <c r="D656" s="139"/>
      <c r="E656" s="139"/>
      <c r="F656" s="667"/>
      <c r="G656" s="1754"/>
      <c r="H656" s="94"/>
      <c r="J656" s="1204"/>
    </row>
    <row r="657" spans="2:10" x14ac:dyDescent="0.25">
      <c r="B657" s="254" t="str">
        <f>IF(LEN('Ch6'!H340)=0,"",'Ch6'!H340)</f>
        <v/>
      </c>
      <c r="C657" s="254" t="str">
        <f t="shared" si="11"/>
        <v/>
      </c>
      <c r="D657" s="139"/>
      <c r="E657" s="139"/>
      <c r="F657" s="667" t="s">
        <v>123</v>
      </c>
      <c r="G657" s="1322" t="s">
        <v>682</v>
      </c>
      <c r="H657" s="94"/>
      <c r="J657" s="1204"/>
    </row>
    <row r="658" spans="2:10" x14ac:dyDescent="0.25">
      <c r="B658" s="254" t="str">
        <f>IF(LEN('Ch6'!H341)=0,"",'Ch6'!H341)</f>
        <v/>
      </c>
      <c r="C658" s="254" t="str">
        <f t="shared" si="11"/>
        <v/>
      </c>
      <c r="D658" s="139"/>
      <c r="E658" s="139"/>
      <c r="F658" s="685" t="s">
        <v>401</v>
      </c>
      <c r="G658" s="1322" t="s">
        <v>683</v>
      </c>
      <c r="H658" s="94"/>
      <c r="J658" s="1204"/>
    </row>
    <row r="659" spans="2:10" x14ac:dyDescent="0.25">
      <c r="B659" s="254" t="str">
        <f>IF(LEN('Ch6'!H342)=0,"",'Ch6'!H342)</f>
        <v/>
      </c>
      <c r="C659" s="254" t="str">
        <f t="shared" si="11"/>
        <v/>
      </c>
      <c r="D659" s="139"/>
      <c r="E659" s="139"/>
      <c r="F659" s="139" t="s">
        <v>539</v>
      </c>
      <c r="G659" s="1322" t="s">
        <v>684</v>
      </c>
      <c r="H659" s="94"/>
      <c r="J659" s="1204"/>
    </row>
    <row r="660" spans="2:10" x14ac:dyDescent="0.25">
      <c r="B660" s="254" t="str">
        <f>IF(LEN('Ch6'!H343)=0,"",'Ch6'!H343)</f>
        <v/>
      </c>
      <c r="C660" s="254" t="str">
        <f t="shared" si="11"/>
        <v/>
      </c>
      <c r="D660" s="139"/>
      <c r="E660" s="139"/>
      <c r="F660" s="667" t="s">
        <v>604</v>
      </c>
      <c r="G660" s="1225" t="s">
        <v>685</v>
      </c>
      <c r="H660" s="94"/>
      <c r="J660" s="1204"/>
    </row>
    <row r="661" spans="2:10" x14ac:dyDescent="0.25">
      <c r="B661" s="254" t="str">
        <f>IF(LEN('Ch6'!H344)=0,"",'Ch6'!H344)</f>
        <v/>
      </c>
      <c r="C661" s="254" t="str">
        <f t="shared" si="11"/>
        <v/>
      </c>
      <c r="D661" s="139"/>
      <c r="E661" s="139"/>
      <c r="F661" s="667" t="s">
        <v>606</v>
      </c>
      <c r="G661" s="1225" t="s">
        <v>686</v>
      </c>
      <c r="H661" s="94"/>
      <c r="J661" s="1204"/>
    </row>
    <row r="662" spans="2:10" x14ac:dyDescent="0.25">
      <c r="B662" s="254" t="str">
        <f>IF(LEN('Ch6'!H345)=0,"",'Ch6'!H345)</f>
        <v/>
      </c>
      <c r="C662" s="254" t="str">
        <f t="shared" si="11"/>
        <v/>
      </c>
      <c r="D662" s="139"/>
      <c r="E662" s="139"/>
      <c r="F662" s="667" t="s">
        <v>608</v>
      </c>
      <c r="G662" s="1765" t="s">
        <v>4178</v>
      </c>
      <c r="H662" s="94"/>
      <c r="J662" s="1204"/>
    </row>
    <row r="663" spans="2:10" x14ac:dyDescent="0.25">
      <c r="B663" s="254" t="str">
        <f>IF(LEN('Ch6'!H346)=0,"",'Ch6'!H346)</f>
        <v/>
      </c>
      <c r="C663" s="254" t="str">
        <f t="shared" si="11"/>
        <v/>
      </c>
      <c r="D663" s="139"/>
      <c r="E663" s="139"/>
      <c r="F663" s="667"/>
      <c r="G663" s="1765"/>
      <c r="H663" s="94"/>
      <c r="J663" s="1204"/>
    </row>
    <row r="664" spans="2:10" x14ac:dyDescent="0.25">
      <c r="B664" s="254" t="str">
        <f>IF(LEN('Ch6'!H347)=0,"",'Ch6'!H347)</f>
        <v/>
      </c>
      <c r="C664" s="254" t="str">
        <f t="shared" si="11"/>
        <v/>
      </c>
      <c r="D664" s="139"/>
      <c r="E664" s="139"/>
      <c r="F664" s="667"/>
      <c r="G664" s="1765"/>
      <c r="H664" s="94"/>
      <c r="J664" s="1204"/>
    </row>
    <row r="665" spans="2:10" x14ac:dyDescent="0.25">
      <c r="B665" s="254" t="str">
        <f>IF(LEN('Ch6'!H348)=0,"",'Ch6'!H348)</f>
        <v/>
      </c>
      <c r="C665" s="254" t="str">
        <f t="shared" si="11"/>
        <v/>
      </c>
      <c r="D665" s="139"/>
      <c r="E665" s="139"/>
      <c r="F665" s="667"/>
      <c r="G665" s="1765"/>
      <c r="H665" s="94"/>
      <c r="J665" s="1204"/>
    </row>
    <row r="666" spans="2:10" x14ac:dyDescent="0.25">
      <c r="B666" s="254" t="str">
        <f>IF(LEN('Ch6'!H349)=0,"",'Ch6'!H349)</f>
        <v/>
      </c>
      <c r="C666" s="254" t="str">
        <f t="shared" si="11"/>
        <v/>
      </c>
      <c r="D666" s="139"/>
      <c r="E666" s="139"/>
      <c r="F666" s="667"/>
      <c r="G666" s="1765"/>
      <c r="H666" s="94"/>
      <c r="J666" s="1204"/>
    </row>
    <row r="667" spans="2:10" x14ac:dyDescent="0.25">
      <c r="B667" s="254" t="str">
        <f>IF(LEN('Ch6'!H350)=0,"",'Ch6'!H350)</f>
        <v/>
      </c>
      <c r="C667" s="254" t="str">
        <f t="shared" si="11"/>
        <v/>
      </c>
      <c r="D667" s="139"/>
      <c r="E667" s="668" t="s">
        <v>256</v>
      </c>
      <c r="F667" s="101"/>
      <c r="G667" s="1754" t="s">
        <v>4180</v>
      </c>
      <c r="H667" s="1313" t="str">
        <f>IF(LEN('Ch6'!W350)=0,"",'Ch6'!W350)</f>
        <v/>
      </c>
      <c r="I667" s="86">
        <f>'Ch6'!O350</f>
        <v>0</v>
      </c>
      <c r="J667" s="1204"/>
    </row>
    <row r="668" spans="2:10" x14ac:dyDescent="0.25">
      <c r="B668" s="254" t="str">
        <f>IF(LEN('Ch6'!H351)=0,"",'Ch6'!H351)</f>
        <v/>
      </c>
      <c r="C668" s="254" t="str">
        <f t="shared" si="11"/>
        <v/>
      </c>
      <c r="D668" s="139"/>
      <c r="E668" s="668"/>
      <c r="F668" s="101"/>
      <c r="G668" s="1754"/>
      <c r="H668" s="1313" t="str">
        <f>IF(LEN('Ch6'!W351)=0,"",'Ch6'!W351)</f>
        <v/>
      </c>
      <c r="J668" s="1204"/>
    </row>
    <row r="669" spans="2:10" x14ac:dyDescent="0.25">
      <c r="B669" s="254" t="str">
        <f>IF(LEN('Ch6'!H352)=0,"",'Ch6'!H352)</f>
        <v/>
      </c>
      <c r="C669" s="254" t="str">
        <f t="shared" si="11"/>
        <v/>
      </c>
      <c r="D669" s="139"/>
      <c r="E669" s="684"/>
      <c r="F669" s="669"/>
      <c r="G669" s="1314" t="s">
        <v>3081</v>
      </c>
      <c r="H669" s="94"/>
      <c r="J669" s="1204"/>
    </row>
    <row r="670" spans="2:10" x14ac:dyDescent="0.25">
      <c r="B670" s="254" t="str">
        <f>IF(LEN('Ch6'!H353)=0,"",'Ch6'!H353)</f>
        <v/>
      </c>
      <c r="C670" s="254" t="str">
        <f t="shared" si="11"/>
        <v/>
      </c>
      <c r="D670" s="139"/>
      <c r="E670" s="667" t="s">
        <v>258</v>
      </c>
      <c r="F670" s="139"/>
      <c r="G670" s="1754" t="s">
        <v>4181</v>
      </c>
      <c r="H670" s="1313" t="str">
        <f>IF(LEN('Ch6'!W353)=0,"",'Ch6'!W353)</f>
        <v/>
      </c>
      <c r="I670" s="86">
        <f>'Ch6'!O353</f>
        <v>0</v>
      </c>
      <c r="J670" s="1204"/>
    </row>
    <row r="671" spans="2:10" x14ac:dyDescent="0.25">
      <c r="B671" s="254" t="str">
        <f>IF(LEN('Ch6'!H354)=0,"",'Ch6'!H354)</f>
        <v/>
      </c>
      <c r="C671" s="254" t="str">
        <f t="shared" si="11"/>
        <v/>
      </c>
      <c r="D671" s="139"/>
      <c r="E671" s="139"/>
      <c r="F671" s="139"/>
      <c r="G671" s="1754"/>
      <c r="H671" s="1313" t="str">
        <f>IF(LEN('Ch6'!W354)=0,"",'Ch6'!W354)</f>
        <v/>
      </c>
      <c r="J671" s="1204"/>
    </row>
    <row r="672" spans="2:10" ht="15.75" thickBot="1" x14ac:dyDescent="0.3">
      <c r="B672" s="254" t="str">
        <f>IF(LEN('Ch6'!H355)=0,"",'Ch6'!H355)</f>
        <v/>
      </c>
      <c r="C672" s="254" t="str">
        <f t="shared" si="11"/>
        <v/>
      </c>
      <c r="D672" s="139"/>
      <c r="E672" s="139"/>
      <c r="F672" s="139"/>
      <c r="G672" s="1319" t="s">
        <v>3081</v>
      </c>
      <c r="H672" s="94"/>
      <c r="J672" s="1204"/>
    </row>
    <row r="673" spans="1:10" ht="15.75" thickTop="1" x14ac:dyDescent="0.25">
      <c r="A673" s="585" t="str">
        <f ca="1">IF(I673&gt;0,"P","")</f>
        <v/>
      </c>
      <c r="B673" s="254" t="str">
        <f>IF(LEN('Ch6'!H356)=0,"",'Ch6'!H356)</f>
        <v/>
      </c>
      <c r="C673" s="254" t="str">
        <f t="shared" ca="1" si="11"/>
        <v/>
      </c>
      <c r="D673" s="106">
        <v>606.29999999999995</v>
      </c>
      <c r="E673" s="106"/>
      <c r="F673" s="106"/>
      <c r="G673" s="1781" t="s">
        <v>687</v>
      </c>
      <c r="H673" s="1313" t="str">
        <f>IF(LEN('Ch6'!W356)=0,"",'Ch6'!W356)</f>
        <v/>
      </c>
      <c r="I673" s="86">
        <f ca="1">'Ch6'!O356</f>
        <v>0</v>
      </c>
      <c r="J673" s="1950" t="s">
        <v>4974</v>
      </c>
    </row>
    <row r="674" spans="1:10" x14ac:dyDescent="0.25">
      <c r="A674" s="585" t="str">
        <f ca="1">A673</f>
        <v/>
      </c>
      <c r="B674" s="254" t="str">
        <f>IF(LEN('Ch6'!H357)=0,"",'Ch6'!H357)</f>
        <v/>
      </c>
      <c r="C674" s="254" t="str">
        <f t="shared" ca="1" si="11"/>
        <v/>
      </c>
      <c r="D674" s="101"/>
      <c r="E674" s="101"/>
      <c r="F674" s="101"/>
      <c r="G674" s="1782"/>
      <c r="H674" s="94"/>
      <c r="J674" s="1951"/>
    </row>
    <row r="675" spans="1:10" x14ac:dyDescent="0.25">
      <c r="A675" s="585" t="str">
        <f ca="1">A674</f>
        <v/>
      </c>
      <c r="B675" s="254" t="str">
        <f>IF(LEN('Ch6'!H358)=0,"",'Ch6'!H358)</f>
        <v/>
      </c>
      <c r="C675" s="254" t="str">
        <f t="shared" ca="1" si="11"/>
        <v/>
      </c>
      <c r="D675" s="101"/>
      <c r="E675" s="101"/>
      <c r="F675" s="101"/>
      <c r="G675" s="1782"/>
      <c r="H675" s="94"/>
      <c r="J675" s="1204"/>
    </row>
    <row r="676" spans="1:10" x14ac:dyDescent="0.25">
      <c r="A676" s="585" t="str">
        <f ca="1">A675</f>
        <v/>
      </c>
      <c r="B676" s="254" t="str">
        <f>IF(LEN('Ch6'!H359)=0,"",'Ch6'!H359)</f>
        <v/>
      </c>
      <c r="C676" s="254" t="str">
        <f t="shared" ca="1" si="11"/>
        <v/>
      </c>
      <c r="D676" s="101"/>
      <c r="E676" s="101"/>
      <c r="F676" s="101"/>
      <c r="G676" s="1782"/>
      <c r="H676" s="94"/>
      <c r="J676" s="1204"/>
    </row>
    <row r="677" spans="1:10" x14ac:dyDescent="0.25">
      <c r="B677" s="254" t="str">
        <f>IF(LEN('Ch6'!H360)=0,"",'Ch6'!H360)</f>
        <v/>
      </c>
      <c r="C677" s="254" t="str">
        <f t="shared" si="11"/>
        <v/>
      </c>
      <c r="D677" s="101"/>
      <c r="E677" s="101"/>
      <c r="F677" s="101"/>
      <c r="G677" s="1232" t="s">
        <v>688</v>
      </c>
      <c r="H677" s="94"/>
      <c r="J677" s="1204"/>
    </row>
    <row r="678" spans="1:10" x14ac:dyDescent="0.25">
      <c r="B678" s="254" t="str">
        <f>IF(LEN('Ch6'!H361)=0,"",'Ch6'!H361)</f>
        <v/>
      </c>
      <c r="C678" s="254" t="str">
        <f t="shared" si="11"/>
        <v/>
      </c>
      <c r="D678" s="101"/>
      <c r="E678" s="101"/>
      <c r="F678" s="101"/>
      <c r="G678" s="1315" t="s">
        <v>3085</v>
      </c>
      <c r="H678" s="94"/>
      <c r="J678" s="1204"/>
    </row>
    <row r="679" spans="1:10" ht="18.75" x14ac:dyDescent="0.25">
      <c r="A679" s="585" t="s">
        <v>3974</v>
      </c>
      <c r="B679" s="254" t="str">
        <f>IF(LEN('Ch6'!H362)=0,"",'Ch6'!H362)</f>
        <v/>
      </c>
      <c r="C679" s="254" t="str">
        <f t="shared" si="11"/>
        <v>P</v>
      </c>
      <c r="D679" s="1388" t="s">
        <v>689</v>
      </c>
      <c r="E679" s="1388"/>
      <c r="F679" s="1388"/>
      <c r="G679" s="1001"/>
      <c r="H679" s="94"/>
      <c r="J679" s="1204"/>
    </row>
    <row r="680" spans="1:10" x14ac:dyDescent="0.25">
      <c r="A680" s="585" t="str">
        <f>IF(I680&gt;0,"P","")</f>
        <v/>
      </c>
      <c r="B680" s="254" t="str">
        <f>IF(LEN('Ch6'!H363)=0,"",'Ch6'!H363)</f>
        <v/>
      </c>
      <c r="C680" s="254" t="str">
        <f t="shared" si="11"/>
        <v/>
      </c>
      <c r="D680" s="139">
        <v>607.1</v>
      </c>
      <c r="E680" s="139"/>
      <c r="F680" s="139"/>
      <c r="G680" s="1782" t="s">
        <v>690</v>
      </c>
      <c r="H680" s="94"/>
      <c r="I680" s="706">
        <f>SUM(I682:I687)</f>
        <v>0</v>
      </c>
      <c r="J680" s="1204" t="s">
        <v>3892</v>
      </c>
    </row>
    <row r="681" spans="1:10" x14ac:dyDescent="0.25">
      <c r="A681" s="585" t="str">
        <f>A680</f>
        <v/>
      </c>
      <c r="B681" s="254" t="str">
        <f>IF(LEN('Ch6'!H364)=0,"",'Ch6'!H364)</f>
        <v/>
      </c>
      <c r="C681" s="254" t="str">
        <f t="shared" si="11"/>
        <v/>
      </c>
      <c r="D681" s="139"/>
      <c r="E681" s="139"/>
      <c r="F681" s="139"/>
      <c r="G681" s="1782"/>
      <c r="H681" s="94"/>
      <c r="J681" s="1204"/>
    </row>
    <row r="682" spans="1:10" x14ac:dyDescent="0.25">
      <c r="B682" s="254" t="str">
        <f>IF(LEN('Ch6'!H365)=0,"",'Ch6'!H365)</f>
        <v/>
      </c>
      <c r="C682" s="254" t="str">
        <f t="shared" si="11"/>
        <v/>
      </c>
      <c r="D682" s="139"/>
      <c r="E682" s="668" t="s">
        <v>256</v>
      </c>
      <c r="F682" s="101"/>
      <c r="G682" s="1754" t="s">
        <v>4183</v>
      </c>
      <c r="H682" s="1313" t="str">
        <f>IF(LEN('Ch6'!W365)=0,"",'Ch6'!W365)</f>
        <v/>
      </c>
      <c r="I682" s="86">
        <f>'Ch6'!O365</f>
        <v>0</v>
      </c>
      <c r="J682" s="1204"/>
    </row>
    <row r="683" spans="1:10" x14ac:dyDescent="0.25">
      <c r="B683" s="254" t="str">
        <f>IF(LEN('Ch6'!H366)=0,"",'Ch6'!H366)</f>
        <v/>
      </c>
      <c r="C683" s="254" t="str">
        <f t="shared" si="11"/>
        <v/>
      </c>
      <c r="D683" s="139"/>
      <c r="E683" s="668"/>
      <c r="F683" s="101"/>
      <c r="G683" s="1754"/>
      <c r="H683" s="94"/>
      <c r="J683" s="1204"/>
    </row>
    <row r="684" spans="1:10" x14ac:dyDescent="0.25">
      <c r="B684" s="254" t="str">
        <f>IF(LEN('Ch6'!H367)=0,"",'Ch6'!H367)</f>
        <v/>
      </c>
      <c r="C684" s="254" t="str">
        <f t="shared" si="11"/>
        <v/>
      </c>
      <c r="D684" s="139"/>
      <c r="E684" s="668"/>
      <c r="F684" s="101"/>
      <c r="G684" s="1754"/>
      <c r="H684" s="94"/>
      <c r="J684" s="1204"/>
    </row>
    <row r="685" spans="1:10" x14ac:dyDescent="0.25">
      <c r="B685" s="254" t="str">
        <f>IF(LEN('Ch6'!H368)=0,"",'Ch6'!H368)</f>
        <v/>
      </c>
      <c r="C685" s="254" t="str">
        <f t="shared" si="11"/>
        <v/>
      </c>
      <c r="D685" s="139"/>
      <c r="E685" s="668"/>
      <c r="F685" s="101"/>
      <c r="G685" s="1754"/>
      <c r="H685" s="94"/>
      <c r="J685" s="1204"/>
    </row>
    <row r="686" spans="1:10" x14ac:dyDescent="0.25">
      <c r="B686" s="254" t="str">
        <f>IF(LEN('Ch6'!H369)=0,"",'Ch6'!H369)</f>
        <v/>
      </c>
      <c r="C686" s="254" t="str">
        <f t="shared" si="11"/>
        <v/>
      </c>
      <c r="D686" s="139"/>
      <c r="E686" s="684"/>
      <c r="F686" s="669"/>
      <c r="G686" s="1755"/>
      <c r="H686" s="94"/>
      <c r="J686" s="1204"/>
    </row>
    <row r="687" spans="1:10" x14ac:dyDescent="0.25">
      <c r="B687" s="254" t="str">
        <f>IF(LEN('Ch6'!H370)=0,"",'Ch6'!H370)</f>
        <v/>
      </c>
      <c r="C687" s="254" t="str">
        <f t="shared" si="11"/>
        <v/>
      </c>
      <c r="D687" s="139"/>
      <c r="E687" s="667" t="s">
        <v>258</v>
      </c>
      <c r="F687" s="139"/>
      <c r="G687" s="1760" t="s">
        <v>4184</v>
      </c>
      <c r="H687" s="1313" t="str">
        <f>IF(LEN('Ch6'!W370)=0,"",'Ch6'!W370)</f>
        <v/>
      </c>
      <c r="I687" s="86">
        <f>'Ch6'!O370</f>
        <v>0</v>
      </c>
      <c r="J687" s="1204"/>
    </row>
    <row r="688" spans="1:10" x14ac:dyDescent="0.25">
      <c r="B688" s="254" t="str">
        <f>IF(LEN('Ch6'!H371)=0,"",'Ch6'!H371)</f>
        <v/>
      </c>
      <c r="C688" s="254" t="str">
        <f t="shared" si="11"/>
        <v/>
      </c>
      <c r="G688" s="1793"/>
      <c r="H688" s="94"/>
      <c r="J688" s="1204"/>
    </row>
    <row r="689" spans="1:10" x14ac:dyDescent="0.25">
      <c r="B689" s="254" t="str">
        <f>IF(LEN('Ch6'!H372)=0,"",'Ch6'!H372)</f>
        <v/>
      </c>
      <c r="C689" s="254" t="str">
        <f t="shared" si="11"/>
        <v/>
      </c>
      <c r="G689" s="1793"/>
      <c r="H689" s="94"/>
      <c r="J689" s="1204"/>
    </row>
    <row r="690" spans="1:10" x14ac:dyDescent="0.25">
      <c r="B690" s="254" t="str">
        <f>IF(LEN('Ch6'!H373)=0,"",'Ch6'!H373)</f>
        <v/>
      </c>
      <c r="C690" s="254" t="str">
        <f t="shared" si="11"/>
        <v/>
      </c>
      <c r="G690" s="1793"/>
      <c r="H690" s="94"/>
      <c r="J690" s="1204"/>
    </row>
    <row r="691" spans="1:10" x14ac:dyDescent="0.25">
      <c r="B691" s="254" t="str">
        <f>IF(LEN('Ch6'!H374)=0,"",'Ch6'!H374)</f>
        <v/>
      </c>
      <c r="C691" s="254" t="str">
        <f t="shared" si="11"/>
        <v/>
      </c>
      <c r="G691" s="1793"/>
      <c r="H691" s="94"/>
      <c r="J691" s="1204"/>
    </row>
    <row r="692" spans="1:10" ht="15.75" thickBot="1" x14ac:dyDescent="0.3">
      <c r="B692" s="254" t="str">
        <f>IF(LEN('Ch6'!H375)=0,"",'Ch6'!H375)</f>
        <v/>
      </c>
      <c r="C692" s="254" t="str">
        <f t="shared" si="11"/>
        <v/>
      </c>
      <c r="G692" s="1842"/>
      <c r="H692" s="94"/>
      <c r="J692" s="1204"/>
    </row>
    <row r="693" spans="1:10" ht="15.75" thickTop="1" x14ac:dyDescent="0.25">
      <c r="A693" s="585" t="str">
        <f>IF(I693&gt;0,"P","")</f>
        <v/>
      </c>
      <c r="B693" s="254" t="str">
        <f>IF(LEN('Ch6'!H376)=0,"",'Ch6'!H376)</f>
        <v/>
      </c>
      <c r="C693" s="254" t="str">
        <f t="shared" si="11"/>
        <v/>
      </c>
      <c r="D693" s="106">
        <v>607.20000000000005</v>
      </c>
      <c r="E693" s="106"/>
      <c r="F693" s="106"/>
      <c r="G693" s="1781" t="s">
        <v>691</v>
      </c>
      <c r="H693" s="1313" t="str">
        <f>IF(LEN('Ch6'!W376)=0,"",'Ch6'!W376)</f>
        <v/>
      </c>
      <c r="I693" s="86">
        <f>'Ch6'!O376</f>
        <v>0</v>
      </c>
      <c r="J693" s="1204" t="s">
        <v>3892</v>
      </c>
    </row>
    <row r="694" spans="1:10" x14ac:dyDescent="0.25">
      <c r="A694" s="585" t="str">
        <f>A693</f>
        <v/>
      </c>
      <c r="B694" s="254" t="str">
        <f>IF(LEN('Ch6'!H377)=0,"",'Ch6'!H377)</f>
        <v/>
      </c>
      <c r="C694" s="254" t="str">
        <f t="shared" si="11"/>
        <v/>
      </c>
      <c r="D694" s="101"/>
      <c r="E694" s="101"/>
      <c r="F694" s="101"/>
      <c r="G694" s="1782"/>
      <c r="H694" s="94"/>
      <c r="J694" s="1204"/>
    </row>
    <row r="695" spans="1:10" ht="18.75" x14ac:dyDescent="0.25">
      <c r="A695" s="585" t="s">
        <v>3974</v>
      </c>
      <c r="B695" s="254" t="str">
        <f>IF(LEN('Ch6'!H378)=0,"",'Ch6'!H378)</f>
        <v/>
      </c>
      <c r="C695" s="254" t="str">
        <f t="shared" si="11"/>
        <v>P</v>
      </c>
      <c r="D695" s="1388" t="s">
        <v>692</v>
      </c>
      <c r="E695" s="1388"/>
      <c r="F695" s="1388"/>
      <c r="G695" s="1001"/>
      <c r="H695" s="94"/>
      <c r="J695" s="1204"/>
    </row>
    <row r="696" spans="1:10" x14ac:dyDescent="0.25">
      <c r="A696" s="585" t="str">
        <f ca="1">IF(I696&gt;0,"P","")</f>
        <v/>
      </c>
      <c r="B696" s="254" t="str">
        <f>IF(LEN('Ch6'!H379)=0,"",'Ch6'!H379)</f>
        <v/>
      </c>
      <c r="C696" s="254" t="str">
        <f t="shared" ca="1" si="11"/>
        <v/>
      </c>
      <c r="D696" s="139">
        <v>608.1</v>
      </c>
      <c r="E696" s="139"/>
      <c r="F696" s="139"/>
      <c r="G696" s="1782" t="s">
        <v>693</v>
      </c>
      <c r="H696" s="1313" t="str">
        <f>IF(LEN('Ch6'!W379)=0,"",'Ch6'!W379)</f>
        <v/>
      </c>
      <c r="I696" s="86">
        <f ca="1">'Ch6'!O379</f>
        <v>0</v>
      </c>
      <c r="J696" s="1950" t="s">
        <v>3910</v>
      </c>
    </row>
    <row r="697" spans="1:10" x14ac:dyDescent="0.25">
      <c r="A697" s="585" t="str">
        <f ca="1">A696</f>
        <v/>
      </c>
      <c r="B697" s="254" t="str">
        <f>IF(LEN('Ch6'!H380)=0,"",'Ch6'!H380)</f>
        <v/>
      </c>
      <c r="C697" s="254" t="str">
        <f t="shared" ca="1" si="11"/>
        <v/>
      </c>
      <c r="D697" s="139"/>
      <c r="E697" s="139"/>
      <c r="F697" s="139"/>
      <c r="G697" s="1782"/>
      <c r="H697" s="94"/>
      <c r="J697" s="1951"/>
    </row>
    <row r="698" spans="1:10" x14ac:dyDescent="0.25">
      <c r="A698" s="585" t="str">
        <f ca="1">A697</f>
        <v/>
      </c>
      <c r="B698" s="254" t="str">
        <f>IF(LEN('Ch6'!H381)=0,"",'Ch6'!H381)</f>
        <v/>
      </c>
      <c r="C698" s="254" t="str">
        <f t="shared" ca="1" si="11"/>
        <v/>
      </c>
      <c r="D698" s="139"/>
      <c r="E698" s="139"/>
      <c r="F698" s="139"/>
      <c r="G698" s="1782"/>
      <c r="H698" s="94"/>
      <c r="J698" s="1204"/>
    </row>
    <row r="699" spans="1:10" x14ac:dyDescent="0.25">
      <c r="B699" s="254" t="str">
        <f>IF(LEN('Ch6'!H382)=0,"",'Ch6'!H382)</f>
        <v/>
      </c>
      <c r="C699" s="254" t="str">
        <f t="shared" si="11"/>
        <v/>
      </c>
      <c r="D699" s="139"/>
      <c r="E699" s="667" t="s">
        <v>256</v>
      </c>
      <c r="F699" s="139"/>
      <c r="G699" s="1754" t="s">
        <v>694</v>
      </c>
      <c r="H699" s="94"/>
      <c r="J699" s="1204"/>
    </row>
    <row r="700" spans="1:10" x14ac:dyDescent="0.25">
      <c r="B700" s="254" t="str">
        <f>IF(LEN('Ch6'!H383)=0,"",'Ch6'!H383)</f>
        <v/>
      </c>
      <c r="C700" s="254" t="str">
        <f t="shared" si="11"/>
        <v/>
      </c>
      <c r="D700" s="139"/>
      <c r="E700" s="667"/>
      <c r="F700" s="139"/>
      <c r="G700" s="1754"/>
      <c r="H700" s="94"/>
      <c r="J700" s="1204"/>
    </row>
    <row r="701" spans="1:10" x14ac:dyDescent="0.25">
      <c r="B701" s="254" t="str">
        <f>IF(LEN('Ch6'!H384)=0,"",'Ch6'!H384)</f>
        <v/>
      </c>
      <c r="C701" s="254" t="str">
        <f t="shared" si="11"/>
        <v/>
      </c>
      <c r="D701" s="139"/>
      <c r="E701" s="667" t="s">
        <v>258</v>
      </c>
      <c r="F701" s="139"/>
      <c r="G701" s="1225" t="s">
        <v>695</v>
      </c>
      <c r="H701" s="94"/>
      <c r="J701" s="1204"/>
    </row>
    <row r="702" spans="1:10" x14ac:dyDescent="0.25">
      <c r="B702" s="254" t="str">
        <f>IF(LEN('Ch6'!H385)=0,"",'Ch6'!H385)</f>
        <v/>
      </c>
      <c r="C702" s="254" t="str">
        <f t="shared" si="11"/>
        <v/>
      </c>
      <c r="D702" s="139"/>
      <c r="E702" s="667" t="s">
        <v>260</v>
      </c>
      <c r="F702" s="139"/>
      <c r="G702" s="1225" t="s">
        <v>696</v>
      </c>
      <c r="H702" s="94"/>
      <c r="J702" s="1204"/>
    </row>
    <row r="703" spans="1:10" ht="15" customHeight="1" x14ac:dyDescent="0.25">
      <c r="B703" s="254" t="str">
        <f>IF(LEN('Ch6'!H386)=0,"",'Ch6'!H386)</f>
        <v/>
      </c>
      <c r="C703" s="254" t="str">
        <f t="shared" si="11"/>
        <v/>
      </c>
      <c r="D703" s="139"/>
      <c r="E703" s="667"/>
      <c r="F703" s="139"/>
      <c r="G703" s="1315" t="s">
        <v>3090</v>
      </c>
      <c r="H703" s="94"/>
      <c r="J703" s="1204"/>
    </row>
    <row r="704" spans="1:10" ht="18.75" x14ac:dyDescent="0.25">
      <c r="A704" s="585" t="s">
        <v>3974</v>
      </c>
      <c r="B704" s="254" t="str">
        <f>IF(LEN('Ch6'!H387)=0,"",'Ch6'!H387)</f>
        <v/>
      </c>
      <c r="C704" s="254" t="str">
        <f t="shared" si="11"/>
        <v>P</v>
      </c>
      <c r="D704" s="1388" t="s">
        <v>697</v>
      </c>
      <c r="E704" s="1388"/>
      <c r="F704" s="1388"/>
      <c r="G704" s="1001"/>
      <c r="H704" s="94"/>
      <c r="J704" s="1204"/>
    </row>
    <row r="705" spans="1:10" x14ac:dyDescent="0.25">
      <c r="A705" s="585" t="str">
        <f ca="1">IF(I705&gt;0,"P","")</f>
        <v/>
      </c>
      <c r="B705" s="254" t="str">
        <f>IF(LEN('Ch6'!H388)=0,"",'Ch6'!H388)</f>
        <v/>
      </c>
      <c r="C705" s="254" t="str">
        <f t="shared" ca="1" si="11"/>
        <v/>
      </c>
      <c r="D705" s="139">
        <v>609.1</v>
      </c>
      <c r="E705" s="139"/>
      <c r="F705" s="139"/>
      <c r="G705" s="1782" t="s">
        <v>698</v>
      </c>
      <c r="H705" s="94"/>
      <c r="I705" s="86">
        <f ca="1">'Ch6'!O388</f>
        <v>0</v>
      </c>
      <c r="J705" s="1950" t="s">
        <v>4975</v>
      </c>
    </row>
    <row r="706" spans="1:10" x14ac:dyDescent="0.25">
      <c r="A706" s="585" t="str">
        <f ca="1">A705</f>
        <v/>
      </c>
      <c r="B706" s="254" t="str">
        <f>IF(LEN('Ch6'!H389)=0,"",'Ch6'!H389)</f>
        <v/>
      </c>
      <c r="C706" s="254" t="str">
        <f t="shared" ca="1" si="11"/>
        <v/>
      </c>
      <c r="D706" s="139"/>
      <c r="E706" s="139"/>
      <c r="F706" s="139"/>
      <c r="G706" s="1782"/>
      <c r="H706" s="94"/>
      <c r="J706" s="1951"/>
    </row>
    <row r="707" spans="1:10" x14ac:dyDescent="0.25">
      <c r="B707" s="254" t="str">
        <f>IF(LEN('Ch6'!H390)=0,"",'Ch6'!H390)</f>
        <v/>
      </c>
      <c r="C707" s="254" t="str">
        <f t="shared" si="11"/>
        <v/>
      </c>
      <c r="D707" s="139"/>
      <c r="E707" s="667" t="s">
        <v>256</v>
      </c>
      <c r="F707" s="139"/>
      <c r="G707" s="1250" t="s">
        <v>4880</v>
      </c>
      <c r="H707" s="1313" t="str">
        <f>IF(LEN('Ch6'!W390)=0,"",'Ch6'!W390)</f>
        <v/>
      </c>
      <c r="J707" s="1257"/>
    </row>
    <row r="708" spans="1:10" x14ac:dyDescent="0.25">
      <c r="B708" s="254" t="str">
        <f>IF(LEN('Ch6'!H391)=0,"",'Ch6'!H391)</f>
        <v/>
      </c>
      <c r="C708" s="254" t="str">
        <f t="shared" si="11"/>
        <v/>
      </c>
      <c r="D708" s="139"/>
      <c r="E708" s="667"/>
      <c r="F708" s="139"/>
      <c r="G708" s="1250"/>
      <c r="H708" s="94"/>
      <c r="J708" s="1257"/>
    </row>
    <row r="709" spans="1:10" x14ac:dyDescent="0.25">
      <c r="B709" s="254" t="str">
        <f>IF(LEN('Ch6'!H392)=0,"",'Ch6'!H392)</f>
        <v/>
      </c>
      <c r="C709" s="254" t="str">
        <f t="shared" si="11"/>
        <v/>
      </c>
      <c r="D709" s="139"/>
      <c r="E709" s="667" t="s">
        <v>258</v>
      </c>
      <c r="F709" s="139"/>
      <c r="G709" s="1250" t="s">
        <v>4881</v>
      </c>
      <c r="H709" s="1313" t="str">
        <f>IF(LEN('Ch6'!W392)=0,"",'Ch6'!W392)</f>
        <v/>
      </c>
      <c r="J709" s="1257"/>
    </row>
    <row r="710" spans="1:10" x14ac:dyDescent="0.25">
      <c r="B710" s="254" t="str">
        <f>IF(LEN('Ch6'!H393)=0,"",'Ch6'!H393)</f>
        <v/>
      </c>
      <c r="C710" s="254" t="str">
        <f t="shared" si="11"/>
        <v/>
      </c>
      <c r="D710" s="139"/>
      <c r="E710" s="667"/>
      <c r="F710" s="139"/>
      <c r="G710" s="1250"/>
      <c r="H710" s="94"/>
      <c r="J710" s="1257"/>
    </row>
    <row r="711" spans="1:10" x14ac:dyDescent="0.25">
      <c r="B711" s="254" t="str">
        <f>IF(LEN('Ch6'!H394)=0,"",'Ch6'!H394)</f>
        <v/>
      </c>
      <c r="C711" s="254" t="str">
        <f t="shared" si="11"/>
        <v/>
      </c>
      <c r="D711" s="139"/>
      <c r="E711" s="139"/>
      <c r="F711" s="139"/>
      <c r="G711" s="1860" t="s">
        <v>4879</v>
      </c>
      <c r="H711" s="94"/>
      <c r="J711" s="1204"/>
    </row>
    <row r="712" spans="1:10" x14ac:dyDescent="0.25">
      <c r="B712" s="254" t="str">
        <f>IF(LEN('Ch6'!H395)=0,"",'Ch6'!H395)</f>
        <v/>
      </c>
      <c r="C712" s="254" t="str">
        <f t="shared" ref="C712:C775" si="12">IF(LEN(B712)=0,IF(A712="P","P",""),B712)</f>
        <v/>
      </c>
      <c r="D712" s="139"/>
      <c r="E712" s="139"/>
      <c r="F712" s="139"/>
      <c r="G712" s="1860"/>
      <c r="H712" s="94"/>
      <c r="J712" s="1204"/>
    </row>
    <row r="713" spans="1:10" x14ac:dyDescent="0.25">
      <c r="B713" s="254" t="str">
        <f>IF(LEN('Ch6'!H396)=0,"",'Ch6'!H396)</f>
        <v/>
      </c>
      <c r="C713" s="254" t="str">
        <f t="shared" si="12"/>
        <v/>
      </c>
      <c r="D713" s="139"/>
      <c r="E713" s="139"/>
      <c r="F713" s="139"/>
      <c r="G713" s="1860"/>
      <c r="H713" s="94"/>
      <c r="J713" s="1204"/>
    </row>
    <row r="714" spans="1:10" x14ac:dyDescent="0.25">
      <c r="B714" s="254" t="str">
        <f>IF(LEN('Ch6'!H397)=0,"",'Ch6'!H397)</f>
        <v/>
      </c>
      <c r="C714" s="254" t="str">
        <f t="shared" si="12"/>
        <v/>
      </c>
      <c r="D714" s="139"/>
      <c r="E714" s="139"/>
      <c r="F714" s="139"/>
      <c r="G714" s="1959" t="s">
        <v>3104</v>
      </c>
      <c r="H714" s="94"/>
      <c r="J714" s="1204"/>
    </row>
    <row r="715" spans="1:10" x14ac:dyDescent="0.25">
      <c r="B715" s="254" t="str">
        <f>IF(LEN('Ch6'!H398)=0,"",'Ch6'!H398)</f>
        <v/>
      </c>
      <c r="C715" s="254" t="str">
        <f t="shared" si="12"/>
        <v/>
      </c>
      <c r="D715" s="139"/>
      <c r="E715" s="139"/>
      <c r="F715" s="139"/>
      <c r="G715" s="1963"/>
      <c r="H715" s="94"/>
      <c r="J715" s="1204"/>
    </row>
    <row r="716" spans="1:10" ht="18.75" x14ac:dyDescent="0.25">
      <c r="A716" s="585" t="s">
        <v>3974</v>
      </c>
      <c r="B716" s="254" t="str">
        <f>IF(LEN('Ch6'!H399)=0,"",'Ch6'!H399)</f>
        <v/>
      </c>
      <c r="C716" s="254" t="str">
        <f t="shared" si="12"/>
        <v>P</v>
      </c>
      <c r="D716" s="1388" t="s">
        <v>700</v>
      </c>
      <c r="E716" s="1388"/>
      <c r="F716" s="1388"/>
      <c r="G716" s="1001"/>
      <c r="H716" s="94"/>
      <c r="J716" s="1204"/>
    </row>
    <row r="717" spans="1:10" x14ac:dyDescent="0.25">
      <c r="A717" s="585" t="str">
        <f ca="1">IF(I717&gt;0,"P","")</f>
        <v/>
      </c>
      <c r="B717" s="254" t="str">
        <f>IF(LEN('Ch6'!H400)=0,"",'Ch6'!H400)</f>
        <v/>
      </c>
      <c r="C717" s="254" t="str">
        <f t="shared" ca="1" si="12"/>
        <v/>
      </c>
      <c r="D717" s="139">
        <v>610.1</v>
      </c>
      <c r="E717" s="139"/>
      <c r="F717" s="139"/>
      <c r="G717" s="1782" t="s">
        <v>701</v>
      </c>
      <c r="H717" s="94"/>
      <c r="I717" s="706">
        <f ca="1">SUM(I724:I745)</f>
        <v>0</v>
      </c>
      <c r="J717" s="1973" t="s">
        <v>4976</v>
      </c>
    </row>
    <row r="718" spans="1:10" x14ac:dyDescent="0.25">
      <c r="A718" s="585" t="str">
        <f ca="1">A717</f>
        <v/>
      </c>
      <c r="B718" s="254" t="str">
        <f>IF(LEN('Ch6'!H401)=0,"",'Ch6'!H401)</f>
        <v/>
      </c>
      <c r="C718" s="254" t="str">
        <f t="shared" ca="1" si="12"/>
        <v/>
      </c>
      <c r="D718" s="139"/>
      <c r="E718" s="139"/>
      <c r="F718" s="139"/>
      <c r="G718" s="1782"/>
      <c r="H718" s="94"/>
      <c r="J718" s="1973"/>
    </row>
    <row r="719" spans="1:10" x14ac:dyDescent="0.25">
      <c r="A719" s="585" t="str">
        <f ca="1">A718</f>
        <v/>
      </c>
      <c r="B719" s="254" t="str">
        <f>IF(LEN('Ch6'!H402)=0,"",'Ch6'!H402)</f>
        <v/>
      </c>
      <c r="C719" s="254" t="str">
        <f t="shared" ca="1" si="12"/>
        <v/>
      </c>
      <c r="D719" s="139"/>
      <c r="E719" s="139"/>
      <c r="F719" s="139"/>
      <c r="G719" s="1782"/>
      <c r="H719" s="94"/>
      <c r="J719" s="1204"/>
    </row>
    <row r="720" spans="1:10" x14ac:dyDescent="0.25">
      <c r="A720" s="585" t="str">
        <f ca="1">A719</f>
        <v/>
      </c>
      <c r="B720" s="254" t="str">
        <f>IF(LEN('Ch6'!H403)=0,"",'Ch6'!H403)</f>
        <v/>
      </c>
      <c r="C720" s="254" t="str">
        <f t="shared" ca="1" si="12"/>
        <v/>
      </c>
      <c r="D720" s="139"/>
      <c r="E720" s="139"/>
      <c r="F720" s="139"/>
      <c r="G720" s="1782"/>
      <c r="H720" s="94"/>
      <c r="J720" s="1204"/>
    </row>
    <row r="721" spans="1:10" x14ac:dyDescent="0.25">
      <c r="A721" s="585" t="str">
        <f ca="1">A720</f>
        <v/>
      </c>
      <c r="B721" s="254" t="str">
        <f>IF(LEN('Ch6'!H404)=0,"",'Ch6'!H404)</f>
        <v/>
      </c>
      <c r="C721" s="254" t="str">
        <f t="shared" ca="1" si="12"/>
        <v/>
      </c>
      <c r="D721" s="139"/>
      <c r="E721" s="139"/>
      <c r="F721" s="139"/>
      <c r="G721" s="1782"/>
      <c r="H721" s="94"/>
      <c r="J721" s="1204"/>
    </row>
    <row r="722" spans="1:10" x14ac:dyDescent="0.25">
      <c r="A722" s="585" t="str">
        <f ca="1">A721</f>
        <v/>
      </c>
      <c r="B722" s="254" t="str">
        <f>IF(LEN('Ch6'!H405)=0,"",'Ch6'!H405)</f>
        <v/>
      </c>
      <c r="C722" s="254" t="str">
        <f t="shared" ca="1" si="12"/>
        <v/>
      </c>
      <c r="D722" s="139"/>
      <c r="E722" s="139"/>
      <c r="F722" s="139"/>
      <c r="G722" s="1782"/>
      <c r="H722" s="94"/>
      <c r="J722" s="1204"/>
    </row>
    <row r="723" spans="1:10" ht="15.75" thickBot="1" x14ac:dyDescent="0.3">
      <c r="B723" s="254" t="str">
        <f>IF(LEN('Ch6'!H406)=0,"",'Ch6'!H406)</f>
        <v/>
      </c>
      <c r="C723" s="254" t="str">
        <f t="shared" si="12"/>
        <v/>
      </c>
      <c r="D723" s="139"/>
      <c r="E723" s="139"/>
      <c r="F723" s="139"/>
      <c r="G723" s="1314" t="s">
        <v>4894</v>
      </c>
      <c r="H723" s="94"/>
      <c r="J723" s="1204"/>
    </row>
    <row r="724" spans="1:10" ht="15.75" thickTop="1" x14ac:dyDescent="0.25">
      <c r="A724" s="585" t="str">
        <f>IF(I724&gt;0,"P","")</f>
        <v/>
      </c>
      <c r="B724" s="254" t="str">
        <f>IF(LEN('Ch6'!H407)=0,"",'Ch6'!H407)</f>
        <v/>
      </c>
      <c r="C724" s="254" t="str">
        <f t="shared" si="12"/>
        <v/>
      </c>
      <c r="D724" s="106" t="s">
        <v>702</v>
      </c>
      <c r="E724" s="106"/>
      <c r="F724" s="106"/>
      <c r="G724" s="1781" t="s">
        <v>703</v>
      </c>
      <c r="H724" s="94"/>
      <c r="I724" s="706">
        <f>SUM(I726:I743)</f>
        <v>0</v>
      </c>
      <c r="J724" s="1973" t="s">
        <v>4977</v>
      </c>
    </row>
    <row r="725" spans="1:10" x14ac:dyDescent="0.25">
      <c r="A725" s="585" t="str">
        <f>A724</f>
        <v/>
      </c>
      <c r="B725" s="254" t="str">
        <f>IF(LEN('Ch6'!H408)=0,"",'Ch6'!H408)</f>
        <v/>
      </c>
      <c r="C725" s="254" t="str">
        <f t="shared" si="12"/>
        <v/>
      </c>
      <c r="D725" s="101"/>
      <c r="E725" s="101"/>
      <c r="F725" s="101"/>
      <c r="G725" s="1782"/>
      <c r="H725" s="94"/>
      <c r="J725" s="1973"/>
    </row>
    <row r="726" spans="1:10" x14ac:dyDescent="0.25">
      <c r="B726" s="254" t="str">
        <f>IF(LEN('Ch6'!H409)=0,"",'Ch6'!H409)</f>
        <v/>
      </c>
      <c r="C726" s="254" t="str">
        <f t="shared" si="12"/>
        <v/>
      </c>
      <c r="D726" s="139"/>
      <c r="E726" s="668" t="s">
        <v>256</v>
      </c>
      <c r="F726" s="101"/>
      <c r="G726" s="1754" t="s">
        <v>704</v>
      </c>
      <c r="H726" s="1313" t="str">
        <f>IF(LEN('Ch6'!W409)=0,"",'Ch6'!W409)</f>
        <v/>
      </c>
      <c r="I726" s="86">
        <f>'Ch6'!O409</f>
        <v>0</v>
      </c>
      <c r="J726" s="1204"/>
    </row>
    <row r="727" spans="1:10" x14ac:dyDescent="0.25">
      <c r="B727" s="254" t="str">
        <f>IF(LEN('Ch6'!H410)=0,"",'Ch6'!H410)</f>
        <v/>
      </c>
      <c r="C727" s="254" t="str">
        <f t="shared" si="12"/>
        <v/>
      </c>
      <c r="D727" s="139"/>
      <c r="E727" s="101"/>
      <c r="F727" s="101"/>
      <c r="G727" s="1754"/>
      <c r="H727" s="94"/>
      <c r="J727" s="1204"/>
    </row>
    <row r="728" spans="1:10" x14ac:dyDescent="0.25">
      <c r="B728" s="254" t="str">
        <f>IF(LEN('Ch6'!H411)=0,"",'Ch6'!H411)</f>
        <v/>
      </c>
      <c r="C728" s="254" t="str">
        <f t="shared" si="12"/>
        <v/>
      </c>
      <c r="D728" s="139"/>
      <c r="E728" s="101"/>
      <c r="F728" s="101"/>
      <c r="G728" s="1754"/>
      <c r="H728" s="94"/>
      <c r="J728" s="1204"/>
    </row>
    <row r="729" spans="1:10" x14ac:dyDescent="0.25">
      <c r="B729" s="254" t="str">
        <f>IF(LEN('Ch6'!H412)=0,"",'Ch6'!H412)</f>
        <v/>
      </c>
      <c r="C729" s="254" t="str">
        <f t="shared" si="12"/>
        <v/>
      </c>
      <c r="D729" s="139"/>
      <c r="E729" s="101"/>
      <c r="F729" s="668" t="s">
        <v>121</v>
      </c>
      <c r="G729" s="1225" t="s">
        <v>705</v>
      </c>
      <c r="H729" s="94"/>
      <c r="J729" s="1204"/>
    </row>
    <row r="730" spans="1:10" x14ac:dyDescent="0.25">
      <c r="B730" s="254" t="str">
        <f>IF(LEN('Ch6'!H413)=0,"",'Ch6'!H413)</f>
        <v/>
      </c>
      <c r="C730" s="254" t="str">
        <f t="shared" si="12"/>
        <v/>
      </c>
      <c r="D730" s="139"/>
      <c r="E730" s="101"/>
      <c r="F730" s="668" t="s">
        <v>122</v>
      </c>
      <c r="G730" s="1225" t="s">
        <v>706</v>
      </c>
      <c r="H730" s="94"/>
      <c r="J730" s="1204"/>
    </row>
    <row r="731" spans="1:10" x14ac:dyDescent="0.25">
      <c r="B731" s="254" t="str">
        <f>IF(LEN('Ch6'!H414)=0,"",'Ch6'!H414)</f>
        <v/>
      </c>
      <c r="C731" s="254" t="str">
        <f t="shared" si="12"/>
        <v/>
      </c>
      <c r="D731" s="139"/>
      <c r="E731" s="101"/>
      <c r="F731" s="668" t="s">
        <v>123</v>
      </c>
      <c r="G731" s="1225" t="s">
        <v>707</v>
      </c>
      <c r="H731" s="94"/>
      <c r="J731" s="1204"/>
    </row>
    <row r="732" spans="1:10" x14ac:dyDescent="0.25">
      <c r="B732" s="254" t="str">
        <f>IF(LEN('Ch6'!H415)=0,"",'Ch6'!H415)</f>
        <v/>
      </c>
      <c r="C732" s="254" t="str">
        <f t="shared" si="12"/>
        <v/>
      </c>
      <c r="D732" s="139"/>
      <c r="E732" s="101"/>
      <c r="F732" s="689" t="s">
        <v>401</v>
      </c>
      <c r="G732" s="1225" t="s">
        <v>708</v>
      </c>
      <c r="H732" s="94"/>
      <c r="J732" s="1204"/>
    </row>
    <row r="733" spans="1:10" x14ac:dyDescent="0.25">
      <c r="B733" s="254" t="str">
        <f>IF(LEN('Ch6'!H416)=0,"",'Ch6'!H416)</f>
        <v/>
      </c>
      <c r="C733" s="254" t="str">
        <f t="shared" si="12"/>
        <v/>
      </c>
      <c r="D733" s="139"/>
      <c r="E733" s="101"/>
      <c r="F733" s="101" t="s">
        <v>539</v>
      </c>
      <c r="G733" s="1225" t="s">
        <v>709</v>
      </c>
      <c r="H733" s="94"/>
      <c r="J733" s="1204"/>
    </row>
    <row r="734" spans="1:10" x14ac:dyDescent="0.25">
      <c r="B734" s="254" t="str">
        <f>IF(LEN('Ch6'!H417)=0,"",'Ch6'!H417)</f>
        <v/>
      </c>
      <c r="C734" s="254" t="str">
        <f t="shared" si="12"/>
        <v/>
      </c>
      <c r="D734" s="139"/>
      <c r="E734" s="669"/>
      <c r="F734" s="684" t="s">
        <v>604</v>
      </c>
      <c r="G734" s="1215" t="s">
        <v>710</v>
      </c>
      <c r="H734" s="94"/>
      <c r="J734" s="1204"/>
    </row>
    <row r="735" spans="1:10" x14ac:dyDescent="0.25">
      <c r="B735" s="254" t="str">
        <f>IF(LEN('Ch6'!H418)=0,"",'Ch6'!H418)</f>
        <v/>
      </c>
      <c r="C735" s="254" t="str">
        <f t="shared" si="12"/>
        <v/>
      </c>
      <c r="D735" s="139"/>
      <c r="E735" s="693" t="s">
        <v>258</v>
      </c>
      <c r="F735" s="671"/>
      <c r="G735" s="1778" t="s">
        <v>711</v>
      </c>
      <c r="H735" s="1313" t="str">
        <f>IF(LEN('Ch6'!W418)=0,"",'Ch6'!W418)</f>
        <v/>
      </c>
      <c r="I735" s="86">
        <f>'Ch6'!O418</f>
        <v>0</v>
      </c>
      <c r="J735" s="1204"/>
    </row>
    <row r="736" spans="1:10" x14ac:dyDescent="0.25">
      <c r="B736" s="254" t="str">
        <f>IF(LEN('Ch6'!H419)=0,"",'Ch6'!H419)</f>
        <v/>
      </c>
      <c r="C736" s="254" t="str">
        <f t="shared" si="12"/>
        <v/>
      </c>
      <c r="D736" s="139"/>
      <c r="E736" s="101"/>
      <c r="F736" s="101"/>
      <c r="G736" s="1754"/>
      <c r="H736" s="94"/>
      <c r="J736" s="1204"/>
    </row>
    <row r="737" spans="1:10" x14ac:dyDescent="0.25">
      <c r="B737" s="254" t="str">
        <f>IF(LEN('Ch6'!H420)=0,"",'Ch6'!H420)</f>
        <v/>
      </c>
      <c r="C737" s="254" t="str">
        <f t="shared" si="12"/>
        <v/>
      </c>
      <c r="D737" s="139"/>
      <c r="E737" s="101"/>
      <c r="F737" s="101"/>
      <c r="G737" s="1754"/>
      <c r="H737" s="94"/>
      <c r="J737" s="1204"/>
    </row>
    <row r="738" spans="1:10" x14ac:dyDescent="0.25">
      <c r="B738" s="254" t="str">
        <f>IF(LEN('Ch6'!H421)=0,"",'Ch6'!H421)</f>
        <v/>
      </c>
      <c r="C738" s="254" t="str">
        <f t="shared" si="12"/>
        <v/>
      </c>
      <c r="D738" s="139"/>
      <c r="E738" s="101"/>
      <c r="F738" s="101"/>
      <c r="G738" s="1754"/>
      <c r="H738" s="94"/>
      <c r="J738" s="1204"/>
    </row>
    <row r="739" spans="1:10" x14ac:dyDescent="0.25">
      <c r="B739" s="254" t="str">
        <f>IF(LEN('Ch6'!H422)=0,"",'Ch6'!H422)</f>
        <v/>
      </c>
      <c r="C739" s="254" t="str">
        <f t="shared" si="12"/>
        <v/>
      </c>
      <c r="D739" s="139"/>
      <c r="E739" s="101"/>
      <c r="F739" s="101"/>
      <c r="G739" s="1754"/>
      <c r="H739" s="94"/>
      <c r="J739" s="1204"/>
    </row>
    <row r="740" spans="1:10" x14ac:dyDescent="0.25">
      <c r="B740" s="254" t="str">
        <f>IF(LEN('Ch6'!H423)=0,"",'Ch6'!H423)</f>
        <v/>
      </c>
      <c r="C740" s="254" t="str">
        <f t="shared" si="12"/>
        <v/>
      </c>
      <c r="D740" s="139"/>
      <c r="E740" s="101"/>
      <c r="F740" s="101"/>
      <c r="G740" s="1754"/>
      <c r="H740" s="94"/>
      <c r="J740" s="1204"/>
    </row>
    <row r="741" spans="1:10" x14ac:dyDescent="0.25">
      <c r="B741" s="254" t="str">
        <f>IF(LEN('Ch6'!H424)=0,"",'Ch6'!H424)</f>
        <v/>
      </c>
      <c r="C741" s="254" t="str">
        <f t="shared" si="12"/>
        <v/>
      </c>
      <c r="D741" s="139"/>
      <c r="E741" s="101"/>
      <c r="F741" s="101"/>
      <c r="G741" s="1754"/>
      <c r="H741" s="94"/>
      <c r="J741" s="1204"/>
    </row>
    <row r="742" spans="1:10" x14ac:dyDescent="0.25">
      <c r="B742" s="254" t="str">
        <f>IF(LEN('Ch6'!H425)=0,"",'Ch6'!H425)</f>
        <v/>
      </c>
      <c r="C742" s="254" t="str">
        <f t="shared" si="12"/>
        <v/>
      </c>
      <c r="D742" s="139"/>
      <c r="E742" s="669"/>
      <c r="F742" s="669"/>
      <c r="G742" s="1755"/>
      <c r="H742" s="94"/>
      <c r="J742" s="1204"/>
    </row>
    <row r="743" spans="1:10" x14ac:dyDescent="0.25">
      <c r="B743" s="254" t="str">
        <f>IF(LEN('Ch6'!H426)=0,"",'Ch6'!H426)</f>
        <v/>
      </c>
      <c r="C743" s="254" t="str">
        <f t="shared" si="12"/>
        <v/>
      </c>
      <c r="D743" s="139"/>
      <c r="E743" s="667" t="s">
        <v>260</v>
      </c>
      <c r="F743" s="139"/>
      <c r="G743" s="1754" t="s">
        <v>712</v>
      </c>
      <c r="H743" s="1313" t="str">
        <f>IF(LEN('Ch6'!W426)=0,"",'Ch6'!W426)</f>
        <v/>
      </c>
      <c r="I743" s="86">
        <f>'Ch6'!O426</f>
        <v>0</v>
      </c>
      <c r="J743" s="1204"/>
    </row>
    <row r="744" spans="1:10" ht="15.75" thickBot="1" x14ac:dyDescent="0.3">
      <c r="B744" s="254" t="str">
        <f>IF(LEN('Ch6'!H427)=0,"",'Ch6'!H427)</f>
        <v/>
      </c>
      <c r="C744" s="254" t="str">
        <f t="shared" si="12"/>
        <v/>
      </c>
      <c r="D744" s="139"/>
      <c r="E744" s="139"/>
      <c r="F744" s="139"/>
      <c r="G744" s="1754"/>
      <c r="H744" s="94"/>
      <c r="J744" s="1204"/>
    </row>
    <row r="745" spans="1:10" ht="15.75" thickTop="1" x14ac:dyDescent="0.25">
      <c r="A745" s="585" t="str">
        <f ca="1">IF(I745&gt;0,"P","")</f>
        <v/>
      </c>
      <c r="B745" s="254" t="str">
        <f>IF(LEN('Ch6'!H428)=0,"",'Ch6'!H428)</f>
        <v/>
      </c>
      <c r="C745" s="254" t="str">
        <f t="shared" ca="1" si="12"/>
        <v/>
      </c>
      <c r="D745" s="106" t="s">
        <v>713</v>
      </c>
      <c r="E745" s="106"/>
      <c r="F745" s="106"/>
      <c r="G745" s="1781" t="s">
        <v>714</v>
      </c>
      <c r="H745" s="94"/>
      <c r="I745" s="86">
        <f ca="1">'Ch6'!O428</f>
        <v>0</v>
      </c>
      <c r="J745" s="1204"/>
    </row>
    <row r="746" spans="1:10" x14ac:dyDescent="0.25">
      <c r="A746" s="585" t="str">
        <f ca="1">A745</f>
        <v/>
      </c>
      <c r="B746" s="254" t="str">
        <f>IF(LEN('Ch6'!H429)=0,"",'Ch6'!H429)</f>
        <v/>
      </c>
      <c r="C746" s="254" t="str">
        <f t="shared" ca="1" si="12"/>
        <v/>
      </c>
      <c r="D746" s="101"/>
      <c r="E746" s="101"/>
      <c r="F746" s="101"/>
      <c r="G746" s="1782"/>
      <c r="H746" s="94"/>
      <c r="J746" s="1204"/>
    </row>
    <row r="747" spans="1:10" x14ac:dyDescent="0.25">
      <c r="A747" s="585" t="str">
        <f ca="1">A746</f>
        <v/>
      </c>
      <c r="B747" s="254" t="str">
        <f>IF(LEN('Ch6'!H430)=0,"",'Ch6'!H430)</f>
        <v/>
      </c>
      <c r="C747" s="254" t="str">
        <f t="shared" ca="1" si="12"/>
        <v/>
      </c>
      <c r="D747" s="101"/>
      <c r="E747" s="101"/>
      <c r="F747" s="101"/>
      <c r="G747" s="1782"/>
      <c r="H747" s="94"/>
      <c r="J747" s="1204"/>
    </row>
    <row r="748" spans="1:10" x14ac:dyDescent="0.25">
      <c r="A748" s="585" t="str">
        <f ca="1">A747</f>
        <v/>
      </c>
      <c r="B748" s="254" t="str">
        <f>IF(LEN('Ch6'!H431)=0,"",'Ch6'!H431)</f>
        <v/>
      </c>
      <c r="C748" s="254" t="str">
        <f t="shared" ca="1" si="12"/>
        <v/>
      </c>
      <c r="D748" s="669"/>
      <c r="E748" s="669"/>
      <c r="F748" s="669"/>
      <c r="G748" s="1843"/>
      <c r="H748" s="94"/>
      <c r="J748" s="1204"/>
    </row>
    <row r="749" spans="1:10" x14ac:dyDescent="0.25">
      <c r="A749" s="585" t="str">
        <f>IF(OR(LEN(H751)&gt;0,LEN(H758)&gt;0),"P","")</f>
        <v/>
      </c>
      <c r="B749" s="254" t="str">
        <f>IF(LEN('Ch6'!H432)=0,"",'Ch6'!H432)</f>
        <v/>
      </c>
      <c r="C749" s="254" t="str">
        <f t="shared" si="12"/>
        <v/>
      </c>
      <c r="D749" s="671" t="s">
        <v>716</v>
      </c>
      <c r="E749" s="671"/>
      <c r="F749" s="671"/>
      <c r="G749" s="1864" t="s">
        <v>717</v>
      </c>
      <c r="H749" s="1847"/>
      <c r="I749"/>
      <c r="J749" s="1950" t="s">
        <v>4978</v>
      </c>
    </row>
    <row r="750" spans="1:10" x14ac:dyDescent="0.25">
      <c r="A750" s="585" t="str">
        <f>A749</f>
        <v/>
      </c>
      <c r="B750" s="254" t="str">
        <f>IF(LEN('Ch6'!H433)=0,"",'Ch6'!H433)</f>
        <v/>
      </c>
      <c r="C750" s="254" t="str">
        <f t="shared" si="12"/>
        <v/>
      </c>
      <c r="D750" s="101"/>
      <c r="E750" s="101"/>
      <c r="F750" s="101"/>
      <c r="G750" s="1782"/>
      <c r="H750" s="1847"/>
      <c r="J750" s="1951"/>
    </row>
    <row r="751" spans="1:10" x14ac:dyDescent="0.25">
      <c r="A751" s="585" t="str">
        <f>A750</f>
        <v/>
      </c>
      <c r="B751" s="254" t="str">
        <f>IF(LEN('Ch6'!H434)=0,"",'Ch6'!H434)</f>
        <v/>
      </c>
      <c r="C751" s="254" t="str">
        <f t="shared" si="12"/>
        <v/>
      </c>
      <c r="D751" s="101"/>
      <c r="E751" s="101"/>
      <c r="F751" s="101"/>
      <c r="G751" s="1782"/>
      <c r="H751" s="1313" t="str">
        <f>IF(LEN('Ch6'!W434)=0,"",'Ch6'!W434)</f>
        <v/>
      </c>
      <c r="J751" s="1204"/>
    </row>
    <row r="752" spans="1:10" x14ac:dyDescent="0.25">
      <c r="B752" s="254" t="str">
        <f>IF(LEN('Ch6'!H435)=0,"",'Ch6'!H435)</f>
        <v/>
      </c>
      <c r="C752" s="254" t="str">
        <f t="shared" si="12"/>
        <v/>
      </c>
      <c r="D752" s="101"/>
      <c r="E752" s="101"/>
      <c r="F752" s="668" t="s">
        <v>121</v>
      </c>
      <c r="G752" s="1225" t="s">
        <v>705</v>
      </c>
      <c r="H752" s="94"/>
      <c r="J752" s="1204"/>
    </row>
    <row r="753" spans="1:10" x14ac:dyDescent="0.25">
      <c r="B753" s="254" t="str">
        <f>IF(LEN('Ch6'!H436)=0,"",'Ch6'!H436)</f>
        <v/>
      </c>
      <c r="C753" s="254" t="str">
        <f t="shared" si="12"/>
        <v/>
      </c>
      <c r="D753" s="101"/>
      <c r="E753" s="101"/>
      <c r="F753" s="668" t="s">
        <v>122</v>
      </c>
      <c r="G753" s="1225" t="s">
        <v>706</v>
      </c>
      <c r="H753" s="94"/>
      <c r="J753" s="1204"/>
    </row>
    <row r="754" spans="1:10" x14ac:dyDescent="0.25">
      <c r="B754" s="254" t="str">
        <f>IF(LEN('Ch6'!H437)=0,"",'Ch6'!H437)</f>
        <v/>
      </c>
      <c r="C754" s="254" t="str">
        <f t="shared" si="12"/>
        <v/>
      </c>
      <c r="D754" s="101"/>
      <c r="E754" s="101"/>
      <c r="F754" s="668" t="s">
        <v>123</v>
      </c>
      <c r="G754" s="1225" t="s">
        <v>707</v>
      </c>
      <c r="H754" s="94"/>
      <c r="J754" s="1204"/>
    </row>
    <row r="755" spans="1:10" x14ac:dyDescent="0.25">
      <c r="B755" s="254" t="str">
        <f>IF(LEN('Ch6'!H438)=0,"",'Ch6'!H438)</f>
        <v/>
      </c>
      <c r="C755" s="254" t="str">
        <f t="shared" si="12"/>
        <v/>
      </c>
      <c r="D755" s="101"/>
      <c r="E755" s="101"/>
      <c r="F755" s="689" t="s">
        <v>401</v>
      </c>
      <c r="G755" s="1225" t="s">
        <v>708</v>
      </c>
      <c r="H755" s="94"/>
      <c r="J755" s="1204"/>
    </row>
    <row r="756" spans="1:10" x14ac:dyDescent="0.25">
      <c r="B756" s="254" t="str">
        <f>IF(LEN('Ch6'!H439)=0,"",'Ch6'!H439)</f>
        <v/>
      </c>
      <c r="C756" s="254" t="str">
        <f t="shared" si="12"/>
        <v/>
      </c>
      <c r="D756" s="101"/>
      <c r="E756" s="101"/>
      <c r="F756" s="101" t="s">
        <v>539</v>
      </c>
      <c r="G756" s="1225" t="s">
        <v>709</v>
      </c>
      <c r="H756" s="1847"/>
      <c r="J756" s="1204"/>
    </row>
    <row r="757" spans="1:10" x14ac:dyDescent="0.25">
      <c r="B757" s="254" t="str">
        <f>IF(LEN('Ch6'!H440)=0,"",'Ch6'!H440)</f>
        <v/>
      </c>
      <c r="C757" s="254" t="str">
        <f t="shared" si="12"/>
        <v/>
      </c>
      <c r="D757" s="101"/>
      <c r="E757" s="101"/>
      <c r="F757" s="668" t="s">
        <v>604</v>
      </c>
      <c r="G757" s="1225" t="s">
        <v>710</v>
      </c>
      <c r="H757" s="1847"/>
      <c r="J757" s="1204"/>
    </row>
    <row r="758" spans="1:10" x14ac:dyDescent="0.25">
      <c r="B758" s="254" t="str">
        <f>IF(LEN('Ch6'!H441)=0,"",'Ch6'!H441)</f>
        <v/>
      </c>
      <c r="C758" s="254" t="str">
        <f t="shared" si="12"/>
        <v/>
      </c>
      <c r="D758" s="101"/>
      <c r="E758" s="101"/>
      <c r="F758" s="1390"/>
      <c r="G758" s="1860" t="s">
        <v>718</v>
      </c>
      <c r="H758" s="1313" t="str">
        <f>IF(LEN('Ch6'!W441)=0,"",'Ch6'!W441)</f>
        <v/>
      </c>
      <c r="J758" s="1204"/>
    </row>
    <row r="759" spans="1:10" x14ac:dyDescent="0.25">
      <c r="B759" s="254" t="str">
        <f>IF(LEN('Ch6'!H442)=0,"",'Ch6'!H442)</f>
        <v/>
      </c>
      <c r="C759" s="254" t="str">
        <f t="shared" si="12"/>
        <v/>
      </c>
      <c r="D759" s="101"/>
      <c r="E759" s="101"/>
      <c r="F759" s="1377"/>
      <c r="G759" s="1860"/>
      <c r="H759" s="94"/>
      <c r="J759" s="1204"/>
    </row>
    <row r="760" spans="1:10" x14ac:dyDescent="0.25">
      <c r="B760" s="254" t="str">
        <f>IF(LEN('Ch6'!H443)=0,"",'Ch6'!H443)</f>
        <v/>
      </c>
      <c r="C760" s="254" t="str">
        <f t="shared" si="12"/>
        <v/>
      </c>
      <c r="D760" s="101"/>
      <c r="E760" s="101"/>
      <c r="F760" s="1377"/>
      <c r="G760" s="1860"/>
      <c r="H760" s="94"/>
      <c r="J760" s="1204"/>
    </row>
    <row r="761" spans="1:10" x14ac:dyDescent="0.25">
      <c r="B761" s="254" t="str">
        <f>IF(LEN('Ch6'!H444)=0,"",'Ch6'!H444)</f>
        <v/>
      </c>
      <c r="C761" s="254" t="str">
        <f t="shared" si="12"/>
        <v/>
      </c>
      <c r="D761" s="101"/>
      <c r="E761" s="101"/>
      <c r="F761" s="1377"/>
      <c r="G761" s="1958" t="s">
        <v>3106</v>
      </c>
      <c r="H761" s="94"/>
      <c r="J761" s="1204"/>
    </row>
    <row r="762" spans="1:10" x14ac:dyDescent="0.25">
      <c r="B762" s="254" t="str">
        <f>IF(LEN('Ch6'!H445)=0,"",'Ch6'!H445)</f>
        <v/>
      </c>
      <c r="C762" s="254" t="str">
        <f t="shared" si="12"/>
        <v/>
      </c>
      <c r="D762" s="669"/>
      <c r="E762" s="669"/>
      <c r="F762" s="1380"/>
      <c r="G762" s="1961"/>
      <c r="H762" s="94"/>
      <c r="J762" s="1204"/>
    </row>
    <row r="763" spans="1:10" x14ac:dyDescent="0.25">
      <c r="A763" s="585" t="str">
        <f>IF(OR(LEN(H764)&gt;0,LEN(H770)&gt;0,LEN(H776)&gt;0,LEN(H782)&gt;0),"P","")</f>
        <v/>
      </c>
      <c r="B763" s="254" t="str">
        <f>IF(LEN('Ch6'!H446)=0,"",'Ch6'!H446)</f>
        <v/>
      </c>
      <c r="C763" s="254" t="str">
        <f t="shared" si="12"/>
        <v/>
      </c>
      <c r="D763" s="139" t="s">
        <v>719</v>
      </c>
      <c r="E763" s="139"/>
      <c r="F763" s="139"/>
      <c r="G763" s="1782" t="s">
        <v>720</v>
      </c>
      <c r="H763" s="94"/>
      <c r="J763" s="1950" t="s">
        <v>4979</v>
      </c>
    </row>
    <row r="764" spans="1:10" x14ac:dyDescent="0.25">
      <c r="A764" s="585" t="str">
        <f t="shared" ref="A764:A771" si="13">A763</f>
        <v/>
      </c>
      <c r="B764" s="254" t="str">
        <f>IF(LEN('Ch6'!H447)=0,"",'Ch6'!H447)</f>
        <v/>
      </c>
      <c r="C764" s="254" t="str">
        <f t="shared" si="12"/>
        <v/>
      </c>
      <c r="D764" s="139"/>
      <c r="E764" s="139"/>
      <c r="F764" s="139"/>
      <c r="G764" s="1782"/>
      <c r="H764" s="1313" t="str">
        <f>IF(LEN('Ch6'!W447)=0,"",'Ch6'!W447)</f>
        <v/>
      </c>
      <c r="J764" s="1951"/>
    </row>
    <row r="765" spans="1:10" x14ac:dyDescent="0.25">
      <c r="A765" s="585" t="str">
        <f t="shared" si="13"/>
        <v/>
      </c>
      <c r="B765" s="254" t="str">
        <f>IF(LEN('Ch6'!H448)=0,"",'Ch6'!H448)</f>
        <v/>
      </c>
      <c r="C765" s="254" t="str">
        <f t="shared" si="12"/>
        <v/>
      </c>
      <c r="D765" s="139"/>
      <c r="E765" s="139"/>
      <c r="F765" s="139"/>
      <c r="G765" s="1782"/>
      <c r="H765" s="94"/>
      <c r="J765" s="1204"/>
    </row>
    <row r="766" spans="1:10" x14ac:dyDescent="0.25">
      <c r="A766" s="585" t="str">
        <f t="shared" si="13"/>
        <v/>
      </c>
      <c r="B766" s="254" t="str">
        <f>IF(LEN('Ch6'!H449)=0,"",'Ch6'!H449)</f>
        <v/>
      </c>
      <c r="C766" s="254" t="str">
        <f t="shared" si="12"/>
        <v/>
      </c>
      <c r="D766" s="139"/>
      <c r="E766" s="139"/>
      <c r="F766" s="139"/>
      <c r="G766" s="1782"/>
      <c r="H766" s="94"/>
      <c r="J766" s="1204"/>
    </row>
    <row r="767" spans="1:10" x14ac:dyDescent="0.25">
      <c r="A767" s="585" t="str">
        <f t="shared" si="13"/>
        <v/>
      </c>
      <c r="B767" s="254" t="str">
        <f>IF(LEN('Ch6'!H450)=0,"",'Ch6'!H450)</f>
        <v/>
      </c>
      <c r="C767" s="254" t="str">
        <f t="shared" si="12"/>
        <v/>
      </c>
      <c r="D767" s="139"/>
      <c r="E767" s="139"/>
      <c r="F767" s="139"/>
      <c r="G767" s="1782"/>
      <c r="H767" s="94"/>
      <c r="J767" s="1204"/>
    </row>
    <row r="768" spans="1:10" x14ac:dyDescent="0.25">
      <c r="A768" s="585" t="str">
        <f t="shared" si="13"/>
        <v/>
      </c>
      <c r="B768" s="254" t="str">
        <f>IF(LEN('Ch6'!H451)=0,"",'Ch6'!H451)</f>
        <v/>
      </c>
      <c r="C768" s="254" t="str">
        <f t="shared" si="12"/>
        <v/>
      </c>
      <c r="D768" s="139"/>
      <c r="E768" s="139"/>
      <c r="F768" s="139"/>
      <c r="G768" s="1782"/>
      <c r="H768" s="94"/>
      <c r="J768" s="1204"/>
    </row>
    <row r="769" spans="1:10" x14ac:dyDescent="0.25">
      <c r="A769" s="585" t="str">
        <f t="shared" si="13"/>
        <v/>
      </c>
      <c r="B769" s="254" t="str">
        <f>IF(LEN('Ch6'!H452)=0,"",'Ch6'!H452)</f>
        <v/>
      </c>
      <c r="C769" s="254" t="str">
        <f t="shared" si="12"/>
        <v/>
      </c>
      <c r="D769" s="139"/>
      <c r="E769" s="139"/>
      <c r="F769" s="139"/>
      <c r="G769" s="1782"/>
      <c r="H769" s="94"/>
      <c r="J769" s="1204"/>
    </row>
    <row r="770" spans="1:10" x14ac:dyDescent="0.25">
      <c r="A770" s="585" t="str">
        <f t="shared" si="13"/>
        <v/>
      </c>
      <c r="B770" s="254" t="str">
        <f>IF(LEN('Ch6'!H453)=0,"",'Ch6'!H453)</f>
        <v/>
      </c>
      <c r="C770" s="254" t="str">
        <f t="shared" si="12"/>
        <v/>
      </c>
      <c r="D770" s="139"/>
      <c r="E770" s="139"/>
      <c r="F770" s="139"/>
      <c r="G770" s="1782"/>
      <c r="H770" s="94"/>
      <c r="J770" s="1204"/>
    </row>
    <row r="771" spans="1:10" x14ac:dyDescent="0.25">
      <c r="A771" s="585" t="str">
        <f t="shared" si="13"/>
        <v/>
      </c>
      <c r="B771" s="254" t="str">
        <f>IF(LEN('Ch6'!H454)=0,"",'Ch6'!H454)</f>
        <v/>
      </c>
      <c r="C771" s="254" t="str">
        <f t="shared" si="12"/>
        <v/>
      </c>
      <c r="D771" s="139"/>
      <c r="E771" s="139"/>
      <c r="F771" s="139"/>
      <c r="G771" s="1782"/>
      <c r="H771" s="1313" t="str">
        <f>IF(LEN('Ch6'!W454)=0,"",'Ch6'!W454)</f>
        <v/>
      </c>
      <c r="J771" s="1204"/>
    </row>
    <row r="772" spans="1:10" x14ac:dyDescent="0.25">
      <c r="B772" s="254" t="str">
        <f>IF(LEN('Ch6'!H455)=0,"",'Ch6'!H455)</f>
        <v/>
      </c>
      <c r="C772" s="254" t="str">
        <f t="shared" si="12"/>
        <v/>
      </c>
      <c r="D772" s="139"/>
      <c r="E772" s="139"/>
      <c r="F772" s="667" t="s">
        <v>121</v>
      </c>
      <c r="G772" s="1225" t="s">
        <v>721</v>
      </c>
      <c r="H772" s="94"/>
      <c r="J772" s="1204"/>
    </row>
    <row r="773" spans="1:10" x14ac:dyDescent="0.25">
      <c r="B773" s="254" t="str">
        <f>IF(LEN('Ch6'!H456)=0,"",'Ch6'!H456)</f>
        <v/>
      </c>
      <c r="C773" s="254" t="str">
        <f t="shared" si="12"/>
        <v/>
      </c>
      <c r="D773" s="139"/>
      <c r="E773" s="139"/>
      <c r="F773" s="667" t="s">
        <v>122</v>
      </c>
      <c r="G773" s="1225" t="s">
        <v>722</v>
      </c>
      <c r="H773" s="94"/>
      <c r="J773" s="1204"/>
    </row>
    <row r="774" spans="1:10" x14ac:dyDescent="0.25">
      <c r="B774" s="254" t="str">
        <f>IF(LEN('Ch6'!H457)=0,"",'Ch6'!H457)</f>
        <v/>
      </c>
      <c r="C774" s="254" t="str">
        <f t="shared" si="12"/>
        <v/>
      </c>
      <c r="D774" s="139"/>
      <c r="E774" s="139"/>
      <c r="F774" s="667" t="s">
        <v>123</v>
      </c>
      <c r="G774" s="1225" t="s">
        <v>723</v>
      </c>
      <c r="H774" s="94"/>
      <c r="J774" s="1204"/>
    </row>
    <row r="775" spans="1:10" x14ac:dyDescent="0.25">
      <c r="B775" s="254" t="str">
        <f>IF(LEN('Ch6'!H458)=0,"",'Ch6'!H458)</f>
        <v/>
      </c>
      <c r="C775" s="254" t="str">
        <f t="shared" si="12"/>
        <v/>
      </c>
      <c r="D775" s="139"/>
      <c r="E775" s="139"/>
      <c r="F775" s="685" t="s">
        <v>401</v>
      </c>
      <c r="G775" s="1225" t="s">
        <v>724</v>
      </c>
      <c r="H775" s="94"/>
      <c r="J775" s="1204"/>
    </row>
    <row r="776" spans="1:10" x14ac:dyDescent="0.25">
      <c r="B776" s="254" t="str">
        <f>IF(LEN('Ch6'!H459)=0,"",'Ch6'!H459)</f>
        <v/>
      </c>
      <c r="C776" s="254" t="str">
        <f t="shared" ref="C776:C839" si="14">IF(LEN(B776)=0,IF(A776="P","P",""),B776)</f>
        <v/>
      </c>
      <c r="D776" s="139"/>
      <c r="E776" s="139"/>
      <c r="F776" s="139"/>
      <c r="G776" s="1793" t="s">
        <v>725</v>
      </c>
      <c r="H776" s="94"/>
      <c r="J776" s="1204"/>
    </row>
    <row r="777" spans="1:10" x14ac:dyDescent="0.25">
      <c r="B777" s="254" t="str">
        <f>IF(LEN('Ch6'!H460)=0,"",'Ch6'!H460)</f>
        <v/>
      </c>
      <c r="C777" s="254" t="str">
        <f t="shared" si="14"/>
        <v/>
      </c>
      <c r="D777" s="139"/>
      <c r="E777" s="139"/>
      <c r="F777" s="139"/>
      <c r="G777" s="1793"/>
      <c r="H777" s="1313" t="str">
        <f>IF(LEN('Ch6'!W460)=0,"",'Ch6'!W460)</f>
        <v/>
      </c>
      <c r="J777" s="1204"/>
    </row>
    <row r="778" spans="1:10" x14ac:dyDescent="0.25">
      <c r="B778" s="254" t="str">
        <f>IF(LEN('Ch6'!H461)=0,"",'Ch6'!H461)</f>
        <v/>
      </c>
      <c r="C778" s="254" t="str">
        <f t="shared" si="14"/>
        <v/>
      </c>
      <c r="D778" s="139"/>
      <c r="E778" s="139"/>
      <c r="F778" s="667" t="s">
        <v>121</v>
      </c>
      <c r="G778" s="1225" t="s">
        <v>705</v>
      </c>
      <c r="H778" s="94"/>
      <c r="J778" s="1204"/>
    </row>
    <row r="779" spans="1:10" x14ac:dyDescent="0.25">
      <c r="B779" s="254" t="str">
        <f>IF(LEN('Ch6'!H462)=0,"",'Ch6'!H462)</f>
        <v/>
      </c>
      <c r="C779" s="254" t="str">
        <f t="shared" si="14"/>
        <v/>
      </c>
      <c r="D779" s="139"/>
      <c r="E779" s="139"/>
      <c r="F779" s="667" t="s">
        <v>122</v>
      </c>
      <c r="G779" s="1225" t="s">
        <v>706</v>
      </c>
      <c r="H779" s="94"/>
      <c r="J779" s="1204"/>
    </row>
    <row r="780" spans="1:10" x14ac:dyDescent="0.25">
      <c r="B780" s="254" t="str">
        <f>IF(LEN('Ch6'!H463)=0,"",'Ch6'!H463)</f>
        <v/>
      </c>
      <c r="C780" s="254" t="str">
        <f t="shared" si="14"/>
        <v/>
      </c>
      <c r="D780" s="139"/>
      <c r="E780" s="139"/>
      <c r="F780" s="667" t="s">
        <v>123</v>
      </c>
      <c r="G780" s="1225" t="s">
        <v>707</v>
      </c>
      <c r="H780" s="94"/>
      <c r="J780" s="1204"/>
    </row>
    <row r="781" spans="1:10" x14ac:dyDescent="0.25">
      <c r="B781" s="254" t="str">
        <f>IF(LEN('Ch6'!H464)=0,"",'Ch6'!H464)</f>
        <v/>
      </c>
      <c r="C781" s="254" t="str">
        <f t="shared" si="14"/>
        <v/>
      </c>
      <c r="D781" s="139"/>
      <c r="E781" s="139"/>
      <c r="F781" s="685" t="s">
        <v>401</v>
      </c>
      <c r="G781" s="1225" t="s">
        <v>708</v>
      </c>
      <c r="H781" s="94"/>
      <c r="J781" s="1204"/>
    </row>
    <row r="782" spans="1:10" x14ac:dyDescent="0.25">
      <c r="B782" s="254" t="str">
        <f>IF(LEN('Ch6'!H465)=0,"",'Ch6'!H465)</f>
        <v/>
      </c>
      <c r="C782" s="254" t="str">
        <f t="shared" si="14"/>
        <v/>
      </c>
      <c r="D782" s="139"/>
      <c r="E782" s="139"/>
      <c r="F782" s="139" t="s">
        <v>539</v>
      </c>
      <c r="G782" s="1225" t="s">
        <v>709</v>
      </c>
      <c r="H782" s="94"/>
      <c r="J782" s="1204"/>
    </row>
    <row r="783" spans="1:10" x14ac:dyDescent="0.25">
      <c r="B783" s="254" t="str">
        <f>IF(LEN('Ch6'!H466)=0,"",'Ch6'!H466)</f>
        <v/>
      </c>
      <c r="C783" s="254" t="str">
        <f t="shared" si="14"/>
        <v/>
      </c>
      <c r="D783" s="139"/>
      <c r="E783" s="139"/>
      <c r="F783" s="667" t="s">
        <v>604</v>
      </c>
      <c r="G783" s="1225" t="s">
        <v>710</v>
      </c>
      <c r="H783" s="1313" t="str">
        <f>IF(LEN('Ch6'!W466)=0,"",'Ch6'!W466)</f>
        <v/>
      </c>
      <c r="J783" s="1204"/>
    </row>
    <row r="784" spans="1:10" x14ac:dyDescent="0.25">
      <c r="B784" s="254" t="str">
        <f>IF(LEN('Ch6'!H467)=0,"",'Ch6'!H467)</f>
        <v/>
      </c>
      <c r="C784" s="254" t="str">
        <f t="shared" si="14"/>
        <v/>
      </c>
      <c r="D784" s="139"/>
      <c r="E784" s="139"/>
      <c r="F784" s="139"/>
      <c r="G784" s="1860" t="s">
        <v>726</v>
      </c>
      <c r="H784" s="94"/>
      <c r="J784" s="1204"/>
    </row>
    <row r="785" spans="1:10" x14ac:dyDescent="0.25">
      <c r="B785" s="254" t="str">
        <f>IF(LEN('Ch6'!H468)=0,"",'Ch6'!H468)</f>
        <v/>
      </c>
      <c r="C785" s="254" t="str">
        <f t="shared" si="14"/>
        <v/>
      </c>
      <c r="D785" s="139"/>
      <c r="E785" s="139"/>
      <c r="F785" s="139"/>
      <c r="G785" s="1860"/>
      <c r="H785" s="94"/>
      <c r="J785" s="1204"/>
    </row>
    <row r="786" spans="1:10" x14ac:dyDescent="0.25">
      <c r="B786" s="254" t="str">
        <f>IF(LEN('Ch6'!H469)=0,"",'Ch6'!H469)</f>
        <v/>
      </c>
      <c r="C786" s="254" t="str">
        <f t="shared" si="14"/>
        <v/>
      </c>
      <c r="D786" s="139"/>
      <c r="E786" s="139"/>
      <c r="F786" s="139"/>
      <c r="G786" s="1959" t="s">
        <v>3114</v>
      </c>
      <c r="H786" s="94"/>
      <c r="J786" s="1204"/>
    </row>
    <row r="787" spans="1:10" x14ac:dyDescent="0.25">
      <c r="B787" s="254" t="str">
        <f>IF(LEN('Ch6'!H470)=0,"",'Ch6'!H470)</f>
        <v/>
      </c>
      <c r="C787" s="254" t="str">
        <f t="shared" si="14"/>
        <v/>
      </c>
      <c r="D787" s="139"/>
      <c r="E787" s="139"/>
      <c r="F787" s="139"/>
      <c r="G787" s="1960"/>
      <c r="H787" s="94"/>
      <c r="J787" s="1204"/>
    </row>
    <row r="788" spans="1:10" ht="18.75" x14ac:dyDescent="0.25">
      <c r="A788" s="585" t="s">
        <v>3974</v>
      </c>
      <c r="B788" s="254" t="str">
        <f>IF(LEN('Ch6'!H471)=0,"",'Ch6'!H471)</f>
        <v/>
      </c>
      <c r="C788" s="254" t="str">
        <f t="shared" si="14"/>
        <v>P</v>
      </c>
      <c r="D788" s="1393" t="s">
        <v>4871</v>
      </c>
      <c r="E788" s="1393"/>
      <c r="F788" s="1393"/>
      <c r="G788" s="1001"/>
      <c r="H788" s="94"/>
      <c r="J788" s="1204"/>
    </row>
    <row r="789" spans="1:10" x14ac:dyDescent="0.25">
      <c r="A789" s="585" t="str">
        <f>IF(I789&gt;0,"P","")</f>
        <v/>
      </c>
      <c r="B789" s="254" t="str">
        <f>IF(LEN('Ch6'!H472)=0,"",'Ch6'!H472)</f>
        <v/>
      </c>
      <c r="C789" s="254" t="str">
        <f t="shared" si="14"/>
        <v/>
      </c>
      <c r="D789" s="101">
        <v>611.1</v>
      </c>
      <c r="E789" s="101"/>
      <c r="F789" s="101"/>
      <c r="G789" s="1782" t="s">
        <v>4189</v>
      </c>
      <c r="H789" s="94"/>
      <c r="I789" s="86">
        <f>'Ch6'!O472</f>
        <v>0</v>
      </c>
      <c r="J789" s="1204"/>
    </row>
    <row r="790" spans="1:10" x14ac:dyDescent="0.25">
      <c r="A790" s="585" t="str">
        <f>A789</f>
        <v/>
      </c>
      <c r="B790" s="254" t="str">
        <f>IF(LEN('Ch6'!H473)=0,"",'Ch6'!H473)</f>
        <v/>
      </c>
      <c r="C790" s="254" t="str">
        <f t="shared" si="14"/>
        <v/>
      </c>
      <c r="D790" s="139"/>
      <c r="E790" s="139"/>
      <c r="F790" s="139"/>
      <c r="G790" s="1782"/>
      <c r="H790" s="94"/>
      <c r="J790" s="1204"/>
    </row>
    <row r="791" spans="1:10" x14ac:dyDescent="0.25">
      <c r="A791" s="585" t="str">
        <f>A790</f>
        <v/>
      </c>
      <c r="B791" s="254" t="str">
        <f>IF(LEN('Ch6'!H474)=0,"",'Ch6'!H474)</f>
        <v/>
      </c>
      <c r="C791" s="254" t="str">
        <f t="shared" si="14"/>
        <v/>
      </c>
      <c r="D791" s="139"/>
      <c r="E791" s="139"/>
      <c r="F791" s="139"/>
      <c r="G791" s="1782"/>
      <c r="H791" s="94"/>
      <c r="J791" s="1204"/>
    </row>
    <row r="792" spans="1:10" x14ac:dyDescent="0.25">
      <c r="A792" s="585" t="str">
        <f>A791</f>
        <v/>
      </c>
      <c r="B792" s="254" t="str">
        <f>IF(LEN('Ch6'!H475)=0,"",'Ch6'!H475)</f>
        <v/>
      </c>
      <c r="C792" s="254" t="str">
        <f t="shared" si="14"/>
        <v/>
      </c>
      <c r="D792" s="139"/>
      <c r="E792" s="139"/>
      <c r="F792" s="139"/>
      <c r="G792" s="1782"/>
      <c r="H792" s="94"/>
      <c r="J792" s="1204"/>
    </row>
    <row r="793" spans="1:10" x14ac:dyDescent="0.25">
      <c r="A793" s="585" t="str">
        <f>A792</f>
        <v/>
      </c>
      <c r="B793" s="254" t="str">
        <f>IF(LEN('Ch6'!H476)=0,"",'Ch6'!H476)</f>
        <v/>
      </c>
      <c r="C793" s="254" t="str">
        <f t="shared" si="14"/>
        <v/>
      </c>
      <c r="D793" s="669"/>
      <c r="E793" s="669"/>
      <c r="F793" s="669"/>
      <c r="G793" s="1843"/>
      <c r="H793" s="94"/>
      <c r="J793" s="1204"/>
    </row>
    <row r="794" spans="1:10" x14ac:dyDescent="0.25">
      <c r="A794" s="2363" t="str">
        <f>IF(COUNTIF(A795,"P")&gt;0,"P","")</f>
        <v/>
      </c>
      <c r="B794" s="254" t="str">
        <f>IF(LEN('Ch6'!H477)=0,"",'Ch6'!H477)</f>
        <v/>
      </c>
      <c r="C794" s="254" t="str">
        <f t="shared" si="14"/>
        <v/>
      </c>
      <c r="D794" s="139" t="s">
        <v>4190</v>
      </c>
      <c r="E794" s="139"/>
      <c r="F794" s="139"/>
      <c r="G794" s="1862" t="s">
        <v>4818</v>
      </c>
      <c r="H794" s="94"/>
      <c r="J794" s="1204" t="s">
        <v>4980</v>
      </c>
    </row>
    <row r="795" spans="1:10" x14ac:dyDescent="0.25">
      <c r="A795" s="585" t="str">
        <f>IF(AND(LEN(H795)&gt;0,NOT(H795=FALSE)),"P","")</f>
        <v/>
      </c>
      <c r="B795" s="254" t="str">
        <f>IF(LEN('Ch6'!H478)=0,"",'Ch6'!H478)</f>
        <v/>
      </c>
      <c r="C795" s="254" t="str">
        <f t="shared" si="14"/>
        <v/>
      </c>
      <c r="D795" s="139"/>
      <c r="E795" s="139"/>
      <c r="F795" s="139"/>
      <c r="G795" s="1862"/>
      <c r="H795" s="1313" t="str">
        <f>IF(LEN('Ch6'!W478)=0,"",'Ch6'!W478)</f>
        <v/>
      </c>
      <c r="J795" s="1204"/>
    </row>
    <row r="796" spans="1:10" x14ac:dyDescent="0.25">
      <c r="A796" s="585" t="str">
        <f t="shared" ref="A796:A803" si="15">A795</f>
        <v/>
      </c>
      <c r="B796" s="254" t="str">
        <f>IF(LEN('Ch6'!H479)=0,"",'Ch6'!H479)</f>
        <v/>
      </c>
      <c r="C796" s="254" t="str">
        <f t="shared" si="14"/>
        <v/>
      </c>
      <c r="D796" s="139"/>
      <c r="E796" s="139"/>
      <c r="F796" s="139"/>
      <c r="G796" s="1862"/>
      <c r="H796" s="94"/>
      <c r="J796" s="1204"/>
    </row>
    <row r="797" spans="1:10" x14ac:dyDescent="0.25">
      <c r="A797" s="585" t="str">
        <f t="shared" si="15"/>
        <v/>
      </c>
      <c r="B797" s="254" t="str">
        <f>IF(LEN('Ch6'!H480)=0,"",'Ch6'!H480)</f>
        <v/>
      </c>
      <c r="C797" s="254" t="str">
        <f t="shared" si="14"/>
        <v/>
      </c>
      <c r="D797" s="139"/>
      <c r="E797" s="139"/>
      <c r="F797" s="139"/>
      <c r="G797" s="1862"/>
      <c r="H797" s="94"/>
      <c r="J797" s="1204"/>
    </row>
    <row r="798" spans="1:10" x14ac:dyDescent="0.25">
      <c r="A798" s="585" t="str">
        <f t="shared" si="15"/>
        <v/>
      </c>
      <c r="B798" s="254" t="str">
        <f>IF(LEN('Ch6'!H481)=0,"",'Ch6'!H481)</f>
        <v/>
      </c>
      <c r="C798" s="254" t="str">
        <f t="shared" si="14"/>
        <v/>
      </c>
      <c r="D798" s="139"/>
      <c r="E798" s="139"/>
      <c r="F798" s="139"/>
      <c r="G798" s="1862"/>
      <c r="H798" s="94"/>
      <c r="J798" s="1204"/>
    </row>
    <row r="799" spans="1:10" x14ac:dyDescent="0.25">
      <c r="A799" s="585" t="str">
        <f t="shared" si="15"/>
        <v/>
      </c>
      <c r="B799" s="254" t="str">
        <f>IF(LEN('Ch6'!H482)=0,"",'Ch6'!H482)</f>
        <v/>
      </c>
      <c r="C799" s="254" t="str">
        <f t="shared" si="14"/>
        <v/>
      </c>
      <c r="D799" s="139"/>
      <c r="E799" s="139"/>
      <c r="F799" s="139"/>
      <c r="G799" s="1862"/>
      <c r="H799" s="94"/>
      <c r="J799" s="1204"/>
    </row>
    <row r="800" spans="1:10" x14ac:dyDescent="0.25">
      <c r="A800" s="585" t="str">
        <f t="shared" si="15"/>
        <v/>
      </c>
      <c r="B800" s="254" t="str">
        <f>IF(LEN('Ch6'!H483)=0,"",'Ch6'!H483)</f>
        <v/>
      </c>
      <c r="C800" s="254" t="str">
        <f t="shared" si="14"/>
        <v/>
      </c>
      <c r="D800" s="139"/>
      <c r="E800" s="139"/>
      <c r="F800" s="139"/>
      <c r="G800" s="1862"/>
      <c r="H800" s="94"/>
      <c r="J800" s="1204"/>
    </row>
    <row r="801" spans="1:10" x14ac:dyDescent="0.25">
      <c r="A801" s="585" t="str">
        <f t="shared" si="15"/>
        <v/>
      </c>
      <c r="B801" s="254" t="str">
        <f>IF(LEN('Ch6'!H484)=0,"",'Ch6'!H484)</f>
        <v/>
      </c>
      <c r="C801" s="254" t="str">
        <f t="shared" si="14"/>
        <v/>
      </c>
      <c r="D801" s="139"/>
      <c r="E801" s="139"/>
      <c r="F801" s="139"/>
      <c r="G801" s="1862"/>
      <c r="H801" s="94"/>
      <c r="J801" s="1204"/>
    </row>
    <row r="802" spans="1:10" x14ac:dyDescent="0.25">
      <c r="A802" s="585" t="str">
        <f t="shared" si="15"/>
        <v/>
      </c>
      <c r="B802" s="254" t="str">
        <f>IF(LEN('Ch6'!H485)=0,"",'Ch6'!H485)</f>
        <v/>
      </c>
      <c r="C802" s="254" t="str">
        <f t="shared" si="14"/>
        <v/>
      </c>
      <c r="D802" s="139"/>
      <c r="E802" s="139"/>
      <c r="F802" s="139"/>
      <c r="G802" s="1862"/>
      <c r="H802" s="94"/>
      <c r="J802" s="1204"/>
    </row>
    <row r="803" spans="1:10" x14ac:dyDescent="0.25">
      <c r="A803" s="585" t="str">
        <f t="shared" si="15"/>
        <v/>
      </c>
      <c r="B803" s="254" t="str">
        <f>IF(LEN('Ch6'!H486)=0,"",'Ch6'!H486)</f>
        <v/>
      </c>
      <c r="C803" s="254" t="str">
        <f t="shared" si="14"/>
        <v/>
      </c>
      <c r="D803" s="669"/>
      <c r="E803" s="669"/>
      <c r="F803" s="669"/>
      <c r="G803" s="1314" t="s">
        <v>3138</v>
      </c>
      <c r="H803" s="94"/>
      <c r="J803" s="1204"/>
    </row>
    <row r="804" spans="1:10" x14ac:dyDescent="0.25">
      <c r="A804" s="2363" t="str">
        <f>IF(COUNTIF(A806,"P")&gt;0,"P","")</f>
        <v/>
      </c>
      <c r="B804" s="254" t="str">
        <f>IF(LEN('Ch6'!H487)=0,"",'Ch6'!H487)</f>
        <v/>
      </c>
      <c r="C804" s="254" t="str">
        <f t="shared" si="14"/>
        <v/>
      </c>
      <c r="D804" s="139" t="s">
        <v>4191</v>
      </c>
      <c r="E804" s="139"/>
      <c r="F804" s="139"/>
      <c r="G804" s="1862" t="s">
        <v>4819</v>
      </c>
      <c r="H804" s="1847"/>
      <c r="J804" s="1204" t="s">
        <v>4981</v>
      </c>
    </row>
    <row r="805" spans="1:10" x14ac:dyDescent="0.25">
      <c r="A805" s="585" t="str">
        <f>A804</f>
        <v/>
      </c>
      <c r="B805" s="254" t="str">
        <f>IF(LEN('Ch6'!H488)=0,"",'Ch6'!H488)</f>
        <v/>
      </c>
      <c r="C805" s="254" t="str">
        <f t="shared" si="14"/>
        <v/>
      </c>
      <c r="D805" s="139"/>
      <c r="E805" s="139"/>
      <c r="F805" s="139"/>
      <c r="G805" s="1862"/>
      <c r="H805" s="1847"/>
      <c r="J805" s="1204"/>
    </row>
    <row r="806" spans="1:10" x14ac:dyDescent="0.25">
      <c r="A806" s="585" t="str">
        <f>IF(AND(LEN(H806)&gt;0,NOT(H806=FALSE)),"P","")</f>
        <v/>
      </c>
      <c r="B806" s="254" t="str">
        <f>IF(LEN('Ch6'!H489)=0,"",'Ch6'!H489)</f>
        <v/>
      </c>
      <c r="C806" s="254" t="str">
        <f t="shared" si="14"/>
        <v/>
      </c>
      <c r="D806" s="139"/>
      <c r="E806" s="139"/>
      <c r="F806" s="139"/>
      <c r="G806" s="1862"/>
      <c r="H806" s="1313" t="str">
        <f>IF(LEN('Ch6'!W489)=0,"",'Ch6'!W489)</f>
        <v/>
      </c>
      <c r="J806" s="1204"/>
    </row>
    <row r="807" spans="1:10" x14ac:dyDescent="0.25">
      <c r="A807" s="585" t="str">
        <f>A806</f>
        <v/>
      </c>
      <c r="B807" s="254" t="str">
        <f>IF(LEN('Ch6'!H490)=0,"",'Ch6'!H490)</f>
        <v/>
      </c>
      <c r="C807" s="254" t="str">
        <f t="shared" si="14"/>
        <v/>
      </c>
      <c r="D807" s="139"/>
      <c r="E807" s="139"/>
      <c r="F807" s="139"/>
      <c r="G807" s="1862"/>
      <c r="H807" s="94"/>
      <c r="J807" s="1204"/>
    </row>
    <row r="808" spans="1:10" x14ac:dyDescent="0.25">
      <c r="A808" s="585" t="str">
        <f>A807</f>
        <v/>
      </c>
      <c r="B808" s="254" t="str">
        <f>IF(LEN('Ch6'!H491)=0,"",'Ch6'!H491)</f>
        <v/>
      </c>
      <c r="C808" s="254" t="str">
        <f t="shared" si="14"/>
        <v/>
      </c>
      <c r="D808" s="139"/>
      <c r="E808" s="139"/>
      <c r="F808" s="139"/>
      <c r="G808" s="1862"/>
      <c r="H808" s="94"/>
      <c r="J808" s="1204"/>
    </row>
    <row r="809" spans="1:10" x14ac:dyDescent="0.25">
      <c r="A809" s="585" t="str">
        <f>A808</f>
        <v/>
      </c>
      <c r="B809" s="254" t="str">
        <f>IF(LEN('Ch6'!H492)=0,"",'Ch6'!H492)</f>
        <v/>
      </c>
      <c r="C809" s="254" t="str">
        <f t="shared" si="14"/>
        <v/>
      </c>
      <c r="D809" s="139"/>
      <c r="E809" s="139"/>
      <c r="F809" s="139"/>
      <c r="G809" s="1862"/>
      <c r="H809" s="94"/>
      <c r="J809" s="1204"/>
    </row>
    <row r="810" spans="1:10" ht="15.75" thickBot="1" x14ac:dyDescent="0.3">
      <c r="B810" s="254" t="str">
        <f>IF(LEN('Ch6'!H493)=0,"",'Ch6'!H493)</f>
        <v/>
      </c>
      <c r="C810" s="254" t="str">
        <f t="shared" si="14"/>
        <v/>
      </c>
      <c r="D810" s="1386"/>
      <c r="E810" s="1386"/>
      <c r="F810" s="1386"/>
      <c r="G810" s="1317" t="s">
        <v>3138</v>
      </c>
      <c r="H810" s="94"/>
      <c r="J810" s="1204"/>
    </row>
    <row r="811" spans="1:10" ht="19.5" thickTop="1" x14ac:dyDescent="0.25">
      <c r="A811" s="585" t="s">
        <v>3974</v>
      </c>
      <c r="B811" s="254" t="str">
        <f>IF(LEN('Ch6'!H494)=0,"",'Ch6'!H494)</f>
        <v/>
      </c>
      <c r="C811" s="254" t="str">
        <f t="shared" si="14"/>
        <v>P</v>
      </c>
      <c r="D811" s="1388" t="s">
        <v>4185</v>
      </c>
      <c r="E811" s="1388"/>
      <c r="F811" s="1388"/>
      <c r="G811" s="1001"/>
      <c r="H811" s="94"/>
      <c r="J811" s="1204"/>
    </row>
    <row r="812" spans="1:10" x14ac:dyDescent="0.25">
      <c r="A812" s="585" t="str">
        <f ca="1">IF(I812&gt;0,"P","")</f>
        <v/>
      </c>
      <c r="B812" s="254" t="str">
        <f>IF(LEN('Ch6'!H495)=0,"",'Ch6'!H495)</f>
        <v/>
      </c>
      <c r="C812" s="254" t="str">
        <f t="shared" ca="1" si="14"/>
        <v/>
      </c>
      <c r="D812" s="139">
        <v>612.1</v>
      </c>
      <c r="E812" s="139"/>
      <c r="F812" s="139"/>
      <c r="G812" s="1782" t="s">
        <v>4186</v>
      </c>
      <c r="H812" s="1313" t="str">
        <f>IF(LEN('Ch6'!W495)=0,"",'Ch6'!W495)</f>
        <v/>
      </c>
      <c r="I812" s="86">
        <f ca="1">'Ch6'!O495</f>
        <v>0</v>
      </c>
      <c r="J812" s="1950" t="s">
        <v>3911</v>
      </c>
    </row>
    <row r="813" spans="1:10" x14ac:dyDescent="0.25">
      <c r="A813" s="585" t="str">
        <f ca="1">A812</f>
        <v/>
      </c>
      <c r="B813" s="254" t="str">
        <f>IF(LEN('Ch6'!H496)=0,"",'Ch6'!H496)</f>
        <v/>
      </c>
      <c r="C813" s="254" t="str">
        <f t="shared" ca="1" si="14"/>
        <v/>
      </c>
      <c r="D813" s="139"/>
      <c r="E813" s="139"/>
      <c r="F813" s="139"/>
      <c r="G813" s="1782"/>
      <c r="H813" s="94"/>
      <c r="J813" s="1954"/>
    </row>
    <row r="814" spans="1:10" x14ac:dyDescent="0.25">
      <c r="A814" s="585" t="str">
        <f ca="1">A813</f>
        <v/>
      </c>
      <c r="B814" s="254" t="str">
        <f>IF(LEN('Ch6'!H497)=0,"",'Ch6'!H497)</f>
        <v/>
      </c>
      <c r="C814" s="254" t="str">
        <f t="shared" ca="1" si="14"/>
        <v/>
      </c>
      <c r="D814" s="139"/>
      <c r="E814" s="139"/>
      <c r="F814" s="139"/>
      <c r="G814" s="1782"/>
      <c r="H814" s="94"/>
      <c r="J814" s="1951"/>
    </row>
    <row r="815" spans="1:10" x14ac:dyDescent="0.25">
      <c r="A815" s="585" t="str">
        <f ca="1">A814</f>
        <v/>
      </c>
      <c r="B815" s="254" t="str">
        <f>IF(LEN('Ch6'!H498)=0,"",'Ch6'!H498)</f>
        <v/>
      </c>
      <c r="C815" s="254" t="str">
        <f t="shared" ca="1" si="14"/>
        <v/>
      </c>
      <c r="D815" s="139"/>
      <c r="E815" s="139"/>
      <c r="F815" s="139"/>
      <c r="G815" s="1782"/>
      <c r="H815" s="94"/>
      <c r="J815" s="1204"/>
    </row>
    <row r="816" spans="1:10" x14ac:dyDescent="0.25">
      <c r="A816" s="585" t="str">
        <f ca="1">A815</f>
        <v/>
      </c>
      <c r="B816" s="254" t="str">
        <f>IF(LEN('Ch6'!H499)=0,"",'Ch6'!H499)</f>
        <v/>
      </c>
      <c r="C816" s="254" t="str">
        <f t="shared" ca="1" si="14"/>
        <v/>
      </c>
      <c r="D816" s="139"/>
      <c r="E816" s="139"/>
      <c r="F816" s="139"/>
      <c r="G816" s="1782"/>
      <c r="H816" s="94"/>
      <c r="J816" s="1204"/>
    </row>
    <row r="817" spans="1:10" x14ac:dyDescent="0.25">
      <c r="B817" s="254" t="str">
        <f>IF(LEN('Ch6'!H500)=0,"",'Ch6'!H500)</f>
        <v/>
      </c>
      <c r="C817" s="254" t="str">
        <f t="shared" si="14"/>
        <v/>
      </c>
      <c r="D817" s="139"/>
      <c r="E817" s="139"/>
      <c r="F817" s="139"/>
      <c r="G817" s="1323" t="s">
        <v>727</v>
      </c>
      <c r="H817" s="94"/>
      <c r="J817" s="1204"/>
    </row>
    <row r="818" spans="1:10" x14ac:dyDescent="0.25">
      <c r="B818" s="254" t="str">
        <f>IF(LEN('Ch6'!H501)=0,"",'Ch6'!H501)</f>
        <v/>
      </c>
      <c r="C818" s="254" t="str">
        <f t="shared" si="14"/>
        <v/>
      </c>
      <c r="D818" s="139"/>
      <c r="E818" s="139"/>
      <c r="F818" s="139"/>
      <c r="G818" s="1958" t="s">
        <v>4859</v>
      </c>
      <c r="H818" s="94"/>
      <c r="J818" s="1204"/>
    </row>
    <row r="819" spans="1:10" ht="15.75" thickBot="1" x14ac:dyDescent="0.3">
      <c r="B819" s="254" t="str">
        <f>IF(LEN('Ch6'!H502)=0,"",'Ch6'!H502)</f>
        <v/>
      </c>
      <c r="C819" s="254" t="str">
        <f t="shared" si="14"/>
        <v/>
      </c>
      <c r="D819" s="139"/>
      <c r="E819" s="139"/>
      <c r="F819" s="139"/>
      <c r="G819" s="1959"/>
      <c r="H819" s="94"/>
      <c r="J819" s="1204"/>
    </row>
    <row r="820" spans="1:10" ht="15.75" thickTop="1" x14ac:dyDescent="0.25">
      <c r="A820" s="585" t="str">
        <f>IF(I820&gt;0,"P","")</f>
        <v/>
      </c>
      <c r="B820" s="254" t="str">
        <f>IF(LEN('Ch6'!H503)=0,"",'Ch6'!H503)</f>
        <v/>
      </c>
      <c r="C820" s="254" t="str">
        <f t="shared" si="14"/>
        <v/>
      </c>
      <c r="D820" s="106">
        <v>612.20000000000005</v>
      </c>
      <c r="E820" s="106"/>
      <c r="F820" s="106"/>
      <c r="G820" s="1781" t="s">
        <v>4195</v>
      </c>
      <c r="H820" s="94"/>
      <c r="I820" s="86">
        <f>'Ch6'!O503</f>
        <v>0</v>
      </c>
      <c r="J820" s="1204" t="s">
        <v>3912</v>
      </c>
    </row>
    <row r="821" spans="1:10" x14ac:dyDescent="0.25">
      <c r="A821" s="585" t="str">
        <f>A820</f>
        <v/>
      </c>
      <c r="B821" s="254" t="str">
        <f>IF(LEN('Ch6'!H504)=0,"",'Ch6'!H504)</f>
        <v/>
      </c>
      <c r="C821" s="254" t="str">
        <f t="shared" si="14"/>
        <v/>
      </c>
      <c r="D821" s="139"/>
      <c r="E821" s="139"/>
      <c r="F821" s="139"/>
      <c r="G821" s="1782"/>
      <c r="H821" s="94"/>
      <c r="J821" s="1204"/>
    </row>
    <row r="822" spans="1:10" x14ac:dyDescent="0.25">
      <c r="A822" s="585" t="str">
        <f>A821</f>
        <v/>
      </c>
      <c r="B822" s="254" t="str">
        <f>IF(LEN('Ch6'!H505)=0,"",'Ch6'!H505)</f>
        <v/>
      </c>
      <c r="C822" s="254" t="str">
        <f t="shared" si="14"/>
        <v/>
      </c>
      <c r="D822" s="139"/>
      <c r="E822" s="139"/>
      <c r="F822" s="139"/>
      <c r="G822" s="1782"/>
      <c r="H822" s="94"/>
      <c r="J822" s="1204"/>
    </row>
    <row r="823" spans="1:10" x14ac:dyDescent="0.25">
      <c r="B823" s="254" t="str">
        <f>IF(LEN('Ch6'!H506)=0,"",'Ch6'!H506)</f>
        <v/>
      </c>
      <c r="C823" s="254" t="str">
        <f t="shared" si="14"/>
        <v/>
      </c>
      <c r="D823" s="139"/>
      <c r="E823" s="684" t="s">
        <v>256</v>
      </c>
      <c r="F823" s="669"/>
      <c r="G823" s="1217" t="s">
        <v>4196</v>
      </c>
      <c r="H823" s="1313" t="str">
        <f>IF(LEN('Ch6'!W506)=0,"",'Ch6'!W506)</f>
        <v/>
      </c>
      <c r="J823" s="1204"/>
    </row>
    <row r="824" spans="1:10" x14ac:dyDescent="0.25">
      <c r="B824" s="254" t="str">
        <f>IF(LEN('Ch6'!H507)=0,"",'Ch6'!H507)</f>
        <v/>
      </c>
      <c r="C824" s="254" t="str">
        <f t="shared" si="14"/>
        <v/>
      </c>
      <c r="D824" s="139"/>
      <c r="E824" s="693" t="s">
        <v>258</v>
      </c>
      <c r="F824" s="671"/>
      <c r="G824" s="1769" t="s">
        <v>4197</v>
      </c>
      <c r="H824" s="1313" t="str">
        <f>IF(LEN('Ch6'!W507)=0,"",'Ch6'!W507)</f>
        <v/>
      </c>
      <c r="J824" s="1204"/>
    </row>
    <row r="825" spans="1:10" x14ac:dyDescent="0.25">
      <c r="B825" s="254" t="str">
        <f>IF(LEN('Ch6'!H508)=0,"",'Ch6'!H508)</f>
        <v/>
      </c>
      <c r="C825" s="254" t="str">
        <f t="shared" si="14"/>
        <v/>
      </c>
      <c r="E825" s="1387"/>
      <c r="F825" s="1387"/>
      <c r="G825" s="1786"/>
      <c r="H825" s="94"/>
      <c r="J825" s="1204"/>
    </row>
    <row r="826" spans="1:10" x14ac:dyDescent="0.25">
      <c r="B826" s="254" t="str">
        <f>IF(LEN('Ch6'!H509)=0,"",'Ch6'!H509)</f>
        <v/>
      </c>
      <c r="C826" s="254" t="str">
        <f t="shared" si="14"/>
        <v/>
      </c>
      <c r="D826" s="139"/>
      <c r="E826" s="693" t="s">
        <v>260</v>
      </c>
      <c r="F826" s="671"/>
      <c r="G826" s="1769" t="s">
        <v>4198</v>
      </c>
      <c r="H826" s="1313" t="str">
        <f>IF(LEN('Ch6'!W509)=0,"",'Ch6'!W509)</f>
        <v/>
      </c>
      <c r="J826" s="1204"/>
    </row>
    <row r="827" spans="1:10" x14ac:dyDescent="0.25">
      <c r="B827" s="254" t="str">
        <f>IF(LEN('Ch6'!H510)=0,"",'Ch6'!H510)</f>
        <v/>
      </c>
      <c r="C827" s="254" t="str">
        <f t="shared" si="14"/>
        <v/>
      </c>
      <c r="E827" s="1387"/>
      <c r="F827" s="1387"/>
      <c r="G827" s="1786"/>
      <c r="H827" s="94"/>
      <c r="J827" s="1204"/>
    </row>
    <row r="828" spans="1:10" x14ac:dyDescent="0.25">
      <c r="B828" s="254" t="str">
        <f>IF(LEN('Ch6'!H511)=0,"",'Ch6'!H511)</f>
        <v/>
      </c>
      <c r="C828" s="254" t="str">
        <f t="shared" si="14"/>
        <v/>
      </c>
      <c r="D828" s="139"/>
      <c r="E828" s="693" t="s">
        <v>269</v>
      </c>
      <c r="F828" s="671"/>
      <c r="G828" s="1769" t="s">
        <v>4199</v>
      </c>
      <c r="H828" s="1313" t="str">
        <f>IF(LEN('Ch6'!W511)=0,"",'Ch6'!W511)</f>
        <v/>
      </c>
      <c r="J828" s="1204"/>
    </row>
    <row r="829" spans="1:10" x14ac:dyDescent="0.25">
      <c r="B829" s="254" t="str">
        <f>IF(LEN('Ch6'!H512)=0,"",'Ch6'!H512)</f>
        <v/>
      </c>
      <c r="C829" s="254" t="str">
        <f t="shared" si="14"/>
        <v/>
      </c>
      <c r="E829" s="1387"/>
      <c r="F829" s="1387"/>
      <c r="G829" s="1786"/>
      <c r="H829" s="94"/>
      <c r="J829" s="1204"/>
    </row>
    <row r="830" spans="1:10" x14ac:dyDescent="0.25">
      <c r="B830" s="254" t="str">
        <f>IF(LEN('Ch6'!H513)=0,"",'Ch6'!H513)</f>
        <v/>
      </c>
      <c r="C830" s="254" t="str">
        <f t="shared" si="14"/>
        <v/>
      </c>
      <c r="D830" s="139"/>
      <c r="E830" s="693" t="s">
        <v>275</v>
      </c>
      <c r="F830" s="671"/>
      <c r="G830" s="1769" t="s">
        <v>4200</v>
      </c>
      <c r="H830" s="1313" t="str">
        <f>IF(LEN('Ch6'!W513)=0,"",'Ch6'!W513)</f>
        <v/>
      </c>
      <c r="J830" s="1204"/>
    </row>
    <row r="831" spans="1:10" x14ac:dyDescent="0.25">
      <c r="B831" s="254" t="str">
        <f>IF(LEN('Ch6'!H514)=0,"",'Ch6'!H514)</f>
        <v/>
      </c>
      <c r="C831" s="254" t="str">
        <f t="shared" si="14"/>
        <v/>
      </c>
      <c r="E831" s="1387"/>
      <c r="F831" s="1387"/>
      <c r="G831" s="1786"/>
      <c r="H831" s="94"/>
      <c r="J831" s="1204"/>
    </row>
    <row r="832" spans="1:10" x14ac:dyDescent="0.25">
      <c r="B832" s="254" t="str">
        <f>IF(LEN('Ch6'!H515)=0,"",'Ch6'!H515)</f>
        <v/>
      </c>
      <c r="C832" s="254" t="str">
        <f t="shared" si="14"/>
        <v/>
      </c>
      <c r="D832" s="139"/>
      <c r="E832" s="693" t="s">
        <v>277</v>
      </c>
      <c r="F832" s="671"/>
      <c r="G832" s="1769" t="s">
        <v>4201</v>
      </c>
      <c r="H832" s="1313" t="str">
        <f>IF(LEN('Ch6'!W515)=0,"",'Ch6'!W515)</f>
        <v/>
      </c>
      <c r="J832" s="1204"/>
    </row>
    <row r="833" spans="1:10" x14ac:dyDescent="0.25">
      <c r="B833" s="254" t="str">
        <f>IF(LEN('Ch6'!H516)=0,"",'Ch6'!H516)</f>
        <v/>
      </c>
      <c r="C833" s="254" t="str">
        <f t="shared" si="14"/>
        <v/>
      </c>
      <c r="E833" s="1387"/>
      <c r="F833" s="1387"/>
      <c r="G833" s="1786"/>
      <c r="H833" s="94"/>
      <c r="J833" s="1204"/>
    </row>
    <row r="834" spans="1:10" x14ac:dyDescent="0.25">
      <c r="B834" s="254" t="str">
        <f>IF(LEN('Ch6'!H517)=0,"",'Ch6'!H517)</f>
        <v/>
      </c>
      <c r="C834" s="254" t="str">
        <f t="shared" si="14"/>
        <v/>
      </c>
      <c r="D834" s="139"/>
      <c r="E834" s="667" t="s">
        <v>383</v>
      </c>
      <c r="F834" s="139"/>
      <c r="G834" s="1769" t="s">
        <v>4202</v>
      </c>
      <c r="H834" s="1313" t="str">
        <f>IF(LEN('Ch6'!W517)=0,"",'Ch6'!W517)</f>
        <v/>
      </c>
      <c r="J834" s="1204"/>
    </row>
    <row r="835" spans="1:10" ht="15.75" thickBot="1" x14ac:dyDescent="0.3">
      <c r="B835" s="254" t="str">
        <f>IF(LEN('Ch6'!H518)=0,"",'Ch6'!H518)</f>
        <v/>
      </c>
      <c r="C835" s="254" t="str">
        <f t="shared" si="14"/>
        <v/>
      </c>
      <c r="D835" s="139"/>
      <c r="E835" s="667"/>
      <c r="F835" s="139"/>
      <c r="G835" s="1766"/>
      <c r="H835" s="94"/>
      <c r="J835" s="1204"/>
    </row>
    <row r="836" spans="1:10" ht="15.75" thickTop="1" x14ac:dyDescent="0.25">
      <c r="A836" s="585" t="str">
        <f ca="1">IF(I836&gt;0,"P","")</f>
        <v/>
      </c>
      <c r="B836" s="254" t="str">
        <f>IF(LEN('Ch6'!H519)=0,"",'Ch6'!H519)</f>
        <v/>
      </c>
      <c r="C836" s="254" t="str">
        <f t="shared" ca="1" si="14"/>
        <v/>
      </c>
      <c r="D836" s="106">
        <v>612.29999999999995</v>
      </c>
      <c r="E836" s="682"/>
      <c r="F836" s="106"/>
      <c r="G836" s="1781" t="s">
        <v>4192</v>
      </c>
      <c r="H836" s="94"/>
      <c r="I836" s="86">
        <f ca="1">'Ch6'!O519</f>
        <v>0</v>
      </c>
      <c r="J836" s="1204" t="s">
        <v>3892</v>
      </c>
    </row>
    <row r="837" spans="1:10" x14ac:dyDescent="0.25">
      <c r="A837" s="585" t="str">
        <f ca="1">A836</f>
        <v/>
      </c>
      <c r="B837" s="254" t="str">
        <f>IF(LEN('Ch6'!H520)=0,"",'Ch6'!H520)</f>
        <v/>
      </c>
      <c r="C837" s="254" t="str">
        <f t="shared" ca="1" si="14"/>
        <v/>
      </c>
      <c r="D837" s="139"/>
      <c r="E837" s="139"/>
      <c r="F837" s="139"/>
      <c r="G837" s="1782"/>
      <c r="H837" s="94"/>
      <c r="J837" s="1204"/>
    </row>
    <row r="838" spans="1:10" x14ac:dyDescent="0.25">
      <c r="B838" s="254" t="str">
        <f>IF(LEN('Ch6'!H521)=0,"",'Ch6'!H521)</f>
        <v/>
      </c>
      <c r="C838" s="254" t="str">
        <f t="shared" si="14"/>
        <v/>
      </c>
      <c r="D838" s="139"/>
      <c r="E838" s="668" t="s">
        <v>256</v>
      </c>
      <c r="F838" s="101"/>
      <c r="G838" s="1754" t="s">
        <v>728</v>
      </c>
      <c r="H838" s="1313" t="str">
        <f>IF(LEN('Ch6'!W521)=0,"",'Ch6'!W521)</f>
        <v/>
      </c>
      <c r="J838" s="1204"/>
    </row>
    <row r="839" spans="1:10" x14ac:dyDescent="0.25">
      <c r="B839" s="254" t="str">
        <f>IF(LEN('Ch6'!H522)=0,"",'Ch6'!H522)</f>
        <v/>
      </c>
      <c r="C839" s="254" t="str">
        <f t="shared" si="14"/>
        <v/>
      </c>
      <c r="D839" s="139"/>
      <c r="E839" s="101"/>
      <c r="F839" s="101"/>
      <c r="G839" s="1754"/>
      <c r="H839" s="94"/>
      <c r="J839" s="1204"/>
    </row>
    <row r="840" spans="1:10" x14ac:dyDescent="0.25">
      <c r="B840" s="254" t="str">
        <f>IF(LEN('Ch6'!H523)=0,"",'Ch6'!H523)</f>
        <v/>
      </c>
      <c r="C840" s="254" t="str">
        <f t="shared" ref="C840:C910" si="16">IF(LEN(B840)=0,IF(A840="P","P",""),B840)</f>
        <v/>
      </c>
      <c r="D840" s="139"/>
      <c r="E840" s="101"/>
      <c r="F840" s="101"/>
      <c r="G840" s="1754"/>
      <c r="H840" s="94"/>
      <c r="J840" s="1204"/>
    </row>
    <row r="841" spans="1:10" x14ac:dyDescent="0.25">
      <c r="B841" s="254" t="str">
        <f>IF(LEN('Ch6'!H524)=0,"",'Ch6'!H524)</f>
        <v/>
      </c>
      <c r="C841" s="254" t="str">
        <f t="shared" si="16"/>
        <v/>
      </c>
      <c r="D841" s="139"/>
      <c r="E841" s="101"/>
      <c r="F841" s="101"/>
      <c r="G841" s="1754"/>
      <c r="H841" s="94"/>
      <c r="J841" s="1204"/>
    </row>
    <row r="842" spans="1:10" x14ac:dyDescent="0.25">
      <c r="B842" s="254" t="str">
        <f>IF(LEN('Ch6'!H525)=0,"",'Ch6'!H525)</f>
        <v/>
      </c>
      <c r="C842" s="254" t="str">
        <f t="shared" si="16"/>
        <v/>
      </c>
      <c r="D842" s="139"/>
      <c r="E842" s="669"/>
      <c r="F842" s="669"/>
      <c r="G842" s="1755"/>
      <c r="H842" s="94"/>
      <c r="J842" s="1204"/>
    </row>
    <row r="843" spans="1:10" x14ac:dyDescent="0.25">
      <c r="B843" s="254" t="str">
        <f>IF(LEN('Ch6'!H526)=0,"",'Ch6'!H526)</f>
        <v/>
      </c>
      <c r="C843" s="254" t="str">
        <f t="shared" si="16"/>
        <v/>
      </c>
      <c r="D843" s="139"/>
      <c r="E843" s="693" t="s">
        <v>258</v>
      </c>
      <c r="F843" s="671"/>
      <c r="G843" s="1778" t="s">
        <v>729</v>
      </c>
      <c r="H843" s="1313" t="str">
        <f>IF(LEN('Ch6'!W526)=0,"",'Ch6'!W526)</f>
        <v/>
      </c>
      <c r="J843" s="1204"/>
    </row>
    <row r="844" spans="1:10" x14ac:dyDescent="0.25">
      <c r="B844" s="254" t="str">
        <f>IF(LEN('Ch6'!H527)=0,"",'Ch6'!H527)</f>
        <v/>
      </c>
      <c r="C844" s="254" t="str">
        <f t="shared" si="16"/>
        <v/>
      </c>
      <c r="D844" s="139"/>
      <c r="E844" s="101"/>
      <c r="F844" s="101"/>
      <c r="G844" s="1754"/>
      <c r="H844" s="94"/>
      <c r="J844" s="1204"/>
    </row>
    <row r="845" spans="1:10" x14ac:dyDescent="0.25">
      <c r="B845" s="254" t="str">
        <f>IF(LEN('Ch6'!H528)=0,"",'Ch6'!H528)</f>
        <v/>
      </c>
      <c r="C845" s="254" t="str">
        <f t="shared" si="16"/>
        <v/>
      </c>
      <c r="D845" s="139"/>
      <c r="E845" s="101"/>
      <c r="F845" s="101"/>
      <c r="G845" s="1754"/>
      <c r="H845" s="94"/>
      <c r="J845" s="1204"/>
    </row>
    <row r="846" spans="1:10" x14ac:dyDescent="0.25">
      <c r="B846" s="254" t="str">
        <f>IF(LEN('Ch6'!H529)=0,"",'Ch6'!H529)</f>
        <v/>
      </c>
      <c r="C846" s="254" t="str">
        <f t="shared" si="16"/>
        <v/>
      </c>
      <c r="D846" s="139"/>
      <c r="E846" s="669"/>
      <c r="F846" s="669"/>
      <c r="G846" s="1755"/>
      <c r="H846" s="94"/>
      <c r="J846" s="1204"/>
    </row>
    <row r="847" spans="1:10" x14ac:dyDescent="0.25">
      <c r="B847" s="254" t="str">
        <f>IF(LEN('Ch6'!H530)=0,"",'Ch6'!H530)</f>
        <v/>
      </c>
      <c r="C847" s="254" t="str">
        <f t="shared" si="16"/>
        <v/>
      </c>
      <c r="D847" s="139"/>
      <c r="E847" s="693" t="s">
        <v>260</v>
      </c>
      <c r="F847" s="671"/>
      <c r="G847" s="1778" t="s">
        <v>730</v>
      </c>
      <c r="H847" s="1313" t="str">
        <f>IF(LEN('Ch6'!W530)=0,"",'Ch6'!W530)</f>
        <v/>
      </c>
      <c r="J847" s="1204"/>
    </row>
    <row r="848" spans="1:10" x14ac:dyDescent="0.25">
      <c r="B848" s="254" t="str">
        <f>IF(LEN('Ch6'!H531)=0,"",'Ch6'!H531)</f>
        <v/>
      </c>
      <c r="C848" s="254" t="str">
        <f t="shared" si="16"/>
        <v/>
      </c>
      <c r="D848" s="139"/>
      <c r="E848" s="669"/>
      <c r="F848" s="669"/>
      <c r="G848" s="1755"/>
      <c r="H848" s="94"/>
      <c r="J848" s="1204"/>
    </row>
    <row r="849" spans="1:10" x14ac:dyDescent="0.25">
      <c r="B849" s="254" t="str">
        <f>IF(LEN('Ch6'!H532)=0,"",'Ch6'!H532)</f>
        <v/>
      </c>
      <c r="C849" s="254" t="str">
        <f t="shared" si="16"/>
        <v/>
      </c>
      <c r="D849" s="139"/>
      <c r="E849" s="693" t="s">
        <v>269</v>
      </c>
      <c r="F849" s="671"/>
      <c r="G849" s="1778" t="s">
        <v>731</v>
      </c>
      <c r="H849" s="1313" t="str">
        <f>IF(LEN('Ch6'!W532)=0,"",'Ch6'!W532)</f>
        <v/>
      </c>
      <c r="J849" s="1204"/>
    </row>
    <row r="850" spans="1:10" x14ac:dyDescent="0.25">
      <c r="B850" s="254" t="str">
        <f>IF(LEN('Ch6'!H533)=0,"",'Ch6'!H533)</f>
        <v/>
      </c>
      <c r="C850" s="254" t="str">
        <f t="shared" si="16"/>
        <v/>
      </c>
      <c r="D850" s="139"/>
      <c r="E850" s="669"/>
      <c r="F850" s="669"/>
      <c r="G850" s="1755"/>
      <c r="H850" s="94"/>
      <c r="J850" s="1204"/>
    </row>
    <row r="851" spans="1:10" x14ac:dyDescent="0.25">
      <c r="B851" s="254" t="str">
        <f>IF(LEN('Ch6'!H534)=0,"",'Ch6'!H534)</f>
        <v/>
      </c>
      <c r="C851" s="254" t="str">
        <f t="shared" si="16"/>
        <v/>
      </c>
      <c r="D851" s="139"/>
      <c r="E851" s="691" t="s">
        <v>275</v>
      </c>
      <c r="F851" s="683"/>
      <c r="G851" s="280" t="s">
        <v>732</v>
      </c>
      <c r="H851" s="1313" t="str">
        <f>IF(LEN('Ch6'!W534)=0,"",'Ch6'!W534)</f>
        <v/>
      </c>
      <c r="J851" s="1204"/>
    </row>
    <row r="852" spans="1:10" x14ac:dyDescent="0.25">
      <c r="B852" s="254" t="str">
        <f>IF(LEN('Ch6'!H535)=0,"",'Ch6'!H535)</f>
        <v/>
      </c>
      <c r="C852" s="254" t="str">
        <f t="shared" si="16"/>
        <v/>
      </c>
      <c r="D852" s="139"/>
      <c r="E852" s="691" t="s">
        <v>277</v>
      </c>
      <c r="F852" s="683"/>
      <c r="G852" s="1216" t="s">
        <v>4203</v>
      </c>
      <c r="H852" s="1313" t="str">
        <f>IF(LEN('Ch6'!W535)=0,"",'Ch6'!W535)</f>
        <v/>
      </c>
      <c r="J852" s="1204"/>
    </row>
    <row r="853" spans="1:10" x14ac:dyDescent="0.25">
      <c r="B853" s="254" t="str">
        <f>IF(LEN('Ch6'!H536)=0,"",'Ch6'!H536)</f>
        <v/>
      </c>
      <c r="C853" s="254" t="str">
        <f t="shared" si="16"/>
        <v/>
      </c>
      <c r="D853" s="139"/>
      <c r="E853" s="693" t="s">
        <v>383</v>
      </c>
      <c r="F853" s="671"/>
      <c r="G853" s="1778" t="s">
        <v>733</v>
      </c>
      <c r="H853" s="1313" t="str">
        <f>IF(LEN('Ch6'!W536)=0,"",'Ch6'!W536)</f>
        <v/>
      </c>
      <c r="J853" s="1204"/>
    </row>
    <row r="854" spans="1:10" x14ac:dyDescent="0.25">
      <c r="B854" s="254" t="str">
        <f>IF(LEN('Ch6'!H537)=0,"",'Ch6'!H537)</f>
        <v/>
      </c>
      <c r="C854" s="254" t="str">
        <f t="shared" si="16"/>
        <v/>
      </c>
      <c r="D854" s="139"/>
      <c r="E854" s="101"/>
      <c r="F854" s="101"/>
      <c r="G854" s="1754"/>
      <c r="H854" s="94"/>
      <c r="J854" s="1204"/>
    </row>
    <row r="855" spans="1:10" x14ac:dyDescent="0.25">
      <c r="B855" s="254" t="str">
        <f>IF(LEN('Ch6'!H538)=0,"",'Ch6'!H538)</f>
        <v/>
      </c>
      <c r="C855" s="254" t="str">
        <f t="shared" si="16"/>
        <v/>
      </c>
      <c r="D855" s="139"/>
      <c r="E855" s="101"/>
      <c r="F855" s="101"/>
      <c r="G855" s="1754"/>
      <c r="H855" s="94"/>
      <c r="J855" s="1204"/>
    </row>
    <row r="856" spans="1:10" x14ac:dyDescent="0.25">
      <c r="B856" s="254" t="str">
        <f>IF(LEN('Ch6'!H539)=0,"",'Ch6'!H539)</f>
        <v/>
      </c>
      <c r="C856" s="254" t="str">
        <f t="shared" si="16"/>
        <v/>
      </c>
      <c r="D856" s="139"/>
      <c r="E856" s="669"/>
      <c r="F856" s="669"/>
      <c r="G856" s="1755"/>
      <c r="H856" s="94"/>
      <c r="J856" s="1204"/>
    </row>
    <row r="857" spans="1:10" x14ac:dyDescent="0.25">
      <c r="B857" s="254" t="str">
        <f>IF(LEN('Ch6'!H540)=0,"",'Ch6'!H540)</f>
        <v/>
      </c>
      <c r="C857" s="254" t="str">
        <f t="shared" si="16"/>
        <v/>
      </c>
      <c r="D857" s="139"/>
      <c r="E857" s="693" t="s">
        <v>428</v>
      </c>
      <c r="F857" s="671"/>
      <c r="G857" s="1778" t="s">
        <v>734</v>
      </c>
      <c r="H857" s="1313" t="str">
        <f>IF(LEN('Ch6'!W540)=0,"",'Ch6'!W540)</f>
        <v/>
      </c>
      <c r="J857" s="1204"/>
    </row>
    <row r="858" spans="1:10" x14ac:dyDescent="0.25">
      <c r="B858" s="254" t="str">
        <f>IF(LEN('Ch6'!H541)=0,"",'Ch6'!H541)</f>
        <v/>
      </c>
      <c r="C858" s="254" t="str">
        <f t="shared" si="16"/>
        <v/>
      </c>
      <c r="D858" s="139"/>
      <c r="E858" s="669"/>
      <c r="F858" s="669"/>
      <c r="G858" s="1755"/>
      <c r="H858" s="94"/>
      <c r="J858" s="1204"/>
    </row>
    <row r="859" spans="1:10" x14ac:dyDescent="0.25">
      <c r="B859" s="254" t="str">
        <f>IF(LEN('Ch6'!H542)=0,"",'Ch6'!H542)</f>
        <v/>
      </c>
      <c r="C859" s="254" t="str">
        <f t="shared" si="16"/>
        <v/>
      </c>
      <c r="D859" s="139"/>
      <c r="E859" s="667" t="s">
        <v>430</v>
      </c>
      <c r="F859" s="139"/>
      <c r="G859" s="1754" t="s">
        <v>735</v>
      </c>
      <c r="H859" s="1313" t="str">
        <f>IF(LEN('Ch6'!W542)=0,"",'Ch6'!W542)</f>
        <v/>
      </c>
      <c r="J859" s="1204"/>
    </row>
    <row r="860" spans="1:10" x14ac:dyDescent="0.25">
      <c r="B860" s="254" t="str">
        <f>IF(LEN('Ch6'!H543)=0,"",'Ch6'!H543)</f>
        <v/>
      </c>
      <c r="C860" s="254" t="str">
        <f t="shared" si="16"/>
        <v/>
      </c>
      <c r="D860" s="139"/>
      <c r="E860" s="667"/>
      <c r="F860" s="139"/>
      <c r="G860" s="1754"/>
      <c r="H860" s="94"/>
      <c r="J860" s="1204"/>
    </row>
    <row r="861" spans="1:10" x14ac:dyDescent="0.25">
      <c r="B861" s="254" t="str">
        <f>IF(LEN('Ch6'!H544)=0,"",'Ch6'!H544)</f>
        <v/>
      </c>
      <c r="C861" s="254" t="str">
        <f t="shared" si="16"/>
        <v/>
      </c>
      <c r="D861" s="139"/>
      <c r="E861" s="139"/>
      <c r="F861" s="139"/>
      <c r="G861" s="1754"/>
      <c r="H861" s="94"/>
      <c r="J861" s="1204"/>
    </row>
    <row r="862" spans="1:10" ht="18.75" x14ac:dyDescent="0.25">
      <c r="A862" s="585" t="s">
        <v>3974</v>
      </c>
      <c r="B862" s="254" t="str">
        <f>IF(LEN('Ch6'!H545)=0,"",'Ch6'!H545)</f>
        <v/>
      </c>
      <c r="C862" s="254" t="str">
        <f t="shared" si="16"/>
        <v>P</v>
      </c>
      <c r="D862" s="1394" t="s">
        <v>4904</v>
      </c>
      <c r="E862" s="1394"/>
      <c r="F862" s="1394"/>
      <c r="G862" s="1143"/>
      <c r="H862" s="94"/>
      <c r="J862" s="1256"/>
    </row>
    <row r="863" spans="1:10" x14ac:dyDescent="0.25">
      <c r="A863" s="585" t="str">
        <f ca="1">IF(I863&gt;0,"P","")</f>
        <v/>
      </c>
      <c r="B863" s="254" t="str">
        <f>IF(LEN('Ch6'!H546)=0,"",'Ch6'!H546)</f>
        <v/>
      </c>
      <c r="C863" s="254" t="str">
        <f t="shared" ca="1" si="16"/>
        <v/>
      </c>
      <c r="D863" s="101">
        <v>613.1</v>
      </c>
      <c r="E863" s="101"/>
      <c r="F863" s="101"/>
      <c r="G863" s="1782" t="s">
        <v>4215</v>
      </c>
      <c r="H863" s="1313" t="str">
        <f>IF(LEN('Ch6'!W546)=0,"",'Ch6'!W546)</f>
        <v/>
      </c>
      <c r="I863" s="86">
        <f ca="1">'Ch6'!O546</f>
        <v>0</v>
      </c>
      <c r="J863" s="1950" t="s">
        <v>4982</v>
      </c>
    </row>
    <row r="864" spans="1:10" x14ac:dyDescent="0.25">
      <c r="A864" s="585" t="str">
        <f ca="1">A863</f>
        <v/>
      </c>
      <c r="B864" s="254" t="str">
        <f>IF(LEN('Ch6'!H547)=0,"",'Ch6'!H547)</f>
        <v/>
      </c>
      <c r="C864" s="254" t="str">
        <f t="shared" ca="1" si="16"/>
        <v/>
      </c>
      <c r="D864" s="139"/>
      <c r="E864" s="139"/>
      <c r="F864" s="139"/>
      <c r="G864" s="1782"/>
      <c r="H864" s="94"/>
      <c r="J864" s="1954"/>
    </row>
    <row r="865" spans="1:10" x14ac:dyDescent="0.25">
      <c r="A865" s="585" t="str">
        <f ca="1">A864</f>
        <v/>
      </c>
      <c r="B865" s="254" t="str">
        <f>IF(LEN('Ch6'!H548)=0,"",'Ch6'!H548)</f>
        <v/>
      </c>
      <c r="C865" s="254" t="str">
        <f t="shared" ca="1" si="16"/>
        <v/>
      </c>
      <c r="D865" s="139"/>
      <c r="E865" s="139"/>
      <c r="F865" s="139"/>
      <c r="G865" s="1782"/>
      <c r="H865" s="94"/>
      <c r="J865" s="1954"/>
    </row>
    <row r="866" spans="1:10" x14ac:dyDescent="0.25">
      <c r="A866" s="585" t="str">
        <f ca="1">A865</f>
        <v/>
      </c>
      <c r="B866" s="254" t="str">
        <f>IF(LEN('Ch6'!H549)=0,"",'Ch6'!H549)</f>
        <v/>
      </c>
      <c r="C866" s="254" t="str">
        <f t="shared" ca="1" si="16"/>
        <v/>
      </c>
      <c r="D866" s="139"/>
      <c r="E866" s="139"/>
      <c r="F866" s="139"/>
      <c r="G866" s="1782"/>
      <c r="H866" s="94"/>
      <c r="J866" s="1954"/>
    </row>
    <row r="867" spans="1:10" x14ac:dyDescent="0.25">
      <c r="A867" s="585" t="str">
        <f ca="1">A866</f>
        <v/>
      </c>
      <c r="B867" s="254" t="str">
        <f>IF(LEN('Ch6'!H550)=0,"",'Ch6'!H550)</f>
        <v/>
      </c>
      <c r="C867" s="254" t="str">
        <f t="shared" ca="1" si="16"/>
        <v/>
      </c>
      <c r="D867" s="139"/>
      <c r="E867" s="139"/>
      <c r="F867" s="139"/>
      <c r="G867" s="1782"/>
      <c r="H867" s="94"/>
      <c r="J867" s="1951"/>
    </row>
    <row r="868" spans="1:10" x14ac:dyDescent="0.25">
      <c r="B868" s="254" t="str">
        <f>IF(LEN('Ch6'!H551)=0,"",'Ch6'!H551)</f>
        <v/>
      </c>
      <c r="C868" s="254" t="str">
        <f t="shared" si="16"/>
        <v/>
      </c>
      <c r="D868" s="667"/>
      <c r="E868" s="667"/>
      <c r="F868" s="667" t="s">
        <v>121</v>
      </c>
      <c r="G868" s="1877" t="s">
        <v>4216</v>
      </c>
      <c r="H868" s="94"/>
      <c r="J868" s="1204"/>
    </row>
    <row r="869" spans="1:10" x14ac:dyDescent="0.25">
      <c r="B869" s="254" t="str">
        <f>IF(LEN('Ch6'!H552)=0,"",'Ch6'!H552)</f>
        <v/>
      </c>
      <c r="C869" s="254" t="str">
        <f t="shared" si="16"/>
        <v/>
      </c>
      <c r="D869" s="667"/>
      <c r="E869" s="667"/>
      <c r="F869" s="1387"/>
      <c r="G869" s="1834"/>
      <c r="H869" s="94"/>
      <c r="J869" s="1204"/>
    </row>
    <row r="870" spans="1:10" x14ac:dyDescent="0.25">
      <c r="B870" s="254" t="str">
        <f>IF(LEN('Ch6'!H553)=0,"",'Ch6'!H553)</f>
        <v/>
      </c>
      <c r="C870" s="254" t="str">
        <f t="shared" si="16"/>
        <v/>
      </c>
      <c r="D870" s="667"/>
      <c r="E870" s="667"/>
      <c r="F870" s="693" t="s">
        <v>122</v>
      </c>
      <c r="G870" s="1835" t="s">
        <v>4210</v>
      </c>
      <c r="H870" s="94"/>
      <c r="J870" s="1204"/>
    </row>
    <row r="871" spans="1:10" x14ac:dyDescent="0.25">
      <c r="B871" s="254" t="str">
        <f>IF(LEN('Ch6'!H554)=0,"",'Ch6'!H554)</f>
        <v/>
      </c>
      <c r="C871" s="254" t="str">
        <f t="shared" si="16"/>
        <v/>
      </c>
      <c r="D871" s="667"/>
      <c r="E871" s="667"/>
      <c r="G871" s="1877"/>
      <c r="H871" s="94"/>
      <c r="J871" s="1204"/>
    </row>
    <row r="872" spans="1:10" x14ac:dyDescent="0.25">
      <c r="B872" s="254" t="str">
        <f>IF(LEN('Ch6'!H555)=0,"",'Ch6'!H555)</f>
        <v/>
      </c>
      <c r="C872" s="254" t="str">
        <f t="shared" si="16"/>
        <v/>
      </c>
      <c r="D872" s="667"/>
      <c r="E872" s="667"/>
      <c r="G872" s="1877"/>
      <c r="H872" s="94"/>
      <c r="J872" s="1204"/>
    </row>
    <row r="873" spans="1:10" x14ac:dyDescent="0.25">
      <c r="B873" s="254" t="str">
        <f>IF(LEN('Ch6'!H556)=0,"",'Ch6'!H556)</f>
        <v/>
      </c>
      <c r="C873" s="254" t="str">
        <f t="shared" si="16"/>
        <v/>
      </c>
      <c r="D873" s="667"/>
      <c r="E873" s="667"/>
      <c r="F873" s="1387"/>
      <c r="G873" s="1834"/>
      <c r="H873" s="94"/>
      <c r="J873" s="1204"/>
    </row>
    <row r="874" spans="1:10" x14ac:dyDescent="0.25">
      <c r="B874" s="254" t="str">
        <f>IF(LEN('Ch6'!H557)=0,"",'Ch6'!H557)</f>
        <v/>
      </c>
      <c r="C874" s="254" t="str">
        <f t="shared" si="16"/>
        <v/>
      </c>
      <c r="D874" s="667"/>
      <c r="E874" s="667"/>
      <c r="F874" s="691" t="s">
        <v>123</v>
      </c>
      <c r="G874" s="860" t="s">
        <v>4211</v>
      </c>
      <c r="H874" s="94"/>
      <c r="J874" s="1204"/>
    </row>
    <row r="875" spans="1:10" x14ac:dyDescent="0.25">
      <c r="B875" s="254" t="str">
        <f>IF(LEN('Ch6'!H558)=0,"",'Ch6'!H558)</f>
        <v/>
      </c>
      <c r="C875" s="254" t="str">
        <f t="shared" si="16"/>
        <v/>
      </c>
      <c r="D875" s="667"/>
      <c r="E875" s="667"/>
      <c r="F875" s="694" t="s">
        <v>401</v>
      </c>
      <c r="G875" s="860" t="s">
        <v>4212</v>
      </c>
      <c r="H875" s="94"/>
      <c r="J875" s="1204"/>
    </row>
    <row r="876" spans="1:10" x14ac:dyDescent="0.25">
      <c r="B876" s="254" t="str">
        <f>IF(LEN('Ch6'!H559)=0,"",'Ch6'!H559)</f>
        <v/>
      </c>
      <c r="C876" s="254" t="str">
        <f t="shared" si="16"/>
        <v/>
      </c>
      <c r="D876" s="667"/>
      <c r="E876" s="667"/>
      <c r="F876" s="683" t="s">
        <v>539</v>
      </c>
      <c r="G876" s="860" t="s">
        <v>4213</v>
      </c>
      <c r="H876" s="94"/>
      <c r="J876" s="1204"/>
    </row>
    <row r="877" spans="1:10" x14ac:dyDescent="0.25">
      <c r="B877" s="254" t="str">
        <f>IF(LEN('Ch6'!H560)=0,"",'Ch6'!H560)</f>
        <v/>
      </c>
      <c r="C877" s="254" t="str">
        <f t="shared" si="16"/>
        <v/>
      </c>
      <c r="D877" s="667"/>
      <c r="E877" s="667"/>
      <c r="F877" s="667" t="s">
        <v>604</v>
      </c>
      <c r="G877" s="1234" t="s">
        <v>4214</v>
      </c>
      <c r="H877" s="94"/>
      <c r="J877" s="1204"/>
    </row>
    <row r="878" spans="1:10" ht="18.75" x14ac:dyDescent="0.3">
      <c r="A878" s="585" t="s">
        <v>3974</v>
      </c>
      <c r="B878" s="254" t="str">
        <f>IF(LEN('Ch7'!H9)=0,"",'Ch7'!H9)</f>
        <v/>
      </c>
      <c r="C878" s="254" t="str">
        <f t="shared" si="16"/>
        <v>P</v>
      </c>
      <c r="D878" s="1385" t="s">
        <v>813</v>
      </c>
      <c r="E878" s="1385"/>
      <c r="F878" s="1385"/>
      <c r="G878" s="1311"/>
      <c r="H878" s="94"/>
      <c r="J878" s="1204"/>
    </row>
    <row r="879" spans="1:10" ht="15" customHeight="1" x14ac:dyDescent="0.25">
      <c r="B879" s="254" t="str">
        <f>IF(LEN('Ch7'!H10)=0,"",'Ch7'!H10)</f>
        <v/>
      </c>
      <c r="C879" s="254" t="str">
        <f t="shared" si="16"/>
        <v/>
      </c>
      <c r="D879" s="130">
        <v>701.1</v>
      </c>
      <c r="E879" s="518"/>
      <c r="F879" s="1481"/>
      <c r="G879" s="1782" t="s">
        <v>4855</v>
      </c>
      <c r="H879" s="94"/>
      <c r="J879" s="1204"/>
    </row>
    <row r="880" spans="1:10" x14ac:dyDescent="0.25">
      <c r="B880" s="254" t="str">
        <f>IF(LEN('Ch7'!H11)=0,"",'Ch7'!H11)</f>
        <v/>
      </c>
      <c r="C880" s="254" t="str">
        <f t="shared" si="16"/>
        <v/>
      </c>
      <c r="D880" s="130"/>
      <c r="E880" s="518"/>
      <c r="F880" s="1481"/>
      <c r="G880" s="1782"/>
      <c r="H880" s="94"/>
      <c r="J880" s="1204"/>
    </row>
    <row r="881" spans="1:10" x14ac:dyDescent="0.25">
      <c r="B881" s="254" t="str">
        <f>IF(LEN('Ch7'!H12)=0,"",'Ch7'!H12)</f>
        <v/>
      </c>
      <c r="C881" s="254" t="str">
        <f t="shared" si="16"/>
        <v/>
      </c>
      <c r="D881" s="130"/>
      <c r="E881" s="518"/>
      <c r="F881" s="1481"/>
      <c r="G881" s="1782"/>
      <c r="H881" s="1313" t="str">
        <f>IF(LEN('Ch7'!W12)=0,"",'Ch7'!W12)</f>
        <v/>
      </c>
      <c r="J881" s="1204"/>
    </row>
    <row r="882" spans="1:10" x14ac:dyDescent="0.25">
      <c r="B882" s="254" t="str">
        <f>IF(LEN('Ch7'!H13)=0,"",'Ch7'!H13)</f>
        <v/>
      </c>
      <c r="C882" s="254" t="str">
        <f t="shared" si="16"/>
        <v/>
      </c>
      <c r="D882" s="130"/>
      <c r="E882" s="518"/>
      <c r="F882" s="1481"/>
      <c r="G882" s="1782"/>
      <c r="H882" s="711">
        <f ca="1">'Ch7'!S13</f>
        <v>0</v>
      </c>
      <c r="J882" s="1204"/>
    </row>
    <row r="883" spans="1:10" s="1480" customFormat="1" ht="15" customHeight="1" x14ac:dyDescent="0.25">
      <c r="A883" s="585"/>
      <c r="B883" s="254" t="str">
        <f>IF(LEN('Ch7'!H14)=0,"",'Ch7'!H14)</f>
        <v/>
      </c>
      <c r="C883" s="254" t="str">
        <f t="shared" ref="C883:C885" si="17">IF(LEN(B883)=0,IF(A883="P","P",""),B883)</f>
        <v/>
      </c>
      <c r="D883" s="130"/>
      <c r="E883" s="518"/>
      <c r="F883" s="1481"/>
      <c r="G883" s="1905" t="s">
        <v>5628</v>
      </c>
      <c r="H883"/>
      <c r="I883" s="86"/>
      <c r="J883" s="1486"/>
    </row>
    <row r="884" spans="1:10" s="1508" customFormat="1" x14ac:dyDescent="0.25">
      <c r="A884" s="585"/>
      <c r="B884" s="254"/>
      <c r="C884" s="254"/>
      <c r="D884" s="130"/>
      <c r="E884" s="518"/>
      <c r="F884" s="1509"/>
      <c r="G884" s="1905"/>
      <c r="I884" s="86"/>
      <c r="J884" s="1513"/>
    </row>
    <row r="885" spans="1:10" s="1480" customFormat="1" x14ac:dyDescent="0.25">
      <c r="A885" s="585"/>
      <c r="B885" s="254" t="str">
        <f>IF(LEN('Ch7'!H16)=0,"",'Ch7'!H16)</f>
        <v/>
      </c>
      <c r="C885" s="254" t="str">
        <f t="shared" si="17"/>
        <v/>
      </c>
      <c r="D885" s="130"/>
      <c r="E885" s="518"/>
      <c r="F885" s="1481"/>
      <c r="G885" s="1905"/>
      <c r="H885"/>
      <c r="I885" s="86"/>
      <c r="J885" s="1486"/>
    </row>
    <row r="886" spans="1:10" ht="22.5" customHeight="1" x14ac:dyDescent="0.25">
      <c r="A886" s="585" t="str">
        <f ca="1">IF(H882=1,"P","")</f>
        <v/>
      </c>
      <c r="B886" s="254" t="str">
        <f>IF(LEN('Ch7'!H17)=0,"",'Ch7'!H17)</f>
        <v/>
      </c>
      <c r="C886" s="254" t="str">
        <f t="shared" ca="1" si="16"/>
        <v/>
      </c>
      <c r="D886" s="671" t="s">
        <v>814</v>
      </c>
      <c r="E886" s="1382"/>
      <c r="F886" s="1382"/>
      <c r="G886" s="1864" t="s">
        <v>5123</v>
      </c>
      <c r="H886" s="94"/>
      <c r="J886" s="1950" t="s">
        <v>4983</v>
      </c>
    </row>
    <row r="887" spans="1:10" s="1346" customFormat="1" x14ac:dyDescent="0.25">
      <c r="A887" s="585" t="str">
        <f ca="1">A886</f>
        <v/>
      </c>
      <c r="B887" s="254" t="str">
        <f>IF(LEN('Ch7'!H18)=0,"",'Ch7'!H18)</f>
        <v/>
      </c>
      <c r="C887" s="254" t="str">
        <f t="shared" ca="1" si="16"/>
        <v/>
      </c>
      <c r="D887" s="101"/>
      <c r="E887" s="1377"/>
      <c r="F887" s="1377"/>
      <c r="G887" s="1782"/>
      <c r="H887" s="94"/>
      <c r="I887" s="86"/>
      <c r="J887" s="1954"/>
    </row>
    <row r="888" spans="1:10" x14ac:dyDescent="0.25">
      <c r="A888" s="585" t="str">
        <f ca="1">A887</f>
        <v/>
      </c>
      <c r="B888" s="254" t="str">
        <f>IF(LEN('Ch7'!H19)=0,"",'Ch7'!H19)</f>
        <v/>
      </c>
      <c r="C888" s="254" t="str">
        <f t="shared" ca="1" si="16"/>
        <v/>
      </c>
      <c r="D888" s="669"/>
      <c r="E888" s="1380"/>
      <c r="F888" s="1380"/>
      <c r="G888" s="1843"/>
      <c r="H888" s="94"/>
      <c r="J888" s="1951"/>
    </row>
    <row r="889" spans="1:10" ht="15" customHeight="1" x14ac:dyDescent="0.25">
      <c r="A889" s="585" t="str">
        <f ca="1">IF(H882=2,"P","")</f>
        <v/>
      </c>
      <c r="B889" s="254" t="str">
        <f>IF(LEN('Ch7'!H20)=0,"",'Ch7'!H20)</f>
        <v/>
      </c>
      <c r="C889" s="254" t="str">
        <f t="shared" ca="1" si="16"/>
        <v/>
      </c>
      <c r="D889" s="671" t="s">
        <v>815</v>
      </c>
      <c r="E889" s="1382"/>
      <c r="F889" s="1382"/>
      <c r="G889" s="1864" t="s">
        <v>5124</v>
      </c>
      <c r="H889" s="94"/>
      <c r="J889" s="1204" t="s">
        <v>3892</v>
      </c>
    </row>
    <row r="890" spans="1:10" x14ac:dyDescent="0.25">
      <c r="A890" s="585" t="str">
        <f ca="1">A889</f>
        <v/>
      </c>
      <c r="B890" s="254" t="str">
        <f>IF(LEN('Ch7'!H21)=0,"",'Ch7'!H21)</f>
        <v/>
      </c>
      <c r="C890" s="254" t="str">
        <f t="shared" ca="1" si="16"/>
        <v/>
      </c>
      <c r="D890" s="101"/>
      <c r="E890" s="1377"/>
      <c r="F890" s="1377"/>
      <c r="G890" s="1782"/>
      <c r="H890" s="94"/>
      <c r="J890" s="1204"/>
    </row>
    <row r="891" spans="1:10" s="1346" customFormat="1" x14ac:dyDescent="0.25">
      <c r="A891" s="585" t="str">
        <f ca="1">A890</f>
        <v/>
      </c>
      <c r="B891" s="254" t="str">
        <f>IF(LEN('Ch7'!H22)=0,"",'Ch7'!H22)</f>
        <v/>
      </c>
      <c r="C891" s="254" t="str">
        <f t="shared" ca="1" si="16"/>
        <v/>
      </c>
      <c r="D891" s="101"/>
      <c r="E891" s="1377"/>
      <c r="F891" s="1377"/>
      <c r="G891" s="1782"/>
      <c r="H891" s="94"/>
      <c r="I891" s="86"/>
      <c r="J891" s="1350"/>
    </row>
    <row r="892" spans="1:10" x14ac:dyDescent="0.25">
      <c r="A892" s="585" t="str">
        <f ca="1">A891</f>
        <v/>
      </c>
      <c r="B892" s="254" t="str">
        <f>IF(LEN('Ch7'!H23)=0,"",'Ch7'!H23)</f>
        <v/>
      </c>
      <c r="C892" s="254" t="str">
        <f t="shared" ca="1" si="16"/>
        <v/>
      </c>
      <c r="D892" s="669"/>
      <c r="E892" s="1380"/>
      <c r="F892" s="1380"/>
      <c r="G892" s="1843"/>
      <c r="H892" s="94"/>
      <c r="J892" s="1204"/>
    </row>
    <row r="893" spans="1:10" ht="15" customHeight="1" x14ac:dyDescent="0.25">
      <c r="A893" s="585" t="str">
        <f ca="1">IF(H882=3,"P","")</f>
        <v/>
      </c>
      <c r="B893" s="254" t="str">
        <f>IF(LEN('Ch7'!H24)=0,"",'Ch7'!H24)</f>
        <v/>
      </c>
      <c r="C893" s="254" t="str">
        <f t="shared" ca="1" si="16"/>
        <v/>
      </c>
      <c r="D893" s="101" t="s">
        <v>816</v>
      </c>
      <c r="E893" s="1377"/>
      <c r="F893" s="1377"/>
      <c r="G893" s="1782" t="s">
        <v>5125</v>
      </c>
      <c r="H893" s="94"/>
      <c r="J893" s="1204" t="s">
        <v>4984</v>
      </c>
    </row>
    <row r="894" spans="1:10" x14ac:dyDescent="0.25">
      <c r="A894" s="585" t="str">
        <f ca="1">A893</f>
        <v/>
      </c>
      <c r="B894" s="254" t="str">
        <f>IF(LEN('Ch7'!H25)=0,"",'Ch7'!H25)</f>
        <v/>
      </c>
      <c r="C894" s="254" t="str">
        <f t="shared" ca="1" si="16"/>
        <v/>
      </c>
      <c r="D894" s="101"/>
      <c r="E894" s="1377"/>
      <c r="F894" s="1377"/>
      <c r="G894" s="1782"/>
      <c r="H894" s="94"/>
      <c r="J894" s="1204"/>
    </row>
    <row r="895" spans="1:10" x14ac:dyDescent="0.25">
      <c r="A895" s="585" t="str">
        <f ca="1">A894</f>
        <v/>
      </c>
      <c r="B895" s="254" t="str">
        <f>IF(LEN('Ch7'!H26)=0,"",'Ch7'!H26)</f>
        <v/>
      </c>
      <c r="C895" s="254" t="str">
        <f t="shared" ca="1" si="16"/>
        <v/>
      </c>
      <c r="D895" s="669"/>
      <c r="E895" s="1380"/>
      <c r="F895" s="1380"/>
      <c r="G895" s="1843"/>
      <c r="H895" s="94"/>
      <c r="J895" s="1204"/>
    </row>
    <row r="896" spans="1:10" ht="15" customHeight="1" x14ac:dyDescent="0.25">
      <c r="A896" s="585" t="str">
        <f ca="1">IF(H882=4,"P","")</f>
        <v/>
      </c>
      <c r="B896" s="254" t="str">
        <f>IF(LEN('Ch7'!H27)=0,"",'Ch7'!H27)</f>
        <v/>
      </c>
      <c r="C896" s="254" t="str">
        <f t="shared" ca="1" si="16"/>
        <v/>
      </c>
      <c r="D896" s="101" t="s">
        <v>817</v>
      </c>
      <c r="E896" s="1377"/>
      <c r="F896" s="1377"/>
      <c r="G896" s="1864" t="s">
        <v>4892</v>
      </c>
      <c r="H896" s="94"/>
      <c r="I896" s="86">
        <f ca="1">'Ch7'!O27</f>
        <v>0</v>
      </c>
      <c r="J896" s="1950" t="s">
        <v>4985</v>
      </c>
    </row>
    <row r="897" spans="1:10" x14ac:dyDescent="0.25">
      <c r="A897" s="585" t="str">
        <f t="shared" ref="A897:A905" ca="1" si="18">A896</f>
        <v/>
      </c>
      <c r="B897" s="254" t="str">
        <f>IF(LEN('Ch7'!H28)=0,"",'Ch7'!H28)</f>
        <v/>
      </c>
      <c r="C897" s="254" t="str">
        <f t="shared" ca="1" si="16"/>
        <v/>
      </c>
      <c r="D897" s="101"/>
      <c r="E897" s="1377"/>
      <c r="F897" s="1377"/>
      <c r="G897" s="1782"/>
      <c r="H897" s="1313" t="str">
        <f>IF(LEN('Ch7'!W28)=0,"",'Ch7'!W28)</f>
        <v/>
      </c>
      <c r="J897" s="1954"/>
    </row>
    <row r="898" spans="1:10" x14ac:dyDescent="0.25">
      <c r="A898" s="585" t="str">
        <f t="shared" ca="1" si="18"/>
        <v/>
      </c>
      <c r="B898" s="254" t="str">
        <f>IF(LEN('Ch7'!H29)=0,"",'Ch7'!H29)</f>
        <v/>
      </c>
      <c r="C898" s="254" t="str">
        <f t="shared" ca="1" si="16"/>
        <v/>
      </c>
      <c r="D898" s="101"/>
      <c r="E898" s="1377"/>
      <c r="F898" s="1377"/>
      <c r="G898" s="1782"/>
      <c r="H898" s="94"/>
      <c r="J898" s="1954"/>
    </row>
    <row r="899" spans="1:10" x14ac:dyDescent="0.25">
      <c r="A899" s="585" t="str">
        <f t="shared" ca="1" si="18"/>
        <v/>
      </c>
      <c r="B899" s="254" t="str">
        <f>IF(LEN('Ch7'!H30)=0,"",'Ch7'!H30)</f>
        <v/>
      </c>
      <c r="C899" s="254" t="str">
        <f t="shared" ca="1" si="16"/>
        <v/>
      </c>
      <c r="D899" s="101"/>
      <c r="E899" s="1377"/>
      <c r="F899" s="1377"/>
      <c r="G899" s="1782"/>
      <c r="H899" s="94"/>
      <c r="J899" s="1951"/>
    </row>
    <row r="900" spans="1:10" x14ac:dyDescent="0.25">
      <c r="A900" s="585" t="str">
        <f t="shared" ca="1" si="18"/>
        <v/>
      </c>
      <c r="B900" s="254" t="str">
        <f>IF(LEN('Ch7'!H31)=0,"",'Ch7'!H31)</f>
        <v/>
      </c>
      <c r="C900" s="254" t="str">
        <f t="shared" ca="1" si="16"/>
        <v/>
      </c>
      <c r="D900" s="101"/>
      <c r="E900" s="1377"/>
      <c r="F900" s="1377"/>
      <c r="G900" s="1782"/>
      <c r="H900" s="94"/>
      <c r="J900" s="1204"/>
    </row>
    <row r="901" spans="1:10" x14ac:dyDescent="0.25">
      <c r="A901" s="585" t="str">
        <f t="shared" ca="1" si="18"/>
        <v/>
      </c>
      <c r="B901" s="254" t="str">
        <f>IF(LEN('Ch7'!H32)=0,"",'Ch7'!H32)</f>
        <v/>
      </c>
      <c r="C901" s="254" t="str">
        <f t="shared" ca="1" si="16"/>
        <v/>
      </c>
      <c r="D901" s="101"/>
      <c r="E901" s="1377"/>
      <c r="F901" s="1377"/>
      <c r="G901" s="1782"/>
      <c r="H901" s="94"/>
      <c r="J901" s="1204"/>
    </row>
    <row r="902" spans="1:10" x14ac:dyDescent="0.25">
      <c r="A902" s="585" t="str">
        <f t="shared" ca="1" si="18"/>
        <v/>
      </c>
      <c r="B902" s="254" t="str">
        <f>IF(LEN('Ch7'!H33)=0,"",'Ch7'!H33)</f>
        <v/>
      </c>
      <c r="C902" s="254" t="str">
        <f t="shared" ca="1" si="16"/>
        <v/>
      </c>
      <c r="D902" s="101"/>
      <c r="E902" s="1377"/>
      <c r="F902" s="1377"/>
      <c r="G902" s="1782"/>
      <c r="H902" s="94"/>
      <c r="J902" s="1204"/>
    </row>
    <row r="903" spans="1:10" x14ac:dyDescent="0.25">
      <c r="A903" s="585" t="str">
        <f t="shared" ca="1" si="18"/>
        <v/>
      </c>
      <c r="B903" s="254" t="str">
        <f>IF(LEN('Ch7'!H34)=0,"",'Ch7'!H34)</f>
        <v/>
      </c>
      <c r="C903" s="254" t="str">
        <f t="shared" ca="1" si="16"/>
        <v/>
      </c>
      <c r="D903" s="101"/>
      <c r="E903" s="1377"/>
      <c r="F903" s="1377"/>
      <c r="G903" s="1782"/>
      <c r="H903" s="94"/>
      <c r="J903" s="1204"/>
    </row>
    <row r="904" spans="1:10" x14ac:dyDescent="0.25">
      <c r="A904" s="585" t="str">
        <f t="shared" ca="1" si="18"/>
        <v/>
      </c>
      <c r="B904" s="254" t="str">
        <f>IF(LEN('Ch7'!H35)=0,"",'Ch7'!H35)</f>
        <v/>
      </c>
      <c r="C904" s="254" t="str">
        <f t="shared" ca="1" si="16"/>
        <v/>
      </c>
      <c r="D904" s="101"/>
      <c r="E904" s="1611"/>
      <c r="F904" s="1611"/>
      <c r="G904" s="1782"/>
      <c r="H904" s="94"/>
      <c r="J904" s="1204"/>
    </row>
    <row r="905" spans="1:10" s="1606" customFormat="1" ht="15.75" thickBot="1" x14ac:dyDescent="0.3">
      <c r="A905" s="585" t="str">
        <f t="shared" ca="1" si="18"/>
        <v/>
      </c>
      <c r="B905" s="254" t="str">
        <f>IF(LEN('Ch7'!H36)=0,"",'Ch7'!H36)</f>
        <v/>
      </c>
      <c r="C905" s="254" t="str">
        <f t="shared" ref="C905" ca="1" si="19">IF(LEN(B905)=0,IF(A905="P","P",""),B905)</f>
        <v/>
      </c>
      <c r="D905" s="670"/>
      <c r="E905" s="1612"/>
      <c r="F905" s="1612"/>
      <c r="G905" s="1621" t="s">
        <v>5677</v>
      </c>
      <c r="H905" s="94"/>
      <c r="I905" s="86"/>
      <c r="J905" s="1617"/>
    </row>
    <row r="906" spans="1:10" ht="15.75" thickTop="1" x14ac:dyDescent="0.25">
      <c r="B906" s="254" t="str">
        <f>IF(LEN('Ch7'!H37)=0,"",'Ch7'!H37)</f>
        <v/>
      </c>
      <c r="C906" s="254" t="str">
        <f t="shared" si="16"/>
        <v/>
      </c>
      <c r="D906" s="667" t="s">
        <v>4227</v>
      </c>
      <c r="E906" s="667"/>
      <c r="F906" s="667"/>
      <c r="G906" s="1877" t="s">
        <v>4228</v>
      </c>
      <c r="H906" s="94"/>
      <c r="J906" s="1204"/>
    </row>
    <row r="907" spans="1:10" x14ac:dyDescent="0.25">
      <c r="B907" s="254" t="str">
        <f>IF(LEN('Ch7'!H38)=0,"",'Ch7'!H38)</f>
        <v/>
      </c>
      <c r="C907" s="254" t="str">
        <f t="shared" si="16"/>
        <v/>
      </c>
      <c r="D907" s="667"/>
      <c r="E907" s="667"/>
      <c r="F907" s="667"/>
      <c r="G907" s="1877"/>
      <c r="H907" s="94"/>
      <c r="J907" s="1204"/>
    </row>
    <row r="908" spans="1:10" x14ac:dyDescent="0.25">
      <c r="B908" s="254" t="str">
        <f>IF(LEN('Ch7'!H39)=0,"",'Ch7'!H39)</f>
        <v/>
      </c>
      <c r="C908" s="254" t="str">
        <f t="shared" si="16"/>
        <v/>
      </c>
      <c r="D908" s="667"/>
      <c r="E908" s="667"/>
      <c r="F908" s="667"/>
      <c r="G908" s="1877"/>
      <c r="H908" s="94"/>
      <c r="J908" s="1204"/>
    </row>
    <row r="909" spans="1:10" s="1606" customFormat="1" x14ac:dyDescent="0.25">
      <c r="A909" s="585"/>
      <c r="B909" s="254" t="str">
        <f>IF(LEN('Ch7'!H40)=0,"",'Ch7'!H40)</f>
        <v/>
      </c>
      <c r="C909" s="254" t="str">
        <f t="shared" ref="C909" si="20">IF(LEN(B909)=0,IF(A909="P","P",""),B909)</f>
        <v/>
      </c>
      <c r="D909" s="667"/>
      <c r="E909" s="667"/>
      <c r="F909" s="667"/>
      <c r="G909" s="1622" t="s">
        <v>5677</v>
      </c>
      <c r="H909" s="94"/>
      <c r="I909" s="86"/>
      <c r="J909" s="1617"/>
    </row>
    <row r="910" spans="1:10" x14ac:dyDescent="0.25">
      <c r="B910" s="254" t="str">
        <f>IF(LEN('Ch7'!H41)=0,"",'Ch7'!H41)</f>
        <v/>
      </c>
      <c r="C910" s="254" t="str">
        <f t="shared" si="16"/>
        <v/>
      </c>
      <c r="D910" s="667"/>
      <c r="E910" s="684" t="s">
        <v>256</v>
      </c>
      <c r="F910" s="684"/>
      <c r="G910" s="1217" t="s">
        <v>4229</v>
      </c>
      <c r="H910" s="1313" t="str">
        <f>IF(LEN('Ch7'!W41)=0,"",'Ch7'!W41)</f>
        <v/>
      </c>
      <c r="J910" s="1204"/>
    </row>
    <row r="911" spans="1:10" x14ac:dyDescent="0.25">
      <c r="B911" s="254" t="str">
        <f>IF(LEN('Ch7'!H42)=0,"",'Ch7'!H42)</f>
        <v/>
      </c>
      <c r="C911" s="254" t="str">
        <f t="shared" ref="C911:C974" si="21">IF(LEN(B911)=0,IF(A911="P","P",""),B911)</f>
        <v/>
      </c>
      <c r="D911" s="667"/>
      <c r="E911" s="693" t="s">
        <v>258</v>
      </c>
      <c r="F911" s="693"/>
      <c r="G911" s="1769" t="s">
        <v>4230</v>
      </c>
      <c r="H911" s="1313" t="str">
        <f>IF(LEN('Ch7'!W42)=0,"",'Ch7'!W42)</f>
        <v/>
      </c>
      <c r="J911" s="1204"/>
    </row>
    <row r="912" spans="1:10" x14ac:dyDescent="0.25">
      <c r="B912" s="254" t="str">
        <f>IF(LEN('Ch7'!H43)=0,"",'Ch7'!H43)</f>
        <v/>
      </c>
      <c r="C912" s="254" t="str">
        <f t="shared" si="21"/>
        <v/>
      </c>
      <c r="D912" s="667"/>
      <c r="E912" s="684"/>
      <c r="F912" s="684"/>
      <c r="G912" s="1786"/>
      <c r="H912" s="94"/>
      <c r="J912" s="1204"/>
    </row>
    <row r="913" spans="2:10" x14ac:dyDescent="0.25">
      <c r="B913" s="254" t="str">
        <f>IF(LEN('Ch7'!H44)=0,"",'Ch7'!H44)</f>
        <v/>
      </c>
      <c r="C913" s="254" t="str">
        <f t="shared" si="21"/>
        <v/>
      </c>
      <c r="D913" s="667"/>
      <c r="E913" s="691" t="s">
        <v>260</v>
      </c>
      <c r="F913" s="691"/>
      <c r="G913" s="858" t="s">
        <v>4231</v>
      </c>
      <c r="H913" s="1313" t="str">
        <f>IF(LEN('Ch7'!W44)=0,"",'Ch7'!W44)</f>
        <v/>
      </c>
      <c r="J913" s="1204"/>
    </row>
    <row r="914" spans="2:10" x14ac:dyDescent="0.25">
      <c r="B914" s="254" t="str">
        <f>IF(LEN('Ch7'!H45)=0,"",'Ch7'!H45)</f>
        <v/>
      </c>
      <c r="C914" s="254" t="str">
        <f t="shared" si="21"/>
        <v/>
      </c>
      <c r="D914" s="667"/>
      <c r="E914" s="693" t="s">
        <v>269</v>
      </c>
      <c r="F914" s="693"/>
      <c r="G914" s="1769" t="s">
        <v>4232</v>
      </c>
      <c r="H914" s="1313" t="str">
        <f>IF(LEN('Ch7'!W45)=0,"",'Ch7'!W45)</f>
        <v/>
      </c>
      <c r="J914" s="1204"/>
    </row>
    <row r="915" spans="2:10" x14ac:dyDescent="0.25">
      <c r="B915" s="254" t="str">
        <f>IF(LEN('Ch7'!H46)=0,"",'Ch7'!H46)</f>
        <v/>
      </c>
      <c r="C915" s="254" t="str">
        <f t="shared" si="21"/>
        <v/>
      </c>
      <c r="D915" s="667"/>
      <c r="E915" s="684"/>
      <c r="F915" s="684"/>
      <c r="G915" s="1786"/>
      <c r="H915" s="94"/>
      <c r="J915" s="1204"/>
    </row>
    <row r="916" spans="2:10" x14ac:dyDescent="0.25">
      <c r="B916" s="254" t="str">
        <f>IF(LEN('Ch7'!H47)=0,"",'Ch7'!H47)</f>
        <v/>
      </c>
      <c r="C916" s="254" t="str">
        <f t="shared" si="21"/>
        <v/>
      </c>
      <c r="D916" s="667"/>
      <c r="E916" s="693" t="s">
        <v>275</v>
      </c>
      <c r="F916" s="693"/>
      <c r="G916" s="1769" t="s">
        <v>4233</v>
      </c>
      <c r="H916" s="1313" t="str">
        <f>IF(LEN('Ch7'!W47)=0,"",'Ch7'!W47)</f>
        <v/>
      </c>
      <c r="J916" s="1204"/>
    </row>
    <row r="917" spans="2:10" x14ac:dyDescent="0.25">
      <c r="B917" s="254" t="str">
        <f>IF(LEN('Ch7'!H48)=0,"",'Ch7'!H48)</f>
        <v/>
      </c>
      <c r="C917" s="254" t="str">
        <f t="shared" si="21"/>
        <v/>
      </c>
      <c r="D917" s="667"/>
      <c r="E917" s="684"/>
      <c r="F917" s="684"/>
      <c r="G917" s="1786"/>
      <c r="H917" s="94"/>
      <c r="J917" s="1204"/>
    </row>
    <row r="918" spans="2:10" x14ac:dyDescent="0.25">
      <c r="B918" s="254" t="str">
        <f>IF(LEN('Ch7'!H49)=0,"",'Ch7'!H49)</f>
        <v/>
      </c>
      <c r="C918" s="254" t="str">
        <f t="shared" si="21"/>
        <v/>
      </c>
      <c r="D918" s="667"/>
      <c r="E918" s="667" t="s">
        <v>277</v>
      </c>
      <c r="F918" s="667"/>
      <c r="G918" s="1216" t="s">
        <v>4234</v>
      </c>
      <c r="H918" s="94"/>
      <c r="J918" s="1204"/>
    </row>
    <row r="919" spans="2:10" x14ac:dyDescent="0.25">
      <c r="B919" s="254" t="str">
        <f>IF(LEN('Ch7'!H50)=0,"",'Ch7'!H50)</f>
        <v/>
      </c>
      <c r="C919" s="254" t="str">
        <f t="shared" si="21"/>
        <v/>
      </c>
      <c r="D919" s="667"/>
      <c r="E919" s="667"/>
      <c r="F919" s="684" t="s">
        <v>121</v>
      </c>
      <c r="G919" s="1217" t="s">
        <v>4235</v>
      </c>
      <c r="H919" s="1313" t="str">
        <f>IF(LEN('Ch7'!W50)=0,"",'Ch7'!W50)</f>
        <v/>
      </c>
      <c r="J919" s="1204"/>
    </row>
    <row r="920" spans="2:10" x14ac:dyDescent="0.25">
      <c r="B920" s="254" t="str">
        <f>IF(LEN('Ch7'!H51)=0,"",'Ch7'!H51)</f>
        <v/>
      </c>
      <c r="C920" s="254" t="str">
        <f t="shared" si="21"/>
        <v/>
      </c>
      <c r="D920" s="667"/>
      <c r="E920" s="667"/>
      <c r="F920" s="691" t="s">
        <v>122</v>
      </c>
      <c r="G920" s="858" t="s">
        <v>4236</v>
      </c>
      <c r="H920" s="1313" t="str">
        <f>IF(LEN('Ch7'!W51)=0,"",'Ch7'!W51)</f>
        <v/>
      </c>
      <c r="J920" s="1204"/>
    </row>
    <row r="921" spans="2:10" x14ac:dyDescent="0.25">
      <c r="B921" s="254" t="str">
        <f>IF(LEN('Ch7'!H52)=0,"",'Ch7'!H52)</f>
        <v/>
      </c>
      <c r="C921" s="254" t="str">
        <f t="shared" si="21"/>
        <v/>
      </c>
      <c r="D921" s="667"/>
      <c r="E921" s="684"/>
      <c r="F921" s="684" t="s">
        <v>123</v>
      </c>
      <c r="G921" s="1217" t="s">
        <v>4237</v>
      </c>
      <c r="H921" s="1313" t="str">
        <f>IF(LEN('Ch7'!W52)=0,"",'Ch7'!W52)</f>
        <v/>
      </c>
      <c r="J921" s="1204"/>
    </row>
    <row r="922" spans="2:10" x14ac:dyDescent="0.25">
      <c r="B922" s="254" t="str">
        <f>IF(LEN('Ch7'!H53)=0,"",'Ch7'!H53)</f>
        <v/>
      </c>
      <c r="C922" s="254" t="str">
        <f t="shared" si="21"/>
        <v/>
      </c>
      <c r="D922" s="667"/>
      <c r="E922" s="667" t="s">
        <v>383</v>
      </c>
      <c r="F922" s="667"/>
      <c r="G922" s="1216" t="s">
        <v>4238</v>
      </c>
      <c r="H922" s="94"/>
      <c r="J922" s="1204"/>
    </row>
    <row r="923" spans="2:10" x14ac:dyDescent="0.25">
      <c r="B923" s="254" t="str">
        <f>IF(LEN('Ch7'!H54)=0,"",'Ch7'!H54)</f>
        <v/>
      </c>
      <c r="C923" s="254" t="str">
        <f t="shared" si="21"/>
        <v/>
      </c>
      <c r="D923" s="667"/>
      <c r="E923" s="667"/>
      <c r="F923" s="684" t="s">
        <v>121</v>
      </c>
      <c r="G923" s="1217" t="s">
        <v>4239</v>
      </c>
      <c r="H923" s="1313" t="str">
        <f>IF(LEN('Ch7'!W54)=0,"",'Ch7'!W54)</f>
        <v/>
      </c>
      <c r="J923" s="1204"/>
    </row>
    <row r="924" spans="2:10" x14ac:dyDescent="0.25">
      <c r="B924" s="254" t="str">
        <f>IF(LEN('Ch7'!H55)=0,"",'Ch7'!H55)</f>
        <v/>
      </c>
      <c r="C924" s="254" t="str">
        <f t="shared" si="21"/>
        <v/>
      </c>
      <c r="D924" s="667"/>
      <c r="E924" s="667"/>
      <c r="F924" s="691" t="s">
        <v>122</v>
      </c>
      <c r="G924" s="858" t="s">
        <v>4240</v>
      </c>
      <c r="H924" s="1313" t="str">
        <f>IF(LEN('Ch7'!W55)=0,"",'Ch7'!W55)</f>
        <v/>
      </c>
      <c r="J924" s="1204"/>
    </row>
    <row r="925" spans="2:10" x14ac:dyDescent="0.25">
      <c r="B925" s="254" t="str">
        <f>IF(LEN('Ch7'!H56)=0,"",'Ch7'!H56)</f>
        <v/>
      </c>
      <c r="C925" s="254" t="str">
        <f t="shared" si="21"/>
        <v/>
      </c>
      <c r="D925" s="667"/>
      <c r="E925" s="684"/>
      <c r="F925" s="684" t="s">
        <v>123</v>
      </c>
      <c r="G925" s="1217" t="s">
        <v>4241</v>
      </c>
      <c r="H925" s="1313" t="str">
        <f>IF(LEN('Ch7'!W56)=0,"",'Ch7'!W56)</f>
        <v/>
      </c>
      <c r="J925" s="1204"/>
    </row>
    <row r="926" spans="2:10" x14ac:dyDescent="0.25">
      <c r="B926" s="254" t="str">
        <f>IF(LEN('Ch7'!H57)=0,"",'Ch7'!H57)</f>
        <v/>
      </c>
      <c r="C926" s="254" t="str">
        <f t="shared" si="21"/>
        <v/>
      </c>
      <c r="D926" s="667"/>
      <c r="E926" s="693" t="s">
        <v>428</v>
      </c>
      <c r="F926" s="693"/>
      <c r="G926" s="1769" t="s">
        <v>4242</v>
      </c>
      <c r="H926" s="1313" t="str">
        <f>IF(LEN('Ch7'!W57)=0,"",'Ch7'!W57)</f>
        <v/>
      </c>
      <c r="J926" s="1204"/>
    </row>
    <row r="927" spans="2:10" x14ac:dyDescent="0.25">
      <c r="B927" s="254" t="str">
        <f>IF(LEN('Ch7'!H58)=0,"",'Ch7'!H58)</f>
        <v/>
      </c>
      <c r="C927" s="254" t="str">
        <f t="shared" si="21"/>
        <v/>
      </c>
      <c r="D927" s="667"/>
      <c r="E927" s="684"/>
      <c r="F927" s="684"/>
      <c r="G927" s="1786"/>
      <c r="H927" s="94"/>
      <c r="J927" s="1204"/>
    </row>
    <row r="928" spans="2:10" x14ac:dyDescent="0.25">
      <c r="B928" s="254" t="str">
        <f>IF(LEN('Ch7'!H59)=0,"",'Ch7'!H59)</f>
        <v/>
      </c>
      <c r="C928" s="254" t="str">
        <f t="shared" si="21"/>
        <v/>
      </c>
      <c r="D928" s="667"/>
      <c r="E928" s="667" t="s">
        <v>430</v>
      </c>
      <c r="F928" s="667"/>
      <c r="G928" s="1765" t="s">
        <v>4243</v>
      </c>
      <c r="H928" s="1313" t="str">
        <f>IF(LEN('Ch7'!W59)=0,"",'Ch7'!W59)</f>
        <v/>
      </c>
      <c r="J928" s="1204"/>
    </row>
    <row r="929" spans="1:10" ht="15.75" thickBot="1" x14ac:dyDescent="0.3">
      <c r="B929" s="254" t="str">
        <f>IF(LEN('Ch7'!H60)=0,"",'Ch7'!H60)</f>
        <v/>
      </c>
      <c r="C929" s="254" t="str">
        <f t="shared" si="21"/>
        <v/>
      </c>
      <c r="D929" s="667"/>
      <c r="E929" s="667"/>
      <c r="F929" s="667"/>
      <c r="G929" s="1766"/>
      <c r="H929" s="94"/>
      <c r="J929" s="1204"/>
    </row>
    <row r="930" spans="1:10" ht="15.75" thickTop="1" x14ac:dyDescent="0.25">
      <c r="B930" s="254" t="str">
        <f>IF(LEN('Ch7'!H61)=0,"",'Ch7'!H61)</f>
        <v/>
      </c>
      <c r="C930" s="254" t="str">
        <f t="shared" si="21"/>
        <v/>
      </c>
      <c r="D930" s="106">
        <v>701.2</v>
      </c>
      <c r="E930" s="1376"/>
      <c r="F930" s="1376"/>
      <c r="G930" s="1781" t="s">
        <v>4856</v>
      </c>
      <c r="H930" s="94"/>
      <c r="J930" s="1204"/>
    </row>
    <row r="931" spans="1:10" ht="15.75" thickBot="1" x14ac:dyDescent="0.3">
      <c r="B931" s="254" t="str">
        <f>IF(LEN('Ch7'!H62)=0,"",'Ch7'!H62)</f>
        <v/>
      </c>
      <c r="C931" s="254" t="str">
        <f t="shared" si="21"/>
        <v/>
      </c>
      <c r="D931" s="670"/>
      <c r="E931" s="1379"/>
      <c r="F931" s="1379"/>
      <c r="G931" s="1797"/>
      <c r="H931" s="94"/>
      <c r="J931" s="1204"/>
    </row>
    <row r="932" spans="1:10" ht="63.75" customHeight="1" thickTop="1" x14ac:dyDescent="0.25">
      <c r="A932" s="585" t="s">
        <v>3974</v>
      </c>
      <c r="B932" s="254" t="str">
        <f>IF(LEN('Ch7'!H63)=0,"",'Ch7'!H63)</f>
        <v/>
      </c>
      <c r="C932" s="254" t="str">
        <f t="shared" si="21"/>
        <v>P</v>
      </c>
      <c r="D932" s="106">
        <v>701.3</v>
      </c>
      <c r="E932" s="1376"/>
      <c r="F932" s="1376"/>
      <c r="G932" s="1781" t="s">
        <v>818</v>
      </c>
      <c r="H932" s="1313" t="str">
        <f>IF(LEN('Ch7'!W63)=0,"",'Ch7'!W63)</f>
        <v/>
      </c>
      <c r="J932" s="1950" t="s">
        <v>4986</v>
      </c>
    </row>
    <row r="933" spans="1:10" x14ac:dyDescent="0.25">
      <c r="A933" s="585" t="s">
        <v>3974</v>
      </c>
      <c r="B933" s="254" t="str">
        <f>IF(LEN('Ch7'!H64)=0,"",'Ch7'!H64)</f>
        <v/>
      </c>
      <c r="C933" s="254" t="str">
        <f t="shared" si="21"/>
        <v>P</v>
      </c>
      <c r="D933" s="101"/>
      <c r="E933" s="1377"/>
      <c r="F933" s="1377"/>
      <c r="G933" s="1782"/>
      <c r="H933" s="94"/>
      <c r="J933" s="1954"/>
    </row>
    <row r="934" spans="1:10" ht="15.75" thickBot="1" x14ac:dyDescent="0.3">
      <c r="B934" s="254" t="str">
        <f>IF(LEN('Ch7'!H65)=0,"",'Ch7'!H65)</f>
        <v/>
      </c>
      <c r="C934" s="254" t="str">
        <f t="shared" si="21"/>
        <v/>
      </c>
      <c r="D934" s="670"/>
      <c r="E934" s="1379"/>
      <c r="F934" s="1379"/>
      <c r="G934" s="1317" t="s">
        <v>3383</v>
      </c>
      <c r="H934" s="94"/>
      <c r="J934" s="1251"/>
    </row>
    <row r="935" spans="1:10" ht="15.75" thickTop="1" x14ac:dyDescent="0.25">
      <c r="A935" s="585" t="str">
        <f ca="1">IF(H882&lt;4,"P","")</f>
        <v>P</v>
      </c>
      <c r="B935" s="254" t="str">
        <f>IF(LEN('Ch7'!H66)=0,"",'Ch7'!H66)</f>
        <v/>
      </c>
      <c r="C935" s="254" t="str">
        <f t="shared" ca="1" si="21"/>
        <v>P</v>
      </c>
      <c r="D935" s="106">
        <v>701.4</v>
      </c>
      <c r="E935" s="1376"/>
      <c r="F935" s="1376"/>
      <c r="G935" s="1240" t="s">
        <v>819</v>
      </c>
      <c r="H935" s="94"/>
      <c r="J935" s="1204"/>
    </row>
    <row r="936" spans="1:10" x14ac:dyDescent="0.25">
      <c r="A936" s="585" t="str">
        <f ca="1">A935</f>
        <v>P</v>
      </c>
      <c r="B936" s="254" t="str">
        <f>IF(LEN('Ch7'!H67)=0,"",'Ch7'!H67)</f>
        <v/>
      </c>
      <c r="C936" s="254" t="str">
        <f t="shared" ca="1" si="21"/>
        <v>P</v>
      </c>
      <c r="D936" s="669" t="s">
        <v>820</v>
      </c>
      <c r="E936" s="1380"/>
      <c r="F936" s="1380"/>
      <c r="G936" s="1236" t="s">
        <v>821</v>
      </c>
      <c r="H936" s="94"/>
      <c r="J936" s="1204"/>
    </row>
    <row r="937" spans="1:10" x14ac:dyDescent="0.25">
      <c r="A937" s="585" t="str">
        <f>IF(AND(LEN(H937)&gt;0,NOT(H937=FALSE)),"P","")</f>
        <v/>
      </c>
      <c r="B937" s="254" t="str">
        <f>IF(LEN('Ch7'!H68)=0,"",'Ch7'!H68)</f>
        <v/>
      </c>
      <c r="C937" s="254" t="str">
        <f t="shared" si="21"/>
        <v/>
      </c>
      <c r="D937" s="671" t="s">
        <v>822</v>
      </c>
      <c r="E937" s="1382"/>
      <c r="F937" s="1382"/>
      <c r="G937" s="1864" t="s">
        <v>823</v>
      </c>
      <c r="H937" s="1313" t="str">
        <f>IF(LEN('Ch7'!W68)=0,"",'Ch7'!W68)</f>
        <v/>
      </c>
      <c r="J937" s="1204" t="s">
        <v>4987</v>
      </c>
    </row>
    <row r="938" spans="1:10" x14ac:dyDescent="0.25">
      <c r="A938" s="585" t="str">
        <f>A937</f>
        <v/>
      </c>
      <c r="B938" s="254" t="str">
        <f>IF(LEN('Ch7'!H69)=0,"",'Ch7'!H69)</f>
        <v/>
      </c>
      <c r="C938" s="254" t="str">
        <f t="shared" si="21"/>
        <v/>
      </c>
      <c r="D938" s="101"/>
      <c r="E938" s="1377"/>
      <c r="F938" s="1377"/>
      <c r="G938" s="1782"/>
      <c r="H938" s="94"/>
      <c r="J938" s="1204"/>
    </row>
    <row r="939" spans="1:10" x14ac:dyDescent="0.25">
      <c r="A939" s="585" t="str">
        <f>A938</f>
        <v/>
      </c>
      <c r="B939" s="254" t="str">
        <f>IF(LEN('Ch7'!H70)=0,"",'Ch7'!H70)</f>
        <v/>
      </c>
      <c r="C939" s="254" t="str">
        <f t="shared" si="21"/>
        <v/>
      </c>
      <c r="D939" s="669"/>
      <c r="E939" s="1380"/>
      <c r="F939" s="1380"/>
      <c r="G939" s="1843"/>
      <c r="H939" s="94"/>
      <c r="J939" s="1204"/>
    </row>
    <row r="940" spans="1:10" x14ac:dyDescent="0.25">
      <c r="A940" s="585" t="str">
        <f>IF(AND(LEN(H940)&gt;0,NOT(H940=FALSE)),"P","")</f>
        <v/>
      </c>
      <c r="B940" s="254" t="str">
        <f>IF(LEN('Ch7'!H71)=0,"",'Ch7'!H71)</f>
        <v/>
      </c>
      <c r="C940" s="254" t="str">
        <f t="shared" si="21"/>
        <v/>
      </c>
      <c r="D940" s="671" t="s">
        <v>824</v>
      </c>
      <c r="E940" s="1382"/>
      <c r="F940" s="1382"/>
      <c r="G940" s="1864" t="s">
        <v>825</v>
      </c>
      <c r="H940" s="1313" t="str">
        <f>IF(LEN('Ch7'!W71)=0,"",'Ch7'!W71)</f>
        <v/>
      </c>
      <c r="J940" s="1204" t="s">
        <v>4988</v>
      </c>
    </row>
    <row r="941" spans="1:10" x14ac:dyDescent="0.25">
      <c r="A941" s="585" t="str">
        <f>A940</f>
        <v/>
      </c>
      <c r="B941" s="254" t="str">
        <f>IF(LEN('Ch7'!H72)=0,"",'Ch7'!H72)</f>
        <v/>
      </c>
      <c r="C941" s="254" t="str">
        <f t="shared" si="21"/>
        <v/>
      </c>
      <c r="D941" s="101"/>
      <c r="E941" s="1377"/>
      <c r="F941" s="1377"/>
      <c r="G941" s="1782"/>
      <c r="H941" s="94"/>
      <c r="J941" s="1204"/>
    </row>
    <row r="942" spans="1:10" x14ac:dyDescent="0.25">
      <c r="A942" s="585" t="str">
        <f>A941</f>
        <v/>
      </c>
      <c r="B942" s="254" t="str">
        <f>IF(LEN('Ch7'!H73)=0,"",'Ch7'!H73)</f>
        <v/>
      </c>
      <c r="C942" s="254" t="str">
        <f t="shared" si="21"/>
        <v/>
      </c>
      <c r="D942" s="101"/>
      <c r="E942" s="1377"/>
      <c r="F942" s="1377"/>
      <c r="G942" s="1782"/>
      <c r="H942" s="94"/>
      <c r="J942" s="1204"/>
    </row>
    <row r="943" spans="1:10" x14ac:dyDescent="0.25">
      <c r="A943" s="585" t="str">
        <f>A942</f>
        <v/>
      </c>
      <c r="B943" s="254" t="str">
        <f>IF(LEN('Ch7'!H74)=0,"",'Ch7'!H74)</f>
        <v/>
      </c>
      <c r="C943" s="254" t="str">
        <f t="shared" si="21"/>
        <v/>
      </c>
      <c r="D943" s="101"/>
      <c r="E943" s="1377"/>
      <c r="F943" s="1377"/>
      <c r="G943" s="1782"/>
      <c r="H943" s="94"/>
      <c r="J943" s="1204"/>
    </row>
    <row r="944" spans="1:10" x14ac:dyDescent="0.25">
      <c r="A944" s="585" t="str">
        <f>A943</f>
        <v/>
      </c>
      <c r="B944" s="254" t="str">
        <f>IF(LEN('Ch7'!H75)=0,"",'Ch7'!H75)</f>
        <v/>
      </c>
      <c r="C944" s="254" t="str">
        <f t="shared" si="21"/>
        <v/>
      </c>
      <c r="D944" s="669"/>
      <c r="E944" s="1380"/>
      <c r="F944" s="1380"/>
      <c r="G944" s="1843"/>
      <c r="H944" s="94"/>
      <c r="J944" s="1204"/>
    </row>
    <row r="945" spans="1:10" x14ac:dyDescent="0.25">
      <c r="A945" s="2363" t="str">
        <f>IF(COUNTIF(A946:A950,"P")&gt;0,"P","")</f>
        <v/>
      </c>
      <c r="B945" s="254" t="str">
        <f>IF(LEN('Ch7'!H76)=0,"",'Ch7'!H76)</f>
        <v/>
      </c>
      <c r="C945" s="254" t="str">
        <f t="shared" si="21"/>
        <v/>
      </c>
      <c r="D945" s="671" t="s">
        <v>826</v>
      </c>
      <c r="E945" s="1382"/>
      <c r="F945" s="1382"/>
      <c r="G945" s="1237" t="s">
        <v>827</v>
      </c>
      <c r="H945" s="94"/>
      <c r="J945" s="1204"/>
    </row>
    <row r="946" spans="1:10" x14ac:dyDescent="0.25">
      <c r="A946" s="585" t="str">
        <f>IF(AND(LEN(H946)&gt;0,NOT(H946=FALSE)),"P","")</f>
        <v/>
      </c>
      <c r="B946" s="254" t="str">
        <f>IF(LEN('Ch7'!H77)=0,"",'Ch7'!H77)</f>
        <v/>
      </c>
      <c r="C946" s="254" t="str">
        <f t="shared" si="21"/>
        <v/>
      </c>
      <c r="D946" s="101" t="s">
        <v>3809</v>
      </c>
      <c r="E946" s="1377"/>
      <c r="F946" s="1377"/>
      <c r="G946" s="1782" t="s">
        <v>828</v>
      </c>
      <c r="H946" s="1313" t="str">
        <f>IF(LEN('Ch7'!W77)=0,"",'Ch7'!W77)</f>
        <v/>
      </c>
      <c r="J946" s="1950" t="s">
        <v>4989</v>
      </c>
    </row>
    <row r="947" spans="1:10" x14ac:dyDescent="0.25">
      <c r="A947" s="585" t="str">
        <f>A946</f>
        <v/>
      </c>
      <c r="B947" s="254" t="str">
        <f>IF(LEN('Ch7'!H78)=0,"",'Ch7'!H78)</f>
        <v/>
      </c>
      <c r="C947" s="254" t="str">
        <f t="shared" si="21"/>
        <v/>
      </c>
      <c r="D947" s="101"/>
      <c r="E947" s="1377"/>
      <c r="F947" s="1377"/>
      <c r="G947" s="1782"/>
      <c r="H947" s="94"/>
      <c r="J947" s="1954"/>
    </row>
    <row r="948" spans="1:10" x14ac:dyDescent="0.25">
      <c r="A948" s="585" t="str">
        <f>A947</f>
        <v/>
      </c>
      <c r="B948" s="254" t="str">
        <f>IF(LEN('Ch7'!H79)=0,"",'Ch7'!H79)</f>
        <v/>
      </c>
      <c r="C948" s="254" t="str">
        <f t="shared" si="21"/>
        <v/>
      </c>
      <c r="D948" s="669"/>
      <c r="E948" s="1380"/>
      <c r="F948" s="1380"/>
      <c r="G948" s="1843"/>
      <c r="H948" s="94"/>
      <c r="J948" s="1951"/>
    </row>
    <row r="949" spans="1:10" ht="15" customHeight="1" x14ac:dyDescent="0.25">
      <c r="A949" s="585" t="str">
        <f>IF(AND(LEN(H949)&gt;0,NOT(H949=FALSE)),"P","")</f>
        <v/>
      </c>
      <c r="B949" s="254" t="str">
        <f>IF(LEN('Ch7'!H80)=0,"",'Ch7'!H80)</f>
        <v/>
      </c>
      <c r="C949" s="254" t="str">
        <f t="shared" si="21"/>
        <v/>
      </c>
      <c r="D949" s="683" t="s">
        <v>829</v>
      </c>
      <c r="E949" s="1395"/>
      <c r="F949" s="1395"/>
      <c r="G949" s="536" t="s">
        <v>830</v>
      </c>
      <c r="H949" s="1313" t="str">
        <f>IF(LEN('Ch7'!W80)=0,"",'Ch7'!W80)</f>
        <v/>
      </c>
      <c r="J949" s="1204" t="s">
        <v>3892</v>
      </c>
    </row>
    <row r="950" spans="1:10" x14ac:dyDescent="0.25">
      <c r="A950" s="585" t="str">
        <f>IF(AND(LEN(H950)&gt;0,NOT(H950=FALSE)),"P","")</f>
        <v/>
      </c>
      <c r="B950" s="254" t="str">
        <f>IF(LEN('Ch7'!H81)=0,"",'Ch7'!H81)</f>
        <v/>
      </c>
      <c r="C950" s="254" t="str">
        <f t="shared" si="21"/>
        <v/>
      </c>
      <c r="D950" s="671" t="s">
        <v>831</v>
      </c>
      <c r="E950" s="1382"/>
      <c r="F950" s="1382"/>
      <c r="G950" s="1864" t="s">
        <v>832</v>
      </c>
      <c r="H950" s="1313" t="str">
        <f>IF(LEN('Ch7'!W81)=0,"",'Ch7'!W81)</f>
        <v/>
      </c>
      <c r="J950" s="1204" t="s">
        <v>4990</v>
      </c>
    </row>
    <row r="951" spans="1:10" x14ac:dyDescent="0.25">
      <c r="A951" s="585" t="str">
        <f>A950</f>
        <v/>
      </c>
      <c r="B951" s="254" t="str">
        <f>IF(LEN('Ch7'!H82)=0,"",'Ch7'!H82)</f>
        <v/>
      </c>
      <c r="C951" s="254" t="str">
        <f t="shared" si="21"/>
        <v/>
      </c>
      <c r="D951" s="669"/>
      <c r="E951" s="1380"/>
      <c r="F951" s="1380"/>
      <c r="G951" s="1843"/>
      <c r="H951" s="94"/>
      <c r="J951" s="1204"/>
    </row>
    <row r="952" spans="1:10" x14ac:dyDescent="0.25">
      <c r="A952" s="585" t="s">
        <v>3974</v>
      </c>
      <c r="B952" s="254" t="str">
        <f>IF(LEN('Ch7'!H83)=0,"",'Ch7'!H83)</f>
        <v/>
      </c>
      <c r="C952" s="254" t="str">
        <f t="shared" si="21"/>
        <v>P</v>
      </c>
      <c r="D952" s="671" t="s">
        <v>833</v>
      </c>
      <c r="E952" s="1382"/>
      <c r="F952" s="1382"/>
      <c r="G952" s="1237" t="s">
        <v>834</v>
      </c>
      <c r="H952" s="94"/>
      <c r="J952" s="1204"/>
    </row>
    <row r="953" spans="1:10" x14ac:dyDescent="0.25">
      <c r="A953" s="2363" t="str">
        <f>IF(COUNTIF(A954,"P")&gt;0,"P","")</f>
        <v/>
      </c>
      <c r="B953" s="254" t="str">
        <f>IF(LEN('Ch7'!H84)=0,"",'Ch7'!H84)</f>
        <v/>
      </c>
      <c r="C953" s="254" t="str">
        <f t="shared" si="21"/>
        <v/>
      </c>
      <c r="D953" s="139" t="s">
        <v>835</v>
      </c>
      <c r="E953" s="1378"/>
      <c r="F953" s="1378"/>
      <c r="G953" s="1782" t="s">
        <v>836</v>
      </c>
      <c r="H953" s="94"/>
      <c r="J953" s="1950" t="s">
        <v>3913</v>
      </c>
    </row>
    <row r="954" spans="1:10" x14ac:dyDescent="0.25">
      <c r="A954" s="585" t="str">
        <f>IF(AND(LEN(H954)&gt;0,NOT(H954=FALSE)),"P","")</f>
        <v/>
      </c>
      <c r="B954" s="254" t="str">
        <f>IF(LEN('Ch7'!H85)=0,"",'Ch7'!H85)</f>
        <v/>
      </c>
      <c r="C954" s="254" t="str">
        <f t="shared" si="21"/>
        <v/>
      </c>
      <c r="D954" s="139"/>
      <c r="E954" s="1378"/>
      <c r="F954" s="1378"/>
      <c r="G954" s="1782"/>
      <c r="H954" s="1313" t="str">
        <f>IF(LEN('Ch7'!W85)=0,"",'Ch7'!W85)</f>
        <v/>
      </c>
      <c r="J954" s="1951"/>
    </row>
    <row r="955" spans="1:10" x14ac:dyDescent="0.25">
      <c r="A955" s="585" t="str">
        <f>A954</f>
        <v/>
      </c>
      <c r="B955" s="254" t="str">
        <f>IF(LEN('Ch7'!H86)=0,"",'Ch7'!H86)</f>
        <v/>
      </c>
      <c r="C955" s="254" t="str">
        <f t="shared" si="21"/>
        <v/>
      </c>
      <c r="D955" s="139"/>
      <c r="E955" s="1378"/>
      <c r="F955" s="1378"/>
      <c r="G955" s="1782"/>
      <c r="H955" s="94"/>
      <c r="J955" s="1204"/>
    </row>
    <row r="956" spans="1:10" x14ac:dyDescent="0.25">
      <c r="A956" s="585" t="str">
        <f>A955</f>
        <v/>
      </c>
      <c r="B956" s="254" t="str">
        <f>IF(LEN('Ch7'!H87)=0,"",'Ch7'!H87)</f>
        <v/>
      </c>
      <c r="C956" s="254" t="str">
        <f t="shared" si="21"/>
        <v/>
      </c>
      <c r="D956" s="139"/>
      <c r="E956" s="1378"/>
      <c r="F956" s="1378"/>
      <c r="G956" s="1782"/>
      <c r="H956" s="94"/>
      <c r="J956" s="1204"/>
    </row>
    <row r="957" spans="1:10" x14ac:dyDescent="0.25">
      <c r="B957" s="254" t="str">
        <f>IF(LEN('Ch7'!H88)=0,"",'Ch7'!H88)</f>
        <v/>
      </c>
      <c r="C957" s="254" t="str">
        <f t="shared" si="21"/>
        <v/>
      </c>
      <c r="D957" s="139"/>
      <c r="E957" s="1378"/>
      <c r="F957" s="697" t="s">
        <v>121</v>
      </c>
      <c r="G957" s="1225" t="s">
        <v>837</v>
      </c>
      <c r="H957" s="1313" t="str">
        <f>IF(LEN('Ch7'!W88)=0,"",'Ch7'!W88)</f>
        <v/>
      </c>
      <c r="J957" s="1204"/>
    </row>
    <row r="958" spans="1:10" x14ac:dyDescent="0.25">
      <c r="B958" s="254" t="str">
        <f>IF(LEN('Ch7'!H89)=0,"",'Ch7'!H89)</f>
        <v/>
      </c>
      <c r="C958" s="254" t="str">
        <f t="shared" si="21"/>
        <v/>
      </c>
      <c r="D958" s="139"/>
      <c r="E958" s="1378"/>
      <c r="F958" s="697" t="s">
        <v>122</v>
      </c>
      <c r="G958" s="1225" t="s">
        <v>838</v>
      </c>
      <c r="H958" s="1313" t="str">
        <f>IF(LEN('Ch7'!W89)=0,"",'Ch7'!W89)</f>
        <v/>
      </c>
      <c r="J958" s="1204"/>
    </row>
    <row r="959" spans="1:10" ht="15" customHeight="1" x14ac:dyDescent="0.25">
      <c r="B959" s="254" t="str">
        <f>IF(LEN('Ch7'!H90)=0,"",'Ch7'!H90)</f>
        <v/>
      </c>
      <c r="C959" s="254" t="str">
        <f t="shared" si="21"/>
        <v/>
      </c>
      <c r="D959" s="139"/>
      <c r="E959" s="1378"/>
      <c r="F959" s="698" t="s">
        <v>123</v>
      </c>
      <c r="G959" s="1225" t="s">
        <v>839</v>
      </c>
      <c r="H959" s="1313" t="str">
        <f>IF(LEN('Ch7'!W90)=0,"",'Ch7'!W90)</f>
        <v/>
      </c>
      <c r="J959" s="1204"/>
    </row>
    <row r="960" spans="1:10" x14ac:dyDescent="0.25">
      <c r="B960" s="254" t="str">
        <f>IF(LEN('Ch7'!H91)=0,"",'Ch7'!H91)</f>
        <v/>
      </c>
      <c r="C960" s="254" t="str">
        <f t="shared" si="21"/>
        <v/>
      </c>
      <c r="D960" s="139"/>
      <c r="E960" s="1378"/>
      <c r="F960" s="1378" t="s">
        <v>401</v>
      </c>
      <c r="G960" s="1225" t="s">
        <v>840</v>
      </c>
      <c r="H960" s="1313" t="str">
        <f>IF(LEN('Ch7'!W91)=0,"",'Ch7'!W91)</f>
        <v/>
      </c>
      <c r="J960" s="1204"/>
    </row>
    <row r="961" spans="1:10" x14ac:dyDescent="0.25">
      <c r="B961" s="254" t="str">
        <f>IF(LEN('Ch7'!H92)=0,"",'Ch7'!H92)</f>
        <v/>
      </c>
      <c r="C961" s="254" t="str">
        <f t="shared" si="21"/>
        <v/>
      </c>
      <c r="D961" s="139"/>
      <c r="E961" s="1378"/>
      <c r="F961" s="1378" t="s">
        <v>539</v>
      </c>
      <c r="G961" s="1225" t="s">
        <v>841</v>
      </c>
      <c r="H961" s="1313" t="str">
        <f>IF(LEN('Ch7'!W92)=0,"",'Ch7'!W92)</f>
        <v/>
      </c>
      <c r="J961" s="1204"/>
    </row>
    <row r="962" spans="1:10" x14ac:dyDescent="0.25">
      <c r="B962" s="254" t="str">
        <f>IF(LEN('Ch7'!H93)=0,"",'Ch7'!H93)</f>
        <v/>
      </c>
      <c r="C962" s="254" t="str">
        <f t="shared" si="21"/>
        <v/>
      </c>
      <c r="D962" s="139"/>
      <c r="E962" s="1378"/>
      <c r="F962" s="698" t="s">
        <v>604</v>
      </c>
      <c r="G962" s="1225" t="s">
        <v>842</v>
      </c>
      <c r="H962" s="1313" t="str">
        <f>IF(LEN('Ch7'!W93)=0,"",'Ch7'!W93)</f>
        <v/>
      </c>
      <c r="J962" s="1204"/>
    </row>
    <row r="963" spans="1:10" x14ac:dyDescent="0.25">
      <c r="B963" s="254" t="str">
        <f>IF(LEN('Ch7'!H94)=0,"",'Ch7'!H94)</f>
        <v/>
      </c>
      <c r="C963" s="254" t="str">
        <f t="shared" si="21"/>
        <v/>
      </c>
      <c r="D963" s="139"/>
      <c r="E963" s="1378"/>
      <c r="F963" s="1378" t="s">
        <v>606</v>
      </c>
      <c r="G963" s="1216" t="s">
        <v>4246</v>
      </c>
      <c r="H963" s="1313" t="str">
        <f>IF(LEN('Ch7'!W94)=0,"",'Ch7'!W94)</f>
        <v/>
      </c>
      <c r="J963" s="1204"/>
    </row>
    <row r="964" spans="1:10" x14ac:dyDescent="0.25">
      <c r="B964" s="254" t="str">
        <f>IF(LEN('Ch7'!H95)=0,"",'Ch7'!H95)</f>
        <v/>
      </c>
      <c r="C964" s="254" t="str">
        <f t="shared" si="21"/>
        <v/>
      </c>
      <c r="D964" s="139"/>
      <c r="E964" s="1378"/>
      <c r="F964" s="1378" t="s">
        <v>608</v>
      </c>
      <c r="G964" s="1225" t="s">
        <v>843</v>
      </c>
      <c r="H964" s="1313" t="str">
        <f>IF(LEN('Ch7'!W95)=0,"",'Ch7'!W95)</f>
        <v/>
      </c>
      <c r="J964" s="1204"/>
    </row>
    <row r="965" spans="1:10" x14ac:dyDescent="0.25">
      <c r="B965" s="254" t="str">
        <f>IF(LEN('Ch7'!H96)=0,"",'Ch7'!H96)</f>
        <v/>
      </c>
      <c r="C965" s="254" t="str">
        <f t="shared" si="21"/>
        <v/>
      </c>
      <c r="D965" s="139"/>
      <c r="E965" s="1378"/>
      <c r="F965" s="1378" t="s">
        <v>844</v>
      </c>
      <c r="G965" s="1216" t="s">
        <v>4247</v>
      </c>
      <c r="H965" s="1313" t="str">
        <f>IF(LEN('Ch7'!W96)=0,"",'Ch7'!W96)</f>
        <v/>
      </c>
      <c r="J965" s="1204"/>
    </row>
    <row r="966" spans="1:10" x14ac:dyDescent="0.25">
      <c r="B966" s="254" t="str">
        <f>IF(LEN('Ch7'!H97)=0,"",'Ch7'!H97)</f>
        <v/>
      </c>
      <c r="C966" s="254" t="str">
        <f t="shared" si="21"/>
        <v/>
      </c>
      <c r="D966" s="139"/>
      <c r="E966" s="1378"/>
      <c r="F966" s="1378" t="s">
        <v>845</v>
      </c>
      <c r="G966" s="1225" t="s">
        <v>846</v>
      </c>
      <c r="H966" s="1313" t="str">
        <f>IF(LEN('Ch7'!W97)=0,"",'Ch7'!W97)</f>
        <v/>
      </c>
      <c r="J966" s="1204"/>
    </row>
    <row r="967" spans="1:10" x14ac:dyDescent="0.25">
      <c r="B967" s="254" t="str">
        <f>IF(LEN('Ch7'!H98)=0,"",'Ch7'!H98)</f>
        <v/>
      </c>
      <c r="C967" s="254" t="str">
        <f t="shared" si="21"/>
        <v/>
      </c>
      <c r="D967" s="101"/>
      <c r="E967" s="1377"/>
      <c r="F967" s="1378" t="s">
        <v>847</v>
      </c>
      <c r="G967" s="1216" t="s">
        <v>4248</v>
      </c>
      <c r="H967" s="1313" t="str">
        <f>IF(LEN('Ch7'!W98)=0,"",'Ch7'!W98)</f>
        <v/>
      </c>
      <c r="J967" s="1204"/>
    </row>
    <row r="968" spans="1:10" x14ac:dyDescent="0.25">
      <c r="B968" s="254" t="str">
        <f>IF(LEN('Ch7'!H99)=0,"",'Ch7'!H99)</f>
        <v/>
      </c>
      <c r="C968" s="254" t="str">
        <f t="shared" si="21"/>
        <v/>
      </c>
      <c r="F968" s="1378" t="s">
        <v>848</v>
      </c>
      <c r="G968" s="1216" t="s">
        <v>4249</v>
      </c>
      <c r="H968" s="1313" t="str">
        <f>IF(LEN('Ch7'!W99)=0,"",'Ch7'!W99)</f>
        <v/>
      </c>
      <c r="J968" s="1204"/>
    </row>
    <row r="969" spans="1:10" x14ac:dyDescent="0.25">
      <c r="B969" s="254" t="str">
        <f>IF(LEN('Ch7'!H100)=0,"",'Ch7'!H100)</f>
        <v/>
      </c>
      <c r="C969" s="254" t="str">
        <f t="shared" si="21"/>
        <v/>
      </c>
      <c r="D969" s="669"/>
      <c r="E969" s="1380"/>
      <c r="F969" s="1380" t="s">
        <v>3969</v>
      </c>
      <c r="G969" s="1215" t="s">
        <v>849</v>
      </c>
      <c r="H969" s="1313" t="str">
        <f>IF(LEN('Ch7'!W100)=0,"",'Ch7'!W100)</f>
        <v/>
      </c>
      <c r="J969" s="1204"/>
    </row>
    <row r="970" spans="1:10" x14ac:dyDescent="0.25">
      <c r="A970" s="2363" t="str">
        <f>IF(COUNTIF(A974:A993,"P")&gt;0,"P","")</f>
        <v/>
      </c>
      <c r="B970" s="254" t="str">
        <f>IF(LEN('Ch7'!H101)=0,"",'Ch7'!H101)</f>
        <v/>
      </c>
      <c r="C970" s="254" t="str">
        <f t="shared" si="21"/>
        <v/>
      </c>
      <c r="D970" s="139" t="s">
        <v>850</v>
      </c>
      <c r="E970" s="1378"/>
      <c r="F970" s="1378"/>
      <c r="G970" s="1835" t="s">
        <v>4250</v>
      </c>
      <c r="H970" s="94"/>
      <c r="J970" s="1204"/>
    </row>
    <row r="971" spans="1:10" x14ac:dyDescent="0.25">
      <c r="A971" s="585" t="str">
        <f>A970</f>
        <v/>
      </c>
      <c r="B971" s="254" t="str">
        <f>IF(LEN('Ch7'!H102)=0,"",'Ch7'!H102)</f>
        <v/>
      </c>
      <c r="C971" s="254" t="str">
        <f t="shared" si="21"/>
        <v/>
      </c>
      <c r="D971" s="139"/>
      <c r="E971" s="1378"/>
      <c r="F971" s="1378"/>
      <c r="G971" s="1877"/>
      <c r="H971" s="94"/>
      <c r="J971" s="1204"/>
    </row>
    <row r="972" spans="1:10" x14ac:dyDescent="0.25">
      <c r="A972" s="585" t="str">
        <f>A971</f>
        <v/>
      </c>
      <c r="B972" s="254" t="str">
        <f>IF(LEN('Ch7'!H103)=0,"",'Ch7'!H103)</f>
        <v/>
      </c>
      <c r="C972" s="254" t="str">
        <f t="shared" si="21"/>
        <v/>
      </c>
      <c r="D972" s="139"/>
      <c r="E972" s="1378"/>
      <c r="F972" s="1378"/>
      <c r="G972" s="1877"/>
      <c r="H972" s="94"/>
      <c r="J972" s="1204"/>
    </row>
    <row r="973" spans="1:10" x14ac:dyDescent="0.25">
      <c r="A973" s="585" t="str">
        <f>A972</f>
        <v/>
      </c>
      <c r="B973" s="254" t="str">
        <f>IF(LEN('Ch7'!H104)=0,"",'Ch7'!H104)</f>
        <v/>
      </c>
      <c r="C973" s="254" t="str">
        <f t="shared" si="21"/>
        <v/>
      </c>
      <c r="D973" s="139"/>
      <c r="E973" s="1378"/>
      <c r="F973" s="1378"/>
      <c r="G973" s="1877"/>
      <c r="H973" s="94"/>
      <c r="J973" s="1204"/>
    </row>
    <row r="974" spans="1:10" x14ac:dyDescent="0.25">
      <c r="A974" s="585" t="str">
        <f>IF(OR(LEN(H974)&gt;0,LEN(H977)&gt;0),"P","")</f>
        <v/>
      </c>
      <c r="B974" s="254" t="str">
        <f>IF(LEN('Ch7'!H105)=0,"",'Ch7'!H105)</f>
        <v/>
      </c>
      <c r="C974" s="254" t="str">
        <f t="shared" si="21"/>
        <v/>
      </c>
      <c r="D974" s="139"/>
      <c r="E974" s="697" t="s">
        <v>256</v>
      </c>
      <c r="F974" s="1378"/>
      <c r="G974" s="1782" t="s">
        <v>851</v>
      </c>
      <c r="H974" s="1313" t="str">
        <f>IF(LEN('Ch7'!W105)=0,"",'Ch7'!W105)</f>
        <v/>
      </c>
      <c r="J974" s="1204" t="s">
        <v>4991</v>
      </c>
    </row>
    <row r="975" spans="1:10" x14ac:dyDescent="0.25">
      <c r="A975" s="585" t="str">
        <f>A974</f>
        <v/>
      </c>
      <c r="B975" s="254" t="str">
        <f>IF(LEN('Ch7'!H106)=0,"",'Ch7'!H106)</f>
        <v/>
      </c>
      <c r="C975" s="254" t="str">
        <f t="shared" ref="C975:C1038" si="22">IF(LEN(B975)=0,IF(A975="P","P",""),B975)</f>
        <v/>
      </c>
      <c r="D975" s="139"/>
      <c r="E975" s="1378"/>
      <c r="F975" s="1378"/>
      <c r="G975" s="1782"/>
      <c r="H975" s="94"/>
      <c r="J975" s="1204"/>
    </row>
    <row r="976" spans="1:10" x14ac:dyDescent="0.25">
      <c r="A976" s="585" t="str">
        <f>A975</f>
        <v/>
      </c>
      <c r="B976" s="254" t="str">
        <f>IF(LEN('Ch7'!H107)=0,"",'Ch7'!H107)</f>
        <v/>
      </c>
      <c r="C976" s="254" t="str">
        <f t="shared" si="22"/>
        <v/>
      </c>
      <c r="D976" s="139"/>
      <c r="E976" s="1378"/>
      <c r="F976" s="1378"/>
      <c r="G976" s="1782"/>
      <c r="H976" s="94"/>
      <c r="J976" s="1204"/>
    </row>
    <row r="977" spans="1:10" x14ac:dyDescent="0.25">
      <c r="A977" s="585" t="str">
        <f>A976</f>
        <v/>
      </c>
      <c r="B977" s="254" t="str">
        <f>IF(LEN('Ch7'!H108)=0,"",'Ch7'!H108)</f>
        <v/>
      </c>
      <c r="C977" s="254" t="str">
        <f t="shared" si="22"/>
        <v/>
      </c>
      <c r="D977" s="139"/>
      <c r="E977" s="1378"/>
      <c r="F977" s="1378"/>
      <c r="G977" s="1782"/>
      <c r="H977" s="1313" t="str">
        <f>IF(LEN('Ch7'!W108)=0,"",'Ch7'!W108)</f>
        <v/>
      </c>
      <c r="J977" s="1204"/>
    </row>
    <row r="978" spans="1:10" x14ac:dyDescent="0.25">
      <c r="A978" s="585" t="str">
        <f>A977</f>
        <v/>
      </c>
      <c r="B978" s="254" t="str">
        <f>IF(LEN('Ch7'!H109)=0,"",'Ch7'!H109)</f>
        <v/>
      </c>
      <c r="C978" s="254" t="str">
        <f t="shared" si="22"/>
        <v/>
      </c>
      <c r="D978" s="139"/>
      <c r="E978" s="1378"/>
      <c r="F978" s="1378"/>
      <c r="G978" s="1782"/>
      <c r="H978" s="94"/>
      <c r="J978" s="1204"/>
    </row>
    <row r="979" spans="1:10" x14ac:dyDescent="0.25">
      <c r="B979" s="254" t="str">
        <f>IF(LEN('Ch7'!H110)=0,"",'Ch7'!H110)</f>
        <v/>
      </c>
      <c r="C979" s="254" t="str">
        <f t="shared" si="22"/>
        <v/>
      </c>
      <c r="D979" s="139"/>
      <c r="E979" s="1378"/>
      <c r="F979" s="697" t="s">
        <v>121</v>
      </c>
      <c r="G979" s="1225" t="s">
        <v>852</v>
      </c>
      <c r="H979" s="94"/>
      <c r="J979" s="1204"/>
    </row>
    <row r="980" spans="1:10" x14ac:dyDescent="0.25">
      <c r="B980" s="254" t="str">
        <f>IF(LEN('Ch7'!H111)=0,"",'Ch7'!H111)</f>
        <v/>
      </c>
      <c r="C980" s="254" t="str">
        <f t="shared" si="22"/>
        <v/>
      </c>
      <c r="D980" s="139"/>
      <c r="E980" s="1378"/>
      <c r="F980" s="697" t="s">
        <v>122</v>
      </c>
      <c r="G980" s="1754" t="s">
        <v>853</v>
      </c>
      <c r="H980" s="94"/>
      <c r="J980" s="1204"/>
    </row>
    <row r="981" spans="1:10" x14ac:dyDescent="0.25">
      <c r="B981" s="254" t="str">
        <f>IF(LEN('Ch7'!H112)=0,"",'Ch7'!H112)</f>
        <v/>
      </c>
      <c r="C981" s="254" t="str">
        <f t="shared" si="22"/>
        <v/>
      </c>
      <c r="D981" s="139"/>
      <c r="E981" s="1378"/>
      <c r="F981" s="697"/>
      <c r="G981" s="1754"/>
      <c r="H981" s="94"/>
      <c r="J981" s="1204"/>
    </row>
    <row r="982" spans="1:10" x14ac:dyDescent="0.25">
      <c r="B982" s="254" t="str">
        <f>IF(LEN('Ch7'!H113)=0,"",'Ch7'!H113)</f>
        <v/>
      </c>
      <c r="C982" s="254" t="str">
        <f t="shared" si="22"/>
        <v/>
      </c>
      <c r="D982" s="139"/>
      <c r="E982" s="1378"/>
      <c r="F982" s="698" t="s">
        <v>123</v>
      </c>
      <c r="G982" s="1225" t="s">
        <v>854</v>
      </c>
      <c r="H982" s="94"/>
      <c r="J982" s="1204"/>
    </row>
    <row r="983" spans="1:10" x14ac:dyDescent="0.25">
      <c r="B983" s="254" t="str">
        <f>IF(LEN('Ch7'!H114)=0,"",'Ch7'!H114)</f>
        <v/>
      </c>
      <c r="C983" s="254" t="str">
        <f t="shared" si="22"/>
        <v/>
      </c>
      <c r="D983" s="139"/>
      <c r="E983" s="1378"/>
      <c r="F983" s="1378" t="s">
        <v>401</v>
      </c>
      <c r="G983" s="1754" t="s">
        <v>855</v>
      </c>
      <c r="H983" s="94"/>
      <c r="J983" s="1204"/>
    </row>
    <row r="984" spans="1:10" x14ac:dyDescent="0.25">
      <c r="B984" s="254" t="str">
        <f>IF(LEN('Ch7'!H115)=0,"",'Ch7'!H115)</f>
        <v/>
      </c>
      <c r="C984" s="254" t="str">
        <f t="shared" si="22"/>
        <v/>
      </c>
      <c r="D984" s="139"/>
      <c r="E984" s="1378"/>
      <c r="F984" s="1378"/>
      <c r="G984" s="1754"/>
      <c r="H984" s="94"/>
      <c r="J984" s="1204"/>
    </row>
    <row r="985" spans="1:10" x14ac:dyDescent="0.25">
      <c r="B985" s="254" t="str">
        <f>IF(LEN('Ch7'!H116)=0,"",'Ch7'!H116)</f>
        <v/>
      </c>
      <c r="C985" s="254" t="str">
        <f t="shared" si="22"/>
        <v/>
      </c>
      <c r="D985" s="139"/>
      <c r="E985" s="1378"/>
      <c r="F985" s="1378" t="s">
        <v>539</v>
      </c>
      <c r="G985" s="1225" t="s">
        <v>856</v>
      </c>
      <c r="H985" s="94"/>
      <c r="J985" s="1204"/>
    </row>
    <row r="986" spans="1:10" x14ac:dyDescent="0.25">
      <c r="B986" s="254" t="str">
        <f>IF(LEN('Ch7'!H117)=0,"",'Ch7'!H117)</f>
        <v/>
      </c>
      <c r="C986" s="254" t="str">
        <f t="shared" si="22"/>
        <v/>
      </c>
      <c r="D986" s="139"/>
      <c r="E986" s="1378"/>
      <c r="F986" s="698" t="s">
        <v>604</v>
      </c>
      <c r="G986" s="1225" t="s">
        <v>857</v>
      </c>
      <c r="H986" s="94"/>
      <c r="J986" s="1204"/>
    </row>
    <row r="987" spans="1:10" x14ac:dyDescent="0.25">
      <c r="B987" s="254" t="str">
        <f>IF(LEN('Ch7'!H118)=0,"",'Ch7'!H118)</f>
        <v/>
      </c>
      <c r="C987" s="254" t="str">
        <f t="shared" si="22"/>
        <v/>
      </c>
      <c r="D987" s="139"/>
      <c r="E987" s="1378"/>
      <c r="F987" s="1378" t="s">
        <v>606</v>
      </c>
      <c r="G987" s="1225" t="s">
        <v>858</v>
      </c>
      <c r="H987" s="94"/>
      <c r="J987" s="1204"/>
    </row>
    <row r="988" spans="1:10" x14ac:dyDescent="0.25">
      <c r="B988" s="254" t="str">
        <f>IF(LEN('Ch7'!H119)=0,"",'Ch7'!H119)</f>
        <v/>
      </c>
      <c r="C988" s="254" t="str">
        <f t="shared" si="22"/>
        <v/>
      </c>
      <c r="D988" s="139"/>
      <c r="E988" s="1377"/>
      <c r="F988" s="1396"/>
      <c r="G988" s="1958" t="s">
        <v>4251</v>
      </c>
      <c r="H988" s="94"/>
      <c r="J988" s="1204"/>
    </row>
    <row r="989" spans="1:10" x14ac:dyDescent="0.25">
      <c r="B989" s="254" t="str">
        <f>IF(LEN('Ch7'!H120)=0,"",'Ch7'!H120)</f>
        <v/>
      </c>
      <c r="C989" s="254" t="str">
        <f t="shared" si="22"/>
        <v/>
      </c>
      <c r="D989" s="139"/>
      <c r="E989" s="1380"/>
      <c r="F989" s="1397"/>
      <c r="G989" s="1961"/>
      <c r="H989" s="94"/>
      <c r="J989" s="1204"/>
    </row>
    <row r="990" spans="1:10" x14ac:dyDescent="0.25">
      <c r="A990" s="585" t="str">
        <f>IF(AND(LEN(H990)&gt;0,NOT(H990=FALSE)),"P","")</f>
        <v/>
      </c>
      <c r="B990" s="254" t="str">
        <f>IF(LEN('Ch7'!H121)=0,"",'Ch7'!H121)</f>
        <v/>
      </c>
      <c r="C990" s="254" t="str">
        <f t="shared" si="22"/>
        <v/>
      </c>
      <c r="D990" s="101"/>
      <c r="E990" s="695" t="s">
        <v>258</v>
      </c>
      <c r="F990" s="1377"/>
      <c r="G990" s="1782" t="s">
        <v>859</v>
      </c>
      <c r="H990" s="1313" t="str">
        <f>IF(LEN('Ch7'!W121)=0,"",'Ch7'!W121)</f>
        <v/>
      </c>
      <c r="J990" s="1204" t="s">
        <v>3892</v>
      </c>
    </row>
    <row r="991" spans="1:10" x14ac:dyDescent="0.25">
      <c r="A991" s="585" t="str">
        <f>A990</f>
        <v/>
      </c>
      <c r="B991" s="254" t="str">
        <f>IF(LEN('Ch7'!H122)=0,"",'Ch7'!H122)</f>
        <v/>
      </c>
      <c r="C991" s="254" t="str">
        <f t="shared" si="22"/>
        <v/>
      </c>
      <c r="D991" s="101"/>
      <c r="E991" s="1377"/>
      <c r="F991" s="1377"/>
      <c r="G991" s="1782"/>
      <c r="H991" s="94"/>
      <c r="J991" s="1204"/>
    </row>
    <row r="992" spans="1:10" x14ac:dyDescent="0.25">
      <c r="B992" s="254" t="str">
        <f>IF(LEN('Ch7'!H123)=0,"",'Ch7'!H123)</f>
        <v/>
      </c>
      <c r="C992" s="254" t="str">
        <f t="shared" si="22"/>
        <v/>
      </c>
      <c r="D992" s="669"/>
      <c r="E992" s="1380"/>
      <c r="F992" s="1380"/>
      <c r="G992" s="527" t="s">
        <v>3415</v>
      </c>
      <c r="H992" s="94"/>
      <c r="J992" s="1204"/>
    </row>
    <row r="993" spans="1:10" x14ac:dyDescent="0.25">
      <c r="A993" s="585" t="str">
        <f>IF(AND(LEN(H993)&gt;0,NOT(H993=FALSE)),"P","")</f>
        <v/>
      </c>
      <c r="B993" s="254" t="str">
        <f>IF(LEN('Ch7'!H124)=0,"",'Ch7'!H124)</f>
        <v/>
      </c>
      <c r="C993" s="254" t="str">
        <f t="shared" si="22"/>
        <v/>
      </c>
      <c r="D993" s="139" t="s">
        <v>860</v>
      </c>
      <c r="E993" s="1378"/>
      <c r="F993" s="1382"/>
      <c r="G993" s="1835" t="s">
        <v>4252</v>
      </c>
      <c r="H993" s="1313" t="str">
        <f>IF(LEN('Ch7'!W124)=0,"",'Ch7'!W124)</f>
        <v/>
      </c>
      <c r="J993" s="1204" t="s">
        <v>3892</v>
      </c>
    </row>
    <row r="994" spans="1:10" x14ac:dyDescent="0.25">
      <c r="A994" s="585" t="str">
        <f>A993</f>
        <v/>
      </c>
      <c r="B994" s="254" t="str">
        <f>IF(LEN('Ch7'!H125)=0,"",'Ch7'!H125)</f>
        <v/>
      </c>
      <c r="C994" s="254" t="str">
        <f t="shared" si="22"/>
        <v/>
      </c>
      <c r="D994" s="139"/>
      <c r="G994" s="1877"/>
      <c r="H994" s="94"/>
      <c r="J994" s="1204"/>
    </row>
    <row r="995" spans="1:10" x14ac:dyDescent="0.25">
      <c r="A995" s="585" t="str">
        <f>A994</f>
        <v/>
      </c>
      <c r="B995" s="254" t="str">
        <f>IF(LEN('Ch7'!H126)=0,"",'Ch7'!H126)</f>
        <v/>
      </c>
      <c r="C995" s="254" t="str">
        <f t="shared" si="22"/>
        <v/>
      </c>
      <c r="D995" s="139"/>
      <c r="G995" s="1877"/>
      <c r="H995" s="94"/>
      <c r="J995" s="1204"/>
    </row>
    <row r="996" spans="1:10" x14ac:dyDescent="0.25">
      <c r="A996" s="585" t="str">
        <f>A995</f>
        <v/>
      </c>
      <c r="B996" s="254" t="str">
        <f>IF(LEN('Ch7'!H127)=0,"",'Ch7'!H127)</f>
        <v/>
      </c>
      <c r="C996" s="254" t="str">
        <f t="shared" si="22"/>
        <v/>
      </c>
      <c r="D996" s="139"/>
      <c r="E996" s="1387"/>
      <c r="F996" s="1387"/>
      <c r="G996" s="1834"/>
      <c r="H996" s="94"/>
      <c r="J996" s="1204"/>
    </row>
    <row r="997" spans="1:10" x14ac:dyDescent="0.25">
      <c r="B997" s="254" t="str">
        <f>IF(LEN('Ch7'!H128)=0,"",'Ch7'!H128)</f>
        <v/>
      </c>
      <c r="C997" s="254" t="str">
        <f t="shared" si="22"/>
        <v/>
      </c>
      <c r="D997" s="139"/>
      <c r="E997" s="684" t="s">
        <v>256</v>
      </c>
      <c r="F997" s="1380"/>
      <c r="G997" s="1215" t="s">
        <v>861</v>
      </c>
      <c r="H997" s="94"/>
      <c r="J997" s="1204"/>
    </row>
    <row r="998" spans="1:10" x14ac:dyDescent="0.25">
      <c r="B998" s="254" t="str">
        <f>IF(LEN('Ch7'!H129)=0,"",'Ch7'!H129)</f>
        <v/>
      </c>
      <c r="C998" s="254" t="str">
        <f t="shared" si="22"/>
        <v/>
      </c>
      <c r="D998" s="139"/>
      <c r="E998" s="667" t="s">
        <v>258</v>
      </c>
      <c r="F998" s="1378"/>
      <c r="G998" s="1754" t="s">
        <v>862</v>
      </c>
      <c r="H998" s="94"/>
      <c r="J998" s="1204"/>
    </row>
    <row r="999" spans="1:10" x14ac:dyDescent="0.25">
      <c r="B999" s="254" t="str">
        <f>IF(LEN('Ch7'!H130)=0,"",'Ch7'!H130)</f>
        <v/>
      </c>
      <c r="C999" s="254" t="str">
        <f t="shared" si="22"/>
        <v/>
      </c>
      <c r="D999" s="139"/>
      <c r="E999" s="667"/>
      <c r="F999" s="1378"/>
      <c r="G999" s="1754"/>
      <c r="H999" s="94"/>
      <c r="J999" s="1204"/>
    </row>
    <row r="1000" spans="1:10" x14ac:dyDescent="0.25">
      <c r="B1000" s="254" t="str">
        <f>IF(LEN('Ch7'!H131)=0,"",'Ch7'!H131)</f>
        <v/>
      </c>
      <c r="C1000" s="254" t="str">
        <f t="shared" si="22"/>
        <v/>
      </c>
      <c r="D1000" s="139"/>
      <c r="E1000" s="667"/>
      <c r="F1000" s="1378"/>
      <c r="G1000" s="1754"/>
      <c r="H1000" s="94"/>
      <c r="J1000" s="1204"/>
    </row>
    <row r="1001" spans="1:10" x14ac:dyDescent="0.25">
      <c r="B1001" s="254" t="str">
        <f>IF(LEN('Ch7'!H132)=0,"",'Ch7'!H132)</f>
        <v/>
      </c>
      <c r="C1001" s="254" t="str">
        <f t="shared" si="22"/>
        <v/>
      </c>
      <c r="D1001" s="139"/>
      <c r="E1001" s="684"/>
      <c r="F1001" s="1380"/>
      <c r="G1001" s="1755"/>
      <c r="H1001" s="94"/>
      <c r="J1001" s="1204"/>
    </row>
    <row r="1002" spans="1:10" x14ac:dyDescent="0.25">
      <c r="B1002" s="254" t="str">
        <f>IF(LEN('Ch7'!H133)=0,"",'Ch7'!H133)</f>
        <v/>
      </c>
      <c r="C1002" s="254" t="str">
        <f t="shared" si="22"/>
        <v/>
      </c>
      <c r="D1002" s="139"/>
      <c r="E1002" s="667" t="s">
        <v>260</v>
      </c>
      <c r="F1002" s="1378"/>
      <c r="G1002" s="1754" t="s">
        <v>863</v>
      </c>
      <c r="H1002" s="94"/>
      <c r="J1002" s="1204"/>
    </row>
    <row r="1003" spans="1:10" x14ac:dyDescent="0.25">
      <c r="B1003" s="254" t="str">
        <f>IF(LEN('Ch7'!H134)=0,"",'Ch7'!H134)</f>
        <v/>
      </c>
      <c r="C1003" s="254" t="str">
        <f t="shared" si="22"/>
        <v/>
      </c>
      <c r="D1003" s="139"/>
      <c r="E1003" s="684"/>
      <c r="F1003" s="1380"/>
      <c r="G1003" s="1755"/>
      <c r="H1003" s="94"/>
      <c r="J1003" s="1204"/>
    </row>
    <row r="1004" spans="1:10" x14ac:dyDescent="0.25">
      <c r="B1004" s="254" t="str">
        <f>IF(LEN('Ch7'!H135)=0,"",'Ch7'!H135)</f>
        <v/>
      </c>
      <c r="C1004" s="254" t="str">
        <f t="shared" si="22"/>
        <v/>
      </c>
      <c r="D1004" s="139"/>
      <c r="E1004" s="667" t="s">
        <v>269</v>
      </c>
      <c r="F1004" s="1382"/>
      <c r="G1004" s="1778" t="s">
        <v>864</v>
      </c>
      <c r="H1004" s="94"/>
      <c r="J1004" s="1204"/>
    </row>
    <row r="1005" spans="1:10" x14ac:dyDescent="0.25">
      <c r="B1005" s="254" t="str">
        <f>IF(LEN('Ch7'!H136)=0,"",'Ch7'!H136)</f>
        <v/>
      </c>
      <c r="C1005" s="254" t="str">
        <f t="shared" si="22"/>
        <v/>
      </c>
      <c r="D1005" s="139"/>
      <c r="E1005" s="667"/>
      <c r="F1005" s="1378"/>
      <c r="G1005" s="1754"/>
      <c r="H1005" s="94"/>
      <c r="J1005" s="1204"/>
    </row>
    <row r="1006" spans="1:10" x14ac:dyDescent="0.25">
      <c r="B1006" s="254" t="str">
        <f>IF(LEN('Ch7'!H137)=0,"",'Ch7'!H137)</f>
        <v/>
      </c>
      <c r="C1006" s="254" t="str">
        <f t="shared" si="22"/>
        <v/>
      </c>
      <c r="D1006" s="139"/>
      <c r="E1006" s="684"/>
      <c r="F1006" s="1380"/>
      <c r="G1006" s="1755"/>
      <c r="H1006" s="94"/>
      <c r="J1006" s="1204"/>
    </row>
    <row r="1007" spans="1:10" x14ac:dyDescent="0.25">
      <c r="B1007" s="254" t="str">
        <f>IF(LEN('Ch7'!H138)=0,"",'Ch7'!H138)</f>
        <v/>
      </c>
      <c r="C1007" s="254" t="str">
        <f t="shared" si="22"/>
        <v/>
      </c>
      <c r="D1007" s="139"/>
      <c r="E1007" s="667" t="s">
        <v>275</v>
      </c>
      <c r="F1007" s="1382"/>
      <c r="G1007" s="1778" t="s">
        <v>865</v>
      </c>
      <c r="H1007" s="94"/>
      <c r="J1007" s="1204"/>
    </row>
    <row r="1008" spans="1:10" x14ac:dyDescent="0.25">
      <c r="B1008" s="254" t="str">
        <f>IF(LEN('Ch7'!H139)=0,"",'Ch7'!H139)</f>
        <v/>
      </c>
      <c r="C1008" s="254" t="str">
        <f t="shared" si="22"/>
        <v/>
      </c>
      <c r="D1008" s="139"/>
      <c r="E1008" s="684"/>
      <c r="F1008" s="1380"/>
      <c r="G1008" s="1755"/>
      <c r="H1008" s="94"/>
      <c r="J1008" s="1204"/>
    </row>
    <row r="1009" spans="1:10" ht="15" customHeight="1" x14ac:dyDescent="0.25">
      <c r="B1009" s="254" t="str">
        <f>IF(LEN('Ch7'!H140)=0,"",'Ch7'!H140)</f>
        <v/>
      </c>
      <c r="C1009" s="254" t="str">
        <f t="shared" si="22"/>
        <v/>
      </c>
      <c r="D1009" s="139"/>
      <c r="E1009" s="684" t="s">
        <v>277</v>
      </c>
      <c r="F1009" s="1395"/>
      <c r="G1009" s="280" t="s">
        <v>866</v>
      </c>
      <c r="H1009" s="94"/>
      <c r="J1009" s="1204"/>
    </row>
    <row r="1010" spans="1:10" x14ac:dyDescent="0.25">
      <c r="B1010" s="254" t="str">
        <f>IF(LEN('Ch7'!H141)=0,"",'Ch7'!H141)</f>
        <v/>
      </c>
      <c r="C1010" s="254" t="str">
        <f t="shared" si="22"/>
        <v/>
      </c>
      <c r="D1010" s="139"/>
      <c r="E1010" s="684" t="s">
        <v>383</v>
      </c>
      <c r="F1010" s="1395"/>
      <c r="G1010" s="280" t="s">
        <v>867</v>
      </c>
      <c r="H1010" s="94"/>
      <c r="J1010" s="1204"/>
    </row>
    <row r="1011" spans="1:10" x14ac:dyDescent="0.25">
      <c r="B1011" s="254" t="str">
        <f>IF(LEN('Ch7'!H142)=0,"",'Ch7'!H142)</f>
        <v/>
      </c>
      <c r="C1011" s="254" t="str">
        <f t="shared" si="22"/>
        <v/>
      </c>
      <c r="D1011" s="139"/>
      <c r="E1011" s="667" t="s">
        <v>428</v>
      </c>
      <c r="F1011" s="1382"/>
      <c r="G1011" s="1778" t="s">
        <v>868</v>
      </c>
      <c r="H1011" s="94"/>
      <c r="J1011" s="1204"/>
    </row>
    <row r="1012" spans="1:10" x14ac:dyDescent="0.25">
      <c r="B1012" s="254" t="str">
        <f>IF(LEN('Ch7'!H143)=0,"",'Ch7'!H143)</f>
        <v/>
      </c>
      <c r="C1012" s="254" t="str">
        <f t="shared" si="22"/>
        <v/>
      </c>
      <c r="D1012" s="139"/>
      <c r="E1012" s="667"/>
      <c r="F1012" s="1378"/>
      <c r="G1012" s="1754"/>
      <c r="H1012" s="94"/>
      <c r="J1012" s="1204"/>
    </row>
    <row r="1013" spans="1:10" x14ac:dyDescent="0.25">
      <c r="B1013" s="254" t="str">
        <f>IF(LEN('Ch7'!H144)=0,"",'Ch7'!H144)</f>
        <v/>
      </c>
      <c r="C1013" s="254" t="str">
        <f t="shared" si="22"/>
        <v/>
      </c>
      <c r="D1013" s="139"/>
      <c r="E1013" s="684"/>
      <c r="F1013" s="1380"/>
      <c r="G1013" s="1755"/>
      <c r="H1013" s="94"/>
      <c r="J1013" s="1204"/>
    </row>
    <row r="1014" spans="1:10" x14ac:dyDescent="0.25">
      <c r="B1014" s="254" t="str">
        <f>IF(LEN('Ch7'!H145)=0,"",'Ch7'!H145)</f>
        <v/>
      </c>
      <c r="C1014" s="254" t="str">
        <f t="shared" si="22"/>
        <v/>
      </c>
      <c r="D1014" s="101"/>
      <c r="E1014" s="667" t="s">
        <v>430</v>
      </c>
      <c r="F1014" s="1378"/>
      <c r="G1014" s="1765" t="s">
        <v>4253</v>
      </c>
      <c r="H1014" s="94"/>
      <c r="J1014" s="1204"/>
    </row>
    <row r="1015" spans="1:10" x14ac:dyDescent="0.25">
      <c r="B1015" s="254" t="str">
        <f>IF(LEN('Ch7'!H146)=0,"",'Ch7'!H146)</f>
        <v/>
      </c>
      <c r="C1015" s="254" t="str">
        <f t="shared" si="22"/>
        <v/>
      </c>
      <c r="D1015" s="669"/>
      <c r="E1015" s="697"/>
      <c r="F1015" s="1378"/>
      <c r="G1015" s="1765"/>
      <c r="H1015" s="94"/>
      <c r="J1015" s="1204"/>
    </row>
    <row r="1016" spans="1:10" x14ac:dyDescent="0.25">
      <c r="A1016" s="585" t="s">
        <v>3974</v>
      </c>
      <c r="B1016" s="254" t="str">
        <f>IF(LEN('Ch7'!H147)=0,"",'Ch7'!H147)</f>
        <v/>
      </c>
      <c r="C1016" s="254" t="str">
        <f t="shared" si="22"/>
        <v>P</v>
      </c>
      <c r="D1016" s="671" t="s">
        <v>869</v>
      </c>
      <c r="E1016" s="1382"/>
      <c r="F1016" s="1382"/>
      <c r="G1016" s="1864" t="s">
        <v>4373</v>
      </c>
      <c r="H1016" s="94"/>
      <c r="J1016" s="1204" t="s">
        <v>4992</v>
      </c>
    </row>
    <row r="1017" spans="1:10" x14ac:dyDescent="0.25">
      <c r="A1017" s="585" t="s">
        <v>3974</v>
      </c>
      <c r="B1017" s="254" t="str">
        <f>IF(LEN('Ch7'!H148)=0,"",'Ch7'!H148)</f>
        <v/>
      </c>
      <c r="C1017" s="254" t="str">
        <f t="shared" si="22"/>
        <v>P</v>
      </c>
      <c r="D1017" s="101"/>
      <c r="E1017" s="1377"/>
      <c r="F1017" s="1377"/>
      <c r="G1017" s="1782"/>
      <c r="H1017" s="94"/>
      <c r="J1017" s="1204"/>
    </row>
    <row r="1018" spans="1:10" x14ac:dyDescent="0.25">
      <c r="A1018" s="585" t="s">
        <v>3974</v>
      </c>
      <c r="B1018" s="254" t="str">
        <f>IF(LEN('Ch7'!H149)=0,"",'Ch7'!H149)</f>
        <v/>
      </c>
      <c r="C1018" s="254" t="str">
        <f t="shared" si="22"/>
        <v>P</v>
      </c>
      <c r="D1018" s="669"/>
      <c r="E1018" s="1380"/>
      <c r="F1018" s="1380"/>
      <c r="G1018" s="1843"/>
      <c r="H1018" s="94"/>
      <c r="J1018" s="1204"/>
    </row>
    <row r="1019" spans="1:10" x14ac:dyDescent="0.25">
      <c r="A1019" s="585" t="str">
        <f>IF(AND(LEN(H1019)&gt;0,NOT(H1019=FALSE)),"P","")</f>
        <v/>
      </c>
      <c r="B1019" s="254" t="str">
        <f>IF(LEN('Ch7'!H150)=0,"",'Ch7'!H150)</f>
        <v/>
      </c>
      <c r="C1019" s="254" t="str">
        <f t="shared" si="22"/>
        <v/>
      </c>
      <c r="D1019" s="671" t="s">
        <v>870</v>
      </c>
      <c r="E1019" s="1382"/>
      <c r="F1019" s="1382"/>
      <c r="G1019" s="1864" t="s">
        <v>4254</v>
      </c>
      <c r="H1019" s="1313" t="str">
        <f>IF(LEN('Ch7'!W150)=0,"",'Ch7'!W150)</f>
        <v/>
      </c>
      <c r="J1019" s="1204" t="s">
        <v>3914</v>
      </c>
    </row>
    <row r="1020" spans="1:10" x14ac:dyDescent="0.25">
      <c r="A1020" s="585" t="str">
        <f t="shared" ref="A1020:A1025" si="23">A1019</f>
        <v/>
      </c>
      <c r="B1020" s="254" t="str">
        <f>IF(LEN('Ch7'!H151)=0,"",'Ch7'!H151)</f>
        <v/>
      </c>
      <c r="C1020" s="254" t="str">
        <f t="shared" si="22"/>
        <v/>
      </c>
      <c r="D1020" s="101"/>
      <c r="E1020" s="1377"/>
      <c r="F1020" s="1377"/>
      <c r="G1020" s="1782"/>
      <c r="H1020" s="94"/>
      <c r="J1020" s="1204"/>
    </row>
    <row r="1021" spans="1:10" x14ac:dyDescent="0.25">
      <c r="A1021" s="585" t="str">
        <f t="shared" si="23"/>
        <v/>
      </c>
      <c r="B1021" s="254" t="str">
        <f>IF(LEN('Ch7'!H152)=0,"",'Ch7'!H152)</f>
        <v/>
      </c>
      <c r="C1021" s="254" t="str">
        <f t="shared" si="22"/>
        <v/>
      </c>
      <c r="D1021" s="101"/>
      <c r="E1021" s="1377"/>
      <c r="F1021" s="1377"/>
      <c r="G1021" s="1782"/>
      <c r="H1021" s="94"/>
      <c r="J1021" s="1204"/>
    </row>
    <row r="1022" spans="1:10" x14ac:dyDescent="0.25">
      <c r="A1022" s="585" t="str">
        <f t="shared" si="23"/>
        <v/>
      </c>
      <c r="B1022" s="254" t="str">
        <f>IF(LEN('Ch7'!H153)=0,"",'Ch7'!H153)</f>
        <v/>
      </c>
      <c r="C1022" s="254" t="str">
        <f t="shared" si="22"/>
        <v/>
      </c>
      <c r="D1022" s="101"/>
      <c r="E1022" s="1377"/>
      <c r="F1022" s="1377"/>
      <c r="G1022" s="1782"/>
      <c r="H1022" s="94"/>
      <c r="J1022" s="1204"/>
    </row>
    <row r="1023" spans="1:10" x14ac:dyDescent="0.25">
      <c r="A1023" s="585" t="str">
        <f t="shared" si="23"/>
        <v/>
      </c>
      <c r="B1023" s="254" t="str">
        <f>IF(LEN('Ch7'!H154)=0,"",'Ch7'!H154)</f>
        <v/>
      </c>
      <c r="C1023" s="254" t="str">
        <f t="shared" si="22"/>
        <v/>
      </c>
      <c r="D1023" s="101"/>
      <c r="E1023" s="1377"/>
      <c r="F1023" s="1377"/>
      <c r="G1023" s="1782"/>
      <c r="H1023" s="94"/>
      <c r="J1023" s="1204"/>
    </row>
    <row r="1024" spans="1:10" x14ac:dyDescent="0.25">
      <c r="A1024" s="585" t="str">
        <f t="shared" si="23"/>
        <v/>
      </c>
      <c r="B1024" s="254" t="str">
        <f>IF(LEN('Ch7'!H155)=0,"",'Ch7'!H155)</f>
        <v/>
      </c>
      <c r="C1024" s="254" t="str">
        <f t="shared" si="22"/>
        <v/>
      </c>
      <c r="D1024" s="101"/>
      <c r="E1024" s="1377"/>
      <c r="F1024" s="1377"/>
      <c r="G1024" s="1782"/>
      <c r="H1024" s="94"/>
      <c r="J1024" s="1204"/>
    </row>
    <row r="1025" spans="1:10" x14ac:dyDescent="0.25">
      <c r="A1025" s="585" t="str">
        <f t="shared" si="23"/>
        <v/>
      </c>
      <c r="B1025" s="254" t="str">
        <f>IF(LEN('Ch7'!H156)=0,"",'Ch7'!H156)</f>
        <v/>
      </c>
      <c r="C1025" s="254" t="str">
        <f t="shared" si="22"/>
        <v/>
      </c>
      <c r="D1025" s="101"/>
      <c r="E1025" s="1377"/>
      <c r="F1025" s="1377"/>
      <c r="G1025" s="1782"/>
      <c r="H1025" s="94"/>
      <c r="J1025" s="1204"/>
    </row>
    <row r="1026" spans="1:10" x14ac:dyDescent="0.25">
      <c r="B1026" s="254" t="str">
        <f>IF(LEN('Ch7'!H157)=0,"",'Ch7'!H157)</f>
        <v/>
      </c>
      <c r="C1026" s="254" t="str">
        <f t="shared" si="22"/>
        <v/>
      </c>
      <c r="D1026" s="101"/>
      <c r="E1026" s="1377"/>
      <c r="F1026" s="1377"/>
      <c r="G1026" s="1782" t="s">
        <v>4255</v>
      </c>
      <c r="H1026" s="94"/>
      <c r="J1026" s="1204"/>
    </row>
    <row r="1027" spans="1:10" x14ac:dyDescent="0.25">
      <c r="B1027" s="254" t="str">
        <f>IF(LEN('Ch7'!H158)=0,"",'Ch7'!H158)</f>
        <v/>
      </c>
      <c r="C1027" s="254" t="str">
        <f t="shared" si="22"/>
        <v/>
      </c>
      <c r="D1027" s="101"/>
      <c r="E1027" s="1377"/>
      <c r="F1027" s="1377"/>
      <c r="G1027" s="1782"/>
      <c r="H1027" s="94"/>
      <c r="J1027" s="1204"/>
    </row>
    <row r="1028" spans="1:10" x14ac:dyDescent="0.25">
      <c r="B1028" s="254" t="str">
        <f>IF(LEN('Ch7'!H159)=0,"",'Ch7'!H159)</f>
        <v/>
      </c>
      <c r="C1028" s="254" t="str">
        <f t="shared" si="22"/>
        <v/>
      </c>
      <c r="D1028" s="669"/>
      <c r="E1028" s="1380"/>
      <c r="F1028" s="1380"/>
      <c r="G1028" s="1843"/>
      <c r="H1028" s="94"/>
      <c r="J1028" s="1204"/>
    </row>
    <row r="1029" spans="1:10" x14ac:dyDescent="0.25">
      <c r="A1029" s="585" t="str">
        <f>IF(AND(LEN(H1029)&gt;0,NOT(H1029=FALSE)),"P","")</f>
        <v/>
      </c>
      <c r="B1029" s="254" t="str">
        <f>IF(LEN('Ch7'!H160)=0,"",'Ch7'!H160)</f>
        <v/>
      </c>
      <c r="C1029" s="254" t="str">
        <f t="shared" si="22"/>
        <v/>
      </c>
      <c r="D1029" s="671" t="s">
        <v>871</v>
      </c>
      <c r="E1029" s="1382"/>
      <c r="F1029" s="1382"/>
      <c r="G1029" s="1835" t="s">
        <v>4256</v>
      </c>
      <c r="H1029" s="1313" t="str">
        <f>IF(LEN('Ch7'!W160)=0,"",'Ch7'!W160)</f>
        <v/>
      </c>
      <c r="J1029" s="1204" t="s">
        <v>4993</v>
      </c>
    </row>
    <row r="1030" spans="1:10" x14ac:dyDescent="0.25">
      <c r="A1030" s="585" t="str">
        <f t="shared" ref="A1030:A1036" si="24">A1029</f>
        <v/>
      </c>
      <c r="B1030" s="254" t="str">
        <f>IF(LEN('Ch7'!H161)=0,"",'Ch7'!H161)</f>
        <v/>
      </c>
      <c r="C1030" s="254" t="str">
        <f t="shared" si="22"/>
        <v/>
      </c>
      <c r="D1030" s="101"/>
      <c r="E1030" s="1377"/>
      <c r="F1030" s="1377"/>
      <c r="G1030" s="1877"/>
      <c r="H1030" s="94"/>
      <c r="J1030" s="1204"/>
    </row>
    <row r="1031" spans="1:10" x14ac:dyDescent="0.25">
      <c r="A1031" s="585" t="str">
        <f t="shared" si="24"/>
        <v/>
      </c>
      <c r="B1031" s="254" t="str">
        <f>IF(LEN('Ch7'!H162)=0,"",'Ch7'!H162)</f>
        <v/>
      </c>
      <c r="C1031" s="254" t="str">
        <f t="shared" si="22"/>
        <v/>
      </c>
      <c r="D1031" s="101"/>
      <c r="E1031" s="1377"/>
      <c r="F1031" s="1377"/>
      <c r="G1031" s="1877"/>
      <c r="H1031" s="94"/>
      <c r="J1031" s="1204"/>
    </row>
    <row r="1032" spans="1:10" x14ac:dyDescent="0.25">
      <c r="A1032" s="585" t="str">
        <f t="shared" si="24"/>
        <v/>
      </c>
      <c r="B1032" s="254" t="str">
        <f>IF(LEN('Ch7'!H163)=0,"",'Ch7'!H163)</f>
        <v/>
      </c>
      <c r="C1032" s="254" t="str">
        <f t="shared" si="22"/>
        <v/>
      </c>
      <c r="D1032" s="101"/>
      <c r="E1032" s="1377"/>
      <c r="F1032" s="1377"/>
      <c r="G1032" s="1877"/>
      <c r="H1032" s="94"/>
      <c r="J1032" s="1204"/>
    </row>
    <row r="1033" spans="1:10" x14ac:dyDescent="0.25">
      <c r="A1033" s="585" t="str">
        <f t="shared" si="24"/>
        <v/>
      </c>
      <c r="B1033" s="254" t="str">
        <f>IF(LEN('Ch7'!H164)=0,"",'Ch7'!H164)</f>
        <v/>
      </c>
      <c r="C1033" s="254" t="str">
        <f t="shared" si="22"/>
        <v/>
      </c>
      <c r="D1033" s="101"/>
      <c r="E1033" s="1377"/>
      <c r="F1033" s="1377"/>
      <c r="G1033" s="1877"/>
      <c r="H1033" s="94"/>
      <c r="J1033" s="1204"/>
    </row>
    <row r="1034" spans="1:10" x14ac:dyDescent="0.25">
      <c r="A1034" s="585" t="str">
        <f t="shared" si="24"/>
        <v/>
      </c>
      <c r="B1034" s="254" t="str">
        <f>IF(LEN('Ch7'!H165)=0,"",'Ch7'!H165)</f>
        <v/>
      </c>
      <c r="C1034" s="254" t="str">
        <f t="shared" si="22"/>
        <v/>
      </c>
      <c r="D1034" s="101"/>
      <c r="E1034" s="1377"/>
      <c r="F1034" s="1377"/>
      <c r="G1034" s="1877"/>
      <c r="H1034" s="94"/>
      <c r="J1034" s="1204"/>
    </row>
    <row r="1035" spans="1:10" x14ac:dyDescent="0.25">
      <c r="A1035" s="585" t="str">
        <f t="shared" si="24"/>
        <v/>
      </c>
      <c r="B1035" s="254" t="str">
        <f>IF(LEN('Ch7'!H166)=0,"",'Ch7'!H166)</f>
        <v/>
      </c>
      <c r="C1035" s="254" t="str">
        <f t="shared" si="22"/>
        <v/>
      </c>
      <c r="D1035" s="101"/>
      <c r="E1035" s="1377"/>
      <c r="F1035" s="1377"/>
      <c r="G1035" s="1877"/>
      <c r="H1035" s="94"/>
      <c r="J1035" s="1204"/>
    </row>
    <row r="1036" spans="1:10" x14ac:dyDescent="0.25">
      <c r="A1036" s="585" t="str">
        <f t="shared" si="24"/>
        <v/>
      </c>
      <c r="B1036" s="254" t="str">
        <f>IF(LEN('Ch7'!H167)=0,"",'Ch7'!H167)</f>
        <v/>
      </c>
      <c r="C1036" s="254" t="str">
        <f t="shared" si="22"/>
        <v/>
      </c>
      <c r="D1036" s="669"/>
      <c r="E1036" s="1380"/>
      <c r="F1036" s="1380"/>
      <c r="G1036" s="1834"/>
      <c r="H1036" s="94"/>
      <c r="J1036" s="1204"/>
    </row>
    <row r="1037" spans="1:10" x14ac:dyDescent="0.25">
      <c r="A1037" s="585" t="str">
        <f>IF(OR(LEN(H1039)&gt;0,LEN(H1041)&gt;0),"P","")</f>
        <v/>
      </c>
      <c r="B1037" s="254" t="str">
        <f>IF(LEN('Ch7'!H168)=0,"",'Ch7'!H168)</f>
        <v/>
      </c>
      <c r="C1037" s="254" t="str">
        <f t="shared" si="22"/>
        <v/>
      </c>
      <c r="D1037" s="139" t="s">
        <v>872</v>
      </c>
      <c r="E1037" s="1378"/>
      <c r="F1037" s="1378"/>
      <c r="G1037" s="1877" t="s">
        <v>4257</v>
      </c>
      <c r="H1037" s="94"/>
      <c r="J1037" s="1204" t="s">
        <v>3892</v>
      </c>
    </row>
    <row r="1038" spans="1:10" x14ac:dyDescent="0.25">
      <c r="A1038" s="585" t="str">
        <f>A1037</f>
        <v/>
      </c>
      <c r="B1038" s="254" t="str">
        <f>IF(LEN('Ch7'!H169)=0,"",'Ch7'!H169)</f>
        <v/>
      </c>
      <c r="C1038" s="254" t="str">
        <f t="shared" si="22"/>
        <v/>
      </c>
      <c r="D1038" s="139"/>
      <c r="E1038" s="1378"/>
      <c r="F1038" s="1378"/>
      <c r="G1038" s="1877"/>
      <c r="H1038" s="94"/>
      <c r="J1038" s="1204"/>
    </row>
    <row r="1039" spans="1:10" x14ac:dyDescent="0.25">
      <c r="B1039" s="254" t="str">
        <f>IF(LEN('Ch7'!H170)=0,"",'Ch7'!H170)</f>
        <v/>
      </c>
      <c r="C1039" s="254" t="str">
        <f t="shared" ref="C1039:C1105" si="25">IF(LEN(B1039)=0,IF(A1039="P","P",""),B1039)</f>
        <v/>
      </c>
      <c r="D1039" s="139"/>
      <c r="E1039" s="695" t="s">
        <v>256</v>
      </c>
      <c r="F1039" s="1377"/>
      <c r="G1039" s="1754" t="s">
        <v>873</v>
      </c>
      <c r="H1039" s="1313" t="str">
        <f>IF(LEN('Ch7'!W170)=0,"",'Ch7'!W170)</f>
        <v/>
      </c>
      <c r="J1039" s="1204"/>
    </row>
    <row r="1040" spans="1:10" x14ac:dyDescent="0.25">
      <c r="B1040" s="254" t="str">
        <f>IF(LEN('Ch7'!H171)=0,"",'Ch7'!H171)</f>
        <v/>
      </c>
      <c r="C1040" s="254" t="str">
        <f t="shared" si="25"/>
        <v/>
      </c>
      <c r="D1040" s="139"/>
      <c r="E1040" s="696"/>
      <c r="F1040" s="1380"/>
      <c r="G1040" s="1755"/>
      <c r="H1040" s="94"/>
      <c r="J1040" s="1204"/>
    </row>
    <row r="1041" spans="1:10" x14ac:dyDescent="0.25">
      <c r="B1041" s="254" t="str">
        <f>IF(LEN('Ch7'!H172)=0,"",'Ch7'!H172)</f>
        <v/>
      </c>
      <c r="C1041" s="254" t="str">
        <f t="shared" si="25"/>
        <v/>
      </c>
      <c r="D1041" s="669"/>
      <c r="E1041" s="696" t="s">
        <v>258</v>
      </c>
      <c r="F1041" s="1380"/>
      <c r="G1041" s="1215" t="s">
        <v>874</v>
      </c>
      <c r="H1041" s="1313" t="str">
        <f>IF(LEN('Ch7'!W172)=0,"",'Ch7'!W172)</f>
        <v/>
      </c>
      <c r="J1041" s="1204"/>
    </row>
    <row r="1042" spans="1:10" x14ac:dyDescent="0.25">
      <c r="A1042" s="585" t="str">
        <f>IF(AND(LEN(H1042)&gt;0,NOT(H1042=FALSE)),"P","")</f>
        <v/>
      </c>
      <c r="B1042" s="254" t="str">
        <f>IF(LEN('Ch7'!H173)=0,"",'Ch7'!H173)</f>
        <v/>
      </c>
      <c r="C1042" s="254" t="str">
        <f t="shared" si="25"/>
        <v/>
      </c>
      <c r="D1042" s="139" t="s">
        <v>875</v>
      </c>
      <c r="E1042" s="1378"/>
      <c r="F1042" s="1378"/>
      <c r="G1042" s="1877" t="s">
        <v>4258</v>
      </c>
      <c r="H1042" s="1313" t="str">
        <f>IF(LEN('Ch7'!W173)=0,"",'Ch7'!W173)</f>
        <v/>
      </c>
      <c r="J1042" s="1204" t="s">
        <v>3892</v>
      </c>
    </row>
    <row r="1043" spans="1:10" x14ac:dyDescent="0.25">
      <c r="A1043" s="585" t="str">
        <f>A1042</f>
        <v/>
      </c>
      <c r="B1043" s="254" t="str">
        <f>IF(LEN('Ch7'!H174)=0,"",'Ch7'!H174)</f>
        <v/>
      </c>
      <c r="C1043" s="254" t="str">
        <f t="shared" si="25"/>
        <v/>
      </c>
      <c r="G1043" s="1877"/>
      <c r="H1043" s="94"/>
      <c r="J1043" s="1204"/>
    </row>
    <row r="1044" spans="1:10" ht="18.75" x14ac:dyDescent="0.25">
      <c r="A1044" s="585" t="s">
        <v>3974</v>
      </c>
      <c r="B1044" s="254" t="str">
        <f>IF(LEN('Ch7'!H175)=0,"",'Ch7'!H175)</f>
        <v/>
      </c>
      <c r="C1044" s="254" t="str">
        <f t="shared" si="25"/>
        <v>P</v>
      </c>
      <c r="D1044" s="1388" t="s">
        <v>876</v>
      </c>
      <c r="E1044" s="1398"/>
      <c r="F1044" s="1398"/>
      <c r="G1044" s="1312"/>
      <c r="H1044" s="94"/>
      <c r="J1044" s="1204"/>
    </row>
    <row r="1045" spans="1:10" x14ac:dyDescent="0.25">
      <c r="B1045" s="254" t="str">
        <f>IF(LEN('Ch7'!H176)=0,"",'Ch7'!H176)</f>
        <v/>
      </c>
      <c r="C1045" s="254" t="str">
        <f t="shared" si="25"/>
        <v/>
      </c>
      <c r="D1045" s="101">
        <v>702.1</v>
      </c>
      <c r="E1045" s="1377"/>
      <c r="F1045" s="1377"/>
      <c r="G1045" s="1782" t="s">
        <v>4857</v>
      </c>
      <c r="H1045" s="94"/>
      <c r="J1045" s="1204"/>
    </row>
    <row r="1046" spans="1:10" ht="15.75" thickBot="1" x14ac:dyDescent="0.3">
      <c r="B1046" s="254" t="str">
        <f>IF(LEN('Ch7'!H177)=0,"",'Ch7'!H177)</f>
        <v/>
      </c>
      <c r="C1046" s="254" t="str">
        <f t="shared" si="25"/>
        <v/>
      </c>
      <c r="D1046" s="670"/>
      <c r="E1046" s="1379"/>
      <c r="F1046" s="1379"/>
      <c r="G1046" s="1797"/>
      <c r="H1046" s="94"/>
      <c r="J1046" s="1204"/>
    </row>
    <row r="1047" spans="1:10" ht="15.75" thickTop="1" x14ac:dyDescent="0.25">
      <c r="A1047" s="2363" t="str">
        <f ca="1">IF(COUNTIF(A1048:A1061,"P")&gt;0,"P","")</f>
        <v/>
      </c>
      <c r="B1047" s="254" t="str">
        <f>IF(LEN('Ch7'!H178)=0,"",'Ch7'!H178)</f>
        <v/>
      </c>
      <c r="C1047" s="254" t="str">
        <f t="shared" ca="1" si="25"/>
        <v/>
      </c>
      <c r="D1047" s="106">
        <v>702.2</v>
      </c>
      <c r="E1047" s="1376"/>
      <c r="F1047" s="1376"/>
      <c r="G1047" s="1240" t="s">
        <v>877</v>
      </c>
      <c r="H1047" s="94"/>
      <c r="J1047" s="1204"/>
    </row>
    <row r="1048" spans="1:10" ht="20.25" customHeight="1" x14ac:dyDescent="0.25">
      <c r="A1048" s="585" t="str">
        <f>IF(AND(LEN(H1048)&gt;0,NOT(H1048=FALSE)),"P","")</f>
        <v/>
      </c>
      <c r="B1048" s="254" t="str">
        <f>IF(LEN('Ch7'!H179)=0,"",'Ch7'!H179)</f>
        <v/>
      </c>
      <c r="C1048" s="254" t="str">
        <f t="shared" si="25"/>
        <v/>
      </c>
      <c r="D1048" s="101" t="s">
        <v>878</v>
      </c>
      <c r="E1048" s="1377"/>
      <c r="F1048" s="1377"/>
      <c r="G1048" s="1782" t="s">
        <v>879</v>
      </c>
      <c r="H1048" s="1313" t="str">
        <f>IF(LEN('Ch7'!W179)=0,"",'Ch7'!W179)</f>
        <v/>
      </c>
      <c r="J1048" s="1950" t="s">
        <v>4994</v>
      </c>
    </row>
    <row r="1049" spans="1:10" x14ac:dyDescent="0.25">
      <c r="A1049" s="585" t="str">
        <f>A1048</f>
        <v/>
      </c>
      <c r="B1049" s="254" t="str">
        <f>IF(LEN('Ch7'!H180)=0,"",'Ch7'!H180)</f>
        <v/>
      </c>
      <c r="C1049" s="254" t="str">
        <f t="shared" si="25"/>
        <v/>
      </c>
      <c r="D1049" s="101"/>
      <c r="E1049" s="1377"/>
      <c r="F1049" s="1377"/>
      <c r="G1049" s="1782"/>
      <c r="H1049" s="94"/>
      <c r="J1049" s="1954"/>
    </row>
    <row r="1050" spans="1:10" x14ac:dyDescent="0.25">
      <c r="A1050" s="585" t="str">
        <f>A1049</f>
        <v/>
      </c>
      <c r="B1050" s="254" t="str">
        <f>IF(LEN('Ch7'!H181)=0,"",'Ch7'!H181)</f>
        <v/>
      </c>
      <c r="C1050" s="254" t="str">
        <f t="shared" si="25"/>
        <v/>
      </c>
      <c r="D1050" s="101"/>
      <c r="E1050" s="1377"/>
      <c r="F1050" s="1377"/>
      <c r="G1050" s="1782"/>
      <c r="H1050" s="94"/>
      <c r="J1050" s="1954"/>
    </row>
    <row r="1051" spans="1:10" x14ac:dyDescent="0.25">
      <c r="A1051" s="585" t="str">
        <f>A1050</f>
        <v/>
      </c>
      <c r="B1051" s="254" t="str">
        <f>IF(LEN('Ch7'!H182)=0,"",'Ch7'!H182)</f>
        <v/>
      </c>
      <c r="C1051" s="254" t="str">
        <f t="shared" si="25"/>
        <v/>
      </c>
      <c r="D1051" s="669"/>
      <c r="E1051" s="1380"/>
      <c r="F1051" s="1380"/>
      <c r="G1051" s="1843"/>
      <c r="H1051" s="94"/>
      <c r="J1051" s="1951"/>
    </row>
    <row r="1052" spans="1:10" x14ac:dyDescent="0.25">
      <c r="A1052" s="585" t="str">
        <f ca="1">IF(I1052&gt;0,"P","")</f>
        <v/>
      </c>
      <c r="B1052" s="254" t="str">
        <f>IF(LEN('Ch7'!H183)=0,"",'Ch7'!H183)</f>
        <v/>
      </c>
      <c r="C1052" s="254" t="str">
        <f t="shared" ca="1" si="25"/>
        <v/>
      </c>
      <c r="D1052" s="139" t="s">
        <v>880</v>
      </c>
      <c r="E1052" s="1378"/>
      <c r="F1052" s="1378"/>
      <c r="G1052" s="1782" t="s">
        <v>4259</v>
      </c>
      <c r="H1052" s="1847"/>
      <c r="I1052" s="86">
        <f ca="1">'Ch7'!O183</f>
        <v>0</v>
      </c>
      <c r="J1052" s="1950" t="s">
        <v>4995</v>
      </c>
    </row>
    <row r="1053" spans="1:10" x14ac:dyDescent="0.25">
      <c r="A1053" s="585" t="str">
        <f ca="1">A1052</f>
        <v/>
      </c>
      <c r="B1053" s="254" t="str">
        <f>IF(LEN('Ch7'!H184)=0,"",'Ch7'!H184)</f>
        <v/>
      </c>
      <c r="C1053" s="254" t="str">
        <f t="shared" ca="1" si="25"/>
        <v/>
      </c>
      <c r="D1053" s="139"/>
      <c r="E1053" s="1378"/>
      <c r="F1053" s="1378"/>
      <c r="G1053" s="1782"/>
      <c r="H1053" s="1847"/>
      <c r="J1053" s="1954"/>
    </row>
    <row r="1054" spans="1:10" x14ac:dyDescent="0.25">
      <c r="A1054" s="585" t="str">
        <f ca="1">A1053</f>
        <v/>
      </c>
      <c r="B1054" s="254" t="str">
        <f>IF(LEN('Ch7'!H185)=0,"",'Ch7'!H185)</f>
        <v/>
      </c>
      <c r="C1054" s="254" t="str">
        <f t="shared" ca="1" si="25"/>
        <v/>
      </c>
      <c r="D1054" s="139"/>
      <c r="E1054" s="1378"/>
      <c r="F1054" s="1378"/>
      <c r="G1054" s="1782"/>
      <c r="H1054" s="1313" t="str">
        <f>IF(LEN('Ch7'!W185)=0,"",'Ch7'!W185)</f>
        <v/>
      </c>
      <c r="J1054" s="1954"/>
    </row>
    <row r="1055" spans="1:10" x14ac:dyDescent="0.25">
      <c r="A1055" s="585" t="str">
        <f t="shared" ref="A1055:A1060" ca="1" si="26">A1054</f>
        <v/>
      </c>
      <c r="B1055" s="254" t="str">
        <f>IF(LEN('Ch7'!H186)=0,"",'Ch7'!H186)</f>
        <v/>
      </c>
      <c r="C1055" s="254" t="str">
        <f t="shared" ca="1" si="25"/>
        <v/>
      </c>
      <c r="D1055" s="139"/>
      <c r="E1055" s="1378"/>
      <c r="F1055" s="1378"/>
      <c r="G1055" s="1782"/>
      <c r="H1055" s="94"/>
      <c r="J1055" s="1954"/>
    </row>
    <row r="1056" spans="1:10" x14ac:dyDescent="0.25">
      <c r="A1056" s="585" t="str">
        <f t="shared" ca="1" si="26"/>
        <v/>
      </c>
      <c r="B1056" s="254" t="str">
        <f>IF(LEN('Ch7'!H187)=0,"",'Ch7'!H187)</f>
        <v/>
      </c>
      <c r="C1056" s="254" t="str">
        <f t="shared" ca="1" si="25"/>
        <v/>
      </c>
      <c r="D1056" s="139"/>
      <c r="E1056" s="1378"/>
      <c r="F1056" s="1378"/>
      <c r="G1056" s="1782"/>
      <c r="H1056" s="94"/>
      <c r="J1056" s="1954"/>
    </row>
    <row r="1057" spans="1:10" x14ac:dyDescent="0.25">
      <c r="A1057" s="585" t="str">
        <f t="shared" ca="1" si="26"/>
        <v/>
      </c>
      <c r="B1057" s="254" t="str">
        <f>IF(LEN('Ch7'!H188)=0,"",'Ch7'!H188)</f>
        <v/>
      </c>
      <c r="C1057" s="254" t="str">
        <f t="shared" ca="1" si="25"/>
        <v/>
      </c>
      <c r="D1057" s="139"/>
      <c r="E1057" s="1378"/>
      <c r="F1057" s="1378"/>
      <c r="G1057" s="1349" t="s">
        <v>5120</v>
      </c>
      <c r="H1057" s="94"/>
      <c r="J1057" s="1954"/>
    </row>
    <row r="1058" spans="1:10" x14ac:dyDescent="0.25">
      <c r="A1058" s="585" t="str">
        <f t="shared" ca="1" si="26"/>
        <v/>
      </c>
      <c r="B1058" s="254" t="str">
        <f>IF(LEN('Ch7'!H189)=0,"",'Ch7'!H189)</f>
        <v/>
      </c>
      <c r="C1058" s="254" t="str">
        <f t="shared" ca="1" si="25"/>
        <v/>
      </c>
      <c r="D1058" s="101"/>
      <c r="E1058" s="1377"/>
      <c r="F1058" s="1377"/>
      <c r="G1058" s="1958" t="s">
        <v>2998</v>
      </c>
      <c r="H1058" s="94"/>
      <c r="J1058" s="1954"/>
    </row>
    <row r="1059" spans="1:10" x14ac:dyDescent="0.25">
      <c r="A1059" s="585" t="str">
        <f t="shared" ca="1" si="26"/>
        <v/>
      </c>
      <c r="B1059" s="254" t="str">
        <f>IF(LEN('Ch7'!H190)=0,"",'Ch7'!H190)</f>
        <v/>
      </c>
      <c r="C1059" s="254" t="str">
        <f t="shared" ca="1" si="25"/>
        <v/>
      </c>
      <c r="D1059" s="101"/>
      <c r="E1059" s="1377"/>
      <c r="F1059" s="1377"/>
      <c r="G1059" s="1958"/>
      <c r="H1059" s="94"/>
      <c r="J1059" s="1954"/>
    </row>
    <row r="1060" spans="1:10" x14ac:dyDescent="0.25">
      <c r="A1060" s="585" t="str">
        <f t="shared" ca="1" si="26"/>
        <v/>
      </c>
      <c r="B1060" s="254" t="str">
        <f>IF(LEN('Ch7'!H191)=0,"",'Ch7'!H191)</f>
        <v/>
      </c>
      <c r="C1060" s="254" t="str">
        <f t="shared" ca="1" si="25"/>
        <v/>
      </c>
      <c r="D1060" s="669"/>
      <c r="E1060" s="1380"/>
      <c r="F1060" s="1380"/>
      <c r="G1060" s="1961"/>
      <c r="H1060" s="94"/>
      <c r="J1060" s="1951"/>
    </row>
    <row r="1061" spans="1:10" x14ac:dyDescent="0.25">
      <c r="A1061" s="2363" t="str">
        <f ca="1">IF(COUNTIF(A1048:A1052,"P")&gt;0,"P","")</f>
        <v/>
      </c>
      <c r="B1061" s="254" t="str">
        <f>IF(LEN('Ch7'!H192)=0,"",'Ch7'!H192)</f>
        <v/>
      </c>
      <c r="C1061" s="254" t="str">
        <f t="shared" ca="1" si="25"/>
        <v/>
      </c>
      <c r="D1061" s="139" t="s">
        <v>881</v>
      </c>
      <c r="E1061" s="1378"/>
      <c r="F1061" s="1378"/>
      <c r="G1061" s="1782" t="s">
        <v>882</v>
      </c>
      <c r="H1061" s="94"/>
      <c r="J1061" s="1204" t="s">
        <v>4996</v>
      </c>
    </row>
    <row r="1062" spans="1:10" x14ac:dyDescent="0.25">
      <c r="A1062" s="585" t="str">
        <f ca="1">A1061</f>
        <v/>
      </c>
      <c r="B1062" s="254" t="str">
        <f>IF(LEN('Ch7'!H193)=0,"",'Ch7'!H193)</f>
        <v/>
      </c>
      <c r="C1062" s="254" t="str">
        <f t="shared" ca="1" si="25"/>
        <v/>
      </c>
      <c r="D1062" s="139"/>
      <c r="E1062" s="1378"/>
      <c r="F1062" s="1378"/>
      <c r="G1062" s="1782"/>
      <c r="H1062" s="94"/>
      <c r="J1062" s="1204"/>
    </row>
    <row r="1063" spans="1:10" ht="18.75" x14ac:dyDescent="0.25">
      <c r="A1063" s="585" t="s">
        <v>3974</v>
      </c>
      <c r="B1063" s="254" t="str">
        <f>IF(LEN('Ch7'!H194)=0,"",'Ch7'!H194)</f>
        <v/>
      </c>
      <c r="C1063" s="254" t="str">
        <f t="shared" si="25"/>
        <v>P</v>
      </c>
      <c r="D1063" s="1388" t="s">
        <v>883</v>
      </c>
      <c r="E1063" s="1398"/>
      <c r="F1063" s="1398"/>
      <c r="G1063" s="1312"/>
      <c r="H1063" s="94"/>
      <c r="J1063" s="1204"/>
    </row>
    <row r="1064" spans="1:10" x14ac:dyDescent="0.25">
      <c r="A1064" s="585" t="str">
        <f ca="1">IF(I1064&gt;0,"P","")</f>
        <v/>
      </c>
      <c r="B1064" s="254" t="str">
        <f>IF(LEN('Ch7'!H195)=0,"",'Ch7'!H195)</f>
        <v/>
      </c>
      <c r="C1064" s="254" t="str">
        <f t="shared" ca="1" si="25"/>
        <v/>
      </c>
      <c r="D1064" s="139">
        <v>703.1</v>
      </c>
      <c r="E1064" s="1378"/>
      <c r="F1064" s="1378"/>
      <c r="G1064" s="1235" t="s">
        <v>884</v>
      </c>
      <c r="H1064" s="94"/>
      <c r="I1064" s="86">
        <f ca="1">'Ch7'!O195</f>
        <v>0</v>
      </c>
      <c r="J1064" s="1204"/>
    </row>
    <row r="1065" spans="1:10" ht="39" customHeight="1" x14ac:dyDescent="0.25">
      <c r="A1065" s="585" t="str">
        <f>IF(AND(LEN(H1065)&gt;0,NOT(H1065=FALSE)),"P","")</f>
        <v/>
      </c>
      <c r="B1065" s="254" t="str">
        <f>IF(LEN('Ch7'!H196)=0,"",'Ch7'!H196)</f>
        <v/>
      </c>
      <c r="C1065" s="254" t="str">
        <f t="shared" si="25"/>
        <v/>
      </c>
      <c r="D1065" s="139" t="s">
        <v>885</v>
      </c>
      <c r="E1065" s="1378"/>
      <c r="F1065" s="1378"/>
      <c r="G1065" s="1877" t="s">
        <v>4260</v>
      </c>
      <c r="H1065" s="1313" t="str">
        <f>IF(LEN('Ch7'!W196)=0,"",'Ch7'!W196)</f>
        <v/>
      </c>
      <c r="J1065" s="1950" t="s">
        <v>4997</v>
      </c>
    </row>
    <row r="1066" spans="1:10" x14ac:dyDescent="0.25">
      <c r="A1066" s="585" t="str">
        <f>A1065</f>
        <v/>
      </c>
      <c r="B1066" s="254" t="str">
        <f>IF(LEN('Ch7'!H197)=0,"",'Ch7'!H197)</f>
        <v/>
      </c>
      <c r="C1066" s="254" t="str">
        <f t="shared" si="25"/>
        <v/>
      </c>
      <c r="D1066" s="139"/>
      <c r="E1066" s="1378"/>
      <c r="F1066" s="1378"/>
      <c r="G1066" s="1877"/>
      <c r="H1066" s="94"/>
      <c r="J1066" s="1954"/>
    </row>
    <row r="1067" spans="1:10" x14ac:dyDescent="0.25">
      <c r="A1067" s="585" t="str">
        <f>A1066</f>
        <v/>
      </c>
      <c r="B1067" s="254" t="str">
        <f>IF(LEN('Ch7'!H198)=0,"",'Ch7'!H198)</f>
        <v/>
      </c>
      <c r="C1067" s="254" t="str">
        <f t="shared" si="25"/>
        <v/>
      </c>
      <c r="D1067" s="669"/>
      <c r="E1067" s="1380"/>
      <c r="F1067" s="1380"/>
      <c r="G1067" s="1314" t="s">
        <v>2999</v>
      </c>
      <c r="H1067" s="94"/>
      <c r="J1067" s="1951"/>
    </row>
    <row r="1068" spans="1:10" x14ac:dyDescent="0.25">
      <c r="A1068" s="2363" t="str">
        <f ca="1">IF(COUNTIF(A1064:A1065,"P")&gt;0,"P","")</f>
        <v/>
      </c>
      <c r="B1068" s="254" t="str">
        <f>IF(LEN('Ch7'!H199)=0,"",'Ch7'!H199)</f>
        <v/>
      </c>
      <c r="C1068" s="254" t="str">
        <f t="shared" ca="1" si="25"/>
        <v/>
      </c>
      <c r="D1068" s="671" t="s">
        <v>886</v>
      </c>
      <c r="E1068" s="1382"/>
      <c r="F1068" s="1382"/>
      <c r="G1068" s="1835" t="s">
        <v>4261</v>
      </c>
      <c r="H1068" s="94"/>
      <c r="J1068" s="1204" t="s">
        <v>4998</v>
      </c>
    </row>
    <row r="1069" spans="1:10" x14ac:dyDescent="0.25">
      <c r="A1069" s="585" t="str">
        <f t="shared" ref="A1069:A1075" ca="1" si="27">A1068</f>
        <v/>
      </c>
      <c r="B1069" s="254" t="str">
        <f>IF(LEN('Ch7'!H200)=0,"",'Ch7'!H200)</f>
        <v/>
      </c>
      <c r="C1069" s="254" t="str">
        <f t="shared" ca="1" si="25"/>
        <v/>
      </c>
      <c r="D1069" s="101"/>
      <c r="E1069" s="1377"/>
      <c r="F1069" s="1377"/>
      <c r="G1069" s="1877"/>
      <c r="H1069" s="94"/>
      <c r="J1069" s="1204"/>
    </row>
    <row r="1070" spans="1:10" x14ac:dyDescent="0.25">
      <c r="A1070" s="585" t="str">
        <f t="shared" ca="1" si="27"/>
        <v/>
      </c>
      <c r="B1070" s="254" t="str">
        <f>IF(LEN('Ch7'!H201)=0,"",'Ch7'!H201)</f>
        <v/>
      </c>
      <c r="C1070" s="254" t="str">
        <f t="shared" ca="1" si="25"/>
        <v/>
      </c>
      <c r="D1070" s="101"/>
      <c r="E1070" s="1377"/>
      <c r="F1070" s="1377"/>
      <c r="G1070" s="1877"/>
      <c r="H1070" s="94"/>
      <c r="J1070" s="1204"/>
    </row>
    <row r="1071" spans="1:10" x14ac:dyDescent="0.25">
      <c r="A1071" s="585" t="str">
        <f t="shared" ca="1" si="27"/>
        <v/>
      </c>
      <c r="B1071" s="254" t="str">
        <f>IF(LEN('Ch7'!H202)=0,"",'Ch7'!H202)</f>
        <v/>
      </c>
      <c r="C1071" s="254" t="str">
        <f t="shared" ca="1" si="25"/>
        <v/>
      </c>
      <c r="D1071" s="101"/>
      <c r="E1071" s="1377"/>
      <c r="F1071" s="1377"/>
      <c r="G1071" s="1877"/>
      <c r="H1071" s="94"/>
      <c r="J1071" s="1204"/>
    </row>
    <row r="1072" spans="1:10" x14ac:dyDescent="0.25">
      <c r="A1072" s="585" t="str">
        <f t="shared" ca="1" si="27"/>
        <v/>
      </c>
      <c r="B1072" s="254" t="str">
        <f>IF(LEN('Ch7'!H203)=0,"",'Ch7'!H203)</f>
        <v/>
      </c>
      <c r="C1072" s="254" t="str">
        <f t="shared" ca="1" si="25"/>
        <v/>
      </c>
      <c r="D1072" s="101"/>
      <c r="E1072" s="1377"/>
      <c r="F1072" s="1377"/>
      <c r="G1072" s="1877"/>
      <c r="H1072" s="94"/>
      <c r="J1072" s="1204"/>
    </row>
    <row r="1073" spans="1:10" x14ac:dyDescent="0.25">
      <c r="A1073" s="585" t="str">
        <f t="shared" ca="1" si="27"/>
        <v/>
      </c>
      <c r="B1073" s="254" t="str">
        <f>IF(LEN('Ch7'!H204)=0,"",'Ch7'!H204)</f>
        <v/>
      </c>
      <c r="C1073" s="254" t="str">
        <f t="shared" ca="1" si="25"/>
        <v/>
      </c>
      <c r="D1073" s="101"/>
      <c r="E1073" s="1377"/>
      <c r="F1073" s="1377"/>
      <c r="G1073" s="1877"/>
      <c r="H1073" s="94"/>
      <c r="J1073" s="1204"/>
    </row>
    <row r="1074" spans="1:10" x14ac:dyDescent="0.25">
      <c r="A1074" s="585" t="str">
        <f t="shared" ca="1" si="27"/>
        <v/>
      </c>
      <c r="B1074" s="254" t="str">
        <f>IF(LEN('Ch7'!H205)=0,"",'Ch7'!H205)</f>
        <v/>
      </c>
      <c r="C1074" s="254" t="str">
        <f t="shared" ca="1" si="25"/>
        <v/>
      </c>
      <c r="D1074" s="101"/>
      <c r="E1074" s="1377"/>
      <c r="F1074" s="1377"/>
      <c r="G1074" s="1877"/>
      <c r="H1074" s="94"/>
      <c r="J1074" s="1204"/>
    </row>
    <row r="1075" spans="1:10" x14ac:dyDescent="0.25">
      <c r="A1075" s="585" t="str">
        <f t="shared" ca="1" si="27"/>
        <v/>
      </c>
      <c r="B1075" s="254" t="str">
        <f>IF(LEN('Ch7'!H206)=0,"",'Ch7'!H206)</f>
        <v/>
      </c>
      <c r="C1075" s="254" t="str">
        <f t="shared" ca="1" si="25"/>
        <v/>
      </c>
      <c r="D1075" s="669"/>
      <c r="E1075" s="1380"/>
      <c r="F1075" s="1380"/>
      <c r="G1075" s="1834"/>
      <c r="H1075" s="94"/>
      <c r="J1075" s="1204"/>
    </row>
    <row r="1076" spans="1:10" x14ac:dyDescent="0.25">
      <c r="A1076" s="2363" t="str">
        <f ca="1">IF(COUNTIF(A1064:A1065,"P")&gt;0,"P","")</f>
        <v/>
      </c>
      <c r="B1076" s="254" t="str">
        <f>IF(LEN('Ch7'!H207)=0,"",'Ch7'!H207)</f>
        <v/>
      </c>
      <c r="C1076" s="254" t="str">
        <f t="shared" ca="1" si="25"/>
        <v/>
      </c>
      <c r="D1076" s="671" t="s">
        <v>887</v>
      </c>
      <c r="E1076" s="1382"/>
      <c r="F1076" s="1382"/>
      <c r="G1076" s="1835" t="s">
        <v>4262</v>
      </c>
      <c r="H1076" s="94"/>
      <c r="J1076" s="1204" t="s">
        <v>3892</v>
      </c>
    </row>
    <row r="1077" spans="1:10" x14ac:dyDescent="0.25">
      <c r="A1077" s="585" t="str">
        <f ca="1">A1076</f>
        <v/>
      </c>
      <c r="B1077" s="254" t="str">
        <f>IF(LEN('Ch7'!H208)=0,"",'Ch7'!H208)</f>
        <v/>
      </c>
      <c r="C1077" s="254" t="str">
        <f t="shared" ca="1" si="25"/>
        <v/>
      </c>
      <c r="D1077" s="101"/>
      <c r="E1077" s="1377"/>
      <c r="F1077" s="1377"/>
      <c r="G1077" s="1877"/>
      <c r="H1077" s="94"/>
      <c r="J1077" s="1204"/>
    </row>
    <row r="1078" spans="1:10" x14ac:dyDescent="0.25">
      <c r="A1078" s="585" t="str">
        <f ca="1">A1077</f>
        <v/>
      </c>
      <c r="B1078" s="254" t="str">
        <f>IF(LEN('Ch7'!H209)=0,"",'Ch7'!H209)</f>
        <v/>
      </c>
      <c r="C1078" s="254" t="str">
        <f t="shared" ca="1" si="25"/>
        <v/>
      </c>
      <c r="D1078" s="101"/>
      <c r="E1078" s="1377"/>
      <c r="F1078" s="1377"/>
      <c r="G1078" s="1877"/>
      <c r="H1078" s="94"/>
      <c r="J1078" s="1204"/>
    </row>
    <row r="1079" spans="1:10" x14ac:dyDescent="0.25">
      <c r="A1079" s="585" t="str">
        <f ca="1">A1078</f>
        <v/>
      </c>
      <c r="B1079" s="254" t="str">
        <f>IF(LEN('Ch7'!H210)=0,"",'Ch7'!H210)</f>
        <v/>
      </c>
      <c r="C1079" s="254" t="str">
        <f t="shared" ca="1" si="25"/>
        <v/>
      </c>
      <c r="D1079" s="669"/>
      <c r="E1079" s="1380"/>
      <c r="F1079" s="1380"/>
      <c r="G1079" s="1834"/>
      <c r="H1079" s="94"/>
      <c r="J1079" s="1204"/>
    </row>
    <row r="1080" spans="1:10" ht="37.5" customHeight="1" x14ac:dyDescent="0.25">
      <c r="A1080" s="585" t="str">
        <f>IF(AND(LEN(H1080)&gt;0,NOT(H1080=FALSE)),"P","")</f>
        <v/>
      </c>
      <c r="B1080" s="254" t="str">
        <f>IF(LEN('Ch7'!H211)=0,"",'Ch7'!H211)</f>
        <v/>
      </c>
      <c r="C1080" s="254" t="str">
        <f t="shared" si="25"/>
        <v/>
      </c>
      <c r="D1080" s="139" t="s">
        <v>888</v>
      </c>
      <c r="E1080" s="1378"/>
      <c r="F1080" s="1378"/>
      <c r="G1080" s="1877" t="s">
        <v>4263</v>
      </c>
      <c r="H1080" s="1313" t="str">
        <f>IF(LEN('Ch7'!W211)=0,"",'Ch7'!W211)</f>
        <v/>
      </c>
      <c r="J1080" s="1950" t="s">
        <v>4999</v>
      </c>
    </row>
    <row r="1081" spans="1:10" x14ac:dyDescent="0.25">
      <c r="A1081" s="585" t="str">
        <f>A1080</f>
        <v/>
      </c>
      <c r="B1081" s="254" t="str">
        <f>IF(LEN('Ch7'!H212)=0,"",'Ch7'!H212)</f>
        <v/>
      </c>
      <c r="C1081" s="254" t="str">
        <f t="shared" si="25"/>
        <v/>
      </c>
      <c r="D1081" s="139"/>
      <c r="E1081" s="1378"/>
      <c r="F1081" s="1378"/>
      <c r="G1081" s="1877"/>
      <c r="H1081" s="1969"/>
      <c r="J1081" s="1954"/>
    </row>
    <row r="1082" spans="1:10" x14ac:dyDescent="0.25">
      <c r="B1082" s="254" t="str">
        <f>IF(LEN('Ch7'!H213)=0,"",'Ch7'!H213)</f>
        <v/>
      </c>
      <c r="C1082" s="254" t="str">
        <f t="shared" si="25"/>
        <v/>
      </c>
      <c r="D1082" s="669"/>
      <c r="E1082" s="1380"/>
      <c r="F1082" s="1380"/>
      <c r="G1082" s="1314" t="s">
        <v>3531</v>
      </c>
      <c r="H1082" s="1969"/>
      <c r="J1082" s="1257"/>
    </row>
    <row r="1083" spans="1:10" ht="15" customHeight="1" x14ac:dyDescent="0.25">
      <c r="A1083" s="585" t="str">
        <f>IF(AND(LEN(H1083)&gt;0,NOT(H1083=FALSE)),"P","")</f>
        <v/>
      </c>
      <c r="B1083" s="254" t="str">
        <f>IF(LEN('Ch7'!H214)=0,"",'Ch7'!H214)</f>
        <v/>
      </c>
      <c r="C1083" s="254" t="str">
        <f t="shared" si="25"/>
        <v/>
      </c>
      <c r="D1083" s="101" t="s">
        <v>889</v>
      </c>
      <c r="E1083" s="1377"/>
      <c r="F1083" s="1377"/>
      <c r="G1083" s="1782" t="s">
        <v>5121</v>
      </c>
      <c r="H1083" s="1313" t="str">
        <f>IF(LEN('Ch7'!W214)=0,"",'Ch7'!W214)</f>
        <v/>
      </c>
      <c r="J1083" s="1204" t="s">
        <v>3892</v>
      </c>
    </row>
    <row r="1084" spans="1:10" s="1657" customFormat="1" ht="15" customHeight="1" x14ac:dyDescent="0.25">
      <c r="A1084" s="585" t="str">
        <f t="shared" ref="A1084:A1087" si="28">A1083</f>
        <v/>
      </c>
      <c r="B1084" s="254" t="str">
        <f>IF(LEN('Ch7'!H215)=0,"",'Ch7'!H215)</f>
        <v/>
      </c>
      <c r="C1084" s="254" t="str">
        <f t="shared" ref="C1084:C1087" si="29">IF(LEN(B1084)=0,IF(A1084="P","P",""),B1084)</f>
        <v/>
      </c>
      <c r="D1084" s="101"/>
      <c r="E1084" s="1660"/>
      <c r="F1084" s="1660"/>
      <c r="G1084" s="1782"/>
      <c r="H1084"/>
      <c r="I1084" s="86"/>
      <c r="J1084" s="1662"/>
    </row>
    <row r="1085" spans="1:10" s="1657" customFormat="1" ht="15" customHeight="1" x14ac:dyDescent="0.25">
      <c r="A1085" s="585" t="str">
        <f t="shared" si="28"/>
        <v/>
      </c>
      <c r="B1085" s="254" t="str">
        <f>IF(LEN('Ch7'!H216)=0,"",'Ch7'!H216)</f>
        <v/>
      </c>
      <c r="C1085" s="254" t="str">
        <f t="shared" si="29"/>
        <v/>
      </c>
      <c r="D1085" s="101"/>
      <c r="E1085" s="1660"/>
      <c r="F1085" s="1660"/>
      <c r="G1085" s="1782"/>
      <c r="H1085"/>
      <c r="I1085" s="86"/>
      <c r="J1085" s="1662"/>
    </row>
    <row r="1086" spans="1:10" s="1657" customFormat="1" ht="15" customHeight="1" x14ac:dyDescent="0.25">
      <c r="A1086" s="585" t="str">
        <f t="shared" si="28"/>
        <v/>
      </c>
      <c r="B1086" s="254" t="str">
        <f>IF(LEN('Ch7'!H217)=0,"",'Ch7'!H217)</f>
        <v/>
      </c>
      <c r="C1086" s="254" t="str">
        <f t="shared" si="29"/>
        <v/>
      </c>
      <c r="D1086" s="101"/>
      <c r="E1086" s="1660"/>
      <c r="F1086" s="1660"/>
      <c r="G1086" s="1782"/>
      <c r="H1086"/>
      <c r="I1086" s="86"/>
      <c r="J1086" s="1662"/>
    </row>
    <row r="1087" spans="1:10" ht="15.75" thickBot="1" x14ac:dyDescent="0.3">
      <c r="A1087" s="585" t="str">
        <f t="shared" si="28"/>
        <v/>
      </c>
      <c r="B1087" s="254" t="str">
        <f>IF(LEN('Ch7'!H218)=0,"",'Ch7'!H218)</f>
        <v/>
      </c>
      <c r="C1087" s="254" t="str">
        <f t="shared" si="29"/>
        <v/>
      </c>
      <c r="D1087" s="670"/>
      <c r="E1087" s="1379"/>
      <c r="F1087" s="1379"/>
      <c r="G1087" s="1797"/>
      <c r="H1087" s="94"/>
      <c r="J1087" s="1204"/>
    </row>
    <row r="1088" spans="1:10" ht="15.75" thickTop="1" x14ac:dyDescent="0.25">
      <c r="A1088" s="2363" t="str">
        <f ca="1">IF(COUNTIF(A1089:A1104,"P")&gt;0,"P","")</f>
        <v/>
      </c>
      <c r="B1088" s="254" t="str">
        <f>IF(LEN('Ch7'!H219)=0,"",'Ch7'!H219)</f>
        <v/>
      </c>
      <c r="C1088" s="254" t="str">
        <f t="shared" ca="1" si="25"/>
        <v/>
      </c>
      <c r="D1088" s="139">
        <v>703.2</v>
      </c>
      <c r="E1088" s="1378"/>
      <c r="F1088" s="1378"/>
      <c r="G1088" s="1235" t="s">
        <v>890</v>
      </c>
      <c r="H1088" s="94"/>
      <c r="J1088" s="1204"/>
    </row>
    <row r="1089" spans="1:10" x14ac:dyDescent="0.25">
      <c r="A1089" s="585" t="str">
        <f>IF(AND(LEN(H1089)&gt;0,NOT(H1089=FALSE)),"P","")</f>
        <v/>
      </c>
      <c r="B1089" s="254" t="str">
        <f>IF(LEN('Ch7'!H220)=0,"",'Ch7'!H220)</f>
        <v/>
      </c>
      <c r="C1089" s="254" t="str">
        <f t="shared" si="25"/>
        <v/>
      </c>
      <c r="D1089" s="139" t="s">
        <v>891</v>
      </c>
      <c r="E1089" s="1378"/>
      <c r="F1089" s="1378"/>
      <c r="G1089" s="1877" t="s">
        <v>4264</v>
      </c>
      <c r="H1089" s="1313" t="str">
        <f>IF(LEN('Ch7'!W220)=0,"",'Ch7'!W220)</f>
        <v/>
      </c>
      <c r="I1089" s="86">
        <f>'Ch7'!O220</f>
        <v>0</v>
      </c>
      <c r="J1089" s="1950" t="s">
        <v>5000</v>
      </c>
    </row>
    <row r="1090" spans="1:10" x14ac:dyDescent="0.25">
      <c r="A1090" s="585" t="str">
        <f>A1089</f>
        <v/>
      </c>
      <c r="B1090" s="254" t="str">
        <f>IF(LEN('Ch7'!H221)=0,"",'Ch7'!H221)</f>
        <v/>
      </c>
      <c r="C1090" s="254" t="str">
        <f t="shared" si="25"/>
        <v/>
      </c>
      <c r="D1090" s="139"/>
      <c r="E1090" s="1378"/>
      <c r="F1090" s="1378"/>
      <c r="G1090" s="1877"/>
      <c r="H1090" s="94"/>
      <c r="J1090" s="1954"/>
    </row>
    <row r="1091" spans="1:10" x14ac:dyDescent="0.25">
      <c r="A1091" s="585" t="str">
        <f>A1090</f>
        <v/>
      </c>
      <c r="B1091" s="254" t="str">
        <f>IF(LEN('Ch7'!H222)=0,"",'Ch7'!H222)</f>
        <v/>
      </c>
      <c r="C1091" s="254" t="str">
        <f t="shared" si="25"/>
        <v/>
      </c>
      <c r="D1091" s="139"/>
      <c r="E1091" s="1378"/>
      <c r="F1091" s="1378"/>
      <c r="G1091" s="1877"/>
      <c r="H1091" s="1313" t="str">
        <f>IF(LEN('Ch7'!W222)=0,"",'Ch7'!W222)</f>
        <v/>
      </c>
      <c r="J1091" s="1951"/>
    </row>
    <row r="1092" spans="1:10" x14ac:dyDescent="0.25">
      <c r="A1092" s="585" t="str">
        <f>A1091</f>
        <v/>
      </c>
      <c r="B1092" s="254" t="str">
        <f>IF(LEN('Ch7'!H223)=0,"",'Ch7'!H223)</f>
        <v/>
      </c>
      <c r="C1092" s="254" t="str">
        <f t="shared" si="25"/>
        <v/>
      </c>
      <c r="D1092" s="139"/>
      <c r="E1092" s="1378"/>
      <c r="F1092" s="1378"/>
      <c r="G1092" s="1877"/>
      <c r="H1092" s="94"/>
      <c r="J1092" s="1204"/>
    </row>
    <row r="1093" spans="1:10" x14ac:dyDescent="0.25">
      <c r="A1093" s="585" t="str">
        <f>A1092</f>
        <v/>
      </c>
      <c r="B1093" s="254" t="str">
        <f>IF(LEN('Ch7'!H224)=0,"",'Ch7'!H224)</f>
        <v/>
      </c>
      <c r="C1093" s="254" t="str">
        <f t="shared" si="25"/>
        <v/>
      </c>
      <c r="D1093" s="139"/>
      <c r="E1093" s="1378"/>
      <c r="F1093" s="1378"/>
      <c r="G1093" s="1877"/>
      <c r="H1093" s="94"/>
      <c r="J1093" s="1204"/>
    </row>
    <row r="1094" spans="1:10" x14ac:dyDescent="0.25">
      <c r="A1094" s="585" t="str">
        <f>A1093</f>
        <v/>
      </c>
      <c r="B1094" s="254" t="str">
        <f>IF(LEN('Ch7'!H225)=0,"",'Ch7'!H225)</f>
        <v/>
      </c>
      <c r="C1094" s="254" t="str">
        <f t="shared" si="25"/>
        <v/>
      </c>
      <c r="D1094" s="139"/>
      <c r="E1094" s="1378"/>
      <c r="F1094" s="1378"/>
      <c r="G1094" s="1877"/>
      <c r="H1094" s="94"/>
      <c r="J1094" s="1204"/>
    </row>
    <row r="1095" spans="1:10" x14ac:dyDescent="0.25">
      <c r="B1095" s="254" t="str">
        <f>IF(LEN('Ch7'!H226)=0,"",'Ch7'!H226)</f>
        <v/>
      </c>
      <c r="C1095" s="254" t="str">
        <f t="shared" si="25"/>
        <v/>
      </c>
      <c r="D1095" s="669"/>
      <c r="E1095" s="1380"/>
      <c r="F1095" s="1380"/>
      <c r="G1095" s="527" t="s">
        <v>3532</v>
      </c>
      <c r="H1095" s="94"/>
      <c r="J1095" s="1204"/>
    </row>
    <row r="1096" spans="1:10" x14ac:dyDescent="0.25">
      <c r="A1096" s="585" t="str">
        <f>IF(I1096&gt;0,"P","")</f>
        <v/>
      </c>
      <c r="B1096" s="254" t="str">
        <f>IF(LEN('Ch7'!H227)=0,"",'Ch7'!H227)</f>
        <v/>
      </c>
      <c r="C1096" s="254" t="str">
        <f t="shared" si="25"/>
        <v/>
      </c>
      <c r="D1096" s="671" t="s">
        <v>893</v>
      </c>
      <c r="E1096" s="1382"/>
      <c r="F1096" s="1382"/>
      <c r="G1096" s="1864" t="s">
        <v>894</v>
      </c>
      <c r="H1096" s="94"/>
      <c r="I1096" s="86">
        <f>'Ch7'!O227</f>
        <v>0</v>
      </c>
      <c r="J1096" s="1204" t="s">
        <v>3892</v>
      </c>
    </row>
    <row r="1097" spans="1:10" x14ac:dyDescent="0.25">
      <c r="A1097" s="585" t="str">
        <f>IF(AND(LEN(H1097)&gt;0,NOT(H1097=FALSE)),"P","")</f>
        <v/>
      </c>
      <c r="B1097" s="254" t="str">
        <f>IF(LEN('Ch7'!H228)=0,"",'Ch7'!H228)</f>
        <v/>
      </c>
      <c r="C1097" s="254" t="str">
        <f t="shared" si="25"/>
        <v/>
      </c>
      <c r="D1097" s="669"/>
      <c r="E1097" s="1380"/>
      <c r="F1097" s="1380"/>
      <c r="G1097" s="1843"/>
      <c r="H1097" s="1313" t="str">
        <f>IF(LEN('Ch7'!W228)=0,"",'Ch7'!W228)</f>
        <v/>
      </c>
      <c r="J1097" s="1204"/>
    </row>
    <row r="1098" spans="1:10" x14ac:dyDescent="0.25">
      <c r="A1098" s="585" t="str">
        <f ca="1">IF(I1098&gt;0,"P","")</f>
        <v/>
      </c>
      <c r="B1098" s="254" t="str">
        <f>IF(LEN('Ch7'!H229)=0,"",'Ch7'!H229)</f>
        <v/>
      </c>
      <c r="C1098" s="254" t="str">
        <f t="shared" ca="1" si="25"/>
        <v/>
      </c>
      <c r="D1098" s="671" t="s">
        <v>896</v>
      </c>
      <c r="E1098" s="1382"/>
      <c r="F1098" s="1382"/>
      <c r="G1098" s="1864" t="s">
        <v>897</v>
      </c>
      <c r="H1098" s="1313" t="str">
        <f>IF(LEN('Ch7'!W229)=0,"",'Ch7'!W229)</f>
        <v/>
      </c>
      <c r="I1098" s="86">
        <f ca="1">'Ch7'!O229</f>
        <v>0</v>
      </c>
      <c r="J1098" s="1204" t="s">
        <v>5001</v>
      </c>
    </row>
    <row r="1099" spans="1:10" x14ac:dyDescent="0.25">
      <c r="A1099" s="585" t="str">
        <f ca="1">A1098</f>
        <v/>
      </c>
      <c r="B1099" s="254" t="str">
        <f>IF(LEN('Ch7'!H230)=0,"",'Ch7'!H230)</f>
        <v/>
      </c>
      <c r="C1099" s="254" t="str">
        <f t="shared" ca="1" si="25"/>
        <v/>
      </c>
      <c r="D1099" s="101"/>
      <c r="E1099" s="1377"/>
      <c r="F1099" s="1377"/>
      <c r="G1099" s="1782"/>
      <c r="H1099" s="94"/>
      <c r="J1099" s="1204"/>
    </row>
    <row r="1100" spans="1:10" x14ac:dyDescent="0.25">
      <c r="A1100" s="585" t="str">
        <f ca="1">A1099</f>
        <v/>
      </c>
      <c r="B1100" s="254" t="str">
        <f>IF(LEN('Ch7'!H231)=0,"",'Ch7'!H231)</f>
        <v/>
      </c>
      <c r="C1100" s="254" t="str">
        <f t="shared" ca="1" si="25"/>
        <v/>
      </c>
      <c r="D1100" s="669"/>
      <c r="E1100" s="1380"/>
      <c r="F1100" s="1380"/>
      <c r="G1100" s="1843"/>
      <c r="H1100" s="94"/>
      <c r="J1100" s="1204"/>
    </row>
    <row r="1101" spans="1:10" x14ac:dyDescent="0.25">
      <c r="A1101" s="585" t="str">
        <f ca="1">IF(I1101&gt;0,"P","")</f>
        <v/>
      </c>
      <c r="B1101" s="254" t="str">
        <f>IF(LEN('Ch7'!H232)=0,"",'Ch7'!H232)</f>
        <v/>
      </c>
      <c r="C1101" s="254" t="str">
        <f t="shared" ca="1" si="25"/>
        <v/>
      </c>
      <c r="D1101" s="671" t="s">
        <v>898</v>
      </c>
      <c r="E1101" s="1382"/>
      <c r="F1101" s="1382"/>
      <c r="G1101" s="1864" t="s">
        <v>4272</v>
      </c>
      <c r="H1101" s="1847"/>
      <c r="I1101" s="86">
        <f ca="1">'Ch7'!O232</f>
        <v>0</v>
      </c>
      <c r="J1101" s="1204" t="s">
        <v>5002</v>
      </c>
    </row>
    <row r="1102" spans="1:10" x14ac:dyDescent="0.25">
      <c r="A1102" s="585" t="str">
        <f ca="1">A1101</f>
        <v/>
      </c>
      <c r="B1102" s="254" t="str">
        <f>IF(LEN('Ch7'!H233)=0,"",'Ch7'!H233)</f>
        <v/>
      </c>
      <c r="C1102" s="254" t="str">
        <f t="shared" ca="1" si="25"/>
        <v/>
      </c>
      <c r="D1102" s="101"/>
      <c r="E1102" s="1377"/>
      <c r="F1102" s="1377"/>
      <c r="G1102" s="1782"/>
      <c r="H1102" s="1847"/>
      <c r="J1102" s="1204"/>
    </row>
    <row r="1103" spans="1:10" x14ac:dyDescent="0.25">
      <c r="A1103" s="585" t="str">
        <f ca="1">A1102</f>
        <v/>
      </c>
      <c r="B1103" s="254" t="str">
        <f>IF(LEN('Ch7'!H234)=0,"",'Ch7'!H234)</f>
        <v/>
      </c>
      <c r="C1103" s="254" t="str">
        <f t="shared" ca="1" si="25"/>
        <v/>
      </c>
      <c r="D1103" s="669"/>
      <c r="E1103" s="1380"/>
      <c r="F1103" s="1380"/>
      <c r="G1103" s="1843"/>
      <c r="H1103" s="1254"/>
      <c r="J1103" s="1204"/>
    </row>
    <row r="1104" spans="1:10" x14ac:dyDescent="0.25">
      <c r="A1104" s="2363" t="str">
        <f ca="1">IF(COUNTIF(A1105:A1129,"P")&gt;0,"P","")</f>
        <v/>
      </c>
      <c r="B1104" s="254" t="str">
        <f>IF(LEN('Ch7'!H235)=0,"",'Ch7'!H235)</f>
        <v/>
      </c>
      <c r="C1104" s="254" t="str">
        <f t="shared" ca="1" si="25"/>
        <v/>
      </c>
      <c r="D1104" s="139" t="s">
        <v>899</v>
      </c>
      <c r="E1104" s="1378"/>
      <c r="F1104" s="1378"/>
      <c r="G1104" s="1235" t="s">
        <v>900</v>
      </c>
      <c r="H1104" s="94"/>
      <c r="J1104" s="1204"/>
    </row>
    <row r="1105" spans="1:10" x14ac:dyDescent="0.25">
      <c r="A1105" s="585" t="str">
        <f>IF(AND(LEN(H1105)&gt;0,NOT(H1105=FALSE)),"P","")</f>
        <v/>
      </c>
      <c r="B1105" s="254" t="str">
        <f>IF(LEN('Ch7'!H236)=0,"",'Ch7'!H236)</f>
        <v/>
      </c>
      <c r="C1105" s="254" t="str">
        <f t="shared" si="25"/>
        <v/>
      </c>
      <c r="D1105" s="101" t="s">
        <v>901</v>
      </c>
      <c r="E1105" s="1377"/>
      <c r="F1105" s="1377"/>
      <c r="G1105" s="1754" t="s">
        <v>902</v>
      </c>
      <c r="H1105" s="1313" t="str">
        <f>IF(LEN('Ch7'!W236)=0,"",'Ch7'!W236)</f>
        <v/>
      </c>
      <c r="J1105" s="1204" t="s">
        <v>3915</v>
      </c>
    </row>
    <row r="1106" spans="1:10" x14ac:dyDescent="0.25">
      <c r="A1106" s="585" t="str">
        <f t="shared" ref="A1106:A1111" si="30">A1105</f>
        <v/>
      </c>
      <c r="B1106" s="254" t="str">
        <f>IF(LEN('Ch7'!H237)=0,"",'Ch7'!H237)</f>
        <v/>
      </c>
      <c r="C1106" s="254" t="str">
        <f t="shared" ref="C1106:C1169" si="31">IF(LEN(B1106)=0,IF(A1106="P","P",""),B1106)</f>
        <v/>
      </c>
      <c r="D1106" s="101"/>
      <c r="E1106" s="1377"/>
      <c r="F1106" s="1377"/>
      <c r="G1106" s="1754"/>
      <c r="H1106" s="94"/>
      <c r="J1106" s="1204"/>
    </row>
    <row r="1107" spans="1:10" x14ac:dyDescent="0.25">
      <c r="A1107" s="585" t="str">
        <f t="shared" si="30"/>
        <v/>
      </c>
      <c r="B1107" s="254" t="str">
        <f>IF(LEN('Ch7'!H238)=0,"",'Ch7'!H238)</f>
        <v/>
      </c>
      <c r="C1107" s="254" t="str">
        <f t="shared" si="31"/>
        <v/>
      </c>
      <c r="D1107" s="101"/>
      <c r="E1107" s="1377"/>
      <c r="F1107" s="1377"/>
      <c r="G1107" s="1754"/>
      <c r="H1107" s="94"/>
      <c r="J1107" s="1204"/>
    </row>
    <row r="1108" spans="1:10" x14ac:dyDescent="0.25">
      <c r="A1108" s="585" t="str">
        <f t="shared" si="30"/>
        <v/>
      </c>
      <c r="B1108" s="254" t="str">
        <f>IF(LEN('Ch7'!H239)=0,"",'Ch7'!H239)</f>
        <v/>
      </c>
      <c r="C1108" s="254" t="str">
        <f t="shared" si="31"/>
        <v/>
      </c>
      <c r="D1108" s="101"/>
      <c r="E1108" s="1377"/>
      <c r="F1108" s="1377"/>
      <c r="G1108" s="1754"/>
      <c r="H1108" s="94"/>
      <c r="J1108" s="1204"/>
    </row>
    <row r="1109" spans="1:10" x14ac:dyDescent="0.25">
      <c r="A1109" s="585" t="str">
        <f t="shared" si="30"/>
        <v/>
      </c>
      <c r="B1109" s="254" t="str">
        <f>IF(LEN('Ch7'!H240)=0,"",'Ch7'!H240)</f>
        <v/>
      </c>
      <c r="C1109" s="254" t="str">
        <f t="shared" si="31"/>
        <v/>
      </c>
      <c r="D1109" s="101"/>
      <c r="E1109" s="1377"/>
      <c r="F1109" s="1377"/>
      <c r="G1109" s="1754"/>
      <c r="H1109" s="94"/>
      <c r="J1109" s="1204"/>
    </row>
    <row r="1110" spans="1:10" x14ac:dyDescent="0.25">
      <c r="A1110" s="585" t="str">
        <f t="shared" si="30"/>
        <v/>
      </c>
      <c r="B1110" s="254" t="str">
        <f>IF(LEN('Ch7'!H241)=0,"",'Ch7'!H241)</f>
        <v/>
      </c>
      <c r="C1110" s="254" t="str">
        <f t="shared" si="31"/>
        <v/>
      </c>
      <c r="D1110" s="101"/>
      <c r="E1110" s="1377"/>
      <c r="F1110" s="1377"/>
      <c r="G1110" s="1754"/>
      <c r="H1110" s="94"/>
      <c r="J1110" s="1204"/>
    </row>
    <row r="1111" spans="1:10" x14ac:dyDescent="0.25">
      <c r="A1111" s="585" t="str">
        <f t="shared" si="30"/>
        <v/>
      </c>
      <c r="B1111" s="254" t="str">
        <f>IF(LEN('Ch7'!H242)=0,"",'Ch7'!H242)</f>
        <v/>
      </c>
      <c r="C1111" s="254" t="str">
        <f t="shared" si="31"/>
        <v/>
      </c>
      <c r="D1111" s="101"/>
      <c r="E1111" s="1377"/>
      <c r="F1111" s="1377"/>
      <c r="G1111" s="1754"/>
      <c r="H1111" s="94"/>
      <c r="J1111" s="1204"/>
    </row>
    <row r="1112" spans="1:10" x14ac:dyDescent="0.25">
      <c r="B1112" s="254" t="str">
        <f>IF(LEN('Ch7'!H243)=0,"",'Ch7'!H243)</f>
        <v/>
      </c>
      <c r="C1112" s="254" t="str">
        <f t="shared" si="31"/>
        <v/>
      </c>
      <c r="D1112" s="669"/>
      <c r="E1112" s="1380"/>
      <c r="F1112" s="1380"/>
      <c r="G1112" s="527" t="s">
        <v>3779</v>
      </c>
      <c r="H1112" s="94"/>
      <c r="J1112" s="1204"/>
    </row>
    <row r="1113" spans="1:10" x14ac:dyDescent="0.25">
      <c r="A1113" s="585" t="str">
        <f>IF(AND(LEN(H1113)&gt;0,NOT(H1113=FALSE)),"P","")</f>
        <v/>
      </c>
      <c r="B1113" s="254" t="str">
        <f>IF(LEN('Ch7'!H244)=0,"",'Ch7'!H244)</f>
        <v/>
      </c>
      <c r="C1113" s="254" t="str">
        <f t="shared" si="31"/>
        <v/>
      </c>
      <c r="D1113" s="671" t="s">
        <v>903</v>
      </c>
      <c r="E1113" s="1382"/>
      <c r="F1113" s="1382"/>
      <c r="G1113" s="1864" t="s">
        <v>904</v>
      </c>
      <c r="H1113" s="1313" t="str">
        <f>IF(LEN('Ch7'!W244)=0,"",'Ch7'!W244)</f>
        <v/>
      </c>
      <c r="J1113" s="1204" t="s">
        <v>3915</v>
      </c>
    </row>
    <row r="1114" spans="1:10" x14ac:dyDescent="0.25">
      <c r="A1114" s="585" t="str">
        <f t="shared" ref="A1114:A1120" si="32">A1113</f>
        <v/>
      </c>
      <c r="B1114" s="254" t="str">
        <f>IF(LEN('Ch7'!H245)=0,"",'Ch7'!H245)</f>
        <v/>
      </c>
      <c r="C1114" s="254" t="str">
        <f t="shared" si="31"/>
        <v/>
      </c>
      <c r="D1114" s="101"/>
      <c r="E1114" s="1377"/>
      <c r="F1114" s="1377"/>
      <c r="G1114" s="1782"/>
      <c r="H1114" s="94"/>
      <c r="J1114" s="1204"/>
    </row>
    <row r="1115" spans="1:10" x14ac:dyDescent="0.25">
      <c r="A1115" s="585" t="str">
        <f t="shared" si="32"/>
        <v/>
      </c>
      <c r="B1115" s="254" t="str">
        <f>IF(LEN('Ch7'!H246)=0,"",'Ch7'!H246)</f>
        <v/>
      </c>
      <c r="C1115" s="254" t="str">
        <f t="shared" si="31"/>
        <v/>
      </c>
      <c r="D1115" s="101"/>
      <c r="E1115" s="1377"/>
      <c r="F1115" s="1377"/>
      <c r="G1115" s="1782"/>
      <c r="H1115" s="94"/>
      <c r="J1115" s="1204"/>
    </row>
    <row r="1116" spans="1:10" x14ac:dyDescent="0.25">
      <c r="A1116" s="585" t="str">
        <f t="shared" si="32"/>
        <v/>
      </c>
      <c r="B1116" s="254" t="str">
        <f>IF(LEN('Ch7'!H247)=0,"",'Ch7'!H247)</f>
        <v/>
      </c>
      <c r="C1116" s="254" t="str">
        <f t="shared" si="31"/>
        <v/>
      </c>
      <c r="D1116" s="101"/>
      <c r="E1116" s="1377"/>
      <c r="F1116" s="1377"/>
      <c r="G1116" s="1782"/>
      <c r="H1116" s="94"/>
      <c r="J1116" s="1204"/>
    </row>
    <row r="1117" spans="1:10" x14ac:dyDescent="0.25">
      <c r="A1117" s="585" t="str">
        <f t="shared" si="32"/>
        <v/>
      </c>
      <c r="B1117" s="254" t="str">
        <f>IF(LEN('Ch7'!H248)=0,"",'Ch7'!H248)</f>
        <v/>
      </c>
      <c r="C1117" s="254" t="str">
        <f t="shared" si="31"/>
        <v/>
      </c>
      <c r="D1117" s="101"/>
      <c r="E1117" s="1377"/>
      <c r="F1117" s="1377"/>
      <c r="G1117" s="1782"/>
      <c r="H1117" s="94"/>
      <c r="J1117" s="1204"/>
    </row>
    <row r="1118" spans="1:10" x14ac:dyDescent="0.25">
      <c r="A1118" s="585" t="str">
        <f t="shared" si="32"/>
        <v/>
      </c>
      <c r="B1118" s="254" t="str">
        <f>IF(LEN('Ch7'!H249)=0,"",'Ch7'!H249)</f>
        <v/>
      </c>
      <c r="C1118" s="254" t="str">
        <f t="shared" si="31"/>
        <v/>
      </c>
      <c r="D1118" s="101"/>
      <c r="E1118" s="1377"/>
      <c r="F1118" s="1377"/>
      <c r="G1118" s="1782"/>
      <c r="H1118" s="94"/>
      <c r="J1118" s="1204"/>
    </row>
    <row r="1119" spans="1:10" x14ac:dyDescent="0.25">
      <c r="A1119" s="585" t="str">
        <f t="shared" si="32"/>
        <v/>
      </c>
      <c r="B1119" s="254" t="str">
        <f>IF(LEN('Ch7'!H250)=0,"",'Ch7'!H250)</f>
        <v/>
      </c>
      <c r="C1119" s="254" t="str">
        <f t="shared" si="31"/>
        <v/>
      </c>
      <c r="D1119" s="101"/>
      <c r="E1119" s="1377"/>
      <c r="F1119" s="1377"/>
      <c r="G1119" s="1782"/>
      <c r="H1119" s="94"/>
      <c r="J1119" s="1204"/>
    </row>
    <row r="1120" spans="1:10" x14ac:dyDescent="0.25">
      <c r="A1120" s="585" t="str">
        <f t="shared" si="32"/>
        <v/>
      </c>
      <c r="B1120" s="254" t="str">
        <f>IF(LEN('Ch7'!H251)=0,"",'Ch7'!H251)</f>
        <v/>
      </c>
      <c r="C1120" s="254" t="str">
        <f t="shared" si="31"/>
        <v/>
      </c>
      <c r="D1120" s="669"/>
      <c r="E1120" s="1380"/>
      <c r="F1120" s="1380"/>
      <c r="G1120" s="1843"/>
      <c r="H1120" s="94"/>
      <c r="J1120" s="1204"/>
    </row>
    <row r="1121" spans="1:10" x14ac:dyDescent="0.25">
      <c r="A1121" s="585" t="str">
        <f ca="1">IF(I1121&gt;0,"P","")</f>
        <v/>
      </c>
      <c r="B1121" s="254" t="str">
        <f>IF(LEN('Ch7'!H252)=0,"",'Ch7'!H252)</f>
        <v/>
      </c>
      <c r="C1121" s="254" t="str">
        <f t="shared" ca="1" si="31"/>
        <v/>
      </c>
      <c r="D1121" s="139" t="s">
        <v>905</v>
      </c>
      <c r="E1121" s="1378"/>
      <c r="F1121" s="1378"/>
      <c r="G1121" s="1782" t="s">
        <v>906</v>
      </c>
      <c r="H1121" s="1313" t="str">
        <f>IF(LEN('Ch7'!W252)=0,"",'Ch7'!W252)</f>
        <v/>
      </c>
      <c r="I1121" s="86">
        <f ca="1">'Ch7'!O252</f>
        <v>0</v>
      </c>
      <c r="J1121" s="1204" t="s">
        <v>3915</v>
      </c>
    </row>
    <row r="1122" spans="1:10" x14ac:dyDescent="0.25">
      <c r="A1122" s="585" t="str">
        <f ca="1">A1121</f>
        <v/>
      </c>
      <c r="B1122" s="254" t="str">
        <f>IF(LEN('Ch7'!H253)=0,"",'Ch7'!H253)</f>
        <v/>
      </c>
      <c r="C1122" s="254" t="str">
        <f t="shared" ca="1" si="31"/>
        <v/>
      </c>
      <c r="D1122" s="139"/>
      <c r="E1122" s="1378"/>
      <c r="F1122" s="1378"/>
      <c r="G1122" s="1782"/>
      <c r="H1122" s="94"/>
      <c r="J1122" s="1204"/>
    </row>
    <row r="1123" spans="1:10" x14ac:dyDescent="0.25">
      <c r="A1123" s="585" t="str">
        <f ca="1">A1122</f>
        <v/>
      </c>
      <c r="B1123" s="254" t="str">
        <f>IF(LEN('Ch7'!H254)=0,"",'Ch7'!H254)</f>
        <v/>
      </c>
      <c r="C1123" s="254" t="str">
        <f t="shared" ca="1" si="31"/>
        <v/>
      </c>
      <c r="D1123" s="139"/>
      <c r="E1123" s="1378"/>
      <c r="F1123" s="1378"/>
      <c r="G1123" s="1782"/>
      <c r="H1123" s="94"/>
      <c r="J1123" s="1204"/>
    </row>
    <row r="1124" spans="1:10" x14ac:dyDescent="0.25">
      <c r="A1124" s="585" t="str">
        <f ca="1">A1123</f>
        <v/>
      </c>
      <c r="B1124" s="254" t="str">
        <f>IF(LEN('Ch7'!H255)=0,"",'Ch7'!H255)</f>
        <v/>
      </c>
      <c r="C1124" s="254" t="str">
        <f t="shared" ca="1" si="31"/>
        <v/>
      </c>
      <c r="D1124" s="139"/>
      <c r="E1124" s="1378"/>
      <c r="F1124" s="1378"/>
      <c r="G1124" s="1782"/>
      <c r="H1124" s="94"/>
      <c r="J1124" s="1204"/>
    </row>
    <row r="1125" spans="1:10" x14ac:dyDescent="0.25">
      <c r="A1125" s="585" t="str">
        <f ca="1">A1124</f>
        <v/>
      </c>
      <c r="B1125" s="254" t="str">
        <f>IF(LEN('Ch7'!H256)=0,"",'Ch7'!H256)</f>
        <v/>
      </c>
      <c r="C1125" s="254" t="str">
        <f t="shared" ca="1" si="31"/>
        <v/>
      </c>
      <c r="D1125" s="139"/>
      <c r="E1125" s="1378"/>
      <c r="F1125" s="1378"/>
      <c r="G1125" s="1782"/>
      <c r="H1125" s="94"/>
      <c r="J1125" s="1204"/>
    </row>
    <row r="1126" spans="1:10" x14ac:dyDescent="0.25">
      <c r="B1126" s="254" t="str">
        <f>IF(LEN('Ch7'!H257)=0,"",'Ch7'!H257)</f>
        <v/>
      </c>
      <c r="C1126" s="254" t="str">
        <f t="shared" si="31"/>
        <v/>
      </c>
      <c r="D1126" s="139"/>
      <c r="E1126" s="1378"/>
      <c r="F1126" s="696" t="s">
        <v>121</v>
      </c>
      <c r="G1126" s="1220" t="s">
        <v>3480</v>
      </c>
      <c r="H1126" s="94"/>
      <c r="J1126" s="1204"/>
    </row>
    <row r="1127" spans="1:10" x14ac:dyDescent="0.25">
      <c r="B1127" s="254" t="str">
        <f>IF(LEN('Ch7'!H258)=0,"",'Ch7'!H258)</f>
        <v/>
      </c>
      <c r="C1127" s="254" t="str">
        <f t="shared" si="31"/>
        <v/>
      </c>
      <c r="D1127" s="139"/>
      <c r="E1127" s="1378"/>
      <c r="F1127" s="696" t="s">
        <v>122</v>
      </c>
      <c r="G1127" s="1220" t="s">
        <v>3479</v>
      </c>
      <c r="H1127" s="94"/>
      <c r="J1127" s="1204"/>
    </row>
    <row r="1128" spans="1:10" x14ac:dyDescent="0.25">
      <c r="B1128" s="254" t="str">
        <f>IF(LEN('Ch7'!H259)=0,"",'Ch7'!H259)</f>
        <v/>
      </c>
      <c r="C1128" s="254" t="str">
        <f t="shared" si="31"/>
        <v/>
      </c>
      <c r="D1128" s="669"/>
      <c r="E1128" s="1380"/>
      <c r="F1128" s="702" t="s">
        <v>123</v>
      </c>
      <c r="G1128" s="279" t="s">
        <v>3478</v>
      </c>
      <c r="H1128" s="94"/>
      <c r="J1128" s="1204"/>
    </row>
    <row r="1129" spans="1:10" x14ac:dyDescent="0.25">
      <c r="A1129" s="585" t="str">
        <f>IF(AND(LEN(H1129)&gt;0,NOT(H1129=FALSE)),"P","")</f>
        <v/>
      </c>
      <c r="B1129" s="254" t="str">
        <f>IF(LEN('Ch7'!H260)=0,"",'Ch7'!H260)</f>
        <v/>
      </c>
      <c r="C1129" s="254" t="str">
        <f t="shared" si="31"/>
        <v/>
      </c>
      <c r="D1129" s="101" t="s">
        <v>907</v>
      </c>
      <c r="E1129" s="1377"/>
      <c r="F1129" s="1390"/>
      <c r="G1129" s="1782" t="s">
        <v>908</v>
      </c>
      <c r="H1129" s="1313" t="str">
        <f>IF(LEN('Ch7'!W260)=0,"",'Ch7'!W260)</f>
        <v/>
      </c>
      <c r="J1129" s="1204" t="s">
        <v>3915</v>
      </c>
    </row>
    <row r="1130" spans="1:10" x14ac:dyDescent="0.25">
      <c r="A1130" s="585" t="str">
        <f t="shared" ref="A1130:A1137" si="33">A1129</f>
        <v/>
      </c>
      <c r="B1130" s="254" t="str">
        <f>IF(LEN('Ch7'!H261)=0,"",'Ch7'!H261)</f>
        <v/>
      </c>
      <c r="C1130" s="254" t="str">
        <f t="shared" si="31"/>
        <v/>
      </c>
      <c r="D1130" s="101"/>
      <c r="E1130" s="1377"/>
      <c r="F1130" s="1377"/>
      <c r="G1130" s="1782"/>
      <c r="H1130" s="94"/>
      <c r="J1130" s="1204"/>
    </row>
    <row r="1131" spans="1:10" x14ac:dyDescent="0.25">
      <c r="A1131" s="585" t="str">
        <f t="shared" si="33"/>
        <v/>
      </c>
      <c r="B1131" s="254" t="str">
        <f>IF(LEN('Ch7'!H262)=0,"",'Ch7'!H262)</f>
        <v/>
      </c>
      <c r="C1131" s="254" t="str">
        <f t="shared" si="31"/>
        <v/>
      </c>
      <c r="D1131" s="101"/>
      <c r="E1131" s="1377"/>
      <c r="F1131" s="1377"/>
      <c r="G1131" s="1782"/>
      <c r="H1131" s="94"/>
      <c r="J1131" s="1204"/>
    </row>
    <row r="1132" spans="1:10" x14ac:dyDescent="0.25">
      <c r="A1132" s="585" t="str">
        <f t="shared" si="33"/>
        <v/>
      </c>
      <c r="B1132" s="254" t="str">
        <f>IF(LEN('Ch7'!H263)=0,"",'Ch7'!H263)</f>
        <v/>
      </c>
      <c r="C1132" s="254" t="str">
        <f t="shared" si="31"/>
        <v/>
      </c>
      <c r="D1132" s="101"/>
      <c r="E1132" s="1377"/>
      <c r="F1132" s="1377"/>
      <c r="G1132" s="1782"/>
      <c r="H1132" s="94"/>
      <c r="J1132" s="1204"/>
    </row>
    <row r="1133" spans="1:10" x14ac:dyDescent="0.25">
      <c r="A1133" s="585" t="str">
        <f t="shared" si="33"/>
        <v/>
      </c>
      <c r="B1133" s="254" t="str">
        <f>IF(LEN('Ch7'!H264)=0,"",'Ch7'!H264)</f>
        <v/>
      </c>
      <c r="C1133" s="254" t="str">
        <f t="shared" si="31"/>
        <v/>
      </c>
      <c r="D1133" s="101"/>
      <c r="E1133" s="1377"/>
      <c r="F1133" s="1377"/>
      <c r="G1133" s="1782"/>
      <c r="H1133" s="94"/>
      <c r="J1133" s="1204"/>
    </row>
    <row r="1134" spans="1:10" x14ac:dyDescent="0.25">
      <c r="A1134" s="585" t="str">
        <f t="shared" si="33"/>
        <v/>
      </c>
      <c r="B1134" s="254" t="str">
        <f>IF(LEN('Ch7'!H265)=0,"",'Ch7'!H265)</f>
        <v/>
      </c>
      <c r="C1134" s="254" t="str">
        <f t="shared" si="31"/>
        <v/>
      </c>
      <c r="D1134" s="101"/>
      <c r="E1134" s="1377"/>
      <c r="F1134" s="1377"/>
      <c r="G1134" s="1782"/>
      <c r="H1134" s="94"/>
      <c r="J1134" s="1204"/>
    </row>
    <row r="1135" spans="1:10" x14ac:dyDescent="0.25">
      <c r="A1135" s="585" t="str">
        <f t="shared" si="33"/>
        <v/>
      </c>
      <c r="B1135" s="254" t="str">
        <f>IF(LEN('Ch7'!H266)=0,"",'Ch7'!H266)</f>
        <v/>
      </c>
      <c r="C1135" s="254" t="str">
        <f t="shared" si="31"/>
        <v/>
      </c>
      <c r="D1135" s="101"/>
      <c r="E1135" s="1377"/>
      <c r="F1135" s="1377"/>
      <c r="G1135" s="1782"/>
      <c r="H1135" s="94"/>
      <c r="J1135" s="1204"/>
    </row>
    <row r="1136" spans="1:10" x14ac:dyDescent="0.25">
      <c r="A1136" s="585" t="str">
        <f t="shared" si="33"/>
        <v/>
      </c>
      <c r="B1136" s="254" t="str">
        <f>IF(LEN('Ch7'!H267)=0,"",'Ch7'!H267)</f>
        <v/>
      </c>
      <c r="C1136" s="254" t="str">
        <f t="shared" si="31"/>
        <v/>
      </c>
      <c r="D1136" s="101"/>
      <c r="E1136" s="1377"/>
      <c r="F1136" s="1377"/>
      <c r="G1136" s="1782"/>
      <c r="H1136" s="94"/>
      <c r="J1136" s="1204"/>
    </row>
    <row r="1137" spans="1:10" ht="15.75" thickBot="1" x14ac:dyDescent="0.3">
      <c r="A1137" s="585" t="str">
        <f t="shared" si="33"/>
        <v/>
      </c>
      <c r="B1137" s="254" t="str">
        <f>IF(LEN('Ch7'!H268)=0,"",'Ch7'!H268)</f>
        <v/>
      </c>
      <c r="C1137" s="254" t="str">
        <f t="shared" si="31"/>
        <v/>
      </c>
      <c r="D1137" s="670"/>
      <c r="E1137" s="1379"/>
      <c r="F1137" s="1379"/>
      <c r="G1137" s="1797"/>
      <c r="H1137" s="94"/>
      <c r="J1137" s="1204"/>
    </row>
    <row r="1138" spans="1:10" ht="15.75" thickTop="1" x14ac:dyDescent="0.25">
      <c r="A1138" s="2363" t="str">
        <f ca="1">IF(COUNTIF(A1153:A1217,"P")&gt;0,"P","")</f>
        <v/>
      </c>
      <c r="B1138" s="254" t="str">
        <f>IF(LEN('Ch7'!H269)=0,"",'Ch7'!H269)</f>
        <v/>
      </c>
      <c r="C1138" s="254" t="str">
        <f t="shared" ca="1" si="31"/>
        <v/>
      </c>
      <c r="D1138" s="667">
        <v>703.3</v>
      </c>
      <c r="E1138" s="1378"/>
      <c r="F1138" s="1378"/>
      <c r="G1138" s="1235" t="s">
        <v>910</v>
      </c>
      <c r="H1138" s="94"/>
      <c r="J1138" s="1204"/>
    </row>
    <row r="1139" spans="1:10" x14ac:dyDescent="0.25">
      <c r="B1139" s="254" t="str">
        <f>IF(LEN('Ch7'!H270)=0,"",'Ch7'!H270)</f>
        <v/>
      </c>
      <c r="C1139" s="254" t="str">
        <f t="shared" si="31"/>
        <v/>
      </c>
      <c r="D1139" s="139" t="s">
        <v>909</v>
      </c>
      <c r="E1139" s="1378"/>
      <c r="F1139" s="1378"/>
      <c r="G1139" s="1782" t="s">
        <v>911</v>
      </c>
      <c r="H1139" s="94"/>
      <c r="J1139" s="1204"/>
    </row>
    <row r="1140" spans="1:10" x14ac:dyDescent="0.25">
      <c r="B1140" s="254" t="str">
        <f>IF(LEN('Ch7'!H271)=0,"",'Ch7'!H271)</f>
        <v/>
      </c>
      <c r="C1140" s="254" t="str">
        <f t="shared" si="31"/>
        <v/>
      </c>
      <c r="D1140" s="139"/>
      <c r="E1140" s="1378"/>
      <c r="F1140" s="1378"/>
      <c r="G1140" s="1782"/>
      <c r="H1140" s="1313" t="str">
        <f>IF(LEN('Ch7'!W271)=0,"",'Ch7'!W271)</f>
        <v/>
      </c>
      <c r="J1140" s="1204"/>
    </row>
    <row r="1141" spans="1:10" x14ac:dyDescent="0.25">
      <c r="B1141" s="254" t="str">
        <f>IF(LEN('Ch7'!H272)=0,"",'Ch7'!H272)</f>
        <v/>
      </c>
      <c r="C1141" s="254" t="str">
        <f t="shared" si="31"/>
        <v/>
      </c>
      <c r="D1141" s="139"/>
      <c r="E1141" s="1378"/>
      <c r="F1141" s="1378"/>
      <c r="G1141" s="1782"/>
      <c r="H1141" s="94"/>
      <c r="J1141" s="1204"/>
    </row>
    <row r="1142" spans="1:10" x14ac:dyDescent="0.25">
      <c r="B1142" s="254" t="str">
        <f>IF(LEN('Ch7'!H273)=0,"",'Ch7'!H273)</f>
        <v/>
      </c>
      <c r="C1142" s="254" t="str">
        <f t="shared" si="31"/>
        <v/>
      </c>
      <c r="D1142" s="139"/>
      <c r="E1142" s="1378"/>
      <c r="F1142" s="1378"/>
      <c r="G1142" s="1782"/>
      <c r="H1142" s="94"/>
      <c r="J1142" s="1204"/>
    </row>
    <row r="1143" spans="1:10" x14ac:dyDescent="0.25">
      <c r="B1143" s="254" t="str">
        <f>IF(LEN('Ch7'!H274)=0,"",'Ch7'!H274)</f>
        <v/>
      </c>
      <c r="C1143" s="254" t="str">
        <f t="shared" si="31"/>
        <v/>
      </c>
      <c r="D1143" s="139"/>
      <c r="E1143" s="1378"/>
      <c r="F1143" s="1378"/>
      <c r="G1143" s="1782"/>
      <c r="H1143" s="94"/>
      <c r="J1143" s="1204"/>
    </row>
    <row r="1144" spans="1:10" x14ac:dyDescent="0.25">
      <c r="B1144" s="254" t="str">
        <f>IF(LEN('Ch7'!H275)=0,"",'Ch7'!H275)</f>
        <v/>
      </c>
      <c r="C1144" s="254" t="str">
        <f t="shared" si="31"/>
        <v/>
      </c>
      <c r="D1144" s="139"/>
      <c r="E1144" s="1378"/>
      <c r="F1144" s="1378"/>
      <c r="G1144" s="1782"/>
      <c r="H1144" s="94"/>
      <c r="J1144" s="1204"/>
    </row>
    <row r="1145" spans="1:10" x14ac:dyDescent="0.25">
      <c r="B1145" s="254" t="str">
        <f>IF(LEN('Ch7'!H276)=0,"",'Ch7'!H276)</f>
        <v/>
      </c>
      <c r="C1145" s="254" t="str">
        <f t="shared" si="31"/>
        <v/>
      </c>
      <c r="D1145" s="139"/>
      <c r="E1145" s="1378"/>
      <c r="F1145" s="1378"/>
      <c r="G1145" s="1782"/>
      <c r="H1145" s="94"/>
      <c r="J1145" s="1204"/>
    </row>
    <row r="1146" spans="1:10" x14ac:dyDescent="0.25">
      <c r="B1146" s="254" t="str">
        <f>IF(LEN('Ch7'!H277)=0,"",'Ch7'!H277)</f>
        <v/>
      </c>
      <c r="C1146" s="254" t="str">
        <f t="shared" si="31"/>
        <v/>
      </c>
      <c r="D1146" s="139"/>
      <c r="E1146" s="1378"/>
      <c r="F1146" s="1378"/>
      <c r="G1146" s="1782"/>
      <c r="H1146" s="94"/>
      <c r="J1146" s="1204"/>
    </row>
    <row r="1147" spans="1:10" x14ac:dyDescent="0.25">
      <c r="B1147" s="254" t="str">
        <f>IF(LEN('Ch7'!H278)=0,"",'Ch7'!H278)</f>
        <v/>
      </c>
      <c r="C1147" s="254" t="str">
        <f t="shared" si="31"/>
        <v/>
      </c>
      <c r="D1147" s="139"/>
      <c r="E1147" s="1378"/>
      <c r="F1147" s="1378"/>
      <c r="G1147" s="1782"/>
      <c r="H1147" s="1313" t="str">
        <f>IF(LEN('Ch7'!W278)=0,"",'Ch7'!W278)</f>
        <v/>
      </c>
      <c r="J1147" s="1204"/>
    </row>
    <row r="1148" spans="1:10" x14ac:dyDescent="0.25">
      <c r="B1148" s="254" t="str">
        <f>IF(LEN('Ch7'!H279)=0,"",'Ch7'!H279)</f>
        <v/>
      </c>
      <c r="C1148" s="254" t="str">
        <f t="shared" si="31"/>
        <v/>
      </c>
      <c r="D1148" s="139"/>
      <c r="E1148" s="1378"/>
      <c r="F1148" s="1378"/>
      <c r="G1148" s="1968" t="s">
        <v>1101</v>
      </c>
      <c r="H1148" s="94"/>
      <c r="J1148" s="1204"/>
    </row>
    <row r="1149" spans="1:10" x14ac:dyDescent="0.25">
      <c r="B1149" s="254" t="str">
        <f>IF(LEN('Ch7'!H280)=0,"",'Ch7'!H280)</f>
        <v/>
      </c>
      <c r="C1149" s="254" t="str">
        <f t="shared" si="31"/>
        <v/>
      </c>
      <c r="D1149" s="139"/>
      <c r="E1149" s="1378"/>
      <c r="F1149" s="1378"/>
      <c r="G1149" s="1968"/>
      <c r="H1149" s="94"/>
      <c r="J1149" s="1204"/>
    </row>
    <row r="1150" spans="1:10" x14ac:dyDescent="0.25">
      <c r="B1150" s="254" t="str">
        <f>IF(LEN('Ch7'!H281)=0,"",'Ch7'!H281)</f>
        <v/>
      </c>
      <c r="C1150" s="254" t="str">
        <f t="shared" si="31"/>
        <v/>
      </c>
      <c r="D1150" s="139"/>
      <c r="E1150" s="1378"/>
      <c r="F1150" s="1378"/>
      <c r="G1150" s="540" t="s">
        <v>912</v>
      </c>
      <c r="H1150" s="94"/>
      <c r="J1150" s="1204"/>
    </row>
    <row r="1151" spans="1:10" x14ac:dyDescent="0.25">
      <c r="B1151" s="254" t="str">
        <f>IF(LEN('Ch7'!H282)=0,"",'Ch7'!H282)</f>
        <v/>
      </c>
      <c r="C1151" s="254" t="str">
        <f t="shared" si="31"/>
        <v/>
      </c>
      <c r="D1151" s="101"/>
      <c r="E1151" s="1377"/>
      <c r="F1151" s="1377"/>
      <c r="G1151" s="540" t="s">
        <v>913</v>
      </c>
      <c r="H1151" s="94"/>
      <c r="J1151" s="1204"/>
    </row>
    <row r="1152" spans="1:10" x14ac:dyDescent="0.25">
      <c r="B1152" s="254" t="str">
        <f>IF(LEN('Ch7'!H283)=0,"",'Ch7'!H283)</f>
        <v/>
      </c>
      <c r="C1152" s="254" t="str">
        <f t="shared" si="31"/>
        <v/>
      </c>
      <c r="D1152" s="669"/>
      <c r="E1152" s="1380"/>
      <c r="F1152" s="1380"/>
      <c r="G1152" s="541" t="s">
        <v>914</v>
      </c>
      <c r="H1152" s="94"/>
      <c r="J1152" s="1204"/>
    </row>
    <row r="1153" spans="1:10" x14ac:dyDescent="0.25">
      <c r="A1153" s="585" t="str">
        <f ca="1">IF(I1153&gt;0,"P","")</f>
        <v/>
      </c>
      <c r="B1153" s="254" t="str">
        <f>IF(LEN('Ch7'!H284)=0,"",'Ch7'!H284)</f>
        <v/>
      </c>
      <c r="C1153" s="254" t="str">
        <f t="shared" ca="1" si="31"/>
        <v/>
      </c>
      <c r="D1153" s="101" t="s">
        <v>915</v>
      </c>
      <c r="E1153" s="1377"/>
      <c r="F1153" s="1377"/>
      <c r="G1153" s="1835" t="s">
        <v>4277</v>
      </c>
      <c r="H1153" s="1313" t="str">
        <f>IF(LEN('Ch7'!W284)=0,"",'Ch7'!W284)</f>
        <v/>
      </c>
      <c r="I1153" s="86">
        <f ca="1">'Ch7'!O284</f>
        <v>0</v>
      </c>
      <c r="J1153" s="1950" t="s">
        <v>3916</v>
      </c>
    </row>
    <row r="1154" spans="1:10" x14ac:dyDescent="0.25">
      <c r="A1154" s="585" t="str">
        <f ca="1">A1153</f>
        <v/>
      </c>
      <c r="B1154" s="254" t="str">
        <f>IF(LEN('Ch7'!H285)=0,"",'Ch7'!H285)</f>
        <v/>
      </c>
      <c r="C1154" s="254" t="str">
        <f t="shared" ca="1" si="31"/>
        <v/>
      </c>
      <c r="D1154" s="101"/>
      <c r="E1154" s="1377"/>
      <c r="F1154" s="1377"/>
      <c r="G1154" s="1877"/>
      <c r="H1154" s="94"/>
      <c r="J1154" s="1951"/>
    </row>
    <row r="1155" spans="1:10" x14ac:dyDescent="0.25">
      <c r="A1155" s="585" t="str">
        <f ca="1">A1154</f>
        <v/>
      </c>
      <c r="B1155" s="254" t="str">
        <f>IF(LEN('Ch7'!H286)=0,"",'Ch7'!H286)</f>
        <v/>
      </c>
      <c r="C1155" s="254" t="str">
        <f t="shared" ca="1" si="31"/>
        <v/>
      </c>
      <c r="D1155" s="101"/>
      <c r="E1155" s="1377"/>
      <c r="F1155" s="1377"/>
      <c r="G1155" s="1877"/>
      <c r="H1155" s="94"/>
      <c r="J1155" s="1204"/>
    </row>
    <row r="1156" spans="1:10" x14ac:dyDescent="0.25">
      <c r="A1156" s="585" t="str">
        <f ca="1">A1155</f>
        <v/>
      </c>
      <c r="B1156" s="254" t="str">
        <f>IF(LEN('Ch7'!H287)=0,"",'Ch7'!H287)</f>
        <v/>
      </c>
      <c r="C1156" s="254" t="str">
        <f t="shared" ca="1" si="31"/>
        <v/>
      </c>
      <c r="D1156" s="101"/>
      <c r="E1156" s="1377"/>
      <c r="F1156" s="1377"/>
      <c r="G1156" s="1877"/>
      <c r="H1156" s="94"/>
      <c r="J1156" s="1204"/>
    </row>
    <row r="1157" spans="1:10" x14ac:dyDescent="0.25">
      <c r="A1157" s="585" t="str">
        <f ca="1">A1156</f>
        <v/>
      </c>
      <c r="B1157" s="254" t="str">
        <f>IF(LEN('Ch7'!H288)=0,"",'Ch7'!H288)</f>
        <v/>
      </c>
      <c r="C1157" s="254" t="str">
        <f t="shared" ca="1" si="31"/>
        <v/>
      </c>
      <c r="D1157" s="669"/>
      <c r="E1157" s="1380"/>
      <c r="F1157" s="1380"/>
      <c r="G1157" s="1834"/>
      <c r="H1157" s="94"/>
      <c r="J1157" s="1204"/>
    </row>
    <row r="1158" spans="1:10" x14ac:dyDescent="0.25">
      <c r="A1158" s="585" t="str">
        <f ca="1">IF(I1158&gt;0,"P","")</f>
        <v/>
      </c>
      <c r="B1158" s="254" t="str">
        <f>IF(LEN('Ch7'!H289)=0,"",'Ch7'!H289)</f>
        <v/>
      </c>
      <c r="C1158" s="254" t="str">
        <f t="shared" ca="1" si="31"/>
        <v/>
      </c>
      <c r="D1158" s="139" t="s">
        <v>916</v>
      </c>
      <c r="E1158" s="1378"/>
      <c r="F1158" s="1378"/>
      <c r="G1158" s="1235" t="s">
        <v>917</v>
      </c>
      <c r="H1158" s="94"/>
      <c r="I1158" s="706">
        <f ca="1">SUM(I1159:I1173)</f>
        <v>0</v>
      </c>
      <c r="J1158" s="1204" t="s">
        <v>3917</v>
      </c>
    </row>
    <row r="1159" spans="1:10" x14ac:dyDescent="0.25">
      <c r="B1159" s="254" t="str">
        <f>IF(LEN('Ch7'!H290)=0,"",'Ch7'!H290)</f>
        <v/>
      </c>
      <c r="C1159" s="254" t="str">
        <f t="shared" si="31"/>
        <v/>
      </c>
      <c r="D1159" s="139"/>
      <c r="E1159" s="697" t="s">
        <v>256</v>
      </c>
      <c r="F1159" s="1378"/>
      <c r="G1159" s="1225" t="s">
        <v>918</v>
      </c>
      <c r="H1159" s="94"/>
      <c r="I1159" s="86">
        <f ca="1">'Ch7'!O290</f>
        <v>0</v>
      </c>
      <c r="J1159" s="1204"/>
    </row>
    <row r="1160" spans="1:10" x14ac:dyDescent="0.25">
      <c r="B1160" s="254" t="str">
        <f>IF(LEN('Ch7'!H291)=0,"",'Ch7'!H291)</f>
        <v/>
      </c>
      <c r="C1160" s="254" t="str">
        <f t="shared" si="31"/>
        <v/>
      </c>
      <c r="D1160" s="139"/>
      <c r="E1160" s="697"/>
      <c r="F1160" s="1378"/>
      <c r="G1160" s="1225" t="s">
        <v>3770</v>
      </c>
      <c r="H1160" s="1313" t="str">
        <f>IF(LEN('Ch7'!W291)=0,"",'Ch7'!W291)</f>
        <v/>
      </c>
      <c r="J1160" s="1204"/>
    </row>
    <row r="1161" spans="1:10" x14ac:dyDescent="0.25">
      <c r="B1161" s="254" t="str">
        <f>IF(LEN('Ch7'!H292)=0,"",'Ch7'!H292)</f>
        <v/>
      </c>
      <c r="C1161" s="254" t="str">
        <f t="shared" si="31"/>
        <v/>
      </c>
      <c r="D1161" s="139"/>
      <c r="E1161" s="697"/>
      <c r="F1161" s="1378"/>
      <c r="G1161" s="1225" t="s">
        <v>3771</v>
      </c>
      <c r="H1161" s="94"/>
      <c r="J1161" s="1204"/>
    </row>
    <row r="1162" spans="1:10" x14ac:dyDescent="0.25">
      <c r="B1162" s="254" t="str">
        <f>IF(LEN('Ch7'!H293)=0,"",'Ch7'!H293)</f>
        <v/>
      </c>
      <c r="C1162" s="254" t="str">
        <f t="shared" si="31"/>
        <v/>
      </c>
      <c r="D1162" s="139"/>
      <c r="E1162" s="697"/>
      <c r="F1162" s="1378"/>
      <c r="G1162" s="1225" t="s">
        <v>3772</v>
      </c>
      <c r="H1162" s="94"/>
      <c r="J1162" s="1204"/>
    </row>
    <row r="1163" spans="1:10" x14ac:dyDescent="0.25">
      <c r="B1163" s="254" t="str">
        <f>IF(LEN('Ch7'!H294)=0,"",'Ch7'!H294)</f>
        <v/>
      </c>
      <c r="C1163" s="254" t="str">
        <f t="shared" si="31"/>
        <v/>
      </c>
      <c r="D1163" s="139"/>
      <c r="E1163" s="697"/>
      <c r="F1163" s="1378"/>
      <c r="G1163" s="1225" t="s">
        <v>3773</v>
      </c>
      <c r="H1163" s="94"/>
      <c r="J1163" s="1204"/>
    </row>
    <row r="1164" spans="1:10" x14ac:dyDescent="0.25">
      <c r="B1164" s="254" t="str">
        <f>IF(LEN('Ch7'!H295)=0,"",'Ch7'!H295)</f>
        <v/>
      </c>
      <c r="C1164" s="254" t="str">
        <f t="shared" si="31"/>
        <v/>
      </c>
      <c r="D1164" s="139"/>
      <c r="E1164" s="1380"/>
      <c r="F1164" s="1380"/>
      <c r="G1164" s="1215" t="s">
        <v>3774</v>
      </c>
      <c r="H1164" s="94"/>
      <c r="J1164" s="1204"/>
    </row>
    <row r="1165" spans="1:10" x14ac:dyDescent="0.25">
      <c r="B1165" s="254" t="str">
        <f>IF(LEN('Ch7'!H296)=0,"",'Ch7'!H296)</f>
        <v/>
      </c>
      <c r="C1165" s="254" t="str">
        <f t="shared" si="31"/>
        <v/>
      </c>
      <c r="D1165" s="139"/>
      <c r="E1165" s="697" t="s">
        <v>258</v>
      </c>
      <c r="F1165" s="1378"/>
      <c r="G1165" s="1225" t="s">
        <v>919</v>
      </c>
      <c r="H1165" s="94"/>
      <c r="I1165" s="86">
        <f ca="1">'Ch7'!O296</f>
        <v>0</v>
      </c>
      <c r="J1165" s="1204"/>
    </row>
    <row r="1166" spans="1:10" x14ac:dyDescent="0.25">
      <c r="B1166" s="254" t="str">
        <f>IF(LEN('Ch7'!H297)=0,"",'Ch7'!H297)</f>
        <v/>
      </c>
      <c r="C1166" s="254" t="str">
        <f t="shared" si="31"/>
        <v/>
      </c>
      <c r="D1166" s="139"/>
      <c r="E1166" s="697"/>
      <c r="F1166" s="1378"/>
      <c r="G1166" s="1225" t="s">
        <v>3775</v>
      </c>
      <c r="H1166" s="1313" t="str">
        <f>IF(LEN('Ch7'!W297)=0,"",'Ch7'!W297)</f>
        <v/>
      </c>
      <c r="J1166" s="1204"/>
    </row>
    <row r="1167" spans="1:10" x14ac:dyDescent="0.25">
      <c r="B1167" s="254" t="str">
        <f>IF(LEN('Ch7'!H298)=0,"",'Ch7'!H298)</f>
        <v/>
      </c>
      <c r="C1167" s="254" t="str">
        <f t="shared" si="31"/>
        <v/>
      </c>
      <c r="D1167" s="139"/>
      <c r="E1167" s="1380"/>
      <c r="F1167" s="1380"/>
      <c r="G1167" s="1215" t="s">
        <v>3770</v>
      </c>
      <c r="H1167" s="94"/>
      <c r="J1167" s="1204"/>
    </row>
    <row r="1168" spans="1:10" x14ac:dyDescent="0.25">
      <c r="B1168" s="254" t="str">
        <f>IF(LEN('Ch7'!H299)=0,"",'Ch7'!H299)</f>
        <v/>
      </c>
      <c r="C1168" s="254" t="str">
        <f t="shared" si="31"/>
        <v/>
      </c>
      <c r="D1168" s="139"/>
      <c r="E1168" s="697" t="s">
        <v>260</v>
      </c>
      <c r="F1168" s="1378"/>
      <c r="G1168" s="1225" t="s">
        <v>920</v>
      </c>
      <c r="H1168" s="94"/>
      <c r="I1168" s="86">
        <f ca="1">'Ch7'!O299</f>
        <v>0</v>
      </c>
      <c r="J1168" s="1204"/>
    </row>
    <row r="1169" spans="1:10" x14ac:dyDescent="0.25">
      <c r="B1169" s="254" t="str">
        <f>IF(LEN('Ch7'!H300)=0,"",'Ch7'!H300)</f>
        <v/>
      </c>
      <c r="C1169" s="254" t="str">
        <f t="shared" si="31"/>
        <v/>
      </c>
      <c r="D1169" s="139"/>
      <c r="E1169" s="697"/>
      <c r="F1169" s="1378"/>
      <c r="G1169" s="1225" t="s">
        <v>3775</v>
      </c>
      <c r="H1169" s="1313" t="str">
        <f>IF(LEN('Ch7'!W300)=0,"",'Ch7'!W300)</f>
        <v/>
      </c>
      <c r="J1169" s="1204"/>
    </row>
    <row r="1170" spans="1:10" x14ac:dyDescent="0.25">
      <c r="B1170" s="254" t="str">
        <f>IF(LEN('Ch7'!H301)=0,"",'Ch7'!H301)</f>
        <v/>
      </c>
      <c r="C1170" s="254" t="str">
        <f t="shared" ref="C1170:C1233" si="34">IF(LEN(B1170)=0,IF(A1170="P","P",""),B1170)</f>
        <v/>
      </c>
      <c r="D1170" s="139"/>
      <c r="E1170" s="697"/>
      <c r="F1170" s="1378"/>
      <c r="G1170" s="1225" t="s">
        <v>3770</v>
      </c>
      <c r="H1170" s="94"/>
      <c r="J1170" s="1204"/>
    </row>
    <row r="1171" spans="1:10" x14ac:dyDescent="0.25">
      <c r="B1171" s="254" t="str">
        <f>IF(LEN('Ch7'!H302)=0,"",'Ch7'!H302)</f>
        <v/>
      </c>
      <c r="C1171" s="254" t="str">
        <f t="shared" si="34"/>
        <v/>
      </c>
      <c r="D1171" s="139"/>
      <c r="E1171" s="697"/>
      <c r="F1171" s="1378"/>
      <c r="G1171" s="1225" t="s">
        <v>3772</v>
      </c>
      <c r="H1171" s="94"/>
      <c r="J1171" s="1204"/>
    </row>
    <row r="1172" spans="1:10" x14ac:dyDescent="0.25">
      <c r="B1172" s="254" t="str">
        <f>IF(LEN('Ch7'!H303)=0,"",'Ch7'!H303)</f>
        <v/>
      </c>
      <c r="C1172" s="254" t="str">
        <f t="shared" si="34"/>
        <v/>
      </c>
      <c r="D1172" s="139"/>
      <c r="E1172" s="1380"/>
      <c r="F1172" s="1380"/>
      <c r="G1172" s="1215" t="s">
        <v>3773</v>
      </c>
      <c r="H1172" s="94"/>
      <c r="J1172" s="1204"/>
    </row>
    <row r="1173" spans="1:10" x14ac:dyDescent="0.25">
      <c r="B1173" s="254" t="str">
        <f>IF(LEN('Ch7'!H304)=0,"",'Ch7'!H304)</f>
        <v/>
      </c>
      <c r="C1173" s="254" t="str">
        <f t="shared" si="34"/>
        <v/>
      </c>
      <c r="D1173" s="139"/>
      <c r="E1173" s="697" t="s">
        <v>269</v>
      </c>
      <c r="F1173" s="1378"/>
      <c r="G1173" s="1225" t="s">
        <v>921</v>
      </c>
      <c r="H1173" s="94"/>
      <c r="I1173" s="86">
        <f ca="1">'Ch7'!O304</f>
        <v>0</v>
      </c>
      <c r="J1173" s="1204"/>
    </row>
    <row r="1174" spans="1:10" x14ac:dyDescent="0.25">
      <c r="B1174" s="254" t="str">
        <f>IF(LEN('Ch7'!H305)=0,"",'Ch7'!H305)</f>
        <v/>
      </c>
      <c r="C1174" s="254" t="str">
        <f t="shared" si="34"/>
        <v/>
      </c>
      <c r="D1174" s="139"/>
      <c r="E1174" s="697"/>
      <c r="F1174" s="1378"/>
      <c r="G1174" s="1225" t="s">
        <v>3775</v>
      </c>
      <c r="H1174" s="1313" t="str">
        <f>IF(LEN('Ch7'!W305)=0,"",'Ch7'!W305)</f>
        <v/>
      </c>
      <c r="J1174" s="1204"/>
    </row>
    <row r="1175" spans="1:10" x14ac:dyDescent="0.25">
      <c r="B1175" s="254" t="str">
        <f>IF(LEN('Ch7'!H306)=0,"",'Ch7'!H306)</f>
        <v/>
      </c>
      <c r="C1175" s="254" t="str">
        <f t="shared" si="34"/>
        <v/>
      </c>
      <c r="D1175" s="669"/>
      <c r="E1175" s="1380"/>
      <c r="F1175" s="1380"/>
      <c r="G1175" s="1215" t="s">
        <v>3770</v>
      </c>
      <c r="H1175" s="94"/>
      <c r="J1175" s="1204"/>
    </row>
    <row r="1176" spans="1:10" x14ac:dyDescent="0.25">
      <c r="A1176" s="585" t="str">
        <f ca="1">IF(I1176&gt;0,"P","")</f>
        <v/>
      </c>
      <c r="B1176" s="254" t="str">
        <f>IF(LEN('Ch7'!H307)=0,"",'Ch7'!H307)</f>
        <v/>
      </c>
      <c r="C1176" s="254" t="str">
        <f t="shared" ca="1" si="34"/>
        <v/>
      </c>
      <c r="D1176" s="139" t="s">
        <v>922</v>
      </c>
      <c r="E1176" s="1378"/>
      <c r="F1176" s="1378"/>
      <c r="G1176" s="1782" t="s">
        <v>923</v>
      </c>
      <c r="H1176" s="94"/>
      <c r="I1176" s="706">
        <f ca="1">SUM(I1179:I1187)</f>
        <v>0</v>
      </c>
      <c r="J1176" s="1204" t="s">
        <v>3917</v>
      </c>
    </row>
    <row r="1177" spans="1:10" x14ac:dyDescent="0.25">
      <c r="A1177" s="585" t="str">
        <f ca="1">A1176</f>
        <v/>
      </c>
      <c r="B1177" s="254" t="str">
        <f>IF(LEN('Ch7'!H308)=0,"",'Ch7'!H308)</f>
        <v/>
      </c>
      <c r="C1177" s="254" t="str">
        <f t="shared" ca="1" si="34"/>
        <v/>
      </c>
      <c r="D1177" s="139"/>
      <c r="E1177" s="1378"/>
      <c r="F1177" s="1378"/>
      <c r="G1177" s="1782"/>
      <c r="H1177" s="94"/>
      <c r="J1177" s="1204"/>
    </row>
    <row r="1178" spans="1:10" x14ac:dyDescent="0.25">
      <c r="A1178" s="585" t="str">
        <f ca="1">A1177</f>
        <v/>
      </c>
      <c r="B1178" s="254" t="str">
        <f>IF(LEN('Ch7'!H309)=0,"",'Ch7'!H309)</f>
        <v/>
      </c>
      <c r="C1178" s="254" t="str">
        <f t="shared" ca="1" si="34"/>
        <v/>
      </c>
      <c r="D1178" s="139"/>
      <c r="E1178" s="1378"/>
      <c r="F1178" s="1378"/>
      <c r="G1178" s="1782"/>
      <c r="H1178" s="94"/>
      <c r="J1178" s="1204"/>
    </row>
    <row r="1179" spans="1:10" x14ac:dyDescent="0.25">
      <c r="B1179" s="254" t="str">
        <f>IF(LEN('Ch7'!H310)=0,"",'Ch7'!H310)</f>
        <v/>
      </c>
      <c r="C1179" s="254" t="str">
        <f t="shared" si="34"/>
        <v/>
      </c>
      <c r="D1179" s="139"/>
      <c r="E1179" s="697" t="s">
        <v>256</v>
      </c>
      <c r="F1179" s="1378"/>
      <c r="G1179" s="1223" t="s">
        <v>3481</v>
      </c>
      <c r="H1179" s="94"/>
      <c r="I1179" s="86">
        <f ca="1">'Ch7'!O310</f>
        <v>0</v>
      </c>
      <c r="J1179" s="1204"/>
    </row>
    <row r="1180" spans="1:10" x14ac:dyDescent="0.25">
      <c r="B1180" s="254" t="str">
        <f>IF(LEN('Ch7'!H311)=0,"",'Ch7'!H311)</f>
        <v/>
      </c>
      <c r="C1180" s="254" t="str">
        <f t="shared" si="34"/>
        <v/>
      </c>
      <c r="D1180" s="139"/>
      <c r="E1180" s="697"/>
      <c r="F1180" s="1378"/>
      <c r="G1180" s="1225" t="s">
        <v>3786</v>
      </c>
      <c r="H1180" s="1313" t="str">
        <f>IF(LEN('Ch7'!W311)=0,"",'Ch7'!W311)</f>
        <v/>
      </c>
      <c r="J1180" s="1204"/>
    </row>
    <row r="1181" spans="1:10" x14ac:dyDescent="0.25">
      <c r="B1181" s="254" t="str">
        <f>IF(LEN('Ch7'!H312)=0,"",'Ch7'!H312)</f>
        <v/>
      </c>
      <c r="C1181" s="254" t="str">
        <f t="shared" si="34"/>
        <v/>
      </c>
      <c r="D1181" s="139"/>
      <c r="E1181" s="697"/>
      <c r="F1181" s="1378"/>
      <c r="G1181" s="1225" t="s">
        <v>3787</v>
      </c>
      <c r="H1181" s="94"/>
      <c r="J1181" s="1204"/>
    </row>
    <row r="1182" spans="1:10" x14ac:dyDescent="0.25">
      <c r="B1182" s="254" t="str">
        <f>IF(LEN('Ch7'!H313)=0,"",'Ch7'!H313)</f>
        <v/>
      </c>
      <c r="C1182" s="254" t="str">
        <f t="shared" si="34"/>
        <v/>
      </c>
      <c r="D1182" s="139"/>
      <c r="E1182" s="697"/>
      <c r="F1182" s="1378"/>
      <c r="G1182" s="1225" t="s">
        <v>3788</v>
      </c>
      <c r="H1182" s="94"/>
      <c r="J1182" s="1204"/>
    </row>
    <row r="1183" spans="1:10" x14ac:dyDescent="0.25">
      <c r="B1183" s="254" t="str">
        <f>IF(LEN('Ch7'!H314)=0,"",'Ch7'!H314)</f>
        <v/>
      </c>
      <c r="C1183" s="254" t="str">
        <f t="shared" si="34"/>
        <v/>
      </c>
      <c r="D1183" s="139"/>
      <c r="E1183" s="697"/>
      <c r="F1183" s="1378"/>
      <c r="G1183" s="1225" t="s">
        <v>3789</v>
      </c>
      <c r="H1183" s="94"/>
      <c r="J1183" s="1204"/>
    </row>
    <row r="1184" spans="1:10" x14ac:dyDescent="0.25">
      <c r="B1184" s="254" t="str">
        <f>IF(LEN('Ch7'!H315)=0,"",'Ch7'!H315)</f>
        <v/>
      </c>
      <c r="C1184" s="254" t="str">
        <f t="shared" si="34"/>
        <v/>
      </c>
      <c r="E1184" s="696"/>
      <c r="F1184" s="1380"/>
      <c r="G1184" s="1215" t="s">
        <v>4278</v>
      </c>
      <c r="H1184" s="94"/>
      <c r="J1184" s="1204"/>
    </row>
    <row r="1185" spans="1:10" x14ac:dyDescent="0.25">
      <c r="B1185" s="254" t="str">
        <f>IF(LEN('Ch7'!H316)=0,"",'Ch7'!H316)</f>
        <v/>
      </c>
      <c r="C1185" s="254" t="str">
        <f t="shared" si="34"/>
        <v/>
      </c>
      <c r="E1185" s="667" t="s">
        <v>258</v>
      </c>
      <c r="F1185" s="667"/>
      <c r="G1185" s="1216" t="s">
        <v>4868</v>
      </c>
      <c r="H1185" s="1313" t="str">
        <f>IF(LEN('Ch7'!W316)=0,"",'Ch7'!W316)</f>
        <v/>
      </c>
      <c r="I1185" s="86">
        <f ca="1">'Ch7'!O316</f>
        <v>0</v>
      </c>
      <c r="J1185" s="1204"/>
    </row>
    <row r="1186" spans="1:10" x14ac:dyDescent="0.25">
      <c r="B1186" s="254" t="str">
        <f>IF(LEN('Ch7'!H317)=0,"",'Ch7'!H317)</f>
        <v/>
      </c>
      <c r="C1186" s="254" t="str">
        <f t="shared" si="34"/>
        <v/>
      </c>
      <c r="E1186" s="684"/>
      <c r="F1186" s="684"/>
      <c r="G1186" s="1217"/>
      <c r="H1186" s="94"/>
      <c r="J1186" s="1204"/>
    </row>
    <row r="1187" spans="1:10" x14ac:dyDescent="0.25">
      <c r="B1187" s="254" t="str">
        <f>IF(LEN('Ch7'!H318)=0,"",'Ch7'!H318)</f>
        <v/>
      </c>
      <c r="C1187" s="254" t="str">
        <f t="shared" si="34"/>
        <v/>
      </c>
      <c r="D1187" s="669"/>
      <c r="E1187" s="696" t="s">
        <v>260</v>
      </c>
      <c r="F1187" s="1380"/>
      <c r="G1187" s="1220" t="s">
        <v>3790</v>
      </c>
      <c r="H1187" s="1313" t="str">
        <f>IF(LEN('Ch7'!W318)=0,"",'Ch7'!W318)</f>
        <v/>
      </c>
      <c r="I1187" s="86">
        <f ca="1">'Ch7'!O318</f>
        <v>0</v>
      </c>
      <c r="J1187" s="1204"/>
    </row>
    <row r="1188" spans="1:10" x14ac:dyDescent="0.25">
      <c r="A1188" s="585" t="str">
        <f ca="1">IF(I1188&gt;0,"P","")</f>
        <v/>
      </c>
      <c r="B1188" s="254" t="str">
        <f>IF(LEN('Ch7'!H319)=0,"",'Ch7'!H319)</f>
        <v/>
      </c>
      <c r="C1188" s="254" t="str">
        <f t="shared" ca="1" si="34"/>
        <v/>
      </c>
      <c r="D1188" s="139" t="s">
        <v>924</v>
      </c>
      <c r="E1188" s="1378"/>
      <c r="F1188" s="1378"/>
      <c r="G1188" s="1885" t="s">
        <v>925</v>
      </c>
      <c r="H1188" s="94"/>
      <c r="I1188" s="706">
        <f ca="1">SUM(I1191:I1199)</f>
        <v>0</v>
      </c>
      <c r="J1188" s="1204" t="s">
        <v>3917</v>
      </c>
    </row>
    <row r="1189" spans="1:10" x14ac:dyDescent="0.25">
      <c r="A1189" s="585" t="str">
        <f ca="1">A1188</f>
        <v/>
      </c>
      <c r="B1189" s="254" t="str">
        <f>IF(LEN('Ch7'!H320)=0,"",'Ch7'!H320)</f>
        <v/>
      </c>
      <c r="C1189" s="254" t="str">
        <f t="shared" ca="1" si="34"/>
        <v/>
      </c>
      <c r="D1189" s="139"/>
      <c r="E1189" s="1378"/>
      <c r="F1189" s="1378"/>
      <c r="G1189" s="1885"/>
      <c r="H1189" s="94"/>
      <c r="J1189" s="1204"/>
    </row>
    <row r="1190" spans="1:10" x14ac:dyDescent="0.25">
      <c r="A1190" s="585" t="str">
        <f ca="1">A1189</f>
        <v/>
      </c>
      <c r="B1190" s="254" t="str">
        <f>IF(LEN('Ch7'!H321)=0,"",'Ch7'!H321)</f>
        <v/>
      </c>
      <c r="C1190" s="254" t="str">
        <f t="shared" ca="1" si="34"/>
        <v/>
      </c>
      <c r="D1190" s="139"/>
      <c r="E1190" s="1378"/>
      <c r="F1190" s="1378"/>
      <c r="G1190" s="1885"/>
      <c r="H1190" s="94"/>
      <c r="J1190" s="1204"/>
    </row>
    <row r="1191" spans="1:10" x14ac:dyDescent="0.25">
      <c r="B1191" s="254" t="str">
        <f>IF(LEN('Ch7'!H322)=0,"",'Ch7'!H322)</f>
        <v/>
      </c>
      <c r="C1191" s="254" t="str">
        <f t="shared" si="34"/>
        <v/>
      </c>
      <c r="D1191" s="139"/>
      <c r="E1191" s="697" t="s">
        <v>256</v>
      </c>
      <c r="F1191" s="1378"/>
      <c r="G1191" s="1223" t="s">
        <v>3799</v>
      </c>
      <c r="H1191" s="94"/>
      <c r="I1191" s="86">
        <f ca="1">'Ch7'!O322</f>
        <v>0</v>
      </c>
      <c r="J1191" s="1204"/>
    </row>
    <row r="1192" spans="1:10" x14ac:dyDescent="0.25">
      <c r="B1192" s="254" t="str">
        <f>IF(LEN('Ch7'!H323)=0,"",'Ch7'!H323)</f>
        <v/>
      </c>
      <c r="C1192" s="254" t="str">
        <f t="shared" si="34"/>
        <v/>
      </c>
      <c r="D1192" s="139"/>
      <c r="E1192" s="697"/>
      <c r="F1192" s="1378"/>
      <c r="G1192" s="1225" t="s">
        <v>3793</v>
      </c>
      <c r="H1192" s="1313" t="str">
        <f>IF(LEN('Ch7'!W323)=0,"",'Ch7'!W323)</f>
        <v/>
      </c>
      <c r="J1192" s="1204"/>
    </row>
    <row r="1193" spans="1:10" x14ac:dyDescent="0.25">
      <c r="B1193" s="254" t="str">
        <f>IF(LEN('Ch7'!H324)=0,"",'Ch7'!H324)</f>
        <v/>
      </c>
      <c r="C1193" s="254" t="str">
        <f t="shared" si="34"/>
        <v/>
      </c>
      <c r="D1193" s="139"/>
      <c r="E1193" s="697"/>
      <c r="F1193" s="1378"/>
      <c r="G1193" s="1225" t="s">
        <v>3794</v>
      </c>
      <c r="H1193" s="94"/>
      <c r="J1193" s="1204"/>
    </row>
    <row r="1194" spans="1:10" x14ac:dyDescent="0.25">
      <c r="B1194" s="254" t="str">
        <f>IF(LEN('Ch7'!H325)=0,"",'Ch7'!H325)</f>
        <v/>
      </c>
      <c r="C1194" s="254" t="str">
        <f t="shared" si="34"/>
        <v/>
      </c>
      <c r="D1194" s="139"/>
      <c r="E1194" s="697"/>
      <c r="F1194" s="1378"/>
      <c r="G1194" s="1225" t="s">
        <v>3795</v>
      </c>
      <c r="H1194" s="94"/>
      <c r="J1194" s="1204"/>
    </row>
    <row r="1195" spans="1:10" x14ac:dyDescent="0.25">
      <c r="B1195" s="254" t="str">
        <f>IF(LEN('Ch7'!H326)=0,"",'Ch7'!H326)</f>
        <v/>
      </c>
      <c r="C1195" s="254" t="str">
        <f t="shared" si="34"/>
        <v/>
      </c>
      <c r="D1195" s="139"/>
      <c r="E1195" s="697"/>
      <c r="F1195" s="1378"/>
      <c r="G1195" s="1225" t="s">
        <v>3796</v>
      </c>
      <c r="H1195" s="94"/>
      <c r="J1195" s="1204"/>
    </row>
    <row r="1196" spans="1:10" x14ac:dyDescent="0.25">
      <c r="B1196" s="254" t="str">
        <f>IF(LEN('Ch7'!H327)=0,"",'Ch7'!H327)</f>
        <v/>
      </c>
      <c r="C1196" s="254" t="str">
        <f t="shared" si="34"/>
        <v/>
      </c>
      <c r="G1196" s="1225" t="s">
        <v>4279</v>
      </c>
      <c r="H1196" s="94"/>
      <c r="J1196" s="1204"/>
    </row>
    <row r="1197" spans="1:10" x14ac:dyDescent="0.25">
      <c r="B1197" s="254" t="str">
        <f>IF(LEN('Ch7'!H328)=0,"",'Ch7'!H328)</f>
        <v/>
      </c>
      <c r="C1197" s="254" t="str">
        <f t="shared" si="34"/>
        <v/>
      </c>
      <c r="D1197" s="139"/>
      <c r="E1197" s="1390"/>
      <c r="F1197" s="695" t="s">
        <v>3798</v>
      </c>
      <c r="G1197" s="1793" t="s">
        <v>3797</v>
      </c>
      <c r="H1197" s="1313" t="str">
        <f>IF(LEN('Ch7'!W328)=0,"",'Ch7'!W328)</f>
        <v/>
      </c>
      <c r="I1197" s="86">
        <f ca="1">'Ch7'!O328</f>
        <v>0</v>
      </c>
      <c r="J1197" s="1204"/>
    </row>
    <row r="1198" spans="1:10" x14ac:dyDescent="0.25">
      <c r="B1198" s="254" t="str">
        <f>IF(LEN('Ch7'!H329)=0,"",'Ch7'!H329)</f>
        <v/>
      </c>
      <c r="C1198" s="254" t="str">
        <f t="shared" si="34"/>
        <v/>
      </c>
      <c r="D1198" s="139"/>
      <c r="E1198" s="696"/>
      <c r="F1198" s="1380"/>
      <c r="G1198" s="1761"/>
      <c r="H1198" s="94"/>
      <c r="J1198" s="1204"/>
    </row>
    <row r="1199" spans="1:10" x14ac:dyDescent="0.25">
      <c r="B1199" s="254" t="str">
        <f>IF(LEN('Ch7'!H330)=0,"",'Ch7'!H330)</f>
        <v/>
      </c>
      <c r="C1199" s="254" t="str">
        <f t="shared" si="34"/>
        <v/>
      </c>
      <c r="D1199" s="669"/>
      <c r="E1199" s="696" t="s">
        <v>258</v>
      </c>
      <c r="F1199" s="1380"/>
      <c r="G1199" s="1220" t="s">
        <v>3800</v>
      </c>
      <c r="H1199" s="1313" t="str">
        <f>IF(LEN('Ch7'!W330)=0,"",'Ch7'!W330)</f>
        <v/>
      </c>
      <c r="I1199" s="86">
        <f ca="1">'Ch7'!O330</f>
        <v>0</v>
      </c>
      <c r="J1199" s="1204"/>
    </row>
    <row r="1200" spans="1:10" x14ac:dyDescent="0.25">
      <c r="A1200" s="585" t="str">
        <f ca="1">IF(I1200&gt;0,"P","")</f>
        <v/>
      </c>
      <c r="B1200" s="254" t="str">
        <f>IF(LEN('Ch7'!H331)=0,"",'Ch7'!H331)</f>
        <v/>
      </c>
      <c r="C1200" s="254" t="str">
        <f t="shared" ca="1" si="34"/>
        <v/>
      </c>
      <c r="D1200" s="671" t="s">
        <v>926</v>
      </c>
      <c r="E1200" s="1382"/>
      <c r="F1200" s="1382"/>
      <c r="G1200" s="1864" t="s">
        <v>927</v>
      </c>
      <c r="H1200" s="1313" t="str">
        <f>IF(LEN('Ch7'!W331)=0,"",'Ch7'!W331)</f>
        <v/>
      </c>
      <c r="I1200" s="86">
        <f ca="1">'Ch7'!O331</f>
        <v>0</v>
      </c>
      <c r="J1200" s="1204" t="s">
        <v>3917</v>
      </c>
    </row>
    <row r="1201" spans="1:10" x14ac:dyDescent="0.25">
      <c r="A1201" s="585" t="str">
        <f ca="1">A1200</f>
        <v/>
      </c>
      <c r="B1201" s="254" t="str">
        <f>IF(LEN('Ch7'!H332)=0,"",'Ch7'!H332)</f>
        <v/>
      </c>
      <c r="C1201" s="254" t="str">
        <f t="shared" ca="1" si="34"/>
        <v/>
      </c>
      <c r="D1201" s="101"/>
      <c r="E1201" s="1377"/>
      <c r="F1201" s="1377"/>
      <c r="G1201" s="1782"/>
      <c r="H1201" s="94"/>
      <c r="J1201" s="1204"/>
    </row>
    <row r="1202" spans="1:10" x14ac:dyDescent="0.25">
      <c r="A1202" s="585" t="str">
        <f ca="1">A1201</f>
        <v/>
      </c>
      <c r="B1202" s="254" t="str">
        <f>IF(LEN('Ch7'!H333)=0,"",'Ch7'!H333)</f>
        <v/>
      </c>
      <c r="C1202" s="254" t="str">
        <f t="shared" ca="1" si="34"/>
        <v/>
      </c>
      <c r="D1202" s="101"/>
      <c r="E1202" s="1377"/>
      <c r="F1202" s="1377"/>
      <c r="G1202" s="1782"/>
      <c r="H1202" s="94"/>
      <c r="J1202" s="1204"/>
    </row>
    <row r="1203" spans="1:10" x14ac:dyDescent="0.25">
      <c r="B1203" s="254" t="str">
        <f>IF(LEN('Ch7'!H334)=0,"",'Ch7'!H334)</f>
        <v/>
      </c>
      <c r="C1203" s="254" t="str">
        <f t="shared" si="34"/>
        <v/>
      </c>
      <c r="D1203" s="669"/>
      <c r="E1203" s="1380"/>
      <c r="F1203" s="1380"/>
      <c r="G1203" s="1215" t="s">
        <v>3802</v>
      </c>
      <c r="H1203" s="94"/>
      <c r="J1203" s="1204"/>
    </row>
    <row r="1204" spans="1:10" x14ac:dyDescent="0.25">
      <c r="A1204" s="585" t="str">
        <f ca="1">IF(I1204&gt;0,"P","")</f>
        <v/>
      </c>
      <c r="B1204" s="254" t="str">
        <f>IF(LEN('Ch7'!H335)=0,"",'Ch7'!H335)</f>
        <v/>
      </c>
      <c r="C1204" s="254" t="str">
        <f t="shared" ca="1" si="34"/>
        <v/>
      </c>
      <c r="D1204" s="139" t="s">
        <v>928</v>
      </c>
      <c r="E1204" s="1378"/>
      <c r="F1204" s="1378"/>
      <c r="G1204" s="1885" t="s">
        <v>3836</v>
      </c>
      <c r="H1204" s="94"/>
      <c r="I1204" s="86">
        <f ca="1">'Ch7'!O335</f>
        <v>0</v>
      </c>
      <c r="J1204" s="1204" t="s">
        <v>3917</v>
      </c>
    </row>
    <row r="1205" spans="1:10" x14ac:dyDescent="0.25">
      <c r="A1205" s="585" t="str">
        <f ca="1">A1204</f>
        <v/>
      </c>
      <c r="B1205" s="254" t="str">
        <f>IF(LEN('Ch7'!H336)=0,"",'Ch7'!H336)</f>
        <v/>
      </c>
      <c r="C1205" s="254" t="str">
        <f t="shared" ca="1" si="34"/>
        <v/>
      </c>
      <c r="D1205" s="139"/>
      <c r="E1205" s="1378"/>
      <c r="F1205" s="1378"/>
      <c r="G1205" s="1885"/>
      <c r="H1205" s="1313" t="str">
        <f>IF(LEN('Ch7'!W336)=0,"",'Ch7'!W336)</f>
        <v/>
      </c>
      <c r="J1205" s="1204"/>
    </row>
    <row r="1206" spans="1:10" x14ac:dyDescent="0.25">
      <c r="A1206" s="585" t="str">
        <f ca="1">A1205</f>
        <v/>
      </c>
      <c r="B1206" s="254" t="str">
        <f>IF(LEN('Ch7'!H337)=0,"",'Ch7'!H337)</f>
        <v/>
      </c>
      <c r="C1206" s="254" t="str">
        <f t="shared" ca="1" si="34"/>
        <v/>
      </c>
      <c r="D1206" s="139"/>
      <c r="E1206" s="1378"/>
      <c r="F1206" s="1378"/>
      <c r="G1206" s="1885"/>
      <c r="H1206" s="94"/>
      <c r="J1206" s="1204"/>
    </row>
    <row r="1207" spans="1:10" x14ac:dyDescent="0.25">
      <c r="B1207" s="254" t="str">
        <f>IF(LEN('Ch7'!H338)=0,"",'Ch7'!H338)</f>
        <v/>
      </c>
      <c r="C1207" s="254" t="str">
        <f t="shared" si="34"/>
        <v/>
      </c>
      <c r="D1207" s="139"/>
      <c r="E1207" s="1378"/>
      <c r="F1207" s="1378"/>
      <c r="G1207" s="1225" t="s">
        <v>3803</v>
      </c>
      <c r="H1207" s="94"/>
      <c r="J1207" s="1204"/>
    </row>
    <row r="1208" spans="1:10" x14ac:dyDescent="0.25">
      <c r="B1208" s="254" t="str">
        <f>IF(LEN('Ch7'!H339)=0,"",'Ch7'!H339)</f>
        <v/>
      </c>
      <c r="C1208" s="254" t="str">
        <f t="shared" si="34"/>
        <v/>
      </c>
      <c r="D1208" s="139"/>
      <c r="E1208" s="1378"/>
      <c r="F1208" s="1378"/>
      <c r="G1208" s="1225" t="s">
        <v>3804</v>
      </c>
      <c r="H1208" s="94"/>
      <c r="J1208" s="1204"/>
    </row>
    <row r="1209" spans="1:10" x14ac:dyDescent="0.25">
      <c r="B1209" s="254" t="str">
        <f>IF(LEN('Ch7'!H340)=0,"",'Ch7'!H340)</f>
        <v/>
      </c>
      <c r="C1209" s="254" t="str">
        <f t="shared" si="34"/>
        <v/>
      </c>
      <c r="D1209" s="669"/>
      <c r="E1209" s="1380"/>
      <c r="F1209" s="1380"/>
      <c r="G1209" s="1215" t="s">
        <v>3805</v>
      </c>
      <c r="H1209" s="94"/>
      <c r="J1209" s="1204"/>
    </row>
    <row r="1210" spans="1:10" x14ac:dyDescent="0.25">
      <c r="A1210" s="585" t="str">
        <f ca="1">IF(I1210&gt;0,"P","")</f>
        <v/>
      </c>
      <c r="B1210" s="254" t="str">
        <f>IF(LEN('Ch7'!H341)=0,"",'Ch7'!H341)</f>
        <v/>
      </c>
      <c r="C1210" s="254" t="str">
        <f t="shared" ca="1" si="34"/>
        <v/>
      </c>
      <c r="D1210" s="139" t="s">
        <v>929</v>
      </c>
      <c r="E1210" s="1378"/>
      <c r="F1210" s="1378"/>
      <c r="G1210" s="1235" t="s">
        <v>930</v>
      </c>
      <c r="H1210" s="1313" t="str">
        <f>IF(LEN('Ch7'!W341)=0,"",'Ch7'!W341)</f>
        <v/>
      </c>
      <c r="I1210" s="86">
        <f ca="1">'Ch7'!O341</f>
        <v>0</v>
      </c>
      <c r="J1210" s="1950" t="s">
        <v>5003</v>
      </c>
    </row>
    <row r="1211" spans="1:10" x14ac:dyDescent="0.25">
      <c r="A1211" s="585" t="str">
        <f ca="1">A1210</f>
        <v/>
      </c>
      <c r="B1211" s="254" t="str">
        <f>IF(LEN('Ch7'!H342)=0,"",'Ch7'!H342)</f>
        <v/>
      </c>
      <c r="C1211" s="254" t="str">
        <f t="shared" ca="1" si="34"/>
        <v/>
      </c>
      <c r="D1211" s="139"/>
      <c r="E1211" s="1378"/>
      <c r="F1211" s="1378"/>
      <c r="G1211" s="1245" t="s">
        <v>931</v>
      </c>
      <c r="H1211" s="94"/>
      <c r="J1211" s="1954"/>
    </row>
    <row r="1212" spans="1:10" x14ac:dyDescent="0.25">
      <c r="A1212" s="585" t="str">
        <f ca="1">A1211</f>
        <v/>
      </c>
      <c r="B1212" s="254" t="str">
        <f>IF(LEN('Ch7'!H343)=0,"",'Ch7'!H343)</f>
        <v/>
      </c>
      <c r="C1212" s="254" t="str">
        <f t="shared" ca="1" si="34"/>
        <v/>
      </c>
      <c r="D1212" s="139"/>
      <c r="E1212" s="1378"/>
      <c r="F1212" s="1378"/>
      <c r="G1212" s="1885" t="s">
        <v>4280</v>
      </c>
      <c r="H1212" s="1313" t="str">
        <f>IF(LEN('Ch7'!W343)=0,"",'Ch7'!W343)</f>
        <v/>
      </c>
      <c r="J1212" s="1954"/>
    </row>
    <row r="1213" spans="1:10" x14ac:dyDescent="0.25">
      <c r="A1213" s="585" t="str">
        <f ca="1">A1212</f>
        <v/>
      </c>
      <c r="B1213" s="254" t="str">
        <f>IF(LEN('Ch7'!H344)=0,"",'Ch7'!H344)</f>
        <v/>
      </c>
      <c r="C1213" s="254" t="str">
        <f t="shared" ca="1" si="34"/>
        <v/>
      </c>
      <c r="D1213" s="139"/>
      <c r="E1213" s="1378"/>
      <c r="F1213" s="1378"/>
      <c r="G1213" s="1885"/>
      <c r="H1213" s="94"/>
      <c r="J1213" s="1951"/>
    </row>
    <row r="1214" spans="1:10" x14ac:dyDescent="0.25">
      <c r="A1214" s="585" t="str">
        <f ca="1">A1213</f>
        <v/>
      </c>
      <c r="B1214" s="254" t="str">
        <f>IF(LEN('Ch7'!H345)=0,"",'Ch7'!H345)</f>
        <v/>
      </c>
      <c r="C1214" s="254" t="str">
        <f t="shared" ca="1" si="34"/>
        <v/>
      </c>
      <c r="D1214" s="139"/>
      <c r="E1214" s="1378"/>
      <c r="F1214" s="1378"/>
      <c r="G1214" s="1885"/>
      <c r="H1214" s="94"/>
      <c r="J1214" s="1204"/>
    </row>
    <row r="1215" spans="1:10" x14ac:dyDescent="0.25">
      <c r="A1215" s="585" t="str">
        <f ca="1">A1214</f>
        <v/>
      </c>
      <c r="B1215" s="254" t="str">
        <f>IF(LEN('Ch7'!H346)=0,"",'Ch7'!H346)</f>
        <v/>
      </c>
      <c r="C1215" s="254" t="str">
        <f t="shared" ca="1" si="34"/>
        <v/>
      </c>
      <c r="D1215" s="139"/>
      <c r="E1215" s="1378"/>
      <c r="F1215" s="1378"/>
      <c r="G1215" s="1885"/>
      <c r="H1215" s="94"/>
      <c r="J1215" s="1204"/>
    </row>
    <row r="1216" spans="1:10" x14ac:dyDescent="0.25">
      <c r="B1216" s="254" t="str">
        <f>IF(LEN('Ch7'!H347)=0,"",'Ch7'!H347)</f>
        <v/>
      </c>
      <c r="C1216" s="254" t="str">
        <f t="shared" si="34"/>
        <v/>
      </c>
      <c r="D1216" s="669"/>
      <c r="E1216" s="1380"/>
      <c r="F1216" s="1380"/>
      <c r="G1216" s="1314" t="s">
        <v>3778</v>
      </c>
      <c r="H1216" s="94"/>
      <c r="J1216" s="1204"/>
    </row>
    <row r="1217" spans="1:10" x14ac:dyDescent="0.25">
      <c r="A1217" s="585" t="str">
        <f ca="1">IF(I1217&gt;0,"P","")</f>
        <v/>
      </c>
      <c r="B1217" s="254" t="str">
        <f>IF(LEN('Ch7'!H348)=0,"",'Ch7'!H348)</f>
        <v/>
      </c>
      <c r="C1217" s="254" t="str">
        <f t="shared" ca="1" si="34"/>
        <v/>
      </c>
      <c r="D1217" s="671" t="s">
        <v>932</v>
      </c>
      <c r="E1217" s="1382"/>
      <c r="F1217" s="1382"/>
      <c r="G1217" s="1887" t="s">
        <v>4281</v>
      </c>
      <c r="H1217" s="1313" t="str">
        <f>IF(LEN('Ch7'!W348)=0,"",'Ch7'!W348)</f>
        <v/>
      </c>
      <c r="I1217" s="86">
        <f ca="1">'Ch7'!O348</f>
        <v>0</v>
      </c>
      <c r="J1217" s="1204" t="s">
        <v>3892</v>
      </c>
    </row>
    <row r="1218" spans="1:10" x14ac:dyDescent="0.25">
      <c r="A1218" s="585" t="str">
        <f ca="1">A1217</f>
        <v/>
      </c>
      <c r="B1218" s="254" t="str">
        <f>IF(LEN('Ch7'!H349)=0,"",'Ch7'!H349)</f>
        <v/>
      </c>
      <c r="C1218" s="254" t="str">
        <f t="shared" ca="1" si="34"/>
        <v/>
      </c>
      <c r="D1218" s="101"/>
      <c r="E1218" s="1377"/>
      <c r="F1218" s="1377"/>
      <c r="G1218" s="1885"/>
      <c r="H1218" s="94"/>
      <c r="J1218" s="1204"/>
    </row>
    <row r="1219" spans="1:10" x14ac:dyDescent="0.25">
      <c r="B1219" s="254" t="str">
        <f>IF(LEN('Ch7'!H350)=0,"",'Ch7'!H350)</f>
        <v/>
      </c>
      <c r="C1219" s="254" t="str">
        <f t="shared" si="34"/>
        <v/>
      </c>
      <c r="D1219" s="101"/>
      <c r="E1219" s="1377"/>
      <c r="F1219" s="1377"/>
      <c r="G1219" s="1232" t="s">
        <v>931</v>
      </c>
      <c r="H1219" s="94"/>
      <c r="J1219" s="1204"/>
    </row>
    <row r="1220" spans="1:10" x14ac:dyDescent="0.25">
      <c r="B1220" s="254" t="str">
        <f>IF(LEN('Ch7'!H351)=0,"",'Ch7'!H351)</f>
        <v/>
      </c>
      <c r="C1220" s="254" t="str">
        <f t="shared" si="34"/>
        <v/>
      </c>
      <c r="D1220" s="101"/>
      <c r="E1220" s="1377"/>
      <c r="F1220" s="1377"/>
      <c r="G1220" s="1958" t="s">
        <v>3777</v>
      </c>
      <c r="H1220" s="94"/>
      <c r="J1220" s="1204"/>
    </row>
    <row r="1221" spans="1:10" ht="15.75" thickBot="1" x14ac:dyDescent="0.3">
      <c r="B1221" s="254" t="str">
        <f>IF(LEN('Ch7'!H352)=0,"",'Ch7'!H352)</f>
        <v/>
      </c>
      <c r="C1221" s="254" t="str">
        <f t="shared" si="34"/>
        <v/>
      </c>
      <c r="D1221" s="670"/>
      <c r="E1221" s="1379"/>
      <c r="F1221" s="1379"/>
      <c r="G1221" s="1962"/>
      <c r="H1221" s="94"/>
      <c r="J1221" s="1204"/>
    </row>
    <row r="1222" spans="1:10" ht="15.75" thickTop="1" x14ac:dyDescent="0.25">
      <c r="A1222" s="2363" t="str">
        <f ca="1">IF(COUNTIF(A1223:A1233,"P")&gt;0,"P","")</f>
        <v/>
      </c>
      <c r="B1222" s="254" t="str">
        <f>IF(LEN('Ch7'!H353)=0,"",'Ch7'!H353)</f>
        <v/>
      </c>
      <c r="C1222" s="254" t="str">
        <f t="shared" ca="1" si="34"/>
        <v/>
      </c>
      <c r="D1222" s="139">
        <v>703.4</v>
      </c>
      <c r="E1222" s="1378"/>
      <c r="F1222" s="1378"/>
      <c r="G1222" s="1235" t="s">
        <v>933</v>
      </c>
      <c r="H1222" s="94"/>
      <c r="J1222" s="1204"/>
    </row>
    <row r="1223" spans="1:10" x14ac:dyDescent="0.25">
      <c r="A1223" s="585" t="str">
        <f ca="1">IF(I1223&gt;0,"P","")</f>
        <v/>
      </c>
      <c r="B1223" s="254" t="str">
        <f>IF(LEN('Ch7'!H354)=0,"",'Ch7'!H354)</f>
        <v/>
      </c>
      <c r="C1223" s="254" t="str">
        <f t="shared" ca="1" si="34"/>
        <v/>
      </c>
      <c r="D1223" s="101" t="s">
        <v>934</v>
      </c>
      <c r="E1223" s="1377"/>
      <c r="F1223" s="1377"/>
      <c r="G1223" s="1235" t="s">
        <v>935</v>
      </c>
      <c r="H1223" s="1313" t="str">
        <f>IF(LEN('Ch7'!W354)=0,"",'Ch7'!W354)</f>
        <v/>
      </c>
      <c r="I1223" s="86">
        <f ca="1">'Ch7'!O354</f>
        <v>0</v>
      </c>
      <c r="J1223" s="1204" t="s">
        <v>3892</v>
      </c>
    </row>
    <row r="1224" spans="1:10" x14ac:dyDescent="0.25">
      <c r="B1224" s="254" t="str">
        <f>IF(LEN('Ch7'!H355)=0,"",'Ch7'!H355)</f>
        <v/>
      </c>
      <c r="C1224" s="254" t="str">
        <f t="shared" si="34"/>
        <v/>
      </c>
      <c r="D1224" s="669"/>
      <c r="E1224" s="1380"/>
      <c r="F1224" s="1380"/>
      <c r="G1224" s="1314" t="s">
        <v>936</v>
      </c>
      <c r="H1224" s="94"/>
      <c r="J1224" s="1204"/>
    </row>
    <row r="1225" spans="1:10" x14ac:dyDescent="0.25">
      <c r="A1225" s="585" t="str">
        <f ca="1">IF(I1225&gt;0,"P","")</f>
        <v/>
      </c>
      <c r="B1225" s="254" t="str">
        <f>IF(LEN('Ch7'!H356)=0,"",'Ch7'!H356)</f>
        <v/>
      </c>
      <c r="C1225" s="254" t="str">
        <f t="shared" ca="1" si="34"/>
        <v/>
      </c>
      <c r="D1225" s="671" t="s">
        <v>937</v>
      </c>
      <c r="E1225" s="1382"/>
      <c r="F1225" s="1382"/>
      <c r="G1225" s="1237" t="s">
        <v>938</v>
      </c>
      <c r="H1225" s="1313" t="str">
        <f>IF(LEN('Ch7'!W356)=0,"",'Ch7'!W356)</f>
        <v/>
      </c>
      <c r="I1225" s="86">
        <f ca="1">'Ch7'!O356</f>
        <v>0</v>
      </c>
      <c r="J1225" s="1204" t="s">
        <v>3892</v>
      </c>
    </row>
    <row r="1226" spans="1:10" x14ac:dyDescent="0.25">
      <c r="B1226" s="254" t="str">
        <f>IF(LEN('Ch7'!H357)=0,"",'Ch7'!H357)</f>
        <v/>
      </c>
      <c r="C1226" s="254" t="str">
        <f t="shared" si="34"/>
        <v/>
      </c>
      <c r="D1226" s="669"/>
      <c r="E1226" s="1380"/>
      <c r="F1226" s="1380"/>
      <c r="G1226" s="1314" t="s">
        <v>936</v>
      </c>
      <c r="H1226" s="94"/>
      <c r="J1226" s="1204"/>
    </row>
    <row r="1227" spans="1:10" x14ac:dyDescent="0.25">
      <c r="A1227" s="585" t="str">
        <f ca="1">IF(I1227&gt;0,"P","")</f>
        <v/>
      </c>
      <c r="B1227" s="254" t="str">
        <f>IF(LEN('Ch7'!H358)=0,"",'Ch7'!H358)</f>
        <v/>
      </c>
      <c r="C1227" s="254" t="str">
        <f t="shared" ca="1" si="34"/>
        <v/>
      </c>
      <c r="D1227" s="139" t="s">
        <v>939</v>
      </c>
      <c r="E1227" s="1378"/>
      <c r="F1227" s="1378"/>
      <c r="G1227" s="1235" t="s">
        <v>940</v>
      </c>
      <c r="H1227" s="94"/>
      <c r="I1227" s="86">
        <f ca="1">'Ch7'!O358</f>
        <v>0</v>
      </c>
      <c r="J1227" s="1204" t="s">
        <v>3892</v>
      </c>
    </row>
    <row r="1228" spans="1:10" x14ac:dyDescent="0.25">
      <c r="B1228" s="254" t="str">
        <f>IF(LEN('Ch7'!H359)=0,"",'Ch7'!H359)</f>
        <v/>
      </c>
      <c r="C1228" s="254" t="str">
        <f t="shared" si="34"/>
        <v/>
      </c>
      <c r="D1228" s="139"/>
      <c r="E1228" s="696" t="s">
        <v>256</v>
      </c>
      <c r="F1228" s="1380"/>
      <c r="G1228" s="1215" t="s">
        <v>941</v>
      </c>
      <c r="H1228" s="1313" t="str">
        <f>IF(LEN('Ch7'!W359)=0,"",'Ch7'!W359)</f>
        <v/>
      </c>
      <c r="J1228" s="1204"/>
    </row>
    <row r="1229" spans="1:10" x14ac:dyDescent="0.25">
      <c r="B1229" s="254" t="str">
        <f>IF(LEN('Ch7'!H360)=0,"",'Ch7'!H360)</f>
        <v/>
      </c>
      <c r="C1229" s="254" t="str">
        <f t="shared" si="34"/>
        <v/>
      </c>
      <c r="D1229" s="139"/>
      <c r="E1229" s="700" t="s">
        <v>258</v>
      </c>
      <c r="F1229" s="1382"/>
      <c r="G1229" s="1778" t="s">
        <v>942</v>
      </c>
      <c r="H1229" s="1313" t="str">
        <f>IF(LEN('Ch7'!W360)=0,"",'Ch7'!W360)</f>
        <v/>
      </c>
      <c r="J1229" s="1204"/>
    </row>
    <row r="1230" spans="1:10" x14ac:dyDescent="0.25">
      <c r="B1230" s="254" t="str">
        <f>IF(LEN('Ch7'!H361)=0,"",'Ch7'!H361)</f>
        <v/>
      </c>
      <c r="C1230" s="254" t="str">
        <f t="shared" si="34"/>
        <v/>
      </c>
      <c r="D1230" s="139"/>
      <c r="E1230" s="1380"/>
      <c r="F1230" s="1380"/>
      <c r="G1230" s="1755"/>
      <c r="H1230" s="94"/>
      <c r="J1230" s="1204"/>
    </row>
    <row r="1231" spans="1:10" x14ac:dyDescent="0.25">
      <c r="B1231" s="254" t="str">
        <f>IF(LEN('Ch7'!H362)=0,"",'Ch7'!H362)</f>
        <v/>
      </c>
      <c r="C1231" s="254" t="str">
        <f t="shared" si="34"/>
        <v/>
      </c>
      <c r="D1231" s="101"/>
      <c r="E1231" s="695" t="s">
        <v>260</v>
      </c>
      <c r="F1231" s="1377"/>
      <c r="G1231" s="1225" t="s">
        <v>943</v>
      </c>
      <c r="H1231" s="1313" t="str">
        <f>IF(LEN('Ch7'!W362)=0,"",'Ch7'!W362)</f>
        <v/>
      </c>
      <c r="J1231" s="1204"/>
    </row>
    <row r="1232" spans="1:10" x14ac:dyDescent="0.25">
      <c r="B1232" s="254" t="str">
        <f>IF(LEN('Ch7'!H363)=0,"",'Ch7'!H363)</f>
        <v/>
      </c>
      <c r="C1232" s="254" t="str">
        <f t="shared" si="34"/>
        <v/>
      </c>
      <c r="D1232" s="669"/>
      <c r="E1232" s="1380"/>
      <c r="F1232" s="1380"/>
      <c r="G1232" s="1314" t="s">
        <v>936</v>
      </c>
      <c r="H1232" s="94"/>
      <c r="J1232" s="1204"/>
    </row>
    <row r="1233" spans="1:10" x14ac:dyDescent="0.25">
      <c r="A1233" s="585" t="str">
        <f ca="1">IF(I1233&gt;0,"P","")</f>
        <v/>
      </c>
      <c r="B1233" s="254" t="str">
        <f>IF(LEN('Ch7'!H364)=0,"",'Ch7'!H364)</f>
        <v/>
      </c>
      <c r="C1233" s="254" t="str">
        <f t="shared" ca="1" si="34"/>
        <v/>
      </c>
      <c r="D1233" s="101" t="s">
        <v>944</v>
      </c>
      <c r="E1233" s="1377"/>
      <c r="F1233" s="1377"/>
      <c r="G1233" s="1782" t="s">
        <v>945</v>
      </c>
      <c r="H1233" s="1313" t="str">
        <f>IF(LEN('Ch7'!W364)=0,"",'Ch7'!W364)</f>
        <v/>
      </c>
      <c r="I1233" s="86">
        <f ca="1">'Ch7'!O364</f>
        <v>0</v>
      </c>
      <c r="J1233" s="1204" t="s">
        <v>5004</v>
      </c>
    </row>
    <row r="1234" spans="1:10" x14ac:dyDescent="0.25">
      <c r="A1234" s="585" t="str">
        <f ca="1">A1233</f>
        <v/>
      </c>
      <c r="B1234" s="254" t="str">
        <f>IF(LEN('Ch7'!H365)=0,"",'Ch7'!H365)</f>
        <v/>
      </c>
      <c r="C1234" s="254" t="str">
        <f t="shared" ref="C1234:C1297" ca="1" si="35">IF(LEN(B1234)=0,IF(A1234="P","P",""),B1234)</f>
        <v/>
      </c>
      <c r="D1234" s="101"/>
      <c r="E1234" s="1377"/>
      <c r="F1234" s="1377"/>
      <c r="G1234" s="1782"/>
      <c r="H1234" s="94"/>
      <c r="J1234" s="1204"/>
    </row>
    <row r="1235" spans="1:10" x14ac:dyDescent="0.25">
      <c r="A1235" s="585" t="str">
        <f ca="1">A1234</f>
        <v/>
      </c>
      <c r="B1235" s="254" t="str">
        <f>IF(LEN('Ch7'!H366)=0,"",'Ch7'!H366)</f>
        <v/>
      </c>
      <c r="C1235" s="254" t="str">
        <f t="shared" ca="1" si="35"/>
        <v/>
      </c>
      <c r="D1235" s="101"/>
      <c r="E1235" s="1377"/>
      <c r="F1235" s="1377"/>
      <c r="G1235" s="1782"/>
      <c r="H1235" s="94"/>
      <c r="J1235" s="1204"/>
    </row>
    <row r="1236" spans="1:10" x14ac:dyDescent="0.25">
      <c r="A1236" s="585" t="str">
        <f ca="1">A1235</f>
        <v/>
      </c>
      <c r="B1236" s="254" t="str">
        <f>IF(LEN('Ch7'!H367)=0,"",'Ch7'!H367)</f>
        <v/>
      </c>
      <c r="C1236" s="254" t="str">
        <f t="shared" ca="1" si="35"/>
        <v/>
      </c>
      <c r="D1236" s="101"/>
      <c r="E1236" s="1377"/>
      <c r="F1236" s="1377"/>
      <c r="G1236" s="1782"/>
      <c r="H1236" s="94"/>
      <c r="J1236" s="1204"/>
    </row>
    <row r="1237" spans="1:10" x14ac:dyDescent="0.25">
      <c r="A1237" s="585" t="str">
        <f ca="1">A1236</f>
        <v/>
      </c>
      <c r="B1237" s="254" t="str">
        <f>IF(LEN('Ch7'!H368)=0,"",'Ch7'!H368)</f>
        <v/>
      </c>
      <c r="C1237" s="254" t="str">
        <f t="shared" ca="1" si="35"/>
        <v/>
      </c>
      <c r="D1237" s="101"/>
      <c r="E1237" s="1377"/>
      <c r="F1237" s="1377"/>
      <c r="G1237" s="1782"/>
      <c r="H1237" s="94"/>
      <c r="J1237" s="1204"/>
    </row>
    <row r="1238" spans="1:10" x14ac:dyDescent="0.25">
      <c r="B1238" s="254" t="str">
        <f>IF(LEN('Ch7'!H369)=0,"",'Ch7'!H369)</f>
        <v/>
      </c>
      <c r="C1238" s="254" t="str">
        <f t="shared" si="35"/>
        <v/>
      </c>
      <c r="D1238" s="101"/>
      <c r="E1238" s="1377"/>
      <c r="F1238" s="1377"/>
      <c r="G1238" s="1232" t="s">
        <v>946</v>
      </c>
      <c r="H1238" s="94"/>
      <c r="J1238" s="1204"/>
    </row>
    <row r="1239" spans="1:10" x14ac:dyDescent="0.25">
      <c r="B1239" s="254" t="str">
        <f>IF(LEN('Ch7'!H370)=0,"",'Ch7'!H370)</f>
        <v/>
      </c>
      <c r="C1239" s="254" t="str">
        <f t="shared" si="35"/>
        <v/>
      </c>
      <c r="D1239" s="101"/>
      <c r="E1239" s="696" t="s">
        <v>256</v>
      </c>
      <c r="F1239" s="1380"/>
      <c r="G1239" s="1215" t="s">
        <v>3642</v>
      </c>
      <c r="H1239" s="94"/>
      <c r="J1239" s="1204"/>
    </row>
    <row r="1240" spans="1:10" x14ac:dyDescent="0.25">
      <c r="B1240" s="254" t="str">
        <f>IF(LEN('Ch7'!H371)=0,"",'Ch7'!H371)</f>
        <v/>
      </c>
      <c r="C1240" s="254" t="str">
        <f t="shared" si="35"/>
        <v/>
      </c>
      <c r="D1240" s="101"/>
      <c r="E1240" s="701" t="s">
        <v>258</v>
      </c>
      <c r="F1240" s="1395"/>
      <c r="G1240" s="280" t="s">
        <v>4838</v>
      </c>
      <c r="H1240" s="94"/>
      <c r="J1240" s="1204"/>
    </row>
    <row r="1241" spans="1:10" ht="15.75" thickBot="1" x14ac:dyDescent="0.3">
      <c r="B1241" s="254" t="str">
        <f>IF(LEN('Ch7'!H372)=0,"",'Ch7'!H372)</f>
        <v/>
      </c>
      <c r="C1241" s="254" t="str">
        <f t="shared" si="35"/>
        <v/>
      </c>
      <c r="D1241" s="670"/>
      <c r="E1241" s="703" t="s">
        <v>260</v>
      </c>
      <c r="F1241" s="1379"/>
      <c r="G1241" s="1229" t="s">
        <v>3643</v>
      </c>
      <c r="H1241" s="94"/>
      <c r="J1241" s="1204"/>
    </row>
    <row r="1242" spans="1:10" ht="15.75" thickTop="1" x14ac:dyDescent="0.25">
      <c r="A1242" s="2363" t="str">
        <f ca="1">IF(COUNTIF(A1243:A1297,"P")&gt;0,"P","")</f>
        <v/>
      </c>
      <c r="B1242" s="254" t="str">
        <f>IF(LEN('Ch7'!H373)=0,"",'Ch7'!H373)</f>
        <v/>
      </c>
      <c r="C1242" s="254" t="str">
        <f t="shared" ca="1" si="35"/>
        <v/>
      </c>
      <c r="D1242" s="139">
        <v>703.5</v>
      </c>
      <c r="E1242" s="1378"/>
      <c r="F1242" s="1378"/>
      <c r="G1242" s="1235" t="s">
        <v>947</v>
      </c>
      <c r="H1242" s="94"/>
      <c r="J1242" s="1204"/>
    </row>
    <row r="1243" spans="1:10" x14ac:dyDescent="0.25">
      <c r="A1243" s="585" t="str">
        <f ca="1">IF(I1243&gt;0,"P","")</f>
        <v/>
      </c>
      <c r="B1243" s="254" t="str">
        <f>IF(LEN('Ch7'!H374)=0,"",'Ch7'!H374)</f>
        <v/>
      </c>
      <c r="C1243" s="254" t="str">
        <f t="shared" ca="1" si="35"/>
        <v/>
      </c>
      <c r="D1243" s="139" t="s">
        <v>948</v>
      </c>
      <c r="E1243" s="1378"/>
      <c r="F1243" s="1378"/>
      <c r="G1243" s="1235" t="s">
        <v>4282</v>
      </c>
      <c r="H1243" s="94"/>
      <c r="I1243" s="706">
        <f ca="1">SUM(I1251:I1291)</f>
        <v>0</v>
      </c>
      <c r="J1243" s="1204" t="s">
        <v>3918</v>
      </c>
    </row>
    <row r="1244" spans="1:10" x14ac:dyDescent="0.25">
      <c r="B1244" s="254" t="str">
        <f>IF(LEN('Ch7'!H375)=0,"",'Ch7'!H375)</f>
        <v/>
      </c>
      <c r="C1244" s="254" t="str">
        <f t="shared" si="35"/>
        <v/>
      </c>
      <c r="D1244" s="139"/>
      <c r="E1244" s="1378"/>
      <c r="F1244" s="1378"/>
      <c r="G1244" s="1959" t="s">
        <v>4283</v>
      </c>
      <c r="H1244" s="1313" t="str">
        <f>IF(LEN('Ch7'!W375)=0,"",'Ch7'!W375)</f>
        <v/>
      </c>
      <c r="J1244" s="1204"/>
    </row>
    <row r="1245" spans="1:10" x14ac:dyDescent="0.25">
      <c r="B1245" s="254" t="str">
        <f>IF(LEN('Ch7'!H376)=0,"",'Ch7'!H376)</f>
        <v/>
      </c>
      <c r="C1245" s="254" t="str">
        <f t="shared" si="35"/>
        <v/>
      </c>
      <c r="D1245" s="139"/>
      <c r="E1245" s="1378"/>
      <c r="F1245" s="1378"/>
      <c r="G1245" s="1963"/>
      <c r="H1245" s="94"/>
      <c r="J1245" s="1204"/>
    </row>
    <row r="1246" spans="1:10" x14ac:dyDescent="0.25">
      <c r="B1246" s="254" t="str">
        <f>IF(LEN('Ch7'!H377)=0,"",'Ch7'!H377)</f>
        <v/>
      </c>
      <c r="C1246" s="254" t="str">
        <f t="shared" si="35"/>
        <v/>
      </c>
      <c r="D1246" s="139"/>
      <c r="E1246" s="1378"/>
      <c r="F1246" s="1378"/>
      <c r="G1246" s="1959" t="s">
        <v>4284</v>
      </c>
      <c r="H1246" s="94"/>
      <c r="J1246" s="1204"/>
    </row>
    <row r="1247" spans="1:10" x14ac:dyDescent="0.25">
      <c r="B1247" s="254" t="str">
        <f>IF(LEN('Ch7'!H378)=0,"",'Ch7'!H378)</f>
        <v/>
      </c>
      <c r="C1247" s="254" t="str">
        <f t="shared" si="35"/>
        <v/>
      </c>
      <c r="D1247" s="139"/>
      <c r="E1247" s="1378"/>
      <c r="F1247" s="1378"/>
      <c r="G1247" s="1963"/>
      <c r="H1247" s="94"/>
      <c r="J1247" s="1204"/>
    </row>
    <row r="1248" spans="1:10" x14ac:dyDescent="0.25">
      <c r="B1248" s="254" t="str">
        <f>IF(LEN('Ch7'!H379)=0,"",'Ch7'!H379)</f>
        <v/>
      </c>
      <c r="C1248" s="254" t="str">
        <f t="shared" si="35"/>
        <v/>
      </c>
      <c r="D1248" s="139"/>
      <c r="E1248" s="1378"/>
      <c r="F1248" s="1378"/>
      <c r="G1248" s="1958" t="s">
        <v>4285</v>
      </c>
      <c r="H1248" s="94"/>
      <c r="J1248" s="1204"/>
    </row>
    <row r="1249" spans="2:10" x14ac:dyDescent="0.25">
      <c r="B1249" s="254" t="str">
        <f>IF(LEN('Ch7'!H380)=0,"",'Ch7'!H380)</f>
        <v/>
      </c>
      <c r="C1249" s="254" t="str">
        <f t="shared" si="35"/>
        <v/>
      </c>
      <c r="D1249" s="139"/>
      <c r="E1249" s="1378"/>
      <c r="F1249" s="1378"/>
      <c r="G1249" s="1958"/>
      <c r="H1249" s="94"/>
      <c r="J1249" s="1204"/>
    </row>
    <row r="1250" spans="2:10" x14ac:dyDescent="0.25">
      <c r="B1250" s="254" t="str">
        <f>IF(LEN('Ch7'!H381)=0,"",'Ch7'!H381)</f>
        <v/>
      </c>
      <c r="C1250" s="254" t="str">
        <f t="shared" si="35"/>
        <v/>
      </c>
      <c r="D1250" s="139"/>
      <c r="E1250" s="697" t="s">
        <v>256</v>
      </c>
      <c r="F1250" s="1378"/>
      <c r="G1250" s="1225" t="s">
        <v>949</v>
      </c>
      <c r="H1250" s="1313" t="str">
        <f>IF(LEN('Ch7'!W381)=0,"",'Ch7'!W381)</f>
        <v/>
      </c>
      <c r="J1250" s="1204"/>
    </row>
    <row r="1251" spans="2:10" x14ac:dyDescent="0.25">
      <c r="B1251" s="254" t="str">
        <f>IF(LEN('Ch7'!H382)=0,"",'Ch7'!H382)</f>
        <v/>
      </c>
      <c r="C1251" s="254" t="str">
        <f t="shared" si="35"/>
        <v/>
      </c>
      <c r="D1251" s="139"/>
      <c r="E1251" s="697"/>
      <c r="F1251" s="667" t="s">
        <v>121</v>
      </c>
      <c r="G1251" s="1765" t="s">
        <v>4286</v>
      </c>
      <c r="H1251" s="94"/>
      <c r="I1251" s="86">
        <f ca="1">'Ch7'!O382</f>
        <v>0</v>
      </c>
      <c r="J1251" s="1204"/>
    </row>
    <row r="1252" spans="2:10" x14ac:dyDescent="0.25">
      <c r="B1252" s="254" t="str">
        <f>IF(LEN('Ch7'!H383)=0,"",'Ch7'!H383)</f>
        <v/>
      </c>
      <c r="C1252" s="254" t="str">
        <f t="shared" si="35"/>
        <v/>
      </c>
      <c r="D1252" s="139"/>
      <c r="E1252" s="697"/>
      <c r="F1252" s="667"/>
      <c r="G1252" s="1765"/>
      <c r="H1252" s="1313" t="str">
        <f>IF(LEN('Ch7'!W383)=0,"",'Ch7'!W383)</f>
        <v/>
      </c>
      <c r="J1252" s="1204"/>
    </row>
    <row r="1253" spans="2:10" x14ac:dyDescent="0.25">
      <c r="B1253" s="254" t="str">
        <f>IF(LEN('Ch7'!H384)=0,"",'Ch7'!H384)</f>
        <v/>
      </c>
      <c r="C1253" s="254" t="str">
        <f t="shared" si="35"/>
        <v/>
      </c>
      <c r="D1253" s="139"/>
      <c r="E1253" s="697"/>
      <c r="F1253" s="139"/>
      <c r="G1253" s="1216" t="s">
        <v>4287</v>
      </c>
      <c r="H1253" s="94"/>
      <c r="J1253" s="1204"/>
    </row>
    <row r="1254" spans="2:10" x14ac:dyDescent="0.25">
      <c r="B1254" s="254" t="str">
        <f>IF(LEN('Ch7'!H385)=0,"",'Ch7'!H385)</f>
        <v/>
      </c>
      <c r="C1254" s="254" t="str">
        <f t="shared" si="35"/>
        <v/>
      </c>
      <c r="D1254" s="139"/>
      <c r="E1254" s="697"/>
      <c r="F1254" s="669"/>
      <c r="G1254" s="1217" t="s">
        <v>4288</v>
      </c>
      <c r="H1254" s="94"/>
      <c r="J1254" s="1204"/>
    </row>
    <row r="1255" spans="2:10" x14ac:dyDescent="0.25">
      <c r="B1255" s="254" t="str">
        <f>IF(LEN('Ch7'!H386)=0,"",'Ch7'!H386)</f>
        <v/>
      </c>
      <c r="C1255" s="254" t="str">
        <f t="shared" si="35"/>
        <v/>
      </c>
      <c r="D1255" s="139"/>
      <c r="E1255" s="697"/>
      <c r="F1255" s="668" t="s">
        <v>122</v>
      </c>
      <c r="G1255" s="1765" t="s">
        <v>4289</v>
      </c>
      <c r="H1255" s="94"/>
      <c r="I1255" s="86">
        <f ca="1">'Ch7'!O386</f>
        <v>0</v>
      </c>
      <c r="J1255" s="1204"/>
    </row>
    <row r="1256" spans="2:10" x14ac:dyDescent="0.25">
      <c r="B1256" s="254" t="str">
        <f>IF(LEN('Ch7'!H387)=0,"",'Ch7'!H387)</f>
        <v/>
      </c>
      <c r="C1256" s="254" t="str">
        <f t="shared" si="35"/>
        <v/>
      </c>
      <c r="D1256" s="139"/>
      <c r="E1256" s="697"/>
      <c r="F1256" s="684"/>
      <c r="G1256" s="1786"/>
      <c r="H1256" s="94"/>
      <c r="J1256" s="1204"/>
    </row>
    <row r="1257" spans="2:10" x14ac:dyDescent="0.25">
      <c r="B1257" s="254" t="str">
        <f>IF(LEN('Ch7'!H388)=0,"",'Ch7'!H388)</f>
        <v/>
      </c>
      <c r="C1257" s="254" t="str">
        <f t="shared" si="35"/>
        <v/>
      </c>
      <c r="D1257" s="139"/>
      <c r="E1257" s="697"/>
      <c r="F1257" s="667" t="s">
        <v>123</v>
      </c>
      <c r="G1257" s="1216" t="s">
        <v>4290</v>
      </c>
      <c r="H1257" s="94"/>
      <c r="I1257" s="86">
        <f ca="1">'Ch7'!O388</f>
        <v>0</v>
      </c>
      <c r="J1257" s="1204"/>
    </row>
    <row r="1258" spans="2:10" x14ac:dyDescent="0.25">
      <c r="B1258" s="254" t="str">
        <f>IF(LEN('Ch7'!H389)=0,"",'Ch7'!H389)</f>
        <v/>
      </c>
      <c r="C1258" s="254" t="str">
        <f t="shared" si="35"/>
        <v/>
      </c>
      <c r="D1258" s="139"/>
      <c r="E1258" s="697"/>
      <c r="F1258" s="667"/>
      <c r="G1258" s="1216" t="s">
        <v>4291</v>
      </c>
      <c r="H1258" s="94"/>
      <c r="J1258" s="1204"/>
    </row>
    <row r="1259" spans="2:10" x14ac:dyDescent="0.25">
      <c r="B1259" s="254" t="str">
        <f>IF(LEN('Ch7'!H390)=0,"",'Ch7'!H390)</f>
        <v/>
      </c>
      <c r="C1259" s="254" t="str">
        <f t="shared" si="35"/>
        <v/>
      </c>
      <c r="D1259" s="139"/>
      <c r="E1259" s="697"/>
      <c r="F1259" s="669"/>
      <c r="G1259" s="1217" t="s">
        <v>4292</v>
      </c>
      <c r="H1259" s="94"/>
      <c r="J1259" s="1204"/>
    </row>
    <row r="1260" spans="2:10" x14ac:dyDescent="0.25">
      <c r="B1260" s="254" t="str">
        <f>IF(LEN('Ch7'!H391)=0,"",'Ch7'!H391)</f>
        <v/>
      </c>
      <c r="C1260" s="254" t="str">
        <f t="shared" si="35"/>
        <v/>
      </c>
      <c r="D1260" s="139"/>
      <c r="E1260" s="697"/>
      <c r="F1260" s="667" t="s">
        <v>401</v>
      </c>
      <c r="G1260" s="1765" t="s">
        <v>4293</v>
      </c>
      <c r="H1260" s="94"/>
      <c r="I1260" s="86">
        <f ca="1">'Ch7'!O391</f>
        <v>0</v>
      </c>
      <c r="J1260" s="1204"/>
    </row>
    <row r="1261" spans="2:10" x14ac:dyDescent="0.25">
      <c r="B1261" s="254" t="str">
        <f>IF(LEN('Ch7'!H392)=0,"",'Ch7'!H392)</f>
        <v/>
      </c>
      <c r="C1261" s="254" t="str">
        <f t="shared" si="35"/>
        <v/>
      </c>
      <c r="D1261" s="139"/>
      <c r="E1261" s="697"/>
      <c r="F1261" s="667"/>
      <c r="G1261" s="1765"/>
      <c r="H1261" s="94"/>
      <c r="J1261" s="1204"/>
    </row>
    <row r="1262" spans="2:10" x14ac:dyDescent="0.25">
      <c r="B1262" s="254" t="str">
        <f>IF(LEN('Ch7'!H393)=0,"",'Ch7'!H393)</f>
        <v/>
      </c>
      <c r="C1262" s="254" t="str">
        <f t="shared" si="35"/>
        <v/>
      </c>
      <c r="D1262" s="139"/>
      <c r="E1262" s="697"/>
      <c r="F1262" s="667"/>
      <c r="G1262" s="1765"/>
      <c r="H1262" s="94"/>
      <c r="J1262" s="1204"/>
    </row>
    <row r="1263" spans="2:10" x14ac:dyDescent="0.25">
      <c r="B1263" s="254" t="str">
        <f>IF(LEN('Ch7'!H394)=0,"",'Ch7'!H394)</f>
        <v/>
      </c>
      <c r="C1263" s="254" t="str">
        <f t="shared" si="35"/>
        <v/>
      </c>
      <c r="D1263" s="139"/>
      <c r="E1263" s="697"/>
      <c r="F1263" s="139"/>
      <c r="G1263" s="1216" t="s">
        <v>4294</v>
      </c>
      <c r="H1263" s="94"/>
      <c r="J1263" s="1204"/>
    </row>
    <row r="1264" spans="2:10" x14ac:dyDescent="0.25">
      <c r="B1264" s="254" t="str">
        <f>IF(LEN('Ch7'!H395)=0,"",'Ch7'!H395)</f>
        <v/>
      </c>
      <c r="C1264" s="254" t="str">
        <f t="shared" si="35"/>
        <v/>
      </c>
      <c r="D1264" s="139"/>
      <c r="E1264" s="697"/>
      <c r="F1264" s="684"/>
      <c r="G1264" s="1217" t="s">
        <v>4292</v>
      </c>
      <c r="H1264" s="94"/>
      <c r="J1264" s="1204"/>
    </row>
    <row r="1265" spans="2:10" x14ac:dyDescent="0.25">
      <c r="B1265" s="254" t="str">
        <f>IF(LEN('Ch7'!H396)=0,"",'Ch7'!H396)</f>
        <v/>
      </c>
      <c r="C1265" s="254" t="str">
        <f t="shared" si="35"/>
        <v/>
      </c>
      <c r="D1265" s="139"/>
      <c r="E1265" s="1378"/>
      <c r="F1265" s="667" t="s">
        <v>539</v>
      </c>
      <c r="G1265" s="1765" t="s">
        <v>4295</v>
      </c>
      <c r="H1265" s="94"/>
      <c r="I1265" s="86">
        <f ca="1">'Ch7'!O396</f>
        <v>0</v>
      </c>
      <c r="J1265" s="1204"/>
    </row>
    <row r="1266" spans="2:10" x14ac:dyDescent="0.25">
      <c r="B1266" s="254" t="str">
        <f>IF(LEN('Ch7'!H397)=0,"",'Ch7'!H397)</f>
        <v/>
      </c>
      <c r="C1266" s="254" t="str">
        <f t="shared" si="35"/>
        <v/>
      </c>
      <c r="D1266" s="139"/>
      <c r="E1266" s="1378"/>
      <c r="F1266" s="667"/>
      <c r="G1266" s="1765"/>
      <c r="H1266" s="94"/>
      <c r="J1266" s="1204"/>
    </row>
    <row r="1267" spans="2:10" x14ac:dyDescent="0.25">
      <c r="B1267" s="254" t="str">
        <f>IF(LEN('Ch7'!H398)=0,"",'Ch7'!H398)</f>
        <v/>
      </c>
      <c r="C1267" s="254" t="str">
        <f t="shared" si="35"/>
        <v/>
      </c>
      <c r="D1267" s="139"/>
      <c r="E1267" s="1378"/>
      <c r="F1267" s="667"/>
      <c r="G1267" s="1216" t="s">
        <v>4296</v>
      </c>
      <c r="H1267" s="94"/>
      <c r="J1267" s="1204"/>
    </row>
    <row r="1268" spans="2:10" x14ac:dyDescent="0.25">
      <c r="B1268" s="254" t="str">
        <f>IF(LEN('Ch7'!H399)=0,"",'Ch7'!H399)</f>
        <v/>
      </c>
      <c r="C1268" s="254" t="str">
        <f t="shared" si="35"/>
        <v/>
      </c>
      <c r="D1268" s="139"/>
      <c r="E1268" s="1380"/>
      <c r="F1268" s="684"/>
      <c r="G1268" s="1217" t="s">
        <v>4297</v>
      </c>
      <c r="H1268" s="94"/>
      <c r="J1268" s="1204"/>
    </row>
    <row r="1269" spans="2:10" x14ac:dyDescent="0.25">
      <c r="B1269" s="254" t="str">
        <f>IF(LEN('Ch7'!H400)=0,"",'Ch7'!H400)</f>
        <v/>
      </c>
      <c r="C1269" s="254" t="str">
        <f t="shared" si="35"/>
        <v/>
      </c>
      <c r="D1269" s="139"/>
      <c r="E1269" s="697" t="s">
        <v>258</v>
      </c>
      <c r="F1269" s="1378"/>
      <c r="G1269" s="1225" t="s">
        <v>950</v>
      </c>
      <c r="H1269" s="1313" t="str">
        <f>IF(LEN('Ch7'!W400)=0,"",'Ch7'!W400)</f>
        <v/>
      </c>
      <c r="J1269" s="1204"/>
    </row>
    <row r="1270" spans="2:10" x14ac:dyDescent="0.25">
      <c r="B1270" s="254" t="str">
        <f>IF(LEN('Ch7'!H401)=0,"",'Ch7'!H401)</f>
        <v/>
      </c>
      <c r="C1270" s="254" t="str">
        <f t="shared" si="35"/>
        <v/>
      </c>
      <c r="D1270" s="139"/>
      <c r="E1270" s="697"/>
      <c r="F1270" s="667" t="s">
        <v>121</v>
      </c>
      <c r="G1270" s="1765" t="s">
        <v>4298</v>
      </c>
      <c r="H1270" s="94"/>
      <c r="I1270" s="86">
        <f ca="1">'Ch7'!O401</f>
        <v>0</v>
      </c>
      <c r="J1270" s="1204"/>
    </row>
    <row r="1271" spans="2:10" x14ac:dyDescent="0.25">
      <c r="B1271" s="254" t="str">
        <f>IF(LEN('Ch7'!H402)=0,"",'Ch7'!H402)</f>
        <v/>
      </c>
      <c r="C1271" s="254" t="str">
        <f t="shared" si="35"/>
        <v/>
      </c>
      <c r="D1271" s="139"/>
      <c r="E1271" s="697"/>
      <c r="F1271" s="667"/>
      <c r="G1271" s="1765"/>
      <c r="H1271" s="1313" t="str">
        <f>IF(LEN('Ch7'!W402)=0,"",'Ch7'!W402)</f>
        <v/>
      </c>
      <c r="J1271" s="1204"/>
    </row>
    <row r="1272" spans="2:10" x14ac:dyDescent="0.25">
      <c r="B1272" s="254" t="str">
        <f>IF(LEN('Ch7'!H403)=0,"",'Ch7'!H403)</f>
        <v/>
      </c>
      <c r="C1272" s="254" t="str">
        <f t="shared" si="35"/>
        <v/>
      </c>
      <c r="D1272" s="139"/>
      <c r="E1272" s="697"/>
      <c r="F1272" s="139"/>
      <c r="G1272" s="1217" t="s">
        <v>4299</v>
      </c>
      <c r="H1272" s="94"/>
      <c r="J1272" s="1204"/>
    </row>
    <row r="1273" spans="2:10" x14ac:dyDescent="0.25">
      <c r="B1273" s="254" t="str">
        <f>IF(LEN('Ch7'!H404)=0,"",'Ch7'!H404)</f>
        <v/>
      </c>
      <c r="C1273" s="254" t="str">
        <f t="shared" si="35"/>
        <v/>
      </c>
      <c r="D1273" s="139"/>
      <c r="E1273" s="697"/>
      <c r="F1273" s="139"/>
      <c r="G1273" s="1217" t="s">
        <v>4300</v>
      </c>
      <c r="H1273" s="94"/>
      <c r="J1273" s="1204"/>
    </row>
    <row r="1274" spans="2:10" x14ac:dyDescent="0.25">
      <c r="B1274" s="254" t="str">
        <f>IF(LEN('Ch7'!H405)=0,"",'Ch7'!H405)</f>
        <v/>
      </c>
      <c r="C1274" s="254" t="str">
        <f t="shared" si="35"/>
        <v/>
      </c>
      <c r="D1274" s="139"/>
      <c r="E1274" s="697"/>
      <c r="F1274" s="139"/>
      <c r="G1274" s="1217" t="s">
        <v>4301</v>
      </c>
      <c r="H1274" s="94"/>
      <c r="J1274" s="1204"/>
    </row>
    <row r="1275" spans="2:10" x14ac:dyDescent="0.25">
      <c r="B1275" s="254" t="str">
        <f>IF(LEN('Ch7'!H406)=0,"",'Ch7'!H406)</f>
        <v/>
      </c>
      <c r="C1275" s="254" t="str">
        <f t="shared" si="35"/>
        <v/>
      </c>
      <c r="D1275" s="139"/>
      <c r="E1275" s="697"/>
      <c r="F1275" s="139"/>
      <c r="G1275" s="1215" t="s">
        <v>4302</v>
      </c>
      <c r="H1275" s="94"/>
      <c r="J1275" s="1204"/>
    </row>
    <row r="1276" spans="2:10" x14ac:dyDescent="0.25">
      <c r="B1276" s="254" t="str">
        <f>IF(LEN('Ch7'!H407)=0,"",'Ch7'!H407)</f>
        <v/>
      </c>
      <c r="C1276" s="254" t="str">
        <f t="shared" si="35"/>
        <v/>
      </c>
      <c r="D1276" s="139"/>
      <c r="E1276" s="697"/>
      <c r="F1276" s="139"/>
      <c r="G1276" s="1215" t="s">
        <v>4303</v>
      </c>
      <c r="H1276" s="94"/>
      <c r="J1276" s="1204"/>
    </row>
    <row r="1277" spans="2:10" x14ac:dyDescent="0.25">
      <c r="B1277" s="254" t="str">
        <f>IF(LEN('Ch7'!H408)=0,"",'Ch7'!H408)</f>
        <v/>
      </c>
      <c r="C1277" s="254" t="str">
        <f t="shared" si="35"/>
        <v/>
      </c>
      <c r="D1277" s="139"/>
      <c r="E1277" s="697"/>
      <c r="F1277" s="139"/>
      <c r="G1277" s="1217" t="s">
        <v>4304</v>
      </c>
      <c r="H1277" s="94"/>
      <c r="J1277" s="1204"/>
    </row>
    <row r="1278" spans="2:10" x14ac:dyDescent="0.25">
      <c r="B1278" s="254" t="str">
        <f>IF(LEN('Ch7'!H409)=0,"",'Ch7'!H409)</f>
        <v/>
      </c>
      <c r="C1278" s="254" t="str">
        <f t="shared" si="35"/>
        <v/>
      </c>
      <c r="D1278" s="139"/>
      <c r="E1278" s="697"/>
      <c r="F1278" s="669"/>
      <c r="G1278" s="1215" t="s">
        <v>4305</v>
      </c>
      <c r="H1278" s="94"/>
      <c r="J1278" s="1204"/>
    </row>
    <row r="1279" spans="2:10" x14ac:dyDescent="0.25">
      <c r="B1279" s="254" t="str">
        <f>IF(LEN('Ch7'!H410)=0,"",'Ch7'!H410)</f>
        <v/>
      </c>
      <c r="C1279" s="254" t="str">
        <f t="shared" si="35"/>
        <v/>
      </c>
      <c r="D1279" s="139"/>
      <c r="E1279" s="697"/>
      <c r="F1279" s="667" t="s">
        <v>122</v>
      </c>
      <c r="G1279" s="1765" t="s">
        <v>4306</v>
      </c>
      <c r="H1279" s="94"/>
      <c r="I1279" s="86">
        <f ca="1">'Ch7'!O410</f>
        <v>0</v>
      </c>
      <c r="J1279" s="1204"/>
    </row>
    <row r="1280" spans="2:10" x14ac:dyDescent="0.25">
      <c r="B1280" s="254" t="str">
        <f>IF(LEN('Ch7'!H411)=0,"",'Ch7'!H411)</f>
        <v/>
      </c>
      <c r="C1280" s="254" t="str">
        <f t="shared" si="35"/>
        <v/>
      </c>
      <c r="D1280" s="139"/>
      <c r="E1280" s="697"/>
      <c r="F1280" s="667"/>
      <c r="G1280" s="1765"/>
      <c r="H1280" s="94"/>
      <c r="J1280" s="1204"/>
    </row>
    <row r="1281" spans="1:10" x14ac:dyDescent="0.25">
      <c r="B1281" s="254" t="str">
        <f>IF(LEN('Ch7'!H412)=0,"",'Ch7'!H412)</f>
        <v/>
      </c>
      <c r="C1281" s="254" t="str">
        <f t="shared" si="35"/>
        <v/>
      </c>
      <c r="D1281" s="139"/>
      <c r="E1281" s="697"/>
      <c r="F1281" s="139"/>
      <c r="G1281" s="1215" t="s">
        <v>4303</v>
      </c>
      <c r="H1281" s="94"/>
      <c r="J1281" s="1204"/>
    </row>
    <row r="1282" spans="1:10" x14ac:dyDescent="0.25">
      <c r="B1282" s="254" t="str">
        <f>IF(LEN('Ch7'!H413)=0,"",'Ch7'!H413)</f>
        <v/>
      </c>
      <c r="C1282" s="254" t="str">
        <f t="shared" si="35"/>
        <v/>
      </c>
      <c r="D1282" s="139"/>
      <c r="E1282" s="697"/>
      <c r="F1282" s="667"/>
      <c r="G1282" s="1215" t="s">
        <v>4304</v>
      </c>
      <c r="H1282" s="94"/>
      <c r="J1282" s="1204"/>
    </row>
    <row r="1283" spans="1:10" x14ac:dyDescent="0.25">
      <c r="B1283" s="254" t="str">
        <f>IF(LEN('Ch7'!H414)=0,"",'Ch7'!H414)</f>
        <v/>
      </c>
      <c r="C1283" s="254" t="str">
        <f t="shared" si="35"/>
        <v/>
      </c>
      <c r="D1283" s="139"/>
      <c r="E1283" s="697"/>
      <c r="F1283" s="139"/>
      <c r="G1283" s="1217" t="s">
        <v>4307</v>
      </c>
      <c r="H1283" s="94"/>
      <c r="J1283" s="1204"/>
    </row>
    <row r="1284" spans="1:10" x14ac:dyDescent="0.25">
      <c r="B1284" s="254" t="str">
        <f>IF(LEN('Ch7'!H415)=0,"",'Ch7'!H415)</f>
        <v/>
      </c>
      <c r="C1284" s="254" t="str">
        <f t="shared" si="35"/>
        <v/>
      </c>
      <c r="D1284" s="139"/>
      <c r="E1284" s="697"/>
      <c r="F1284" s="669"/>
      <c r="G1284" s="1215" t="s">
        <v>4308</v>
      </c>
      <c r="H1284" s="94"/>
      <c r="J1284" s="1204"/>
    </row>
    <row r="1285" spans="1:10" x14ac:dyDescent="0.25">
      <c r="B1285" s="254" t="str">
        <f>IF(LEN('Ch7'!H416)=0,"",'Ch7'!H416)</f>
        <v/>
      </c>
      <c r="C1285" s="254" t="str">
        <f t="shared" si="35"/>
        <v/>
      </c>
      <c r="D1285" s="139"/>
      <c r="E1285" s="697"/>
      <c r="F1285" s="668" t="s">
        <v>123</v>
      </c>
      <c r="G1285" s="1765" t="s">
        <v>4309</v>
      </c>
      <c r="H1285" s="94"/>
      <c r="I1285" s="86">
        <f ca="1">'Ch7'!O416</f>
        <v>0</v>
      </c>
      <c r="J1285" s="1204"/>
    </row>
    <row r="1286" spans="1:10" x14ac:dyDescent="0.25">
      <c r="B1286" s="254" t="str">
        <f>IF(LEN('Ch7'!H417)=0,"",'Ch7'!H417)</f>
        <v/>
      </c>
      <c r="C1286" s="254" t="str">
        <f t="shared" si="35"/>
        <v/>
      </c>
      <c r="D1286" s="139"/>
      <c r="E1286" s="697"/>
      <c r="F1286" s="684"/>
      <c r="G1286" s="1786"/>
      <c r="H1286" s="94"/>
      <c r="J1286" s="1204"/>
    </row>
    <row r="1287" spans="1:10" x14ac:dyDescent="0.25">
      <c r="B1287" s="254" t="str">
        <f>IF(LEN('Ch7'!H418)=0,"",'Ch7'!H418)</f>
        <v/>
      </c>
      <c r="C1287" s="254" t="str">
        <f t="shared" si="35"/>
        <v/>
      </c>
      <c r="D1287" s="139"/>
      <c r="E1287" s="697"/>
      <c r="F1287" s="668" t="s">
        <v>401</v>
      </c>
      <c r="G1287" s="1765" t="s">
        <v>4310</v>
      </c>
      <c r="H1287" s="94"/>
      <c r="I1287" s="86">
        <f ca="1">'Ch7'!O418</f>
        <v>0</v>
      </c>
      <c r="J1287" s="1204"/>
    </row>
    <row r="1288" spans="1:10" x14ac:dyDescent="0.25">
      <c r="B1288" s="254" t="str">
        <f>IF(LEN('Ch7'!H419)=0,"",'Ch7'!H419)</f>
        <v/>
      </c>
      <c r="C1288" s="254" t="str">
        <f t="shared" si="35"/>
        <v/>
      </c>
      <c r="D1288" s="139"/>
      <c r="E1288" s="697"/>
      <c r="F1288" s="684"/>
      <c r="G1288" s="1786"/>
      <c r="H1288" s="94"/>
      <c r="J1288" s="1204"/>
    </row>
    <row r="1289" spans="1:10" x14ac:dyDescent="0.25">
      <c r="B1289" s="254" t="str">
        <f>IF(LEN('Ch7'!H420)=0,"",'Ch7'!H420)</f>
        <v/>
      </c>
      <c r="C1289" s="254" t="str">
        <f t="shared" si="35"/>
        <v/>
      </c>
      <c r="D1289" s="139"/>
      <c r="E1289" s="1378"/>
      <c r="F1289" s="667" t="s">
        <v>539</v>
      </c>
      <c r="G1289" s="1765" t="s">
        <v>4311</v>
      </c>
      <c r="H1289" s="94"/>
      <c r="I1289" s="86">
        <f ca="1">'Ch7'!O420</f>
        <v>0</v>
      </c>
      <c r="J1289" s="1204"/>
    </row>
    <row r="1290" spans="1:10" x14ac:dyDescent="0.25">
      <c r="B1290" s="254" t="str">
        <f>IF(LEN('Ch7'!H421)=0,"",'Ch7'!H421)</f>
        <v/>
      </c>
      <c r="C1290" s="254" t="str">
        <f t="shared" si="35"/>
        <v/>
      </c>
      <c r="D1290" s="139"/>
      <c r="E1290" s="1380"/>
      <c r="F1290" s="667"/>
      <c r="G1290" s="1786"/>
      <c r="H1290" s="94"/>
      <c r="J1290" s="1204"/>
    </row>
    <row r="1291" spans="1:10" x14ac:dyDescent="0.25">
      <c r="B1291" s="254" t="str">
        <f>IF(LEN('Ch7'!H422)=0,"",'Ch7'!H422)</f>
        <v/>
      </c>
      <c r="C1291" s="254" t="str">
        <f t="shared" si="35"/>
        <v/>
      </c>
      <c r="D1291" s="669"/>
      <c r="E1291" s="701" t="s">
        <v>260</v>
      </c>
      <c r="F1291" s="1395"/>
      <c r="G1291" s="858" t="s">
        <v>4312</v>
      </c>
      <c r="H1291" s="1313" t="str">
        <f>IF(LEN('Ch7'!W422)=0,"",'Ch7'!W422)</f>
        <v/>
      </c>
      <c r="I1291" s="86">
        <f ca="1">'Ch7'!O422</f>
        <v>0</v>
      </c>
      <c r="J1291" s="1204"/>
    </row>
    <row r="1292" spans="1:10" x14ac:dyDescent="0.25">
      <c r="A1292" s="585" t="str">
        <f ca="1">IF(I1292&gt;0,"P","")</f>
        <v/>
      </c>
      <c r="B1292" s="254" t="str">
        <f>IF(LEN('Ch7'!H423)=0,"",'Ch7'!H423)</f>
        <v/>
      </c>
      <c r="C1292" s="254" t="str">
        <f t="shared" ca="1" si="35"/>
        <v/>
      </c>
      <c r="D1292" s="101" t="s">
        <v>951</v>
      </c>
      <c r="E1292" s="1377"/>
      <c r="F1292" s="1377"/>
      <c r="G1292" s="1885" t="s">
        <v>952</v>
      </c>
      <c r="H1292" s="1313" t="str">
        <f>IF(LEN('Ch7'!W423)=0,"",'Ch7'!W423)</f>
        <v/>
      </c>
      <c r="I1292" s="86">
        <f ca="1">'Ch7'!O423</f>
        <v>0</v>
      </c>
      <c r="J1292" s="1950" t="s">
        <v>3919</v>
      </c>
    </row>
    <row r="1293" spans="1:10" x14ac:dyDescent="0.25">
      <c r="A1293" s="585" t="str">
        <f ca="1">A1292</f>
        <v/>
      </c>
      <c r="B1293" s="254" t="str">
        <f>IF(LEN('Ch7'!H424)=0,"",'Ch7'!H424)</f>
        <v/>
      </c>
      <c r="C1293" s="254" t="str">
        <f t="shared" ca="1" si="35"/>
        <v/>
      </c>
      <c r="D1293" s="669"/>
      <c r="E1293" s="1380"/>
      <c r="F1293" s="1380"/>
      <c r="G1293" s="1886"/>
      <c r="H1293" s="94"/>
      <c r="J1293" s="1951"/>
    </row>
    <row r="1294" spans="1:10" x14ac:dyDescent="0.25">
      <c r="A1294" s="585" t="str">
        <f ca="1">IF(I1294&gt;0,"P","")</f>
        <v/>
      </c>
      <c r="B1294" s="254" t="str">
        <f>IF(LEN('Ch7'!H425)=0,"",'Ch7'!H425)</f>
        <v/>
      </c>
      <c r="C1294" s="254" t="str">
        <f t="shared" ca="1" si="35"/>
        <v/>
      </c>
      <c r="D1294" s="139" t="s">
        <v>953</v>
      </c>
      <c r="E1294" s="1378"/>
      <c r="F1294" s="1378"/>
      <c r="G1294" s="1235" t="s">
        <v>954</v>
      </c>
      <c r="H1294" s="1313" t="str">
        <f>IF(LEN('Ch7'!W425)=0,"",'Ch7'!W425)</f>
        <v/>
      </c>
      <c r="I1294" s="86">
        <f ca="1">'Ch7'!O425</f>
        <v>0</v>
      </c>
      <c r="J1294" s="1204" t="s">
        <v>3892</v>
      </c>
    </row>
    <row r="1295" spans="1:10" x14ac:dyDescent="0.25">
      <c r="B1295" s="254" t="str">
        <f>IF(LEN('Ch7'!H426)=0,"",'Ch7'!H426)</f>
        <v/>
      </c>
      <c r="C1295" s="254" t="str">
        <f t="shared" si="35"/>
        <v/>
      </c>
      <c r="D1295" s="1387"/>
      <c r="E1295" s="1380"/>
      <c r="F1295" s="1380"/>
      <c r="G1295" s="1239" t="s">
        <v>931</v>
      </c>
      <c r="H1295" s="94"/>
      <c r="J1295" s="1204"/>
    </row>
    <row r="1296" spans="1:10" ht="15" customHeight="1" x14ac:dyDescent="0.25">
      <c r="A1296" s="585" t="str">
        <f ca="1">IF(I1296&gt;0,"P","")</f>
        <v/>
      </c>
      <c r="B1296" s="254" t="str">
        <f>IF(LEN('Ch7'!H427)=0,"",'Ch7'!H427)</f>
        <v/>
      </c>
      <c r="C1296" s="254" t="str">
        <f t="shared" ca="1" si="35"/>
        <v/>
      </c>
      <c r="D1296" s="669" t="s">
        <v>3634</v>
      </c>
      <c r="E1296" s="1380"/>
      <c r="F1296" s="1380"/>
      <c r="G1296" s="1236" t="s">
        <v>955</v>
      </c>
      <c r="H1296" s="1313" t="str">
        <f>IF(LEN('Ch7'!W427)=0,"",'Ch7'!W427)</f>
        <v/>
      </c>
      <c r="I1296" s="86">
        <f ca="1">'Ch7'!O427</f>
        <v>0</v>
      </c>
      <c r="J1296" s="1204" t="s">
        <v>3892</v>
      </c>
    </row>
    <row r="1297" spans="1:10" x14ac:dyDescent="0.25">
      <c r="A1297" s="585" t="str">
        <f ca="1">IF(I1297&gt;0,"P","")</f>
        <v/>
      </c>
      <c r="B1297" s="254" t="str">
        <f>IF(LEN('Ch7'!H428)=0,"",'Ch7'!H428)</f>
        <v/>
      </c>
      <c r="C1297" s="254" t="str">
        <f t="shared" ca="1" si="35"/>
        <v/>
      </c>
      <c r="D1297" s="671" t="s">
        <v>956</v>
      </c>
      <c r="E1297" s="1382"/>
      <c r="F1297" s="1382"/>
      <c r="G1297" s="1877" t="s">
        <v>4315</v>
      </c>
      <c r="H1297" s="94"/>
      <c r="I1297" s="706">
        <f ca="1">SUM(I1300:I1308)</f>
        <v>0</v>
      </c>
      <c r="J1297" s="1204" t="s">
        <v>3920</v>
      </c>
    </row>
    <row r="1298" spans="1:10" x14ac:dyDescent="0.25">
      <c r="A1298" s="585" t="str">
        <f ca="1">A1297</f>
        <v/>
      </c>
      <c r="B1298" s="254" t="str">
        <f>IF(LEN('Ch7'!H429)=0,"",'Ch7'!H429)</f>
        <v/>
      </c>
      <c r="C1298" s="254" t="str">
        <f t="shared" ref="C1298:C1361" ca="1" si="36">IF(LEN(B1298)=0,IF(A1298="P","P",""),B1298)</f>
        <v/>
      </c>
      <c r="D1298" s="139"/>
      <c r="E1298" s="1378"/>
      <c r="F1298" s="1378"/>
      <c r="G1298" s="1877"/>
      <c r="H1298" s="1313" t="str">
        <f>IF(LEN('Ch7'!W429)=0,"",'Ch7'!W429)</f>
        <v/>
      </c>
      <c r="J1298" s="1204"/>
    </row>
    <row r="1299" spans="1:10" x14ac:dyDescent="0.25">
      <c r="A1299" s="585" t="str">
        <f ca="1">A1298</f>
        <v/>
      </c>
      <c r="B1299" s="254" t="str">
        <f>IF(LEN('Ch7'!H430)=0,"",'Ch7'!H430)</f>
        <v/>
      </c>
      <c r="C1299" s="254" t="str">
        <f t="shared" ca="1" si="36"/>
        <v/>
      </c>
      <c r="D1299" s="139"/>
      <c r="E1299" s="1378"/>
      <c r="F1299" s="1378"/>
      <c r="G1299" s="1877"/>
      <c r="H1299" s="94"/>
      <c r="J1299" s="1204"/>
    </row>
    <row r="1300" spans="1:10" x14ac:dyDescent="0.25">
      <c r="B1300" s="254" t="str">
        <f>IF(LEN('Ch7'!H431)=0,"",'Ch7'!H431)</f>
        <v/>
      </c>
      <c r="C1300" s="254" t="str">
        <f t="shared" si="36"/>
        <v/>
      </c>
      <c r="D1300" s="139"/>
      <c r="E1300" s="1378"/>
      <c r="F1300" s="667" t="s">
        <v>121</v>
      </c>
      <c r="G1300" s="1765" t="s">
        <v>4313</v>
      </c>
      <c r="H1300" s="1313" t="str">
        <f>IF(LEN('Ch7'!W431)=0,"",'Ch7'!W431)</f>
        <v/>
      </c>
      <c r="I1300" s="86">
        <f ca="1">'Ch7'!O431</f>
        <v>0</v>
      </c>
      <c r="J1300" s="1204"/>
    </row>
    <row r="1301" spans="1:10" x14ac:dyDescent="0.25">
      <c r="B1301" s="254" t="str">
        <f>IF(LEN('Ch7'!H432)=0,"",'Ch7'!H432)</f>
        <v/>
      </c>
      <c r="C1301" s="254" t="str">
        <f t="shared" si="36"/>
        <v/>
      </c>
      <c r="D1301" s="139"/>
      <c r="E1301" s="1378"/>
      <c r="F1301" s="667"/>
      <c r="G1301" s="1765"/>
      <c r="H1301" s="94"/>
      <c r="J1301" s="1204"/>
    </row>
    <row r="1302" spans="1:10" x14ac:dyDescent="0.25">
      <c r="B1302" s="254" t="str">
        <f>IF(LEN('Ch7'!H433)=0,"",'Ch7'!H433)</f>
        <v/>
      </c>
      <c r="C1302" s="254" t="str">
        <f t="shared" si="36"/>
        <v/>
      </c>
      <c r="D1302" s="139"/>
      <c r="F1302" s="139"/>
      <c r="G1302" s="1217" t="s">
        <v>3637</v>
      </c>
      <c r="H1302" s="94"/>
      <c r="J1302" s="1204"/>
    </row>
    <row r="1303" spans="1:10" x14ac:dyDescent="0.25">
      <c r="B1303" s="254" t="str">
        <f>IF(LEN('Ch7'!H434)=0,"",'Ch7'!H434)</f>
        <v/>
      </c>
      <c r="C1303" s="254" t="str">
        <f t="shared" si="36"/>
        <v/>
      </c>
      <c r="D1303" s="139"/>
      <c r="F1303" s="139"/>
      <c r="G1303" s="858" t="s">
        <v>3638</v>
      </c>
      <c r="H1303" s="94"/>
      <c r="J1303" s="1204"/>
    </row>
    <row r="1304" spans="1:10" x14ac:dyDescent="0.25">
      <c r="B1304" s="254" t="str">
        <f>IF(LEN('Ch7'!H435)=0,"",'Ch7'!H435)</f>
        <v/>
      </c>
      <c r="C1304" s="254" t="str">
        <f t="shared" si="36"/>
        <v/>
      </c>
      <c r="D1304" s="139"/>
      <c r="F1304" s="139"/>
      <c r="G1304" s="858" t="s">
        <v>3639</v>
      </c>
      <c r="H1304" s="94"/>
      <c r="J1304" s="1204"/>
    </row>
    <row r="1305" spans="1:10" x14ac:dyDescent="0.25">
      <c r="B1305" s="254" t="str">
        <f>IF(LEN('Ch7'!H436)=0,"",'Ch7'!H436)</f>
        <v/>
      </c>
      <c r="C1305" s="254" t="str">
        <f t="shared" si="36"/>
        <v/>
      </c>
      <c r="D1305" s="139"/>
      <c r="F1305" s="139"/>
      <c r="G1305" s="858" t="s">
        <v>3640</v>
      </c>
      <c r="H1305" s="94"/>
      <c r="J1305" s="1204"/>
    </row>
    <row r="1306" spans="1:10" x14ac:dyDescent="0.25">
      <c r="B1306" s="254" t="str">
        <f>IF(LEN('Ch7'!H437)=0,"",'Ch7'!H437)</f>
        <v/>
      </c>
      <c r="C1306" s="254" t="str">
        <f t="shared" si="36"/>
        <v/>
      </c>
      <c r="D1306" s="139"/>
      <c r="F1306" s="669"/>
      <c r="G1306" s="1217" t="s">
        <v>3641</v>
      </c>
      <c r="H1306" s="94"/>
      <c r="J1306" s="1204"/>
    </row>
    <row r="1307" spans="1:10" x14ac:dyDescent="0.25">
      <c r="B1307" s="254" t="str">
        <f>IF(LEN('Ch7'!H438)=0,"",'Ch7'!H438)</f>
        <v/>
      </c>
      <c r="C1307" s="254" t="str">
        <f t="shared" si="36"/>
        <v/>
      </c>
      <c r="D1307" s="139"/>
      <c r="F1307" s="667" t="s">
        <v>122</v>
      </c>
      <c r="G1307" s="1765" t="s">
        <v>4314</v>
      </c>
      <c r="H1307" s="94"/>
      <c r="I1307" s="86">
        <f ca="1">'Ch7'!O438</f>
        <v>0</v>
      </c>
      <c r="J1307" s="1204"/>
    </row>
    <row r="1308" spans="1:10" x14ac:dyDescent="0.25">
      <c r="B1308" s="254" t="str">
        <f>IF(LEN('Ch7'!H439)=0,"",'Ch7'!H439)</f>
        <v/>
      </c>
      <c r="C1308" s="254" t="str">
        <f t="shared" si="36"/>
        <v/>
      </c>
      <c r="D1308" s="139"/>
      <c r="F1308" s="139"/>
      <c r="G1308" s="1765"/>
      <c r="H1308" s="94"/>
      <c r="J1308" s="1204"/>
    </row>
    <row r="1309" spans="1:10" x14ac:dyDescent="0.25">
      <c r="B1309" s="254" t="str">
        <f>IF(LEN('Ch7'!H440)=0,"",'Ch7'!H440)</f>
        <v/>
      </c>
      <c r="C1309" s="254" t="str">
        <f t="shared" si="36"/>
        <v/>
      </c>
      <c r="D1309" s="139"/>
      <c r="F1309" s="139"/>
      <c r="G1309" s="1217" t="s">
        <v>3637</v>
      </c>
      <c r="H1309" s="94"/>
      <c r="J1309" s="1204"/>
    </row>
    <row r="1310" spans="1:10" x14ac:dyDescent="0.25">
      <c r="B1310" s="254" t="str">
        <f>IF(LEN('Ch7'!H441)=0,"",'Ch7'!H441)</f>
        <v/>
      </c>
      <c r="C1310" s="254" t="str">
        <f t="shared" si="36"/>
        <v/>
      </c>
      <c r="D1310" s="139"/>
      <c r="F1310" s="667"/>
      <c r="G1310" s="858" t="s">
        <v>3638</v>
      </c>
      <c r="H1310" s="94"/>
      <c r="J1310" s="1204"/>
    </row>
    <row r="1311" spans="1:10" x14ac:dyDescent="0.25">
      <c r="B1311" s="254" t="str">
        <f>IF(LEN('Ch7'!H442)=0,"",'Ch7'!H442)</f>
        <v/>
      </c>
      <c r="C1311" s="254" t="str">
        <f t="shared" si="36"/>
        <v/>
      </c>
      <c r="D1311" s="139"/>
      <c r="F1311" s="667"/>
      <c r="G1311" s="858" t="s">
        <v>3639</v>
      </c>
      <c r="H1311" s="94"/>
      <c r="J1311" s="1204"/>
    </row>
    <row r="1312" spans="1:10" x14ac:dyDescent="0.25">
      <c r="B1312" s="254" t="str">
        <f>IF(LEN('Ch7'!H443)=0,"",'Ch7'!H443)</f>
        <v/>
      </c>
      <c r="C1312" s="254" t="str">
        <f t="shared" si="36"/>
        <v/>
      </c>
      <c r="D1312" s="139"/>
      <c r="F1312" s="667"/>
      <c r="G1312" s="858" t="s">
        <v>3640</v>
      </c>
      <c r="H1312" s="94"/>
      <c r="J1312" s="1204"/>
    </row>
    <row r="1313" spans="1:10" ht="15.75" thickBot="1" x14ac:dyDescent="0.3">
      <c r="B1313" s="254" t="str">
        <f>IF(LEN('Ch7'!H444)=0,"",'Ch7'!H444)</f>
        <v/>
      </c>
      <c r="C1313" s="254" t="str">
        <f t="shared" si="36"/>
        <v/>
      </c>
      <c r="D1313" s="670"/>
      <c r="E1313" s="1386"/>
      <c r="F1313" s="673"/>
      <c r="G1313" s="1218" t="s">
        <v>3641</v>
      </c>
      <c r="H1313" s="94"/>
      <c r="J1313" s="1204"/>
    </row>
    <row r="1314" spans="1:10" ht="15.75" thickTop="1" x14ac:dyDescent="0.25">
      <c r="A1314" s="2363" t="str">
        <f ca="1">IF(COUNTIF(A1315:A1323,"P")&gt;0,"P","")</f>
        <v/>
      </c>
      <c r="B1314" s="254" t="str">
        <f>IF(LEN('Ch7'!H445)=0,"",'Ch7'!H445)</f>
        <v/>
      </c>
      <c r="C1314" s="254" t="str">
        <f t="shared" ca="1" si="36"/>
        <v/>
      </c>
      <c r="D1314" s="139">
        <v>703.6</v>
      </c>
      <c r="E1314" s="1378"/>
      <c r="F1314" s="1378"/>
      <c r="G1314" s="1235" t="s">
        <v>957</v>
      </c>
      <c r="H1314" s="94"/>
      <c r="J1314" s="1204"/>
    </row>
    <row r="1315" spans="1:10" ht="51.75" customHeight="1" x14ac:dyDescent="0.25">
      <c r="A1315" s="585" t="str">
        <f ca="1">IF(I1315&gt;0,"P","")</f>
        <v/>
      </c>
      <c r="B1315" s="254" t="str">
        <f>IF(LEN('Ch7'!H446)=0,"",'Ch7'!H446)</f>
        <v/>
      </c>
      <c r="C1315" s="254" t="str">
        <f t="shared" ca="1" si="36"/>
        <v/>
      </c>
      <c r="D1315" s="139" t="s">
        <v>958</v>
      </c>
      <c r="E1315" s="1378"/>
      <c r="F1315" s="1378"/>
      <c r="G1315" s="1885" t="s">
        <v>959</v>
      </c>
      <c r="H1315" s="94"/>
      <c r="I1315" s="706">
        <f ca="1">SUM(I1317:I1321)</f>
        <v>0</v>
      </c>
      <c r="J1315" s="1950" t="s">
        <v>5005</v>
      </c>
    </row>
    <row r="1316" spans="1:10" x14ac:dyDescent="0.25">
      <c r="A1316" s="585" t="str">
        <f ca="1">A1315</f>
        <v/>
      </c>
      <c r="B1316" s="254" t="str">
        <f>IF(LEN('Ch7'!H447)=0,"",'Ch7'!H447)</f>
        <v/>
      </c>
      <c r="C1316" s="254" t="str">
        <f t="shared" ca="1" si="36"/>
        <v/>
      </c>
      <c r="D1316" s="139"/>
      <c r="E1316" s="1378"/>
      <c r="F1316" s="1378"/>
      <c r="G1316" s="1885"/>
      <c r="H1316" s="94"/>
      <c r="J1316" s="1951"/>
    </row>
    <row r="1317" spans="1:10" ht="15" customHeight="1" x14ac:dyDescent="0.25">
      <c r="B1317" s="254" t="str">
        <f>IF(LEN('Ch7'!H448)=0,"",'Ch7'!H448)</f>
        <v/>
      </c>
      <c r="C1317" s="254" t="str">
        <f t="shared" si="36"/>
        <v/>
      </c>
      <c r="D1317" s="139"/>
      <c r="E1317" s="695" t="s">
        <v>256</v>
      </c>
      <c r="F1317" s="1377"/>
      <c r="G1317" s="1765" t="s">
        <v>5236</v>
      </c>
      <c r="H1317" s="1313" t="str">
        <f>IF(LEN('Ch7'!W448)=0,"",'Ch7'!W448)</f>
        <v/>
      </c>
      <c r="I1317" s="86">
        <f ca="1">'Ch7'!O448</f>
        <v>0</v>
      </c>
      <c r="J1317" s="1204"/>
    </row>
    <row r="1318" spans="1:10" x14ac:dyDescent="0.25">
      <c r="B1318" s="254" t="str">
        <f>IF(LEN('Ch7'!H449)=0,"",'Ch7'!H449)</f>
        <v/>
      </c>
      <c r="C1318" s="254" t="str">
        <f t="shared" si="36"/>
        <v/>
      </c>
      <c r="D1318" s="139"/>
      <c r="E1318" s="696"/>
      <c r="F1318" s="1380"/>
      <c r="G1318" s="1786"/>
      <c r="H1318" s="94"/>
      <c r="J1318" s="1204"/>
    </row>
    <row r="1319" spans="1:10" x14ac:dyDescent="0.25">
      <c r="B1319" s="254" t="str">
        <f>IF(LEN('Ch7'!H450)=0,"",'Ch7'!H450)</f>
        <v/>
      </c>
      <c r="C1319" s="254" t="str">
        <f t="shared" si="36"/>
        <v/>
      </c>
      <c r="D1319" s="139"/>
      <c r="E1319" s="700" t="s">
        <v>258</v>
      </c>
      <c r="F1319" s="1382"/>
      <c r="G1319" s="1765" t="s">
        <v>4316</v>
      </c>
      <c r="H1319" s="1313" t="str">
        <f>IF(LEN('Ch7'!W450)=0,"",'Ch7'!W450)</f>
        <v/>
      </c>
      <c r="I1319" s="86">
        <f ca="1">'Ch7'!O450</f>
        <v>0</v>
      </c>
      <c r="J1319" s="1204"/>
    </row>
    <row r="1320" spans="1:10" x14ac:dyDescent="0.25">
      <c r="B1320" s="254" t="str">
        <f>IF(LEN('Ch7'!H451)=0,"",'Ch7'!H451)</f>
        <v/>
      </c>
      <c r="C1320" s="254" t="str">
        <f t="shared" si="36"/>
        <v/>
      </c>
      <c r="D1320" s="139"/>
      <c r="E1320" s="1380"/>
      <c r="F1320" s="1380"/>
      <c r="G1320" s="1786"/>
      <c r="H1320" s="94"/>
      <c r="J1320" s="1204"/>
    </row>
    <row r="1321" spans="1:10" x14ac:dyDescent="0.25">
      <c r="B1321" s="254" t="str">
        <f>IF(LEN('Ch7'!H452)=0,"",'Ch7'!H452)</f>
        <v/>
      </c>
      <c r="C1321" s="254" t="str">
        <f t="shared" si="36"/>
        <v/>
      </c>
      <c r="D1321" s="101"/>
      <c r="E1321" s="695" t="s">
        <v>260</v>
      </c>
      <c r="F1321" s="1377"/>
      <c r="G1321" s="1754" t="s">
        <v>960</v>
      </c>
      <c r="H1321" s="1313" t="str">
        <f>IF(LEN('Ch7'!W452)=0,"",'Ch7'!W452)</f>
        <v/>
      </c>
      <c r="I1321" s="86">
        <f ca="1">'Ch7'!O452</f>
        <v>0</v>
      </c>
      <c r="J1321" s="1204"/>
    </row>
    <row r="1322" spans="1:10" x14ac:dyDescent="0.25">
      <c r="B1322" s="254" t="str">
        <f>IF(LEN('Ch7'!H453)=0,"",'Ch7'!H453)</f>
        <v/>
      </c>
      <c r="C1322" s="254" t="str">
        <f t="shared" si="36"/>
        <v/>
      </c>
      <c r="D1322" s="669"/>
      <c r="E1322" s="1380"/>
      <c r="F1322" s="1380"/>
      <c r="G1322" s="1755"/>
      <c r="H1322" s="94"/>
      <c r="J1322" s="1204"/>
    </row>
    <row r="1323" spans="1:10" ht="51" x14ac:dyDescent="0.25">
      <c r="A1323" s="585" t="str">
        <f ca="1">IF(I1323&gt;0,"P","")</f>
        <v/>
      </c>
      <c r="B1323" s="254" t="str">
        <f>IF(LEN('Ch7'!H454)=0,"",'Ch7'!H454)</f>
        <v/>
      </c>
      <c r="C1323" s="254" t="str">
        <f t="shared" ca="1" si="36"/>
        <v/>
      </c>
      <c r="D1323" s="139" t="s">
        <v>961</v>
      </c>
      <c r="E1323" s="1378"/>
      <c r="F1323" s="1378"/>
      <c r="G1323" s="1235" t="s">
        <v>962</v>
      </c>
      <c r="H1323" s="94"/>
      <c r="I1323" s="706">
        <f ca="1">SUM(I1324:I1326)</f>
        <v>0</v>
      </c>
      <c r="J1323" s="1204" t="s">
        <v>5006</v>
      </c>
    </row>
    <row r="1324" spans="1:10" x14ac:dyDescent="0.25">
      <c r="B1324" s="254" t="str">
        <f>IF(LEN('Ch7'!H455)=0,"",'Ch7'!H455)</f>
        <v/>
      </c>
      <c r="C1324" s="254" t="str">
        <f t="shared" si="36"/>
        <v/>
      </c>
      <c r="D1324" s="139"/>
      <c r="E1324" s="696" t="s">
        <v>256</v>
      </c>
      <c r="F1324" s="1380"/>
      <c r="G1324" s="552" t="s">
        <v>963</v>
      </c>
      <c r="H1324" s="1313" t="str">
        <f>IF(LEN('Ch7'!W455)=0,"",'Ch7'!W455)</f>
        <v/>
      </c>
      <c r="I1324" s="86">
        <f ca="1">'Ch7'!O455</f>
        <v>0</v>
      </c>
      <c r="J1324" s="1204"/>
    </row>
    <row r="1325" spans="1:10" x14ac:dyDescent="0.25">
      <c r="B1325" s="254" t="str">
        <f>IF(LEN('Ch7'!H456)=0,"",'Ch7'!H456)</f>
        <v/>
      </c>
      <c r="C1325" s="254" t="str">
        <f t="shared" si="36"/>
        <v/>
      </c>
      <c r="D1325" s="139"/>
      <c r="E1325" s="701" t="s">
        <v>258</v>
      </c>
      <c r="F1325" s="1395"/>
      <c r="G1325" s="280" t="s">
        <v>964</v>
      </c>
      <c r="H1325" s="1313" t="str">
        <f>IF(LEN('Ch7'!W456)=0,"",'Ch7'!W456)</f>
        <v/>
      </c>
      <c r="I1325" s="86">
        <f ca="1">'Ch7'!O456</f>
        <v>0</v>
      </c>
      <c r="J1325" s="1204"/>
    </row>
    <row r="1326" spans="1:10" x14ac:dyDescent="0.25">
      <c r="B1326" s="254" t="str">
        <f>IF(LEN('Ch7'!H457)=0,"",'Ch7'!H457)</f>
        <v/>
      </c>
      <c r="C1326" s="254" t="str">
        <f t="shared" si="36"/>
        <v/>
      </c>
      <c r="D1326" s="101"/>
      <c r="E1326" s="695" t="s">
        <v>260</v>
      </c>
      <c r="F1326" s="1377"/>
      <c r="G1326" s="1225" t="s">
        <v>965</v>
      </c>
      <c r="H1326" s="1313" t="str">
        <f>IF(LEN('Ch7'!W457)=0,"",'Ch7'!W457)</f>
        <v/>
      </c>
      <c r="I1326" s="86">
        <f ca="1">'Ch7'!O457</f>
        <v>0</v>
      </c>
      <c r="J1326" s="1204"/>
    </row>
    <row r="1327" spans="1:10" ht="15.75" thickBot="1" x14ac:dyDescent="0.3">
      <c r="B1327" s="254" t="str">
        <f>IF(LEN('Ch7'!H458)=0,"",'Ch7'!H458)</f>
        <v/>
      </c>
      <c r="C1327" s="254" t="str">
        <f t="shared" si="36"/>
        <v/>
      </c>
      <c r="D1327" s="670"/>
      <c r="E1327" s="703"/>
      <c r="F1327" s="1379"/>
      <c r="G1327" s="1317" t="s">
        <v>3627</v>
      </c>
      <c r="H1327" s="94"/>
      <c r="J1327" s="1204"/>
    </row>
    <row r="1328" spans="1:10" ht="15.75" thickTop="1" x14ac:dyDescent="0.25">
      <c r="A1328" s="585" t="str">
        <f ca="1">IF(I1328&gt;0,"P","")</f>
        <v/>
      </c>
      <c r="B1328" s="254" t="str">
        <f>IF(LEN('Ch7'!H459)=0,"",'Ch7'!H459)</f>
        <v/>
      </c>
      <c r="C1328" s="254" t="str">
        <f t="shared" ca="1" si="36"/>
        <v/>
      </c>
      <c r="D1328" s="139">
        <v>703.7</v>
      </c>
      <c r="E1328" s="1378"/>
      <c r="F1328" s="1378"/>
      <c r="G1328" s="1235" t="s">
        <v>966</v>
      </c>
      <c r="H1328" s="94"/>
      <c r="I1328" s="706">
        <f ca="1">SUM(I1329:I1386)</f>
        <v>0</v>
      </c>
      <c r="J1328" s="1204"/>
    </row>
    <row r="1329" spans="1:10" x14ac:dyDescent="0.25">
      <c r="A1329" s="585" t="str">
        <f ca="1">IF(I1329&gt;0,"P","")</f>
        <v/>
      </c>
      <c r="B1329" s="254" t="str">
        <f>IF(LEN('Ch7'!H460)=0,"",'Ch7'!H460)</f>
        <v/>
      </c>
      <c r="C1329" s="254" t="str">
        <f t="shared" ca="1" si="36"/>
        <v/>
      </c>
      <c r="D1329" s="139" t="s">
        <v>967</v>
      </c>
      <c r="E1329" s="1378"/>
      <c r="F1329" s="1378"/>
      <c r="G1329" s="1782" t="s">
        <v>968</v>
      </c>
      <c r="H1329" s="1313" t="str">
        <f>IF(LEN('Ch7'!W460)=0,"",'Ch7'!W460)</f>
        <v/>
      </c>
      <c r="I1329" s="86">
        <f ca="1">'Ch7'!O460</f>
        <v>0</v>
      </c>
      <c r="J1329" s="1204" t="s">
        <v>5007</v>
      </c>
    </row>
    <row r="1330" spans="1:10" x14ac:dyDescent="0.25">
      <c r="A1330" s="585" t="str">
        <f ca="1">A1329</f>
        <v/>
      </c>
      <c r="B1330" s="254" t="str">
        <f>IF(LEN('Ch7'!H461)=0,"",'Ch7'!H461)</f>
        <v/>
      </c>
      <c r="C1330" s="254" t="str">
        <f t="shared" ca="1" si="36"/>
        <v/>
      </c>
      <c r="D1330" s="139"/>
      <c r="E1330" s="1378"/>
      <c r="F1330" s="1378"/>
      <c r="G1330" s="1782"/>
      <c r="H1330" s="94"/>
      <c r="J1330" s="1204"/>
    </row>
    <row r="1331" spans="1:10" x14ac:dyDescent="0.25">
      <c r="B1331" s="254" t="str">
        <f>IF(LEN('Ch7'!H462)=0,"",'Ch7'!H462)</f>
        <v/>
      </c>
      <c r="C1331" s="254" t="str">
        <f t="shared" si="36"/>
        <v/>
      </c>
      <c r="D1331" s="139"/>
      <c r="E1331" s="695" t="s">
        <v>256</v>
      </c>
      <c r="F1331" s="1377"/>
      <c r="G1331" s="1754" t="s">
        <v>969</v>
      </c>
      <c r="H1331" s="94"/>
      <c r="J1331" s="1204"/>
    </row>
    <row r="1332" spans="1:10" x14ac:dyDescent="0.25">
      <c r="B1332" s="254" t="str">
        <f>IF(LEN('Ch7'!H463)=0,"",'Ch7'!H463)</f>
        <v/>
      </c>
      <c r="C1332" s="254" t="str">
        <f t="shared" si="36"/>
        <v/>
      </c>
      <c r="D1332" s="139"/>
      <c r="E1332" s="696"/>
      <c r="F1332" s="1380"/>
      <c r="G1332" s="1755"/>
      <c r="H1332" s="94"/>
      <c r="J1332" s="1204"/>
    </row>
    <row r="1333" spans="1:10" x14ac:dyDescent="0.25">
      <c r="B1333" s="254" t="str">
        <f>IF(LEN('Ch7'!H464)=0,"",'Ch7'!H464)</f>
        <v/>
      </c>
      <c r="C1333" s="254" t="str">
        <f t="shared" si="36"/>
        <v/>
      </c>
      <c r="D1333" s="139"/>
      <c r="E1333" s="700" t="s">
        <v>258</v>
      </c>
      <c r="F1333" s="1382"/>
      <c r="G1333" s="1769" t="s">
        <v>4317</v>
      </c>
      <c r="H1333" s="94"/>
      <c r="J1333" s="1204"/>
    </row>
    <row r="1334" spans="1:10" x14ac:dyDescent="0.25">
      <c r="B1334" s="254" t="str">
        <f>IF(LEN('Ch7'!H465)=0,"",'Ch7'!H465)</f>
        <v/>
      </c>
      <c r="C1334" s="254" t="str">
        <f t="shared" si="36"/>
        <v/>
      </c>
      <c r="D1334" s="139"/>
      <c r="E1334" s="696"/>
      <c r="F1334" s="1380"/>
      <c r="G1334" s="1786"/>
      <c r="H1334" s="94"/>
      <c r="J1334" s="1204"/>
    </row>
    <row r="1335" spans="1:10" x14ac:dyDescent="0.25">
      <c r="B1335" s="254" t="str">
        <f>IF(LEN('Ch7'!H466)=0,"",'Ch7'!H466)</f>
        <v/>
      </c>
      <c r="C1335" s="254" t="str">
        <f t="shared" si="36"/>
        <v/>
      </c>
      <c r="D1335" s="139"/>
      <c r="E1335" s="700" t="s">
        <v>260</v>
      </c>
      <c r="F1335" s="1382"/>
      <c r="G1335" s="1765" t="s">
        <v>4318</v>
      </c>
      <c r="H1335" s="94"/>
      <c r="J1335" s="1204"/>
    </row>
    <row r="1336" spans="1:10" x14ac:dyDescent="0.25">
      <c r="B1336" s="254" t="str">
        <f>IF(LEN('Ch7'!H467)=0,"",'Ch7'!H467)</f>
        <v/>
      </c>
      <c r="C1336" s="254" t="str">
        <f t="shared" si="36"/>
        <v/>
      </c>
      <c r="D1336" s="139"/>
      <c r="E1336" s="1380"/>
      <c r="F1336" s="1380"/>
      <c r="G1336" s="1786"/>
      <c r="H1336" s="94"/>
      <c r="J1336" s="1204"/>
    </row>
    <row r="1337" spans="1:10" x14ac:dyDescent="0.25">
      <c r="B1337" s="254" t="str">
        <f>IF(LEN('Ch7'!H468)=0,"",'Ch7'!H468)</f>
        <v/>
      </c>
      <c r="C1337" s="254" t="str">
        <f t="shared" si="36"/>
        <v/>
      </c>
      <c r="D1337" s="139"/>
      <c r="E1337" s="700" t="s">
        <v>269</v>
      </c>
      <c r="F1337" s="1382"/>
      <c r="G1337" s="1765" t="s">
        <v>4319</v>
      </c>
      <c r="H1337" s="94"/>
      <c r="J1337" s="1204"/>
    </row>
    <row r="1338" spans="1:10" x14ac:dyDescent="0.25">
      <c r="B1338" s="254" t="str">
        <f>IF(LEN('Ch7'!H469)=0,"",'Ch7'!H469)</f>
        <v/>
      </c>
      <c r="C1338" s="254" t="str">
        <f t="shared" si="36"/>
        <v/>
      </c>
      <c r="D1338" s="139"/>
      <c r="E1338" s="1380"/>
      <c r="F1338" s="1380"/>
      <c r="G1338" s="1786"/>
      <c r="H1338" s="94"/>
      <c r="J1338" s="1204"/>
    </row>
    <row r="1339" spans="1:10" x14ac:dyDescent="0.25">
      <c r="B1339" s="254" t="str">
        <f>IF(LEN('Ch7'!H470)=0,"",'Ch7'!H470)</f>
        <v/>
      </c>
      <c r="C1339" s="254" t="str">
        <f t="shared" si="36"/>
        <v/>
      </c>
      <c r="D1339" s="139"/>
      <c r="E1339" s="700" t="s">
        <v>275</v>
      </c>
      <c r="F1339" s="1382"/>
      <c r="G1339" s="1765" t="s">
        <v>4320</v>
      </c>
      <c r="H1339" s="94"/>
      <c r="J1339" s="1204"/>
    </row>
    <row r="1340" spans="1:10" x14ac:dyDescent="0.25">
      <c r="B1340" s="254" t="str">
        <f>IF(LEN('Ch7'!H471)=0,"",'Ch7'!H471)</f>
        <v/>
      </c>
      <c r="C1340" s="254" t="str">
        <f t="shared" si="36"/>
        <v/>
      </c>
      <c r="D1340" s="139"/>
      <c r="E1340" s="1380"/>
      <c r="F1340" s="1380"/>
      <c r="G1340" s="1786"/>
      <c r="H1340" s="94"/>
      <c r="J1340" s="1204"/>
    </row>
    <row r="1341" spans="1:10" x14ac:dyDescent="0.25">
      <c r="B1341" s="254" t="str">
        <f>IF(LEN('Ch7'!H472)=0,"",'Ch7'!H472)</f>
        <v/>
      </c>
      <c r="C1341" s="254" t="str">
        <f t="shared" si="36"/>
        <v/>
      </c>
      <c r="D1341" s="139"/>
      <c r="E1341" s="697" t="s">
        <v>277</v>
      </c>
      <c r="F1341" s="1378"/>
      <c r="G1341" s="1225" t="s">
        <v>970</v>
      </c>
      <c r="H1341" s="94"/>
      <c r="J1341" s="1204"/>
    </row>
    <row r="1342" spans="1:10" x14ac:dyDescent="0.25">
      <c r="B1342" s="254" t="str">
        <f>IF(LEN('Ch7'!H473)=0,"",'Ch7'!H473)</f>
        <v/>
      </c>
      <c r="C1342" s="254" t="str">
        <f t="shared" si="36"/>
        <v/>
      </c>
      <c r="D1342" s="139"/>
      <c r="E1342" s="1378"/>
      <c r="F1342" s="697" t="s">
        <v>121</v>
      </c>
      <c r="G1342" s="1225" t="s">
        <v>4321</v>
      </c>
      <c r="H1342" s="94"/>
      <c r="J1342" s="1204"/>
    </row>
    <row r="1343" spans="1:10" x14ac:dyDescent="0.25">
      <c r="B1343" s="254" t="str">
        <f>IF(LEN('Ch7'!H474)=0,"",'Ch7'!H474)</f>
        <v/>
      </c>
      <c r="C1343" s="254" t="str">
        <f t="shared" si="36"/>
        <v/>
      </c>
      <c r="D1343" s="139"/>
      <c r="E1343" s="1378"/>
      <c r="F1343" s="697" t="s">
        <v>122</v>
      </c>
      <c r="G1343" s="1225" t="s">
        <v>971</v>
      </c>
      <c r="H1343" s="94"/>
      <c r="J1343" s="1204"/>
    </row>
    <row r="1344" spans="1:10" x14ac:dyDescent="0.25">
      <c r="B1344" s="254" t="str">
        <f>IF(LEN('Ch7'!H475)=0,"",'Ch7'!H475)</f>
        <v/>
      </c>
      <c r="C1344" s="254" t="str">
        <f t="shared" si="36"/>
        <v/>
      </c>
      <c r="D1344" s="139"/>
      <c r="E1344" s="1377"/>
      <c r="F1344" s="704" t="s">
        <v>123</v>
      </c>
      <c r="G1344" s="1754" t="s">
        <v>972</v>
      </c>
      <c r="H1344" s="94"/>
      <c r="J1344" s="1204"/>
    </row>
    <row r="1345" spans="1:10" x14ac:dyDescent="0.25">
      <c r="B1345" s="254" t="str">
        <f>IF(LEN('Ch7'!H476)=0,"",'Ch7'!H476)</f>
        <v/>
      </c>
      <c r="C1345" s="254" t="str">
        <f t="shared" si="36"/>
        <v/>
      </c>
      <c r="D1345" s="139"/>
      <c r="E1345" s="1380"/>
      <c r="F1345" s="1380"/>
      <c r="G1345" s="1755"/>
      <c r="H1345" s="94"/>
      <c r="J1345" s="1204"/>
    </row>
    <row r="1346" spans="1:10" x14ac:dyDescent="0.25">
      <c r="B1346" s="254" t="str">
        <f>IF(LEN('Ch7'!H477)=0,"",'Ch7'!H477)</f>
        <v/>
      </c>
      <c r="C1346" s="254" t="str">
        <f t="shared" si="36"/>
        <v/>
      </c>
      <c r="D1346" s="139"/>
      <c r="E1346" s="700" t="s">
        <v>383</v>
      </c>
      <c r="F1346" s="1382"/>
      <c r="G1346" s="1778" t="s">
        <v>3629</v>
      </c>
      <c r="H1346" s="94"/>
      <c r="J1346" s="1204"/>
    </row>
    <row r="1347" spans="1:10" x14ac:dyDescent="0.25">
      <c r="B1347" s="254" t="str">
        <f>IF(LEN('Ch7'!H478)=0,"",'Ch7'!H478)</f>
        <v/>
      </c>
      <c r="C1347" s="254" t="str">
        <f t="shared" si="36"/>
        <v/>
      </c>
      <c r="D1347" s="139"/>
      <c r="E1347" s="1377"/>
      <c r="F1347" s="1377"/>
      <c r="G1347" s="1754"/>
      <c r="H1347" s="94"/>
      <c r="J1347" s="1204"/>
    </row>
    <row r="1348" spans="1:10" x14ac:dyDescent="0.25">
      <c r="B1348" s="254" t="str">
        <f>IF(LEN('Ch7'!H479)=0,"",'Ch7'!H479)</f>
        <v/>
      </c>
      <c r="C1348" s="254" t="str">
        <f t="shared" si="36"/>
        <v/>
      </c>
      <c r="D1348" s="139"/>
      <c r="E1348" s="1380"/>
      <c r="F1348" s="1380"/>
      <c r="G1348" s="527" t="s">
        <v>3630</v>
      </c>
      <c r="H1348" s="94"/>
      <c r="J1348" s="1204"/>
    </row>
    <row r="1349" spans="1:10" x14ac:dyDescent="0.25">
      <c r="B1349" s="254" t="str">
        <f>IF(LEN('Ch7'!H480)=0,"",'Ch7'!H480)</f>
        <v/>
      </c>
      <c r="C1349" s="254" t="str">
        <f t="shared" si="36"/>
        <v/>
      </c>
      <c r="D1349" s="139"/>
      <c r="E1349" s="701" t="s">
        <v>428</v>
      </c>
      <c r="F1349" s="1395"/>
      <c r="G1349" s="280" t="s">
        <v>973</v>
      </c>
      <c r="H1349" s="94"/>
      <c r="J1349" s="1204"/>
    </row>
    <row r="1350" spans="1:10" x14ac:dyDescent="0.25">
      <c r="B1350" s="254" t="str">
        <f>IF(LEN('Ch7'!H481)=0,"",'Ch7'!H481)</f>
        <v/>
      </c>
      <c r="C1350" s="254" t="str">
        <f t="shared" si="36"/>
        <v/>
      </c>
      <c r="D1350" s="139"/>
      <c r="E1350" s="697" t="s">
        <v>430</v>
      </c>
      <c r="F1350" s="1378"/>
      <c r="G1350" s="1225" t="s">
        <v>974</v>
      </c>
      <c r="H1350" s="94"/>
      <c r="J1350" s="1204"/>
    </row>
    <row r="1351" spans="1:10" x14ac:dyDescent="0.25">
      <c r="B1351" s="254" t="str">
        <f>IF(LEN('Ch7'!H482)=0,"",'Ch7'!H482)</f>
        <v/>
      </c>
      <c r="C1351" s="254" t="str">
        <f t="shared" si="36"/>
        <v/>
      </c>
      <c r="D1351" s="101"/>
      <c r="E1351" s="1377"/>
      <c r="F1351" s="1377"/>
      <c r="G1351" s="1958" t="s">
        <v>4322</v>
      </c>
      <c r="H1351" s="94"/>
      <c r="J1351" s="1204"/>
    </row>
    <row r="1352" spans="1:10" x14ac:dyDescent="0.25">
      <c r="B1352" s="254" t="str">
        <f>IF(LEN('Ch7'!H483)=0,"",'Ch7'!H483)</f>
        <v/>
      </c>
      <c r="C1352" s="254" t="str">
        <f t="shared" si="36"/>
        <v/>
      </c>
      <c r="D1352" s="101"/>
      <c r="E1352" s="1377"/>
      <c r="F1352" s="1377"/>
      <c r="G1352" s="1958"/>
      <c r="H1352" s="94"/>
      <c r="J1352" s="1204"/>
    </row>
    <row r="1353" spans="1:10" x14ac:dyDescent="0.25">
      <c r="B1353" s="254" t="str">
        <f>IF(LEN('Ch7'!H484)=0,"",'Ch7'!H484)</f>
        <v/>
      </c>
      <c r="C1353" s="254" t="str">
        <f t="shared" si="36"/>
        <v/>
      </c>
      <c r="D1353" s="101"/>
      <c r="E1353" s="1377"/>
      <c r="F1353" s="1377"/>
      <c r="G1353" s="1958"/>
      <c r="H1353" s="94"/>
      <c r="J1353" s="1204"/>
    </row>
    <row r="1354" spans="1:10" x14ac:dyDescent="0.25">
      <c r="B1354" s="254" t="str">
        <f>IF(LEN('Ch7'!H485)=0,"",'Ch7'!H485)</f>
        <v/>
      </c>
      <c r="C1354" s="254" t="str">
        <f t="shared" si="36"/>
        <v/>
      </c>
      <c r="D1354" s="101"/>
      <c r="E1354" s="1377"/>
      <c r="F1354" s="1377"/>
      <c r="G1354" s="1958"/>
      <c r="H1354" s="94"/>
      <c r="J1354" s="1204"/>
    </row>
    <row r="1355" spans="1:10" x14ac:dyDescent="0.25">
      <c r="B1355" s="254" t="str">
        <f>IF(LEN('Ch7'!H486)=0,"",'Ch7'!H486)</f>
        <v/>
      </c>
      <c r="C1355" s="254" t="str">
        <f t="shared" si="36"/>
        <v/>
      </c>
      <c r="D1355" s="669"/>
      <c r="E1355" s="1380"/>
      <c r="F1355" s="1380"/>
      <c r="G1355" s="1961"/>
      <c r="H1355" s="94"/>
      <c r="J1355" s="1204"/>
    </row>
    <row r="1356" spans="1:10" x14ac:dyDescent="0.25">
      <c r="A1356" s="585" t="str">
        <f ca="1">IF(I1356&gt;0,"P","")</f>
        <v/>
      </c>
      <c r="B1356" s="254" t="str">
        <f>IF(LEN('Ch7'!H487)=0,"",'Ch7'!H487)</f>
        <v/>
      </c>
      <c r="C1356" s="254" t="str">
        <f t="shared" ca="1" si="36"/>
        <v/>
      </c>
      <c r="D1356" s="671" t="s">
        <v>975</v>
      </c>
      <c r="E1356" s="1382"/>
      <c r="F1356" s="1382"/>
      <c r="G1356" s="1864" t="s">
        <v>976</v>
      </c>
      <c r="H1356" s="1313" t="str">
        <f>IF(LEN('Ch7'!W487)=0,"",'Ch7'!W487)</f>
        <v/>
      </c>
      <c r="I1356" s="86">
        <f ca="1">'Ch7'!O487</f>
        <v>0</v>
      </c>
      <c r="J1356" s="1204" t="s">
        <v>3892</v>
      </c>
    </row>
    <row r="1357" spans="1:10" x14ac:dyDescent="0.25">
      <c r="A1357" s="585" t="str">
        <f ca="1">A1356</f>
        <v/>
      </c>
      <c r="B1357" s="254" t="str">
        <f>IF(LEN('Ch7'!H488)=0,"",'Ch7'!H488)</f>
        <v/>
      </c>
      <c r="C1357" s="254" t="str">
        <f t="shared" ca="1" si="36"/>
        <v/>
      </c>
      <c r="D1357" s="669"/>
      <c r="E1357" s="1380"/>
      <c r="F1357" s="1380"/>
      <c r="G1357" s="1843"/>
      <c r="H1357" s="94"/>
      <c r="J1357" s="1204"/>
    </row>
    <row r="1358" spans="1:10" x14ac:dyDescent="0.25">
      <c r="A1358" s="585" t="str">
        <f ca="1">IF(I1358&gt;0,"P","")</f>
        <v/>
      </c>
      <c r="B1358" s="254" t="str">
        <f>IF(LEN('Ch7'!H489)=0,"",'Ch7'!H489)</f>
        <v/>
      </c>
      <c r="C1358" s="254" t="str">
        <f t="shared" ca="1" si="36"/>
        <v/>
      </c>
      <c r="D1358" s="139" t="s">
        <v>977</v>
      </c>
      <c r="E1358" s="1378"/>
      <c r="F1358" s="1378"/>
      <c r="G1358" s="1782" t="s">
        <v>978</v>
      </c>
      <c r="H1358" s="94"/>
      <c r="I1358" s="86">
        <f ca="1">'Ch7'!O489</f>
        <v>0</v>
      </c>
      <c r="J1358" s="1950" t="s">
        <v>3921</v>
      </c>
    </row>
    <row r="1359" spans="1:10" x14ac:dyDescent="0.25">
      <c r="A1359" s="585" t="str">
        <f ca="1">A1358</f>
        <v/>
      </c>
      <c r="B1359" s="254" t="str">
        <f>IF(LEN('Ch7'!H490)=0,"",'Ch7'!H490)</f>
        <v/>
      </c>
      <c r="C1359" s="254" t="str">
        <f t="shared" ca="1" si="36"/>
        <v/>
      </c>
      <c r="D1359" s="139"/>
      <c r="E1359" s="1378"/>
      <c r="F1359" s="1378"/>
      <c r="G1359" s="1782"/>
      <c r="H1359" s="94"/>
      <c r="J1359" s="1951"/>
    </row>
    <row r="1360" spans="1:10" x14ac:dyDescent="0.25">
      <c r="B1360" s="254" t="str">
        <f>IF(LEN('Ch7'!H491)=0,"",'Ch7'!H491)</f>
        <v/>
      </c>
      <c r="C1360" s="254" t="str">
        <f t="shared" si="36"/>
        <v/>
      </c>
      <c r="D1360" s="139"/>
      <c r="E1360" s="1378"/>
      <c r="F1360" s="1378"/>
      <c r="G1360" s="1232" t="s">
        <v>979</v>
      </c>
      <c r="H1360" s="94"/>
      <c r="J1360" s="1204"/>
    </row>
    <row r="1361" spans="2:10" x14ac:dyDescent="0.25">
      <c r="B1361" s="254" t="str">
        <f>IF(LEN('Ch7'!H492)=0,"",'Ch7'!H492)</f>
        <v/>
      </c>
      <c r="C1361" s="254" t="str">
        <f t="shared" si="36"/>
        <v/>
      </c>
      <c r="D1361" s="139"/>
      <c r="E1361" s="1378"/>
      <c r="F1361" s="1378"/>
      <c r="G1361" s="1232" t="s">
        <v>980</v>
      </c>
      <c r="H1361" s="94"/>
      <c r="J1361" s="1204"/>
    </row>
    <row r="1362" spans="2:10" x14ac:dyDescent="0.25">
      <c r="B1362" s="254" t="str">
        <f>IF(LEN('Ch7'!H493)=0,"",'Ch7'!H493)</f>
        <v/>
      </c>
      <c r="C1362" s="254" t="str">
        <f t="shared" ref="C1362:C1425" si="37">IF(LEN(B1362)=0,IF(A1362="P","P",""),B1362)</f>
        <v/>
      </c>
      <c r="D1362" s="139"/>
      <c r="E1362" s="697" t="s">
        <v>256</v>
      </c>
      <c r="F1362" s="1378"/>
      <c r="G1362" s="1754" t="s">
        <v>981</v>
      </c>
      <c r="H1362" s="94"/>
      <c r="J1362" s="1204"/>
    </row>
    <row r="1363" spans="2:10" x14ac:dyDescent="0.25">
      <c r="B1363" s="254" t="str">
        <f>IF(LEN('Ch7'!H494)=0,"",'Ch7'!H494)</f>
        <v/>
      </c>
      <c r="C1363" s="254" t="str">
        <f t="shared" si="37"/>
        <v/>
      </c>
      <c r="D1363" s="139"/>
      <c r="E1363" s="1378"/>
      <c r="F1363" s="1378"/>
      <c r="G1363" s="1754"/>
      <c r="H1363" s="94"/>
      <c r="J1363" s="1204"/>
    </row>
    <row r="1364" spans="2:10" x14ac:dyDescent="0.25">
      <c r="B1364" s="254" t="str">
        <f>IF(LEN('Ch7'!H495)=0,"",'Ch7'!H495)</f>
        <v/>
      </c>
      <c r="C1364" s="254" t="str">
        <f t="shared" si="37"/>
        <v/>
      </c>
      <c r="D1364" s="139"/>
      <c r="E1364" s="1378"/>
      <c r="F1364" s="697" t="s">
        <v>121</v>
      </c>
      <c r="G1364" s="1754" t="s">
        <v>982</v>
      </c>
      <c r="H1364" s="1313" t="str">
        <f>IF(LEN('Ch7'!W495)=0,"",'Ch7'!W495)</f>
        <v/>
      </c>
      <c r="J1364" s="1204"/>
    </row>
    <row r="1365" spans="2:10" x14ac:dyDescent="0.25">
      <c r="B1365" s="254" t="str">
        <f>IF(LEN('Ch7'!H496)=0,"",'Ch7'!H496)</f>
        <v/>
      </c>
      <c r="C1365" s="254" t="str">
        <f t="shared" si="37"/>
        <v/>
      </c>
      <c r="D1365" s="139"/>
      <c r="E1365" s="1378"/>
      <c r="F1365" s="1378"/>
      <c r="G1365" s="1754"/>
      <c r="H1365" s="94"/>
      <c r="J1365" s="1204"/>
    </row>
    <row r="1366" spans="2:10" x14ac:dyDescent="0.25">
      <c r="B1366" s="254" t="str">
        <f>IF(LEN('Ch7'!H497)=0,"",'Ch7'!H497)</f>
        <v/>
      </c>
      <c r="C1366" s="254" t="str">
        <f t="shared" si="37"/>
        <v/>
      </c>
      <c r="D1366" s="139"/>
      <c r="E1366" s="1378"/>
      <c r="F1366" s="697" t="s">
        <v>122</v>
      </c>
      <c r="G1366" s="1225" t="s">
        <v>983</v>
      </c>
      <c r="H1366" s="1313" t="str">
        <f>IF(LEN('Ch7'!W497)=0,"",'Ch7'!W497)</f>
        <v/>
      </c>
      <c r="J1366" s="1204"/>
    </row>
    <row r="1367" spans="2:10" x14ac:dyDescent="0.25">
      <c r="B1367" s="254" t="str">
        <f>IF(LEN('Ch7'!H498)=0,"",'Ch7'!H498)</f>
        <v/>
      </c>
      <c r="C1367" s="254" t="str">
        <f t="shared" si="37"/>
        <v/>
      </c>
      <c r="D1367" s="139"/>
      <c r="E1367" s="1378"/>
      <c r="F1367" s="698" t="s">
        <v>123</v>
      </c>
      <c r="G1367" s="1225" t="s">
        <v>984</v>
      </c>
      <c r="H1367" s="1313" t="str">
        <f>IF(LEN('Ch7'!W498)=0,"",'Ch7'!W498)</f>
        <v/>
      </c>
      <c r="J1367" s="1204"/>
    </row>
    <row r="1368" spans="2:10" x14ac:dyDescent="0.25">
      <c r="B1368" s="254" t="str">
        <f>IF(LEN('Ch7'!H499)=0,"",'Ch7'!H499)</f>
        <v/>
      </c>
      <c r="C1368" s="254" t="str">
        <f t="shared" si="37"/>
        <v/>
      </c>
      <c r="D1368" s="139"/>
      <c r="E1368" s="1377"/>
      <c r="F1368" s="1377" t="s">
        <v>401</v>
      </c>
      <c r="G1368" s="1754" t="s">
        <v>985</v>
      </c>
      <c r="H1368" s="1313" t="str">
        <f>IF(LEN('Ch7'!W499)=0,"",'Ch7'!W499)</f>
        <v/>
      </c>
      <c r="J1368" s="1204"/>
    </row>
    <row r="1369" spans="2:10" x14ac:dyDescent="0.25">
      <c r="B1369" s="254" t="str">
        <f>IF(LEN('Ch7'!H500)=0,"",'Ch7'!H500)</f>
        <v/>
      </c>
      <c r="C1369" s="254" t="str">
        <f t="shared" si="37"/>
        <v/>
      </c>
      <c r="D1369" s="139"/>
      <c r="E1369" s="1380"/>
      <c r="F1369" s="1380"/>
      <c r="G1369" s="1755"/>
      <c r="H1369" s="94"/>
      <c r="J1369" s="1204"/>
    </row>
    <row r="1370" spans="2:10" x14ac:dyDescent="0.25">
      <c r="B1370" s="254" t="str">
        <f>IF(LEN('Ch7'!H501)=0,"",'Ch7'!H501)</f>
        <v/>
      </c>
      <c r="C1370" s="254" t="str">
        <f t="shared" si="37"/>
        <v/>
      </c>
      <c r="D1370" s="139"/>
      <c r="E1370" s="697" t="s">
        <v>258</v>
      </c>
      <c r="F1370" s="1378"/>
      <c r="G1370" s="1754" t="s">
        <v>986</v>
      </c>
      <c r="H1370" s="1313" t="str">
        <f>IF(LEN('Ch7'!W501)=0,"",'Ch7'!W501)</f>
        <v/>
      </c>
      <c r="J1370" s="1204"/>
    </row>
    <row r="1371" spans="2:10" x14ac:dyDescent="0.25">
      <c r="B1371" s="254" t="str">
        <f>IF(LEN('Ch7'!H502)=0,"",'Ch7'!H502)</f>
        <v/>
      </c>
      <c r="C1371" s="254" t="str">
        <f t="shared" si="37"/>
        <v/>
      </c>
      <c r="D1371" s="139"/>
      <c r="E1371" s="1378"/>
      <c r="F1371" s="1378"/>
      <c r="G1371" s="1754"/>
      <c r="H1371" s="94"/>
      <c r="J1371" s="1204"/>
    </row>
    <row r="1372" spans="2:10" x14ac:dyDescent="0.25">
      <c r="B1372" s="254" t="str">
        <f>IF(LEN('Ch7'!H503)=0,"",'Ch7'!H503)</f>
        <v/>
      </c>
      <c r="C1372" s="254" t="str">
        <f t="shared" si="37"/>
        <v/>
      </c>
      <c r="D1372" s="139"/>
      <c r="E1372" s="1380"/>
      <c r="F1372" s="1380"/>
      <c r="G1372" s="1239" t="s">
        <v>987</v>
      </c>
      <c r="H1372" s="94"/>
      <c r="J1372" s="1204"/>
    </row>
    <row r="1373" spans="2:10" x14ac:dyDescent="0.25">
      <c r="B1373" s="254" t="str">
        <f>IF(LEN('Ch7'!H504)=0,"",'Ch7'!H504)</f>
        <v/>
      </c>
      <c r="C1373" s="254" t="str">
        <f t="shared" si="37"/>
        <v/>
      </c>
      <c r="D1373" s="139"/>
      <c r="E1373" s="700" t="s">
        <v>260</v>
      </c>
      <c r="F1373" s="1382"/>
      <c r="G1373" s="1765" t="s">
        <v>4323</v>
      </c>
      <c r="H1373" s="1313" t="str">
        <f>IF(LEN('Ch7'!W504)=0,"",'Ch7'!W504)</f>
        <v/>
      </c>
      <c r="J1373" s="1204"/>
    </row>
    <row r="1374" spans="2:10" x14ac:dyDescent="0.25">
      <c r="B1374" s="254" t="str">
        <f>IF(LEN('Ch7'!H505)=0,"",'Ch7'!H505)</f>
        <v/>
      </c>
      <c r="C1374" s="254" t="str">
        <f t="shared" si="37"/>
        <v/>
      </c>
      <c r="G1374" s="1765"/>
      <c r="H1374" s="94"/>
      <c r="J1374" s="1204"/>
    </row>
    <row r="1375" spans="2:10" x14ac:dyDescent="0.25">
      <c r="B1375" s="254" t="str">
        <f>IF(LEN('Ch7'!H506)=0,"",'Ch7'!H506)</f>
        <v/>
      </c>
      <c r="C1375" s="254" t="str">
        <f t="shared" si="37"/>
        <v/>
      </c>
      <c r="D1375" s="139"/>
      <c r="E1375" s="700" t="s">
        <v>269</v>
      </c>
      <c r="F1375" s="1382"/>
      <c r="G1375" s="1778" t="s">
        <v>988</v>
      </c>
      <c r="H1375" s="1313" t="str">
        <f>IF(LEN('Ch7'!W506)=0,"",'Ch7'!W506)</f>
        <v/>
      </c>
      <c r="J1375" s="1204"/>
    </row>
    <row r="1376" spans="2:10" x14ac:dyDescent="0.25">
      <c r="B1376" s="254" t="str">
        <f>IF(LEN('Ch7'!H507)=0,"",'Ch7'!H507)</f>
        <v/>
      </c>
      <c r="C1376" s="254" t="str">
        <f t="shared" si="37"/>
        <v/>
      </c>
      <c r="D1376" s="139"/>
      <c r="E1376" s="1380"/>
      <c r="F1376" s="1380"/>
      <c r="G1376" s="1755"/>
      <c r="H1376" s="94"/>
      <c r="J1376" s="1204"/>
    </row>
    <row r="1377" spans="1:10" x14ac:dyDescent="0.25">
      <c r="B1377" s="254" t="str">
        <f>IF(LEN('Ch7'!H508)=0,"",'Ch7'!H508)</f>
        <v/>
      </c>
      <c r="C1377" s="254" t="str">
        <f t="shared" si="37"/>
        <v/>
      </c>
      <c r="D1377" s="139"/>
      <c r="E1377" s="697" t="s">
        <v>275</v>
      </c>
      <c r="F1377" s="1378"/>
      <c r="G1377" s="1754" t="s">
        <v>989</v>
      </c>
      <c r="H1377" s="94"/>
      <c r="J1377" s="1204"/>
    </row>
    <row r="1378" spans="1:10" x14ac:dyDescent="0.25">
      <c r="B1378" s="254" t="str">
        <f>IF(LEN('Ch7'!H509)=0,"",'Ch7'!H509)</f>
        <v/>
      </c>
      <c r="C1378" s="254" t="str">
        <f t="shared" si="37"/>
        <v/>
      </c>
      <c r="D1378" s="139"/>
      <c r="E1378" s="1378"/>
      <c r="F1378" s="1378"/>
      <c r="G1378" s="1754"/>
      <c r="H1378" s="94"/>
      <c r="J1378" s="1204"/>
    </row>
    <row r="1379" spans="1:10" x14ac:dyDescent="0.25">
      <c r="B1379" s="254" t="str">
        <f>IF(LEN('Ch7'!H510)=0,"",'Ch7'!H510)</f>
        <v/>
      </c>
      <c r="C1379" s="254" t="str">
        <f t="shared" si="37"/>
        <v/>
      </c>
      <c r="D1379" s="139"/>
      <c r="E1379" s="1378"/>
      <c r="F1379" s="1378"/>
      <c r="G1379" s="1754"/>
      <c r="H1379" s="94"/>
      <c r="J1379" s="1204"/>
    </row>
    <row r="1380" spans="1:10" x14ac:dyDescent="0.25">
      <c r="B1380" s="254" t="str">
        <f>IF(LEN('Ch7'!H511)=0,"",'Ch7'!H511)</f>
        <v/>
      </c>
      <c r="C1380" s="254" t="str">
        <f t="shared" si="37"/>
        <v/>
      </c>
      <c r="D1380" s="139"/>
      <c r="E1380" s="1378"/>
      <c r="F1380" s="697" t="s">
        <v>121</v>
      </c>
      <c r="G1380" s="1754" t="s">
        <v>990</v>
      </c>
      <c r="H1380" s="1313" t="str">
        <f>IF(LEN('Ch7'!W511)=0,"",'Ch7'!W511)</f>
        <v/>
      </c>
      <c r="J1380" s="1204"/>
    </row>
    <row r="1381" spans="1:10" x14ac:dyDescent="0.25">
      <c r="B1381" s="254" t="str">
        <f>IF(LEN('Ch7'!H512)=0,"",'Ch7'!H512)</f>
        <v/>
      </c>
      <c r="C1381" s="254" t="str">
        <f t="shared" si="37"/>
        <v/>
      </c>
      <c r="D1381" s="139"/>
      <c r="E1381" s="1378"/>
      <c r="F1381" s="1378"/>
      <c r="G1381" s="1754"/>
      <c r="H1381" s="94"/>
      <c r="J1381" s="1204"/>
    </row>
    <row r="1382" spans="1:10" x14ac:dyDescent="0.25">
      <c r="B1382" s="254" t="str">
        <f>IF(LEN('Ch7'!H513)=0,"",'Ch7'!H513)</f>
        <v/>
      </c>
      <c r="C1382" s="254" t="str">
        <f t="shared" si="37"/>
        <v/>
      </c>
      <c r="D1382" s="139"/>
      <c r="E1382" s="1377"/>
      <c r="F1382" s="695" t="s">
        <v>122</v>
      </c>
      <c r="G1382" s="1754" t="s">
        <v>991</v>
      </c>
      <c r="H1382" s="1313" t="str">
        <f>IF(LEN('Ch7'!W513)=0,"",'Ch7'!W513)</f>
        <v/>
      </c>
      <c r="J1382" s="1204"/>
    </row>
    <row r="1383" spans="1:10" x14ac:dyDescent="0.25">
      <c r="B1383" s="254" t="str">
        <f>IF(LEN('Ch7'!H514)=0,"",'Ch7'!H514)</f>
        <v/>
      </c>
      <c r="C1383" s="254" t="str">
        <f t="shared" si="37"/>
        <v/>
      </c>
      <c r="D1383" s="139"/>
      <c r="E1383" s="1380"/>
      <c r="F1383" s="1380"/>
      <c r="G1383" s="1755"/>
      <c r="H1383" s="94"/>
      <c r="J1383" s="1204"/>
    </row>
    <row r="1384" spans="1:10" x14ac:dyDescent="0.25">
      <c r="B1384" s="254" t="str">
        <f>IF(LEN('Ch7'!H515)=0,"",'Ch7'!H515)</f>
        <v/>
      </c>
      <c r="C1384" s="254" t="str">
        <f t="shared" si="37"/>
        <v/>
      </c>
      <c r="D1384" s="101"/>
      <c r="E1384" s="695" t="s">
        <v>277</v>
      </c>
      <c r="F1384" s="1377"/>
      <c r="G1384" s="1754" t="s">
        <v>992</v>
      </c>
      <c r="H1384" s="1313" t="str">
        <f>IF(LEN('Ch7'!W515)=0,"",'Ch7'!W515)</f>
        <v/>
      </c>
      <c r="J1384" s="1204"/>
    </row>
    <row r="1385" spans="1:10" x14ac:dyDescent="0.25">
      <c r="B1385" s="254" t="str">
        <f>IF(LEN('Ch7'!H516)=0,"",'Ch7'!H516)</f>
        <v/>
      </c>
      <c r="C1385" s="254" t="str">
        <f t="shared" si="37"/>
        <v/>
      </c>
      <c r="D1385" s="669"/>
      <c r="E1385" s="1380"/>
      <c r="F1385" s="1380"/>
      <c r="G1385" s="1755"/>
      <c r="H1385" s="94"/>
      <c r="J1385" s="1204"/>
    </row>
    <row r="1386" spans="1:10" x14ac:dyDescent="0.25">
      <c r="A1386" s="585" t="str">
        <f ca="1">IF(I1386&gt;0,"P","")</f>
        <v/>
      </c>
      <c r="B1386" s="254" t="str">
        <f>IF(LEN('Ch7'!H517)=0,"",'Ch7'!H517)</f>
        <v/>
      </c>
      <c r="C1386" s="254" t="str">
        <f t="shared" ca="1" si="37"/>
        <v/>
      </c>
      <c r="D1386" s="139" t="s">
        <v>993</v>
      </c>
      <c r="E1386" s="1378"/>
      <c r="F1386" s="1378"/>
      <c r="G1386" s="1862" t="s">
        <v>994</v>
      </c>
      <c r="H1386" s="1313" t="str">
        <f>IF(LEN('Ch7'!W517)=0,"",'Ch7'!W517)</f>
        <v/>
      </c>
      <c r="I1386" s="86">
        <f ca="1">'Ch7'!O517</f>
        <v>0</v>
      </c>
      <c r="J1386" s="1950" t="s">
        <v>3922</v>
      </c>
    </row>
    <row r="1387" spans="1:10" x14ac:dyDescent="0.25">
      <c r="A1387" s="585" t="str">
        <f ca="1">A1386</f>
        <v/>
      </c>
      <c r="B1387" s="254" t="str">
        <f>IF(LEN('Ch7'!H518)=0,"",'Ch7'!H518)</f>
        <v/>
      </c>
      <c r="C1387" s="254" t="str">
        <f t="shared" ca="1" si="37"/>
        <v/>
      </c>
      <c r="D1387" s="139"/>
      <c r="E1387" s="1378"/>
      <c r="F1387" s="1378"/>
      <c r="G1387" s="1862"/>
      <c r="H1387" s="94"/>
      <c r="J1387" s="1951"/>
    </row>
    <row r="1388" spans="1:10" x14ac:dyDescent="0.25">
      <c r="B1388" s="254" t="str">
        <f>IF(LEN('Ch7'!H519)=0,"",'Ch7'!H519)</f>
        <v/>
      </c>
      <c r="C1388" s="254" t="str">
        <f t="shared" si="37"/>
        <v/>
      </c>
      <c r="D1388" s="139"/>
      <c r="E1388" s="1378"/>
      <c r="F1388" s="1378"/>
      <c r="G1388" s="1225" t="s">
        <v>995</v>
      </c>
      <c r="H1388" s="94"/>
      <c r="J1388" s="1204"/>
    </row>
    <row r="1389" spans="1:10" x14ac:dyDescent="0.25">
      <c r="B1389" s="254" t="str">
        <f>IF(LEN('Ch7'!H520)=0,"",'Ch7'!H520)</f>
        <v/>
      </c>
      <c r="C1389" s="254" t="str">
        <f t="shared" si="37"/>
        <v/>
      </c>
      <c r="D1389" s="139"/>
      <c r="E1389" s="695" t="s">
        <v>256</v>
      </c>
      <c r="F1389" s="1377"/>
      <c r="G1389" s="1754" t="s">
        <v>996</v>
      </c>
      <c r="H1389" s="94"/>
      <c r="J1389" s="1204"/>
    </row>
    <row r="1390" spans="1:10" x14ac:dyDescent="0.25">
      <c r="B1390" s="254" t="str">
        <f>IF(LEN('Ch7'!H521)=0,"",'Ch7'!H521)</f>
        <v/>
      </c>
      <c r="C1390" s="254" t="str">
        <f t="shared" si="37"/>
        <v/>
      </c>
      <c r="D1390" s="139"/>
      <c r="E1390" s="1380"/>
      <c r="F1390" s="1380"/>
      <c r="G1390" s="1755"/>
      <c r="H1390" s="94"/>
      <c r="J1390" s="1204"/>
    </row>
    <row r="1391" spans="1:10" x14ac:dyDescent="0.25">
      <c r="B1391" s="254" t="str">
        <f>IF(LEN('Ch7'!H522)=0,"",'Ch7'!H522)</f>
        <v/>
      </c>
      <c r="C1391" s="254" t="str">
        <f t="shared" si="37"/>
        <v/>
      </c>
      <c r="D1391" s="139"/>
      <c r="E1391" s="697" t="s">
        <v>258</v>
      </c>
      <c r="F1391" s="1378"/>
      <c r="G1391" s="1793" t="s">
        <v>997</v>
      </c>
      <c r="H1391" s="94"/>
      <c r="J1391" s="1204"/>
    </row>
    <row r="1392" spans="1:10" x14ac:dyDescent="0.25">
      <c r="B1392" s="254" t="str">
        <f>IF(LEN('Ch7'!H523)=0,"",'Ch7'!H523)</f>
        <v/>
      </c>
      <c r="C1392" s="254" t="str">
        <f t="shared" si="37"/>
        <v/>
      </c>
      <c r="D1392" s="139"/>
      <c r="E1392" s="1378"/>
      <c r="F1392" s="1378"/>
      <c r="G1392" s="1793"/>
      <c r="H1392" s="94"/>
      <c r="J1392" s="1204"/>
    </row>
    <row r="1393" spans="2:10" x14ac:dyDescent="0.25">
      <c r="B1393" s="254" t="str">
        <f>IF(LEN('Ch7'!H524)=0,"",'Ch7'!H524)</f>
        <v/>
      </c>
      <c r="C1393" s="254" t="str">
        <f t="shared" si="37"/>
        <v/>
      </c>
      <c r="D1393" s="139"/>
      <c r="E1393" s="1378"/>
      <c r="F1393" s="695" t="s">
        <v>121</v>
      </c>
      <c r="G1393" s="1754" t="s">
        <v>998</v>
      </c>
      <c r="H1393" s="94"/>
      <c r="J1393" s="1204"/>
    </row>
    <row r="1394" spans="2:10" x14ac:dyDescent="0.25">
      <c r="B1394" s="254" t="str">
        <f>IF(LEN('Ch7'!H525)=0,"",'Ch7'!H525)</f>
        <v/>
      </c>
      <c r="C1394" s="254" t="str">
        <f t="shared" si="37"/>
        <v/>
      </c>
      <c r="D1394" s="139"/>
      <c r="E1394" s="1378"/>
      <c r="F1394" s="1377"/>
      <c r="G1394" s="1754"/>
      <c r="H1394" s="94"/>
      <c r="J1394" s="1204"/>
    </row>
    <row r="1395" spans="2:10" x14ac:dyDescent="0.25">
      <c r="B1395" s="254" t="str">
        <f>IF(LEN('Ch7'!H526)=0,"",'Ch7'!H526)</f>
        <v/>
      </c>
      <c r="C1395" s="254" t="str">
        <f t="shared" si="37"/>
        <v/>
      </c>
      <c r="D1395" s="139"/>
      <c r="E1395" s="1378"/>
      <c r="F1395" s="1380"/>
      <c r="G1395" s="1755"/>
      <c r="H1395" s="94"/>
      <c r="J1395" s="1204"/>
    </row>
    <row r="1396" spans="2:10" x14ac:dyDescent="0.25">
      <c r="B1396" s="254" t="str">
        <f>IF(LEN('Ch7'!H527)=0,"",'Ch7'!H527)</f>
        <v/>
      </c>
      <c r="C1396" s="254" t="str">
        <f t="shared" si="37"/>
        <v/>
      </c>
      <c r="D1396" s="139"/>
      <c r="E1396" s="1378"/>
      <c r="F1396" s="697" t="s">
        <v>122</v>
      </c>
      <c r="G1396" s="1754" t="s">
        <v>999</v>
      </c>
      <c r="H1396" s="94"/>
      <c r="J1396" s="1204"/>
    </row>
    <row r="1397" spans="2:10" x14ac:dyDescent="0.25">
      <c r="B1397" s="254" t="str">
        <f>IF(LEN('Ch7'!H528)=0,"",'Ch7'!H528)</f>
        <v/>
      </c>
      <c r="C1397" s="254" t="str">
        <f t="shared" si="37"/>
        <v/>
      </c>
      <c r="D1397" s="139"/>
      <c r="E1397" s="1378"/>
      <c r="F1397" s="1378"/>
      <c r="G1397" s="1754"/>
      <c r="H1397" s="94"/>
      <c r="J1397" s="1204"/>
    </row>
    <row r="1398" spans="2:10" x14ac:dyDescent="0.25">
      <c r="B1398" s="254" t="str">
        <f>IF(LEN('Ch7'!H529)=0,"",'Ch7'!H529)</f>
        <v/>
      </c>
      <c r="C1398" s="254" t="str">
        <f t="shared" si="37"/>
        <v/>
      </c>
      <c r="D1398" s="139"/>
      <c r="E1398" s="1378"/>
      <c r="F1398" s="1378" t="s">
        <v>844</v>
      </c>
      <c r="G1398" s="1754" t="s">
        <v>1000</v>
      </c>
      <c r="H1398" s="94"/>
      <c r="J1398" s="1204"/>
    </row>
    <row r="1399" spans="2:10" x14ac:dyDescent="0.25">
      <c r="B1399" s="254" t="str">
        <f>IF(LEN('Ch7'!H530)=0,"",'Ch7'!H530)</f>
        <v/>
      </c>
      <c r="C1399" s="254" t="str">
        <f t="shared" si="37"/>
        <v/>
      </c>
      <c r="D1399" s="139"/>
      <c r="E1399" s="1378"/>
      <c r="F1399" s="1378"/>
      <c r="G1399" s="1754"/>
      <c r="H1399" s="94"/>
      <c r="J1399" s="1204"/>
    </row>
    <row r="1400" spans="2:10" x14ac:dyDescent="0.25">
      <c r="B1400" s="254" t="str">
        <f>IF(LEN('Ch7'!H531)=0,"",'Ch7'!H531)</f>
        <v/>
      </c>
      <c r="C1400" s="254" t="str">
        <f t="shared" si="37"/>
        <v/>
      </c>
      <c r="D1400" s="139"/>
      <c r="E1400" s="1378"/>
      <c r="F1400" s="1378" t="s">
        <v>1001</v>
      </c>
      <c r="G1400" s="1754" t="s">
        <v>1002</v>
      </c>
      <c r="H1400" s="94"/>
      <c r="J1400" s="1204"/>
    </row>
    <row r="1401" spans="2:10" x14ac:dyDescent="0.25">
      <c r="B1401" s="254" t="str">
        <f>IF(LEN('Ch7'!H532)=0,"",'Ch7'!H532)</f>
        <v/>
      </c>
      <c r="C1401" s="254" t="str">
        <f t="shared" si="37"/>
        <v/>
      </c>
      <c r="D1401" s="139"/>
      <c r="E1401" s="1378"/>
      <c r="F1401" s="1378"/>
      <c r="G1401" s="1754"/>
      <c r="H1401" s="94"/>
      <c r="J1401" s="1204"/>
    </row>
    <row r="1402" spans="2:10" x14ac:dyDescent="0.25">
      <c r="B1402" s="254" t="str">
        <f>IF(LEN('Ch7'!H533)=0,"",'Ch7'!H533)</f>
        <v/>
      </c>
      <c r="C1402" s="254" t="str">
        <f t="shared" si="37"/>
        <v/>
      </c>
      <c r="D1402" s="139"/>
      <c r="E1402" s="1378"/>
      <c r="F1402" s="1377" t="s">
        <v>1003</v>
      </c>
      <c r="G1402" s="1754" t="s">
        <v>1004</v>
      </c>
      <c r="H1402" s="94"/>
      <c r="J1402" s="1204"/>
    </row>
    <row r="1403" spans="2:10" x14ac:dyDescent="0.25">
      <c r="B1403" s="254" t="str">
        <f>IF(LEN('Ch7'!H534)=0,"",'Ch7'!H534)</f>
        <v/>
      </c>
      <c r="C1403" s="254" t="str">
        <f t="shared" si="37"/>
        <v/>
      </c>
      <c r="D1403" s="139"/>
      <c r="E1403" s="1378"/>
      <c r="F1403" s="1380"/>
      <c r="G1403" s="1755"/>
      <c r="H1403" s="94"/>
      <c r="J1403" s="1204"/>
    </row>
    <row r="1404" spans="2:10" x14ac:dyDescent="0.25">
      <c r="B1404" s="254" t="str">
        <f>IF(LEN('Ch7'!H535)=0,"",'Ch7'!H535)</f>
        <v/>
      </c>
      <c r="C1404" s="254" t="str">
        <f t="shared" si="37"/>
        <v/>
      </c>
      <c r="D1404" s="139"/>
      <c r="E1404" s="1377"/>
      <c r="F1404" s="695" t="s">
        <v>123</v>
      </c>
      <c r="G1404" s="1754" t="s">
        <v>1005</v>
      </c>
      <c r="H1404" s="94"/>
      <c r="J1404" s="1204"/>
    </row>
    <row r="1405" spans="2:10" x14ac:dyDescent="0.25">
      <c r="B1405" s="254" t="str">
        <f>IF(LEN('Ch7'!H536)=0,"",'Ch7'!H536)</f>
        <v/>
      </c>
      <c r="C1405" s="254" t="str">
        <f t="shared" si="37"/>
        <v/>
      </c>
      <c r="D1405" s="139"/>
      <c r="E1405" s="1377"/>
      <c r="F1405" s="1377"/>
      <c r="G1405" s="1754"/>
      <c r="H1405" s="94"/>
      <c r="J1405" s="1204"/>
    </row>
    <row r="1406" spans="2:10" x14ac:dyDescent="0.25">
      <c r="B1406" s="254" t="str">
        <f>IF(LEN('Ch7'!H537)=0,"",'Ch7'!H537)</f>
        <v/>
      </c>
      <c r="C1406" s="254" t="str">
        <f t="shared" si="37"/>
        <v/>
      </c>
      <c r="D1406" s="139"/>
      <c r="E1406" s="1380"/>
      <c r="F1406" s="1380"/>
      <c r="G1406" s="1755"/>
      <c r="H1406" s="94"/>
      <c r="J1406" s="1204"/>
    </row>
    <row r="1407" spans="2:10" x14ac:dyDescent="0.25">
      <c r="B1407" s="254" t="str">
        <f>IF(LEN('Ch7'!H538)=0,"",'Ch7'!H538)</f>
        <v/>
      </c>
      <c r="C1407" s="254" t="str">
        <f t="shared" si="37"/>
        <v/>
      </c>
      <c r="D1407" s="139"/>
      <c r="E1407" s="697" t="s">
        <v>260</v>
      </c>
      <c r="F1407" s="1378"/>
      <c r="G1407" s="1754" t="s">
        <v>1006</v>
      </c>
      <c r="H1407" s="94"/>
      <c r="J1407" s="1204"/>
    </row>
    <row r="1408" spans="2:10" x14ac:dyDescent="0.25">
      <c r="B1408" s="254" t="str">
        <f>IF(LEN('Ch7'!H539)=0,"",'Ch7'!H539)</f>
        <v/>
      </c>
      <c r="C1408" s="254" t="str">
        <f t="shared" si="37"/>
        <v/>
      </c>
      <c r="D1408" s="139"/>
      <c r="E1408" s="1378"/>
      <c r="F1408" s="1378"/>
      <c r="G1408" s="1754"/>
      <c r="H1408" s="94"/>
      <c r="J1408" s="1204"/>
    </row>
    <row r="1409" spans="1:10" ht="18.75" x14ac:dyDescent="0.25">
      <c r="A1409" s="585" t="s">
        <v>3974</v>
      </c>
      <c r="B1409" s="254" t="str">
        <f>IF(LEN('Ch7'!H540)=0,"",'Ch7'!H540)</f>
        <v/>
      </c>
      <c r="C1409" s="254" t="str">
        <f t="shared" si="37"/>
        <v>P</v>
      </c>
      <c r="D1409" s="1388" t="s">
        <v>4858</v>
      </c>
      <c r="E1409" s="1398"/>
      <c r="F1409" s="1398"/>
      <c r="G1409" s="1312"/>
      <c r="H1409" s="94"/>
      <c r="J1409" s="1204"/>
    </row>
    <row r="1410" spans="1:10" x14ac:dyDescent="0.25">
      <c r="A1410" s="585" t="str">
        <f>IF(I1410&gt;0,"P","")</f>
        <v/>
      </c>
      <c r="B1410" s="254" t="str">
        <f>IF(LEN('Ch7'!H541)=0,"",'Ch7'!H541)</f>
        <v/>
      </c>
      <c r="C1410" s="254" t="str">
        <f t="shared" si="37"/>
        <v/>
      </c>
      <c r="D1410" s="139">
        <v>704.1</v>
      </c>
      <c r="E1410" s="1378"/>
      <c r="F1410" s="1378"/>
      <c r="G1410" s="1877" t="s">
        <v>4324</v>
      </c>
      <c r="H1410" s="94"/>
      <c r="I1410" s="86">
        <f>'Ch7'!O541</f>
        <v>0</v>
      </c>
      <c r="J1410" s="1259" t="s">
        <v>5008</v>
      </c>
    </row>
    <row r="1411" spans="1:10" x14ac:dyDescent="0.25">
      <c r="A1411" s="585" t="str">
        <f>A1410</f>
        <v/>
      </c>
      <c r="B1411" s="254" t="str">
        <f>IF(LEN('Ch7'!H542)=0,"",'Ch7'!H542)</f>
        <v/>
      </c>
      <c r="C1411" s="254" t="str">
        <f t="shared" si="37"/>
        <v/>
      </c>
      <c r="D1411" s="139"/>
      <c r="E1411" s="1378"/>
      <c r="F1411" s="1378"/>
      <c r="G1411" s="1877"/>
      <c r="H1411" s="94"/>
      <c r="J1411" s="1204"/>
    </row>
    <row r="1412" spans="1:10" x14ac:dyDescent="0.25">
      <c r="A1412" s="585" t="str">
        <f>A1411</f>
        <v/>
      </c>
      <c r="B1412" s="254" t="str">
        <f>IF(LEN('Ch7'!H543)=0,"",'Ch7'!H543)</f>
        <v/>
      </c>
      <c r="C1412" s="254" t="str">
        <f t="shared" si="37"/>
        <v/>
      </c>
      <c r="D1412" s="139"/>
      <c r="E1412" s="1378"/>
      <c r="F1412" s="1378"/>
      <c r="G1412" s="1877"/>
      <c r="H1412" s="94"/>
      <c r="J1412" s="1204"/>
    </row>
    <row r="1413" spans="1:10" x14ac:dyDescent="0.25">
      <c r="A1413" s="585" t="str">
        <f>A1412</f>
        <v/>
      </c>
      <c r="B1413" s="254" t="str">
        <f>IF(LEN('Ch7'!H544)=0,"",'Ch7'!H544)</f>
        <v/>
      </c>
      <c r="C1413" s="254" t="str">
        <f t="shared" si="37"/>
        <v/>
      </c>
      <c r="D1413" s="139"/>
      <c r="E1413" s="1378"/>
      <c r="F1413" s="1378"/>
      <c r="G1413" s="1877"/>
      <c r="H1413" s="94"/>
      <c r="J1413" s="1204"/>
    </row>
    <row r="1414" spans="1:10" x14ac:dyDescent="0.25">
      <c r="B1414" s="254" t="str">
        <f>IF(LEN('Ch7'!H545)=0,"",'Ch7'!H545)</f>
        <v/>
      </c>
      <c r="C1414" s="254" t="str">
        <f t="shared" si="37"/>
        <v/>
      </c>
      <c r="D1414" s="139"/>
      <c r="E1414" s="1378"/>
      <c r="F1414" s="1378"/>
      <c r="G1414" s="1765" t="s">
        <v>4325</v>
      </c>
      <c r="H1414" s="1847"/>
      <c r="J1414" s="1204"/>
    </row>
    <row r="1415" spans="1:10" x14ac:dyDescent="0.25">
      <c r="B1415" s="254" t="str">
        <f>IF(LEN('Ch7'!H546)=0,"",'Ch7'!H546)</f>
        <v/>
      </c>
      <c r="C1415" s="254" t="str">
        <f t="shared" si="37"/>
        <v/>
      </c>
      <c r="D1415" s="669"/>
      <c r="E1415" s="1380"/>
      <c r="F1415" s="1380"/>
      <c r="G1415" s="1786"/>
      <c r="H1415" s="1847"/>
      <c r="J1415" s="1204"/>
    </row>
    <row r="1416" spans="1:10" x14ac:dyDescent="0.25">
      <c r="A1416" s="585" t="str">
        <f>IF(AND(LEN(H1416)&gt;0,NOT(H1416=FALSE)),"P","")</f>
        <v/>
      </c>
      <c r="B1416" s="254" t="str">
        <f>IF(LEN('Ch7'!H547)=0,"",'Ch7'!H547)</f>
        <v/>
      </c>
      <c r="C1416" s="254" t="str">
        <f t="shared" si="37"/>
        <v/>
      </c>
      <c r="D1416" s="139">
        <v>704.2</v>
      </c>
      <c r="E1416" s="1378"/>
      <c r="F1416" s="1378"/>
      <c r="G1416" s="1877" t="s">
        <v>4326</v>
      </c>
      <c r="H1416" s="1313" t="str">
        <f>IF(LEN('Ch7'!W547)=0,"",'Ch7'!W547)</f>
        <v/>
      </c>
      <c r="J1416" s="1204" t="s">
        <v>5009</v>
      </c>
    </row>
    <row r="1417" spans="1:10" x14ac:dyDescent="0.25">
      <c r="A1417" s="585" t="str">
        <f>A1416</f>
        <v/>
      </c>
      <c r="B1417" s="254" t="str">
        <f>IF(LEN('Ch7'!H548)=0,"",'Ch7'!H548)</f>
        <v/>
      </c>
      <c r="C1417" s="254" t="str">
        <f t="shared" si="37"/>
        <v/>
      </c>
      <c r="D1417" s="139"/>
      <c r="E1417" s="1378"/>
      <c r="F1417" s="1378"/>
      <c r="G1417" s="1877"/>
      <c r="H1417" s="94"/>
      <c r="J1417" s="1204"/>
    </row>
    <row r="1418" spans="1:10" x14ac:dyDescent="0.25">
      <c r="A1418" s="585" t="str">
        <f>A1417</f>
        <v/>
      </c>
      <c r="B1418" s="254" t="str">
        <f>IF(LEN('Ch7'!H549)=0,"",'Ch7'!H549)</f>
        <v/>
      </c>
      <c r="C1418" s="254" t="str">
        <f t="shared" si="37"/>
        <v/>
      </c>
      <c r="D1418" s="139"/>
      <c r="E1418" s="1378"/>
      <c r="F1418" s="1378"/>
      <c r="G1418" s="1877"/>
      <c r="H1418" s="1313" t="str">
        <f>IF(LEN('Ch7'!W549)=0,"",'Ch7'!W549)</f>
        <v/>
      </c>
      <c r="J1418" s="1204"/>
    </row>
    <row r="1419" spans="1:10" x14ac:dyDescent="0.25">
      <c r="A1419" s="585" t="str">
        <f>A1418</f>
        <v/>
      </c>
      <c r="B1419" s="254" t="str">
        <f>IF(LEN('Ch7'!H550)=0,"",'Ch7'!H550)</f>
        <v/>
      </c>
      <c r="C1419" s="254" t="str">
        <f t="shared" si="37"/>
        <v/>
      </c>
      <c r="D1419" s="139"/>
      <c r="E1419" s="1378"/>
      <c r="F1419" s="1378"/>
      <c r="G1419" s="1877" t="s">
        <v>4327</v>
      </c>
      <c r="H1419" s="94"/>
      <c r="J1419" s="1204"/>
    </row>
    <row r="1420" spans="1:10" x14ac:dyDescent="0.25">
      <c r="A1420" s="585" t="str">
        <f>A1419</f>
        <v/>
      </c>
      <c r="B1420" s="254" t="str">
        <f>IF(LEN('Ch7'!H551)=0,"",'Ch7'!H551)</f>
        <v/>
      </c>
      <c r="C1420" s="254" t="str">
        <f t="shared" si="37"/>
        <v/>
      </c>
      <c r="D1420" s="139"/>
      <c r="E1420" s="1378"/>
      <c r="F1420" s="1378"/>
      <c r="G1420" s="1877"/>
      <c r="H1420" s="94"/>
      <c r="J1420" s="1204"/>
    </row>
    <row r="1421" spans="1:10" ht="18.75" x14ac:dyDescent="0.25">
      <c r="A1421" s="585" t="s">
        <v>3974</v>
      </c>
      <c r="B1421" s="254" t="str">
        <f>IF(LEN('Ch7'!H552)=0,"",'Ch7'!H552)</f>
        <v/>
      </c>
      <c r="C1421" s="254" t="str">
        <f t="shared" si="37"/>
        <v>P</v>
      </c>
      <c r="D1421" s="1388" t="s">
        <v>1007</v>
      </c>
      <c r="E1421" s="1398"/>
      <c r="F1421" s="1398"/>
      <c r="G1421" s="1312"/>
      <c r="H1421" s="94"/>
      <c r="J1421" s="1204"/>
    </row>
    <row r="1422" spans="1:10" x14ac:dyDescent="0.25">
      <c r="A1422" s="2363" t="str">
        <f ca="1">IF(COUNTIF(A1423:A1452,"P")&gt;0,"P","")</f>
        <v/>
      </c>
      <c r="B1422" s="254" t="str">
        <f>IF(LEN('Ch7'!H553)=0,"",'Ch7'!H553)</f>
        <v/>
      </c>
      <c r="C1422" s="254" t="str">
        <f t="shared" ca="1" si="37"/>
        <v/>
      </c>
      <c r="D1422" s="139">
        <v>705.2</v>
      </c>
      <c r="E1422" s="1378"/>
      <c r="F1422" s="1378"/>
      <c r="G1422" s="1235" t="s">
        <v>1008</v>
      </c>
      <c r="H1422" s="94"/>
      <c r="J1422" s="1204"/>
    </row>
    <row r="1423" spans="1:10" x14ac:dyDescent="0.25">
      <c r="A1423" s="2363" t="str">
        <f ca="1">IF(COUNTIF(A1426:A1442,"P")&gt;0,"P","")</f>
        <v/>
      </c>
      <c r="B1423" s="254" t="str">
        <f>IF(LEN('Ch7'!H554)=0,"",'Ch7'!H554)</f>
        <v/>
      </c>
      <c r="C1423" s="254" t="str">
        <f t="shared" ca="1" si="37"/>
        <v/>
      </c>
      <c r="D1423" s="139" t="s">
        <v>1009</v>
      </c>
      <c r="E1423" s="1378"/>
      <c r="F1423" s="1378"/>
      <c r="G1423" s="1235" t="s">
        <v>1010</v>
      </c>
      <c r="H1423" s="94"/>
      <c r="J1423" s="1204"/>
    </row>
    <row r="1424" spans="1:10" x14ac:dyDescent="0.25">
      <c r="B1424" s="254" t="str">
        <f>IF(LEN('Ch7'!H555)=0,"",'Ch7'!H555)</f>
        <v/>
      </c>
      <c r="C1424" s="254" t="str">
        <f t="shared" si="37"/>
        <v/>
      </c>
      <c r="D1424" s="139"/>
      <c r="E1424" s="1378"/>
      <c r="F1424" s="1378"/>
      <c r="G1424" s="1964" t="s">
        <v>1011</v>
      </c>
      <c r="H1424" s="94"/>
      <c r="J1424" s="1204"/>
    </row>
    <row r="1425" spans="1:10" x14ac:dyDescent="0.25">
      <c r="B1425" s="254" t="str">
        <f>IF(LEN('Ch7'!H556)=0,"",'Ch7'!H556)</f>
        <v/>
      </c>
      <c r="C1425" s="254" t="str">
        <f t="shared" si="37"/>
        <v/>
      </c>
      <c r="D1425" s="139"/>
      <c r="E1425" s="1378"/>
      <c r="F1425" s="1378"/>
      <c r="G1425" s="1964"/>
      <c r="H1425" s="94"/>
      <c r="J1425" s="1204"/>
    </row>
    <row r="1426" spans="1:10" x14ac:dyDescent="0.25">
      <c r="A1426" s="585" t="str">
        <f ca="1">IF(I1426&gt;0,"P","")</f>
        <v/>
      </c>
      <c r="B1426" s="254" t="str">
        <f>IF(LEN('Ch7'!H557)=0,"",'Ch7'!H557)</f>
        <v/>
      </c>
      <c r="C1426" s="254" t="str">
        <f t="shared" ref="C1426:C1489" ca="1" si="38">IF(LEN(B1426)=0,IF(A1426="P","P",""),B1426)</f>
        <v/>
      </c>
      <c r="D1426" s="139" t="s">
        <v>1012</v>
      </c>
      <c r="E1426" s="1378"/>
      <c r="F1426" s="1378"/>
      <c r="G1426" s="1877" t="s">
        <v>4328</v>
      </c>
      <c r="H1426" s="1313" t="str">
        <f>IF(LEN('Ch7'!W557)=0,"",'Ch7'!W557)</f>
        <v/>
      </c>
      <c r="I1426" s="86">
        <f ca="1">'Ch7'!O557</f>
        <v>0</v>
      </c>
      <c r="J1426" s="1204" t="s">
        <v>3892</v>
      </c>
    </row>
    <row r="1427" spans="1:10" x14ac:dyDescent="0.25">
      <c r="A1427" s="585" t="str">
        <f ca="1">A1426</f>
        <v/>
      </c>
      <c r="B1427" s="254" t="str">
        <f>IF(LEN('Ch7'!H558)=0,"",'Ch7'!H558)</f>
        <v/>
      </c>
      <c r="C1427" s="254" t="str">
        <f t="shared" ca="1" si="38"/>
        <v/>
      </c>
      <c r="D1427" s="139"/>
      <c r="E1427" s="1378"/>
      <c r="F1427" s="1378"/>
      <c r="G1427" s="1877"/>
      <c r="H1427" s="94"/>
      <c r="J1427" s="1204"/>
    </row>
    <row r="1428" spans="1:10" x14ac:dyDescent="0.25">
      <c r="B1428" s="254" t="str">
        <f>IF(LEN('Ch7'!H559)=0,"",'Ch7'!H559)</f>
        <v/>
      </c>
      <c r="C1428" s="254" t="str">
        <f t="shared" si="38"/>
        <v/>
      </c>
      <c r="D1428" s="139"/>
      <c r="E1428" s="696" t="s">
        <v>256</v>
      </c>
      <c r="F1428" s="1380"/>
      <c r="G1428" s="1215" t="s">
        <v>1013</v>
      </c>
      <c r="H1428" s="94"/>
      <c r="J1428" s="1204"/>
    </row>
    <row r="1429" spans="1:10" x14ac:dyDescent="0.25">
      <c r="B1429" s="254" t="str">
        <f>IF(LEN('Ch7'!H560)=0,"",'Ch7'!H560)</f>
        <v/>
      </c>
      <c r="C1429" s="254" t="str">
        <f t="shared" si="38"/>
        <v/>
      </c>
      <c r="D1429" s="669"/>
      <c r="E1429" s="696" t="s">
        <v>258</v>
      </c>
      <c r="F1429" s="1380"/>
      <c r="G1429" s="1215" t="s">
        <v>1014</v>
      </c>
      <c r="H1429" s="94"/>
      <c r="J1429" s="1204"/>
    </row>
    <row r="1430" spans="1:10" x14ac:dyDescent="0.25">
      <c r="A1430" s="585" t="str">
        <f>IF(I1430&gt;0,"P","")</f>
        <v/>
      </c>
      <c r="B1430" s="254" t="str">
        <f>IF(LEN('Ch7'!H561)=0,"",'Ch7'!H561)</f>
        <v/>
      </c>
      <c r="C1430" s="254" t="str">
        <f t="shared" si="38"/>
        <v/>
      </c>
      <c r="D1430" s="101" t="s">
        <v>1015</v>
      </c>
      <c r="E1430" s="695"/>
      <c r="F1430" s="1377"/>
      <c r="G1430" s="1782" t="s">
        <v>1016</v>
      </c>
      <c r="H1430" s="1313" t="str">
        <f>IF(LEN('Ch7'!W561)=0,"",'Ch7'!W561)</f>
        <v/>
      </c>
      <c r="I1430" s="86">
        <f>'Ch7'!O561</f>
        <v>0</v>
      </c>
      <c r="J1430" s="1204" t="s">
        <v>5010</v>
      </c>
    </row>
    <row r="1431" spans="1:10" x14ac:dyDescent="0.25">
      <c r="A1431" s="585" t="str">
        <f>A1430</f>
        <v/>
      </c>
      <c r="B1431" s="254" t="str">
        <f>IF(LEN('Ch7'!H562)=0,"",'Ch7'!H562)</f>
        <v/>
      </c>
      <c r="C1431" s="254" t="str">
        <f t="shared" si="38"/>
        <v/>
      </c>
      <c r="D1431" s="669"/>
      <c r="E1431" s="1380"/>
      <c r="F1431" s="1380"/>
      <c r="G1431" s="1843"/>
      <c r="H1431" s="94"/>
      <c r="J1431" s="1204"/>
    </row>
    <row r="1432" spans="1:10" x14ac:dyDescent="0.25">
      <c r="A1432" s="585" t="str">
        <f ca="1">IF(I1432&gt;0,"P","")</f>
        <v/>
      </c>
      <c r="B1432" s="254" t="str">
        <f>IF(LEN('Ch7'!H563)=0,"",'Ch7'!H563)</f>
        <v/>
      </c>
      <c r="C1432" s="254" t="str">
        <f t="shared" ca="1" si="38"/>
        <v/>
      </c>
      <c r="D1432" s="139" t="s">
        <v>1017</v>
      </c>
      <c r="E1432" s="1378"/>
      <c r="F1432" s="1378"/>
      <c r="G1432" s="1235" t="s">
        <v>1018</v>
      </c>
      <c r="H1432" s="94"/>
      <c r="I1432" s="706">
        <f ca="1">SUM(I1433:I1437)</f>
        <v>0</v>
      </c>
      <c r="J1432" s="1204" t="s">
        <v>3892</v>
      </c>
    </row>
    <row r="1433" spans="1:10" x14ac:dyDescent="0.25">
      <c r="B1433" s="254" t="str">
        <f>IF(LEN('Ch7'!H564)=0,"",'Ch7'!H564)</f>
        <v/>
      </c>
      <c r="C1433" s="254" t="str">
        <f t="shared" si="38"/>
        <v/>
      </c>
      <c r="D1433" s="139"/>
      <c r="E1433" s="697" t="s">
        <v>256</v>
      </c>
      <c r="F1433" s="1378"/>
      <c r="G1433" s="1754" t="s">
        <v>1019</v>
      </c>
      <c r="H1433" s="1313" t="str">
        <f>IF(LEN('Ch7'!W564)=0,"",'Ch7'!W564)</f>
        <v/>
      </c>
      <c r="I1433" s="86">
        <f ca="1">'Ch7'!O564</f>
        <v>0</v>
      </c>
      <c r="J1433" s="1204"/>
    </row>
    <row r="1434" spans="1:10" x14ac:dyDescent="0.25">
      <c r="B1434" s="254" t="str">
        <f>IF(LEN('Ch7'!H565)=0,"",'Ch7'!H565)</f>
        <v/>
      </c>
      <c r="C1434" s="254" t="str">
        <f t="shared" si="38"/>
        <v/>
      </c>
      <c r="D1434" s="139"/>
      <c r="E1434" s="1378"/>
      <c r="F1434" s="1378"/>
      <c r="G1434" s="1754"/>
      <c r="H1434" s="94"/>
      <c r="J1434" s="1204"/>
    </row>
    <row r="1435" spans="1:10" x14ac:dyDescent="0.25">
      <c r="B1435" s="254" t="str">
        <f>IF(LEN('Ch7'!H566)=0,"",'Ch7'!H566)</f>
        <v/>
      </c>
      <c r="C1435" s="254" t="str">
        <f t="shared" si="38"/>
        <v/>
      </c>
      <c r="D1435" s="139"/>
      <c r="E1435" s="1378"/>
      <c r="F1435" s="697" t="s">
        <v>121</v>
      </c>
      <c r="G1435" s="1225" t="s">
        <v>1013</v>
      </c>
      <c r="H1435" s="94"/>
      <c r="J1435" s="1204"/>
    </row>
    <row r="1436" spans="1:10" x14ac:dyDescent="0.25">
      <c r="B1436" s="254" t="str">
        <f>IF(LEN('Ch7'!H567)=0,"",'Ch7'!H567)</f>
        <v/>
      </c>
      <c r="C1436" s="254" t="str">
        <f t="shared" si="38"/>
        <v/>
      </c>
      <c r="D1436" s="139"/>
      <c r="E1436" s="1380"/>
      <c r="F1436" s="696" t="s">
        <v>122</v>
      </c>
      <c r="G1436" s="1215" t="s">
        <v>1014</v>
      </c>
      <c r="H1436" s="94"/>
      <c r="J1436" s="1204"/>
    </row>
    <row r="1437" spans="1:10" x14ac:dyDescent="0.25">
      <c r="B1437" s="254" t="str">
        <f>IF(LEN('Ch7'!H568)=0,"",'Ch7'!H568)</f>
        <v/>
      </c>
      <c r="C1437" s="254" t="str">
        <f t="shared" si="38"/>
        <v/>
      </c>
      <c r="D1437" s="139"/>
      <c r="E1437" s="697" t="s">
        <v>258</v>
      </c>
      <c r="F1437" s="1378"/>
      <c r="G1437" s="1754" t="s">
        <v>1020</v>
      </c>
      <c r="H1437" s="1313" t="str">
        <f>IF(LEN('Ch7'!W568)=0,"",'Ch7'!W568)</f>
        <v/>
      </c>
      <c r="I1437" s="86">
        <f ca="1">'Ch7'!O568</f>
        <v>0</v>
      </c>
      <c r="J1437" s="1204"/>
    </row>
    <row r="1438" spans="1:10" x14ac:dyDescent="0.25">
      <c r="B1438" s="254" t="str">
        <f>IF(LEN('Ch7'!H569)=0,"",'Ch7'!H569)</f>
        <v/>
      </c>
      <c r="C1438" s="254" t="str">
        <f t="shared" si="38"/>
        <v/>
      </c>
      <c r="D1438" s="139"/>
      <c r="E1438" s="1378"/>
      <c r="F1438" s="1378"/>
      <c r="G1438" s="1754"/>
      <c r="H1438" s="94"/>
      <c r="J1438" s="1204"/>
    </row>
    <row r="1439" spans="1:10" x14ac:dyDescent="0.25">
      <c r="B1439" s="254" t="str">
        <f>IF(LEN('Ch7'!H570)=0,"",'Ch7'!H570)</f>
        <v/>
      </c>
      <c r="C1439" s="254" t="str">
        <f t="shared" si="38"/>
        <v/>
      </c>
      <c r="D1439" s="139"/>
      <c r="E1439" s="1378"/>
      <c r="F1439" s="1378"/>
      <c r="G1439" s="1754"/>
      <c r="H1439" s="94"/>
      <c r="J1439" s="1204"/>
    </row>
    <row r="1440" spans="1:10" x14ac:dyDescent="0.25">
      <c r="B1440" s="254" t="str">
        <f>IF(LEN('Ch7'!H571)=0,"",'Ch7'!H571)</f>
        <v/>
      </c>
      <c r="C1440" s="254" t="str">
        <f t="shared" si="38"/>
        <v/>
      </c>
      <c r="D1440" s="101"/>
      <c r="E1440" s="1377"/>
      <c r="F1440" s="695" t="s">
        <v>121</v>
      </c>
      <c r="G1440" s="1225" t="s">
        <v>1021</v>
      </c>
      <c r="H1440" s="94"/>
      <c r="J1440" s="1204"/>
    </row>
    <row r="1441" spans="1:10" x14ac:dyDescent="0.25">
      <c r="B1441" s="254" t="str">
        <f>IF(LEN('Ch7'!H572)=0,"",'Ch7'!H572)</f>
        <v/>
      </c>
      <c r="C1441" s="254" t="str">
        <f t="shared" si="38"/>
        <v/>
      </c>
      <c r="D1441" s="669"/>
      <c r="E1441" s="1380"/>
      <c r="F1441" s="696" t="s">
        <v>122</v>
      </c>
      <c r="G1441" s="1215" t="s">
        <v>1022</v>
      </c>
      <c r="H1441" s="94"/>
      <c r="J1441" s="1204"/>
    </row>
    <row r="1442" spans="1:10" x14ac:dyDescent="0.25">
      <c r="A1442" s="585" t="str">
        <f ca="1">IF(I1442&gt;0,"P","")</f>
        <v/>
      </c>
      <c r="B1442" s="254" t="str">
        <f>IF(LEN('Ch7'!H573)=0,"",'Ch7'!H573)</f>
        <v/>
      </c>
      <c r="C1442" s="254" t="str">
        <f t="shared" ca="1" si="38"/>
        <v/>
      </c>
      <c r="D1442" s="139" t="s">
        <v>1023</v>
      </c>
      <c r="E1442" s="1378"/>
      <c r="F1442" s="1378"/>
      <c r="G1442" s="1782" t="s">
        <v>1024</v>
      </c>
      <c r="H1442" s="1313" t="str">
        <f>IF(LEN('Ch7'!W573)=0,"",'Ch7'!W573)</f>
        <v/>
      </c>
      <c r="I1442" s="86">
        <f ca="1">'Ch7'!O573</f>
        <v>0</v>
      </c>
      <c r="J1442" s="1204" t="s">
        <v>3892</v>
      </c>
    </row>
    <row r="1443" spans="1:10" x14ac:dyDescent="0.25">
      <c r="A1443" s="585" t="str">
        <f ca="1">A1442</f>
        <v/>
      </c>
      <c r="B1443" s="254" t="str">
        <f>IF(LEN('Ch7'!H574)=0,"",'Ch7'!H574)</f>
        <v/>
      </c>
      <c r="C1443" s="254" t="str">
        <f t="shared" ca="1" si="38"/>
        <v/>
      </c>
      <c r="D1443" s="139"/>
      <c r="E1443" s="1378"/>
      <c r="F1443" s="1378"/>
      <c r="G1443" s="1782"/>
      <c r="H1443" s="94"/>
      <c r="J1443" s="1204"/>
    </row>
    <row r="1444" spans="1:10" x14ac:dyDescent="0.25">
      <c r="A1444" s="585" t="str">
        <f ca="1">A1443</f>
        <v/>
      </c>
      <c r="B1444" s="254" t="str">
        <f>IF(LEN('Ch7'!H575)=0,"",'Ch7'!H575)</f>
        <v/>
      </c>
      <c r="C1444" s="254" t="str">
        <f t="shared" ca="1" si="38"/>
        <v/>
      </c>
      <c r="D1444" s="139"/>
      <c r="E1444" s="1378"/>
      <c r="F1444" s="1378"/>
      <c r="G1444" s="1782"/>
      <c r="H1444" s="94"/>
      <c r="J1444" s="1204"/>
    </row>
    <row r="1445" spans="1:10" x14ac:dyDescent="0.25">
      <c r="B1445" s="254" t="str">
        <f>IF(LEN('Ch7'!H576)=0,"",'Ch7'!H576)</f>
        <v/>
      </c>
      <c r="C1445" s="254" t="str">
        <f t="shared" si="38"/>
        <v/>
      </c>
      <c r="D1445" s="139"/>
      <c r="E1445" s="696" t="s">
        <v>256</v>
      </c>
      <c r="F1445" s="1380"/>
      <c r="G1445" s="1215" t="s">
        <v>1021</v>
      </c>
      <c r="H1445" s="94"/>
      <c r="J1445" s="1204"/>
    </row>
    <row r="1446" spans="1:10" x14ac:dyDescent="0.25">
      <c r="B1446" s="254" t="str">
        <f>IF(LEN('Ch7'!H577)=0,"",'Ch7'!H577)</f>
        <v/>
      </c>
      <c r="C1446" s="254" t="str">
        <f t="shared" si="38"/>
        <v/>
      </c>
      <c r="D1446" s="669"/>
      <c r="E1446" s="696" t="s">
        <v>258</v>
      </c>
      <c r="F1446" s="1380"/>
      <c r="G1446" s="1215" t="s">
        <v>1025</v>
      </c>
      <c r="H1446" s="94"/>
      <c r="J1446" s="1204"/>
    </row>
    <row r="1447" spans="1:10" x14ac:dyDescent="0.25">
      <c r="A1447" s="585" t="str">
        <f>IF(I1447&gt;0,"P","")</f>
        <v/>
      </c>
      <c r="B1447" s="254" t="str">
        <f>IF(LEN('Ch7'!H578)=0,"",'Ch7'!H578)</f>
        <v/>
      </c>
      <c r="C1447" s="254" t="str">
        <f t="shared" si="38"/>
        <v/>
      </c>
      <c r="D1447" s="671" t="s">
        <v>1026</v>
      </c>
      <c r="E1447" s="1382"/>
      <c r="F1447" s="1382"/>
      <c r="G1447" s="1864" t="s">
        <v>1027</v>
      </c>
      <c r="H1447" s="1313" t="str">
        <f>IF(LEN('Ch7'!W578)=0,"",'Ch7'!W578)</f>
        <v/>
      </c>
      <c r="I1447" s="86">
        <f>'Ch7'!O578</f>
        <v>0</v>
      </c>
      <c r="J1447" s="1204" t="s">
        <v>3892</v>
      </c>
    </row>
    <row r="1448" spans="1:10" x14ac:dyDescent="0.25">
      <c r="A1448" s="585" t="str">
        <f>A1447</f>
        <v/>
      </c>
      <c r="B1448" s="254" t="str">
        <f>IF(LEN('Ch7'!H579)=0,"",'Ch7'!H579)</f>
        <v/>
      </c>
      <c r="C1448" s="254" t="str">
        <f t="shared" si="38"/>
        <v/>
      </c>
      <c r="D1448" s="101"/>
      <c r="E1448" s="1377"/>
      <c r="F1448" s="1377"/>
      <c r="G1448" s="1782"/>
      <c r="H1448" s="94"/>
      <c r="J1448" s="1204"/>
    </row>
    <row r="1449" spans="1:10" x14ac:dyDescent="0.25">
      <c r="B1449" s="254" t="str">
        <f>IF(LEN('Ch7'!H580)=0,"",'Ch7'!H580)</f>
        <v/>
      </c>
      <c r="C1449" s="254" t="str">
        <f t="shared" si="38"/>
        <v/>
      </c>
      <c r="D1449" s="669"/>
      <c r="E1449" s="1380"/>
      <c r="F1449" s="1380"/>
      <c r="G1449" s="1239" t="s">
        <v>931</v>
      </c>
      <c r="H1449" s="94"/>
      <c r="J1449" s="1204"/>
    </row>
    <row r="1450" spans="1:10" x14ac:dyDescent="0.25">
      <c r="A1450" s="585" t="str">
        <f>IF(I1450&gt;0,"P","")</f>
        <v/>
      </c>
      <c r="B1450" s="254" t="str">
        <f>IF(LEN('Ch7'!H581)=0,"",'Ch7'!H581)</f>
        <v/>
      </c>
      <c r="C1450" s="254" t="str">
        <f t="shared" si="38"/>
        <v/>
      </c>
      <c r="D1450" s="671" t="s">
        <v>1028</v>
      </c>
      <c r="E1450" s="1382"/>
      <c r="F1450" s="1382"/>
      <c r="G1450" s="1864" t="s">
        <v>1029</v>
      </c>
      <c r="H1450" s="1313" t="str">
        <f>IF(LEN('Ch7'!W581)=0,"",'Ch7'!W581)</f>
        <v/>
      </c>
      <c r="I1450" s="86">
        <f>'Ch7'!O581</f>
        <v>0</v>
      </c>
      <c r="J1450" s="1204" t="s">
        <v>3892</v>
      </c>
    </row>
    <row r="1451" spans="1:10" x14ac:dyDescent="0.25">
      <c r="A1451" s="585" t="str">
        <f>A1450</f>
        <v/>
      </c>
      <c r="B1451" s="254" t="str">
        <f>IF(LEN('Ch7'!H582)=0,"",'Ch7'!H582)</f>
        <v/>
      </c>
      <c r="C1451" s="254" t="str">
        <f t="shared" si="38"/>
        <v/>
      </c>
      <c r="D1451" s="669"/>
      <c r="E1451" s="1380"/>
      <c r="F1451" s="1380"/>
      <c r="G1451" s="1843"/>
      <c r="H1451" s="94"/>
      <c r="J1451" s="1204"/>
    </row>
    <row r="1452" spans="1:10" x14ac:dyDescent="0.25">
      <c r="A1452" s="585" t="str">
        <f>IF(I1452&gt;0,"P","")</f>
        <v/>
      </c>
      <c r="B1452" s="254" t="str">
        <f>IF(LEN('Ch7'!H583)=0,"",'Ch7'!H583)</f>
        <v/>
      </c>
      <c r="C1452" s="254" t="str">
        <f t="shared" si="38"/>
        <v/>
      </c>
      <c r="D1452" s="101" t="s">
        <v>1030</v>
      </c>
      <c r="E1452" s="1377"/>
      <c r="F1452" s="1377"/>
      <c r="G1452" s="1782" t="s">
        <v>1031</v>
      </c>
      <c r="H1452" s="94"/>
      <c r="I1452" s="86">
        <f>'Ch7'!O583</f>
        <v>0</v>
      </c>
      <c r="J1452" s="1204" t="s">
        <v>3892</v>
      </c>
    </row>
    <row r="1453" spans="1:10" x14ac:dyDescent="0.25">
      <c r="A1453" s="585" t="str">
        <f>A1452</f>
        <v/>
      </c>
      <c r="B1453" s="254" t="str">
        <f>IF(LEN('Ch7'!H584)=0,"",'Ch7'!H584)</f>
        <v/>
      </c>
      <c r="C1453" s="254" t="str">
        <f t="shared" si="38"/>
        <v/>
      </c>
      <c r="D1453" s="101"/>
      <c r="E1453" s="1377"/>
      <c r="F1453" s="1377"/>
      <c r="G1453" s="1782"/>
      <c r="H1453" s="1313" t="str">
        <f>IF(LEN('Ch7'!W584)=0,"",'Ch7'!W584)</f>
        <v/>
      </c>
      <c r="J1453" s="1204"/>
    </row>
    <row r="1454" spans="1:10" ht="15.75" thickBot="1" x14ac:dyDescent="0.3">
      <c r="A1454" s="585" t="str">
        <f>A1453</f>
        <v/>
      </c>
      <c r="B1454" s="254" t="str">
        <f>IF(LEN('Ch7'!H585)=0,"",'Ch7'!H585)</f>
        <v/>
      </c>
      <c r="C1454" s="254" t="str">
        <f t="shared" si="38"/>
        <v/>
      </c>
      <c r="D1454" s="670"/>
      <c r="E1454" s="1379"/>
      <c r="F1454" s="1379"/>
      <c r="G1454" s="1797"/>
      <c r="H1454" s="1255"/>
      <c r="J1454" s="1204"/>
    </row>
    <row r="1455" spans="1:10" ht="16.5" thickTop="1" thickBot="1" x14ac:dyDescent="0.3">
      <c r="A1455" s="585" t="str">
        <f>IF(I1455&gt;0,"P","")</f>
        <v/>
      </c>
      <c r="B1455" s="254" t="str">
        <f>IF(LEN('Ch7'!H586)=0,"",'Ch7'!H586)</f>
        <v/>
      </c>
      <c r="C1455" s="254" t="str">
        <f t="shared" si="38"/>
        <v/>
      </c>
      <c r="D1455" s="672">
        <v>705.3</v>
      </c>
      <c r="E1455" s="1399"/>
      <c r="F1455" s="1399"/>
      <c r="G1455" s="365" t="s">
        <v>1032</v>
      </c>
      <c r="H1455" s="1313" t="str">
        <f>IF(LEN('Ch7'!W586)=0,"",'Ch7'!W586)</f>
        <v/>
      </c>
      <c r="I1455" s="86">
        <f>'Ch7'!O586</f>
        <v>0</v>
      </c>
      <c r="J1455" s="1204" t="s">
        <v>3892</v>
      </c>
    </row>
    <row r="1456" spans="1:10" ht="15.75" thickTop="1" x14ac:dyDescent="0.25">
      <c r="A1456" s="585" t="str">
        <f>IF(I1456&gt;0,"P","")</f>
        <v/>
      </c>
      <c r="B1456" s="254" t="str">
        <f>IF(LEN('Ch7'!H587)=0,"",'Ch7'!H587)</f>
        <v/>
      </c>
      <c r="C1456" s="254" t="str">
        <f t="shared" si="38"/>
        <v/>
      </c>
      <c r="D1456" s="106">
        <v>705.4</v>
      </c>
      <c r="E1456" s="1376"/>
      <c r="F1456" s="1376"/>
      <c r="G1456" s="1781" t="s">
        <v>1033</v>
      </c>
      <c r="H1456" s="1313" t="str">
        <f>IF(LEN('Ch7'!W587)=0,"",'Ch7'!W587)</f>
        <v/>
      </c>
      <c r="I1456" s="86">
        <f>'Ch7'!O587</f>
        <v>0</v>
      </c>
      <c r="J1456" s="1204" t="s">
        <v>3892</v>
      </c>
    </row>
    <row r="1457" spans="1:10" x14ac:dyDescent="0.25">
      <c r="A1457" s="585" t="str">
        <f>A1456</f>
        <v/>
      </c>
      <c r="B1457" s="254" t="str">
        <f>IF(LEN('Ch7'!H588)=0,"",'Ch7'!H588)</f>
        <v/>
      </c>
      <c r="C1457" s="254" t="str">
        <f t="shared" si="38"/>
        <v/>
      </c>
      <c r="D1457" s="101"/>
      <c r="E1457" s="1377"/>
      <c r="F1457" s="1377"/>
      <c r="G1457" s="1782"/>
      <c r="H1457" s="94"/>
      <c r="J1457" s="1204"/>
    </row>
    <row r="1458" spans="1:10" ht="15.75" thickBot="1" x14ac:dyDescent="0.3">
      <c r="A1458" s="585" t="str">
        <f>A1457</f>
        <v/>
      </c>
      <c r="B1458" s="254" t="str">
        <f>IF(LEN('Ch7'!H589)=0,"",'Ch7'!H589)</f>
        <v/>
      </c>
      <c r="C1458" s="254" t="str">
        <f t="shared" si="38"/>
        <v/>
      </c>
      <c r="D1458" s="670"/>
      <c r="E1458" s="1379"/>
      <c r="F1458" s="1379"/>
      <c r="G1458" s="1797"/>
      <c r="H1458" s="94"/>
      <c r="J1458" s="1204"/>
    </row>
    <row r="1459" spans="1:10" ht="15.75" thickTop="1" x14ac:dyDescent="0.25">
      <c r="A1459" s="2363" t="str">
        <f>IF(COUNTIF(A1460:A1477,"P")&gt;0,"P","")</f>
        <v/>
      </c>
      <c r="B1459" s="254" t="str">
        <f>IF(LEN('Ch7'!H590)=0,"",'Ch7'!H590)</f>
        <v/>
      </c>
      <c r="C1459" s="254" t="str">
        <f t="shared" si="38"/>
        <v/>
      </c>
      <c r="D1459" s="139">
        <v>705.5</v>
      </c>
      <c r="E1459" s="1378"/>
      <c r="F1459" s="1378"/>
      <c r="G1459" s="1235" t="s">
        <v>1034</v>
      </c>
      <c r="H1459" s="94"/>
      <c r="J1459" s="1204"/>
    </row>
    <row r="1460" spans="1:10" x14ac:dyDescent="0.25">
      <c r="A1460" s="585" t="str">
        <f>IF(I1460&gt;0,"P","")</f>
        <v/>
      </c>
      <c r="B1460" s="254" t="str">
        <f>IF(LEN('Ch7'!H591)=0,"",'Ch7'!H591)</f>
        <v/>
      </c>
      <c r="C1460" s="254" t="str">
        <f t="shared" si="38"/>
        <v/>
      </c>
      <c r="D1460" s="101" t="s">
        <v>1035</v>
      </c>
      <c r="E1460" s="1378"/>
      <c r="F1460" s="1378"/>
      <c r="G1460" s="1234" t="s">
        <v>4329</v>
      </c>
      <c r="H1460" s="94"/>
      <c r="I1460" s="706">
        <f>SUM(I1461:I1464)</f>
        <v>0</v>
      </c>
      <c r="J1460" s="1204" t="s">
        <v>3923</v>
      </c>
    </row>
    <row r="1461" spans="1:10" x14ac:dyDescent="0.25">
      <c r="B1461" s="254" t="str">
        <f>IF(LEN('Ch7'!H592)=0,"",'Ch7'!H592)</f>
        <v/>
      </c>
      <c r="C1461" s="254" t="str">
        <f t="shared" si="38"/>
        <v/>
      </c>
      <c r="D1461" s="101"/>
      <c r="E1461" s="667" t="s">
        <v>256</v>
      </c>
      <c r="F1461" s="1378"/>
      <c r="G1461" s="1765" t="s">
        <v>4330</v>
      </c>
      <c r="H1461" s="1313" t="str">
        <f>IF(LEN('Ch7'!W592)=0,"",'Ch7'!W592)</f>
        <v/>
      </c>
      <c r="I1461" s="86">
        <f>'Ch7'!O592</f>
        <v>0</v>
      </c>
      <c r="J1461" s="1204"/>
    </row>
    <row r="1462" spans="1:10" x14ac:dyDescent="0.25">
      <c r="B1462" s="254" t="str">
        <f>IF(LEN('Ch7'!H593)=0,"",'Ch7'!H593)</f>
        <v/>
      </c>
      <c r="C1462" s="254" t="str">
        <f t="shared" si="38"/>
        <v/>
      </c>
      <c r="D1462" s="101"/>
      <c r="E1462" s="667"/>
      <c r="F1462" s="1378"/>
      <c r="G1462" s="1765"/>
      <c r="H1462" s="94"/>
      <c r="J1462" s="1204"/>
    </row>
    <row r="1463" spans="1:10" x14ac:dyDescent="0.25">
      <c r="B1463" s="254" t="str">
        <f>IF(LEN('Ch7'!H594)=0,"",'Ch7'!H594)</f>
        <v/>
      </c>
      <c r="C1463" s="254" t="str">
        <f t="shared" si="38"/>
        <v/>
      </c>
      <c r="D1463" s="101"/>
      <c r="E1463" s="684"/>
      <c r="F1463" s="1380"/>
      <c r="G1463" s="1786"/>
      <c r="H1463" s="94"/>
      <c r="J1463" s="1204"/>
    </row>
    <row r="1464" spans="1:10" x14ac:dyDescent="0.25">
      <c r="B1464" s="254" t="str">
        <f>IF(LEN('Ch7'!H595)=0,"",'Ch7'!H595)</f>
        <v/>
      </c>
      <c r="C1464" s="254" t="str">
        <f t="shared" si="38"/>
        <v/>
      </c>
      <c r="D1464" s="101"/>
      <c r="E1464" s="667" t="s">
        <v>258</v>
      </c>
      <c r="F1464" s="1378"/>
      <c r="G1464" s="1765" t="s">
        <v>4331</v>
      </c>
      <c r="H1464" s="1313" t="str">
        <f>IF(LEN('Ch7'!W595)=0,"",'Ch7'!W595)</f>
        <v/>
      </c>
      <c r="I1464" s="86">
        <f>'Ch7'!O595</f>
        <v>0</v>
      </c>
      <c r="J1464" s="1204"/>
    </row>
    <row r="1465" spans="1:10" x14ac:dyDescent="0.25">
      <c r="B1465" s="254" t="str">
        <f>IF(LEN('Ch7'!H596)=0,"",'Ch7'!H596)</f>
        <v/>
      </c>
      <c r="C1465" s="254" t="str">
        <f t="shared" si="38"/>
        <v/>
      </c>
      <c r="D1465" s="669"/>
      <c r="E1465" s="1380"/>
      <c r="F1465" s="1380"/>
      <c r="G1465" s="1786"/>
      <c r="H1465" s="94"/>
      <c r="J1465" s="1204"/>
    </row>
    <row r="1466" spans="1:10" x14ac:dyDescent="0.25">
      <c r="A1466" s="585" t="str">
        <f>IF(I1466&gt;0,"P","")</f>
        <v/>
      </c>
      <c r="B1466" s="254" t="str">
        <f>IF(LEN('Ch7'!H597)=0,"",'Ch7'!H597)</f>
        <v/>
      </c>
      <c r="C1466" s="254" t="str">
        <f t="shared" si="38"/>
        <v/>
      </c>
      <c r="D1466" s="139" t="s">
        <v>1036</v>
      </c>
      <c r="E1466" s="1378"/>
      <c r="F1466" s="1378"/>
      <c r="G1466" s="1782" t="s">
        <v>1037</v>
      </c>
      <c r="H1466" s="1313" t="str">
        <f>IF(LEN('Ch7'!W597)=0,"",'Ch7'!W597)</f>
        <v/>
      </c>
      <c r="I1466" s="86">
        <f>'Ch7'!O597</f>
        <v>0</v>
      </c>
      <c r="J1466" s="1204" t="s">
        <v>3924</v>
      </c>
    </row>
    <row r="1467" spans="1:10" x14ac:dyDescent="0.25">
      <c r="A1467" s="585" t="str">
        <f>A1466</f>
        <v/>
      </c>
      <c r="B1467" s="254" t="str">
        <f>IF(LEN('Ch7'!H598)=0,"",'Ch7'!H598)</f>
        <v/>
      </c>
      <c r="C1467" s="254" t="str">
        <f t="shared" si="38"/>
        <v/>
      </c>
      <c r="D1467" s="139"/>
      <c r="E1467" s="1378"/>
      <c r="F1467" s="1378"/>
      <c r="G1467" s="1782"/>
      <c r="H1467" s="94"/>
      <c r="J1467" s="1204"/>
    </row>
    <row r="1468" spans="1:10" x14ac:dyDescent="0.25">
      <c r="B1468" s="254" t="str">
        <f>IF(LEN('Ch7'!H599)=0,"",'Ch7'!H599)</f>
        <v/>
      </c>
      <c r="C1468" s="254" t="str">
        <f t="shared" si="38"/>
        <v/>
      </c>
      <c r="D1468" s="139"/>
      <c r="E1468" s="696" t="s">
        <v>256</v>
      </c>
      <c r="F1468" s="1380"/>
      <c r="G1468" s="1215" t="s">
        <v>1038</v>
      </c>
      <c r="H1468" s="94"/>
      <c r="J1468" s="1204"/>
    </row>
    <row r="1469" spans="1:10" x14ac:dyDescent="0.25">
      <c r="B1469" s="254" t="str">
        <f>IF(LEN('Ch7'!H600)=0,"",'Ch7'!H600)</f>
        <v/>
      </c>
      <c r="C1469" s="254" t="str">
        <f t="shared" si="38"/>
        <v/>
      </c>
      <c r="D1469" s="139"/>
      <c r="E1469" s="696" t="s">
        <v>258</v>
      </c>
      <c r="F1469" s="1380"/>
      <c r="G1469" s="1215" t="s">
        <v>1039</v>
      </c>
      <c r="H1469" s="94"/>
      <c r="J1469" s="1204"/>
    </row>
    <row r="1470" spans="1:10" x14ac:dyDescent="0.25">
      <c r="B1470" s="254" t="str">
        <f>IF(LEN('Ch7'!H601)=0,"",'Ch7'!H601)</f>
        <v/>
      </c>
      <c r="C1470" s="254" t="str">
        <f t="shared" si="38"/>
        <v/>
      </c>
      <c r="D1470" s="139"/>
      <c r="E1470" s="701" t="s">
        <v>260</v>
      </c>
      <c r="F1470" s="1395"/>
      <c r="G1470" s="280" t="s">
        <v>1040</v>
      </c>
      <c r="H1470" s="94"/>
      <c r="J1470" s="1204"/>
    </row>
    <row r="1471" spans="1:10" x14ac:dyDescent="0.25">
      <c r="B1471" s="254" t="str">
        <f>IF(LEN('Ch7'!H602)=0,"",'Ch7'!H602)</f>
        <v/>
      </c>
      <c r="C1471" s="254" t="str">
        <f t="shared" si="38"/>
        <v/>
      </c>
      <c r="D1471" s="101"/>
      <c r="E1471" s="701" t="s">
        <v>269</v>
      </c>
      <c r="F1471" s="1395"/>
      <c r="G1471" s="280" t="s">
        <v>1041</v>
      </c>
      <c r="H1471" s="94"/>
      <c r="J1471" s="1204"/>
    </row>
    <row r="1472" spans="1:10" x14ac:dyDescent="0.25">
      <c r="B1472" s="254" t="str">
        <f>IF(LEN('Ch7'!H603)=0,"",'Ch7'!H603)</f>
        <v/>
      </c>
      <c r="C1472" s="254" t="str">
        <f t="shared" si="38"/>
        <v/>
      </c>
      <c r="D1472" s="101"/>
      <c r="E1472" s="701" t="s">
        <v>275</v>
      </c>
      <c r="F1472" s="1395"/>
      <c r="G1472" s="280" t="s">
        <v>1042</v>
      </c>
      <c r="H1472" s="94"/>
      <c r="J1472" s="1204"/>
    </row>
    <row r="1473" spans="1:10" x14ac:dyDescent="0.25">
      <c r="B1473" s="254" t="str">
        <f>IF(LEN('Ch7'!H604)=0,"",'Ch7'!H604)</f>
        <v/>
      </c>
      <c r="C1473" s="254" t="str">
        <f t="shared" si="38"/>
        <v/>
      </c>
      <c r="D1473" s="669"/>
      <c r="E1473" s="696" t="s">
        <v>277</v>
      </c>
      <c r="F1473" s="1380"/>
      <c r="G1473" s="1215" t="s">
        <v>1043</v>
      </c>
      <c r="H1473" s="94"/>
      <c r="J1473" s="1204"/>
    </row>
    <row r="1474" spans="1:10" x14ac:dyDescent="0.25">
      <c r="A1474" s="585" t="str">
        <f>IF(I1474&gt;0,"P","")</f>
        <v/>
      </c>
      <c r="B1474" s="254" t="str">
        <f>IF(LEN('Ch7'!H605)=0,"",'Ch7'!H605)</f>
        <v/>
      </c>
      <c r="C1474" s="254" t="str">
        <f t="shared" si="38"/>
        <v/>
      </c>
      <c r="D1474" s="667" t="s">
        <v>4332</v>
      </c>
      <c r="E1474" s="667"/>
      <c r="F1474" s="667"/>
      <c r="G1474" s="1234" t="s">
        <v>4333</v>
      </c>
      <c r="H1474" s="94"/>
      <c r="I1474" s="706">
        <f>SUM(I1475:I1477)</f>
        <v>0</v>
      </c>
      <c r="J1474" s="1204"/>
    </row>
    <row r="1475" spans="1:10" x14ac:dyDescent="0.25">
      <c r="A1475" s="585" t="str">
        <f>IF(I1475&gt;0,"P","")</f>
        <v/>
      </c>
      <c r="B1475" s="254" t="str">
        <f>IF(LEN('Ch7'!H606)=0,"",'Ch7'!H606)</f>
        <v/>
      </c>
      <c r="C1475" s="254" t="str">
        <f t="shared" si="38"/>
        <v/>
      </c>
      <c r="D1475" s="667"/>
      <c r="E1475" s="667" t="s">
        <v>256</v>
      </c>
      <c r="F1475" s="667"/>
      <c r="G1475" s="1765" t="s">
        <v>4334</v>
      </c>
      <c r="H1475" s="1313" t="str">
        <f>IF(LEN('Ch7'!W606)=0,"",'Ch7'!W606)</f>
        <v/>
      </c>
      <c r="I1475" s="86">
        <f>'Ch7'!O606</f>
        <v>0</v>
      </c>
      <c r="J1475" s="1204" t="s">
        <v>5011</v>
      </c>
    </row>
    <row r="1476" spans="1:10" x14ac:dyDescent="0.25">
      <c r="A1476" s="585" t="str">
        <f>A1475</f>
        <v/>
      </c>
      <c r="B1476" s="254" t="str">
        <f>IF(LEN('Ch7'!H607)=0,"",'Ch7'!H607)</f>
        <v/>
      </c>
      <c r="C1476" s="254" t="str">
        <f t="shared" si="38"/>
        <v/>
      </c>
      <c r="D1476" s="667"/>
      <c r="E1476" s="684"/>
      <c r="F1476" s="684"/>
      <c r="G1476" s="1786"/>
      <c r="H1476" s="94"/>
      <c r="J1476" s="1204"/>
    </row>
    <row r="1477" spans="1:10" ht="15.75" thickBot="1" x14ac:dyDescent="0.3">
      <c r="A1477" s="585" t="str">
        <f>IF(I1477&gt;0,"P","")</f>
        <v/>
      </c>
      <c r="B1477" s="254" t="str">
        <f>IF(LEN('Ch7'!H608)=0,"",'Ch7'!H608)</f>
        <v/>
      </c>
      <c r="C1477" s="254" t="str">
        <f t="shared" si="38"/>
        <v/>
      </c>
      <c r="D1477" s="673"/>
      <c r="E1477" s="673" t="s">
        <v>258</v>
      </c>
      <c r="F1477" s="673"/>
      <c r="G1477" s="1218" t="s">
        <v>4335</v>
      </c>
      <c r="H1477" s="1313" t="str">
        <f>IF(LEN('Ch7'!W608)=0,"",'Ch7'!W608)</f>
        <v/>
      </c>
      <c r="I1477" s="86">
        <f>'Ch7'!O608</f>
        <v>0</v>
      </c>
      <c r="J1477" s="1204" t="s">
        <v>5012</v>
      </c>
    </row>
    <row r="1478" spans="1:10" ht="15.75" thickTop="1" x14ac:dyDescent="0.25">
      <c r="A1478" s="585" t="str">
        <f ca="1">IF(I1478&gt;0,"P","")</f>
        <v/>
      </c>
      <c r="B1478" s="254" t="str">
        <f>IF(LEN('Ch7'!H609)=0,"",'Ch7'!H609)</f>
        <v/>
      </c>
      <c r="C1478" s="254" t="str">
        <f t="shared" ca="1" si="38"/>
        <v/>
      </c>
      <c r="D1478" s="139">
        <v>705.6</v>
      </c>
      <c r="E1478" s="1378"/>
      <c r="F1478" s="1378"/>
      <c r="G1478" s="1235" t="s">
        <v>1044</v>
      </c>
      <c r="H1478" s="94"/>
      <c r="I1478" s="706">
        <f ca="1">SUM(I1479:I1526)</f>
        <v>0</v>
      </c>
      <c r="J1478" s="1204"/>
    </row>
    <row r="1479" spans="1:10" x14ac:dyDescent="0.25">
      <c r="A1479" s="585" t="str">
        <f>IF(I1479&gt;0,"P","")</f>
        <v/>
      </c>
      <c r="B1479" s="254" t="str">
        <f>IF(LEN('Ch7'!H610)=0,"",'Ch7'!H610)</f>
        <v/>
      </c>
      <c r="C1479" s="254" t="str">
        <f t="shared" si="38"/>
        <v/>
      </c>
      <c r="D1479" s="101" t="s">
        <v>1045</v>
      </c>
      <c r="E1479" s="1377"/>
      <c r="F1479" s="1377"/>
      <c r="G1479" s="1877" t="s">
        <v>4336</v>
      </c>
      <c r="H1479" s="1873"/>
      <c r="I1479" s="86">
        <f>'Ch7'!O610</f>
        <v>0</v>
      </c>
      <c r="J1479" s="1204" t="s">
        <v>3892</v>
      </c>
    </row>
    <row r="1480" spans="1:10" x14ac:dyDescent="0.25">
      <c r="A1480" s="585" t="str">
        <f>A1479</f>
        <v/>
      </c>
      <c r="B1480" s="254" t="str">
        <f>IF(LEN('Ch7'!H611)=0,"",'Ch7'!H611)</f>
        <v/>
      </c>
      <c r="C1480" s="254" t="str">
        <f t="shared" si="38"/>
        <v/>
      </c>
      <c r="D1480" s="101"/>
      <c r="E1480" s="1377"/>
      <c r="F1480" s="1377"/>
      <c r="G1480" s="1877"/>
      <c r="H1480" s="1873"/>
      <c r="J1480" s="1204"/>
    </row>
    <row r="1481" spans="1:10" x14ac:dyDescent="0.25">
      <c r="A1481" s="585" t="str">
        <f>A1480</f>
        <v/>
      </c>
      <c r="B1481" s="254" t="str">
        <f>IF(LEN('Ch7'!H612)=0,"",'Ch7'!H612)</f>
        <v/>
      </c>
      <c r="C1481" s="254" t="str">
        <f t="shared" si="38"/>
        <v/>
      </c>
      <c r="D1481" s="101"/>
      <c r="E1481" s="1377"/>
      <c r="F1481" s="1377"/>
      <c r="G1481" s="1877"/>
      <c r="H1481" s="1873"/>
      <c r="J1481" s="1204"/>
    </row>
    <row r="1482" spans="1:10" x14ac:dyDescent="0.25">
      <c r="A1482" s="585" t="str">
        <f>A1481</f>
        <v/>
      </c>
      <c r="B1482" s="254" t="str">
        <f>IF(LEN('Ch7'!H613)=0,"",'Ch7'!H613)</f>
        <v/>
      </c>
      <c r="C1482" s="254" t="str">
        <f t="shared" si="38"/>
        <v/>
      </c>
      <c r="D1482" s="101"/>
      <c r="E1482" s="1377"/>
      <c r="F1482" s="1377"/>
      <c r="G1482" s="1877"/>
      <c r="H1482" s="1873"/>
      <c r="J1482" s="1204"/>
    </row>
    <row r="1483" spans="1:10" x14ac:dyDescent="0.25">
      <c r="A1483" s="585" t="str">
        <f>A1482</f>
        <v/>
      </c>
      <c r="B1483" s="254" t="str">
        <f>IF(LEN('Ch7'!H614)=0,"",'Ch7'!H614)</f>
        <v/>
      </c>
      <c r="C1483" s="254" t="str">
        <f t="shared" si="38"/>
        <v/>
      </c>
      <c r="D1483" s="101"/>
      <c r="E1483" s="1377"/>
      <c r="F1483" s="1377"/>
      <c r="G1483" s="1877"/>
      <c r="H1483" s="1873"/>
      <c r="J1483" s="1204"/>
    </row>
    <row r="1484" spans="1:10" x14ac:dyDescent="0.25">
      <c r="A1484" s="585" t="str">
        <f>A1483</f>
        <v/>
      </c>
      <c r="B1484" s="254" t="str">
        <f>IF(LEN('Ch7'!H615)=0,"",'Ch7'!H615)</f>
        <v/>
      </c>
      <c r="C1484" s="254" t="str">
        <f t="shared" si="38"/>
        <v/>
      </c>
      <c r="D1484" s="669"/>
      <c r="E1484" s="1380"/>
      <c r="F1484" s="1380"/>
      <c r="G1484" s="1834"/>
      <c r="H1484" s="1873"/>
      <c r="J1484" s="1204"/>
    </row>
    <row r="1485" spans="1:10" x14ac:dyDescent="0.25">
      <c r="A1485" s="585" t="str">
        <f>IF(I1485&gt;0,"P","")</f>
        <v/>
      </c>
      <c r="B1485" s="254" t="str">
        <f>IF(LEN('Ch7'!H616)=0,"",'Ch7'!H616)</f>
        <v/>
      </c>
      <c r="C1485" s="254" t="str">
        <f t="shared" si="38"/>
        <v/>
      </c>
      <c r="D1485" s="139" t="s">
        <v>3619</v>
      </c>
      <c r="E1485" s="1378"/>
      <c r="F1485" s="1378"/>
      <c r="G1485" s="1235" t="s">
        <v>3620</v>
      </c>
      <c r="H1485" s="94"/>
      <c r="I1485" s="706">
        <f>SUM(I1486:I1487)</f>
        <v>0</v>
      </c>
      <c r="J1485" s="1204"/>
    </row>
    <row r="1486" spans="1:10" x14ac:dyDescent="0.25">
      <c r="A1486" s="585" t="str">
        <f>IF(I1486&gt;0,"P","")</f>
        <v/>
      </c>
      <c r="B1486" s="254" t="str">
        <f>IF(LEN('Ch7'!H617)=0,"",'Ch7'!H617)</f>
        <v/>
      </c>
      <c r="C1486" s="254" t="str">
        <f t="shared" si="38"/>
        <v/>
      </c>
      <c r="D1486" s="139" t="s">
        <v>1047</v>
      </c>
      <c r="E1486" s="1378"/>
      <c r="F1486" s="1378"/>
      <c r="G1486" s="1782" t="s">
        <v>4831</v>
      </c>
      <c r="H1486" s="94"/>
      <c r="I1486" s="706">
        <f>SUM(I1492:I1495)</f>
        <v>0</v>
      </c>
      <c r="J1486" s="1204" t="s">
        <v>3925</v>
      </c>
    </row>
    <row r="1487" spans="1:10" x14ac:dyDescent="0.25">
      <c r="A1487" s="585" t="str">
        <f>A1486</f>
        <v/>
      </c>
      <c r="B1487" s="254" t="str">
        <f>IF(LEN('Ch7'!H618)=0,"",'Ch7'!H618)</f>
        <v/>
      </c>
      <c r="C1487" s="254" t="str">
        <f t="shared" si="38"/>
        <v/>
      </c>
      <c r="D1487" s="139"/>
      <c r="E1487" s="1378"/>
      <c r="F1487" s="1378"/>
      <c r="G1487" s="1782"/>
      <c r="H1487" s="94"/>
      <c r="J1487" s="1204"/>
    </row>
    <row r="1488" spans="1:10" x14ac:dyDescent="0.25">
      <c r="A1488" s="585" t="str">
        <f>A1487</f>
        <v/>
      </c>
      <c r="B1488" s="254" t="str">
        <f>IF(LEN('Ch7'!H619)=0,"",'Ch7'!H619)</f>
        <v/>
      </c>
      <c r="C1488" s="254" t="str">
        <f t="shared" si="38"/>
        <v/>
      </c>
      <c r="D1488" s="139"/>
      <c r="E1488" s="1378"/>
      <c r="F1488" s="1378"/>
      <c r="G1488" s="1782"/>
      <c r="H1488" s="94"/>
      <c r="J1488" s="1204"/>
    </row>
    <row r="1489" spans="1:10" x14ac:dyDescent="0.25">
      <c r="B1489" s="254" t="str">
        <f>IF(LEN('Ch7'!H620)=0,"",'Ch7'!H620)</f>
        <v/>
      </c>
      <c r="C1489" s="254" t="str">
        <f t="shared" si="38"/>
        <v/>
      </c>
      <c r="D1489" s="139"/>
      <c r="E1489" s="1378"/>
      <c r="F1489" s="1378"/>
      <c r="G1489" s="1860" t="s">
        <v>1046</v>
      </c>
      <c r="H1489" s="94"/>
      <c r="J1489" s="1204"/>
    </row>
    <row r="1490" spans="1:10" x14ac:dyDescent="0.25">
      <c r="B1490" s="254" t="str">
        <f>IF(LEN('Ch7'!H621)=0,"",'Ch7'!H621)</f>
        <v/>
      </c>
      <c r="C1490" s="254" t="str">
        <f t="shared" ref="C1490:C1553" si="39">IF(LEN(B1490)=0,IF(A1490="P","P",""),B1490)</f>
        <v/>
      </c>
      <c r="D1490" s="139"/>
      <c r="E1490" s="1378"/>
      <c r="F1490" s="1378"/>
      <c r="G1490" s="1860"/>
      <c r="H1490" s="94"/>
      <c r="J1490" s="1204"/>
    </row>
    <row r="1491" spans="1:10" x14ac:dyDescent="0.25">
      <c r="B1491" s="254" t="str">
        <f>IF(LEN('Ch7'!H622)=0,"",'Ch7'!H622)</f>
        <v/>
      </c>
      <c r="C1491" s="254" t="str">
        <f t="shared" si="39"/>
        <v/>
      </c>
      <c r="D1491" s="139"/>
      <c r="E1491" s="1378"/>
      <c r="F1491" s="1378"/>
      <c r="G1491" s="1232" t="s">
        <v>3622</v>
      </c>
      <c r="H1491" s="94"/>
      <c r="J1491" s="1204"/>
    </row>
    <row r="1492" spans="1:10" x14ac:dyDescent="0.25">
      <c r="B1492" s="254" t="str">
        <f>IF(LEN('Ch7'!H623)=0,"",'Ch7'!H623)</f>
        <v/>
      </c>
      <c r="C1492" s="254" t="str">
        <f t="shared" si="39"/>
        <v/>
      </c>
      <c r="D1492" s="139"/>
      <c r="E1492" s="695" t="s">
        <v>256</v>
      </c>
      <c r="F1492" s="1377"/>
      <c r="G1492" s="1225" t="s">
        <v>1048</v>
      </c>
      <c r="H1492" s="1313" t="str">
        <f>IF(LEN('Ch7'!W623)=0,"",'Ch7'!W623)</f>
        <v/>
      </c>
      <c r="I1492" s="86">
        <f>'Ch7'!O623</f>
        <v>0</v>
      </c>
      <c r="J1492" s="1204"/>
    </row>
    <row r="1493" spans="1:10" x14ac:dyDescent="0.25">
      <c r="B1493" s="254" t="str">
        <f>IF(LEN('Ch7'!H624)=0,"",'Ch7'!H624)</f>
        <v/>
      </c>
      <c r="C1493" s="254" t="str">
        <f t="shared" si="39"/>
        <v/>
      </c>
      <c r="D1493" s="139"/>
      <c r="G1493" s="1230"/>
      <c r="H1493" s="94"/>
      <c r="J1493" s="1204"/>
    </row>
    <row r="1494" spans="1:10" x14ac:dyDescent="0.25">
      <c r="B1494" s="254" t="str">
        <f>IF(LEN('Ch7'!H625)=0,"",'Ch7'!H625)</f>
        <v/>
      </c>
      <c r="C1494" s="254" t="str">
        <f t="shared" si="39"/>
        <v/>
      </c>
      <c r="D1494" s="139"/>
      <c r="E1494" s="1387"/>
      <c r="F1494" s="1387"/>
      <c r="G1494" s="1210"/>
      <c r="H1494" s="1313" t="str">
        <f>IF(LEN('Ch7'!W625)=0,"",'Ch7'!W625)</f>
        <v/>
      </c>
      <c r="J1494" s="1204"/>
    </row>
    <row r="1495" spans="1:10" x14ac:dyDescent="0.25">
      <c r="B1495" s="254" t="str">
        <f>IF(LEN('Ch7'!H626)=0,"",'Ch7'!H626)</f>
        <v/>
      </c>
      <c r="C1495" s="254" t="str">
        <f t="shared" si="39"/>
        <v/>
      </c>
      <c r="D1495" s="139"/>
      <c r="E1495" s="697" t="s">
        <v>258</v>
      </c>
      <c r="F1495" s="1378"/>
      <c r="G1495" s="1225" t="s">
        <v>1049</v>
      </c>
      <c r="H1495" s="1313" t="str">
        <f>IF(LEN('Ch7'!W626)=0,"",'Ch7'!W626)</f>
        <v/>
      </c>
      <c r="I1495" s="86">
        <f>'Ch7'!O626</f>
        <v>0</v>
      </c>
      <c r="J1495" s="1204"/>
    </row>
    <row r="1496" spans="1:10" x14ac:dyDescent="0.25">
      <c r="B1496" s="254" t="str">
        <f>IF(LEN('Ch7'!H627)=0,"",'Ch7'!H627)</f>
        <v/>
      </c>
      <c r="C1496" s="254" t="str">
        <f t="shared" si="39"/>
        <v/>
      </c>
      <c r="D1496" s="101"/>
      <c r="E1496" s="695"/>
      <c r="F1496" s="1377"/>
      <c r="G1496" s="1958" t="s">
        <v>3623</v>
      </c>
      <c r="H1496" s="94"/>
      <c r="J1496" s="1204"/>
    </row>
    <row r="1497" spans="1:10" x14ac:dyDescent="0.25">
      <c r="B1497" s="254" t="str">
        <f>IF(LEN('Ch7'!H628)=0,"",'Ch7'!H628)</f>
        <v/>
      </c>
      <c r="C1497" s="254" t="str">
        <f t="shared" si="39"/>
        <v/>
      </c>
      <c r="D1497" s="669"/>
      <c r="E1497" s="696"/>
      <c r="F1497" s="1380"/>
      <c r="G1497" s="1961"/>
      <c r="H1497" s="94"/>
      <c r="J1497" s="1204"/>
    </row>
    <row r="1498" spans="1:10" x14ac:dyDescent="0.25">
      <c r="A1498" s="585" t="str">
        <f>IF(I1498&gt;0,"P","")</f>
        <v/>
      </c>
      <c r="B1498" s="254" t="str">
        <f>IF(LEN('Ch7'!H629)=0,"",'Ch7'!H629)</f>
        <v/>
      </c>
      <c r="C1498" s="254" t="str">
        <f t="shared" si="39"/>
        <v/>
      </c>
      <c r="D1498" s="139" t="s">
        <v>1050</v>
      </c>
      <c r="E1498" s="1378"/>
      <c r="F1498" s="1378"/>
      <c r="G1498" s="1782" t="s">
        <v>4338</v>
      </c>
      <c r="H1498" s="94"/>
      <c r="I1498" s="706">
        <f>SUM(I1501:I1503)</f>
        <v>0</v>
      </c>
      <c r="J1498" s="1950" t="s">
        <v>5013</v>
      </c>
    </row>
    <row r="1499" spans="1:10" x14ac:dyDescent="0.25">
      <c r="A1499" s="585" t="str">
        <f>A1498</f>
        <v/>
      </c>
      <c r="B1499" s="254" t="str">
        <f>IF(LEN('Ch7'!H630)=0,"",'Ch7'!H630)</f>
        <v/>
      </c>
      <c r="C1499" s="254" t="str">
        <f t="shared" si="39"/>
        <v/>
      </c>
      <c r="D1499" s="139"/>
      <c r="E1499" s="1378"/>
      <c r="F1499" s="1378"/>
      <c r="G1499" s="1782"/>
      <c r="H1499" s="94"/>
      <c r="J1499" s="1951"/>
    </row>
    <row r="1500" spans="1:10" x14ac:dyDescent="0.25">
      <c r="A1500" s="585" t="str">
        <f>A1499</f>
        <v/>
      </c>
      <c r="B1500" s="254" t="str">
        <f>IF(LEN('Ch7'!H631)=0,"",'Ch7'!H631)</f>
        <v/>
      </c>
      <c r="C1500" s="254" t="str">
        <f t="shared" si="39"/>
        <v/>
      </c>
      <c r="D1500" s="139"/>
      <c r="E1500" s="1378"/>
      <c r="F1500" s="1378"/>
      <c r="G1500" s="1782"/>
      <c r="H1500" s="94"/>
      <c r="J1500" s="1204"/>
    </row>
    <row r="1501" spans="1:10" x14ac:dyDescent="0.25">
      <c r="B1501" s="254" t="str">
        <f>IF(LEN('Ch7'!H632)=0,"",'Ch7'!H632)</f>
        <v/>
      </c>
      <c r="C1501" s="254" t="str">
        <f t="shared" si="39"/>
        <v/>
      </c>
      <c r="D1501" s="139"/>
      <c r="E1501" s="695" t="s">
        <v>256</v>
      </c>
      <c r="F1501" s="1377"/>
      <c r="G1501" s="1754" t="s">
        <v>1051</v>
      </c>
      <c r="H1501" s="1313" t="str">
        <f>IF(LEN('Ch7'!W632)=0,"",'Ch7'!W632)</f>
        <v/>
      </c>
      <c r="I1501" s="86">
        <f>'Ch7'!O632</f>
        <v>0</v>
      </c>
      <c r="J1501" s="1204"/>
    </row>
    <row r="1502" spans="1:10" x14ac:dyDescent="0.25">
      <c r="B1502" s="254" t="str">
        <f>IF(LEN('Ch7'!H633)=0,"",'Ch7'!H633)</f>
        <v/>
      </c>
      <c r="C1502" s="254" t="str">
        <f t="shared" si="39"/>
        <v/>
      </c>
      <c r="D1502" s="139"/>
      <c r="E1502" s="696"/>
      <c r="F1502" s="1380"/>
      <c r="G1502" s="1755"/>
      <c r="H1502" s="94"/>
      <c r="J1502" s="1204"/>
    </row>
    <row r="1503" spans="1:10" x14ac:dyDescent="0.25">
      <c r="B1503" s="254" t="str">
        <f>IF(LEN('Ch7'!H634)=0,"",'Ch7'!H634)</f>
        <v/>
      </c>
      <c r="C1503" s="254" t="str">
        <f t="shared" si="39"/>
        <v/>
      </c>
      <c r="D1503" s="139"/>
      <c r="E1503" s="697" t="s">
        <v>258</v>
      </c>
      <c r="F1503" s="1378"/>
      <c r="G1503" s="1225" t="s">
        <v>1052</v>
      </c>
      <c r="H1503" s="1313" t="str">
        <f>IF(LEN('Ch7'!W634)=0,"",'Ch7'!W634)</f>
        <v/>
      </c>
      <c r="I1503" s="86">
        <f>'Ch7'!O634</f>
        <v>0</v>
      </c>
      <c r="J1503" s="1204"/>
    </row>
    <row r="1504" spans="1:10" x14ac:dyDescent="0.25">
      <c r="B1504" s="254" t="str">
        <f>IF(LEN('Ch7'!H635)=0,"",'Ch7'!H635)</f>
        <v/>
      </c>
      <c r="C1504" s="254" t="str">
        <f t="shared" si="39"/>
        <v/>
      </c>
      <c r="D1504" s="101"/>
      <c r="E1504" s="695"/>
      <c r="F1504" s="1377"/>
      <c r="G1504" s="1958" t="s">
        <v>3624</v>
      </c>
      <c r="H1504" s="94"/>
      <c r="J1504" s="1204"/>
    </row>
    <row r="1505" spans="1:10" x14ac:dyDescent="0.25">
      <c r="B1505" s="254" t="str">
        <f>IF(LEN('Ch7'!H636)=0,"",'Ch7'!H636)</f>
        <v/>
      </c>
      <c r="C1505" s="254" t="str">
        <f t="shared" si="39"/>
        <v/>
      </c>
      <c r="D1505" s="669"/>
      <c r="E1505" s="696"/>
      <c r="F1505" s="1380"/>
      <c r="G1505" s="1961"/>
      <c r="H1505" s="94"/>
      <c r="J1505" s="1204"/>
    </row>
    <row r="1506" spans="1:10" x14ac:dyDescent="0.25">
      <c r="A1506" s="585" t="str">
        <f ca="1">IF(I1506&gt;0,"P","")</f>
        <v/>
      </c>
      <c r="B1506" s="254" t="str">
        <f>IF(LEN('Ch7'!H637)=0,"",'Ch7'!H637)</f>
        <v/>
      </c>
      <c r="C1506" s="254" t="str">
        <f t="shared" ca="1" si="39"/>
        <v/>
      </c>
      <c r="D1506" s="139" t="s">
        <v>1053</v>
      </c>
      <c r="E1506" s="1378"/>
      <c r="F1506" s="1378"/>
      <c r="G1506" s="1235" t="s">
        <v>1054</v>
      </c>
      <c r="H1506" s="1313" t="str">
        <f>IF(LEN('Ch7'!W637)=0,"",'Ch7'!W637)</f>
        <v/>
      </c>
      <c r="I1506" s="86">
        <f ca="1">'Ch7'!O637</f>
        <v>0</v>
      </c>
      <c r="J1506" s="1204" t="s">
        <v>3892</v>
      </c>
    </row>
    <row r="1507" spans="1:10" x14ac:dyDescent="0.25">
      <c r="B1507" s="254" t="str">
        <f>IF(LEN('Ch7'!H638)=0,"",'Ch7'!H638)</f>
        <v/>
      </c>
      <c r="C1507" s="254" t="str">
        <f t="shared" si="39"/>
        <v/>
      </c>
      <c r="D1507" s="139"/>
      <c r="E1507" s="1378"/>
      <c r="F1507" s="1378"/>
      <c r="G1507" s="1232" t="s">
        <v>1055</v>
      </c>
      <c r="H1507" s="94"/>
      <c r="J1507" s="1204"/>
    </row>
    <row r="1508" spans="1:10" x14ac:dyDescent="0.25">
      <c r="B1508" s="254" t="str">
        <f>IF(LEN('Ch7'!H639)=0,"",'Ch7'!H639)</f>
        <v/>
      </c>
      <c r="C1508" s="254" t="str">
        <f t="shared" si="39"/>
        <v/>
      </c>
      <c r="D1508" s="139"/>
      <c r="E1508" s="1378"/>
      <c r="F1508" s="1378"/>
      <c r="G1508" s="1232" t="s">
        <v>3547</v>
      </c>
      <c r="H1508" s="94"/>
      <c r="J1508" s="1204"/>
    </row>
    <row r="1509" spans="1:10" x14ac:dyDescent="0.25">
      <c r="B1509" s="254" t="str">
        <f>IF(LEN('Ch7'!H640)=0,"",'Ch7'!H640)</f>
        <v/>
      </c>
      <c r="C1509" s="254" t="str">
        <f t="shared" si="39"/>
        <v/>
      </c>
      <c r="D1509" s="139"/>
      <c r="E1509" s="696" t="s">
        <v>256</v>
      </c>
      <c r="F1509" s="1380"/>
      <c r="G1509" s="1215" t="s">
        <v>3548</v>
      </c>
      <c r="H1509" s="94"/>
      <c r="J1509" s="1204"/>
    </row>
    <row r="1510" spans="1:10" x14ac:dyDescent="0.25">
      <c r="B1510" s="254" t="str">
        <f>IF(LEN('Ch7'!H641)=0,"",'Ch7'!H641)</f>
        <v/>
      </c>
      <c r="C1510" s="254" t="str">
        <f t="shared" si="39"/>
        <v/>
      </c>
      <c r="D1510" s="101"/>
      <c r="E1510" s="695" t="s">
        <v>258</v>
      </c>
      <c r="F1510" s="1377"/>
      <c r="G1510" s="1754" t="s">
        <v>3549</v>
      </c>
      <c r="H1510" s="94"/>
      <c r="J1510" s="1204"/>
    </row>
    <row r="1511" spans="1:10" x14ac:dyDescent="0.25">
      <c r="B1511" s="254" t="str">
        <f>IF(LEN('Ch7'!H642)=0,"",'Ch7'!H642)</f>
        <v/>
      </c>
      <c r="C1511" s="254" t="str">
        <f t="shared" si="39"/>
        <v/>
      </c>
      <c r="D1511" s="669"/>
      <c r="E1511" s="1387"/>
      <c r="F1511" s="1380"/>
      <c r="G1511" s="1755"/>
      <c r="H1511" s="94"/>
      <c r="J1511" s="1204"/>
    </row>
    <row r="1512" spans="1:10" x14ac:dyDescent="0.25">
      <c r="A1512" s="585" t="str">
        <f>IF(I1512&gt;0,"P","")</f>
        <v/>
      </c>
      <c r="B1512" s="254" t="str">
        <f>IF(LEN('Ch7'!H643)=0,"",'Ch7'!H643)</f>
        <v/>
      </c>
      <c r="C1512" s="254" t="str">
        <f t="shared" si="39"/>
        <v/>
      </c>
      <c r="D1512" s="139" t="s">
        <v>3546</v>
      </c>
      <c r="E1512" s="1378"/>
      <c r="F1512" s="1378"/>
      <c r="G1512" s="1885" t="s">
        <v>3550</v>
      </c>
      <c r="H1512" s="1313" t="str">
        <f>IF(LEN('Ch7'!W643)=0,"",'Ch7'!W643)</f>
        <v/>
      </c>
      <c r="I1512" s="86">
        <f>'Ch7'!O643</f>
        <v>0</v>
      </c>
      <c r="J1512" s="1204" t="s">
        <v>3892</v>
      </c>
    </row>
    <row r="1513" spans="1:10" x14ac:dyDescent="0.25">
      <c r="A1513" s="585" t="str">
        <f>A1512</f>
        <v/>
      </c>
      <c r="B1513" s="254" t="str">
        <f>IF(LEN('Ch7'!H644)=0,"",'Ch7'!H644)</f>
        <v/>
      </c>
      <c r="C1513" s="254" t="str">
        <f t="shared" si="39"/>
        <v/>
      </c>
      <c r="D1513" s="139"/>
      <c r="E1513" s="1378"/>
      <c r="F1513" s="1378"/>
      <c r="G1513" s="1885"/>
      <c r="H1513" s="94"/>
      <c r="J1513" s="1204"/>
    </row>
    <row r="1514" spans="1:10" x14ac:dyDescent="0.25">
      <c r="B1514" s="254" t="str">
        <f>IF(LEN('Ch7'!H645)=0,"",'Ch7'!H645)</f>
        <v/>
      </c>
      <c r="C1514" s="254" t="str">
        <f t="shared" si="39"/>
        <v/>
      </c>
      <c r="D1514" s="139"/>
      <c r="E1514" s="1378"/>
      <c r="F1514" s="1378"/>
      <c r="G1514" s="1232" t="s">
        <v>1055</v>
      </c>
      <c r="H1514" s="1313" t="str">
        <f>IF(LEN('Ch7'!W645)=0,"",'Ch7'!W645)</f>
        <v/>
      </c>
      <c r="J1514" s="1204"/>
    </row>
    <row r="1515" spans="1:10" x14ac:dyDescent="0.25">
      <c r="B1515" s="254" t="str">
        <f>IF(LEN('Ch7'!H646)=0,"",'Ch7'!H646)</f>
        <v/>
      </c>
      <c r="C1515" s="254" t="str">
        <f t="shared" si="39"/>
        <v/>
      </c>
      <c r="D1515" s="139"/>
      <c r="E1515" s="1378"/>
      <c r="F1515" s="697" t="s">
        <v>121</v>
      </c>
      <c r="G1515" s="1225" t="s">
        <v>1056</v>
      </c>
      <c r="H1515" s="94"/>
      <c r="J1515" s="1204"/>
    </row>
    <row r="1516" spans="1:10" x14ac:dyDescent="0.25">
      <c r="B1516" s="254" t="str">
        <f>IF(LEN('Ch7'!H647)=0,"",'Ch7'!H647)</f>
        <v/>
      </c>
      <c r="C1516" s="254" t="str">
        <f t="shared" si="39"/>
        <v/>
      </c>
      <c r="D1516" s="139"/>
      <c r="E1516" s="1378"/>
      <c r="F1516" s="697" t="s">
        <v>122</v>
      </c>
      <c r="G1516" s="1216" t="s">
        <v>4339</v>
      </c>
      <c r="H1516" s="94"/>
      <c r="J1516" s="1204"/>
    </row>
    <row r="1517" spans="1:10" x14ac:dyDescent="0.25">
      <c r="B1517" s="254" t="str">
        <f>IF(LEN('Ch7'!H648)=0,"",'Ch7'!H648)</f>
        <v/>
      </c>
      <c r="C1517" s="254" t="str">
        <f t="shared" si="39"/>
        <v/>
      </c>
      <c r="D1517" s="139"/>
      <c r="E1517" s="1378"/>
      <c r="F1517" s="698" t="s">
        <v>123</v>
      </c>
      <c r="G1517" s="1225" t="s">
        <v>1057</v>
      </c>
      <c r="H1517" s="94"/>
      <c r="J1517" s="1204"/>
    </row>
    <row r="1518" spans="1:10" x14ac:dyDescent="0.25">
      <c r="B1518" s="254" t="str">
        <f>IF(LEN('Ch7'!H649)=0,"",'Ch7'!H649)</f>
        <v/>
      </c>
      <c r="C1518" s="254" t="str">
        <f t="shared" si="39"/>
        <v/>
      </c>
      <c r="D1518" s="139"/>
      <c r="E1518" s="1378"/>
      <c r="F1518" s="1378" t="s">
        <v>401</v>
      </c>
      <c r="G1518" s="1225" t="s">
        <v>1058</v>
      </c>
      <c r="H1518" s="94"/>
      <c r="J1518" s="1204"/>
    </row>
    <row r="1519" spans="1:10" x14ac:dyDescent="0.25">
      <c r="B1519" s="254" t="str">
        <f>IF(LEN('Ch7'!H650)=0,"",'Ch7'!H650)</f>
        <v/>
      </c>
      <c r="C1519" s="254" t="str">
        <f t="shared" si="39"/>
        <v/>
      </c>
      <c r="D1519" s="139"/>
      <c r="E1519" s="1378"/>
      <c r="F1519" s="1378" t="s">
        <v>539</v>
      </c>
      <c r="G1519" s="1225" t="s">
        <v>1059</v>
      </c>
      <c r="H1519" s="94"/>
      <c r="J1519" s="1204"/>
    </row>
    <row r="1520" spans="1:10" x14ac:dyDescent="0.25">
      <c r="B1520" s="254" t="str">
        <f>IF(LEN('Ch7'!H651)=0,"",'Ch7'!H651)</f>
        <v/>
      </c>
      <c r="C1520" s="254" t="str">
        <f t="shared" si="39"/>
        <v/>
      </c>
      <c r="D1520" s="139"/>
      <c r="E1520" s="1378"/>
      <c r="F1520" s="698" t="s">
        <v>604</v>
      </c>
      <c r="G1520" s="1225" t="s">
        <v>1060</v>
      </c>
      <c r="H1520" s="94"/>
      <c r="J1520" s="1204"/>
    </row>
    <row r="1521" spans="1:10" x14ac:dyDescent="0.25">
      <c r="B1521" s="254" t="str">
        <f>IF(LEN('Ch7'!H652)=0,"",'Ch7'!H652)</f>
        <v/>
      </c>
      <c r="C1521" s="254" t="str">
        <f t="shared" si="39"/>
        <v/>
      </c>
      <c r="D1521" s="101"/>
      <c r="E1521" s="1377"/>
      <c r="F1521" s="1377" t="s">
        <v>606</v>
      </c>
      <c r="G1521" s="1793" t="s">
        <v>1061</v>
      </c>
      <c r="H1521" s="94"/>
      <c r="J1521" s="1204"/>
    </row>
    <row r="1522" spans="1:10" x14ac:dyDescent="0.25">
      <c r="B1522" s="254" t="str">
        <f>IF(LEN('Ch7'!H653)=0,"",'Ch7'!H653)</f>
        <v/>
      </c>
      <c r="C1522" s="254" t="str">
        <f t="shared" si="39"/>
        <v/>
      </c>
      <c r="D1522" s="669"/>
      <c r="E1522" s="1380"/>
      <c r="F1522" s="1380"/>
      <c r="G1522" s="1761"/>
      <c r="H1522" s="94"/>
      <c r="J1522" s="1204"/>
    </row>
    <row r="1523" spans="1:10" x14ac:dyDescent="0.25">
      <c r="A1523" s="585" t="str">
        <f ca="1">IF(I1523&gt;0,"P","")</f>
        <v/>
      </c>
      <c r="B1523" s="254" t="str">
        <f>IF(LEN('Ch7'!H654)=0,"",'Ch7'!H654)</f>
        <v/>
      </c>
      <c r="C1523" s="254" t="str">
        <f t="shared" ca="1" si="39"/>
        <v/>
      </c>
      <c r="D1523" s="139" t="s">
        <v>1062</v>
      </c>
      <c r="E1523" s="1378"/>
      <c r="F1523" s="1378"/>
      <c r="G1523" s="1238" t="s">
        <v>1063</v>
      </c>
      <c r="H1523" s="94"/>
      <c r="I1523" s="706">
        <f ca="1">SUM(I1524:I1526)</f>
        <v>0</v>
      </c>
      <c r="J1523" s="1204" t="s">
        <v>3892</v>
      </c>
    </row>
    <row r="1524" spans="1:10" x14ac:dyDescent="0.25">
      <c r="A1524" s="585" t="str">
        <f ca="1">IF(I1524&gt;0,"P","")</f>
        <v/>
      </c>
      <c r="B1524" s="254" t="str">
        <f>IF(LEN('Ch7'!H655)=0,"",'Ch7'!H655)</f>
        <v/>
      </c>
      <c r="C1524" s="254" t="str">
        <f t="shared" ca="1" si="39"/>
        <v/>
      </c>
      <c r="D1524" s="101" t="s">
        <v>1064</v>
      </c>
      <c r="E1524" s="1377"/>
      <c r="F1524" s="1377"/>
      <c r="G1524" s="1902" t="s">
        <v>1065</v>
      </c>
      <c r="H1524" s="1313" t="str">
        <f>IF(LEN('Ch7'!W655)=0,"",'Ch7'!W655)</f>
        <v/>
      </c>
      <c r="I1524" s="86">
        <f ca="1">'Ch7'!O655</f>
        <v>0</v>
      </c>
      <c r="J1524" s="1204"/>
    </row>
    <row r="1525" spans="1:10" x14ac:dyDescent="0.25">
      <c r="A1525" s="585" t="str">
        <f ca="1">A1524</f>
        <v/>
      </c>
      <c r="B1525" s="254" t="str">
        <f>IF(LEN('Ch7'!H656)=0,"",'Ch7'!H656)</f>
        <v/>
      </c>
      <c r="C1525" s="254" t="str">
        <f t="shared" ca="1" si="39"/>
        <v/>
      </c>
      <c r="D1525" s="669"/>
      <c r="E1525" s="1380"/>
      <c r="F1525" s="1380"/>
      <c r="G1525" s="1903"/>
      <c r="H1525" s="94"/>
      <c r="J1525" s="1204"/>
    </row>
    <row r="1526" spans="1:10" x14ac:dyDescent="0.25">
      <c r="A1526" s="585" t="str">
        <f ca="1">IF(I1526&gt;0,"P","")</f>
        <v/>
      </c>
      <c r="B1526" s="254" t="str">
        <f>IF(LEN('Ch7'!H657)=0,"",'Ch7'!H657)</f>
        <v/>
      </c>
      <c r="C1526" s="254" t="str">
        <f t="shared" ca="1" si="39"/>
        <v/>
      </c>
      <c r="D1526" s="101" t="s">
        <v>1066</v>
      </c>
      <c r="E1526" s="1377"/>
      <c r="F1526" s="1377"/>
      <c r="G1526" s="1835" t="s">
        <v>4340</v>
      </c>
      <c r="H1526" s="1313" t="str">
        <f>IF(LEN('Ch7'!W657)=0,"",'Ch7'!W657)</f>
        <v/>
      </c>
      <c r="I1526" s="86">
        <f ca="1">'Ch7'!O657</f>
        <v>0</v>
      </c>
      <c r="J1526" s="1204" t="s">
        <v>3892</v>
      </c>
    </row>
    <row r="1527" spans="1:10" ht="15.75" thickBot="1" x14ac:dyDescent="0.3">
      <c r="A1527" s="585" t="str">
        <f ca="1">A1526</f>
        <v/>
      </c>
      <c r="B1527" s="254" t="str">
        <f>IF(LEN('Ch7'!H658)=0,"",'Ch7'!H658)</f>
        <v/>
      </c>
      <c r="C1527" s="254" t="str">
        <f t="shared" ca="1" si="39"/>
        <v/>
      </c>
      <c r="D1527" s="670"/>
      <c r="E1527" s="1379"/>
      <c r="F1527" s="1379"/>
      <c r="G1527" s="1900"/>
      <c r="H1527" s="94"/>
      <c r="J1527" s="1204"/>
    </row>
    <row r="1528" spans="1:10" ht="15.75" thickTop="1" x14ac:dyDescent="0.25">
      <c r="A1528" s="585" t="str">
        <f ca="1">IF(I1528&gt;0,"P","")</f>
        <v/>
      </c>
      <c r="B1528" s="254" t="str">
        <f>IF(LEN('Ch7'!H659)=0,"",'Ch7'!H659)</f>
        <v/>
      </c>
      <c r="C1528" s="254" t="str">
        <f t="shared" ca="1" si="39"/>
        <v/>
      </c>
      <c r="D1528" s="139">
        <v>705.7</v>
      </c>
      <c r="E1528" s="1378"/>
      <c r="F1528" s="1378"/>
      <c r="G1528" s="1965" t="s">
        <v>1067</v>
      </c>
      <c r="H1528" s="1313" t="str">
        <f>IF(LEN('Ch7'!W659)=0,"",'Ch7'!W659)</f>
        <v/>
      </c>
      <c r="I1528" s="86">
        <f ca="1">'Ch7'!O659</f>
        <v>0</v>
      </c>
      <c r="J1528" s="1204" t="s">
        <v>3892</v>
      </c>
    </row>
    <row r="1529" spans="1:10" x14ac:dyDescent="0.25">
      <c r="A1529" s="585" t="str">
        <f ca="1">A1528</f>
        <v/>
      </c>
      <c r="B1529" s="254" t="str">
        <f>IF(LEN('Ch7'!H660)=0,"",'Ch7'!H660)</f>
        <v/>
      </c>
      <c r="C1529" s="254" t="str">
        <f t="shared" ca="1" si="39"/>
        <v/>
      </c>
      <c r="D1529" s="139"/>
      <c r="E1529" s="1378"/>
      <c r="F1529" s="1378"/>
      <c r="G1529" s="1965"/>
      <c r="H1529" s="94"/>
      <c r="J1529" s="1204"/>
    </row>
    <row r="1530" spans="1:10" x14ac:dyDescent="0.25">
      <c r="A1530" s="585" t="str">
        <f ca="1">A1529</f>
        <v/>
      </c>
      <c r="B1530" s="254" t="str">
        <f>IF(LEN('Ch7'!H661)=0,"",'Ch7'!H661)</f>
        <v/>
      </c>
      <c r="C1530" s="254" t="str">
        <f t="shared" ca="1" si="39"/>
        <v/>
      </c>
      <c r="D1530" s="139"/>
      <c r="E1530" s="1378"/>
      <c r="F1530" s="1378"/>
      <c r="G1530" s="1965"/>
      <c r="H1530" s="94"/>
      <c r="J1530" s="1204"/>
    </row>
    <row r="1531" spans="1:10" x14ac:dyDescent="0.25">
      <c r="A1531" s="585" t="str">
        <f ca="1">A1530</f>
        <v/>
      </c>
      <c r="B1531" s="254" t="str">
        <f>IF(LEN('Ch7'!H662)=0,"",'Ch7'!H662)</f>
        <v/>
      </c>
      <c r="C1531" s="254" t="str">
        <f t="shared" ca="1" si="39"/>
        <v/>
      </c>
      <c r="D1531" s="139"/>
      <c r="E1531" s="1378"/>
      <c r="F1531" s="1378"/>
      <c r="G1531" s="1965"/>
      <c r="H1531" s="94"/>
      <c r="J1531" s="1204"/>
    </row>
    <row r="1532" spans="1:10" ht="18.75" x14ac:dyDescent="0.25">
      <c r="A1532" s="585" t="s">
        <v>3974</v>
      </c>
      <c r="B1532" s="254" t="str">
        <f>IF(LEN('Ch7'!H663)=0,"",'Ch7'!H663)</f>
        <v/>
      </c>
      <c r="C1532" s="254" t="str">
        <f t="shared" si="39"/>
        <v>P</v>
      </c>
      <c r="D1532" s="1388" t="s">
        <v>1068</v>
      </c>
      <c r="E1532" s="1398"/>
      <c r="F1532" s="1398"/>
      <c r="G1532" s="1312"/>
      <c r="H1532" s="94"/>
      <c r="J1532" s="1204"/>
    </row>
    <row r="1533" spans="1:10" x14ac:dyDescent="0.25">
      <c r="A1533" s="585" t="str">
        <f>IF(I1533&gt;0,"P","")</f>
        <v/>
      </c>
      <c r="B1533" s="254" t="str">
        <f>IF(LEN('Ch7'!H664)=0,"",'Ch7'!H664)</f>
        <v/>
      </c>
      <c r="C1533" s="254" t="str">
        <f t="shared" si="39"/>
        <v/>
      </c>
      <c r="D1533" s="139">
        <v>706.1</v>
      </c>
      <c r="E1533" s="1378"/>
      <c r="F1533" s="1378"/>
      <c r="G1533" s="1877" t="s">
        <v>4341</v>
      </c>
      <c r="H1533" s="94"/>
      <c r="I1533" s="86">
        <f>'Ch7'!O664</f>
        <v>0</v>
      </c>
      <c r="J1533" s="1204" t="s">
        <v>3926</v>
      </c>
    </row>
    <row r="1534" spans="1:10" x14ac:dyDescent="0.25">
      <c r="A1534" s="585" t="str">
        <f>A1533</f>
        <v/>
      </c>
      <c r="B1534" s="254" t="str">
        <f>IF(LEN('Ch7'!H665)=0,"",'Ch7'!H665)</f>
        <v/>
      </c>
      <c r="C1534" s="254" t="str">
        <f t="shared" si="39"/>
        <v/>
      </c>
      <c r="D1534" s="139"/>
      <c r="E1534" s="1378"/>
      <c r="F1534" s="1378"/>
      <c r="G1534" s="1877"/>
      <c r="H1534" s="94"/>
      <c r="J1534" s="1204"/>
    </row>
    <row r="1535" spans="1:10" x14ac:dyDescent="0.25">
      <c r="B1535" s="254" t="str">
        <f>IF(LEN('Ch7'!H666)=0,"",'Ch7'!H666)</f>
        <v/>
      </c>
      <c r="C1535" s="254" t="str">
        <f t="shared" si="39"/>
        <v/>
      </c>
      <c r="D1535" s="139"/>
      <c r="E1535" s="696" t="s">
        <v>256</v>
      </c>
      <c r="F1535" s="1380"/>
      <c r="G1535" s="1215" t="s">
        <v>1069</v>
      </c>
      <c r="H1535" s="1313" t="str">
        <f>IF(LEN('Ch7'!W666)=0,"",'Ch7'!W666)</f>
        <v/>
      </c>
      <c r="J1535" s="1204"/>
    </row>
    <row r="1536" spans="1:10" x14ac:dyDescent="0.25">
      <c r="B1536" s="254" t="str">
        <f>IF(LEN('Ch7'!H667)=0,"",'Ch7'!H667)</f>
        <v/>
      </c>
      <c r="C1536" s="254" t="str">
        <f t="shared" si="39"/>
        <v/>
      </c>
      <c r="D1536" s="139"/>
      <c r="E1536" s="701" t="s">
        <v>258</v>
      </c>
      <c r="F1536" s="1395"/>
      <c r="G1536" s="280" t="s">
        <v>1070</v>
      </c>
      <c r="H1536" s="1313" t="str">
        <f>IF(LEN('Ch7'!W667)=0,"",'Ch7'!W667)</f>
        <v/>
      </c>
      <c r="J1536" s="1204"/>
    </row>
    <row r="1537" spans="1:10" x14ac:dyDescent="0.25">
      <c r="B1537" s="254" t="str">
        <f>IF(LEN('Ch7'!H668)=0,"",'Ch7'!H668)</f>
        <v/>
      </c>
      <c r="C1537" s="254" t="str">
        <f t="shared" si="39"/>
        <v/>
      </c>
      <c r="D1537" s="139"/>
      <c r="E1537" s="701" t="s">
        <v>260</v>
      </c>
      <c r="F1537" s="1395"/>
      <c r="G1537" s="280" t="s">
        <v>1071</v>
      </c>
      <c r="H1537" s="1313" t="str">
        <f>IF(LEN('Ch7'!W668)=0,"",'Ch7'!W668)</f>
        <v/>
      </c>
      <c r="J1537" s="1204"/>
    </row>
    <row r="1538" spans="1:10" x14ac:dyDescent="0.25">
      <c r="B1538" s="254" t="str">
        <f>IF(LEN('Ch7'!H669)=0,"",'Ch7'!H669)</f>
        <v/>
      </c>
      <c r="C1538" s="254" t="str">
        <f t="shared" si="39"/>
        <v/>
      </c>
      <c r="D1538" s="139"/>
      <c r="E1538" s="700" t="s">
        <v>269</v>
      </c>
      <c r="F1538" s="1382"/>
      <c r="G1538" s="1760" t="s">
        <v>1072</v>
      </c>
      <c r="H1538" s="1313" t="str">
        <f>IF(LEN('Ch7'!W669)=0,"",'Ch7'!W669)</f>
        <v/>
      </c>
      <c r="J1538" s="1204"/>
    </row>
    <row r="1539" spans="1:10" x14ac:dyDescent="0.25">
      <c r="B1539" s="254" t="str">
        <f>IF(LEN('Ch7'!H670)=0,"",'Ch7'!H670)</f>
        <v/>
      </c>
      <c r="C1539" s="254" t="str">
        <f t="shared" si="39"/>
        <v/>
      </c>
      <c r="D1539" s="139"/>
      <c r="E1539" s="696"/>
      <c r="F1539" s="1380"/>
      <c r="G1539" s="1761"/>
      <c r="H1539" s="94"/>
      <c r="J1539" s="1204"/>
    </row>
    <row r="1540" spans="1:10" ht="15.75" thickBot="1" x14ac:dyDescent="0.3">
      <c r="B1540" s="254" t="str">
        <f>IF(LEN('Ch7'!H671)=0,"",'Ch7'!H671)</f>
        <v/>
      </c>
      <c r="C1540" s="254" t="str">
        <f t="shared" si="39"/>
        <v/>
      </c>
      <c r="D1540" s="670"/>
      <c r="E1540" s="703" t="s">
        <v>275</v>
      </c>
      <c r="F1540" s="1379"/>
      <c r="G1540" s="1229" t="s">
        <v>1073</v>
      </c>
      <c r="H1540" s="1313" t="str">
        <f>IF(LEN('Ch7'!W671)=0,"",'Ch7'!W671)</f>
        <v/>
      </c>
      <c r="J1540" s="1204"/>
    </row>
    <row r="1541" spans="1:10" ht="15.75" thickTop="1" x14ac:dyDescent="0.25">
      <c r="A1541" s="585" t="str">
        <f ca="1">IF(I1541&gt;0,"P","")</f>
        <v/>
      </c>
      <c r="B1541" s="254" t="str">
        <f>IF(LEN('Ch7'!H672)=0,"",'Ch7'!H672)</f>
        <v/>
      </c>
      <c r="C1541" s="254" t="str">
        <f t="shared" ca="1" si="39"/>
        <v/>
      </c>
      <c r="D1541" s="139">
        <v>706.2</v>
      </c>
      <c r="E1541" s="1378"/>
      <c r="F1541" s="1378"/>
      <c r="G1541" s="1885" t="s">
        <v>1074</v>
      </c>
      <c r="H1541" s="94"/>
      <c r="I1541" s="706">
        <f ca="1">SUM(I1543:I1548)</f>
        <v>0</v>
      </c>
      <c r="J1541" s="1204"/>
    </row>
    <row r="1542" spans="1:10" x14ac:dyDescent="0.25">
      <c r="A1542" s="585" t="str">
        <f ca="1">A1541</f>
        <v/>
      </c>
      <c r="B1542" s="254" t="str">
        <f>IF(LEN('Ch7'!H673)=0,"",'Ch7'!H673)</f>
        <v/>
      </c>
      <c r="C1542" s="254" t="str">
        <f t="shared" ca="1" si="39"/>
        <v/>
      </c>
      <c r="D1542" s="139"/>
      <c r="E1542" s="1378"/>
      <c r="F1542" s="1378"/>
      <c r="G1542" s="1885"/>
      <c r="H1542" s="94"/>
      <c r="J1542" s="1204"/>
    </row>
    <row r="1543" spans="1:10" x14ac:dyDescent="0.25">
      <c r="A1543" s="585" t="str">
        <f>IF(I1543&gt;0,"P","")</f>
        <v/>
      </c>
      <c r="B1543" s="254" t="str">
        <f>IF(LEN('Ch7'!H674)=0,"",'Ch7'!H674)</f>
        <v/>
      </c>
      <c r="C1543" s="254" t="str">
        <f t="shared" si="39"/>
        <v/>
      </c>
      <c r="D1543" s="139"/>
      <c r="E1543" s="695" t="s">
        <v>256</v>
      </c>
      <c r="F1543" s="1377"/>
      <c r="G1543" s="1765" t="s">
        <v>4342</v>
      </c>
      <c r="H1543" s="1313" t="str">
        <f>IF(LEN('Ch7'!W674)=0,"",'Ch7'!W674)</f>
        <v/>
      </c>
      <c r="I1543" s="86">
        <f>'Ch7'!O674</f>
        <v>0</v>
      </c>
      <c r="J1543" s="1950" t="s">
        <v>3927</v>
      </c>
    </row>
    <row r="1544" spans="1:10" x14ac:dyDescent="0.25">
      <c r="A1544" s="585" t="str">
        <f>A1543</f>
        <v/>
      </c>
      <c r="B1544" s="254" t="str">
        <f>IF(LEN('Ch7'!H675)=0,"",'Ch7'!H675)</f>
        <v/>
      </c>
      <c r="C1544" s="254" t="str">
        <f t="shared" si="39"/>
        <v/>
      </c>
      <c r="D1544" s="139"/>
      <c r="E1544" s="1377"/>
      <c r="F1544" s="1377"/>
      <c r="G1544" s="1765"/>
      <c r="H1544" s="94"/>
      <c r="J1544" s="1951"/>
    </row>
    <row r="1545" spans="1:10" x14ac:dyDescent="0.25">
      <c r="A1545" s="585" t="str">
        <f>A1544</f>
        <v/>
      </c>
      <c r="B1545" s="254" t="str">
        <f>IF(LEN('Ch7'!H676)=0,"",'Ch7'!H676)</f>
        <v/>
      </c>
      <c r="C1545" s="254" t="str">
        <f t="shared" si="39"/>
        <v/>
      </c>
      <c r="D1545" s="139"/>
      <c r="E1545" s="1377"/>
      <c r="F1545" s="1377"/>
      <c r="G1545" s="1765"/>
      <c r="H1545" s="94"/>
      <c r="J1545" s="1204"/>
    </row>
    <row r="1546" spans="1:10" x14ac:dyDescent="0.25">
      <c r="A1546" s="585" t="str">
        <f>A1545</f>
        <v/>
      </c>
      <c r="B1546" s="254" t="str">
        <f>IF(LEN('Ch7'!H677)=0,"",'Ch7'!H677)</f>
        <v/>
      </c>
      <c r="C1546" s="254" t="str">
        <f t="shared" si="39"/>
        <v/>
      </c>
      <c r="D1546" s="139"/>
      <c r="E1546" s="1377"/>
      <c r="F1546" s="1377"/>
      <c r="G1546" s="1765"/>
      <c r="H1546" s="94"/>
      <c r="J1546" s="1204"/>
    </row>
    <row r="1547" spans="1:10" x14ac:dyDescent="0.25">
      <c r="A1547" s="585" t="str">
        <f>A1546</f>
        <v/>
      </c>
      <c r="B1547" s="254" t="str">
        <f>IF(LEN('Ch7'!H678)=0,"",'Ch7'!H678)</f>
        <v/>
      </c>
      <c r="C1547" s="254" t="str">
        <f t="shared" si="39"/>
        <v/>
      </c>
      <c r="D1547" s="139"/>
      <c r="E1547" s="1380"/>
      <c r="F1547" s="1380"/>
      <c r="G1547" s="1786"/>
      <c r="H1547" s="94"/>
      <c r="J1547" s="1204"/>
    </row>
    <row r="1548" spans="1:10" x14ac:dyDescent="0.25">
      <c r="A1548" s="585" t="str">
        <f ca="1">IF(I1548&gt;0,"P","")</f>
        <v/>
      </c>
      <c r="B1548" s="254" t="str">
        <f>IF(LEN('Ch7'!H679)=0,"",'Ch7'!H679)</f>
        <v/>
      </c>
      <c r="C1548" s="254" t="str">
        <f t="shared" ca="1" si="39"/>
        <v/>
      </c>
      <c r="D1548" s="101"/>
      <c r="E1548" s="695" t="s">
        <v>258</v>
      </c>
      <c r="F1548" s="1377"/>
      <c r="G1548" s="1754" t="s">
        <v>1075</v>
      </c>
      <c r="H1548" s="1313" t="str">
        <f>IF(LEN('Ch7'!W679)=0,"",'Ch7'!W679)</f>
        <v/>
      </c>
      <c r="I1548" s="86">
        <f ca="1">'Ch7'!O679</f>
        <v>0</v>
      </c>
      <c r="J1548" s="1950" t="s">
        <v>3928</v>
      </c>
    </row>
    <row r="1549" spans="1:10" x14ac:dyDescent="0.25">
      <c r="A1549" s="585" t="str">
        <f ca="1">A1548</f>
        <v/>
      </c>
      <c r="B1549" s="254" t="str">
        <f>IF(LEN('Ch7'!H680)=0,"",'Ch7'!H680)</f>
        <v/>
      </c>
      <c r="C1549" s="254" t="str">
        <f t="shared" ca="1" si="39"/>
        <v/>
      </c>
      <c r="D1549" s="101"/>
      <c r="E1549" s="1377"/>
      <c r="F1549" s="1377"/>
      <c r="G1549" s="1754"/>
      <c r="H1549" s="94"/>
      <c r="J1549" s="1951"/>
    </row>
    <row r="1550" spans="1:10" x14ac:dyDescent="0.25">
      <c r="A1550" s="585" t="str">
        <f ca="1">A1549</f>
        <v/>
      </c>
      <c r="B1550" s="254" t="str">
        <f>IF(LEN('Ch7'!H681)=0,"",'Ch7'!H681)</f>
        <v/>
      </c>
      <c r="C1550" s="254" t="str">
        <f t="shared" ca="1" si="39"/>
        <v/>
      </c>
      <c r="D1550" s="101"/>
      <c r="E1550" s="1377"/>
      <c r="F1550" s="1377"/>
      <c r="G1550" s="1754"/>
      <c r="H1550" s="94"/>
      <c r="J1550" s="1204"/>
    </row>
    <row r="1551" spans="1:10" x14ac:dyDescent="0.25">
      <c r="B1551" s="254" t="str">
        <f>IF(LEN('Ch7'!H682)=0,"",'Ch7'!H682)</f>
        <v/>
      </c>
      <c r="C1551" s="254" t="str">
        <f t="shared" si="39"/>
        <v/>
      </c>
      <c r="D1551" s="101"/>
      <c r="E1551" s="1377"/>
      <c r="F1551" s="695" t="s">
        <v>121</v>
      </c>
      <c r="G1551" s="1754" t="s">
        <v>1076</v>
      </c>
      <c r="H1551" s="94"/>
      <c r="J1551" s="1204"/>
    </row>
    <row r="1552" spans="1:10" x14ac:dyDescent="0.25">
      <c r="B1552" s="254" t="str">
        <f>IF(LEN('Ch7'!H683)=0,"",'Ch7'!H683)</f>
        <v/>
      </c>
      <c r="C1552" s="254" t="str">
        <f t="shared" si="39"/>
        <v/>
      </c>
      <c r="D1552" s="101"/>
      <c r="E1552" s="1377"/>
      <c r="F1552" s="696"/>
      <c r="G1552" s="1755"/>
      <c r="H1552" s="94"/>
      <c r="J1552" s="1204"/>
    </row>
    <row r="1553" spans="1:10" x14ac:dyDescent="0.25">
      <c r="B1553" s="254" t="str">
        <f>IF(LEN('Ch7'!H684)=0,"",'Ch7'!H684)</f>
        <v/>
      </c>
      <c r="C1553" s="254" t="str">
        <f t="shared" si="39"/>
        <v/>
      </c>
      <c r="D1553" s="101"/>
      <c r="E1553" s="1377"/>
      <c r="F1553" s="695" t="s">
        <v>122</v>
      </c>
      <c r="G1553" s="1754" t="s">
        <v>1077</v>
      </c>
      <c r="H1553" s="94"/>
      <c r="J1553" s="1204"/>
    </row>
    <row r="1554" spans="1:10" ht="15.75" thickBot="1" x14ac:dyDescent="0.3">
      <c r="B1554" s="254" t="str">
        <f>IF(LEN('Ch7'!H685)=0,"",'Ch7'!H685)</f>
        <v/>
      </c>
      <c r="C1554" s="254" t="str">
        <f t="shared" ref="C1554:C1617" si="40">IF(LEN(B1554)=0,IF(A1554="P","P",""),B1554)</f>
        <v/>
      </c>
      <c r="D1554" s="670"/>
      <c r="E1554" s="1379"/>
      <c r="F1554" s="1379"/>
      <c r="G1554" s="1783"/>
      <c r="H1554" s="94"/>
      <c r="J1554" s="1204"/>
    </row>
    <row r="1555" spans="1:10" ht="15.75" thickTop="1" x14ac:dyDescent="0.25">
      <c r="A1555" s="585" t="str">
        <f>IF(I1555&gt;0,"P","")</f>
        <v/>
      </c>
      <c r="B1555" s="254" t="str">
        <f>IF(LEN('Ch7'!H686)=0,"",'Ch7'!H686)</f>
        <v/>
      </c>
      <c r="C1555" s="254" t="str">
        <f t="shared" si="40"/>
        <v/>
      </c>
      <c r="D1555" s="139">
        <v>706.3</v>
      </c>
      <c r="E1555" s="1378"/>
      <c r="F1555" s="1378"/>
      <c r="G1555" s="1885" t="s">
        <v>1078</v>
      </c>
      <c r="H1555" s="94"/>
      <c r="I1555" s="86">
        <f>'Ch7'!O686</f>
        <v>0</v>
      </c>
      <c r="J1555" s="1204" t="s">
        <v>3938</v>
      </c>
    </row>
    <row r="1556" spans="1:10" x14ac:dyDescent="0.25">
      <c r="A1556" s="585" t="str">
        <f>A1555</f>
        <v/>
      </c>
      <c r="B1556" s="254" t="str">
        <f>IF(LEN('Ch7'!H687)=0,"",'Ch7'!H687)</f>
        <v/>
      </c>
      <c r="C1556" s="254" t="str">
        <f t="shared" si="40"/>
        <v/>
      </c>
      <c r="D1556" s="139"/>
      <c r="E1556" s="1378"/>
      <c r="F1556" s="1378"/>
      <c r="G1556" s="1885"/>
      <c r="H1556" s="94"/>
      <c r="J1556" s="1204"/>
    </row>
    <row r="1557" spans="1:10" x14ac:dyDescent="0.25">
      <c r="B1557" s="254" t="str">
        <f>IF(LEN('Ch7'!H688)=0,"",'Ch7'!H688)</f>
        <v/>
      </c>
      <c r="C1557" s="254" t="str">
        <f t="shared" si="40"/>
        <v/>
      </c>
      <c r="D1557" s="139"/>
      <c r="E1557" s="1378"/>
      <c r="F1557" s="1378"/>
      <c r="G1557" s="1323" t="s">
        <v>1079</v>
      </c>
      <c r="H1557" s="94"/>
      <c r="J1557" s="1204"/>
    </row>
    <row r="1558" spans="1:10" x14ac:dyDescent="0.25">
      <c r="B1558" s="254" t="str">
        <f>IF(LEN('Ch7'!H689)=0,"",'Ch7'!H689)</f>
        <v/>
      </c>
      <c r="C1558" s="254" t="str">
        <f t="shared" si="40"/>
        <v/>
      </c>
      <c r="D1558" s="139"/>
      <c r="E1558" s="1378"/>
      <c r="F1558" s="1378"/>
      <c r="G1558" s="1323" t="s">
        <v>1080</v>
      </c>
      <c r="H1558" s="94"/>
      <c r="J1558" s="1204"/>
    </row>
    <row r="1559" spans="1:10" x14ac:dyDescent="0.25">
      <c r="B1559" s="254" t="str">
        <f>IF(LEN('Ch7'!H690)=0,"",'Ch7'!H690)</f>
        <v/>
      </c>
      <c r="C1559" s="254" t="str">
        <f t="shared" si="40"/>
        <v/>
      </c>
      <c r="D1559" s="139"/>
      <c r="F1559" s="1378"/>
      <c r="G1559" s="1860" t="s">
        <v>1081</v>
      </c>
      <c r="H1559" s="94"/>
      <c r="J1559" s="1204"/>
    </row>
    <row r="1560" spans="1:10" x14ac:dyDescent="0.25">
      <c r="B1560" s="254" t="str">
        <f>IF(LEN('Ch7'!H691)=0,"",'Ch7'!H691)</f>
        <v/>
      </c>
      <c r="C1560" s="254" t="str">
        <f t="shared" si="40"/>
        <v/>
      </c>
      <c r="D1560" s="139"/>
      <c r="F1560" s="1378"/>
      <c r="G1560" s="1860"/>
      <c r="H1560" s="94"/>
      <c r="J1560" s="1204"/>
    </row>
    <row r="1561" spans="1:10" x14ac:dyDescent="0.25">
      <c r="B1561" s="254" t="str">
        <f>IF(LEN('Ch7'!H692)=0,"",'Ch7'!H692)</f>
        <v/>
      </c>
      <c r="C1561" s="254" t="str">
        <f t="shared" si="40"/>
        <v/>
      </c>
      <c r="D1561" s="139"/>
      <c r="E1561" s="1378"/>
      <c r="G1561" s="1860" t="s">
        <v>1082</v>
      </c>
      <c r="H1561" s="94"/>
      <c r="J1561" s="1204"/>
    </row>
    <row r="1562" spans="1:10" x14ac:dyDescent="0.25">
      <c r="B1562" s="254" t="str">
        <f>IF(LEN('Ch7'!H693)=0,"",'Ch7'!H693)</f>
        <v/>
      </c>
      <c r="C1562" s="254" t="str">
        <f t="shared" si="40"/>
        <v/>
      </c>
      <c r="D1562" s="139"/>
      <c r="E1562" s="1378"/>
      <c r="G1562" s="1860"/>
      <c r="H1562" s="94"/>
      <c r="J1562" s="1204"/>
    </row>
    <row r="1563" spans="1:10" x14ac:dyDescent="0.25">
      <c r="B1563" s="254" t="str">
        <f>IF(LEN('Ch7'!H694)=0,"",'Ch7'!H694)</f>
        <v/>
      </c>
      <c r="C1563" s="254" t="str">
        <f t="shared" si="40"/>
        <v/>
      </c>
      <c r="D1563" s="139"/>
      <c r="E1563" s="696" t="s">
        <v>256</v>
      </c>
      <c r="F1563" s="1380"/>
      <c r="G1563" s="1215" t="s">
        <v>963</v>
      </c>
      <c r="H1563" s="1313" t="str">
        <f>IF(LEN('Ch7'!W694)=0,"",'Ch7'!W694)</f>
        <v/>
      </c>
      <c r="J1563" s="1204"/>
    </row>
    <row r="1564" spans="1:10" x14ac:dyDescent="0.25">
      <c r="B1564" s="254" t="str">
        <f>IF(LEN('Ch7'!H695)=0,"",'Ch7'!H695)</f>
        <v/>
      </c>
      <c r="C1564" s="254" t="str">
        <f t="shared" si="40"/>
        <v/>
      </c>
      <c r="D1564" s="139"/>
      <c r="E1564" s="701" t="s">
        <v>258</v>
      </c>
      <c r="F1564" s="1395"/>
      <c r="G1564" s="280" t="s">
        <v>1083</v>
      </c>
      <c r="H1564" s="1313" t="str">
        <f>IF(LEN('Ch7'!W695)=0,"",'Ch7'!W695)</f>
        <v/>
      </c>
      <c r="J1564" s="1204"/>
    </row>
    <row r="1565" spans="1:10" x14ac:dyDescent="0.25">
      <c r="B1565" s="254" t="str">
        <f>IF(LEN('Ch7'!H696)=0,"",'Ch7'!H696)</f>
        <v/>
      </c>
      <c r="C1565" s="254" t="str">
        <f t="shared" si="40"/>
        <v/>
      </c>
      <c r="D1565" s="139"/>
      <c r="E1565" s="701" t="s">
        <v>260</v>
      </c>
      <c r="F1565" s="1395"/>
      <c r="G1565" s="280" t="s">
        <v>964</v>
      </c>
      <c r="H1565" s="1313" t="str">
        <f>IF(LEN('Ch7'!W696)=0,"",'Ch7'!W696)</f>
        <v/>
      </c>
      <c r="J1565" s="1204"/>
    </row>
    <row r="1566" spans="1:10" x14ac:dyDescent="0.25">
      <c r="B1566" s="254" t="str">
        <f>IF(LEN('Ch7'!H697)=0,"",'Ch7'!H697)</f>
        <v/>
      </c>
      <c r="C1566" s="254" t="str">
        <f t="shared" si="40"/>
        <v/>
      </c>
      <c r="D1566" s="139"/>
      <c r="E1566" s="701" t="s">
        <v>269</v>
      </c>
      <c r="F1566" s="1395"/>
      <c r="G1566" s="280" t="s">
        <v>1084</v>
      </c>
      <c r="H1566" s="1313" t="str">
        <f>IF(LEN('Ch7'!W697)=0,"",'Ch7'!W697)</f>
        <v/>
      </c>
      <c r="J1566" s="1204"/>
    </row>
    <row r="1567" spans="1:10" x14ac:dyDescent="0.25">
      <c r="B1567" s="254" t="str">
        <f>IF(LEN('Ch7'!H698)=0,"",'Ch7'!H698)</f>
        <v/>
      </c>
      <c r="C1567" s="254" t="str">
        <f t="shared" si="40"/>
        <v/>
      </c>
      <c r="D1567" s="139"/>
      <c r="E1567" s="701" t="s">
        <v>275</v>
      </c>
      <c r="F1567" s="1395"/>
      <c r="G1567" s="280" t="s">
        <v>1085</v>
      </c>
      <c r="H1567" s="1313" t="str">
        <f>IF(LEN('Ch7'!W698)=0,"",'Ch7'!W698)</f>
        <v/>
      </c>
      <c r="J1567" s="1204"/>
    </row>
    <row r="1568" spans="1:10" x14ac:dyDescent="0.25">
      <c r="B1568" s="254" t="str">
        <f>IF(LEN('Ch7'!H699)=0,"",'Ch7'!H699)</f>
        <v/>
      </c>
      <c r="C1568" s="254" t="str">
        <f t="shared" si="40"/>
        <v/>
      </c>
      <c r="D1568" s="139"/>
      <c r="E1568" s="701" t="s">
        <v>277</v>
      </c>
      <c r="F1568" s="1395"/>
      <c r="G1568" s="280" t="s">
        <v>1086</v>
      </c>
      <c r="H1568" s="1313" t="str">
        <f>IF(LEN('Ch7'!W699)=0,"",'Ch7'!W699)</f>
        <v/>
      </c>
      <c r="J1568" s="1204"/>
    </row>
    <row r="1569" spans="1:10" x14ac:dyDescent="0.25">
      <c r="B1569" s="254" t="str">
        <f>IF(LEN('Ch7'!H700)=0,"",'Ch7'!H700)</f>
        <v/>
      </c>
      <c r="C1569" s="254" t="str">
        <f t="shared" si="40"/>
        <v/>
      </c>
      <c r="D1569" s="139"/>
      <c r="E1569" s="701" t="s">
        <v>383</v>
      </c>
      <c r="F1569" s="1395"/>
      <c r="G1569" s="280" t="s">
        <v>1087</v>
      </c>
      <c r="H1569" s="1313" t="str">
        <f>IF(LEN('Ch7'!W700)=0,"",'Ch7'!W700)</f>
        <v/>
      </c>
      <c r="J1569" s="1204"/>
    </row>
    <row r="1570" spans="1:10" ht="15.75" thickBot="1" x14ac:dyDescent="0.3">
      <c r="B1570" s="254" t="str">
        <f>IF(LEN('Ch7'!H701)=0,"",'Ch7'!H701)</f>
        <v/>
      </c>
      <c r="C1570" s="254" t="str">
        <f t="shared" si="40"/>
        <v/>
      </c>
      <c r="D1570" s="670"/>
      <c r="E1570" s="703" t="s">
        <v>428</v>
      </c>
      <c r="F1570" s="1379"/>
      <c r="G1570" s="1229" t="s">
        <v>1088</v>
      </c>
      <c r="H1570" s="1313" t="str">
        <f>IF(LEN('Ch7'!W701)=0,"",'Ch7'!W701)</f>
        <v/>
      </c>
      <c r="J1570" s="1204"/>
    </row>
    <row r="1571" spans="1:10" ht="15.75" thickTop="1" x14ac:dyDescent="0.25">
      <c r="A1571" s="585" t="str">
        <f>IF(I1571&gt;0,"P","")</f>
        <v/>
      </c>
      <c r="B1571" s="254" t="str">
        <f>IF(LEN('Ch7'!H702)=0,"",'Ch7'!H702)</f>
        <v/>
      </c>
      <c r="C1571" s="254" t="str">
        <f t="shared" si="40"/>
        <v/>
      </c>
      <c r="D1571" s="139">
        <v>706.4</v>
      </c>
      <c r="E1571" s="1378"/>
      <c r="F1571" s="1378"/>
      <c r="G1571" s="1235" t="s">
        <v>1089</v>
      </c>
      <c r="H1571" s="94"/>
      <c r="I1571" s="706">
        <f>SUM(I1572)</f>
        <v>0</v>
      </c>
      <c r="J1571" s="1204"/>
    </row>
    <row r="1572" spans="1:10" x14ac:dyDescent="0.25">
      <c r="A1572" s="585" t="str">
        <f>IF(I1572&gt;0,"P","")</f>
        <v/>
      </c>
      <c r="B1572" s="254" t="str">
        <f>IF(LEN('Ch7'!H703)=0,"",'Ch7'!H703)</f>
        <v/>
      </c>
      <c r="C1572" s="254" t="str">
        <f t="shared" si="40"/>
        <v/>
      </c>
      <c r="D1572" s="139" t="s">
        <v>1090</v>
      </c>
      <c r="E1572" s="1378"/>
      <c r="F1572" s="1378"/>
      <c r="G1572" s="1235" t="s">
        <v>1091</v>
      </c>
      <c r="H1572" s="94"/>
      <c r="I1572" s="706">
        <f>SUM(I1573:I1575)</f>
        <v>0</v>
      </c>
      <c r="J1572" s="1204" t="s">
        <v>3918</v>
      </c>
    </row>
    <row r="1573" spans="1:10" x14ac:dyDescent="0.25">
      <c r="B1573" s="254" t="str">
        <f>IF(LEN('Ch7'!H704)=0,"",'Ch7'!H704)</f>
        <v/>
      </c>
      <c r="C1573" s="254" t="str">
        <f t="shared" si="40"/>
        <v/>
      </c>
      <c r="D1573" s="139"/>
      <c r="E1573" s="695" t="s">
        <v>256</v>
      </c>
      <c r="F1573" s="1377"/>
      <c r="G1573" s="1754" t="s">
        <v>1092</v>
      </c>
      <c r="H1573" s="1313" t="str">
        <f>IF(LEN('Ch7'!W704)=0,"",'Ch7'!W704)</f>
        <v/>
      </c>
      <c r="I1573" s="86">
        <f>'Ch7'!O704</f>
        <v>0</v>
      </c>
      <c r="J1573" s="1204"/>
    </row>
    <row r="1574" spans="1:10" x14ac:dyDescent="0.25">
      <c r="B1574" s="254" t="str">
        <f>IF(LEN('Ch7'!H705)=0,"",'Ch7'!H705)</f>
        <v/>
      </c>
      <c r="C1574" s="254" t="str">
        <f t="shared" si="40"/>
        <v/>
      </c>
      <c r="D1574" s="139"/>
      <c r="E1574" s="696"/>
      <c r="F1574" s="1380"/>
      <c r="G1574" s="1755"/>
      <c r="H1574" s="94"/>
      <c r="J1574" s="1204"/>
    </row>
    <row r="1575" spans="1:10" x14ac:dyDescent="0.25">
      <c r="B1575" s="254" t="str">
        <f>IF(LEN('Ch7'!H706)=0,"",'Ch7'!H706)</f>
        <v/>
      </c>
      <c r="C1575" s="254" t="str">
        <f t="shared" si="40"/>
        <v/>
      </c>
      <c r="D1575" s="101"/>
      <c r="E1575" s="695" t="s">
        <v>258</v>
      </c>
      <c r="F1575" s="1377"/>
      <c r="G1575" s="1754" t="s">
        <v>1093</v>
      </c>
      <c r="H1575" s="1313" t="str">
        <f>IF(LEN('Ch7'!W706)=0,"",'Ch7'!W706)</f>
        <v/>
      </c>
      <c r="I1575" s="86">
        <f>'Ch7'!O706</f>
        <v>0</v>
      </c>
      <c r="J1575" s="1204"/>
    </row>
    <row r="1576" spans="1:10" x14ac:dyDescent="0.25">
      <c r="B1576" s="254" t="str">
        <f>IF(LEN('Ch7'!H707)=0,"",'Ch7'!H707)</f>
        <v/>
      </c>
      <c r="C1576" s="254" t="str">
        <f t="shared" si="40"/>
        <v/>
      </c>
      <c r="D1576" s="669"/>
      <c r="E1576" s="1380"/>
      <c r="F1576" s="1380"/>
      <c r="G1576" s="1755"/>
      <c r="H1576" s="94"/>
      <c r="J1576" s="1204"/>
    </row>
    <row r="1577" spans="1:10" x14ac:dyDescent="0.25">
      <c r="A1577" s="585" t="str">
        <f>IF(I1577&gt;0,"P","")</f>
        <v/>
      </c>
      <c r="B1577" s="254" t="str">
        <f>IF(LEN('Ch7'!H708)=0,"",'Ch7'!H708)</f>
        <v/>
      </c>
      <c r="C1577" s="254" t="str">
        <f t="shared" si="40"/>
        <v/>
      </c>
      <c r="D1577" s="671" t="s">
        <v>1094</v>
      </c>
      <c r="E1577" s="1382"/>
      <c r="F1577" s="1382"/>
      <c r="G1577" s="1864" t="s">
        <v>1095</v>
      </c>
      <c r="H1577" s="1313" t="str">
        <f>IF(LEN('Ch7'!W708)=0,"",'Ch7'!W708)</f>
        <v/>
      </c>
      <c r="I1577" s="86">
        <f>'Ch7'!O708</f>
        <v>0</v>
      </c>
      <c r="J1577" s="1204" t="s">
        <v>3918</v>
      </c>
    </row>
    <row r="1578" spans="1:10" ht="15.75" thickBot="1" x14ac:dyDescent="0.3">
      <c r="A1578" s="585" t="str">
        <f>A1577</f>
        <v/>
      </c>
      <c r="B1578" s="254" t="str">
        <f>IF(LEN('Ch7'!H709)=0,"",'Ch7'!H709)</f>
        <v/>
      </c>
      <c r="C1578" s="254" t="str">
        <f t="shared" si="40"/>
        <v/>
      </c>
      <c r="D1578" s="670"/>
      <c r="E1578" s="1379"/>
      <c r="F1578" s="1379"/>
      <c r="G1578" s="1797"/>
      <c r="H1578" s="94"/>
      <c r="J1578" s="1204"/>
    </row>
    <row r="1579" spans="1:10" ht="26.25" thickTop="1" x14ac:dyDescent="0.25">
      <c r="A1579" s="585" t="str">
        <f ca="1">IF(I1579&gt;0,"P","")</f>
        <v/>
      </c>
      <c r="B1579" s="254" t="str">
        <f>IF(LEN('Ch7'!H710)=0,"",'Ch7'!H710)</f>
        <v/>
      </c>
      <c r="C1579" s="254" t="str">
        <f t="shared" ca="1" si="40"/>
        <v/>
      </c>
      <c r="D1579" s="106">
        <v>706.5</v>
      </c>
      <c r="E1579" s="667"/>
      <c r="F1579" s="667"/>
      <c r="G1579" s="1234" t="s">
        <v>4349</v>
      </c>
      <c r="H1579" s="94"/>
      <c r="I1579" s="706">
        <f ca="1">SUM(I1580:I1584)</f>
        <v>0</v>
      </c>
      <c r="J1579" s="1204" t="s">
        <v>3929</v>
      </c>
    </row>
    <row r="1580" spans="1:10" x14ac:dyDescent="0.25">
      <c r="B1580" s="254" t="str">
        <f>IF(LEN('Ch7'!H711)=0,"",'Ch7'!H711)</f>
        <v/>
      </c>
      <c r="C1580" s="254" t="str">
        <f t="shared" si="40"/>
        <v/>
      </c>
      <c r="D1580" s="101"/>
      <c r="E1580" s="667" t="s">
        <v>256</v>
      </c>
      <c r="F1580" s="667"/>
      <c r="G1580" s="1216" t="s">
        <v>4343</v>
      </c>
      <c r="H1580" s="1313" t="str">
        <f>IF(LEN('Ch7'!W711)=0,"",'Ch7'!W711)</f>
        <v/>
      </c>
      <c r="I1580" s="86">
        <f>'Ch7'!O711</f>
        <v>0</v>
      </c>
      <c r="J1580" s="1204"/>
    </row>
    <row r="1581" spans="1:10" x14ac:dyDescent="0.25">
      <c r="B1581" s="254" t="str">
        <f>IF(LEN('Ch7'!H712)=0,"",'Ch7'!H712)</f>
        <v/>
      </c>
      <c r="C1581" s="254" t="str">
        <f t="shared" si="40"/>
        <v/>
      </c>
      <c r="D1581" s="101"/>
      <c r="E1581" s="684"/>
      <c r="F1581" s="684"/>
      <c r="G1581" s="1217"/>
      <c r="H1581" s="94"/>
      <c r="J1581" s="1204"/>
    </row>
    <row r="1582" spans="1:10" x14ac:dyDescent="0.25">
      <c r="B1582" s="254" t="str">
        <f>IF(LEN('Ch7'!H713)=0,"",'Ch7'!H713)</f>
        <v/>
      </c>
      <c r="C1582" s="254" t="str">
        <f t="shared" si="40"/>
        <v/>
      </c>
      <c r="D1582" s="101"/>
      <c r="E1582" s="667" t="s">
        <v>258</v>
      </c>
      <c r="F1582" s="667"/>
      <c r="G1582" s="1216" t="s">
        <v>4344</v>
      </c>
      <c r="H1582" s="1313" t="str">
        <f>IF(LEN('Ch7'!W713)=0,"",'Ch7'!W713)</f>
        <v/>
      </c>
      <c r="I1582" s="86">
        <f ca="1">'Ch7'!O713</f>
        <v>0</v>
      </c>
      <c r="J1582" s="1204"/>
    </row>
    <row r="1583" spans="1:10" x14ac:dyDescent="0.25">
      <c r="B1583" s="254" t="str">
        <f>IF(LEN('Ch7'!H714)=0,"",'Ch7'!H714)</f>
        <v/>
      </c>
      <c r="C1583" s="254" t="str">
        <f t="shared" si="40"/>
        <v/>
      </c>
      <c r="D1583" s="101"/>
      <c r="E1583" s="684"/>
      <c r="F1583" s="684"/>
      <c r="G1583" s="1217"/>
      <c r="H1583" s="94"/>
      <c r="J1583" s="1204"/>
    </row>
    <row r="1584" spans="1:10" x14ac:dyDescent="0.25">
      <c r="B1584" s="254" t="str">
        <f>IF(LEN('Ch7'!H715)=0,"",'Ch7'!H715)</f>
        <v/>
      </c>
      <c r="C1584" s="254" t="str">
        <f t="shared" si="40"/>
        <v/>
      </c>
      <c r="D1584" s="101"/>
      <c r="E1584" s="667" t="s">
        <v>260</v>
      </c>
      <c r="F1584" s="667"/>
      <c r="G1584" s="1765" t="s">
        <v>4345</v>
      </c>
      <c r="H1584" s="1313" t="str">
        <f>IF(LEN('Ch7'!W715)=0,"",'Ch7'!W715)</f>
        <v/>
      </c>
      <c r="I1584" s="86">
        <f ca="1">'Ch7'!O715</f>
        <v>0</v>
      </c>
      <c r="J1584" s="1204"/>
    </row>
    <row r="1585" spans="1:10" x14ac:dyDescent="0.25">
      <c r="B1585" s="254" t="str">
        <f>IF(LEN('Ch7'!H716)=0,"",'Ch7'!H716)</f>
        <v/>
      </c>
      <c r="C1585" s="254" t="str">
        <f t="shared" si="40"/>
        <v/>
      </c>
      <c r="D1585" s="101"/>
      <c r="E1585" s="667"/>
      <c r="F1585" s="667"/>
      <c r="G1585" s="1765"/>
      <c r="H1585" s="94"/>
      <c r="J1585" s="1204"/>
    </row>
    <row r="1586" spans="1:10" x14ac:dyDescent="0.25">
      <c r="B1586" s="254" t="str">
        <f>IF(LEN('Ch7'!H717)=0,"",'Ch7'!H717)</f>
        <v/>
      </c>
      <c r="C1586" s="254" t="str">
        <f t="shared" si="40"/>
        <v/>
      </c>
      <c r="D1586" s="101"/>
      <c r="E1586" s="667"/>
      <c r="F1586" s="667"/>
      <c r="G1586" s="1966" t="s">
        <v>4875</v>
      </c>
      <c r="H1586" s="94"/>
      <c r="J1586" s="1204"/>
    </row>
    <row r="1587" spans="1:10" x14ac:dyDescent="0.25">
      <c r="B1587" s="254" t="str">
        <f>IF(LEN('Ch7'!H718)=0,"",'Ch7'!H718)</f>
        <v/>
      </c>
      <c r="C1587" s="254" t="str">
        <f t="shared" si="40"/>
        <v/>
      </c>
      <c r="D1587" s="101"/>
      <c r="E1587" s="667"/>
      <c r="F1587" s="667"/>
      <c r="G1587" s="1966"/>
      <c r="H1587" s="94"/>
      <c r="J1587" s="1204"/>
    </row>
    <row r="1588" spans="1:10" x14ac:dyDescent="0.25">
      <c r="B1588" s="254" t="str">
        <f>IF(LEN('Ch7'!H719)=0,"",'Ch7'!H719)</f>
        <v/>
      </c>
      <c r="C1588" s="254" t="str">
        <f t="shared" si="40"/>
        <v/>
      </c>
      <c r="D1588" s="101"/>
      <c r="E1588" s="667"/>
      <c r="F1588" s="667"/>
      <c r="G1588" s="1966"/>
      <c r="H1588" s="94"/>
      <c r="J1588" s="1204"/>
    </row>
    <row r="1589" spans="1:10" x14ac:dyDescent="0.25">
      <c r="B1589" s="254" t="str">
        <f>IF(LEN('Ch7'!H720)=0,"",'Ch7'!H720)</f>
        <v/>
      </c>
      <c r="C1589" s="254" t="str">
        <f t="shared" si="40"/>
        <v/>
      </c>
      <c r="D1589" s="101"/>
      <c r="E1589" s="667"/>
      <c r="F1589" s="667"/>
      <c r="G1589" s="1966" t="s">
        <v>4876</v>
      </c>
      <c r="H1589" s="94"/>
      <c r="J1589" s="1204"/>
    </row>
    <row r="1590" spans="1:10" x14ac:dyDescent="0.25">
      <c r="B1590" s="254" t="str">
        <f>IF(LEN('Ch7'!H721)=0,"",'Ch7'!H721)</f>
        <v/>
      </c>
      <c r="C1590" s="254" t="str">
        <f t="shared" si="40"/>
        <v/>
      </c>
      <c r="D1590" s="101"/>
      <c r="E1590" s="667"/>
      <c r="F1590" s="667"/>
      <c r="G1590" s="1966"/>
      <c r="H1590" s="94"/>
      <c r="J1590" s="1204"/>
    </row>
    <row r="1591" spans="1:10" x14ac:dyDescent="0.25">
      <c r="B1591" s="254" t="str">
        <f>IF(LEN('Ch7'!H722)=0,"",'Ch7'!H722)</f>
        <v/>
      </c>
      <c r="C1591" s="254" t="str">
        <f t="shared" si="40"/>
        <v/>
      </c>
      <c r="D1591" s="101"/>
      <c r="E1591" s="667"/>
      <c r="F1591" s="667"/>
      <c r="G1591" s="1966" t="s">
        <v>4346</v>
      </c>
      <c r="H1591" s="94"/>
      <c r="J1591" s="1204"/>
    </row>
    <row r="1592" spans="1:10" x14ac:dyDescent="0.25">
      <c r="B1592" s="254" t="str">
        <f>IF(LEN('Ch7'!H723)=0,"",'Ch7'!H723)</f>
        <v/>
      </c>
      <c r="C1592" s="254" t="str">
        <f t="shared" si="40"/>
        <v/>
      </c>
      <c r="D1592" s="101"/>
      <c r="E1592" s="667"/>
      <c r="F1592" s="667"/>
      <c r="G1592" s="1966"/>
      <c r="H1592" s="94"/>
      <c r="J1592" s="1204"/>
    </row>
    <row r="1593" spans="1:10" x14ac:dyDescent="0.25">
      <c r="B1593" s="254" t="str">
        <f>IF(LEN('Ch7'!H724)=0,"",'Ch7'!H724)</f>
        <v/>
      </c>
      <c r="C1593" s="254" t="str">
        <f t="shared" si="40"/>
        <v/>
      </c>
      <c r="D1593" s="101"/>
      <c r="E1593" s="667"/>
      <c r="F1593" s="667"/>
      <c r="G1593" s="1966"/>
      <c r="H1593" s="94"/>
      <c r="J1593" s="1204"/>
    </row>
    <row r="1594" spans="1:10" x14ac:dyDescent="0.25">
      <c r="B1594" s="254" t="str">
        <f>IF(LEN('Ch7'!H725)=0,"",'Ch7'!H725)</f>
        <v/>
      </c>
      <c r="C1594" s="254" t="str">
        <f t="shared" si="40"/>
        <v/>
      </c>
      <c r="D1594" s="101"/>
      <c r="E1594" s="667"/>
      <c r="F1594" s="667"/>
      <c r="G1594" s="1967" t="s">
        <v>4347</v>
      </c>
      <c r="H1594" s="94"/>
      <c r="J1594" s="1204"/>
    </row>
    <row r="1595" spans="1:10" ht="15.75" thickBot="1" x14ac:dyDescent="0.3">
      <c r="B1595" s="254" t="str">
        <f>IF(LEN('Ch7'!H726)=0,"",'Ch7'!H726)</f>
        <v/>
      </c>
      <c r="C1595" s="254" t="str">
        <f t="shared" si="40"/>
        <v/>
      </c>
      <c r="D1595" s="101"/>
      <c r="E1595" s="673"/>
      <c r="F1595" s="673"/>
      <c r="G1595" s="1907"/>
      <c r="H1595" s="94"/>
      <c r="J1595" s="1204"/>
    </row>
    <row r="1596" spans="1:10" ht="15.75" thickTop="1" x14ac:dyDescent="0.25">
      <c r="A1596" s="585" t="str">
        <f>IF(I1596&gt;0,"P","")</f>
        <v/>
      </c>
      <c r="B1596" s="254" t="str">
        <f>IF(LEN('Ch7'!H727)=0,"",'Ch7'!H727)</f>
        <v/>
      </c>
      <c r="C1596" s="254" t="str">
        <f t="shared" si="40"/>
        <v/>
      </c>
      <c r="D1596" s="106">
        <v>706.6</v>
      </c>
      <c r="E1596" s="1376"/>
      <c r="F1596" s="1376"/>
      <c r="G1596" s="1781" t="s">
        <v>1096</v>
      </c>
      <c r="H1596" s="1313" t="str">
        <f>IF(LEN('Ch7'!W727)=0,"",'Ch7'!W727)</f>
        <v/>
      </c>
      <c r="I1596" s="86">
        <f>'Ch7'!O727</f>
        <v>0</v>
      </c>
      <c r="J1596" s="1204" t="s">
        <v>3892</v>
      </c>
    </row>
    <row r="1597" spans="1:10" ht="15.75" thickBot="1" x14ac:dyDescent="0.3">
      <c r="A1597" s="585" t="str">
        <f>A1596</f>
        <v/>
      </c>
      <c r="B1597" s="254" t="str">
        <f>IF(LEN('Ch7'!H728)=0,"",'Ch7'!H728)</f>
        <v/>
      </c>
      <c r="C1597" s="254" t="str">
        <f t="shared" si="40"/>
        <v/>
      </c>
      <c r="D1597" s="670"/>
      <c r="E1597" s="1379"/>
      <c r="F1597" s="1379"/>
      <c r="G1597" s="1797"/>
      <c r="H1597" s="94"/>
      <c r="J1597" s="1204"/>
    </row>
    <row r="1598" spans="1:10" ht="15.75" thickTop="1" x14ac:dyDescent="0.25">
      <c r="A1598" s="585" t="str">
        <f>IF(I1598&gt;0,"P","")</f>
        <v/>
      </c>
      <c r="B1598" s="254" t="str">
        <f>IF(LEN('Ch7'!H729)=0,"",'Ch7'!H729)</f>
        <v/>
      </c>
      <c r="C1598" s="254" t="str">
        <f t="shared" si="40"/>
        <v/>
      </c>
      <c r="D1598" s="139">
        <v>706.7</v>
      </c>
      <c r="E1598" s="1378"/>
      <c r="F1598" s="1378"/>
      <c r="G1598" s="1782" t="s">
        <v>1097</v>
      </c>
      <c r="H1598" s="94"/>
      <c r="I1598" s="706">
        <f>SUM(I1600:I1601)</f>
        <v>0</v>
      </c>
      <c r="J1598" s="1204" t="s">
        <v>3892</v>
      </c>
    </row>
    <row r="1599" spans="1:10" x14ac:dyDescent="0.25">
      <c r="A1599" s="585" t="str">
        <f>A1598</f>
        <v/>
      </c>
      <c r="B1599" s="254" t="str">
        <f>IF(LEN('Ch7'!H730)=0,"",'Ch7'!H730)</f>
        <v/>
      </c>
      <c r="C1599" s="254" t="str">
        <f t="shared" si="40"/>
        <v/>
      </c>
      <c r="D1599" s="139"/>
      <c r="E1599" s="1378"/>
      <c r="F1599" s="1378"/>
      <c r="G1599" s="1782"/>
      <c r="H1599" s="94"/>
      <c r="J1599" s="1204"/>
    </row>
    <row r="1600" spans="1:10" x14ac:dyDescent="0.25">
      <c r="B1600" s="254" t="str">
        <f>IF(LEN('Ch7'!H731)=0,"",'Ch7'!H731)</f>
        <v/>
      </c>
      <c r="C1600" s="254" t="str">
        <f t="shared" si="40"/>
        <v/>
      </c>
      <c r="D1600" s="139"/>
      <c r="E1600" s="696" t="s">
        <v>256</v>
      </c>
      <c r="F1600" s="1380"/>
      <c r="G1600" s="1215" t="s">
        <v>1098</v>
      </c>
      <c r="H1600" s="1313" t="str">
        <f>IF(LEN('Ch7'!W731)=0,"",'Ch7'!W731)</f>
        <v/>
      </c>
      <c r="I1600" s="86">
        <f>'Ch7'!O731</f>
        <v>0</v>
      </c>
      <c r="J1600" s="1204"/>
    </row>
    <row r="1601" spans="1:10" x14ac:dyDescent="0.25">
      <c r="B1601" s="254" t="str">
        <f>IF(LEN('Ch7'!H732)=0,"",'Ch7'!H732)</f>
        <v/>
      </c>
      <c r="C1601" s="254" t="str">
        <f t="shared" si="40"/>
        <v/>
      </c>
      <c r="D1601" s="101"/>
      <c r="E1601" s="695" t="s">
        <v>258</v>
      </c>
      <c r="F1601" s="1377"/>
      <c r="G1601" s="1225" t="s">
        <v>1099</v>
      </c>
      <c r="H1601" s="1313" t="str">
        <f>IF(LEN('Ch7'!W732)=0,"",'Ch7'!W732)</f>
        <v/>
      </c>
      <c r="I1601" s="86">
        <f>'Ch7'!O732</f>
        <v>0</v>
      </c>
      <c r="J1601" s="1204"/>
    </row>
    <row r="1602" spans="1:10" x14ac:dyDescent="0.25">
      <c r="B1602" s="254" t="str">
        <f>IF(LEN('Ch7'!H733)=0,"",'Ch7'!H733)</f>
        <v/>
      </c>
      <c r="C1602" s="254" t="str">
        <f t="shared" si="40"/>
        <v/>
      </c>
      <c r="D1602" s="101"/>
      <c r="E1602" s="1377"/>
      <c r="F1602" s="1377"/>
      <c r="G1602" s="1782" t="s">
        <v>1100</v>
      </c>
      <c r="H1602" s="94"/>
      <c r="J1602" s="1204"/>
    </row>
    <row r="1603" spans="1:10" ht="15.75" thickBot="1" x14ac:dyDescent="0.3">
      <c r="B1603" s="254" t="str">
        <f>IF(LEN('Ch7'!H734)=0,"",'Ch7'!H734)</f>
        <v/>
      </c>
      <c r="C1603" s="254" t="str">
        <f t="shared" si="40"/>
        <v/>
      </c>
      <c r="D1603" s="670"/>
      <c r="E1603" s="1379"/>
      <c r="F1603" s="1379"/>
      <c r="G1603" s="1797"/>
      <c r="H1603" s="94"/>
      <c r="J1603" s="1204"/>
    </row>
    <row r="1604" spans="1:10" ht="15.75" thickTop="1" x14ac:dyDescent="0.25">
      <c r="A1604" s="585" t="str">
        <f>IF(I1604&gt;0,"P","")</f>
        <v/>
      </c>
      <c r="B1604" s="254" t="str">
        <f>IF(LEN('Ch7'!H735)=0,"",'Ch7'!H735)</f>
        <v/>
      </c>
      <c r="C1604" s="254" t="str">
        <f t="shared" si="40"/>
        <v/>
      </c>
      <c r="D1604" s="106">
        <v>706.8</v>
      </c>
      <c r="E1604" s="1376"/>
      <c r="F1604" s="1376"/>
      <c r="G1604" s="1899" t="s">
        <v>4352</v>
      </c>
      <c r="H1604" s="1313" t="str">
        <f>IF(LEN('Ch7'!W735)=0,"",'Ch7'!W735)</f>
        <v/>
      </c>
      <c r="I1604" s="86">
        <f>'Ch7'!O735</f>
        <v>0</v>
      </c>
      <c r="J1604" s="1204" t="s">
        <v>3892</v>
      </c>
    </row>
    <row r="1605" spans="1:10" x14ac:dyDescent="0.25">
      <c r="A1605" s="585" t="str">
        <f>A1604</f>
        <v/>
      </c>
      <c r="B1605" s="254" t="str">
        <f>IF(LEN('Ch7'!H736)=0,"",'Ch7'!H736)</f>
        <v/>
      </c>
      <c r="C1605" s="254" t="str">
        <f t="shared" si="40"/>
        <v/>
      </c>
      <c r="D1605" s="139"/>
      <c r="E1605" s="1378"/>
      <c r="F1605" s="1378"/>
      <c r="G1605" s="1877"/>
      <c r="H1605" s="94"/>
      <c r="J1605" s="1204"/>
    </row>
    <row r="1606" spans="1:10" ht="15.75" thickBot="1" x14ac:dyDescent="0.3">
      <c r="A1606" s="585" t="str">
        <f>A1605</f>
        <v/>
      </c>
      <c r="B1606" s="254" t="str">
        <f>IF(LEN('Ch7'!H737)=0,"",'Ch7'!H737)</f>
        <v/>
      </c>
      <c r="C1606" s="254" t="str">
        <f t="shared" si="40"/>
        <v/>
      </c>
      <c r="D1606" s="670"/>
      <c r="E1606" s="1379"/>
      <c r="F1606" s="1379"/>
      <c r="G1606" s="1900"/>
      <c r="H1606" s="94"/>
      <c r="J1606" s="1204"/>
    </row>
    <row r="1607" spans="1:10" ht="15.75" thickTop="1" x14ac:dyDescent="0.25">
      <c r="A1607" s="585" t="str">
        <f>IF(I1607&gt;0,"P","")</f>
        <v/>
      </c>
      <c r="B1607" s="254" t="str">
        <f>IF(LEN('Ch7'!H738)=0,"",'Ch7'!H738)</f>
        <v/>
      </c>
      <c r="C1607" s="254" t="str">
        <f t="shared" si="40"/>
        <v/>
      </c>
      <c r="D1607" s="667" t="s">
        <v>4353</v>
      </c>
      <c r="E1607" s="667"/>
      <c r="F1607" s="667"/>
      <c r="G1607" s="1877" t="s">
        <v>4354</v>
      </c>
      <c r="H1607" s="1313" t="str">
        <f>IF(LEN('Ch7'!W738)=0,"",'Ch7'!W738)</f>
        <v/>
      </c>
      <c r="I1607" s="86">
        <f>'Ch7'!O738</f>
        <v>0</v>
      </c>
      <c r="J1607" s="1204" t="s">
        <v>3892</v>
      </c>
    </row>
    <row r="1608" spans="1:10" x14ac:dyDescent="0.25">
      <c r="A1608" s="585" t="str">
        <f>A1607</f>
        <v/>
      </c>
      <c r="B1608" s="254" t="str">
        <f>IF(LEN('Ch7'!H739)=0,"",'Ch7'!H739)</f>
        <v/>
      </c>
      <c r="C1608" s="254" t="str">
        <f t="shared" si="40"/>
        <v/>
      </c>
      <c r="D1608" s="667"/>
      <c r="E1608" s="667"/>
      <c r="F1608" s="667"/>
      <c r="G1608" s="1877"/>
      <c r="H1608" s="94"/>
      <c r="J1608" s="1204"/>
    </row>
    <row r="1609" spans="1:10" x14ac:dyDescent="0.25">
      <c r="A1609" s="585" t="str">
        <f>A1608</f>
        <v/>
      </c>
      <c r="B1609" s="254" t="str">
        <f>IF(LEN('Ch7'!H740)=0,"",'Ch7'!H740)</f>
        <v/>
      </c>
      <c r="C1609" s="254" t="str">
        <f t="shared" si="40"/>
        <v/>
      </c>
      <c r="D1609" s="667"/>
      <c r="E1609" s="667"/>
      <c r="F1609" s="667"/>
      <c r="G1609" s="1877"/>
      <c r="H1609" s="94"/>
      <c r="J1609" s="1204"/>
    </row>
    <row r="1610" spans="1:10" x14ac:dyDescent="0.25">
      <c r="A1610" s="585" t="str">
        <f>A1609</f>
        <v/>
      </c>
      <c r="B1610" s="254" t="str">
        <f>IF(LEN('Ch7'!H741)=0,"",'Ch7'!H741)</f>
        <v/>
      </c>
      <c r="C1610" s="254" t="str">
        <f t="shared" si="40"/>
        <v/>
      </c>
      <c r="D1610" s="667"/>
      <c r="E1610" s="667"/>
      <c r="F1610" s="667"/>
      <c r="G1610" s="1877"/>
      <c r="H1610" s="94"/>
      <c r="J1610" s="1204"/>
    </row>
    <row r="1611" spans="1:10" ht="15.75" thickBot="1" x14ac:dyDescent="0.3">
      <c r="A1611" s="585" t="str">
        <f>A1610</f>
        <v/>
      </c>
      <c r="B1611" s="254" t="str">
        <f>IF(LEN('Ch7'!H742)=0,"",'Ch7'!H742)</f>
        <v/>
      </c>
      <c r="C1611" s="254" t="str">
        <f t="shared" si="40"/>
        <v/>
      </c>
      <c r="D1611" s="673"/>
      <c r="E1611" s="673"/>
      <c r="F1611" s="673"/>
      <c r="G1611" s="1900"/>
      <c r="H1611" s="94"/>
      <c r="J1611" s="1204"/>
    </row>
    <row r="1612" spans="1:10" ht="15.75" thickTop="1" x14ac:dyDescent="0.25">
      <c r="A1612" s="585" t="str">
        <f>IF(I1612&gt;0,"P","")</f>
        <v/>
      </c>
      <c r="B1612" s="254" t="str">
        <f>IF(LEN('Ch7'!H743)=0,"",'Ch7'!H743)</f>
        <v/>
      </c>
      <c r="C1612" s="254" t="str">
        <f t="shared" si="40"/>
        <v/>
      </c>
      <c r="D1612" s="667" t="s">
        <v>4355</v>
      </c>
      <c r="E1612" s="1378"/>
      <c r="F1612" s="1378"/>
      <c r="G1612" s="1782" t="s">
        <v>4356</v>
      </c>
      <c r="H1612" s="1313" t="str">
        <f>IF(LEN('Ch7'!W743)=0,"",'Ch7'!W743)</f>
        <v/>
      </c>
      <c r="I1612" s="86">
        <f>'Ch7'!O743</f>
        <v>0</v>
      </c>
      <c r="J1612" s="1204" t="s">
        <v>5014</v>
      </c>
    </row>
    <row r="1613" spans="1:10" x14ac:dyDescent="0.25">
      <c r="A1613" s="585" t="str">
        <f>A1612</f>
        <v/>
      </c>
      <c r="B1613" s="254" t="str">
        <f>IF(LEN('Ch7'!H744)=0,"",'Ch7'!H744)</f>
        <v/>
      </c>
      <c r="C1613" s="254" t="str">
        <f t="shared" si="40"/>
        <v/>
      </c>
      <c r="D1613" s="139"/>
      <c r="E1613" s="1378"/>
      <c r="F1613" s="1378"/>
      <c r="G1613" s="1782"/>
      <c r="H1613" s="94"/>
      <c r="J1613" s="1204"/>
    </row>
    <row r="1614" spans="1:10" x14ac:dyDescent="0.25">
      <c r="A1614" s="585" t="str">
        <f>A1613</f>
        <v/>
      </c>
      <c r="B1614" s="254" t="str">
        <f>IF(LEN('Ch7'!H745)=0,"",'Ch7'!H745)</f>
        <v/>
      </c>
      <c r="C1614" s="254" t="str">
        <f t="shared" si="40"/>
        <v/>
      </c>
      <c r="D1614" s="139"/>
      <c r="E1614" s="1378"/>
      <c r="F1614" s="1378"/>
      <c r="G1614" s="1782"/>
      <c r="H1614" s="94"/>
      <c r="J1614" s="1204"/>
    </row>
    <row r="1615" spans="1:10" x14ac:dyDescent="0.25">
      <c r="B1615" s="254" t="str">
        <f>IF(LEN('Ch7'!H746)=0,"",'Ch7'!H746)</f>
        <v/>
      </c>
      <c r="C1615" s="254" t="str">
        <f t="shared" si="40"/>
        <v/>
      </c>
      <c r="D1615" s="139"/>
      <c r="E1615" s="1378"/>
      <c r="F1615" s="1378"/>
      <c r="G1615" s="1782" t="s">
        <v>4357</v>
      </c>
      <c r="H1615" s="94"/>
      <c r="J1615" s="1204"/>
    </row>
    <row r="1616" spans="1:10" ht="15.75" thickBot="1" x14ac:dyDescent="0.3">
      <c r="B1616" s="254" t="str">
        <f>IF(LEN('Ch7'!H747)=0,"",'Ch7'!H747)</f>
        <v/>
      </c>
      <c r="C1616" s="254" t="str">
        <f t="shared" si="40"/>
        <v/>
      </c>
      <c r="D1616" s="139"/>
      <c r="E1616" s="1378"/>
      <c r="F1616" s="1378"/>
      <c r="G1616" s="1782"/>
      <c r="H1616" s="94"/>
      <c r="J1616" s="1204"/>
    </row>
    <row r="1617" spans="1:10" ht="15.75" thickTop="1" x14ac:dyDescent="0.25">
      <c r="A1617" s="585" t="str">
        <f>IF(I1617&gt;0,"P","")</f>
        <v/>
      </c>
      <c r="B1617" s="254" t="str">
        <f>IF(LEN('Ch7'!H748)=0,"",'Ch7'!H748)</f>
        <v/>
      </c>
      <c r="C1617" s="254" t="str">
        <f t="shared" si="40"/>
        <v/>
      </c>
      <c r="D1617" s="682" t="s">
        <v>4364</v>
      </c>
      <c r="E1617" s="682"/>
      <c r="F1617" s="682"/>
      <c r="G1617" s="1899" t="s">
        <v>4372</v>
      </c>
      <c r="H1617" s="1313" t="str">
        <f>IF(LEN('Ch7'!W748)=0,"",'Ch7'!W748)</f>
        <v/>
      </c>
      <c r="I1617" s="86">
        <f>'Ch7'!O748</f>
        <v>0</v>
      </c>
      <c r="J1617" s="1204" t="s">
        <v>5014</v>
      </c>
    </row>
    <row r="1618" spans="1:10" ht="15.75" thickBot="1" x14ac:dyDescent="0.3">
      <c r="A1618" s="585" t="str">
        <f>A1617</f>
        <v/>
      </c>
      <c r="B1618" s="254" t="str">
        <f>IF(LEN('Ch7'!H749)=0,"",'Ch7'!H749)</f>
        <v/>
      </c>
      <c r="C1618" s="254" t="str">
        <f t="shared" ref="C1618:C1681" si="41">IF(LEN(B1618)=0,IF(A1618="P","P",""),B1618)</f>
        <v/>
      </c>
      <c r="D1618" s="673"/>
      <c r="E1618" s="673"/>
      <c r="F1618" s="673"/>
      <c r="G1618" s="1900"/>
      <c r="H1618" s="94"/>
      <c r="J1618" s="1204"/>
    </row>
    <row r="1619" spans="1:10" ht="15.75" thickTop="1" x14ac:dyDescent="0.25">
      <c r="A1619" s="585" t="str">
        <f>IF(I1619&gt;0,"P","")</f>
        <v/>
      </c>
      <c r="B1619" s="254" t="str">
        <f>IF(LEN('Ch7'!H750)=0,"",'Ch7'!H750)</f>
        <v/>
      </c>
      <c r="C1619" s="254" t="str">
        <f t="shared" si="41"/>
        <v/>
      </c>
      <c r="D1619" s="682" t="s">
        <v>4365</v>
      </c>
      <c r="E1619" s="682"/>
      <c r="F1619" s="682"/>
      <c r="G1619" s="1899" t="s">
        <v>5589</v>
      </c>
      <c r="H1619" s="1313" t="str">
        <f>IF(LEN('Ch7'!W750)=0,"",'Ch7'!W750)</f>
        <v/>
      </c>
      <c r="I1619" s="86">
        <f>'Ch7'!O750</f>
        <v>0</v>
      </c>
      <c r="J1619" s="1204" t="s">
        <v>5014</v>
      </c>
    </row>
    <row r="1620" spans="1:10" x14ac:dyDescent="0.25">
      <c r="A1620" s="585" t="str">
        <f>A1619</f>
        <v/>
      </c>
      <c r="B1620" s="254" t="str">
        <f>IF(LEN('Ch7'!H751)=0,"",'Ch7'!H751)</f>
        <v/>
      </c>
      <c r="C1620" s="254" t="str">
        <f t="shared" si="41"/>
        <v/>
      </c>
      <c r="D1620" s="667"/>
      <c r="E1620" s="667"/>
      <c r="F1620" s="667"/>
      <c r="G1620" s="1877"/>
      <c r="H1620" s="94"/>
      <c r="J1620" s="1204"/>
    </row>
    <row r="1621" spans="1:10" x14ac:dyDescent="0.25">
      <c r="A1621" s="585" t="str">
        <f>A1620</f>
        <v/>
      </c>
      <c r="B1621" s="254" t="str">
        <f>IF(LEN('Ch7'!H752)=0,"",'Ch7'!H752)</f>
        <v/>
      </c>
      <c r="C1621" s="254" t="str">
        <f t="shared" si="41"/>
        <v/>
      </c>
      <c r="D1621" s="667"/>
      <c r="E1621" s="667"/>
      <c r="F1621" s="667"/>
      <c r="G1621" s="1877"/>
      <c r="H1621" s="94"/>
      <c r="J1621" s="1204"/>
    </row>
    <row r="1622" spans="1:10" ht="15.75" thickBot="1" x14ac:dyDescent="0.3">
      <c r="A1622" s="585" t="str">
        <f>A1621</f>
        <v/>
      </c>
      <c r="B1622" s="254" t="str">
        <f>IF(LEN('Ch7'!H753)=0,"",'Ch7'!H753)</f>
        <v/>
      </c>
      <c r="C1622" s="254" t="str">
        <f t="shared" si="41"/>
        <v/>
      </c>
      <c r="D1622" s="673"/>
      <c r="E1622" s="673"/>
      <c r="F1622" s="673"/>
      <c r="G1622" s="1900"/>
      <c r="H1622" s="94"/>
      <c r="J1622" s="1204"/>
    </row>
    <row r="1623" spans="1:10" ht="15.75" thickTop="1" x14ac:dyDescent="0.25">
      <c r="A1623" s="585" t="str">
        <f>IF(I1623&gt;0,"P","")</f>
        <v/>
      </c>
      <c r="B1623" s="254" t="str">
        <f>IF(LEN('Ch7'!H754)=0,"",'Ch7'!H754)</f>
        <v/>
      </c>
      <c r="C1623" s="254" t="str">
        <f t="shared" si="41"/>
        <v/>
      </c>
      <c r="D1623" s="682" t="s">
        <v>4366</v>
      </c>
      <c r="E1623" s="682"/>
      <c r="F1623" s="682"/>
      <c r="G1623" s="1899" t="s">
        <v>4371</v>
      </c>
      <c r="H1623" s="1313" t="str">
        <f>IF(LEN('Ch7'!W754)=0,"",'Ch7'!W754)</f>
        <v/>
      </c>
      <c r="I1623" s="86">
        <f>'Ch7'!O754</f>
        <v>0</v>
      </c>
      <c r="J1623" s="1204" t="s">
        <v>3892</v>
      </c>
    </row>
    <row r="1624" spans="1:10" x14ac:dyDescent="0.25">
      <c r="A1624" s="585" t="str">
        <f>A1623</f>
        <v/>
      </c>
      <c r="B1624" s="254" t="str">
        <f>IF(LEN('Ch7'!H755)=0,"",'Ch7'!H755)</f>
        <v/>
      </c>
      <c r="C1624" s="254" t="str">
        <f t="shared" si="41"/>
        <v/>
      </c>
      <c r="D1624" s="667"/>
      <c r="E1624" s="667"/>
      <c r="F1624" s="667"/>
      <c r="G1624" s="1877"/>
      <c r="H1624" s="94"/>
      <c r="J1624" s="1204"/>
    </row>
    <row r="1625" spans="1:10" x14ac:dyDescent="0.25">
      <c r="B1625" s="254" t="str">
        <f>IF(LEN('Ch7'!H756)=0,"",'Ch7'!H756)</f>
        <v/>
      </c>
      <c r="C1625" s="254" t="str">
        <f t="shared" si="41"/>
        <v/>
      </c>
      <c r="D1625" s="667"/>
      <c r="E1625" s="684" t="s">
        <v>256</v>
      </c>
      <c r="F1625" s="684"/>
      <c r="G1625" s="1217" t="s">
        <v>4358</v>
      </c>
      <c r="H1625" s="94"/>
      <c r="J1625" s="1204"/>
    </row>
    <row r="1626" spans="1:10" ht="15.75" thickBot="1" x14ac:dyDescent="0.3">
      <c r="B1626" s="254" t="str">
        <f>IF(LEN('Ch7'!H757)=0,"",'Ch7'!H757)</f>
        <v/>
      </c>
      <c r="C1626" s="254" t="str">
        <f t="shared" si="41"/>
        <v/>
      </c>
      <c r="D1626" s="673"/>
      <c r="E1626" s="673" t="s">
        <v>258</v>
      </c>
      <c r="F1626" s="673"/>
      <c r="G1626" s="1218" t="s">
        <v>4359</v>
      </c>
      <c r="H1626" s="94"/>
      <c r="J1626" s="1204"/>
    </row>
    <row r="1627" spans="1:10" ht="15.75" thickTop="1" x14ac:dyDescent="0.25">
      <c r="A1627" s="585" t="str">
        <f>IF(I1627&gt;0,"P","")</f>
        <v/>
      </c>
      <c r="B1627" s="254" t="str">
        <f>IF(LEN('Ch7'!H758)=0,"",'Ch7'!H758)</f>
        <v/>
      </c>
      <c r="C1627" s="254" t="str">
        <f t="shared" si="41"/>
        <v/>
      </c>
      <c r="D1627" s="667" t="s">
        <v>4367</v>
      </c>
      <c r="E1627" s="667"/>
      <c r="F1627" s="667"/>
      <c r="G1627" s="1234" t="s">
        <v>4370</v>
      </c>
      <c r="H1627" s="94"/>
      <c r="I1627" s="706">
        <f>SUM(I1628:I1632)</f>
        <v>0</v>
      </c>
      <c r="J1627" s="1204"/>
    </row>
    <row r="1628" spans="1:10" x14ac:dyDescent="0.25">
      <c r="A1628" s="585" t="str">
        <f>IF(I1628&gt;0,"P","")</f>
        <v/>
      </c>
      <c r="B1628" s="254" t="str">
        <f>IF(LEN('Ch7'!H759)=0,"",'Ch7'!H759)</f>
        <v/>
      </c>
      <c r="C1628" s="254" t="str">
        <f t="shared" si="41"/>
        <v/>
      </c>
      <c r="D1628" s="667"/>
      <c r="E1628" s="667" t="s">
        <v>256</v>
      </c>
      <c r="F1628" s="667"/>
      <c r="G1628" s="1765" t="s">
        <v>4360</v>
      </c>
      <c r="H1628" s="1313" t="str">
        <f>IF(LEN('Ch7'!W759)=0,"",'Ch7'!W759)</f>
        <v/>
      </c>
      <c r="I1628" s="86">
        <f>'Ch7'!O759</f>
        <v>0</v>
      </c>
      <c r="J1628" s="1204" t="s">
        <v>5015</v>
      </c>
    </row>
    <row r="1629" spans="1:10" x14ac:dyDescent="0.25">
      <c r="A1629" s="585" t="str">
        <f>A1628</f>
        <v/>
      </c>
      <c r="B1629" s="254" t="str">
        <f>IF(LEN('Ch7'!H760)=0,"",'Ch7'!H760)</f>
        <v/>
      </c>
      <c r="C1629" s="254" t="str">
        <f t="shared" si="41"/>
        <v/>
      </c>
      <c r="D1629" s="667"/>
      <c r="E1629" s="667"/>
      <c r="F1629" s="667"/>
      <c r="G1629" s="1765"/>
      <c r="H1629" s="94"/>
      <c r="J1629" s="1204"/>
    </row>
    <row r="1630" spans="1:10" x14ac:dyDescent="0.25">
      <c r="A1630" s="585" t="str">
        <f>A1629</f>
        <v/>
      </c>
      <c r="B1630" s="254" t="str">
        <f>IF(LEN('Ch7'!H761)=0,"",'Ch7'!H761)</f>
        <v/>
      </c>
      <c r="C1630" s="254" t="str">
        <f t="shared" si="41"/>
        <v/>
      </c>
      <c r="D1630" s="667"/>
      <c r="E1630" s="667"/>
      <c r="F1630" s="667"/>
      <c r="G1630" s="1765"/>
      <c r="H1630" s="94"/>
      <c r="J1630" s="1204"/>
    </row>
    <row r="1631" spans="1:10" x14ac:dyDescent="0.25">
      <c r="A1631" s="585" t="str">
        <f>A1630</f>
        <v/>
      </c>
      <c r="B1631" s="254" t="str">
        <f>IF(LEN('Ch7'!H762)=0,"",'Ch7'!H762)</f>
        <v/>
      </c>
      <c r="C1631" s="254" t="str">
        <f t="shared" si="41"/>
        <v/>
      </c>
      <c r="D1631" s="667"/>
      <c r="E1631" s="684"/>
      <c r="F1631" s="684"/>
      <c r="G1631" s="1786"/>
      <c r="H1631" s="94"/>
      <c r="J1631" s="1204"/>
    </row>
    <row r="1632" spans="1:10" x14ac:dyDescent="0.25">
      <c r="A1632" s="585" t="str">
        <f>IF(I1632&gt;0,"P","")</f>
        <v/>
      </c>
      <c r="B1632" s="254" t="str">
        <f>IF(LEN('Ch7'!H763)=0,"",'Ch7'!H763)</f>
        <v/>
      </c>
      <c r="C1632" s="254" t="str">
        <f t="shared" si="41"/>
        <v/>
      </c>
      <c r="D1632" s="667"/>
      <c r="E1632" s="667" t="s">
        <v>258</v>
      </c>
      <c r="F1632" s="667"/>
      <c r="G1632" s="1765" t="s">
        <v>4361</v>
      </c>
      <c r="H1632" s="1313" t="str">
        <f>IF(LEN('Ch7'!W763)=0,"",'Ch7'!W763)</f>
        <v/>
      </c>
      <c r="I1632" s="86">
        <f>'Ch7'!O763</f>
        <v>0</v>
      </c>
      <c r="J1632" s="1204" t="s">
        <v>5016</v>
      </c>
    </row>
    <row r="1633" spans="1:10" ht="15.75" thickBot="1" x14ac:dyDescent="0.3">
      <c r="A1633" s="585" t="str">
        <f>A1632</f>
        <v/>
      </c>
      <c r="B1633" s="254" t="str">
        <f>IF(LEN('Ch7'!H764)=0,"",'Ch7'!H764)</f>
        <v/>
      </c>
      <c r="C1633" s="254" t="str">
        <f t="shared" si="41"/>
        <v/>
      </c>
      <c r="D1633" s="673"/>
      <c r="E1633" s="673"/>
      <c r="F1633" s="673"/>
      <c r="G1633" s="1766"/>
      <c r="H1633" s="94"/>
      <c r="J1633" s="1204"/>
    </row>
    <row r="1634" spans="1:10" ht="15.75" thickTop="1" x14ac:dyDescent="0.25">
      <c r="A1634" s="585" t="str">
        <f>IF(I1634&gt;0,"P","")</f>
        <v/>
      </c>
      <c r="B1634" s="254" t="str">
        <f>IF(LEN('Ch7'!H765)=0,"",'Ch7'!H765)</f>
        <v/>
      </c>
      <c r="C1634" s="254" t="str">
        <f t="shared" si="41"/>
        <v/>
      </c>
      <c r="D1634" s="667" t="s">
        <v>4368</v>
      </c>
      <c r="E1634" s="667"/>
      <c r="F1634" s="667"/>
      <c r="G1634" s="1877" t="s">
        <v>4369</v>
      </c>
      <c r="H1634" s="94"/>
      <c r="I1634" s="706">
        <f>SUM(I1637:I1638)</f>
        <v>0</v>
      </c>
      <c r="J1634" s="1204" t="s">
        <v>5014</v>
      </c>
    </row>
    <row r="1635" spans="1:10" x14ac:dyDescent="0.25">
      <c r="A1635" s="585" t="str">
        <f>A1634</f>
        <v/>
      </c>
      <c r="B1635" s="254" t="str">
        <f>IF(LEN('Ch7'!H766)=0,"",'Ch7'!H766)</f>
        <v/>
      </c>
      <c r="C1635" s="254" t="str">
        <f t="shared" si="41"/>
        <v/>
      </c>
      <c r="D1635" s="667"/>
      <c r="E1635" s="667"/>
      <c r="F1635" s="667"/>
      <c r="G1635" s="1877"/>
      <c r="H1635" s="94"/>
      <c r="J1635" s="1204"/>
    </row>
    <row r="1636" spans="1:10" x14ac:dyDescent="0.25">
      <c r="A1636" s="585" t="str">
        <f>A1635</f>
        <v/>
      </c>
      <c r="B1636" s="254" t="str">
        <f>IF(LEN('Ch7'!H767)=0,"",'Ch7'!H767)</f>
        <v/>
      </c>
      <c r="C1636" s="254" t="str">
        <f t="shared" si="41"/>
        <v/>
      </c>
      <c r="D1636" s="667"/>
      <c r="E1636" s="667"/>
      <c r="F1636" s="667"/>
      <c r="G1636" s="1877"/>
      <c r="H1636" s="94"/>
      <c r="J1636" s="1204"/>
    </row>
    <row r="1637" spans="1:10" x14ac:dyDescent="0.25">
      <c r="B1637" s="254" t="str">
        <f>IF(LEN('Ch7'!H768)=0,"",'Ch7'!H768)</f>
        <v/>
      </c>
      <c r="C1637" s="254" t="str">
        <f t="shared" si="41"/>
        <v/>
      </c>
      <c r="D1637" s="667"/>
      <c r="E1637" s="684" t="s">
        <v>256</v>
      </c>
      <c r="F1637" s="684"/>
      <c r="G1637" s="1217" t="s">
        <v>4362</v>
      </c>
      <c r="H1637" s="1313" t="str">
        <f>IF(LEN('Ch7'!W768)=0,"",'Ch7'!W768)</f>
        <v/>
      </c>
      <c r="I1637" s="86">
        <f>'Ch7'!O768</f>
        <v>0</v>
      </c>
      <c r="J1637" s="1204"/>
    </row>
    <row r="1638" spans="1:10" x14ac:dyDescent="0.25">
      <c r="B1638" s="254" t="str">
        <f>IF(LEN('Ch7'!H769)=0,"",'Ch7'!H769)</f>
        <v/>
      </c>
      <c r="C1638" s="254" t="str">
        <f t="shared" si="41"/>
        <v/>
      </c>
      <c r="D1638" s="667"/>
      <c r="E1638" s="667" t="s">
        <v>258</v>
      </c>
      <c r="F1638" s="667"/>
      <c r="G1638" s="1216" t="s">
        <v>4363</v>
      </c>
      <c r="H1638" s="1313" t="str">
        <f>IF(LEN('Ch7'!W769)=0,"",'Ch7'!W769)</f>
        <v/>
      </c>
      <c r="I1638" s="86">
        <f>'Ch7'!O769</f>
        <v>0</v>
      </c>
      <c r="J1638" s="1204"/>
    </row>
    <row r="1639" spans="1:10" ht="18.75" x14ac:dyDescent="0.3">
      <c r="A1639" s="585" t="s">
        <v>3974</v>
      </c>
      <c r="B1639" s="254" t="str">
        <f>IF(LEN('Ch8'!H9)=0,"",'Ch8'!H9)</f>
        <v/>
      </c>
      <c r="C1639" s="254" t="str">
        <f t="shared" si="41"/>
        <v>P</v>
      </c>
      <c r="D1639" s="1385" t="s">
        <v>772</v>
      </c>
      <c r="E1639" s="1385"/>
      <c r="F1639" s="1385"/>
      <c r="G1639" s="1311"/>
      <c r="H1639" s="94"/>
      <c r="J1639" s="1204"/>
    </row>
    <row r="1640" spans="1:10" x14ac:dyDescent="0.25">
      <c r="B1640" s="254" t="str">
        <f>IF(LEN('Ch8'!H10)=0,"",'Ch8'!H10)</f>
        <v/>
      </c>
      <c r="C1640" s="254" t="str">
        <f t="shared" si="41"/>
        <v/>
      </c>
      <c r="D1640" s="667" t="s">
        <v>773</v>
      </c>
      <c r="E1640" s="139"/>
      <c r="F1640" s="139"/>
      <c r="G1640" s="1782" t="s">
        <v>4374</v>
      </c>
      <c r="H1640" s="94"/>
      <c r="J1640" s="1204"/>
    </row>
    <row r="1641" spans="1:10" x14ac:dyDescent="0.25">
      <c r="B1641" s="254" t="str">
        <f>IF(LEN('Ch8'!H11)=0,"",'Ch8'!H11)</f>
        <v/>
      </c>
      <c r="C1641" s="254" t="str">
        <f t="shared" si="41"/>
        <v/>
      </c>
      <c r="D1641" s="667"/>
      <c r="E1641" s="139"/>
      <c r="F1641" s="139"/>
      <c r="G1641" s="1782"/>
      <c r="H1641" s="94"/>
      <c r="J1641" s="1204"/>
    </row>
    <row r="1642" spans="1:10" x14ac:dyDescent="0.25">
      <c r="B1642" s="254" t="str">
        <f>IF(LEN('Ch8'!H12)=0,"",'Ch8'!H12)</f>
        <v/>
      </c>
      <c r="C1642" s="254" t="str">
        <f t="shared" si="41"/>
        <v/>
      </c>
      <c r="D1642" s="684"/>
      <c r="E1642" s="669"/>
      <c r="F1642" s="669"/>
      <c r="G1642" s="1843"/>
      <c r="H1642" s="94"/>
      <c r="J1642" s="1204"/>
    </row>
    <row r="1643" spans="1:10" x14ac:dyDescent="0.25">
      <c r="B1643" s="254" t="str">
        <f>IF(LEN('Ch8'!H13)=0,"",'Ch8'!H13)</f>
        <v/>
      </c>
      <c r="C1643" s="254" t="str">
        <f t="shared" si="41"/>
        <v/>
      </c>
      <c r="D1643" s="139">
        <v>801.1</v>
      </c>
      <c r="E1643" s="139"/>
      <c r="F1643" s="139"/>
      <c r="G1643" s="1782" t="s">
        <v>4823</v>
      </c>
      <c r="H1643" s="1313" t="str">
        <f>IF(LEN('Ch8'!W13)=0,"",'Ch8'!W13)</f>
        <v/>
      </c>
      <c r="J1643" s="1204"/>
    </row>
    <row r="1644" spans="1:10" x14ac:dyDescent="0.25">
      <c r="B1644" s="254" t="str">
        <f>IF(LEN('Ch8'!H14)=0,"",'Ch8'!H14)</f>
        <v/>
      </c>
      <c r="C1644" s="254" t="str">
        <f t="shared" si="41"/>
        <v/>
      </c>
      <c r="D1644" s="667"/>
      <c r="E1644" s="139"/>
      <c r="F1644" s="139"/>
      <c r="G1644" s="1782"/>
      <c r="H1644" s="94"/>
      <c r="J1644" s="1204"/>
    </row>
    <row r="1645" spans="1:10" x14ac:dyDescent="0.25">
      <c r="B1645" s="254" t="str">
        <f>IF(LEN('Ch8'!H15)=0,"",'Ch8'!H15)</f>
        <v/>
      </c>
      <c r="C1645" s="254" t="str">
        <f t="shared" si="41"/>
        <v/>
      </c>
      <c r="D1645" s="667"/>
      <c r="E1645" s="139"/>
      <c r="F1645" s="139"/>
      <c r="G1645" s="1782"/>
      <c r="H1645" s="94"/>
      <c r="J1645" s="1204"/>
    </row>
    <row r="1646" spans="1:10" x14ac:dyDescent="0.25">
      <c r="B1646" s="254" t="str">
        <f>IF(LEN('Ch8'!H16)=0,"",'Ch8'!H16)</f>
        <v/>
      </c>
      <c r="C1646" s="254" t="str">
        <f t="shared" si="41"/>
        <v/>
      </c>
      <c r="D1646" s="667"/>
      <c r="E1646" s="139"/>
      <c r="F1646" s="139"/>
      <c r="G1646" s="1782"/>
      <c r="H1646" s="94"/>
      <c r="J1646" s="1204"/>
    </row>
    <row r="1647" spans="1:10" x14ac:dyDescent="0.25">
      <c r="B1647" s="254" t="str">
        <f>IF(LEN('Ch8'!H17)=0,"",'Ch8'!H17)</f>
        <v/>
      </c>
      <c r="C1647" s="254" t="str">
        <f t="shared" si="41"/>
        <v/>
      </c>
      <c r="D1647" s="667"/>
      <c r="E1647" s="139"/>
      <c r="F1647" s="139"/>
      <c r="G1647" s="1782"/>
      <c r="H1647" s="94"/>
      <c r="J1647" s="1204"/>
    </row>
    <row r="1648" spans="1:10" ht="15.75" thickBot="1" x14ac:dyDescent="0.3">
      <c r="B1648" s="254" t="str">
        <f>IF(LEN('Ch8'!H18)=0,"",'Ch8'!H18)</f>
        <v/>
      </c>
      <c r="C1648" s="254" t="str">
        <f t="shared" si="41"/>
        <v/>
      </c>
      <c r="D1648" s="673"/>
      <c r="E1648" s="670"/>
      <c r="F1648" s="670"/>
      <c r="G1648" s="1797"/>
      <c r="H1648" s="94"/>
      <c r="J1648" s="1204"/>
    </row>
    <row r="1649" spans="1:10" ht="19.5" thickTop="1" x14ac:dyDescent="0.25">
      <c r="A1649" s="585" t="s">
        <v>3974</v>
      </c>
      <c r="B1649" s="254" t="str">
        <f>IF(LEN('Ch8'!H19)=0,"",'Ch8'!H19)</f>
        <v/>
      </c>
      <c r="C1649" s="254" t="str">
        <f t="shared" si="41"/>
        <v>P</v>
      </c>
      <c r="D1649" s="1388" t="s">
        <v>4398</v>
      </c>
      <c r="E1649" s="1388"/>
      <c r="F1649" s="1388"/>
      <c r="G1649" s="1001"/>
      <c r="H1649" s="94"/>
      <c r="J1649" s="1204"/>
    </row>
    <row r="1650" spans="1:10" x14ac:dyDescent="0.25">
      <c r="A1650" s="585" t="str">
        <f ca="1">IF(I1650&gt;0,"P","")</f>
        <v/>
      </c>
      <c r="B1650" s="254" t="str">
        <f>IF(LEN('Ch8'!H20)=0,"",'Ch8'!H20)</f>
        <v/>
      </c>
      <c r="C1650" s="254" t="str">
        <f t="shared" ca="1" si="41"/>
        <v/>
      </c>
      <c r="D1650" s="139">
        <v>802.1</v>
      </c>
      <c r="E1650" s="139"/>
      <c r="F1650" s="139"/>
      <c r="G1650" s="1782" t="s">
        <v>4396</v>
      </c>
      <c r="H1650" s="94"/>
      <c r="I1650" s="86">
        <f ca="1">'Ch8'!O20</f>
        <v>0</v>
      </c>
      <c r="J1650" s="1950" t="s">
        <v>3930</v>
      </c>
    </row>
    <row r="1651" spans="1:10" x14ac:dyDescent="0.25">
      <c r="A1651" s="585" t="str">
        <f ca="1">A1650</f>
        <v/>
      </c>
      <c r="B1651" s="254" t="str">
        <f>IF(LEN('Ch8'!H21)=0,"",'Ch8'!H21)</f>
        <v/>
      </c>
      <c r="C1651" s="254" t="str">
        <f t="shared" ca="1" si="41"/>
        <v/>
      </c>
      <c r="D1651" s="139"/>
      <c r="E1651" s="139"/>
      <c r="F1651" s="139"/>
      <c r="G1651" s="1782"/>
      <c r="H1651" s="1313" t="str">
        <f>IF(LEN('Ch8'!W21)=0,"",'Ch8'!W21)</f>
        <v/>
      </c>
      <c r="J1651" s="1951"/>
    </row>
    <row r="1652" spans="1:10" x14ac:dyDescent="0.25">
      <c r="A1652" s="585" t="str">
        <f ca="1">A1651</f>
        <v/>
      </c>
      <c r="B1652" s="254" t="str">
        <f>IF(LEN('Ch8'!H22)=0,"",'Ch8'!H22)</f>
        <v/>
      </c>
      <c r="C1652" s="254" t="str">
        <f t="shared" ca="1" si="41"/>
        <v/>
      </c>
      <c r="D1652" s="139"/>
      <c r="E1652" s="139"/>
      <c r="F1652" s="139"/>
      <c r="G1652" s="1782"/>
      <c r="H1652" s="94"/>
      <c r="J1652" s="1204"/>
    </row>
    <row r="1653" spans="1:10" x14ac:dyDescent="0.25">
      <c r="A1653" s="585" t="str">
        <f ca="1">A1652</f>
        <v/>
      </c>
      <c r="B1653" s="254" t="str">
        <f>IF(LEN('Ch8'!H23)=0,"",'Ch8'!H23)</f>
        <v/>
      </c>
      <c r="C1653" s="254" t="str">
        <f t="shared" ca="1" si="41"/>
        <v/>
      </c>
      <c r="D1653" s="139"/>
      <c r="E1653" s="139"/>
      <c r="F1653" s="139"/>
      <c r="G1653" s="1782"/>
      <c r="H1653" s="94"/>
      <c r="J1653" s="1204"/>
    </row>
    <row r="1654" spans="1:10" x14ac:dyDescent="0.25">
      <c r="A1654" s="585" t="str">
        <f ca="1">A1653</f>
        <v/>
      </c>
      <c r="B1654" s="254" t="str">
        <f>IF(LEN('Ch8'!H24)=0,"",'Ch8'!H24)</f>
        <v/>
      </c>
      <c r="C1654" s="254" t="str">
        <f t="shared" ca="1" si="41"/>
        <v/>
      </c>
      <c r="D1654" s="139"/>
      <c r="E1654" s="139"/>
      <c r="F1654" s="139"/>
      <c r="G1654" s="1782"/>
      <c r="H1654" s="94"/>
      <c r="J1654" s="1204"/>
    </row>
    <row r="1655" spans="1:10" x14ac:dyDescent="0.25">
      <c r="B1655" s="254" t="str">
        <f>IF(LEN('Ch8'!H25)=0,"",'Ch8'!H25)</f>
        <v/>
      </c>
      <c r="C1655" s="254" t="str">
        <f t="shared" si="41"/>
        <v/>
      </c>
      <c r="D1655" s="139"/>
      <c r="E1655" s="139"/>
      <c r="F1655" s="139"/>
      <c r="G1655" s="1942" t="s">
        <v>774</v>
      </c>
      <c r="H1655" s="94"/>
      <c r="J1655" s="1204"/>
    </row>
    <row r="1656" spans="1:10" x14ac:dyDescent="0.25">
      <c r="B1656" s="254" t="str">
        <f>IF(LEN('Ch8'!H26)=0,"",'Ch8'!H26)</f>
        <v/>
      </c>
      <c r="C1656" s="254" t="str">
        <f t="shared" si="41"/>
        <v/>
      </c>
      <c r="D1656" s="139"/>
      <c r="E1656" s="139"/>
      <c r="F1656" s="139"/>
      <c r="G1656" s="1942"/>
      <c r="H1656" s="94"/>
      <c r="J1656" s="1204"/>
    </row>
    <row r="1657" spans="1:10" x14ac:dyDescent="0.25">
      <c r="B1657" s="254" t="str">
        <f>IF(LEN('Ch8'!H27)=0,"",'Ch8'!H27)</f>
        <v/>
      </c>
      <c r="C1657" s="254" t="str">
        <f t="shared" si="41"/>
        <v/>
      </c>
      <c r="D1657" s="139"/>
      <c r="E1657" s="139"/>
      <c r="F1657" s="139"/>
      <c r="G1657" s="1942"/>
      <c r="H1657" s="94"/>
      <c r="J1657" s="1204"/>
    </row>
    <row r="1658" spans="1:10" x14ac:dyDescent="0.25">
      <c r="B1658" s="254" t="str">
        <f>IF(LEN('Ch8'!H28)=0,"",'Ch8'!H28)</f>
        <v/>
      </c>
      <c r="C1658" s="254" t="str">
        <f t="shared" si="41"/>
        <v/>
      </c>
      <c r="D1658" s="139"/>
      <c r="E1658" s="139"/>
      <c r="F1658" s="139"/>
      <c r="G1658" s="1942" t="s">
        <v>775</v>
      </c>
      <c r="H1658" s="94"/>
      <c r="J1658" s="1204"/>
    </row>
    <row r="1659" spans="1:10" x14ac:dyDescent="0.25">
      <c r="B1659" s="254" t="str">
        <f>IF(LEN('Ch8'!H29)=0,"",'Ch8'!H29)</f>
        <v/>
      </c>
      <c r="C1659" s="254" t="str">
        <f t="shared" si="41"/>
        <v/>
      </c>
      <c r="D1659" s="139"/>
      <c r="E1659" s="139"/>
      <c r="F1659" s="139"/>
      <c r="G1659" s="1942"/>
      <c r="H1659" s="94"/>
      <c r="J1659" s="1204"/>
    </row>
    <row r="1660" spans="1:10" x14ac:dyDescent="0.25">
      <c r="B1660" s="254" t="str">
        <f>IF(LEN('Ch8'!H30)=0,"",'Ch8'!H30)</f>
        <v/>
      </c>
      <c r="C1660" s="254" t="str">
        <f t="shared" si="41"/>
        <v/>
      </c>
      <c r="D1660" s="139"/>
      <c r="E1660" s="139"/>
      <c r="F1660" s="139"/>
      <c r="G1660" s="1942"/>
      <c r="H1660" s="94"/>
      <c r="J1660" s="1204"/>
    </row>
    <row r="1661" spans="1:10" x14ac:dyDescent="0.25">
      <c r="B1661" s="254" t="str">
        <f>IF(LEN('Ch8'!H31)=0,"",'Ch8'!H31)</f>
        <v/>
      </c>
      <c r="C1661" s="254" t="str">
        <f t="shared" si="41"/>
        <v/>
      </c>
      <c r="D1661" s="139"/>
      <c r="E1661" s="139"/>
      <c r="F1661" s="139"/>
      <c r="G1661" s="1315" t="s">
        <v>776</v>
      </c>
      <c r="H1661" s="94"/>
      <c r="J1661" s="1204"/>
    </row>
    <row r="1662" spans="1:10" x14ac:dyDescent="0.25">
      <c r="B1662" s="254" t="str">
        <f>IF(LEN('Ch8'!H32)=0,"",'Ch8'!H32)</f>
        <v/>
      </c>
      <c r="C1662" s="254" t="str">
        <f t="shared" si="41"/>
        <v/>
      </c>
      <c r="D1662" s="139"/>
      <c r="E1662" s="139"/>
      <c r="F1662" s="139"/>
      <c r="G1662" s="1318" t="s">
        <v>4586</v>
      </c>
      <c r="H1662" s="94"/>
      <c r="J1662" s="1204"/>
    </row>
    <row r="1663" spans="1:10" x14ac:dyDescent="0.25">
      <c r="B1663" s="254" t="str">
        <f>IF(LEN('Ch8'!H33)=0,"",'Ch8'!H33)</f>
        <v/>
      </c>
      <c r="C1663" s="254" t="str">
        <f t="shared" si="41"/>
        <v/>
      </c>
      <c r="D1663" s="139"/>
      <c r="E1663" s="139"/>
      <c r="F1663" s="139"/>
      <c r="G1663" s="1318" t="s">
        <v>4587</v>
      </c>
      <c r="H1663" s="94"/>
      <c r="J1663" s="1204"/>
    </row>
    <row r="1664" spans="1:10" x14ac:dyDescent="0.25">
      <c r="B1664" s="254" t="str">
        <f>IF(LEN('Ch8'!H34)=0,"",'Ch8'!H34)</f>
        <v/>
      </c>
      <c r="C1664" s="254" t="str">
        <f t="shared" si="41"/>
        <v/>
      </c>
      <c r="D1664" s="139"/>
      <c r="E1664" s="668" t="s">
        <v>256</v>
      </c>
      <c r="F1664" s="101"/>
      <c r="G1664" s="1754" t="s">
        <v>777</v>
      </c>
      <c r="H1664" s="94"/>
      <c r="J1664" s="1204"/>
    </row>
    <row r="1665" spans="2:10" x14ac:dyDescent="0.25">
      <c r="B1665" s="254" t="str">
        <f>IF(LEN('Ch8'!H35)=0,"",'Ch8'!H35)</f>
        <v/>
      </c>
      <c r="C1665" s="254" t="str">
        <f t="shared" si="41"/>
        <v/>
      </c>
      <c r="D1665" s="139"/>
      <c r="E1665" s="684"/>
      <c r="F1665" s="669"/>
      <c r="G1665" s="1755"/>
      <c r="H1665" s="94"/>
      <c r="J1665" s="1204"/>
    </row>
    <row r="1666" spans="2:10" x14ac:dyDescent="0.25">
      <c r="B1666" s="254" t="str">
        <f>IF(LEN('Ch8'!H36)=0,"",'Ch8'!H36)</f>
        <v/>
      </c>
      <c r="C1666" s="254" t="str">
        <f t="shared" si="41"/>
        <v/>
      </c>
      <c r="D1666" s="139"/>
      <c r="E1666" s="668" t="s">
        <v>258</v>
      </c>
      <c r="F1666" s="101"/>
      <c r="G1666" s="1754" t="s">
        <v>778</v>
      </c>
      <c r="H1666" s="94"/>
      <c r="J1666" s="1204"/>
    </row>
    <row r="1667" spans="2:10" x14ac:dyDescent="0.25">
      <c r="B1667" s="254" t="str">
        <f>IF(LEN('Ch8'!H37)=0,"",'Ch8'!H37)</f>
        <v/>
      </c>
      <c r="C1667" s="254" t="str">
        <f t="shared" si="41"/>
        <v/>
      </c>
      <c r="D1667" s="139"/>
      <c r="E1667" s="684"/>
      <c r="F1667" s="669"/>
      <c r="G1667" s="1755"/>
      <c r="H1667" s="94"/>
      <c r="J1667" s="1204"/>
    </row>
    <row r="1668" spans="2:10" x14ac:dyDescent="0.25">
      <c r="B1668" s="254" t="str">
        <f>IF(LEN('Ch8'!H38)=0,"",'Ch8'!H38)</f>
        <v/>
      </c>
      <c r="C1668" s="254" t="str">
        <f t="shared" si="41"/>
        <v/>
      </c>
      <c r="D1668" s="139"/>
      <c r="E1668" s="668" t="s">
        <v>260</v>
      </c>
      <c r="F1668" s="101"/>
      <c r="G1668" s="1754" t="s">
        <v>779</v>
      </c>
      <c r="H1668" s="94"/>
      <c r="J1668" s="1204"/>
    </row>
    <row r="1669" spans="2:10" x14ac:dyDescent="0.25">
      <c r="B1669" s="254" t="str">
        <f>IF(LEN('Ch8'!H39)=0,"",'Ch8'!H39)</f>
        <v/>
      </c>
      <c r="C1669" s="254" t="str">
        <f t="shared" si="41"/>
        <v/>
      </c>
      <c r="D1669" s="139"/>
      <c r="E1669" s="684"/>
      <c r="F1669" s="669"/>
      <c r="G1669" s="1755"/>
      <c r="H1669" s="94"/>
      <c r="J1669" s="1204"/>
    </row>
    <row r="1670" spans="2:10" x14ac:dyDescent="0.25">
      <c r="B1670" s="254" t="str">
        <f>IF(LEN('Ch8'!H40)=0,"",'Ch8'!H40)</f>
        <v/>
      </c>
      <c r="C1670" s="254" t="str">
        <f t="shared" si="41"/>
        <v/>
      </c>
      <c r="D1670" s="139"/>
      <c r="E1670" s="667" t="s">
        <v>269</v>
      </c>
      <c r="F1670" s="139"/>
      <c r="G1670" s="1754" t="s">
        <v>780</v>
      </c>
      <c r="H1670" s="94"/>
      <c r="J1670" s="1204"/>
    </row>
    <row r="1671" spans="2:10" x14ac:dyDescent="0.25">
      <c r="B1671" s="254" t="str">
        <f>IF(LEN('Ch8'!H41)=0,"",'Ch8'!H41)</f>
        <v/>
      </c>
      <c r="C1671" s="254" t="str">
        <f t="shared" si="41"/>
        <v/>
      </c>
      <c r="D1671" s="139"/>
      <c r="E1671" s="139"/>
      <c r="F1671" s="139"/>
      <c r="G1671" s="1754"/>
      <c r="H1671" s="94"/>
      <c r="J1671" s="1204"/>
    </row>
    <row r="1672" spans="2:10" x14ac:dyDescent="0.25">
      <c r="B1672" s="254" t="str">
        <f>IF(LEN('Ch8'!H42)=0,"",'Ch8'!H42)</f>
        <v/>
      </c>
      <c r="C1672" s="254" t="str">
        <f t="shared" si="41"/>
        <v/>
      </c>
      <c r="D1672" s="139"/>
      <c r="E1672" s="139"/>
      <c r="F1672" s="139"/>
      <c r="G1672" s="1754"/>
      <c r="H1672" s="94"/>
      <c r="J1672" s="1204"/>
    </row>
    <row r="1673" spans="2:10" x14ac:dyDescent="0.25">
      <c r="B1673" s="254" t="str">
        <f>IF(LEN('Ch8'!H43)=0,"",'Ch8'!H43)</f>
        <v/>
      </c>
      <c r="C1673" s="254" t="str">
        <f t="shared" si="41"/>
        <v/>
      </c>
      <c r="D1673" s="139"/>
      <c r="E1673" s="101"/>
      <c r="F1673" s="668" t="s">
        <v>121</v>
      </c>
      <c r="G1673" s="1754" t="s">
        <v>781</v>
      </c>
      <c r="H1673" s="94"/>
      <c r="J1673" s="1204"/>
    </row>
    <row r="1674" spans="2:10" x14ac:dyDescent="0.25">
      <c r="B1674" s="254" t="str">
        <f>IF(LEN('Ch8'!H44)=0,"",'Ch8'!H44)</f>
        <v/>
      </c>
      <c r="C1674" s="254" t="str">
        <f t="shared" si="41"/>
        <v/>
      </c>
      <c r="D1674" s="139"/>
      <c r="E1674" s="669"/>
      <c r="F1674" s="669"/>
      <c r="G1674" s="1755"/>
      <c r="H1674" s="94"/>
      <c r="J1674" s="1204"/>
    </row>
    <row r="1675" spans="2:10" x14ac:dyDescent="0.25">
      <c r="B1675" s="254" t="str">
        <f>IF(LEN('Ch8'!H45)=0,"",'Ch8'!H45)</f>
        <v/>
      </c>
      <c r="C1675" s="254" t="str">
        <f t="shared" si="41"/>
        <v/>
      </c>
      <c r="D1675" s="139"/>
      <c r="E1675" s="668" t="s">
        <v>275</v>
      </c>
      <c r="F1675" s="101"/>
      <c r="G1675" s="1754" t="s">
        <v>783</v>
      </c>
      <c r="H1675" s="94"/>
      <c r="J1675" s="1204"/>
    </row>
    <row r="1676" spans="2:10" x14ac:dyDescent="0.25">
      <c r="B1676" s="254" t="str">
        <f>IF(LEN('Ch8'!H46)=0,"",'Ch8'!H46)</f>
        <v/>
      </c>
      <c r="C1676" s="254" t="str">
        <f t="shared" si="41"/>
        <v/>
      </c>
      <c r="D1676" s="139"/>
      <c r="E1676" s="101"/>
      <c r="F1676" s="101"/>
      <c r="G1676" s="1754"/>
      <c r="H1676" s="94"/>
      <c r="J1676" s="1204"/>
    </row>
    <row r="1677" spans="2:10" x14ac:dyDescent="0.25">
      <c r="B1677" s="254" t="str">
        <f>IF(LEN('Ch8'!H47)=0,"",'Ch8'!H47)</f>
        <v/>
      </c>
      <c r="C1677" s="254" t="str">
        <f t="shared" si="41"/>
        <v/>
      </c>
      <c r="D1677" s="139"/>
      <c r="E1677" s="101"/>
      <c r="F1677" s="101"/>
      <c r="G1677" s="1754"/>
      <c r="H1677" s="94"/>
      <c r="J1677" s="1204"/>
    </row>
    <row r="1678" spans="2:10" x14ac:dyDescent="0.25">
      <c r="B1678" s="254" t="str">
        <f>IF(LEN('Ch8'!H48)=0,"",'Ch8'!H48)</f>
        <v/>
      </c>
      <c r="C1678" s="254" t="str">
        <f t="shared" si="41"/>
        <v/>
      </c>
      <c r="D1678" s="139"/>
      <c r="E1678" s="101"/>
      <c r="F1678" s="101"/>
      <c r="G1678" s="1754"/>
      <c r="H1678" s="94"/>
      <c r="J1678" s="1204"/>
    </row>
    <row r="1679" spans="2:10" x14ac:dyDescent="0.25">
      <c r="B1679" s="254" t="str">
        <f>IF(LEN('Ch8'!H49)=0,"",'Ch8'!H49)</f>
        <v/>
      </c>
      <c r="C1679" s="254" t="str">
        <f t="shared" si="41"/>
        <v/>
      </c>
      <c r="D1679" s="139"/>
      <c r="E1679" s="669"/>
      <c r="F1679" s="669"/>
      <c r="G1679" s="1755"/>
      <c r="H1679" s="94"/>
      <c r="J1679" s="1204"/>
    </row>
    <row r="1680" spans="2:10" x14ac:dyDescent="0.25">
      <c r="B1680" s="254" t="str">
        <f>IF(LEN('Ch8'!H50)=0,"",'Ch8'!H50)</f>
        <v/>
      </c>
      <c r="C1680" s="254" t="str">
        <f t="shared" si="41"/>
        <v/>
      </c>
      <c r="D1680" s="101"/>
      <c r="E1680" s="668" t="s">
        <v>277</v>
      </c>
      <c r="F1680" s="101"/>
      <c r="G1680" s="1754" t="s">
        <v>784</v>
      </c>
      <c r="H1680" s="1313" t="str">
        <f>IF(LEN('Ch8'!W50)=0,"",'Ch8'!W50)</f>
        <v/>
      </c>
      <c r="I1680" s="86">
        <f ca="1">'Ch8'!O50</f>
        <v>0</v>
      </c>
      <c r="J1680" s="1204"/>
    </row>
    <row r="1681" spans="1:10" x14ac:dyDescent="0.25">
      <c r="B1681" s="254" t="str">
        <f>IF(LEN('Ch8'!H51)=0,"",'Ch8'!H51)</f>
        <v/>
      </c>
      <c r="C1681" s="254" t="str">
        <f t="shared" si="41"/>
        <v/>
      </c>
      <c r="D1681" s="101"/>
      <c r="E1681" s="101"/>
      <c r="F1681" s="101"/>
      <c r="G1681" s="1754"/>
      <c r="H1681" s="94"/>
      <c r="J1681" s="1204"/>
    </row>
    <row r="1682" spans="1:10" ht="15.75" thickBot="1" x14ac:dyDescent="0.3">
      <c r="B1682" s="254" t="str">
        <f>IF(LEN('Ch8'!H52)=0,"",'Ch8'!H52)</f>
        <v/>
      </c>
      <c r="C1682" s="254" t="str">
        <f t="shared" ref="C1682:C1745" si="42">IF(LEN(B1682)=0,IF(A1682="P","P",""),B1682)</f>
        <v/>
      </c>
      <c r="D1682" s="670"/>
      <c r="E1682" s="670"/>
      <c r="F1682" s="670"/>
      <c r="G1682" s="1783"/>
      <c r="H1682" s="94"/>
      <c r="J1682" s="1204"/>
    </row>
    <row r="1683" spans="1:10" ht="39.75" customHeight="1" thickTop="1" x14ac:dyDescent="0.25">
      <c r="A1683" s="585" t="str">
        <f ca="1">IF(I1683&gt;0,"P","")</f>
        <v/>
      </c>
      <c r="B1683" s="254" t="str">
        <f>IF(LEN('Ch8'!H53)=0,"",'Ch8'!H53)</f>
        <v/>
      </c>
      <c r="C1683" s="254" t="str">
        <f t="shared" ca="1" si="42"/>
        <v/>
      </c>
      <c r="D1683" s="139">
        <v>802.2</v>
      </c>
      <c r="E1683" s="139"/>
      <c r="F1683" s="139"/>
      <c r="G1683" s="1782" t="s">
        <v>4375</v>
      </c>
      <c r="H1683" s="94"/>
      <c r="I1683" s="706">
        <f ca="1">SUM(I1685:I1686)</f>
        <v>0</v>
      </c>
      <c r="J1683" s="1950" t="s">
        <v>5017</v>
      </c>
    </row>
    <row r="1684" spans="1:10" x14ac:dyDescent="0.25">
      <c r="A1684" s="585" t="str">
        <f ca="1">A1683</f>
        <v/>
      </c>
      <c r="B1684" s="254" t="str">
        <f>IF(LEN('Ch8'!H54)=0,"",'Ch8'!H54)</f>
        <v/>
      </c>
      <c r="C1684" s="254" t="str">
        <f t="shared" ca="1" si="42"/>
        <v/>
      </c>
      <c r="D1684" s="139"/>
      <c r="E1684" s="139"/>
      <c r="F1684" s="139"/>
      <c r="G1684" s="1782"/>
      <c r="H1684" s="94"/>
      <c r="J1684" s="1951"/>
    </row>
    <row r="1685" spans="1:10" x14ac:dyDescent="0.25">
      <c r="B1685" s="254" t="str">
        <f>IF(LEN('Ch8'!H55)=0,"",'Ch8'!H55)</f>
        <v/>
      </c>
      <c r="C1685" s="254" t="str">
        <f t="shared" si="42"/>
        <v/>
      </c>
      <c r="D1685" s="139"/>
      <c r="E1685" s="684" t="s">
        <v>256</v>
      </c>
      <c r="F1685" s="669"/>
      <c r="G1685" s="1215" t="s">
        <v>785</v>
      </c>
      <c r="H1685" s="1313" t="str">
        <f>IF(LEN('Ch8'!W55)=0,"",'Ch8'!W55)</f>
        <v/>
      </c>
      <c r="I1685" s="86">
        <f ca="1">'Ch8'!O55</f>
        <v>0</v>
      </c>
      <c r="J1685" s="1204"/>
    </row>
    <row r="1686" spans="1:10" x14ac:dyDescent="0.25">
      <c r="B1686" s="254" t="str">
        <f>IF(LEN('Ch8'!H56)=0,"",'Ch8'!H56)</f>
        <v/>
      </c>
      <c r="C1686" s="254" t="str">
        <f t="shared" si="42"/>
        <v/>
      </c>
      <c r="D1686" s="101"/>
      <c r="E1686" s="684" t="s">
        <v>258</v>
      </c>
      <c r="F1686" s="669"/>
      <c r="G1686" s="1215" t="s">
        <v>4399</v>
      </c>
      <c r="H1686" s="1313" t="str">
        <f>IF(LEN('Ch8'!W56)=0,"",'Ch8'!W56)</f>
        <v/>
      </c>
      <c r="I1686" s="86">
        <f ca="1">'Ch8'!O56</f>
        <v>0</v>
      </c>
      <c r="J1686" s="1204"/>
    </row>
    <row r="1687" spans="1:10" x14ac:dyDescent="0.25">
      <c r="B1687" s="254" t="str">
        <f>IF(LEN('Ch8'!H57)=0,"",'Ch8'!H57)</f>
        <v/>
      </c>
      <c r="C1687" s="254" t="str">
        <f t="shared" si="42"/>
        <v/>
      </c>
      <c r="D1687" s="101"/>
      <c r="E1687" s="668" t="s">
        <v>260</v>
      </c>
      <c r="F1687" s="101"/>
      <c r="G1687" s="1225" t="s">
        <v>4400</v>
      </c>
      <c r="H1687" s="94"/>
      <c r="J1687" s="1204"/>
    </row>
    <row r="1688" spans="1:10" x14ac:dyDescent="0.25">
      <c r="B1688" s="254" t="str">
        <f>IF(LEN('Ch8'!H58)=0,"",'Ch8'!H58)</f>
        <v/>
      </c>
      <c r="C1688" s="254" t="str">
        <f t="shared" si="42"/>
        <v/>
      </c>
      <c r="D1688" s="101"/>
      <c r="E1688" s="668"/>
      <c r="F1688" s="101"/>
      <c r="G1688" s="1959" t="s">
        <v>3586</v>
      </c>
      <c r="H1688" s="94"/>
      <c r="J1688" s="1204"/>
    </row>
    <row r="1689" spans="1:10" x14ac:dyDescent="0.25">
      <c r="B1689" s="254" t="str">
        <f>IF(LEN('Ch8'!H59)=0,"",'Ch8'!H59)</f>
        <v/>
      </c>
      <c r="C1689" s="254" t="str">
        <f t="shared" si="42"/>
        <v/>
      </c>
      <c r="D1689" s="101"/>
      <c r="E1689" s="668"/>
      <c r="F1689" s="101"/>
      <c r="G1689" s="1963"/>
      <c r="H1689" s="94"/>
      <c r="J1689" s="1204"/>
    </row>
    <row r="1690" spans="1:10" x14ac:dyDescent="0.25">
      <c r="B1690" s="254" t="str">
        <f>IF(LEN('Ch8'!H60)=0,"",'Ch8'!H60)</f>
        <v/>
      </c>
      <c r="C1690" s="254" t="str">
        <f t="shared" si="42"/>
        <v/>
      </c>
      <c r="D1690" s="101"/>
      <c r="E1690" s="1390"/>
      <c r="F1690" s="1390"/>
      <c r="G1690" s="1958" t="s">
        <v>3587</v>
      </c>
      <c r="H1690" s="94"/>
      <c r="J1690" s="1204"/>
    </row>
    <row r="1691" spans="1:10" ht="15.75" thickBot="1" x14ac:dyDescent="0.3">
      <c r="B1691" s="254" t="str">
        <f>IF(LEN('Ch8'!H61)=0,"",'Ch8'!H61)</f>
        <v/>
      </c>
      <c r="C1691" s="254" t="str">
        <f t="shared" si="42"/>
        <v/>
      </c>
      <c r="D1691" s="670"/>
      <c r="E1691" s="1386"/>
      <c r="F1691" s="1386"/>
      <c r="G1691" s="1962"/>
      <c r="H1691" s="94"/>
      <c r="J1691" s="1204"/>
    </row>
    <row r="1692" spans="1:10" ht="15.75" thickTop="1" x14ac:dyDescent="0.25">
      <c r="A1692" s="585" t="str">
        <f ca="1">IF(I1692&gt;0,"P","")</f>
        <v/>
      </c>
      <c r="B1692" s="254" t="str">
        <f>IF(LEN('Ch8'!H62)=0,"",'Ch8'!H62)</f>
        <v/>
      </c>
      <c r="C1692" s="254" t="str">
        <f t="shared" ca="1" si="42"/>
        <v/>
      </c>
      <c r="D1692" s="139">
        <v>802.3</v>
      </c>
      <c r="E1692" s="667"/>
      <c r="F1692" s="667"/>
      <c r="G1692" s="1222" t="s">
        <v>4401</v>
      </c>
      <c r="H1692" s="94"/>
      <c r="I1692" s="706">
        <f ca="1">SUM(I1694:I1705)</f>
        <v>0</v>
      </c>
      <c r="J1692" s="1204" t="s">
        <v>5010</v>
      </c>
    </row>
    <row r="1693" spans="1:10" x14ac:dyDescent="0.25">
      <c r="B1693" s="254" t="str">
        <f>IF(LEN('Ch8'!H63)=0,"",'Ch8'!H63)</f>
        <v/>
      </c>
      <c r="C1693" s="254" t="str">
        <f t="shared" si="42"/>
        <v/>
      </c>
      <c r="D1693" s="139"/>
      <c r="E1693" s="667" t="s">
        <v>256</v>
      </c>
      <c r="F1693" s="667"/>
      <c r="G1693" s="1223" t="s">
        <v>4402</v>
      </c>
      <c r="H1693" s="94"/>
      <c r="J1693" s="1204"/>
    </row>
    <row r="1694" spans="1:10" x14ac:dyDescent="0.25">
      <c r="B1694" s="254" t="str">
        <f>IF(LEN('Ch8'!H64)=0,"",'Ch8'!H64)</f>
        <v/>
      </c>
      <c r="C1694" s="254" t="str">
        <f t="shared" si="42"/>
        <v/>
      </c>
      <c r="D1694" s="139"/>
      <c r="E1694" s="667"/>
      <c r="F1694" s="667" t="s">
        <v>121</v>
      </c>
      <c r="G1694" s="1754" t="s">
        <v>4403</v>
      </c>
      <c r="H1694" s="1313" t="str">
        <f>IF(LEN('Ch8'!W64)=0,"",'Ch8'!W64)</f>
        <v/>
      </c>
      <c r="I1694" s="86">
        <f ca="1">'Ch8'!O64</f>
        <v>0</v>
      </c>
      <c r="J1694" s="1204"/>
    </row>
    <row r="1695" spans="1:10" x14ac:dyDescent="0.25">
      <c r="B1695" s="254" t="str">
        <f>IF(LEN('Ch8'!H65)=0,"",'Ch8'!H65)</f>
        <v/>
      </c>
      <c r="C1695" s="254" t="str">
        <f t="shared" si="42"/>
        <v/>
      </c>
      <c r="D1695" s="139"/>
      <c r="E1695" s="667"/>
      <c r="F1695" s="684"/>
      <c r="G1695" s="1755"/>
      <c r="H1695" s="94"/>
      <c r="J1695" s="1204"/>
    </row>
    <row r="1696" spans="1:10" x14ac:dyDescent="0.25">
      <c r="B1696" s="254" t="str">
        <f>IF(LEN('Ch8'!H66)=0,"",'Ch8'!H66)</f>
        <v/>
      </c>
      <c r="C1696" s="254" t="str">
        <f t="shared" si="42"/>
        <v/>
      </c>
      <c r="D1696" s="139"/>
      <c r="E1696" s="667"/>
      <c r="F1696" s="667" t="s">
        <v>122</v>
      </c>
      <c r="G1696" s="1754" t="s">
        <v>4404</v>
      </c>
      <c r="H1696" s="1313" t="str">
        <f>IF(LEN('Ch8'!W66)=0,"",'Ch8'!W66)</f>
        <v/>
      </c>
      <c r="I1696" s="86">
        <f ca="1">'Ch8'!O66</f>
        <v>0</v>
      </c>
      <c r="J1696" s="1204"/>
    </row>
    <row r="1697" spans="1:10" x14ac:dyDescent="0.25">
      <c r="B1697" s="254" t="str">
        <f>IF(LEN('Ch8'!H67)=0,"",'Ch8'!H67)</f>
        <v/>
      </c>
      <c r="C1697" s="254" t="str">
        <f t="shared" si="42"/>
        <v/>
      </c>
      <c r="D1697" s="139"/>
      <c r="E1697" s="667"/>
      <c r="F1697" s="667"/>
      <c r="G1697" s="1754"/>
      <c r="H1697" s="94"/>
      <c r="J1697" s="1204"/>
    </row>
    <row r="1698" spans="1:10" x14ac:dyDescent="0.25">
      <c r="B1698" s="254" t="str">
        <f>IF(LEN('Ch8'!H68)=0,"",'Ch8'!H68)</f>
        <v/>
      </c>
      <c r="C1698" s="254" t="str">
        <f t="shared" si="42"/>
        <v/>
      </c>
      <c r="D1698" s="139"/>
      <c r="E1698" s="667"/>
      <c r="F1698" s="667"/>
      <c r="G1698" s="1754"/>
      <c r="H1698" s="94"/>
      <c r="J1698" s="1204"/>
    </row>
    <row r="1699" spans="1:10" x14ac:dyDescent="0.25">
      <c r="B1699" s="254" t="str">
        <f>IF(LEN('Ch8'!H69)=0,"",'Ch8'!H69)</f>
        <v/>
      </c>
      <c r="C1699" s="254" t="str">
        <f t="shared" si="42"/>
        <v/>
      </c>
      <c r="D1699" s="139"/>
      <c r="E1699" s="684"/>
      <c r="F1699" s="684"/>
      <c r="G1699" s="1755"/>
      <c r="H1699" s="94"/>
      <c r="J1699" s="1204"/>
    </row>
    <row r="1700" spans="1:10" x14ac:dyDescent="0.25">
      <c r="B1700" s="254" t="str">
        <f>IF(LEN('Ch8'!H70)=0,"",'Ch8'!H70)</f>
        <v/>
      </c>
      <c r="C1700" s="254" t="str">
        <f t="shared" si="42"/>
        <v/>
      </c>
      <c r="D1700" s="139"/>
      <c r="E1700" s="667" t="s">
        <v>258</v>
      </c>
      <c r="F1700" s="667"/>
      <c r="G1700" s="1223" t="s">
        <v>4405</v>
      </c>
      <c r="H1700" s="94"/>
      <c r="J1700" s="1204"/>
    </row>
    <row r="1701" spans="1:10" x14ac:dyDescent="0.25">
      <c r="B1701" s="254" t="str">
        <f>IF(LEN('Ch8'!H71)=0,"",'Ch8'!H71)</f>
        <v/>
      </c>
      <c r="C1701" s="254" t="str">
        <f t="shared" si="42"/>
        <v/>
      </c>
      <c r="D1701" s="139"/>
      <c r="E1701" s="667"/>
      <c r="G1701" s="1782" t="s">
        <v>4409</v>
      </c>
      <c r="H1701" s="94"/>
      <c r="J1701" s="1204"/>
    </row>
    <row r="1702" spans="1:10" x14ac:dyDescent="0.25">
      <c r="B1702" s="254" t="str">
        <f>IF(LEN('Ch8'!H72)=0,"",'Ch8'!H72)</f>
        <v/>
      </c>
      <c r="C1702" s="254" t="str">
        <f t="shared" si="42"/>
        <v/>
      </c>
      <c r="D1702" s="139"/>
      <c r="E1702" s="667"/>
      <c r="G1702" s="1782"/>
      <c r="H1702" s="94"/>
      <c r="J1702" s="1204"/>
    </row>
    <row r="1703" spans="1:10" x14ac:dyDescent="0.25">
      <c r="B1703" s="254" t="str">
        <f>IF(LEN('Ch8'!H73)=0,"",'Ch8'!H73)</f>
        <v/>
      </c>
      <c r="C1703" s="254" t="str">
        <f t="shared" si="42"/>
        <v/>
      </c>
      <c r="D1703" s="139"/>
      <c r="E1703" s="667"/>
      <c r="F1703" s="667" t="s">
        <v>121</v>
      </c>
      <c r="G1703" s="1754" t="s">
        <v>4403</v>
      </c>
      <c r="H1703" s="1313" t="str">
        <f>IF(LEN('Ch8'!W73)=0,"",'Ch8'!W73)</f>
        <v/>
      </c>
      <c r="I1703" s="86">
        <f ca="1">'Ch8'!O73</f>
        <v>0</v>
      </c>
      <c r="J1703" s="1204"/>
    </row>
    <row r="1704" spans="1:10" x14ac:dyDescent="0.25">
      <c r="B1704" s="254" t="str">
        <f>IF(LEN('Ch8'!H74)=0,"",'Ch8'!H74)</f>
        <v/>
      </c>
      <c r="C1704" s="254" t="str">
        <f t="shared" si="42"/>
        <v/>
      </c>
      <c r="D1704" s="139"/>
      <c r="E1704" s="667"/>
      <c r="F1704" s="684"/>
      <c r="G1704" s="1755"/>
      <c r="H1704" s="94"/>
      <c r="J1704" s="1204"/>
    </row>
    <row r="1705" spans="1:10" x14ac:dyDescent="0.25">
      <c r="B1705" s="254" t="str">
        <f>IF(LEN('Ch8'!H75)=0,"",'Ch8'!H75)</f>
        <v/>
      </c>
      <c r="C1705" s="254" t="str">
        <f t="shared" si="42"/>
        <v/>
      </c>
      <c r="D1705" s="139"/>
      <c r="E1705" s="667"/>
      <c r="F1705" s="667" t="s">
        <v>122</v>
      </c>
      <c r="G1705" s="1754" t="s">
        <v>4404</v>
      </c>
      <c r="H1705" s="1313" t="str">
        <f>IF(LEN('Ch8'!W75)=0,"",'Ch8'!W75)</f>
        <v/>
      </c>
      <c r="I1705" s="86">
        <f ca="1">'Ch8'!O75</f>
        <v>0</v>
      </c>
      <c r="J1705" s="1204"/>
    </row>
    <row r="1706" spans="1:10" x14ac:dyDescent="0.25">
      <c r="B1706" s="254" t="str">
        <f>IF(LEN('Ch8'!H76)=0,"",'Ch8'!H76)</f>
        <v/>
      </c>
      <c r="C1706" s="254" t="str">
        <f t="shared" si="42"/>
        <v/>
      </c>
      <c r="D1706" s="139"/>
      <c r="E1706" s="667"/>
      <c r="F1706" s="667"/>
      <c r="G1706" s="1754"/>
      <c r="H1706" s="94"/>
      <c r="J1706" s="1204"/>
    </row>
    <row r="1707" spans="1:10" x14ac:dyDescent="0.25">
      <c r="B1707" s="254" t="str">
        <f>IF(LEN('Ch8'!H77)=0,"",'Ch8'!H77)</f>
        <v/>
      </c>
      <c r="C1707" s="254" t="str">
        <f t="shared" si="42"/>
        <v/>
      </c>
      <c r="D1707" s="139"/>
      <c r="E1707" s="667"/>
      <c r="F1707" s="667"/>
      <c r="G1707" s="1754"/>
      <c r="H1707" s="94"/>
      <c r="J1707" s="1204"/>
    </row>
    <row r="1708" spans="1:10" ht="15.75" thickBot="1" x14ac:dyDescent="0.3">
      <c r="B1708" s="254" t="str">
        <f>IF(LEN('Ch8'!H78)=0,"",'Ch8'!H78)</f>
        <v/>
      </c>
      <c r="C1708" s="254" t="str">
        <f t="shared" si="42"/>
        <v/>
      </c>
      <c r="D1708" s="670"/>
      <c r="E1708" s="673"/>
      <c r="F1708" s="673"/>
      <c r="G1708" s="1783"/>
      <c r="H1708" s="94"/>
      <c r="J1708" s="1204"/>
    </row>
    <row r="1709" spans="1:10" ht="15.75" thickTop="1" x14ac:dyDescent="0.25">
      <c r="A1709" s="585" t="str">
        <f ca="1">IF(I1709&gt;0,"P","")</f>
        <v/>
      </c>
      <c r="B1709" s="254" t="str">
        <f>IF(LEN('Ch8'!H79)=0,"",'Ch8'!H79)</f>
        <v/>
      </c>
      <c r="C1709" s="254" t="str">
        <f t="shared" ca="1" si="42"/>
        <v/>
      </c>
      <c r="D1709" s="139">
        <v>802.4</v>
      </c>
      <c r="E1709" s="139"/>
      <c r="F1709" s="139"/>
      <c r="G1709" s="1235" t="s">
        <v>4411</v>
      </c>
      <c r="H1709" s="94"/>
      <c r="I1709" s="706">
        <f ca="1">SUM(I1710:I1727)</f>
        <v>0</v>
      </c>
      <c r="J1709" s="1204" t="s">
        <v>3931</v>
      </c>
    </row>
    <row r="1710" spans="1:10" x14ac:dyDescent="0.25">
      <c r="B1710" s="254" t="str">
        <f>IF(LEN('Ch8'!H80)=0,"",'Ch8'!H80)</f>
        <v/>
      </c>
      <c r="C1710" s="254" t="str">
        <f t="shared" si="42"/>
        <v/>
      </c>
      <c r="D1710" s="139"/>
      <c r="E1710" s="667" t="s">
        <v>256</v>
      </c>
      <c r="F1710" s="139"/>
      <c r="G1710" s="1754" t="s">
        <v>4414</v>
      </c>
      <c r="H1710" s="1313" t="str">
        <f>IF(LEN('Ch8'!W80)=0,"",'Ch8'!W80)</f>
        <v/>
      </c>
      <c r="I1710" s="86">
        <f ca="1">'Ch8'!O80</f>
        <v>0</v>
      </c>
      <c r="J1710" s="1204"/>
    </row>
    <row r="1711" spans="1:10" x14ac:dyDescent="0.25">
      <c r="B1711" s="254" t="str">
        <f>IF(LEN('Ch8'!H81)=0,"",'Ch8'!H81)</f>
        <v/>
      </c>
      <c r="C1711" s="254" t="str">
        <f t="shared" si="42"/>
        <v/>
      </c>
      <c r="D1711" s="139"/>
      <c r="E1711" s="139"/>
      <c r="F1711" s="139"/>
      <c r="G1711" s="1754"/>
      <c r="H1711" s="94"/>
      <c r="J1711" s="1204"/>
    </row>
    <row r="1712" spans="1:10" x14ac:dyDescent="0.25">
      <c r="B1712" s="254" t="str">
        <f>IF(LEN('Ch8'!H82)=0,"",'Ch8'!H82)</f>
        <v/>
      </c>
      <c r="C1712" s="254" t="str">
        <f t="shared" si="42"/>
        <v/>
      </c>
      <c r="D1712" s="139"/>
      <c r="E1712" s="139"/>
      <c r="F1712" s="139"/>
      <c r="G1712" s="1754"/>
      <c r="H1712" s="94"/>
      <c r="J1712" s="1204"/>
    </row>
    <row r="1713" spans="2:10" x14ac:dyDescent="0.25">
      <c r="B1713" s="254" t="str">
        <f>IF(LEN('Ch8'!H83)=0,"",'Ch8'!H83)</f>
        <v/>
      </c>
      <c r="C1713" s="254" t="str">
        <f t="shared" si="42"/>
        <v/>
      </c>
      <c r="D1713" s="139"/>
      <c r="E1713" s="139"/>
      <c r="F1713" s="139"/>
      <c r="G1713" s="1754"/>
      <c r="H1713" s="94"/>
      <c r="J1713" s="1204"/>
    </row>
    <row r="1714" spans="2:10" x14ac:dyDescent="0.25">
      <c r="B1714" s="254" t="str">
        <f>IF(LEN('Ch8'!H84)=0,"",'Ch8'!H84)</f>
        <v/>
      </c>
      <c r="C1714" s="254" t="str">
        <f t="shared" si="42"/>
        <v/>
      </c>
      <c r="D1714" s="139"/>
      <c r="E1714" s="139"/>
      <c r="F1714" s="139"/>
      <c r="G1714" s="1754"/>
      <c r="H1714" s="94"/>
      <c r="J1714" s="1204"/>
    </row>
    <row r="1715" spans="2:10" x14ac:dyDescent="0.25">
      <c r="B1715" s="254" t="str">
        <f>IF(LEN('Ch8'!H85)=0,"",'Ch8'!H85)</f>
        <v/>
      </c>
      <c r="C1715" s="254" t="str">
        <f t="shared" si="42"/>
        <v/>
      </c>
      <c r="D1715" s="139"/>
      <c r="E1715" s="139"/>
      <c r="F1715" s="139"/>
      <c r="G1715" s="1754"/>
      <c r="H1715" s="94"/>
      <c r="J1715" s="1204"/>
    </row>
    <row r="1716" spans="2:10" x14ac:dyDescent="0.25">
      <c r="B1716" s="254" t="str">
        <f>IF(LEN('Ch8'!H86)=0,"",'Ch8'!H86)</f>
        <v/>
      </c>
      <c r="C1716" s="254" t="str">
        <f t="shared" si="42"/>
        <v/>
      </c>
      <c r="D1716" s="139"/>
      <c r="E1716" s="139"/>
      <c r="F1716" s="139"/>
      <c r="G1716" s="1754"/>
      <c r="H1716" s="94"/>
      <c r="J1716" s="1204"/>
    </row>
    <row r="1717" spans="2:10" x14ac:dyDescent="0.25">
      <c r="B1717" s="254" t="str">
        <f>IF(LEN('Ch8'!H87)=0,"",'Ch8'!H87)</f>
        <v/>
      </c>
      <c r="C1717" s="254" t="str">
        <f t="shared" si="42"/>
        <v/>
      </c>
      <c r="D1717" s="139"/>
      <c r="E1717" s="139"/>
      <c r="F1717" s="139"/>
      <c r="G1717" s="1754"/>
      <c r="H1717" s="94"/>
      <c r="J1717" s="1204"/>
    </row>
    <row r="1718" spans="2:10" x14ac:dyDescent="0.25">
      <c r="B1718" s="254" t="str">
        <f>IF(LEN('Ch8'!H88)=0,"",'Ch8'!H88)</f>
        <v/>
      </c>
      <c r="C1718" s="254" t="str">
        <f t="shared" si="42"/>
        <v/>
      </c>
      <c r="D1718" s="139"/>
      <c r="E1718" s="139"/>
      <c r="F1718" s="139"/>
      <c r="G1718" s="1754"/>
      <c r="H1718" s="94"/>
      <c r="J1718" s="1204"/>
    </row>
    <row r="1719" spans="2:10" x14ac:dyDescent="0.25">
      <c r="B1719" s="254" t="str">
        <f>IF(LEN('Ch8'!H89)=0,"",'Ch8'!H89)</f>
        <v/>
      </c>
      <c r="C1719" s="254" t="str">
        <f t="shared" si="42"/>
        <v/>
      </c>
      <c r="D1719" s="139"/>
      <c r="E1719" s="139"/>
      <c r="F1719" s="139"/>
      <c r="G1719" s="1860" t="s">
        <v>4415</v>
      </c>
      <c r="H1719" s="94"/>
      <c r="J1719" s="1204"/>
    </row>
    <row r="1720" spans="2:10" x14ac:dyDescent="0.25">
      <c r="B1720" s="254" t="str">
        <f>IF(LEN('Ch8'!H90)=0,"",'Ch8'!H90)</f>
        <v/>
      </c>
      <c r="C1720" s="254" t="str">
        <f t="shared" si="42"/>
        <v/>
      </c>
      <c r="D1720" s="139"/>
      <c r="E1720" s="139"/>
      <c r="F1720" s="139"/>
      <c r="G1720" s="1860"/>
      <c r="H1720" s="94"/>
      <c r="J1720" s="1204"/>
    </row>
    <row r="1721" spans="2:10" x14ac:dyDescent="0.25">
      <c r="B1721" s="254" t="str">
        <f>IF(LEN('Ch8'!H91)=0,"",'Ch8'!H91)</f>
        <v/>
      </c>
      <c r="C1721" s="254" t="str">
        <f t="shared" si="42"/>
        <v/>
      </c>
      <c r="D1721" s="139"/>
      <c r="E1721" s="669"/>
      <c r="F1721" s="669"/>
      <c r="G1721" s="1918"/>
      <c r="H1721" s="94"/>
      <c r="J1721" s="1204"/>
    </row>
    <row r="1722" spans="2:10" ht="15" customHeight="1" x14ac:dyDescent="0.25">
      <c r="B1722" s="254" t="str">
        <f>IF(LEN('Ch8'!H92)=0,"",'Ch8'!H92)</f>
        <v/>
      </c>
      <c r="C1722" s="254" t="str">
        <f t="shared" si="42"/>
        <v/>
      </c>
      <c r="D1722" s="139"/>
      <c r="E1722" s="667" t="s">
        <v>258</v>
      </c>
      <c r="F1722" s="139"/>
      <c r="G1722" s="1779" t="s">
        <v>5854</v>
      </c>
      <c r="H1722" s="1313" t="str">
        <f>IF(LEN('Ch8'!W92)=0,"",'Ch8'!W92)</f>
        <v/>
      </c>
      <c r="I1722" s="86">
        <f ca="1">'Ch8'!O92</f>
        <v>0</v>
      </c>
      <c r="J1722" s="1204"/>
    </row>
    <row r="1723" spans="2:10" x14ac:dyDescent="0.25">
      <c r="B1723" s="254" t="str">
        <f>IF(LEN('Ch8'!H93)=0,"",'Ch8'!H93)</f>
        <v/>
      </c>
      <c r="C1723" s="254" t="str">
        <f t="shared" si="42"/>
        <v/>
      </c>
      <c r="D1723" s="139"/>
      <c r="E1723" s="667"/>
      <c r="F1723" s="139"/>
      <c r="G1723" s="1779"/>
      <c r="H1723" s="94"/>
      <c r="J1723" s="1204"/>
    </row>
    <row r="1724" spans="2:10" x14ac:dyDescent="0.25">
      <c r="B1724" s="254" t="str">
        <f>IF(LEN('Ch8'!H94)=0,"",'Ch8'!H94)</f>
        <v/>
      </c>
      <c r="C1724" s="254" t="str">
        <f t="shared" si="42"/>
        <v/>
      </c>
      <c r="D1724" s="139"/>
      <c r="E1724" s="139"/>
      <c r="F1724" s="139"/>
      <c r="G1724" s="1779"/>
      <c r="H1724" s="94"/>
      <c r="J1724" s="1204"/>
    </row>
    <row r="1725" spans="2:10" x14ac:dyDescent="0.25">
      <c r="B1725" s="254" t="str">
        <f>IF(LEN('Ch8'!H95)=0,"",'Ch8'!H95)</f>
        <v/>
      </c>
      <c r="C1725" s="254" t="str">
        <f t="shared" si="42"/>
        <v/>
      </c>
      <c r="D1725" s="139"/>
      <c r="E1725" s="139"/>
      <c r="F1725" s="667" t="s">
        <v>121</v>
      </c>
      <c r="G1725" s="1223" t="s">
        <v>4416</v>
      </c>
      <c r="H1725" s="94"/>
      <c r="J1725" s="1204"/>
    </row>
    <row r="1726" spans="2:10" x14ac:dyDescent="0.25">
      <c r="B1726" s="254" t="str">
        <f>IF(LEN('Ch8'!H96)=0,"",'Ch8'!H96)</f>
        <v/>
      </c>
      <c r="C1726" s="254" t="str">
        <f t="shared" si="42"/>
        <v/>
      </c>
      <c r="D1726" s="139"/>
      <c r="E1726" s="669"/>
      <c r="F1726" s="684" t="s">
        <v>122</v>
      </c>
      <c r="G1726" s="1220" t="s">
        <v>4417</v>
      </c>
      <c r="H1726" s="94"/>
      <c r="J1726" s="1204"/>
    </row>
    <row r="1727" spans="2:10" ht="15" customHeight="1" x14ac:dyDescent="0.25">
      <c r="B1727" s="254" t="str">
        <f>IF(LEN('Ch8'!H97)=0,"",'Ch8'!H97)</f>
        <v/>
      </c>
      <c r="C1727" s="254" t="str">
        <f t="shared" si="42"/>
        <v/>
      </c>
      <c r="D1727" s="139"/>
      <c r="E1727" s="667" t="s">
        <v>260</v>
      </c>
      <c r="F1727" s="139"/>
      <c r="G1727" s="1225" t="s">
        <v>791</v>
      </c>
      <c r="H1727" s="1313" t="str">
        <f>IF(LEN('Ch8'!W97)=0,"",'Ch8'!W97)</f>
        <v/>
      </c>
      <c r="I1727" s="86">
        <f ca="1">'Ch8'!O97</f>
        <v>0</v>
      </c>
      <c r="J1727" s="1204"/>
    </row>
    <row r="1728" spans="2:10" ht="15.75" thickBot="1" x14ac:dyDescent="0.3">
      <c r="B1728" s="254" t="str">
        <f>IF(LEN('Ch8'!H98)=0,"",'Ch8'!H98)</f>
        <v/>
      </c>
      <c r="C1728" s="254" t="str">
        <f t="shared" si="42"/>
        <v/>
      </c>
      <c r="D1728" s="670"/>
      <c r="E1728" s="670"/>
      <c r="F1728" s="670"/>
      <c r="G1728" s="1246" t="s">
        <v>792</v>
      </c>
      <c r="H1728" s="94"/>
      <c r="J1728" s="1204"/>
    </row>
    <row r="1729" spans="1:10" ht="15.75" thickTop="1" x14ac:dyDescent="0.25">
      <c r="A1729" s="585" t="str">
        <f ca="1">IF(I1729&gt;0,"P","")</f>
        <v/>
      </c>
      <c r="B1729" s="254" t="str">
        <f>IF(LEN('Ch8'!H99)=0,"",'Ch8'!H99)</f>
        <v/>
      </c>
      <c r="C1729" s="254" t="str">
        <f t="shared" ca="1" si="42"/>
        <v/>
      </c>
      <c r="D1729" s="106">
        <v>802.5</v>
      </c>
      <c r="E1729" s="106"/>
      <c r="F1729" s="106"/>
      <c r="G1729" s="1240" t="s">
        <v>4418</v>
      </c>
      <c r="H1729" s="94"/>
      <c r="I1729" s="706">
        <f ca="1">SUM(I1730:I1750)</f>
        <v>0</v>
      </c>
      <c r="J1729" s="1204"/>
    </row>
    <row r="1730" spans="1:10" x14ac:dyDescent="0.25">
      <c r="A1730" s="585" t="str">
        <f ca="1">IF(I1730&gt;0,"P","")</f>
        <v/>
      </c>
      <c r="B1730" s="254" t="str">
        <f>IF(LEN('Ch8'!H100)=0,"",'Ch8'!H100)</f>
        <v/>
      </c>
      <c r="C1730" s="254" t="str">
        <f t="shared" ca="1" si="42"/>
        <v/>
      </c>
      <c r="D1730" s="139" t="s">
        <v>4412</v>
      </c>
      <c r="E1730" s="139"/>
      <c r="F1730" s="139"/>
      <c r="G1730" s="1782" t="s">
        <v>4419</v>
      </c>
      <c r="H1730" s="1313" t="str">
        <f>IF(LEN('Ch8'!W100)=0,"",'Ch8'!W100)</f>
        <v/>
      </c>
      <c r="I1730" s="86">
        <f ca="1">'Ch8'!O100</f>
        <v>0</v>
      </c>
      <c r="J1730" s="1204" t="s">
        <v>3931</v>
      </c>
    </row>
    <row r="1731" spans="1:10" x14ac:dyDescent="0.25">
      <c r="A1731" s="585" t="str">
        <f ca="1">A1730</f>
        <v/>
      </c>
      <c r="B1731" s="254" t="str">
        <f>IF(LEN('Ch8'!H101)=0,"",'Ch8'!H101)</f>
        <v/>
      </c>
      <c r="C1731" s="254" t="str">
        <f t="shared" ca="1" si="42"/>
        <v/>
      </c>
      <c r="D1731" s="139"/>
      <c r="E1731" s="139"/>
      <c r="F1731" s="139"/>
      <c r="G1731" s="1782"/>
      <c r="H1731" s="94"/>
      <c r="J1731" s="1204"/>
    </row>
    <row r="1732" spans="1:10" x14ac:dyDescent="0.25">
      <c r="A1732" s="585" t="str">
        <f ca="1">A1731</f>
        <v/>
      </c>
      <c r="B1732" s="254" t="str">
        <f>IF(LEN('Ch8'!H102)=0,"",'Ch8'!H102)</f>
        <v/>
      </c>
      <c r="C1732" s="254" t="str">
        <f t="shared" ca="1" si="42"/>
        <v/>
      </c>
      <c r="D1732" s="139"/>
      <c r="E1732" s="139"/>
      <c r="F1732" s="139"/>
      <c r="G1732" s="1782"/>
      <c r="H1732" s="1313" t="str">
        <f>IF(LEN('Ch8'!W102)=0,"",'Ch8'!W102)</f>
        <v/>
      </c>
      <c r="J1732" s="1204"/>
    </row>
    <row r="1733" spans="1:10" x14ac:dyDescent="0.25">
      <c r="B1733" s="254" t="str">
        <f>IF(LEN('Ch8'!H103)=0,"",'Ch8'!H103)</f>
        <v/>
      </c>
      <c r="C1733" s="254" t="str">
        <f t="shared" si="42"/>
        <v/>
      </c>
      <c r="D1733" s="139"/>
      <c r="E1733" s="667" t="s">
        <v>256</v>
      </c>
      <c r="F1733" s="139"/>
      <c r="G1733" s="1225" t="s">
        <v>4430</v>
      </c>
      <c r="H1733" s="94"/>
      <c r="J1733" s="1204"/>
    </row>
    <row r="1734" spans="1:10" x14ac:dyDescent="0.25">
      <c r="B1734" s="254" t="str">
        <f>IF(LEN('Ch8'!H104)=0,"",'Ch8'!H104)</f>
        <v/>
      </c>
      <c r="C1734" s="254" t="str">
        <f t="shared" si="42"/>
        <v/>
      </c>
      <c r="D1734" s="139"/>
      <c r="E1734" s="139"/>
      <c r="F1734" s="139"/>
      <c r="G1734" s="1860" t="s">
        <v>4432</v>
      </c>
      <c r="H1734" s="94"/>
      <c r="J1734" s="1204"/>
    </row>
    <row r="1735" spans="1:10" x14ac:dyDescent="0.25">
      <c r="B1735" s="254" t="str">
        <f>IF(LEN('Ch8'!H105)=0,"",'Ch8'!H105)</f>
        <v/>
      </c>
      <c r="C1735" s="254" t="str">
        <f t="shared" si="42"/>
        <v/>
      </c>
      <c r="D1735" s="139"/>
      <c r="E1735" s="139"/>
      <c r="F1735" s="139"/>
      <c r="G1735" s="1860"/>
      <c r="H1735" s="94"/>
      <c r="J1735" s="1204"/>
    </row>
    <row r="1736" spans="1:10" x14ac:dyDescent="0.25">
      <c r="B1736" s="254" t="str">
        <f>IF(LEN('Ch8'!H106)=0,"",'Ch8'!H106)</f>
        <v/>
      </c>
      <c r="C1736" s="254" t="str">
        <f t="shared" si="42"/>
        <v/>
      </c>
      <c r="D1736" s="139"/>
      <c r="E1736" s="669"/>
      <c r="F1736" s="669"/>
      <c r="G1736" s="1918"/>
      <c r="H1736" s="94"/>
      <c r="J1736" s="1204"/>
    </row>
    <row r="1737" spans="1:10" x14ac:dyDescent="0.25">
      <c r="B1737" s="254" t="str">
        <f>IF(LEN('Ch8'!H107)=0,"",'Ch8'!H107)</f>
        <v/>
      </c>
      <c r="C1737" s="254" t="str">
        <f t="shared" si="42"/>
        <v/>
      </c>
      <c r="D1737" s="139"/>
      <c r="E1737" s="691" t="s">
        <v>258</v>
      </c>
      <c r="F1737" s="691"/>
      <c r="G1737" s="280" t="s">
        <v>4431</v>
      </c>
      <c r="H1737" s="94"/>
      <c r="J1737" s="1204"/>
    </row>
    <row r="1738" spans="1:10" x14ac:dyDescent="0.25">
      <c r="B1738" s="254" t="str">
        <f>IF(LEN('Ch8'!H108)=0,"",'Ch8'!H108)</f>
        <v/>
      </c>
      <c r="C1738" s="254" t="str">
        <f t="shared" si="42"/>
        <v/>
      </c>
      <c r="E1738" s="684" t="s">
        <v>260</v>
      </c>
      <c r="F1738" s="684"/>
      <c r="G1738" s="1220" t="s">
        <v>4427</v>
      </c>
      <c r="H1738" s="94"/>
      <c r="J1738" s="1204"/>
    </row>
    <row r="1739" spans="1:10" x14ac:dyDescent="0.25">
      <c r="B1739" s="254" t="str">
        <f>IF(LEN('Ch8'!H109)=0,"",'Ch8'!H109)</f>
        <v/>
      </c>
      <c r="C1739" s="254" t="str">
        <f t="shared" si="42"/>
        <v/>
      </c>
      <c r="E1739" s="667" t="s">
        <v>269</v>
      </c>
      <c r="F1739" s="667"/>
      <c r="G1739" s="1754" t="s">
        <v>4428</v>
      </c>
      <c r="H1739" s="94"/>
      <c r="J1739" s="1204"/>
    </row>
    <row r="1740" spans="1:10" x14ac:dyDescent="0.25">
      <c r="B1740" s="254" t="str">
        <f>IF(LEN('Ch8'!H110)=0,"",'Ch8'!H110)</f>
        <v/>
      </c>
      <c r="C1740" s="254" t="str">
        <f t="shared" si="42"/>
        <v/>
      </c>
      <c r="E1740" s="684"/>
      <c r="F1740" s="684"/>
      <c r="G1740" s="1755"/>
      <c r="H1740" s="94"/>
      <c r="J1740" s="1204"/>
    </row>
    <row r="1741" spans="1:10" x14ac:dyDescent="0.25">
      <c r="B1741" s="254" t="str">
        <f>IF(LEN('Ch8'!H111)=0,"",'Ch8'!H111)</f>
        <v/>
      </c>
      <c r="C1741" s="254" t="str">
        <f t="shared" si="42"/>
        <v/>
      </c>
      <c r="D1741" s="1387"/>
      <c r="E1741" s="684" t="s">
        <v>275</v>
      </c>
      <c r="F1741" s="684"/>
      <c r="G1741" s="1220" t="s">
        <v>4429</v>
      </c>
      <c r="H1741" s="94"/>
      <c r="J1741" s="1204"/>
    </row>
    <row r="1742" spans="1:10" x14ac:dyDescent="0.25">
      <c r="A1742" s="585" t="str">
        <f>IF(AND(LEN(H1742)&gt;0,NOT(H1742=FALSE)),"P","")</f>
        <v/>
      </c>
      <c r="B1742" s="254" t="str">
        <f>IF(LEN('Ch8'!H112)=0,"",'Ch8'!H112)</f>
        <v/>
      </c>
      <c r="C1742" s="254" t="str">
        <f t="shared" si="42"/>
        <v/>
      </c>
      <c r="D1742" s="139" t="s">
        <v>4413</v>
      </c>
      <c r="E1742" s="667"/>
      <c r="F1742" s="667"/>
      <c r="G1742" s="1782" t="s">
        <v>4421</v>
      </c>
      <c r="H1742" s="1313" t="str">
        <f>IF(LEN('Ch8'!W112)=0,"",'Ch8'!W112)</f>
        <v/>
      </c>
      <c r="I1742" s="86">
        <f ca="1">'Ch8'!O112</f>
        <v>0</v>
      </c>
      <c r="J1742" s="1204" t="s">
        <v>3931</v>
      </c>
    </row>
    <row r="1743" spans="1:10" x14ac:dyDescent="0.25">
      <c r="A1743" s="585" t="str">
        <f>A1742</f>
        <v/>
      </c>
      <c r="B1743" s="254" t="str">
        <f>IF(LEN('Ch8'!H113)=0,"",'Ch8'!H113)</f>
        <v/>
      </c>
      <c r="C1743" s="254" t="str">
        <f t="shared" si="42"/>
        <v/>
      </c>
      <c r="D1743" s="139"/>
      <c r="E1743" s="667"/>
      <c r="F1743" s="667"/>
      <c r="G1743" s="1782"/>
      <c r="H1743" s="94"/>
      <c r="J1743" s="1204"/>
    </row>
    <row r="1744" spans="1:10" x14ac:dyDescent="0.25">
      <c r="A1744" s="585" t="str">
        <f>A1743</f>
        <v/>
      </c>
      <c r="B1744" s="254" t="str">
        <f>IF(LEN('Ch8'!H114)=0,"",'Ch8'!H114)</f>
        <v/>
      </c>
      <c r="C1744" s="254" t="str">
        <f t="shared" si="42"/>
        <v/>
      </c>
      <c r="D1744" s="139"/>
      <c r="E1744" s="667"/>
      <c r="F1744" s="667"/>
      <c r="G1744" s="1782"/>
      <c r="H1744" s="94"/>
      <c r="J1744" s="1204"/>
    </row>
    <row r="1745" spans="1:10" x14ac:dyDescent="0.25">
      <c r="B1745" s="254" t="str">
        <f>IF(LEN('Ch8'!H115)=0,"",'Ch8'!H115)</f>
        <v/>
      </c>
      <c r="C1745" s="254" t="str">
        <f t="shared" si="42"/>
        <v/>
      </c>
      <c r="D1745" s="139"/>
      <c r="E1745" s="667" t="s">
        <v>256</v>
      </c>
      <c r="F1745" s="667"/>
      <c r="G1745" s="1223" t="s">
        <v>4422</v>
      </c>
      <c r="H1745" s="94"/>
      <c r="J1745" s="1204"/>
    </row>
    <row r="1746" spans="1:10" x14ac:dyDescent="0.25">
      <c r="B1746" s="254" t="str">
        <f>IF(LEN('Ch8'!H116)=0,"",'Ch8'!H116)</f>
        <v/>
      </c>
      <c r="C1746" s="254" t="str">
        <f t="shared" ref="C1746:C1809" si="43">IF(LEN(B1746)=0,IF(A1746="P","P",""),B1746)</f>
        <v/>
      </c>
      <c r="D1746" s="669"/>
      <c r="E1746" s="684" t="s">
        <v>258</v>
      </c>
      <c r="F1746" s="684"/>
      <c r="G1746" s="1220" t="s">
        <v>4423</v>
      </c>
      <c r="H1746" s="94"/>
      <c r="J1746" s="1204"/>
    </row>
    <row r="1747" spans="1:10" x14ac:dyDescent="0.25">
      <c r="A1747" s="585" t="str">
        <f>IF(AND(LEN(H1747)&gt;0,NOT(H1747=FALSE)),"P","")</f>
        <v/>
      </c>
      <c r="B1747" s="254" t="str">
        <f>IF(LEN('Ch8'!H117)=0,"",'Ch8'!H117)</f>
        <v/>
      </c>
      <c r="C1747" s="254" t="str">
        <f t="shared" si="43"/>
        <v/>
      </c>
      <c r="D1747" s="139" t="s">
        <v>4424</v>
      </c>
      <c r="E1747" s="139"/>
      <c r="F1747" s="139"/>
      <c r="G1747" s="1782" t="s">
        <v>4425</v>
      </c>
      <c r="H1747" s="1313" t="str">
        <f>IF(LEN('Ch8'!W117)=0,"",'Ch8'!W117)</f>
        <v/>
      </c>
      <c r="I1747" s="86">
        <f ca="1">'Ch8'!O117</f>
        <v>0</v>
      </c>
      <c r="J1747" s="1204" t="s">
        <v>3892</v>
      </c>
    </row>
    <row r="1748" spans="1:10" x14ac:dyDescent="0.25">
      <c r="A1748" s="585" t="str">
        <f>A1747</f>
        <v/>
      </c>
      <c r="B1748" s="254" t="str">
        <f>IF(LEN('Ch8'!H118)=0,"",'Ch8'!H118)</f>
        <v/>
      </c>
      <c r="C1748" s="254" t="str">
        <f t="shared" si="43"/>
        <v/>
      </c>
      <c r="D1748" s="139"/>
      <c r="E1748" s="139"/>
      <c r="F1748" s="139"/>
      <c r="G1748" s="1782"/>
      <c r="H1748" s="94"/>
      <c r="J1748" s="1204"/>
    </row>
    <row r="1749" spans="1:10" ht="15.75" thickBot="1" x14ac:dyDescent="0.3">
      <c r="B1749" s="254" t="str">
        <f>IF(LEN('Ch8'!H119)=0,"",'Ch8'!H119)</f>
        <v/>
      </c>
      <c r="C1749" s="254" t="str">
        <f t="shared" si="43"/>
        <v/>
      </c>
      <c r="D1749" s="670"/>
      <c r="E1749" s="670"/>
      <c r="F1749" s="670"/>
      <c r="G1749" s="1246" t="s">
        <v>794</v>
      </c>
      <c r="H1749" s="94"/>
      <c r="J1749" s="1204"/>
    </row>
    <row r="1750" spans="1:10" ht="15.75" thickTop="1" x14ac:dyDescent="0.25">
      <c r="A1750" s="585" t="str">
        <f ca="1">IF(I1750&gt;0,"P","")</f>
        <v/>
      </c>
      <c r="B1750" s="254" t="str">
        <f>IF(LEN('Ch8'!H120)=0,"",'Ch8'!H120)</f>
        <v/>
      </c>
      <c r="C1750" s="254" t="str">
        <f t="shared" ca="1" si="43"/>
        <v/>
      </c>
      <c r="D1750" s="139" t="s">
        <v>4436</v>
      </c>
      <c r="E1750" s="139"/>
      <c r="F1750" s="139"/>
      <c r="G1750" s="1885" t="s">
        <v>4437</v>
      </c>
      <c r="H1750" s="94"/>
      <c r="I1750" s="706">
        <f ca="1">SUM(I1754:I1770)</f>
        <v>0</v>
      </c>
      <c r="J1750" s="1204" t="s">
        <v>3932</v>
      </c>
    </row>
    <row r="1751" spans="1:10" x14ac:dyDescent="0.25">
      <c r="A1751" s="585" t="str">
        <f ca="1">A1750</f>
        <v/>
      </c>
      <c r="B1751" s="254" t="str">
        <f>IF(LEN('Ch8'!H121)=0,"",'Ch8'!H121)</f>
        <v/>
      </c>
      <c r="C1751" s="254" t="str">
        <f t="shared" ca="1" si="43"/>
        <v/>
      </c>
      <c r="D1751" s="139"/>
      <c r="E1751" s="139"/>
      <c r="F1751" s="139"/>
      <c r="G1751" s="1885"/>
      <c r="H1751" s="94"/>
      <c r="J1751" s="1204"/>
    </row>
    <row r="1752" spans="1:10" x14ac:dyDescent="0.25">
      <c r="B1752" s="254" t="str">
        <f>IF(LEN('Ch8'!H122)=0,"",'Ch8'!H122)</f>
        <v/>
      </c>
      <c r="C1752" s="254" t="str">
        <f t="shared" si="43"/>
        <v/>
      </c>
      <c r="D1752" s="139"/>
      <c r="E1752" s="667" t="s">
        <v>256</v>
      </c>
      <c r="F1752" s="139"/>
      <c r="G1752" s="1793" t="s">
        <v>4440</v>
      </c>
      <c r="H1752" s="94"/>
      <c r="J1752" s="1204"/>
    </row>
    <row r="1753" spans="1:10" x14ac:dyDescent="0.25">
      <c r="B1753" s="254" t="str">
        <f>IF(LEN('Ch8'!H123)=0,"",'Ch8'!H123)</f>
        <v/>
      </c>
      <c r="C1753" s="254" t="str">
        <f t="shared" si="43"/>
        <v/>
      </c>
      <c r="D1753" s="139"/>
      <c r="E1753" s="684"/>
      <c r="F1753" s="669"/>
      <c r="G1753" s="1761"/>
      <c r="H1753" s="94"/>
      <c r="J1753" s="1204"/>
    </row>
    <row r="1754" spans="1:10" x14ac:dyDescent="0.25">
      <c r="B1754" s="254" t="str">
        <f>IF(LEN('Ch8'!H124)=0,"",'Ch8'!H124)</f>
        <v/>
      </c>
      <c r="C1754" s="254" t="str">
        <f t="shared" si="43"/>
        <v/>
      </c>
      <c r="D1754" s="139"/>
      <c r="E1754" s="667" t="s">
        <v>258</v>
      </c>
      <c r="F1754" s="139"/>
      <c r="G1754" s="1754" t="s">
        <v>4898</v>
      </c>
      <c r="H1754" s="1313" t="str">
        <f>IF(LEN('Ch8'!W124)=0,"",'Ch8'!W124)</f>
        <v/>
      </c>
      <c r="I1754" s="86">
        <f ca="1">'Ch8'!O124</f>
        <v>0</v>
      </c>
      <c r="J1754" s="1204"/>
    </row>
    <row r="1755" spans="1:10" x14ac:dyDescent="0.25">
      <c r="B1755" s="254" t="str">
        <f>IF(LEN('Ch8'!H125)=0,"",'Ch8'!H125)</f>
        <v/>
      </c>
      <c r="C1755" s="254" t="str">
        <f t="shared" si="43"/>
        <v/>
      </c>
      <c r="D1755" s="139"/>
      <c r="E1755" s="139"/>
      <c r="F1755" s="139"/>
      <c r="G1755" s="1754"/>
      <c r="H1755" s="94"/>
      <c r="J1755" s="1204"/>
    </row>
    <row r="1756" spans="1:10" x14ac:dyDescent="0.25">
      <c r="B1756" s="254" t="str">
        <f>IF(LEN('Ch8'!H126)=0,"",'Ch8'!H126)</f>
        <v/>
      </c>
      <c r="C1756" s="254" t="str">
        <f t="shared" si="43"/>
        <v/>
      </c>
      <c r="D1756" s="139"/>
      <c r="E1756" s="139"/>
      <c r="F1756" s="139"/>
      <c r="G1756" s="1754"/>
      <c r="H1756" s="94"/>
      <c r="J1756" s="1204"/>
    </row>
    <row r="1757" spans="1:10" x14ac:dyDescent="0.25">
      <c r="B1757" s="254" t="str">
        <f>IF(LEN('Ch8'!H127)=0,"",'Ch8'!H127)</f>
        <v/>
      </c>
      <c r="C1757" s="254" t="str">
        <f t="shared" si="43"/>
        <v/>
      </c>
      <c r="D1757" s="139"/>
      <c r="E1757" s="139"/>
      <c r="F1757" s="139"/>
      <c r="G1757" s="1754"/>
      <c r="H1757" s="94"/>
      <c r="J1757" s="1204"/>
    </row>
    <row r="1758" spans="1:10" x14ac:dyDescent="0.25">
      <c r="B1758" s="254" t="str">
        <f>IF(LEN('Ch8'!H128)=0,"",'Ch8'!H128)</f>
        <v/>
      </c>
      <c r="C1758" s="254" t="str">
        <f t="shared" si="43"/>
        <v/>
      </c>
      <c r="D1758" s="139"/>
      <c r="E1758" s="139"/>
      <c r="F1758" s="139"/>
      <c r="G1758" s="1860" t="s">
        <v>4441</v>
      </c>
      <c r="H1758" s="94"/>
      <c r="J1758" s="1204"/>
    </row>
    <row r="1759" spans="1:10" x14ac:dyDescent="0.25">
      <c r="B1759" s="254" t="str">
        <f>IF(LEN('Ch8'!H129)=0,"",'Ch8'!H129)</f>
        <v/>
      </c>
      <c r="C1759" s="254" t="str">
        <f t="shared" si="43"/>
        <v/>
      </c>
      <c r="D1759" s="139"/>
      <c r="E1759" s="139"/>
      <c r="F1759" s="139"/>
      <c r="G1759" s="1860"/>
      <c r="H1759" s="94"/>
      <c r="J1759" s="1204"/>
    </row>
    <row r="1760" spans="1:10" x14ac:dyDescent="0.25">
      <c r="B1760" s="254" t="str">
        <f>IF(LEN('Ch8'!H130)=0,"",'Ch8'!H130)</f>
        <v/>
      </c>
      <c r="C1760" s="254" t="str">
        <f t="shared" si="43"/>
        <v/>
      </c>
      <c r="D1760" s="139"/>
      <c r="E1760" s="669"/>
      <c r="F1760" s="669"/>
      <c r="G1760" s="1918"/>
      <c r="H1760" s="94"/>
      <c r="J1760" s="1204"/>
    </row>
    <row r="1761" spans="1:10" x14ac:dyDescent="0.25">
      <c r="B1761" s="254" t="str">
        <f>IF(LEN('Ch8'!H131)=0,"",'Ch8'!H131)</f>
        <v/>
      </c>
      <c r="C1761" s="254" t="str">
        <f t="shared" si="43"/>
        <v/>
      </c>
      <c r="D1761" s="139"/>
      <c r="E1761" s="684" t="s">
        <v>260</v>
      </c>
      <c r="F1761" s="669"/>
      <c r="G1761" s="1215" t="s">
        <v>4438</v>
      </c>
      <c r="H1761" s="1313" t="str">
        <f>IF(LEN('Ch8'!W131)=0,"",'Ch8'!W131)</f>
        <v/>
      </c>
      <c r="I1761" s="86">
        <f ca="1">'Ch8'!O131</f>
        <v>0</v>
      </c>
      <c r="J1761" s="1204"/>
    </row>
    <row r="1762" spans="1:10" x14ac:dyDescent="0.25">
      <c r="B1762" s="254" t="str">
        <f>IF(LEN('Ch8'!H132)=0,"",'Ch8'!H132)</f>
        <v/>
      </c>
      <c r="C1762" s="254" t="str">
        <f t="shared" si="43"/>
        <v/>
      </c>
      <c r="D1762" s="139"/>
      <c r="E1762" s="667" t="s">
        <v>269</v>
      </c>
      <c r="F1762" s="139"/>
      <c r="G1762" s="1754" t="s">
        <v>4439</v>
      </c>
      <c r="H1762" s="94"/>
      <c r="J1762" s="1204"/>
    </row>
    <row r="1763" spans="1:10" x14ac:dyDescent="0.25">
      <c r="B1763" s="254" t="str">
        <f>IF(LEN('Ch8'!H133)=0,"",'Ch8'!H133)</f>
        <v/>
      </c>
      <c r="C1763" s="254" t="str">
        <f t="shared" si="43"/>
        <v/>
      </c>
      <c r="D1763" s="139"/>
      <c r="E1763" s="139"/>
      <c r="F1763" s="139"/>
      <c r="G1763" s="1754"/>
      <c r="H1763" s="94"/>
      <c r="J1763" s="1204"/>
    </row>
    <row r="1764" spans="1:10" x14ac:dyDescent="0.25">
      <c r="B1764" s="254" t="str">
        <f>IF(LEN('Ch8'!H134)=0,"",'Ch8'!H134)</f>
        <v/>
      </c>
      <c r="C1764" s="254" t="str">
        <f t="shared" si="43"/>
        <v/>
      </c>
      <c r="D1764" s="139"/>
      <c r="E1764" s="139"/>
      <c r="F1764" s="667" t="s">
        <v>121</v>
      </c>
      <c r="G1764" s="1225" t="s">
        <v>4447</v>
      </c>
      <c r="H1764" s="1313" t="str">
        <f>IF(LEN('Ch8'!W134)=0,"",'Ch8'!W134)</f>
        <v/>
      </c>
      <c r="I1764" s="86">
        <f ca="1">'Ch8'!O134</f>
        <v>0</v>
      </c>
      <c r="J1764" s="1204"/>
    </row>
    <row r="1765" spans="1:10" x14ac:dyDescent="0.25">
      <c r="B1765" s="254" t="str">
        <f>IF(LEN('Ch8'!H135)=0,"",'Ch8'!H135)</f>
        <v/>
      </c>
      <c r="C1765" s="254" t="str">
        <f t="shared" si="43"/>
        <v/>
      </c>
      <c r="D1765" s="139"/>
      <c r="E1765" s="139"/>
      <c r="F1765" s="139"/>
      <c r="G1765" s="1860" t="s">
        <v>4448</v>
      </c>
      <c r="H1765" s="94"/>
      <c r="J1765" s="1204"/>
    </row>
    <row r="1766" spans="1:10" x14ac:dyDescent="0.25">
      <c r="B1766" s="254" t="str">
        <f>IF(LEN('Ch8'!H136)=0,"",'Ch8'!H136)</f>
        <v/>
      </c>
      <c r="C1766" s="254" t="str">
        <f t="shared" si="43"/>
        <v/>
      </c>
      <c r="D1766" s="139"/>
      <c r="E1766" s="139"/>
      <c r="F1766" s="139"/>
      <c r="G1766" s="1860"/>
      <c r="H1766" s="94"/>
      <c r="J1766" s="1204"/>
    </row>
    <row r="1767" spans="1:10" x14ac:dyDescent="0.25">
      <c r="B1767" s="254" t="str">
        <f>IF(LEN('Ch8'!H137)=0,"",'Ch8'!H137)</f>
        <v/>
      </c>
      <c r="C1767" s="254" t="str">
        <f t="shared" si="43"/>
        <v/>
      </c>
      <c r="D1767" s="139"/>
      <c r="E1767" s="139"/>
      <c r="F1767" s="669"/>
      <c r="G1767" s="1918"/>
      <c r="H1767" s="94"/>
      <c r="J1767" s="1204"/>
    </row>
    <row r="1768" spans="1:10" x14ac:dyDescent="0.25">
      <c r="B1768" s="254" t="str">
        <f>IF(LEN('Ch8'!H138)=0,"",'Ch8'!H138)</f>
        <v/>
      </c>
      <c r="C1768" s="254" t="str">
        <f t="shared" si="43"/>
        <v/>
      </c>
      <c r="D1768" s="139"/>
      <c r="E1768" s="139"/>
      <c r="F1768" s="667" t="s">
        <v>122</v>
      </c>
      <c r="G1768" s="1754" t="s">
        <v>4446</v>
      </c>
      <c r="H1768" s="1313" t="str">
        <f>IF(LEN('Ch8'!W138)=0,"",'Ch8'!W138)</f>
        <v/>
      </c>
      <c r="I1768" s="86">
        <f ca="1">'Ch8'!O138</f>
        <v>0</v>
      </c>
      <c r="J1768" s="1204"/>
    </row>
    <row r="1769" spans="1:10" x14ac:dyDescent="0.25">
      <c r="B1769" s="254" t="str">
        <f>IF(LEN('Ch8'!H139)=0,"",'Ch8'!H139)</f>
        <v/>
      </c>
      <c r="C1769" s="254" t="str">
        <f t="shared" si="43"/>
        <v/>
      </c>
      <c r="D1769" s="139"/>
      <c r="E1769" s="139"/>
      <c r="F1769" s="684"/>
      <c r="G1769" s="1755"/>
      <c r="H1769" s="94"/>
      <c r="J1769" s="1204"/>
    </row>
    <row r="1770" spans="1:10" x14ac:dyDescent="0.25">
      <c r="B1770" s="254" t="str">
        <f>IF(LEN('Ch8'!H140)=0,"",'Ch8'!H140)</f>
        <v/>
      </c>
      <c r="C1770" s="254" t="str">
        <f t="shared" si="43"/>
        <v/>
      </c>
      <c r="D1770" s="139"/>
      <c r="E1770" s="139"/>
      <c r="F1770" s="667" t="s">
        <v>123</v>
      </c>
      <c r="G1770" s="1754" t="s">
        <v>4449</v>
      </c>
      <c r="H1770" s="1313" t="str">
        <f>IF(LEN('Ch8'!W140)=0,"",'Ch8'!W140)</f>
        <v/>
      </c>
      <c r="I1770" s="86">
        <f ca="1">'Ch8'!O140</f>
        <v>0</v>
      </c>
      <c r="J1770" s="1204"/>
    </row>
    <row r="1771" spans="1:10" ht="15.75" thickBot="1" x14ac:dyDescent="0.3">
      <c r="B1771" s="254" t="str">
        <f>IF(LEN('Ch8'!H141)=0,"",'Ch8'!H141)</f>
        <v/>
      </c>
      <c r="C1771" s="254" t="str">
        <f t="shared" si="43"/>
        <v/>
      </c>
      <c r="D1771" s="1386"/>
      <c r="E1771" s="1386"/>
      <c r="F1771" s="1386"/>
      <c r="G1771" s="1783"/>
      <c r="H1771" s="94"/>
      <c r="J1771" s="1204"/>
    </row>
    <row r="1772" spans="1:10" ht="15.75" thickTop="1" x14ac:dyDescent="0.25">
      <c r="A1772" s="2363" t="str">
        <f ca="1">IF(COUNTIF(A1773:A1792,"P")&gt;0,"P","")</f>
        <v/>
      </c>
      <c r="B1772" s="254" t="str">
        <f>IF(LEN('Ch8'!H142)=0,"",'Ch8'!H142)</f>
        <v/>
      </c>
      <c r="C1772" s="254" t="str">
        <f t="shared" ca="1" si="43"/>
        <v/>
      </c>
      <c r="D1772" s="139">
        <v>802.6</v>
      </c>
      <c r="E1772" s="139"/>
      <c r="F1772" s="139"/>
      <c r="G1772" s="1235" t="s">
        <v>4377</v>
      </c>
      <c r="H1772" s="94"/>
      <c r="I1772"/>
      <c r="J1772" s="1950" t="s">
        <v>5018</v>
      </c>
    </row>
    <row r="1773" spans="1:10" x14ac:dyDescent="0.25">
      <c r="A1773" s="585" t="str">
        <f>IF(AND(LEN(H1773)&gt;0,NOT(H1773=FALSE)),"P","")</f>
        <v/>
      </c>
      <c r="B1773" s="254" t="str">
        <f>IF(LEN('Ch8'!H143)=0,"",'Ch8'!H143)</f>
        <v/>
      </c>
      <c r="C1773" s="254" t="str">
        <f t="shared" si="43"/>
        <v/>
      </c>
      <c r="D1773" s="139" t="s">
        <v>4376</v>
      </c>
      <c r="E1773" s="139"/>
      <c r="F1773" s="139"/>
      <c r="G1773" s="1782" t="s">
        <v>4450</v>
      </c>
      <c r="H1773" s="1313" t="str">
        <f>IF(LEN('Ch8'!W143)=0,"",'Ch8'!W143)</f>
        <v/>
      </c>
      <c r="J1773" s="1952"/>
    </row>
    <row r="1774" spans="1:10" x14ac:dyDescent="0.25">
      <c r="A1774" s="585" t="str">
        <f>A1773</f>
        <v/>
      </c>
      <c r="B1774" s="254" t="str">
        <f>IF(LEN('Ch8'!H144)=0,"",'Ch8'!H144)</f>
        <v/>
      </c>
      <c r="C1774" s="254" t="str">
        <f t="shared" si="43"/>
        <v/>
      </c>
      <c r="D1774" s="669"/>
      <c r="E1774" s="669"/>
      <c r="F1774" s="669"/>
      <c r="G1774" s="1843"/>
      <c r="H1774" s="94"/>
      <c r="J1774" s="1953"/>
    </row>
    <row r="1775" spans="1:10" x14ac:dyDescent="0.25">
      <c r="A1775" s="585" t="str">
        <f ca="1">IF(I1775&gt;0,"P","")</f>
        <v/>
      </c>
      <c r="B1775" s="254" t="str">
        <f>IF(LEN('Ch8'!H145)=0,"",'Ch8'!H145)</f>
        <v/>
      </c>
      <c r="C1775" s="254" t="str">
        <f t="shared" ca="1" si="43"/>
        <v/>
      </c>
      <c r="D1775" s="139" t="s">
        <v>4378</v>
      </c>
      <c r="E1775" s="139"/>
      <c r="F1775" s="139"/>
      <c r="G1775" s="1864" t="s">
        <v>4451</v>
      </c>
      <c r="H1775" s="1313" t="str">
        <f>IF(LEN('Ch8'!W145)=0,"",'Ch8'!W145)</f>
        <v/>
      </c>
      <c r="I1775" s="86">
        <f ca="1">'Ch8'!O145</f>
        <v>0</v>
      </c>
      <c r="J1775" s="1204" t="s">
        <v>3918</v>
      </c>
    </row>
    <row r="1776" spans="1:10" x14ac:dyDescent="0.25">
      <c r="A1776" s="585" t="str">
        <f ca="1">A1775</f>
        <v/>
      </c>
      <c r="B1776" s="254" t="str">
        <f>IF(LEN('Ch8'!H146)=0,"",'Ch8'!H146)</f>
        <v/>
      </c>
      <c r="C1776" s="254" t="str">
        <f t="shared" ca="1" si="43"/>
        <v/>
      </c>
      <c r="D1776" s="139"/>
      <c r="E1776" s="139"/>
      <c r="F1776" s="139"/>
      <c r="G1776" s="1782"/>
      <c r="H1776" s="94"/>
      <c r="J1776" s="1204"/>
    </row>
    <row r="1777" spans="1:10" x14ac:dyDescent="0.25">
      <c r="A1777" s="585" t="str">
        <f ca="1">A1776</f>
        <v/>
      </c>
      <c r="B1777" s="254" t="str">
        <f>IF(LEN('Ch8'!H147)=0,"",'Ch8'!H147)</f>
        <v/>
      </c>
      <c r="C1777" s="254" t="str">
        <f t="shared" ca="1" si="43"/>
        <v/>
      </c>
      <c r="D1777" s="669"/>
      <c r="E1777" s="669"/>
      <c r="F1777" s="669"/>
      <c r="G1777" s="1843"/>
      <c r="H1777" s="94"/>
      <c r="J1777" s="1204"/>
    </row>
    <row r="1778" spans="1:10" ht="38.25" x14ac:dyDescent="0.25">
      <c r="A1778" s="585" t="str">
        <f ca="1">IF(I1778&gt;0,"P","")</f>
        <v/>
      </c>
      <c r="B1778" s="254" t="str">
        <f>IF(LEN('Ch8'!H148)=0,"",'Ch8'!H148)</f>
        <v/>
      </c>
      <c r="C1778" s="254" t="str">
        <f t="shared" ca="1" si="43"/>
        <v/>
      </c>
      <c r="D1778" s="139" t="s">
        <v>4379</v>
      </c>
      <c r="E1778" s="139"/>
      <c r="F1778" s="139"/>
      <c r="G1778" s="1235" t="s">
        <v>4452</v>
      </c>
      <c r="H1778" s="94"/>
      <c r="I1778" s="706">
        <f ca="1">SUM(I1779:I1781)</f>
        <v>0</v>
      </c>
      <c r="J1778" s="1205" t="s">
        <v>5019</v>
      </c>
    </row>
    <row r="1779" spans="1:10" x14ac:dyDescent="0.25">
      <c r="B1779" s="254" t="str">
        <f>IF(LEN('Ch8'!H149)=0,"",'Ch8'!H149)</f>
        <v/>
      </c>
      <c r="C1779" s="254" t="str">
        <f t="shared" si="43"/>
        <v/>
      </c>
      <c r="D1779" s="139"/>
      <c r="E1779" s="684" t="s">
        <v>256</v>
      </c>
      <c r="F1779" s="669"/>
      <c r="G1779" s="1215" t="s">
        <v>796</v>
      </c>
      <c r="H1779" s="1313" t="str">
        <f>IF(LEN('Ch8'!W149)=0,"",'Ch8'!W149)</f>
        <v/>
      </c>
      <c r="I1779" s="86">
        <f ca="1">'Ch8'!O149</f>
        <v>0</v>
      </c>
      <c r="J1779" s="1204"/>
    </row>
    <row r="1780" spans="1:10" x14ac:dyDescent="0.25">
      <c r="B1780" s="254" t="str">
        <f>IF(LEN('Ch8'!H150)=0,"",'Ch8'!H150)</f>
        <v/>
      </c>
      <c r="C1780" s="254" t="str">
        <f t="shared" si="43"/>
        <v/>
      </c>
      <c r="D1780" s="139"/>
      <c r="E1780" s="684" t="s">
        <v>258</v>
      </c>
      <c r="F1780" s="669"/>
      <c r="G1780" s="1215" t="s">
        <v>797</v>
      </c>
      <c r="H1780" s="1313" t="str">
        <f>IF(LEN('Ch8'!W150)=0,"",'Ch8'!W150)</f>
        <v/>
      </c>
      <c r="I1780" s="86">
        <f ca="1">'Ch8'!O150</f>
        <v>0</v>
      </c>
      <c r="J1780" s="1204"/>
    </row>
    <row r="1781" spans="1:10" x14ac:dyDescent="0.25">
      <c r="B1781" s="254" t="str">
        <f>IF(LEN('Ch8'!H151)=0,"",'Ch8'!H151)</f>
        <v/>
      </c>
      <c r="C1781" s="254" t="str">
        <f t="shared" si="43"/>
        <v/>
      </c>
      <c r="D1781" s="139"/>
      <c r="E1781" s="667" t="s">
        <v>260</v>
      </c>
      <c r="F1781" s="139"/>
      <c r="G1781" s="1754" t="s">
        <v>798</v>
      </c>
      <c r="H1781" s="1313" t="str">
        <f>IF(LEN('Ch8'!W151)=0,"",'Ch8'!W151)</f>
        <v/>
      </c>
      <c r="I1781" s="86">
        <f ca="1">'Ch8'!O151</f>
        <v>0</v>
      </c>
      <c r="J1781" s="1204"/>
    </row>
    <row r="1782" spans="1:10" x14ac:dyDescent="0.25">
      <c r="B1782" s="254" t="str">
        <f>IF(LEN('Ch8'!H152)=0,"",'Ch8'!H152)</f>
        <v/>
      </c>
      <c r="C1782" s="254" t="str">
        <f t="shared" si="43"/>
        <v/>
      </c>
      <c r="D1782" s="669"/>
      <c r="E1782" s="669"/>
      <c r="F1782" s="669"/>
      <c r="G1782" s="1755"/>
      <c r="H1782" s="94"/>
      <c r="J1782" s="1204"/>
    </row>
    <row r="1783" spans="1:10" x14ac:dyDescent="0.25">
      <c r="A1783" s="585" t="str">
        <f ca="1">IF(I1783&gt;0,"P","")</f>
        <v/>
      </c>
      <c r="B1783" s="254" t="str">
        <f>IF(LEN('Ch8'!H153)=0,"",'Ch8'!H153)</f>
        <v/>
      </c>
      <c r="C1783" s="254" t="str">
        <f t="shared" ca="1" si="43"/>
        <v/>
      </c>
      <c r="D1783" s="139" t="s">
        <v>4380</v>
      </c>
      <c r="E1783" s="139"/>
      <c r="F1783" s="139"/>
      <c r="G1783" s="1885" t="s">
        <v>4381</v>
      </c>
      <c r="H1783" s="94"/>
      <c r="I1783" s="706">
        <f ca="1">SUM(I1786:I1788)</f>
        <v>0</v>
      </c>
      <c r="J1783" s="1204" t="s">
        <v>5020</v>
      </c>
    </row>
    <row r="1784" spans="1:10" x14ac:dyDescent="0.25">
      <c r="A1784" s="585" t="str">
        <f ca="1">A1783</f>
        <v/>
      </c>
      <c r="B1784" s="254" t="str">
        <f>IF(LEN('Ch8'!H154)=0,"",'Ch8'!H154)</f>
        <v/>
      </c>
      <c r="C1784" s="254" t="str">
        <f t="shared" ca="1" si="43"/>
        <v/>
      </c>
      <c r="D1784" s="139"/>
      <c r="E1784" s="139"/>
      <c r="F1784" s="139"/>
      <c r="G1784" s="1885"/>
      <c r="H1784" s="94"/>
      <c r="J1784" s="1204"/>
    </row>
    <row r="1785" spans="1:10" x14ac:dyDescent="0.25">
      <c r="B1785" s="254" t="str">
        <f>IF(LEN('Ch8'!H155)=0,"",'Ch8'!H155)</f>
        <v/>
      </c>
      <c r="C1785" s="254" t="str">
        <f t="shared" si="43"/>
        <v/>
      </c>
      <c r="D1785" s="139"/>
      <c r="E1785" s="139"/>
      <c r="F1785" s="139"/>
      <c r="G1785" s="1232" t="s">
        <v>799</v>
      </c>
      <c r="H1785" s="94"/>
      <c r="J1785" s="1204"/>
    </row>
    <row r="1786" spans="1:10" x14ac:dyDescent="0.25">
      <c r="B1786" s="254" t="str">
        <f>IF(LEN('Ch8'!H156)=0,"",'Ch8'!H156)</f>
        <v/>
      </c>
      <c r="C1786" s="254" t="str">
        <f t="shared" si="43"/>
        <v/>
      </c>
      <c r="D1786" s="139"/>
      <c r="E1786" s="667" t="s">
        <v>256</v>
      </c>
      <c r="F1786" s="139"/>
      <c r="G1786" s="1754" t="s">
        <v>4453</v>
      </c>
      <c r="H1786" s="1313" t="str">
        <f>IF(LEN('Ch8'!W156)=0,"",'Ch8'!W156)</f>
        <v/>
      </c>
      <c r="I1786" s="86">
        <f ca="1">'Ch8'!O156</f>
        <v>0</v>
      </c>
      <c r="J1786" s="1204"/>
    </row>
    <row r="1787" spans="1:10" x14ac:dyDescent="0.25">
      <c r="B1787" s="254" t="str">
        <f>IF(LEN('Ch8'!H157)=0,"",'Ch8'!H157)</f>
        <v/>
      </c>
      <c r="C1787" s="254" t="str">
        <f t="shared" si="43"/>
        <v/>
      </c>
      <c r="E1787" s="1387"/>
      <c r="F1787" s="1387"/>
      <c r="G1787" s="1755"/>
      <c r="H1787" s="94"/>
      <c r="J1787" s="1204"/>
    </row>
    <row r="1788" spans="1:10" x14ac:dyDescent="0.25">
      <c r="B1788" s="254" t="str">
        <f>IF(LEN('Ch8'!H158)=0,"",'Ch8'!H158)</f>
        <v/>
      </c>
      <c r="C1788" s="254" t="str">
        <f t="shared" si="43"/>
        <v/>
      </c>
      <c r="D1788" s="139"/>
      <c r="E1788" s="667" t="s">
        <v>258</v>
      </c>
      <c r="F1788" s="139"/>
      <c r="G1788" s="1754" t="s">
        <v>4454</v>
      </c>
      <c r="H1788" s="1313" t="str">
        <f>IF(LEN('Ch8'!W158)=0,"",'Ch8'!W158)</f>
        <v/>
      </c>
      <c r="I1788" s="86">
        <f ca="1">'Ch8'!O158</f>
        <v>0</v>
      </c>
      <c r="J1788" s="1204"/>
    </row>
    <row r="1789" spans="1:10" x14ac:dyDescent="0.25">
      <c r="B1789" s="254" t="str">
        <f>IF(LEN('Ch8'!H159)=0,"",'Ch8'!H159)</f>
        <v/>
      </c>
      <c r="C1789" s="254" t="str">
        <f t="shared" si="43"/>
        <v/>
      </c>
      <c r="D1789" s="139"/>
      <c r="E1789" s="139"/>
      <c r="F1789" s="139"/>
      <c r="G1789" s="1754"/>
      <c r="H1789" s="94"/>
      <c r="J1789" s="1204"/>
    </row>
    <row r="1790" spans="1:10" x14ac:dyDescent="0.25">
      <c r="B1790" s="254" t="str">
        <f>IF(LEN('Ch8'!H160)=0,"",'Ch8'!H160)</f>
        <v/>
      </c>
      <c r="C1790" s="254" t="str">
        <f t="shared" si="43"/>
        <v/>
      </c>
      <c r="D1790" s="101"/>
      <c r="E1790" s="101"/>
      <c r="F1790" s="101"/>
      <c r="G1790" s="1958" t="s">
        <v>4585</v>
      </c>
      <c r="H1790" s="94"/>
      <c r="J1790" s="1204"/>
    </row>
    <row r="1791" spans="1:10" x14ac:dyDescent="0.25">
      <c r="B1791" s="254" t="str">
        <f>IF(LEN('Ch8'!H161)=0,"",'Ch8'!H161)</f>
        <v/>
      </c>
      <c r="C1791" s="254" t="str">
        <f t="shared" si="43"/>
        <v/>
      </c>
      <c r="D1791" s="669"/>
      <c r="E1791" s="669"/>
      <c r="F1791" s="669"/>
      <c r="G1791" s="1961"/>
      <c r="H1791" s="94"/>
      <c r="J1791" s="1204"/>
    </row>
    <row r="1792" spans="1:10" x14ac:dyDescent="0.25">
      <c r="A1792" s="585" t="str">
        <f ca="1">IF(I1792&gt;0,"P","")</f>
        <v/>
      </c>
      <c r="B1792" s="254" t="str">
        <f>IF(LEN('Ch8'!H162)=0,"",'Ch8'!H162)</f>
        <v/>
      </c>
      <c r="C1792" s="254" t="str">
        <f t="shared" ca="1" si="43"/>
        <v/>
      </c>
      <c r="D1792" s="139" t="s">
        <v>4382</v>
      </c>
      <c r="G1792" s="1782" t="s">
        <v>4455</v>
      </c>
      <c r="H1792" s="94"/>
      <c r="I1792" s="706">
        <f ca="1">SUM(I1794:I1801)</f>
        <v>0</v>
      </c>
      <c r="J1792" s="1950" t="s">
        <v>5021</v>
      </c>
    </row>
    <row r="1793" spans="1:10" x14ac:dyDescent="0.25">
      <c r="A1793" s="585" t="str">
        <f ca="1">A1792</f>
        <v/>
      </c>
      <c r="B1793" s="254" t="str">
        <f>IF(LEN('Ch8'!H163)=0,"",'Ch8'!H163)</f>
        <v/>
      </c>
      <c r="C1793" s="254" t="str">
        <f t="shared" ca="1" si="43"/>
        <v/>
      </c>
      <c r="G1793" s="1782"/>
      <c r="H1793" s="94"/>
      <c r="J1793" s="1951"/>
    </row>
    <row r="1794" spans="1:10" x14ac:dyDescent="0.25">
      <c r="B1794" s="254" t="str">
        <f>IF(LEN('Ch8'!H164)=0,"",'Ch8'!H164)</f>
        <v/>
      </c>
      <c r="C1794" s="254" t="str">
        <f t="shared" si="43"/>
        <v/>
      </c>
      <c r="D1794" s="139"/>
      <c r="E1794" s="668" t="s">
        <v>256</v>
      </c>
      <c r="F1794" s="668"/>
      <c r="G1794" s="1754" t="s">
        <v>4456</v>
      </c>
      <c r="H1794" s="1313" t="str">
        <f>IF(LEN('Ch8'!W164)=0,"",'Ch8'!W164)</f>
        <v/>
      </c>
      <c r="I1794" s="86">
        <f ca="1">'Ch8'!O164</f>
        <v>0</v>
      </c>
      <c r="J1794" s="1204"/>
    </row>
    <row r="1795" spans="1:10" x14ac:dyDescent="0.25">
      <c r="B1795" s="254" t="str">
        <f>IF(LEN('Ch8'!H165)=0,"",'Ch8'!H165)</f>
        <v/>
      </c>
      <c r="C1795" s="254" t="str">
        <f t="shared" si="43"/>
        <v/>
      </c>
      <c r="D1795" s="139"/>
      <c r="E1795" s="684"/>
      <c r="F1795" s="684"/>
      <c r="G1795" s="1755"/>
      <c r="H1795" s="94"/>
      <c r="J1795" s="1204"/>
    </row>
    <row r="1796" spans="1:10" x14ac:dyDescent="0.25">
      <c r="B1796" s="254" t="str">
        <f>IF(LEN('Ch8'!H166)=0,"",'Ch8'!H166)</f>
        <v/>
      </c>
      <c r="C1796" s="254" t="str">
        <f t="shared" si="43"/>
        <v/>
      </c>
      <c r="D1796" s="139"/>
      <c r="E1796" s="693" t="s">
        <v>258</v>
      </c>
      <c r="F1796" s="693"/>
      <c r="G1796" s="1778" t="s">
        <v>4457</v>
      </c>
      <c r="H1796" s="1313" t="str">
        <f>IF(LEN('Ch8'!W166)=0,"",'Ch8'!W166)</f>
        <v/>
      </c>
      <c r="I1796" s="86">
        <f ca="1">'Ch8'!O166</f>
        <v>0</v>
      </c>
      <c r="J1796" s="1204"/>
    </row>
    <row r="1797" spans="1:10" x14ac:dyDescent="0.25">
      <c r="B1797" s="254" t="str">
        <f>IF(LEN('Ch8'!H167)=0,"",'Ch8'!H167)</f>
        <v/>
      </c>
      <c r="C1797" s="254" t="str">
        <f t="shared" si="43"/>
        <v/>
      </c>
      <c r="D1797" s="139"/>
      <c r="E1797" s="684"/>
      <c r="F1797" s="684"/>
      <c r="G1797" s="1755"/>
      <c r="H1797" s="94"/>
      <c r="J1797" s="1204"/>
    </row>
    <row r="1798" spans="1:10" x14ac:dyDescent="0.25">
      <c r="B1798" s="254" t="str">
        <f>IF(LEN('Ch8'!H168)=0,"",'Ch8'!H168)</f>
        <v/>
      </c>
      <c r="C1798" s="254" t="str">
        <f t="shared" si="43"/>
        <v/>
      </c>
      <c r="D1798" s="139"/>
      <c r="E1798" s="691" t="s">
        <v>260</v>
      </c>
      <c r="F1798" s="691"/>
      <c r="G1798" s="279" t="s">
        <v>4458</v>
      </c>
      <c r="H1798" s="1313" t="str">
        <f>IF(LEN('Ch8'!W168)=0,"",'Ch8'!W168)</f>
        <v/>
      </c>
      <c r="I1798" s="86">
        <f ca="1">'Ch8'!O168</f>
        <v>0</v>
      </c>
      <c r="J1798" s="1204"/>
    </row>
    <row r="1799" spans="1:10" x14ac:dyDescent="0.25">
      <c r="B1799" s="254" t="str">
        <f>IF(LEN('Ch8'!H169)=0,"",'Ch8'!H169)</f>
        <v/>
      </c>
      <c r="C1799" s="254" t="str">
        <f t="shared" si="43"/>
        <v/>
      </c>
      <c r="D1799" s="139"/>
      <c r="E1799" s="693" t="s">
        <v>269</v>
      </c>
      <c r="F1799" s="693"/>
      <c r="G1799" s="1778" t="s">
        <v>4459</v>
      </c>
      <c r="H1799" s="1313" t="str">
        <f>IF(LEN('Ch8'!W169)=0,"",'Ch8'!W169)</f>
        <v/>
      </c>
      <c r="I1799" s="86">
        <f ca="1">'Ch8'!O169</f>
        <v>0</v>
      </c>
      <c r="J1799" s="1204"/>
    </row>
    <row r="1800" spans="1:10" x14ac:dyDescent="0.25">
      <c r="B1800" s="254" t="str">
        <f>IF(LEN('Ch8'!H170)=0,"",'Ch8'!H170)</f>
        <v/>
      </c>
      <c r="C1800" s="254" t="str">
        <f t="shared" si="43"/>
        <v/>
      </c>
      <c r="D1800" s="139"/>
      <c r="E1800" s="684"/>
      <c r="F1800" s="684"/>
      <c r="G1800" s="1755"/>
      <c r="H1800" s="94"/>
      <c r="J1800" s="1204"/>
    </row>
    <row r="1801" spans="1:10" x14ac:dyDescent="0.25">
      <c r="B1801" s="254" t="str">
        <f>IF(LEN('Ch8'!H171)=0,"",'Ch8'!H171)</f>
        <v/>
      </c>
      <c r="C1801" s="254" t="str">
        <f t="shared" si="43"/>
        <v/>
      </c>
      <c r="D1801" s="139"/>
      <c r="E1801" s="667" t="s">
        <v>275</v>
      </c>
      <c r="F1801" s="667"/>
      <c r="G1801" s="1754" t="s">
        <v>4460</v>
      </c>
      <c r="H1801" s="1313" t="str">
        <f>IF(LEN('Ch8'!W171)=0,"",'Ch8'!W171)</f>
        <v/>
      </c>
      <c r="I1801" s="86">
        <f ca="1">'Ch8'!O171</f>
        <v>0</v>
      </c>
      <c r="J1801" s="1204"/>
    </row>
    <row r="1802" spans="1:10" ht="15.75" thickBot="1" x14ac:dyDescent="0.3">
      <c r="B1802" s="254" t="str">
        <f>IF(LEN('Ch8'!H172)=0,"",'Ch8'!H172)</f>
        <v/>
      </c>
      <c r="C1802" s="254" t="str">
        <f t="shared" si="43"/>
        <v/>
      </c>
      <c r="D1802" s="139"/>
      <c r="E1802" s="667"/>
      <c r="F1802" s="667"/>
      <c r="G1802" s="1754"/>
      <c r="H1802" s="94"/>
      <c r="J1802" s="1204"/>
    </row>
    <row r="1803" spans="1:10" ht="15.75" thickTop="1" x14ac:dyDescent="0.25">
      <c r="A1803" s="585" t="str">
        <f ca="1">IF(I1803&gt;0,"P","")</f>
        <v/>
      </c>
      <c r="B1803" s="254" t="str">
        <f>IF(LEN('Ch8'!H173)=0,"",'Ch8'!H173)</f>
        <v/>
      </c>
      <c r="C1803" s="254" t="str">
        <f t="shared" ca="1" si="43"/>
        <v/>
      </c>
      <c r="D1803" s="106">
        <v>802.7</v>
      </c>
      <c r="E1803" s="106"/>
      <c r="F1803" s="106"/>
      <c r="G1803" s="1913" t="s">
        <v>4383</v>
      </c>
      <c r="H1803" s="94"/>
      <c r="I1803" s="706">
        <f ca="1">SUM(I1805:I1816)</f>
        <v>0</v>
      </c>
      <c r="J1803" s="1204"/>
    </row>
    <row r="1804" spans="1:10" x14ac:dyDescent="0.25">
      <c r="A1804" s="585" t="str">
        <f ca="1">A1803</f>
        <v/>
      </c>
      <c r="B1804" s="254" t="str">
        <f>IF(LEN('Ch8'!H174)=0,"",'Ch8'!H174)</f>
        <v/>
      </c>
      <c r="C1804" s="254" t="str">
        <f t="shared" ca="1" si="43"/>
        <v/>
      </c>
      <c r="D1804" s="139"/>
      <c r="E1804" s="139"/>
      <c r="F1804" s="139"/>
      <c r="G1804" s="1914"/>
      <c r="H1804" s="94"/>
      <c r="J1804" s="1204"/>
    </row>
    <row r="1805" spans="1:10" x14ac:dyDescent="0.25">
      <c r="A1805" s="585" t="str">
        <f ca="1">IF(I1805&gt;0,"P","")</f>
        <v/>
      </c>
      <c r="B1805" s="254" t="str">
        <f>IF(LEN('Ch8'!H175)=0,"",'Ch8'!H175)</f>
        <v/>
      </c>
      <c r="C1805" s="254" t="str">
        <f t="shared" ca="1" si="43"/>
        <v/>
      </c>
      <c r="D1805" s="139" t="s">
        <v>4384</v>
      </c>
      <c r="E1805" s="139"/>
      <c r="F1805" s="139"/>
      <c r="G1805" s="1242" t="s">
        <v>4385</v>
      </c>
      <c r="H1805" s="1313" t="str">
        <f>IF(LEN('Ch8'!W175)=0,"",'Ch8'!W175)</f>
        <v/>
      </c>
      <c r="I1805" s="86">
        <f ca="1">'Ch8'!O175</f>
        <v>0</v>
      </c>
      <c r="J1805" s="1204" t="s">
        <v>5022</v>
      </c>
    </row>
    <row r="1806" spans="1:10" x14ac:dyDescent="0.25">
      <c r="B1806" s="254" t="str">
        <f>IF(LEN('Ch8'!H176)=0,"",'Ch8'!H176)</f>
        <v/>
      </c>
      <c r="C1806" s="254" t="str">
        <f t="shared" si="43"/>
        <v/>
      </c>
      <c r="D1806" s="101"/>
      <c r="E1806" s="684" t="s">
        <v>256</v>
      </c>
      <c r="F1806" s="669"/>
      <c r="G1806" s="1215" t="s">
        <v>800</v>
      </c>
      <c r="H1806" s="94"/>
      <c r="J1806" s="1204"/>
    </row>
    <row r="1807" spans="1:10" x14ac:dyDescent="0.25">
      <c r="B1807" s="254" t="str">
        <f>IF(LEN('Ch8'!H177)=0,"",'Ch8'!H177)</f>
        <v/>
      </c>
      <c r="C1807" s="254" t="str">
        <f t="shared" si="43"/>
        <v/>
      </c>
      <c r="D1807" s="101"/>
      <c r="E1807" s="668" t="s">
        <v>258</v>
      </c>
      <c r="F1807" s="101"/>
      <c r="G1807" s="1754" t="s">
        <v>801</v>
      </c>
      <c r="H1807" s="94"/>
      <c r="J1807" s="1204"/>
    </row>
    <row r="1808" spans="1:10" x14ac:dyDescent="0.25">
      <c r="B1808" s="254" t="str">
        <f>IF(LEN('Ch8'!H178)=0,"",'Ch8'!H178)</f>
        <v/>
      </c>
      <c r="C1808" s="254" t="str">
        <f t="shared" si="43"/>
        <v/>
      </c>
      <c r="D1808" s="101"/>
      <c r="E1808" s="101"/>
      <c r="F1808" s="101"/>
      <c r="G1808" s="1754"/>
      <c r="H1808" s="94"/>
      <c r="J1808" s="1204"/>
    </row>
    <row r="1809" spans="1:10" x14ac:dyDescent="0.25">
      <c r="B1809" s="254" t="str">
        <f>IF(LEN('Ch8'!H179)=0,"",'Ch8'!H179)</f>
        <v/>
      </c>
      <c r="C1809" s="254" t="str">
        <f t="shared" si="43"/>
        <v/>
      </c>
      <c r="D1809" s="101"/>
      <c r="E1809" s="101"/>
      <c r="F1809" s="684" t="s">
        <v>121</v>
      </c>
      <c r="G1809" s="1215" t="s">
        <v>802</v>
      </c>
      <c r="H1809" s="94"/>
      <c r="J1809" s="1204"/>
    </row>
    <row r="1810" spans="1:10" x14ac:dyDescent="0.25">
      <c r="B1810" s="254" t="str">
        <f>IF(LEN('Ch8'!H180)=0,"",'Ch8'!H180)</f>
        <v/>
      </c>
      <c r="C1810" s="254" t="str">
        <f t="shared" ref="C1810:C1873" si="44">IF(LEN(B1810)=0,IF(A1810="P","P",""),B1810)</f>
        <v/>
      </c>
      <c r="D1810" s="101"/>
      <c r="E1810" s="101"/>
      <c r="F1810" s="684" t="s">
        <v>122</v>
      </c>
      <c r="G1810" s="1215" t="s">
        <v>803</v>
      </c>
      <c r="H1810" s="94"/>
      <c r="J1810" s="1204"/>
    </row>
    <row r="1811" spans="1:10" x14ac:dyDescent="0.25">
      <c r="B1811" s="254" t="str">
        <f>IF(LEN('Ch8'!H181)=0,"",'Ch8'!H181)</f>
        <v/>
      </c>
      <c r="C1811" s="254" t="str">
        <f t="shared" si="44"/>
        <v/>
      </c>
      <c r="D1811" s="101"/>
      <c r="E1811" s="101"/>
      <c r="F1811" s="668" t="s">
        <v>123</v>
      </c>
      <c r="G1811" s="1754" t="s">
        <v>804</v>
      </c>
      <c r="H1811" s="94"/>
      <c r="J1811" s="1204"/>
    </row>
    <row r="1812" spans="1:10" x14ac:dyDescent="0.25">
      <c r="B1812" s="254" t="str">
        <f>IF(LEN('Ch8'!H182)=0,"",'Ch8'!H182)</f>
        <v/>
      </c>
      <c r="C1812" s="254" t="str">
        <f t="shared" si="44"/>
        <v/>
      </c>
      <c r="D1812" s="101"/>
      <c r="E1812" s="101"/>
      <c r="F1812" s="669"/>
      <c r="G1812" s="1755"/>
      <c r="H1812" s="94"/>
      <c r="J1812" s="1204"/>
    </row>
    <row r="1813" spans="1:10" x14ac:dyDescent="0.25">
      <c r="B1813" s="254" t="str">
        <f>IF(LEN('Ch8'!H183)=0,"",'Ch8'!H183)</f>
        <v/>
      </c>
      <c r="C1813" s="254" t="str">
        <f t="shared" si="44"/>
        <v/>
      </c>
      <c r="D1813" s="101"/>
      <c r="E1813" s="101"/>
      <c r="F1813" s="668" t="s">
        <v>401</v>
      </c>
      <c r="G1813" s="1754" t="s">
        <v>805</v>
      </c>
      <c r="H1813" s="94"/>
      <c r="J1813" s="1204"/>
    </row>
    <row r="1814" spans="1:10" x14ac:dyDescent="0.25">
      <c r="B1814" s="254" t="str">
        <f>IF(LEN('Ch8'!H184)=0,"",'Ch8'!H184)</f>
        <v/>
      </c>
      <c r="C1814" s="254" t="str">
        <f t="shared" si="44"/>
        <v/>
      </c>
      <c r="D1814" s="101"/>
      <c r="E1814" s="101"/>
      <c r="F1814" s="101"/>
      <c r="G1814" s="1754"/>
      <c r="H1814" s="94"/>
      <c r="J1814" s="1204"/>
    </row>
    <row r="1815" spans="1:10" x14ac:dyDescent="0.25">
      <c r="B1815" s="254" t="str">
        <f>IF(LEN('Ch8'!H185)=0,"",'Ch8'!H185)</f>
        <v/>
      </c>
      <c r="C1815" s="254" t="str">
        <f t="shared" si="44"/>
        <v/>
      </c>
      <c r="D1815" s="669"/>
      <c r="E1815" s="669"/>
      <c r="F1815" s="669"/>
      <c r="G1815" s="1755"/>
      <c r="H1815" s="94"/>
      <c r="J1815" s="1204"/>
    </row>
    <row r="1816" spans="1:10" x14ac:dyDescent="0.25">
      <c r="A1816" s="585" t="str">
        <f ca="1">IF(I1816&gt;0,"P","")</f>
        <v/>
      </c>
      <c r="B1816" s="254" t="str">
        <f>IF(LEN('Ch8'!H186)=0,"",'Ch8'!H186)</f>
        <v/>
      </c>
      <c r="C1816" s="254" t="str">
        <f t="shared" ca="1" si="44"/>
        <v/>
      </c>
      <c r="D1816" s="139" t="s">
        <v>4386</v>
      </c>
      <c r="E1816" s="139"/>
      <c r="F1816" s="139"/>
      <c r="G1816" s="1782" t="s">
        <v>4387</v>
      </c>
      <c r="H1816" s="94"/>
      <c r="I1816" s="86">
        <f ca="1">'Ch8'!O186</f>
        <v>0</v>
      </c>
      <c r="J1816" s="1204" t="s">
        <v>3892</v>
      </c>
    </row>
    <row r="1817" spans="1:10" x14ac:dyDescent="0.25">
      <c r="A1817" s="585" t="str">
        <f ca="1">A1816</f>
        <v/>
      </c>
      <c r="B1817" s="254" t="str">
        <f>IF(LEN('Ch8'!H187)=0,"",'Ch8'!H187)</f>
        <v/>
      </c>
      <c r="C1817" s="254" t="str">
        <f t="shared" ca="1" si="44"/>
        <v/>
      </c>
      <c r="D1817" s="139"/>
      <c r="E1817" s="139"/>
      <c r="F1817" s="139"/>
      <c r="G1817" s="1782"/>
      <c r="H1817" s="94"/>
      <c r="J1817" s="1204"/>
    </row>
    <row r="1818" spans="1:10" x14ac:dyDescent="0.25">
      <c r="A1818" s="585" t="str">
        <f ca="1">A1817</f>
        <v/>
      </c>
      <c r="B1818" s="254" t="str">
        <f>IF(LEN('Ch8'!H188)=0,"",'Ch8'!H188)</f>
        <v/>
      </c>
      <c r="C1818" s="254" t="str">
        <f t="shared" ca="1" si="44"/>
        <v/>
      </c>
      <c r="D1818" s="139"/>
      <c r="E1818" s="139"/>
      <c r="F1818" s="139"/>
      <c r="G1818" s="1782"/>
      <c r="H1818" s="94"/>
      <c r="J1818" s="1204"/>
    </row>
    <row r="1819" spans="1:10" ht="15" customHeight="1" x14ac:dyDescent="0.25">
      <c r="B1819" s="254" t="str">
        <f>IF(LEN('Ch8'!H189)=0,"",'Ch8'!H189)</f>
        <v/>
      </c>
      <c r="C1819" s="254" t="str">
        <f t="shared" si="44"/>
        <v/>
      </c>
      <c r="D1819" s="139"/>
      <c r="E1819" s="668" t="s">
        <v>256</v>
      </c>
      <c r="F1819" s="101"/>
      <c r="G1819" s="1225" t="s">
        <v>806</v>
      </c>
      <c r="H1819" s="1313" t="str">
        <f>IF(LEN('Ch8'!W189)=0,"",'Ch8'!W189)</f>
        <v/>
      </c>
      <c r="J1819" s="1204"/>
    </row>
    <row r="1820" spans="1:10" x14ac:dyDescent="0.25">
      <c r="B1820" s="254" t="str">
        <f>IF(LEN('Ch8'!H190)=0,"",'Ch8'!H190)</f>
        <v/>
      </c>
      <c r="C1820" s="254" t="str">
        <f t="shared" si="44"/>
        <v/>
      </c>
      <c r="D1820" s="139"/>
      <c r="E1820" s="669"/>
      <c r="F1820" s="669"/>
      <c r="G1820" s="1239" t="s">
        <v>807</v>
      </c>
      <c r="H1820" s="94"/>
      <c r="J1820" s="1204"/>
    </row>
    <row r="1821" spans="1:10" ht="15.75" thickBot="1" x14ac:dyDescent="0.3">
      <c r="B1821" s="254" t="str">
        <f>IF(LEN('Ch8'!H191)=0,"",'Ch8'!H191)</f>
        <v/>
      </c>
      <c r="C1821" s="254" t="str">
        <f t="shared" si="44"/>
        <v/>
      </c>
      <c r="D1821" s="670"/>
      <c r="E1821" s="673" t="s">
        <v>258</v>
      </c>
      <c r="F1821" s="670"/>
      <c r="G1821" s="1229" t="s">
        <v>808</v>
      </c>
      <c r="H1821" s="1313" t="str">
        <f>IF(LEN('Ch8'!W191)=0,"",'Ch8'!W191)</f>
        <v/>
      </c>
      <c r="J1821" s="1204"/>
    </row>
    <row r="1822" spans="1:10" ht="15.75" thickTop="1" x14ac:dyDescent="0.25">
      <c r="A1822" s="585" t="str">
        <f ca="1">IF(I1822&gt;0,"P","")</f>
        <v/>
      </c>
      <c r="B1822" s="254" t="str">
        <f>IF(LEN('Ch8'!H192)=0,"",'Ch8'!H192)</f>
        <v/>
      </c>
      <c r="C1822" s="254" t="str">
        <f t="shared" ca="1" si="44"/>
        <v/>
      </c>
      <c r="D1822" s="667">
        <v>802.8</v>
      </c>
      <c r="E1822" s="667"/>
      <c r="F1822" s="139"/>
      <c r="G1822" s="1782" t="s">
        <v>4461</v>
      </c>
      <c r="H1822" s="1313" t="str">
        <f>IF(LEN('Ch8'!W192)=0,"",'Ch8'!W192)</f>
        <v/>
      </c>
      <c r="I1822" s="86">
        <f ca="1">'Ch8'!O192</f>
        <v>0</v>
      </c>
      <c r="J1822" s="1204" t="s">
        <v>3892</v>
      </c>
    </row>
    <row r="1823" spans="1:10" ht="15.75" thickBot="1" x14ac:dyDescent="0.3">
      <c r="A1823" s="585" t="str">
        <f ca="1">A1822</f>
        <v/>
      </c>
      <c r="B1823" s="254" t="str">
        <f>IF(LEN('Ch8'!H193)=0,"",'Ch8'!H193)</f>
        <v/>
      </c>
      <c r="C1823" s="254" t="str">
        <f t="shared" ca="1" si="44"/>
        <v/>
      </c>
      <c r="D1823" s="673"/>
      <c r="E1823" s="673"/>
      <c r="F1823" s="670"/>
      <c r="G1823" s="1797"/>
      <c r="H1823" s="94"/>
      <c r="J1823" s="1204"/>
    </row>
    <row r="1824" spans="1:10" ht="15.75" thickTop="1" x14ac:dyDescent="0.25">
      <c r="A1824" s="585" t="str">
        <f ca="1">IF(I1824&gt;0,"P","")</f>
        <v/>
      </c>
      <c r="B1824" s="254" t="str">
        <f>IF(LEN('Ch8'!H194)=0,"",'Ch8'!H194)</f>
        <v/>
      </c>
      <c r="C1824" s="254" t="str">
        <f t="shared" ca="1" si="44"/>
        <v/>
      </c>
      <c r="D1824" s="667">
        <v>802.9</v>
      </c>
      <c r="E1824" s="667"/>
      <c r="F1824" s="667"/>
      <c r="G1824" s="1222" t="s">
        <v>4462</v>
      </c>
      <c r="H1824" s="94"/>
      <c r="I1824" s="706">
        <f ca="1">SUM(I1825:I1833)</f>
        <v>0</v>
      </c>
      <c r="J1824" s="1204"/>
    </row>
    <row r="1825" spans="1:10" x14ac:dyDescent="0.25">
      <c r="A1825" s="585" t="str">
        <f ca="1">IF(I1825&gt;0,"P","")</f>
        <v/>
      </c>
      <c r="B1825" s="254" t="str">
        <f>IF(LEN('Ch8'!H195)=0,"",'Ch8'!H195)</f>
        <v/>
      </c>
      <c r="C1825" s="254" t="str">
        <f t="shared" ca="1" si="44"/>
        <v/>
      </c>
      <c r="D1825" s="667" t="s">
        <v>4463</v>
      </c>
      <c r="E1825" s="667"/>
      <c r="F1825" s="667"/>
      <c r="G1825" s="1782" t="s">
        <v>4464</v>
      </c>
      <c r="H1825" s="1313" t="str">
        <f>IF(LEN('Ch8'!W195)=0,"",'Ch8'!W195)</f>
        <v/>
      </c>
      <c r="I1825" s="86">
        <f ca="1">'Ch8'!O195</f>
        <v>0</v>
      </c>
      <c r="J1825" s="1204" t="s">
        <v>5010</v>
      </c>
    </row>
    <row r="1826" spans="1:10" x14ac:dyDescent="0.25">
      <c r="A1826" s="585" t="str">
        <f ca="1">A1825</f>
        <v/>
      </c>
      <c r="B1826" s="254" t="str">
        <f>IF(LEN('Ch8'!H196)=0,"",'Ch8'!H196)</f>
        <v/>
      </c>
      <c r="C1826" s="254" t="str">
        <f t="shared" ca="1" si="44"/>
        <v/>
      </c>
      <c r="D1826" s="667"/>
      <c r="E1826" s="667"/>
      <c r="F1826" s="667"/>
      <c r="G1826" s="1782"/>
      <c r="H1826" s="94"/>
      <c r="J1826" s="1204"/>
    </row>
    <row r="1827" spans="1:10" x14ac:dyDescent="0.25">
      <c r="A1827" s="585" t="str">
        <f ca="1">A1826</f>
        <v/>
      </c>
      <c r="B1827" s="254" t="str">
        <f>IF(LEN('Ch8'!H197)=0,"",'Ch8'!H197)</f>
        <v/>
      </c>
      <c r="C1827" s="254" t="str">
        <f t="shared" ca="1" si="44"/>
        <v/>
      </c>
      <c r="D1827" s="667"/>
      <c r="E1827" s="667"/>
      <c r="F1827" s="667"/>
      <c r="G1827" s="1782"/>
      <c r="H1827" s="94"/>
      <c r="J1827" s="1204"/>
    </row>
    <row r="1828" spans="1:10" x14ac:dyDescent="0.25">
      <c r="A1828" s="585" t="str">
        <f ca="1">A1827</f>
        <v/>
      </c>
      <c r="B1828" s="254" t="str">
        <f>IF(LEN('Ch8'!H198)=0,"",'Ch8'!H198)</f>
        <v/>
      </c>
      <c r="C1828" s="254" t="str">
        <f t="shared" ca="1" si="44"/>
        <v/>
      </c>
      <c r="D1828" s="667"/>
      <c r="E1828" s="667"/>
      <c r="F1828" s="667"/>
      <c r="G1828" s="1782"/>
      <c r="H1828" s="94"/>
      <c r="J1828" s="1204"/>
    </row>
    <row r="1829" spans="1:10" x14ac:dyDescent="0.25">
      <c r="A1829" s="585" t="str">
        <f ca="1">A1828</f>
        <v/>
      </c>
      <c r="B1829" s="254" t="str">
        <f>IF(LEN('Ch8'!H199)=0,"",'Ch8'!H199)</f>
        <v/>
      </c>
      <c r="C1829" s="254" t="str">
        <f t="shared" ca="1" si="44"/>
        <v/>
      </c>
      <c r="D1829" s="667"/>
      <c r="E1829" s="667"/>
      <c r="F1829" s="667"/>
      <c r="G1829" s="1782"/>
      <c r="H1829" s="94"/>
      <c r="J1829" s="1204"/>
    </row>
    <row r="1830" spans="1:10" x14ac:dyDescent="0.25">
      <c r="A1830" s="585" t="str">
        <f ca="1">A1829</f>
        <v/>
      </c>
      <c r="B1830" s="254" t="str">
        <f>IF(LEN('Ch8'!H200)=0,"",'Ch8'!H200)</f>
        <v/>
      </c>
      <c r="C1830" s="254" t="str">
        <f t="shared" ca="1" si="44"/>
        <v/>
      </c>
      <c r="D1830" s="667"/>
      <c r="E1830" s="667"/>
      <c r="F1830" s="667"/>
      <c r="G1830" s="1782"/>
      <c r="H1830" s="94"/>
      <c r="J1830" s="1204"/>
    </row>
    <row r="1831" spans="1:10" x14ac:dyDescent="0.25">
      <c r="B1831" s="254" t="str">
        <f>IF(LEN('Ch8'!H201)=0,"",'Ch8'!H201)</f>
        <v/>
      </c>
      <c r="C1831" s="254" t="str">
        <f t="shared" si="44"/>
        <v/>
      </c>
      <c r="D1831" s="667"/>
      <c r="E1831" s="684" t="s">
        <v>256</v>
      </c>
      <c r="F1831" s="684"/>
      <c r="G1831" s="1220" t="s">
        <v>4465</v>
      </c>
      <c r="H1831" s="94"/>
      <c r="J1831" s="1204"/>
    </row>
    <row r="1832" spans="1:10" x14ac:dyDescent="0.25">
      <c r="B1832" s="254" t="str">
        <f>IF(LEN('Ch8'!H202)=0,"",'Ch8'!H202)</f>
        <v/>
      </c>
      <c r="C1832" s="254" t="str">
        <f t="shared" si="44"/>
        <v/>
      </c>
      <c r="D1832" s="684"/>
      <c r="E1832" s="684" t="s">
        <v>258</v>
      </c>
      <c r="F1832" s="684"/>
      <c r="G1832" s="1220" t="s">
        <v>4466</v>
      </c>
      <c r="H1832" s="94"/>
      <c r="J1832" s="1204"/>
    </row>
    <row r="1833" spans="1:10" x14ac:dyDescent="0.25">
      <c r="A1833" s="585" t="str">
        <f ca="1">IF(I1833&gt;0,"P","")</f>
        <v/>
      </c>
      <c r="B1833" s="254" t="str">
        <f>IF(LEN('Ch8'!H203)=0,"",'Ch8'!H203)</f>
        <v/>
      </c>
      <c r="C1833" s="254" t="str">
        <f t="shared" ca="1" si="44"/>
        <v/>
      </c>
      <c r="D1833" s="667" t="s">
        <v>4467</v>
      </c>
      <c r="E1833" s="667"/>
      <c r="F1833" s="667"/>
      <c r="G1833" s="1782" t="s">
        <v>4468</v>
      </c>
      <c r="H1833" s="1313" t="str">
        <f>IF(LEN('Ch8'!W203)=0,"",'Ch8'!W203)</f>
        <v/>
      </c>
      <c r="I1833" s="86">
        <f ca="1">'Ch8'!O203</f>
        <v>0</v>
      </c>
      <c r="J1833" s="1204" t="s">
        <v>5023</v>
      </c>
    </row>
    <row r="1834" spans="1:10" x14ac:dyDescent="0.25">
      <c r="A1834" s="585" t="str">
        <f ca="1">A1833</f>
        <v/>
      </c>
      <c r="B1834" s="254" t="str">
        <f>IF(LEN('Ch8'!H204)=0,"",'Ch8'!H204)</f>
        <v/>
      </c>
      <c r="C1834" s="254" t="str">
        <f t="shared" ca="1" si="44"/>
        <v/>
      </c>
      <c r="D1834" s="667"/>
      <c r="E1834" s="667"/>
      <c r="F1834" s="667"/>
      <c r="G1834" s="1782"/>
      <c r="H1834" s="94"/>
      <c r="J1834" s="1204"/>
    </row>
    <row r="1835" spans="1:10" x14ac:dyDescent="0.25">
      <c r="B1835" s="254" t="str">
        <f>IF(LEN('Ch8'!H205)=0,"",'Ch8'!H205)</f>
        <v/>
      </c>
      <c r="C1835" s="254" t="str">
        <f t="shared" si="44"/>
        <v/>
      </c>
      <c r="D1835" s="667"/>
      <c r="E1835" s="684" t="s">
        <v>256</v>
      </c>
      <c r="F1835" s="684"/>
      <c r="G1835" s="1220" t="s">
        <v>4469</v>
      </c>
      <c r="H1835" s="94"/>
      <c r="J1835" s="1204"/>
    </row>
    <row r="1836" spans="1:10" ht="15.75" thickBot="1" x14ac:dyDescent="0.3">
      <c r="B1836" s="254" t="str">
        <f>IF(LEN('Ch8'!H206)=0,"",'Ch8'!H206)</f>
        <v/>
      </c>
      <c r="C1836" s="254" t="str">
        <f t="shared" si="44"/>
        <v/>
      </c>
      <c r="D1836" s="673"/>
      <c r="E1836" s="673" t="s">
        <v>258</v>
      </c>
      <c r="F1836" s="673"/>
      <c r="G1836" s="1224" t="s">
        <v>4470</v>
      </c>
      <c r="H1836" s="94"/>
      <c r="J1836" s="1204"/>
    </row>
    <row r="1837" spans="1:10" ht="15.75" thickTop="1" x14ac:dyDescent="0.25">
      <c r="A1837" s="585" t="str">
        <f ca="1">IF(I1837&gt;0,"P","")</f>
        <v/>
      </c>
      <c r="B1837" s="254" t="str">
        <f>IF(LEN('Ch8'!H207)=0,"",'Ch8'!H207)</f>
        <v/>
      </c>
      <c r="C1837" s="254" t="str">
        <f t="shared" ca="1" si="44"/>
        <v/>
      </c>
      <c r="D1837" s="667" t="s">
        <v>4475</v>
      </c>
      <c r="E1837" s="667"/>
      <c r="F1837" s="667"/>
      <c r="G1837" s="1222" t="s">
        <v>4471</v>
      </c>
      <c r="H1837" s="94"/>
      <c r="I1837" s="706">
        <f ca="1">SUM(I1841)</f>
        <v>0</v>
      </c>
      <c r="J1837" s="1204"/>
    </row>
    <row r="1838" spans="1:10" x14ac:dyDescent="0.25">
      <c r="A1838" s="585" t="str">
        <f ca="1">A1837</f>
        <v/>
      </c>
      <c r="B1838" s="254" t="str">
        <f>IF(LEN('Ch8'!H208)=0,"",'Ch8'!H208)</f>
        <v/>
      </c>
      <c r="C1838" s="254" t="str">
        <f t="shared" ca="1" si="44"/>
        <v/>
      </c>
      <c r="D1838" s="667" t="s">
        <v>4472</v>
      </c>
      <c r="E1838" s="667"/>
      <c r="F1838" s="667"/>
      <c r="G1838" s="1782" t="s">
        <v>4473</v>
      </c>
      <c r="H1838" s="1313" t="str">
        <f>IF(LEN('Ch8'!W208)=0,"",'Ch8'!W208)</f>
        <v/>
      </c>
      <c r="J1838" s="1204" t="s">
        <v>3892</v>
      </c>
    </row>
    <row r="1839" spans="1:10" x14ac:dyDescent="0.25">
      <c r="A1839" s="585" t="str">
        <f ca="1">A1838</f>
        <v/>
      </c>
      <c r="B1839" s="254" t="str">
        <f>IF(LEN('Ch8'!H209)=0,"",'Ch8'!H209)</f>
        <v/>
      </c>
      <c r="C1839" s="254" t="str">
        <f t="shared" ca="1" si="44"/>
        <v/>
      </c>
      <c r="D1839" s="667"/>
      <c r="E1839" s="667"/>
      <c r="F1839" s="667"/>
      <c r="G1839" s="1782"/>
      <c r="H1839" s="94"/>
      <c r="J1839" s="1204"/>
    </row>
    <row r="1840" spans="1:10" x14ac:dyDescent="0.25">
      <c r="A1840" s="585" t="str">
        <f ca="1">A1839</f>
        <v/>
      </c>
      <c r="B1840" s="254" t="str">
        <f>IF(LEN('Ch8'!H210)=0,"",'Ch8'!H210)</f>
        <v/>
      </c>
      <c r="C1840" s="254" t="str">
        <f t="shared" ca="1" si="44"/>
        <v/>
      </c>
      <c r="D1840" s="667"/>
      <c r="E1840" s="667"/>
      <c r="F1840" s="667"/>
      <c r="G1840" s="1782"/>
      <c r="H1840" s="94"/>
      <c r="J1840" s="1204"/>
    </row>
    <row r="1841" spans="1:10" x14ac:dyDescent="0.25">
      <c r="B1841" s="254" t="str">
        <f>IF(LEN('Ch8'!H211)=0,"",'Ch8'!H211)</f>
        <v/>
      </c>
      <c r="C1841" s="254" t="str">
        <f t="shared" si="44"/>
        <v/>
      </c>
      <c r="D1841" s="667"/>
      <c r="E1841" s="667" t="s">
        <v>256</v>
      </c>
      <c r="F1841" s="667"/>
      <c r="G1841" s="1223" t="s">
        <v>4474</v>
      </c>
      <c r="H1841" s="1313" t="str">
        <f>IF(LEN('Ch8'!W211)=0,"",'Ch8'!W211)</f>
        <v/>
      </c>
      <c r="I1841" s="86">
        <f ca="1">'Ch8'!O211</f>
        <v>0</v>
      </c>
      <c r="J1841" s="1204"/>
    </row>
    <row r="1842" spans="1:10" ht="18.75" x14ac:dyDescent="0.25">
      <c r="A1842" s="585" t="s">
        <v>3974</v>
      </c>
      <c r="B1842" s="254" t="str">
        <f>IF(LEN('Ch8'!H212)=0,"",'Ch8'!H212)</f>
        <v/>
      </c>
      <c r="C1842" s="254" t="str">
        <f t="shared" si="44"/>
        <v>P</v>
      </c>
      <c r="D1842" s="1388" t="s">
        <v>4388</v>
      </c>
      <c r="E1842" s="1388"/>
      <c r="F1842" s="1388"/>
      <c r="G1842" s="1001"/>
      <c r="H1842" s="94"/>
      <c r="J1842" s="1204"/>
    </row>
    <row r="1843" spans="1:10" x14ac:dyDescent="0.25">
      <c r="A1843" s="585" t="str">
        <f ca="1">IF(I1843&gt;0,"P","")</f>
        <v/>
      </c>
      <c r="B1843" s="254" t="str">
        <f>IF(LEN('Ch8'!H213)=0,"",'Ch8'!H213)</f>
        <v/>
      </c>
      <c r="C1843" s="254" t="str">
        <f t="shared" ca="1" si="44"/>
        <v/>
      </c>
      <c r="D1843" s="139">
        <v>803.1</v>
      </c>
      <c r="E1843" s="139"/>
      <c r="F1843" s="139"/>
      <c r="G1843" s="1782" t="s">
        <v>4389</v>
      </c>
      <c r="H1843" s="94"/>
      <c r="I1843" s="86">
        <f ca="1">'Ch8'!O213</f>
        <v>0</v>
      </c>
      <c r="J1843" s="1204"/>
    </row>
    <row r="1844" spans="1:10" x14ac:dyDescent="0.25">
      <c r="A1844" s="585" t="str">
        <f ca="1">A1843</f>
        <v/>
      </c>
      <c r="B1844" s="254" t="str">
        <f>IF(LEN('Ch8'!H214)=0,"",'Ch8'!H214)</f>
        <v/>
      </c>
      <c r="C1844" s="254" t="str">
        <f t="shared" ca="1" si="44"/>
        <v/>
      </c>
      <c r="D1844" s="139"/>
      <c r="E1844" s="139"/>
      <c r="F1844" s="139"/>
      <c r="G1844" s="1782"/>
      <c r="H1844" s="94"/>
      <c r="J1844" s="1204"/>
    </row>
    <row r="1845" spans="1:10" x14ac:dyDescent="0.25">
      <c r="B1845" s="254" t="str">
        <f>IF(LEN('Ch8'!H215)=0,"",'Ch8'!H215)</f>
        <v/>
      </c>
      <c r="C1845" s="254" t="str">
        <f t="shared" si="44"/>
        <v/>
      </c>
      <c r="D1845" s="139"/>
      <c r="E1845" s="139"/>
      <c r="F1845" s="139"/>
      <c r="G1845" s="1232" t="s">
        <v>4476</v>
      </c>
      <c r="H1845" s="94"/>
      <c r="J1845" s="1204"/>
    </row>
    <row r="1846" spans="1:10" x14ac:dyDescent="0.25">
      <c r="B1846" s="254" t="str">
        <f>IF(LEN('Ch8'!H216)=0,"",'Ch8'!H216)</f>
        <v/>
      </c>
      <c r="C1846" s="254" t="str">
        <f t="shared" si="44"/>
        <v/>
      </c>
      <c r="D1846" s="139"/>
      <c r="E1846" s="139"/>
      <c r="F1846" s="139"/>
      <c r="G1846" s="1232" t="s">
        <v>4477</v>
      </c>
      <c r="H1846" s="94"/>
      <c r="J1846" s="1204"/>
    </row>
    <row r="1847" spans="1:10" x14ac:dyDescent="0.25">
      <c r="A1847" s="585" t="str">
        <f>IF(AND(LEN(H1847)&gt;0,NOT(H1847=FALSE)),"P","")</f>
        <v/>
      </c>
      <c r="B1847" s="254" t="str">
        <f>IF(LEN('Ch8'!H217)=0,"",'Ch8'!H217)</f>
        <v/>
      </c>
      <c r="C1847" s="254" t="str">
        <f t="shared" si="44"/>
        <v/>
      </c>
      <c r="D1847" s="139"/>
      <c r="E1847" s="668" t="s">
        <v>256</v>
      </c>
      <c r="F1847" s="101"/>
      <c r="G1847" s="1225" t="s">
        <v>809</v>
      </c>
      <c r="H1847" s="1313" t="str">
        <f>IF(LEN('Ch8'!W217)=0,"",'Ch8'!W217)</f>
        <v/>
      </c>
      <c r="J1847" s="1950" t="s">
        <v>5024</v>
      </c>
    </row>
    <row r="1848" spans="1:10" x14ac:dyDescent="0.25">
      <c r="A1848" s="585" t="str">
        <f>A1847</f>
        <v/>
      </c>
      <c r="B1848" s="254" t="str">
        <f>IF(LEN('Ch8'!H218)=0,"",'Ch8'!H218)</f>
        <v/>
      </c>
      <c r="C1848" s="254" t="str">
        <f t="shared" si="44"/>
        <v/>
      </c>
      <c r="D1848" s="139"/>
      <c r="E1848" s="669"/>
      <c r="F1848" s="669"/>
      <c r="G1848" s="1239" t="s">
        <v>810</v>
      </c>
      <c r="H1848" s="94"/>
      <c r="J1848" s="1951"/>
    </row>
    <row r="1849" spans="1:10" ht="26.25" thickBot="1" x14ac:dyDescent="0.3">
      <c r="A1849" s="585" t="str">
        <f>IF(AND(LEN(H1849)&gt;0,NOT(H1849=FALSE)),"P","")</f>
        <v/>
      </c>
      <c r="B1849" s="254" t="str">
        <f>IF(LEN('Ch8'!H219)=0,"",'Ch8'!H219)</f>
        <v/>
      </c>
      <c r="C1849" s="254" t="str">
        <f t="shared" si="44"/>
        <v/>
      </c>
      <c r="D1849" s="670"/>
      <c r="E1849" s="673" t="s">
        <v>258</v>
      </c>
      <c r="F1849" s="670"/>
      <c r="G1849" s="1229" t="s">
        <v>811</v>
      </c>
      <c r="H1849" s="1313" t="str">
        <f>IF(LEN('Ch8'!W219)=0,"",'Ch8'!W219)</f>
        <v/>
      </c>
      <c r="J1849" s="1204" t="s">
        <v>5024</v>
      </c>
    </row>
    <row r="1850" spans="1:10" ht="15.75" thickTop="1" x14ac:dyDescent="0.25">
      <c r="A1850" s="585" t="str">
        <f>IF(I1850&gt;0,"P","")</f>
        <v/>
      </c>
      <c r="B1850" s="254" t="str">
        <f>IF(LEN('Ch8'!H220)=0,"",'Ch8'!H220)</f>
        <v/>
      </c>
      <c r="C1850" s="254" t="str">
        <f t="shared" si="44"/>
        <v/>
      </c>
      <c r="D1850" s="106">
        <v>803.2</v>
      </c>
      <c r="E1850" s="106"/>
      <c r="F1850" s="106"/>
      <c r="G1850" s="1781" t="s">
        <v>4390</v>
      </c>
      <c r="H1850" s="94"/>
      <c r="I1850" s="86">
        <f>'Ch8'!O220</f>
        <v>0</v>
      </c>
      <c r="J1850" s="1204" t="s">
        <v>3933</v>
      </c>
    </row>
    <row r="1851" spans="1:10" x14ac:dyDescent="0.25">
      <c r="A1851" s="585" t="str">
        <f>A1850</f>
        <v/>
      </c>
      <c r="B1851" s="254" t="str">
        <f>IF(LEN('Ch8'!H221)=0,"",'Ch8'!H221)</f>
        <v/>
      </c>
      <c r="C1851" s="254" t="str">
        <f t="shared" si="44"/>
        <v/>
      </c>
      <c r="D1851" s="139"/>
      <c r="E1851" s="139"/>
      <c r="F1851" s="139"/>
      <c r="G1851" s="1782"/>
      <c r="H1851" s="1313" t="str">
        <f>IF(LEN('Ch8'!W221)=0,"",'Ch8'!W221)</f>
        <v/>
      </c>
      <c r="J1851" s="1204"/>
    </row>
    <row r="1852" spans="1:10" ht="15.75" thickBot="1" x14ac:dyDescent="0.3">
      <c r="A1852" s="585" t="str">
        <f>A1851</f>
        <v/>
      </c>
      <c r="B1852" s="254" t="str">
        <f>IF(LEN('Ch8'!H222)=0,"",'Ch8'!H222)</f>
        <v/>
      </c>
      <c r="C1852" s="254" t="str">
        <f t="shared" si="44"/>
        <v/>
      </c>
      <c r="D1852" s="670"/>
      <c r="E1852" s="670"/>
      <c r="F1852" s="670"/>
      <c r="G1852" s="1797"/>
      <c r="H1852" s="94"/>
      <c r="J1852" s="1204"/>
    </row>
    <row r="1853" spans="1:10" ht="15.75" thickTop="1" x14ac:dyDescent="0.25">
      <c r="A1853" s="585" t="str">
        <f ca="1">IF(I1853&gt;0,"P","")</f>
        <v/>
      </c>
      <c r="B1853" s="254" t="str">
        <f>IF(LEN('Ch8'!H223)=0,"",'Ch8'!H223)</f>
        <v/>
      </c>
      <c r="C1853" s="254" t="str">
        <f t="shared" ca="1" si="44"/>
        <v/>
      </c>
      <c r="D1853" s="139">
        <v>803.3</v>
      </c>
      <c r="E1853" s="139"/>
      <c r="F1853" s="139"/>
      <c r="G1853" s="1782" t="s">
        <v>4478</v>
      </c>
      <c r="H1853" s="1313" t="str">
        <f>IF(LEN('Ch8'!W223)=0,"",'Ch8'!W223)</f>
        <v/>
      </c>
      <c r="I1853" s="86">
        <f ca="1">'Ch8'!O223</f>
        <v>0</v>
      </c>
      <c r="J1853" s="1950" t="s">
        <v>3934</v>
      </c>
    </row>
    <row r="1854" spans="1:10" x14ac:dyDescent="0.25">
      <c r="A1854" s="585" t="str">
        <f ca="1">A1853</f>
        <v/>
      </c>
      <c r="B1854" s="254" t="str">
        <f>IF(LEN('Ch8'!H224)=0,"",'Ch8'!H224)</f>
        <v/>
      </c>
      <c r="C1854" s="254" t="str">
        <f t="shared" ca="1" si="44"/>
        <v/>
      </c>
      <c r="D1854" s="139"/>
      <c r="E1854" s="139"/>
      <c r="F1854" s="139"/>
      <c r="G1854" s="1782"/>
      <c r="H1854" s="94"/>
      <c r="J1854" s="1951"/>
    </row>
    <row r="1855" spans="1:10" x14ac:dyDescent="0.25">
      <c r="A1855" s="585" t="str">
        <f ca="1">A1854</f>
        <v/>
      </c>
      <c r="B1855" s="254" t="str">
        <f>IF(LEN('Ch8'!H225)=0,"",'Ch8'!H225)</f>
        <v/>
      </c>
      <c r="C1855" s="254" t="str">
        <f t="shared" ca="1" si="44"/>
        <v/>
      </c>
      <c r="D1855" s="139"/>
      <c r="E1855" s="139"/>
      <c r="F1855" s="139"/>
      <c r="G1855" s="1782"/>
      <c r="H1855" s="94"/>
      <c r="J1855" s="1204"/>
    </row>
    <row r="1856" spans="1:10" x14ac:dyDescent="0.25">
      <c r="B1856" s="254" t="str">
        <f>IF(LEN('Ch8'!H226)=0,"",'Ch8'!H226)</f>
        <v/>
      </c>
      <c r="C1856" s="254" t="str">
        <f t="shared" si="44"/>
        <v/>
      </c>
      <c r="D1856" s="139"/>
      <c r="E1856" s="684" t="s">
        <v>256</v>
      </c>
      <c r="F1856" s="669"/>
      <c r="G1856" s="1220" t="s">
        <v>4479</v>
      </c>
      <c r="H1856" s="94"/>
      <c r="J1856" s="1204"/>
    </row>
    <row r="1857" spans="1:10" ht="15.75" thickBot="1" x14ac:dyDescent="0.3">
      <c r="B1857" s="254" t="str">
        <f>IF(LEN('Ch8'!H227)=0,"",'Ch8'!H227)</f>
        <v/>
      </c>
      <c r="C1857" s="254" t="str">
        <f t="shared" si="44"/>
        <v/>
      </c>
      <c r="D1857" s="670"/>
      <c r="E1857" s="673" t="s">
        <v>258</v>
      </c>
      <c r="F1857" s="670"/>
      <c r="G1857" s="1223" t="s">
        <v>4480</v>
      </c>
      <c r="H1857" s="94"/>
      <c r="J1857" s="1204"/>
    </row>
    <row r="1858" spans="1:10" ht="15.75" thickTop="1" x14ac:dyDescent="0.25">
      <c r="A1858" s="585" t="str">
        <f ca="1">IF(I1858&gt;0,"P","")</f>
        <v/>
      </c>
      <c r="B1858" s="254" t="str">
        <f>IF(LEN('Ch8'!H228)=0,"",'Ch8'!H228)</f>
        <v/>
      </c>
      <c r="C1858" s="254" t="str">
        <f t="shared" ca="1" si="44"/>
        <v/>
      </c>
      <c r="D1858" s="106">
        <v>803.4</v>
      </c>
      <c r="E1858" s="106"/>
      <c r="F1858" s="106"/>
      <c r="G1858" s="1781" t="s">
        <v>4391</v>
      </c>
      <c r="H1858" s="1313" t="str">
        <f>IF(LEN('Ch8'!W228)=0,"",'Ch8'!W228)</f>
        <v/>
      </c>
      <c r="I1858" s="86">
        <f ca="1">'Ch8'!O228</f>
        <v>0</v>
      </c>
      <c r="J1858" s="1204" t="s">
        <v>3935</v>
      </c>
    </row>
    <row r="1859" spans="1:10" x14ac:dyDescent="0.25">
      <c r="A1859" s="585" t="str">
        <f ca="1">A1858</f>
        <v/>
      </c>
      <c r="B1859" s="254" t="str">
        <f>IF(LEN('Ch8'!H229)=0,"",'Ch8'!H229)</f>
        <v/>
      </c>
      <c r="C1859" s="254" t="str">
        <f t="shared" ca="1" si="44"/>
        <v/>
      </c>
      <c r="D1859" s="139"/>
      <c r="E1859" s="139"/>
      <c r="F1859" s="139"/>
      <c r="G1859" s="1782"/>
      <c r="H1859" s="94"/>
      <c r="J1859" s="1204"/>
    </row>
    <row r="1860" spans="1:10" ht="15.75" thickBot="1" x14ac:dyDescent="0.3">
      <c r="A1860" s="585" t="str">
        <f ca="1">A1859</f>
        <v/>
      </c>
      <c r="B1860" s="254" t="str">
        <f>IF(LEN('Ch8'!H230)=0,"",'Ch8'!H230)</f>
        <v/>
      </c>
      <c r="C1860" s="254" t="str">
        <f t="shared" ca="1" si="44"/>
        <v/>
      </c>
      <c r="D1860" s="670"/>
      <c r="E1860" s="670"/>
      <c r="F1860" s="670"/>
      <c r="G1860" s="1797"/>
      <c r="H1860" s="94"/>
      <c r="J1860" s="1204"/>
    </row>
    <row r="1861" spans="1:10" ht="15.75" thickTop="1" x14ac:dyDescent="0.25">
      <c r="A1861" s="585" t="str">
        <f ca="1">IF(I1861&gt;0,"P","")</f>
        <v/>
      </c>
      <c r="B1861" s="254" t="str">
        <f>IF(LEN('Ch8'!H231)=0,"",'Ch8'!H231)</f>
        <v/>
      </c>
      <c r="C1861" s="254" t="str">
        <f t="shared" ca="1" si="44"/>
        <v/>
      </c>
      <c r="D1861" s="106">
        <v>803.5</v>
      </c>
      <c r="E1861" s="106"/>
      <c r="F1861" s="106"/>
      <c r="G1861" s="1916" t="s">
        <v>4392</v>
      </c>
      <c r="H1861" s="1313" t="str">
        <f>IF(LEN('Ch8'!W231)=0,"",'Ch8'!W231)</f>
        <v/>
      </c>
      <c r="I1861" s="86">
        <f ca="1">'Ch8'!O231</f>
        <v>0</v>
      </c>
      <c r="J1861" s="1204" t="s">
        <v>3892</v>
      </c>
    </row>
    <row r="1862" spans="1:10" ht="15.75" thickBot="1" x14ac:dyDescent="0.3">
      <c r="A1862" s="585" t="str">
        <f ca="1">A1861</f>
        <v/>
      </c>
      <c r="B1862" s="254" t="str">
        <f>IF(LEN('Ch8'!H232)=0,"",'Ch8'!H232)</f>
        <v/>
      </c>
      <c r="C1862" s="254" t="str">
        <f t="shared" ca="1" si="44"/>
        <v/>
      </c>
      <c r="D1862" s="670"/>
      <c r="E1862" s="670"/>
      <c r="F1862" s="670"/>
      <c r="G1862" s="1917"/>
      <c r="H1862" s="94"/>
      <c r="J1862" s="1204"/>
    </row>
    <row r="1863" spans="1:10" ht="15.75" thickTop="1" x14ac:dyDescent="0.25">
      <c r="A1863" s="585" t="str">
        <f ca="1">IF(I1863&gt;0,"P","")</f>
        <v/>
      </c>
      <c r="B1863" s="254" t="str">
        <f>IF(LEN('Ch8'!H233)=0,"",'Ch8'!H233)</f>
        <v/>
      </c>
      <c r="C1863" s="254" t="str">
        <f t="shared" ca="1" si="44"/>
        <v/>
      </c>
      <c r="D1863" s="139">
        <v>803.6</v>
      </c>
      <c r="E1863" s="139"/>
      <c r="F1863" s="139"/>
      <c r="G1863" s="1782" t="s">
        <v>4393</v>
      </c>
      <c r="H1863" s="1313" t="str">
        <f>IF(LEN('Ch8'!W233)=0,"",'Ch8'!W233)</f>
        <v/>
      </c>
      <c r="I1863" s="86">
        <f ca="1">'Ch8'!O233</f>
        <v>0</v>
      </c>
      <c r="J1863" s="1204" t="s">
        <v>3936</v>
      </c>
    </row>
    <row r="1864" spans="1:10" x14ac:dyDescent="0.25">
      <c r="A1864" s="585" t="str">
        <f ca="1">A1863</f>
        <v/>
      </c>
      <c r="B1864" s="254" t="str">
        <f>IF(LEN('Ch8'!H234)=0,"",'Ch8'!H234)</f>
        <v/>
      </c>
      <c r="C1864" s="254" t="str">
        <f t="shared" ca="1" si="44"/>
        <v/>
      </c>
      <c r="D1864" s="139"/>
      <c r="E1864" s="139"/>
      <c r="F1864" s="139"/>
      <c r="G1864" s="1782"/>
      <c r="H1864" s="94"/>
      <c r="J1864" s="1204"/>
    </row>
    <row r="1865" spans="1:10" x14ac:dyDescent="0.25">
      <c r="B1865" s="254" t="str">
        <f>IF(LEN('Ch8'!H235)=0,"",'Ch8'!H235)</f>
        <v/>
      </c>
      <c r="C1865" s="254" t="str">
        <f t="shared" si="44"/>
        <v/>
      </c>
      <c r="D1865" s="139"/>
      <c r="E1865" s="139"/>
      <c r="F1865" s="139"/>
      <c r="G1865" s="1232" t="s">
        <v>4477</v>
      </c>
      <c r="H1865" s="94"/>
      <c r="J1865" s="1204"/>
    </row>
    <row r="1866" spans="1:10" ht="18.75" x14ac:dyDescent="0.25">
      <c r="A1866" s="585" t="s">
        <v>3974</v>
      </c>
      <c r="B1866" s="254" t="str">
        <f>IF(LEN('Ch8'!H236)=0,"",'Ch8'!H236)</f>
        <v/>
      </c>
      <c r="C1866" s="254" t="str">
        <f t="shared" si="44"/>
        <v>P</v>
      </c>
      <c r="D1866" s="1388" t="s">
        <v>4485</v>
      </c>
      <c r="E1866" s="1385"/>
      <c r="F1866" s="1385"/>
      <c r="G1866" s="1316"/>
      <c r="H1866" s="94"/>
      <c r="J1866" s="1204"/>
    </row>
    <row r="1867" spans="1:10" x14ac:dyDescent="0.25">
      <c r="B1867" s="254" t="str">
        <f>IF(LEN('Ch8'!H237)=0,"",'Ch8'!H237)</f>
        <v/>
      </c>
      <c r="C1867" s="254" t="str">
        <f t="shared" si="44"/>
        <v/>
      </c>
      <c r="D1867" s="139">
        <v>804.1</v>
      </c>
      <c r="E1867" s="667"/>
      <c r="F1867" s="667"/>
      <c r="G1867" s="1782" t="s">
        <v>5590</v>
      </c>
      <c r="H1867" s="94"/>
      <c r="J1867" s="1204"/>
    </row>
    <row r="1868" spans="1:10" x14ac:dyDescent="0.25">
      <c r="B1868" s="254" t="str">
        <f>IF(LEN('Ch8'!H238)=0,"",'Ch8'!H238)</f>
        <v/>
      </c>
      <c r="C1868" s="254" t="str">
        <f t="shared" si="44"/>
        <v/>
      </c>
      <c r="D1868" s="669"/>
      <c r="E1868" s="684"/>
      <c r="F1868" s="684"/>
      <c r="G1868" s="1843"/>
      <c r="H1868" s="94"/>
      <c r="J1868" s="1204"/>
    </row>
    <row r="1869" spans="1:10" x14ac:dyDescent="0.25">
      <c r="B1869" s="254" t="str">
        <f>IF(LEN('Ch8'!H239)=0,"",'Ch8'!H239)</f>
        <v/>
      </c>
      <c r="C1869" s="254" t="str">
        <f t="shared" si="44"/>
        <v/>
      </c>
      <c r="D1869" s="671">
        <v>804.2</v>
      </c>
      <c r="E1869" s="693"/>
      <c r="F1869" s="693"/>
      <c r="G1869" s="1864" t="s">
        <v>4481</v>
      </c>
      <c r="H1869" s="94"/>
      <c r="J1869" s="1204"/>
    </row>
    <row r="1870" spans="1:10" x14ac:dyDescent="0.25">
      <c r="B1870" s="254" t="str">
        <f>IF(LEN('Ch8'!H240)=0,"",'Ch8'!H240)</f>
        <v/>
      </c>
      <c r="C1870" s="254" t="str">
        <f t="shared" si="44"/>
        <v/>
      </c>
      <c r="D1870" s="669"/>
      <c r="E1870" s="684"/>
      <c r="F1870" s="684"/>
      <c r="G1870" s="1843"/>
      <c r="H1870" s="94"/>
      <c r="J1870" s="1204"/>
    </row>
    <row r="1871" spans="1:10" x14ac:dyDescent="0.25">
      <c r="A1871" s="585" t="str">
        <f>IF(I1871&gt;0,"P","")</f>
        <v/>
      </c>
      <c r="B1871" s="254" t="str">
        <f>IF(LEN('Ch8'!H241)=0,"",'Ch8'!H241)</f>
        <v/>
      </c>
      <c r="C1871" s="254" t="str">
        <f t="shared" si="44"/>
        <v/>
      </c>
      <c r="D1871" s="139">
        <v>804.3</v>
      </c>
      <c r="E1871" s="667"/>
      <c r="F1871" s="667"/>
      <c r="G1871" s="1782" t="s">
        <v>4482</v>
      </c>
      <c r="H1871" s="94"/>
      <c r="I1871" s="86">
        <f>'Ch9'!O4</f>
        <v>0</v>
      </c>
      <c r="J1871" s="1204" t="s">
        <v>5025</v>
      </c>
    </row>
    <row r="1872" spans="1:10" x14ac:dyDescent="0.25">
      <c r="A1872" s="585" t="str">
        <f>A1871</f>
        <v/>
      </c>
      <c r="B1872" s="254" t="str">
        <f>IF(LEN('Ch8'!H242)=0,"",'Ch8'!H242)</f>
        <v/>
      </c>
      <c r="C1872" s="254" t="str">
        <f t="shared" si="44"/>
        <v/>
      </c>
      <c r="D1872" s="139"/>
      <c r="E1872" s="667"/>
      <c r="F1872" s="667"/>
      <c r="G1872" s="1782"/>
      <c r="H1872" s="94"/>
      <c r="J1872" s="1204"/>
    </row>
    <row r="1873" spans="1:10" x14ac:dyDescent="0.25">
      <c r="A1873" s="585" t="str">
        <f>A1872</f>
        <v/>
      </c>
      <c r="B1873" s="254" t="str">
        <f>IF(LEN('Ch8'!H243)=0,"",'Ch8'!H243)</f>
        <v/>
      </c>
      <c r="C1873" s="254" t="str">
        <f t="shared" si="44"/>
        <v/>
      </c>
      <c r="D1873" s="139"/>
      <c r="E1873" s="667"/>
      <c r="F1873" s="667"/>
      <c r="G1873" s="1782"/>
      <c r="H1873" s="94"/>
      <c r="J1873" s="1204"/>
    </row>
    <row r="1874" spans="1:10" x14ac:dyDescent="0.25">
      <c r="B1874" s="254" t="str">
        <f>IF(LEN('Ch8'!H244)=0,"",'Ch8'!H244)</f>
        <v/>
      </c>
      <c r="C1874" s="254" t="str">
        <f t="shared" ref="C1874:C1937" si="45">IF(LEN(B1874)=0,IF(A1874="P","P",""),B1874)</f>
        <v/>
      </c>
      <c r="D1874" s="139"/>
      <c r="E1874" s="667"/>
      <c r="F1874" s="667"/>
      <c r="G1874" s="1004" t="s">
        <v>4483</v>
      </c>
      <c r="H1874" s="94"/>
      <c r="J1874" s="1204"/>
    </row>
    <row r="1875" spans="1:10" x14ac:dyDescent="0.25">
      <c r="B1875" s="254" t="str">
        <f>IF(LEN('Ch8'!H245)=0,"",'Ch8'!H245)</f>
        <v/>
      </c>
      <c r="C1875" s="254" t="str">
        <f t="shared" si="45"/>
        <v/>
      </c>
      <c r="D1875" s="101"/>
      <c r="E1875" s="668"/>
      <c r="F1875" s="668"/>
      <c r="G1875" s="1004" t="s">
        <v>4484</v>
      </c>
      <c r="H1875" s="94"/>
      <c r="J1875" s="1204"/>
    </row>
    <row r="1876" spans="1:10" ht="18.75" x14ac:dyDescent="0.3">
      <c r="A1876" s="585" t="s">
        <v>3974</v>
      </c>
      <c r="B1876" s="254" t="str">
        <f>IF(LEN('Ch9'!H9)=0,"",'Ch9'!H9)</f>
        <v/>
      </c>
      <c r="C1876" s="254" t="str">
        <f t="shared" si="45"/>
        <v>P</v>
      </c>
      <c r="D1876" s="1385" t="s">
        <v>3143</v>
      </c>
      <c r="E1876" s="1385"/>
      <c r="F1876" s="1385"/>
      <c r="G1876" s="1311"/>
      <c r="H1876" s="94"/>
      <c r="J1876" s="1204"/>
    </row>
    <row r="1877" spans="1:10" x14ac:dyDescent="0.25">
      <c r="B1877" s="254" t="str">
        <f>IF(LEN('Ch9'!H10)=0,"",'Ch9'!H10)</f>
        <v/>
      </c>
      <c r="C1877" s="254" t="str">
        <f t="shared" si="45"/>
        <v/>
      </c>
      <c r="D1877" s="674">
        <v>901</v>
      </c>
      <c r="E1877" s="139"/>
      <c r="F1877" s="139"/>
      <c r="G1877" s="1235" t="s">
        <v>3144</v>
      </c>
      <c r="H1877" s="94"/>
      <c r="J1877" s="1204"/>
    </row>
    <row r="1878" spans="1:10" x14ac:dyDescent="0.25">
      <c r="A1878" s="585" t="str">
        <f ca="1">IF(I1878&gt;0,"P","")</f>
        <v/>
      </c>
      <c r="B1878" s="254" t="str">
        <f>IF(LEN('Ch9'!H11)=0,"",'Ch9'!H11)</f>
        <v/>
      </c>
      <c r="C1878" s="254" t="str">
        <f t="shared" ca="1" si="45"/>
        <v/>
      </c>
      <c r="D1878" s="675">
        <v>901.1</v>
      </c>
      <c r="E1878" s="101"/>
      <c r="F1878" s="101"/>
      <c r="G1878" s="1235" t="s">
        <v>3145</v>
      </c>
      <c r="H1878" s="94"/>
      <c r="I1878" s="706">
        <f ca="1">SUM(I1879:I1904)</f>
        <v>0</v>
      </c>
      <c r="J1878" s="1204"/>
    </row>
    <row r="1879" spans="1:10" x14ac:dyDescent="0.25">
      <c r="A1879" s="585" t="str">
        <f>IF(I1879&gt;0,"P","")</f>
        <v/>
      </c>
      <c r="B1879" s="254" t="str">
        <f>IF(LEN('Ch9'!H12)=0,"",'Ch9'!H12)</f>
        <v/>
      </c>
      <c r="C1879" s="254" t="str">
        <f t="shared" si="45"/>
        <v/>
      </c>
      <c r="D1879" s="675" t="s">
        <v>3146</v>
      </c>
      <c r="E1879" s="101"/>
      <c r="F1879" s="101"/>
      <c r="G1879" s="1782" t="s">
        <v>3147</v>
      </c>
      <c r="H1879" s="1313" t="str">
        <f>IF(LEN('Ch9'!W12)=0,"",'Ch9'!W12)</f>
        <v/>
      </c>
      <c r="I1879" s="86">
        <f>'Ch9'!O12</f>
        <v>0</v>
      </c>
      <c r="J1879" s="1204" t="s">
        <v>3892</v>
      </c>
    </row>
    <row r="1880" spans="1:10" x14ac:dyDescent="0.25">
      <c r="A1880" s="585" t="str">
        <f>A1879</f>
        <v/>
      </c>
      <c r="B1880" s="254" t="str">
        <f>IF(LEN('Ch9'!H13)=0,"",'Ch9'!H13)</f>
        <v/>
      </c>
      <c r="C1880" s="254" t="str">
        <f t="shared" si="45"/>
        <v/>
      </c>
      <c r="D1880" s="101"/>
      <c r="E1880" s="101"/>
      <c r="F1880" s="101"/>
      <c r="G1880" s="1782"/>
      <c r="H1880" s="94"/>
      <c r="J1880" s="1204"/>
    </row>
    <row r="1881" spans="1:10" x14ac:dyDescent="0.25">
      <c r="A1881" s="585" t="str">
        <f>A1880</f>
        <v/>
      </c>
      <c r="B1881" s="254" t="str">
        <f>IF(LEN('Ch9'!H14)=0,"",'Ch9'!H14)</f>
        <v/>
      </c>
      <c r="C1881" s="254" t="str">
        <f t="shared" si="45"/>
        <v/>
      </c>
      <c r="D1881" s="101"/>
      <c r="E1881" s="101"/>
      <c r="F1881" s="101"/>
      <c r="G1881" s="1782"/>
      <c r="H1881" s="94"/>
      <c r="J1881" s="1204"/>
    </row>
    <row r="1882" spans="1:10" x14ac:dyDescent="0.25">
      <c r="A1882" s="585" t="str">
        <f>A1881</f>
        <v/>
      </c>
      <c r="B1882" s="254" t="str">
        <f>IF(LEN('Ch9'!H15)=0,"",'Ch9'!H15)</f>
        <v/>
      </c>
      <c r="C1882" s="254" t="str">
        <f t="shared" si="45"/>
        <v/>
      </c>
      <c r="D1882" s="101"/>
      <c r="E1882" s="101"/>
      <c r="F1882" s="101"/>
      <c r="G1882" s="1782"/>
      <c r="H1882" s="94"/>
      <c r="J1882" s="1204"/>
    </row>
    <row r="1883" spans="1:10" x14ac:dyDescent="0.25">
      <c r="B1883" s="254" t="str">
        <f>IF(LEN('Ch9'!H16)=0,"",'Ch9'!H16)</f>
        <v/>
      </c>
      <c r="C1883" s="254" t="str">
        <f t="shared" si="45"/>
        <v/>
      </c>
      <c r="D1883" s="101"/>
      <c r="E1883" s="101"/>
      <c r="F1883" s="101"/>
      <c r="G1883" s="1942" t="s">
        <v>3379</v>
      </c>
      <c r="H1883" s="94"/>
      <c r="J1883" s="1204"/>
    </row>
    <row r="1884" spans="1:10" x14ac:dyDescent="0.25">
      <c r="B1884" s="254" t="str">
        <f>IF(LEN('Ch9'!H17)=0,"",'Ch9'!H17)</f>
        <v/>
      </c>
      <c r="C1884" s="254" t="str">
        <f t="shared" si="45"/>
        <v/>
      </c>
      <c r="D1884" s="669"/>
      <c r="E1884" s="669"/>
      <c r="F1884" s="669"/>
      <c r="G1884" s="1944"/>
      <c r="H1884" s="94"/>
      <c r="J1884" s="1204"/>
    </row>
    <row r="1885" spans="1:10" x14ac:dyDescent="0.25">
      <c r="A1885" s="585" t="str">
        <f>IF(I1885&gt;0,"P","")</f>
        <v/>
      </c>
      <c r="B1885" s="254" t="str">
        <f>IF(LEN('Ch9'!H18)=0,"",'Ch9'!H18)</f>
        <v/>
      </c>
      <c r="C1885" s="254" t="str">
        <f t="shared" si="45"/>
        <v/>
      </c>
      <c r="D1885" s="671" t="s">
        <v>3148</v>
      </c>
      <c r="E1885" s="671"/>
      <c r="F1885" s="671"/>
      <c r="G1885" s="1864" t="s">
        <v>3149</v>
      </c>
      <c r="H1885" s="1313" t="str">
        <f>IF(LEN('Ch9'!W18)=0,"",'Ch9'!W18)</f>
        <v/>
      </c>
      <c r="I1885" s="86">
        <f>'Ch9'!O18</f>
        <v>0</v>
      </c>
      <c r="J1885" s="1204" t="s">
        <v>3892</v>
      </c>
    </row>
    <row r="1886" spans="1:10" x14ac:dyDescent="0.25">
      <c r="A1886" s="585" t="str">
        <f>A1885</f>
        <v/>
      </c>
      <c r="B1886" s="254" t="str">
        <f>IF(LEN('Ch9'!H19)=0,"",'Ch9'!H19)</f>
        <v/>
      </c>
      <c r="C1886" s="254" t="str">
        <f t="shared" si="45"/>
        <v/>
      </c>
      <c r="D1886" s="101"/>
      <c r="E1886" s="101"/>
      <c r="F1886" s="101"/>
      <c r="G1886" s="1782"/>
      <c r="H1886" s="94"/>
      <c r="J1886" s="1204"/>
    </row>
    <row r="1887" spans="1:10" x14ac:dyDescent="0.25">
      <c r="B1887" s="254" t="str">
        <f>IF(LEN('Ch9'!H20)=0,"",'Ch9'!H20)</f>
        <v/>
      </c>
      <c r="C1887" s="254" t="str">
        <f t="shared" si="45"/>
        <v/>
      </c>
      <c r="D1887" s="669"/>
      <c r="E1887" s="669"/>
      <c r="F1887" s="669"/>
      <c r="G1887" s="1314" t="s">
        <v>3661</v>
      </c>
      <c r="H1887" s="94"/>
      <c r="J1887" s="1204"/>
    </row>
    <row r="1888" spans="1:10" x14ac:dyDescent="0.25">
      <c r="A1888" s="585" t="str">
        <f ca="1">IF(I1888&gt;0,"P","")</f>
        <v/>
      </c>
      <c r="B1888" s="254" t="str">
        <f>IF(LEN('Ch9'!H21)=0,"",'Ch9'!H21)</f>
        <v/>
      </c>
      <c r="C1888" s="254" t="str">
        <f t="shared" ca="1" si="45"/>
        <v/>
      </c>
      <c r="D1888" s="139" t="s">
        <v>3150</v>
      </c>
      <c r="E1888" s="139"/>
      <c r="F1888" s="139"/>
      <c r="G1888" s="1782" t="s">
        <v>3151</v>
      </c>
      <c r="H1888" s="94"/>
      <c r="I1888" s="706">
        <f ca="1">SUM(I1890:I1893)</f>
        <v>0</v>
      </c>
      <c r="J1888" s="1204" t="s">
        <v>3892</v>
      </c>
    </row>
    <row r="1889" spans="1:10" x14ac:dyDescent="0.25">
      <c r="A1889" s="585" t="str">
        <f ca="1">A1888</f>
        <v/>
      </c>
      <c r="B1889" s="254" t="str">
        <f>IF(LEN('Ch9'!H22)=0,"",'Ch9'!H22)</f>
        <v/>
      </c>
      <c r="C1889" s="254" t="str">
        <f t="shared" ca="1" si="45"/>
        <v/>
      </c>
      <c r="D1889" s="139"/>
      <c r="E1889" s="139"/>
      <c r="F1889" s="139"/>
      <c r="G1889" s="1782"/>
      <c r="H1889" s="94"/>
      <c r="J1889" s="1204"/>
    </row>
    <row r="1890" spans="1:10" x14ac:dyDescent="0.25">
      <c r="B1890" s="254" t="str">
        <f>IF(LEN('Ch9'!H23)=0,"",'Ch9'!H23)</f>
        <v/>
      </c>
      <c r="C1890" s="254" t="str">
        <f t="shared" si="45"/>
        <v/>
      </c>
      <c r="D1890" s="139"/>
      <c r="E1890" s="667" t="s">
        <v>256</v>
      </c>
      <c r="F1890" s="139"/>
      <c r="G1890" s="1225" t="s">
        <v>3152</v>
      </c>
      <c r="H1890" s="1313" t="str">
        <f>IF(LEN('Ch9'!W23)=0,"",'Ch9'!W23)</f>
        <v/>
      </c>
      <c r="I1890" s="86">
        <f ca="1">'Ch9'!O23</f>
        <v>0</v>
      </c>
      <c r="J1890" s="1204"/>
    </row>
    <row r="1891" spans="1:10" x14ac:dyDescent="0.25">
      <c r="B1891" s="254" t="str">
        <f>IF(LEN('Ch9'!H24)=0,"",'Ch9'!H24)</f>
        <v/>
      </c>
      <c r="C1891" s="254" t="str">
        <f t="shared" si="45"/>
        <v/>
      </c>
      <c r="D1891" s="139"/>
      <c r="E1891" s="667"/>
      <c r="F1891" s="667" t="s">
        <v>121</v>
      </c>
      <c r="G1891" s="1225" t="s">
        <v>3153</v>
      </c>
      <c r="H1891" s="94"/>
      <c r="J1891" s="1204"/>
    </row>
    <row r="1892" spans="1:10" x14ac:dyDescent="0.25">
      <c r="B1892" s="254" t="str">
        <f>IF(LEN('Ch9'!H25)=0,"",'Ch9'!H25)</f>
        <v/>
      </c>
      <c r="C1892" s="254" t="str">
        <f t="shared" si="45"/>
        <v/>
      </c>
      <c r="D1892" s="139"/>
      <c r="E1892" s="684"/>
      <c r="F1892" s="684" t="s">
        <v>122</v>
      </c>
      <c r="G1892" s="1215" t="s">
        <v>3154</v>
      </c>
      <c r="H1892" s="94"/>
      <c r="J1892" s="1204"/>
    </row>
    <row r="1893" spans="1:10" x14ac:dyDescent="0.25">
      <c r="B1893" s="254" t="str">
        <f>IF(LEN('Ch9'!H26)=0,"",'Ch9'!H26)</f>
        <v/>
      </c>
      <c r="C1893" s="254" t="str">
        <f t="shared" si="45"/>
        <v/>
      </c>
      <c r="D1893" s="101"/>
      <c r="E1893" s="668" t="s">
        <v>258</v>
      </c>
      <c r="F1893" s="101"/>
      <c r="G1893" s="1225" t="s">
        <v>3155</v>
      </c>
      <c r="H1893" s="1313" t="str">
        <f>IF(LEN('Ch9'!W26)=0,"",'Ch9'!W26)</f>
        <v/>
      </c>
      <c r="I1893" s="86">
        <f ca="1">'Ch9'!O26</f>
        <v>0</v>
      </c>
      <c r="J1893" s="1204"/>
    </row>
    <row r="1894" spans="1:10" x14ac:dyDescent="0.25">
      <c r="B1894" s="254" t="str">
        <f>IF(LEN('Ch9'!H27)=0,"",'Ch9'!H27)</f>
        <v/>
      </c>
      <c r="C1894" s="254" t="str">
        <f t="shared" si="45"/>
        <v/>
      </c>
      <c r="D1894" s="101"/>
      <c r="E1894" s="101"/>
      <c r="F1894" s="668" t="s">
        <v>121</v>
      </c>
      <c r="G1894" s="1225" t="s">
        <v>3156</v>
      </c>
      <c r="H1894" s="94"/>
      <c r="J1894" s="1204"/>
    </row>
    <row r="1895" spans="1:10" x14ac:dyDescent="0.25">
      <c r="B1895" s="254" t="str">
        <f>IF(LEN('Ch9'!H28)=0,"",'Ch9'!H28)</f>
        <v/>
      </c>
      <c r="C1895" s="254" t="str">
        <f t="shared" si="45"/>
        <v/>
      </c>
      <c r="D1895" s="669"/>
      <c r="E1895" s="669"/>
      <c r="F1895" s="684" t="s">
        <v>122</v>
      </c>
      <c r="G1895" s="1215" t="s">
        <v>3157</v>
      </c>
      <c r="H1895" s="94"/>
      <c r="J1895" s="1204"/>
    </row>
    <row r="1896" spans="1:10" x14ac:dyDescent="0.25">
      <c r="A1896" s="585" t="str">
        <f>IF(AND(LEN(H1896)&gt;0,NOT(H1896=FALSE)),"P","")</f>
        <v/>
      </c>
      <c r="B1896" s="254" t="str">
        <f>IF(LEN('Ch9'!H29)=0,"",'Ch9'!H29)</f>
        <v/>
      </c>
      <c r="C1896" s="254" t="str">
        <f t="shared" si="45"/>
        <v/>
      </c>
      <c r="D1896" s="101" t="s">
        <v>3158</v>
      </c>
      <c r="E1896" s="101"/>
      <c r="F1896" s="101"/>
      <c r="G1896" s="1782" t="s">
        <v>4487</v>
      </c>
      <c r="H1896" s="1313" t="str">
        <f>IF(LEN('Ch9'!W29)=0,"",'Ch9'!W29)</f>
        <v/>
      </c>
      <c r="J1896" s="1204" t="s">
        <v>3892</v>
      </c>
    </row>
    <row r="1897" spans="1:10" x14ac:dyDescent="0.25">
      <c r="A1897" s="585" t="str">
        <f>A1896</f>
        <v/>
      </c>
      <c r="B1897" s="254" t="str">
        <f>IF(LEN('Ch9'!H30)=0,"",'Ch9'!H30)</f>
        <v/>
      </c>
      <c r="C1897" s="254" t="str">
        <f t="shared" si="45"/>
        <v/>
      </c>
      <c r="D1897" s="101"/>
      <c r="E1897" s="101"/>
      <c r="F1897" s="101"/>
      <c r="G1897" s="1782"/>
      <c r="H1897" s="94"/>
      <c r="J1897" s="1204"/>
    </row>
    <row r="1898" spans="1:10" x14ac:dyDescent="0.25">
      <c r="A1898" s="585" t="str">
        <f>A1897</f>
        <v/>
      </c>
      <c r="B1898" s="254" t="str">
        <f>IF(LEN('Ch9'!H31)=0,"",'Ch9'!H31)</f>
        <v/>
      </c>
      <c r="C1898" s="254" t="str">
        <f t="shared" si="45"/>
        <v/>
      </c>
      <c r="D1898" s="101"/>
      <c r="E1898" s="101"/>
      <c r="F1898" s="101"/>
      <c r="G1898" s="1782"/>
      <c r="H1898" s="94"/>
      <c r="J1898" s="1204"/>
    </row>
    <row r="1899" spans="1:10" x14ac:dyDescent="0.25">
      <c r="A1899" s="585" t="str">
        <f>A1898</f>
        <v/>
      </c>
      <c r="B1899" s="254" t="str">
        <f>IF(LEN('Ch9'!H32)=0,"",'Ch9'!H32)</f>
        <v/>
      </c>
      <c r="C1899" s="254" t="str">
        <f t="shared" si="45"/>
        <v/>
      </c>
      <c r="D1899" s="101"/>
      <c r="E1899" s="101"/>
      <c r="F1899" s="101"/>
      <c r="G1899" s="1782"/>
      <c r="H1899" s="94"/>
      <c r="J1899" s="1204"/>
    </row>
    <row r="1900" spans="1:10" x14ac:dyDescent="0.25">
      <c r="A1900" s="585" t="str">
        <f>A1899</f>
        <v/>
      </c>
      <c r="B1900" s="254" t="str">
        <f>IF(LEN('Ch9'!H33)=0,"",'Ch9'!H33)</f>
        <v/>
      </c>
      <c r="C1900" s="254" t="str">
        <f t="shared" si="45"/>
        <v/>
      </c>
      <c r="D1900" s="669"/>
      <c r="E1900" s="669"/>
      <c r="F1900" s="669"/>
      <c r="G1900" s="1843"/>
      <c r="H1900" s="94"/>
      <c r="J1900" s="1204"/>
    </row>
    <row r="1901" spans="1:10" x14ac:dyDescent="0.25">
      <c r="A1901" s="585" t="str">
        <f>IF(I1901&gt;0,"P","")</f>
        <v/>
      </c>
      <c r="B1901" s="254" t="str">
        <f>IF(LEN('Ch9'!H34)=0,"",'Ch9'!H34)</f>
        <v/>
      </c>
      <c r="C1901" s="254" t="str">
        <f t="shared" si="45"/>
        <v/>
      </c>
      <c r="D1901" s="101" t="s">
        <v>3159</v>
      </c>
      <c r="E1901" s="101"/>
      <c r="F1901" s="101"/>
      <c r="G1901" s="1782" t="s">
        <v>3160</v>
      </c>
      <c r="H1901" s="1313" t="str">
        <f>IF(LEN('Ch9'!W34)=0,"",'Ch9'!W34)</f>
        <v/>
      </c>
      <c r="I1901" s="86">
        <f>'Ch9'!O34</f>
        <v>0</v>
      </c>
      <c r="J1901" s="1204" t="s">
        <v>3918</v>
      </c>
    </row>
    <row r="1902" spans="1:10" x14ac:dyDescent="0.25">
      <c r="A1902" s="585" t="str">
        <f>A1901</f>
        <v/>
      </c>
      <c r="B1902" s="254" t="str">
        <f>IF(LEN('Ch9'!H35)=0,"",'Ch9'!H35)</f>
        <v/>
      </c>
      <c r="C1902" s="254" t="str">
        <f t="shared" si="45"/>
        <v/>
      </c>
      <c r="D1902" s="101"/>
      <c r="E1902" s="101"/>
      <c r="F1902" s="101"/>
      <c r="G1902" s="1782"/>
      <c r="H1902" s="94"/>
      <c r="J1902" s="1204"/>
    </row>
    <row r="1903" spans="1:10" x14ac:dyDescent="0.25">
      <c r="A1903" s="585" t="str">
        <f>A1902</f>
        <v/>
      </c>
      <c r="B1903" s="254" t="str">
        <f>IF(LEN('Ch9'!H36)=0,"",'Ch9'!H36)</f>
        <v/>
      </c>
      <c r="C1903" s="254" t="str">
        <f t="shared" si="45"/>
        <v/>
      </c>
      <c r="D1903" s="669"/>
      <c r="E1903" s="669"/>
      <c r="F1903" s="669"/>
      <c r="G1903" s="1843"/>
      <c r="H1903" s="94"/>
      <c r="J1903" s="1204"/>
    </row>
    <row r="1904" spans="1:10" x14ac:dyDescent="0.25">
      <c r="A1904" s="585" t="str">
        <f ca="1">IF(I1904&gt;0,"P","")</f>
        <v/>
      </c>
      <c r="B1904" s="254" t="str">
        <f>IF(LEN('Ch9'!H37)=0,"",'Ch9'!H37)</f>
        <v/>
      </c>
      <c r="C1904" s="254" t="str">
        <f t="shared" ca="1" si="45"/>
        <v/>
      </c>
      <c r="D1904" s="101" t="s">
        <v>3161</v>
      </c>
      <c r="E1904" s="101"/>
      <c r="F1904" s="101"/>
      <c r="G1904" s="1235" t="s">
        <v>3162</v>
      </c>
      <c r="H1904" s="1313" t="str">
        <f>IF(LEN('Ch9'!W37)=0,"",'Ch9'!W37)</f>
        <v/>
      </c>
      <c r="I1904" s="86">
        <f ca="1">'Ch9'!O37</f>
        <v>0</v>
      </c>
      <c r="J1904" s="1204" t="s">
        <v>3892</v>
      </c>
    </row>
    <row r="1905" spans="1:10" x14ac:dyDescent="0.25">
      <c r="B1905" s="254" t="str">
        <f>IF(LEN('Ch9'!H38)=0,"",'Ch9'!H38)</f>
        <v/>
      </c>
      <c r="C1905" s="254" t="str">
        <f t="shared" si="45"/>
        <v/>
      </c>
      <c r="D1905" s="101"/>
      <c r="E1905" s="684" t="s">
        <v>256</v>
      </c>
      <c r="F1905" s="669"/>
      <c r="G1905" s="1215" t="s">
        <v>3163</v>
      </c>
      <c r="H1905" s="94"/>
      <c r="J1905" s="1204"/>
    </row>
    <row r="1906" spans="1:10" ht="15.75" thickBot="1" x14ac:dyDescent="0.3">
      <c r="B1906" s="254" t="str">
        <f>IF(LEN('Ch9'!H39)=0,"",'Ch9'!H39)</f>
        <v/>
      </c>
      <c r="C1906" s="254" t="str">
        <f t="shared" si="45"/>
        <v/>
      </c>
      <c r="D1906" s="670"/>
      <c r="E1906" s="673" t="s">
        <v>258</v>
      </c>
      <c r="F1906" s="670"/>
      <c r="G1906" s="1229" t="s">
        <v>3164</v>
      </c>
      <c r="H1906" s="94"/>
      <c r="J1906" s="1204"/>
    </row>
    <row r="1907" spans="1:10" ht="15.75" thickTop="1" x14ac:dyDescent="0.25">
      <c r="A1907" s="585" t="str">
        <f>IF(I1907&gt;0,"P","")</f>
        <v/>
      </c>
      <c r="B1907" s="254" t="str">
        <f>IF(LEN('Ch9'!H40)=0,"",'Ch9'!H40)</f>
        <v/>
      </c>
      <c r="C1907" s="254" t="str">
        <f t="shared" si="45"/>
        <v/>
      </c>
      <c r="D1907" s="106">
        <v>901.2</v>
      </c>
      <c r="E1907" s="106"/>
      <c r="F1907" s="106"/>
      <c r="G1907" s="1240" t="s">
        <v>3165</v>
      </c>
      <c r="H1907" s="94"/>
      <c r="I1907" s="706">
        <f>SUM(I1908:I1922)</f>
        <v>0</v>
      </c>
      <c r="J1907" s="1204"/>
    </row>
    <row r="1908" spans="1:10" x14ac:dyDescent="0.25">
      <c r="A1908" s="585" t="str">
        <f>IF(I1908&gt;0,"P","")</f>
        <v/>
      </c>
      <c r="B1908" s="254" t="str">
        <f>IF(LEN('Ch9'!H41)=0,"",'Ch9'!H41)</f>
        <v/>
      </c>
      <c r="C1908" s="254" t="str">
        <f t="shared" si="45"/>
        <v/>
      </c>
      <c r="D1908" s="139" t="s">
        <v>3166</v>
      </c>
      <c r="E1908" s="139"/>
      <c r="F1908" s="139"/>
      <c r="G1908" s="1782" t="s">
        <v>3167</v>
      </c>
      <c r="H1908" s="94"/>
      <c r="I1908" s="706">
        <f>SUM(I1910:I1920)</f>
        <v>0</v>
      </c>
      <c r="J1908" s="1204"/>
    </row>
    <row r="1909" spans="1:10" x14ac:dyDescent="0.25">
      <c r="A1909" s="585" t="str">
        <f>A1908</f>
        <v/>
      </c>
      <c r="B1909" s="254" t="str">
        <f>IF(LEN('Ch9'!H42)=0,"",'Ch9'!H42)</f>
        <v/>
      </c>
      <c r="C1909" s="254" t="str">
        <f t="shared" si="45"/>
        <v/>
      </c>
      <c r="D1909" s="139"/>
      <c r="E1909" s="139"/>
      <c r="F1909" s="139"/>
      <c r="G1909" s="1782"/>
      <c r="H1909" s="94"/>
      <c r="J1909" s="1204"/>
    </row>
    <row r="1910" spans="1:10" x14ac:dyDescent="0.25">
      <c r="A1910" s="585" t="str">
        <f>IF(I1910&gt;0,"P","")</f>
        <v/>
      </c>
      <c r="B1910" s="254" t="str">
        <f>IF(LEN('Ch9'!H43)=0,"",'Ch9'!H43)</f>
        <v/>
      </c>
      <c r="C1910" s="254" t="str">
        <f t="shared" si="45"/>
        <v/>
      </c>
      <c r="D1910" s="139"/>
      <c r="E1910" s="668" t="s">
        <v>256</v>
      </c>
      <c r="F1910" s="101"/>
      <c r="G1910" s="1754" t="s">
        <v>3168</v>
      </c>
      <c r="H1910" s="1313" t="str">
        <f>IF(LEN('Ch9'!W43)=0,"",'Ch9'!W43)</f>
        <v/>
      </c>
      <c r="I1910" s="86">
        <f>'Ch9'!O43</f>
        <v>0</v>
      </c>
      <c r="J1910" s="1204" t="s">
        <v>3892</v>
      </c>
    </row>
    <row r="1911" spans="1:10" x14ac:dyDescent="0.25">
      <c r="A1911" s="585" t="str">
        <f>A1910</f>
        <v/>
      </c>
      <c r="B1911" s="254" t="str">
        <f>IF(LEN('Ch9'!H44)=0,"",'Ch9'!H44)</f>
        <v/>
      </c>
      <c r="C1911" s="254" t="str">
        <f t="shared" si="45"/>
        <v/>
      </c>
      <c r="D1911" s="139"/>
      <c r="E1911" s="101"/>
      <c r="F1911" s="101"/>
      <c r="G1911" s="1754"/>
      <c r="H1911" s="94"/>
      <c r="J1911" s="1204"/>
    </row>
    <row r="1912" spans="1:10" x14ac:dyDescent="0.25">
      <c r="A1912" s="585" t="str">
        <f>A1911</f>
        <v/>
      </c>
      <c r="B1912" s="254" t="str">
        <f>IF(LEN('Ch9'!H45)=0,"",'Ch9'!H45)</f>
        <v/>
      </c>
      <c r="C1912" s="254" t="str">
        <f t="shared" si="45"/>
        <v/>
      </c>
      <c r="D1912" s="139"/>
      <c r="E1912" s="669"/>
      <c r="F1912" s="669"/>
      <c r="G1912" s="1755"/>
      <c r="H1912" s="94"/>
      <c r="J1912" s="1204"/>
    </row>
    <row r="1913" spans="1:10" x14ac:dyDescent="0.25">
      <c r="A1913" s="585" t="str">
        <f>IF(I1913&gt;0,"P","")</f>
        <v/>
      </c>
      <c r="B1913" s="254" t="str">
        <f>IF(LEN('Ch9'!H46)=0,"",'Ch9'!H46)</f>
        <v/>
      </c>
      <c r="C1913" s="254" t="str">
        <f t="shared" si="45"/>
        <v/>
      </c>
      <c r="D1913" s="139"/>
      <c r="E1913" s="668" t="s">
        <v>258</v>
      </c>
      <c r="F1913" s="101"/>
      <c r="G1913" s="1754" t="s">
        <v>4488</v>
      </c>
      <c r="H1913" s="1313" t="str">
        <f>IF(LEN('Ch9'!W46)=0,"",'Ch9'!W46)</f>
        <v/>
      </c>
      <c r="I1913" s="86">
        <f>'Ch9'!O46</f>
        <v>0</v>
      </c>
      <c r="J1913" s="1950" t="s">
        <v>3937</v>
      </c>
    </row>
    <row r="1914" spans="1:10" x14ac:dyDescent="0.25">
      <c r="A1914" s="585" t="str">
        <f>A1913</f>
        <v/>
      </c>
      <c r="B1914" s="254" t="str">
        <f>IF(LEN('Ch9'!H47)=0,"",'Ch9'!H47)</f>
        <v/>
      </c>
      <c r="C1914" s="254" t="str">
        <f t="shared" si="45"/>
        <v/>
      </c>
      <c r="D1914" s="139"/>
      <c r="E1914" s="684"/>
      <c r="F1914" s="669"/>
      <c r="G1914" s="1755"/>
      <c r="H1914" s="94"/>
      <c r="J1914" s="1951"/>
    </row>
    <row r="1915" spans="1:10" x14ac:dyDescent="0.25">
      <c r="A1915" s="585" t="str">
        <f>IF(I1915&gt;0,"P","")</f>
        <v/>
      </c>
      <c r="B1915" s="254" t="str">
        <f>IF(LEN('Ch9'!H48)=0,"",'Ch9'!H48)</f>
        <v/>
      </c>
      <c r="C1915" s="254" t="str">
        <f t="shared" si="45"/>
        <v/>
      </c>
      <c r="D1915" s="139"/>
      <c r="E1915" s="668" t="s">
        <v>260</v>
      </c>
      <c r="F1915" s="101"/>
      <c r="G1915" s="1754" t="s">
        <v>3169</v>
      </c>
      <c r="H1915" s="1313" t="str">
        <f>IF(LEN('Ch9'!W48)=0,"",'Ch9'!W48)</f>
        <v/>
      </c>
      <c r="I1915" s="86">
        <f>'Ch9'!O48</f>
        <v>0</v>
      </c>
      <c r="J1915" s="1204" t="s">
        <v>3938</v>
      </c>
    </row>
    <row r="1916" spans="1:10" x14ac:dyDescent="0.25">
      <c r="A1916" s="585" t="str">
        <f>A1915</f>
        <v/>
      </c>
      <c r="B1916" s="254" t="str">
        <f>IF(LEN('Ch9'!H49)=0,"",'Ch9'!H49)</f>
        <v/>
      </c>
      <c r="C1916" s="254" t="str">
        <f t="shared" si="45"/>
        <v/>
      </c>
      <c r="D1916" s="139"/>
      <c r="E1916" s="668"/>
      <c r="F1916" s="101"/>
      <c r="G1916" s="1754"/>
      <c r="H1916" s="94"/>
      <c r="J1916" s="1204"/>
    </row>
    <row r="1917" spans="1:10" x14ac:dyDescent="0.25">
      <c r="A1917" s="585" t="str">
        <f>A1916</f>
        <v/>
      </c>
      <c r="B1917" s="254" t="str">
        <f>IF(LEN('Ch9'!H50)=0,"",'Ch9'!H50)</f>
        <v/>
      </c>
      <c r="C1917" s="254" t="str">
        <f t="shared" si="45"/>
        <v/>
      </c>
      <c r="D1917" s="139"/>
      <c r="E1917" s="684"/>
      <c r="F1917" s="669"/>
      <c r="G1917" s="1755"/>
      <c r="H1917" s="94"/>
      <c r="J1917" s="1204"/>
    </row>
    <row r="1918" spans="1:10" x14ac:dyDescent="0.25">
      <c r="A1918" s="585" t="str">
        <f>IF(I1918&gt;0,"P","")</f>
        <v/>
      </c>
      <c r="B1918" s="254" t="str">
        <f>IF(LEN('Ch9'!H51)=0,"",'Ch9'!H51)</f>
        <v/>
      </c>
      <c r="C1918" s="254" t="str">
        <f t="shared" si="45"/>
        <v/>
      </c>
      <c r="D1918" s="139"/>
      <c r="E1918" s="668" t="s">
        <v>269</v>
      </c>
      <c r="F1918" s="101"/>
      <c r="G1918" s="1793" t="s">
        <v>3170</v>
      </c>
      <c r="H1918" s="1313" t="str">
        <f>IF(LEN('Ch9'!W51)=0,"",'Ch9'!W51)</f>
        <v/>
      </c>
      <c r="I1918" s="86">
        <f>'Ch9'!O51</f>
        <v>0</v>
      </c>
      <c r="J1918" s="1204" t="s">
        <v>3938</v>
      </c>
    </row>
    <row r="1919" spans="1:10" x14ac:dyDescent="0.25">
      <c r="A1919" s="585" t="str">
        <f>A1918</f>
        <v/>
      </c>
      <c r="B1919" s="254" t="str">
        <f>IF(LEN('Ch9'!H52)=0,"",'Ch9'!H52)</f>
        <v/>
      </c>
      <c r="C1919" s="254" t="str">
        <f t="shared" si="45"/>
        <v/>
      </c>
      <c r="D1919" s="139"/>
      <c r="E1919" s="684"/>
      <c r="F1919" s="669"/>
      <c r="G1919" s="1761"/>
      <c r="H1919" s="94"/>
      <c r="J1919" s="1204"/>
    </row>
    <row r="1920" spans="1:10" x14ac:dyDescent="0.25">
      <c r="A1920" s="585" t="str">
        <f>IF(I1920&gt;0,"P","")</f>
        <v/>
      </c>
      <c r="B1920" s="254" t="str">
        <f>IF(LEN('Ch9'!H53)=0,"",'Ch9'!H53)</f>
        <v/>
      </c>
      <c r="C1920" s="254" t="str">
        <f t="shared" si="45"/>
        <v/>
      </c>
      <c r="D1920" s="101"/>
      <c r="E1920" s="668" t="s">
        <v>275</v>
      </c>
      <c r="F1920" s="101"/>
      <c r="G1920" s="1754" t="s">
        <v>3171</v>
      </c>
      <c r="H1920" s="1313" t="str">
        <f>IF(LEN('Ch9'!W53)=0,"",'Ch9'!W53)</f>
        <v/>
      </c>
      <c r="I1920" s="86">
        <f>'Ch9'!O53</f>
        <v>0</v>
      </c>
      <c r="J1920" s="1204" t="s">
        <v>3938</v>
      </c>
    </row>
    <row r="1921" spans="1:10" x14ac:dyDescent="0.25">
      <c r="A1921" s="585" t="str">
        <f>A1920</f>
        <v/>
      </c>
      <c r="B1921" s="254" t="str">
        <f>IF(LEN('Ch9'!H54)=0,"",'Ch9'!H54)</f>
        <v/>
      </c>
      <c r="C1921" s="254" t="str">
        <f t="shared" si="45"/>
        <v/>
      </c>
      <c r="D1921" s="669"/>
      <c r="E1921" s="684"/>
      <c r="F1921" s="669"/>
      <c r="G1921" s="1755"/>
      <c r="H1921" s="94"/>
      <c r="J1921" s="1204"/>
    </row>
    <row r="1922" spans="1:10" ht="15.75" thickBot="1" x14ac:dyDescent="0.3">
      <c r="A1922" s="585" t="str">
        <f>IF(I1922&gt;0,"P","")</f>
        <v/>
      </c>
      <c r="B1922" s="254" t="str">
        <f>IF(LEN('Ch9'!H55)=0,"",'Ch9'!H55)</f>
        <v/>
      </c>
      <c r="C1922" s="254" t="str">
        <f t="shared" si="45"/>
        <v/>
      </c>
      <c r="D1922" s="670" t="s">
        <v>3172</v>
      </c>
      <c r="E1922" s="670"/>
      <c r="F1922" s="670"/>
      <c r="G1922" s="525" t="s">
        <v>3173</v>
      </c>
      <c r="H1922" s="1313" t="str">
        <f>IF(LEN('Ch9'!W55)=0,"",'Ch9'!W55)</f>
        <v/>
      </c>
      <c r="I1922" s="86">
        <f>'Ch9'!O55</f>
        <v>0</v>
      </c>
      <c r="J1922" s="1204" t="s">
        <v>3892</v>
      </c>
    </row>
    <row r="1923" spans="1:10" ht="15.75" thickTop="1" x14ac:dyDescent="0.25">
      <c r="A1923" s="585" t="str">
        <f ca="1">IF(I1923&gt;0,"P","")</f>
        <v/>
      </c>
      <c r="B1923" s="254" t="str">
        <f>IF(LEN('Ch9'!H56)=0,"",'Ch9'!H56)</f>
        <v/>
      </c>
      <c r="C1923" s="254" t="str">
        <f t="shared" ca="1" si="45"/>
        <v/>
      </c>
      <c r="D1923" s="139">
        <v>901.3</v>
      </c>
      <c r="E1923" s="139"/>
      <c r="F1923" s="139"/>
      <c r="G1923" s="1235" t="s">
        <v>3174</v>
      </c>
      <c r="H1923" s="94"/>
      <c r="I1923" s="706">
        <f ca="1">SUM(I1924:I1935)</f>
        <v>0</v>
      </c>
      <c r="J1923" s="1204"/>
    </row>
    <row r="1924" spans="1:10" x14ac:dyDescent="0.25">
      <c r="A1924" s="585" t="str">
        <f ca="1">IF(I1924&gt;0,"P","")</f>
        <v/>
      </c>
      <c r="B1924" s="254" t="str">
        <f>IF(LEN('Ch9'!H57)=0,"",'Ch9'!H57)</f>
        <v/>
      </c>
      <c r="C1924" s="254" t="str">
        <f t="shared" ca="1" si="45"/>
        <v/>
      </c>
      <c r="D1924" s="139"/>
      <c r="E1924" s="667" t="s">
        <v>256</v>
      </c>
      <c r="F1924" s="139"/>
      <c r="G1924" s="1225" t="s">
        <v>3175</v>
      </c>
      <c r="H1924" s="94"/>
      <c r="I1924" s="706">
        <f ca="1">SUM(I1925:I1929)</f>
        <v>0</v>
      </c>
      <c r="J1924" s="1204"/>
    </row>
    <row r="1925" spans="1:10" x14ac:dyDescent="0.25">
      <c r="A1925" s="585" t="str">
        <f>IF(I1925&gt;0,"P","")</f>
        <v/>
      </c>
      <c r="B1925" s="254" t="str">
        <f>IF(LEN('Ch9'!H58)=0,"",'Ch9'!H58)</f>
        <v/>
      </c>
      <c r="C1925" s="254" t="str">
        <f t="shared" si="45"/>
        <v/>
      </c>
      <c r="D1925" s="139"/>
      <c r="E1925" s="139"/>
      <c r="F1925" s="668" t="s">
        <v>121</v>
      </c>
      <c r="G1925" s="1754" t="s">
        <v>3176</v>
      </c>
      <c r="H1925" s="1313" t="str">
        <f>IF(LEN('Ch9'!W58)=0,"",'Ch9'!W58)</f>
        <v/>
      </c>
      <c r="I1925" s="86">
        <f>'Ch9'!O58</f>
        <v>0</v>
      </c>
      <c r="J1925" s="1204" t="s">
        <v>3892</v>
      </c>
    </row>
    <row r="1926" spans="1:10" x14ac:dyDescent="0.25">
      <c r="A1926" s="585" t="str">
        <f>A1925</f>
        <v/>
      </c>
      <c r="B1926" s="254" t="str">
        <f>IF(LEN('Ch9'!H59)=0,"",'Ch9'!H59)</f>
        <v/>
      </c>
      <c r="C1926" s="254" t="str">
        <f t="shared" si="45"/>
        <v/>
      </c>
      <c r="D1926" s="139"/>
      <c r="E1926" s="139"/>
      <c r="F1926" s="684"/>
      <c r="G1926" s="1755"/>
      <c r="H1926" s="94"/>
      <c r="J1926" s="1204"/>
    </row>
    <row r="1927" spans="1:10" x14ac:dyDescent="0.25">
      <c r="A1927" s="585" t="str">
        <f>IF(I1927&gt;0,"P","")</f>
        <v/>
      </c>
      <c r="B1927" s="254" t="str">
        <f>IF(LEN('Ch9'!H60)=0,"",'Ch9'!H60)</f>
        <v/>
      </c>
      <c r="C1927" s="254" t="str">
        <f t="shared" si="45"/>
        <v/>
      </c>
      <c r="D1927" s="139"/>
      <c r="E1927" s="139"/>
      <c r="F1927" s="668" t="s">
        <v>122</v>
      </c>
      <c r="G1927" s="1754" t="s">
        <v>3177</v>
      </c>
      <c r="H1927" s="1313" t="str">
        <f>IF(LEN('Ch9'!W60)=0,"",'Ch9'!W60)</f>
        <v/>
      </c>
      <c r="I1927" s="86">
        <f>'Ch9'!O60</f>
        <v>0</v>
      </c>
      <c r="J1927" s="1204" t="s">
        <v>3892</v>
      </c>
    </row>
    <row r="1928" spans="1:10" x14ac:dyDescent="0.25">
      <c r="A1928" s="585" t="str">
        <f>A1927</f>
        <v/>
      </c>
      <c r="B1928" s="254" t="str">
        <f>IF(LEN('Ch9'!H61)=0,"",'Ch9'!H61)</f>
        <v/>
      </c>
      <c r="C1928" s="254" t="str">
        <f t="shared" si="45"/>
        <v/>
      </c>
      <c r="D1928" s="139"/>
      <c r="E1928" s="139"/>
      <c r="F1928" s="669"/>
      <c r="G1928" s="1755"/>
      <c r="H1928" s="94"/>
      <c r="J1928" s="1204"/>
    </row>
    <row r="1929" spans="1:10" x14ac:dyDescent="0.25">
      <c r="A1929" s="585" t="str">
        <f ca="1">IF(I1929&gt;0,"P","")</f>
        <v/>
      </c>
      <c r="B1929" s="254" t="str">
        <f>IF(LEN('Ch9'!H62)=0,"",'Ch9'!H62)</f>
        <v/>
      </c>
      <c r="C1929" s="254" t="str">
        <f t="shared" ca="1" si="45"/>
        <v/>
      </c>
      <c r="D1929" s="139"/>
      <c r="E1929" s="101"/>
      <c r="F1929" s="668" t="s">
        <v>123</v>
      </c>
      <c r="G1929" s="1754" t="s">
        <v>5591</v>
      </c>
      <c r="H1929" s="1313" t="str">
        <f>IF(LEN('Ch9'!W62)=0,"",'Ch9'!W62)</f>
        <v/>
      </c>
      <c r="I1929" s="86">
        <f ca="1">'Ch9'!O62</f>
        <v>0</v>
      </c>
      <c r="J1929" s="1204" t="s">
        <v>3939</v>
      </c>
    </row>
    <row r="1930" spans="1:10" x14ac:dyDescent="0.25">
      <c r="A1930" s="585" t="str">
        <f ca="1">A1929</f>
        <v/>
      </c>
      <c r="B1930" s="254" t="str">
        <f>IF(LEN('Ch9'!H63)=0,"",'Ch9'!H63)</f>
        <v/>
      </c>
      <c r="C1930" s="254" t="str">
        <f t="shared" ca="1" si="45"/>
        <v/>
      </c>
      <c r="D1930" s="139"/>
      <c r="E1930" s="101"/>
      <c r="F1930" s="101"/>
      <c r="G1930" s="1754"/>
      <c r="H1930" s="94"/>
      <c r="J1930" s="1204"/>
    </row>
    <row r="1931" spans="1:10" x14ac:dyDescent="0.25">
      <c r="A1931" s="585" t="str">
        <f ca="1">A1930</f>
        <v/>
      </c>
      <c r="B1931" s="254" t="str">
        <f>IF(LEN('Ch9'!H64)=0,"",'Ch9'!H64)</f>
        <v/>
      </c>
      <c r="C1931" s="254" t="str">
        <f t="shared" ca="1" si="45"/>
        <v/>
      </c>
      <c r="D1931" s="139"/>
      <c r="E1931" s="101"/>
      <c r="F1931" s="101"/>
      <c r="G1931" s="1754"/>
      <c r="H1931" s="94"/>
      <c r="J1931" s="1204"/>
    </row>
    <row r="1932" spans="1:10" x14ac:dyDescent="0.25">
      <c r="A1932" s="585" t="str">
        <f ca="1">A1931</f>
        <v/>
      </c>
      <c r="B1932" s="254" t="str">
        <f>IF(LEN('Ch9'!H65)=0,"",'Ch9'!H65)</f>
        <v/>
      </c>
      <c r="C1932" s="254" t="str">
        <f t="shared" ca="1" si="45"/>
        <v/>
      </c>
      <c r="D1932" s="139"/>
      <c r="E1932" s="101"/>
      <c r="F1932" s="101"/>
      <c r="G1932" s="1754"/>
      <c r="H1932" s="94"/>
      <c r="J1932" s="1204"/>
    </row>
    <row r="1933" spans="1:10" x14ac:dyDescent="0.25">
      <c r="A1933" s="585" t="str">
        <f ca="1">A1932</f>
        <v/>
      </c>
      <c r="B1933" s="254" t="str">
        <f>IF(LEN('Ch9'!H66)=0,"",'Ch9'!H66)</f>
        <v/>
      </c>
      <c r="C1933" s="254" t="str">
        <f t="shared" ca="1" si="45"/>
        <v/>
      </c>
      <c r="D1933" s="139"/>
      <c r="E1933" s="101"/>
      <c r="F1933" s="101"/>
      <c r="G1933" s="1754"/>
      <c r="H1933" s="94"/>
      <c r="J1933" s="1204"/>
    </row>
    <row r="1934" spans="1:10" x14ac:dyDescent="0.25">
      <c r="A1934" s="585" t="str">
        <f ca="1">A1933</f>
        <v/>
      </c>
      <c r="B1934" s="254" t="str">
        <f>IF(LEN('Ch9'!H67)=0,"",'Ch9'!H67)</f>
        <v/>
      </c>
      <c r="C1934" s="254" t="str">
        <f t="shared" ca="1" si="45"/>
        <v/>
      </c>
      <c r="D1934" s="139"/>
      <c r="E1934" s="669"/>
      <c r="F1934" s="669"/>
      <c r="G1934" s="1755"/>
      <c r="H1934" s="94"/>
      <c r="J1934" s="1204"/>
    </row>
    <row r="1935" spans="1:10" ht="15" customHeight="1" thickBot="1" x14ac:dyDescent="0.3">
      <c r="A1935" s="585" t="str">
        <f>IF(I1935&gt;0,"P","")</f>
        <v/>
      </c>
      <c r="B1935" s="254" t="str">
        <f>IF(LEN('Ch9'!H68)=0,"",'Ch9'!H68)</f>
        <v/>
      </c>
      <c r="C1935" s="254" t="str">
        <f t="shared" si="45"/>
        <v/>
      </c>
      <c r="D1935" s="670"/>
      <c r="E1935" s="673" t="s">
        <v>258</v>
      </c>
      <c r="F1935" s="670"/>
      <c r="G1935" s="1229" t="s">
        <v>3178</v>
      </c>
      <c r="H1935" s="1313" t="str">
        <f>IF(LEN('Ch9'!W68)=0,"",'Ch9'!W68)</f>
        <v/>
      </c>
      <c r="I1935" s="86">
        <f>'Ch9'!O68</f>
        <v>0</v>
      </c>
      <c r="J1935" s="1204" t="s">
        <v>3892</v>
      </c>
    </row>
    <row r="1936" spans="1:10" ht="15.75" thickTop="1" x14ac:dyDescent="0.25">
      <c r="A1936" s="585" t="str">
        <f ca="1">IF(I1936&gt;0,"P","")</f>
        <v/>
      </c>
      <c r="B1936" s="254" t="str">
        <f>IF(LEN('Ch9'!H69)=0,"",'Ch9'!H69)</f>
        <v/>
      </c>
      <c r="C1936" s="254" t="str">
        <f t="shared" ca="1" si="45"/>
        <v/>
      </c>
      <c r="D1936" s="139">
        <v>901.4</v>
      </c>
      <c r="E1936" s="139"/>
      <c r="F1936" s="139"/>
      <c r="G1936" s="1754" t="s">
        <v>3179</v>
      </c>
      <c r="H1936" s="94"/>
      <c r="I1936" s="86">
        <f ca="1">'Ch9'!O69</f>
        <v>0</v>
      </c>
      <c r="J1936" s="1204"/>
    </row>
    <row r="1937" spans="1:10" x14ac:dyDescent="0.25">
      <c r="A1937" s="585" t="str">
        <f ca="1">A1936</f>
        <v/>
      </c>
      <c r="B1937" s="254" t="str">
        <f>IF(LEN('Ch9'!H70)=0,"",'Ch9'!H70)</f>
        <v/>
      </c>
      <c r="C1937" s="254" t="str">
        <f t="shared" ca="1" si="45"/>
        <v/>
      </c>
      <c r="D1937" s="139"/>
      <c r="E1937" s="139"/>
      <c r="F1937" s="139"/>
      <c r="G1937" s="1754"/>
      <c r="H1937" s="94"/>
      <c r="J1937" s="1204"/>
    </row>
    <row r="1938" spans="1:10" x14ac:dyDescent="0.25">
      <c r="A1938" s="585" t="str">
        <f ca="1">A1937</f>
        <v/>
      </c>
      <c r="B1938" s="254" t="str">
        <f>IF(LEN('Ch9'!H71)=0,"",'Ch9'!H71)</f>
        <v/>
      </c>
      <c r="C1938" s="254" t="str">
        <f t="shared" ref="C1938:C2001" ca="1" si="46">IF(LEN(B1938)=0,IF(A1938="P","P",""),B1938)</f>
        <v/>
      </c>
      <c r="D1938" s="139"/>
      <c r="E1938" s="139"/>
      <c r="F1938" s="139"/>
      <c r="G1938" s="1754"/>
      <c r="H1938" s="94"/>
      <c r="J1938" s="1204"/>
    </row>
    <row r="1939" spans="1:10" x14ac:dyDescent="0.25">
      <c r="A1939" s="585" t="str">
        <f>IF(AND(LEN(H1939)&gt;0,NOT(H1939=FALSE)),"P","")</f>
        <v/>
      </c>
      <c r="B1939" s="254" t="str">
        <f>IF(LEN('Ch9'!H72)=0,"",'Ch9'!H72)</f>
        <v/>
      </c>
      <c r="C1939" s="254" t="str">
        <f t="shared" si="46"/>
        <v/>
      </c>
      <c r="D1939" s="139"/>
      <c r="E1939" s="668" t="s">
        <v>256</v>
      </c>
      <c r="F1939" s="101"/>
      <c r="G1939" s="1754" t="s">
        <v>3180</v>
      </c>
      <c r="H1939" s="1313" t="str">
        <f>IF(LEN('Ch9'!W72)=0,"",'Ch9'!W72)</f>
        <v/>
      </c>
      <c r="J1939" s="1204" t="s">
        <v>3892</v>
      </c>
    </row>
    <row r="1940" spans="1:10" x14ac:dyDescent="0.25">
      <c r="A1940" s="585" t="str">
        <f>A1939</f>
        <v/>
      </c>
      <c r="B1940" s="254" t="str">
        <f>IF(LEN('Ch9'!H73)=0,"",'Ch9'!H73)</f>
        <v/>
      </c>
      <c r="C1940" s="254" t="str">
        <f t="shared" si="46"/>
        <v/>
      </c>
      <c r="D1940" s="139"/>
      <c r="E1940" s="101"/>
      <c r="F1940" s="101"/>
      <c r="G1940" s="1754"/>
      <c r="H1940" s="94"/>
      <c r="J1940" s="1204"/>
    </row>
    <row r="1941" spans="1:10" x14ac:dyDescent="0.25">
      <c r="A1941" s="585" t="str">
        <f>A1940</f>
        <v/>
      </c>
      <c r="B1941" s="254" t="str">
        <f>IF(LEN('Ch9'!H74)=0,"",'Ch9'!H74)</f>
        <v/>
      </c>
      <c r="C1941" s="254" t="str">
        <f t="shared" si="46"/>
        <v/>
      </c>
      <c r="D1941" s="139"/>
      <c r="E1941" s="101"/>
      <c r="F1941" s="101"/>
      <c r="G1941" s="1754"/>
      <c r="H1941" s="94"/>
      <c r="J1941" s="1204"/>
    </row>
    <row r="1942" spans="1:10" x14ac:dyDescent="0.25">
      <c r="A1942" s="585" t="str">
        <f>A1941</f>
        <v/>
      </c>
      <c r="B1942" s="254" t="str">
        <f>IF(LEN('Ch9'!H75)=0,"",'Ch9'!H75)</f>
        <v/>
      </c>
      <c r="C1942" s="254" t="str">
        <f t="shared" si="46"/>
        <v/>
      </c>
      <c r="D1942" s="139"/>
      <c r="E1942" s="101"/>
      <c r="F1942" s="101"/>
      <c r="G1942" s="1754"/>
      <c r="H1942" s="94"/>
      <c r="J1942" s="1204"/>
    </row>
    <row r="1943" spans="1:10" x14ac:dyDescent="0.25">
      <c r="B1943" s="254" t="str">
        <f>IF(LEN('Ch9'!H76)=0,"",'Ch9'!H76)</f>
        <v/>
      </c>
      <c r="C1943" s="254" t="str">
        <f t="shared" si="46"/>
        <v/>
      </c>
      <c r="D1943" s="139"/>
      <c r="E1943" s="669"/>
      <c r="F1943" s="669"/>
      <c r="G1943" s="1314" t="s">
        <v>3967</v>
      </c>
      <c r="H1943" s="94"/>
      <c r="J1943" s="1204"/>
    </row>
    <row r="1944" spans="1:10" x14ac:dyDescent="0.25">
      <c r="A1944" s="2363" t="str">
        <f>IF(COUNTIF(A1942,"P")&gt;0,"P","")</f>
        <v/>
      </c>
      <c r="B1944" s="254" t="str">
        <f>IF(LEN('Ch9'!H77)=0,"",'Ch9'!H77)</f>
        <v/>
      </c>
      <c r="C1944" s="254" t="str">
        <f t="shared" si="46"/>
        <v/>
      </c>
      <c r="D1944" s="101"/>
      <c r="E1944" s="101"/>
      <c r="F1944" s="101"/>
      <c r="G1944" s="1225" t="s">
        <v>3646</v>
      </c>
      <c r="H1944" s="1313" t="str">
        <f>IF(LEN('Ch9'!W77)=0,"",'Ch9'!W77)</f>
        <v/>
      </c>
      <c r="J1944" s="1204"/>
    </row>
    <row r="1945" spans="1:10" x14ac:dyDescent="0.25">
      <c r="A1945" s="585" t="str">
        <f>A1944</f>
        <v/>
      </c>
      <c r="B1945" s="254" t="str">
        <f>IF(LEN('Ch9'!H78)=0,"",'Ch9'!H78)</f>
        <v/>
      </c>
      <c r="C1945" s="254" t="str">
        <f t="shared" si="46"/>
        <v/>
      </c>
      <c r="D1945" s="101"/>
      <c r="E1945" s="101"/>
      <c r="F1945" s="101"/>
      <c r="G1945" s="1225" t="s">
        <v>3647</v>
      </c>
      <c r="H1945" s="1313" t="str">
        <f>IF(LEN('Ch9'!W78)=0,"",'Ch9'!W78)</f>
        <v/>
      </c>
      <c r="J1945" s="1204"/>
    </row>
    <row r="1946" spans="1:10" x14ac:dyDescent="0.25">
      <c r="A1946" s="585" t="str">
        <f t="shared" ref="A1946:A1954" si="47">A1945</f>
        <v/>
      </c>
      <c r="B1946" s="254" t="str">
        <f>IF(LEN('Ch9'!H79)=0,"",'Ch9'!H79)</f>
        <v/>
      </c>
      <c r="C1946" s="254" t="str">
        <f t="shared" si="46"/>
        <v/>
      </c>
      <c r="D1946" s="101"/>
      <c r="E1946" s="101"/>
      <c r="F1946" s="101"/>
      <c r="G1946" s="1225" t="s">
        <v>3648</v>
      </c>
      <c r="H1946" s="1313" t="str">
        <f>IF(LEN('Ch9'!W79)=0,"",'Ch9'!W79)</f>
        <v/>
      </c>
      <c r="J1946" s="1204"/>
    </row>
    <row r="1947" spans="1:10" x14ac:dyDescent="0.25">
      <c r="A1947" s="585" t="str">
        <f t="shared" si="47"/>
        <v/>
      </c>
      <c r="B1947" s="254" t="str">
        <f>IF(LEN('Ch9'!H80)=0,"",'Ch9'!H80)</f>
        <v/>
      </c>
      <c r="C1947" s="254" t="str">
        <f t="shared" si="46"/>
        <v/>
      </c>
      <c r="D1947" s="101"/>
      <c r="E1947" s="101"/>
      <c r="F1947" s="101"/>
      <c r="G1947" s="1225" t="s">
        <v>3649</v>
      </c>
      <c r="H1947" s="1313" t="str">
        <f>IF(LEN('Ch9'!W80)=0,"",'Ch9'!W80)</f>
        <v/>
      </c>
      <c r="J1947" s="1204"/>
    </row>
    <row r="1948" spans="1:10" x14ac:dyDescent="0.25">
      <c r="A1948" s="585" t="str">
        <f t="shared" si="47"/>
        <v/>
      </c>
      <c r="B1948" s="254" t="str">
        <f>IF(LEN('Ch9'!H81)=0,"",'Ch9'!H81)</f>
        <v/>
      </c>
      <c r="C1948" s="254" t="str">
        <f t="shared" si="46"/>
        <v/>
      </c>
      <c r="D1948" s="101"/>
      <c r="E1948" s="668" t="s">
        <v>258</v>
      </c>
      <c r="F1948" s="101"/>
      <c r="G1948" s="1754" t="s">
        <v>3181</v>
      </c>
      <c r="H1948" s="94"/>
      <c r="J1948" s="1204" t="s">
        <v>5026</v>
      </c>
    </row>
    <row r="1949" spans="1:10" x14ac:dyDescent="0.25">
      <c r="A1949" s="585" t="str">
        <f t="shared" si="47"/>
        <v/>
      </c>
      <c r="B1949" s="254" t="str">
        <f>IF(LEN('Ch9'!H82)=0,"",'Ch9'!H82)</f>
        <v/>
      </c>
      <c r="C1949" s="254" t="str">
        <f t="shared" si="46"/>
        <v/>
      </c>
      <c r="D1949" s="101"/>
      <c r="E1949" s="669"/>
      <c r="F1949" s="669"/>
      <c r="G1949" s="1755"/>
      <c r="H1949" s="94"/>
      <c r="J1949" s="1204"/>
    </row>
    <row r="1950" spans="1:10" x14ac:dyDescent="0.25">
      <c r="A1950" s="585" t="str">
        <f t="shared" si="47"/>
        <v/>
      </c>
      <c r="B1950" s="254" t="str">
        <f>IF(LEN('Ch9'!H83)=0,"",'Ch9'!H83)</f>
        <v/>
      </c>
      <c r="C1950" s="254" t="str">
        <f t="shared" si="46"/>
        <v/>
      </c>
      <c r="D1950" s="101"/>
      <c r="E1950" s="684" t="s">
        <v>260</v>
      </c>
      <c r="F1950" s="669"/>
      <c r="G1950" s="1215" t="s">
        <v>3182</v>
      </c>
      <c r="H1950" s="94"/>
      <c r="J1950" s="1204" t="s">
        <v>5026</v>
      </c>
    </row>
    <row r="1951" spans="1:10" x14ac:dyDescent="0.25">
      <c r="A1951" s="585" t="str">
        <f t="shared" si="47"/>
        <v/>
      </c>
      <c r="B1951" s="254" t="str">
        <f>IF(LEN('Ch9'!H84)=0,"",'Ch9'!H84)</f>
        <v/>
      </c>
      <c r="C1951" s="254" t="str">
        <f t="shared" si="46"/>
        <v/>
      </c>
      <c r="D1951" s="101"/>
      <c r="E1951" s="684" t="s">
        <v>269</v>
      </c>
      <c r="F1951" s="669"/>
      <c r="G1951" s="1215" t="s">
        <v>3183</v>
      </c>
      <c r="H1951" s="94"/>
      <c r="J1951" s="1204" t="s">
        <v>5026</v>
      </c>
    </row>
    <row r="1952" spans="1:10" x14ac:dyDescent="0.25">
      <c r="A1952" s="585" t="str">
        <f t="shared" si="47"/>
        <v/>
      </c>
      <c r="B1952" s="254" t="str">
        <f>IF(LEN('Ch9'!H85)=0,"",'Ch9'!H85)</f>
        <v/>
      </c>
      <c r="C1952" s="254" t="str">
        <f t="shared" si="46"/>
        <v/>
      </c>
      <c r="D1952" s="101"/>
      <c r="E1952" s="668" t="s">
        <v>275</v>
      </c>
      <c r="F1952" s="101"/>
      <c r="G1952" s="1754" t="s">
        <v>3184</v>
      </c>
      <c r="H1952" s="94"/>
      <c r="J1952" s="1204" t="s">
        <v>5026</v>
      </c>
    </row>
    <row r="1953" spans="1:10" x14ac:dyDescent="0.25">
      <c r="A1953" s="585" t="str">
        <f t="shared" si="47"/>
        <v/>
      </c>
      <c r="B1953" s="254" t="str">
        <f>IF(LEN('Ch9'!H86)=0,"",'Ch9'!H86)</f>
        <v/>
      </c>
      <c r="C1953" s="254" t="str">
        <f t="shared" si="46"/>
        <v/>
      </c>
      <c r="D1953" s="101"/>
      <c r="E1953" s="684"/>
      <c r="F1953" s="669"/>
      <c r="G1953" s="1755"/>
      <c r="H1953" s="94"/>
      <c r="J1953" s="1204"/>
    </row>
    <row r="1954" spans="1:10" ht="15.75" thickBot="1" x14ac:dyDescent="0.3">
      <c r="A1954" s="585" t="str">
        <f t="shared" si="47"/>
        <v/>
      </c>
      <c r="B1954" s="254" t="str">
        <f>IF(LEN('Ch9'!H87)=0,"",'Ch9'!H87)</f>
        <v/>
      </c>
      <c r="C1954" s="254" t="str">
        <f t="shared" si="46"/>
        <v/>
      </c>
      <c r="D1954" s="670"/>
      <c r="E1954" s="673" t="s">
        <v>277</v>
      </c>
      <c r="F1954" s="670"/>
      <c r="G1954" s="1229" t="s">
        <v>3185</v>
      </c>
      <c r="H1954" s="94"/>
      <c r="J1954" s="1204" t="s">
        <v>5026</v>
      </c>
    </row>
    <row r="1955" spans="1:10" ht="15.75" thickTop="1" x14ac:dyDescent="0.25">
      <c r="A1955" s="585" t="str">
        <f>IF(I1955&gt;0,"P","")</f>
        <v/>
      </c>
      <c r="B1955" s="254" t="str">
        <f>IF(LEN('Ch9'!H88)=0,"",'Ch9'!H88)</f>
        <v/>
      </c>
      <c r="C1955" s="254" t="str">
        <f t="shared" si="46"/>
        <v/>
      </c>
      <c r="D1955" s="139">
        <v>901.5</v>
      </c>
      <c r="E1955" s="139"/>
      <c r="F1955" s="139"/>
      <c r="G1955" s="1782" t="s">
        <v>3186</v>
      </c>
      <c r="H1955" s="94"/>
      <c r="I1955" s="706">
        <f>SUM(I1958:I1960)</f>
        <v>0</v>
      </c>
      <c r="J1955" s="1204"/>
    </row>
    <row r="1956" spans="1:10" x14ac:dyDescent="0.25">
      <c r="A1956" s="585" t="str">
        <f>A1955</f>
        <v/>
      </c>
      <c r="B1956" s="254" t="str">
        <f>IF(LEN('Ch9'!H89)=0,"",'Ch9'!H89)</f>
        <v/>
      </c>
      <c r="C1956" s="254" t="str">
        <f t="shared" si="46"/>
        <v/>
      </c>
      <c r="D1956" s="139"/>
      <c r="E1956" s="139"/>
      <c r="F1956" s="139"/>
      <c r="G1956" s="1782"/>
      <c r="H1956" s="94"/>
      <c r="J1956" s="1204"/>
    </row>
    <row r="1957" spans="1:10" x14ac:dyDescent="0.25">
      <c r="B1957" s="254" t="str">
        <f>IF(LEN('Ch9'!H90)=0,"",'Ch9'!H90)</f>
        <v/>
      </c>
      <c r="C1957" s="254" t="str">
        <f t="shared" si="46"/>
        <v/>
      </c>
      <c r="D1957" s="139"/>
      <c r="E1957" s="139"/>
      <c r="F1957" s="139"/>
      <c r="G1957" s="1232" t="s">
        <v>3187</v>
      </c>
      <c r="H1957" s="94"/>
      <c r="J1957" s="1204"/>
    </row>
    <row r="1958" spans="1:10" x14ac:dyDescent="0.25">
      <c r="A1958" s="585" t="str">
        <f>IF(I1958&gt;0,"P","")</f>
        <v/>
      </c>
      <c r="B1958" s="254" t="str">
        <f>IF(LEN('Ch9'!H91)=0,"",'Ch9'!H91)</f>
        <v/>
      </c>
      <c r="C1958" s="254" t="str">
        <f t="shared" si="46"/>
        <v/>
      </c>
      <c r="D1958" s="139"/>
      <c r="E1958" s="668" t="s">
        <v>256</v>
      </c>
      <c r="F1958" s="101"/>
      <c r="G1958" s="1754" t="s">
        <v>3188</v>
      </c>
      <c r="H1958" s="1313" t="str">
        <f>IF(LEN('Ch9'!W91)=0,"",'Ch9'!W91)</f>
        <v/>
      </c>
      <c r="I1958" s="86">
        <f>'Ch9'!O91</f>
        <v>0</v>
      </c>
      <c r="J1958" s="1204" t="s">
        <v>3892</v>
      </c>
    </row>
    <row r="1959" spans="1:10" x14ac:dyDescent="0.25">
      <c r="A1959" s="585" t="str">
        <f>A1958</f>
        <v/>
      </c>
      <c r="B1959" s="254" t="str">
        <f>IF(LEN('Ch9'!H92)=0,"",'Ch9'!H92)</f>
        <v/>
      </c>
      <c r="C1959" s="254" t="str">
        <f t="shared" si="46"/>
        <v/>
      </c>
      <c r="D1959" s="139"/>
      <c r="E1959" s="669"/>
      <c r="F1959" s="669"/>
      <c r="G1959" s="1755"/>
      <c r="H1959" s="94"/>
      <c r="J1959" s="1204"/>
    </row>
    <row r="1960" spans="1:10" x14ac:dyDescent="0.25">
      <c r="A1960" s="585" t="str">
        <f>IF(I1960&gt;0,"P","")</f>
        <v/>
      </c>
      <c r="B1960" s="254" t="str">
        <f>IF(LEN('Ch9'!H93)=0,"",'Ch9'!H93)</f>
        <v/>
      </c>
      <c r="C1960" s="254" t="str">
        <f t="shared" si="46"/>
        <v/>
      </c>
      <c r="D1960" s="101"/>
      <c r="E1960" s="668" t="s">
        <v>258</v>
      </c>
      <c r="F1960" s="101"/>
      <c r="G1960" s="1754" t="s">
        <v>5592</v>
      </c>
      <c r="H1960" s="1313" t="str">
        <f>IF(LEN('Ch9'!W93)=0,"",'Ch9'!W93)</f>
        <v/>
      </c>
      <c r="I1960" s="86">
        <f>'Ch9'!O93</f>
        <v>0</v>
      </c>
      <c r="J1960" s="1204" t="s">
        <v>5027</v>
      </c>
    </row>
    <row r="1961" spans="1:10" x14ac:dyDescent="0.25">
      <c r="A1961" s="585" t="str">
        <f>A1960</f>
        <v/>
      </c>
      <c r="B1961" s="254" t="str">
        <f>IF(LEN('Ch9'!H94)=0,"",'Ch9'!H94)</f>
        <v/>
      </c>
      <c r="C1961" s="254" t="str">
        <f t="shared" si="46"/>
        <v/>
      </c>
      <c r="D1961" s="101"/>
      <c r="E1961" s="101"/>
      <c r="F1961" s="101"/>
      <c r="G1961" s="1754"/>
      <c r="H1961" s="94"/>
      <c r="J1961" s="1204"/>
    </row>
    <row r="1962" spans="1:10" ht="15.75" thickBot="1" x14ac:dyDescent="0.3">
      <c r="A1962" s="585" t="str">
        <f>A1961</f>
        <v/>
      </c>
      <c r="B1962" s="254" t="str">
        <f>IF(LEN('Ch9'!H95)=0,"",'Ch9'!H95)</f>
        <v/>
      </c>
      <c r="C1962" s="254" t="str">
        <f t="shared" si="46"/>
        <v/>
      </c>
      <c r="D1962" s="670"/>
      <c r="E1962" s="670"/>
      <c r="F1962" s="670"/>
      <c r="G1962" s="1783"/>
      <c r="H1962" s="94"/>
      <c r="J1962" s="1204"/>
    </row>
    <row r="1963" spans="1:10" ht="15.75" thickTop="1" x14ac:dyDescent="0.25">
      <c r="A1963" s="585" t="str">
        <f>IF(AND(LEN(H1963)&gt;0,NOT(H1963=FALSE)),"P","")</f>
        <v/>
      </c>
      <c r="B1963" s="254" t="str">
        <f>IF(LEN('Ch9'!H96)=0,"",'Ch9'!H96)</f>
        <v/>
      </c>
      <c r="C1963" s="254" t="str">
        <f t="shared" si="46"/>
        <v/>
      </c>
      <c r="D1963" s="106">
        <v>901.6</v>
      </c>
      <c r="E1963" s="106"/>
      <c r="F1963" s="106"/>
      <c r="G1963" s="1781" t="s">
        <v>3190</v>
      </c>
      <c r="H1963" s="1313" t="str">
        <f>IF(LEN('Ch9'!W96)=0,"",'Ch9'!W96)</f>
        <v/>
      </c>
      <c r="J1963" s="1204" t="s">
        <v>3892</v>
      </c>
    </row>
    <row r="1964" spans="1:10" ht="15.75" thickBot="1" x14ac:dyDescent="0.3">
      <c r="A1964" s="585" t="str">
        <f>A1963</f>
        <v/>
      </c>
      <c r="B1964" s="254" t="str">
        <f>IF(LEN('Ch9'!H97)=0,"",'Ch9'!H97)</f>
        <v/>
      </c>
      <c r="C1964" s="254" t="str">
        <f t="shared" si="46"/>
        <v/>
      </c>
      <c r="D1964" s="670"/>
      <c r="E1964" s="670"/>
      <c r="F1964" s="670"/>
      <c r="G1964" s="1797"/>
      <c r="H1964" s="94"/>
      <c r="J1964" s="1204"/>
    </row>
    <row r="1965" spans="1:10" ht="15.75" thickTop="1" x14ac:dyDescent="0.25">
      <c r="A1965" s="585" t="str">
        <f>IF(I1965&gt;0,"P","")</f>
        <v/>
      </c>
      <c r="B1965" s="254" t="str">
        <f>IF(LEN('Ch9'!H98)=0,"",'Ch9'!H98)</f>
        <v/>
      </c>
      <c r="C1965" s="254" t="str">
        <f t="shared" si="46"/>
        <v/>
      </c>
      <c r="D1965" s="139">
        <v>901.7</v>
      </c>
      <c r="E1965" s="139"/>
      <c r="F1965" s="139"/>
      <c r="G1965" s="1782" t="s">
        <v>5593</v>
      </c>
      <c r="H1965" s="94"/>
      <c r="I1965" s="86">
        <f>'Ch9'!O98</f>
        <v>0</v>
      </c>
      <c r="J1965" s="1204"/>
    </row>
    <row r="1966" spans="1:10" x14ac:dyDescent="0.25">
      <c r="A1966" s="585" t="str">
        <f>A1965</f>
        <v/>
      </c>
      <c r="B1966" s="254" t="str">
        <f>IF(LEN('Ch9'!H99)=0,"",'Ch9'!H99)</f>
        <v/>
      </c>
      <c r="C1966" s="254" t="str">
        <f t="shared" si="46"/>
        <v/>
      </c>
      <c r="D1966" s="139"/>
      <c r="E1966" s="139"/>
      <c r="F1966" s="139"/>
      <c r="G1966" s="1782"/>
      <c r="H1966" s="94"/>
      <c r="J1966" s="1204"/>
    </row>
    <row r="1967" spans="1:10" x14ac:dyDescent="0.25">
      <c r="A1967" s="585" t="str">
        <f>A1966</f>
        <v/>
      </c>
      <c r="B1967" s="254" t="str">
        <f>IF(LEN('Ch9'!H100)=0,"",'Ch9'!H100)</f>
        <v/>
      </c>
      <c r="C1967" s="254" t="str">
        <f t="shared" si="46"/>
        <v/>
      </c>
      <c r="D1967" s="139"/>
      <c r="E1967" s="139"/>
      <c r="F1967" s="139"/>
      <c r="G1967" s="1782"/>
      <c r="H1967" s="94"/>
      <c r="J1967" s="1204"/>
    </row>
    <row r="1968" spans="1:10" x14ac:dyDescent="0.25">
      <c r="A1968" s="585" t="str">
        <f>A1967</f>
        <v/>
      </c>
      <c r="B1968" s="254" t="str">
        <f>IF(LEN('Ch9'!H101)=0,"",'Ch9'!H101)</f>
        <v/>
      </c>
      <c r="C1968" s="254" t="str">
        <f t="shared" si="46"/>
        <v/>
      </c>
      <c r="D1968" s="139"/>
      <c r="E1968" s="139"/>
      <c r="F1968" s="139"/>
      <c r="G1968" s="1782"/>
      <c r="H1968" s="94"/>
      <c r="J1968" s="1204"/>
    </row>
    <row r="1969" spans="1:10" x14ac:dyDescent="0.25">
      <c r="A1969" s="585" t="str">
        <f>A1968</f>
        <v/>
      </c>
      <c r="B1969" s="254" t="str">
        <f>IF(LEN('Ch9'!H102)=0,"",'Ch9'!H102)</f>
        <v/>
      </c>
      <c r="C1969" s="254" t="str">
        <f t="shared" si="46"/>
        <v/>
      </c>
      <c r="D1969" s="139"/>
      <c r="E1969" s="139"/>
      <c r="F1969" s="139"/>
      <c r="G1969" s="1782"/>
      <c r="H1969" s="94"/>
      <c r="J1969" s="1204"/>
    </row>
    <row r="1970" spans="1:10" x14ac:dyDescent="0.25">
      <c r="B1970" s="254" t="str">
        <f>IF(LEN('Ch9'!H103)=0,"",'Ch9'!H103)</f>
        <v/>
      </c>
      <c r="C1970" s="254" t="str">
        <f t="shared" si="46"/>
        <v/>
      </c>
      <c r="D1970" s="139"/>
      <c r="E1970" s="139"/>
      <c r="F1970" s="139"/>
      <c r="G1970" s="1860" t="s">
        <v>3192</v>
      </c>
      <c r="H1970" s="94"/>
      <c r="J1970" s="1204"/>
    </row>
    <row r="1971" spans="1:10" x14ac:dyDescent="0.25">
      <c r="B1971" s="254" t="str">
        <f>IF(LEN('Ch9'!H104)=0,"",'Ch9'!H104)</f>
        <v/>
      </c>
      <c r="C1971" s="254" t="str">
        <f t="shared" si="46"/>
        <v/>
      </c>
      <c r="D1971" s="139"/>
      <c r="E1971" s="139"/>
      <c r="F1971" s="139"/>
      <c r="G1971" s="1860"/>
      <c r="H1971" s="94"/>
      <c r="J1971" s="1204"/>
    </row>
    <row r="1972" spans="1:10" x14ac:dyDescent="0.25">
      <c r="A1972" s="585" t="str">
        <f>IF(AND(LEN(H1972)&gt;0,NOT(H1972=FALSE)),"P","")</f>
        <v/>
      </c>
      <c r="B1972" s="254" t="str">
        <f>IF(LEN('Ch9'!H105)=0,"",'Ch9'!H105)</f>
        <v/>
      </c>
      <c r="C1972" s="254" t="str">
        <f t="shared" si="46"/>
        <v/>
      </c>
      <c r="D1972" s="139"/>
      <c r="E1972" s="667" t="s">
        <v>256</v>
      </c>
      <c r="F1972" s="139"/>
      <c r="G1972" s="1754" t="s">
        <v>3193</v>
      </c>
      <c r="H1972" s="1313" t="str">
        <f>IF(LEN('Ch9'!W105)=0,"",'Ch9'!W105)</f>
        <v/>
      </c>
      <c r="J1972" s="1204" t="s">
        <v>5028</v>
      </c>
    </row>
    <row r="1973" spans="1:10" x14ac:dyDescent="0.25">
      <c r="A1973" s="585" t="str">
        <f>A1972</f>
        <v/>
      </c>
      <c r="B1973" s="254" t="str">
        <f>IF(LEN('Ch9'!H106)=0,"",'Ch9'!H106)</f>
        <v/>
      </c>
      <c r="C1973" s="254" t="str">
        <f t="shared" si="46"/>
        <v/>
      </c>
      <c r="D1973" s="139"/>
      <c r="E1973" s="139"/>
      <c r="F1973" s="139"/>
      <c r="G1973" s="1754"/>
      <c r="H1973" s="94"/>
      <c r="J1973" s="1204"/>
    </row>
    <row r="1974" spans="1:10" x14ac:dyDescent="0.25">
      <c r="A1974" s="585" t="str">
        <f>A1973</f>
        <v/>
      </c>
      <c r="B1974" s="254" t="str">
        <f>IF(LEN('Ch9'!H107)=0,"",'Ch9'!H107)</f>
        <v/>
      </c>
      <c r="C1974" s="254" t="str">
        <f t="shared" si="46"/>
        <v/>
      </c>
      <c r="D1974" s="139"/>
      <c r="E1974" s="139"/>
      <c r="F1974" s="139"/>
      <c r="G1974" s="1754"/>
      <c r="H1974" s="94"/>
      <c r="J1974" s="1204"/>
    </row>
    <row r="1975" spans="1:10" x14ac:dyDescent="0.25">
      <c r="A1975" s="585" t="str">
        <f>A1974</f>
        <v/>
      </c>
      <c r="B1975" s="254" t="str">
        <f>IF(LEN('Ch9'!H108)=0,"",'Ch9'!H108)</f>
        <v/>
      </c>
      <c r="C1975" s="254" t="str">
        <f t="shared" si="46"/>
        <v/>
      </c>
      <c r="D1975" s="139"/>
      <c r="E1975" s="139"/>
      <c r="F1975" s="139"/>
      <c r="G1975" s="1754"/>
      <c r="H1975" s="94"/>
      <c r="J1975" s="1204"/>
    </row>
    <row r="1976" spans="1:10" x14ac:dyDescent="0.25">
      <c r="B1976" s="254" t="str">
        <f>IF(LEN('Ch9'!H109)=0,"",'Ch9'!H109)</f>
        <v/>
      </c>
      <c r="C1976" s="254" t="str">
        <f t="shared" si="46"/>
        <v/>
      </c>
      <c r="D1976" s="139"/>
      <c r="E1976" s="139"/>
      <c r="F1976" s="667" t="s">
        <v>121</v>
      </c>
      <c r="G1976" s="1225" t="s">
        <v>3194</v>
      </c>
      <c r="H1976" s="94"/>
      <c r="J1976" s="1204"/>
    </row>
    <row r="1977" spans="1:10" x14ac:dyDescent="0.25">
      <c r="B1977" s="254" t="str">
        <f>IF(LEN('Ch9'!H110)=0,"",'Ch9'!H110)</f>
        <v/>
      </c>
      <c r="C1977" s="254" t="str">
        <f t="shared" si="46"/>
        <v/>
      </c>
      <c r="D1977" s="139"/>
      <c r="E1977" s="139"/>
      <c r="F1977" s="667" t="s">
        <v>122</v>
      </c>
      <c r="G1977" s="1225" t="s">
        <v>3195</v>
      </c>
      <c r="H1977" s="94"/>
      <c r="J1977" s="1204"/>
    </row>
    <row r="1978" spans="1:10" x14ac:dyDescent="0.25">
      <c r="B1978" s="254" t="str">
        <f>IF(LEN('Ch9'!H111)=0,"",'Ch9'!H111)</f>
        <v/>
      </c>
      <c r="C1978" s="254" t="str">
        <f t="shared" si="46"/>
        <v/>
      </c>
      <c r="D1978" s="139"/>
      <c r="E1978" s="139"/>
      <c r="F1978" s="667" t="s">
        <v>123</v>
      </c>
      <c r="G1978" s="1225" t="s">
        <v>3196</v>
      </c>
      <c r="H1978" s="94"/>
      <c r="J1978" s="1204"/>
    </row>
    <row r="1979" spans="1:10" x14ac:dyDescent="0.25">
      <c r="B1979" s="254" t="str">
        <f>IF(LEN('Ch9'!H112)=0,"",'Ch9'!H112)</f>
        <v/>
      </c>
      <c r="C1979" s="254" t="str">
        <f t="shared" si="46"/>
        <v/>
      </c>
      <c r="D1979" s="139"/>
      <c r="E1979" s="139"/>
      <c r="F1979" s="667" t="s">
        <v>401</v>
      </c>
      <c r="G1979" s="1225" t="s">
        <v>3197</v>
      </c>
      <c r="H1979" s="94"/>
      <c r="J1979" s="1204"/>
    </row>
    <row r="1980" spans="1:10" x14ac:dyDescent="0.25">
      <c r="B1980" s="254" t="str">
        <f>IF(LEN('Ch9'!H113)=0,"",'Ch9'!H113)</f>
        <v/>
      </c>
      <c r="C1980" s="254" t="str">
        <f t="shared" si="46"/>
        <v/>
      </c>
      <c r="D1980" s="139"/>
      <c r="E1980" s="139"/>
      <c r="F1980" s="667" t="s">
        <v>539</v>
      </c>
      <c r="G1980" s="1225" t="s">
        <v>3198</v>
      </c>
      <c r="H1980" s="94"/>
      <c r="J1980" s="1204"/>
    </row>
    <row r="1981" spans="1:10" x14ac:dyDescent="0.25">
      <c r="B1981" s="254" t="str">
        <f>IF(LEN('Ch9'!H114)=0,"",'Ch9'!H114)</f>
        <v/>
      </c>
      <c r="C1981" s="254" t="str">
        <f t="shared" si="46"/>
        <v/>
      </c>
      <c r="D1981" s="139"/>
      <c r="E1981" s="669"/>
      <c r="F1981" s="684" t="s">
        <v>604</v>
      </c>
      <c r="G1981" s="1215" t="s">
        <v>3199</v>
      </c>
      <c r="H1981" s="94"/>
      <c r="J1981" s="1204"/>
    </row>
    <row r="1982" spans="1:10" ht="25.5" x14ac:dyDescent="0.25">
      <c r="A1982" s="585" t="str">
        <f>IF(AND(LEN(H1982)&gt;0,NOT(H1982=FALSE)),"P","")</f>
        <v/>
      </c>
      <c r="B1982" s="254" t="str">
        <f>IF(LEN('Ch9'!H115)=0,"",'Ch9'!H115)</f>
        <v/>
      </c>
      <c r="C1982" s="254" t="str">
        <f t="shared" si="46"/>
        <v/>
      </c>
      <c r="D1982" s="101"/>
      <c r="E1982" s="684" t="s">
        <v>258</v>
      </c>
      <c r="F1982" s="669"/>
      <c r="G1982" s="1215" t="s">
        <v>3837</v>
      </c>
      <c r="H1982" s="1313" t="str">
        <f>IF(LEN('Ch9'!W115)=0,"",'Ch9'!W115)</f>
        <v/>
      </c>
      <c r="J1982" s="1204" t="s">
        <v>5029</v>
      </c>
    </row>
    <row r="1983" spans="1:10" ht="25.5" x14ac:dyDescent="0.25">
      <c r="A1983" s="585" t="str">
        <f>IF(AND(LEN(H1983)&gt;0,NOT(H1983=FALSE)),"P","")</f>
        <v/>
      </c>
      <c r="B1983" s="254" t="str">
        <f>IF(LEN('Ch9'!H116)=0,"",'Ch9'!H116)</f>
        <v/>
      </c>
      <c r="C1983" s="254" t="str">
        <f t="shared" si="46"/>
        <v/>
      </c>
      <c r="D1983" s="101"/>
      <c r="E1983" s="668" t="s">
        <v>260</v>
      </c>
      <c r="F1983" s="101"/>
      <c r="G1983" s="1225" t="s">
        <v>3650</v>
      </c>
      <c r="H1983" s="1313" t="str">
        <f>IF(LEN('Ch9'!W116)=0,"",'Ch9'!W116)</f>
        <v/>
      </c>
      <c r="J1983" s="1204" t="s">
        <v>5029</v>
      </c>
    </row>
    <row r="1984" spans="1:10" x14ac:dyDescent="0.25">
      <c r="B1984" s="254" t="str">
        <f>IF(LEN('Ch9'!H117)=0,"",'Ch9'!H117)</f>
        <v/>
      </c>
      <c r="C1984" s="254" t="str">
        <f t="shared" si="46"/>
        <v/>
      </c>
      <c r="D1984" s="101"/>
      <c r="E1984" s="101"/>
      <c r="F1984" s="101"/>
      <c r="G1984" s="1860" t="s">
        <v>3200</v>
      </c>
      <c r="H1984" s="94"/>
      <c r="J1984" s="1204"/>
    </row>
    <row r="1985" spans="1:10" ht="15.75" thickBot="1" x14ac:dyDescent="0.3">
      <c r="B1985" s="254" t="str">
        <f>IF(LEN('Ch9'!H118)=0,"",'Ch9'!H118)</f>
        <v/>
      </c>
      <c r="C1985" s="254" t="str">
        <f t="shared" si="46"/>
        <v/>
      </c>
      <c r="D1985" s="670"/>
      <c r="E1985" s="670"/>
      <c r="F1985" s="670"/>
      <c r="G1985" s="1943"/>
      <c r="H1985" s="94"/>
      <c r="J1985" s="1204"/>
    </row>
    <row r="1986" spans="1:10" ht="15.75" thickTop="1" x14ac:dyDescent="0.25">
      <c r="A1986" s="585" t="str">
        <f>IF(AND(LEN(H1986)&gt;0,NOT(H1986=FALSE)),"P","")</f>
        <v/>
      </c>
      <c r="B1986" s="254" t="str">
        <f>IF(LEN('Ch9'!H119)=0,"",'Ch9'!H119)</f>
        <v/>
      </c>
      <c r="C1986" s="254" t="str">
        <f t="shared" si="46"/>
        <v/>
      </c>
      <c r="D1986" s="106">
        <v>901.8</v>
      </c>
      <c r="E1986" s="106"/>
      <c r="F1986" s="106"/>
      <c r="G1986" s="1781" t="s">
        <v>5594</v>
      </c>
      <c r="H1986" s="1313" t="str">
        <f>IF(LEN('Ch9'!W119)=0,"",'Ch9'!W119)</f>
        <v/>
      </c>
      <c r="I1986" s="86">
        <f>'Ch9'!O119</f>
        <v>0</v>
      </c>
      <c r="J1986" s="1950" t="s">
        <v>5030</v>
      </c>
    </row>
    <row r="1987" spans="1:10" x14ac:dyDescent="0.25">
      <c r="A1987" s="585" t="str">
        <f>A1986</f>
        <v/>
      </c>
      <c r="B1987" s="254" t="str">
        <f>IF(LEN('Ch9'!H120)=0,"",'Ch9'!H120)</f>
        <v/>
      </c>
      <c r="C1987" s="254" t="str">
        <f t="shared" si="46"/>
        <v/>
      </c>
      <c r="D1987" s="101"/>
      <c r="E1987" s="101"/>
      <c r="F1987" s="101"/>
      <c r="G1987" s="1782"/>
      <c r="H1987" s="94"/>
      <c r="J1987" s="1951"/>
    </row>
    <row r="1988" spans="1:10" x14ac:dyDescent="0.25">
      <c r="A1988" s="585" t="str">
        <f>A1987</f>
        <v/>
      </c>
      <c r="B1988" s="254" t="str">
        <f>IF(LEN('Ch9'!H121)=0,"",'Ch9'!H121)</f>
        <v/>
      </c>
      <c r="C1988" s="254" t="str">
        <f t="shared" si="46"/>
        <v/>
      </c>
      <c r="D1988" s="101"/>
      <c r="E1988" s="101"/>
      <c r="F1988" s="101"/>
      <c r="G1988" s="1782"/>
      <c r="H1988" s="94"/>
      <c r="J1988" s="1204"/>
    </row>
    <row r="1989" spans="1:10" x14ac:dyDescent="0.25">
      <c r="A1989" s="585" t="str">
        <f>A1988</f>
        <v/>
      </c>
      <c r="B1989" s="254" t="str">
        <f>IF(LEN('Ch9'!H122)=0,"",'Ch9'!H122)</f>
        <v/>
      </c>
      <c r="C1989" s="254" t="str">
        <f t="shared" si="46"/>
        <v/>
      </c>
      <c r="D1989" s="101"/>
      <c r="E1989" s="101"/>
      <c r="F1989" s="101"/>
      <c r="G1989" s="1782"/>
      <c r="H1989" s="94"/>
      <c r="J1989" s="1204"/>
    </row>
    <row r="1990" spans="1:10" x14ac:dyDescent="0.25">
      <c r="A1990" s="585" t="str">
        <f>A1989</f>
        <v/>
      </c>
      <c r="B1990" s="254" t="str">
        <f>IF(LEN('Ch9'!H123)=0,"",'Ch9'!H123)</f>
        <v/>
      </c>
      <c r="C1990" s="254" t="str">
        <f t="shared" si="46"/>
        <v/>
      </c>
      <c r="D1990" s="101"/>
      <c r="E1990" s="101"/>
      <c r="F1990" s="101"/>
      <c r="G1990" s="1782"/>
      <c r="H1990" s="94"/>
      <c r="J1990" s="1204"/>
    </row>
    <row r="1991" spans="1:10" ht="15.75" thickBot="1" x14ac:dyDescent="0.3">
      <c r="A1991" s="585" t="str">
        <f>A1990</f>
        <v/>
      </c>
      <c r="B1991" s="254" t="str">
        <f>IF(LEN('Ch9'!H124)=0,"",'Ch9'!H124)</f>
        <v/>
      </c>
      <c r="C1991" s="254" t="str">
        <f t="shared" si="46"/>
        <v/>
      </c>
      <c r="D1991" s="670"/>
      <c r="E1991" s="670"/>
      <c r="F1991" s="670"/>
      <c r="G1991" s="1797"/>
      <c r="H1991" s="94"/>
      <c r="J1991" s="1204"/>
    </row>
    <row r="1992" spans="1:10" ht="15.75" thickTop="1" x14ac:dyDescent="0.25">
      <c r="A1992" s="585" t="str">
        <f>IF(I1992&gt;0,"P","")</f>
        <v/>
      </c>
      <c r="B1992" s="254" t="str">
        <f>IF(LEN('Ch9'!H125)=0,"",'Ch9'!H125)</f>
        <v/>
      </c>
      <c r="C1992" s="254" t="str">
        <f t="shared" si="46"/>
        <v/>
      </c>
      <c r="D1992" s="106">
        <v>901.9</v>
      </c>
      <c r="E1992" s="106"/>
      <c r="F1992" s="106"/>
      <c r="G1992" s="1781" t="s">
        <v>3202</v>
      </c>
      <c r="H1992" s="94"/>
      <c r="I1992" s="706">
        <f>SUM(I1995:I2007)</f>
        <v>0</v>
      </c>
      <c r="J1992" s="1204"/>
    </row>
    <row r="1993" spans="1:10" x14ac:dyDescent="0.25">
      <c r="A1993" s="585" t="str">
        <f>A1992</f>
        <v/>
      </c>
      <c r="B1993" s="254" t="str">
        <f>IF(LEN('Ch9'!H126)=0,"",'Ch9'!H126)</f>
        <v/>
      </c>
      <c r="C1993" s="254" t="str">
        <f t="shared" si="46"/>
        <v/>
      </c>
      <c r="D1993" s="101"/>
      <c r="E1993" s="101"/>
      <c r="F1993" s="101"/>
      <c r="G1993" s="1782"/>
      <c r="H1993" s="94"/>
      <c r="J1993" s="1204"/>
    </row>
    <row r="1994" spans="1:10" x14ac:dyDescent="0.25">
      <c r="A1994" s="585" t="str">
        <f>A1993</f>
        <v/>
      </c>
      <c r="B1994" s="254" t="str">
        <f>IF(LEN('Ch9'!H127)=0,"",'Ch9'!H127)</f>
        <v/>
      </c>
      <c r="C1994" s="254" t="str">
        <f t="shared" si="46"/>
        <v/>
      </c>
      <c r="D1994" s="101"/>
      <c r="E1994" s="101"/>
      <c r="F1994" s="101"/>
      <c r="G1994" s="1782"/>
      <c r="H1994" s="94"/>
      <c r="J1994" s="1204"/>
    </row>
    <row r="1995" spans="1:10" x14ac:dyDescent="0.25">
      <c r="A1995" s="585" t="str">
        <f>IF(I1995&gt;0,"P","")</f>
        <v/>
      </c>
      <c r="B1995" s="254" t="str">
        <f>IF(LEN('Ch9'!H128)=0,"",'Ch9'!H128)</f>
        <v/>
      </c>
      <c r="C1995" s="254" t="str">
        <f t="shared" si="46"/>
        <v/>
      </c>
      <c r="D1995" s="139" t="s">
        <v>3203</v>
      </c>
      <c r="E1995" s="139"/>
      <c r="F1995" s="139"/>
      <c r="G1995" s="1782" t="s">
        <v>3204</v>
      </c>
      <c r="H1995" s="94"/>
      <c r="I1995" s="86">
        <f>'Ch9'!O128</f>
        <v>0</v>
      </c>
      <c r="J1995" s="1950" t="s">
        <v>5031</v>
      </c>
    </row>
    <row r="1996" spans="1:10" x14ac:dyDescent="0.25">
      <c r="A1996" s="585" t="str">
        <f>A1995</f>
        <v/>
      </c>
      <c r="B1996" s="254" t="str">
        <f>IF(LEN('Ch9'!H129)=0,"",'Ch9'!H129)</f>
        <v/>
      </c>
      <c r="C1996" s="254" t="str">
        <f t="shared" si="46"/>
        <v/>
      </c>
      <c r="D1996" s="139"/>
      <c r="E1996" s="139"/>
      <c r="F1996" s="139"/>
      <c r="G1996" s="1782"/>
      <c r="H1996" s="94"/>
      <c r="J1996" s="1951"/>
    </row>
    <row r="1997" spans="1:10" x14ac:dyDescent="0.25">
      <c r="B1997" s="254" t="str">
        <f>IF(LEN('Ch9'!H130)=0,"",'Ch9'!H130)</f>
        <v/>
      </c>
      <c r="C1997" s="254" t="str">
        <f t="shared" si="46"/>
        <v/>
      </c>
      <c r="D1997" s="139"/>
      <c r="E1997" s="668" t="s">
        <v>256</v>
      </c>
      <c r="F1997" s="101"/>
      <c r="G1997" s="1754" t="s">
        <v>3205</v>
      </c>
      <c r="H1997" s="1313" t="str">
        <f>IF(LEN('Ch9'!W130)=0,"",'Ch9'!W130)</f>
        <v/>
      </c>
      <c r="J1997" s="1204"/>
    </row>
    <row r="1998" spans="1:10" x14ac:dyDescent="0.25">
      <c r="B1998" s="254" t="str">
        <f>IF(LEN('Ch9'!H131)=0,"",'Ch9'!H131)</f>
        <v/>
      </c>
      <c r="C1998" s="254" t="str">
        <f t="shared" si="46"/>
        <v/>
      </c>
      <c r="D1998" s="139"/>
      <c r="E1998" s="669"/>
      <c r="F1998" s="669"/>
      <c r="G1998" s="1755"/>
      <c r="H1998" s="94"/>
      <c r="J1998" s="1204"/>
    </row>
    <row r="1999" spans="1:10" x14ac:dyDescent="0.25">
      <c r="B1999" s="254" t="str">
        <f>IF(LEN('Ch9'!H132)=0,"",'Ch9'!H132)</f>
        <v/>
      </c>
      <c r="C1999" s="254" t="str">
        <f t="shared" si="46"/>
        <v/>
      </c>
      <c r="D1999" s="139"/>
      <c r="E1999" s="684" t="s">
        <v>258</v>
      </c>
      <c r="F1999" s="669"/>
      <c r="G1999" s="1215" t="s">
        <v>3206</v>
      </c>
      <c r="H1999" s="1313" t="str">
        <f>IF(LEN('Ch9'!W132)=0,"",'Ch9'!W132)</f>
        <v/>
      </c>
      <c r="J1999" s="1204"/>
    </row>
    <row r="2000" spans="1:10" x14ac:dyDescent="0.25">
      <c r="B2000" s="254" t="str">
        <f>IF(LEN('Ch9'!H133)=0,"",'Ch9'!H133)</f>
        <v/>
      </c>
      <c r="C2000" s="254" t="str">
        <f t="shared" si="46"/>
        <v/>
      </c>
      <c r="D2000" s="101"/>
      <c r="E2000" s="668" t="s">
        <v>260</v>
      </c>
      <c r="F2000" s="101"/>
      <c r="G2000" s="1225" t="s">
        <v>3207</v>
      </c>
      <c r="H2000" s="1313" t="str">
        <f>IF(LEN('Ch9'!W133)=0,"",'Ch9'!W133)</f>
        <v/>
      </c>
      <c r="J2000" s="1204"/>
    </row>
    <row r="2001" spans="1:10" x14ac:dyDescent="0.25">
      <c r="B2001" s="254" t="str">
        <f>IF(LEN('Ch9'!H134)=0,"",'Ch9'!H134)</f>
        <v/>
      </c>
      <c r="C2001" s="254" t="str">
        <f t="shared" si="46"/>
        <v/>
      </c>
      <c r="D2001" s="1387"/>
      <c r="E2001" s="1387"/>
      <c r="F2001" s="1387"/>
      <c r="G2001" s="527" t="s">
        <v>3664</v>
      </c>
      <c r="H2001" s="94"/>
      <c r="J2001" s="1204"/>
    </row>
    <row r="2002" spans="1:10" ht="25.5" customHeight="1" x14ac:dyDescent="0.25">
      <c r="A2002" s="585" t="str">
        <f>IF(I2002&gt;0,"P","")</f>
        <v/>
      </c>
      <c r="B2002" s="254" t="str">
        <f>IF(LEN('Ch9'!H135)=0,"",'Ch9'!H135)</f>
        <v/>
      </c>
      <c r="C2002" s="254" t="str">
        <f t="shared" ref="C2002:C2065" si="48">IF(LEN(B2002)=0,IF(A2002="P","P",""),B2002)</f>
        <v/>
      </c>
      <c r="D2002" s="671" t="s">
        <v>3208</v>
      </c>
      <c r="E2002" s="671"/>
      <c r="F2002" s="671"/>
      <c r="G2002" s="1864" t="s">
        <v>3209</v>
      </c>
      <c r="H2002" s="1313" t="str">
        <f>IF(LEN('Ch9'!W135)=0,"",'Ch9'!W135)</f>
        <v/>
      </c>
      <c r="I2002" s="86">
        <f>'Ch9'!O135</f>
        <v>0</v>
      </c>
      <c r="J2002" s="1950" t="s">
        <v>5032</v>
      </c>
    </row>
    <row r="2003" spans="1:10" x14ac:dyDescent="0.25">
      <c r="A2003" s="585" t="str">
        <f>A2002</f>
        <v/>
      </c>
      <c r="B2003" s="254" t="str">
        <f>IF(LEN('Ch9'!H136)=0,"",'Ch9'!H136)</f>
        <v/>
      </c>
      <c r="C2003" s="254" t="str">
        <f t="shared" si="48"/>
        <v/>
      </c>
      <c r="D2003" s="101"/>
      <c r="E2003" s="101"/>
      <c r="F2003" s="101"/>
      <c r="G2003" s="1782"/>
      <c r="H2003" s="94"/>
      <c r="J2003" s="1951"/>
    </row>
    <row r="2004" spans="1:10" x14ac:dyDescent="0.25">
      <c r="B2004" s="254" t="str">
        <f>IF(LEN('Ch9'!H137)=0,"",'Ch9'!H137)</f>
        <v/>
      </c>
      <c r="C2004" s="254" t="str">
        <f t="shared" si="48"/>
        <v/>
      </c>
      <c r="D2004" s="101"/>
      <c r="E2004" s="101"/>
      <c r="F2004" s="101"/>
      <c r="G2004" s="1942" t="s">
        <v>3210</v>
      </c>
      <c r="H2004" s="94"/>
      <c r="J2004" s="1204"/>
    </row>
    <row r="2005" spans="1:10" x14ac:dyDescent="0.25">
      <c r="B2005" s="254" t="str">
        <f>IF(LEN('Ch9'!H138)=0,"",'Ch9'!H138)</f>
        <v/>
      </c>
      <c r="C2005" s="254" t="str">
        <f t="shared" si="48"/>
        <v/>
      </c>
      <c r="D2005" s="101"/>
      <c r="E2005" s="101"/>
      <c r="F2005" s="101"/>
      <c r="G2005" s="1942"/>
      <c r="H2005" s="94"/>
      <c r="J2005" s="1204"/>
    </row>
    <row r="2006" spans="1:10" x14ac:dyDescent="0.25">
      <c r="B2006" s="254" t="str">
        <f>IF(LEN('Ch9'!H139)=0,"",'Ch9'!H139)</f>
        <v/>
      </c>
      <c r="C2006" s="254" t="str">
        <f t="shared" si="48"/>
        <v/>
      </c>
      <c r="D2006" s="669"/>
      <c r="E2006" s="669"/>
      <c r="F2006" s="669"/>
      <c r="G2006" s="527" t="s">
        <v>3759</v>
      </c>
      <c r="H2006" s="94"/>
      <c r="J2006" s="1204"/>
    </row>
    <row r="2007" spans="1:10" x14ac:dyDescent="0.25">
      <c r="A2007" s="585" t="str">
        <f>IF(I2007&gt;0,"P","")</f>
        <v/>
      </c>
      <c r="B2007" s="254" t="str">
        <f>IF(LEN('Ch9'!H140)=0,"",'Ch9'!H140)</f>
        <v/>
      </c>
      <c r="C2007" s="254" t="str">
        <f t="shared" si="48"/>
        <v/>
      </c>
      <c r="D2007" s="101" t="s">
        <v>3211</v>
      </c>
      <c r="E2007" s="101"/>
      <c r="F2007" s="101"/>
      <c r="G2007" s="1782" t="s">
        <v>5595</v>
      </c>
      <c r="H2007" s="1313" t="str">
        <f>IF(LEN('Ch9'!W140)=0,"",'Ch9'!W140)</f>
        <v/>
      </c>
      <c r="I2007" s="86">
        <f>'Ch9'!O140</f>
        <v>0</v>
      </c>
      <c r="J2007" s="1950" t="s">
        <v>5033</v>
      </c>
    </row>
    <row r="2008" spans="1:10" x14ac:dyDescent="0.25">
      <c r="A2008" s="585" t="str">
        <f>A2007</f>
        <v/>
      </c>
      <c r="B2008" s="254" t="str">
        <f>IF(LEN('Ch9'!H141)=0,"",'Ch9'!H141)</f>
        <v/>
      </c>
      <c r="C2008" s="254" t="str">
        <f t="shared" si="48"/>
        <v/>
      </c>
      <c r="D2008" s="101"/>
      <c r="E2008" s="101"/>
      <c r="F2008" s="101"/>
      <c r="G2008" s="1782"/>
      <c r="H2008" s="94"/>
      <c r="J2008" s="1954"/>
    </row>
    <row r="2009" spans="1:10" x14ac:dyDescent="0.25">
      <c r="A2009" s="585" t="str">
        <f>A2008</f>
        <v/>
      </c>
      <c r="B2009" s="254" t="str">
        <f>IF(LEN('Ch9'!H142)=0,"",'Ch9'!H142)</f>
        <v/>
      </c>
      <c r="C2009" s="254" t="str">
        <f t="shared" si="48"/>
        <v/>
      </c>
      <c r="D2009" s="101"/>
      <c r="E2009" s="101"/>
      <c r="F2009" s="101"/>
      <c r="G2009" s="1782"/>
      <c r="H2009" s="94"/>
      <c r="J2009" s="1951"/>
    </row>
    <row r="2010" spans="1:10" x14ac:dyDescent="0.25">
      <c r="A2010" s="585" t="str">
        <f>A2009</f>
        <v/>
      </c>
      <c r="B2010" s="254" t="str">
        <f>IF(LEN('Ch9'!H143)=0,"",'Ch9'!H143)</f>
        <v/>
      </c>
      <c r="C2010" s="254" t="str">
        <f t="shared" si="48"/>
        <v/>
      </c>
      <c r="D2010" s="101"/>
      <c r="E2010" s="101"/>
      <c r="F2010" s="101"/>
      <c r="G2010" s="1782"/>
      <c r="H2010" s="94"/>
      <c r="J2010" s="1204"/>
    </row>
    <row r="2011" spans="1:10" x14ac:dyDescent="0.25">
      <c r="A2011" s="585" t="str">
        <f>A2010</f>
        <v/>
      </c>
      <c r="B2011" s="254" t="str">
        <f>IF(LEN('Ch9'!H144)=0,"",'Ch9'!H144)</f>
        <v/>
      </c>
      <c r="C2011" s="254" t="str">
        <f t="shared" si="48"/>
        <v/>
      </c>
      <c r="D2011" s="101"/>
      <c r="E2011" s="101"/>
      <c r="F2011" s="101"/>
      <c r="G2011" s="1782"/>
      <c r="H2011" s="94"/>
      <c r="J2011" s="1204"/>
    </row>
    <row r="2012" spans="1:10" ht="15.75" thickBot="1" x14ac:dyDescent="0.3">
      <c r="A2012" s="585" t="str">
        <f>A2011</f>
        <v/>
      </c>
      <c r="B2012" s="254" t="str">
        <f>IF(LEN('Ch9'!H145)=0,"",'Ch9'!H145)</f>
        <v/>
      </c>
      <c r="C2012" s="254" t="str">
        <f t="shared" si="48"/>
        <v/>
      </c>
      <c r="D2012" s="670"/>
      <c r="E2012" s="670"/>
      <c r="F2012" s="670"/>
      <c r="G2012" s="1797"/>
      <c r="H2012" s="94"/>
      <c r="J2012" s="1204"/>
    </row>
    <row r="2013" spans="1:10" ht="15.75" thickTop="1" x14ac:dyDescent="0.25">
      <c r="A2013" s="585" t="str">
        <f>IF(I2013&gt;0,"P","")</f>
        <v/>
      </c>
      <c r="B2013" s="254" t="str">
        <f>IF(LEN('Ch9'!H146)=0,"",'Ch9'!H146)</f>
        <v/>
      </c>
      <c r="C2013" s="254" t="str">
        <f t="shared" si="48"/>
        <v/>
      </c>
      <c r="D2013" s="676">
        <v>901.1</v>
      </c>
      <c r="E2013" s="139"/>
      <c r="F2013" s="139"/>
      <c r="G2013" s="1782" t="s">
        <v>3213</v>
      </c>
      <c r="H2013" s="94"/>
      <c r="I2013" s="86">
        <f>'Ch9'!O146</f>
        <v>0</v>
      </c>
      <c r="J2013" s="1950" t="s">
        <v>5034</v>
      </c>
    </row>
    <row r="2014" spans="1:10" x14ac:dyDescent="0.25">
      <c r="A2014" s="585" t="str">
        <f>A2013</f>
        <v/>
      </c>
      <c r="B2014" s="254" t="str">
        <f>IF(LEN('Ch9'!H147)=0,"",'Ch9'!H147)</f>
        <v/>
      </c>
      <c r="C2014" s="254" t="str">
        <f t="shared" si="48"/>
        <v/>
      </c>
      <c r="D2014" s="139"/>
      <c r="E2014" s="139"/>
      <c r="F2014" s="139"/>
      <c r="G2014" s="1782"/>
      <c r="H2014" s="94"/>
      <c r="J2014" s="1951"/>
    </row>
    <row r="2015" spans="1:10" x14ac:dyDescent="0.25">
      <c r="A2015" s="585" t="str">
        <f>A2014</f>
        <v/>
      </c>
      <c r="B2015" s="254" t="str">
        <f>IF(LEN('Ch9'!H148)=0,"",'Ch9'!H148)</f>
        <v/>
      </c>
      <c r="C2015" s="254" t="str">
        <f t="shared" si="48"/>
        <v/>
      </c>
      <c r="D2015" s="139"/>
      <c r="E2015" s="139"/>
      <c r="F2015" s="139"/>
      <c r="G2015" s="1782"/>
      <c r="H2015" s="94"/>
      <c r="J2015" s="1204"/>
    </row>
    <row r="2016" spans="1:10" x14ac:dyDescent="0.25">
      <c r="B2016" s="254" t="str">
        <f>IF(LEN('Ch9'!H149)=0,"",'Ch9'!H149)</f>
        <v/>
      </c>
      <c r="C2016" s="254" t="str">
        <f t="shared" si="48"/>
        <v/>
      </c>
      <c r="D2016" s="139"/>
      <c r="E2016" s="668" t="s">
        <v>256</v>
      </c>
      <c r="F2016" s="101"/>
      <c r="G2016" s="1754" t="s">
        <v>5596</v>
      </c>
      <c r="H2016" s="1313" t="str">
        <f>IF(LEN('Ch9'!W149)=0,"",'Ch9'!W149)</f>
        <v/>
      </c>
      <c r="J2016" s="1204"/>
    </row>
    <row r="2017" spans="1:10" x14ac:dyDescent="0.25">
      <c r="B2017" s="254" t="str">
        <f>IF(LEN('Ch9'!H150)=0,"",'Ch9'!H150)</f>
        <v/>
      </c>
      <c r="C2017" s="254" t="str">
        <f t="shared" si="48"/>
        <v/>
      </c>
      <c r="D2017" s="139"/>
      <c r="E2017" s="101"/>
      <c r="F2017" s="101"/>
      <c r="G2017" s="1754"/>
      <c r="H2017" s="94"/>
      <c r="J2017" s="1204"/>
    </row>
    <row r="2018" spans="1:10" x14ac:dyDescent="0.25">
      <c r="B2018" s="254" t="str">
        <f>IF(LEN('Ch9'!H151)=0,"",'Ch9'!H151)</f>
        <v/>
      </c>
      <c r="C2018" s="254" t="str">
        <f t="shared" si="48"/>
        <v/>
      </c>
      <c r="D2018" s="139"/>
      <c r="E2018" s="101"/>
      <c r="F2018" s="101"/>
      <c r="G2018" s="1754"/>
      <c r="H2018" s="94"/>
      <c r="J2018" s="1204"/>
    </row>
    <row r="2019" spans="1:10" x14ac:dyDescent="0.25">
      <c r="B2019" s="254" t="str">
        <f>IF(LEN('Ch9'!H152)=0,"",'Ch9'!H152)</f>
        <v/>
      </c>
      <c r="C2019" s="254" t="str">
        <f t="shared" si="48"/>
        <v/>
      </c>
      <c r="D2019" s="139"/>
      <c r="E2019" s="101"/>
      <c r="F2019" s="101"/>
      <c r="G2019" s="1754"/>
      <c r="H2019" s="94"/>
      <c r="J2019" s="1204"/>
    </row>
    <row r="2020" spans="1:10" x14ac:dyDescent="0.25">
      <c r="B2020" s="254" t="str">
        <f>IF(LEN('Ch9'!H153)=0,"",'Ch9'!H153)</f>
        <v/>
      </c>
      <c r="C2020" s="254" t="str">
        <f t="shared" si="48"/>
        <v/>
      </c>
      <c r="D2020" s="139"/>
      <c r="E2020" s="669"/>
      <c r="F2020" s="669"/>
      <c r="G2020" s="1755"/>
      <c r="H2020" s="94"/>
      <c r="J2020" s="1204"/>
    </row>
    <row r="2021" spans="1:10" x14ac:dyDescent="0.25">
      <c r="B2021" s="254" t="str">
        <f>IF(LEN('Ch9'!H154)=0,"",'Ch9'!H154)</f>
        <v/>
      </c>
      <c r="C2021" s="254" t="str">
        <f t="shared" si="48"/>
        <v/>
      </c>
      <c r="D2021" s="139"/>
      <c r="E2021" s="684" t="s">
        <v>258</v>
      </c>
      <c r="F2021" s="669"/>
      <c r="G2021" s="1215" t="s">
        <v>3215</v>
      </c>
      <c r="H2021" s="1313" t="str">
        <f>IF(LEN('Ch9'!W154)=0,"",'Ch9'!W154)</f>
        <v/>
      </c>
      <c r="J2021" s="1204"/>
    </row>
    <row r="2022" spans="1:10" x14ac:dyDescent="0.25">
      <c r="B2022" s="254" t="str">
        <f>IF(LEN('Ch9'!H155)=0,"",'Ch9'!H155)</f>
        <v/>
      </c>
      <c r="C2022" s="254" t="str">
        <f t="shared" si="48"/>
        <v/>
      </c>
      <c r="D2022" s="101"/>
      <c r="E2022" s="668" t="s">
        <v>260</v>
      </c>
      <c r="F2022" s="101"/>
      <c r="G2022" s="1754" t="s">
        <v>3216</v>
      </c>
      <c r="H2022" s="1313" t="str">
        <f>IF(LEN('Ch9'!W155)=0,"",'Ch9'!W155)</f>
        <v/>
      </c>
      <c r="J2022" s="1204"/>
    </row>
    <row r="2023" spans="1:10" x14ac:dyDescent="0.25">
      <c r="B2023" s="254" t="str">
        <f>IF(LEN('Ch9'!H156)=0,"",'Ch9'!H156)</f>
        <v/>
      </c>
      <c r="C2023" s="254" t="str">
        <f t="shared" si="48"/>
        <v/>
      </c>
      <c r="D2023" s="101"/>
      <c r="E2023" s="101"/>
      <c r="F2023" s="101"/>
      <c r="G2023" s="1754"/>
      <c r="H2023" s="94"/>
      <c r="J2023" s="1204"/>
    </row>
    <row r="2024" spans="1:10" x14ac:dyDescent="0.25">
      <c r="B2024" s="254" t="str">
        <f>IF(LEN('Ch9'!H157)=0,"",'Ch9'!H157)</f>
        <v/>
      </c>
      <c r="C2024" s="254" t="str">
        <f t="shared" si="48"/>
        <v/>
      </c>
      <c r="D2024" s="101"/>
      <c r="E2024" s="101"/>
      <c r="F2024" s="101"/>
      <c r="G2024" s="1754"/>
      <c r="H2024" s="94"/>
      <c r="J2024" s="1204"/>
    </row>
    <row r="2025" spans="1:10" ht="15.75" thickBot="1" x14ac:dyDescent="0.3">
      <c r="B2025" s="254" t="str">
        <f>IF(LEN('Ch9'!H158)=0,"",'Ch9'!H158)</f>
        <v/>
      </c>
      <c r="C2025" s="254" t="str">
        <f t="shared" si="48"/>
        <v/>
      </c>
      <c r="D2025" s="670"/>
      <c r="E2025" s="670"/>
      <c r="F2025" s="670"/>
      <c r="G2025" s="482" t="s">
        <v>3760</v>
      </c>
      <c r="H2025" s="94"/>
      <c r="J2025" s="1204"/>
    </row>
    <row r="2026" spans="1:10" ht="15.75" thickTop="1" x14ac:dyDescent="0.25">
      <c r="A2026" s="585" t="str">
        <f>IF(I2026&gt;0,"P","")</f>
        <v/>
      </c>
      <c r="B2026" s="254" t="str">
        <f>IF(LEN('Ch9'!H159)=0,"",'Ch9'!H159)</f>
        <v/>
      </c>
      <c r="C2026" s="254" t="str">
        <f t="shared" si="48"/>
        <v/>
      </c>
      <c r="D2026" s="106">
        <v>901.11</v>
      </c>
      <c r="E2026" s="106"/>
      <c r="F2026" s="106"/>
      <c r="G2026" s="1781" t="s">
        <v>5597</v>
      </c>
      <c r="H2026" s="1313" t="str">
        <f>IF(LEN('Ch9'!W159)=0,"",'Ch9'!W159)</f>
        <v/>
      </c>
      <c r="I2026" s="86">
        <f>'Ch9'!O159</f>
        <v>0</v>
      </c>
      <c r="J2026" s="1950" t="s">
        <v>3940</v>
      </c>
    </row>
    <row r="2027" spans="1:10" x14ac:dyDescent="0.25">
      <c r="A2027" s="585" t="str">
        <f>A2026</f>
        <v/>
      </c>
      <c r="B2027" s="254" t="str">
        <f>IF(LEN('Ch9'!H160)=0,"",'Ch9'!H160)</f>
        <v/>
      </c>
      <c r="C2027" s="254" t="str">
        <f t="shared" si="48"/>
        <v/>
      </c>
      <c r="D2027" s="101"/>
      <c r="E2027" s="101"/>
      <c r="F2027" s="101"/>
      <c r="G2027" s="1782"/>
      <c r="H2027" s="94"/>
      <c r="J2027" s="1951"/>
    </row>
    <row r="2028" spans="1:10" x14ac:dyDescent="0.25">
      <c r="A2028" s="585" t="str">
        <f>A2027</f>
        <v/>
      </c>
      <c r="B2028" s="254" t="str">
        <f>IF(LEN('Ch9'!H161)=0,"",'Ch9'!H161)</f>
        <v/>
      </c>
      <c r="C2028" s="254" t="str">
        <f t="shared" si="48"/>
        <v/>
      </c>
      <c r="D2028" s="101"/>
      <c r="E2028" s="101"/>
      <c r="F2028" s="101"/>
      <c r="G2028" s="1782"/>
      <c r="H2028" s="94"/>
      <c r="J2028" s="1204"/>
    </row>
    <row r="2029" spans="1:10" x14ac:dyDescent="0.25">
      <c r="A2029" s="585" t="str">
        <f>A2028</f>
        <v/>
      </c>
      <c r="B2029" s="254" t="str">
        <f>IF(LEN('Ch9'!H162)=0,"",'Ch9'!H162)</f>
        <v/>
      </c>
      <c r="C2029" s="254" t="str">
        <f t="shared" si="48"/>
        <v/>
      </c>
      <c r="D2029" s="101"/>
      <c r="E2029" s="101"/>
      <c r="F2029" s="101"/>
      <c r="G2029" s="1782"/>
      <c r="H2029" s="94"/>
      <c r="J2029" s="1204"/>
    </row>
    <row r="2030" spans="1:10" ht="15.75" thickBot="1" x14ac:dyDescent="0.3">
      <c r="A2030" s="585" t="str">
        <f>A2029</f>
        <v/>
      </c>
      <c r="B2030" s="254" t="str">
        <f>IF(LEN('Ch9'!H163)=0,"",'Ch9'!H163)</f>
        <v/>
      </c>
      <c r="C2030" s="254" t="str">
        <f t="shared" si="48"/>
        <v/>
      </c>
      <c r="D2030" s="670"/>
      <c r="E2030" s="670"/>
      <c r="F2030" s="670"/>
      <c r="G2030" s="1797"/>
      <c r="H2030" s="94"/>
      <c r="J2030" s="1204"/>
    </row>
    <row r="2031" spans="1:10" ht="15.75" thickTop="1" x14ac:dyDescent="0.25">
      <c r="A2031" s="585" t="str">
        <f ca="1">IF(I2031&gt;0,"P","")</f>
        <v/>
      </c>
      <c r="B2031" s="254" t="str">
        <f>IF(LEN('Ch9'!H164)=0,"",'Ch9'!H164)</f>
        <v/>
      </c>
      <c r="C2031" s="254" t="str">
        <f t="shared" ca="1" si="48"/>
        <v/>
      </c>
      <c r="D2031" s="106">
        <v>901.12</v>
      </c>
      <c r="E2031" s="139"/>
      <c r="F2031" s="139"/>
      <c r="G2031" s="1802" t="s">
        <v>4489</v>
      </c>
      <c r="H2031" s="1313" t="str">
        <f>IF(LEN('Ch9'!W164)=0,"",'Ch9'!W164)</f>
        <v/>
      </c>
      <c r="I2031" s="86">
        <f ca="1">'Ch9'!O164</f>
        <v>0</v>
      </c>
      <c r="J2031" s="1204" t="s">
        <v>5035</v>
      </c>
    </row>
    <row r="2032" spans="1:10" x14ac:dyDescent="0.25">
      <c r="A2032" s="585" t="str">
        <f ca="1">A2031</f>
        <v/>
      </c>
      <c r="B2032" s="254" t="str">
        <f>IF(LEN('Ch9'!H165)=0,"",'Ch9'!H165)</f>
        <v/>
      </c>
      <c r="C2032" s="254" t="str">
        <f t="shared" ca="1" si="48"/>
        <v/>
      </c>
      <c r="D2032" s="139"/>
      <c r="E2032" s="139"/>
      <c r="F2032" s="139"/>
      <c r="G2032" s="1802"/>
      <c r="H2032" s="94"/>
      <c r="J2032" s="1204"/>
    </row>
    <row r="2033" spans="1:10" x14ac:dyDescent="0.25">
      <c r="A2033" s="585" t="str">
        <f ca="1">A2032</f>
        <v/>
      </c>
      <c r="B2033" s="254" t="str">
        <f>IF(LEN('Ch9'!H166)=0,"",'Ch9'!H166)</f>
        <v/>
      </c>
      <c r="C2033" s="254" t="str">
        <f t="shared" ca="1" si="48"/>
        <v/>
      </c>
      <c r="D2033" s="139"/>
      <c r="E2033" s="139"/>
      <c r="F2033" s="139"/>
      <c r="G2033" s="1802"/>
      <c r="H2033" s="94"/>
      <c r="J2033" s="1204"/>
    </row>
    <row r="2034" spans="1:10" ht="15.75" thickBot="1" x14ac:dyDescent="0.3">
      <c r="A2034" s="585" t="str">
        <f ca="1">A2033</f>
        <v/>
      </c>
      <c r="B2034" s="254" t="str">
        <f>IF(LEN('Ch9'!H167)=0,"",'Ch9'!H167)</f>
        <v/>
      </c>
      <c r="C2034" s="254" t="str">
        <f t="shared" ca="1" si="48"/>
        <v/>
      </c>
      <c r="D2034" s="139"/>
      <c r="E2034" s="139"/>
      <c r="F2034" s="139"/>
      <c r="G2034" s="1802"/>
      <c r="H2034" s="94"/>
      <c r="J2034" s="1204"/>
    </row>
    <row r="2035" spans="1:10" ht="15.75" thickTop="1" x14ac:dyDescent="0.25">
      <c r="A2035" s="585" t="str">
        <f>IF(AND(LEN(H2035)&gt;0,NOT(H2035=FALSE)),"P","")</f>
        <v/>
      </c>
      <c r="B2035" s="254" t="str">
        <f>IF(LEN('Ch9'!H168)=0,"",'Ch9'!H168)</f>
        <v/>
      </c>
      <c r="C2035" s="254" t="str">
        <f t="shared" si="48"/>
        <v/>
      </c>
      <c r="D2035" s="106">
        <v>901.13</v>
      </c>
      <c r="E2035" s="106"/>
      <c r="F2035" s="106"/>
      <c r="G2035" s="1781" t="s">
        <v>4492</v>
      </c>
      <c r="H2035" s="1313" t="str">
        <f>IF(LEN('Ch9'!W168)=0,"",'Ch9'!W168)</f>
        <v/>
      </c>
      <c r="J2035" s="1972" t="s">
        <v>5036</v>
      </c>
    </row>
    <row r="2036" spans="1:10" ht="15.75" thickBot="1" x14ac:dyDescent="0.3">
      <c r="A2036" s="585" t="str">
        <f>A2035</f>
        <v/>
      </c>
      <c r="B2036" s="254" t="str">
        <f>IF(LEN('Ch9'!H169)=0,"",'Ch9'!H169)</f>
        <v/>
      </c>
      <c r="C2036" s="254" t="str">
        <f t="shared" si="48"/>
        <v/>
      </c>
      <c r="D2036" s="670"/>
      <c r="E2036" s="670"/>
      <c r="F2036" s="670"/>
      <c r="G2036" s="1797"/>
      <c r="H2036" s="94"/>
      <c r="J2036" s="1972"/>
    </row>
    <row r="2037" spans="1:10" ht="15.75" thickTop="1" x14ac:dyDescent="0.25">
      <c r="A2037" s="585" t="str">
        <f ca="1">IF(I2037&gt;0,"P","")</f>
        <v/>
      </c>
      <c r="B2037" s="254" t="str">
        <f>IF(LEN('Ch9'!H170)=0,"",'Ch9'!H170)</f>
        <v/>
      </c>
      <c r="C2037" s="254" t="str">
        <f t="shared" ca="1" si="48"/>
        <v/>
      </c>
      <c r="D2037" s="139">
        <v>901.14</v>
      </c>
      <c r="E2037" s="106"/>
      <c r="F2037" s="106"/>
      <c r="G2037" s="1781" t="s">
        <v>4491</v>
      </c>
      <c r="H2037" s="94"/>
      <c r="I2037" s="86">
        <f ca="1">'Ch9'!O170</f>
        <v>0</v>
      </c>
      <c r="J2037" s="1204" t="s">
        <v>3892</v>
      </c>
    </row>
    <row r="2038" spans="1:10" x14ac:dyDescent="0.25">
      <c r="A2038" s="585" t="str">
        <f ca="1">A2037</f>
        <v/>
      </c>
      <c r="B2038" s="254" t="str">
        <f>IF(LEN('Ch9'!H171)=0,"",'Ch9'!H171)</f>
        <v/>
      </c>
      <c r="C2038" s="254" t="str">
        <f t="shared" ca="1" si="48"/>
        <v/>
      </c>
      <c r="D2038" s="139"/>
      <c r="E2038" s="139"/>
      <c r="F2038" s="139"/>
      <c r="G2038" s="1782"/>
      <c r="H2038" s="94"/>
      <c r="J2038" s="1204"/>
    </row>
    <row r="2039" spans="1:10" ht="15" customHeight="1" x14ac:dyDescent="0.25">
      <c r="B2039" s="254" t="str">
        <f>IF(LEN('Ch9'!H172)=0,"",'Ch9'!H172)</f>
        <v/>
      </c>
      <c r="C2039" s="254" t="str">
        <f t="shared" si="48"/>
        <v/>
      </c>
      <c r="D2039" s="101"/>
      <c r="E2039" s="684" t="s">
        <v>256</v>
      </c>
      <c r="F2039" s="669"/>
      <c r="G2039" s="1215" t="s">
        <v>3218</v>
      </c>
      <c r="H2039" s="1313" t="str">
        <f>IF(LEN('Ch9'!W172)=0,"",'Ch9'!W172)</f>
        <v/>
      </c>
      <c r="J2039" s="1204"/>
    </row>
    <row r="2040" spans="1:10" ht="15" customHeight="1" thickBot="1" x14ac:dyDescent="0.3">
      <c r="B2040" s="254" t="str">
        <f>IF(LEN('Ch9'!H173)=0,"",'Ch9'!H173)</f>
        <v/>
      </c>
      <c r="C2040" s="254" t="str">
        <f t="shared" si="48"/>
        <v/>
      </c>
      <c r="D2040" s="670"/>
      <c r="E2040" s="673" t="s">
        <v>258</v>
      </c>
      <c r="F2040" s="670"/>
      <c r="G2040" s="1229" t="s">
        <v>3219</v>
      </c>
      <c r="H2040" s="1313" t="str">
        <f>IF(LEN('Ch9'!W173)=0,"",'Ch9'!W173)</f>
        <v/>
      </c>
      <c r="J2040" s="1204"/>
    </row>
    <row r="2041" spans="1:10" ht="15.75" thickTop="1" x14ac:dyDescent="0.25">
      <c r="A2041" s="585" t="str">
        <f ca="1">IF(I2041&gt;0,"P","")</f>
        <v/>
      </c>
      <c r="B2041" s="254" t="str">
        <f>IF(LEN('Ch9'!H174)=0,"",'Ch9'!H174)</f>
        <v/>
      </c>
      <c r="C2041" s="254" t="str">
        <f t="shared" ca="1" si="48"/>
        <v/>
      </c>
      <c r="D2041" s="139">
        <v>901.15</v>
      </c>
      <c r="E2041" s="139"/>
      <c r="F2041" s="139"/>
      <c r="G2041" s="1782" t="s">
        <v>4490</v>
      </c>
      <c r="H2041" s="94"/>
      <c r="I2041" s="706">
        <f ca="1">SUM(I2043:I2045)</f>
        <v>0</v>
      </c>
      <c r="J2041" s="1204" t="s">
        <v>3892</v>
      </c>
    </row>
    <row r="2042" spans="1:10" x14ac:dyDescent="0.25">
      <c r="A2042" s="585" t="str">
        <f ca="1">A2041</f>
        <v/>
      </c>
      <c r="B2042" s="254" t="str">
        <f>IF(LEN('Ch9'!H175)=0,"",'Ch9'!H175)</f>
        <v/>
      </c>
      <c r="C2042" s="254" t="str">
        <f t="shared" ca="1" si="48"/>
        <v/>
      </c>
      <c r="D2042" s="139"/>
      <c r="E2042" s="139"/>
      <c r="F2042" s="139"/>
      <c r="G2042" s="1782"/>
      <c r="H2042" s="94"/>
      <c r="J2042" s="1204"/>
    </row>
    <row r="2043" spans="1:10" x14ac:dyDescent="0.25">
      <c r="B2043" s="254" t="str">
        <f>IF(LEN('Ch9'!H176)=0,"",'Ch9'!H176)</f>
        <v/>
      </c>
      <c r="C2043" s="254" t="str">
        <f t="shared" si="48"/>
        <v/>
      </c>
      <c r="D2043" s="139"/>
      <c r="E2043" s="668" t="s">
        <v>256</v>
      </c>
      <c r="F2043" s="101"/>
      <c r="G2043" s="1754" t="s">
        <v>3220</v>
      </c>
      <c r="H2043" s="1313" t="str">
        <f>IF(LEN('Ch9'!W176)=0,"",'Ch9'!W176)</f>
        <v/>
      </c>
      <c r="I2043" s="86">
        <f ca="1">'Ch9'!O176</f>
        <v>0</v>
      </c>
      <c r="J2043" s="1204"/>
    </row>
    <row r="2044" spans="1:10" x14ac:dyDescent="0.25">
      <c r="B2044" s="254" t="str">
        <f>IF(LEN('Ch9'!H177)=0,"",'Ch9'!H177)</f>
        <v/>
      </c>
      <c r="C2044" s="254" t="str">
        <f t="shared" si="48"/>
        <v/>
      </c>
      <c r="D2044" s="139"/>
      <c r="E2044" s="669"/>
      <c r="F2044" s="669"/>
      <c r="G2044" s="1755"/>
      <c r="H2044" s="94"/>
      <c r="J2044" s="1204"/>
    </row>
    <row r="2045" spans="1:10" x14ac:dyDescent="0.25">
      <c r="B2045" s="254" t="str">
        <f>IF(LEN('Ch9'!H178)=0,"",'Ch9'!H178)</f>
        <v/>
      </c>
      <c r="C2045" s="254" t="str">
        <f t="shared" si="48"/>
        <v/>
      </c>
      <c r="D2045" s="139"/>
      <c r="E2045" s="667" t="s">
        <v>258</v>
      </c>
      <c r="F2045" s="139"/>
      <c r="G2045" s="1754" t="s">
        <v>3221</v>
      </c>
      <c r="H2045" s="1313" t="str">
        <f>IF(LEN('Ch9'!W178)=0,"",'Ch9'!W178)</f>
        <v/>
      </c>
      <c r="I2045" s="86">
        <f ca="1">'Ch9'!O178</f>
        <v>0</v>
      </c>
      <c r="J2045" s="1204"/>
    </row>
    <row r="2046" spans="1:10" x14ac:dyDescent="0.25">
      <c r="B2046" s="254" t="str">
        <f>IF(LEN('Ch9'!H179)=0,"",'Ch9'!H179)</f>
        <v/>
      </c>
      <c r="C2046" s="254" t="str">
        <f t="shared" si="48"/>
        <v/>
      </c>
      <c r="D2046" s="139"/>
      <c r="E2046" s="139"/>
      <c r="F2046" s="139"/>
      <c r="G2046" s="1754"/>
      <c r="H2046" s="94"/>
      <c r="J2046" s="1204"/>
    </row>
    <row r="2047" spans="1:10" ht="18.75" x14ac:dyDescent="0.25">
      <c r="A2047" s="585" t="s">
        <v>3974</v>
      </c>
      <c r="B2047" s="254" t="str">
        <f>IF(LEN('Ch9'!H180)=0,"",'Ch9'!H180)</f>
        <v/>
      </c>
      <c r="C2047" s="254" t="str">
        <f t="shared" si="48"/>
        <v>P</v>
      </c>
      <c r="D2047" s="1388" t="s">
        <v>3222</v>
      </c>
      <c r="E2047" s="1388"/>
      <c r="F2047" s="1388"/>
      <c r="G2047" s="1312"/>
      <c r="H2047" s="94"/>
      <c r="J2047" s="1204"/>
    </row>
    <row r="2048" spans="1:10" ht="15.75" thickBot="1" x14ac:dyDescent="0.3">
      <c r="B2048" s="254" t="str">
        <f>IF(LEN('Ch9'!H181)=0,"",'Ch9'!H181)</f>
        <v/>
      </c>
      <c r="C2048" s="254" t="str">
        <f t="shared" si="48"/>
        <v/>
      </c>
      <c r="D2048" s="677">
        <v>902</v>
      </c>
      <c r="E2048" s="670"/>
      <c r="F2048" s="670"/>
      <c r="G2048" s="1241" t="s">
        <v>3223</v>
      </c>
      <c r="H2048" s="94"/>
      <c r="J2048" s="1204"/>
    </row>
    <row r="2049" spans="1:10" ht="15.75" thickTop="1" x14ac:dyDescent="0.25">
      <c r="A2049" s="2363" t="str">
        <f ca="1">IF(COUNTIF(A2050:A2082,"P")&gt;0,"P","")</f>
        <v/>
      </c>
      <c r="B2049" s="254" t="str">
        <f>IF(LEN('Ch9'!H182)=0,"",'Ch9'!H182)</f>
        <v/>
      </c>
      <c r="C2049" s="254" t="str">
        <f t="shared" ca="1" si="48"/>
        <v/>
      </c>
      <c r="D2049" s="139">
        <v>902.1</v>
      </c>
      <c r="E2049" s="139"/>
      <c r="F2049" s="139"/>
      <c r="G2049" s="1235" t="s">
        <v>3224</v>
      </c>
      <c r="H2049" s="94"/>
      <c r="I2049" s="706">
        <f ca="1">SUM(I2050:I2082)</f>
        <v>0</v>
      </c>
      <c r="J2049" s="1204"/>
    </row>
    <row r="2050" spans="1:10" x14ac:dyDescent="0.25">
      <c r="A2050" s="585" t="str">
        <f>IF(I2050&gt;0,"P","")</f>
        <v/>
      </c>
      <c r="B2050" s="254" t="str">
        <f>IF(LEN('Ch9'!H183)=0,"",'Ch9'!H183)</f>
        <v/>
      </c>
      <c r="C2050" s="254" t="str">
        <f t="shared" si="48"/>
        <v/>
      </c>
      <c r="D2050" s="139" t="s">
        <v>3807</v>
      </c>
      <c r="E2050" s="139"/>
      <c r="F2050" s="139"/>
      <c r="G2050" s="1235" t="s">
        <v>3808</v>
      </c>
      <c r="H2050" s="94"/>
      <c r="I2050" s="706">
        <f>SUM(I2053:I2057)</f>
        <v>0</v>
      </c>
      <c r="J2050" s="1204"/>
    </row>
    <row r="2051" spans="1:10" x14ac:dyDescent="0.25">
      <c r="A2051" s="585" t="str">
        <f>IF(AND(LEN(H2051)&gt;0,NOT(H2051=FALSE)),"P","")</f>
        <v/>
      </c>
      <c r="B2051" s="254" t="str">
        <f>IF(LEN('Ch9'!H184)=0,"",'Ch9'!H184)</f>
        <v/>
      </c>
      <c r="C2051" s="254" t="str">
        <f t="shared" si="48"/>
        <v/>
      </c>
      <c r="D2051" s="139"/>
      <c r="E2051" s="667" t="s">
        <v>256</v>
      </c>
      <c r="F2051" s="139"/>
      <c r="G2051" s="1754" t="s">
        <v>3225</v>
      </c>
      <c r="H2051" s="1313" t="str">
        <f>IF(LEN('Ch9'!W184)=0,"",'Ch9'!W184)</f>
        <v/>
      </c>
      <c r="J2051" s="1204" t="s">
        <v>3941</v>
      </c>
    </row>
    <row r="2052" spans="1:10" x14ac:dyDescent="0.25">
      <c r="A2052" s="585" t="str">
        <f>A2051</f>
        <v/>
      </c>
      <c r="B2052" s="254" t="str">
        <f>IF(LEN('Ch9'!H185)=0,"",'Ch9'!H185)</f>
        <v/>
      </c>
      <c r="C2052" s="254" t="str">
        <f t="shared" si="48"/>
        <v/>
      </c>
      <c r="D2052" s="139"/>
      <c r="E2052" s="139"/>
      <c r="F2052" s="139"/>
      <c r="G2052" s="1754"/>
      <c r="H2052" s="94"/>
      <c r="J2052" s="1204"/>
    </row>
    <row r="2053" spans="1:10" x14ac:dyDescent="0.25">
      <c r="B2053" s="254" t="str">
        <f>IF(LEN('Ch9'!H186)=0,"",'Ch9'!H186)</f>
        <v/>
      </c>
      <c r="C2053" s="254" t="str">
        <f t="shared" si="48"/>
        <v/>
      </c>
      <c r="D2053" s="139"/>
      <c r="E2053" s="668"/>
      <c r="F2053" s="668" t="s">
        <v>121</v>
      </c>
      <c r="G2053" s="1754" t="s">
        <v>3651</v>
      </c>
      <c r="H2053" s="1313" t="str">
        <f>IF(LEN('Ch9'!W186)=0,"",'Ch9'!W186)</f>
        <v/>
      </c>
      <c r="I2053" s="86">
        <f>'Ch9'!O186</f>
        <v>0</v>
      </c>
      <c r="J2053" s="1204"/>
    </row>
    <row r="2054" spans="1:10" x14ac:dyDescent="0.25">
      <c r="B2054" s="254" t="str">
        <f>IF(LEN('Ch9'!H187)=0,"",'Ch9'!H187)</f>
        <v/>
      </c>
      <c r="C2054" s="254" t="str">
        <f t="shared" si="48"/>
        <v/>
      </c>
      <c r="D2054" s="139"/>
      <c r="E2054" s="684"/>
      <c r="F2054" s="669"/>
      <c r="G2054" s="1755"/>
      <c r="H2054" s="94"/>
      <c r="J2054" s="1204"/>
    </row>
    <row r="2055" spans="1:10" x14ac:dyDescent="0.25">
      <c r="A2055" s="585" t="str">
        <f>IF(AND(LEN(H2055)&gt;0,NOT(H2055=FALSE)),"P","")</f>
        <v/>
      </c>
      <c r="B2055" s="254" t="str">
        <f>IF(LEN('Ch9'!H188)=0,"",'Ch9'!H188)</f>
        <v/>
      </c>
      <c r="C2055" s="254" t="str">
        <f t="shared" si="48"/>
        <v/>
      </c>
      <c r="D2055" s="139"/>
      <c r="E2055" s="668" t="s">
        <v>258</v>
      </c>
      <c r="F2055" s="101"/>
      <c r="G2055" s="1754" t="s">
        <v>3226</v>
      </c>
      <c r="H2055" s="1313" t="str">
        <f>IF(LEN('Ch9'!W188)=0,"",'Ch9'!W188)</f>
        <v/>
      </c>
      <c r="J2055" s="1204" t="s">
        <v>3892</v>
      </c>
    </row>
    <row r="2056" spans="1:10" x14ac:dyDescent="0.25">
      <c r="A2056" s="585" t="str">
        <f>A2055</f>
        <v/>
      </c>
      <c r="B2056" s="254" t="str">
        <f>IF(LEN('Ch9'!H189)=0,"",'Ch9'!H189)</f>
        <v/>
      </c>
      <c r="C2056" s="254" t="str">
        <f t="shared" si="48"/>
        <v/>
      </c>
      <c r="D2056" s="139"/>
      <c r="E2056" s="684"/>
      <c r="F2056" s="669"/>
      <c r="G2056" s="1755"/>
      <c r="H2056" s="94"/>
      <c r="J2056" s="1204"/>
    </row>
    <row r="2057" spans="1:10" x14ac:dyDescent="0.25">
      <c r="A2057" s="585" t="str">
        <f>IF(I2057&gt;0,"P","")</f>
        <v/>
      </c>
      <c r="B2057" s="254" t="str">
        <f>IF(LEN('Ch9'!H190)=0,"",'Ch9'!H190)</f>
        <v/>
      </c>
      <c r="C2057" s="254" t="str">
        <f t="shared" si="48"/>
        <v/>
      </c>
      <c r="D2057" s="101"/>
      <c r="E2057" s="668" t="s">
        <v>260</v>
      </c>
      <c r="F2057" s="101"/>
      <c r="G2057" s="1754" t="s">
        <v>3227</v>
      </c>
      <c r="H2057" s="1313" t="str">
        <f>IF(LEN('Ch9'!W190)=0,"",'Ch9'!W190)</f>
        <v/>
      </c>
      <c r="I2057" s="86">
        <f>'Ch9'!O190</f>
        <v>0</v>
      </c>
      <c r="J2057" s="1204" t="s">
        <v>3942</v>
      </c>
    </row>
    <row r="2058" spans="1:10" x14ac:dyDescent="0.25">
      <c r="A2058" s="585" t="str">
        <f>A2057</f>
        <v/>
      </c>
      <c r="B2058" s="254" t="str">
        <f>IF(LEN('Ch9'!H191)=0,"",'Ch9'!H191)</f>
        <v/>
      </c>
      <c r="C2058" s="254" t="str">
        <f t="shared" si="48"/>
        <v/>
      </c>
      <c r="D2058" s="101"/>
      <c r="E2058" s="668"/>
      <c r="F2058" s="101"/>
      <c r="G2058" s="1754"/>
      <c r="H2058" s="94"/>
      <c r="J2058" s="1204"/>
    </row>
    <row r="2059" spans="1:10" x14ac:dyDescent="0.25">
      <c r="A2059" s="585" t="str">
        <f>A2058</f>
        <v/>
      </c>
      <c r="B2059" s="254" t="str">
        <f>IF(LEN('Ch9'!H192)=0,"",'Ch9'!H192)</f>
        <v/>
      </c>
      <c r="C2059" s="254" t="str">
        <f t="shared" si="48"/>
        <v/>
      </c>
      <c r="D2059" s="669"/>
      <c r="E2059" s="669"/>
      <c r="F2059" s="669"/>
      <c r="G2059" s="1755"/>
      <c r="H2059" s="94"/>
      <c r="J2059" s="1204"/>
    </row>
    <row r="2060" spans="1:10" x14ac:dyDescent="0.25">
      <c r="A2060" s="585" t="str">
        <f>IF(I2060&gt;0,"P","")</f>
        <v/>
      </c>
      <c r="B2060" s="254" t="str">
        <f>IF(LEN('Ch9'!H193)=0,"",'Ch9'!H193)</f>
        <v/>
      </c>
      <c r="C2060" s="254" t="str">
        <f t="shared" si="48"/>
        <v/>
      </c>
      <c r="D2060" s="671" t="s">
        <v>3228</v>
      </c>
      <c r="E2060" s="671"/>
      <c r="F2060" s="671"/>
      <c r="G2060" s="1864" t="s">
        <v>3229</v>
      </c>
      <c r="H2060" s="94"/>
      <c r="I2060" s="86">
        <f>'Ch9'!O193</f>
        <v>0</v>
      </c>
      <c r="J2060" s="1204" t="s">
        <v>3892</v>
      </c>
    </row>
    <row r="2061" spans="1:10" x14ac:dyDescent="0.25">
      <c r="A2061" s="585" t="str">
        <f>A2060</f>
        <v/>
      </c>
      <c r="B2061" s="254" t="str">
        <f>IF(LEN('Ch9'!H194)=0,"",'Ch9'!H194)</f>
        <v/>
      </c>
      <c r="C2061" s="254" t="str">
        <f t="shared" si="48"/>
        <v/>
      </c>
      <c r="D2061" s="101"/>
      <c r="E2061" s="101"/>
      <c r="F2061" s="101"/>
      <c r="G2061" s="1782"/>
      <c r="H2061" s="1313" t="str">
        <f>IF(LEN('Ch9'!W194)=0,"",'Ch9'!W194)</f>
        <v/>
      </c>
      <c r="J2061" s="1204"/>
    </row>
    <row r="2062" spans="1:10" x14ac:dyDescent="0.25">
      <c r="B2062" s="254" t="str">
        <f>IF(LEN('Ch9'!H195)=0,"",'Ch9'!H195)</f>
        <v/>
      </c>
      <c r="C2062" s="254" t="str">
        <f t="shared" si="48"/>
        <v/>
      </c>
      <c r="D2062" s="101"/>
      <c r="E2062" s="684" t="s">
        <v>256</v>
      </c>
      <c r="F2062" s="669"/>
      <c r="G2062" s="1215" t="s">
        <v>3231</v>
      </c>
      <c r="H2062" s="94"/>
      <c r="J2062" s="1204"/>
    </row>
    <row r="2063" spans="1:10" x14ac:dyDescent="0.25">
      <c r="B2063" s="254" t="str">
        <f>IF(LEN('Ch9'!H196)=0,"",'Ch9'!H196)</f>
        <v/>
      </c>
      <c r="C2063" s="254" t="str">
        <f t="shared" si="48"/>
        <v/>
      </c>
      <c r="D2063" s="669"/>
      <c r="E2063" s="684" t="s">
        <v>258</v>
      </c>
      <c r="F2063" s="669"/>
      <c r="G2063" s="1215" t="s">
        <v>3232</v>
      </c>
      <c r="H2063" s="1313" t="str">
        <f>IF(LEN('Ch9'!W196)=0,"",'Ch9'!W196)</f>
        <v/>
      </c>
      <c r="J2063" s="1204"/>
    </row>
    <row r="2064" spans="1:10" x14ac:dyDescent="0.25">
      <c r="A2064" s="585" t="str">
        <f>IF(I2064&gt;0,"P","")</f>
        <v/>
      </c>
      <c r="B2064" s="254" t="str">
        <f>IF(LEN('Ch9'!H197)=0,"",'Ch9'!H197)</f>
        <v/>
      </c>
      <c r="C2064" s="254" t="str">
        <f t="shared" si="48"/>
        <v/>
      </c>
      <c r="D2064" s="671" t="s">
        <v>3233</v>
      </c>
      <c r="E2064" s="671"/>
      <c r="F2064" s="671"/>
      <c r="G2064" s="1864" t="s">
        <v>3234</v>
      </c>
      <c r="H2064" s="1313" t="str">
        <f>IF(LEN('Ch9'!W197)=0,"",'Ch9'!W197)</f>
        <v/>
      </c>
      <c r="I2064" s="86">
        <f>'Ch9'!O197</f>
        <v>0</v>
      </c>
      <c r="J2064" s="1204" t="s">
        <v>5037</v>
      </c>
    </row>
    <row r="2065" spans="1:10" x14ac:dyDescent="0.25">
      <c r="A2065" s="585" t="str">
        <f>A2064</f>
        <v/>
      </c>
      <c r="B2065" s="254" t="str">
        <f>IF(LEN('Ch9'!H198)=0,"",'Ch9'!H198)</f>
        <v/>
      </c>
      <c r="C2065" s="254" t="str">
        <f t="shared" si="48"/>
        <v/>
      </c>
      <c r="D2065" s="101"/>
      <c r="E2065" s="101"/>
      <c r="F2065" s="101"/>
      <c r="G2065" s="1782"/>
      <c r="H2065" s="94"/>
      <c r="J2065" s="1204"/>
    </row>
    <row r="2066" spans="1:10" x14ac:dyDescent="0.25">
      <c r="B2066" s="254" t="str">
        <f>IF(LEN('Ch9'!H199)=0,"",'Ch9'!H199)</f>
        <v/>
      </c>
      <c r="C2066" s="254" t="str">
        <f t="shared" ref="C2066:C2130" si="49">IF(LEN(B2066)=0,IF(A2066="P","P",""),B2066)</f>
        <v/>
      </c>
      <c r="D2066" s="101"/>
      <c r="E2066" s="101"/>
      <c r="F2066" s="668" t="s">
        <v>121</v>
      </c>
      <c r="G2066" s="1225" t="s">
        <v>3235</v>
      </c>
      <c r="H2066" s="94"/>
      <c r="J2066" s="1204"/>
    </row>
    <row r="2067" spans="1:10" ht="15" customHeight="1" x14ac:dyDescent="0.25">
      <c r="B2067" s="254" t="str">
        <f>IF(LEN('Ch9'!H200)=0,"",'Ch9'!H200)</f>
        <v/>
      </c>
      <c r="C2067" s="254" t="str">
        <f t="shared" si="49"/>
        <v/>
      </c>
      <c r="D2067" s="669"/>
      <c r="E2067" s="669"/>
      <c r="F2067" s="684" t="s">
        <v>122</v>
      </c>
      <c r="G2067" s="1215" t="s">
        <v>3236</v>
      </c>
      <c r="H2067" s="94"/>
      <c r="J2067" s="1204"/>
    </row>
    <row r="2068" spans="1:10" ht="51" x14ac:dyDescent="0.25">
      <c r="A2068" s="585" t="str">
        <f>IF(I2068&gt;0,"P","")</f>
        <v/>
      </c>
      <c r="B2068" s="254" t="str">
        <f>IF(LEN('Ch9'!H201)=0,"",'Ch9'!H201)</f>
        <v/>
      </c>
      <c r="C2068" s="254" t="str">
        <f t="shared" si="49"/>
        <v/>
      </c>
      <c r="D2068" s="671" t="s">
        <v>3237</v>
      </c>
      <c r="E2068" s="671"/>
      <c r="F2068" s="671"/>
      <c r="G2068" s="1237" t="s">
        <v>3238</v>
      </c>
      <c r="H2068" s="94"/>
      <c r="I2068" s="86">
        <f>'Ch9'!O201</f>
        <v>0</v>
      </c>
      <c r="J2068" s="1204" t="s">
        <v>5038</v>
      </c>
    </row>
    <row r="2069" spans="1:10" x14ac:dyDescent="0.25">
      <c r="B2069" s="254" t="str">
        <f>IF(LEN('Ch9'!H202)=0,"",'Ch9'!H202)</f>
        <v/>
      </c>
      <c r="C2069" s="254" t="str">
        <f t="shared" si="49"/>
        <v/>
      </c>
      <c r="D2069" s="101"/>
      <c r="E2069" s="668" t="s">
        <v>256</v>
      </c>
      <c r="F2069" s="101"/>
      <c r="G2069" s="1225" t="s">
        <v>3654</v>
      </c>
      <c r="H2069" s="94"/>
      <c r="J2069" s="1204"/>
    </row>
    <row r="2070" spans="1:10" x14ac:dyDescent="0.25">
      <c r="B2070" s="254" t="str">
        <f>IF(LEN('Ch9'!H203)=0,"",'Ch9'!H203)</f>
        <v/>
      </c>
      <c r="C2070" s="254" t="str">
        <f t="shared" si="49"/>
        <v/>
      </c>
      <c r="D2070" s="101"/>
      <c r="E2070" s="684"/>
      <c r="F2070" s="669"/>
      <c r="G2070" s="1239" t="s">
        <v>3239</v>
      </c>
      <c r="H2070" s="1313" t="str">
        <f>IF(LEN('Ch9'!W203)=0,"",'Ch9'!W203)</f>
        <v/>
      </c>
      <c r="J2070" s="1204"/>
    </row>
    <row r="2071" spans="1:10" x14ac:dyDescent="0.25">
      <c r="B2071" s="254" t="str">
        <f>IF(LEN('Ch9'!H204)=0,"",'Ch9'!H204)</f>
        <v/>
      </c>
      <c r="C2071" s="254" t="str">
        <f t="shared" si="49"/>
        <v/>
      </c>
      <c r="D2071" s="101"/>
      <c r="E2071" s="668" t="s">
        <v>258</v>
      </c>
      <c r="F2071" s="101"/>
      <c r="G2071" s="1225" t="s">
        <v>3240</v>
      </c>
      <c r="H2071" s="94"/>
      <c r="J2071" s="1204"/>
    </row>
    <row r="2072" spans="1:10" x14ac:dyDescent="0.25">
      <c r="B2072" s="254" t="str">
        <f>IF(LEN('Ch9'!H205)=0,"",'Ch9'!H205)</f>
        <v/>
      </c>
      <c r="C2072" s="254" t="str">
        <f t="shared" si="49"/>
        <v/>
      </c>
      <c r="D2072" s="669"/>
      <c r="E2072" s="669"/>
      <c r="F2072" s="669"/>
      <c r="G2072" s="1239" t="s">
        <v>3239</v>
      </c>
      <c r="H2072" s="1313" t="str">
        <f>IF(LEN('Ch9'!W205)=0,"",'Ch9'!W205)</f>
        <v/>
      </c>
      <c r="J2072" s="1204"/>
    </row>
    <row r="2073" spans="1:10" x14ac:dyDescent="0.25">
      <c r="A2073" s="585" t="str">
        <f>IF(I2073&gt;0,"P","")</f>
        <v/>
      </c>
      <c r="B2073" s="254" t="str">
        <f>IF(LEN('Ch9'!H206)=0,"",'Ch9'!H206)</f>
        <v/>
      </c>
      <c r="C2073" s="254" t="str">
        <f t="shared" si="49"/>
        <v/>
      </c>
      <c r="D2073" s="139" t="s">
        <v>3241</v>
      </c>
      <c r="E2073" s="139"/>
      <c r="F2073" s="139"/>
      <c r="G2073" s="1782" t="s">
        <v>3242</v>
      </c>
      <c r="H2073" s="94"/>
      <c r="I2073" s="86">
        <f>'Ch9'!O206</f>
        <v>0</v>
      </c>
      <c r="J2073" s="1204" t="s">
        <v>3892</v>
      </c>
    </row>
    <row r="2074" spans="1:10" x14ac:dyDescent="0.25">
      <c r="A2074" s="585" t="str">
        <f>A2073</f>
        <v/>
      </c>
      <c r="B2074" s="254" t="str">
        <f>IF(LEN('Ch9'!H207)=0,"",'Ch9'!H207)</f>
        <v/>
      </c>
      <c r="C2074" s="254" t="str">
        <f t="shared" si="49"/>
        <v/>
      </c>
      <c r="D2074" s="139"/>
      <c r="E2074" s="139"/>
      <c r="F2074" s="139"/>
      <c r="G2074" s="1782"/>
      <c r="H2074" s="94"/>
      <c r="J2074" s="1204"/>
    </row>
    <row r="2075" spans="1:10" x14ac:dyDescent="0.25">
      <c r="B2075" s="254" t="str">
        <f>IF(LEN('Ch9'!H208)=0,"",'Ch9'!H208)</f>
        <v/>
      </c>
      <c r="C2075" s="254" t="str">
        <f t="shared" si="49"/>
        <v/>
      </c>
      <c r="D2075" s="139"/>
      <c r="E2075" s="668" t="s">
        <v>256</v>
      </c>
      <c r="F2075" s="101"/>
      <c r="G2075" s="1754" t="s">
        <v>4494</v>
      </c>
      <c r="H2075" s="1313" t="str">
        <f>IF(LEN('Ch9'!W208)=0,"",'Ch9'!W208)</f>
        <v/>
      </c>
      <c r="J2075" s="1204"/>
    </row>
    <row r="2076" spans="1:10" x14ac:dyDescent="0.25">
      <c r="B2076" s="254" t="str">
        <f>IF(LEN('Ch9'!H209)=0,"",'Ch9'!H209)</f>
        <v/>
      </c>
      <c r="C2076" s="254" t="str">
        <f t="shared" si="49"/>
        <v/>
      </c>
      <c r="D2076" s="139"/>
      <c r="E2076" s="684"/>
      <c r="F2076" s="669"/>
      <c r="G2076" s="1755"/>
      <c r="H2076" s="94"/>
      <c r="J2076" s="1204"/>
    </row>
    <row r="2077" spans="1:10" x14ac:dyDescent="0.25">
      <c r="B2077" s="254" t="str">
        <f>IF(LEN('Ch9'!H210)=0,"",'Ch9'!H210)</f>
        <v/>
      </c>
      <c r="C2077" s="254" t="str">
        <f t="shared" si="49"/>
        <v/>
      </c>
      <c r="D2077" s="139"/>
      <c r="E2077" s="668" t="s">
        <v>258</v>
      </c>
      <c r="F2077" s="101"/>
      <c r="G2077" s="1754" t="s">
        <v>3243</v>
      </c>
      <c r="H2077" s="1313" t="str">
        <f>IF(LEN('Ch9'!W210)=0,"",'Ch9'!W210)</f>
        <v/>
      </c>
      <c r="J2077" s="1204"/>
    </row>
    <row r="2078" spans="1:10" x14ac:dyDescent="0.25">
      <c r="B2078" s="254" t="str">
        <f>IF(LEN('Ch9'!H211)=0,"",'Ch9'!H211)</f>
        <v/>
      </c>
      <c r="C2078" s="254" t="str">
        <f t="shared" si="49"/>
        <v/>
      </c>
      <c r="D2078" s="139"/>
      <c r="E2078" s="669"/>
      <c r="F2078" s="669"/>
      <c r="G2078" s="1755"/>
      <c r="H2078" s="94"/>
      <c r="J2078" s="1204"/>
    </row>
    <row r="2079" spans="1:10" x14ac:dyDescent="0.25">
      <c r="B2079" s="254" t="str">
        <f>IF(LEN('Ch9'!H212)=0,"",'Ch9'!H212)</f>
        <v/>
      </c>
      <c r="C2079" s="254" t="str">
        <f t="shared" si="49"/>
        <v/>
      </c>
      <c r="D2079" s="101"/>
      <c r="E2079" s="668" t="s">
        <v>260</v>
      </c>
      <c r="F2079" s="101"/>
      <c r="G2079" s="1754" t="s">
        <v>3244</v>
      </c>
      <c r="H2079" s="1313" t="str">
        <f>IF(LEN('Ch9'!W212)=0,"",'Ch9'!W212)</f>
        <v/>
      </c>
      <c r="J2079" s="1204"/>
    </row>
    <row r="2080" spans="1:10" x14ac:dyDescent="0.25">
      <c r="B2080" s="254" t="str">
        <f>IF(LEN('Ch9'!H213)=0,"",'Ch9'!H213)</f>
        <v/>
      </c>
      <c r="C2080" s="254" t="str">
        <f t="shared" si="49"/>
        <v/>
      </c>
      <c r="D2080" s="101"/>
      <c r="E2080" s="101"/>
      <c r="F2080" s="101"/>
      <c r="G2080" s="1754"/>
      <c r="H2080" s="94"/>
      <c r="J2080" s="1204"/>
    </row>
    <row r="2081" spans="1:10" x14ac:dyDescent="0.25">
      <c r="B2081" s="254" t="str">
        <f>IF(LEN('Ch9'!H214)=0,"",'Ch9'!H214)</f>
        <v/>
      </c>
      <c r="C2081" s="254" t="str">
        <f t="shared" si="49"/>
        <v/>
      </c>
      <c r="D2081" s="669"/>
      <c r="E2081" s="669"/>
      <c r="F2081" s="669"/>
      <c r="G2081" s="1755"/>
      <c r="H2081" s="94"/>
      <c r="J2081" s="1204"/>
    </row>
    <row r="2082" spans="1:10" x14ac:dyDescent="0.25">
      <c r="A2082" s="585" t="str">
        <f ca="1">IF(I2082&gt;0,"P","")</f>
        <v/>
      </c>
      <c r="B2082" s="254" t="str">
        <f>IF(LEN('Ch9'!H215)=0,"",'Ch9'!H215)</f>
        <v/>
      </c>
      <c r="C2082" s="254" t="str">
        <f t="shared" ca="1" si="49"/>
        <v/>
      </c>
      <c r="D2082" s="667" t="s">
        <v>4495</v>
      </c>
      <c r="E2082" s="667"/>
      <c r="F2082" s="667"/>
      <c r="G2082" s="1802" t="s">
        <v>4496</v>
      </c>
      <c r="H2082" s="1313" t="str">
        <f>IF(LEN('Ch9'!W215)=0,"",'Ch9'!W215)</f>
        <v/>
      </c>
      <c r="I2082" s="86">
        <f ca="1">'Ch9'!O215</f>
        <v>0</v>
      </c>
      <c r="J2082" s="1204" t="s">
        <v>5039</v>
      </c>
    </row>
    <row r="2083" spans="1:10" x14ac:dyDescent="0.25">
      <c r="A2083" s="585" t="str">
        <f ca="1">A2082</f>
        <v/>
      </c>
      <c r="B2083" s="254" t="str">
        <f>IF(LEN('Ch9'!H216)=0,"",'Ch9'!H216)</f>
        <v/>
      </c>
      <c r="C2083" s="254" t="str">
        <f t="shared" ca="1" si="49"/>
        <v/>
      </c>
      <c r="D2083" s="667"/>
      <c r="E2083" s="667"/>
      <c r="F2083" s="667"/>
      <c r="G2083" s="1802"/>
      <c r="H2083" s="94"/>
      <c r="J2083" s="1204"/>
    </row>
    <row r="2084" spans="1:10" ht="15.75" thickBot="1" x14ac:dyDescent="0.3">
      <c r="A2084" s="585" t="str">
        <f ca="1">A2083</f>
        <v/>
      </c>
      <c r="B2084" s="254" t="str">
        <f>IF(LEN('Ch9'!H217)=0,"",'Ch9'!H217)</f>
        <v/>
      </c>
      <c r="C2084" s="254" t="str">
        <f t="shared" ca="1" si="49"/>
        <v/>
      </c>
      <c r="D2084" s="667"/>
      <c r="E2084" s="667"/>
      <c r="F2084" s="667"/>
      <c r="G2084" s="1803"/>
      <c r="H2084" s="94"/>
      <c r="J2084" s="1204"/>
    </row>
    <row r="2085" spans="1:10" ht="15.75" thickTop="1" x14ac:dyDescent="0.25">
      <c r="A2085" s="585" t="str">
        <f ca="1">IF(I2085&gt;0,"P","")</f>
        <v/>
      </c>
      <c r="B2085" s="254" t="str">
        <f>IF(LEN('Ch9'!H218)=0,"",'Ch9'!H218)</f>
        <v/>
      </c>
      <c r="C2085" s="254" t="str">
        <f t="shared" ca="1" si="49"/>
        <v/>
      </c>
      <c r="D2085" s="106">
        <v>902.2</v>
      </c>
      <c r="E2085" s="106"/>
      <c r="F2085" s="106"/>
      <c r="G2085" s="1240" t="s">
        <v>3245</v>
      </c>
      <c r="H2085" s="94"/>
      <c r="I2085" s="706">
        <f ca="1">SUM(I2086:I2102)</f>
        <v>0</v>
      </c>
      <c r="J2085" s="1204"/>
    </row>
    <row r="2086" spans="1:10" x14ac:dyDescent="0.25">
      <c r="A2086" s="585" t="str">
        <f ca="1">IF(I2086&gt;0,"P","")</f>
        <v/>
      </c>
      <c r="B2086" s="254" t="str">
        <f>IF(LEN('Ch9'!H219)=0,"",'Ch9'!H219)</f>
        <v/>
      </c>
      <c r="C2086" s="254" t="str">
        <f t="shared" ca="1" si="49"/>
        <v/>
      </c>
      <c r="D2086" s="101" t="s">
        <v>3656</v>
      </c>
      <c r="E2086" s="101"/>
      <c r="F2086" s="101"/>
      <c r="G2086" s="1782" t="s">
        <v>5598</v>
      </c>
      <c r="H2086" s="1313" t="str">
        <f>IF(LEN('Ch9'!W219)=0,"",'Ch9'!W219)</f>
        <v/>
      </c>
      <c r="I2086" s="86">
        <f ca="1">'Ch9'!O219</f>
        <v>0</v>
      </c>
      <c r="J2086" s="1950" t="s">
        <v>5040</v>
      </c>
    </row>
    <row r="2087" spans="1:10" x14ac:dyDescent="0.25">
      <c r="A2087" s="585" t="str">
        <f ca="1">A2086</f>
        <v/>
      </c>
      <c r="B2087" s="254" t="str">
        <f>IF(LEN('Ch9'!H220)=0,"",'Ch9'!H220)</f>
        <v/>
      </c>
      <c r="C2087" s="254" t="str">
        <f t="shared" ca="1" si="49"/>
        <v/>
      </c>
      <c r="D2087" s="101"/>
      <c r="E2087" s="101"/>
      <c r="F2087" s="101"/>
      <c r="G2087" s="1782"/>
      <c r="H2087" s="94"/>
      <c r="J2087" s="1954"/>
    </row>
    <row r="2088" spans="1:10" s="1477" customFormat="1" x14ac:dyDescent="0.25">
      <c r="A2088" s="585" t="str">
        <f t="shared" ref="A2088:A2089" ca="1" si="50">A2087</f>
        <v/>
      </c>
      <c r="B2088" s="254" t="str">
        <f>IF(LEN('Ch9'!H221)=0,"",'Ch9'!H221)</f>
        <v/>
      </c>
      <c r="C2088" s="254" t="str">
        <f t="shared" ca="1" si="49"/>
        <v/>
      </c>
      <c r="D2088" s="101"/>
      <c r="E2088" s="101"/>
      <c r="F2088" s="101"/>
      <c r="G2088" s="1782"/>
      <c r="H2088" s="94"/>
      <c r="I2088" s="86"/>
      <c r="J2088" s="1954"/>
    </row>
    <row r="2089" spans="1:10" x14ac:dyDescent="0.25">
      <c r="A2089" s="585" t="str">
        <f t="shared" ca="1" si="50"/>
        <v/>
      </c>
      <c r="B2089" s="254" t="str">
        <f>IF(LEN('Ch9'!H222)=0,"",'Ch9'!H222)</f>
        <v/>
      </c>
      <c r="C2089" s="254" t="str">
        <f t="shared" ca="1" si="49"/>
        <v/>
      </c>
      <c r="D2089" s="101"/>
      <c r="E2089" s="101"/>
      <c r="F2089" s="101"/>
      <c r="G2089" s="1782"/>
      <c r="H2089" s="94"/>
      <c r="J2089" s="1951"/>
    </row>
    <row r="2090" spans="1:10" x14ac:dyDescent="0.25">
      <c r="B2090" s="254" t="str">
        <f>IF(LEN('Ch9'!H223)=0,"",'Ch9'!H223)</f>
        <v/>
      </c>
      <c r="C2090" s="254" t="str">
        <f t="shared" si="49"/>
        <v/>
      </c>
      <c r="D2090" s="101"/>
      <c r="E2090" s="668" t="s">
        <v>256</v>
      </c>
      <c r="F2090" s="101"/>
      <c r="G2090" s="1793" t="s">
        <v>3246</v>
      </c>
      <c r="H2090" s="94"/>
      <c r="J2090" s="1204"/>
    </row>
    <row r="2091" spans="1:10" x14ac:dyDescent="0.25">
      <c r="B2091" s="254" t="str">
        <f>IF(LEN('Ch9'!H224)=0,"",'Ch9'!H224)</f>
        <v/>
      </c>
      <c r="C2091" s="254" t="str">
        <f t="shared" si="49"/>
        <v/>
      </c>
      <c r="D2091" s="101"/>
      <c r="E2091" s="684"/>
      <c r="F2091" s="669"/>
      <c r="G2091" s="1761"/>
      <c r="H2091" s="94"/>
      <c r="J2091" s="1204"/>
    </row>
    <row r="2092" spans="1:10" x14ac:dyDescent="0.25">
      <c r="B2092" s="254" t="str">
        <f>IF(LEN('Ch9'!H225)=0,"",'Ch9'!H225)</f>
        <v/>
      </c>
      <c r="C2092" s="254" t="str">
        <f t="shared" si="49"/>
        <v/>
      </c>
      <c r="D2092" s="101"/>
      <c r="E2092" s="668" t="s">
        <v>258</v>
      </c>
      <c r="F2092" s="101"/>
      <c r="G2092" s="1754" t="s">
        <v>3247</v>
      </c>
      <c r="H2092" s="94"/>
      <c r="J2092" s="1204"/>
    </row>
    <row r="2093" spans="1:10" x14ac:dyDescent="0.25">
      <c r="B2093" s="254" t="str">
        <f>IF(LEN('Ch9'!H226)=0,"",'Ch9'!H226)</f>
        <v/>
      </c>
      <c r="C2093" s="254" t="str">
        <f t="shared" si="49"/>
        <v/>
      </c>
      <c r="D2093" s="101"/>
      <c r="E2093" s="669"/>
      <c r="F2093" s="669"/>
      <c r="G2093" s="1755"/>
      <c r="H2093" s="94"/>
      <c r="J2093" s="1204"/>
    </row>
    <row r="2094" spans="1:10" x14ac:dyDescent="0.25">
      <c r="B2094" s="254" t="str">
        <f>IF(LEN('Ch9'!H227)=0,"",'Ch9'!H227)</f>
        <v/>
      </c>
      <c r="C2094" s="254" t="str">
        <f t="shared" si="49"/>
        <v/>
      </c>
      <c r="D2094" s="101"/>
      <c r="E2094" s="684" t="s">
        <v>260</v>
      </c>
      <c r="F2094" s="669"/>
      <c r="G2094" s="1215" t="s">
        <v>3248</v>
      </c>
      <c r="H2094" s="94"/>
      <c r="J2094" s="1204"/>
    </row>
    <row r="2095" spans="1:10" x14ac:dyDescent="0.25">
      <c r="B2095" s="254" t="str">
        <f>IF(LEN('Ch9'!H228)=0,"",'Ch9'!H228)</f>
        <v/>
      </c>
      <c r="C2095" s="254" t="str">
        <f t="shared" si="49"/>
        <v/>
      </c>
      <c r="D2095" s="139"/>
      <c r="E2095" s="684" t="s">
        <v>269</v>
      </c>
      <c r="F2095" s="669"/>
      <c r="G2095" s="1215" t="s">
        <v>3249</v>
      </c>
      <c r="H2095" s="94"/>
      <c r="J2095" s="1204"/>
    </row>
    <row r="2096" spans="1:10" x14ac:dyDescent="0.25">
      <c r="B2096" s="254" t="str">
        <f>IF(LEN('Ch9'!H229)=0,"",'Ch9'!H229)</f>
        <v/>
      </c>
      <c r="C2096" s="254" t="str">
        <f t="shared" si="49"/>
        <v/>
      </c>
      <c r="D2096" s="139"/>
      <c r="E2096" s="684" t="s">
        <v>275</v>
      </c>
      <c r="F2096" s="669"/>
      <c r="G2096" s="1215" t="s">
        <v>4497</v>
      </c>
      <c r="H2096" s="94"/>
      <c r="J2096" s="1204"/>
    </row>
    <row r="2097" spans="1:10" x14ac:dyDescent="0.25">
      <c r="A2097" s="585" t="str">
        <f ca="1">IF(I2097&gt;0,"P","")</f>
        <v/>
      </c>
      <c r="B2097" s="254" t="str">
        <f>IF(LEN('Ch9'!H230)=0,"",'Ch9'!H230)</f>
        <v/>
      </c>
      <c r="C2097" s="254" t="str">
        <f t="shared" ca="1" si="49"/>
        <v/>
      </c>
      <c r="D2097" s="671" t="s">
        <v>3250</v>
      </c>
      <c r="E2097" s="671"/>
      <c r="F2097" s="671"/>
      <c r="G2097" s="1864" t="s">
        <v>4498</v>
      </c>
      <c r="H2097" s="1313" t="str">
        <f>IF(LEN('Ch9'!W230)=0,"",'Ch9'!W230)</f>
        <v/>
      </c>
      <c r="I2097" s="86">
        <f ca="1">'Ch9'!O230</f>
        <v>0</v>
      </c>
      <c r="J2097" s="1204" t="s">
        <v>3943</v>
      </c>
    </row>
    <row r="2098" spans="1:10" x14ac:dyDescent="0.25">
      <c r="A2098" s="585" t="str">
        <f ca="1">A2097</f>
        <v/>
      </c>
      <c r="B2098" s="254" t="str">
        <f>IF(LEN('Ch9'!H231)=0,"",'Ch9'!H231)</f>
        <v/>
      </c>
      <c r="C2098" s="254" t="str">
        <f t="shared" ca="1" si="49"/>
        <v/>
      </c>
      <c r="D2098" s="669"/>
      <c r="E2098" s="669"/>
      <c r="F2098" s="669"/>
      <c r="G2098" s="1843"/>
      <c r="H2098" s="94"/>
      <c r="J2098" s="1204"/>
    </row>
    <row r="2099" spans="1:10" x14ac:dyDescent="0.25">
      <c r="A2099" s="585" t="str">
        <f>IF(I2099&gt;0,"P","")</f>
        <v/>
      </c>
      <c r="B2099" s="254" t="str">
        <f>IF(LEN('Ch9'!H232)=0,"",'Ch9'!H232)</f>
        <v/>
      </c>
      <c r="C2099" s="254" t="str">
        <f t="shared" si="49"/>
        <v/>
      </c>
      <c r="D2099" s="671" t="s">
        <v>3251</v>
      </c>
      <c r="E2099" s="671"/>
      <c r="F2099" s="671"/>
      <c r="G2099" s="1864" t="s">
        <v>3252</v>
      </c>
      <c r="H2099" s="1313" t="str">
        <f>IF(LEN('Ch9'!W232)=0,"",'Ch9'!W232)</f>
        <v/>
      </c>
      <c r="I2099" s="86">
        <f>'Ch9'!O232</f>
        <v>0</v>
      </c>
      <c r="J2099" s="1204" t="s">
        <v>3944</v>
      </c>
    </row>
    <row r="2100" spans="1:10" x14ac:dyDescent="0.25">
      <c r="A2100" s="585" t="str">
        <f>A2099</f>
        <v/>
      </c>
      <c r="B2100" s="254" t="str">
        <f>IF(LEN('Ch9'!H233)=0,"",'Ch9'!H233)</f>
        <v/>
      </c>
      <c r="C2100" s="254" t="str">
        <f t="shared" si="49"/>
        <v/>
      </c>
      <c r="D2100" s="101"/>
      <c r="E2100" s="101"/>
      <c r="F2100" s="101"/>
      <c r="G2100" s="1782"/>
      <c r="H2100" s="94"/>
      <c r="J2100" s="1204"/>
    </row>
    <row r="2101" spans="1:10" x14ac:dyDescent="0.25">
      <c r="A2101" s="585" t="str">
        <f>A2100</f>
        <v/>
      </c>
      <c r="B2101" s="254" t="str">
        <f>IF(LEN('Ch9'!H234)=0,"",'Ch9'!H234)</f>
        <v/>
      </c>
      <c r="C2101" s="254" t="str">
        <f t="shared" si="49"/>
        <v/>
      </c>
      <c r="D2101" s="669"/>
      <c r="E2101" s="669"/>
      <c r="F2101" s="669"/>
      <c r="G2101" s="1843"/>
      <c r="H2101" s="94"/>
      <c r="J2101" s="1204"/>
    </row>
    <row r="2102" spans="1:10" x14ac:dyDescent="0.25">
      <c r="A2102" s="585" t="str">
        <f>IF(I2102&gt;0,"P","")</f>
        <v/>
      </c>
      <c r="B2102" s="254" t="str">
        <f>IF(LEN('Ch9'!H235)=0,"",'Ch9'!H235)</f>
        <v/>
      </c>
      <c r="C2102" s="254" t="str">
        <f t="shared" si="49"/>
        <v/>
      </c>
      <c r="D2102" s="101" t="s">
        <v>3253</v>
      </c>
      <c r="E2102" s="101"/>
      <c r="F2102" s="101"/>
      <c r="G2102" s="1782" t="s">
        <v>3254</v>
      </c>
      <c r="H2102" s="1313" t="str">
        <f>IF(LEN('Ch9'!W235)=0,"",'Ch9'!W235)</f>
        <v/>
      </c>
      <c r="I2102" s="86">
        <f>'Ch9'!O235</f>
        <v>0</v>
      </c>
      <c r="J2102" s="1204" t="s">
        <v>3944</v>
      </c>
    </row>
    <row r="2103" spans="1:10" x14ac:dyDescent="0.25">
      <c r="A2103" s="585" t="str">
        <f>A2102</f>
        <v/>
      </c>
      <c r="B2103" s="254" t="str">
        <f>IF(LEN('Ch9'!H236)=0,"",'Ch9'!H236)</f>
        <v/>
      </c>
      <c r="C2103" s="254" t="str">
        <f t="shared" si="49"/>
        <v/>
      </c>
      <c r="D2103" s="101"/>
      <c r="E2103" s="101"/>
      <c r="F2103" s="101"/>
      <c r="G2103" s="1782"/>
      <c r="H2103" s="94"/>
      <c r="J2103" s="1204"/>
    </row>
    <row r="2104" spans="1:10" ht="15.75" thickBot="1" x14ac:dyDescent="0.3">
      <c r="A2104" s="585" t="str">
        <f>A2103</f>
        <v/>
      </c>
      <c r="B2104" s="254" t="str">
        <f>IF(LEN('Ch9'!H237)=0,"",'Ch9'!H237)</f>
        <v/>
      </c>
      <c r="C2104" s="254" t="str">
        <f t="shared" si="49"/>
        <v/>
      </c>
      <c r="D2104" s="670"/>
      <c r="E2104" s="670"/>
      <c r="F2104" s="670"/>
      <c r="G2104" s="1797"/>
      <c r="H2104" s="94"/>
      <c r="J2104" s="1204"/>
    </row>
    <row r="2105" spans="1:10" ht="15.75" thickTop="1" x14ac:dyDescent="0.25">
      <c r="A2105" s="585" t="str">
        <f ca="1">IF(I2105&gt;0,"P","")</f>
        <v/>
      </c>
      <c r="B2105" s="254" t="str">
        <f>IF(LEN('Ch9'!H238)=0,"",'Ch9'!H238)</f>
        <v/>
      </c>
      <c r="C2105" s="254" t="str">
        <f t="shared" ca="1" si="49"/>
        <v/>
      </c>
      <c r="D2105" s="667" t="s">
        <v>4499</v>
      </c>
      <c r="E2105" s="667"/>
      <c r="F2105" s="667"/>
      <c r="G2105" s="1802" t="s">
        <v>4500</v>
      </c>
      <c r="H2105" s="1313" t="str">
        <f>IF(LEN('Ch9'!W238)=0,"",'Ch9'!W238)</f>
        <v/>
      </c>
      <c r="I2105" s="706">
        <f ca="1">SUM(I2108:I2178)</f>
        <v>0</v>
      </c>
      <c r="J2105" s="1204" t="s">
        <v>5041</v>
      </c>
    </row>
    <row r="2106" spans="1:10" x14ac:dyDescent="0.25">
      <c r="A2106" s="585" t="str">
        <f ca="1">A2105</f>
        <v/>
      </c>
      <c r="B2106" s="254" t="str">
        <f>IF(LEN('Ch9'!H239)=0,"",'Ch9'!H239)</f>
        <v/>
      </c>
      <c r="C2106" s="254" t="str">
        <f t="shared" ca="1" si="49"/>
        <v/>
      </c>
      <c r="D2106" s="667"/>
      <c r="E2106" s="667"/>
      <c r="F2106" s="667"/>
      <c r="G2106" s="1802"/>
      <c r="H2106" s="94"/>
      <c r="J2106" s="1204"/>
    </row>
    <row r="2107" spans="1:10" x14ac:dyDescent="0.25">
      <c r="A2107" s="585" t="str">
        <f ca="1">A2106</f>
        <v/>
      </c>
      <c r="B2107" s="254" t="str">
        <f>IF(LEN('Ch9'!H240)=0,"",'Ch9'!H240)</f>
        <v/>
      </c>
      <c r="C2107" s="254" t="str">
        <f t="shared" ca="1" si="49"/>
        <v/>
      </c>
      <c r="D2107" s="667"/>
      <c r="E2107" s="667"/>
      <c r="F2107" s="667"/>
      <c r="G2107" s="1802"/>
      <c r="H2107" s="94"/>
      <c r="J2107" s="1204"/>
    </row>
    <row r="2108" spans="1:10" x14ac:dyDescent="0.25">
      <c r="B2108" s="254" t="str">
        <f>IF(LEN('Ch9'!H241)=0,"",'Ch9'!H241)</f>
        <v/>
      </c>
      <c r="C2108" s="254" t="str">
        <f t="shared" si="49"/>
        <v/>
      </c>
      <c r="D2108" s="667"/>
      <c r="E2108" s="667" t="s">
        <v>256</v>
      </c>
      <c r="F2108" s="667"/>
      <c r="G2108" s="1243" t="s">
        <v>3255</v>
      </c>
      <c r="H2108" s="94"/>
      <c r="I2108" s="86">
        <f ca="1">'Ch9'!O241</f>
        <v>0</v>
      </c>
      <c r="J2108" s="1204"/>
    </row>
    <row r="2109" spans="1:10" x14ac:dyDescent="0.25">
      <c r="B2109" s="254" t="str">
        <f>IF(LEN('Ch9'!H242)=0,"",'Ch9'!H242)</f>
        <v/>
      </c>
      <c r="C2109" s="254" t="str">
        <f t="shared" si="49"/>
        <v/>
      </c>
      <c r="D2109" s="667"/>
      <c r="E2109" s="667"/>
      <c r="F2109" s="667" t="s">
        <v>121</v>
      </c>
      <c r="G2109" s="1243" t="s">
        <v>4501</v>
      </c>
      <c r="H2109" s="94"/>
      <c r="J2109" s="1204"/>
    </row>
    <row r="2110" spans="1:10" x14ac:dyDescent="0.25">
      <c r="B2110" s="254" t="str">
        <f>IF(LEN('Ch9'!H243)=0,"",'Ch9'!H243)</f>
        <v/>
      </c>
      <c r="C2110" s="254" t="str">
        <f t="shared" si="49"/>
        <v/>
      </c>
      <c r="D2110" s="667"/>
      <c r="E2110" s="684"/>
      <c r="F2110" s="684" t="s">
        <v>122</v>
      </c>
      <c r="G2110" s="1244" t="s">
        <v>4502</v>
      </c>
      <c r="H2110" s="94"/>
      <c r="J2110" s="1204"/>
    </row>
    <row r="2111" spans="1:10" x14ac:dyDescent="0.25">
      <c r="B2111" s="254" t="str">
        <f>IF(LEN('Ch9'!H244)=0,"",'Ch9'!H244)</f>
        <v/>
      </c>
      <c r="C2111" s="254" t="str">
        <f t="shared" si="49"/>
        <v/>
      </c>
      <c r="D2111" s="667"/>
      <c r="E2111" s="667" t="s">
        <v>258</v>
      </c>
      <c r="F2111" s="667"/>
      <c r="G2111" s="1243" t="s">
        <v>3256</v>
      </c>
      <c r="H2111" s="94"/>
      <c r="I2111" s="86">
        <f ca="1">'Ch9'!O244</f>
        <v>0</v>
      </c>
      <c r="J2111" s="1204"/>
    </row>
    <row r="2112" spans="1:10" x14ac:dyDescent="0.25">
      <c r="B2112" s="254" t="str">
        <f>IF(LEN('Ch9'!H245)=0,"",'Ch9'!H245)</f>
        <v/>
      </c>
      <c r="C2112" s="254" t="str">
        <f t="shared" si="49"/>
        <v/>
      </c>
      <c r="D2112" s="667"/>
      <c r="E2112" s="667"/>
      <c r="F2112" s="667" t="s">
        <v>121</v>
      </c>
      <c r="G2112" s="1243" t="s">
        <v>4501</v>
      </c>
      <c r="H2112" s="94"/>
      <c r="J2112" s="1204"/>
    </row>
    <row r="2113" spans="2:10" x14ac:dyDescent="0.25">
      <c r="B2113" s="254" t="str">
        <f>IF(LEN('Ch9'!H246)=0,"",'Ch9'!H246)</f>
        <v/>
      </c>
      <c r="C2113" s="254" t="str">
        <f t="shared" si="49"/>
        <v/>
      </c>
      <c r="D2113" s="684"/>
      <c r="E2113" s="684"/>
      <c r="F2113" s="684" t="s">
        <v>122</v>
      </c>
      <c r="G2113" s="1244" t="s">
        <v>4502</v>
      </c>
      <c r="H2113" s="94"/>
      <c r="J2113" s="1204"/>
    </row>
    <row r="2114" spans="2:10" ht="15" customHeight="1" x14ac:dyDescent="0.25">
      <c r="B2114" s="254" t="str">
        <f>IF(LEN('Ch9'!H247)=0,"",'Ch9'!H247)</f>
        <v/>
      </c>
      <c r="C2114" s="254" t="str">
        <f t="shared" si="49"/>
        <v/>
      </c>
      <c r="D2114" s="667" t="s">
        <v>4503</v>
      </c>
      <c r="E2114" s="667"/>
      <c r="F2114" s="667"/>
      <c r="G2114" s="1227" t="s">
        <v>4504</v>
      </c>
      <c r="H2114" s="94"/>
      <c r="J2114" s="1204"/>
    </row>
    <row r="2115" spans="2:10" x14ac:dyDescent="0.25">
      <c r="B2115" s="254" t="str">
        <f>IF(LEN('Ch9'!H248)=0,"",'Ch9'!H248)</f>
        <v/>
      </c>
      <c r="C2115" s="254" t="str">
        <f t="shared" si="49"/>
        <v/>
      </c>
      <c r="D2115" s="667" t="s">
        <v>4505</v>
      </c>
      <c r="E2115" s="667"/>
      <c r="F2115" s="667"/>
      <c r="G2115" s="1802" t="s">
        <v>4506</v>
      </c>
      <c r="H2115" s="94"/>
      <c r="J2115" s="1204"/>
    </row>
    <row r="2116" spans="2:10" x14ac:dyDescent="0.25">
      <c r="B2116" s="254" t="str">
        <f>IF(LEN('Ch9'!H249)=0,"",'Ch9'!H249)</f>
        <v/>
      </c>
      <c r="C2116" s="254" t="str">
        <f t="shared" si="49"/>
        <v/>
      </c>
      <c r="D2116" s="667"/>
      <c r="E2116" s="667"/>
      <c r="F2116" s="667"/>
      <c r="G2116" s="1802"/>
      <c r="H2116" s="94"/>
      <c r="J2116" s="1204"/>
    </row>
    <row r="2117" spans="2:10" x14ac:dyDescent="0.25">
      <c r="B2117" s="254" t="str">
        <f>IF(LEN('Ch9'!H250)=0,"",'Ch9'!H250)</f>
        <v/>
      </c>
      <c r="C2117" s="254" t="str">
        <f t="shared" si="49"/>
        <v/>
      </c>
      <c r="D2117" s="667"/>
      <c r="E2117" s="667"/>
      <c r="F2117" s="667"/>
      <c r="G2117" s="1802"/>
      <c r="H2117" s="94"/>
      <c r="J2117" s="1204"/>
    </row>
    <row r="2118" spans="2:10" x14ac:dyDescent="0.25">
      <c r="B2118" s="254" t="str">
        <f>IF(LEN('Ch9'!H251)=0,"",'Ch9'!H251)</f>
        <v/>
      </c>
      <c r="C2118" s="254" t="str">
        <f t="shared" si="49"/>
        <v/>
      </c>
      <c r="D2118" s="667"/>
      <c r="E2118" s="667"/>
      <c r="F2118" s="667"/>
      <c r="G2118" s="1802"/>
      <c r="H2118" s="94"/>
      <c r="J2118" s="1204"/>
    </row>
    <row r="2119" spans="2:10" x14ac:dyDescent="0.25">
      <c r="B2119" s="254" t="str">
        <f>IF(LEN('Ch9'!H252)=0,"",'Ch9'!H252)</f>
        <v/>
      </c>
      <c r="C2119" s="254" t="str">
        <f t="shared" si="49"/>
        <v/>
      </c>
      <c r="D2119" s="667"/>
      <c r="E2119" s="667"/>
      <c r="F2119" s="667"/>
      <c r="G2119" s="1802"/>
      <c r="H2119" s="94"/>
      <c r="J2119" s="1204"/>
    </row>
    <row r="2120" spans="2:10" x14ac:dyDescent="0.25">
      <c r="B2120" s="254" t="str">
        <f>IF(LEN('Ch9'!H253)=0,"",'Ch9'!H253)</f>
        <v/>
      </c>
      <c r="C2120" s="254" t="str">
        <f t="shared" si="49"/>
        <v/>
      </c>
      <c r="D2120" s="667"/>
      <c r="E2120" s="667"/>
      <c r="F2120" s="667"/>
      <c r="G2120" s="1802"/>
      <c r="H2120" s="94"/>
      <c r="J2120" s="1204"/>
    </row>
    <row r="2121" spans="2:10" x14ac:dyDescent="0.25">
      <c r="B2121" s="254" t="str">
        <f>IF(LEN('Ch9'!H254)=0,"",'Ch9'!H254)</f>
        <v/>
      </c>
      <c r="C2121" s="254" t="str">
        <f t="shared" si="49"/>
        <v/>
      </c>
      <c r="D2121" s="667"/>
      <c r="E2121" s="667"/>
      <c r="F2121" s="667"/>
      <c r="G2121" s="1802"/>
      <c r="H2121" s="94"/>
      <c r="J2121" s="1204"/>
    </row>
    <row r="2122" spans="2:10" x14ac:dyDescent="0.25">
      <c r="B2122" s="254" t="str">
        <f>IF(LEN('Ch9'!H255)=0,"",'Ch9'!H255)</f>
        <v/>
      </c>
      <c r="C2122" s="254" t="str">
        <f t="shared" si="49"/>
        <v/>
      </c>
      <c r="D2122" s="684"/>
      <c r="E2122" s="684"/>
      <c r="F2122" s="684"/>
      <c r="G2122" s="1936"/>
      <c r="H2122" s="94"/>
      <c r="J2122" s="1204"/>
    </row>
    <row r="2123" spans="2:10" x14ac:dyDescent="0.25">
      <c r="B2123" s="254" t="str">
        <f>IF(LEN('Ch9'!H256)=0,"",'Ch9'!H256)</f>
        <v/>
      </c>
      <c r="C2123" s="254" t="str">
        <f t="shared" si="49"/>
        <v/>
      </c>
      <c r="D2123" s="693" t="s">
        <v>4507</v>
      </c>
      <c r="E2123" s="693"/>
      <c r="F2123" s="693"/>
      <c r="G2123" s="1935" t="s">
        <v>4508</v>
      </c>
      <c r="H2123" s="94"/>
      <c r="J2123" s="1204"/>
    </row>
    <row r="2124" spans="2:10" x14ac:dyDescent="0.25">
      <c r="B2124" s="254" t="str">
        <f>IF(LEN('Ch9'!H257)=0,"",'Ch9'!H257)</f>
        <v/>
      </c>
      <c r="C2124" s="254" t="str">
        <f t="shared" si="49"/>
        <v/>
      </c>
      <c r="D2124" s="667"/>
      <c r="E2124" s="667"/>
      <c r="F2124" s="667"/>
      <c r="G2124" s="1802"/>
      <c r="H2124" s="94"/>
      <c r="J2124" s="1204"/>
    </row>
    <row r="2125" spans="2:10" x14ac:dyDescent="0.25">
      <c r="B2125" s="254" t="str">
        <f>IF(LEN('Ch9'!H258)=0,"",'Ch9'!H258)</f>
        <v/>
      </c>
      <c r="C2125" s="254" t="str">
        <f t="shared" si="49"/>
        <v/>
      </c>
      <c r="D2125" s="667"/>
      <c r="E2125" s="667"/>
      <c r="F2125" s="667"/>
      <c r="G2125" s="1802"/>
      <c r="H2125" s="94"/>
      <c r="J2125" s="1204"/>
    </row>
    <row r="2126" spans="2:10" x14ac:dyDescent="0.25">
      <c r="B2126" s="254" t="str">
        <f>IF(LEN('Ch9'!H259)=0,"",'Ch9'!H259)</f>
        <v/>
      </c>
      <c r="C2126" s="254" t="str">
        <f t="shared" si="49"/>
        <v/>
      </c>
      <c r="D2126" s="667"/>
      <c r="E2126" s="667"/>
      <c r="F2126" s="667"/>
      <c r="G2126" s="1802"/>
      <c r="H2126" s="94"/>
      <c r="J2126" s="1204"/>
    </row>
    <row r="2127" spans="2:10" x14ac:dyDescent="0.25">
      <c r="B2127" s="254" t="str">
        <f>IF(LEN('Ch9'!H260)=0,"",'Ch9'!H260)</f>
        <v/>
      </c>
      <c r="C2127" s="254" t="str">
        <f t="shared" si="49"/>
        <v/>
      </c>
      <c r="D2127" s="667"/>
      <c r="E2127" s="667"/>
      <c r="F2127" s="667"/>
      <c r="G2127" s="1802"/>
      <c r="H2127" s="94"/>
      <c r="J2127" s="1204"/>
    </row>
    <row r="2128" spans="2:10" x14ac:dyDescent="0.25">
      <c r="B2128" s="254" t="str">
        <f>IF(LEN('Ch9'!H261)=0,"",'Ch9'!H261)</f>
        <v/>
      </c>
      <c r="C2128" s="254" t="str">
        <f t="shared" si="49"/>
        <v/>
      </c>
      <c r="D2128" s="667"/>
      <c r="E2128" s="667"/>
      <c r="F2128" s="667"/>
      <c r="G2128" s="1802"/>
      <c r="H2128" s="94"/>
      <c r="J2128" s="1204"/>
    </row>
    <row r="2129" spans="2:10" x14ac:dyDescent="0.25">
      <c r="B2129" s="254" t="str">
        <f>IF(LEN('Ch9'!H262)=0,"",'Ch9'!H262)</f>
        <v/>
      </c>
      <c r="C2129" s="254" t="str">
        <f t="shared" si="49"/>
        <v/>
      </c>
      <c r="D2129" s="684"/>
      <c r="E2129" s="684"/>
      <c r="F2129" s="684"/>
      <c r="G2129" s="1936"/>
      <c r="H2129" s="94"/>
      <c r="J2129" s="1204"/>
    </row>
    <row r="2130" spans="2:10" x14ac:dyDescent="0.25">
      <c r="B2130" s="254" t="str">
        <f>IF(LEN('Ch9'!H263)=0,"",'Ch9'!H263)</f>
        <v/>
      </c>
      <c r="C2130" s="254" t="str">
        <f t="shared" si="49"/>
        <v/>
      </c>
      <c r="D2130" s="693" t="s">
        <v>4509</v>
      </c>
      <c r="E2130" s="693"/>
      <c r="F2130" s="693"/>
      <c r="G2130" s="1935" t="s">
        <v>4510</v>
      </c>
      <c r="H2130" s="94"/>
      <c r="J2130" s="1204"/>
    </row>
    <row r="2131" spans="2:10" x14ac:dyDescent="0.25">
      <c r="B2131" s="254" t="str">
        <f>IF(LEN('Ch9'!H264)=0,"",'Ch9'!H264)</f>
        <v/>
      </c>
      <c r="C2131" s="254" t="str">
        <f t="shared" ref="C2131:C2194" si="51">IF(LEN(B2131)=0,IF(A2131="P","P",""),B2131)</f>
        <v/>
      </c>
      <c r="D2131" s="667"/>
      <c r="E2131" s="667"/>
      <c r="F2131" s="667"/>
      <c r="G2131" s="1802"/>
      <c r="H2131" s="94"/>
      <c r="J2131" s="1204"/>
    </row>
    <row r="2132" spans="2:10" x14ac:dyDescent="0.25">
      <c r="B2132" s="254" t="str">
        <f>IF(LEN('Ch9'!H265)=0,"",'Ch9'!H265)</f>
        <v/>
      </c>
      <c r="C2132" s="254" t="str">
        <f t="shared" si="51"/>
        <v/>
      </c>
      <c r="D2132" s="667"/>
      <c r="E2132" s="667"/>
      <c r="F2132" s="667"/>
      <c r="G2132" s="1802"/>
      <c r="H2132" s="94"/>
      <c r="J2132" s="1204"/>
    </row>
    <row r="2133" spans="2:10" x14ac:dyDescent="0.25">
      <c r="B2133" s="254" t="str">
        <f>IF(LEN('Ch9'!H266)=0,"",'Ch9'!H266)</f>
        <v/>
      </c>
      <c r="C2133" s="254" t="str">
        <f t="shared" si="51"/>
        <v/>
      </c>
      <c r="D2133" s="667"/>
      <c r="E2133" s="667"/>
      <c r="F2133" s="667"/>
      <c r="G2133" s="1802"/>
      <c r="H2133" s="94"/>
      <c r="J2133" s="1204"/>
    </row>
    <row r="2134" spans="2:10" x14ac:dyDescent="0.25">
      <c r="B2134" s="254" t="str">
        <f>IF(LEN('Ch9'!H267)=0,"",'Ch9'!H267)</f>
        <v/>
      </c>
      <c r="C2134" s="254" t="str">
        <f t="shared" si="51"/>
        <v/>
      </c>
      <c r="D2134" s="667"/>
      <c r="E2134" s="667"/>
      <c r="F2134" s="667"/>
      <c r="G2134" s="1802"/>
      <c r="H2134" s="94"/>
      <c r="J2134" s="1204"/>
    </row>
    <row r="2135" spans="2:10" x14ac:dyDescent="0.25">
      <c r="B2135" s="254" t="str">
        <f>IF(LEN('Ch9'!H268)=0,"",'Ch9'!H268)</f>
        <v/>
      </c>
      <c r="C2135" s="254" t="str">
        <f t="shared" si="51"/>
        <v/>
      </c>
      <c r="D2135" s="667"/>
      <c r="E2135" s="667"/>
      <c r="F2135" s="667"/>
      <c r="G2135" s="1802"/>
      <c r="H2135" s="94"/>
      <c r="J2135" s="1204"/>
    </row>
    <row r="2136" spans="2:10" x14ac:dyDescent="0.25">
      <c r="B2136" s="254" t="str">
        <f>IF(LEN('Ch9'!H269)=0,"",'Ch9'!H269)</f>
        <v/>
      </c>
      <c r="C2136" s="254" t="str">
        <f t="shared" si="51"/>
        <v/>
      </c>
      <c r="D2136" s="684"/>
      <c r="E2136" s="684"/>
      <c r="F2136" s="684"/>
      <c r="G2136" s="1936"/>
      <c r="H2136" s="94"/>
      <c r="J2136" s="1204"/>
    </row>
    <row r="2137" spans="2:10" x14ac:dyDescent="0.25">
      <c r="B2137" s="254" t="str">
        <f>IF(LEN('Ch9'!H270)=0,"",'Ch9'!H270)</f>
        <v/>
      </c>
      <c r="C2137" s="254" t="str">
        <f t="shared" si="51"/>
        <v/>
      </c>
      <c r="D2137" s="693" t="s">
        <v>4511</v>
      </c>
      <c r="E2137" s="693"/>
      <c r="F2137" s="693"/>
      <c r="G2137" s="1935" t="s">
        <v>4512</v>
      </c>
      <c r="H2137" s="94"/>
      <c r="J2137" s="1204"/>
    </row>
    <row r="2138" spans="2:10" x14ac:dyDescent="0.25">
      <c r="B2138" s="254" t="str">
        <f>IF(LEN('Ch9'!H271)=0,"",'Ch9'!H271)</f>
        <v/>
      </c>
      <c r="C2138" s="254" t="str">
        <f t="shared" si="51"/>
        <v/>
      </c>
      <c r="D2138" s="667"/>
      <c r="E2138" s="667"/>
      <c r="F2138" s="667"/>
      <c r="G2138" s="1802"/>
      <c r="H2138" s="94"/>
      <c r="J2138" s="1204"/>
    </row>
    <row r="2139" spans="2:10" x14ac:dyDescent="0.25">
      <c r="B2139" s="254" t="str">
        <f>IF(LEN('Ch9'!H272)=0,"",'Ch9'!H272)</f>
        <v/>
      </c>
      <c r="C2139" s="254" t="str">
        <f t="shared" si="51"/>
        <v/>
      </c>
      <c r="D2139" s="667"/>
      <c r="E2139" s="667"/>
      <c r="F2139" s="667"/>
      <c r="G2139" s="1802"/>
      <c r="H2139" s="94"/>
      <c r="J2139" s="1204"/>
    </row>
    <row r="2140" spans="2:10" x14ac:dyDescent="0.25">
      <c r="B2140" s="254" t="str">
        <f>IF(LEN('Ch9'!H273)=0,"",'Ch9'!H273)</f>
        <v/>
      </c>
      <c r="C2140" s="254" t="str">
        <f t="shared" si="51"/>
        <v/>
      </c>
      <c r="D2140" s="667"/>
      <c r="E2140" s="667"/>
      <c r="F2140" s="667"/>
      <c r="G2140" s="1802"/>
      <c r="H2140" s="94"/>
      <c r="J2140" s="1204"/>
    </row>
    <row r="2141" spans="2:10" x14ac:dyDescent="0.25">
      <c r="B2141" s="254" t="str">
        <f>IF(LEN('Ch9'!H274)=0,"",'Ch9'!H274)</f>
        <v/>
      </c>
      <c r="C2141" s="254" t="str">
        <f t="shared" si="51"/>
        <v/>
      </c>
      <c r="D2141" s="684"/>
      <c r="E2141" s="684"/>
      <c r="F2141" s="684"/>
      <c r="G2141" s="1936"/>
      <c r="H2141" s="94"/>
      <c r="J2141" s="1204"/>
    </row>
    <row r="2142" spans="2:10" x14ac:dyDescent="0.25">
      <c r="B2142" s="254" t="str">
        <f>IF(LEN('Ch9'!H275)=0,"",'Ch9'!H275)</f>
        <v/>
      </c>
      <c r="C2142" s="254" t="str">
        <f t="shared" si="51"/>
        <v/>
      </c>
      <c r="D2142" s="693" t="s">
        <v>4513</v>
      </c>
      <c r="E2142" s="693"/>
      <c r="F2142" s="693"/>
      <c r="G2142" s="1935" t="s">
        <v>4514</v>
      </c>
      <c r="H2142" s="94"/>
      <c r="J2142" s="1204"/>
    </row>
    <row r="2143" spans="2:10" x14ac:dyDescent="0.25">
      <c r="B2143" s="254" t="str">
        <f>IF(LEN('Ch9'!H276)=0,"",'Ch9'!H276)</f>
        <v/>
      </c>
      <c r="C2143" s="254" t="str">
        <f t="shared" si="51"/>
        <v/>
      </c>
      <c r="D2143" s="684"/>
      <c r="E2143" s="684"/>
      <c r="F2143" s="684"/>
      <c r="G2143" s="1936"/>
      <c r="H2143" s="94"/>
      <c r="J2143" s="1204"/>
    </row>
    <row r="2144" spans="2:10" x14ac:dyDescent="0.25">
      <c r="B2144" s="254" t="str">
        <f>IF(LEN('Ch9'!H277)=0,"",'Ch9'!H277)</f>
        <v/>
      </c>
      <c r="C2144" s="254" t="str">
        <f t="shared" si="51"/>
        <v/>
      </c>
      <c r="D2144" s="693" t="s">
        <v>4515</v>
      </c>
      <c r="E2144" s="693"/>
      <c r="F2144" s="693"/>
      <c r="G2144" s="1935" t="s">
        <v>4516</v>
      </c>
      <c r="H2144" s="94"/>
      <c r="J2144" s="1204"/>
    </row>
    <row r="2145" spans="1:10" x14ac:dyDescent="0.25">
      <c r="B2145" s="254" t="str">
        <f>IF(LEN('Ch9'!H278)=0,"",'Ch9'!H278)</f>
        <v/>
      </c>
      <c r="C2145" s="254" t="str">
        <f t="shared" si="51"/>
        <v/>
      </c>
      <c r="D2145" s="667"/>
      <c r="E2145" s="667"/>
      <c r="F2145" s="667"/>
      <c r="G2145" s="1802"/>
      <c r="H2145" s="94"/>
      <c r="J2145" s="1204"/>
    </row>
    <row r="2146" spans="1:10" x14ac:dyDescent="0.25">
      <c r="B2146" s="254" t="str">
        <f>IF(LEN('Ch9'!H279)=0,"",'Ch9'!H279)</f>
        <v/>
      </c>
      <c r="C2146" s="254" t="str">
        <f t="shared" si="51"/>
        <v/>
      </c>
      <c r="D2146" s="667"/>
      <c r="E2146" s="667"/>
      <c r="F2146" s="667"/>
      <c r="G2146" s="1802"/>
      <c r="H2146" s="94"/>
      <c r="J2146" s="1204"/>
    </row>
    <row r="2147" spans="1:10" x14ac:dyDescent="0.25">
      <c r="B2147" s="254" t="str">
        <f>IF(LEN('Ch9'!H280)=0,"",'Ch9'!H280)</f>
        <v/>
      </c>
      <c r="C2147" s="254" t="str">
        <f t="shared" si="51"/>
        <v/>
      </c>
      <c r="D2147" s="684"/>
      <c r="E2147" s="684"/>
      <c r="F2147" s="684"/>
      <c r="G2147" s="1936"/>
      <c r="H2147" s="94"/>
      <c r="J2147" s="1204"/>
    </row>
    <row r="2148" spans="1:10" x14ac:dyDescent="0.25">
      <c r="B2148" s="254" t="str">
        <f>IF(LEN('Ch9'!H281)=0,"",'Ch9'!H281)</f>
        <v/>
      </c>
      <c r="C2148" s="254" t="str">
        <f t="shared" si="51"/>
        <v/>
      </c>
      <c r="D2148" s="693" t="s">
        <v>4517</v>
      </c>
      <c r="E2148" s="693"/>
      <c r="F2148" s="693"/>
      <c r="G2148" s="1935" t="s">
        <v>4518</v>
      </c>
      <c r="H2148" s="94"/>
      <c r="J2148" s="1204"/>
    </row>
    <row r="2149" spans="1:10" x14ac:dyDescent="0.25">
      <c r="B2149" s="254" t="str">
        <f>IF(LEN('Ch9'!H282)=0,"",'Ch9'!H282)</f>
        <v/>
      </c>
      <c r="C2149" s="254" t="str">
        <f t="shared" si="51"/>
        <v/>
      </c>
      <c r="D2149" s="667"/>
      <c r="E2149" s="667"/>
      <c r="F2149" s="667"/>
      <c r="G2149" s="1802"/>
      <c r="H2149" s="94"/>
      <c r="J2149" s="1204"/>
    </row>
    <row r="2150" spans="1:10" x14ac:dyDescent="0.25">
      <c r="B2150" s="254" t="str">
        <f>IF(LEN('Ch9'!H283)=0,"",'Ch9'!H283)</f>
        <v/>
      </c>
      <c r="C2150" s="254" t="str">
        <f t="shared" si="51"/>
        <v/>
      </c>
      <c r="D2150" s="684"/>
      <c r="E2150" s="684"/>
      <c r="F2150" s="684"/>
      <c r="G2150" s="1936"/>
      <c r="H2150" s="94"/>
      <c r="J2150" s="1204"/>
    </row>
    <row r="2151" spans="1:10" x14ac:dyDescent="0.25">
      <c r="A2151" s="585" t="str">
        <f>IF(I2151&gt;0,"P","")</f>
        <v/>
      </c>
      <c r="B2151" s="254" t="str">
        <f>IF(LEN('Ch9'!H284)=0,"",'Ch9'!H284)</f>
        <v/>
      </c>
      <c r="C2151" s="254" t="str">
        <f t="shared" si="51"/>
        <v/>
      </c>
      <c r="D2151" s="667" t="s">
        <v>4519</v>
      </c>
      <c r="E2151" s="667"/>
      <c r="F2151" s="667"/>
      <c r="G2151" s="1227" t="s">
        <v>4520</v>
      </c>
      <c r="H2151" s="94"/>
      <c r="I2151" s="706">
        <f>SUM(I2155:I2177)</f>
        <v>0</v>
      </c>
      <c r="J2151" s="1950" t="s">
        <v>5042</v>
      </c>
    </row>
    <row r="2152" spans="1:10" x14ac:dyDescent="0.25">
      <c r="A2152" s="585" t="str">
        <f>A2151</f>
        <v/>
      </c>
      <c r="B2152" s="254" t="str">
        <f>IF(LEN('Ch9'!H285)=0,"",'Ch9'!H285)</f>
        <v/>
      </c>
      <c r="C2152" s="254" t="str">
        <f t="shared" si="51"/>
        <v/>
      </c>
      <c r="D2152" s="667"/>
      <c r="E2152" s="667"/>
      <c r="F2152" s="667"/>
      <c r="G2152" s="1227" t="s">
        <v>4521</v>
      </c>
      <c r="H2152" s="94"/>
      <c r="J2152" s="1952"/>
    </row>
    <row r="2153" spans="1:10" x14ac:dyDescent="0.25">
      <c r="A2153" s="585" t="str">
        <f>A2152</f>
        <v/>
      </c>
      <c r="B2153" s="254" t="str">
        <f>IF(LEN('Ch9'!H286)=0,"",'Ch9'!H286)</f>
        <v/>
      </c>
      <c r="C2153" s="254" t="str">
        <f t="shared" si="51"/>
        <v/>
      </c>
      <c r="D2153" s="667"/>
      <c r="E2153" s="667"/>
      <c r="F2153" s="667"/>
      <c r="G2153" s="1929" t="s">
        <v>4522</v>
      </c>
      <c r="H2153" s="1313" t="str">
        <f>IF(LEN('Ch9'!W286)=0,"",'Ch9'!W286)</f>
        <v/>
      </c>
      <c r="J2153" s="1953"/>
    </row>
    <row r="2154" spans="1:10" x14ac:dyDescent="0.25">
      <c r="A2154" s="585" t="str">
        <f>A2153</f>
        <v/>
      </c>
      <c r="B2154" s="254" t="str">
        <f>IF(LEN('Ch9'!H287)=0,"",'Ch9'!H287)</f>
        <v/>
      </c>
      <c r="C2154" s="254" t="str">
        <f t="shared" si="51"/>
        <v/>
      </c>
      <c r="D2154" s="667"/>
      <c r="E2154" s="667"/>
      <c r="F2154" s="667"/>
      <c r="G2154" s="1929"/>
      <c r="H2154" s="94"/>
      <c r="J2154" s="1204"/>
    </row>
    <row r="2155" spans="1:10" x14ac:dyDescent="0.25">
      <c r="B2155" s="254" t="str">
        <f>IF(LEN('Ch9'!H288)=0,"",'Ch9'!H288)</f>
        <v/>
      </c>
      <c r="C2155" s="254" t="str">
        <f t="shared" si="51"/>
        <v/>
      </c>
      <c r="D2155" s="667"/>
      <c r="E2155" s="667" t="s">
        <v>256</v>
      </c>
      <c r="F2155" s="667"/>
      <c r="G2155" s="1243" t="s">
        <v>4523</v>
      </c>
      <c r="H2155" s="1313" t="str">
        <f>IF(LEN('Ch9'!W288)=0,"",'Ch9'!W288)</f>
        <v/>
      </c>
      <c r="I2155" s="86">
        <f>'Ch9'!O288</f>
        <v>0</v>
      </c>
      <c r="J2155" s="1204"/>
    </row>
    <row r="2156" spans="1:10" x14ac:dyDescent="0.25">
      <c r="B2156" s="254" t="str">
        <f>IF(LEN('Ch9'!H289)=0,"",'Ch9'!H289)</f>
        <v/>
      </c>
      <c r="C2156" s="254" t="str">
        <f t="shared" si="51"/>
        <v/>
      </c>
      <c r="D2156" s="667"/>
      <c r="E2156" s="667"/>
      <c r="F2156" s="667" t="s">
        <v>121</v>
      </c>
      <c r="G2156" s="1243" t="s">
        <v>4524</v>
      </c>
      <c r="H2156" s="94"/>
      <c r="J2156" s="1204"/>
    </row>
    <row r="2157" spans="1:10" x14ac:dyDescent="0.25">
      <c r="B2157" s="254" t="str">
        <f>IF(LEN('Ch9'!H290)=0,"",'Ch9'!H290)</f>
        <v/>
      </c>
      <c r="C2157" s="254" t="str">
        <f t="shared" si="51"/>
        <v/>
      </c>
      <c r="D2157" s="667"/>
      <c r="E2157" s="667"/>
      <c r="F2157" s="667" t="s">
        <v>122</v>
      </c>
      <c r="G2157" s="1929" t="s">
        <v>4525</v>
      </c>
      <c r="H2157" s="94"/>
      <c r="J2157" s="1204"/>
    </row>
    <row r="2158" spans="1:10" x14ac:dyDescent="0.25">
      <c r="B2158" s="254" t="str">
        <f>IF(LEN('Ch9'!H291)=0,"",'Ch9'!H291)</f>
        <v/>
      </c>
      <c r="C2158" s="254" t="str">
        <f t="shared" si="51"/>
        <v/>
      </c>
      <c r="D2158" s="667"/>
      <c r="E2158" s="667"/>
      <c r="F2158" s="667"/>
      <c r="G2158" s="1929"/>
      <c r="H2158" s="94"/>
      <c r="J2158" s="1204"/>
    </row>
    <row r="2159" spans="1:10" x14ac:dyDescent="0.25">
      <c r="B2159" s="254" t="str">
        <f>IF(LEN('Ch9'!H292)=0,"",'Ch9'!H292)</f>
        <v/>
      </c>
      <c r="C2159" s="254" t="str">
        <f t="shared" si="51"/>
        <v/>
      </c>
      <c r="F2159" s="667" t="s">
        <v>123</v>
      </c>
      <c r="G2159" s="1929" t="s">
        <v>4526</v>
      </c>
      <c r="H2159" s="94"/>
      <c r="J2159" s="1204"/>
    </row>
    <row r="2160" spans="1:10" x14ac:dyDescent="0.25">
      <c r="B2160" s="254" t="str">
        <f>IF(LEN('Ch9'!H293)=0,"",'Ch9'!H293)</f>
        <v/>
      </c>
      <c r="C2160" s="254" t="str">
        <f t="shared" si="51"/>
        <v/>
      </c>
      <c r="F2160" s="667"/>
      <c r="G2160" s="1929"/>
      <c r="H2160" s="94"/>
      <c r="J2160" s="1204"/>
    </row>
    <row r="2161" spans="2:10" x14ac:dyDescent="0.25">
      <c r="B2161" s="254" t="str">
        <f>IF(LEN('Ch9'!H294)=0,"",'Ch9'!H294)</f>
        <v/>
      </c>
      <c r="C2161" s="254" t="str">
        <f t="shared" si="51"/>
        <v/>
      </c>
      <c r="F2161" s="139" t="s">
        <v>401</v>
      </c>
      <c r="G2161" s="1929" t="s">
        <v>4527</v>
      </c>
      <c r="H2161" s="94"/>
      <c r="J2161" s="1204"/>
    </row>
    <row r="2162" spans="2:10" x14ac:dyDescent="0.25">
      <c r="B2162" s="254" t="str">
        <f>IF(LEN('Ch9'!H295)=0,"",'Ch9'!H295)</f>
        <v/>
      </c>
      <c r="C2162" s="254" t="str">
        <f t="shared" si="51"/>
        <v/>
      </c>
      <c r="F2162" s="139"/>
      <c r="G2162" s="1929"/>
      <c r="H2162" s="94"/>
      <c r="J2162" s="1204"/>
    </row>
    <row r="2163" spans="2:10" x14ac:dyDescent="0.25">
      <c r="B2163" s="254" t="str">
        <f>IF(LEN('Ch9'!H296)=0,"",'Ch9'!H296)</f>
        <v/>
      </c>
      <c r="C2163" s="254" t="str">
        <f t="shared" si="51"/>
        <v/>
      </c>
      <c r="F2163" s="139" t="s">
        <v>539</v>
      </c>
      <c r="G2163" s="1929" t="s">
        <v>4897</v>
      </c>
      <c r="H2163" s="94"/>
      <c r="J2163" s="1204"/>
    </row>
    <row r="2164" spans="2:10" x14ac:dyDescent="0.25">
      <c r="B2164" s="254" t="str">
        <f>IF(LEN('Ch9'!H297)=0,"",'Ch9'!H297)</f>
        <v/>
      </c>
      <c r="C2164" s="254" t="str">
        <f t="shared" si="51"/>
        <v/>
      </c>
      <c r="F2164" s="139"/>
      <c r="G2164" s="1929"/>
      <c r="H2164" s="94"/>
      <c r="J2164" s="1204"/>
    </row>
    <row r="2165" spans="2:10" x14ac:dyDescent="0.25">
      <c r="B2165" s="254" t="str">
        <f>IF(LEN('Ch9'!H298)=0,"",'Ch9'!H298)</f>
        <v/>
      </c>
      <c r="C2165" s="254" t="str">
        <f t="shared" si="51"/>
        <v/>
      </c>
      <c r="F2165" s="139"/>
      <c r="G2165" s="1929"/>
      <c r="H2165" s="94"/>
      <c r="J2165" s="1204"/>
    </row>
    <row r="2166" spans="2:10" x14ac:dyDescent="0.25">
      <c r="B2166" s="254" t="str">
        <f>IF(LEN('Ch9'!H299)=0,"",'Ch9'!H299)</f>
        <v/>
      </c>
      <c r="C2166" s="254" t="str">
        <f t="shared" si="51"/>
        <v/>
      </c>
      <c r="F2166" s="139" t="s">
        <v>604</v>
      </c>
      <c r="G2166" s="1929" t="s">
        <v>4528</v>
      </c>
      <c r="H2166" s="94"/>
      <c r="J2166" s="1204"/>
    </row>
    <row r="2167" spans="2:10" x14ac:dyDescent="0.25">
      <c r="B2167" s="254" t="str">
        <f>IF(LEN('Ch9'!H300)=0,"",'Ch9'!H300)</f>
        <v/>
      </c>
      <c r="C2167" s="254" t="str">
        <f t="shared" si="51"/>
        <v/>
      </c>
      <c r="F2167" s="139"/>
      <c r="G2167" s="1929"/>
      <c r="H2167" s="94"/>
      <c r="J2167" s="1204"/>
    </row>
    <row r="2168" spans="2:10" x14ac:dyDescent="0.25">
      <c r="B2168" s="254" t="str">
        <f>IF(LEN('Ch9'!H301)=0,"",'Ch9'!H301)</f>
        <v/>
      </c>
      <c r="C2168" s="254" t="str">
        <f t="shared" si="51"/>
        <v/>
      </c>
      <c r="F2168" s="667" t="s">
        <v>606</v>
      </c>
      <c r="G2168" s="1929" t="s">
        <v>4529</v>
      </c>
      <c r="H2168" s="94"/>
      <c r="J2168" s="1204"/>
    </row>
    <row r="2169" spans="2:10" x14ac:dyDescent="0.25">
      <c r="B2169" s="254" t="str">
        <f>IF(LEN('Ch9'!H302)=0,"",'Ch9'!H302)</f>
        <v/>
      </c>
      <c r="C2169" s="254" t="str">
        <f t="shared" si="51"/>
        <v/>
      </c>
      <c r="F2169" s="667"/>
      <c r="G2169" s="1929"/>
      <c r="H2169" s="94"/>
      <c r="J2169" s="1204"/>
    </row>
    <row r="2170" spans="2:10" x14ac:dyDescent="0.25">
      <c r="B2170" s="254" t="str">
        <f>IF(LEN('Ch9'!H303)=0,"",'Ch9'!H303)</f>
        <v/>
      </c>
      <c r="C2170" s="254" t="str">
        <f t="shared" si="51"/>
        <v/>
      </c>
      <c r="F2170" s="667" t="s">
        <v>608</v>
      </c>
      <c r="G2170" s="1929" t="s">
        <v>4530</v>
      </c>
      <c r="H2170" s="94"/>
      <c r="J2170" s="1204"/>
    </row>
    <row r="2171" spans="2:10" x14ac:dyDescent="0.25">
      <c r="B2171" s="254" t="str">
        <f>IF(LEN('Ch9'!H304)=0,"",'Ch9'!H304)</f>
        <v/>
      </c>
      <c r="C2171" s="254" t="str">
        <f t="shared" si="51"/>
        <v/>
      </c>
      <c r="F2171" s="667"/>
      <c r="G2171" s="1929"/>
      <c r="H2171" s="94"/>
      <c r="J2171" s="1204"/>
    </row>
    <row r="2172" spans="2:10" x14ac:dyDescent="0.25">
      <c r="B2172" s="254" t="str">
        <f>IF(LEN('Ch9'!H305)=0,"",'Ch9'!H305)</f>
        <v/>
      </c>
      <c r="C2172" s="254" t="str">
        <f t="shared" si="51"/>
        <v/>
      </c>
      <c r="F2172" s="667" t="s">
        <v>844</v>
      </c>
      <c r="G2172" s="1929" t="s">
        <v>4531</v>
      </c>
      <c r="H2172" s="94"/>
      <c r="J2172" s="1204"/>
    </row>
    <row r="2173" spans="2:10" x14ac:dyDescent="0.25">
      <c r="B2173" s="254" t="str">
        <f>IF(LEN('Ch9'!H306)=0,"",'Ch9'!H306)</f>
        <v/>
      </c>
      <c r="C2173" s="254" t="str">
        <f t="shared" si="51"/>
        <v/>
      </c>
      <c r="F2173" s="667"/>
      <c r="G2173" s="1929"/>
      <c r="H2173" s="94"/>
      <c r="J2173" s="1204"/>
    </row>
    <row r="2174" spans="2:10" x14ac:dyDescent="0.25">
      <c r="B2174" s="254" t="str">
        <f>IF(LEN('Ch9'!H307)=0,"",'Ch9'!H307)</f>
        <v/>
      </c>
      <c r="C2174" s="254" t="str">
        <f t="shared" si="51"/>
        <v/>
      </c>
      <c r="F2174" s="667"/>
      <c r="G2174" s="1929"/>
      <c r="H2174" s="94"/>
      <c r="J2174" s="1204"/>
    </row>
    <row r="2175" spans="2:10" x14ac:dyDescent="0.25">
      <c r="B2175" s="254" t="str">
        <f>IF(LEN('Ch9'!H308)=0,"",'Ch9'!H308)</f>
        <v/>
      </c>
      <c r="C2175" s="254" t="str">
        <f t="shared" si="51"/>
        <v/>
      </c>
      <c r="F2175" s="667" t="s">
        <v>845</v>
      </c>
      <c r="G2175" s="1929" t="s">
        <v>4532</v>
      </c>
      <c r="H2175" s="94"/>
      <c r="J2175" s="1204"/>
    </row>
    <row r="2176" spans="2:10" x14ac:dyDescent="0.25">
      <c r="B2176" s="254" t="str">
        <f>IF(LEN('Ch9'!H309)=0,"",'Ch9'!H309)</f>
        <v/>
      </c>
      <c r="C2176" s="254" t="str">
        <f t="shared" si="51"/>
        <v/>
      </c>
      <c r="E2176" s="684"/>
      <c r="F2176" s="684"/>
      <c r="G2176" s="1934"/>
      <c r="H2176" s="94"/>
      <c r="J2176" s="1204"/>
    </row>
    <row r="2177" spans="1:10" x14ac:dyDescent="0.25">
      <c r="B2177" s="254" t="str">
        <f>IF(LEN('Ch9'!H310)=0,"",'Ch9'!H310)</f>
        <v/>
      </c>
      <c r="C2177" s="254" t="str">
        <f t="shared" si="51"/>
        <v/>
      </c>
      <c r="D2177" s="668"/>
      <c r="E2177" s="667" t="s">
        <v>258</v>
      </c>
      <c r="F2177" s="668"/>
      <c r="G2177" s="1929" t="s">
        <v>4533</v>
      </c>
      <c r="H2177" s="1313" t="str">
        <f>IF(LEN('Ch9'!W310)=0,"",'Ch9'!W310)</f>
        <v/>
      </c>
      <c r="I2177" s="86">
        <f>'Ch9'!O310</f>
        <v>0</v>
      </c>
      <c r="J2177" s="1204"/>
    </row>
    <row r="2178" spans="1:10" ht="15.75" thickBot="1" x14ac:dyDescent="0.3">
      <c r="B2178" s="254" t="str">
        <f>IF(LEN('Ch9'!H311)=0,"",'Ch9'!H311)</f>
        <v/>
      </c>
      <c r="C2178" s="254" t="str">
        <f t="shared" si="51"/>
        <v/>
      </c>
      <c r="D2178" s="673"/>
      <c r="E2178" s="673"/>
      <c r="F2178" s="673"/>
      <c r="G2178" s="1930"/>
      <c r="H2178" s="94"/>
      <c r="J2178" s="1204"/>
    </row>
    <row r="2179" spans="1:10" ht="15.75" thickTop="1" x14ac:dyDescent="0.25">
      <c r="A2179" s="585" t="str">
        <f>IF(I2179&gt;0,"P","")</f>
        <v/>
      </c>
      <c r="B2179" s="254" t="str">
        <f>IF(LEN('Ch9'!H312)=0,"",'Ch9'!H312)</f>
        <v/>
      </c>
      <c r="C2179" s="254" t="str">
        <f t="shared" si="51"/>
        <v/>
      </c>
      <c r="D2179" s="139">
        <v>902.4</v>
      </c>
      <c r="E2179" s="139"/>
      <c r="F2179" s="139"/>
      <c r="G2179" s="1782" t="s">
        <v>3257</v>
      </c>
      <c r="H2179" s="94"/>
      <c r="I2179" s="86">
        <f>'Ch9'!O312</f>
        <v>0</v>
      </c>
      <c r="J2179" s="1204"/>
    </row>
    <row r="2180" spans="1:10" x14ac:dyDescent="0.25">
      <c r="A2180" s="585" t="str">
        <f>A2179</f>
        <v/>
      </c>
      <c r="B2180" s="254" t="str">
        <f>IF(LEN('Ch9'!H313)=0,"",'Ch9'!H313)</f>
        <v/>
      </c>
      <c r="C2180" s="254" t="str">
        <f t="shared" si="51"/>
        <v/>
      </c>
      <c r="D2180" s="139"/>
      <c r="E2180" s="139"/>
      <c r="F2180" s="139"/>
      <c r="G2180" s="1782"/>
      <c r="H2180" s="94"/>
      <c r="J2180" s="1204"/>
    </row>
    <row r="2181" spans="1:10" x14ac:dyDescent="0.25">
      <c r="A2181" s="585" t="str">
        <f>IF(AND(LEN(H2181)&gt;0,NOT(H2181=FALSE)),"P","")</f>
        <v/>
      </c>
      <c r="B2181" s="254" t="str">
        <f>IF(LEN('Ch9'!H314)=0,"",'Ch9'!H314)</f>
        <v/>
      </c>
      <c r="C2181" s="254" t="str">
        <f t="shared" si="51"/>
        <v/>
      </c>
      <c r="D2181" s="139"/>
      <c r="E2181" s="668" t="s">
        <v>256</v>
      </c>
      <c r="F2181" s="101"/>
      <c r="G2181" s="1754" t="s">
        <v>3258</v>
      </c>
      <c r="H2181" s="1313" t="str">
        <f>IF(LEN('Ch9'!W314)=0,"",'Ch9'!W314)</f>
        <v/>
      </c>
      <c r="J2181" s="1204" t="s">
        <v>3892</v>
      </c>
    </row>
    <row r="2182" spans="1:10" x14ac:dyDescent="0.25">
      <c r="A2182" s="585" t="str">
        <f>A2181</f>
        <v/>
      </c>
      <c r="B2182" s="254" t="str">
        <f>IF(LEN('Ch9'!H315)=0,"",'Ch9'!H315)</f>
        <v/>
      </c>
      <c r="C2182" s="254" t="str">
        <f t="shared" si="51"/>
        <v/>
      </c>
      <c r="D2182" s="139"/>
      <c r="E2182" s="684"/>
      <c r="F2182" s="669"/>
      <c r="G2182" s="1755"/>
      <c r="H2182" s="94"/>
      <c r="J2182" s="1204"/>
    </row>
    <row r="2183" spans="1:10" x14ac:dyDescent="0.25">
      <c r="A2183" s="585" t="str">
        <f>IF(AND(LEN(H2183)&gt;0,NOT(H2183=FALSE)),"P","")</f>
        <v/>
      </c>
      <c r="B2183" s="254" t="str">
        <f>IF(LEN('Ch9'!H316)=0,"",'Ch9'!H316)</f>
        <v/>
      </c>
      <c r="C2183" s="254" t="str">
        <f t="shared" si="51"/>
        <v/>
      </c>
      <c r="D2183" s="139"/>
      <c r="E2183" s="667" t="s">
        <v>258</v>
      </c>
      <c r="F2183" s="139"/>
      <c r="G2183" s="1754" t="s">
        <v>3259</v>
      </c>
      <c r="H2183" s="1313" t="str">
        <f>IF(LEN('Ch9'!W316)=0,"",'Ch9'!W316)</f>
        <v/>
      </c>
      <c r="J2183" s="1204" t="s">
        <v>3945</v>
      </c>
    </row>
    <row r="2184" spans="1:10" x14ac:dyDescent="0.25">
      <c r="A2184" s="585" t="str">
        <f>A2183</f>
        <v/>
      </c>
      <c r="B2184" s="254" t="str">
        <f>IF(LEN('Ch9'!H317)=0,"",'Ch9'!H317)</f>
        <v/>
      </c>
      <c r="C2184" s="254" t="str">
        <f t="shared" si="51"/>
        <v/>
      </c>
      <c r="D2184" s="139"/>
      <c r="E2184" s="139"/>
      <c r="F2184" s="139"/>
      <c r="G2184" s="1754"/>
      <c r="H2184" s="94"/>
      <c r="J2184" s="1204"/>
    </row>
    <row r="2185" spans="1:10" x14ac:dyDescent="0.25">
      <c r="A2185" s="585" t="str">
        <f>A2184</f>
        <v/>
      </c>
      <c r="B2185" s="254" t="str">
        <f>IF(LEN('Ch9'!H318)=0,"",'Ch9'!H318)</f>
        <v/>
      </c>
      <c r="C2185" s="254" t="str">
        <f t="shared" si="51"/>
        <v/>
      </c>
      <c r="D2185" s="139"/>
      <c r="E2185" s="669"/>
      <c r="F2185" s="669"/>
      <c r="G2185" s="1755"/>
      <c r="H2185" s="94"/>
      <c r="J2185" s="1204"/>
    </row>
    <row r="2186" spans="1:10" x14ac:dyDescent="0.25">
      <c r="A2186" s="585" t="str">
        <f>IF(AND(LEN(H2186)&gt;0,NOT(H2186=FALSE)),"P","")</f>
        <v/>
      </c>
      <c r="B2186" s="254" t="str">
        <f>IF(LEN('Ch9'!H319)=0,"",'Ch9'!H319)</f>
        <v/>
      </c>
      <c r="C2186" s="254" t="str">
        <f t="shared" si="51"/>
        <v/>
      </c>
      <c r="D2186" s="139"/>
      <c r="E2186" s="667" t="s">
        <v>260</v>
      </c>
      <c r="F2186" s="667"/>
      <c r="G2186" s="1929" t="s">
        <v>4538</v>
      </c>
      <c r="H2186" s="1313" t="str">
        <f>IF(LEN('Ch9'!W319)=0,"",'Ch9'!W319)</f>
        <v/>
      </c>
      <c r="J2186" s="1204" t="s">
        <v>3892</v>
      </c>
    </row>
    <row r="2187" spans="1:10" x14ac:dyDescent="0.25">
      <c r="A2187" s="585" t="str">
        <f>A2186</f>
        <v/>
      </c>
      <c r="B2187" s="254" t="str">
        <f>IF(LEN('Ch9'!H320)=0,"",'Ch9'!H320)</f>
        <v/>
      </c>
      <c r="C2187" s="254" t="str">
        <f t="shared" si="51"/>
        <v/>
      </c>
      <c r="D2187" s="139"/>
      <c r="E2187" s="667"/>
      <c r="F2187" s="667"/>
      <c r="G2187" s="1929"/>
      <c r="H2187" s="94"/>
      <c r="J2187" s="1204"/>
    </row>
    <row r="2188" spans="1:10" ht="15.75" thickBot="1" x14ac:dyDescent="0.3">
      <c r="A2188" s="585" t="str">
        <f>A2187</f>
        <v/>
      </c>
      <c r="B2188" s="254" t="str">
        <f>IF(LEN('Ch9'!H321)=0,"",'Ch9'!H321)</f>
        <v/>
      </c>
      <c r="C2188" s="254" t="str">
        <f t="shared" si="51"/>
        <v/>
      </c>
      <c r="D2188" s="139"/>
      <c r="E2188" s="667"/>
      <c r="F2188" s="667"/>
      <c r="G2188" s="1929"/>
      <c r="H2188" s="94"/>
      <c r="J2188" s="1204"/>
    </row>
    <row r="2189" spans="1:10" ht="15.75" thickTop="1" x14ac:dyDescent="0.25">
      <c r="A2189" s="585" t="str">
        <f>IF(I2189&gt;0,"P","")</f>
        <v/>
      </c>
      <c r="B2189" s="254" t="str">
        <f>IF(LEN('Ch9'!H322)=0,"",'Ch9'!H322)</f>
        <v/>
      </c>
      <c r="C2189" s="254" t="str">
        <f t="shared" si="51"/>
        <v/>
      </c>
      <c r="D2189" s="106">
        <v>902.5</v>
      </c>
      <c r="E2189" s="106"/>
      <c r="F2189" s="106"/>
      <c r="G2189" s="1916" t="s">
        <v>3260</v>
      </c>
      <c r="H2189" s="1313" t="str">
        <f>IF(LEN('Ch9'!W322)=0,"",'Ch9'!W322)</f>
        <v/>
      </c>
      <c r="I2189" s="86">
        <f>'Ch9'!O322</f>
        <v>0</v>
      </c>
      <c r="J2189" s="1204" t="s">
        <v>3892</v>
      </c>
    </row>
    <row r="2190" spans="1:10" ht="15.75" thickBot="1" x14ac:dyDescent="0.3">
      <c r="A2190" s="585" t="str">
        <f>A2189</f>
        <v/>
      </c>
      <c r="B2190" s="254" t="str">
        <f>IF(LEN('Ch9'!H323)=0,"",'Ch9'!H323)</f>
        <v/>
      </c>
      <c r="C2190" s="254" t="str">
        <f t="shared" si="51"/>
        <v/>
      </c>
      <c r="D2190" s="670"/>
      <c r="E2190" s="670"/>
      <c r="F2190" s="670"/>
      <c r="G2190" s="1917"/>
      <c r="H2190" s="94"/>
      <c r="J2190" s="1204"/>
    </row>
    <row r="2191" spans="1:10" ht="15.75" thickTop="1" x14ac:dyDescent="0.25">
      <c r="A2191" s="585" t="str">
        <f>IF(AND(LEN(H2191)&gt;0,NOT(H2191=FALSE)),"P","")</f>
        <v/>
      </c>
      <c r="B2191" s="254" t="str">
        <f>IF(LEN('Ch9'!H324)=0,"",'Ch9'!H324)</f>
        <v/>
      </c>
      <c r="C2191" s="254" t="str">
        <f t="shared" si="51"/>
        <v/>
      </c>
      <c r="D2191" s="139">
        <v>902.6</v>
      </c>
      <c r="E2191" s="139"/>
      <c r="F2191" s="139"/>
      <c r="G2191" s="1782" t="s">
        <v>3261</v>
      </c>
      <c r="H2191" s="1313" t="str">
        <f>IF(LEN('Ch9'!W324)=0,"",'Ch9'!W324)</f>
        <v/>
      </c>
      <c r="J2191" s="1204" t="s">
        <v>3892</v>
      </c>
    </row>
    <row r="2192" spans="1:10" x14ac:dyDescent="0.25">
      <c r="A2192" s="585" t="str">
        <f>A2191</f>
        <v/>
      </c>
      <c r="B2192" s="254" t="str">
        <f>IF(LEN('Ch9'!H325)=0,"",'Ch9'!H325)</f>
        <v/>
      </c>
      <c r="C2192" s="254" t="str">
        <f t="shared" si="51"/>
        <v/>
      </c>
      <c r="D2192" s="139"/>
      <c r="E2192" s="139"/>
      <c r="F2192" s="139"/>
      <c r="G2192" s="1782"/>
      <c r="H2192" s="94"/>
      <c r="J2192" s="1204"/>
    </row>
    <row r="2193" spans="1:10" ht="18.75" x14ac:dyDescent="0.25">
      <c r="A2193" s="585" t="s">
        <v>3974</v>
      </c>
      <c r="B2193" s="254" t="str">
        <f>IF(LEN('Ch9'!H326)=0,"",'Ch9'!H326)</f>
        <v/>
      </c>
      <c r="C2193" s="254" t="str">
        <f t="shared" si="51"/>
        <v>P</v>
      </c>
      <c r="D2193" s="1388" t="s">
        <v>3262</v>
      </c>
      <c r="E2193" s="1388"/>
      <c r="F2193" s="1388"/>
      <c r="G2193" s="1312"/>
      <c r="H2193" s="94"/>
      <c r="J2193" s="1204"/>
    </row>
    <row r="2194" spans="1:10" ht="15.75" thickBot="1" x14ac:dyDescent="0.3">
      <c r="B2194" s="254" t="str">
        <f>IF(LEN('Ch9'!H327)=0,"",'Ch9'!H327)</f>
        <v/>
      </c>
      <c r="C2194" s="254" t="str">
        <f t="shared" si="51"/>
        <v/>
      </c>
      <c r="D2194" s="677">
        <v>903</v>
      </c>
      <c r="E2194" s="670"/>
      <c r="F2194" s="670"/>
      <c r="G2194" s="1241" t="s">
        <v>3263</v>
      </c>
      <c r="H2194" s="94"/>
      <c r="I2194"/>
      <c r="J2194" s="1204"/>
    </row>
    <row r="2195" spans="1:10" ht="15.75" thickTop="1" x14ac:dyDescent="0.25">
      <c r="A2195" s="585" t="str">
        <f ca="1">IF(I2195&gt;0,"P","")</f>
        <v/>
      </c>
      <c r="B2195" s="254" t="str">
        <f>IF(LEN('Ch9'!H328)=0,"",'Ch9'!H328)</f>
        <v/>
      </c>
      <c r="C2195" s="254" t="str">
        <f t="shared" ref="C2195:C2258" ca="1" si="52">IF(LEN(B2195)=0,IF(A2195="P","P",""),B2195)</f>
        <v/>
      </c>
      <c r="D2195" s="678">
        <v>903.1</v>
      </c>
      <c r="E2195" s="106"/>
      <c r="F2195" s="106"/>
      <c r="G2195" s="1240" t="s">
        <v>3659</v>
      </c>
      <c r="H2195" s="1313" t="str">
        <f>IF(LEN('Ch9'!W328)=0,"",'Ch9'!W328)</f>
        <v/>
      </c>
      <c r="I2195" s="86">
        <f ca="1">'Ch9'!O328</f>
        <v>0</v>
      </c>
      <c r="J2195" s="1204"/>
    </row>
    <row r="2196" spans="1:10" x14ac:dyDescent="0.25">
      <c r="A2196" s="585" t="str">
        <f ca="1">A2195</f>
        <v/>
      </c>
      <c r="B2196" s="254" t="str">
        <f>IF(LEN('Ch9'!H329)=0,"",'Ch9'!H329)</f>
        <v/>
      </c>
      <c r="C2196" s="254" t="str">
        <f t="shared" ca="1" si="52"/>
        <v/>
      </c>
      <c r="D2196" s="101"/>
      <c r="E2196" s="668" t="s">
        <v>256</v>
      </c>
      <c r="F2196" s="101"/>
      <c r="G2196" s="1754" t="s">
        <v>3657</v>
      </c>
      <c r="H2196" s="94"/>
      <c r="J2196" s="1204" t="s">
        <v>3892</v>
      </c>
    </row>
    <row r="2197" spans="1:10" x14ac:dyDescent="0.25">
      <c r="A2197" s="585" t="str">
        <f ca="1">A2196</f>
        <v/>
      </c>
      <c r="B2197" s="254" t="str">
        <f>IF(LEN('Ch9'!H330)=0,"",'Ch9'!H330)</f>
        <v/>
      </c>
      <c r="C2197" s="254" t="str">
        <f t="shared" ca="1" si="52"/>
        <v/>
      </c>
      <c r="D2197" s="101"/>
      <c r="E2197" s="684"/>
      <c r="F2197" s="669"/>
      <c r="G2197" s="1843"/>
      <c r="H2197" s="94"/>
      <c r="J2197" s="1204"/>
    </row>
    <row r="2198" spans="1:10" ht="15.75" thickBot="1" x14ac:dyDescent="0.3">
      <c r="A2198" s="585" t="str">
        <f ca="1">A2197</f>
        <v/>
      </c>
      <c r="B2198" s="254" t="str">
        <f>IF(LEN('Ch9'!H331)=0,"",'Ch9'!H331)</f>
        <v/>
      </c>
      <c r="C2198" s="254" t="str">
        <f t="shared" ca="1" si="52"/>
        <v/>
      </c>
      <c r="D2198" s="670"/>
      <c r="E2198" s="673" t="s">
        <v>258</v>
      </c>
      <c r="F2198" s="670"/>
      <c r="G2198" s="1229" t="s">
        <v>3658</v>
      </c>
      <c r="H2198" s="94"/>
      <c r="J2198" s="1204" t="s">
        <v>3892</v>
      </c>
    </row>
    <row r="2199" spans="1:10" ht="15.75" thickTop="1" x14ac:dyDescent="0.25">
      <c r="A2199" s="585" t="str">
        <f ca="1">IF(I2199&gt;0,"P","")</f>
        <v/>
      </c>
      <c r="B2199" s="254" t="str">
        <f>IF(LEN('Ch9'!H332)=0,"",'Ch9'!H332)</f>
        <v/>
      </c>
      <c r="C2199" s="254" t="str">
        <f t="shared" ca="1" si="52"/>
        <v/>
      </c>
      <c r="D2199" s="106">
        <v>903.2</v>
      </c>
      <c r="E2199" s="106"/>
      <c r="F2199" s="106"/>
      <c r="G2199" s="1240" t="s">
        <v>3266</v>
      </c>
      <c r="H2199" s="1313" t="str">
        <f>IF(LEN('Ch9'!W332)=0,"",'Ch9'!W332)</f>
        <v/>
      </c>
      <c r="I2199" s="86">
        <f ca="1">'Ch9'!O332</f>
        <v>0</v>
      </c>
      <c r="J2199" s="1204" t="s">
        <v>3892</v>
      </c>
    </row>
    <row r="2200" spans="1:10" x14ac:dyDescent="0.25">
      <c r="B2200" s="254" t="str">
        <f>IF(LEN('Ch9'!H333)=0,"",'Ch9'!H333)</f>
        <v/>
      </c>
      <c r="C2200" s="254" t="str">
        <f t="shared" si="52"/>
        <v/>
      </c>
      <c r="D2200" s="101"/>
      <c r="E2200" s="684" t="s">
        <v>256</v>
      </c>
      <c r="F2200" s="669"/>
      <c r="G2200" s="1215" t="s">
        <v>3267</v>
      </c>
      <c r="H2200" s="94"/>
      <c r="J2200" s="1204"/>
    </row>
    <row r="2201" spans="1:10" x14ac:dyDescent="0.25">
      <c r="B2201" s="254" t="str">
        <f>IF(LEN('Ch9'!H334)=0,"",'Ch9'!H334)</f>
        <v/>
      </c>
      <c r="C2201" s="254" t="str">
        <f t="shared" si="52"/>
        <v/>
      </c>
      <c r="D2201" s="101"/>
      <c r="E2201" s="668" t="s">
        <v>258</v>
      </c>
      <c r="F2201" s="101"/>
      <c r="G2201" s="1754" t="s">
        <v>3268</v>
      </c>
      <c r="H2201" s="94"/>
      <c r="J2201" s="1204"/>
    </row>
    <row r="2202" spans="1:10" ht="15.75" thickBot="1" x14ac:dyDescent="0.3">
      <c r="B2202" s="254" t="str">
        <f>IF(LEN('Ch9'!H335)=0,"",'Ch9'!H335)</f>
        <v/>
      </c>
      <c r="C2202" s="254" t="str">
        <f t="shared" si="52"/>
        <v/>
      </c>
      <c r="D2202" s="670"/>
      <c r="E2202" s="670"/>
      <c r="F2202" s="670"/>
      <c r="G2202" s="1783"/>
      <c r="H2202" s="94"/>
      <c r="J2202" s="1204"/>
    </row>
    <row r="2203" spans="1:10" ht="15.75" thickTop="1" x14ac:dyDescent="0.25">
      <c r="A2203" s="585" t="str">
        <f>IF(I2203&gt;0,"P","")</f>
        <v/>
      </c>
      <c r="B2203" s="254" t="str">
        <f>IF(LEN('Ch9'!H336)=0,"",'Ch9'!H336)</f>
        <v/>
      </c>
      <c r="C2203" s="254" t="str">
        <f t="shared" si="52"/>
        <v/>
      </c>
      <c r="D2203" s="139">
        <v>903.3</v>
      </c>
      <c r="E2203" s="139"/>
      <c r="F2203" s="139"/>
      <c r="G2203" s="1782" t="s">
        <v>3660</v>
      </c>
      <c r="H2203" s="94"/>
      <c r="I2203" s="86">
        <f>'Ch9'!O336</f>
        <v>0</v>
      </c>
      <c r="J2203" s="1950" t="s">
        <v>3946</v>
      </c>
    </row>
    <row r="2204" spans="1:10" x14ac:dyDescent="0.25">
      <c r="A2204" s="585" t="str">
        <f>A2203</f>
        <v/>
      </c>
      <c r="B2204" s="254" t="str">
        <f>IF(LEN('Ch9'!H337)=0,"",'Ch9'!H337)</f>
        <v/>
      </c>
      <c r="C2204" s="254" t="str">
        <f t="shared" si="52"/>
        <v/>
      </c>
      <c r="D2204" s="139"/>
      <c r="E2204" s="139"/>
      <c r="F2204" s="139"/>
      <c r="G2204" s="1782"/>
      <c r="H2204" s="94"/>
      <c r="J2204" s="1951"/>
    </row>
    <row r="2205" spans="1:10" x14ac:dyDescent="0.25">
      <c r="B2205" s="254" t="str">
        <f>IF(LEN('Ch9'!H338)=0,"",'Ch9'!H338)</f>
        <v/>
      </c>
      <c r="C2205" s="254" t="str">
        <f t="shared" si="52"/>
        <v/>
      </c>
      <c r="D2205" s="139"/>
      <c r="E2205" s="684" t="s">
        <v>256</v>
      </c>
      <c r="F2205" s="1387"/>
      <c r="G2205" s="1215" t="s">
        <v>3269</v>
      </c>
      <c r="H2205" s="1313" t="str">
        <f>IF(LEN('Ch9'!W338)=0,"",'Ch9'!W338)</f>
        <v/>
      </c>
      <c r="J2205" s="1204"/>
    </row>
    <row r="2206" spans="1:10" x14ac:dyDescent="0.25">
      <c r="B2206" s="254" t="str">
        <f>IF(LEN('Ch9'!H339)=0,"",'Ch9'!H339)</f>
        <v/>
      </c>
      <c r="C2206" s="254" t="str">
        <f t="shared" si="52"/>
        <v/>
      </c>
      <c r="D2206" s="139"/>
      <c r="E2206" s="667" t="s">
        <v>258</v>
      </c>
      <c r="G2206" s="1793" t="s">
        <v>3270</v>
      </c>
      <c r="H2206" s="1313" t="str">
        <f>IF(LEN('Ch9'!W339)=0,"",'Ch9'!W339)</f>
        <v/>
      </c>
      <c r="J2206" s="1204"/>
    </row>
    <row r="2207" spans="1:10" x14ac:dyDescent="0.25">
      <c r="B2207" s="254" t="str">
        <f>IF(LEN('Ch9'!H340)=0,"",'Ch9'!H340)</f>
        <v/>
      </c>
      <c r="C2207" s="254" t="str">
        <f t="shared" si="52"/>
        <v/>
      </c>
      <c r="D2207" s="139"/>
      <c r="E2207" s="139"/>
      <c r="F2207" s="667"/>
      <c r="G2207" s="1793"/>
      <c r="H2207" s="94"/>
      <c r="J2207" s="1204"/>
    </row>
    <row r="2208" spans="1:10" ht="18.75" x14ac:dyDescent="0.25">
      <c r="A2208" s="585" t="s">
        <v>3974</v>
      </c>
      <c r="B2208" s="254" t="str">
        <f>IF(LEN('Ch9'!H341)=0,"",'Ch9'!H341)</f>
        <v/>
      </c>
      <c r="C2208" s="254" t="str">
        <f t="shared" si="52"/>
        <v>P</v>
      </c>
      <c r="D2208" s="1388" t="s">
        <v>3271</v>
      </c>
      <c r="E2208" s="1388"/>
      <c r="F2208" s="1388"/>
      <c r="G2208" s="1312"/>
      <c r="H2208" s="94"/>
      <c r="J2208" s="1204"/>
    </row>
    <row r="2209" spans="1:10" x14ac:dyDescent="0.25">
      <c r="B2209" s="254" t="str">
        <f>IF(LEN('Ch9'!H342)=0,"",'Ch9'!H342)</f>
        <v/>
      </c>
      <c r="C2209" s="254" t="str">
        <f t="shared" si="52"/>
        <v/>
      </c>
      <c r="D2209" s="675">
        <v>904</v>
      </c>
      <c r="E2209" s="101"/>
      <c r="F2209" s="101"/>
      <c r="G2209" s="1782" t="s">
        <v>3272</v>
      </c>
      <c r="H2209" s="94"/>
      <c r="J2209" s="1204"/>
    </row>
    <row r="2210" spans="1:10" ht="15.75" thickBot="1" x14ac:dyDescent="0.3">
      <c r="B2210" s="254" t="str">
        <f>IF(LEN('Ch9'!H343)=0,"",'Ch9'!H343)</f>
        <v/>
      </c>
      <c r="C2210" s="254" t="str">
        <f t="shared" si="52"/>
        <v/>
      </c>
      <c r="D2210" s="670"/>
      <c r="E2210" s="670"/>
      <c r="F2210" s="670"/>
      <c r="G2210" s="1797"/>
      <c r="H2210" s="94"/>
      <c r="J2210" s="1204"/>
    </row>
    <row r="2211" spans="1:10" ht="15.75" thickTop="1" x14ac:dyDescent="0.25">
      <c r="B2211" s="254" t="str">
        <f>IF(LEN('Ch9'!H344)=0,"",'Ch9'!H344)</f>
        <v/>
      </c>
      <c r="C2211" s="254" t="str">
        <f t="shared" si="52"/>
        <v/>
      </c>
      <c r="D2211" s="678">
        <v>904.1</v>
      </c>
      <c r="E2211" s="106"/>
      <c r="F2211" s="106"/>
      <c r="G2211" s="1781" t="s">
        <v>3273</v>
      </c>
      <c r="H2211" s="1313" t="str">
        <f>IF(LEN('Ch9'!W344)=0,"",'Ch9'!W344)</f>
        <v/>
      </c>
      <c r="I2211" s="86">
        <f>'Ch9'!O344</f>
        <v>0</v>
      </c>
      <c r="J2211" s="1204"/>
    </row>
    <row r="2212" spans="1:10" x14ac:dyDescent="0.25">
      <c r="B2212" s="254" t="str">
        <f>IF(LEN('Ch9'!H345)=0,"",'Ch9'!H345)</f>
        <v/>
      </c>
      <c r="C2212" s="254" t="str">
        <f t="shared" si="52"/>
        <v/>
      </c>
      <c r="D2212" s="101"/>
      <c r="E2212" s="101"/>
      <c r="F2212" s="101"/>
      <c r="G2212" s="1782"/>
      <c r="H2212" s="94"/>
      <c r="J2212" s="1204"/>
    </row>
    <row r="2213" spans="1:10" x14ac:dyDescent="0.25">
      <c r="B2213" s="254" t="str">
        <f>IF(LEN('Ch9'!H346)=0,"",'Ch9'!H346)</f>
        <v/>
      </c>
      <c r="C2213" s="254" t="str">
        <f t="shared" si="52"/>
        <v/>
      </c>
      <c r="D2213" s="101"/>
      <c r="E2213" s="101"/>
      <c r="F2213" s="101"/>
      <c r="G2213" s="1782"/>
      <c r="H2213" s="94"/>
      <c r="J2213" s="1204"/>
    </row>
    <row r="2214" spans="1:10" x14ac:dyDescent="0.25">
      <c r="B2214" s="254" t="str">
        <f>IF(LEN('Ch9'!H347)=0,"",'Ch9'!H347)</f>
        <v/>
      </c>
      <c r="C2214" s="254" t="str">
        <f t="shared" si="52"/>
        <v/>
      </c>
      <c r="D2214" s="101"/>
      <c r="E2214" s="101"/>
      <c r="F2214" s="101"/>
      <c r="G2214" s="1782"/>
      <c r="H2214" s="94"/>
      <c r="J2214" s="1204"/>
    </row>
    <row r="2215" spans="1:10" ht="15.75" thickBot="1" x14ac:dyDescent="0.3">
      <c r="B2215" s="254" t="str">
        <f>IF(LEN('Ch9'!H348)=0,"",'Ch9'!H348)</f>
        <v/>
      </c>
      <c r="C2215" s="254" t="str">
        <f t="shared" si="52"/>
        <v/>
      </c>
      <c r="D2215" s="670"/>
      <c r="E2215" s="670"/>
      <c r="F2215" s="670"/>
      <c r="G2215" s="1797"/>
      <c r="H2215" s="94"/>
      <c r="J2215" s="1204"/>
    </row>
    <row r="2216" spans="1:10" ht="15.75" thickTop="1" x14ac:dyDescent="0.25">
      <c r="A2216" s="585" t="str">
        <f>IF(I2216&gt;0,"P","")</f>
        <v/>
      </c>
      <c r="B2216" s="254" t="str">
        <f>IF(LEN('Ch9'!H349)=0,"",'Ch9'!H349)</f>
        <v/>
      </c>
      <c r="C2216" s="254" t="str">
        <f t="shared" si="52"/>
        <v/>
      </c>
      <c r="D2216" s="106">
        <v>904.2</v>
      </c>
      <c r="E2216" s="106"/>
      <c r="F2216" s="106"/>
      <c r="G2216" s="1781" t="s">
        <v>3274</v>
      </c>
      <c r="H2216" s="1313" t="str">
        <f>IF(LEN('Ch9'!W349)=0,"",'Ch9'!W349)</f>
        <v/>
      </c>
      <c r="I2216" s="86">
        <f>'Ch9'!O349</f>
        <v>0</v>
      </c>
      <c r="J2216" s="1204" t="s">
        <v>3892</v>
      </c>
    </row>
    <row r="2217" spans="1:10" x14ac:dyDescent="0.25">
      <c r="A2217" s="585" t="str">
        <f>A2216</f>
        <v/>
      </c>
      <c r="B2217" s="254" t="str">
        <f>IF(LEN('Ch9'!H350)=0,"",'Ch9'!H350)</f>
        <v/>
      </c>
      <c r="C2217" s="254" t="str">
        <f t="shared" si="52"/>
        <v/>
      </c>
      <c r="D2217" s="101"/>
      <c r="E2217" s="101"/>
      <c r="F2217" s="101"/>
      <c r="G2217" s="1782"/>
      <c r="H2217" s="94"/>
      <c r="J2217" s="1204"/>
    </row>
    <row r="2218" spans="1:10" ht="15.75" thickBot="1" x14ac:dyDescent="0.3">
      <c r="A2218" s="585" t="str">
        <f>A2217</f>
        <v/>
      </c>
      <c r="B2218" s="254" t="str">
        <f>IF(LEN('Ch9'!H351)=0,"",'Ch9'!H351)</f>
        <v/>
      </c>
      <c r="C2218" s="254" t="str">
        <f t="shared" si="52"/>
        <v/>
      </c>
      <c r="D2218" s="670"/>
      <c r="E2218" s="670"/>
      <c r="F2218" s="670"/>
      <c r="G2218" s="1797"/>
      <c r="H2218" s="94"/>
      <c r="J2218" s="1204"/>
    </row>
    <row r="2219" spans="1:10" ht="15.75" thickTop="1" x14ac:dyDescent="0.25">
      <c r="A2219" s="585" t="s">
        <v>3974</v>
      </c>
      <c r="B2219" s="254" t="str">
        <f>IF(LEN('Ch9'!H352)=0,"",'Ch9'!H352)</f>
        <v/>
      </c>
      <c r="C2219" s="254" t="str">
        <f t="shared" si="52"/>
        <v>P</v>
      </c>
      <c r="D2219" s="667" t="s">
        <v>4541</v>
      </c>
      <c r="E2219" s="667"/>
      <c r="F2219" s="667"/>
      <c r="G2219" s="1802" t="s">
        <v>4542</v>
      </c>
      <c r="H2219" s="94"/>
      <c r="J2219" s="1204" t="s">
        <v>3892</v>
      </c>
    </row>
    <row r="2220" spans="1:10" x14ac:dyDescent="0.25">
      <c r="A2220" s="585" t="s">
        <v>3974</v>
      </c>
      <c r="B2220" s="254" t="str">
        <f>IF(LEN('Ch9'!H353)=0,"",'Ch9'!H353)</f>
        <v/>
      </c>
      <c r="C2220" s="254" t="str">
        <f t="shared" si="52"/>
        <v>P</v>
      </c>
      <c r="D2220" s="667"/>
      <c r="E2220" s="667"/>
      <c r="F2220" s="667"/>
      <c r="G2220" s="1802"/>
      <c r="H2220" s="94"/>
      <c r="J2220" s="1204"/>
    </row>
    <row r="2221" spans="1:10" x14ac:dyDescent="0.25">
      <c r="B2221" s="254" t="str">
        <f>IF(LEN('Ch9'!H354)=0,"",'Ch9'!H354)</f>
        <v/>
      </c>
      <c r="C2221" s="254" t="str">
        <f t="shared" si="52"/>
        <v/>
      </c>
      <c r="D2221" s="667"/>
      <c r="E2221" s="668" t="s">
        <v>256</v>
      </c>
      <c r="F2221" s="668"/>
      <c r="G2221" s="1929" t="s">
        <v>4539</v>
      </c>
      <c r="H2221" s="1313" t="str">
        <f>IF(LEN('Ch9'!W354)=0,"",'Ch9'!W354)</f>
        <v/>
      </c>
      <c r="J2221" s="1204"/>
    </row>
    <row r="2222" spans="1:10" x14ac:dyDescent="0.25">
      <c r="B2222" s="254" t="str">
        <f>IF(LEN('Ch9'!H355)=0,"",'Ch9'!H355)</f>
        <v/>
      </c>
      <c r="C2222" s="254" t="str">
        <f t="shared" si="52"/>
        <v/>
      </c>
      <c r="D2222" s="667"/>
      <c r="E2222" s="668"/>
      <c r="F2222" s="668"/>
      <c r="G2222" s="1929"/>
      <c r="H2222" s="94"/>
      <c r="J2222" s="1204"/>
    </row>
    <row r="2223" spans="1:10" x14ac:dyDescent="0.25">
      <c r="B2223" s="254" t="str">
        <f>IF(LEN('Ch9'!H356)=0,"",'Ch9'!H356)</f>
        <v/>
      </c>
      <c r="C2223" s="254" t="str">
        <f t="shared" si="52"/>
        <v/>
      </c>
      <c r="D2223" s="667"/>
      <c r="E2223" s="668"/>
      <c r="F2223" s="668"/>
      <c r="G2223" s="1929"/>
      <c r="H2223" s="94"/>
      <c r="J2223" s="1204"/>
    </row>
    <row r="2224" spans="1:10" x14ac:dyDescent="0.25">
      <c r="B2224" s="254" t="str">
        <f>IF(LEN('Ch9'!H357)=0,"",'Ch9'!H357)</f>
        <v/>
      </c>
      <c r="C2224" s="254" t="str">
        <f t="shared" si="52"/>
        <v/>
      </c>
      <c r="D2224" s="667"/>
      <c r="E2224" s="668"/>
      <c r="F2224" s="668"/>
      <c r="G2224" s="1929"/>
      <c r="H2224" s="94"/>
      <c r="J2224" s="1204"/>
    </row>
    <row r="2225" spans="1:10" x14ac:dyDescent="0.25">
      <c r="B2225" s="254" t="str">
        <f>IF(LEN('Ch9'!H358)=0,"",'Ch9'!H358)</f>
        <v/>
      </c>
      <c r="C2225" s="254" t="str">
        <f t="shared" si="52"/>
        <v/>
      </c>
      <c r="D2225" s="667"/>
      <c r="E2225" s="668"/>
      <c r="F2225" s="668"/>
      <c r="G2225" s="1929"/>
      <c r="H2225" s="94"/>
      <c r="J2225" s="1204"/>
    </row>
    <row r="2226" spans="1:10" x14ac:dyDescent="0.25">
      <c r="B2226" s="254" t="str">
        <f>IF(LEN('Ch9'!H359)=0,"",'Ch9'!H359)</f>
        <v/>
      </c>
      <c r="C2226" s="254" t="str">
        <f t="shared" si="52"/>
        <v/>
      </c>
      <c r="D2226" s="667"/>
      <c r="E2226" s="668"/>
      <c r="F2226" s="668"/>
      <c r="G2226" s="1929"/>
      <c r="H2226" s="94"/>
      <c r="J2226" s="1204"/>
    </row>
    <row r="2227" spans="1:10" x14ac:dyDescent="0.25">
      <c r="B2227" s="254" t="str">
        <f>IF(LEN('Ch9'!H360)=0,"",'Ch9'!H360)</f>
        <v/>
      </c>
      <c r="C2227" s="254" t="str">
        <f t="shared" si="52"/>
        <v/>
      </c>
      <c r="D2227" s="667"/>
      <c r="E2227" s="668"/>
      <c r="F2227" s="668"/>
      <c r="G2227" s="1929"/>
      <c r="H2227" s="94"/>
      <c r="J2227" s="1204"/>
    </row>
    <row r="2228" spans="1:10" x14ac:dyDescent="0.25">
      <c r="B2228" s="254" t="str">
        <f>IF(LEN('Ch9'!H361)=0,"",'Ch9'!H361)</f>
        <v/>
      </c>
      <c r="C2228" s="254" t="str">
        <f t="shared" si="52"/>
        <v/>
      </c>
      <c r="D2228" s="667"/>
      <c r="E2228" s="684"/>
      <c r="F2228" s="684"/>
      <c r="G2228" s="1934"/>
      <c r="H2228" s="94"/>
      <c r="J2228" s="1204"/>
    </row>
    <row r="2229" spans="1:10" x14ac:dyDescent="0.25">
      <c r="B2229" s="254" t="str">
        <f>IF(LEN('Ch9'!H362)=0,"",'Ch9'!H362)</f>
        <v/>
      </c>
      <c r="C2229" s="254" t="str">
        <f t="shared" si="52"/>
        <v/>
      </c>
      <c r="D2229" s="667"/>
      <c r="E2229" s="667" t="s">
        <v>258</v>
      </c>
      <c r="F2229" s="667"/>
      <c r="G2229" s="1929" t="s">
        <v>4540</v>
      </c>
      <c r="H2229" s="1313" t="str">
        <f>IF(LEN('Ch9'!W362)=0,"",'Ch9'!W362)</f>
        <v/>
      </c>
      <c r="J2229" s="1204"/>
    </row>
    <row r="2230" spans="1:10" x14ac:dyDescent="0.25">
      <c r="B2230" s="254" t="str">
        <f>IF(LEN('Ch9'!H363)=0,"",'Ch9'!H363)</f>
        <v/>
      </c>
      <c r="C2230" s="254" t="str">
        <f t="shared" si="52"/>
        <v/>
      </c>
      <c r="D2230" s="667"/>
      <c r="E2230" s="667"/>
      <c r="F2230" s="667"/>
      <c r="G2230" s="1929"/>
      <c r="H2230" s="94"/>
      <c r="J2230" s="1204"/>
    </row>
    <row r="2231" spans="1:10" x14ac:dyDescent="0.25">
      <c r="B2231" s="254" t="str">
        <f>IF(LEN('Ch9'!H364)=0,"",'Ch9'!H364)</f>
        <v/>
      </c>
      <c r="C2231" s="254" t="str">
        <f t="shared" si="52"/>
        <v/>
      </c>
      <c r="D2231" s="667"/>
      <c r="E2231" s="667"/>
      <c r="F2231" s="667"/>
      <c r="G2231" s="1929"/>
      <c r="H2231" s="94"/>
      <c r="J2231" s="1204"/>
    </row>
    <row r="2232" spans="1:10" ht="18.75" x14ac:dyDescent="0.25">
      <c r="A2232" s="585" t="s">
        <v>3974</v>
      </c>
      <c r="B2232" s="254" t="str">
        <f>IF(LEN('Ch9'!H365)=0,"",'Ch9'!H365)</f>
        <v/>
      </c>
      <c r="C2232" s="254" t="str">
        <f t="shared" si="52"/>
        <v>P</v>
      </c>
      <c r="D2232" s="1388" t="s">
        <v>3275</v>
      </c>
      <c r="E2232" s="1388"/>
      <c r="F2232" s="1388"/>
      <c r="G2232" s="1312"/>
      <c r="H2232" s="94"/>
      <c r="J2232" s="1204"/>
    </row>
    <row r="2233" spans="1:10" x14ac:dyDescent="0.25">
      <c r="A2233" s="585" t="str">
        <f>IF(I2233&gt;0,"P","")</f>
        <v/>
      </c>
      <c r="B2233" s="254" t="str">
        <f>IF(LEN('Ch9'!H366)=0,"",'Ch9'!H366)</f>
        <v/>
      </c>
      <c r="C2233" s="254" t="str">
        <f t="shared" si="52"/>
        <v/>
      </c>
      <c r="D2233" s="101">
        <v>905.1</v>
      </c>
      <c r="E2233" s="101"/>
      <c r="F2233" s="101"/>
      <c r="G2233" s="1782" t="s">
        <v>3276</v>
      </c>
      <c r="H2233" s="1313" t="str">
        <f>IF(LEN('Ch9'!W366)=0,"",'Ch9'!W366)</f>
        <v/>
      </c>
      <c r="I2233" s="86">
        <f>'Ch9'!O366</f>
        <v>0</v>
      </c>
      <c r="J2233" s="1204" t="s">
        <v>3892</v>
      </c>
    </row>
    <row r="2234" spans="1:10" x14ac:dyDescent="0.25">
      <c r="A2234" s="585" t="str">
        <f>A2233</f>
        <v/>
      </c>
      <c r="B2234" s="254" t="str">
        <f>IF(LEN('Ch9'!H367)=0,"",'Ch9'!H367)</f>
        <v/>
      </c>
      <c r="C2234" s="254" t="str">
        <f t="shared" si="52"/>
        <v/>
      </c>
      <c r="D2234" s="101"/>
      <c r="E2234" s="101"/>
      <c r="F2234" s="101"/>
      <c r="G2234" s="1782"/>
      <c r="H2234" s="94"/>
      <c r="J2234" s="1204"/>
    </row>
    <row r="2235" spans="1:10" x14ac:dyDescent="0.25">
      <c r="A2235" s="585" t="str">
        <f>A2234</f>
        <v/>
      </c>
      <c r="B2235" s="254" t="str">
        <f>IF(LEN('Ch9'!H368)=0,"",'Ch9'!H368)</f>
        <v/>
      </c>
      <c r="C2235" s="254" t="str">
        <f t="shared" si="52"/>
        <v/>
      </c>
      <c r="D2235" s="101"/>
      <c r="E2235" s="101"/>
      <c r="F2235" s="101"/>
      <c r="G2235" s="1782"/>
      <c r="H2235" s="94"/>
      <c r="J2235" s="1204"/>
    </row>
    <row r="2236" spans="1:10" x14ac:dyDescent="0.25">
      <c r="A2236" s="585" t="str">
        <f>A2235</f>
        <v/>
      </c>
      <c r="B2236" s="254" t="str">
        <f>IF(LEN('Ch9'!H369)=0,"",'Ch9'!H369)</f>
        <v/>
      </c>
      <c r="C2236" s="254" t="str">
        <f t="shared" si="52"/>
        <v/>
      </c>
      <c r="D2236" s="101"/>
      <c r="E2236" s="101"/>
      <c r="F2236" s="101"/>
      <c r="G2236" s="1782"/>
      <c r="H2236" s="94"/>
      <c r="J2236" s="1204"/>
    </row>
    <row r="2237" spans="1:10" ht="15.75" thickBot="1" x14ac:dyDescent="0.3">
      <c r="A2237" s="585" t="str">
        <f>A2236</f>
        <v/>
      </c>
      <c r="B2237" s="254" t="str">
        <f>IF(LEN('Ch9'!H370)=0,"",'Ch9'!H370)</f>
        <v/>
      </c>
      <c r="C2237" s="254" t="str">
        <f t="shared" si="52"/>
        <v/>
      </c>
      <c r="D2237" s="670"/>
      <c r="E2237" s="670"/>
      <c r="F2237" s="670"/>
      <c r="G2237" s="1797"/>
      <c r="H2237" s="94"/>
      <c r="J2237" s="1204"/>
    </row>
    <row r="2238" spans="1:10" ht="15.75" thickTop="1" x14ac:dyDescent="0.25">
      <c r="A2238" s="585" t="str">
        <f>IF(I2238&gt;0,"P","")</f>
        <v/>
      </c>
      <c r="B2238" s="254" t="str">
        <f>IF(LEN('Ch9'!H371)=0,"",'Ch9'!H371)</f>
        <v/>
      </c>
      <c r="C2238" s="254" t="str">
        <f t="shared" si="52"/>
        <v/>
      </c>
      <c r="D2238" s="106">
        <v>905.2</v>
      </c>
      <c r="E2238" s="106"/>
      <c r="F2238" s="106"/>
      <c r="G2238" s="1781" t="s">
        <v>3277</v>
      </c>
      <c r="H2238" s="1313" t="str">
        <f>IF(LEN('Ch9'!W371)=0,"",'Ch9'!W371)</f>
        <v/>
      </c>
      <c r="I2238" s="86">
        <f>'Ch9'!O371</f>
        <v>0</v>
      </c>
      <c r="J2238" s="1204" t="s">
        <v>3947</v>
      </c>
    </row>
    <row r="2239" spans="1:10" ht="15.75" thickBot="1" x14ac:dyDescent="0.3">
      <c r="A2239" s="585" t="str">
        <f>A2238</f>
        <v/>
      </c>
      <c r="B2239" s="254" t="str">
        <f>IF(LEN('Ch9'!H372)=0,"",'Ch9'!H372)</f>
        <v/>
      </c>
      <c r="C2239" s="254" t="str">
        <f t="shared" si="52"/>
        <v/>
      </c>
      <c r="D2239" s="670"/>
      <c r="E2239" s="670"/>
      <c r="F2239" s="670"/>
      <c r="G2239" s="1797"/>
      <c r="H2239" s="94"/>
      <c r="J2239" s="1204"/>
    </row>
    <row r="2240" spans="1:10" ht="15.75" thickTop="1" x14ac:dyDescent="0.25">
      <c r="A2240" s="585" t="str">
        <f>IF(I2240&gt;0,"P","")</f>
        <v/>
      </c>
      <c r="B2240" s="254" t="str">
        <f>IF(LEN('Ch9'!H373)=0,"",'Ch9'!H373)</f>
        <v/>
      </c>
      <c r="C2240" s="254" t="str">
        <f t="shared" si="52"/>
        <v/>
      </c>
      <c r="D2240" s="667" t="s">
        <v>4543</v>
      </c>
      <c r="E2240" s="667"/>
      <c r="F2240" s="667"/>
      <c r="G2240" s="1227" t="s">
        <v>4544</v>
      </c>
      <c r="H2240" s="94"/>
      <c r="I2240" s="86">
        <f>'Ch9'!O373</f>
        <v>0</v>
      </c>
      <c r="J2240" s="1204" t="s">
        <v>5043</v>
      </c>
    </row>
    <row r="2241" spans="1:10" x14ac:dyDescent="0.25">
      <c r="B2241" s="254" t="str">
        <f>IF(LEN('Ch9'!H374)=0,"",'Ch9'!H374)</f>
        <v/>
      </c>
      <c r="C2241" s="254" t="str">
        <f t="shared" si="52"/>
        <v/>
      </c>
      <c r="D2241" s="667"/>
      <c r="E2241" s="667" t="s">
        <v>256</v>
      </c>
      <c r="F2241" s="667"/>
      <c r="G2241" s="1243" t="s">
        <v>4545</v>
      </c>
      <c r="H2241" s="1313" t="str">
        <f>IF(LEN('Ch9'!W374)=0,"",'Ch9'!W374)</f>
        <v/>
      </c>
      <c r="J2241" s="1204"/>
    </row>
    <row r="2242" spans="1:10" x14ac:dyDescent="0.25">
      <c r="B2242" s="254" t="str">
        <f>IF(LEN('Ch9'!H375)=0,"",'Ch9'!H375)</f>
        <v/>
      </c>
      <c r="C2242" s="254" t="str">
        <f t="shared" si="52"/>
        <v/>
      </c>
      <c r="D2242" s="667"/>
      <c r="E2242" s="667" t="s">
        <v>258</v>
      </c>
      <c r="F2242" s="667"/>
      <c r="G2242" s="1929" t="s">
        <v>4546</v>
      </c>
      <c r="H2242" s="1313" t="str">
        <f>IF(LEN('Ch9'!W375)=0,"",'Ch9'!W375)</f>
        <v/>
      </c>
      <c r="J2242" s="1204"/>
    </row>
    <row r="2243" spans="1:10" ht="15.75" thickBot="1" x14ac:dyDescent="0.3">
      <c r="B2243" s="254" t="str">
        <f>IF(LEN('Ch9'!H376)=0,"",'Ch9'!H376)</f>
        <v/>
      </c>
      <c r="C2243" s="254" t="str">
        <f t="shared" si="52"/>
        <v/>
      </c>
      <c r="D2243" s="673"/>
      <c r="E2243" s="673"/>
      <c r="F2243" s="673"/>
      <c r="G2243" s="1930"/>
      <c r="H2243" s="94"/>
      <c r="J2243" s="1204"/>
    </row>
    <row r="2244" spans="1:10" ht="15.75" thickTop="1" x14ac:dyDescent="0.25">
      <c r="A2244" s="585" t="str">
        <f ca="1">IF(I2244&gt;0,"P","")</f>
        <v/>
      </c>
      <c r="B2244" s="254" t="str">
        <f>IF(LEN('Ch9'!H377)=0,"",'Ch9'!H377)</f>
        <v/>
      </c>
      <c r="C2244" s="254" t="str">
        <f t="shared" ca="1" si="52"/>
        <v/>
      </c>
      <c r="D2244" s="682" t="s">
        <v>4547</v>
      </c>
      <c r="E2244" s="682"/>
      <c r="F2244" s="682"/>
      <c r="G2244" s="1801" t="s">
        <v>4891</v>
      </c>
      <c r="H2244" s="1313" t="str">
        <f>IF(LEN('Ch9'!W377)=0,"",'Ch9'!W377)</f>
        <v/>
      </c>
      <c r="I2244" s="86">
        <f ca="1">'Ch9'!O377</f>
        <v>0</v>
      </c>
      <c r="J2244" s="1972" t="s">
        <v>5044</v>
      </c>
    </row>
    <row r="2245" spans="1:10" x14ac:dyDescent="0.25">
      <c r="A2245" s="585" t="str">
        <f ca="1">A2244</f>
        <v/>
      </c>
      <c r="B2245" s="254" t="str">
        <f>IF(LEN('Ch9'!H378)=0,"",'Ch9'!H378)</f>
        <v/>
      </c>
      <c r="C2245" s="254" t="str">
        <f t="shared" ca="1" si="52"/>
        <v/>
      </c>
      <c r="D2245" s="667"/>
      <c r="E2245" s="667"/>
      <c r="F2245" s="667"/>
      <c r="G2245" s="1802"/>
      <c r="H2245" s="94"/>
      <c r="J2245" s="1974"/>
    </row>
    <row r="2246" spans="1:10" x14ac:dyDescent="0.25">
      <c r="A2246" s="585" t="str">
        <f ca="1">A2245</f>
        <v/>
      </c>
      <c r="B2246" s="254" t="str">
        <f>IF(LEN('Ch9'!H379)=0,"",'Ch9'!H379)</f>
        <v/>
      </c>
      <c r="C2246" s="254" t="str">
        <f t="shared" ca="1" si="52"/>
        <v/>
      </c>
      <c r="D2246" s="667"/>
      <c r="E2246" s="667"/>
      <c r="F2246" s="667"/>
      <c r="G2246" s="1802"/>
      <c r="H2246" s="94"/>
      <c r="J2246" s="1204"/>
    </row>
    <row r="2247" spans="1:10" x14ac:dyDescent="0.25">
      <c r="A2247" s="585" t="str">
        <f ca="1">A2246</f>
        <v/>
      </c>
      <c r="B2247" s="254" t="str">
        <f>IF(LEN('Ch9'!H380)=0,"",'Ch9'!H380)</f>
        <v/>
      </c>
      <c r="C2247" s="254" t="str">
        <f t="shared" ca="1" si="52"/>
        <v/>
      </c>
      <c r="D2247" s="667"/>
      <c r="E2247" s="667"/>
      <c r="F2247" s="667"/>
      <c r="G2247" s="1802"/>
      <c r="H2247" s="94"/>
      <c r="J2247" s="1204"/>
    </row>
    <row r="2248" spans="1:10" ht="15.75" thickBot="1" x14ac:dyDescent="0.3">
      <c r="A2248" s="585" t="str">
        <f ca="1">A2247</f>
        <v/>
      </c>
      <c r="B2248" s="254" t="str">
        <f>IF(LEN('Ch9'!H381)=0,"",'Ch9'!H381)</f>
        <v/>
      </c>
      <c r="C2248" s="254" t="str">
        <f t="shared" ca="1" si="52"/>
        <v/>
      </c>
      <c r="D2248" s="673"/>
      <c r="E2248" s="673"/>
      <c r="F2248" s="673"/>
      <c r="G2248" s="1803"/>
      <c r="H2248" s="94"/>
      <c r="J2248" s="1204"/>
    </row>
    <row r="2249" spans="1:10" ht="15.75" thickTop="1" x14ac:dyDescent="0.25">
      <c r="A2249" s="585" t="str">
        <f>IF(I2249&gt;0,"P","")</f>
        <v/>
      </c>
      <c r="B2249" s="254" t="str">
        <f>IF(LEN('Ch9'!H382)=0,"",'Ch9'!H382)</f>
        <v/>
      </c>
      <c r="C2249" s="254" t="str">
        <f t="shared" si="52"/>
        <v/>
      </c>
      <c r="D2249" s="667" t="s">
        <v>4548</v>
      </c>
      <c r="E2249" s="667"/>
      <c r="F2249" s="667"/>
      <c r="G2249" s="1802" t="s">
        <v>4549</v>
      </c>
      <c r="H2249" s="1313" t="str">
        <f>IF(LEN('Ch9'!W382)=0,"",'Ch9'!W382)</f>
        <v/>
      </c>
      <c r="I2249" s="86">
        <f>'Ch9'!O382</f>
        <v>0</v>
      </c>
      <c r="J2249" s="1950" t="s">
        <v>5045</v>
      </c>
    </row>
    <row r="2250" spans="1:10" x14ac:dyDescent="0.25">
      <c r="A2250" s="585" t="str">
        <f>A2249</f>
        <v/>
      </c>
      <c r="B2250" s="254" t="str">
        <f>IF(LEN('Ch9'!H383)=0,"",'Ch9'!H383)</f>
        <v/>
      </c>
      <c r="C2250" s="254" t="str">
        <f t="shared" si="52"/>
        <v/>
      </c>
      <c r="D2250" s="667"/>
      <c r="E2250" s="667"/>
      <c r="F2250" s="667"/>
      <c r="G2250" s="1802"/>
      <c r="H2250" s="94"/>
      <c r="J2250" s="1953"/>
    </row>
    <row r="2251" spans="1:10" x14ac:dyDescent="0.25">
      <c r="A2251" s="585" t="str">
        <f>A2250</f>
        <v/>
      </c>
      <c r="B2251" s="254" t="str">
        <f>IF(LEN('Ch9'!H384)=0,"",'Ch9'!H384)</f>
        <v/>
      </c>
      <c r="C2251" s="254" t="str">
        <f t="shared" si="52"/>
        <v/>
      </c>
      <c r="D2251" s="667"/>
      <c r="E2251" s="667"/>
      <c r="F2251" s="667"/>
      <c r="G2251" s="1802"/>
      <c r="H2251" s="94"/>
      <c r="J2251" s="1204"/>
    </row>
    <row r="2252" spans="1:10" x14ac:dyDescent="0.25">
      <c r="A2252" s="585" t="str">
        <f>A2251</f>
        <v/>
      </c>
      <c r="B2252" s="254" t="str">
        <f>IF(LEN('Ch9'!H385)=0,"",'Ch9'!H385)</f>
        <v/>
      </c>
      <c r="C2252" s="254" t="str">
        <f t="shared" si="52"/>
        <v/>
      </c>
      <c r="D2252" s="667"/>
      <c r="E2252" s="667"/>
      <c r="F2252" s="667"/>
      <c r="G2252" s="1802"/>
      <c r="H2252" s="94"/>
      <c r="J2252" s="1204"/>
    </row>
    <row r="2253" spans="1:10" ht="18.75" x14ac:dyDescent="0.3">
      <c r="A2253" s="585" t="s">
        <v>3974</v>
      </c>
      <c r="B2253" s="254" t="str">
        <f>IF(LEN('Ch10'!H9)=0,"",'Ch10'!H9)</f>
        <v/>
      </c>
      <c r="C2253" s="254" t="str">
        <f t="shared" si="52"/>
        <v>P</v>
      </c>
      <c r="D2253" s="1385" t="s">
        <v>3372</v>
      </c>
      <c r="E2253" s="1385"/>
      <c r="F2253" s="1385"/>
      <c r="G2253" s="1311"/>
      <c r="H2253" s="94"/>
      <c r="I2253" s="854"/>
      <c r="J2253" s="1204"/>
    </row>
    <row r="2254" spans="1:10" x14ac:dyDescent="0.25">
      <c r="B2254" s="254" t="str">
        <f>IF(LEN('Ch10'!H10)=0,"",'Ch10'!H10)</f>
        <v/>
      </c>
      <c r="C2254" s="254" t="str">
        <f t="shared" si="52"/>
        <v/>
      </c>
      <c r="D2254" s="675">
        <v>1001</v>
      </c>
      <c r="E2254" s="101"/>
      <c r="F2254" s="101"/>
      <c r="G2254" s="1782" t="s">
        <v>3278</v>
      </c>
      <c r="H2254" s="94"/>
      <c r="J2254" s="1204"/>
    </row>
    <row r="2255" spans="1:10" ht="15.75" thickBot="1" x14ac:dyDescent="0.3">
      <c r="B2255" s="254" t="str">
        <f>IF(LEN('Ch10'!H11)=0,"",'Ch10'!H11)</f>
        <v/>
      </c>
      <c r="C2255" s="254" t="str">
        <f t="shared" si="52"/>
        <v/>
      </c>
      <c r="D2255" s="670"/>
      <c r="E2255" s="670"/>
      <c r="F2255" s="670"/>
      <c r="G2255" s="1797"/>
      <c r="H2255" s="94"/>
      <c r="J2255" s="1204"/>
    </row>
    <row r="2256" spans="1:10" ht="15.75" thickTop="1" x14ac:dyDescent="0.25">
      <c r="A2256" s="585" t="str">
        <f>IF(I2256&gt;0,"P","")</f>
        <v/>
      </c>
      <c r="B2256" s="254" t="str">
        <f>IF(LEN('Ch10'!H12)=0,"",'Ch10'!H12)</f>
        <v/>
      </c>
      <c r="C2256" s="254" t="str">
        <f t="shared" si="52"/>
        <v/>
      </c>
      <c r="D2256" s="139">
        <v>1001.1</v>
      </c>
      <c r="E2256" s="139"/>
      <c r="F2256" s="139"/>
      <c r="G2256" s="1782" t="s">
        <v>3279</v>
      </c>
      <c r="H2256" s="94"/>
      <c r="I2256" s="86">
        <f>'Ch10'!O12</f>
        <v>0</v>
      </c>
      <c r="J2256" s="1972" t="s">
        <v>5046</v>
      </c>
    </row>
    <row r="2257" spans="1:10" x14ac:dyDescent="0.25">
      <c r="A2257" s="585" t="str">
        <f>A2256</f>
        <v/>
      </c>
      <c r="B2257" s="254" t="str">
        <f>IF(LEN('Ch10'!H13)=0,"",'Ch10'!H13)</f>
        <v/>
      </c>
      <c r="C2257" s="254" t="str">
        <f t="shared" si="52"/>
        <v/>
      </c>
      <c r="D2257" s="139"/>
      <c r="E2257" s="139"/>
      <c r="F2257" s="139"/>
      <c r="G2257" s="1782"/>
      <c r="H2257" s="94"/>
      <c r="J2257" s="1974"/>
    </row>
    <row r="2258" spans="1:10" x14ac:dyDescent="0.25">
      <c r="B2258" s="254" t="str">
        <f>IF(LEN('Ch10'!H14)=0,"",'Ch10'!H14)</f>
        <v/>
      </c>
      <c r="C2258" s="254" t="str">
        <f t="shared" si="52"/>
        <v/>
      </c>
      <c r="D2258" s="139"/>
      <c r="E2258" s="139"/>
      <c r="F2258" s="139"/>
      <c r="G2258" s="1324" t="s">
        <v>3371</v>
      </c>
      <c r="H2258" s="94"/>
      <c r="J2258" s="1204"/>
    </row>
    <row r="2259" spans="1:10" x14ac:dyDescent="0.25">
      <c r="B2259" s="254" t="str">
        <f>IF(LEN('Ch10'!H15)=0,"",'Ch10'!H15)</f>
        <v/>
      </c>
      <c r="C2259" s="254" t="str">
        <f t="shared" ref="C2259:C2322" si="53">IF(LEN(B2259)=0,IF(A2259="P","P",""),B2259)</f>
        <v/>
      </c>
      <c r="D2259" s="139"/>
      <c r="E2259" s="684" t="s">
        <v>256</v>
      </c>
      <c r="F2259" s="669"/>
      <c r="G2259" s="1215" t="s">
        <v>3280</v>
      </c>
      <c r="H2259" s="1313" t="str">
        <f>IF(LEN('Ch10'!W15)=0,"",'Ch10'!W15)</f>
        <v/>
      </c>
      <c r="J2259" s="1204"/>
    </row>
    <row r="2260" spans="1:10" x14ac:dyDescent="0.25">
      <c r="B2260" s="254" t="str">
        <f>IF(LEN('Ch10'!H16)=0,"",'Ch10'!H16)</f>
        <v/>
      </c>
      <c r="C2260" s="254" t="str">
        <f t="shared" si="53"/>
        <v/>
      </c>
      <c r="D2260" s="139"/>
      <c r="E2260" s="691" t="s">
        <v>258</v>
      </c>
      <c r="F2260" s="683"/>
      <c r="G2260" s="280" t="s">
        <v>3281</v>
      </c>
      <c r="H2260" s="1313" t="str">
        <f>IF(LEN('Ch10'!W16)=0,"",'Ch10'!W16)</f>
        <v/>
      </c>
      <c r="J2260" s="1204"/>
    </row>
    <row r="2261" spans="1:10" x14ac:dyDescent="0.25">
      <c r="B2261" s="254" t="str">
        <f>IF(LEN('Ch10'!H17)=0,"",'Ch10'!H17)</f>
        <v/>
      </c>
      <c r="C2261" s="254" t="str">
        <f t="shared" si="53"/>
        <v/>
      </c>
      <c r="D2261" s="139"/>
      <c r="E2261" s="693" t="s">
        <v>260</v>
      </c>
      <c r="F2261" s="671"/>
      <c r="G2261" s="1778" t="s">
        <v>3282</v>
      </c>
      <c r="H2261" s="1313" t="str">
        <f>IF(LEN('Ch10'!W17)=0,"",'Ch10'!W17)</f>
        <v/>
      </c>
      <c r="J2261" s="1204"/>
    </row>
    <row r="2262" spans="1:10" x14ac:dyDescent="0.25">
      <c r="B2262" s="254" t="str">
        <f>IF(LEN('Ch10'!H18)=0,"",'Ch10'!H18)</f>
        <v/>
      </c>
      <c r="C2262" s="254" t="str">
        <f t="shared" si="53"/>
        <v/>
      </c>
      <c r="D2262" s="139"/>
      <c r="E2262" s="668"/>
      <c r="F2262" s="101"/>
      <c r="G2262" s="1754"/>
      <c r="H2262" s="94"/>
      <c r="J2262" s="1204"/>
    </row>
    <row r="2263" spans="1:10" x14ac:dyDescent="0.25">
      <c r="B2263" s="254" t="str">
        <f>IF(LEN('Ch10'!H19)=0,"",'Ch10'!H19)</f>
        <v/>
      </c>
      <c r="C2263" s="254" t="str">
        <f t="shared" si="53"/>
        <v/>
      </c>
      <c r="D2263" s="139"/>
      <c r="E2263" s="668"/>
      <c r="F2263" s="101"/>
      <c r="G2263" s="1754"/>
      <c r="H2263" s="94"/>
      <c r="J2263" s="1204"/>
    </row>
    <row r="2264" spans="1:10" x14ac:dyDescent="0.25">
      <c r="B2264" s="254" t="str">
        <f>IF(LEN('Ch10'!H20)=0,"",'Ch10'!H20)</f>
        <v/>
      </c>
      <c r="C2264" s="254" t="str">
        <f t="shared" si="53"/>
        <v/>
      </c>
      <c r="D2264" s="139"/>
      <c r="E2264" s="684"/>
      <c r="F2264" s="669"/>
      <c r="G2264" s="1755"/>
      <c r="H2264" s="94"/>
      <c r="J2264" s="1204"/>
    </row>
    <row r="2265" spans="1:10" x14ac:dyDescent="0.25">
      <c r="B2265" s="254" t="str">
        <f>IF(LEN('Ch10'!H21)=0,"",'Ch10'!H21)</f>
        <v/>
      </c>
      <c r="C2265" s="254" t="str">
        <f t="shared" si="53"/>
        <v/>
      </c>
      <c r="D2265" s="139"/>
      <c r="E2265" s="691" t="s">
        <v>269</v>
      </c>
      <c r="F2265" s="683"/>
      <c r="G2265" s="280" t="s">
        <v>3283</v>
      </c>
      <c r="H2265" s="1313" t="str">
        <f>IF(LEN('Ch10'!W21)=0,"",'Ch10'!W21)</f>
        <v/>
      </c>
      <c r="J2265" s="1204"/>
    </row>
    <row r="2266" spans="1:10" x14ac:dyDescent="0.25">
      <c r="B2266" s="254" t="str">
        <f>IF(LEN('Ch10'!H22)=0,"",'Ch10'!H22)</f>
        <v/>
      </c>
      <c r="C2266" s="254" t="str">
        <f t="shared" si="53"/>
        <v/>
      </c>
      <c r="D2266" s="139"/>
      <c r="E2266" s="691" t="s">
        <v>275</v>
      </c>
      <c r="F2266" s="683"/>
      <c r="G2266" s="280" t="s">
        <v>3284</v>
      </c>
      <c r="H2266" s="1313" t="str">
        <f>IF(LEN('Ch10'!W22)=0,"",'Ch10'!W22)</f>
        <v/>
      </c>
      <c r="J2266" s="1204"/>
    </row>
    <row r="2267" spans="1:10" x14ac:dyDescent="0.25">
      <c r="B2267" s="254" t="str">
        <f>IF(LEN('Ch10'!H23)=0,"",'Ch10'!H23)</f>
        <v/>
      </c>
      <c r="C2267" s="254" t="str">
        <f t="shared" si="53"/>
        <v/>
      </c>
      <c r="D2267" s="139"/>
      <c r="E2267" s="693" t="s">
        <v>277</v>
      </c>
      <c r="F2267" s="671"/>
      <c r="G2267" s="1778" t="s">
        <v>3285</v>
      </c>
      <c r="H2267" s="1313" t="str">
        <f>IF(LEN('Ch10'!W23)=0,"",'Ch10'!W23)</f>
        <v/>
      </c>
      <c r="J2267" s="1204"/>
    </row>
    <row r="2268" spans="1:10" x14ac:dyDescent="0.25">
      <c r="B2268" s="254" t="str">
        <f>IF(LEN('Ch10'!H24)=0,"",'Ch10'!H24)</f>
        <v/>
      </c>
      <c r="C2268" s="254" t="str">
        <f t="shared" si="53"/>
        <v/>
      </c>
      <c r="D2268" s="139"/>
      <c r="E2268" s="684"/>
      <c r="F2268" s="669"/>
      <c r="G2268" s="1755"/>
      <c r="H2268" s="94"/>
      <c r="J2268" s="1204"/>
    </row>
    <row r="2269" spans="1:10" x14ac:dyDescent="0.25">
      <c r="B2269" s="254" t="str">
        <f>IF(LEN('Ch10'!H25)=0,"",'Ch10'!H25)</f>
        <v/>
      </c>
      <c r="C2269" s="254" t="str">
        <f t="shared" si="53"/>
        <v/>
      </c>
      <c r="D2269" s="139"/>
      <c r="E2269" s="693" t="s">
        <v>383</v>
      </c>
      <c r="F2269" s="671"/>
      <c r="G2269" s="1778" t="s">
        <v>3286</v>
      </c>
      <c r="H2269" s="1313" t="str">
        <f>IF(LEN('Ch10'!W25)=0,"",'Ch10'!W25)</f>
        <v/>
      </c>
      <c r="J2269" s="1204"/>
    </row>
    <row r="2270" spans="1:10" x14ac:dyDescent="0.25">
      <c r="B2270" s="254" t="str">
        <f>IF(LEN('Ch10'!H26)=0,"",'Ch10'!H26)</f>
        <v/>
      </c>
      <c r="C2270" s="254" t="str">
        <f t="shared" si="53"/>
        <v/>
      </c>
      <c r="D2270" s="139"/>
      <c r="E2270" s="684"/>
      <c r="F2270" s="669"/>
      <c r="G2270" s="1755"/>
      <c r="H2270" s="94"/>
      <c r="J2270" s="1204"/>
    </row>
    <row r="2271" spans="1:10" x14ac:dyDescent="0.25">
      <c r="B2271" s="254" t="str">
        <f>IF(LEN('Ch10'!H27)=0,"",'Ch10'!H27)</f>
        <v/>
      </c>
      <c r="C2271" s="254" t="str">
        <f t="shared" si="53"/>
        <v/>
      </c>
      <c r="D2271" s="139"/>
      <c r="E2271" s="691" t="s">
        <v>428</v>
      </c>
      <c r="F2271" s="683"/>
      <c r="G2271" s="280" t="s">
        <v>3287</v>
      </c>
      <c r="H2271" s="1313" t="str">
        <f>IF(LEN('Ch10'!W27)=0,"",'Ch10'!W27)</f>
        <v/>
      </c>
      <c r="J2271" s="1204"/>
    </row>
    <row r="2272" spans="1:10" x14ac:dyDescent="0.25">
      <c r="B2272" s="254" t="str">
        <f>IF(LEN('Ch10'!H28)=0,"",'Ch10'!H28)</f>
        <v/>
      </c>
      <c r="C2272" s="254" t="str">
        <f t="shared" si="53"/>
        <v/>
      </c>
      <c r="D2272" s="139"/>
      <c r="E2272" s="667" t="s">
        <v>430</v>
      </c>
      <c r="F2272" s="139"/>
      <c r="G2272" s="1760" t="s">
        <v>3288</v>
      </c>
      <c r="H2272" s="1313" t="str">
        <f>IF(LEN('Ch10'!W28)=0,"",'Ch10'!W28)</f>
        <v/>
      </c>
      <c r="J2272" s="1204"/>
    </row>
    <row r="2273" spans="2:10" x14ac:dyDescent="0.25">
      <c r="B2273" s="254" t="str">
        <f>IF(LEN('Ch10'!H29)=0,"",'Ch10'!H29)</f>
        <v/>
      </c>
      <c r="C2273" s="254" t="str">
        <f t="shared" si="53"/>
        <v/>
      </c>
      <c r="D2273" s="139"/>
      <c r="E2273" s="667"/>
      <c r="F2273" s="139"/>
      <c r="G2273" s="1761"/>
      <c r="H2273" s="94"/>
      <c r="J2273" s="1204"/>
    </row>
    <row r="2274" spans="2:10" x14ac:dyDescent="0.25">
      <c r="B2274" s="254" t="str">
        <f>IF(LEN('Ch10'!H30)=0,"",'Ch10'!H30)</f>
        <v/>
      </c>
      <c r="C2274" s="254" t="str">
        <f t="shared" si="53"/>
        <v/>
      </c>
      <c r="D2274" s="139"/>
      <c r="E2274" s="691" t="s">
        <v>432</v>
      </c>
      <c r="F2274" s="683"/>
      <c r="G2274" s="280" t="s">
        <v>3289</v>
      </c>
      <c r="H2274" s="1313" t="str">
        <f>IF(LEN('Ch10'!W30)=0,"",'Ch10'!W30)</f>
        <v/>
      </c>
      <c r="J2274" s="1204"/>
    </row>
    <row r="2275" spans="2:10" ht="15" customHeight="1" x14ac:dyDescent="0.25">
      <c r="B2275" s="254" t="str">
        <f>IF(LEN('Ch10'!H31)=0,"",'Ch10'!H31)</f>
        <v/>
      </c>
      <c r="C2275" s="254" t="str">
        <f t="shared" si="53"/>
        <v/>
      </c>
      <c r="D2275" s="139"/>
      <c r="E2275" s="667" t="s">
        <v>434</v>
      </c>
      <c r="F2275" s="139"/>
      <c r="G2275" s="1225" t="s">
        <v>3290</v>
      </c>
      <c r="H2275" s="1313" t="str">
        <f>IF(LEN('Ch10'!W31)=0,"",'Ch10'!W31)</f>
        <v/>
      </c>
      <c r="J2275" s="1204"/>
    </row>
    <row r="2276" spans="2:10" x14ac:dyDescent="0.25">
      <c r="B2276" s="254" t="str">
        <f>IF(LEN('Ch10'!H32)=0,"",'Ch10'!H32)</f>
        <v/>
      </c>
      <c r="C2276" s="254" t="str">
        <f t="shared" si="53"/>
        <v/>
      </c>
      <c r="D2276" s="139"/>
      <c r="E2276" s="693" t="s">
        <v>436</v>
      </c>
      <c r="F2276" s="671"/>
      <c r="G2276" s="1778" t="s">
        <v>3291</v>
      </c>
      <c r="H2276" s="1313" t="str">
        <f>IF(LEN('Ch10'!W32)=0,"",'Ch10'!W32)</f>
        <v/>
      </c>
      <c r="J2276" s="1204"/>
    </row>
    <row r="2277" spans="2:10" x14ac:dyDescent="0.25">
      <c r="B2277" s="254" t="str">
        <f>IF(LEN('Ch10'!H33)=0,"",'Ch10'!H33)</f>
        <v/>
      </c>
      <c r="C2277" s="254" t="str">
        <f t="shared" si="53"/>
        <v/>
      </c>
      <c r="D2277" s="139"/>
      <c r="E2277" s="101"/>
      <c r="F2277" s="101"/>
      <c r="G2277" s="1754"/>
      <c r="H2277" s="94"/>
      <c r="J2277" s="1204"/>
    </row>
    <row r="2278" spans="2:10" x14ac:dyDescent="0.25">
      <c r="B2278" s="254" t="str">
        <f>IF(LEN('Ch10'!H34)=0,"",'Ch10'!H34)</f>
        <v/>
      </c>
      <c r="C2278" s="254" t="str">
        <f t="shared" si="53"/>
        <v/>
      </c>
      <c r="D2278" s="139"/>
      <c r="E2278" s="101"/>
      <c r="F2278" s="668" t="s">
        <v>121</v>
      </c>
      <c r="G2278" s="1225" t="s">
        <v>3292</v>
      </c>
      <c r="H2278" s="94"/>
      <c r="J2278" s="1204"/>
    </row>
    <row r="2279" spans="2:10" x14ac:dyDescent="0.25">
      <c r="B2279" s="254" t="str">
        <f>IF(LEN('Ch10'!H35)=0,"",'Ch10'!H35)</f>
        <v/>
      </c>
      <c r="C2279" s="254" t="str">
        <f t="shared" si="53"/>
        <v/>
      </c>
      <c r="D2279" s="139"/>
      <c r="E2279" s="101"/>
      <c r="F2279" s="668" t="s">
        <v>122</v>
      </c>
      <c r="G2279" s="1225" t="s">
        <v>3293</v>
      </c>
      <c r="H2279" s="94"/>
      <c r="J2279" s="1204"/>
    </row>
    <row r="2280" spans="2:10" x14ac:dyDescent="0.25">
      <c r="B2280" s="254" t="str">
        <f>IF(LEN('Ch10'!H36)=0,"",'Ch10'!H36)</f>
        <v/>
      </c>
      <c r="C2280" s="254" t="str">
        <f t="shared" si="53"/>
        <v/>
      </c>
      <c r="D2280" s="139"/>
      <c r="E2280" s="101"/>
      <c r="F2280" s="668" t="s">
        <v>123</v>
      </c>
      <c r="G2280" s="1754" t="s">
        <v>3294</v>
      </c>
      <c r="H2280" s="94"/>
      <c r="J2280" s="1204"/>
    </row>
    <row r="2281" spans="2:10" x14ac:dyDescent="0.25">
      <c r="B2281" s="254" t="str">
        <f>IF(LEN('Ch10'!H37)=0,"",'Ch10'!H37)</f>
        <v/>
      </c>
      <c r="C2281" s="254" t="str">
        <f t="shared" si="53"/>
        <v/>
      </c>
      <c r="D2281" s="139"/>
      <c r="E2281" s="669"/>
      <c r="F2281" s="669"/>
      <c r="G2281" s="1755"/>
      <c r="H2281" s="94"/>
      <c r="J2281" s="1204"/>
    </row>
    <row r="2282" spans="2:10" x14ac:dyDescent="0.25">
      <c r="B2282" s="254" t="str">
        <f>IF(LEN('Ch10'!H38)=0,"",'Ch10'!H38)</f>
        <v/>
      </c>
      <c r="C2282" s="254" t="str">
        <f t="shared" si="53"/>
        <v/>
      </c>
      <c r="D2282" s="139"/>
      <c r="E2282" s="693" t="s">
        <v>3295</v>
      </c>
      <c r="F2282" s="671"/>
      <c r="G2282" s="1778" t="s">
        <v>3296</v>
      </c>
      <c r="H2282" s="1313" t="str">
        <f>IF(LEN('Ch10'!W38)=0,"",'Ch10'!W38)</f>
        <v/>
      </c>
      <c r="J2282" s="1204"/>
    </row>
    <row r="2283" spans="2:10" x14ac:dyDescent="0.25">
      <c r="B2283" s="254" t="str">
        <f>IF(LEN('Ch10'!H39)=0,"",'Ch10'!H39)</f>
        <v/>
      </c>
      <c r="C2283" s="254" t="str">
        <f t="shared" si="53"/>
        <v/>
      </c>
      <c r="D2283" s="139"/>
      <c r="E2283" s="101"/>
      <c r="F2283" s="101"/>
      <c r="G2283" s="1754"/>
      <c r="H2283" s="94"/>
      <c r="J2283" s="1204"/>
    </row>
    <row r="2284" spans="2:10" x14ac:dyDescent="0.25">
      <c r="B2284" s="254" t="str">
        <f>IF(LEN('Ch10'!H40)=0,"",'Ch10'!H40)</f>
        <v/>
      </c>
      <c r="C2284" s="254" t="str">
        <f t="shared" si="53"/>
        <v/>
      </c>
      <c r="D2284" s="139"/>
      <c r="E2284" s="101"/>
      <c r="F2284" s="101"/>
      <c r="G2284" s="1754"/>
      <c r="H2284" s="94"/>
      <c r="J2284" s="1204"/>
    </row>
    <row r="2285" spans="2:10" x14ac:dyDescent="0.25">
      <c r="B2285" s="254" t="str">
        <f>IF(LEN('Ch10'!H41)=0,"",'Ch10'!H41)</f>
        <v/>
      </c>
      <c r="C2285" s="254" t="str">
        <f t="shared" si="53"/>
        <v/>
      </c>
      <c r="D2285" s="139"/>
      <c r="E2285" s="669"/>
      <c r="F2285" s="669"/>
      <c r="G2285" s="1755"/>
      <c r="H2285" s="94"/>
      <c r="J2285" s="1204"/>
    </row>
    <row r="2286" spans="2:10" x14ac:dyDescent="0.25">
      <c r="B2286" s="254" t="str">
        <f>IF(LEN('Ch10'!H42)=0,"",'Ch10'!H42)</f>
        <v/>
      </c>
      <c r="C2286" s="254" t="str">
        <f t="shared" si="53"/>
        <v/>
      </c>
      <c r="D2286" s="139"/>
      <c r="E2286" s="693" t="s">
        <v>3297</v>
      </c>
      <c r="F2286" s="671"/>
      <c r="G2286" s="1778" t="s">
        <v>3298</v>
      </c>
      <c r="H2286" s="1313" t="str">
        <f>IF(LEN('Ch10'!W42)=0,"",'Ch10'!W42)</f>
        <v/>
      </c>
      <c r="J2286" s="1204"/>
    </row>
    <row r="2287" spans="2:10" x14ac:dyDescent="0.25">
      <c r="B2287" s="254" t="str">
        <f>IF(LEN('Ch10'!H43)=0,"",'Ch10'!H43)</f>
        <v/>
      </c>
      <c r="C2287" s="254" t="str">
        <f t="shared" si="53"/>
        <v/>
      </c>
      <c r="D2287" s="139"/>
      <c r="E2287" s="669"/>
      <c r="F2287" s="669"/>
      <c r="G2287" s="1755"/>
      <c r="H2287" s="94"/>
      <c r="J2287" s="1204"/>
    </row>
    <row r="2288" spans="2:10" x14ac:dyDescent="0.25">
      <c r="B2288" s="254" t="str">
        <f>IF(LEN('Ch10'!H44)=0,"",'Ch10'!H44)</f>
        <v/>
      </c>
      <c r="C2288" s="254" t="str">
        <f t="shared" si="53"/>
        <v/>
      </c>
      <c r="D2288" s="139"/>
      <c r="E2288" s="693" t="s">
        <v>3299</v>
      </c>
      <c r="F2288" s="671"/>
      <c r="G2288" s="1778" t="s">
        <v>3300</v>
      </c>
      <c r="H2288" s="1313" t="str">
        <f>IF(LEN('Ch10'!W44)=0,"",'Ch10'!W44)</f>
        <v/>
      </c>
      <c r="J2288" s="1204"/>
    </row>
    <row r="2289" spans="1:10" x14ac:dyDescent="0.25">
      <c r="B2289" s="254" t="str">
        <f>IF(LEN('Ch10'!H45)=0,"",'Ch10'!H45)</f>
        <v/>
      </c>
      <c r="C2289" s="254" t="str">
        <f t="shared" si="53"/>
        <v/>
      </c>
      <c r="D2289" s="139"/>
      <c r="E2289" s="669"/>
      <c r="F2289" s="669"/>
      <c r="G2289" s="1755"/>
      <c r="H2289" s="94"/>
      <c r="J2289" s="1204"/>
    </row>
    <row r="2290" spans="1:10" x14ac:dyDescent="0.25">
      <c r="B2290" s="254" t="str">
        <f>IF(LEN('Ch10'!H46)=0,"",'Ch10'!H46)</f>
        <v/>
      </c>
      <c r="C2290" s="254" t="str">
        <f t="shared" si="53"/>
        <v/>
      </c>
      <c r="D2290" s="139"/>
      <c r="E2290" s="691" t="s">
        <v>3301</v>
      </c>
      <c r="F2290" s="683"/>
      <c r="G2290" s="280" t="s">
        <v>3302</v>
      </c>
      <c r="H2290" s="1313" t="str">
        <f>IF(LEN('Ch10'!W46)=0,"",'Ch10'!W46)</f>
        <v/>
      </c>
      <c r="J2290" s="1204"/>
    </row>
    <row r="2291" spans="1:10" x14ac:dyDescent="0.25">
      <c r="B2291" s="254" t="str">
        <f>IF(LEN('Ch10'!H47)=0,"",'Ch10'!H47)</f>
        <v/>
      </c>
      <c r="C2291" s="254" t="str">
        <f t="shared" si="53"/>
        <v/>
      </c>
      <c r="D2291" s="139"/>
      <c r="E2291" s="693" t="s">
        <v>3303</v>
      </c>
      <c r="F2291" s="671"/>
      <c r="G2291" s="1760" t="s">
        <v>3304</v>
      </c>
      <c r="H2291" s="1313" t="str">
        <f>IF(LEN('Ch10'!W47)=0,"",'Ch10'!W47)</f>
        <v/>
      </c>
      <c r="J2291" s="1204"/>
    </row>
    <row r="2292" spans="1:10" x14ac:dyDescent="0.25">
      <c r="B2292" s="254" t="str">
        <f>IF(LEN('Ch10'!H48)=0,"",'Ch10'!H48)</f>
        <v/>
      </c>
      <c r="C2292" s="254" t="str">
        <f t="shared" si="53"/>
        <v/>
      </c>
      <c r="D2292" s="139"/>
      <c r="E2292" s="684"/>
      <c r="F2292" s="669"/>
      <c r="G2292" s="1761"/>
      <c r="H2292" s="94"/>
      <c r="J2292" s="1204"/>
    </row>
    <row r="2293" spans="1:10" x14ac:dyDescent="0.25">
      <c r="B2293" s="254" t="str">
        <f>IF(LEN('Ch10'!H49)=0,"",'Ch10'!H49)</f>
        <v/>
      </c>
      <c r="C2293" s="254" t="str">
        <f t="shared" si="53"/>
        <v/>
      </c>
      <c r="D2293" s="139"/>
      <c r="E2293" s="693" t="s">
        <v>3305</v>
      </c>
      <c r="F2293" s="671"/>
      <c r="G2293" s="1778" t="s">
        <v>3306</v>
      </c>
      <c r="H2293" s="1313" t="str">
        <f>IF(LEN('Ch10'!W49)=0,"",'Ch10'!W49)</f>
        <v/>
      </c>
      <c r="J2293" s="1204"/>
    </row>
    <row r="2294" spans="1:10" x14ac:dyDescent="0.25">
      <c r="B2294" s="254" t="str">
        <f>IF(LEN('Ch10'!H50)=0,"",'Ch10'!H50)</f>
        <v/>
      </c>
      <c r="C2294" s="254" t="str">
        <f t="shared" si="53"/>
        <v/>
      </c>
      <c r="D2294" s="139"/>
      <c r="E2294" s="669"/>
      <c r="F2294" s="669"/>
      <c r="G2294" s="1755"/>
      <c r="H2294" s="94"/>
      <c r="J2294" s="1204"/>
    </row>
    <row r="2295" spans="1:10" x14ac:dyDescent="0.25">
      <c r="B2295" s="254" t="str">
        <f>IF(LEN('Ch10'!H51)=0,"",'Ch10'!H51)</f>
        <v/>
      </c>
      <c r="C2295" s="254" t="str">
        <f t="shared" si="53"/>
        <v/>
      </c>
      <c r="D2295" s="139"/>
      <c r="E2295" s="691" t="s">
        <v>3307</v>
      </c>
      <c r="F2295" s="683"/>
      <c r="G2295" s="280" t="s">
        <v>3308</v>
      </c>
      <c r="H2295" s="1313" t="str">
        <f>IF(LEN('Ch10'!W51)=0,"",'Ch10'!W51)</f>
        <v/>
      </c>
      <c r="J2295" s="1204"/>
    </row>
    <row r="2296" spans="1:10" x14ac:dyDescent="0.25">
      <c r="B2296" s="254" t="str">
        <f>IF(LEN('Ch10'!H52)=0,"",'Ch10'!H52)</f>
        <v/>
      </c>
      <c r="C2296" s="254" t="str">
        <f t="shared" si="53"/>
        <v/>
      </c>
      <c r="D2296" s="139"/>
      <c r="E2296" s="693" t="s">
        <v>3309</v>
      </c>
      <c r="F2296" s="671"/>
      <c r="G2296" s="1778" t="s">
        <v>3310</v>
      </c>
      <c r="H2296" s="1313" t="str">
        <f>IF(LEN('Ch10'!W52)=0,"",'Ch10'!W52)</f>
        <v/>
      </c>
      <c r="J2296" s="1204"/>
    </row>
    <row r="2297" spans="1:10" x14ac:dyDescent="0.25">
      <c r="B2297" s="254" t="str">
        <f>IF(LEN('Ch10'!H53)=0,"",'Ch10'!H53)</f>
        <v/>
      </c>
      <c r="C2297" s="254" t="str">
        <f t="shared" si="53"/>
        <v/>
      </c>
      <c r="D2297" s="139"/>
      <c r="E2297" s="669"/>
      <c r="F2297" s="669"/>
      <c r="G2297" s="1755"/>
      <c r="H2297" s="94"/>
      <c r="J2297" s="1204"/>
    </row>
    <row r="2298" spans="1:10" x14ac:dyDescent="0.25">
      <c r="B2298" s="254" t="str">
        <f>IF(LEN('Ch10'!H54)=0,"",'Ch10'!H54)</f>
        <v/>
      </c>
      <c r="C2298" s="254" t="str">
        <f t="shared" si="53"/>
        <v/>
      </c>
      <c r="D2298" s="139"/>
      <c r="E2298" s="693" t="s">
        <v>3311</v>
      </c>
      <c r="F2298" s="671"/>
      <c r="G2298" s="1778" t="s">
        <v>3312</v>
      </c>
      <c r="H2298" s="1313" t="str">
        <f>IF(LEN('Ch10'!W54)=0,"",'Ch10'!W54)</f>
        <v/>
      </c>
      <c r="J2298" s="1204"/>
    </row>
    <row r="2299" spans="1:10" x14ac:dyDescent="0.25">
      <c r="B2299" s="254" t="str">
        <f>IF(LEN('Ch10'!H55)=0,"",'Ch10'!H55)</f>
        <v/>
      </c>
      <c r="C2299" s="254" t="str">
        <f t="shared" si="53"/>
        <v/>
      </c>
      <c r="D2299" s="139"/>
      <c r="E2299" s="669"/>
      <c r="F2299" s="669"/>
      <c r="G2299" s="1755"/>
      <c r="H2299" s="94"/>
      <c r="J2299" s="1204"/>
    </row>
    <row r="2300" spans="1:10" x14ac:dyDescent="0.25">
      <c r="B2300" s="254" t="str">
        <f>IF(LEN('Ch10'!H56)=0,"",'Ch10'!H56)</f>
        <v/>
      </c>
      <c r="C2300" s="254" t="str">
        <f t="shared" si="53"/>
        <v/>
      </c>
      <c r="D2300" s="139"/>
      <c r="E2300" s="693" t="s">
        <v>3313</v>
      </c>
      <c r="F2300" s="671"/>
      <c r="G2300" s="1778" t="s">
        <v>3314</v>
      </c>
      <c r="H2300" s="1313" t="str">
        <f>IF(LEN('Ch10'!W56)=0,"",'Ch10'!W56)</f>
        <v/>
      </c>
      <c r="J2300" s="1204"/>
    </row>
    <row r="2301" spans="1:10" x14ac:dyDescent="0.25">
      <c r="B2301" s="254" t="str">
        <f>IF(LEN('Ch10'!H57)=0,"",'Ch10'!H57)</f>
        <v/>
      </c>
      <c r="C2301" s="254" t="str">
        <f t="shared" si="53"/>
        <v/>
      </c>
      <c r="D2301" s="139"/>
      <c r="E2301" s="669"/>
      <c r="F2301" s="669"/>
      <c r="G2301" s="1755"/>
      <c r="H2301" s="94"/>
      <c r="J2301" s="1204"/>
    </row>
    <row r="2302" spans="1:10" x14ac:dyDescent="0.25">
      <c r="B2302" s="254" t="str">
        <f>IF(LEN('Ch10'!H58)=0,"",'Ch10'!H58)</f>
        <v/>
      </c>
      <c r="C2302" s="254" t="str">
        <f t="shared" si="53"/>
        <v/>
      </c>
      <c r="D2302" s="139"/>
      <c r="E2302" s="691" t="s">
        <v>3315</v>
      </c>
      <c r="F2302" s="683"/>
      <c r="G2302" s="280" t="s">
        <v>3316</v>
      </c>
      <c r="H2302" s="1313" t="str">
        <f>IF(LEN('Ch10'!W58)=0,"",'Ch10'!W58)</f>
        <v/>
      </c>
      <c r="J2302" s="1204"/>
    </row>
    <row r="2303" spans="1:10" ht="15.75" thickBot="1" x14ac:dyDescent="0.3">
      <c r="B2303" s="254" t="str">
        <f>IF(LEN('Ch10'!H59)=0,"",'Ch10'!H59)</f>
        <v/>
      </c>
      <c r="C2303" s="254" t="str">
        <f t="shared" si="53"/>
        <v/>
      </c>
      <c r="D2303" s="670"/>
      <c r="E2303" s="673" t="s">
        <v>3317</v>
      </c>
      <c r="F2303" s="670"/>
      <c r="G2303" s="1229" t="s">
        <v>3318</v>
      </c>
      <c r="H2303" s="1313" t="str">
        <f>IF(LEN('Ch10'!W59)=0,"",'Ch10'!W59)</f>
        <v/>
      </c>
      <c r="J2303" s="1204"/>
    </row>
    <row r="2304" spans="1:10" ht="15.75" thickTop="1" x14ac:dyDescent="0.25">
      <c r="A2304" s="585" t="str">
        <f>IF(I2304&gt;0,"P","")</f>
        <v/>
      </c>
      <c r="B2304" s="254" t="str">
        <f>IF(LEN('Ch10'!H60)=0,"",'Ch10'!H60)</f>
        <v/>
      </c>
      <c r="C2304" s="254" t="str">
        <f t="shared" si="53"/>
        <v/>
      </c>
      <c r="D2304" s="139">
        <v>1001.2</v>
      </c>
      <c r="E2304" s="139"/>
      <c r="F2304" s="139"/>
      <c r="G2304" s="1782" t="s">
        <v>3319</v>
      </c>
      <c r="H2304" s="1313" t="str">
        <f>IF(LEN('Ch10'!W60)=0,"",'Ch10'!W60)</f>
        <v/>
      </c>
      <c r="I2304" s="86">
        <f>'Ch10'!O60</f>
        <v>0</v>
      </c>
      <c r="J2304" s="1950" t="s">
        <v>3948</v>
      </c>
    </row>
    <row r="2305" spans="1:10" x14ac:dyDescent="0.25">
      <c r="A2305" s="585" t="str">
        <f>A2304</f>
        <v/>
      </c>
      <c r="B2305" s="254" t="str">
        <f>IF(LEN('Ch10'!H61)=0,"",'Ch10'!H61)</f>
        <v/>
      </c>
      <c r="C2305" s="254" t="str">
        <f t="shared" si="53"/>
        <v/>
      </c>
      <c r="D2305" s="139"/>
      <c r="E2305" s="139"/>
      <c r="F2305" s="139"/>
      <c r="G2305" s="1782"/>
      <c r="H2305" s="94"/>
      <c r="J2305" s="1952"/>
    </row>
    <row r="2306" spans="1:10" x14ac:dyDescent="0.25">
      <c r="A2306" s="585" t="str">
        <f>A2305</f>
        <v/>
      </c>
      <c r="B2306" s="254" t="str">
        <f>IF(LEN('Ch10'!H62)=0,"",'Ch10'!H62)</f>
        <v/>
      </c>
      <c r="C2306" s="254" t="str">
        <f t="shared" si="53"/>
        <v/>
      </c>
      <c r="D2306" s="139"/>
      <c r="E2306" s="139"/>
      <c r="F2306" s="139"/>
      <c r="G2306" s="1782"/>
      <c r="H2306" s="94"/>
      <c r="J2306" s="1953"/>
    </row>
    <row r="2307" spans="1:10" x14ac:dyDescent="0.25">
      <c r="A2307" s="585" t="str">
        <f>A2306</f>
        <v/>
      </c>
      <c r="B2307" s="254" t="str">
        <f>IF(LEN('Ch10'!H63)=0,"",'Ch10'!H63)</f>
        <v/>
      </c>
      <c r="C2307" s="254" t="str">
        <f t="shared" si="53"/>
        <v/>
      </c>
      <c r="D2307" s="139"/>
      <c r="E2307" s="139"/>
      <c r="F2307" s="139"/>
      <c r="G2307" s="1782"/>
      <c r="H2307" s="94"/>
      <c r="J2307" s="1204"/>
    </row>
    <row r="2308" spans="1:10" x14ac:dyDescent="0.25">
      <c r="B2308" s="254" t="str">
        <f>IF(LEN('Ch10'!H64)=0,"",'Ch10'!H64)</f>
        <v/>
      </c>
      <c r="C2308" s="254" t="str">
        <f t="shared" si="53"/>
        <v/>
      </c>
      <c r="D2308" s="139"/>
      <c r="E2308" s="668" t="s">
        <v>256</v>
      </c>
      <c r="F2308" s="101"/>
      <c r="G2308" s="1250" t="s">
        <v>3320</v>
      </c>
      <c r="H2308" s="94"/>
      <c r="J2308" s="1204"/>
    </row>
    <row r="2309" spans="1:10" x14ac:dyDescent="0.25">
      <c r="B2309" s="254" t="str">
        <f>IF(LEN('Ch10'!H65)=0,"",'Ch10'!H65)</f>
        <v/>
      </c>
      <c r="C2309" s="254" t="str">
        <f t="shared" si="53"/>
        <v/>
      </c>
      <c r="D2309" s="139"/>
      <c r="E2309" s="668" t="s">
        <v>258</v>
      </c>
      <c r="F2309" s="101"/>
      <c r="G2309" s="1250" t="s">
        <v>3321</v>
      </c>
      <c r="H2309" s="94"/>
      <c r="J2309" s="1204"/>
    </row>
    <row r="2310" spans="1:10" x14ac:dyDescent="0.25">
      <c r="B2310" s="254" t="str">
        <f>IF(LEN('Ch10'!H66)=0,"",'Ch10'!H66)</f>
        <v/>
      </c>
      <c r="C2310" s="254" t="str">
        <f t="shared" si="53"/>
        <v/>
      </c>
      <c r="D2310" s="139"/>
      <c r="E2310" s="668" t="s">
        <v>260</v>
      </c>
      <c r="F2310" s="101"/>
      <c r="G2310" s="1250" t="s">
        <v>3322</v>
      </c>
      <c r="H2310" s="94"/>
      <c r="J2310" s="1204"/>
    </row>
    <row r="2311" spans="1:10" x14ac:dyDescent="0.25">
      <c r="B2311" s="254" t="str">
        <f>IF(LEN('Ch10'!H67)=0,"",'Ch10'!H67)</f>
        <v/>
      </c>
      <c r="C2311" s="254" t="str">
        <f t="shared" si="53"/>
        <v/>
      </c>
      <c r="D2311" s="139"/>
      <c r="E2311" s="668" t="s">
        <v>269</v>
      </c>
      <c r="F2311" s="101"/>
      <c r="G2311" s="1250" t="s">
        <v>3323</v>
      </c>
      <c r="H2311" s="94"/>
      <c r="J2311" s="1204"/>
    </row>
    <row r="2312" spans="1:10" x14ac:dyDescent="0.25">
      <c r="B2312" s="254" t="str">
        <f>IF(LEN('Ch10'!H68)=0,"",'Ch10'!H68)</f>
        <v/>
      </c>
      <c r="C2312" s="254" t="str">
        <f t="shared" si="53"/>
        <v/>
      </c>
      <c r="D2312" s="139"/>
      <c r="E2312" s="668" t="s">
        <v>275</v>
      </c>
      <c r="F2312" s="101"/>
      <c r="G2312" s="1250" t="s">
        <v>3324</v>
      </c>
      <c r="H2312" s="94"/>
      <c r="J2312" s="1204"/>
    </row>
    <row r="2313" spans="1:10" x14ac:dyDescent="0.25">
      <c r="B2313" s="254" t="str">
        <f>IF(LEN('Ch10'!H69)=0,"",'Ch10'!H69)</f>
        <v/>
      </c>
      <c r="C2313" s="254" t="str">
        <f t="shared" si="53"/>
        <v/>
      </c>
      <c r="D2313" s="139"/>
      <c r="E2313" s="668" t="s">
        <v>277</v>
      </c>
      <c r="F2313" s="101"/>
      <c r="G2313" s="1250" t="s">
        <v>3325</v>
      </c>
      <c r="H2313" s="94"/>
      <c r="J2313" s="1204"/>
    </row>
    <row r="2314" spans="1:10" x14ac:dyDescent="0.25">
      <c r="B2314" s="254" t="str">
        <f>IF(LEN('Ch10'!H70)=0,"",'Ch10'!H70)</f>
        <v/>
      </c>
      <c r="C2314" s="254" t="str">
        <f t="shared" si="53"/>
        <v/>
      </c>
      <c r="D2314" s="139"/>
      <c r="E2314" s="667" t="s">
        <v>383</v>
      </c>
      <c r="F2314" s="139"/>
      <c r="G2314" s="1250" t="s">
        <v>3326</v>
      </c>
      <c r="H2314" s="94"/>
      <c r="J2314" s="1204"/>
    </row>
    <row r="2315" spans="1:10" x14ac:dyDescent="0.25">
      <c r="B2315" s="254" t="str">
        <f>IF(LEN('Ch10'!H71)=0,"",'Ch10'!H71)</f>
        <v/>
      </c>
      <c r="C2315" s="254" t="str">
        <f t="shared" si="53"/>
        <v/>
      </c>
      <c r="E2315" s="667" t="s">
        <v>428</v>
      </c>
      <c r="F2315" s="667"/>
      <c r="G2315" s="1225" t="s">
        <v>4550</v>
      </c>
      <c r="H2315" s="94"/>
      <c r="J2315" s="1204"/>
    </row>
    <row r="2316" spans="1:10" ht="18.75" x14ac:dyDescent="0.25">
      <c r="A2316" s="585" t="s">
        <v>3974</v>
      </c>
      <c r="B2316" s="254" t="str">
        <f>IF(LEN('Ch10'!H72)=0,"",'Ch10'!H72)</f>
        <v/>
      </c>
      <c r="C2316" s="254" t="str">
        <f t="shared" si="53"/>
        <v>P</v>
      </c>
      <c r="D2316" s="1388" t="s">
        <v>3327</v>
      </c>
      <c r="E2316" s="1388"/>
      <c r="F2316" s="1388"/>
      <c r="G2316" s="1316"/>
      <c r="H2316" s="94"/>
      <c r="J2316" s="1258"/>
    </row>
    <row r="2317" spans="1:10" x14ac:dyDescent="0.25">
      <c r="B2317" s="254" t="str">
        <f>IF(LEN('Ch10'!H73)=0,"",'Ch10'!H73)</f>
        <v/>
      </c>
      <c r="C2317" s="254" t="str">
        <f t="shared" si="53"/>
        <v/>
      </c>
      <c r="D2317" s="675">
        <v>1002</v>
      </c>
      <c r="E2317" s="101"/>
      <c r="F2317" s="101"/>
      <c r="G2317" s="1782" t="s">
        <v>3328</v>
      </c>
      <c r="H2317" s="94"/>
      <c r="J2317" s="1204"/>
    </row>
    <row r="2318" spans="1:10" x14ac:dyDescent="0.25">
      <c r="B2318" s="254" t="str">
        <f>IF(LEN('Ch10'!H74)=0,"",'Ch10'!H74)</f>
        <v/>
      </c>
      <c r="C2318" s="254" t="str">
        <f t="shared" si="53"/>
        <v/>
      </c>
      <c r="D2318" s="101"/>
      <c r="E2318" s="101"/>
      <c r="F2318" s="101"/>
      <c r="G2318" s="1782"/>
      <c r="H2318" s="94"/>
      <c r="J2318" s="1204"/>
    </row>
    <row r="2319" spans="1:10" x14ac:dyDescent="0.25">
      <c r="B2319" s="254" t="str">
        <f>IF(LEN('Ch10'!H75)=0,"",'Ch10'!H75)</f>
        <v/>
      </c>
      <c r="C2319" s="254" t="str">
        <f t="shared" si="53"/>
        <v/>
      </c>
      <c r="D2319" s="101"/>
      <c r="E2319" s="101"/>
      <c r="F2319" s="101"/>
      <c r="G2319" s="1782"/>
      <c r="H2319" s="94"/>
      <c r="J2319" s="1204"/>
    </row>
    <row r="2320" spans="1:10" x14ac:dyDescent="0.25">
      <c r="B2320" s="254" t="str">
        <f>IF(LEN('Ch10'!H76)=0,"",'Ch10'!H76)</f>
        <v/>
      </c>
      <c r="C2320" s="254" t="str">
        <f t="shared" si="53"/>
        <v/>
      </c>
      <c r="D2320" s="101"/>
      <c r="E2320" s="101"/>
      <c r="F2320" s="101"/>
      <c r="G2320" s="1782"/>
      <c r="H2320" s="94"/>
      <c r="J2320" s="1204"/>
    </row>
    <row r="2321" spans="1:10" x14ac:dyDescent="0.25">
      <c r="B2321" s="254" t="str">
        <f>IF(LEN('Ch10'!H77)=0,"",'Ch10'!H77)</f>
        <v/>
      </c>
      <c r="C2321" s="254" t="str">
        <f t="shared" si="53"/>
        <v/>
      </c>
      <c r="D2321" s="101"/>
      <c r="E2321" s="101"/>
      <c r="F2321" s="101"/>
      <c r="G2321" s="1782"/>
      <c r="H2321" s="94"/>
      <c r="J2321" s="1204"/>
    </row>
    <row r="2322" spans="1:10" ht="15.75" thickBot="1" x14ac:dyDescent="0.3">
      <c r="B2322" s="254" t="str">
        <f>IF(LEN('Ch10'!H78)=0,"",'Ch10'!H78)</f>
        <v/>
      </c>
      <c r="C2322" s="254" t="str">
        <f t="shared" si="53"/>
        <v/>
      </c>
      <c r="D2322" s="670"/>
      <c r="E2322" s="670"/>
      <c r="F2322" s="670"/>
      <c r="G2322" s="1797"/>
      <c r="H2322" s="94"/>
      <c r="J2322" s="1204"/>
    </row>
    <row r="2323" spans="1:10" ht="15.75" thickTop="1" x14ac:dyDescent="0.25">
      <c r="A2323" s="585" t="str">
        <f>IF(I2323&gt;0,"P","")</f>
        <v/>
      </c>
      <c r="B2323" s="254" t="str">
        <f>IF(LEN('Ch10'!H79)=0,"",'Ch10'!H79)</f>
        <v/>
      </c>
      <c r="C2323" s="254" t="str">
        <f t="shared" ref="C2323:C2386" si="54">IF(LEN(B2323)=0,IF(A2323="P","P",""),B2323)</f>
        <v/>
      </c>
      <c r="D2323" s="139">
        <v>1002.1</v>
      </c>
      <c r="E2323" s="139"/>
      <c r="F2323" s="139"/>
      <c r="G2323" s="1782" t="s">
        <v>3375</v>
      </c>
      <c r="H2323" s="94"/>
      <c r="I2323" s="86">
        <f>'Ch10'!O79</f>
        <v>0</v>
      </c>
      <c r="J2323" s="1950" t="s">
        <v>5047</v>
      </c>
    </row>
    <row r="2324" spans="1:10" x14ac:dyDescent="0.25">
      <c r="A2324" s="585" t="str">
        <f>A2323</f>
        <v/>
      </c>
      <c r="B2324" s="254" t="str">
        <f>IF(LEN('Ch10'!H80)=0,"",'Ch10'!H80)</f>
        <v/>
      </c>
      <c r="C2324" s="254" t="str">
        <f t="shared" si="54"/>
        <v/>
      </c>
      <c r="D2324" s="139"/>
      <c r="E2324" s="139"/>
      <c r="F2324" s="139"/>
      <c r="G2324" s="1782"/>
      <c r="H2324" s="94"/>
      <c r="J2324" s="1952"/>
    </row>
    <row r="2325" spans="1:10" x14ac:dyDescent="0.25">
      <c r="A2325" s="585" t="str">
        <f>A2324</f>
        <v/>
      </c>
      <c r="B2325" s="254" t="str">
        <f>IF(LEN('Ch10'!H81)=0,"",'Ch10'!H81)</f>
        <v/>
      </c>
      <c r="C2325" s="254" t="str">
        <f t="shared" si="54"/>
        <v/>
      </c>
      <c r="D2325" s="139"/>
      <c r="E2325" s="139"/>
      <c r="F2325" s="139"/>
      <c r="G2325" s="1325" t="s">
        <v>3373</v>
      </c>
      <c r="H2325" s="94"/>
      <c r="J2325" s="1953"/>
    </row>
    <row r="2326" spans="1:10" x14ac:dyDescent="0.25">
      <c r="B2326" s="254" t="str">
        <f>IF(LEN('Ch10'!H82)=0,"",'Ch10'!H82)</f>
        <v/>
      </c>
      <c r="C2326" s="254" t="str">
        <f t="shared" si="54"/>
        <v/>
      </c>
      <c r="D2326" s="139"/>
      <c r="E2326" s="667" t="s">
        <v>256</v>
      </c>
      <c r="F2326" s="139"/>
      <c r="G2326" s="1754" t="s">
        <v>3329</v>
      </c>
      <c r="H2326" s="1313" t="str">
        <f>IF(LEN('Ch10'!W82)=0,"",'Ch10'!W82)</f>
        <v/>
      </c>
      <c r="J2326" s="1204"/>
    </row>
    <row r="2327" spans="1:10" x14ac:dyDescent="0.25">
      <c r="B2327" s="254" t="str">
        <f>IF(LEN('Ch10'!H83)=0,"",'Ch10'!H83)</f>
        <v/>
      </c>
      <c r="C2327" s="254" t="str">
        <f t="shared" si="54"/>
        <v/>
      </c>
      <c r="D2327" s="139"/>
      <c r="E2327" s="667"/>
      <c r="F2327" s="139"/>
      <c r="G2327" s="1754"/>
      <c r="H2327" s="94"/>
      <c r="J2327" s="1204"/>
    </row>
    <row r="2328" spans="1:10" x14ac:dyDescent="0.25">
      <c r="B2328" s="254" t="str">
        <f>IF(LEN('Ch10'!H84)=0,"",'Ch10'!H84)</f>
        <v/>
      </c>
      <c r="C2328" s="254" t="str">
        <f t="shared" si="54"/>
        <v/>
      </c>
      <c r="D2328" s="139"/>
      <c r="E2328" s="667"/>
      <c r="F2328" s="139"/>
      <c r="G2328" s="1754"/>
      <c r="H2328" s="94"/>
      <c r="J2328" s="1204"/>
    </row>
    <row r="2329" spans="1:10" x14ac:dyDescent="0.25">
      <c r="B2329" s="254" t="str">
        <f>IF(LEN('Ch10'!H85)=0,"",'Ch10'!H85)</f>
        <v/>
      </c>
      <c r="C2329" s="254" t="str">
        <f t="shared" si="54"/>
        <v/>
      </c>
      <c r="D2329" s="139"/>
      <c r="E2329" s="693" t="s">
        <v>258</v>
      </c>
      <c r="F2329" s="671"/>
      <c r="G2329" s="1778" t="s">
        <v>3330</v>
      </c>
      <c r="H2329" s="1313" t="str">
        <f>IF(LEN('Ch10'!W85)=0,"",'Ch10'!W85)</f>
        <v/>
      </c>
      <c r="J2329" s="1204"/>
    </row>
    <row r="2330" spans="1:10" x14ac:dyDescent="0.25">
      <c r="B2330" s="254" t="str">
        <f>IF(LEN('Ch10'!H86)=0,"",'Ch10'!H86)</f>
        <v/>
      </c>
      <c r="C2330" s="254" t="str">
        <f t="shared" si="54"/>
        <v/>
      </c>
      <c r="D2330" s="139"/>
      <c r="E2330" s="668"/>
      <c r="F2330" s="101"/>
      <c r="G2330" s="1754"/>
      <c r="H2330" s="94"/>
      <c r="J2330" s="1204"/>
    </row>
    <row r="2331" spans="1:10" x14ac:dyDescent="0.25">
      <c r="B2331" s="254" t="str">
        <f>IF(LEN('Ch10'!H87)=0,"",'Ch10'!H87)</f>
        <v/>
      </c>
      <c r="C2331" s="254" t="str">
        <f t="shared" si="54"/>
        <v/>
      </c>
      <c r="D2331" s="139"/>
      <c r="E2331" s="684"/>
      <c r="F2331" s="669"/>
      <c r="G2331" s="1755"/>
      <c r="H2331" s="94"/>
      <c r="J2331" s="1204"/>
    </row>
    <row r="2332" spans="1:10" x14ac:dyDescent="0.25">
      <c r="B2332" s="254" t="str">
        <f>IF(LEN('Ch10'!H88)=0,"",'Ch10'!H88)</f>
        <v/>
      </c>
      <c r="C2332" s="254" t="str">
        <f t="shared" si="54"/>
        <v/>
      </c>
      <c r="D2332" s="139"/>
      <c r="E2332" s="667" t="s">
        <v>260</v>
      </c>
      <c r="F2332" s="139"/>
      <c r="G2332" s="1754" t="s">
        <v>3331</v>
      </c>
      <c r="H2332" s="1313" t="str">
        <f>IF(LEN('Ch10'!W88)=0,"",'Ch10'!W88)</f>
        <v/>
      </c>
      <c r="J2332" s="1204"/>
    </row>
    <row r="2333" spans="1:10" x14ac:dyDescent="0.25">
      <c r="B2333" s="254" t="str">
        <f>IF(LEN('Ch10'!H89)=0,"",'Ch10'!H89)</f>
        <v/>
      </c>
      <c r="C2333" s="254" t="str">
        <f t="shared" si="54"/>
        <v/>
      </c>
      <c r="D2333" s="139"/>
      <c r="E2333" s="667"/>
      <c r="F2333" s="139"/>
      <c r="G2333" s="1754"/>
      <c r="H2333" s="94"/>
      <c r="J2333" s="1204"/>
    </row>
    <row r="2334" spans="1:10" x14ac:dyDescent="0.25">
      <c r="B2334" s="254" t="str">
        <f>IF(LEN('Ch10'!H90)=0,"",'Ch10'!H90)</f>
        <v/>
      </c>
      <c r="C2334" s="254" t="str">
        <f t="shared" si="54"/>
        <v/>
      </c>
      <c r="D2334" s="139"/>
      <c r="E2334" s="691" t="s">
        <v>269</v>
      </c>
      <c r="F2334" s="683"/>
      <c r="G2334" s="280" t="s">
        <v>3332</v>
      </c>
      <c r="H2334" s="1313" t="str">
        <f>IF(LEN('Ch10'!W90)=0,"",'Ch10'!W90)</f>
        <v/>
      </c>
      <c r="J2334" s="1204"/>
    </row>
    <row r="2335" spans="1:10" x14ac:dyDescent="0.25">
      <c r="B2335" s="254" t="str">
        <f>IF(LEN('Ch10'!H91)=0,"",'Ch10'!H91)</f>
        <v/>
      </c>
      <c r="C2335" s="254" t="str">
        <f t="shared" si="54"/>
        <v/>
      </c>
      <c r="D2335" s="139"/>
      <c r="E2335" s="667" t="s">
        <v>275</v>
      </c>
      <c r="F2335" s="139"/>
      <c r="G2335" s="1754" t="s">
        <v>3333</v>
      </c>
      <c r="H2335" s="1313" t="str">
        <f>IF(LEN('Ch10'!W91)=0,"",'Ch10'!W91)</f>
        <v/>
      </c>
      <c r="J2335" s="1204"/>
    </row>
    <row r="2336" spans="1:10" x14ac:dyDescent="0.25">
      <c r="B2336" s="254" t="str">
        <f>IF(LEN('Ch10'!H92)=0,"",'Ch10'!H92)</f>
        <v/>
      </c>
      <c r="C2336" s="254" t="str">
        <f t="shared" si="54"/>
        <v/>
      </c>
      <c r="D2336" s="139"/>
      <c r="E2336" s="667"/>
      <c r="F2336" s="139"/>
      <c r="G2336" s="1754"/>
      <c r="H2336" s="94"/>
      <c r="J2336" s="1204"/>
    </row>
    <row r="2337" spans="1:10" ht="15" customHeight="1" x14ac:dyDescent="0.25">
      <c r="B2337" s="254" t="str">
        <f>IF(LEN('Ch10'!H93)=0,"",'Ch10'!H93)</f>
        <v/>
      </c>
      <c r="C2337" s="254" t="str">
        <f t="shared" si="54"/>
        <v/>
      </c>
      <c r="D2337" s="139"/>
      <c r="E2337" s="691" t="s">
        <v>277</v>
      </c>
      <c r="F2337" s="683"/>
      <c r="G2337" s="280" t="s">
        <v>3290</v>
      </c>
      <c r="H2337" s="1313" t="str">
        <f>IF(LEN('Ch10'!W93)=0,"",'Ch10'!W93)</f>
        <v/>
      </c>
      <c r="J2337" s="1204"/>
    </row>
    <row r="2338" spans="1:10" x14ac:dyDescent="0.25">
      <c r="B2338" s="254" t="str">
        <f>IF(LEN('Ch10'!H94)=0,"",'Ch10'!H94)</f>
        <v/>
      </c>
      <c r="C2338" s="254" t="str">
        <f t="shared" si="54"/>
        <v/>
      </c>
      <c r="D2338" s="139"/>
      <c r="E2338" s="691" t="s">
        <v>383</v>
      </c>
      <c r="F2338" s="683"/>
      <c r="G2338" s="280" t="s">
        <v>3334</v>
      </c>
      <c r="H2338" s="1313" t="str">
        <f>IF(LEN('Ch10'!W94)=0,"",'Ch10'!W94)</f>
        <v/>
      </c>
      <c r="J2338" s="1204"/>
    </row>
    <row r="2339" spans="1:10" x14ac:dyDescent="0.25">
      <c r="B2339" s="254" t="str">
        <f>IF(LEN('Ch10'!H95)=0,"",'Ch10'!H95)</f>
        <v/>
      </c>
      <c r="C2339" s="254" t="str">
        <f t="shared" si="54"/>
        <v/>
      </c>
      <c r="D2339" s="101"/>
      <c r="E2339" s="668" t="s">
        <v>428</v>
      </c>
      <c r="F2339" s="101"/>
      <c r="G2339" s="1754" t="s">
        <v>3335</v>
      </c>
      <c r="H2339" s="1313" t="str">
        <f>IF(LEN('Ch10'!W95)=0,"",'Ch10'!W95)</f>
        <v/>
      </c>
      <c r="J2339" s="1204"/>
    </row>
    <row r="2340" spans="1:10" ht="15.75" thickBot="1" x14ac:dyDescent="0.3">
      <c r="B2340" s="254" t="str">
        <f>IF(LEN('Ch10'!H96)=0,"",'Ch10'!H96)</f>
        <v/>
      </c>
      <c r="C2340" s="254" t="str">
        <f t="shared" si="54"/>
        <v/>
      </c>
      <c r="D2340" s="670"/>
      <c r="E2340" s="670"/>
      <c r="F2340" s="670"/>
      <c r="G2340" s="1783"/>
      <c r="H2340" s="94"/>
      <c r="J2340" s="1204"/>
    </row>
    <row r="2341" spans="1:10" ht="15.75" thickTop="1" x14ac:dyDescent="0.25">
      <c r="A2341" s="585" t="str">
        <f>IF(I2341&gt;0,"P","")</f>
        <v/>
      </c>
      <c r="B2341" s="254" t="str">
        <f>IF(LEN('Ch10'!H97)=0,"",'Ch10'!H97)</f>
        <v/>
      </c>
      <c r="C2341" s="254" t="str">
        <f t="shared" si="54"/>
        <v/>
      </c>
      <c r="D2341" s="139">
        <v>1002.2</v>
      </c>
      <c r="E2341" s="139"/>
      <c r="F2341" s="139"/>
      <c r="G2341" s="1782" t="s">
        <v>3376</v>
      </c>
      <c r="H2341" s="94"/>
      <c r="I2341" s="86">
        <f>'Ch10'!O97</f>
        <v>0</v>
      </c>
      <c r="J2341" s="1950" t="s">
        <v>5048</v>
      </c>
    </row>
    <row r="2342" spans="1:10" x14ac:dyDescent="0.25">
      <c r="A2342" s="585" t="str">
        <f>A2341</f>
        <v/>
      </c>
      <c r="B2342" s="254" t="str">
        <f>IF(LEN('Ch10'!H98)=0,"",'Ch10'!H98)</f>
        <v/>
      </c>
      <c r="C2342" s="254" t="str">
        <f t="shared" si="54"/>
        <v/>
      </c>
      <c r="D2342" s="139"/>
      <c r="E2342" s="139"/>
      <c r="F2342" s="139"/>
      <c r="G2342" s="1782"/>
      <c r="H2342" s="94"/>
      <c r="J2342" s="1953"/>
    </row>
    <row r="2343" spans="1:10" x14ac:dyDescent="0.25">
      <c r="A2343" s="585" t="str">
        <f>A2342</f>
        <v/>
      </c>
      <c r="B2343" s="254" t="str">
        <f>IF(LEN('Ch10'!H99)=0,"",'Ch10'!H99)</f>
        <v/>
      </c>
      <c r="C2343" s="254" t="str">
        <f t="shared" si="54"/>
        <v/>
      </c>
      <c r="D2343" s="139"/>
      <c r="E2343" s="139"/>
      <c r="F2343" s="139"/>
      <c r="G2343" s="1782"/>
      <c r="H2343" s="94"/>
      <c r="J2343" s="1204"/>
    </row>
    <row r="2344" spans="1:10" x14ac:dyDescent="0.25">
      <c r="B2344" s="254" t="str">
        <f>IF(LEN('Ch10'!H100)=0,"",'Ch10'!H100)</f>
        <v/>
      </c>
      <c r="C2344" s="254" t="str">
        <f t="shared" si="54"/>
        <v/>
      </c>
      <c r="D2344" s="139"/>
      <c r="E2344" s="139"/>
      <c r="F2344" s="139"/>
      <c r="G2344" s="1326" t="s">
        <v>3373</v>
      </c>
      <c r="H2344" s="94"/>
      <c r="J2344" s="1204"/>
    </row>
    <row r="2345" spans="1:10" x14ac:dyDescent="0.25">
      <c r="B2345" s="254" t="str">
        <f>IF(LEN('Ch10'!H101)=0,"",'Ch10'!H101)</f>
        <v/>
      </c>
      <c r="C2345" s="254" t="str">
        <f t="shared" si="54"/>
        <v/>
      </c>
      <c r="D2345" s="139"/>
      <c r="E2345" s="668" t="s">
        <v>256</v>
      </c>
      <c r="F2345" s="101"/>
      <c r="G2345" s="1754" t="s">
        <v>3336</v>
      </c>
      <c r="H2345" s="1313" t="str">
        <f>IF(LEN('Ch10'!W101)=0,"",'Ch10'!W101)</f>
        <v/>
      </c>
      <c r="J2345" s="1204"/>
    </row>
    <row r="2346" spans="1:10" x14ac:dyDescent="0.25">
      <c r="B2346" s="254" t="str">
        <f>IF(LEN('Ch10'!H102)=0,"",'Ch10'!H102)</f>
        <v/>
      </c>
      <c r="C2346" s="254" t="str">
        <f t="shared" si="54"/>
        <v/>
      </c>
      <c r="D2346" s="139"/>
      <c r="E2346" s="684"/>
      <c r="F2346" s="669"/>
      <c r="G2346" s="1755"/>
      <c r="H2346" s="94"/>
      <c r="J2346" s="1204"/>
    </row>
    <row r="2347" spans="1:10" x14ac:dyDescent="0.25">
      <c r="B2347" s="254" t="str">
        <f>IF(LEN('Ch10'!H103)=0,"",'Ch10'!H103)</f>
        <v/>
      </c>
      <c r="C2347" s="254" t="str">
        <f t="shared" si="54"/>
        <v/>
      </c>
      <c r="D2347" s="139"/>
      <c r="E2347" s="693" t="s">
        <v>258</v>
      </c>
      <c r="F2347" s="671"/>
      <c r="G2347" s="1778" t="s">
        <v>3337</v>
      </c>
      <c r="H2347" s="1313" t="str">
        <f>IF(LEN('Ch10'!W103)=0,"",'Ch10'!W103)</f>
        <v/>
      </c>
      <c r="J2347" s="1204"/>
    </row>
    <row r="2348" spans="1:10" x14ac:dyDescent="0.25">
      <c r="B2348" s="254" t="str">
        <f>IF(LEN('Ch10'!H104)=0,"",'Ch10'!H104)</f>
        <v/>
      </c>
      <c r="C2348" s="254" t="str">
        <f t="shared" si="54"/>
        <v/>
      </c>
      <c r="D2348" s="139"/>
      <c r="E2348" s="668"/>
      <c r="F2348" s="101"/>
      <c r="G2348" s="1754"/>
      <c r="H2348" s="94"/>
      <c r="J2348" s="1204"/>
    </row>
    <row r="2349" spans="1:10" x14ac:dyDescent="0.25">
      <c r="B2349" s="254" t="str">
        <f>IF(LEN('Ch10'!H105)=0,"",'Ch10'!H105)</f>
        <v/>
      </c>
      <c r="C2349" s="254" t="str">
        <f t="shared" si="54"/>
        <v/>
      </c>
      <c r="D2349" s="139"/>
      <c r="E2349" s="684"/>
      <c r="F2349" s="669"/>
      <c r="G2349" s="1755"/>
      <c r="H2349" s="94"/>
      <c r="J2349" s="1204"/>
    </row>
    <row r="2350" spans="1:10" x14ac:dyDescent="0.25">
      <c r="B2350" s="254" t="str">
        <f>IF(LEN('Ch10'!H106)=0,"",'Ch10'!H106)</f>
        <v/>
      </c>
      <c r="C2350" s="254" t="str">
        <f t="shared" si="54"/>
        <v/>
      </c>
      <c r="D2350" s="139"/>
      <c r="E2350" s="693" t="s">
        <v>260</v>
      </c>
      <c r="F2350" s="671"/>
      <c r="G2350" s="1778" t="s">
        <v>3306</v>
      </c>
      <c r="H2350" s="1313" t="str">
        <f>IF(LEN('Ch10'!W106)=0,"",'Ch10'!W106)</f>
        <v/>
      </c>
      <c r="J2350" s="1204"/>
    </row>
    <row r="2351" spans="1:10" x14ac:dyDescent="0.25">
      <c r="B2351" s="254" t="str">
        <f>IF(LEN('Ch10'!H107)=0,"",'Ch10'!H107)</f>
        <v/>
      </c>
      <c r="C2351" s="254" t="str">
        <f t="shared" si="54"/>
        <v/>
      </c>
      <c r="D2351" s="139"/>
      <c r="E2351" s="669"/>
      <c r="F2351" s="669"/>
      <c r="G2351" s="1755"/>
      <c r="H2351" s="94"/>
      <c r="J2351" s="1204"/>
    </row>
    <row r="2352" spans="1:10" x14ac:dyDescent="0.25">
      <c r="B2352" s="254" t="str">
        <f>IF(LEN('Ch10'!H108)=0,"",'Ch10'!H108)</f>
        <v/>
      </c>
      <c r="C2352" s="254" t="str">
        <f t="shared" si="54"/>
        <v/>
      </c>
      <c r="D2352" s="139"/>
      <c r="E2352" s="667" t="s">
        <v>269</v>
      </c>
      <c r="F2352" s="139"/>
      <c r="G2352" s="1754" t="s">
        <v>3338</v>
      </c>
      <c r="H2352" s="1313" t="str">
        <f>IF(LEN('Ch10'!W108)=0,"",'Ch10'!W108)</f>
        <v/>
      </c>
      <c r="J2352" s="1204"/>
    </row>
    <row r="2353" spans="1:10" x14ac:dyDescent="0.25">
      <c r="B2353" s="254" t="str">
        <f>IF(LEN('Ch10'!H109)=0,"",'Ch10'!H109)</f>
        <v/>
      </c>
      <c r="C2353" s="254" t="str">
        <f t="shared" si="54"/>
        <v/>
      </c>
      <c r="D2353" s="139"/>
      <c r="E2353" s="139"/>
      <c r="F2353" s="139"/>
      <c r="G2353" s="1754"/>
      <c r="H2353" s="94"/>
      <c r="J2353" s="1204"/>
    </row>
    <row r="2354" spans="1:10" x14ac:dyDescent="0.25">
      <c r="B2354" s="254" t="str">
        <f>IF(LEN('Ch10'!H110)=0,"",'Ch10'!H110)</f>
        <v/>
      </c>
      <c r="C2354" s="254" t="str">
        <f t="shared" si="54"/>
        <v/>
      </c>
      <c r="D2354" s="139"/>
      <c r="E2354" s="139"/>
      <c r="F2354" s="139"/>
      <c r="G2354" s="1754"/>
      <c r="H2354" s="94"/>
      <c r="J2354" s="1204"/>
    </row>
    <row r="2355" spans="1:10" x14ac:dyDescent="0.25">
      <c r="B2355" s="254" t="str">
        <f>IF(LEN('Ch10'!H111)=0,"",'Ch10'!H111)</f>
        <v/>
      </c>
      <c r="C2355" s="254" t="str">
        <f t="shared" si="54"/>
        <v/>
      </c>
      <c r="D2355" s="139"/>
      <c r="E2355" s="693" t="s">
        <v>275</v>
      </c>
      <c r="F2355" s="671"/>
      <c r="G2355" s="1778" t="s">
        <v>3339</v>
      </c>
      <c r="H2355" s="1313" t="str">
        <f>IF(LEN('Ch10'!W111)=0,"",'Ch10'!W111)</f>
        <v/>
      </c>
      <c r="J2355" s="1204"/>
    </row>
    <row r="2356" spans="1:10" x14ac:dyDescent="0.25">
      <c r="B2356" s="254" t="str">
        <f>IF(LEN('Ch10'!H112)=0,"",'Ch10'!H112)</f>
        <v/>
      </c>
      <c r="C2356" s="254" t="str">
        <f t="shared" si="54"/>
        <v/>
      </c>
      <c r="D2356" s="139"/>
      <c r="E2356" s="684"/>
      <c r="F2356" s="669"/>
      <c r="G2356" s="1755"/>
      <c r="H2356" s="94"/>
      <c r="J2356" s="1204"/>
    </row>
    <row r="2357" spans="1:10" x14ac:dyDescent="0.25">
      <c r="B2357" s="254" t="str">
        <f>IF(LEN('Ch10'!H113)=0,"",'Ch10'!H113)</f>
        <v/>
      </c>
      <c r="C2357" s="254" t="str">
        <f t="shared" si="54"/>
        <v/>
      </c>
      <c r="D2357" s="139"/>
      <c r="E2357" s="667" t="s">
        <v>277</v>
      </c>
      <c r="F2357" s="139"/>
      <c r="G2357" s="1225" t="s">
        <v>3289</v>
      </c>
      <c r="H2357" s="1313" t="str">
        <f>IF(LEN('Ch10'!W113)=0,"",'Ch10'!W113)</f>
        <v/>
      </c>
      <c r="J2357" s="1204"/>
    </row>
    <row r="2358" spans="1:10" x14ac:dyDescent="0.25">
      <c r="B2358" s="254" t="str">
        <f>IF(LEN('Ch10'!H114)=0,"",'Ch10'!H114)</f>
        <v/>
      </c>
      <c r="C2358" s="254" t="str">
        <f t="shared" si="54"/>
        <v/>
      </c>
      <c r="D2358" s="139"/>
      <c r="E2358" s="693" t="s">
        <v>383</v>
      </c>
      <c r="F2358" s="671"/>
      <c r="G2358" s="1778" t="s">
        <v>3340</v>
      </c>
      <c r="H2358" s="1313" t="str">
        <f>IF(LEN('Ch10'!W114)=0,"",'Ch10'!W114)</f>
        <v/>
      </c>
      <c r="J2358" s="1204"/>
    </row>
    <row r="2359" spans="1:10" x14ac:dyDescent="0.25">
      <c r="B2359" s="254" t="str">
        <f>IF(LEN('Ch10'!H115)=0,"",'Ch10'!H115)</f>
        <v/>
      </c>
      <c r="C2359" s="254" t="str">
        <f t="shared" si="54"/>
        <v/>
      </c>
      <c r="D2359" s="139"/>
      <c r="E2359" s="669"/>
      <c r="F2359" s="669"/>
      <c r="G2359" s="1755"/>
      <c r="H2359" s="94"/>
      <c r="J2359" s="1204"/>
    </row>
    <row r="2360" spans="1:10" x14ac:dyDescent="0.25">
      <c r="B2360" s="254" t="str">
        <f>IF(LEN('Ch10'!H116)=0,"",'Ch10'!H116)</f>
        <v/>
      </c>
      <c r="C2360" s="254" t="str">
        <f t="shared" si="54"/>
        <v/>
      </c>
      <c r="D2360" s="139"/>
      <c r="E2360" s="667" t="s">
        <v>428</v>
      </c>
      <c r="F2360" s="139"/>
      <c r="G2360" s="1793" t="s">
        <v>3304</v>
      </c>
      <c r="H2360" s="1313" t="str">
        <f>IF(LEN('Ch10'!W116)=0,"",'Ch10'!W116)</f>
        <v/>
      </c>
      <c r="J2360" s="1204"/>
    </row>
    <row r="2361" spans="1:10" x14ac:dyDescent="0.25">
      <c r="B2361" s="254" t="str">
        <f>IF(LEN('Ch10'!H117)=0,"",'Ch10'!H117)</f>
        <v/>
      </c>
      <c r="C2361" s="254" t="str">
        <f t="shared" si="54"/>
        <v/>
      </c>
      <c r="D2361" s="139"/>
      <c r="E2361" s="667"/>
      <c r="F2361" s="139"/>
      <c r="G2361" s="1793"/>
      <c r="H2361" s="94"/>
      <c r="J2361" s="1204"/>
    </row>
    <row r="2362" spans="1:10" x14ac:dyDescent="0.25">
      <c r="B2362" s="254" t="str">
        <f>IF(LEN('Ch10'!H118)=0,"",'Ch10'!H118)</f>
        <v/>
      </c>
      <c r="C2362" s="254" t="str">
        <f t="shared" si="54"/>
        <v/>
      </c>
      <c r="D2362" s="139"/>
      <c r="E2362" s="693" t="s">
        <v>430</v>
      </c>
      <c r="F2362" s="671"/>
      <c r="G2362" s="1214" t="s">
        <v>3341</v>
      </c>
      <c r="H2362" s="1313" t="str">
        <f>IF(LEN('Ch10'!W118)=0,"",'Ch10'!W118)</f>
        <v/>
      </c>
      <c r="J2362" s="1204"/>
    </row>
    <row r="2363" spans="1:10" x14ac:dyDescent="0.25">
      <c r="B2363" s="254" t="str">
        <f>IF(LEN('Ch10'!H119)=0,"",'Ch10'!H119)</f>
        <v/>
      </c>
      <c r="C2363" s="254" t="str">
        <f t="shared" si="54"/>
        <v/>
      </c>
      <c r="D2363" s="139"/>
      <c r="E2363" s="693" t="s">
        <v>432</v>
      </c>
      <c r="F2363" s="671"/>
      <c r="G2363" s="1778" t="s">
        <v>3342</v>
      </c>
      <c r="H2363" s="1313" t="str">
        <f>IF(LEN('Ch10'!W119)=0,"",'Ch10'!W119)</f>
        <v/>
      </c>
      <c r="J2363" s="1204"/>
    </row>
    <row r="2364" spans="1:10" x14ac:dyDescent="0.25">
      <c r="B2364" s="254" t="str">
        <f>IF(LEN('Ch10'!H120)=0,"",'Ch10'!H120)</f>
        <v/>
      </c>
      <c r="C2364" s="254" t="str">
        <f t="shared" si="54"/>
        <v/>
      </c>
      <c r="D2364" s="139"/>
      <c r="E2364" s="668"/>
      <c r="F2364" s="101"/>
      <c r="G2364" s="1754"/>
      <c r="H2364" s="94"/>
      <c r="J2364" s="1204"/>
    </row>
    <row r="2365" spans="1:10" x14ac:dyDescent="0.25">
      <c r="B2365" s="254" t="str">
        <f>IF(LEN('Ch10'!H121)=0,"",'Ch10'!H121)</f>
        <v/>
      </c>
      <c r="C2365" s="254" t="str">
        <f t="shared" si="54"/>
        <v/>
      </c>
      <c r="D2365" s="139"/>
      <c r="E2365" s="684"/>
      <c r="F2365" s="669"/>
      <c r="G2365" s="1755"/>
      <c r="H2365" s="94"/>
      <c r="J2365" s="1204"/>
    </row>
    <row r="2366" spans="1:10" x14ac:dyDescent="0.25">
      <c r="B2366" s="254" t="str">
        <f>IF(LEN('Ch10'!H122)=0,"",'Ch10'!H122)</f>
        <v/>
      </c>
      <c r="C2366" s="254" t="str">
        <f t="shared" si="54"/>
        <v/>
      </c>
      <c r="D2366" s="101"/>
      <c r="E2366" s="668" t="s">
        <v>434</v>
      </c>
      <c r="F2366" s="101"/>
      <c r="G2366" s="1793" t="s">
        <v>3343</v>
      </c>
      <c r="H2366" s="1313" t="str">
        <f>IF(LEN('Ch10'!W122)=0,"",'Ch10'!W122)</f>
        <v/>
      </c>
      <c r="J2366" s="1204"/>
    </row>
    <row r="2367" spans="1:10" ht="15.75" thickBot="1" x14ac:dyDescent="0.3">
      <c r="B2367" s="254" t="str">
        <f>IF(LEN('Ch10'!H123)=0,"",'Ch10'!H123)</f>
        <v/>
      </c>
      <c r="C2367" s="254" t="str">
        <f t="shared" si="54"/>
        <v/>
      </c>
      <c r="D2367" s="670"/>
      <c r="E2367" s="673"/>
      <c r="F2367" s="670"/>
      <c r="G2367" s="1842"/>
      <c r="H2367" s="94"/>
      <c r="J2367" s="1204"/>
    </row>
    <row r="2368" spans="1:10" ht="15.75" thickTop="1" x14ac:dyDescent="0.25">
      <c r="A2368" s="585" t="str">
        <f>IF(I2368&gt;0,"P","")</f>
        <v/>
      </c>
      <c r="B2368" s="254" t="str">
        <f>IF(LEN('Ch10'!H124)=0,"",'Ch10'!H124)</f>
        <v/>
      </c>
      <c r="C2368" s="254" t="str">
        <f t="shared" si="54"/>
        <v/>
      </c>
      <c r="D2368" s="139">
        <v>1002.3</v>
      </c>
      <c r="E2368" s="139"/>
      <c r="F2368" s="139"/>
      <c r="G2368" s="1782" t="s">
        <v>3377</v>
      </c>
      <c r="H2368" s="94"/>
      <c r="I2368" s="86">
        <f>'Ch10'!O124</f>
        <v>0</v>
      </c>
      <c r="J2368" s="1950" t="s">
        <v>5049</v>
      </c>
    </row>
    <row r="2369" spans="1:10" x14ac:dyDescent="0.25">
      <c r="A2369" s="585" t="str">
        <f>A2368</f>
        <v/>
      </c>
      <c r="B2369" s="254" t="str">
        <f>IF(LEN('Ch10'!H125)=0,"",'Ch10'!H125)</f>
        <v/>
      </c>
      <c r="C2369" s="254" t="str">
        <f t="shared" si="54"/>
        <v/>
      </c>
      <c r="D2369" s="139"/>
      <c r="E2369" s="139"/>
      <c r="F2369" s="139"/>
      <c r="G2369" s="1782"/>
      <c r="H2369" s="94"/>
      <c r="J2369" s="1953"/>
    </row>
    <row r="2370" spans="1:10" x14ac:dyDescent="0.25">
      <c r="A2370" s="585" t="str">
        <f>A2369</f>
        <v/>
      </c>
      <c r="B2370" s="254" t="str">
        <f>IF(LEN('Ch10'!H126)=0,"",'Ch10'!H126)</f>
        <v/>
      </c>
      <c r="C2370" s="254" t="str">
        <f t="shared" si="54"/>
        <v/>
      </c>
      <c r="D2370" s="139"/>
      <c r="E2370" s="139"/>
      <c r="F2370" s="139"/>
      <c r="G2370" s="1782"/>
      <c r="H2370" s="94"/>
      <c r="J2370" s="1204"/>
    </row>
    <row r="2371" spans="1:10" x14ac:dyDescent="0.25">
      <c r="B2371" s="254" t="str">
        <f>IF(LEN('Ch10'!H127)=0,"",'Ch10'!H127)</f>
        <v/>
      </c>
      <c r="C2371" s="254" t="str">
        <f t="shared" si="54"/>
        <v/>
      </c>
      <c r="D2371" s="139"/>
      <c r="E2371" s="139"/>
      <c r="F2371" s="139"/>
      <c r="G2371" s="1326" t="s">
        <v>3373</v>
      </c>
      <c r="H2371" s="94"/>
      <c r="J2371" s="1204"/>
    </row>
    <row r="2372" spans="1:10" x14ac:dyDescent="0.25">
      <c r="B2372" s="254" t="str">
        <f>IF(LEN('Ch10'!H128)=0,"",'Ch10'!H128)</f>
        <v/>
      </c>
      <c r="C2372" s="254" t="str">
        <f t="shared" si="54"/>
        <v/>
      </c>
      <c r="D2372" s="139"/>
      <c r="E2372" s="668" t="s">
        <v>256</v>
      </c>
      <c r="F2372" s="101"/>
      <c r="G2372" s="1754" t="s">
        <v>3344</v>
      </c>
      <c r="H2372" s="1313" t="str">
        <f>IF(LEN('Ch10'!W128)=0,"",'Ch10'!W128)</f>
        <v/>
      </c>
      <c r="J2372" s="1204"/>
    </row>
    <row r="2373" spans="1:10" x14ac:dyDescent="0.25">
      <c r="B2373" s="254" t="str">
        <f>IF(LEN('Ch10'!H129)=0,"",'Ch10'!H129)</f>
        <v/>
      </c>
      <c r="C2373" s="254" t="str">
        <f t="shared" si="54"/>
        <v/>
      </c>
      <c r="D2373" s="139"/>
      <c r="E2373" s="684"/>
      <c r="F2373" s="669"/>
      <c r="G2373" s="1755"/>
      <c r="H2373" s="94"/>
      <c r="J2373" s="1204"/>
    </row>
    <row r="2374" spans="1:10" x14ac:dyDescent="0.25">
      <c r="B2374" s="254" t="str">
        <f>IF(LEN('Ch10'!H130)=0,"",'Ch10'!H130)</f>
        <v/>
      </c>
      <c r="C2374" s="254" t="str">
        <f t="shared" si="54"/>
        <v/>
      </c>
      <c r="D2374" s="139"/>
      <c r="E2374" s="693" t="s">
        <v>258</v>
      </c>
      <c r="F2374" s="671"/>
      <c r="G2374" s="1778" t="s">
        <v>3296</v>
      </c>
      <c r="H2374" s="1313" t="str">
        <f>IF(LEN('Ch10'!W130)=0,"",'Ch10'!W130)</f>
        <v/>
      </c>
      <c r="J2374" s="1204"/>
    </row>
    <row r="2375" spans="1:10" x14ac:dyDescent="0.25">
      <c r="B2375" s="254" t="str">
        <f>IF(LEN('Ch10'!H131)=0,"",'Ch10'!H131)</f>
        <v/>
      </c>
      <c r="C2375" s="254" t="str">
        <f t="shared" si="54"/>
        <v/>
      </c>
      <c r="D2375" s="139"/>
      <c r="E2375" s="101"/>
      <c r="F2375" s="101"/>
      <c r="G2375" s="1754"/>
      <c r="H2375" s="94"/>
      <c r="J2375" s="1204"/>
    </row>
    <row r="2376" spans="1:10" x14ac:dyDescent="0.25">
      <c r="B2376" s="254" t="str">
        <f>IF(LEN('Ch10'!H132)=0,"",'Ch10'!H132)</f>
        <v/>
      </c>
      <c r="C2376" s="254" t="str">
        <f t="shared" si="54"/>
        <v/>
      </c>
      <c r="D2376" s="139"/>
      <c r="E2376" s="101"/>
      <c r="F2376" s="101"/>
      <c r="G2376" s="1754"/>
      <c r="H2376" s="94"/>
      <c r="J2376" s="1204"/>
    </row>
    <row r="2377" spans="1:10" x14ac:dyDescent="0.25">
      <c r="B2377" s="254" t="str">
        <f>IF(LEN('Ch10'!H133)=0,"",'Ch10'!H133)</f>
        <v/>
      </c>
      <c r="C2377" s="254" t="str">
        <f t="shared" si="54"/>
        <v/>
      </c>
      <c r="D2377" s="139"/>
      <c r="E2377" s="669"/>
      <c r="F2377" s="669"/>
      <c r="G2377" s="1755"/>
      <c r="H2377" s="94"/>
      <c r="J2377" s="1204"/>
    </row>
    <row r="2378" spans="1:10" x14ac:dyDescent="0.25">
      <c r="B2378" s="254" t="str">
        <f>IF(LEN('Ch10'!H134)=0,"",'Ch10'!H134)</f>
        <v/>
      </c>
      <c r="C2378" s="254" t="str">
        <f t="shared" si="54"/>
        <v/>
      </c>
      <c r="D2378" s="139"/>
      <c r="E2378" s="693" t="s">
        <v>260</v>
      </c>
      <c r="F2378" s="671"/>
      <c r="G2378" s="1248" t="s">
        <v>3345</v>
      </c>
      <c r="H2378" s="1313" t="str">
        <f>IF(LEN('Ch10'!W134)=0,"",'Ch10'!W134)</f>
        <v/>
      </c>
      <c r="J2378" s="1204"/>
    </row>
    <row r="2379" spans="1:10" x14ac:dyDescent="0.25">
      <c r="B2379" s="254" t="str">
        <f>IF(LEN('Ch10'!H135)=0,"",'Ch10'!H135)</f>
        <v/>
      </c>
      <c r="C2379" s="254" t="str">
        <f t="shared" si="54"/>
        <v/>
      </c>
      <c r="D2379" s="139"/>
      <c r="E2379" s="101"/>
      <c r="F2379" s="668" t="s">
        <v>121</v>
      </c>
      <c r="G2379" s="1250" t="s">
        <v>3346</v>
      </c>
      <c r="H2379" s="94"/>
      <c r="J2379" s="1204"/>
    </row>
    <row r="2380" spans="1:10" x14ac:dyDescent="0.25">
      <c r="B2380" s="254" t="str">
        <f>IF(LEN('Ch10'!H136)=0,"",'Ch10'!H136)</f>
        <v/>
      </c>
      <c r="C2380" s="254" t="str">
        <f t="shared" si="54"/>
        <v/>
      </c>
      <c r="D2380" s="139"/>
      <c r="E2380" s="101"/>
      <c r="F2380" s="668" t="s">
        <v>122</v>
      </c>
      <c r="G2380" s="1250" t="s">
        <v>3347</v>
      </c>
      <c r="H2380" s="94"/>
      <c r="J2380" s="1204"/>
    </row>
    <row r="2381" spans="1:10" x14ac:dyDescent="0.25">
      <c r="B2381" s="254" t="str">
        <f>IF(LEN('Ch10'!H137)=0,"",'Ch10'!H137)</f>
        <v/>
      </c>
      <c r="C2381" s="254" t="str">
        <f t="shared" si="54"/>
        <v/>
      </c>
      <c r="D2381" s="139"/>
      <c r="E2381" s="101"/>
      <c r="F2381" s="668" t="s">
        <v>123</v>
      </c>
      <c r="G2381" s="1250" t="s">
        <v>3348</v>
      </c>
      <c r="H2381" s="94"/>
      <c r="J2381" s="1204"/>
    </row>
    <row r="2382" spans="1:10" x14ac:dyDescent="0.25">
      <c r="B2382" s="254" t="str">
        <f>IF(LEN('Ch10'!H138)=0,"",'Ch10'!H138)</f>
        <v/>
      </c>
      <c r="C2382" s="254" t="str">
        <f t="shared" si="54"/>
        <v/>
      </c>
      <c r="D2382" s="139"/>
      <c r="E2382" s="101"/>
      <c r="F2382" s="668" t="s">
        <v>401</v>
      </c>
      <c r="G2382" s="1250" t="s">
        <v>3349</v>
      </c>
      <c r="H2382" s="94"/>
      <c r="J2382" s="1204"/>
    </row>
    <row r="2383" spans="1:10" x14ac:dyDescent="0.25">
      <c r="B2383" s="254" t="str">
        <f>IF(LEN('Ch10'!H139)=0,"",'Ch10'!H139)</f>
        <v/>
      </c>
      <c r="C2383" s="254" t="str">
        <f t="shared" si="54"/>
        <v/>
      </c>
      <c r="D2383" s="139"/>
      <c r="E2383" s="101"/>
      <c r="F2383" s="668" t="s">
        <v>539</v>
      </c>
      <c r="G2383" s="1250" t="s">
        <v>3350</v>
      </c>
      <c r="H2383" s="94"/>
      <c r="J2383" s="1204"/>
    </row>
    <row r="2384" spans="1:10" x14ac:dyDescent="0.25">
      <c r="B2384" s="254" t="str">
        <f>IF(LEN('Ch10'!H140)=0,"",'Ch10'!H140)</f>
        <v/>
      </c>
      <c r="C2384" s="254" t="str">
        <f t="shared" si="54"/>
        <v/>
      </c>
      <c r="D2384" s="139"/>
      <c r="E2384" s="669"/>
      <c r="F2384" s="684" t="s">
        <v>604</v>
      </c>
      <c r="G2384" s="1249" t="s">
        <v>3351</v>
      </c>
      <c r="H2384" s="94"/>
      <c r="J2384" s="1204"/>
    </row>
    <row r="2385" spans="1:10" x14ac:dyDescent="0.25">
      <c r="B2385" s="254" t="str">
        <f>IF(LEN('Ch10'!H141)=0,"",'Ch10'!H141)</f>
        <v/>
      </c>
      <c r="C2385" s="254" t="str">
        <f t="shared" si="54"/>
        <v/>
      </c>
      <c r="D2385" s="139"/>
      <c r="E2385" s="667" t="s">
        <v>269</v>
      </c>
      <c r="F2385" s="139"/>
      <c r="G2385" s="1754" t="s">
        <v>3300</v>
      </c>
      <c r="H2385" s="1313" t="str">
        <f>IF(LEN('Ch10'!W141)=0,"",'Ch10'!W141)</f>
        <v/>
      </c>
      <c r="J2385" s="1204"/>
    </row>
    <row r="2386" spans="1:10" x14ac:dyDescent="0.25">
      <c r="B2386" s="254" t="str">
        <f>IF(LEN('Ch10'!H142)=0,"",'Ch10'!H142)</f>
        <v/>
      </c>
      <c r="C2386" s="254" t="str">
        <f t="shared" si="54"/>
        <v/>
      </c>
      <c r="D2386" s="139"/>
      <c r="E2386" s="139"/>
      <c r="F2386" s="139"/>
      <c r="G2386" s="1754"/>
      <c r="H2386" s="94"/>
      <c r="J2386" s="1204"/>
    </row>
    <row r="2387" spans="1:10" x14ac:dyDescent="0.25">
      <c r="B2387" s="254" t="str">
        <f>IF(LEN('Ch10'!H143)=0,"",'Ch10'!H143)</f>
        <v/>
      </c>
      <c r="C2387" s="254" t="str">
        <f t="shared" ref="C2387:C2450" si="55">IF(LEN(B2387)=0,IF(A2387="P","P",""),B2387)</f>
        <v/>
      </c>
      <c r="D2387" s="139"/>
      <c r="E2387" s="691" t="s">
        <v>275</v>
      </c>
      <c r="F2387" s="683"/>
      <c r="G2387" s="244" t="s">
        <v>3302</v>
      </c>
      <c r="H2387" s="1313" t="str">
        <f>IF(LEN('Ch10'!W143)=0,"",'Ch10'!W143)</f>
        <v/>
      </c>
      <c r="J2387" s="1204"/>
    </row>
    <row r="2388" spans="1:10" x14ac:dyDescent="0.25">
      <c r="B2388" s="254" t="str">
        <f>IF(LEN('Ch10'!H144)=0,"",'Ch10'!H144)</f>
        <v/>
      </c>
      <c r="C2388" s="254" t="str">
        <f t="shared" si="55"/>
        <v/>
      </c>
      <c r="D2388" s="139"/>
      <c r="E2388" s="667" t="s">
        <v>277</v>
      </c>
      <c r="F2388" s="139"/>
      <c r="G2388" s="1754" t="s">
        <v>3352</v>
      </c>
      <c r="H2388" s="1313" t="str">
        <f>IF(LEN('Ch10'!W144)=0,"",'Ch10'!W144)</f>
        <v/>
      </c>
      <c r="J2388" s="1204"/>
    </row>
    <row r="2389" spans="1:10" x14ac:dyDescent="0.25">
      <c r="B2389" s="254" t="str">
        <f>IF(LEN('Ch10'!H145)=0,"",'Ch10'!H145)</f>
        <v/>
      </c>
      <c r="C2389" s="254" t="str">
        <f t="shared" si="55"/>
        <v/>
      </c>
      <c r="D2389" s="139"/>
      <c r="E2389" s="667"/>
      <c r="F2389" s="139"/>
      <c r="G2389" s="1754"/>
      <c r="H2389" s="94"/>
      <c r="J2389" s="1204"/>
    </row>
    <row r="2390" spans="1:10" x14ac:dyDescent="0.25">
      <c r="B2390" s="254" t="str">
        <f>IF(LEN('Ch10'!H146)=0,"",'Ch10'!H146)</f>
        <v/>
      </c>
      <c r="C2390" s="254" t="str">
        <f t="shared" si="55"/>
        <v/>
      </c>
      <c r="D2390" s="139"/>
      <c r="E2390" s="691" t="s">
        <v>383</v>
      </c>
      <c r="F2390" s="683"/>
      <c r="G2390" s="244" t="s">
        <v>3308</v>
      </c>
      <c r="H2390" s="1313" t="str">
        <f>IF(LEN('Ch10'!W146)=0,"",'Ch10'!W146)</f>
        <v/>
      </c>
      <c r="J2390" s="1204"/>
    </row>
    <row r="2391" spans="1:10" x14ac:dyDescent="0.25">
      <c r="B2391" s="254" t="str">
        <f>IF(LEN('Ch10'!H147)=0,"",'Ch10'!H147)</f>
        <v/>
      </c>
      <c r="C2391" s="254" t="str">
        <f t="shared" si="55"/>
        <v/>
      </c>
      <c r="D2391" s="139"/>
      <c r="E2391" s="667" t="s">
        <v>428</v>
      </c>
      <c r="F2391" s="139"/>
      <c r="G2391" s="1250" t="s">
        <v>3353</v>
      </c>
      <c r="H2391" s="1313" t="str">
        <f>IF(LEN('Ch10'!W147)=0,"",'Ch10'!W147)</f>
        <v/>
      </c>
      <c r="J2391" s="1204"/>
    </row>
    <row r="2392" spans="1:10" x14ac:dyDescent="0.25">
      <c r="B2392" s="254" t="str">
        <f>IF(LEN('Ch10'!H148)=0,"",'Ch10'!H148)</f>
        <v/>
      </c>
      <c r="C2392" s="254" t="str">
        <f t="shared" si="55"/>
        <v/>
      </c>
      <c r="D2392" s="139"/>
      <c r="E2392" s="691" t="s">
        <v>430</v>
      </c>
      <c r="F2392" s="683"/>
      <c r="G2392" s="244" t="s">
        <v>3354</v>
      </c>
      <c r="H2392" s="1313" t="str">
        <f>IF(LEN('Ch10'!W148)=0,"",'Ch10'!W148)</f>
        <v/>
      </c>
      <c r="J2392" s="1204"/>
    </row>
    <row r="2393" spans="1:10" x14ac:dyDescent="0.25">
      <c r="B2393" s="254" t="str">
        <f>IF(LEN('Ch10'!H149)=0,"",'Ch10'!H149)</f>
        <v/>
      </c>
      <c r="C2393" s="254" t="str">
        <f t="shared" si="55"/>
        <v/>
      </c>
      <c r="D2393" s="101"/>
      <c r="E2393" s="691" t="s">
        <v>432</v>
      </c>
      <c r="F2393" s="683"/>
      <c r="G2393" s="244" t="s">
        <v>3355</v>
      </c>
      <c r="H2393" s="1313" t="str">
        <f>IF(LEN('Ch10'!W149)=0,"",'Ch10'!W149)</f>
        <v/>
      </c>
      <c r="J2393" s="1204"/>
    </row>
    <row r="2394" spans="1:10" x14ac:dyDescent="0.25">
      <c r="B2394" s="254" t="str">
        <f>IF(LEN('Ch10'!H150)=0,"",'Ch10'!H150)</f>
        <v/>
      </c>
      <c r="C2394" s="254" t="str">
        <f t="shared" si="55"/>
        <v/>
      </c>
      <c r="E2394" s="668" t="s">
        <v>434</v>
      </c>
      <c r="F2394" s="668"/>
      <c r="G2394" s="1793" t="s">
        <v>4551</v>
      </c>
      <c r="H2394" s="1313" t="str">
        <f>IF(LEN('Ch10'!W150)=0,"",'Ch10'!W150)</f>
        <v/>
      </c>
      <c r="J2394" s="1204"/>
    </row>
    <row r="2395" spans="1:10" ht="15.75" thickBot="1" x14ac:dyDescent="0.3">
      <c r="B2395" s="254" t="str">
        <f>IF(LEN('Ch10'!H151)=0,"",'Ch10'!H151)</f>
        <v/>
      </c>
      <c r="C2395" s="254" t="str">
        <f t="shared" si="55"/>
        <v/>
      </c>
      <c r="D2395" s="1386"/>
      <c r="E2395" s="673"/>
      <c r="F2395" s="673"/>
      <c r="G2395" s="1842"/>
      <c r="H2395" s="94"/>
      <c r="J2395" s="1204"/>
    </row>
    <row r="2396" spans="1:10" ht="15.75" thickTop="1" x14ac:dyDescent="0.25">
      <c r="A2396" s="585" t="str">
        <f>IF(I2396&gt;0,"P","")</f>
        <v/>
      </c>
      <c r="B2396" s="254" t="str">
        <f>IF(LEN('Ch10'!H152)=0,"",'Ch10'!H152)</f>
        <v/>
      </c>
      <c r="C2396" s="254" t="str">
        <f t="shared" si="55"/>
        <v/>
      </c>
      <c r="D2396" s="139">
        <v>1002.4</v>
      </c>
      <c r="E2396" s="139"/>
      <c r="F2396" s="139"/>
      <c r="G2396" s="1782" t="s">
        <v>3356</v>
      </c>
      <c r="H2396" s="1313" t="str">
        <f>IF(LEN('Ch10'!W152)=0,"",'Ch10'!W152)</f>
        <v/>
      </c>
      <c r="I2396" s="86">
        <f>'Ch10'!O152</f>
        <v>0</v>
      </c>
      <c r="J2396" s="1950" t="s">
        <v>3948</v>
      </c>
    </row>
    <row r="2397" spans="1:10" x14ac:dyDescent="0.25">
      <c r="A2397" s="585" t="str">
        <f>A2396</f>
        <v/>
      </c>
      <c r="B2397" s="254" t="str">
        <f>IF(LEN('Ch10'!H153)=0,"",'Ch10'!H153)</f>
        <v/>
      </c>
      <c r="C2397" s="254" t="str">
        <f t="shared" si="55"/>
        <v/>
      </c>
      <c r="D2397" s="139"/>
      <c r="E2397" s="139"/>
      <c r="F2397" s="139"/>
      <c r="G2397" s="1782"/>
      <c r="H2397" s="94"/>
      <c r="J2397" s="1952"/>
    </row>
    <row r="2398" spans="1:10" x14ac:dyDescent="0.25">
      <c r="A2398" s="585" t="str">
        <f>A2397</f>
        <v/>
      </c>
      <c r="B2398" s="254" t="str">
        <f>IF(LEN('Ch10'!H154)=0,"",'Ch10'!H154)</f>
        <v/>
      </c>
      <c r="C2398" s="254" t="str">
        <f t="shared" si="55"/>
        <v/>
      </c>
      <c r="D2398" s="139"/>
      <c r="E2398" s="139"/>
      <c r="F2398" s="139"/>
      <c r="G2398" s="1782"/>
      <c r="H2398" s="94"/>
      <c r="J2398" s="1953"/>
    </row>
    <row r="2399" spans="1:10" x14ac:dyDescent="0.25">
      <c r="A2399" s="585" t="str">
        <f>A2398</f>
        <v/>
      </c>
      <c r="B2399" s="254" t="str">
        <f>IF(LEN('Ch10'!H155)=0,"",'Ch10'!H155)</f>
        <v/>
      </c>
      <c r="C2399" s="254" t="str">
        <f t="shared" si="55"/>
        <v/>
      </c>
      <c r="D2399" s="139"/>
      <c r="E2399" s="139"/>
      <c r="F2399" s="139"/>
      <c r="G2399" s="1782"/>
      <c r="H2399" s="94"/>
      <c r="J2399" s="1204"/>
    </row>
    <row r="2400" spans="1:10" x14ac:dyDescent="0.25">
      <c r="A2400" s="585" t="str">
        <f>A2399</f>
        <v/>
      </c>
      <c r="B2400" s="254" t="str">
        <f>IF(LEN('Ch10'!H156)=0,"",'Ch10'!H156)</f>
        <v/>
      </c>
      <c r="C2400" s="254" t="str">
        <f t="shared" si="55"/>
        <v/>
      </c>
      <c r="D2400" s="139"/>
      <c r="E2400" s="139"/>
      <c r="F2400" s="139"/>
      <c r="G2400" s="1782"/>
      <c r="H2400" s="94"/>
      <c r="J2400" s="1204"/>
    </row>
    <row r="2401" spans="1:10" x14ac:dyDescent="0.25">
      <c r="B2401" s="254" t="str">
        <f>IF(LEN('Ch10'!H157)=0,"",'Ch10'!H157)</f>
        <v/>
      </c>
      <c r="C2401" s="254" t="str">
        <f t="shared" si="55"/>
        <v/>
      </c>
      <c r="D2401" s="139"/>
      <c r="E2401" s="667" t="s">
        <v>256</v>
      </c>
      <c r="F2401" s="139"/>
      <c r="G2401" s="1250" t="s">
        <v>3346</v>
      </c>
      <c r="H2401" s="94"/>
      <c r="J2401" s="1204"/>
    </row>
    <row r="2402" spans="1:10" x14ac:dyDescent="0.25">
      <c r="B2402" s="254" t="str">
        <f>IF(LEN('Ch10'!H158)=0,"",'Ch10'!H158)</f>
        <v/>
      </c>
      <c r="C2402" s="254" t="str">
        <f t="shared" si="55"/>
        <v/>
      </c>
      <c r="D2402" s="139"/>
      <c r="E2402" s="667" t="s">
        <v>258</v>
      </c>
      <c r="F2402" s="139"/>
      <c r="G2402" s="1250" t="s">
        <v>3347</v>
      </c>
      <c r="H2402" s="94"/>
      <c r="J2402" s="1204"/>
    </row>
    <row r="2403" spans="1:10" x14ac:dyDescent="0.25">
      <c r="B2403" s="254" t="str">
        <f>IF(LEN('Ch10'!H159)=0,"",'Ch10'!H159)</f>
        <v/>
      </c>
      <c r="C2403" s="254" t="str">
        <f t="shared" si="55"/>
        <v/>
      </c>
      <c r="D2403" s="139"/>
      <c r="E2403" s="667" t="s">
        <v>260</v>
      </c>
      <c r="F2403" s="139"/>
      <c r="G2403" s="1250" t="s">
        <v>3348</v>
      </c>
      <c r="H2403" s="94"/>
      <c r="J2403" s="1204"/>
    </row>
    <row r="2404" spans="1:10" x14ac:dyDescent="0.25">
      <c r="B2404" s="254" t="str">
        <f>IF(LEN('Ch10'!H160)=0,"",'Ch10'!H160)</f>
        <v/>
      </c>
      <c r="C2404" s="254" t="str">
        <f t="shared" si="55"/>
        <v/>
      </c>
      <c r="D2404" s="139"/>
      <c r="E2404" s="667" t="s">
        <v>269</v>
      </c>
      <c r="F2404" s="139"/>
      <c r="G2404" s="1250" t="s">
        <v>3357</v>
      </c>
      <c r="H2404" s="94"/>
      <c r="J2404" s="1204"/>
    </row>
    <row r="2405" spans="1:10" x14ac:dyDescent="0.25">
      <c r="B2405" s="254" t="str">
        <f>IF(LEN('Ch10'!H161)=0,"",'Ch10'!H161)</f>
        <v/>
      </c>
      <c r="C2405" s="254" t="str">
        <f t="shared" si="55"/>
        <v/>
      </c>
      <c r="D2405" s="139"/>
      <c r="E2405" s="667" t="s">
        <v>275</v>
      </c>
      <c r="F2405" s="139"/>
      <c r="G2405" s="1250" t="s">
        <v>3358</v>
      </c>
      <c r="H2405" s="94"/>
      <c r="J2405" s="1204"/>
    </row>
    <row r="2406" spans="1:10" x14ac:dyDescent="0.25">
      <c r="B2406" s="254" t="str">
        <f>IF(LEN('Ch10'!H162)=0,"",'Ch10'!H162)</f>
        <v/>
      </c>
      <c r="C2406" s="254" t="str">
        <f t="shared" si="55"/>
        <v/>
      </c>
      <c r="D2406" s="139"/>
      <c r="E2406" s="667" t="s">
        <v>277</v>
      </c>
      <c r="F2406" s="139"/>
      <c r="G2406" s="1250" t="s">
        <v>3351</v>
      </c>
      <c r="H2406" s="94"/>
      <c r="J2406" s="1204"/>
    </row>
    <row r="2407" spans="1:10" x14ac:dyDescent="0.25">
      <c r="B2407" s="254" t="str">
        <f>IF(LEN('Ch10'!H163)=0,"",'Ch10'!H163)</f>
        <v/>
      </c>
      <c r="C2407" s="254" t="str">
        <f t="shared" si="55"/>
        <v/>
      </c>
      <c r="D2407" s="139"/>
      <c r="E2407" s="667" t="s">
        <v>383</v>
      </c>
      <c r="F2407" s="139"/>
      <c r="G2407" s="1250" t="s">
        <v>3359</v>
      </c>
      <c r="H2407" s="94"/>
      <c r="J2407" s="1204"/>
    </row>
    <row r="2408" spans="1:10" ht="15.75" thickBot="1" x14ac:dyDescent="0.3">
      <c r="B2408" s="254" t="str">
        <f>IF(LEN('Ch10'!H164)=0,"",'Ch10'!H164)</f>
        <v/>
      </c>
      <c r="C2408" s="254" t="str">
        <f t="shared" si="55"/>
        <v/>
      </c>
      <c r="D2408" s="670"/>
      <c r="E2408" s="673" t="s">
        <v>428</v>
      </c>
      <c r="F2408" s="673"/>
      <c r="G2408" s="1229" t="s">
        <v>4552</v>
      </c>
      <c r="H2408" s="94"/>
      <c r="J2408" s="1204"/>
    </row>
    <row r="2409" spans="1:10" ht="15.75" thickTop="1" x14ac:dyDescent="0.25">
      <c r="A2409" s="585" t="str">
        <f>IF(I2409&gt;0,"P","")</f>
        <v/>
      </c>
      <c r="B2409" s="254" t="str">
        <f>IF(LEN('Ch10'!H165)=0,"",'Ch10'!H165)</f>
        <v/>
      </c>
      <c r="C2409" s="254" t="str">
        <f t="shared" si="55"/>
        <v/>
      </c>
      <c r="D2409" s="667" t="s">
        <v>4553</v>
      </c>
      <c r="E2409" s="667"/>
      <c r="F2409" s="667"/>
      <c r="G2409" s="1885" t="s">
        <v>4555</v>
      </c>
      <c r="H2409" s="94"/>
      <c r="I2409" s="86">
        <f>'Ch10'!O165</f>
        <v>0</v>
      </c>
      <c r="J2409" s="1950" t="s">
        <v>5050</v>
      </c>
    </row>
    <row r="2410" spans="1:10" x14ac:dyDescent="0.25">
      <c r="A2410" s="585" t="str">
        <f>A2409</f>
        <v/>
      </c>
      <c r="B2410" s="254" t="str">
        <f>IF(LEN('Ch10'!H166)=0,"",'Ch10'!H166)</f>
        <v/>
      </c>
      <c r="C2410" s="254" t="str">
        <f t="shared" si="55"/>
        <v/>
      </c>
      <c r="D2410" s="667"/>
      <c r="E2410" s="667"/>
      <c r="F2410" s="667"/>
      <c r="G2410" s="1885"/>
      <c r="H2410" s="94"/>
      <c r="J2410" s="1953"/>
    </row>
    <row r="2411" spans="1:10" x14ac:dyDescent="0.25">
      <c r="B2411" s="254" t="str">
        <f>IF(LEN('Ch10'!H167)=0,"",'Ch10'!H167)</f>
        <v/>
      </c>
      <c r="C2411" s="254" t="str">
        <f t="shared" si="55"/>
        <v/>
      </c>
      <c r="D2411" s="667"/>
      <c r="E2411" s="667" t="s">
        <v>256</v>
      </c>
      <c r="F2411" s="667"/>
      <c r="G2411" s="1225" t="s">
        <v>4556</v>
      </c>
      <c r="H2411" s="1313" t="str">
        <f>IF(LEN('Ch10'!W167)=0,"",'Ch10'!W167)</f>
        <v/>
      </c>
      <c r="J2411" s="1204"/>
    </row>
    <row r="2412" spans="1:10" x14ac:dyDescent="0.25">
      <c r="B2412" s="254" t="str">
        <f>IF(LEN('Ch10'!H168)=0,"",'Ch10'!H168)</f>
        <v/>
      </c>
      <c r="C2412" s="254" t="str">
        <f t="shared" si="55"/>
        <v/>
      </c>
      <c r="D2412" s="667"/>
      <c r="E2412" s="667" t="s">
        <v>258</v>
      </c>
      <c r="F2412" s="667"/>
      <c r="G2412" s="1225" t="s">
        <v>4557</v>
      </c>
      <c r="H2412" s="1313" t="str">
        <f>IF(LEN('Ch10'!W168)=0,"",'Ch10'!W168)</f>
        <v/>
      </c>
      <c r="J2412" s="1204"/>
    </row>
    <row r="2413" spans="1:10" x14ac:dyDescent="0.25">
      <c r="B2413" s="254" t="str">
        <f>IF(LEN('Ch10'!H169)=0,"",'Ch10'!H169)</f>
        <v/>
      </c>
      <c r="C2413" s="254" t="str">
        <f t="shared" si="55"/>
        <v/>
      </c>
      <c r="D2413" s="667"/>
      <c r="E2413" s="667" t="s">
        <v>260</v>
      </c>
      <c r="F2413" s="667"/>
      <c r="G2413" s="1793" t="s">
        <v>4558</v>
      </c>
      <c r="H2413" s="1313" t="str">
        <f>IF(LEN('Ch10'!W169)=0,"",'Ch10'!W169)</f>
        <v/>
      </c>
      <c r="J2413" s="1204"/>
    </row>
    <row r="2414" spans="1:10" x14ac:dyDescent="0.25">
      <c r="B2414" s="254" t="str">
        <f>IF(LEN('Ch10'!H170)=0,"",'Ch10'!H170)</f>
        <v/>
      </c>
      <c r="C2414" s="254" t="str">
        <f t="shared" si="55"/>
        <v/>
      </c>
      <c r="D2414" s="667"/>
      <c r="E2414" s="667"/>
      <c r="F2414" s="667"/>
      <c r="G2414" s="1793"/>
      <c r="H2414" s="94"/>
      <c r="J2414" s="1204"/>
    </row>
    <row r="2415" spans="1:10" x14ac:dyDescent="0.25">
      <c r="B2415" s="254" t="str">
        <f>IF(LEN('Ch10'!H171)=0,"",'Ch10'!H171)</f>
        <v/>
      </c>
      <c r="C2415" s="254" t="str">
        <f t="shared" si="55"/>
        <v/>
      </c>
      <c r="D2415" s="667"/>
      <c r="E2415" s="667" t="s">
        <v>269</v>
      </c>
      <c r="F2415" s="667"/>
      <c r="G2415" s="1225" t="s">
        <v>4559</v>
      </c>
      <c r="H2415" s="1313" t="str">
        <f>IF(LEN('Ch10'!W171)=0,"",'Ch10'!W171)</f>
        <v/>
      </c>
      <c r="J2415" s="1204"/>
    </row>
    <row r="2416" spans="1:10" x14ac:dyDescent="0.25">
      <c r="B2416" s="254" t="str">
        <f>IF(LEN('Ch10'!H172)=0,"",'Ch10'!H172)</f>
        <v/>
      </c>
      <c r="C2416" s="254" t="str">
        <f t="shared" si="55"/>
        <v/>
      </c>
      <c r="D2416" s="667"/>
      <c r="E2416" s="667" t="s">
        <v>275</v>
      </c>
      <c r="F2416" s="667"/>
      <c r="G2416" s="1225" t="s">
        <v>4560</v>
      </c>
      <c r="H2416" s="1313" t="str">
        <f>IF(LEN('Ch10'!W172)=0,"",'Ch10'!W172)</f>
        <v/>
      </c>
      <c r="J2416" s="1204"/>
    </row>
    <row r="2417" spans="1:10" x14ac:dyDescent="0.25">
      <c r="B2417" s="254" t="str">
        <f>IF(LEN('Ch10'!H173)=0,"",'Ch10'!H173)</f>
        <v/>
      </c>
      <c r="C2417" s="254" t="str">
        <f t="shared" si="55"/>
        <v/>
      </c>
      <c r="D2417" s="667"/>
      <c r="E2417" s="667" t="s">
        <v>277</v>
      </c>
      <c r="F2417" s="667"/>
      <c r="G2417" s="1225" t="s">
        <v>4561</v>
      </c>
      <c r="H2417" s="1313" t="str">
        <f>IF(LEN('Ch10'!W173)=0,"",'Ch10'!W173)</f>
        <v/>
      </c>
      <c r="J2417" s="1204"/>
    </row>
    <row r="2418" spans="1:10" x14ac:dyDescent="0.25">
      <c r="B2418" s="254" t="str">
        <f>IF(LEN('Ch10'!H174)=0,"",'Ch10'!H174)</f>
        <v/>
      </c>
      <c r="C2418" s="254" t="str">
        <f t="shared" si="55"/>
        <v/>
      </c>
      <c r="D2418" s="667"/>
      <c r="E2418" s="667" t="s">
        <v>383</v>
      </c>
      <c r="F2418" s="667"/>
      <c r="G2418" s="1225" t="s">
        <v>4562</v>
      </c>
      <c r="H2418" s="1313" t="str">
        <f>IF(LEN('Ch10'!W174)=0,"",'Ch10'!W174)</f>
        <v/>
      </c>
      <c r="J2418" s="1204"/>
    </row>
    <row r="2419" spans="1:10" x14ac:dyDescent="0.25">
      <c r="B2419" s="254" t="str">
        <f>IF(LEN('Ch10'!H175)=0,"",'Ch10'!H175)</f>
        <v/>
      </c>
      <c r="C2419" s="254" t="str">
        <f t="shared" si="55"/>
        <v/>
      </c>
      <c r="D2419" s="667"/>
      <c r="E2419" s="667" t="s">
        <v>428</v>
      </c>
      <c r="F2419" s="667"/>
      <c r="G2419" s="1225" t="s">
        <v>4563</v>
      </c>
      <c r="H2419" s="1313" t="str">
        <f>IF(LEN('Ch10'!W175)=0,"",'Ch10'!W175)</f>
        <v/>
      </c>
      <c r="J2419" s="1204"/>
    </row>
    <row r="2420" spans="1:10" ht="15.75" thickBot="1" x14ac:dyDescent="0.3">
      <c r="B2420" s="254" t="str">
        <f>IF(LEN('Ch10'!H176)=0,"",'Ch10'!H176)</f>
        <v/>
      </c>
      <c r="C2420" s="254" t="str">
        <f t="shared" si="55"/>
        <v/>
      </c>
      <c r="D2420" s="673"/>
      <c r="E2420" s="673" t="s">
        <v>430</v>
      </c>
      <c r="F2420" s="673"/>
      <c r="G2420" s="1229" t="s">
        <v>4564</v>
      </c>
      <c r="H2420" s="1313" t="str">
        <f>IF(LEN('Ch10'!W176)=0,"",'Ch10'!W176)</f>
        <v/>
      </c>
      <c r="J2420" s="1204"/>
    </row>
    <row r="2421" spans="1:10" ht="15.75" thickTop="1" x14ac:dyDescent="0.25">
      <c r="A2421" s="585" t="str">
        <f>IF(I2421&gt;0,"P","")</f>
        <v/>
      </c>
      <c r="B2421" s="254" t="str">
        <f>IF(LEN('Ch10'!H177)=0,"",'Ch10'!H177)</f>
        <v/>
      </c>
      <c r="C2421" s="254" t="str">
        <f t="shared" si="55"/>
        <v/>
      </c>
      <c r="D2421" s="667" t="s">
        <v>4554</v>
      </c>
      <c r="E2421" s="667"/>
      <c r="F2421" s="667"/>
      <c r="G2421" s="1885" t="s">
        <v>4565</v>
      </c>
      <c r="H2421" s="94"/>
      <c r="I2421" s="86">
        <f>'Ch10'!O177</f>
        <v>0</v>
      </c>
      <c r="J2421" s="1204" t="s">
        <v>5051</v>
      </c>
    </row>
    <row r="2422" spans="1:10" x14ac:dyDescent="0.25">
      <c r="A2422" s="585" t="str">
        <f>A2421</f>
        <v/>
      </c>
      <c r="B2422" s="254" t="str">
        <f>IF(LEN('Ch10'!H178)=0,"",'Ch10'!H178)</f>
        <v/>
      </c>
      <c r="C2422" s="254" t="str">
        <f t="shared" si="55"/>
        <v/>
      </c>
      <c r="D2422" s="667"/>
      <c r="E2422" s="667"/>
      <c r="F2422" s="667"/>
      <c r="G2422" s="1885"/>
      <c r="H2422" s="94"/>
      <c r="J2422" s="1204"/>
    </row>
    <row r="2423" spans="1:10" x14ac:dyDescent="0.25">
      <c r="A2423" s="585" t="str">
        <f>A2422</f>
        <v/>
      </c>
      <c r="B2423" s="254" t="str">
        <f>IF(LEN('Ch10'!H179)=0,"",'Ch10'!H179)</f>
        <v/>
      </c>
      <c r="C2423" s="254" t="str">
        <f t="shared" si="55"/>
        <v/>
      </c>
      <c r="D2423" s="667"/>
      <c r="E2423" s="667"/>
      <c r="F2423" s="667"/>
      <c r="G2423" s="1885"/>
      <c r="H2423" s="94"/>
      <c r="J2423" s="1204"/>
    </row>
    <row r="2424" spans="1:10" x14ac:dyDescent="0.25">
      <c r="A2424" s="585" t="str">
        <f>A2423</f>
        <v/>
      </c>
      <c r="B2424" s="254" t="str">
        <f>IF(LEN('Ch10'!H180)=0,"",'Ch10'!H180)</f>
        <v/>
      </c>
      <c r="C2424" s="254" t="str">
        <f t="shared" si="55"/>
        <v/>
      </c>
      <c r="D2424" s="667"/>
      <c r="E2424" s="667"/>
      <c r="F2424" s="667"/>
      <c r="G2424" s="1885"/>
      <c r="H2424" s="94"/>
      <c r="J2424" s="1204"/>
    </row>
    <row r="2425" spans="1:10" x14ac:dyDescent="0.25">
      <c r="B2425" s="254" t="str">
        <f>IF(LEN('Ch10'!H181)=0,"",'Ch10'!H181)</f>
        <v/>
      </c>
      <c r="C2425" s="254" t="str">
        <f t="shared" si="55"/>
        <v/>
      </c>
      <c r="D2425" s="667"/>
      <c r="E2425" s="667" t="s">
        <v>256</v>
      </c>
      <c r="F2425" s="667"/>
      <c r="G2425" s="1225" t="s">
        <v>4566</v>
      </c>
      <c r="H2425" s="1313" t="str">
        <f>IF(LEN('Ch10'!W181)=0,"",'Ch10'!W181)</f>
        <v/>
      </c>
      <c r="J2425" s="1204"/>
    </row>
    <row r="2426" spans="1:10" x14ac:dyDescent="0.25">
      <c r="B2426" s="254" t="str">
        <f>IF(LEN('Ch10'!H182)=0,"",'Ch10'!H182)</f>
        <v/>
      </c>
      <c r="C2426" s="254" t="str">
        <f t="shared" si="55"/>
        <v/>
      </c>
      <c r="D2426" s="667"/>
      <c r="E2426" s="667" t="s">
        <v>258</v>
      </c>
      <c r="F2426" s="667"/>
      <c r="G2426" s="1225" t="s">
        <v>4567</v>
      </c>
      <c r="H2426" s="1313" t="str">
        <f>IF(LEN('Ch10'!W182)=0,"",'Ch10'!W182)</f>
        <v/>
      </c>
      <c r="J2426" s="1204"/>
    </row>
    <row r="2427" spans="1:10" x14ac:dyDescent="0.25">
      <c r="B2427" s="254" t="str">
        <f>IF(LEN('Ch10'!H183)=0,"",'Ch10'!H183)</f>
        <v/>
      </c>
      <c r="C2427" s="254" t="str">
        <f t="shared" si="55"/>
        <v/>
      </c>
      <c r="D2427" s="667"/>
      <c r="E2427" s="667" t="s">
        <v>260</v>
      </c>
      <c r="F2427" s="667"/>
      <c r="G2427" s="1225" t="s">
        <v>4568</v>
      </c>
      <c r="H2427" s="1313" t="str">
        <f>IF(LEN('Ch10'!W183)=0,"",'Ch10'!W183)</f>
        <v/>
      </c>
      <c r="J2427" s="1204"/>
    </row>
    <row r="2428" spans="1:10" x14ac:dyDescent="0.25">
      <c r="B2428" s="254" t="str">
        <f>IF(LEN('Ch10'!H184)=0,"",'Ch10'!H184)</f>
        <v/>
      </c>
      <c r="C2428" s="254" t="str">
        <f t="shared" si="55"/>
        <v/>
      </c>
      <c r="D2428" s="667"/>
      <c r="E2428" s="667" t="s">
        <v>269</v>
      </c>
      <c r="F2428" s="667"/>
      <c r="G2428" s="1225" t="s">
        <v>4569</v>
      </c>
      <c r="H2428" s="1313" t="str">
        <f>IF(LEN('Ch10'!W184)=0,"",'Ch10'!W184)</f>
        <v/>
      </c>
      <c r="J2428" s="1204"/>
    </row>
    <row r="2429" spans="1:10" x14ac:dyDescent="0.25">
      <c r="B2429" s="254" t="str">
        <f>IF(LEN('Ch10'!H185)=0,"",'Ch10'!H185)</f>
        <v/>
      </c>
      <c r="C2429" s="254" t="str">
        <f t="shared" si="55"/>
        <v/>
      </c>
      <c r="D2429" s="667"/>
      <c r="E2429" s="667" t="s">
        <v>275</v>
      </c>
      <c r="F2429" s="667"/>
      <c r="G2429" s="1225" t="s">
        <v>4570</v>
      </c>
      <c r="H2429" s="1313" t="str">
        <f>IF(LEN('Ch10'!W185)=0,"",'Ch10'!W185)</f>
        <v/>
      </c>
      <c r="J2429" s="1204"/>
    </row>
    <row r="2430" spans="1:10" x14ac:dyDescent="0.25">
      <c r="B2430" s="254" t="str">
        <f>IF(LEN('Ch10'!H186)=0,"",'Ch10'!H186)</f>
        <v/>
      </c>
      <c r="C2430" s="254" t="str">
        <f t="shared" si="55"/>
        <v/>
      </c>
      <c r="D2430" s="667"/>
      <c r="E2430" s="667" t="s">
        <v>277</v>
      </c>
      <c r="F2430" s="667"/>
      <c r="G2430" s="1225" t="s">
        <v>3346</v>
      </c>
      <c r="H2430" s="1313" t="str">
        <f>IF(LEN('Ch10'!W186)=0,"",'Ch10'!W186)</f>
        <v/>
      </c>
      <c r="J2430" s="1204"/>
    </row>
    <row r="2431" spans="1:10" x14ac:dyDescent="0.25">
      <c r="B2431" s="254" t="str">
        <f>IF(LEN('Ch10'!H187)=0,"",'Ch10'!H187)</f>
        <v/>
      </c>
      <c r="C2431" s="254" t="str">
        <f t="shared" si="55"/>
        <v/>
      </c>
      <c r="D2431" s="667"/>
      <c r="E2431" s="667" t="s">
        <v>383</v>
      </c>
      <c r="F2431" s="667"/>
      <c r="G2431" s="1225" t="s">
        <v>4571</v>
      </c>
      <c r="H2431" s="1313" t="str">
        <f>IF(LEN('Ch10'!W187)=0,"",'Ch10'!W187)</f>
        <v/>
      </c>
      <c r="J2431" s="1204"/>
    </row>
    <row r="2432" spans="1:10" ht="18.75" x14ac:dyDescent="0.25">
      <c r="A2432" s="585" t="s">
        <v>3974</v>
      </c>
      <c r="B2432" s="254" t="str">
        <f>IF(LEN('Ch10'!H188)=0,"",'Ch10'!H188)</f>
        <v/>
      </c>
      <c r="C2432" s="254" t="str">
        <f t="shared" si="55"/>
        <v>P</v>
      </c>
      <c r="D2432" s="1388" t="s">
        <v>3360</v>
      </c>
      <c r="E2432" s="1388"/>
      <c r="F2432" s="1388"/>
      <c r="G2432" s="1316"/>
      <c r="H2432" s="94"/>
      <c r="J2432" s="1204"/>
    </row>
    <row r="2433" spans="1:10" x14ac:dyDescent="0.25">
      <c r="B2433" s="254" t="str">
        <f>IF(LEN('Ch10'!H189)=0,"",'Ch10'!H189)</f>
        <v/>
      </c>
      <c r="C2433" s="254" t="str">
        <f t="shared" si="55"/>
        <v/>
      </c>
      <c r="D2433" s="668" t="s">
        <v>3985</v>
      </c>
      <c r="E2433" s="101"/>
      <c r="F2433" s="101"/>
      <c r="G2433" s="1782" t="s">
        <v>3361</v>
      </c>
      <c r="H2433" s="94"/>
      <c r="J2433" s="1204"/>
    </row>
    <row r="2434" spans="1:10" x14ac:dyDescent="0.25">
      <c r="B2434" s="254" t="str">
        <f>IF(LEN('Ch10'!H190)=0,"",'Ch10'!H190)</f>
        <v/>
      </c>
      <c r="C2434" s="254" t="str">
        <f t="shared" si="55"/>
        <v/>
      </c>
      <c r="D2434" s="101"/>
      <c r="E2434" s="101"/>
      <c r="F2434" s="101"/>
      <c r="G2434" s="1782"/>
      <c r="H2434" s="94"/>
      <c r="J2434" s="1204"/>
    </row>
    <row r="2435" spans="1:10" ht="15.75" thickBot="1" x14ac:dyDescent="0.3">
      <c r="B2435" s="254" t="str">
        <f>IF(LEN('Ch10'!H191)=0,"",'Ch10'!H191)</f>
        <v/>
      </c>
      <c r="C2435" s="254" t="str">
        <f t="shared" si="55"/>
        <v/>
      </c>
      <c r="D2435" s="670"/>
      <c r="E2435" s="670"/>
      <c r="F2435" s="670"/>
      <c r="G2435" s="1797"/>
      <c r="H2435" s="94"/>
      <c r="J2435" s="1204"/>
    </row>
    <row r="2436" spans="1:10" ht="15.75" thickTop="1" x14ac:dyDescent="0.25">
      <c r="A2436" s="585" t="str">
        <f>IF(I2436&gt;0,"P","")</f>
        <v/>
      </c>
      <c r="B2436" s="254" t="str">
        <f>IF(LEN('Ch10'!H192)=0,"",'Ch10'!H192)</f>
        <v/>
      </c>
      <c r="C2436" s="254" t="str">
        <f t="shared" si="55"/>
        <v/>
      </c>
      <c r="D2436" s="139">
        <v>1003.1</v>
      </c>
      <c r="E2436" s="139"/>
      <c r="F2436" s="139"/>
      <c r="G2436" s="1327" t="s">
        <v>3362</v>
      </c>
      <c r="H2436" s="94"/>
      <c r="I2436" s="86">
        <f>'Ch10'!O192</f>
        <v>0</v>
      </c>
      <c r="J2436" s="1950" t="s">
        <v>5052</v>
      </c>
    </row>
    <row r="2437" spans="1:10" x14ac:dyDescent="0.25">
      <c r="A2437" s="585" t="str">
        <f>IF(AND(LEN(H2437)&gt;0,NOT(H2437=FALSE)),"P","")</f>
        <v/>
      </c>
      <c r="B2437" s="254" t="str">
        <f>IF(LEN('Ch10'!H193)=0,"",'Ch10'!H193)</f>
        <v/>
      </c>
      <c r="C2437" s="254" t="str">
        <f t="shared" si="55"/>
        <v/>
      </c>
      <c r="D2437" s="139"/>
      <c r="E2437" s="668" t="s">
        <v>256</v>
      </c>
      <c r="F2437" s="101"/>
      <c r="G2437" s="1782" t="s">
        <v>3364</v>
      </c>
      <c r="H2437" s="1313" t="str">
        <f>IF(LEN('Ch10'!W193)=0,"",'Ch10'!W193)</f>
        <v/>
      </c>
      <c r="J2437" s="1953"/>
    </row>
    <row r="2438" spans="1:10" x14ac:dyDescent="0.25">
      <c r="A2438" s="585" t="str">
        <f>A2437</f>
        <v/>
      </c>
      <c r="B2438" s="254" t="str">
        <f>IF(LEN('Ch10'!H194)=0,"",'Ch10'!H194)</f>
        <v/>
      </c>
      <c r="C2438" s="254" t="str">
        <f t="shared" si="55"/>
        <v/>
      </c>
      <c r="D2438" s="139"/>
      <c r="E2438" s="684"/>
      <c r="F2438" s="669"/>
      <c r="G2438" s="1843"/>
      <c r="H2438" s="94"/>
      <c r="J2438" s="1204"/>
    </row>
    <row r="2439" spans="1:10" x14ac:dyDescent="0.25">
      <c r="A2439" s="585" t="str">
        <f>IF(AND(LEN(H2439)&gt;0,NOT(H2439=FALSE)),"P","")</f>
        <v/>
      </c>
      <c r="B2439" s="254" t="str">
        <f>IF(LEN('Ch10'!H195)=0,"",'Ch10'!H195)</f>
        <v/>
      </c>
      <c r="C2439" s="254" t="str">
        <f t="shared" si="55"/>
        <v/>
      </c>
      <c r="D2439" s="139"/>
      <c r="E2439" s="693" t="s">
        <v>258</v>
      </c>
      <c r="F2439" s="671"/>
      <c r="G2439" s="1864" t="s">
        <v>3365</v>
      </c>
      <c r="H2439" s="1313" t="str">
        <f>IF(LEN('Ch10'!W195)=0,"",'Ch10'!W195)</f>
        <v/>
      </c>
      <c r="J2439" s="1950" t="s">
        <v>3949</v>
      </c>
    </row>
    <row r="2440" spans="1:10" x14ac:dyDescent="0.25">
      <c r="A2440" s="585" t="str">
        <f>A2439</f>
        <v/>
      </c>
      <c r="B2440" s="254" t="str">
        <f>IF(LEN('Ch10'!H196)=0,"",'Ch10'!H196)</f>
        <v/>
      </c>
      <c r="C2440" s="254" t="str">
        <f t="shared" si="55"/>
        <v/>
      </c>
      <c r="D2440" s="139"/>
      <c r="E2440" s="668"/>
      <c r="F2440" s="101"/>
      <c r="G2440" s="1782"/>
      <c r="H2440" s="94"/>
      <c r="J2440" s="1953"/>
    </row>
    <row r="2441" spans="1:10" x14ac:dyDescent="0.25">
      <c r="A2441" s="585" t="str">
        <f>A2440</f>
        <v/>
      </c>
      <c r="B2441" s="254" t="str">
        <f>IF(LEN('Ch10'!H197)=0,"",'Ch10'!H197)</f>
        <v/>
      </c>
      <c r="C2441" s="254" t="str">
        <f t="shared" si="55"/>
        <v/>
      </c>
      <c r="D2441" s="139"/>
      <c r="E2441" s="684"/>
      <c r="F2441" s="669"/>
      <c r="G2441" s="1843"/>
      <c r="H2441" s="94"/>
      <c r="J2441" s="1204"/>
    </row>
    <row r="2442" spans="1:10" x14ac:dyDescent="0.25">
      <c r="A2442" s="585" t="str">
        <f>IF(AND(LEN(H2442)&gt;0,NOT(H2442=FALSE)),"P","")</f>
        <v/>
      </c>
      <c r="B2442" s="254" t="str">
        <f>IF(LEN('Ch10'!H198)=0,"",'Ch10'!H198)</f>
        <v/>
      </c>
      <c r="C2442" s="254" t="str">
        <f t="shared" si="55"/>
        <v/>
      </c>
      <c r="D2442" s="139"/>
      <c r="E2442" s="667" t="s">
        <v>260</v>
      </c>
      <c r="F2442" s="139"/>
      <c r="G2442" s="1782" t="s">
        <v>3366</v>
      </c>
      <c r="H2442" s="1313" t="str">
        <f>IF(LEN('Ch10'!W198)=0,"",'Ch10'!W198)</f>
        <v/>
      </c>
      <c r="J2442" s="1204"/>
    </row>
    <row r="2443" spans="1:10" x14ac:dyDescent="0.25">
      <c r="A2443" s="585" t="str">
        <f>A2442</f>
        <v/>
      </c>
      <c r="B2443" s="254" t="str">
        <f>IF(LEN('Ch10'!H199)=0,"",'Ch10'!H199)</f>
        <v/>
      </c>
      <c r="C2443" s="254" t="str">
        <f t="shared" si="55"/>
        <v/>
      </c>
      <c r="D2443" s="139"/>
      <c r="E2443" s="139"/>
      <c r="F2443" s="139"/>
      <c r="G2443" s="1782"/>
      <c r="H2443" s="94"/>
      <c r="J2443" s="1950" t="s">
        <v>5053</v>
      </c>
    </row>
    <row r="2444" spans="1:10" x14ac:dyDescent="0.25">
      <c r="A2444" s="585" t="str">
        <f>A2443</f>
        <v/>
      </c>
      <c r="B2444" s="254" t="str">
        <f>IF(LEN('Ch10'!H200)=0,"",'Ch10'!H200)</f>
        <v/>
      </c>
      <c r="C2444" s="254" t="str">
        <f t="shared" si="55"/>
        <v/>
      </c>
      <c r="D2444" s="139"/>
      <c r="E2444" s="139"/>
      <c r="F2444" s="139"/>
      <c r="G2444" s="1782"/>
      <c r="H2444" s="94"/>
      <c r="J2444" s="1953"/>
    </row>
    <row r="2445" spans="1:10" ht="18.75" x14ac:dyDescent="0.25">
      <c r="A2445" s="585" t="s">
        <v>3974</v>
      </c>
      <c r="B2445" s="254" t="str">
        <f>IF(LEN('Ch10'!H201)=0,"",'Ch10'!H201)</f>
        <v/>
      </c>
      <c r="C2445" s="254" t="str">
        <f t="shared" si="55"/>
        <v>P</v>
      </c>
      <c r="D2445" s="1388" t="s">
        <v>3367</v>
      </c>
      <c r="E2445" s="1388"/>
      <c r="F2445" s="1388"/>
      <c r="G2445" s="1316"/>
      <c r="H2445" s="94"/>
      <c r="J2445" s="1204"/>
    </row>
    <row r="2446" spans="1:10" x14ac:dyDescent="0.25">
      <c r="B2446" s="254" t="str">
        <f>IF(LEN('Ch10'!H202)=0,"",'Ch10'!H202)</f>
        <v/>
      </c>
      <c r="C2446" s="254" t="str">
        <f t="shared" si="55"/>
        <v/>
      </c>
      <c r="D2446" s="668" t="s">
        <v>3986</v>
      </c>
      <c r="E2446" s="101"/>
      <c r="F2446" s="101"/>
      <c r="G2446" s="1782" t="s">
        <v>3368</v>
      </c>
      <c r="H2446" s="94"/>
      <c r="J2446" s="1204"/>
    </row>
    <row r="2447" spans="1:10" x14ac:dyDescent="0.25">
      <c r="B2447" s="254" t="str">
        <f>IF(LEN('Ch10'!H203)=0,"",'Ch10'!H203)</f>
        <v/>
      </c>
      <c r="C2447" s="254" t="str">
        <f t="shared" si="55"/>
        <v/>
      </c>
      <c r="D2447" s="101"/>
      <c r="E2447" s="101"/>
      <c r="F2447" s="101"/>
      <c r="G2447" s="1782"/>
      <c r="H2447" s="94"/>
      <c r="J2447" s="1204"/>
    </row>
    <row r="2448" spans="1:10" x14ac:dyDescent="0.25">
      <c r="B2448" s="254" t="str">
        <f>IF(LEN('Ch10'!H204)=0,"",'Ch10'!H204)</f>
        <v/>
      </c>
      <c r="C2448" s="254" t="str">
        <f t="shared" si="55"/>
        <v/>
      </c>
      <c r="D2448" s="101"/>
      <c r="E2448" s="101"/>
      <c r="F2448" s="101"/>
      <c r="G2448" s="1782"/>
      <c r="H2448" s="94"/>
      <c r="J2448" s="1204"/>
    </row>
    <row r="2449" spans="1:10" ht="15.75" thickBot="1" x14ac:dyDescent="0.3">
      <c r="B2449" s="254" t="str">
        <f>IF(LEN('Ch10'!H205)=0,"",'Ch10'!H205)</f>
        <v/>
      </c>
      <c r="C2449" s="254" t="str">
        <f t="shared" si="55"/>
        <v/>
      </c>
      <c r="D2449" s="670"/>
      <c r="E2449" s="670"/>
      <c r="F2449" s="670"/>
      <c r="G2449" s="1797"/>
      <c r="H2449" s="94"/>
      <c r="J2449" s="1204"/>
    </row>
    <row r="2450" spans="1:10" ht="15.75" thickTop="1" x14ac:dyDescent="0.25">
      <c r="A2450" s="585" t="str">
        <f>IF(I2450&gt;0,"P","")</f>
        <v/>
      </c>
      <c r="B2450" s="254" t="str">
        <f>IF(LEN('Ch10'!H206)=0,"",'Ch10'!H206)</f>
        <v/>
      </c>
      <c r="C2450" s="254" t="str">
        <f t="shared" si="55"/>
        <v/>
      </c>
      <c r="D2450" s="139">
        <v>1004.1</v>
      </c>
      <c r="E2450" s="139"/>
      <c r="F2450" s="139"/>
      <c r="G2450" s="1782" t="s">
        <v>3369</v>
      </c>
      <c r="H2450" s="94"/>
      <c r="I2450" s="706">
        <f>SUM(I2455:I2457)</f>
        <v>0</v>
      </c>
      <c r="J2450" s="1204"/>
    </row>
    <row r="2451" spans="1:10" x14ac:dyDescent="0.25">
      <c r="A2451" s="585" t="str">
        <f>A2450</f>
        <v/>
      </c>
      <c r="B2451" s="254" t="str">
        <f>IF(LEN('Ch10'!H207)=0,"",'Ch10'!H207)</f>
        <v/>
      </c>
      <c r="C2451" s="254" t="str">
        <f t="shared" ref="C2451:C2514" si="56">IF(LEN(B2451)=0,IF(A2451="P","P",""),B2451)</f>
        <v/>
      </c>
      <c r="D2451" s="139"/>
      <c r="E2451" s="139"/>
      <c r="F2451" s="139"/>
      <c r="G2451" s="1782"/>
      <c r="H2451" s="94"/>
      <c r="J2451" s="1204"/>
    </row>
    <row r="2452" spans="1:10" x14ac:dyDescent="0.25">
      <c r="A2452" s="585" t="str">
        <f>A2451</f>
        <v/>
      </c>
      <c r="B2452" s="254" t="str">
        <f>IF(LEN('Ch10'!H208)=0,"",'Ch10'!H208)</f>
        <v/>
      </c>
      <c r="C2452" s="254" t="str">
        <f t="shared" si="56"/>
        <v/>
      </c>
      <c r="D2452" s="139"/>
      <c r="E2452" s="139"/>
      <c r="F2452" s="139"/>
      <c r="G2452" s="1782"/>
      <c r="H2452" s="94"/>
      <c r="J2452" s="1204"/>
    </row>
    <row r="2453" spans="1:10" x14ac:dyDescent="0.25">
      <c r="A2453" s="585" t="str">
        <f>A2452</f>
        <v/>
      </c>
      <c r="B2453" s="254" t="str">
        <f>IF(LEN('Ch10'!H209)=0,"",'Ch10'!H209)</f>
        <v/>
      </c>
      <c r="C2453" s="254" t="str">
        <f t="shared" si="56"/>
        <v/>
      </c>
      <c r="D2453" s="139"/>
      <c r="E2453" s="139"/>
      <c r="F2453" s="139"/>
      <c r="G2453" s="1782"/>
      <c r="H2453" s="94"/>
      <c r="J2453" s="1204"/>
    </row>
    <row r="2454" spans="1:10" x14ac:dyDescent="0.25">
      <c r="A2454" s="585" t="str">
        <f>A2453</f>
        <v/>
      </c>
      <c r="B2454" s="254" t="str">
        <f>IF(LEN('Ch10'!H210)=0,"",'Ch10'!H210)</f>
        <v/>
      </c>
      <c r="C2454" s="254" t="str">
        <f t="shared" si="56"/>
        <v/>
      </c>
      <c r="D2454" s="139"/>
      <c r="E2454" s="139"/>
      <c r="F2454" s="139"/>
      <c r="G2454" s="1782"/>
      <c r="H2454" s="94"/>
      <c r="J2454" s="1204"/>
    </row>
    <row r="2455" spans="1:10" ht="39" customHeight="1" x14ac:dyDescent="0.25">
      <c r="A2455" s="585" t="str">
        <f>IF(I2455&gt;0,"P","")</f>
        <v/>
      </c>
      <c r="B2455" s="254" t="str">
        <f>IF(LEN('Ch10'!H211)=0,"",'Ch10'!H211)</f>
        <v/>
      </c>
      <c r="C2455" s="254" t="str">
        <f t="shared" si="56"/>
        <v/>
      </c>
      <c r="D2455" s="139"/>
      <c r="E2455" s="668" t="s">
        <v>256</v>
      </c>
      <c r="F2455" s="101"/>
      <c r="G2455" s="1754" t="s">
        <v>3950</v>
      </c>
      <c r="H2455" s="1313" t="str">
        <f>IF(LEN('Ch10'!W211)=0,"",'Ch10'!W211)</f>
        <v/>
      </c>
      <c r="I2455" s="86">
        <f>'Ch10'!O211</f>
        <v>0</v>
      </c>
      <c r="J2455" s="1950" t="s">
        <v>5054</v>
      </c>
    </row>
    <row r="2456" spans="1:10" x14ac:dyDescent="0.25">
      <c r="A2456" s="585" t="str">
        <f>A2455</f>
        <v/>
      </c>
      <c r="B2456" s="254" t="str">
        <f>IF(LEN('Ch10'!H212)=0,"",'Ch10'!H212)</f>
        <v/>
      </c>
      <c r="C2456" s="254" t="str">
        <f t="shared" si="56"/>
        <v/>
      </c>
      <c r="D2456" s="139"/>
      <c r="E2456" s="684"/>
      <c r="F2456" s="669"/>
      <c r="G2456" s="1755"/>
      <c r="H2456" s="94"/>
      <c r="J2456" s="1951"/>
    </row>
    <row r="2457" spans="1:10" x14ac:dyDescent="0.25">
      <c r="A2457" s="585" t="str">
        <f>IF(I2457&gt;0,"P","")</f>
        <v/>
      </c>
      <c r="B2457" s="254" t="str">
        <f>IF(LEN('Ch10'!H213)=0,"",'Ch10'!H213)</f>
        <v/>
      </c>
      <c r="C2457" s="254" t="str">
        <f t="shared" si="56"/>
        <v/>
      </c>
      <c r="D2457" s="139"/>
      <c r="E2457" s="693" t="s">
        <v>258</v>
      </c>
      <c r="F2457" s="671"/>
      <c r="G2457" s="1778" t="s">
        <v>3370</v>
      </c>
      <c r="H2457" s="1313" t="str">
        <f>IF(LEN('Ch10'!W213)=0,"",'Ch10'!W213)</f>
        <v/>
      </c>
      <c r="I2457" s="86">
        <f>'Ch10'!O213</f>
        <v>0</v>
      </c>
      <c r="J2457" s="1950" t="s">
        <v>5055</v>
      </c>
    </row>
    <row r="2458" spans="1:10" x14ac:dyDescent="0.25">
      <c r="A2458" s="585" t="str">
        <f>A2457</f>
        <v/>
      </c>
      <c r="B2458" s="254" t="str">
        <f>IF(LEN('Ch10'!H214)=0,"",'Ch10'!H214)</f>
        <v/>
      </c>
      <c r="C2458" s="254" t="str">
        <f t="shared" si="56"/>
        <v/>
      </c>
      <c r="D2458" s="139"/>
      <c r="E2458" s="669"/>
      <c r="F2458" s="669"/>
      <c r="G2458" s="1755"/>
      <c r="H2458" s="94"/>
      <c r="J2458" s="1953"/>
    </row>
    <row r="2459" spans="1:10" ht="18.75" x14ac:dyDescent="0.25">
      <c r="A2459" s="585" t="s">
        <v>3974</v>
      </c>
      <c r="B2459" s="254" t="str">
        <f>IF(LEN('Ch10'!H215)=0,"",'Ch10'!H215)</f>
        <v/>
      </c>
      <c r="C2459" s="254" t="str">
        <f t="shared" si="56"/>
        <v>P</v>
      </c>
      <c r="D2459" s="1388" t="s">
        <v>4574</v>
      </c>
      <c r="E2459" s="1385"/>
      <c r="F2459" s="1385"/>
      <c r="G2459" s="1312"/>
      <c r="H2459" s="94"/>
      <c r="J2459" s="1204"/>
    </row>
    <row r="2460" spans="1:10" x14ac:dyDescent="0.25">
      <c r="A2460" s="585" t="s">
        <v>3974</v>
      </c>
      <c r="B2460" s="254" t="str">
        <f>IF(LEN('Ch10'!H216)=0,"",'Ch10'!H216)</f>
        <v/>
      </c>
      <c r="C2460" s="254" t="str">
        <f t="shared" si="56"/>
        <v>P</v>
      </c>
      <c r="D2460" s="667" t="s">
        <v>4575</v>
      </c>
      <c r="E2460" s="667"/>
      <c r="F2460" s="667"/>
      <c r="G2460" s="1235" t="s">
        <v>4576</v>
      </c>
      <c r="H2460" s="94"/>
      <c r="I2460"/>
      <c r="J2460" s="1204" t="s">
        <v>5056</v>
      </c>
    </row>
    <row r="2461" spans="1:10" x14ac:dyDescent="0.25">
      <c r="B2461" s="254" t="str">
        <f>IF(LEN('Ch10'!H217)=0,"",'Ch10'!H217)</f>
        <v/>
      </c>
      <c r="C2461" s="254" t="str">
        <f t="shared" si="56"/>
        <v/>
      </c>
      <c r="D2461" s="667"/>
      <c r="E2461" s="668" t="s">
        <v>256</v>
      </c>
      <c r="F2461" s="668"/>
      <c r="G2461" s="1793" t="s">
        <v>4577</v>
      </c>
      <c r="H2461" s="1313" t="str">
        <f>IF(LEN('Ch10'!W217)=0,"",'Ch10'!W217)</f>
        <v/>
      </c>
      <c r="I2461" s="86">
        <f>'Ch10'!O217</f>
        <v>0</v>
      </c>
      <c r="J2461" s="1204"/>
    </row>
    <row r="2462" spans="1:10" x14ac:dyDescent="0.25">
      <c r="B2462" s="254" t="str">
        <f>IF(LEN('Ch10'!H218)=0,"",'Ch10'!H218)</f>
        <v/>
      </c>
      <c r="C2462" s="254" t="str">
        <f t="shared" si="56"/>
        <v/>
      </c>
      <c r="D2462" s="667"/>
      <c r="E2462" s="668"/>
      <c r="F2462" s="668"/>
      <c r="G2462" s="1793"/>
      <c r="H2462" s="94"/>
      <c r="J2462" s="1204"/>
    </row>
    <row r="2463" spans="1:10" x14ac:dyDescent="0.25">
      <c r="B2463" s="254" t="str">
        <f>IF(LEN('Ch10'!H219)=0,"",'Ch10'!H219)</f>
        <v/>
      </c>
      <c r="C2463" s="254" t="str">
        <f t="shared" si="56"/>
        <v/>
      </c>
      <c r="D2463" s="667"/>
      <c r="E2463" s="684"/>
      <c r="F2463" s="684"/>
      <c r="G2463" s="1761"/>
      <c r="H2463" s="94"/>
      <c r="J2463" s="1204"/>
    </row>
    <row r="2464" spans="1:10" x14ac:dyDescent="0.25">
      <c r="B2464" s="254" t="str">
        <f>IF(LEN('Ch10'!H220)=0,"",'Ch10'!H220)</f>
        <v/>
      </c>
      <c r="C2464" s="254" t="str">
        <f t="shared" si="56"/>
        <v/>
      </c>
      <c r="D2464" s="667"/>
      <c r="E2464" s="693" t="s">
        <v>258</v>
      </c>
      <c r="F2464" s="693"/>
      <c r="G2464" s="1760" t="s">
        <v>4578</v>
      </c>
      <c r="H2464" s="1313" t="str">
        <f>IF(LEN('Ch10'!W220)=0,"",'Ch10'!W220)</f>
        <v/>
      </c>
      <c r="I2464" s="86">
        <f>'Ch10'!O220</f>
        <v>0</v>
      </c>
      <c r="J2464" s="1204"/>
    </row>
    <row r="2465" spans="1:10" x14ac:dyDescent="0.25">
      <c r="B2465" s="254" t="str">
        <f>IF(LEN('Ch10'!H221)=0,"",'Ch10'!H221)</f>
        <v/>
      </c>
      <c r="C2465" s="254" t="str">
        <f t="shared" si="56"/>
        <v/>
      </c>
      <c r="D2465" s="667"/>
      <c r="E2465" s="668"/>
      <c r="F2465" s="668"/>
      <c r="G2465" s="1793"/>
      <c r="H2465" s="94"/>
      <c r="J2465" s="1204"/>
    </row>
    <row r="2466" spans="1:10" x14ac:dyDescent="0.25">
      <c r="B2466" s="254" t="str">
        <f>IF(LEN('Ch10'!H222)=0,"",'Ch10'!H222)</f>
        <v/>
      </c>
      <c r="C2466" s="254" t="str">
        <f t="shared" si="56"/>
        <v/>
      </c>
      <c r="D2466" s="667"/>
      <c r="E2466" s="668"/>
      <c r="F2466" s="668"/>
      <c r="G2466" s="1793"/>
      <c r="H2466" s="94"/>
      <c r="J2466" s="1204"/>
    </row>
    <row r="2467" spans="1:10" x14ac:dyDescent="0.25">
      <c r="B2467" s="254" t="str">
        <f>IF(LEN('Ch10'!H223)=0,"",'Ch10'!H223)</f>
        <v/>
      </c>
      <c r="C2467" s="254" t="str">
        <f t="shared" si="56"/>
        <v/>
      </c>
      <c r="D2467" s="667"/>
      <c r="E2467" s="684"/>
      <c r="F2467" s="684"/>
      <c r="G2467" s="1761"/>
      <c r="H2467" s="94"/>
      <c r="J2467" s="1204"/>
    </row>
    <row r="2468" spans="1:10" x14ac:dyDescent="0.25">
      <c r="B2468" s="254" t="str">
        <f>IF(LEN('Ch10'!H224)=0,"",'Ch10'!H224)</f>
        <v/>
      </c>
      <c r="C2468" s="254" t="str">
        <f t="shared" si="56"/>
        <v/>
      </c>
      <c r="D2468" s="667"/>
      <c r="E2468" s="667" t="s">
        <v>260</v>
      </c>
      <c r="F2468" s="667"/>
      <c r="G2468" s="1793" t="s">
        <v>4579</v>
      </c>
      <c r="H2468"/>
      <c r="I2468" s="86">
        <f>'Ch10'!O224</f>
        <v>2</v>
      </c>
      <c r="J2468" s="1204"/>
    </row>
    <row r="2469" spans="1:10" x14ac:dyDescent="0.25">
      <c r="B2469" s="254" t="str">
        <f>IF(LEN('Ch10'!H225)=0,"",'Ch10'!H225)</f>
        <v/>
      </c>
      <c r="C2469" s="254" t="str">
        <f t="shared" si="56"/>
        <v/>
      </c>
      <c r="D2469" s="667"/>
      <c r="E2469" s="667"/>
      <c r="F2469" s="667"/>
      <c r="G2469" s="1793"/>
      <c r="H2469"/>
      <c r="J2469" s="1204"/>
    </row>
    <row r="2470" spans="1:10" x14ac:dyDescent="0.25">
      <c r="B2470" s="254" t="str">
        <f>IF(LEN('Ch10'!H226)=0,"",'Ch10'!H226)</f>
        <v/>
      </c>
      <c r="C2470" s="254" t="str">
        <f t="shared" si="56"/>
        <v/>
      </c>
      <c r="D2470" s="667"/>
      <c r="E2470" s="667"/>
      <c r="F2470" s="667"/>
      <c r="G2470" s="1793"/>
      <c r="H2470"/>
      <c r="J2470" s="1204"/>
    </row>
    <row r="2471" spans="1:10" ht="18.75" x14ac:dyDescent="0.3">
      <c r="A2471" s="585" t="str">
        <f>IF(dstCommercial="Yes","P","")</f>
        <v/>
      </c>
      <c r="C2471" s="254" t="str">
        <f t="shared" si="56"/>
        <v/>
      </c>
      <c r="D2471" s="1400" t="s">
        <v>4594</v>
      </c>
      <c r="E2471" s="1400"/>
      <c r="F2471" s="1400"/>
      <c r="G2471" s="23"/>
      <c r="H2471"/>
    </row>
    <row r="2472" spans="1:10" x14ac:dyDescent="0.25">
      <c r="C2472" s="254" t="str">
        <f t="shared" si="56"/>
        <v/>
      </c>
      <c r="D2472" s="87" t="s">
        <v>4595</v>
      </c>
      <c r="E2472" s="862"/>
      <c r="F2472" s="862"/>
      <c r="G2472" s="1833" t="s">
        <v>4596</v>
      </c>
      <c r="H2472"/>
      <c r="J2472" s="1374"/>
    </row>
    <row r="2473" spans="1:10" ht="15.75" thickBot="1" x14ac:dyDescent="0.3">
      <c r="C2473" s="254" t="str">
        <f t="shared" si="56"/>
        <v/>
      </c>
      <c r="D2473" s="96"/>
      <c r="E2473" s="902"/>
      <c r="F2473" s="902"/>
      <c r="G2473" s="1900"/>
      <c r="H2473"/>
      <c r="J2473" s="1374"/>
    </row>
    <row r="2474" spans="1:10" ht="15.75" thickTop="1" x14ac:dyDescent="0.25">
      <c r="C2474" s="254" t="str">
        <f t="shared" si="56"/>
        <v/>
      </c>
      <c r="D2474" s="114" t="s">
        <v>4597</v>
      </c>
      <c r="E2474" s="1007"/>
      <c r="F2474" s="1007"/>
      <c r="G2474" s="1899" t="s">
        <v>4598</v>
      </c>
      <c r="H2474"/>
      <c r="J2474" s="1374"/>
    </row>
    <row r="2475" spans="1:10" ht="15.75" thickBot="1" x14ac:dyDescent="0.3">
      <c r="C2475" s="254" t="str">
        <f t="shared" si="56"/>
        <v/>
      </c>
      <c r="D2475" s="96"/>
      <c r="E2475" s="902"/>
      <c r="F2475" s="902"/>
      <c r="G2475" s="1900"/>
      <c r="H2475"/>
      <c r="J2475" s="1374"/>
    </row>
    <row r="2476" spans="1:10" ht="15.75" thickTop="1" x14ac:dyDescent="0.25">
      <c r="C2476" s="254" t="str">
        <f t="shared" si="56"/>
        <v/>
      </c>
      <c r="D2476" s="87" t="s">
        <v>4599</v>
      </c>
      <c r="E2476" s="862"/>
      <c r="F2476" s="862"/>
      <c r="G2476" s="1833" t="s">
        <v>4600</v>
      </c>
      <c r="H2476"/>
      <c r="J2476" s="1374"/>
    </row>
    <row r="2477" spans="1:10" x14ac:dyDescent="0.25">
      <c r="C2477" s="254" t="str">
        <f t="shared" si="56"/>
        <v/>
      </c>
      <c r="D2477" s="87"/>
      <c r="E2477" s="862"/>
      <c r="F2477" s="862"/>
      <c r="G2477" s="1833"/>
      <c r="H2477"/>
      <c r="J2477" s="1374"/>
    </row>
    <row r="2478" spans="1:10" x14ac:dyDescent="0.25">
      <c r="C2478" s="254" t="str">
        <f t="shared" si="56"/>
        <v/>
      </c>
      <c r="D2478" s="87"/>
      <c r="E2478" s="862"/>
      <c r="F2478" s="862"/>
      <c r="G2478" s="1833"/>
      <c r="J2478" s="1374"/>
    </row>
    <row r="2479" spans="1:10" x14ac:dyDescent="0.25">
      <c r="C2479" s="254" t="str">
        <f t="shared" si="56"/>
        <v/>
      </c>
      <c r="D2479" s="87" t="s">
        <v>4601</v>
      </c>
      <c r="E2479" s="862"/>
      <c r="F2479" s="862"/>
      <c r="G2479" s="1833" t="s">
        <v>4602</v>
      </c>
      <c r="J2479" s="1374"/>
    </row>
    <row r="2480" spans="1:10" x14ac:dyDescent="0.25">
      <c r="C2480" s="254" t="str">
        <f t="shared" si="56"/>
        <v/>
      </c>
      <c r="D2480" s="174"/>
      <c r="E2480" s="863"/>
      <c r="F2480" s="863"/>
      <c r="G2480" s="1834"/>
      <c r="J2480" s="1374"/>
    </row>
    <row r="2481" spans="1:10" x14ac:dyDescent="0.25">
      <c r="C2481" s="254" t="str">
        <f t="shared" si="56"/>
        <v/>
      </c>
      <c r="D2481" s="846" t="s">
        <v>4603</v>
      </c>
      <c r="E2481" s="993"/>
      <c r="F2481" s="993"/>
      <c r="G2481" s="1835" t="s">
        <v>4604</v>
      </c>
      <c r="J2481" s="1374"/>
    </row>
    <row r="2482" spans="1:10" x14ac:dyDescent="0.25">
      <c r="C2482" s="254" t="str">
        <f t="shared" si="56"/>
        <v/>
      </c>
      <c r="D2482" s="87"/>
      <c r="E2482" s="862"/>
      <c r="F2482" s="862"/>
      <c r="G2482" s="1833"/>
      <c r="J2482" s="1374"/>
    </row>
    <row r="2483" spans="1:10" x14ac:dyDescent="0.25">
      <c r="C2483" s="254" t="str">
        <f t="shared" si="56"/>
        <v/>
      </c>
      <c r="D2483" s="87"/>
      <c r="E2483" s="862"/>
      <c r="F2483" s="862"/>
      <c r="G2483" s="1833"/>
      <c r="J2483" s="1374"/>
    </row>
    <row r="2484" spans="1:10" x14ac:dyDescent="0.25">
      <c r="C2484" s="254" t="str">
        <f t="shared" si="56"/>
        <v/>
      </c>
      <c r="D2484" s="87"/>
      <c r="E2484" s="862"/>
      <c r="F2484" s="862"/>
      <c r="G2484" s="1833"/>
      <c r="J2484" s="1374"/>
    </row>
    <row r="2485" spans="1:10" x14ac:dyDescent="0.25">
      <c r="C2485" s="254" t="str">
        <f t="shared" si="56"/>
        <v/>
      </c>
      <c r="D2485" s="174"/>
      <c r="E2485" s="863"/>
      <c r="F2485" s="863"/>
      <c r="G2485" s="1834"/>
      <c r="J2485" s="1374"/>
    </row>
    <row r="2486" spans="1:10" x14ac:dyDescent="0.25">
      <c r="C2486" s="254" t="str">
        <f t="shared" si="56"/>
        <v/>
      </c>
      <c r="D2486" s="846" t="s">
        <v>4605</v>
      </c>
      <c r="E2486" s="993"/>
      <c r="F2486" s="993"/>
      <c r="G2486" s="1835" t="s">
        <v>4606</v>
      </c>
      <c r="J2486" s="1374"/>
    </row>
    <row r="2487" spans="1:10" x14ac:dyDescent="0.25">
      <c r="C2487" s="254" t="str">
        <f t="shared" si="56"/>
        <v/>
      </c>
      <c r="D2487" s="87"/>
      <c r="E2487" s="862"/>
      <c r="F2487" s="862"/>
      <c r="G2487" s="1833"/>
      <c r="J2487" s="1374"/>
    </row>
    <row r="2488" spans="1:10" ht="15.75" thickBot="1" x14ac:dyDescent="0.3">
      <c r="C2488" s="254" t="str">
        <f t="shared" si="56"/>
        <v/>
      </c>
      <c r="D2488" s="96"/>
      <c r="E2488" s="902"/>
      <c r="F2488" s="902"/>
      <c r="G2488" s="1900"/>
      <c r="J2488" s="1374"/>
    </row>
    <row r="2489" spans="1:10" ht="15.75" thickTop="1" x14ac:dyDescent="0.25">
      <c r="A2489" s="585" t="str">
        <f>IF(dstCommercial="Yes","P","")</f>
        <v/>
      </c>
      <c r="C2489" s="254" t="str">
        <f t="shared" si="56"/>
        <v/>
      </c>
      <c r="D2489" s="87" t="s">
        <v>4607</v>
      </c>
      <c r="E2489" s="862"/>
      <c r="F2489" s="862"/>
      <c r="G2489" s="1833" t="s">
        <v>4608</v>
      </c>
      <c r="J2489" s="1374"/>
    </row>
    <row r="2490" spans="1:10" x14ac:dyDescent="0.25">
      <c r="A2490" s="585" t="str">
        <f>IF(dstCommercial="Yes","P","")</f>
        <v/>
      </c>
      <c r="C2490" s="254" t="str">
        <f t="shared" si="56"/>
        <v/>
      </c>
      <c r="D2490" s="87"/>
      <c r="E2490" s="862"/>
      <c r="F2490" s="862"/>
      <c r="G2490" s="1833"/>
      <c r="J2490" s="1374"/>
    </row>
    <row r="2491" spans="1:10" x14ac:dyDescent="0.25">
      <c r="A2491" s="585" t="str">
        <f>IF(dstCommercial="Yes","P","")</f>
        <v/>
      </c>
      <c r="C2491" s="254" t="str">
        <f t="shared" si="56"/>
        <v/>
      </c>
      <c r="D2491" s="87" t="s">
        <v>4609</v>
      </c>
      <c r="E2491" s="862"/>
      <c r="F2491" s="862"/>
      <c r="G2491" s="1833" t="s">
        <v>4610</v>
      </c>
      <c r="J2491" s="1374" t="s">
        <v>5127</v>
      </c>
    </row>
    <row r="2492" spans="1:10" x14ac:dyDescent="0.25">
      <c r="A2492" s="585" t="str">
        <f>IF(dstCommercial="Yes","P","")</f>
        <v/>
      </c>
      <c r="C2492" s="254" t="str">
        <f t="shared" si="56"/>
        <v/>
      </c>
      <c r="D2492" s="87"/>
      <c r="E2492" s="862"/>
      <c r="F2492" s="862"/>
      <c r="G2492" s="1833"/>
      <c r="J2492" s="1374"/>
    </row>
    <row r="2493" spans="1:10" x14ac:dyDescent="0.25">
      <c r="C2493" s="254" t="str">
        <f t="shared" si="56"/>
        <v/>
      </c>
      <c r="D2493" s="87"/>
      <c r="E2493" s="862"/>
      <c r="F2493" s="862"/>
      <c r="G2493" s="1361" t="s">
        <v>4521</v>
      </c>
      <c r="J2493" s="1374"/>
    </row>
    <row r="2494" spans="1:10" x14ac:dyDescent="0.25">
      <c r="C2494" s="254" t="str">
        <f t="shared" si="56"/>
        <v/>
      </c>
      <c r="D2494" s="87"/>
      <c r="E2494" s="862" t="s">
        <v>256</v>
      </c>
      <c r="F2494" s="862"/>
      <c r="G2494" s="1787" t="s">
        <v>4611</v>
      </c>
      <c r="J2494" s="1374"/>
    </row>
    <row r="2495" spans="1:10" x14ac:dyDescent="0.25">
      <c r="C2495" s="254" t="str">
        <f t="shared" si="56"/>
        <v/>
      </c>
      <c r="D2495" s="87"/>
      <c r="E2495" s="863"/>
      <c r="F2495" s="863"/>
      <c r="G2495" s="1786"/>
      <c r="J2495" s="1374"/>
    </row>
    <row r="2496" spans="1:10" x14ac:dyDescent="0.25">
      <c r="C2496" s="254" t="str">
        <f t="shared" si="56"/>
        <v/>
      </c>
      <c r="D2496" s="87"/>
      <c r="E2496" s="993" t="s">
        <v>258</v>
      </c>
      <c r="F2496" s="993"/>
      <c r="G2496" s="1769" t="s">
        <v>4612</v>
      </c>
      <c r="J2496" s="1374"/>
    </row>
    <row r="2497" spans="1:10" x14ac:dyDescent="0.25">
      <c r="C2497" s="254" t="str">
        <f t="shared" si="56"/>
        <v/>
      </c>
      <c r="D2497" s="87"/>
      <c r="E2497" s="863"/>
      <c r="F2497" s="863"/>
      <c r="G2497" s="1786"/>
      <c r="J2497" s="1374"/>
    </row>
    <row r="2498" spans="1:10" x14ac:dyDescent="0.25">
      <c r="C2498" s="254" t="str">
        <f t="shared" si="56"/>
        <v/>
      </c>
      <c r="D2498" s="87"/>
      <c r="E2498" s="862" t="s">
        <v>260</v>
      </c>
      <c r="F2498" s="862"/>
      <c r="G2498" s="1787" t="s">
        <v>4613</v>
      </c>
      <c r="J2498" s="1374"/>
    </row>
    <row r="2499" spans="1:10" x14ac:dyDescent="0.25">
      <c r="C2499" s="254" t="str">
        <f t="shared" si="56"/>
        <v/>
      </c>
      <c r="D2499" s="87"/>
      <c r="E2499" s="862"/>
      <c r="F2499" s="862"/>
      <c r="G2499" s="1787"/>
      <c r="J2499" s="1374"/>
    </row>
    <row r="2500" spans="1:10" x14ac:dyDescent="0.25">
      <c r="C2500" s="254" t="str">
        <f t="shared" si="56"/>
        <v/>
      </c>
      <c r="D2500" s="174"/>
      <c r="E2500" s="863"/>
      <c r="F2500" s="863"/>
      <c r="G2500" s="1786"/>
      <c r="J2500" s="1374"/>
    </row>
    <row r="2501" spans="1:10" x14ac:dyDescent="0.25">
      <c r="A2501" s="585" t="str">
        <f>IF(dstCommercial="Yes","P","")</f>
        <v/>
      </c>
      <c r="C2501" s="254" t="str">
        <f t="shared" si="56"/>
        <v/>
      </c>
      <c r="D2501" s="87" t="s">
        <v>4614</v>
      </c>
      <c r="E2501" s="862"/>
      <c r="F2501" s="862"/>
      <c r="G2501" s="1833" t="s">
        <v>4615</v>
      </c>
      <c r="J2501" s="1374" t="s">
        <v>5127</v>
      </c>
    </row>
    <row r="2502" spans="1:10" x14ac:dyDescent="0.25">
      <c r="A2502" s="585" t="str">
        <f>IF(dstCommercial="Yes","P","")</f>
        <v/>
      </c>
      <c r="C2502" s="254" t="str">
        <f t="shared" si="56"/>
        <v/>
      </c>
      <c r="D2502" s="87"/>
      <c r="E2502" s="862"/>
      <c r="F2502" s="862"/>
      <c r="G2502" s="1833"/>
      <c r="J2502" s="1374"/>
    </row>
    <row r="2503" spans="1:10" ht="15.75" thickBot="1" x14ac:dyDescent="0.3">
      <c r="A2503" s="585" t="str">
        <f>IF(dstCommercial="Yes","P","")</f>
        <v/>
      </c>
      <c r="C2503" s="254" t="str">
        <f t="shared" si="56"/>
        <v/>
      </c>
      <c r="D2503" s="96"/>
      <c r="E2503" s="902"/>
      <c r="F2503" s="902"/>
      <c r="G2503" s="1900"/>
      <c r="J2503" s="1374"/>
    </row>
    <row r="2504" spans="1:10" ht="15.75" thickTop="1" x14ac:dyDescent="0.25">
      <c r="A2504" s="585" t="str">
        <f>IF(dstCommercial="Yes","P","")</f>
        <v/>
      </c>
      <c r="C2504" s="254" t="str">
        <f t="shared" si="56"/>
        <v/>
      </c>
      <c r="D2504" s="87" t="s">
        <v>4616</v>
      </c>
      <c r="E2504" s="862"/>
      <c r="F2504" s="862"/>
      <c r="G2504" s="1361" t="s">
        <v>4617</v>
      </c>
      <c r="J2504" s="1374"/>
    </row>
    <row r="2505" spans="1:10" x14ac:dyDescent="0.25">
      <c r="A2505" s="585" t="str">
        <f>IF(dstCommercial="Yes","P","")</f>
        <v/>
      </c>
      <c r="C2505" s="254" t="str">
        <f t="shared" si="56"/>
        <v/>
      </c>
      <c r="D2505" s="87" t="s">
        <v>4618</v>
      </c>
      <c r="E2505" s="862"/>
      <c r="F2505" s="862"/>
      <c r="G2505" s="1361" t="s">
        <v>4619</v>
      </c>
      <c r="J2505" s="1374"/>
    </row>
    <row r="2506" spans="1:10" x14ac:dyDescent="0.25">
      <c r="A2506" s="585" t="str">
        <f>IF(dstCommercial="Yes","P","")</f>
        <v/>
      </c>
      <c r="C2506" s="254" t="str">
        <f t="shared" si="56"/>
        <v/>
      </c>
      <c r="D2506" s="87" t="s">
        <v>4620</v>
      </c>
      <c r="E2506" s="862"/>
      <c r="F2506" s="862"/>
      <c r="G2506" s="1833" t="s">
        <v>4621</v>
      </c>
      <c r="J2506" s="1970" t="s">
        <v>5128</v>
      </c>
    </row>
    <row r="2507" spans="1:10" x14ac:dyDescent="0.25">
      <c r="A2507" s="585" t="str">
        <f>IF(dstCommercial="Yes","P","")</f>
        <v/>
      </c>
      <c r="C2507" s="254" t="str">
        <f t="shared" si="56"/>
        <v/>
      </c>
      <c r="D2507" s="87"/>
      <c r="E2507" s="862"/>
      <c r="F2507" s="862"/>
      <c r="G2507" s="1833"/>
      <c r="J2507" s="1971"/>
    </row>
    <row r="2508" spans="1:10" x14ac:dyDescent="0.25">
      <c r="A2508" s="585" t="str">
        <f>IF(dstCommercial="Yes","P","")</f>
        <v/>
      </c>
      <c r="C2508" s="254" t="str">
        <f t="shared" si="56"/>
        <v/>
      </c>
      <c r="D2508" s="174"/>
      <c r="E2508" s="863"/>
      <c r="F2508" s="863"/>
      <c r="G2508" s="1834"/>
      <c r="J2508" s="1977"/>
    </row>
    <row r="2509" spans="1:10" x14ac:dyDescent="0.25">
      <c r="A2509" s="585" t="str">
        <f>IF(dstCommercial="Yes","P","")</f>
        <v/>
      </c>
      <c r="C2509" s="254" t="str">
        <f t="shared" si="56"/>
        <v/>
      </c>
      <c r="D2509" s="846" t="s">
        <v>4622</v>
      </c>
      <c r="E2509" s="993"/>
      <c r="F2509" s="993"/>
      <c r="G2509" s="1835" t="s">
        <v>4623</v>
      </c>
      <c r="J2509" s="1970" t="s">
        <v>4960</v>
      </c>
    </row>
    <row r="2510" spans="1:10" x14ac:dyDescent="0.25">
      <c r="A2510" s="585" t="str">
        <f>IF(dstCommercial="Yes","P","")</f>
        <v/>
      </c>
      <c r="C2510" s="254" t="str">
        <f t="shared" si="56"/>
        <v/>
      </c>
      <c r="D2510" s="174"/>
      <c r="E2510" s="863"/>
      <c r="F2510" s="863"/>
      <c r="G2510" s="1834"/>
      <c r="J2510" s="1977"/>
    </row>
    <row r="2511" spans="1:10" x14ac:dyDescent="0.25">
      <c r="A2511" s="585" t="str">
        <f>IF(dstCommercial="Yes","P","")</f>
        <v/>
      </c>
      <c r="C2511" s="254" t="str">
        <f t="shared" si="56"/>
        <v/>
      </c>
      <c r="D2511" s="846" t="s">
        <v>4624</v>
      </c>
      <c r="E2511" s="993"/>
      <c r="F2511" s="993"/>
      <c r="G2511" s="1835" t="s">
        <v>4625</v>
      </c>
      <c r="J2511" s="1374" t="s">
        <v>5129</v>
      </c>
    </row>
    <row r="2512" spans="1:10" x14ac:dyDescent="0.25">
      <c r="A2512" s="585" t="str">
        <f>IF(dstCommercial="Yes","P","")</f>
        <v/>
      </c>
      <c r="C2512" s="254" t="str">
        <f t="shared" si="56"/>
        <v/>
      </c>
      <c r="D2512" s="174"/>
      <c r="E2512" s="863"/>
      <c r="F2512" s="863"/>
      <c r="G2512" s="1834"/>
      <c r="J2512" s="1374"/>
    </row>
    <row r="2513" spans="1:10" x14ac:dyDescent="0.25">
      <c r="A2513" s="585" t="str">
        <f>IF(dstCommercial="Yes","P","")</f>
        <v/>
      </c>
      <c r="C2513" s="254" t="str">
        <f t="shared" si="56"/>
        <v/>
      </c>
      <c r="D2513" s="846" t="s">
        <v>4626</v>
      </c>
      <c r="E2513" s="993"/>
      <c r="F2513" s="993"/>
      <c r="G2513" s="1835" t="s">
        <v>4627</v>
      </c>
      <c r="J2513" s="1374" t="s">
        <v>4965</v>
      </c>
    </row>
    <row r="2514" spans="1:10" x14ac:dyDescent="0.25">
      <c r="A2514" s="585" t="str">
        <f>IF(dstCommercial="Yes","P","")</f>
        <v/>
      </c>
      <c r="C2514" s="254" t="str">
        <f t="shared" si="56"/>
        <v/>
      </c>
      <c r="D2514" s="87"/>
      <c r="E2514" s="862"/>
      <c r="F2514" s="862"/>
      <c r="G2514" s="1833"/>
      <c r="J2514" s="1374"/>
    </row>
    <row r="2515" spans="1:10" x14ac:dyDescent="0.25">
      <c r="C2515" s="254" t="str">
        <f t="shared" ref="C2515:C2578" si="57">IF(LEN(B2515)=0,IF(A2515="P","P",""),B2515)</f>
        <v/>
      </c>
      <c r="D2515" s="174"/>
      <c r="E2515" s="863"/>
      <c r="F2515" s="863"/>
      <c r="G2515" s="1364" t="s">
        <v>4895</v>
      </c>
      <c r="J2515" s="1374"/>
    </row>
    <row r="2516" spans="1:10" x14ac:dyDescent="0.25">
      <c r="A2516" s="585" t="str">
        <f>IF(dstCommercial="Yes","P","")</f>
        <v/>
      </c>
      <c r="C2516" s="254" t="str">
        <f t="shared" si="57"/>
        <v/>
      </c>
      <c r="D2516" s="87" t="s">
        <v>4628</v>
      </c>
      <c r="E2516" s="862"/>
      <c r="F2516" s="862"/>
      <c r="G2516" s="1833" t="s">
        <v>4629</v>
      </c>
      <c r="J2516" s="1374" t="s">
        <v>4966</v>
      </c>
    </row>
    <row r="2517" spans="1:10" x14ac:dyDescent="0.25">
      <c r="A2517" s="585" t="str">
        <f>IF(dstCommercial="Yes","P","")</f>
        <v/>
      </c>
      <c r="C2517" s="254" t="str">
        <f t="shared" si="57"/>
        <v/>
      </c>
      <c r="D2517" s="87"/>
      <c r="E2517" s="862"/>
      <c r="F2517" s="862"/>
      <c r="G2517" s="1833"/>
      <c r="J2517" s="1374"/>
    </row>
    <row r="2518" spans="1:10" x14ac:dyDescent="0.25">
      <c r="A2518" s="585" t="str">
        <f>IF(dstCommercial="Yes","P","")</f>
        <v/>
      </c>
      <c r="C2518" s="254" t="str">
        <f t="shared" si="57"/>
        <v/>
      </c>
      <c r="D2518" s="87"/>
      <c r="E2518" s="862"/>
      <c r="F2518" s="862"/>
      <c r="G2518" s="1833"/>
      <c r="J2518" s="1374"/>
    </row>
    <row r="2519" spans="1:10" x14ac:dyDescent="0.25">
      <c r="A2519" s="585" t="str">
        <f>IF(dstCommercial="Yes","P","")</f>
        <v/>
      </c>
      <c r="C2519" s="254" t="str">
        <f t="shared" si="57"/>
        <v/>
      </c>
      <c r="D2519" s="87"/>
      <c r="E2519" s="862"/>
      <c r="F2519" s="862"/>
      <c r="G2519" s="1833"/>
      <c r="J2519" s="1374"/>
    </row>
    <row r="2520" spans="1:10" x14ac:dyDescent="0.25">
      <c r="A2520" s="585" t="str">
        <f>IF(dstCommercial="Yes","P","")</f>
        <v/>
      </c>
      <c r="C2520" s="254" t="str">
        <f t="shared" si="57"/>
        <v/>
      </c>
      <c r="D2520" s="87"/>
      <c r="E2520" s="862"/>
      <c r="F2520" s="862"/>
      <c r="G2520" s="1833"/>
      <c r="J2520" s="1374"/>
    </row>
    <row r="2521" spans="1:10" x14ac:dyDescent="0.25">
      <c r="A2521" s="585" t="str">
        <f>IF(dstCommercial="Yes","P","")</f>
        <v/>
      </c>
      <c r="C2521" s="254" t="str">
        <f t="shared" si="57"/>
        <v/>
      </c>
      <c r="D2521" s="87"/>
      <c r="E2521" s="862"/>
      <c r="F2521" s="862"/>
      <c r="G2521" s="1833"/>
      <c r="J2521" s="1374"/>
    </row>
    <row r="2522" spans="1:10" x14ac:dyDescent="0.25">
      <c r="C2522" s="254" t="str">
        <f t="shared" si="57"/>
        <v/>
      </c>
      <c r="D2522" s="87"/>
      <c r="E2522" s="863" t="s">
        <v>256</v>
      </c>
      <c r="F2522" s="863"/>
      <c r="G2522" s="1356" t="s">
        <v>4630</v>
      </c>
      <c r="J2522" s="1374"/>
    </row>
    <row r="2523" spans="1:10" x14ac:dyDescent="0.25">
      <c r="C2523" s="254" t="str">
        <f t="shared" si="57"/>
        <v/>
      </c>
      <c r="D2523" s="87"/>
      <c r="E2523" s="994" t="s">
        <v>258</v>
      </c>
      <c r="F2523" s="994"/>
      <c r="G2523" s="858" t="s">
        <v>4631</v>
      </c>
      <c r="J2523" s="1374"/>
    </row>
    <row r="2524" spans="1:10" x14ac:dyDescent="0.25">
      <c r="C2524" s="254" t="str">
        <f t="shared" si="57"/>
        <v/>
      </c>
      <c r="D2524" s="87"/>
      <c r="E2524" s="994" t="s">
        <v>260</v>
      </c>
      <c r="F2524" s="994"/>
      <c r="G2524" s="858" t="s">
        <v>4632</v>
      </c>
      <c r="J2524" s="1374"/>
    </row>
    <row r="2525" spans="1:10" x14ac:dyDescent="0.25">
      <c r="C2525" s="254" t="str">
        <f t="shared" si="57"/>
        <v/>
      </c>
      <c r="D2525" s="87"/>
      <c r="E2525" s="993" t="s">
        <v>269</v>
      </c>
      <c r="F2525" s="993"/>
      <c r="G2525" s="1769" t="s">
        <v>4633</v>
      </c>
      <c r="J2525" s="1374"/>
    </row>
    <row r="2526" spans="1:10" x14ac:dyDescent="0.25">
      <c r="C2526" s="254" t="str">
        <f t="shared" si="57"/>
        <v/>
      </c>
      <c r="D2526" s="87"/>
      <c r="E2526" s="863"/>
      <c r="F2526" s="863"/>
      <c r="G2526" s="1786"/>
      <c r="J2526" s="1374"/>
    </row>
    <row r="2527" spans="1:10" x14ac:dyDescent="0.25">
      <c r="C2527" s="254" t="str">
        <f t="shared" si="57"/>
        <v/>
      </c>
      <c r="D2527" s="87"/>
      <c r="E2527" s="994" t="s">
        <v>275</v>
      </c>
      <c r="F2527" s="994"/>
      <c r="G2527" s="858" t="s">
        <v>4634</v>
      </c>
      <c r="J2527" s="1374"/>
    </row>
    <row r="2528" spans="1:10" x14ac:dyDescent="0.25">
      <c r="C2528" s="254" t="str">
        <f t="shared" si="57"/>
        <v/>
      </c>
      <c r="D2528" s="87"/>
      <c r="E2528" s="994" t="s">
        <v>277</v>
      </c>
      <c r="F2528" s="994"/>
      <c r="G2528" s="858" t="s">
        <v>4635</v>
      </c>
      <c r="J2528" s="1374"/>
    </row>
    <row r="2529" spans="1:10" x14ac:dyDescent="0.25">
      <c r="C2529" s="254" t="str">
        <f t="shared" si="57"/>
        <v/>
      </c>
      <c r="D2529" s="87"/>
      <c r="E2529" s="994" t="s">
        <v>383</v>
      </c>
      <c r="F2529" s="994"/>
      <c r="G2529" s="858" t="s">
        <v>4636</v>
      </c>
      <c r="J2529" s="1374"/>
    </row>
    <row r="2530" spans="1:10" x14ac:dyDescent="0.25">
      <c r="C2530" s="254" t="str">
        <f t="shared" si="57"/>
        <v/>
      </c>
      <c r="D2530" s="87"/>
      <c r="E2530" s="994" t="s">
        <v>428</v>
      </c>
      <c r="F2530" s="994"/>
      <c r="G2530" s="858" t="s">
        <v>4637</v>
      </c>
      <c r="J2530" s="1374"/>
    </row>
    <row r="2531" spans="1:10" x14ac:dyDescent="0.25">
      <c r="C2531" s="254" t="str">
        <f t="shared" si="57"/>
        <v/>
      </c>
      <c r="D2531" s="87"/>
      <c r="E2531" s="994" t="s">
        <v>430</v>
      </c>
      <c r="F2531" s="994"/>
      <c r="G2531" s="858" t="s">
        <v>4638</v>
      </c>
      <c r="J2531" s="1374"/>
    </row>
    <row r="2532" spans="1:10" x14ac:dyDescent="0.25">
      <c r="C2532" s="254" t="str">
        <f t="shared" si="57"/>
        <v/>
      </c>
      <c r="D2532" s="87"/>
      <c r="E2532" s="994" t="s">
        <v>432</v>
      </c>
      <c r="F2532" s="994"/>
      <c r="G2532" s="858" t="s">
        <v>4639</v>
      </c>
      <c r="J2532" s="1374"/>
    </row>
    <row r="2533" spans="1:10" x14ac:dyDescent="0.25">
      <c r="C2533" s="254" t="str">
        <f t="shared" si="57"/>
        <v/>
      </c>
      <c r="D2533" s="87"/>
      <c r="E2533" s="993" t="s">
        <v>434</v>
      </c>
      <c r="F2533" s="993"/>
      <c r="G2533" s="1769" t="s">
        <v>4640</v>
      </c>
      <c r="J2533" s="1374"/>
    </row>
    <row r="2534" spans="1:10" x14ac:dyDescent="0.25">
      <c r="C2534" s="254" t="str">
        <f t="shared" si="57"/>
        <v/>
      </c>
      <c r="D2534" s="87"/>
      <c r="E2534" s="863"/>
      <c r="F2534" s="863"/>
      <c r="G2534" s="1786"/>
      <c r="J2534" s="1374"/>
    </row>
    <row r="2535" spans="1:10" x14ac:dyDescent="0.25">
      <c r="C2535" s="254" t="str">
        <f t="shared" si="57"/>
        <v/>
      </c>
      <c r="D2535" s="174"/>
      <c r="E2535" s="863" t="s">
        <v>436</v>
      </c>
      <c r="F2535" s="863"/>
      <c r="G2535" s="1356" t="s">
        <v>4641</v>
      </c>
      <c r="J2535" s="1374"/>
    </row>
    <row r="2536" spans="1:10" x14ac:dyDescent="0.25">
      <c r="A2536" s="585" t="str">
        <f>IF(dstCommercial="Yes","P","")</f>
        <v/>
      </c>
      <c r="C2536" s="254" t="str">
        <f t="shared" si="57"/>
        <v/>
      </c>
      <c r="D2536" s="846" t="s">
        <v>4642</v>
      </c>
      <c r="E2536" s="993"/>
      <c r="F2536" s="993"/>
      <c r="G2536" s="1835" t="s">
        <v>4643</v>
      </c>
      <c r="J2536" s="1970" t="s">
        <v>5130</v>
      </c>
    </row>
    <row r="2537" spans="1:10" x14ac:dyDescent="0.25">
      <c r="A2537" s="585" t="str">
        <f>IF(dstCommercial="Yes","P","")</f>
        <v/>
      </c>
      <c r="C2537" s="254" t="str">
        <f t="shared" si="57"/>
        <v/>
      </c>
      <c r="D2537" s="87"/>
      <c r="E2537" s="862"/>
      <c r="F2537" s="862"/>
      <c r="G2537" s="1833"/>
      <c r="J2537" s="1977"/>
    </row>
    <row r="2538" spans="1:10" x14ac:dyDescent="0.25">
      <c r="A2538" s="585" t="str">
        <f>IF(dstCommercial="Yes","P","")</f>
        <v/>
      </c>
      <c r="C2538" s="254" t="str">
        <f t="shared" si="57"/>
        <v/>
      </c>
      <c r="D2538" s="174"/>
      <c r="E2538" s="863"/>
      <c r="F2538" s="863"/>
      <c r="G2538" s="1834"/>
      <c r="J2538" s="1374"/>
    </row>
    <row r="2539" spans="1:10" x14ac:dyDescent="0.25">
      <c r="A2539" s="585" t="str">
        <f>IF(dstCommercial="Yes","P","")</f>
        <v/>
      </c>
      <c r="C2539" s="254" t="str">
        <f t="shared" si="57"/>
        <v/>
      </c>
      <c r="D2539" s="846" t="s">
        <v>4644</v>
      </c>
      <c r="E2539" s="993"/>
      <c r="F2539" s="993"/>
      <c r="G2539" s="1835" t="s">
        <v>4645</v>
      </c>
      <c r="J2539" s="1374" t="s">
        <v>4969</v>
      </c>
    </row>
    <row r="2540" spans="1:10" x14ac:dyDescent="0.25">
      <c r="A2540" s="585" t="str">
        <f>IF(dstCommercial="Yes","P","")</f>
        <v/>
      </c>
      <c r="C2540" s="254" t="str">
        <f t="shared" si="57"/>
        <v/>
      </c>
      <c r="D2540" s="87"/>
      <c r="E2540" s="862"/>
      <c r="F2540" s="862"/>
      <c r="G2540" s="1833"/>
      <c r="J2540" s="1374"/>
    </row>
    <row r="2541" spans="1:10" x14ac:dyDescent="0.25">
      <c r="A2541" s="585" t="str">
        <f>IF(dstCommercial="Yes","P","")</f>
        <v/>
      </c>
      <c r="C2541" s="254" t="str">
        <f t="shared" si="57"/>
        <v/>
      </c>
      <c r="D2541" s="87"/>
      <c r="E2541" s="862"/>
      <c r="F2541" s="862"/>
      <c r="G2541" s="1833"/>
      <c r="J2541" s="1374"/>
    </row>
    <row r="2542" spans="1:10" x14ac:dyDescent="0.25">
      <c r="A2542" s="585" t="str">
        <f>IF(dstCommercial="Yes","P","")</f>
        <v/>
      </c>
      <c r="C2542" s="254" t="str">
        <f t="shared" si="57"/>
        <v/>
      </c>
      <c r="D2542" s="174"/>
      <c r="E2542" s="863"/>
      <c r="F2542" s="863"/>
      <c r="G2542" s="1834"/>
      <c r="J2542" s="1374"/>
    </row>
    <row r="2543" spans="1:10" x14ac:dyDescent="0.25">
      <c r="A2543" s="585" t="str">
        <f>IF(dstCommercial="Yes","P","")</f>
        <v/>
      </c>
      <c r="C2543" s="254" t="str">
        <f t="shared" si="57"/>
        <v/>
      </c>
      <c r="D2543" s="87" t="s">
        <v>4646</v>
      </c>
      <c r="E2543" s="862"/>
      <c r="F2543" s="862"/>
      <c r="G2543" s="1833" t="s">
        <v>4647</v>
      </c>
      <c r="J2543" s="1374" t="s">
        <v>3892</v>
      </c>
    </row>
    <row r="2544" spans="1:10" x14ac:dyDescent="0.25">
      <c r="A2544" s="585" t="str">
        <f>IF(dstCommercial="Yes","P","")</f>
        <v/>
      </c>
      <c r="C2544" s="254" t="str">
        <f t="shared" si="57"/>
        <v/>
      </c>
      <c r="D2544" s="87"/>
      <c r="E2544" s="862"/>
      <c r="F2544" s="862"/>
      <c r="G2544" s="1833"/>
      <c r="J2544" s="1374"/>
    </row>
    <row r="2545" spans="1:10" x14ac:dyDescent="0.25">
      <c r="C2545" s="254" t="str">
        <f t="shared" si="57"/>
        <v/>
      </c>
      <c r="D2545" s="87"/>
      <c r="E2545" s="862" t="s">
        <v>256</v>
      </c>
      <c r="F2545" s="862"/>
      <c r="G2545" s="1787" t="s">
        <v>4648</v>
      </c>
      <c r="J2545" s="1374"/>
    </row>
    <row r="2546" spans="1:10" x14ac:dyDescent="0.25">
      <c r="C2546" s="254" t="str">
        <f t="shared" si="57"/>
        <v/>
      </c>
      <c r="D2546" s="87"/>
      <c r="E2546" s="863"/>
      <c r="F2546" s="863"/>
      <c r="G2546" s="1786"/>
      <c r="J2546" s="1374"/>
    </row>
    <row r="2547" spans="1:10" x14ac:dyDescent="0.25">
      <c r="C2547" s="254" t="str">
        <f t="shared" si="57"/>
        <v/>
      </c>
      <c r="D2547" s="87"/>
      <c r="E2547" s="993" t="s">
        <v>258</v>
      </c>
      <c r="F2547" s="993"/>
      <c r="G2547" s="1769" t="s">
        <v>4649</v>
      </c>
      <c r="J2547" s="1374"/>
    </row>
    <row r="2548" spans="1:10" x14ac:dyDescent="0.25">
      <c r="C2548" s="254" t="str">
        <f t="shared" si="57"/>
        <v/>
      </c>
      <c r="D2548" s="87"/>
      <c r="E2548" s="863"/>
      <c r="F2548" s="863"/>
      <c r="G2548" s="1786"/>
      <c r="J2548" s="1374"/>
    </row>
    <row r="2549" spans="1:10" x14ac:dyDescent="0.25">
      <c r="C2549" s="254" t="str">
        <f t="shared" si="57"/>
        <v/>
      </c>
      <c r="D2549" s="174"/>
      <c r="E2549" s="863" t="s">
        <v>260</v>
      </c>
      <c r="F2549" s="863"/>
      <c r="G2549" s="1356" t="s">
        <v>4650</v>
      </c>
      <c r="J2549" s="1374"/>
    </row>
    <row r="2550" spans="1:10" x14ac:dyDescent="0.25">
      <c r="A2550" s="585" t="str">
        <f>IF(dstCommercial="Yes","P","")</f>
        <v/>
      </c>
      <c r="C2550" s="254" t="str">
        <f t="shared" si="57"/>
        <v/>
      </c>
      <c r="D2550" s="87" t="s">
        <v>4651</v>
      </c>
      <c r="E2550" s="862"/>
      <c r="F2550" s="862"/>
      <c r="G2550" s="1833" t="s">
        <v>4652</v>
      </c>
      <c r="J2550" s="1374" t="s">
        <v>5131</v>
      </c>
    </row>
    <row r="2551" spans="1:10" x14ac:dyDescent="0.25">
      <c r="A2551" s="585" t="str">
        <f>IF(dstCommercial="Yes","P","")</f>
        <v/>
      </c>
      <c r="C2551" s="254" t="str">
        <f t="shared" si="57"/>
        <v/>
      </c>
      <c r="D2551" s="87"/>
      <c r="E2551" s="862"/>
      <c r="F2551" s="862"/>
      <c r="G2551" s="1833"/>
      <c r="J2551" s="1374"/>
    </row>
    <row r="2552" spans="1:10" x14ac:dyDescent="0.25">
      <c r="C2552" s="254" t="str">
        <f t="shared" si="57"/>
        <v/>
      </c>
      <c r="D2552" s="87"/>
      <c r="E2552" s="862" t="s">
        <v>256</v>
      </c>
      <c r="F2552" s="862"/>
      <c r="G2552" s="1787" t="s">
        <v>4653</v>
      </c>
      <c r="J2552" s="1374"/>
    </row>
    <row r="2553" spans="1:10" x14ac:dyDescent="0.25">
      <c r="C2553" s="254" t="str">
        <f t="shared" si="57"/>
        <v/>
      </c>
      <c r="D2553" s="87"/>
      <c r="E2553" s="863"/>
      <c r="F2553" s="863"/>
      <c r="G2553" s="1786"/>
      <c r="J2553" s="1374"/>
    </row>
    <row r="2554" spans="1:10" x14ac:dyDescent="0.25">
      <c r="C2554" s="254" t="str">
        <f t="shared" si="57"/>
        <v/>
      </c>
      <c r="D2554" s="87"/>
      <c r="E2554" s="862" t="s">
        <v>258</v>
      </c>
      <c r="F2554" s="862"/>
      <c r="G2554" s="1787" t="s">
        <v>4654</v>
      </c>
      <c r="J2554" s="1374"/>
    </row>
    <row r="2555" spans="1:10" ht="15.75" thickBot="1" x14ac:dyDescent="0.3">
      <c r="C2555" s="254" t="str">
        <f t="shared" si="57"/>
        <v/>
      </c>
      <c r="D2555" s="96"/>
      <c r="E2555" s="902"/>
      <c r="F2555" s="902"/>
      <c r="G2555" s="1766"/>
      <c r="J2555" s="1374"/>
    </row>
    <row r="2556" spans="1:10" ht="15.75" thickTop="1" x14ac:dyDescent="0.25">
      <c r="A2556" s="585" t="str">
        <f>IF(dstCommercial="Yes","P","")</f>
        <v/>
      </c>
      <c r="C2556" s="254" t="str">
        <f t="shared" si="57"/>
        <v/>
      </c>
      <c r="D2556" s="114" t="s">
        <v>4655</v>
      </c>
      <c r="E2556" s="1007"/>
      <c r="F2556" s="1007"/>
      <c r="G2556" s="1899" t="s">
        <v>4656</v>
      </c>
      <c r="J2556" s="1374" t="s">
        <v>5132</v>
      </c>
    </row>
    <row r="2557" spans="1:10" ht="15.75" thickBot="1" x14ac:dyDescent="0.3">
      <c r="A2557" s="585" t="str">
        <f>IF(dstCommercial="Yes","P","")</f>
        <v/>
      </c>
      <c r="C2557" s="254" t="str">
        <f t="shared" si="57"/>
        <v/>
      </c>
      <c r="D2557" s="96"/>
      <c r="E2557" s="902"/>
      <c r="F2557" s="902"/>
      <c r="G2557" s="1900"/>
      <c r="J2557" s="1374"/>
    </row>
    <row r="2558" spans="1:10" ht="15.75" thickTop="1" x14ac:dyDescent="0.25">
      <c r="A2558" s="585" t="str">
        <f>IF(dstCommercial="Yes","P","")</f>
        <v/>
      </c>
      <c r="C2558" s="254" t="str">
        <f t="shared" si="57"/>
        <v/>
      </c>
      <c r="D2558" s="114" t="s">
        <v>4657</v>
      </c>
      <c r="E2558" s="1007"/>
      <c r="F2558" s="1007"/>
      <c r="G2558" s="1899" t="s">
        <v>4658</v>
      </c>
      <c r="J2558" s="1374"/>
    </row>
    <row r="2559" spans="1:10" x14ac:dyDescent="0.25">
      <c r="A2559" s="585" t="str">
        <f>IF(dstCommercial="Yes","P","")</f>
        <v/>
      </c>
      <c r="C2559" s="254" t="str">
        <f t="shared" si="57"/>
        <v/>
      </c>
      <c r="D2559" s="87"/>
      <c r="E2559" s="862"/>
      <c r="F2559" s="862"/>
      <c r="G2559" s="1833"/>
      <c r="J2559" s="1374"/>
    </row>
    <row r="2560" spans="1:10" x14ac:dyDescent="0.25">
      <c r="A2560" s="585" t="str">
        <f>IF(dstCommercial="Yes","P","")</f>
        <v/>
      </c>
      <c r="C2560" s="254" t="str">
        <f t="shared" si="57"/>
        <v/>
      </c>
      <c r="D2560" s="174"/>
      <c r="E2560" s="863"/>
      <c r="F2560" s="863"/>
      <c r="G2560" s="1834"/>
      <c r="J2560" s="1374"/>
    </row>
    <row r="2561" spans="1:10" ht="15" customHeight="1" x14ac:dyDescent="0.25">
      <c r="A2561" s="585" t="str">
        <f>IF(dstCommercial="Yes","P","")</f>
        <v/>
      </c>
      <c r="C2561" s="254" t="str">
        <f t="shared" si="57"/>
        <v/>
      </c>
      <c r="D2561" s="174" t="s">
        <v>4659</v>
      </c>
      <c r="E2561" s="863"/>
      <c r="F2561" s="863"/>
      <c r="G2561" s="1362" t="s">
        <v>4660</v>
      </c>
      <c r="J2561" s="1374" t="s">
        <v>5133</v>
      </c>
    </row>
    <row r="2562" spans="1:10" x14ac:dyDescent="0.25">
      <c r="A2562" s="585" t="str">
        <f>IF(dstCommercial="Yes","P","")</f>
        <v/>
      </c>
      <c r="C2562" s="254" t="str">
        <f t="shared" si="57"/>
        <v/>
      </c>
      <c r="D2562" s="64">
        <v>606.1</v>
      </c>
      <c r="E2562" s="66"/>
      <c r="F2562" s="85"/>
      <c r="G2562" s="85" t="s">
        <v>668</v>
      </c>
      <c r="J2562" s="1374"/>
    </row>
    <row r="2563" spans="1:10" x14ac:dyDescent="0.25">
      <c r="A2563" s="585" t="str">
        <f>IF(dstCommercial="Yes","P","")</f>
        <v/>
      </c>
      <c r="C2563" s="254" t="str">
        <f t="shared" si="57"/>
        <v/>
      </c>
      <c r="D2563" s="64"/>
      <c r="E2563" s="66"/>
      <c r="F2563" s="87" t="s">
        <v>121</v>
      </c>
      <c r="G2563" s="1128" t="s">
        <v>669</v>
      </c>
      <c r="J2563" s="1374"/>
    </row>
    <row r="2564" spans="1:10" x14ac:dyDescent="0.25">
      <c r="A2564" s="585" t="str">
        <f>IF(dstCommercial="Yes","P","")</f>
        <v/>
      </c>
      <c r="C2564" s="254" t="str">
        <f t="shared" si="57"/>
        <v/>
      </c>
      <c r="D2564" s="64"/>
      <c r="E2564" s="66"/>
      <c r="F2564" s="87" t="s">
        <v>122</v>
      </c>
      <c r="G2564" s="1128" t="s">
        <v>670</v>
      </c>
      <c r="J2564" s="1374"/>
    </row>
    <row r="2565" spans="1:10" x14ac:dyDescent="0.25">
      <c r="A2565" s="585" t="str">
        <f>IF(dstCommercial="Yes","P","")</f>
        <v/>
      </c>
      <c r="C2565" s="254" t="str">
        <f t="shared" si="57"/>
        <v/>
      </c>
      <c r="D2565" s="64"/>
      <c r="E2565" s="66"/>
      <c r="F2565" s="89" t="s">
        <v>123</v>
      </c>
      <c r="G2565" s="1128" t="s">
        <v>671</v>
      </c>
      <c r="J2565" s="1374"/>
    </row>
    <row r="2566" spans="1:10" x14ac:dyDescent="0.25">
      <c r="A2566" s="585" t="str">
        <f>IF(dstCommercial="Yes","P","")</f>
        <v/>
      </c>
      <c r="C2566" s="254" t="str">
        <f t="shared" si="57"/>
        <v/>
      </c>
      <c r="D2566" s="64"/>
      <c r="E2566" s="66"/>
      <c r="F2566" s="85" t="s">
        <v>401</v>
      </c>
      <c r="G2566" s="1128" t="s">
        <v>672</v>
      </c>
      <c r="J2566" s="1374"/>
    </row>
    <row r="2567" spans="1:10" x14ac:dyDescent="0.25">
      <c r="A2567" s="585" t="str">
        <f>IF(dstCommercial="Yes","P","")</f>
        <v/>
      </c>
      <c r="C2567" s="254" t="str">
        <f t="shared" si="57"/>
        <v/>
      </c>
      <c r="D2567" s="64"/>
      <c r="E2567" s="66"/>
      <c r="F2567" s="87" t="s">
        <v>539</v>
      </c>
      <c r="G2567" s="1128" t="s">
        <v>673</v>
      </c>
      <c r="J2567" s="1374"/>
    </row>
    <row r="2568" spans="1:10" x14ac:dyDescent="0.25">
      <c r="A2568" s="585" t="str">
        <f>IF(dstCommercial="Yes","P","")</f>
        <v/>
      </c>
      <c r="C2568" s="254" t="str">
        <f t="shared" si="57"/>
        <v/>
      </c>
      <c r="D2568" s="64"/>
      <c r="E2568" s="66"/>
      <c r="F2568" s="87" t="s">
        <v>604</v>
      </c>
      <c r="G2568" s="1128" t="s">
        <v>674</v>
      </c>
      <c r="J2568" s="1374"/>
    </row>
    <row r="2569" spans="1:10" x14ac:dyDescent="0.25">
      <c r="A2569" s="585" t="str">
        <f>IF(dstCommercial="Yes","P","")</f>
        <v/>
      </c>
      <c r="C2569" s="254" t="str">
        <f t="shared" si="57"/>
        <v/>
      </c>
      <c r="D2569" s="64"/>
      <c r="E2569" s="66"/>
      <c r="F2569" s="89" t="s">
        <v>606</v>
      </c>
      <c r="G2569" s="1128" t="s">
        <v>675</v>
      </c>
      <c r="J2569" s="1374"/>
    </row>
    <row r="2570" spans="1:10" x14ac:dyDescent="0.25">
      <c r="A2570" s="585" t="str">
        <f>IF(dstCommercial="Yes","P","")</f>
        <v/>
      </c>
      <c r="C2570" s="254" t="str">
        <f t="shared" si="57"/>
        <v/>
      </c>
      <c r="D2570" s="64"/>
      <c r="E2570" s="66"/>
      <c r="F2570" s="85" t="s">
        <v>608</v>
      </c>
      <c r="G2570" s="1779" t="s">
        <v>676</v>
      </c>
      <c r="J2570" s="1374"/>
    </row>
    <row r="2571" spans="1:10" x14ac:dyDescent="0.25">
      <c r="A2571" s="585" t="str">
        <f>IF(dstCommercial="Yes","P","")</f>
        <v/>
      </c>
      <c r="C2571" s="254" t="str">
        <f t="shared" si="57"/>
        <v/>
      </c>
      <c r="D2571" s="64"/>
      <c r="E2571" s="66"/>
      <c r="F2571" s="85"/>
      <c r="G2571" s="1779"/>
      <c r="J2571" s="1374"/>
    </row>
    <row r="2572" spans="1:10" x14ac:dyDescent="0.25">
      <c r="C2572" s="254" t="str">
        <f t="shared" si="57"/>
        <v/>
      </c>
      <c r="D2572" s="64"/>
      <c r="E2572" s="66"/>
      <c r="F2572" s="85"/>
      <c r="G2572" s="1364" t="s">
        <v>1106</v>
      </c>
      <c r="J2572" s="1374"/>
    </row>
    <row r="2573" spans="1:10" x14ac:dyDescent="0.25">
      <c r="A2573" s="585" t="str">
        <f>IF(dstCommercial="Yes","P","")</f>
        <v/>
      </c>
      <c r="C2573" s="254" t="str">
        <f t="shared" si="57"/>
        <v/>
      </c>
      <c r="D2573" s="64"/>
      <c r="E2573" s="27" t="s">
        <v>256</v>
      </c>
      <c r="F2573" s="85"/>
      <c r="G2573" s="1779" t="s">
        <v>677</v>
      </c>
      <c r="J2573" s="1374"/>
    </row>
    <row r="2574" spans="1:10" x14ac:dyDescent="0.25">
      <c r="A2574" s="585" t="str">
        <f>IF(dstCommercial="Yes","P","")</f>
        <v/>
      </c>
      <c r="C2574" s="254" t="str">
        <f t="shared" si="57"/>
        <v/>
      </c>
      <c r="D2574" s="64"/>
      <c r="E2574" s="534"/>
      <c r="F2574" s="216"/>
      <c r="G2574" s="1755"/>
      <c r="J2574" s="1374"/>
    </row>
    <row r="2575" spans="1:10" x14ac:dyDescent="0.25">
      <c r="A2575" s="585" t="str">
        <f>IF(dstCommercial="Yes","P","")</f>
        <v/>
      </c>
      <c r="C2575" s="254" t="str">
        <f t="shared" si="57"/>
        <v/>
      </c>
      <c r="D2575" s="64"/>
      <c r="E2575" s="209" t="s">
        <v>258</v>
      </c>
      <c r="F2575" s="214"/>
      <c r="G2575" s="1778" t="s">
        <v>678</v>
      </c>
      <c r="J2575" s="1374"/>
    </row>
    <row r="2576" spans="1:10" x14ac:dyDescent="0.25">
      <c r="A2576" s="585" t="str">
        <f>IF(dstCommercial="Yes","P","")</f>
        <v/>
      </c>
      <c r="C2576" s="254" t="str">
        <f t="shared" si="57"/>
        <v/>
      </c>
      <c r="D2576" s="64"/>
      <c r="E2576" s="534"/>
      <c r="F2576" s="216"/>
      <c r="G2576" s="1755"/>
      <c r="J2576" s="1374"/>
    </row>
    <row r="2577" spans="1:10" x14ac:dyDescent="0.25">
      <c r="A2577" s="585" t="str">
        <f>IF(dstCommercial="Yes","P","")</f>
        <v/>
      </c>
      <c r="C2577" s="254" t="str">
        <f t="shared" si="57"/>
        <v/>
      </c>
      <c r="D2577" s="64"/>
      <c r="E2577" s="27" t="s">
        <v>260</v>
      </c>
      <c r="F2577" s="85"/>
      <c r="G2577" s="1779" t="s">
        <v>679</v>
      </c>
      <c r="J2577" s="1374"/>
    </row>
    <row r="2578" spans="1:10" ht="15.75" thickBot="1" x14ac:dyDescent="0.3">
      <c r="A2578" s="585" t="str">
        <f>IF(dstCommercial="Yes","P","")</f>
        <v/>
      </c>
      <c r="C2578" s="254" t="str">
        <f t="shared" si="57"/>
        <v/>
      </c>
      <c r="D2578" s="64"/>
      <c r="E2578" s="66"/>
      <c r="F2578" s="85"/>
      <c r="G2578" s="1779"/>
      <c r="J2578" s="1374"/>
    </row>
    <row r="2579" spans="1:10" ht="15.75" thickTop="1" x14ac:dyDescent="0.25">
      <c r="A2579" s="585" t="str">
        <f>IF(dstCommercial="Yes","P","")</f>
        <v/>
      </c>
      <c r="C2579" s="254" t="str">
        <f t="shared" ref="C2579:C2642" si="58">IF(LEN(B2579)=0,IF(A2579="P","P",""),B2579)</f>
        <v/>
      </c>
      <c r="D2579" s="180">
        <v>606.20000000000005</v>
      </c>
      <c r="E2579" s="509"/>
      <c r="F2579" s="1401"/>
      <c r="G2579" s="1781" t="s">
        <v>4182</v>
      </c>
      <c r="J2579" s="1374"/>
    </row>
    <row r="2580" spans="1:10" x14ac:dyDescent="0.25">
      <c r="A2580" s="585" t="str">
        <f>IF(dstCommercial="Yes","P","")</f>
        <v/>
      </c>
      <c r="C2580" s="254" t="str">
        <f t="shared" si="58"/>
        <v/>
      </c>
      <c r="D2580" s="64"/>
      <c r="E2580" s="66"/>
      <c r="F2580" s="85"/>
      <c r="G2580" s="1796"/>
      <c r="J2580" s="1374"/>
    </row>
    <row r="2581" spans="1:10" x14ac:dyDescent="0.25">
      <c r="A2581" s="585" t="str">
        <f>IF(dstCommercial="Yes","P","")</f>
        <v/>
      </c>
      <c r="C2581" s="254" t="str">
        <f t="shared" si="58"/>
        <v/>
      </c>
      <c r="D2581" s="64"/>
      <c r="E2581" s="66"/>
      <c r="F2581" s="87" t="s">
        <v>121</v>
      </c>
      <c r="G2581" s="1359" t="s">
        <v>680</v>
      </c>
      <c r="J2581" s="1374"/>
    </row>
    <row r="2582" spans="1:10" x14ac:dyDescent="0.25">
      <c r="A2582" s="585" t="str">
        <f>IF(dstCommercial="Yes","P","")</f>
        <v/>
      </c>
      <c r="C2582" s="254" t="str">
        <f t="shared" si="58"/>
        <v/>
      </c>
      <c r="D2582" s="64"/>
      <c r="E2582" s="66"/>
      <c r="F2582" s="87" t="s">
        <v>122</v>
      </c>
      <c r="G2582" s="1779" t="s">
        <v>681</v>
      </c>
      <c r="J2582" s="1374"/>
    </row>
    <row r="2583" spans="1:10" x14ac:dyDescent="0.25">
      <c r="A2583" s="585" t="str">
        <f>IF(dstCommercial="Yes","P","")</f>
        <v/>
      </c>
      <c r="C2583" s="254" t="str">
        <f t="shared" si="58"/>
        <v/>
      </c>
      <c r="D2583" s="64"/>
      <c r="E2583" s="66"/>
      <c r="F2583" s="87"/>
      <c r="G2583" s="1779"/>
      <c r="J2583" s="1374"/>
    </row>
    <row r="2584" spans="1:10" x14ac:dyDescent="0.25">
      <c r="A2584" s="585" t="str">
        <f>IF(dstCommercial="Yes","P","")</f>
        <v/>
      </c>
      <c r="C2584" s="254" t="str">
        <f t="shared" si="58"/>
        <v/>
      </c>
      <c r="D2584" s="64"/>
      <c r="E2584" s="66"/>
      <c r="F2584" s="87" t="s">
        <v>123</v>
      </c>
      <c r="G2584" s="233" t="s">
        <v>682</v>
      </c>
      <c r="J2584" s="1374"/>
    </row>
    <row r="2585" spans="1:10" x14ac:dyDescent="0.25">
      <c r="A2585" s="585" t="str">
        <f>IF(dstCommercial="Yes","P","")</f>
        <v/>
      </c>
      <c r="C2585" s="254" t="str">
        <f t="shared" si="58"/>
        <v/>
      </c>
      <c r="D2585" s="64"/>
      <c r="E2585" s="66"/>
      <c r="F2585" s="89" t="s">
        <v>401</v>
      </c>
      <c r="G2585" s="233" t="s">
        <v>683</v>
      </c>
      <c r="J2585" s="1374"/>
    </row>
    <row r="2586" spans="1:10" x14ac:dyDescent="0.25">
      <c r="A2586" s="585" t="str">
        <f>IF(dstCommercial="Yes","P","")</f>
        <v/>
      </c>
      <c r="C2586" s="254" t="str">
        <f t="shared" si="58"/>
        <v/>
      </c>
      <c r="D2586" s="64"/>
      <c r="E2586" s="66"/>
      <c r="F2586" s="85" t="s">
        <v>539</v>
      </c>
      <c r="G2586" s="233" t="s">
        <v>684</v>
      </c>
      <c r="J2586" s="1374"/>
    </row>
    <row r="2587" spans="1:10" x14ac:dyDescent="0.25">
      <c r="A2587" s="585" t="str">
        <f>IF(dstCommercial="Yes","P","")</f>
        <v/>
      </c>
      <c r="C2587" s="254" t="str">
        <f t="shared" si="58"/>
        <v/>
      </c>
      <c r="D2587" s="64"/>
      <c r="E2587" s="66"/>
      <c r="F2587" s="87" t="s">
        <v>604</v>
      </c>
      <c r="G2587" s="1359" t="s">
        <v>685</v>
      </c>
      <c r="J2587" s="1374"/>
    </row>
    <row r="2588" spans="1:10" x14ac:dyDescent="0.25">
      <c r="A2588" s="585" t="str">
        <f>IF(dstCommercial="Yes","P","")</f>
        <v/>
      </c>
      <c r="C2588" s="254" t="str">
        <f t="shared" si="58"/>
        <v/>
      </c>
      <c r="D2588" s="64"/>
      <c r="E2588" s="66"/>
      <c r="F2588" s="87" t="s">
        <v>606</v>
      </c>
      <c r="G2588" s="1359" t="s">
        <v>686</v>
      </c>
      <c r="J2588" s="1374"/>
    </row>
    <row r="2589" spans="1:10" x14ac:dyDescent="0.25">
      <c r="A2589" s="585" t="str">
        <f>IF(dstCommercial="Yes","P","")</f>
        <v/>
      </c>
      <c r="C2589" s="254" t="str">
        <f t="shared" si="58"/>
        <v/>
      </c>
      <c r="D2589" s="64"/>
      <c r="E2589" s="66"/>
      <c r="F2589" s="87" t="s">
        <v>608</v>
      </c>
      <c r="G2589" s="1787" t="s">
        <v>4178</v>
      </c>
      <c r="J2589" s="1374"/>
    </row>
    <row r="2590" spans="1:10" x14ac:dyDescent="0.25">
      <c r="A2590" s="585" t="str">
        <f>IF(dstCommercial="Yes","P","")</f>
        <v/>
      </c>
      <c r="C2590" s="254" t="str">
        <f t="shared" si="58"/>
        <v/>
      </c>
      <c r="D2590" s="64"/>
      <c r="E2590" s="66"/>
      <c r="F2590" s="87"/>
      <c r="G2590" s="1787"/>
      <c r="J2590" s="1374"/>
    </row>
    <row r="2591" spans="1:10" x14ac:dyDescent="0.25">
      <c r="A2591" s="585" t="str">
        <f>IF(dstCommercial="Yes","P","")</f>
        <v/>
      </c>
      <c r="C2591" s="254" t="str">
        <f t="shared" si="58"/>
        <v/>
      </c>
      <c r="D2591" s="64"/>
      <c r="E2591" s="66"/>
      <c r="F2591" s="87"/>
      <c r="G2591" s="1787"/>
      <c r="J2591" s="1374"/>
    </row>
    <row r="2592" spans="1:10" x14ac:dyDescent="0.25">
      <c r="A2592" s="585" t="str">
        <f>IF(dstCommercial="Yes","P","")</f>
        <v/>
      </c>
      <c r="C2592" s="254" t="str">
        <f t="shared" si="58"/>
        <v/>
      </c>
      <c r="D2592" s="64"/>
      <c r="E2592" s="66"/>
      <c r="F2592" s="87"/>
      <c r="G2592" s="1787"/>
      <c r="J2592" s="1374"/>
    </row>
    <row r="2593" spans="1:10" x14ac:dyDescent="0.25">
      <c r="A2593" s="585" t="str">
        <f>IF(dstCommercial="Yes","P","")</f>
        <v/>
      </c>
      <c r="C2593" s="254" t="str">
        <f t="shared" si="58"/>
        <v/>
      </c>
      <c r="D2593" s="64"/>
      <c r="E2593" s="66"/>
      <c r="F2593" s="87"/>
      <c r="G2593" s="1787"/>
      <c r="J2593" s="1374"/>
    </row>
    <row r="2594" spans="1:10" x14ac:dyDescent="0.25">
      <c r="A2594" s="585" t="str">
        <f>IF(dstCommercial="Yes","P","")</f>
        <v/>
      </c>
      <c r="C2594" s="254" t="str">
        <f t="shared" si="58"/>
        <v/>
      </c>
      <c r="D2594" s="64"/>
      <c r="E2594" s="27" t="s">
        <v>256</v>
      </c>
      <c r="F2594" s="85"/>
      <c r="G2594" s="1779" t="s">
        <v>4180</v>
      </c>
      <c r="J2594" s="1374"/>
    </row>
    <row r="2595" spans="1:10" x14ac:dyDescent="0.25">
      <c r="A2595" s="585" t="str">
        <f>IF(dstCommercial="Yes","P","")</f>
        <v/>
      </c>
      <c r="C2595" s="254" t="str">
        <f t="shared" si="58"/>
        <v/>
      </c>
      <c r="D2595" s="64"/>
      <c r="E2595" s="27"/>
      <c r="F2595" s="85"/>
      <c r="G2595" s="1779"/>
      <c r="J2595" s="1374"/>
    </row>
    <row r="2596" spans="1:10" x14ac:dyDescent="0.25">
      <c r="C2596" s="254" t="str">
        <f t="shared" si="58"/>
        <v/>
      </c>
      <c r="D2596" s="64"/>
      <c r="E2596" s="206"/>
      <c r="F2596" s="216"/>
      <c r="G2596" s="1365" t="s">
        <v>3081</v>
      </c>
      <c r="J2596" s="1374"/>
    </row>
    <row r="2597" spans="1:10" x14ac:dyDescent="0.25">
      <c r="A2597" s="585" t="str">
        <f>IF(dstCommercial="Yes","P","")</f>
        <v/>
      </c>
      <c r="C2597" s="254" t="str">
        <f t="shared" si="58"/>
        <v/>
      </c>
      <c r="D2597" s="64"/>
      <c r="E2597" s="27" t="s">
        <v>258</v>
      </c>
      <c r="F2597" s="85"/>
      <c r="G2597" s="1779" t="s">
        <v>4181</v>
      </c>
      <c r="J2597" s="1374"/>
    </row>
    <row r="2598" spans="1:10" x14ac:dyDescent="0.25">
      <c r="A2598" s="585" t="str">
        <f>IF(dstCommercial="Yes","P","")</f>
        <v/>
      </c>
      <c r="C2598" s="254" t="str">
        <f t="shared" si="58"/>
        <v/>
      </c>
      <c r="D2598" s="64"/>
      <c r="E2598" s="66"/>
      <c r="F2598" s="85"/>
      <c r="G2598" s="1779"/>
      <c r="J2598" s="1374"/>
    </row>
    <row r="2599" spans="1:10" ht="15.75" thickBot="1" x14ac:dyDescent="0.3">
      <c r="C2599" s="254" t="str">
        <f t="shared" si="58"/>
        <v/>
      </c>
      <c r="D2599" s="64"/>
      <c r="E2599" s="66"/>
      <c r="F2599" s="85"/>
      <c r="G2599" s="1368" t="s">
        <v>3081</v>
      </c>
      <c r="J2599" s="1374"/>
    </row>
    <row r="2600" spans="1:10" ht="15.75" thickTop="1" x14ac:dyDescent="0.25">
      <c r="A2600" s="585" t="str">
        <f>IF(dstCommercial="Yes","P","")</f>
        <v/>
      </c>
      <c r="C2600" s="254" t="str">
        <f t="shared" si="58"/>
        <v/>
      </c>
      <c r="D2600" s="180">
        <v>606.29999999999995</v>
      </c>
      <c r="E2600" s="509"/>
      <c r="F2600" s="1401"/>
      <c r="G2600" s="1781" t="s">
        <v>687</v>
      </c>
      <c r="J2600" s="1374"/>
    </row>
    <row r="2601" spans="1:10" x14ac:dyDescent="0.25">
      <c r="A2601" s="585" t="str">
        <f>IF(dstCommercial="Yes","P","")</f>
        <v/>
      </c>
      <c r="C2601" s="254" t="str">
        <f t="shared" si="58"/>
        <v/>
      </c>
      <c r="D2601" s="64"/>
      <c r="E2601" s="66"/>
      <c r="F2601" s="85"/>
      <c r="G2601" s="1796"/>
      <c r="J2601" s="1374"/>
    </row>
    <row r="2602" spans="1:10" x14ac:dyDescent="0.25">
      <c r="A2602" s="585" t="str">
        <f>IF(dstCommercial="Yes","P","")</f>
        <v/>
      </c>
      <c r="C2602" s="254" t="str">
        <f t="shared" si="58"/>
        <v/>
      </c>
      <c r="D2602" s="64"/>
      <c r="E2602" s="66"/>
      <c r="F2602" s="85"/>
      <c r="G2602" s="1796"/>
      <c r="J2602" s="1374"/>
    </row>
    <row r="2603" spans="1:10" x14ac:dyDescent="0.25">
      <c r="A2603" s="585" t="str">
        <f>IF(dstCommercial="Yes","P","")</f>
        <v/>
      </c>
      <c r="C2603" s="254" t="str">
        <f t="shared" si="58"/>
        <v/>
      </c>
      <c r="D2603" s="64"/>
      <c r="E2603" s="66"/>
      <c r="F2603" s="85"/>
      <c r="G2603" s="1796"/>
      <c r="J2603" s="1374"/>
    </row>
    <row r="2604" spans="1:10" x14ac:dyDescent="0.25">
      <c r="A2604" s="585" t="str">
        <f>IF(dstCommercial="Yes","P","")</f>
        <v/>
      </c>
      <c r="C2604" s="254" t="str">
        <f t="shared" si="58"/>
        <v/>
      </c>
      <c r="D2604" s="64"/>
      <c r="E2604" s="66"/>
      <c r="F2604" s="85"/>
      <c r="G2604" s="1373" t="s">
        <v>688</v>
      </c>
      <c r="J2604" s="1374"/>
    </row>
    <row r="2605" spans="1:10" ht="15.75" thickBot="1" x14ac:dyDescent="0.3">
      <c r="C2605" s="254" t="str">
        <f t="shared" si="58"/>
        <v/>
      </c>
      <c r="D2605" s="189"/>
      <c r="E2605" s="855"/>
      <c r="F2605" s="104"/>
      <c r="G2605" s="1367" t="s">
        <v>3085</v>
      </c>
      <c r="J2605" s="1374"/>
    </row>
    <row r="2606" spans="1:10" ht="15.75" thickTop="1" x14ac:dyDescent="0.25">
      <c r="A2606" s="585" t="str">
        <f>IF(dstCommercial="Yes","P","")</f>
        <v/>
      </c>
      <c r="C2606" s="254" t="str">
        <f t="shared" si="58"/>
        <v/>
      </c>
      <c r="D2606" s="64">
        <v>608.1</v>
      </c>
      <c r="E2606" s="66"/>
      <c r="F2606" s="85"/>
      <c r="G2606" s="1796" t="s">
        <v>693</v>
      </c>
      <c r="J2606" s="1374"/>
    </row>
    <row r="2607" spans="1:10" x14ac:dyDescent="0.25">
      <c r="A2607" s="585" t="str">
        <f>IF(dstCommercial="Yes","P","")</f>
        <v/>
      </c>
      <c r="C2607" s="254" t="str">
        <f t="shared" si="58"/>
        <v/>
      </c>
      <c r="D2607" s="64"/>
      <c r="E2607" s="66"/>
      <c r="F2607" s="85"/>
      <c r="G2607" s="1796"/>
      <c r="J2607" s="1374"/>
    </row>
    <row r="2608" spans="1:10" x14ac:dyDescent="0.25">
      <c r="A2608" s="585" t="str">
        <f>IF(dstCommercial="Yes","P","")</f>
        <v/>
      </c>
      <c r="C2608" s="254" t="str">
        <f t="shared" si="58"/>
        <v/>
      </c>
      <c r="D2608" s="64"/>
      <c r="E2608" s="66"/>
      <c r="F2608" s="85"/>
      <c r="G2608" s="1796"/>
      <c r="J2608" s="1374"/>
    </row>
    <row r="2609" spans="1:10" x14ac:dyDescent="0.25">
      <c r="A2609" s="585" t="str">
        <f>IF(dstCommercial="Yes","P","")</f>
        <v/>
      </c>
      <c r="C2609" s="254" t="str">
        <f t="shared" si="58"/>
        <v/>
      </c>
      <c r="D2609" s="64"/>
      <c r="E2609" s="27" t="s">
        <v>256</v>
      </c>
      <c r="F2609" s="85"/>
      <c r="G2609" s="1779" t="s">
        <v>694</v>
      </c>
      <c r="J2609" s="1374"/>
    </row>
    <row r="2610" spans="1:10" x14ac:dyDescent="0.25">
      <c r="A2610" s="585" t="str">
        <f>IF(dstCommercial="Yes","P","")</f>
        <v/>
      </c>
      <c r="C2610" s="254" t="str">
        <f t="shared" si="58"/>
        <v/>
      </c>
      <c r="D2610" s="64"/>
      <c r="E2610" s="27"/>
      <c r="F2610" s="85"/>
      <c r="G2610" s="1779"/>
      <c r="J2610" s="1374"/>
    </row>
    <row r="2611" spans="1:10" x14ac:dyDescent="0.25">
      <c r="A2611" s="585" t="str">
        <f>IF(dstCommercial="Yes","P","")</f>
        <v/>
      </c>
      <c r="C2611" s="254" t="str">
        <f t="shared" si="58"/>
        <v/>
      </c>
      <c r="D2611" s="64"/>
      <c r="E2611" s="27" t="s">
        <v>258</v>
      </c>
      <c r="F2611" s="85"/>
      <c r="G2611" s="1128" t="s">
        <v>695</v>
      </c>
      <c r="J2611" s="1374"/>
    </row>
    <row r="2612" spans="1:10" x14ac:dyDescent="0.25">
      <c r="A2612" s="585" t="str">
        <f>IF(dstCommercial="Yes","P","")</f>
        <v/>
      </c>
      <c r="C2612" s="254" t="str">
        <f t="shared" si="58"/>
        <v/>
      </c>
      <c r="D2612" s="64"/>
      <c r="E2612" s="27" t="s">
        <v>260</v>
      </c>
      <c r="F2612" s="85"/>
      <c r="G2612" s="1128" t="s">
        <v>696</v>
      </c>
      <c r="J2612" s="1374"/>
    </row>
    <row r="2613" spans="1:10" ht="15.75" customHeight="1" thickBot="1" x14ac:dyDescent="0.3">
      <c r="C2613" s="254" t="str">
        <f t="shared" si="58"/>
        <v/>
      </c>
      <c r="D2613" s="189"/>
      <c r="E2613" s="190"/>
      <c r="F2613" s="104"/>
      <c r="G2613" s="1367" t="s">
        <v>3090</v>
      </c>
      <c r="J2613" s="1374"/>
    </row>
    <row r="2614" spans="1:10" ht="15.75" thickTop="1" x14ac:dyDescent="0.25">
      <c r="A2614" s="585" t="str">
        <f>IF(dstCommercial="Yes","P","")</f>
        <v/>
      </c>
      <c r="C2614" s="254" t="str">
        <f t="shared" si="58"/>
        <v/>
      </c>
      <c r="D2614" s="64">
        <v>609.1</v>
      </c>
      <c r="E2614" s="66"/>
      <c r="F2614" s="85"/>
      <c r="G2614" s="1796" t="s">
        <v>698</v>
      </c>
      <c r="J2614" s="1374"/>
    </row>
    <row r="2615" spans="1:10" x14ac:dyDescent="0.25">
      <c r="A2615" s="585" t="str">
        <f>IF(dstCommercial="Yes","P","")</f>
        <v/>
      </c>
      <c r="C2615" s="254" t="str">
        <f t="shared" si="58"/>
        <v/>
      </c>
      <c r="D2615" s="64"/>
      <c r="E2615" s="66"/>
      <c r="F2615" s="85"/>
      <c r="G2615" s="1796"/>
      <c r="J2615" s="1374"/>
    </row>
    <row r="2616" spans="1:10" x14ac:dyDescent="0.25">
      <c r="A2616" s="585" t="str">
        <f>IF(dstCommercial="Yes","P","")</f>
        <v/>
      </c>
      <c r="C2616" s="254" t="str">
        <f t="shared" si="58"/>
        <v/>
      </c>
      <c r="D2616" s="64"/>
      <c r="E2616" s="66"/>
      <c r="F2616" s="85"/>
      <c r="G2616" s="1851" t="s">
        <v>3105</v>
      </c>
      <c r="J2616" s="1374"/>
    </row>
    <row r="2617" spans="1:10" x14ac:dyDescent="0.25">
      <c r="A2617" s="585" t="str">
        <f>IF(dstCommercial="Yes","P","")</f>
        <v/>
      </c>
      <c r="C2617" s="254" t="str">
        <f t="shared" si="58"/>
        <v/>
      </c>
      <c r="D2617" s="64"/>
      <c r="E2617" s="66"/>
      <c r="F2617" s="85"/>
      <c r="G2617" s="1851"/>
      <c r="J2617" s="1374"/>
    </row>
    <row r="2618" spans="1:10" x14ac:dyDescent="0.25">
      <c r="A2618" s="585" t="str">
        <f>IF(dstCommercial="Yes","P","")</f>
        <v/>
      </c>
      <c r="C2618" s="254" t="str">
        <f t="shared" si="58"/>
        <v/>
      </c>
      <c r="D2618" s="64"/>
      <c r="E2618" s="66"/>
      <c r="F2618" s="85"/>
      <c r="G2618" s="1851"/>
      <c r="J2618" s="1374"/>
    </row>
    <row r="2619" spans="1:10" x14ac:dyDescent="0.25">
      <c r="C2619" s="254" t="str">
        <f t="shared" si="58"/>
        <v/>
      </c>
      <c r="D2619" s="64"/>
      <c r="E2619" s="66"/>
      <c r="F2619" s="85"/>
      <c r="G2619" s="1889" t="s">
        <v>3104</v>
      </c>
      <c r="J2619" s="1374"/>
    </row>
    <row r="2620" spans="1:10" ht="15.75" thickBot="1" x14ac:dyDescent="0.3">
      <c r="C2620" s="254" t="str">
        <f t="shared" si="58"/>
        <v/>
      </c>
      <c r="D2620" s="64"/>
      <c r="E2620" s="66"/>
      <c r="F2620" s="85"/>
      <c r="G2620" s="1890"/>
      <c r="J2620" s="1374"/>
    </row>
    <row r="2621" spans="1:10" ht="15.75" thickTop="1" x14ac:dyDescent="0.25">
      <c r="A2621" s="585" t="str">
        <f>IF(dstCommercial="Yes","P","")</f>
        <v/>
      </c>
      <c r="C2621" s="254" t="str">
        <f t="shared" si="58"/>
        <v/>
      </c>
      <c r="D2621" s="180" t="s">
        <v>713</v>
      </c>
      <c r="E2621" s="509"/>
      <c r="F2621" s="1401"/>
      <c r="G2621" s="1781" t="s">
        <v>714</v>
      </c>
      <c r="J2621" s="1374"/>
    </row>
    <row r="2622" spans="1:10" x14ac:dyDescent="0.25">
      <c r="A2622" s="585" t="str">
        <f>IF(dstCommercial="Yes","P","")</f>
        <v/>
      </c>
      <c r="C2622" s="254" t="str">
        <f t="shared" si="58"/>
        <v/>
      </c>
      <c r="D2622" s="64"/>
      <c r="E2622" s="66"/>
      <c r="F2622" s="85"/>
      <c r="G2622" s="1796"/>
      <c r="J2622" s="1374"/>
    </row>
    <row r="2623" spans="1:10" x14ac:dyDescent="0.25">
      <c r="A2623" s="585" t="str">
        <f>IF(dstCommercial="Yes","P","")</f>
        <v/>
      </c>
      <c r="C2623" s="254" t="str">
        <f t="shared" si="58"/>
        <v/>
      </c>
      <c r="D2623" s="64"/>
      <c r="E2623" s="66"/>
      <c r="F2623" s="85"/>
      <c r="G2623" s="1796"/>
      <c r="J2623" s="1374"/>
    </row>
    <row r="2624" spans="1:10" x14ac:dyDescent="0.25">
      <c r="A2624" s="585" t="str">
        <f>IF(dstCommercial="Yes","P","")</f>
        <v/>
      </c>
      <c r="C2624" s="254" t="str">
        <f t="shared" si="58"/>
        <v/>
      </c>
      <c r="D2624" s="215"/>
      <c r="E2624" s="534"/>
      <c r="F2624" s="216"/>
      <c r="G2624" s="1843"/>
      <c r="J2624" s="1374"/>
    </row>
    <row r="2625" spans="1:10" x14ac:dyDescent="0.25">
      <c r="A2625" s="585" t="str">
        <f>IF(dstCommercial="Yes","P","")</f>
        <v/>
      </c>
      <c r="C2625" s="254" t="str">
        <f t="shared" si="58"/>
        <v/>
      </c>
      <c r="D2625" s="192" t="s">
        <v>716</v>
      </c>
      <c r="E2625" s="533"/>
      <c r="F2625" s="214"/>
      <c r="G2625" s="1864" t="s">
        <v>717</v>
      </c>
      <c r="J2625" s="1374"/>
    </row>
    <row r="2626" spans="1:10" x14ac:dyDescent="0.25">
      <c r="A2626" s="585" t="str">
        <f>IF(dstCommercial="Yes","P","")</f>
        <v/>
      </c>
      <c r="C2626" s="254" t="str">
        <f t="shared" si="58"/>
        <v/>
      </c>
      <c r="D2626" s="64"/>
      <c r="E2626" s="66"/>
      <c r="F2626" s="85"/>
      <c r="G2626" s="1796"/>
      <c r="J2626" s="1374"/>
    </row>
    <row r="2627" spans="1:10" x14ac:dyDescent="0.25">
      <c r="A2627" s="585" t="str">
        <f>IF(dstCommercial="Yes","P","")</f>
        <v/>
      </c>
      <c r="C2627" s="254" t="str">
        <f t="shared" si="58"/>
        <v/>
      </c>
      <c r="D2627" s="64"/>
      <c r="E2627" s="66"/>
      <c r="F2627" s="85"/>
      <c r="G2627" s="1796"/>
      <c r="J2627" s="1374"/>
    </row>
    <row r="2628" spans="1:10" x14ac:dyDescent="0.25">
      <c r="A2628" s="585" t="str">
        <f>IF(dstCommercial="Yes","P","")</f>
        <v/>
      </c>
      <c r="C2628" s="254" t="str">
        <f t="shared" si="58"/>
        <v/>
      </c>
      <c r="D2628" s="64"/>
      <c r="E2628" s="66"/>
      <c r="F2628" s="87" t="s">
        <v>121</v>
      </c>
      <c r="G2628" s="1128" t="s">
        <v>705</v>
      </c>
      <c r="J2628" s="1374"/>
    </row>
    <row r="2629" spans="1:10" x14ac:dyDescent="0.25">
      <c r="A2629" s="585" t="str">
        <f>IF(dstCommercial="Yes","P","")</f>
        <v/>
      </c>
      <c r="C2629" s="254" t="str">
        <f t="shared" si="58"/>
        <v/>
      </c>
      <c r="D2629" s="64"/>
      <c r="E2629" s="66"/>
      <c r="F2629" s="87" t="s">
        <v>122</v>
      </c>
      <c r="G2629" s="1128" t="s">
        <v>706</v>
      </c>
      <c r="J2629" s="1374"/>
    </row>
    <row r="2630" spans="1:10" x14ac:dyDescent="0.25">
      <c r="A2630" s="585" t="str">
        <f>IF(dstCommercial="Yes","P","")</f>
        <v/>
      </c>
      <c r="C2630" s="254" t="str">
        <f t="shared" si="58"/>
        <v/>
      </c>
      <c r="D2630" s="64"/>
      <c r="E2630" s="66"/>
      <c r="F2630" s="87" t="s">
        <v>123</v>
      </c>
      <c r="G2630" s="1128" t="s">
        <v>707</v>
      </c>
      <c r="J2630" s="1374"/>
    </row>
    <row r="2631" spans="1:10" x14ac:dyDescent="0.25">
      <c r="A2631" s="585" t="str">
        <f>IF(dstCommercial="Yes","P","")</f>
        <v/>
      </c>
      <c r="C2631" s="254" t="str">
        <f t="shared" si="58"/>
        <v/>
      </c>
      <c r="D2631" s="64"/>
      <c r="E2631" s="66"/>
      <c r="F2631" s="89" t="s">
        <v>401</v>
      </c>
      <c r="G2631" s="1128" t="s">
        <v>708</v>
      </c>
      <c r="J2631" s="1374"/>
    </row>
    <row r="2632" spans="1:10" x14ac:dyDescent="0.25">
      <c r="A2632" s="585" t="str">
        <f>IF(dstCommercial="Yes","P","")</f>
        <v/>
      </c>
      <c r="C2632" s="254" t="str">
        <f t="shared" si="58"/>
        <v/>
      </c>
      <c r="D2632" s="64"/>
      <c r="E2632" s="66"/>
      <c r="F2632" s="85" t="s">
        <v>539</v>
      </c>
      <c r="G2632" s="1128" t="s">
        <v>709</v>
      </c>
      <c r="J2632" s="1374"/>
    </row>
    <row r="2633" spans="1:10" x14ac:dyDescent="0.25">
      <c r="A2633" s="585" t="str">
        <f>IF(dstCommercial="Yes","P","")</f>
        <v/>
      </c>
      <c r="C2633" s="254" t="str">
        <f t="shared" si="58"/>
        <v/>
      </c>
      <c r="D2633" s="64"/>
      <c r="E2633" s="66"/>
      <c r="F2633" s="87" t="s">
        <v>604</v>
      </c>
      <c r="G2633" s="1128" t="s">
        <v>710</v>
      </c>
      <c r="J2633" s="1374"/>
    </row>
    <row r="2634" spans="1:10" x14ac:dyDescent="0.25">
      <c r="A2634" s="585" t="str">
        <f>IF(dstCommercial="Yes","P","")</f>
        <v/>
      </c>
      <c r="C2634" s="254" t="str">
        <f t="shared" si="58"/>
        <v/>
      </c>
      <c r="D2634" s="64"/>
      <c r="E2634" s="66"/>
      <c r="F2634" s="1375"/>
      <c r="G2634" s="1851" t="s">
        <v>718</v>
      </c>
      <c r="J2634" s="1374"/>
    </row>
    <row r="2635" spans="1:10" x14ac:dyDescent="0.25">
      <c r="A2635" s="585" t="str">
        <f>IF(dstCommercial="Yes","P","")</f>
        <v/>
      </c>
      <c r="C2635" s="254" t="str">
        <f t="shared" si="58"/>
        <v/>
      </c>
      <c r="D2635" s="64"/>
      <c r="E2635" s="66"/>
      <c r="F2635" s="1381"/>
      <c r="G2635" s="1851"/>
      <c r="J2635" s="1374"/>
    </row>
    <row r="2636" spans="1:10" x14ac:dyDescent="0.25">
      <c r="A2636" s="585" t="str">
        <f>IF(dstCommercial="Yes","P","")</f>
        <v/>
      </c>
      <c r="C2636" s="254" t="str">
        <f t="shared" si="58"/>
        <v/>
      </c>
      <c r="D2636" s="64"/>
      <c r="E2636" s="66"/>
      <c r="F2636" s="1381"/>
      <c r="G2636" s="1851"/>
      <c r="J2636" s="1374"/>
    </row>
    <row r="2637" spans="1:10" x14ac:dyDescent="0.25">
      <c r="C2637" s="254" t="str">
        <f t="shared" si="58"/>
        <v/>
      </c>
      <c r="D2637" s="64"/>
      <c r="E2637" s="66"/>
      <c r="F2637" s="1381"/>
      <c r="G2637" s="1905" t="s">
        <v>3106</v>
      </c>
      <c r="J2637" s="1374"/>
    </row>
    <row r="2638" spans="1:10" x14ac:dyDescent="0.25">
      <c r="C2638" s="254" t="str">
        <f t="shared" si="58"/>
        <v/>
      </c>
      <c r="D2638" s="215"/>
      <c r="E2638" s="534"/>
      <c r="F2638" s="1383"/>
      <c r="G2638" s="1883"/>
      <c r="J2638" s="1374"/>
    </row>
    <row r="2639" spans="1:10" x14ac:dyDescent="0.25">
      <c r="A2639" s="585" t="str">
        <f>IF(dstCommercial="Yes","P","")</f>
        <v/>
      </c>
      <c r="C2639" s="254" t="str">
        <f t="shared" si="58"/>
        <v/>
      </c>
      <c r="D2639" s="64" t="s">
        <v>719</v>
      </c>
      <c r="E2639" s="66"/>
      <c r="F2639" s="85"/>
      <c r="G2639" s="1796" t="s">
        <v>720</v>
      </c>
      <c r="J2639" s="1374"/>
    </row>
    <row r="2640" spans="1:10" x14ac:dyDescent="0.25">
      <c r="A2640" s="585" t="str">
        <f>IF(dstCommercial="Yes","P","")</f>
        <v/>
      </c>
      <c r="C2640" s="254" t="str">
        <f t="shared" si="58"/>
        <v/>
      </c>
      <c r="D2640" s="64"/>
      <c r="E2640" s="66"/>
      <c r="F2640" s="85"/>
      <c r="G2640" s="1796"/>
      <c r="J2640" s="1374"/>
    </row>
    <row r="2641" spans="1:10" x14ac:dyDescent="0.25">
      <c r="A2641" s="585" t="str">
        <f>IF(dstCommercial="Yes","P","")</f>
        <v/>
      </c>
      <c r="C2641" s="254" t="str">
        <f t="shared" si="58"/>
        <v/>
      </c>
      <c r="D2641" s="64"/>
      <c r="E2641" s="66"/>
      <c r="F2641" s="85"/>
      <c r="G2641" s="1796"/>
      <c r="J2641" s="1374"/>
    </row>
    <row r="2642" spans="1:10" x14ac:dyDescent="0.25">
      <c r="A2642" s="585" t="str">
        <f>IF(dstCommercial="Yes","P","")</f>
        <v/>
      </c>
      <c r="C2642" s="254" t="str">
        <f t="shared" si="58"/>
        <v/>
      </c>
      <c r="D2642" s="64"/>
      <c r="E2642" s="66"/>
      <c r="F2642" s="85"/>
      <c r="G2642" s="1796"/>
      <c r="J2642" s="1374"/>
    </row>
    <row r="2643" spans="1:10" x14ac:dyDescent="0.25">
      <c r="A2643" s="585" t="str">
        <f>IF(dstCommercial="Yes","P","")</f>
        <v/>
      </c>
      <c r="C2643" s="254" t="str">
        <f t="shared" ref="C2643:C2706" si="59">IF(LEN(B2643)=0,IF(A2643="P","P",""),B2643)</f>
        <v/>
      </c>
      <c r="D2643" s="64"/>
      <c r="E2643" s="66"/>
      <c r="F2643" s="85"/>
      <c r="G2643" s="1796"/>
      <c r="J2643" s="1374"/>
    </row>
    <row r="2644" spans="1:10" x14ac:dyDescent="0.25">
      <c r="A2644" s="585" t="str">
        <f>IF(dstCommercial="Yes","P","")</f>
        <v/>
      </c>
      <c r="C2644" s="254" t="str">
        <f t="shared" si="59"/>
        <v/>
      </c>
      <c r="D2644" s="64"/>
      <c r="E2644" s="66"/>
      <c r="F2644" s="85"/>
      <c r="G2644" s="1796"/>
      <c r="J2644" s="1374"/>
    </row>
    <row r="2645" spans="1:10" x14ac:dyDescent="0.25">
      <c r="A2645" s="585" t="str">
        <f>IF(dstCommercial="Yes","P","")</f>
        <v/>
      </c>
      <c r="C2645" s="254" t="str">
        <f t="shared" si="59"/>
        <v/>
      </c>
      <c r="D2645" s="64"/>
      <c r="E2645" s="66"/>
      <c r="F2645" s="85"/>
      <c r="G2645" s="1796"/>
      <c r="J2645" s="1374"/>
    </row>
    <row r="2646" spans="1:10" x14ac:dyDescent="0.25">
      <c r="A2646" s="585" t="str">
        <f>IF(dstCommercial="Yes","P","")</f>
        <v/>
      </c>
      <c r="C2646" s="254" t="str">
        <f t="shared" si="59"/>
        <v/>
      </c>
      <c r="D2646" s="64"/>
      <c r="E2646" s="66"/>
      <c r="F2646" s="85"/>
      <c r="G2646" s="1796"/>
      <c r="J2646" s="1374"/>
    </row>
    <row r="2647" spans="1:10" x14ac:dyDescent="0.25">
      <c r="A2647" s="585" t="str">
        <f>IF(dstCommercial="Yes","P","")</f>
        <v/>
      </c>
      <c r="C2647" s="254" t="str">
        <f t="shared" si="59"/>
        <v/>
      </c>
      <c r="D2647" s="64"/>
      <c r="E2647" s="66"/>
      <c r="F2647" s="87" t="s">
        <v>121</v>
      </c>
      <c r="G2647" s="1128" t="s">
        <v>721</v>
      </c>
      <c r="J2647" s="1374"/>
    </row>
    <row r="2648" spans="1:10" x14ac:dyDescent="0.25">
      <c r="A2648" s="585" t="str">
        <f>IF(dstCommercial="Yes","P","")</f>
        <v/>
      </c>
      <c r="C2648" s="254" t="str">
        <f t="shared" si="59"/>
        <v/>
      </c>
      <c r="D2648" s="64"/>
      <c r="E2648" s="66"/>
      <c r="F2648" s="87" t="s">
        <v>122</v>
      </c>
      <c r="G2648" s="1128" t="s">
        <v>722</v>
      </c>
      <c r="J2648" s="1374"/>
    </row>
    <row r="2649" spans="1:10" x14ac:dyDescent="0.25">
      <c r="A2649" s="585" t="str">
        <f>IF(dstCommercial="Yes","P","")</f>
        <v/>
      </c>
      <c r="C2649" s="254" t="str">
        <f t="shared" si="59"/>
        <v/>
      </c>
      <c r="D2649" s="64"/>
      <c r="E2649" s="66"/>
      <c r="F2649" s="87" t="s">
        <v>123</v>
      </c>
      <c r="G2649" s="1128" t="s">
        <v>723</v>
      </c>
      <c r="J2649" s="1374"/>
    </row>
    <row r="2650" spans="1:10" x14ac:dyDescent="0.25">
      <c r="A2650" s="585" t="str">
        <f>IF(dstCommercial="Yes","P","")</f>
        <v/>
      </c>
      <c r="C2650" s="254" t="str">
        <f t="shared" si="59"/>
        <v/>
      </c>
      <c r="D2650" s="64"/>
      <c r="E2650" s="66"/>
      <c r="F2650" s="89" t="s">
        <v>401</v>
      </c>
      <c r="G2650" s="1128" t="s">
        <v>724</v>
      </c>
      <c r="J2650" s="1374"/>
    </row>
    <row r="2651" spans="1:10" x14ac:dyDescent="0.25">
      <c r="A2651" s="585" t="str">
        <f>IF(dstCommercial="Yes","P","")</f>
        <v/>
      </c>
      <c r="C2651" s="254" t="str">
        <f t="shared" si="59"/>
        <v/>
      </c>
      <c r="D2651" s="64"/>
      <c r="E2651" s="66"/>
      <c r="F2651" s="85"/>
      <c r="G2651" s="1841" t="s">
        <v>725</v>
      </c>
      <c r="J2651" s="1374"/>
    </row>
    <row r="2652" spans="1:10" x14ac:dyDescent="0.25">
      <c r="A2652" s="585" t="str">
        <f>IF(dstCommercial="Yes","P","")</f>
        <v/>
      </c>
      <c r="C2652" s="254" t="str">
        <f t="shared" si="59"/>
        <v/>
      </c>
      <c r="D2652" s="64"/>
      <c r="E2652" s="66"/>
      <c r="F2652" s="85"/>
      <c r="G2652" s="1841"/>
      <c r="J2652" s="1374"/>
    </row>
    <row r="2653" spans="1:10" x14ac:dyDescent="0.25">
      <c r="A2653" s="585" t="str">
        <f>IF(dstCommercial="Yes","P","")</f>
        <v/>
      </c>
      <c r="C2653" s="254" t="str">
        <f t="shared" si="59"/>
        <v/>
      </c>
      <c r="D2653" s="64"/>
      <c r="E2653" s="66"/>
      <c r="F2653" s="87" t="s">
        <v>121</v>
      </c>
      <c r="G2653" s="1128" t="s">
        <v>705</v>
      </c>
      <c r="J2653" s="1374"/>
    </row>
    <row r="2654" spans="1:10" x14ac:dyDescent="0.25">
      <c r="A2654" s="585" t="str">
        <f>IF(dstCommercial="Yes","P","")</f>
        <v/>
      </c>
      <c r="C2654" s="254" t="str">
        <f t="shared" si="59"/>
        <v/>
      </c>
      <c r="D2654" s="64"/>
      <c r="E2654" s="66"/>
      <c r="F2654" s="87" t="s">
        <v>122</v>
      </c>
      <c r="G2654" s="1128" t="s">
        <v>706</v>
      </c>
      <c r="J2654" s="1374"/>
    </row>
    <row r="2655" spans="1:10" x14ac:dyDescent="0.25">
      <c r="A2655" s="585" t="str">
        <f>IF(dstCommercial="Yes","P","")</f>
        <v/>
      </c>
      <c r="C2655" s="254" t="str">
        <f t="shared" si="59"/>
        <v/>
      </c>
      <c r="D2655" s="64"/>
      <c r="E2655" s="66"/>
      <c r="F2655" s="87" t="s">
        <v>123</v>
      </c>
      <c r="G2655" s="1128" t="s">
        <v>707</v>
      </c>
      <c r="J2655" s="1374"/>
    </row>
    <row r="2656" spans="1:10" x14ac:dyDescent="0.25">
      <c r="A2656" s="585" t="str">
        <f>IF(dstCommercial="Yes","P","")</f>
        <v/>
      </c>
      <c r="C2656" s="254" t="str">
        <f t="shared" si="59"/>
        <v/>
      </c>
      <c r="D2656" s="64"/>
      <c r="E2656" s="66"/>
      <c r="F2656" s="89" t="s">
        <v>401</v>
      </c>
      <c r="G2656" s="1128" t="s">
        <v>708</v>
      </c>
      <c r="J2656" s="1374"/>
    </row>
    <row r="2657" spans="1:10" x14ac:dyDescent="0.25">
      <c r="A2657" s="585" t="str">
        <f>IF(dstCommercial="Yes","P","")</f>
        <v/>
      </c>
      <c r="C2657" s="254" t="str">
        <f t="shared" si="59"/>
        <v/>
      </c>
      <c r="D2657" s="64"/>
      <c r="E2657" s="66"/>
      <c r="F2657" s="85" t="s">
        <v>539</v>
      </c>
      <c r="G2657" s="1128" t="s">
        <v>709</v>
      </c>
      <c r="J2657" s="1374"/>
    </row>
    <row r="2658" spans="1:10" x14ac:dyDescent="0.25">
      <c r="A2658" s="585" t="str">
        <f>IF(dstCommercial="Yes","P","")</f>
        <v/>
      </c>
      <c r="C2658" s="254" t="str">
        <f t="shared" si="59"/>
        <v/>
      </c>
      <c r="D2658" s="64"/>
      <c r="E2658" s="66"/>
      <c r="F2658" s="87" t="s">
        <v>604</v>
      </c>
      <c r="G2658" s="1128" t="s">
        <v>710</v>
      </c>
      <c r="J2658" s="1374"/>
    </row>
    <row r="2659" spans="1:10" x14ac:dyDescent="0.25">
      <c r="A2659" s="585" t="str">
        <f>IF(dstCommercial="Yes","P","")</f>
        <v/>
      </c>
      <c r="C2659" s="254" t="str">
        <f t="shared" si="59"/>
        <v/>
      </c>
      <c r="D2659" s="64"/>
      <c r="E2659" s="66"/>
      <c r="F2659" s="85"/>
      <c r="G2659" s="1851" t="s">
        <v>726</v>
      </c>
      <c r="J2659" s="1374"/>
    </row>
    <row r="2660" spans="1:10" x14ac:dyDescent="0.25">
      <c r="A2660" s="585" t="str">
        <f>IF(dstCommercial="Yes","P","")</f>
        <v/>
      </c>
      <c r="C2660" s="254" t="str">
        <f t="shared" si="59"/>
        <v/>
      </c>
      <c r="D2660" s="64"/>
      <c r="E2660" s="66"/>
      <c r="F2660" s="85"/>
      <c r="G2660" s="1851"/>
      <c r="J2660" s="1374"/>
    </row>
    <row r="2661" spans="1:10" x14ac:dyDescent="0.25">
      <c r="C2661" s="254" t="str">
        <f t="shared" si="59"/>
        <v/>
      </c>
      <c r="D2661" s="64"/>
      <c r="E2661" s="66"/>
      <c r="F2661" s="85"/>
      <c r="G2661" s="1889" t="s">
        <v>3114</v>
      </c>
      <c r="J2661" s="1374"/>
    </row>
    <row r="2662" spans="1:10" ht="15.75" thickBot="1" x14ac:dyDescent="0.3">
      <c r="C2662" s="254" t="str">
        <f t="shared" si="59"/>
        <v/>
      </c>
      <c r="D2662" s="189"/>
      <c r="E2662" s="855"/>
      <c r="F2662" s="104"/>
      <c r="G2662" s="1975"/>
      <c r="J2662" s="1374"/>
    </row>
    <row r="2663" spans="1:10" ht="15.75" thickTop="1" x14ac:dyDescent="0.25">
      <c r="A2663" s="585" t="str">
        <f>IF(dstCommercial="Yes","P","")</f>
        <v/>
      </c>
      <c r="C2663" s="254" t="str">
        <f t="shared" si="59"/>
        <v/>
      </c>
      <c r="D2663" s="64">
        <v>612.1</v>
      </c>
      <c r="E2663" s="66"/>
      <c r="F2663" s="85"/>
      <c r="G2663" s="1796" t="s">
        <v>4186</v>
      </c>
      <c r="J2663" s="1374"/>
    </row>
    <row r="2664" spans="1:10" x14ac:dyDescent="0.25">
      <c r="A2664" s="585" t="str">
        <f>IF(dstCommercial="Yes","P","")</f>
        <v/>
      </c>
      <c r="C2664" s="254" t="str">
        <f t="shared" si="59"/>
        <v/>
      </c>
      <c r="D2664" s="64"/>
      <c r="E2664" s="66"/>
      <c r="F2664" s="85"/>
      <c r="G2664" s="1796"/>
      <c r="J2664" s="1374"/>
    </row>
    <row r="2665" spans="1:10" x14ac:dyDescent="0.25">
      <c r="A2665" s="585" t="str">
        <f>IF(dstCommercial="Yes","P","")</f>
        <v/>
      </c>
      <c r="C2665" s="254" t="str">
        <f t="shared" si="59"/>
        <v/>
      </c>
      <c r="D2665" s="64"/>
      <c r="E2665" s="66"/>
      <c r="F2665" s="85"/>
      <c r="G2665" s="1796"/>
      <c r="J2665" s="1374"/>
    </row>
    <row r="2666" spans="1:10" x14ac:dyDescent="0.25">
      <c r="A2666" s="585" t="str">
        <f>IF(dstCommercial="Yes","P","")</f>
        <v/>
      </c>
      <c r="C2666" s="254" t="str">
        <f t="shared" si="59"/>
        <v/>
      </c>
      <c r="D2666" s="64"/>
      <c r="E2666" s="66"/>
      <c r="F2666" s="85"/>
      <c r="G2666" s="1796"/>
      <c r="J2666" s="1374"/>
    </row>
    <row r="2667" spans="1:10" x14ac:dyDescent="0.25">
      <c r="A2667" s="585" t="str">
        <f>IF(dstCommercial="Yes","P","")</f>
        <v/>
      </c>
      <c r="C2667" s="254" t="str">
        <f t="shared" si="59"/>
        <v/>
      </c>
      <c r="D2667" s="64"/>
      <c r="E2667" s="66"/>
      <c r="F2667" s="85"/>
      <c r="G2667" s="1796"/>
      <c r="J2667" s="1374"/>
    </row>
    <row r="2668" spans="1:10" x14ac:dyDescent="0.25">
      <c r="A2668" s="585" t="str">
        <f>IF(dstCommercial="Yes","P","")</f>
        <v/>
      </c>
      <c r="C2668" s="254" t="str">
        <f t="shared" si="59"/>
        <v/>
      </c>
      <c r="D2668" s="64"/>
      <c r="E2668" s="66"/>
      <c r="F2668" s="85"/>
      <c r="G2668" s="1366" t="s">
        <v>727</v>
      </c>
      <c r="J2668" s="1374"/>
    </row>
    <row r="2669" spans="1:10" x14ac:dyDescent="0.25">
      <c r="C2669" s="254" t="str">
        <f t="shared" si="59"/>
        <v/>
      </c>
      <c r="D2669" s="64"/>
      <c r="E2669" s="66"/>
      <c r="F2669" s="85"/>
      <c r="G2669" s="1905" t="s">
        <v>3135</v>
      </c>
      <c r="J2669" s="1374"/>
    </row>
    <row r="2670" spans="1:10" ht="15.75" thickBot="1" x14ac:dyDescent="0.3">
      <c r="C2670" s="254" t="str">
        <f t="shared" si="59"/>
        <v/>
      </c>
      <c r="D2670" s="64"/>
      <c r="E2670" s="66"/>
      <c r="F2670" s="85"/>
      <c r="G2670" s="1889"/>
      <c r="J2670" s="1374"/>
    </row>
    <row r="2671" spans="1:10" ht="15.75" thickTop="1" x14ac:dyDescent="0.25">
      <c r="A2671" s="585" t="str">
        <f>IF(dstCommercial="Yes","P","")</f>
        <v/>
      </c>
      <c r="C2671" s="254" t="str">
        <f t="shared" si="59"/>
        <v/>
      </c>
      <c r="D2671" s="180">
        <v>612.20000000000005</v>
      </c>
      <c r="E2671" s="509"/>
      <c r="F2671" s="1401"/>
      <c r="G2671" s="1781" t="s">
        <v>4195</v>
      </c>
      <c r="J2671" s="1374"/>
    </row>
    <row r="2672" spans="1:10" x14ac:dyDescent="0.25">
      <c r="A2672" s="585" t="str">
        <f>IF(dstCommercial="Yes","P","")</f>
        <v/>
      </c>
      <c r="C2672" s="254" t="str">
        <f t="shared" si="59"/>
        <v/>
      </c>
      <c r="D2672" s="64"/>
      <c r="E2672" s="66"/>
      <c r="F2672" s="85"/>
      <c r="G2672" s="1796"/>
      <c r="J2672" s="1374"/>
    </row>
    <row r="2673" spans="1:10" x14ac:dyDescent="0.25">
      <c r="A2673" s="585" t="str">
        <f>IF(dstCommercial="Yes","P","")</f>
        <v/>
      </c>
      <c r="C2673" s="254" t="str">
        <f t="shared" si="59"/>
        <v/>
      </c>
      <c r="D2673" s="64"/>
      <c r="E2673" s="66"/>
      <c r="F2673" s="85"/>
      <c r="G2673" s="1796"/>
      <c r="J2673" s="1374"/>
    </row>
    <row r="2674" spans="1:10" x14ac:dyDescent="0.25">
      <c r="A2674" s="585" t="str">
        <f>IF(dstCommercial="Yes","P","")</f>
        <v/>
      </c>
      <c r="C2674" s="254" t="str">
        <f t="shared" si="59"/>
        <v/>
      </c>
      <c r="D2674" s="64"/>
      <c r="E2674" s="206" t="s">
        <v>256</v>
      </c>
      <c r="F2674" s="216"/>
      <c r="G2674" s="1356" t="s">
        <v>4196</v>
      </c>
      <c r="J2674" s="1374"/>
    </row>
    <row r="2675" spans="1:10" x14ac:dyDescent="0.25">
      <c r="A2675" s="585" t="str">
        <f>IF(dstCommercial="Yes","P","")</f>
        <v/>
      </c>
      <c r="C2675" s="254" t="str">
        <f t="shared" si="59"/>
        <v/>
      </c>
      <c r="D2675" s="64"/>
      <c r="E2675" s="209" t="s">
        <v>258</v>
      </c>
      <c r="F2675" s="214"/>
      <c r="G2675" s="1769" t="s">
        <v>4197</v>
      </c>
      <c r="J2675" s="1374"/>
    </row>
    <row r="2676" spans="1:10" x14ac:dyDescent="0.25">
      <c r="A2676" s="585" t="str">
        <f>IF(dstCommercial="Yes","P","")</f>
        <v/>
      </c>
      <c r="C2676" s="254" t="str">
        <f t="shared" si="59"/>
        <v/>
      </c>
      <c r="D2676" s="1375"/>
      <c r="E2676" s="1402"/>
      <c r="F2676" s="1402"/>
      <c r="G2676" s="1786"/>
      <c r="J2676" s="1374"/>
    </row>
    <row r="2677" spans="1:10" x14ac:dyDescent="0.25">
      <c r="A2677" s="585" t="str">
        <f>IF(dstCommercial="Yes","P","")</f>
        <v/>
      </c>
      <c r="C2677" s="254" t="str">
        <f t="shared" si="59"/>
        <v/>
      </c>
      <c r="D2677" s="64"/>
      <c r="E2677" s="209" t="s">
        <v>260</v>
      </c>
      <c r="F2677" s="214"/>
      <c r="G2677" s="1769" t="s">
        <v>4198</v>
      </c>
      <c r="J2677" s="1374"/>
    </row>
    <row r="2678" spans="1:10" x14ac:dyDescent="0.25">
      <c r="A2678" s="585" t="str">
        <f>IF(dstCommercial="Yes","P","")</f>
        <v/>
      </c>
      <c r="C2678" s="254" t="str">
        <f t="shared" si="59"/>
        <v/>
      </c>
      <c r="D2678" s="1375"/>
      <c r="E2678" s="1402"/>
      <c r="F2678" s="1402"/>
      <c r="G2678" s="1786"/>
      <c r="J2678" s="1374"/>
    </row>
    <row r="2679" spans="1:10" x14ac:dyDescent="0.25">
      <c r="A2679" s="585" t="str">
        <f>IF(dstCommercial="Yes","P","")</f>
        <v/>
      </c>
      <c r="C2679" s="254" t="str">
        <f t="shared" si="59"/>
        <v/>
      </c>
      <c r="D2679" s="64"/>
      <c r="E2679" s="209" t="s">
        <v>269</v>
      </c>
      <c r="F2679" s="214"/>
      <c r="G2679" s="1769" t="s">
        <v>4199</v>
      </c>
      <c r="J2679" s="1374"/>
    </row>
    <row r="2680" spans="1:10" x14ac:dyDescent="0.25">
      <c r="A2680" s="585" t="str">
        <f>IF(dstCommercial="Yes","P","")</f>
        <v/>
      </c>
      <c r="C2680" s="254" t="str">
        <f t="shared" si="59"/>
        <v/>
      </c>
      <c r="D2680" s="1375"/>
      <c r="E2680" s="1402"/>
      <c r="F2680" s="1402"/>
      <c r="G2680" s="1786"/>
      <c r="J2680" s="1374"/>
    </row>
    <row r="2681" spans="1:10" x14ac:dyDescent="0.25">
      <c r="A2681" s="585" t="str">
        <f>IF(dstCommercial="Yes","P","")</f>
        <v/>
      </c>
      <c r="C2681" s="254" t="str">
        <f t="shared" si="59"/>
        <v/>
      </c>
      <c r="D2681" s="64"/>
      <c r="E2681" s="209" t="s">
        <v>275</v>
      </c>
      <c r="F2681" s="214"/>
      <c r="G2681" s="1769" t="s">
        <v>4200</v>
      </c>
      <c r="J2681" s="1374"/>
    </row>
    <row r="2682" spans="1:10" x14ac:dyDescent="0.25">
      <c r="A2682" s="585" t="str">
        <f>IF(dstCommercial="Yes","P","")</f>
        <v/>
      </c>
      <c r="C2682" s="254" t="str">
        <f t="shared" si="59"/>
        <v/>
      </c>
      <c r="D2682" s="1375"/>
      <c r="E2682" s="1402"/>
      <c r="F2682" s="1402"/>
      <c r="G2682" s="1786"/>
      <c r="J2682" s="1374"/>
    </row>
    <row r="2683" spans="1:10" x14ac:dyDescent="0.25">
      <c r="A2683" s="585" t="str">
        <f>IF(dstCommercial="Yes","P","")</f>
        <v/>
      </c>
      <c r="C2683" s="254" t="str">
        <f t="shared" si="59"/>
        <v/>
      </c>
      <c r="D2683" s="64"/>
      <c r="E2683" s="209" t="s">
        <v>277</v>
      </c>
      <c r="F2683" s="214"/>
      <c r="G2683" s="1769" t="s">
        <v>4201</v>
      </c>
      <c r="J2683" s="1374"/>
    </row>
    <row r="2684" spans="1:10" x14ac:dyDescent="0.25">
      <c r="A2684" s="585" t="str">
        <f>IF(dstCommercial="Yes","P","")</f>
        <v/>
      </c>
      <c r="C2684" s="254" t="str">
        <f t="shared" si="59"/>
        <v/>
      </c>
      <c r="D2684" s="1375"/>
      <c r="E2684" s="1402"/>
      <c r="F2684" s="1402"/>
      <c r="G2684" s="1786"/>
      <c r="J2684" s="1374"/>
    </row>
    <row r="2685" spans="1:10" x14ac:dyDescent="0.25">
      <c r="A2685" s="585" t="str">
        <f>IF(dstCommercial="Yes","P","")</f>
        <v/>
      </c>
      <c r="C2685" s="254" t="str">
        <f t="shared" si="59"/>
        <v/>
      </c>
      <c r="D2685" s="64"/>
      <c r="E2685" s="27" t="s">
        <v>383</v>
      </c>
      <c r="F2685" s="85"/>
      <c r="G2685" s="1769" t="s">
        <v>4202</v>
      </c>
      <c r="J2685" s="1374"/>
    </row>
    <row r="2686" spans="1:10" ht="15.75" thickBot="1" x14ac:dyDescent="0.3">
      <c r="A2686" s="585" t="str">
        <f>IF(dstCommercial="Yes","P","")</f>
        <v/>
      </c>
      <c r="C2686" s="254" t="str">
        <f t="shared" si="59"/>
        <v/>
      </c>
      <c r="D2686" s="64"/>
      <c r="E2686" s="27"/>
      <c r="F2686" s="85"/>
      <c r="G2686" s="1766"/>
      <c r="J2686" s="1374"/>
    </row>
    <row r="2687" spans="1:10" ht="15.75" thickTop="1" x14ac:dyDescent="0.25">
      <c r="A2687" s="585" t="str">
        <f>IF(dstCommercial="Yes","P","")</f>
        <v/>
      </c>
      <c r="C2687" s="254" t="str">
        <f t="shared" si="59"/>
        <v/>
      </c>
      <c r="D2687" s="180">
        <v>603.20000000000005</v>
      </c>
      <c r="E2687" s="509"/>
      <c r="F2687" s="1401"/>
      <c r="G2687" s="1781" t="s">
        <v>653</v>
      </c>
      <c r="J2687" s="1374"/>
    </row>
    <row r="2688" spans="1:10" x14ac:dyDescent="0.25">
      <c r="A2688" s="585" t="str">
        <f>IF(dstCommercial="Yes","P","")</f>
        <v/>
      </c>
      <c r="C2688" s="254" t="str">
        <f t="shared" si="59"/>
        <v/>
      </c>
      <c r="D2688" s="64"/>
      <c r="E2688" s="66"/>
      <c r="F2688" s="85"/>
      <c r="G2688" s="1796"/>
      <c r="J2688" s="1374"/>
    </row>
    <row r="2689" spans="1:10" x14ac:dyDescent="0.25">
      <c r="A2689" s="585" t="str">
        <f>IF(dstCommercial="Yes","P","")</f>
        <v/>
      </c>
      <c r="C2689" s="254" t="str">
        <f t="shared" si="59"/>
        <v/>
      </c>
      <c r="D2689" s="64"/>
      <c r="E2689" s="66"/>
      <c r="F2689" s="85"/>
      <c r="G2689" s="1796"/>
      <c r="J2689" s="1374"/>
    </row>
    <row r="2690" spans="1:10" ht="15" customHeight="1" x14ac:dyDescent="0.25">
      <c r="A2690" s="585" t="str">
        <f>IF(dstCommercial="Yes","P","")</f>
        <v/>
      </c>
      <c r="C2690" s="254" t="str">
        <f t="shared" si="59"/>
        <v/>
      </c>
      <c r="D2690" s="64"/>
      <c r="E2690" s="66"/>
      <c r="F2690" s="85"/>
      <c r="G2690" s="1369" t="s">
        <v>3057</v>
      </c>
      <c r="J2690" s="1374"/>
    </row>
    <row r="2691" spans="1:10" x14ac:dyDescent="0.25">
      <c r="C2691" s="254" t="str">
        <f t="shared" si="59"/>
        <v/>
      </c>
      <c r="D2691" s="64"/>
      <c r="E2691" s="66"/>
      <c r="F2691" s="85"/>
      <c r="G2691" s="1889" t="s">
        <v>3055</v>
      </c>
      <c r="J2691" s="1374"/>
    </row>
    <row r="2692" spans="1:10" x14ac:dyDescent="0.25">
      <c r="C2692" s="254" t="str">
        <f t="shared" si="59"/>
        <v/>
      </c>
      <c r="D2692" s="64"/>
      <c r="E2692" s="66"/>
      <c r="F2692" s="85"/>
      <c r="G2692" s="1976"/>
      <c r="J2692" s="1374"/>
    </row>
    <row r="2693" spans="1:10" ht="15.75" thickBot="1" x14ac:dyDescent="0.3">
      <c r="C2693" s="254" t="str">
        <f t="shared" si="59"/>
        <v/>
      </c>
      <c r="D2693" s="189"/>
      <c r="E2693" s="855"/>
      <c r="F2693" s="104"/>
      <c r="G2693" s="1975"/>
      <c r="J2693" s="1374"/>
    </row>
    <row r="2694" spans="1:10" ht="15.75" thickTop="1" x14ac:dyDescent="0.25">
      <c r="A2694" s="585" t="str">
        <f>IF(dstCommercial="Yes","P","")</f>
        <v/>
      </c>
      <c r="C2694" s="254" t="str">
        <f t="shared" si="59"/>
        <v/>
      </c>
      <c r="D2694" s="64">
        <v>611.1</v>
      </c>
      <c r="E2694" s="66"/>
      <c r="F2694" s="85"/>
      <c r="G2694" s="1796" t="s">
        <v>4189</v>
      </c>
      <c r="J2694" s="1374"/>
    </row>
    <row r="2695" spans="1:10" x14ac:dyDescent="0.25">
      <c r="A2695" s="585" t="str">
        <f>IF(dstCommercial="Yes","P","")</f>
        <v/>
      </c>
      <c r="C2695" s="254" t="str">
        <f t="shared" si="59"/>
        <v/>
      </c>
      <c r="D2695" s="64"/>
      <c r="E2695" s="66"/>
      <c r="F2695" s="85"/>
      <c r="G2695" s="1796"/>
      <c r="J2695" s="1374"/>
    </row>
    <row r="2696" spans="1:10" x14ac:dyDescent="0.25">
      <c r="A2696" s="585" t="str">
        <f>IF(dstCommercial="Yes","P","")</f>
        <v/>
      </c>
      <c r="C2696" s="254" t="str">
        <f t="shared" si="59"/>
        <v/>
      </c>
      <c r="D2696" s="64"/>
      <c r="E2696" s="66"/>
      <c r="F2696" s="85"/>
      <c r="G2696" s="1796"/>
      <c r="J2696" s="1374"/>
    </row>
    <row r="2697" spans="1:10" x14ac:dyDescent="0.25">
      <c r="A2697" s="585" t="str">
        <f>IF(dstCommercial="Yes","P","")</f>
        <v/>
      </c>
      <c r="C2697" s="254" t="str">
        <f t="shared" si="59"/>
        <v/>
      </c>
      <c r="D2697" s="64"/>
      <c r="E2697" s="66"/>
      <c r="F2697" s="85"/>
      <c r="G2697" s="1796"/>
      <c r="J2697" s="1374"/>
    </row>
    <row r="2698" spans="1:10" x14ac:dyDescent="0.25">
      <c r="A2698" s="585" t="str">
        <f>IF(dstCommercial="Yes","P","")</f>
        <v/>
      </c>
      <c r="C2698" s="254" t="str">
        <f t="shared" si="59"/>
        <v/>
      </c>
      <c r="D2698" s="215"/>
      <c r="E2698" s="534"/>
      <c r="F2698" s="216"/>
      <c r="G2698" s="1843"/>
      <c r="J2698" s="1374"/>
    </row>
    <row r="2699" spans="1:10" x14ac:dyDescent="0.25">
      <c r="A2699" s="585" t="str">
        <f>IF(dstCommercial="Yes","P","")</f>
        <v/>
      </c>
      <c r="C2699" s="254" t="str">
        <f t="shared" si="59"/>
        <v/>
      </c>
      <c r="D2699" s="64" t="s">
        <v>4190</v>
      </c>
      <c r="E2699" s="66"/>
      <c r="F2699" s="85"/>
      <c r="G2699" s="1852" t="s">
        <v>4818</v>
      </c>
      <c r="J2699" s="1374"/>
    </row>
    <row r="2700" spans="1:10" x14ac:dyDescent="0.25">
      <c r="A2700" s="585" t="str">
        <f>IF(dstCommercial="Yes","P","")</f>
        <v/>
      </c>
      <c r="C2700" s="254" t="str">
        <f t="shared" si="59"/>
        <v/>
      </c>
      <c r="D2700" s="64"/>
      <c r="E2700" s="66"/>
      <c r="F2700" s="85"/>
      <c r="G2700" s="1852"/>
      <c r="J2700" s="1374"/>
    </row>
    <row r="2701" spans="1:10" x14ac:dyDescent="0.25">
      <c r="A2701" s="585" t="str">
        <f>IF(dstCommercial="Yes","P","")</f>
        <v/>
      </c>
      <c r="C2701" s="254" t="str">
        <f t="shared" si="59"/>
        <v/>
      </c>
      <c r="D2701" s="64"/>
      <c r="E2701" s="66"/>
      <c r="F2701" s="85"/>
      <c r="G2701" s="1852"/>
      <c r="J2701" s="1374"/>
    </row>
    <row r="2702" spans="1:10" x14ac:dyDescent="0.25">
      <c r="A2702" s="585" t="str">
        <f>IF(dstCommercial="Yes","P","")</f>
        <v/>
      </c>
      <c r="C2702" s="254" t="str">
        <f t="shared" si="59"/>
        <v/>
      </c>
      <c r="D2702" s="64"/>
      <c r="E2702" s="66"/>
      <c r="F2702" s="85"/>
      <c r="G2702" s="1852"/>
      <c r="J2702" s="1374"/>
    </row>
    <row r="2703" spans="1:10" x14ac:dyDescent="0.25">
      <c r="A2703" s="585" t="str">
        <f>IF(dstCommercial="Yes","P","")</f>
        <v/>
      </c>
      <c r="C2703" s="254" t="str">
        <f t="shared" si="59"/>
        <v/>
      </c>
      <c r="D2703" s="64"/>
      <c r="E2703" s="66"/>
      <c r="F2703" s="85"/>
      <c r="G2703" s="1852"/>
      <c r="J2703" s="1374"/>
    </row>
    <row r="2704" spans="1:10" x14ac:dyDescent="0.25">
      <c r="A2704" s="585" t="str">
        <f>IF(dstCommercial="Yes","P","")</f>
        <v/>
      </c>
      <c r="C2704" s="254" t="str">
        <f t="shared" si="59"/>
        <v/>
      </c>
      <c r="D2704" s="64"/>
      <c r="E2704" s="66"/>
      <c r="F2704" s="85"/>
      <c r="G2704" s="1852"/>
      <c r="J2704" s="1374"/>
    </row>
    <row r="2705" spans="1:10" x14ac:dyDescent="0.25">
      <c r="A2705" s="585" t="str">
        <f>IF(dstCommercial="Yes","P","")</f>
        <v/>
      </c>
      <c r="C2705" s="254" t="str">
        <f t="shared" si="59"/>
        <v/>
      </c>
      <c r="D2705" s="64"/>
      <c r="E2705" s="66"/>
      <c r="F2705" s="85"/>
      <c r="G2705" s="1852"/>
      <c r="J2705" s="1374"/>
    </row>
    <row r="2706" spans="1:10" x14ac:dyDescent="0.25">
      <c r="A2706" s="585" t="str">
        <f>IF(dstCommercial="Yes","P","")</f>
        <v/>
      </c>
      <c r="C2706" s="254" t="str">
        <f t="shared" si="59"/>
        <v/>
      </c>
      <c r="D2706" s="64"/>
      <c r="E2706" s="66"/>
      <c r="F2706" s="85"/>
      <c r="G2706" s="1852"/>
      <c r="J2706" s="1374"/>
    </row>
    <row r="2707" spans="1:10" x14ac:dyDescent="0.25">
      <c r="A2707" s="585" t="str">
        <f>IF(dstCommercial="Yes","P","")</f>
        <v/>
      </c>
      <c r="C2707" s="254" t="str">
        <f t="shared" ref="C2707:C2770" si="60">IF(LEN(B2707)=0,IF(A2707="P","P",""),B2707)</f>
        <v/>
      </c>
      <c r="D2707" s="215"/>
      <c r="E2707" s="534"/>
      <c r="F2707" s="216"/>
      <c r="G2707" s="1365" t="s">
        <v>3138</v>
      </c>
      <c r="J2707" s="1374"/>
    </row>
    <row r="2708" spans="1:10" x14ac:dyDescent="0.25">
      <c r="A2708" s="585" t="str">
        <f>IF(dstCommercial="Yes","P","")</f>
        <v/>
      </c>
      <c r="C2708" s="254" t="str">
        <f t="shared" si="60"/>
        <v/>
      </c>
      <c r="D2708" s="64" t="s">
        <v>4191</v>
      </c>
      <c r="E2708" s="66"/>
      <c r="F2708" s="85"/>
      <c r="G2708" s="1852" t="s">
        <v>4819</v>
      </c>
      <c r="J2708" s="1374"/>
    </row>
    <row r="2709" spans="1:10" x14ac:dyDescent="0.25">
      <c r="A2709" s="585" t="str">
        <f>IF(dstCommercial="Yes","P","")</f>
        <v/>
      </c>
      <c r="C2709" s="254" t="str">
        <f t="shared" si="60"/>
        <v/>
      </c>
      <c r="D2709" s="64"/>
      <c r="E2709" s="66"/>
      <c r="F2709" s="85"/>
      <c r="G2709" s="1852"/>
      <c r="J2709" s="1374"/>
    </row>
    <row r="2710" spans="1:10" x14ac:dyDescent="0.25">
      <c r="A2710" s="585" t="str">
        <f>IF(dstCommercial="Yes","P","")</f>
        <v/>
      </c>
      <c r="C2710" s="254" t="str">
        <f t="shared" si="60"/>
        <v/>
      </c>
      <c r="D2710" s="64"/>
      <c r="E2710" s="66"/>
      <c r="F2710" s="85"/>
      <c r="G2710" s="1852"/>
      <c r="J2710" s="1374"/>
    </row>
    <row r="2711" spans="1:10" x14ac:dyDescent="0.25">
      <c r="A2711" s="585" t="str">
        <f>IF(dstCommercial="Yes","P","")</f>
        <v/>
      </c>
      <c r="C2711" s="254" t="str">
        <f t="shared" si="60"/>
        <v/>
      </c>
      <c r="D2711" s="64"/>
      <c r="E2711" s="66"/>
      <c r="F2711" s="85"/>
      <c r="G2711" s="1852"/>
      <c r="J2711" s="1374"/>
    </row>
    <row r="2712" spans="1:10" x14ac:dyDescent="0.25">
      <c r="A2712" s="585" t="str">
        <f>IF(dstCommercial="Yes","P","")</f>
        <v/>
      </c>
      <c r="C2712" s="254" t="str">
        <f t="shared" si="60"/>
        <v/>
      </c>
      <c r="D2712" s="64"/>
      <c r="E2712" s="66"/>
      <c r="F2712" s="85"/>
      <c r="G2712" s="1852"/>
      <c r="J2712" s="1374"/>
    </row>
    <row r="2713" spans="1:10" x14ac:dyDescent="0.25">
      <c r="A2713" s="585" t="str">
        <f>IF(dstCommercial="Yes","P","")</f>
        <v/>
      </c>
      <c r="C2713" s="254" t="str">
        <f t="shared" si="60"/>
        <v/>
      </c>
      <c r="D2713" s="64"/>
      <c r="E2713" s="66"/>
      <c r="F2713" s="85"/>
      <c r="G2713" s="1852"/>
      <c r="J2713" s="1374"/>
    </row>
    <row r="2714" spans="1:10" ht="15.75" thickBot="1" x14ac:dyDescent="0.3">
      <c r="A2714" s="585" t="str">
        <f>IF(dstCommercial="Yes","P","")</f>
        <v/>
      </c>
      <c r="C2714" s="254" t="str">
        <f t="shared" si="60"/>
        <v/>
      </c>
      <c r="D2714" s="1403"/>
      <c r="E2714" s="1403"/>
      <c r="F2714" s="1403"/>
      <c r="G2714" s="1367" t="s">
        <v>3138</v>
      </c>
      <c r="J2714" s="1374"/>
    </row>
    <row r="2715" spans="1:10" ht="15.75" thickTop="1" x14ac:dyDescent="0.25">
      <c r="A2715" s="585" t="str">
        <f>IF(dstCommercial="Yes","P","")</f>
        <v/>
      </c>
      <c r="C2715" s="254" t="str">
        <f t="shared" si="60"/>
        <v/>
      </c>
      <c r="D2715" s="64">
        <v>604.1</v>
      </c>
      <c r="E2715" s="66"/>
      <c r="F2715" s="85"/>
      <c r="G2715" s="1796" t="s">
        <v>656</v>
      </c>
      <c r="J2715" s="1374"/>
    </row>
    <row r="2716" spans="1:10" x14ac:dyDescent="0.25">
      <c r="A2716" s="585" t="str">
        <f>IF(dstCommercial="Yes","P","")</f>
        <v/>
      </c>
      <c r="C2716" s="254" t="str">
        <f t="shared" si="60"/>
        <v/>
      </c>
      <c r="D2716" s="64"/>
      <c r="E2716" s="66"/>
      <c r="F2716" s="85"/>
      <c r="G2716" s="1796"/>
      <c r="J2716" s="1374"/>
    </row>
    <row r="2717" spans="1:10" x14ac:dyDescent="0.25">
      <c r="A2717" s="585" t="str">
        <f>IF(dstCommercial="Yes","P","")</f>
        <v/>
      </c>
      <c r="C2717" s="254" t="str">
        <f t="shared" si="60"/>
        <v/>
      </c>
      <c r="D2717" s="64"/>
      <c r="E2717" s="66"/>
      <c r="F2717" s="85"/>
      <c r="G2717" s="1364" t="s">
        <v>3067</v>
      </c>
      <c r="J2717" s="1374"/>
    </row>
    <row r="2718" spans="1:10" x14ac:dyDescent="0.25">
      <c r="A2718" s="585" t="str">
        <f>IF(dstCommercial="Yes","P","")</f>
        <v/>
      </c>
      <c r="C2718" s="254" t="str">
        <f t="shared" si="60"/>
        <v/>
      </c>
      <c r="D2718" s="64"/>
      <c r="E2718" s="66"/>
      <c r="F2718" s="85"/>
      <c r="G2718" s="262" t="s">
        <v>3064</v>
      </c>
      <c r="J2718" s="1374"/>
    </row>
    <row r="2719" spans="1:10" x14ac:dyDescent="0.25">
      <c r="A2719" s="585" t="str">
        <f>IF(dstCommercial="Yes","P","")</f>
        <v/>
      </c>
      <c r="C2719" s="254" t="str">
        <f t="shared" si="60"/>
        <v/>
      </c>
      <c r="D2719" s="64"/>
      <c r="E2719" s="66"/>
      <c r="F2719" s="85"/>
      <c r="G2719" s="1905" t="s">
        <v>3066</v>
      </c>
      <c r="J2719" s="1374"/>
    </row>
    <row r="2720" spans="1:10" x14ac:dyDescent="0.25">
      <c r="A2720" s="585" t="str">
        <f>IF(dstCommercial="Yes","P","")</f>
        <v/>
      </c>
      <c r="C2720" s="254" t="str">
        <f t="shared" si="60"/>
        <v/>
      </c>
      <c r="D2720" s="64"/>
      <c r="E2720" s="66"/>
      <c r="F2720" s="85"/>
      <c r="G2720" s="1905"/>
      <c r="J2720" s="1374"/>
    </row>
    <row r="2721" spans="1:10" x14ac:dyDescent="0.25">
      <c r="A2721" s="585" t="str">
        <f>IF(dstCommercial="Yes","P","")</f>
        <v/>
      </c>
      <c r="C2721" s="254" t="str">
        <f t="shared" si="60"/>
        <v/>
      </c>
      <c r="D2721" s="64"/>
      <c r="E2721" s="66"/>
      <c r="F2721" s="85"/>
      <c r="G2721" s="1353"/>
      <c r="J2721" s="1374"/>
    </row>
    <row r="2722" spans="1:10" ht="15.75" thickBot="1" x14ac:dyDescent="0.3">
      <c r="A2722" s="585" t="str">
        <f>IF(dstCommercial="Yes","P","")</f>
        <v/>
      </c>
      <c r="C2722" s="254" t="str">
        <f t="shared" si="60"/>
        <v/>
      </c>
      <c r="D2722" s="64"/>
      <c r="E2722" s="66"/>
      <c r="F2722" s="85"/>
      <c r="G2722" s="1353"/>
      <c r="J2722" s="1374"/>
    </row>
    <row r="2723" spans="1:10" ht="15.75" thickTop="1" x14ac:dyDescent="0.25">
      <c r="A2723" s="585" t="str">
        <f>IF(dstCommercial="Yes","P","")</f>
        <v/>
      </c>
      <c r="C2723" s="254" t="str">
        <f t="shared" si="60"/>
        <v/>
      </c>
      <c r="D2723" s="114" t="s">
        <v>4661</v>
      </c>
      <c r="E2723" s="1007"/>
      <c r="F2723" s="1007"/>
      <c r="G2723" s="1899" t="s">
        <v>4662</v>
      </c>
      <c r="J2723" s="1374" t="s">
        <v>5127</v>
      </c>
    </row>
    <row r="2724" spans="1:10" x14ac:dyDescent="0.25">
      <c r="A2724" s="585" t="str">
        <f>IF(dstCommercial="Yes","P","")</f>
        <v/>
      </c>
      <c r="C2724" s="254" t="str">
        <f t="shared" si="60"/>
        <v/>
      </c>
      <c r="D2724" s="87"/>
      <c r="E2724" s="862"/>
      <c r="F2724" s="862"/>
      <c r="G2724" s="1833"/>
      <c r="J2724" s="1374"/>
    </row>
    <row r="2725" spans="1:10" ht="15.75" thickBot="1" x14ac:dyDescent="0.3">
      <c r="A2725" s="585" t="str">
        <f>IF(dstCommercial="Yes","P","")</f>
        <v/>
      </c>
      <c r="C2725" s="254" t="str">
        <f t="shared" si="60"/>
        <v/>
      </c>
      <c r="D2725" s="96"/>
      <c r="E2725" s="902"/>
      <c r="F2725" s="902"/>
      <c r="G2725" s="1900"/>
      <c r="J2725" s="1374"/>
    </row>
    <row r="2726" spans="1:10" ht="15.75" thickTop="1" x14ac:dyDescent="0.25">
      <c r="A2726" s="585" t="str">
        <f>IF(dstCommercial="Yes","P","")</f>
        <v/>
      </c>
      <c r="C2726" s="254" t="str">
        <f t="shared" si="60"/>
        <v/>
      </c>
      <c r="D2726" s="87" t="s">
        <v>4663</v>
      </c>
      <c r="E2726" s="862"/>
      <c r="F2726" s="862"/>
      <c r="G2726" s="1361" t="s">
        <v>4664</v>
      </c>
      <c r="J2726" s="1374"/>
    </row>
    <row r="2727" spans="1:10" x14ac:dyDescent="0.25">
      <c r="A2727" s="585" t="str">
        <f>IF(dstCommercial="Yes","P","")</f>
        <v/>
      </c>
      <c r="C2727" s="254" t="str">
        <f t="shared" si="60"/>
        <v/>
      </c>
      <c r="D2727" s="87" t="s">
        <v>4665</v>
      </c>
      <c r="E2727" s="862"/>
      <c r="F2727" s="862"/>
      <c r="G2727" s="1833" t="s">
        <v>4666</v>
      </c>
      <c r="J2727" s="1374" t="s">
        <v>5134</v>
      </c>
    </row>
    <row r="2728" spans="1:10" x14ac:dyDescent="0.25">
      <c r="A2728" s="585" t="str">
        <f>IF(dstCommercial="Yes","P","")</f>
        <v/>
      </c>
      <c r="C2728" s="254" t="str">
        <f t="shared" si="60"/>
        <v/>
      </c>
      <c r="D2728" s="87"/>
      <c r="E2728" s="862"/>
      <c r="F2728" s="862"/>
      <c r="G2728" s="1833"/>
      <c r="J2728" s="1374"/>
    </row>
    <row r="2729" spans="1:10" x14ac:dyDescent="0.25">
      <c r="A2729" s="585" t="str">
        <f>IF(dstCommercial="Yes","P","")</f>
        <v/>
      </c>
      <c r="C2729" s="254" t="str">
        <f t="shared" si="60"/>
        <v/>
      </c>
      <c r="D2729" s="87"/>
      <c r="E2729" s="862"/>
      <c r="F2729" s="862"/>
      <c r="G2729" s="1833"/>
      <c r="J2729" s="1374"/>
    </row>
    <row r="2730" spans="1:10" x14ac:dyDescent="0.25">
      <c r="A2730" s="585" t="str">
        <f>IF(dstCommercial="Yes","P","")</f>
        <v/>
      </c>
      <c r="C2730" s="254" t="str">
        <f t="shared" si="60"/>
        <v/>
      </c>
      <c r="D2730" s="87"/>
      <c r="E2730" s="862"/>
      <c r="F2730" s="862"/>
      <c r="G2730" s="1833"/>
      <c r="J2730" s="1374"/>
    </row>
    <row r="2731" spans="1:10" x14ac:dyDescent="0.25">
      <c r="A2731" s="585" t="str">
        <f>IF(dstCommercial="Yes","P","")</f>
        <v/>
      </c>
      <c r="C2731" s="254" t="str">
        <f t="shared" si="60"/>
        <v/>
      </c>
      <c r="D2731" s="87"/>
      <c r="E2731" s="862"/>
      <c r="F2731" s="862"/>
      <c r="G2731" s="1833" t="s">
        <v>4667</v>
      </c>
      <c r="J2731" s="1374" t="s">
        <v>5135</v>
      </c>
    </row>
    <row r="2732" spans="1:10" x14ac:dyDescent="0.25">
      <c r="A2732" s="585" t="str">
        <f>IF(dstCommercial="Yes","P","")</f>
        <v/>
      </c>
      <c r="C2732" s="254" t="str">
        <f t="shared" si="60"/>
        <v/>
      </c>
      <c r="D2732" s="87"/>
      <c r="E2732" s="862"/>
      <c r="F2732" s="862"/>
      <c r="G2732" s="1833"/>
      <c r="J2732" s="1374"/>
    </row>
    <row r="2733" spans="1:10" x14ac:dyDescent="0.25">
      <c r="A2733" s="585" t="str">
        <f>IF(dstCommercial="Yes","P","")</f>
        <v/>
      </c>
      <c r="C2733" s="254" t="str">
        <f t="shared" si="60"/>
        <v/>
      </c>
      <c r="D2733" s="87"/>
      <c r="E2733" s="862"/>
      <c r="F2733" s="862"/>
      <c r="G2733" s="1833"/>
      <c r="J2733" s="1374"/>
    </row>
    <row r="2734" spans="1:10" x14ac:dyDescent="0.25">
      <c r="A2734" s="585" t="str">
        <f>IF(dstCommercial="Yes","P","")</f>
        <v/>
      </c>
      <c r="C2734" s="254" t="str">
        <f t="shared" si="60"/>
        <v/>
      </c>
      <c r="D2734" s="87"/>
      <c r="E2734" s="862"/>
      <c r="F2734" s="862"/>
      <c r="G2734" s="1833"/>
      <c r="J2734" s="1374"/>
    </row>
    <row r="2735" spans="1:10" x14ac:dyDescent="0.25">
      <c r="A2735" s="585" t="str">
        <f>IF(dstCommercial="Yes","P","")</f>
        <v/>
      </c>
      <c r="C2735" s="254" t="str">
        <f t="shared" si="60"/>
        <v/>
      </c>
      <c r="D2735" s="87"/>
      <c r="E2735" s="862"/>
      <c r="F2735" s="862"/>
      <c r="G2735" s="1833"/>
      <c r="J2735" s="1374"/>
    </row>
    <row r="2736" spans="1:10" x14ac:dyDescent="0.25">
      <c r="A2736" s="585" t="str">
        <f>IF(dstCommercial="Yes","P","")</f>
        <v/>
      </c>
      <c r="C2736" s="254" t="str">
        <f t="shared" si="60"/>
        <v/>
      </c>
      <c r="D2736" s="174"/>
      <c r="E2736" s="863"/>
      <c r="F2736" s="863"/>
      <c r="G2736" s="1834"/>
      <c r="J2736" s="1374"/>
    </row>
    <row r="2737" spans="1:10" x14ac:dyDescent="0.25">
      <c r="A2737" s="585" t="str">
        <f>IF(dstCommercial="Yes","P","")</f>
        <v/>
      </c>
      <c r="C2737" s="254" t="str">
        <f t="shared" si="60"/>
        <v/>
      </c>
      <c r="D2737" s="87" t="s">
        <v>4668</v>
      </c>
      <c r="E2737" s="862"/>
      <c r="F2737" s="862"/>
      <c r="G2737" s="1833" t="s">
        <v>4669</v>
      </c>
      <c r="J2737" s="1374" t="s">
        <v>5131</v>
      </c>
    </row>
    <row r="2738" spans="1:10" x14ac:dyDescent="0.25">
      <c r="A2738" s="585" t="str">
        <f>IF(dstCommercial="Yes","P","")</f>
        <v/>
      </c>
      <c r="C2738" s="254" t="str">
        <f t="shared" si="60"/>
        <v/>
      </c>
      <c r="D2738" s="87"/>
      <c r="E2738" s="862"/>
      <c r="F2738" s="862"/>
      <c r="G2738" s="1833"/>
      <c r="J2738" s="1374"/>
    </row>
    <row r="2739" spans="1:10" x14ac:dyDescent="0.25">
      <c r="A2739" s="585" t="str">
        <f>IF(dstCommercial="Yes","P","")</f>
        <v/>
      </c>
      <c r="C2739" s="254" t="str">
        <f t="shared" si="60"/>
        <v/>
      </c>
      <c r="D2739" s="87"/>
      <c r="E2739" s="862"/>
      <c r="F2739" s="862"/>
      <c r="G2739" s="1833"/>
      <c r="J2739" s="1374"/>
    </row>
    <row r="2740" spans="1:10" ht="15.75" thickBot="1" x14ac:dyDescent="0.3">
      <c r="A2740" s="585" t="str">
        <f>IF(dstCommercial="Yes","P","")</f>
        <v/>
      </c>
      <c r="C2740" s="254" t="str">
        <f t="shared" si="60"/>
        <v/>
      </c>
      <c r="D2740" s="96"/>
      <c r="E2740" s="902"/>
      <c r="F2740" s="902"/>
      <c r="G2740" s="1900"/>
      <c r="J2740" s="1374"/>
    </row>
    <row r="2741" spans="1:10" ht="15.75" thickTop="1" x14ac:dyDescent="0.25">
      <c r="A2741" s="585" t="str">
        <f>IF(dstCommercial="Yes","P","")</f>
        <v/>
      </c>
      <c r="C2741" s="254" t="str">
        <f t="shared" si="60"/>
        <v/>
      </c>
      <c r="D2741" s="114" t="s">
        <v>4670</v>
      </c>
      <c r="E2741" s="1007"/>
      <c r="F2741" s="1007"/>
      <c r="G2741" s="1899" t="s">
        <v>4671</v>
      </c>
      <c r="J2741" s="1978" t="s">
        <v>5136</v>
      </c>
    </row>
    <row r="2742" spans="1:10" x14ac:dyDescent="0.25">
      <c r="A2742" s="585" t="str">
        <f>IF(dstCommercial="Yes","P","")</f>
        <v/>
      </c>
      <c r="C2742" s="254" t="str">
        <f t="shared" si="60"/>
        <v/>
      </c>
      <c r="D2742" s="87"/>
      <c r="E2742" s="862"/>
      <c r="F2742" s="862"/>
      <c r="G2742" s="1833"/>
      <c r="J2742" s="1979"/>
    </row>
    <row r="2743" spans="1:10" x14ac:dyDescent="0.25">
      <c r="A2743" s="585" t="str">
        <f>IF(dstCommercial="Yes","P","")</f>
        <v/>
      </c>
      <c r="C2743" s="254" t="str">
        <f t="shared" si="60"/>
        <v/>
      </c>
      <c r="D2743" s="87"/>
      <c r="E2743" s="862"/>
      <c r="F2743" s="862"/>
      <c r="G2743" s="1833"/>
      <c r="J2743" s="1374"/>
    </row>
    <row r="2744" spans="1:10" ht="15.75" thickBot="1" x14ac:dyDescent="0.3">
      <c r="C2744" s="254" t="str">
        <f t="shared" si="60"/>
        <v/>
      </c>
      <c r="D2744" s="96"/>
      <c r="E2744" s="902"/>
      <c r="F2744" s="902"/>
      <c r="G2744" s="482" t="s">
        <v>4850</v>
      </c>
      <c r="J2744" s="1372"/>
    </row>
    <row r="2745" spans="1:10" ht="15.75" thickTop="1" x14ac:dyDescent="0.25">
      <c r="A2745" s="585" t="str">
        <f>IF(dstCommercial="Yes","P","")</f>
        <v/>
      </c>
      <c r="C2745" s="254" t="str">
        <f t="shared" si="60"/>
        <v/>
      </c>
      <c r="D2745" s="87" t="s">
        <v>4672</v>
      </c>
      <c r="E2745" s="862"/>
      <c r="F2745" s="862"/>
      <c r="G2745" s="1833" t="s">
        <v>4673</v>
      </c>
      <c r="J2745" s="1970" t="s">
        <v>5137</v>
      </c>
    </row>
    <row r="2746" spans="1:10" x14ac:dyDescent="0.25">
      <c r="A2746" s="585" t="str">
        <f>IF(dstCommercial="Yes","P","")</f>
        <v/>
      </c>
      <c r="C2746" s="254" t="str">
        <f t="shared" si="60"/>
        <v/>
      </c>
      <c r="D2746" s="87"/>
      <c r="E2746" s="862"/>
      <c r="F2746" s="862"/>
      <c r="G2746" s="1833"/>
      <c r="J2746" s="1977"/>
    </row>
    <row r="2747" spans="1:10" x14ac:dyDescent="0.25">
      <c r="A2747" s="585" t="str">
        <f>IF(dstCommercial="Yes","P","")</f>
        <v/>
      </c>
      <c r="C2747" s="254" t="str">
        <f t="shared" si="60"/>
        <v/>
      </c>
      <c r="D2747" s="87"/>
      <c r="E2747" s="862"/>
      <c r="F2747" s="862"/>
      <c r="G2747" s="1833"/>
      <c r="J2747" s="1374"/>
    </row>
    <row r="2748" spans="1:10" x14ac:dyDescent="0.25">
      <c r="A2748" s="585" t="str">
        <f>IF(dstCommercial="Yes","P","")</f>
        <v/>
      </c>
      <c r="C2748" s="254" t="str">
        <f t="shared" si="60"/>
        <v/>
      </c>
      <c r="D2748" s="87"/>
      <c r="E2748" s="862"/>
      <c r="F2748" s="862"/>
      <c r="G2748" s="1833"/>
      <c r="J2748" s="1374"/>
    </row>
    <row r="2749" spans="1:10" x14ac:dyDescent="0.25">
      <c r="A2749" s="585" t="str">
        <f>IF(dstCommercial="Yes","P","")</f>
        <v/>
      </c>
      <c r="C2749" s="254" t="str">
        <f t="shared" si="60"/>
        <v/>
      </c>
      <c r="D2749" s="87"/>
      <c r="E2749" s="863" t="s">
        <v>256</v>
      </c>
      <c r="F2749" s="863"/>
      <c r="G2749" s="1356" t="s">
        <v>4674</v>
      </c>
      <c r="J2749" s="1374"/>
    </row>
    <row r="2750" spans="1:10" x14ac:dyDescent="0.25">
      <c r="A2750" s="585" t="str">
        <f>IF(dstCommercial="Yes","P","")</f>
        <v/>
      </c>
      <c r="C2750" s="254" t="str">
        <f t="shared" si="60"/>
        <v/>
      </c>
      <c r="D2750" s="87"/>
      <c r="E2750" s="994" t="s">
        <v>258</v>
      </c>
      <c r="F2750" s="994"/>
      <c r="G2750" s="858" t="s">
        <v>4675</v>
      </c>
      <c r="J2750" s="1374"/>
    </row>
    <row r="2751" spans="1:10" ht="15" customHeight="1" x14ac:dyDescent="0.25">
      <c r="A2751" s="585" t="str">
        <f>IF(dstCommercial="Yes","P","")</f>
        <v/>
      </c>
      <c r="C2751" s="254" t="str">
        <f t="shared" si="60"/>
        <v/>
      </c>
      <c r="D2751" s="87"/>
      <c r="E2751" s="994" t="s">
        <v>260</v>
      </c>
      <c r="F2751" s="994"/>
      <c r="G2751" s="858" t="s">
        <v>4676</v>
      </c>
      <c r="J2751" s="1374"/>
    </row>
    <row r="2752" spans="1:10" x14ac:dyDescent="0.25">
      <c r="A2752" s="585" t="str">
        <f>IF(dstCommercial="Yes","P","")</f>
        <v/>
      </c>
      <c r="C2752" s="254" t="str">
        <f t="shared" si="60"/>
        <v/>
      </c>
      <c r="D2752" s="87"/>
      <c r="E2752" s="994" t="s">
        <v>269</v>
      </c>
      <c r="F2752" s="994"/>
      <c r="G2752" s="858" t="s">
        <v>4677</v>
      </c>
      <c r="J2752" s="1374"/>
    </row>
    <row r="2753" spans="1:10" x14ac:dyDescent="0.25">
      <c r="A2753" s="585" t="str">
        <f>IF(dstCommercial="Yes","P","")</f>
        <v/>
      </c>
      <c r="C2753" s="254" t="str">
        <f t="shared" si="60"/>
        <v/>
      </c>
      <c r="D2753" s="87"/>
      <c r="E2753" s="994" t="s">
        <v>275</v>
      </c>
      <c r="F2753" s="994"/>
      <c r="G2753" s="858" t="s">
        <v>4678</v>
      </c>
      <c r="J2753" s="1374"/>
    </row>
    <row r="2754" spans="1:10" x14ac:dyDescent="0.25">
      <c r="A2754" s="585" t="str">
        <f>IF(dstCommercial="Yes","P","")</f>
        <v/>
      </c>
      <c r="C2754" s="254" t="str">
        <f t="shared" si="60"/>
        <v/>
      </c>
      <c r="D2754" s="87"/>
      <c r="E2754" s="994" t="s">
        <v>277</v>
      </c>
      <c r="F2754" s="994"/>
      <c r="G2754" s="858" t="s">
        <v>4679</v>
      </c>
      <c r="J2754" s="1374"/>
    </row>
    <row r="2755" spans="1:10" x14ac:dyDescent="0.25">
      <c r="A2755" s="585" t="str">
        <f>IF(dstCommercial="Yes","P","")</f>
        <v/>
      </c>
      <c r="C2755" s="254" t="str">
        <f t="shared" si="60"/>
        <v/>
      </c>
      <c r="D2755" s="87"/>
      <c r="E2755" s="994" t="s">
        <v>383</v>
      </c>
      <c r="F2755" s="994"/>
      <c r="G2755" s="858" t="s">
        <v>4680</v>
      </c>
      <c r="J2755" s="1374"/>
    </row>
    <row r="2756" spans="1:10" x14ac:dyDescent="0.25">
      <c r="A2756" s="585" t="str">
        <f>IF(dstCommercial="Yes","P","")</f>
        <v/>
      </c>
      <c r="C2756" s="254" t="str">
        <f t="shared" si="60"/>
        <v/>
      </c>
      <c r="D2756" s="87"/>
      <c r="E2756" s="994" t="s">
        <v>428</v>
      </c>
      <c r="F2756" s="994"/>
      <c r="G2756" s="858" t="s">
        <v>4681</v>
      </c>
      <c r="J2756" s="1374"/>
    </row>
    <row r="2757" spans="1:10" x14ac:dyDescent="0.25">
      <c r="A2757" s="585" t="str">
        <f>IF(dstCommercial="Yes","P","")</f>
        <v/>
      </c>
      <c r="C2757" s="254" t="str">
        <f t="shared" si="60"/>
        <v/>
      </c>
      <c r="D2757" s="87"/>
      <c r="E2757" s="994" t="s">
        <v>430</v>
      </c>
      <c r="F2757" s="994"/>
      <c r="G2757" s="858" t="s">
        <v>4682</v>
      </c>
      <c r="J2757" s="1374"/>
    </row>
    <row r="2758" spans="1:10" x14ac:dyDescent="0.25">
      <c r="A2758" s="585" t="str">
        <f>IF(dstCommercial="Yes","P","")</f>
        <v/>
      </c>
      <c r="C2758" s="254" t="str">
        <f t="shared" si="60"/>
        <v/>
      </c>
      <c r="D2758" s="87"/>
      <c r="E2758" s="994" t="s">
        <v>432</v>
      </c>
      <c r="F2758" s="994"/>
      <c r="G2758" s="858" t="s">
        <v>4683</v>
      </c>
      <c r="J2758" s="1374"/>
    </row>
    <row r="2759" spans="1:10" x14ac:dyDescent="0.25">
      <c r="A2759" s="585" t="str">
        <f>IF(dstCommercial="Yes","P","")</f>
        <v/>
      </c>
      <c r="C2759" s="254" t="str">
        <f t="shared" si="60"/>
        <v/>
      </c>
      <c r="D2759" s="87"/>
      <c r="E2759" s="994" t="s">
        <v>434</v>
      </c>
      <c r="F2759" s="994"/>
      <c r="G2759" s="858" t="s">
        <v>4684</v>
      </c>
      <c r="J2759" s="1374"/>
    </row>
    <row r="2760" spans="1:10" x14ac:dyDescent="0.25">
      <c r="A2760" s="585" t="str">
        <f>IF(dstCommercial="Yes","P","")</f>
        <v/>
      </c>
      <c r="C2760" s="254" t="str">
        <f t="shared" si="60"/>
        <v/>
      </c>
      <c r="D2760" s="174"/>
      <c r="E2760" s="863" t="s">
        <v>436</v>
      </c>
      <c r="F2760" s="863"/>
      <c r="G2760" s="1356" t="s">
        <v>4685</v>
      </c>
      <c r="J2760" s="1374"/>
    </row>
    <row r="2761" spans="1:10" x14ac:dyDescent="0.25">
      <c r="A2761" s="585" t="str">
        <f>IF(dstCommercial="Yes","P","")</f>
        <v/>
      </c>
      <c r="C2761" s="254" t="str">
        <f t="shared" si="60"/>
        <v/>
      </c>
      <c r="D2761" s="87" t="s">
        <v>4686</v>
      </c>
      <c r="E2761" s="862"/>
      <c r="F2761" s="862"/>
      <c r="G2761" s="1833" t="s">
        <v>4687</v>
      </c>
      <c r="J2761" s="1374" t="s">
        <v>5138</v>
      </c>
    </row>
    <row r="2762" spans="1:10" x14ac:dyDescent="0.25">
      <c r="A2762" s="585" t="str">
        <f>IF(dstCommercial="Yes","P","")</f>
        <v/>
      </c>
      <c r="C2762" s="254" t="str">
        <f t="shared" si="60"/>
        <v/>
      </c>
      <c r="D2762" s="87"/>
      <c r="E2762" s="862"/>
      <c r="F2762" s="862"/>
      <c r="G2762" s="1833"/>
      <c r="J2762" s="1374"/>
    </row>
    <row r="2763" spans="1:10" ht="15.75" thickBot="1" x14ac:dyDescent="0.3">
      <c r="A2763" s="585" t="str">
        <f>IF(dstCommercial="Yes","P","")</f>
        <v/>
      </c>
      <c r="C2763" s="254" t="str">
        <f t="shared" si="60"/>
        <v/>
      </c>
      <c r="D2763" s="96"/>
      <c r="E2763" s="902"/>
      <c r="F2763" s="902"/>
      <c r="G2763" s="1900"/>
      <c r="J2763" s="1374"/>
    </row>
    <row r="2764" spans="1:10" ht="15.75" thickTop="1" x14ac:dyDescent="0.25">
      <c r="A2764" s="585" t="str">
        <f>IF(dstCommercial="Yes","P","")</f>
        <v/>
      </c>
      <c r="C2764" s="254" t="str">
        <f t="shared" si="60"/>
        <v/>
      </c>
      <c r="D2764" s="87" t="s">
        <v>4688</v>
      </c>
      <c r="E2764" s="862"/>
      <c r="F2764" s="862"/>
      <c r="G2764" s="1833" t="s">
        <v>4689</v>
      </c>
      <c r="J2764" s="1374" t="s">
        <v>5127</v>
      </c>
    </row>
    <row r="2765" spans="1:10" x14ac:dyDescent="0.25">
      <c r="A2765" s="585" t="str">
        <f>IF(dstCommercial="Yes","P","")</f>
        <v/>
      </c>
      <c r="C2765" s="254" t="str">
        <f t="shared" si="60"/>
        <v/>
      </c>
      <c r="D2765" s="87"/>
      <c r="E2765" s="862"/>
      <c r="F2765" s="862"/>
      <c r="G2765" s="1833"/>
      <c r="J2765" s="1374"/>
    </row>
    <row r="2766" spans="1:10" ht="15.75" thickBot="1" x14ac:dyDescent="0.3">
      <c r="A2766" s="585" t="str">
        <f>IF(dstCommercial="Yes","P","")</f>
        <v/>
      </c>
      <c r="C2766" s="254" t="str">
        <f t="shared" si="60"/>
        <v/>
      </c>
      <c r="D2766" s="96"/>
      <c r="E2766" s="902"/>
      <c r="F2766" s="902"/>
      <c r="G2766" s="1900"/>
      <c r="J2766" s="1374"/>
    </row>
    <row r="2767" spans="1:10" ht="15.75" thickTop="1" x14ac:dyDescent="0.25">
      <c r="A2767" s="585" t="str">
        <f>IF(dstCommercial="Yes","P","")</f>
        <v/>
      </c>
      <c r="C2767" s="254" t="str">
        <f t="shared" si="60"/>
        <v/>
      </c>
      <c r="D2767" s="114" t="s">
        <v>4690</v>
      </c>
      <c r="E2767" s="1007"/>
      <c r="F2767" s="1007"/>
      <c r="G2767" s="1899" t="s">
        <v>4691</v>
      </c>
      <c r="J2767" s="1374" t="s">
        <v>5139</v>
      </c>
    </row>
    <row r="2768" spans="1:10" x14ac:dyDescent="0.25">
      <c r="A2768" s="585" t="str">
        <f>IF(dstCommercial="Yes","P","")</f>
        <v/>
      </c>
      <c r="C2768" s="254" t="str">
        <f t="shared" si="60"/>
        <v/>
      </c>
      <c r="D2768" s="87"/>
      <c r="E2768" s="862"/>
      <c r="F2768" s="862"/>
      <c r="G2768" s="1833"/>
      <c r="J2768" s="1374"/>
    </row>
    <row r="2769" spans="1:10" x14ac:dyDescent="0.25">
      <c r="A2769" s="585" t="str">
        <f>IF(dstCommercial="Yes","P","")</f>
        <v/>
      </c>
      <c r="C2769" s="254" t="str">
        <f t="shared" si="60"/>
        <v/>
      </c>
      <c r="D2769" s="87"/>
      <c r="E2769" s="862"/>
      <c r="F2769" s="862"/>
      <c r="G2769" s="1833"/>
      <c r="J2769" s="1374"/>
    </row>
    <row r="2770" spans="1:10" ht="15.75" thickBot="1" x14ac:dyDescent="0.3">
      <c r="C2770" s="254" t="str">
        <f t="shared" si="60"/>
        <v/>
      </c>
      <c r="D2770" s="96"/>
      <c r="E2770" s="902"/>
      <c r="F2770" s="902"/>
      <c r="G2770" s="1364" t="s">
        <v>4851</v>
      </c>
      <c r="J2770" s="1374"/>
    </row>
    <row r="2771" spans="1:10" ht="15.75" thickTop="1" x14ac:dyDescent="0.25">
      <c r="A2771" s="585" t="str">
        <f>IF(dstCommercial="Yes","P","")</f>
        <v/>
      </c>
      <c r="C2771" s="254" t="str">
        <f t="shared" ref="C2771:C2834" si="61">IF(LEN(B2771)=0,IF(A2771="P","P",""),B2771)</f>
        <v/>
      </c>
      <c r="D2771" s="114" t="s">
        <v>4692</v>
      </c>
      <c r="E2771" s="1007"/>
      <c r="F2771" s="1007"/>
      <c r="G2771" s="1899" t="s">
        <v>4693</v>
      </c>
      <c r="J2771" s="1374" t="s">
        <v>5127</v>
      </c>
    </row>
    <row r="2772" spans="1:10" x14ac:dyDescent="0.25">
      <c r="A2772" s="585" t="str">
        <f>IF(dstCommercial="Yes","P","")</f>
        <v/>
      </c>
      <c r="C2772" s="254" t="str">
        <f t="shared" si="61"/>
        <v/>
      </c>
      <c r="D2772" s="87"/>
      <c r="E2772" s="862"/>
      <c r="F2772" s="862"/>
      <c r="G2772" s="1833"/>
      <c r="J2772" s="1374"/>
    </row>
    <row r="2773" spans="1:10" ht="15.75" thickBot="1" x14ac:dyDescent="0.3">
      <c r="C2773" s="254" t="str">
        <f t="shared" si="61"/>
        <v/>
      </c>
      <c r="D2773" s="96"/>
      <c r="E2773" s="902"/>
      <c r="F2773" s="902"/>
      <c r="G2773" s="1364" t="s">
        <v>4851</v>
      </c>
      <c r="J2773" s="1374"/>
    </row>
    <row r="2774" spans="1:10" ht="15.75" thickTop="1" x14ac:dyDescent="0.25">
      <c r="A2774" s="585" t="str">
        <f>IF(dstCommercial="Yes","P","")</f>
        <v/>
      </c>
      <c r="C2774" s="254" t="str">
        <f t="shared" si="61"/>
        <v/>
      </c>
      <c r="D2774" s="114" t="s">
        <v>4694</v>
      </c>
      <c r="E2774" s="1007"/>
      <c r="F2774" s="1007"/>
      <c r="G2774" s="1899" t="s">
        <v>4695</v>
      </c>
      <c r="J2774" s="1374" t="s">
        <v>5127</v>
      </c>
    </row>
    <row r="2775" spans="1:10" x14ac:dyDescent="0.25">
      <c r="A2775" s="585" t="str">
        <f>IF(dstCommercial="Yes","P","")</f>
        <v/>
      </c>
      <c r="C2775" s="254" t="str">
        <f t="shared" si="61"/>
        <v/>
      </c>
      <c r="D2775" s="87"/>
      <c r="E2775" s="862"/>
      <c r="F2775" s="862"/>
      <c r="G2775" s="1833"/>
      <c r="J2775" s="1374"/>
    </row>
    <row r="2776" spans="1:10" ht="15.75" thickBot="1" x14ac:dyDescent="0.3">
      <c r="A2776" s="585" t="str">
        <f>IF(dstCommercial="Yes","P","")</f>
        <v/>
      </c>
      <c r="C2776" s="254" t="str">
        <f t="shared" si="61"/>
        <v/>
      </c>
      <c r="D2776" s="96"/>
      <c r="E2776" s="902"/>
      <c r="F2776" s="902"/>
      <c r="G2776" s="1900"/>
      <c r="J2776" s="1374"/>
    </row>
    <row r="2777" spans="1:10" ht="15.75" thickTop="1" x14ac:dyDescent="0.25">
      <c r="A2777" s="585" t="str">
        <f>IF(dstCommercial="Yes","P","")</f>
        <v/>
      </c>
      <c r="C2777" s="254" t="str">
        <f t="shared" si="61"/>
        <v/>
      </c>
      <c r="D2777" s="87" t="s">
        <v>4696</v>
      </c>
      <c r="E2777" s="862"/>
      <c r="F2777" s="862"/>
      <c r="G2777" s="1361" t="s">
        <v>4697</v>
      </c>
      <c r="J2777" s="1374"/>
    </row>
    <row r="2778" spans="1:10" x14ac:dyDescent="0.25">
      <c r="A2778" s="585" t="str">
        <f>IF(dstCommercial="Yes","P","")</f>
        <v/>
      </c>
      <c r="C2778" s="254" t="str">
        <f t="shared" si="61"/>
        <v/>
      </c>
      <c r="D2778" s="87" t="s">
        <v>4698</v>
      </c>
      <c r="E2778" s="862"/>
      <c r="F2778" s="862"/>
      <c r="G2778" s="1833" t="s">
        <v>4699</v>
      </c>
      <c r="J2778" s="1374" t="s">
        <v>5127</v>
      </c>
    </row>
    <row r="2779" spans="1:10" ht="15.75" thickBot="1" x14ac:dyDescent="0.3">
      <c r="A2779" s="585" t="str">
        <f>IF(dstCommercial="Yes","P","")</f>
        <v/>
      </c>
      <c r="C2779" s="254" t="str">
        <f t="shared" si="61"/>
        <v/>
      </c>
      <c r="D2779" s="96"/>
      <c r="E2779" s="902"/>
      <c r="F2779" s="902"/>
      <c r="G2779" s="1900"/>
      <c r="J2779" s="1374"/>
    </row>
    <row r="2780" spans="1:10" ht="15.75" thickTop="1" x14ac:dyDescent="0.25">
      <c r="A2780" s="585" t="str">
        <f>IF(dstCommercial="Yes","P","")</f>
        <v/>
      </c>
      <c r="C2780" s="254" t="str">
        <f t="shared" si="61"/>
        <v/>
      </c>
      <c r="D2780" s="114" t="s">
        <v>4700</v>
      </c>
      <c r="E2780" s="1007"/>
      <c r="F2780" s="1007"/>
      <c r="G2780" s="1899" t="s">
        <v>4701</v>
      </c>
      <c r="J2780" s="1374" t="s">
        <v>5140</v>
      </c>
    </row>
    <row r="2781" spans="1:10" x14ac:dyDescent="0.25">
      <c r="A2781" s="585" t="str">
        <f>IF(dstCommercial="Yes","P","")</f>
        <v/>
      </c>
      <c r="C2781" s="254" t="str">
        <f t="shared" si="61"/>
        <v/>
      </c>
      <c r="D2781" s="87"/>
      <c r="E2781" s="862"/>
      <c r="F2781" s="862"/>
      <c r="G2781" s="1833"/>
      <c r="J2781" s="1374"/>
    </row>
    <row r="2782" spans="1:10" x14ac:dyDescent="0.25">
      <c r="A2782" s="585" t="str">
        <f>IF(dstCommercial="Yes","P","")</f>
        <v/>
      </c>
      <c r="C2782" s="254" t="str">
        <f t="shared" si="61"/>
        <v/>
      </c>
      <c r="D2782" s="87"/>
      <c r="E2782" s="862"/>
      <c r="F2782" s="862"/>
      <c r="G2782" s="1833"/>
      <c r="J2782" s="1374"/>
    </row>
    <row r="2783" spans="1:10" x14ac:dyDescent="0.25">
      <c r="A2783" s="585" t="str">
        <f>IF(dstCommercial="Yes","P","")</f>
        <v/>
      </c>
      <c r="C2783" s="254" t="str">
        <f t="shared" si="61"/>
        <v/>
      </c>
      <c r="D2783" s="87"/>
      <c r="E2783" s="862"/>
      <c r="F2783" s="862"/>
      <c r="G2783" s="1833"/>
      <c r="J2783" s="1374"/>
    </row>
    <row r="2784" spans="1:10" x14ac:dyDescent="0.25">
      <c r="A2784" s="585" t="str">
        <f>IF(dstCommercial="Yes","P","")</f>
        <v/>
      </c>
      <c r="C2784" s="254" t="str">
        <f t="shared" si="61"/>
        <v/>
      </c>
      <c r="D2784" s="87"/>
      <c r="E2784" s="862"/>
      <c r="F2784" s="862"/>
      <c r="G2784" s="1833"/>
      <c r="J2784" s="1374"/>
    </row>
    <row r="2785" spans="1:10" x14ac:dyDescent="0.25">
      <c r="A2785" s="585" t="str">
        <f>IF(dstCommercial="Yes","P","")</f>
        <v/>
      </c>
      <c r="C2785" s="254" t="str">
        <f t="shared" si="61"/>
        <v/>
      </c>
      <c r="D2785" s="87"/>
      <c r="E2785" s="862"/>
      <c r="F2785" s="862"/>
      <c r="G2785" s="1833"/>
      <c r="J2785" s="1374"/>
    </row>
    <row r="2786" spans="1:10" ht="15.75" thickBot="1" x14ac:dyDescent="0.3">
      <c r="A2786" s="585" t="str">
        <f>IF(dstCommercial="Yes","P","")</f>
        <v/>
      </c>
      <c r="C2786" s="254" t="str">
        <f t="shared" si="61"/>
        <v/>
      </c>
      <c r="D2786" s="96"/>
      <c r="E2786" s="902"/>
      <c r="F2786" s="902"/>
      <c r="G2786" s="1900"/>
      <c r="J2786" s="1374"/>
    </row>
    <row r="2787" spans="1:10" ht="15.75" customHeight="1" thickTop="1" x14ac:dyDescent="0.25">
      <c r="A2787" s="585" t="str">
        <f>IF(dstCommercial="Yes","P","")</f>
        <v/>
      </c>
      <c r="C2787" s="254" t="str">
        <f t="shared" si="61"/>
        <v/>
      </c>
      <c r="D2787" s="114" t="s">
        <v>4702</v>
      </c>
      <c r="E2787" s="1007"/>
      <c r="F2787" s="1007"/>
      <c r="G2787" s="1363" t="s">
        <v>4703</v>
      </c>
      <c r="J2787" s="1374" t="s">
        <v>5141</v>
      </c>
    </row>
    <row r="2788" spans="1:10" ht="15.75" thickBot="1" x14ac:dyDescent="0.3">
      <c r="C2788" s="254" t="str">
        <f t="shared" si="61"/>
        <v/>
      </c>
      <c r="D2788" s="1375"/>
      <c r="E2788" s="1375"/>
      <c r="F2788" s="1375"/>
      <c r="G2788" s="1364" t="s">
        <v>4849</v>
      </c>
      <c r="J2788" s="1374"/>
    </row>
    <row r="2789" spans="1:10" ht="15.75" thickTop="1" x14ac:dyDescent="0.25">
      <c r="A2789" s="585" t="str">
        <f>IF(dstCommercial="Yes","P","")</f>
        <v/>
      </c>
      <c r="C2789" s="254" t="str">
        <f t="shared" si="61"/>
        <v/>
      </c>
      <c r="D2789" s="114" t="s">
        <v>4704</v>
      </c>
      <c r="E2789" s="1007"/>
      <c r="F2789" s="1007"/>
      <c r="G2789" s="1899" t="s">
        <v>4705</v>
      </c>
      <c r="J2789" s="1374"/>
    </row>
    <row r="2790" spans="1:10" x14ac:dyDescent="0.25">
      <c r="A2790" s="585" t="str">
        <f>IF(dstCommercial="Yes","P","")</f>
        <v/>
      </c>
      <c r="C2790" s="254" t="str">
        <f t="shared" si="61"/>
        <v/>
      </c>
      <c r="D2790" s="87"/>
      <c r="E2790" s="862"/>
      <c r="F2790" s="862"/>
      <c r="G2790" s="1833"/>
      <c r="J2790" s="1374"/>
    </row>
    <row r="2791" spans="1:10" x14ac:dyDescent="0.25">
      <c r="A2791" s="585" t="str">
        <f>IF(dstCommercial="Yes","P","")</f>
        <v/>
      </c>
      <c r="C2791" s="254" t="str">
        <f t="shared" si="61"/>
        <v/>
      </c>
      <c r="D2791" s="87"/>
      <c r="E2791" s="862"/>
      <c r="F2791" s="862"/>
      <c r="G2791" s="1833"/>
      <c r="J2791" s="1374"/>
    </row>
    <row r="2792" spans="1:10" x14ac:dyDescent="0.25">
      <c r="A2792" s="585" t="str">
        <f>IF(dstCommercial="Yes","P","")</f>
        <v/>
      </c>
      <c r="C2792" s="254" t="str">
        <f t="shared" si="61"/>
        <v/>
      </c>
      <c r="D2792" s="87"/>
      <c r="E2792" s="862"/>
      <c r="F2792" s="862"/>
      <c r="G2792" s="1833"/>
      <c r="J2792" s="1374"/>
    </row>
    <row r="2793" spans="1:10" x14ac:dyDescent="0.25">
      <c r="A2793" s="585" t="str">
        <f>IF(dstCommercial="Yes","P","")</f>
        <v/>
      </c>
      <c r="C2793" s="254" t="str">
        <f t="shared" si="61"/>
        <v/>
      </c>
      <c r="D2793" s="87"/>
      <c r="E2793" s="862"/>
      <c r="F2793" s="862"/>
      <c r="G2793" s="1833"/>
      <c r="J2793" s="1374"/>
    </row>
    <row r="2794" spans="1:10" x14ac:dyDescent="0.25">
      <c r="A2794" s="585" t="str">
        <f>IF(dstCommercial="Yes","P","")</f>
        <v/>
      </c>
      <c r="C2794" s="254" t="str">
        <f t="shared" si="61"/>
        <v/>
      </c>
      <c r="D2794" s="174"/>
      <c r="E2794" s="863"/>
      <c r="F2794" s="863"/>
      <c r="G2794" s="1834"/>
      <c r="J2794" s="1374"/>
    </row>
    <row r="2795" spans="1:10" x14ac:dyDescent="0.25">
      <c r="A2795" s="585" t="str">
        <f>IF(dstCommercial="Yes","P","")</f>
        <v/>
      </c>
      <c r="C2795" s="254" t="str">
        <f t="shared" si="61"/>
        <v/>
      </c>
      <c r="D2795" s="846" t="s">
        <v>4706</v>
      </c>
      <c r="E2795" s="993"/>
      <c r="F2795" s="993"/>
      <c r="G2795" s="1835" t="s">
        <v>4707</v>
      </c>
      <c r="J2795" s="1374" t="s">
        <v>5127</v>
      </c>
    </row>
    <row r="2796" spans="1:10" x14ac:dyDescent="0.25">
      <c r="A2796" s="585" t="str">
        <f>IF(dstCommercial="Yes","P","")</f>
        <v/>
      </c>
      <c r="C2796" s="254" t="str">
        <f t="shared" si="61"/>
        <v/>
      </c>
      <c r="D2796" s="87"/>
      <c r="E2796" s="862"/>
      <c r="F2796" s="862"/>
      <c r="G2796" s="1833"/>
      <c r="J2796" s="1374"/>
    </row>
    <row r="2797" spans="1:10" x14ac:dyDescent="0.25">
      <c r="A2797" s="585" t="str">
        <f>IF(dstCommercial="Yes","P","")</f>
        <v/>
      </c>
      <c r="C2797" s="254" t="str">
        <f t="shared" si="61"/>
        <v/>
      </c>
      <c r="D2797" s="87"/>
      <c r="E2797" s="862"/>
      <c r="F2797" s="862"/>
      <c r="G2797" s="1833"/>
      <c r="J2797" s="1374"/>
    </row>
    <row r="2798" spans="1:10" x14ac:dyDescent="0.25">
      <c r="A2798" s="585" t="str">
        <f>IF(dstCommercial="Yes","P","")</f>
        <v/>
      </c>
      <c r="C2798" s="254" t="str">
        <f t="shared" si="61"/>
        <v/>
      </c>
      <c r="D2798" s="87"/>
      <c r="E2798" s="862"/>
      <c r="F2798" s="862"/>
      <c r="G2798" s="1833"/>
      <c r="J2798" s="1374"/>
    </row>
    <row r="2799" spans="1:10" x14ac:dyDescent="0.25">
      <c r="A2799" s="585" t="str">
        <f>IF(dstCommercial="Yes","P","")</f>
        <v/>
      </c>
      <c r="C2799" s="254" t="str">
        <f t="shared" si="61"/>
        <v/>
      </c>
      <c r="D2799" s="87"/>
      <c r="E2799" s="862"/>
      <c r="F2799" s="862"/>
      <c r="G2799" s="1833"/>
      <c r="J2799" s="1374"/>
    </row>
    <row r="2800" spans="1:10" x14ac:dyDescent="0.25">
      <c r="A2800" s="585" t="str">
        <f>IF(dstCommercial="Yes","P","")</f>
        <v/>
      </c>
      <c r="C2800" s="254" t="str">
        <f t="shared" si="61"/>
        <v/>
      </c>
      <c r="D2800" s="87"/>
      <c r="E2800" s="862"/>
      <c r="F2800" s="862"/>
      <c r="G2800" s="1833"/>
      <c r="J2800" s="1374"/>
    </row>
    <row r="2801" spans="1:10" x14ac:dyDescent="0.25">
      <c r="A2801" s="585" t="str">
        <f>IF(dstCommercial="Yes","P","")</f>
        <v/>
      </c>
      <c r="C2801" s="254" t="str">
        <f t="shared" si="61"/>
        <v/>
      </c>
      <c r="D2801" s="174"/>
      <c r="E2801" s="863"/>
      <c r="F2801" s="863"/>
      <c r="G2801" s="1834"/>
      <c r="J2801" s="1374"/>
    </row>
    <row r="2802" spans="1:10" x14ac:dyDescent="0.25">
      <c r="A2802" s="585" t="str">
        <f>IF(dstCommercial="Yes","P","")</f>
        <v/>
      </c>
      <c r="C2802" s="254" t="str">
        <f t="shared" si="61"/>
        <v/>
      </c>
      <c r="D2802" s="846" t="s">
        <v>4708</v>
      </c>
      <c r="E2802" s="993"/>
      <c r="F2802" s="993"/>
      <c r="G2802" s="1835" t="s">
        <v>4709</v>
      </c>
      <c r="J2802" s="1374" t="s">
        <v>5127</v>
      </c>
    </row>
    <row r="2803" spans="1:10" x14ac:dyDescent="0.25">
      <c r="A2803" s="585" t="str">
        <f>IF(dstCommercial="Yes","P","")</f>
        <v/>
      </c>
      <c r="C2803" s="254" t="str">
        <f t="shared" si="61"/>
        <v/>
      </c>
      <c r="D2803" s="87"/>
      <c r="E2803" s="862"/>
      <c r="F2803" s="862"/>
      <c r="G2803" s="1833"/>
      <c r="J2803" s="1374"/>
    </row>
    <row r="2804" spans="1:10" x14ac:dyDescent="0.25">
      <c r="A2804" s="585" t="str">
        <f>IF(dstCommercial="Yes","P","")</f>
        <v/>
      </c>
      <c r="C2804" s="254" t="str">
        <f t="shared" si="61"/>
        <v/>
      </c>
      <c r="D2804" s="87"/>
      <c r="E2804" s="862"/>
      <c r="F2804" s="862"/>
      <c r="G2804" s="1833"/>
      <c r="J2804" s="1374"/>
    </row>
    <row r="2805" spans="1:10" x14ac:dyDescent="0.25">
      <c r="A2805" s="585" t="str">
        <f>IF(dstCommercial="Yes","P","")</f>
        <v/>
      </c>
      <c r="C2805" s="254" t="str">
        <f t="shared" si="61"/>
        <v/>
      </c>
      <c r="D2805" s="87"/>
      <c r="E2805" s="862"/>
      <c r="F2805" s="862"/>
      <c r="G2805" s="1833"/>
      <c r="J2805" s="1374"/>
    </row>
    <row r="2806" spans="1:10" x14ac:dyDescent="0.25">
      <c r="A2806" s="585" t="str">
        <f>IF(dstCommercial="Yes","P","")</f>
        <v/>
      </c>
      <c r="C2806" s="254" t="str">
        <f t="shared" si="61"/>
        <v/>
      </c>
      <c r="D2806" s="174"/>
      <c r="E2806" s="863"/>
      <c r="F2806" s="863"/>
      <c r="G2806" s="1834"/>
      <c r="J2806" s="1374"/>
    </row>
    <row r="2807" spans="1:10" x14ac:dyDescent="0.25">
      <c r="A2807" s="585" t="str">
        <f>IF(dstCommercial="Yes","P","")</f>
        <v/>
      </c>
      <c r="C2807" s="254" t="str">
        <f t="shared" si="61"/>
        <v/>
      </c>
      <c r="D2807" s="87" t="s">
        <v>4710</v>
      </c>
      <c r="E2807" s="862"/>
      <c r="F2807" s="862"/>
      <c r="G2807" s="1833" t="s">
        <v>4711</v>
      </c>
      <c r="J2807" s="1374" t="s">
        <v>5127</v>
      </c>
    </row>
    <row r="2808" spans="1:10" x14ac:dyDescent="0.25">
      <c r="A2808" s="585" t="str">
        <f>IF(dstCommercial="Yes","P","")</f>
        <v/>
      </c>
      <c r="C2808" s="254" t="str">
        <f t="shared" si="61"/>
        <v/>
      </c>
      <c r="D2808" s="87"/>
      <c r="E2808" s="862"/>
      <c r="F2808" s="862"/>
      <c r="G2808" s="1833"/>
      <c r="J2808" s="1374"/>
    </row>
    <row r="2809" spans="1:10" ht="15.75" thickBot="1" x14ac:dyDescent="0.3">
      <c r="A2809" s="585" t="str">
        <f>IF(dstCommercial="Yes","P","")</f>
        <v/>
      </c>
      <c r="C2809" s="254" t="str">
        <f t="shared" si="61"/>
        <v/>
      </c>
      <c r="D2809" s="96"/>
      <c r="E2809" s="902"/>
      <c r="F2809" s="902"/>
      <c r="G2809" s="1900"/>
      <c r="J2809" s="1374"/>
    </row>
    <row r="2810" spans="1:10" ht="15.75" thickTop="1" x14ac:dyDescent="0.25">
      <c r="A2810" s="585" t="str">
        <f>IF(dstCommercial="Yes","P","")</f>
        <v/>
      </c>
      <c r="C2810" s="254" t="str">
        <f t="shared" si="61"/>
        <v/>
      </c>
      <c r="D2810" s="87" t="s">
        <v>4712</v>
      </c>
      <c r="E2810" s="862"/>
      <c r="F2810" s="862"/>
      <c r="G2810" s="1833" t="s">
        <v>4713</v>
      </c>
      <c r="J2810" s="1374"/>
    </row>
    <row r="2811" spans="1:10" x14ac:dyDescent="0.25">
      <c r="A2811" s="585" t="str">
        <f>IF(dstCommercial="Yes","P","")</f>
        <v/>
      </c>
      <c r="C2811" s="254" t="str">
        <f t="shared" si="61"/>
        <v/>
      </c>
      <c r="D2811" s="87"/>
      <c r="E2811" s="862"/>
      <c r="F2811" s="862"/>
      <c r="G2811" s="1833"/>
      <c r="J2811" s="1374"/>
    </row>
    <row r="2812" spans="1:10" ht="39" customHeight="1" x14ac:dyDescent="0.25">
      <c r="A2812" s="585" t="str">
        <f>IF(dstCommercial="Yes","P","")</f>
        <v/>
      </c>
      <c r="C2812" s="254" t="str">
        <f t="shared" si="61"/>
        <v/>
      </c>
      <c r="D2812" s="87" t="s">
        <v>4714</v>
      </c>
      <c r="E2812" s="862"/>
      <c r="F2812" s="862"/>
      <c r="G2812" s="1833" t="s">
        <v>4715</v>
      </c>
      <c r="J2812" s="1970" t="s">
        <v>5142</v>
      </c>
    </row>
    <row r="2813" spans="1:10" x14ac:dyDescent="0.25">
      <c r="A2813" s="585" t="str">
        <f>IF(dstCommercial="Yes","P","")</f>
        <v/>
      </c>
      <c r="C2813" s="254" t="str">
        <f t="shared" si="61"/>
        <v/>
      </c>
      <c r="D2813" s="174"/>
      <c r="E2813" s="863"/>
      <c r="F2813" s="863"/>
      <c r="G2813" s="1834"/>
      <c r="J2813" s="1977"/>
    </row>
    <row r="2814" spans="1:10" x14ac:dyDescent="0.25">
      <c r="A2814" s="585" t="str">
        <f>IF(dstCommercial="Yes","P","")</f>
        <v/>
      </c>
      <c r="C2814" s="254" t="str">
        <f t="shared" si="61"/>
        <v/>
      </c>
      <c r="D2814" s="846" t="s">
        <v>4716</v>
      </c>
      <c r="E2814" s="993"/>
      <c r="F2814" s="993"/>
      <c r="G2814" s="1835" t="s">
        <v>4717</v>
      </c>
      <c r="J2814" s="1374" t="s">
        <v>5143</v>
      </c>
    </row>
    <row r="2815" spans="1:10" x14ac:dyDescent="0.25">
      <c r="A2815" s="585" t="str">
        <f>IF(dstCommercial="Yes","P","")</f>
        <v/>
      </c>
      <c r="C2815" s="254" t="str">
        <f t="shared" si="61"/>
        <v/>
      </c>
      <c r="D2815" s="174"/>
      <c r="E2815" s="863"/>
      <c r="F2815" s="863"/>
      <c r="G2815" s="1834"/>
      <c r="J2815" s="1374"/>
    </row>
    <row r="2816" spans="1:10" x14ac:dyDescent="0.25">
      <c r="A2816" s="585" t="str">
        <f>IF(dstCommercial="Yes","P","")</f>
        <v/>
      </c>
      <c r="C2816" s="254" t="str">
        <f t="shared" si="61"/>
        <v/>
      </c>
      <c r="D2816" s="87" t="s">
        <v>4718</v>
      </c>
      <c r="E2816" s="862"/>
      <c r="F2816" s="862"/>
      <c r="G2816" s="1835" t="s">
        <v>4719</v>
      </c>
      <c r="J2816" s="1374" t="s">
        <v>5127</v>
      </c>
    </row>
    <row r="2817" spans="1:10" x14ac:dyDescent="0.25">
      <c r="A2817" s="585" t="str">
        <f>IF(dstCommercial="Yes","P","")</f>
        <v/>
      </c>
      <c r="C2817" s="254" t="str">
        <f t="shared" si="61"/>
        <v/>
      </c>
      <c r="D2817" s="87"/>
      <c r="E2817" s="862"/>
      <c r="F2817" s="862"/>
      <c r="G2817" s="1833"/>
      <c r="J2817" s="1374"/>
    </row>
    <row r="2818" spans="1:10" ht="15.75" thickBot="1" x14ac:dyDescent="0.3">
      <c r="A2818" s="585" t="str">
        <f>IF(dstCommercial="Yes","P","")</f>
        <v/>
      </c>
      <c r="C2818" s="254" t="str">
        <f t="shared" si="61"/>
        <v/>
      </c>
      <c r="D2818" s="96"/>
      <c r="E2818" s="902"/>
      <c r="F2818" s="902"/>
      <c r="G2818" s="1367" t="s">
        <v>4878</v>
      </c>
      <c r="J2818" s="1374"/>
    </row>
    <row r="2819" spans="1:10" ht="15.75" thickTop="1" x14ac:dyDescent="0.25">
      <c r="A2819" s="585" t="str">
        <f>IF(dstCommercial="Yes","P","")</f>
        <v/>
      </c>
      <c r="C2819" s="254" t="str">
        <f t="shared" si="61"/>
        <v/>
      </c>
      <c r="D2819" s="87" t="s">
        <v>4720</v>
      </c>
      <c r="E2819" s="862"/>
      <c r="F2819" s="862"/>
      <c r="G2819" s="1361" t="s">
        <v>4721</v>
      </c>
      <c r="J2819" s="1374"/>
    </row>
    <row r="2820" spans="1:10" x14ac:dyDescent="0.25">
      <c r="A2820" s="585" t="str">
        <f>IF(dstCommercial="Yes","P","")</f>
        <v/>
      </c>
      <c r="C2820" s="254" t="str">
        <f t="shared" si="61"/>
        <v/>
      </c>
      <c r="D2820" s="87" t="s">
        <v>4722</v>
      </c>
      <c r="E2820" s="862"/>
      <c r="F2820" s="862"/>
      <c r="G2820" s="1833" t="s">
        <v>4723</v>
      </c>
      <c r="J2820" s="1374" t="s">
        <v>5144</v>
      </c>
    </row>
    <row r="2821" spans="1:10" x14ac:dyDescent="0.25">
      <c r="A2821" s="585" t="str">
        <f>IF(dstCommercial="Yes","P","")</f>
        <v/>
      </c>
      <c r="C2821" s="254" t="str">
        <f t="shared" si="61"/>
        <v/>
      </c>
      <c r="D2821" s="87"/>
      <c r="E2821" s="862"/>
      <c r="F2821" s="862"/>
      <c r="G2821" s="1833"/>
      <c r="J2821" s="1374"/>
    </row>
    <row r="2822" spans="1:10" x14ac:dyDescent="0.25">
      <c r="A2822" s="585" t="str">
        <f>IF(dstCommercial="Yes","P","")</f>
        <v/>
      </c>
      <c r="C2822" s="254" t="str">
        <f t="shared" si="61"/>
        <v/>
      </c>
      <c r="D2822" s="87"/>
      <c r="E2822" s="862"/>
      <c r="F2822" s="862"/>
      <c r="G2822" s="1833"/>
      <c r="J2822" s="1374"/>
    </row>
    <row r="2823" spans="1:10" x14ac:dyDescent="0.25">
      <c r="A2823" s="585" t="str">
        <f>IF(dstCommercial="Yes","P","")</f>
        <v/>
      </c>
      <c r="C2823" s="254" t="str">
        <f t="shared" si="61"/>
        <v/>
      </c>
      <c r="D2823" s="87"/>
      <c r="E2823" s="862"/>
      <c r="F2823" s="862"/>
      <c r="G2823" s="1833"/>
      <c r="J2823" s="1374"/>
    </row>
    <row r="2824" spans="1:10" x14ac:dyDescent="0.25">
      <c r="A2824" s="585" t="str">
        <f>IF(dstCommercial="Yes","P","")</f>
        <v/>
      </c>
      <c r="C2824" s="254" t="str">
        <f t="shared" si="61"/>
        <v/>
      </c>
      <c r="D2824" s="87"/>
      <c r="E2824" s="862"/>
      <c r="F2824" s="862"/>
      <c r="G2824" s="1833"/>
      <c r="J2824" s="1374"/>
    </row>
    <row r="2825" spans="1:10" x14ac:dyDescent="0.25">
      <c r="A2825" s="585" t="str">
        <f>IF(dstCommercial="Yes","P","")</f>
        <v/>
      </c>
      <c r="C2825" s="254" t="str">
        <f t="shared" si="61"/>
        <v/>
      </c>
      <c r="D2825" s="87"/>
      <c r="E2825" s="863" t="s">
        <v>256</v>
      </c>
      <c r="F2825" s="863"/>
      <c r="G2825" s="1356" t="s">
        <v>4724</v>
      </c>
      <c r="J2825" s="1374"/>
    </row>
    <row r="2826" spans="1:10" x14ac:dyDescent="0.25">
      <c r="A2826" s="585" t="str">
        <f>IF(dstCommercial="Yes","P","")</f>
        <v/>
      </c>
      <c r="C2826" s="254" t="str">
        <f t="shared" si="61"/>
        <v/>
      </c>
      <c r="D2826" s="87"/>
      <c r="E2826" s="993" t="s">
        <v>258</v>
      </c>
      <c r="F2826" s="993"/>
      <c r="G2826" s="1769" t="s">
        <v>4725</v>
      </c>
      <c r="J2826" s="1374"/>
    </row>
    <row r="2827" spans="1:10" x14ac:dyDescent="0.25">
      <c r="A2827" s="585" t="str">
        <f>IF(dstCommercial="Yes","P","")</f>
        <v/>
      </c>
      <c r="C2827" s="254" t="str">
        <f t="shared" si="61"/>
        <v/>
      </c>
      <c r="D2827" s="87"/>
      <c r="E2827" s="863"/>
      <c r="F2827" s="863"/>
      <c r="G2827" s="1786"/>
      <c r="J2827" s="1374"/>
    </row>
    <row r="2828" spans="1:10" ht="15.75" thickBot="1" x14ac:dyDescent="0.3">
      <c r="A2828" s="585" t="str">
        <f>IF(dstCommercial="Yes","P","")</f>
        <v/>
      </c>
      <c r="C2828" s="254" t="str">
        <f t="shared" si="61"/>
        <v/>
      </c>
      <c r="D2828" s="96"/>
      <c r="E2828" s="902" t="s">
        <v>260</v>
      </c>
      <c r="F2828" s="902"/>
      <c r="G2828" s="1357" t="s">
        <v>4726</v>
      </c>
      <c r="J2828" s="1374"/>
    </row>
    <row r="2829" spans="1:10" ht="15.75" thickTop="1" x14ac:dyDescent="0.25">
      <c r="A2829" s="585" t="str">
        <f>IF(dstCommercial="Yes","P","")</f>
        <v/>
      </c>
      <c r="C2829" s="254" t="str">
        <f t="shared" si="61"/>
        <v/>
      </c>
      <c r="D2829" s="114" t="s">
        <v>4727</v>
      </c>
      <c r="E2829" s="1007"/>
      <c r="F2829" s="1007"/>
      <c r="G2829" s="1899" t="s">
        <v>4728</v>
      </c>
      <c r="J2829" s="1374" t="s">
        <v>5127</v>
      </c>
    </row>
    <row r="2830" spans="1:10" ht="15.75" thickBot="1" x14ac:dyDescent="0.3">
      <c r="A2830" s="585" t="str">
        <f>IF(dstCommercial="Yes","P","")</f>
        <v/>
      </c>
      <c r="C2830" s="254" t="str">
        <f t="shared" si="61"/>
        <v/>
      </c>
      <c r="D2830" s="96"/>
      <c r="E2830" s="902"/>
      <c r="F2830" s="902"/>
      <c r="G2830" s="1900"/>
      <c r="J2830" s="1374"/>
    </row>
    <row r="2831" spans="1:10" ht="15.75" thickTop="1" x14ac:dyDescent="0.25">
      <c r="A2831" s="585" t="str">
        <f>IF(dstCommercial="Yes","P","")</f>
        <v/>
      </c>
      <c r="C2831" s="254" t="str">
        <f t="shared" si="61"/>
        <v/>
      </c>
      <c r="D2831" s="87" t="s">
        <v>4729</v>
      </c>
      <c r="E2831" s="862"/>
      <c r="F2831" s="862"/>
      <c r="G2831" s="1833" t="s">
        <v>4730</v>
      </c>
      <c r="J2831" s="1374" t="s">
        <v>5145</v>
      </c>
    </row>
    <row r="2832" spans="1:10" x14ac:dyDescent="0.25">
      <c r="A2832" s="585" t="str">
        <f>IF(dstCommercial="Yes","P","")</f>
        <v/>
      </c>
      <c r="C2832" s="254" t="str">
        <f t="shared" si="61"/>
        <v/>
      </c>
      <c r="D2832" s="87"/>
      <c r="E2832" s="862"/>
      <c r="F2832" s="862"/>
      <c r="G2832" s="1833"/>
      <c r="J2832" s="1374"/>
    </row>
    <row r="2833" spans="1:10" x14ac:dyDescent="0.25">
      <c r="A2833" s="585" t="str">
        <f>IF(dstCommercial="Yes","P","")</f>
        <v/>
      </c>
      <c r="C2833" s="254" t="str">
        <f t="shared" si="61"/>
        <v/>
      </c>
      <c r="D2833" s="87"/>
      <c r="E2833" s="862"/>
      <c r="F2833" s="862"/>
      <c r="G2833" s="1833"/>
      <c r="J2833" s="1374"/>
    </row>
    <row r="2834" spans="1:10" x14ac:dyDescent="0.25">
      <c r="C2834" s="254" t="str">
        <f t="shared" si="61"/>
        <v/>
      </c>
      <c r="D2834" s="87"/>
      <c r="E2834" s="862" t="s">
        <v>256</v>
      </c>
      <c r="F2834" s="862"/>
      <c r="G2834" s="1787" t="s">
        <v>4731</v>
      </c>
      <c r="J2834" s="1374"/>
    </row>
    <row r="2835" spans="1:10" x14ac:dyDescent="0.25">
      <c r="C2835" s="254" t="str">
        <f t="shared" ref="C2835:C2898" si="62">IF(LEN(B2835)=0,IF(A2835="P","P",""),B2835)</f>
        <v/>
      </c>
      <c r="D2835" s="87"/>
      <c r="E2835" s="863"/>
      <c r="F2835" s="863"/>
      <c r="G2835" s="1786"/>
      <c r="J2835" s="1374"/>
    </row>
    <row r="2836" spans="1:10" x14ac:dyDescent="0.25">
      <c r="C2836" s="254" t="str">
        <f t="shared" si="62"/>
        <v/>
      </c>
      <c r="D2836" s="87"/>
      <c r="E2836" s="993" t="s">
        <v>258</v>
      </c>
      <c r="F2836" s="993"/>
      <c r="G2836" s="1769" t="s">
        <v>4732</v>
      </c>
      <c r="J2836" s="1374"/>
    </row>
    <row r="2837" spans="1:10" x14ac:dyDescent="0.25">
      <c r="C2837" s="254" t="str">
        <f t="shared" si="62"/>
        <v/>
      </c>
      <c r="D2837" s="87"/>
      <c r="E2837" s="863"/>
      <c r="F2837" s="863"/>
      <c r="G2837" s="1786"/>
      <c r="J2837" s="1374"/>
    </row>
    <row r="2838" spans="1:10" x14ac:dyDescent="0.25">
      <c r="C2838" s="254" t="str">
        <f t="shared" si="62"/>
        <v/>
      </c>
      <c r="D2838" s="87"/>
      <c r="E2838" s="993" t="s">
        <v>260</v>
      </c>
      <c r="F2838" s="993"/>
      <c r="G2838" s="1769" t="s">
        <v>4733</v>
      </c>
      <c r="J2838" s="1374"/>
    </row>
    <row r="2839" spans="1:10" x14ac:dyDescent="0.25">
      <c r="C2839" s="254" t="str">
        <f t="shared" si="62"/>
        <v/>
      </c>
      <c r="D2839" s="87"/>
      <c r="E2839" s="863"/>
      <c r="F2839" s="863"/>
      <c r="G2839" s="1786"/>
      <c r="J2839" s="1374"/>
    </row>
    <row r="2840" spans="1:10" x14ac:dyDescent="0.25">
      <c r="C2840" s="254" t="str">
        <f t="shared" si="62"/>
        <v/>
      </c>
      <c r="D2840" s="87"/>
      <c r="E2840" s="862" t="s">
        <v>269</v>
      </c>
      <c r="F2840" s="862"/>
      <c r="G2840" s="1787" t="s">
        <v>4734</v>
      </c>
      <c r="J2840" s="1374"/>
    </row>
    <row r="2841" spans="1:10" ht="15.75" thickBot="1" x14ac:dyDescent="0.3">
      <c r="C2841" s="254" t="str">
        <f t="shared" si="62"/>
        <v/>
      </c>
      <c r="D2841" s="96"/>
      <c r="E2841" s="902"/>
      <c r="F2841" s="902"/>
      <c r="G2841" s="1766"/>
      <c r="J2841" s="1374"/>
    </row>
    <row r="2842" spans="1:10" ht="15.75" thickTop="1" x14ac:dyDescent="0.25">
      <c r="A2842" s="585" t="str">
        <f>IF(dstCommercial="Yes","P","")</f>
        <v/>
      </c>
      <c r="C2842" s="254" t="str">
        <f t="shared" si="62"/>
        <v/>
      </c>
      <c r="D2842" s="87" t="s">
        <v>4735</v>
      </c>
      <c r="E2842" s="862"/>
      <c r="F2842" s="862"/>
      <c r="G2842" s="1361" t="s">
        <v>4736</v>
      </c>
      <c r="J2842" s="1374"/>
    </row>
    <row r="2843" spans="1:10" x14ac:dyDescent="0.25">
      <c r="A2843" s="585" t="str">
        <f>IF(dstCommercial="Yes","P","")</f>
        <v/>
      </c>
      <c r="C2843" s="254" t="str">
        <f t="shared" si="62"/>
        <v/>
      </c>
      <c r="D2843" s="87" t="s">
        <v>4737</v>
      </c>
      <c r="E2843" s="862"/>
      <c r="F2843" s="862"/>
      <c r="G2843" s="1833" t="s">
        <v>4738</v>
      </c>
      <c r="J2843" s="1374" t="s">
        <v>5145</v>
      </c>
    </row>
    <row r="2844" spans="1:10" x14ac:dyDescent="0.25">
      <c r="A2844" s="585" t="str">
        <f>IF(dstCommercial="Yes","P","")</f>
        <v/>
      </c>
      <c r="C2844" s="254" t="str">
        <f t="shared" si="62"/>
        <v/>
      </c>
      <c r="D2844" s="87"/>
      <c r="E2844" s="862"/>
      <c r="F2844" s="862"/>
      <c r="G2844" s="1833"/>
      <c r="J2844" s="1374"/>
    </row>
    <row r="2845" spans="1:10" x14ac:dyDescent="0.25">
      <c r="A2845" s="585" t="str">
        <f>IF(dstCommercial="Yes","P","")</f>
        <v/>
      </c>
      <c r="C2845" s="254" t="str">
        <f t="shared" si="62"/>
        <v/>
      </c>
      <c r="D2845" s="87"/>
      <c r="E2845" s="862"/>
      <c r="F2845" s="862"/>
      <c r="G2845" s="1833"/>
      <c r="J2845" s="1374"/>
    </row>
    <row r="2846" spans="1:10" x14ac:dyDescent="0.25">
      <c r="A2846" s="585" t="str">
        <f>IF(dstCommercial="Yes","P","")</f>
        <v/>
      </c>
      <c r="C2846" s="254" t="str">
        <f t="shared" si="62"/>
        <v/>
      </c>
      <c r="D2846" s="174"/>
      <c r="E2846" s="863"/>
      <c r="F2846" s="863"/>
      <c r="G2846" s="1834"/>
      <c r="J2846" s="1374"/>
    </row>
    <row r="2847" spans="1:10" x14ac:dyDescent="0.25">
      <c r="A2847" s="585" t="str">
        <f>IF(dstCommercial="Yes","P","")</f>
        <v/>
      </c>
      <c r="C2847" s="254" t="str">
        <f t="shared" si="62"/>
        <v/>
      </c>
      <c r="D2847" s="87" t="s">
        <v>4739</v>
      </c>
      <c r="E2847" s="862"/>
      <c r="F2847" s="862"/>
      <c r="G2847" s="1833" t="s">
        <v>4740</v>
      </c>
      <c r="J2847" s="1374" t="s">
        <v>5145</v>
      </c>
    </row>
    <row r="2848" spans="1:10" x14ac:dyDescent="0.25">
      <c r="A2848" s="585" t="str">
        <f>IF(dstCommercial="Yes","P","")</f>
        <v/>
      </c>
      <c r="C2848" s="254" t="str">
        <f t="shared" si="62"/>
        <v/>
      </c>
      <c r="D2848" s="87"/>
      <c r="E2848" s="862"/>
      <c r="F2848" s="862"/>
      <c r="G2848" s="1833"/>
      <c r="J2848" s="1374"/>
    </row>
    <row r="2849" spans="1:10" x14ac:dyDescent="0.25">
      <c r="A2849" s="585" t="str">
        <f>IF(dstCommercial="Yes","P","")</f>
        <v/>
      </c>
      <c r="C2849" s="254" t="str">
        <f t="shared" si="62"/>
        <v/>
      </c>
      <c r="D2849" s="87"/>
      <c r="E2849" s="863" t="s">
        <v>256</v>
      </c>
      <c r="F2849" s="863"/>
      <c r="G2849" s="1356" t="s">
        <v>4741</v>
      </c>
      <c r="J2849" s="1374"/>
    </row>
    <row r="2850" spans="1:10" x14ac:dyDescent="0.25">
      <c r="A2850" s="585" t="str">
        <f>IF(dstCommercial="Yes","P","")</f>
        <v/>
      </c>
      <c r="C2850" s="254" t="str">
        <f t="shared" si="62"/>
        <v/>
      </c>
      <c r="D2850" s="87"/>
      <c r="E2850" s="993" t="s">
        <v>258</v>
      </c>
      <c r="F2850" s="993"/>
      <c r="G2850" s="1769" t="s">
        <v>4742</v>
      </c>
      <c r="J2850" s="1374"/>
    </row>
    <row r="2851" spans="1:10" x14ac:dyDescent="0.25">
      <c r="A2851" s="585" t="str">
        <f>IF(dstCommercial="Yes","P","")</f>
        <v/>
      </c>
      <c r="C2851" s="254" t="str">
        <f t="shared" si="62"/>
        <v/>
      </c>
      <c r="D2851" s="87"/>
      <c r="E2851" s="862"/>
      <c r="F2851" s="862"/>
      <c r="G2851" s="1787"/>
      <c r="J2851" s="1374"/>
    </row>
    <row r="2852" spans="1:10" x14ac:dyDescent="0.25">
      <c r="A2852" s="585" t="str">
        <f>IF(dstCommercial="Yes","P","")</f>
        <v/>
      </c>
      <c r="C2852" s="254" t="str">
        <f t="shared" si="62"/>
        <v/>
      </c>
      <c r="D2852" s="87"/>
      <c r="E2852" s="863"/>
      <c r="F2852" s="863"/>
      <c r="G2852" s="1786"/>
      <c r="J2852" s="1374"/>
    </row>
    <row r="2853" spans="1:10" x14ac:dyDescent="0.25">
      <c r="A2853" s="585" t="str">
        <f>IF(dstCommercial="Yes","P","")</f>
        <v/>
      </c>
      <c r="C2853" s="254" t="str">
        <f t="shared" si="62"/>
        <v/>
      </c>
      <c r="D2853" s="174"/>
      <c r="E2853" s="863" t="s">
        <v>260</v>
      </c>
      <c r="F2853" s="863"/>
      <c r="G2853" s="1356" t="s">
        <v>4743</v>
      </c>
      <c r="J2853" s="1374"/>
    </row>
    <row r="2854" spans="1:10" x14ac:dyDescent="0.25">
      <c r="A2854" s="585" t="str">
        <f>IF(dstCommercial="Yes","P","")</f>
        <v/>
      </c>
      <c r="C2854" s="254" t="str">
        <f t="shared" si="62"/>
        <v/>
      </c>
      <c r="D2854" s="846" t="s">
        <v>4744</v>
      </c>
      <c r="E2854" s="993"/>
      <c r="F2854" s="993"/>
      <c r="G2854" s="1835" t="s">
        <v>4745</v>
      </c>
      <c r="J2854" s="1374" t="s">
        <v>5145</v>
      </c>
    </row>
    <row r="2855" spans="1:10" x14ac:dyDescent="0.25">
      <c r="A2855" s="585" t="str">
        <f>IF(dstCommercial="Yes","P","")</f>
        <v/>
      </c>
      <c r="C2855" s="254" t="str">
        <f t="shared" si="62"/>
        <v/>
      </c>
      <c r="D2855" s="87"/>
      <c r="E2855" s="862"/>
      <c r="F2855" s="862"/>
      <c r="G2855" s="1833"/>
      <c r="J2855" s="1374"/>
    </row>
    <row r="2856" spans="1:10" x14ac:dyDescent="0.25">
      <c r="A2856" s="585" t="str">
        <f>IF(dstCommercial="Yes","P","")</f>
        <v/>
      </c>
      <c r="C2856" s="254" t="str">
        <f t="shared" si="62"/>
        <v/>
      </c>
      <c r="D2856" s="174"/>
      <c r="E2856" s="863"/>
      <c r="F2856" s="863"/>
      <c r="G2856" s="1834"/>
      <c r="J2856" s="1374"/>
    </row>
    <row r="2857" spans="1:10" x14ac:dyDescent="0.25">
      <c r="A2857" s="585" t="str">
        <f>IF(dstCommercial="Yes","P","")</f>
        <v/>
      </c>
      <c r="C2857" s="254" t="str">
        <f t="shared" si="62"/>
        <v/>
      </c>
      <c r="D2857" s="87" t="s">
        <v>4746</v>
      </c>
      <c r="E2857" s="862"/>
      <c r="F2857" s="862"/>
      <c r="G2857" s="1833" t="s">
        <v>4747</v>
      </c>
      <c r="J2857" s="1374" t="s">
        <v>3892</v>
      </c>
    </row>
    <row r="2858" spans="1:10" ht="15.75" thickBot="1" x14ac:dyDescent="0.3">
      <c r="A2858" s="585" t="str">
        <f>IF(dstCommercial="Yes","P","")</f>
        <v/>
      </c>
      <c r="C2858" s="254" t="str">
        <f t="shared" si="62"/>
        <v/>
      </c>
      <c r="D2858" s="96"/>
      <c r="E2858" s="902"/>
      <c r="F2858" s="902"/>
      <c r="G2858" s="1900"/>
      <c r="J2858" s="1374"/>
    </row>
    <row r="2859" spans="1:10" ht="15.75" thickTop="1" x14ac:dyDescent="0.25">
      <c r="A2859" s="585" t="str">
        <f>IF(dstCommercial="Yes","P","")</f>
        <v/>
      </c>
      <c r="C2859" s="254" t="str">
        <f t="shared" si="62"/>
        <v/>
      </c>
      <c r="D2859" s="114" t="s">
        <v>4748</v>
      </c>
      <c r="E2859" s="1007"/>
      <c r="F2859" s="1007"/>
      <c r="G2859" s="1899" t="s">
        <v>4749</v>
      </c>
      <c r="J2859" s="1374"/>
    </row>
    <row r="2860" spans="1:10" x14ac:dyDescent="0.25">
      <c r="A2860" s="585" t="str">
        <f>IF(dstCommercial="Yes","P","")</f>
        <v/>
      </c>
      <c r="C2860" s="254" t="str">
        <f t="shared" si="62"/>
        <v/>
      </c>
      <c r="D2860" s="174"/>
      <c r="E2860" s="863"/>
      <c r="F2860" s="863"/>
      <c r="G2860" s="1834"/>
      <c r="J2860" s="1374"/>
    </row>
    <row r="2861" spans="1:10" x14ac:dyDescent="0.25">
      <c r="A2861" s="585" t="str">
        <f>IF(dstCommercial="Yes","P","")</f>
        <v/>
      </c>
      <c r="C2861" s="254" t="str">
        <f t="shared" si="62"/>
        <v/>
      </c>
      <c r="D2861" s="846" t="s">
        <v>4750</v>
      </c>
      <c r="E2861" s="993"/>
      <c r="F2861" s="993"/>
      <c r="G2861" s="1835" t="s">
        <v>4751</v>
      </c>
      <c r="J2861" s="1374" t="s">
        <v>5145</v>
      </c>
    </row>
    <row r="2862" spans="1:10" x14ac:dyDescent="0.25">
      <c r="A2862" s="585" t="str">
        <f>IF(dstCommercial="Yes","P","")</f>
        <v/>
      </c>
      <c r="C2862" s="254" t="str">
        <f t="shared" si="62"/>
        <v/>
      </c>
      <c r="D2862" s="87"/>
      <c r="E2862" s="862"/>
      <c r="F2862" s="862"/>
      <c r="G2862" s="1833"/>
      <c r="J2862" s="1374"/>
    </row>
    <row r="2863" spans="1:10" x14ac:dyDescent="0.25">
      <c r="A2863" s="585" t="str">
        <f>IF(dstCommercial="Yes","P","")</f>
        <v/>
      </c>
      <c r="C2863" s="254" t="str">
        <f t="shared" si="62"/>
        <v/>
      </c>
      <c r="D2863" s="87"/>
      <c r="E2863" s="862"/>
      <c r="F2863" s="862"/>
      <c r="G2863" s="1833"/>
      <c r="J2863" s="1374"/>
    </row>
    <row r="2864" spans="1:10" x14ac:dyDescent="0.25">
      <c r="A2864" s="585" t="str">
        <f>IF(dstCommercial="Yes","P","")</f>
        <v/>
      </c>
      <c r="C2864" s="254" t="str">
        <f t="shared" si="62"/>
        <v/>
      </c>
      <c r="D2864" s="174"/>
      <c r="E2864" s="863"/>
      <c r="F2864" s="863"/>
      <c r="G2864" s="1834"/>
      <c r="J2864" s="1374"/>
    </row>
    <row r="2865" spans="1:10" x14ac:dyDescent="0.25">
      <c r="A2865" s="585" t="str">
        <f>IF(dstCommercial="Yes","P","")</f>
        <v/>
      </c>
      <c r="C2865" s="254" t="str">
        <f t="shared" si="62"/>
        <v/>
      </c>
      <c r="D2865" s="846" t="s">
        <v>4752</v>
      </c>
      <c r="E2865" s="993"/>
      <c r="F2865" s="993"/>
      <c r="G2865" s="1835" t="s">
        <v>4753</v>
      </c>
      <c r="J2865" s="1374" t="s">
        <v>5145</v>
      </c>
    </row>
    <row r="2866" spans="1:10" x14ac:dyDescent="0.25">
      <c r="A2866" s="585" t="str">
        <f>IF(dstCommercial="Yes","P","")</f>
        <v/>
      </c>
      <c r="C2866" s="254" t="str">
        <f t="shared" si="62"/>
        <v/>
      </c>
      <c r="D2866" s="87"/>
      <c r="E2866" s="862"/>
      <c r="F2866" s="862"/>
      <c r="G2866" s="1833"/>
      <c r="J2866" s="1374"/>
    </row>
    <row r="2867" spans="1:10" x14ac:dyDescent="0.25">
      <c r="A2867" s="585" t="str">
        <f>IF(dstCommercial="Yes","P","")</f>
        <v/>
      </c>
      <c r="C2867" s="254" t="str">
        <f t="shared" si="62"/>
        <v/>
      </c>
      <c r="D2867" s="174"/>
      <c r="E2867" s="863"/>
      <c r="F2867" s="863"/>
      <c r="G2867" s="1834"/>
      <c r="J2867" s="1374"/>
    </row>
    <row r="2868" spans="1:10" x14ac:dyDescent="0.25">
      <c r="A2868" s="585" t="str">
        <f>IF(dstCommercial="Yes","P","")</f>
        <v/>
      </c>
      <c r="C2868" s="254" t="str">
        <f t="shared" si="62"/>
        <v/>
      </c>
      <c r="D2868" s="87" t="s">
        <v>4754</v>
      </c>
      <c r="E2868" s="862"/>
      <c r="F2868" s="862"/>
      <c r="G2868" s="1833" t="s">
        <v>4755</v>
      </c>
      <c r="J2868" s="1374" t="s">
        <v>5127</v>
      </c>
    </row>
    <row r="2869" spans="1:10" x14ac:dyDescent="0.25">
      <c r="A2869" s="585" t="str">
        <f>IF(dstCommercial="Yes","P","")</f>
        <v/>
      </c>
      <c r="C2869" s="254" t="str">
        <f t="shared" si="62"/>
        <v/>
      </c>
      <c r="D2869" s="87"/>
      <c r="E2869" s="862"/>
      <c r="F2869" s="862"/>
      <c r="G2869" s="1833"/>
      <c r="J2869" s="1374"/>
    </row>
    <row r="2870" spans="1:10" ht="15.75" thickBot="1" x14ac:dyDescent="0.3">
      <c r="A2870" s="585" t="str">
        <f>IF(dstCommercial="Yes","P","")</f>
        <v/>
      </c>
      <c r="C2870" s="254" t="str">
        <f t="shared" si="62"/>
        <v/>
      </c>
      <c r="D2870" s="96"/>
      <c r="E2870" s="902"/>
      <c r="F2870" s="902"/>
      <c r="G2870" s="1900"/>
      <c r="J2870" s="1374"/>
    </row>
    <row r="2871" spans="1:10" ht="15.75" thickTop="1" x14ac:dyDescent="0.25">
      <c r="A2871" s="585" t="str">
        <f>IF(dstCommercial="Yes","P","")</f>
        <v/>
      </c>
      <c r="C2871" s="254" t="str">
        <f t="shared" si="62"/>
        <v/>
      </c>
      <c r="D2871" s="114" t="s">
        <v>4756</v>
      </c>
      <c r="E2871" s="1007"/>
      <c r="F2871" s="1007"/>
      <c r="G2871" s="1899" t="s">
        <v>4757</v>
      </c>
      <c r="J2871" s="1374" t="s">
        <v>5127</v>
      </c>
    </row>
    <row r="2872" spans="1:10" x14ac:dyDescent="0.25">
      <c r="A2872" s="585" t="str">
        <f>IF(dstCommercial="Yes","P","")</f>
        <v/>
      </c>
      <c r="C2872" s="254" t="str">
        <f t="shared" si="62"/>
        <v/>
      </c>
      <c r="D2872" s="87"/>
      <c r="E2872" s="862"/>
      <c r="F2872" s="862"/>
      <c r="G2872" s="1833"/>
      <c r="J2872" s="1374"/>
    </row>
    <row r="2873" spans="1:10" ht="15.75" thickBot="1" x14ac:dyDescent="0.3">
      <c r="A2873" s="585" t="str">
        <f>IF(dstCommercial="Yes","P","")</f>
        <v/>
      </c>
      <c r="C2873" s="254" t="str">
        <f t="shared" si="62"/>
        <v/>
      </c>
      <c r="D2873" s="96"/>
      <c r="E2873" s="902"/>
      <c r="F2873" s="902"/>
      <c r="G2873" s="1900"/>
      <c r="J2873" s="1374"/>
    </row>
    <row r="2874" spans="1:10" ht="15.75" thickTop="1" x14ac:dyDescent="0.25">
      <c r="A2874" s="585" t="str">
        <f>IF(dstCommercial="Yes","P","")</f>
        <v/>
      </c>
      <c r="C2874" s="254" t="str">
        <f t="shared" si="62"/>
        <v/>
      </c>
      <c r="D2874" s="87" t="s">
        <v>4758</v>
      </c>
      <c r="E2874" s="862"/>
      <c r="F2874" s="862"/>
      <c r="G2874" s="1361" t="s">
        <v>4759</v>
      </c>
      <c r="J2874" s="1374"/>
    </row>
    <row r="2875" spans="1:10" x14ac:dyDescent="0.25">
      <c r="A2875" s="585" t="str">
        <f>IF(dstCommercial="Yes","P","")</f>
        <v/>
      </c>
      <c r="C2875" s="254" t="str">
        <f t="shared" si="62"/>
        <v/>
      </c>
      <c r="D2875" s="87" t="s">
        <v>4760</v>
      </c>
      <c r="E2875" s="862"/>
      <c r="F2875" s="862"/>
      <c r="G2875" s="1833" t="s">
        <v>4761</v>
      </c>
      <c r="J2875" s="1374" t="s">
        <v>3892</v>
      </c>
    </row>
    <row r="2876" spans="1:10" x14ac:dyDescent="0.25">
      <c r="A2876" s="585" t="str">
        <f>IF(dstCommercial="Yes","P","")</f>
        <v/>
      </c>
      <c r="C2876" s="254" t="str">
        <f t="shared" si="62"/>
        <v/>
      </c>
      <c r="D2876" s="174"/>
      <c r="E2876" s="863"/>
      <c r="F2876" s="863"/>
      <c r="G2876" s="1834"/>
      <c r="J2876" s="1374"/>
    </row>
    <row r="2877" spans="1:10" x14ac:dyDescent="0.25">
      <c r="A2877" s="585" t="str">
        <f>IF(dstCommercial="Yes","P","")</f>
        <v/>
      </c>
      <c r="C2877" s="254" t="str">
        <f t="shared" si="62"/>
        <v/>
      </c>
      <c r="D2877" s="87" t="s">
        <v>4762</v>
      </c>
      <c r="E2877" s="862"/>
      <c r="F2877" s="862"/>
      <c r="G2877" s="1833" t="s">
        <v>4763</v>
      </c>
      <c r="J2877" s="1374" t="s">
        <v>5146</v>
      </c>
    </row>
    <row r="2878" spans="1:10" x14ac:dyDescent="0.25">
      <c r="A2878" s="585" t="str">
        <f>IF(dstCommercial="Yes","P","")</f>
        <v/>
      </c>
      <c r="C2878" s="254" t="str">
        <f t="shared" si="62"/>
        <v/>
      </c>
      <c r="D2878" s="87"/>
      <c r="E2878" s="862"/>
      <c r="F2878" s="862"/>
      <c r="G2878" s="1833"/>
      <c r="J2878" s="1374"/>
    </row>
    <row r="2879" spans="1:10" ht="15" customHeight="1" x14ac:dyDescent="0.25">
      <c r="A2879" s="585" t="str">
        <f>IF(dstCommercial="Yes","P","")</f>
        <v/>
      </c>
      <c r="C2879" s="254" t="str">
        <f t="shared" si="62"/>
        <v/>
      </c>
      <c r="D2879" s="87"/>
      <c r="E2879" s="863" t="s">
        <v>256</v>
      </c>
      <c r="F2879" s="863"/>
      <c r="G2879" s="1356" t="s">
        <v>4764</v>
      </c>
      <c r="J2879" s="1374"/>
    </row>
    <row r="2880" spans="1:10" ht="15.75" thickBot="1" x14ac:dyDescent="0.3">
      <c r="A2880" s="585" t="str">
        <f>IF(dstCommercial="Yes","P","")</f>
        <v/>
      </c>
      <c r="C2880" s="254" t="str">
        <f t="shared" si="62"/>
        <v/>
      </c>
      <c r="D2880" s="96"/>
      <c r="E2880" s="902" t="s">
        <v>258</v>
      </c>
      <c r="F2880" s="902"/>
      <c r="G2880" s="1357" t="s">
        <v>4765</v>
      </c>
      <c r="J2880" s="1374"/>
    </row>
    <row r="2881" spans="1:10" ht="15.75" thickTop="1" x14ac:dyDescent="0.25">
      <c r="A2881" s="585" t="str">
        <f>IF(dstCommercial="Yes","P","")</f>
        <v/>
      </c>
      <c r="C2881" s="254" t="str">
        <f t="shared" si="62"/>
        <v/>
      </c>
      <c r="D2881" s="87" t="s">
        <v>4766</v>
      </c>
      <c r="E2881" s="862"/>
      <c r="F2881" s="862"/>
      <c r="G2881" s="1361" t="s">
        <v>4767</v>
      </c>
      <c r="J2881" s="1374" t="s">
        <v>5147</v>
      </c>
    </row>
    <row r="2882" spans="1:10" x14ac:dyDescent="0.25">
      <c r="A2882" s="585" t="str">
        <f>IF(dstCommercial="Yes","P","")</f>
        <v/>
      </c>
      <c r="C2882" s="254" t="str">
        <f t="shared" si="62"/>
        <v/>
      </c>
      <c r="D2882" s="87"/>
      <c r="E2882" s="863" t="s">
        <v>256</v>
      </c>
      <c r="F2882" s="863"/>
      <c r="G2882" s="1356" t="s">
        <v>4768</v>
      </c>
      <c r="J2882" s="1374"/>
    </row>
    <row r="2883" spans="1:10" ht="15.75" thickBot="1" x14ac:dyDescent="0.3">
      <c r="A2883" s="585" t="str">
        <f>IF(dstCommercial="Yes","P","")</f>
        <v/>
      </c>
      <c r="C2883" s="254" t="str">
        <f t="shared" si="62"/>
        <v/>
      </c>
      <c r="D2883" s="96"/>
      <c r="E2883" s="902" t="s">
        <v>258</v>
      </c>
      <c r="F2883" s="902"/>
      <c r="G2883" s="1357" t="s">
        <v>4769</v>
      </c>
      <c r="J2883" s="1374"/>
    </row>
    <row r="2884" spans="1:10" ht="15.75" thickTop="1" x14ac:dyDescent="0.25">
      <c r="A2884" s="585" t="str">
        <f>IF(dstCommercial="Yes","P","")</f>
        <v/>
      </c>
      <c r="C2884" s="254" t="str">
        <f t="shared" si="62"/>
        <v/>
      </c>
      <c r="D2884" s="114" t="s">
        <v>4770</v>
      </c>
      <c r="E2884" s="1007"/>
      <c r="F2884" s="1007"/>
      <c r="G2884" s="1899" t="s">
        <v>4771</v>
      </c>
      <c r="J2884" s="1374" t="s">
        <v>5148</v>
      </c>
    </row>
    <row r="2885" spans="1:10" x14ac:dyDescent="0.25">
      <c r="A2885" s="585" t="str">
        <f>IF(dstCommercial="Yes","P","")</f>
        <v/>
      </c>
      <c r="C2885" s="254" t="str">
        <f t="shared" si="62"/>
        <v/>
      </c>
      <c r="D2885" s="174"/>
      <c r="E2885" s="863"/>
      <c r="F2885" s="863"/>
      <c r="G2885" s="1834"/>
      <c r="J2885" s="1374"/>
    </row>
    <row r="2886" spans="1:10" x14ac:dyDescent="0.25">
      <c r="A2886" s="585" t="str">
        <f>IF(dstCommercial="Yes","P","")</f>
        <v/>
      </c>
      <c r="C2886" s="254" t="str">
        <f t="shared" si="62"/>
        <v/>
      </c>
      <c r="D2886" s="64">
        <v>901.4</v>
      </c>
      <c r="E2886" s="66"/>
      <c r="F2886" s="66"/>
      <c r="G2886" s="1779" t="s">
        <v>3179</v>
      </c>
      <c r="J2886" s="1374"/>
    </row>
    <row r="2887" spans="1:10" x14ac:dyDescent="0.25">
      <c r="A2887" s="585" t="str">
        <f>IF(dstCommercial="Yes","P","")</f>
        <v/>
      </c>
      <c r="C2887" s="254" t="str">
        <f t="shared" si="62"/>
        <v/>
      </c>
      <c r="D2887" s="64"/>
      <c r="E2887" s="66"/>
      <c r="F2887" s="66"/>
      <c r="G2887" s="1779"/>
      <c r="J2887" s="1374"/>
    </row>
    <row r="2888" spans="1:10" x14ac:dyDescent="0.25">
      <c r="A2888" s="585" t="str">
        <f>IF(dstCommercial="Yes","P","")</f>
        <v/>
      </c>
      <c r="C2888" s="254" t="str">
        <f t="shared" si="62"/>
        <v/>
      </c>
      <c r="D2888" s="64"/>
      <c r="E2888" s="66"/>
      <c r="F2888" s="66"/>
      <c r="G2888" s="1779"/>
      <c r="J2888" s="1374"/>
    </row>
    <row r="2889" spans="1:10" x14ac:dyDescent="0.25">
      <c r="A2889" s="585" t="str">
        <f>IF(dstCommercial="Yes","P","")</f>
        <v/>
      </c>
      <c r="C2889" s="254" t="str">
        <f t="shared" si="62"/>
        <v/>
      </c>
      <c r="D2889" s="64"/>
      <c r="E2889" s="27" t="s">
        <v>256</v>
      </c>
      <c r="F2889" s="66"/>
      <c r="G2889" s="1779" t="s">
        <v>3180</v>
      </c>
      <c r="J2889" s="1374"/>
    </row>
    <row r="2890" spans="1:10" x14ac:dyDescent="0.25">
      <c r="A2890" s="585" t="str">
        <f>IF(dstCommercial="Yes","P","")</f>
        <v/>
      </c>
      <c r="C2890" s="254" t="str">
        <f t="shared" si="62"/>
        <v/>
      </c>
      <c r="D2890" s="64"/>
      <c r="E2890" s="66"/>
      <c r="F2890" s="66"/>
      <c r="G2890" s="1779"/>
      <c r="J2890" s="1374"/>
    </row>
    <row r="2891" spans="1:10" x14ac:dyDescent="0.25">
      <c r="A2891" s="585" t="str">
        <f>IF(dstCommercial="Yes","P","")</f>
        <v/>
      </c>
      <c r="C2891" s="254" t="str">
        <f t="shared" si="62"/>
        <v/>
      </c>
      <c r="D2891" s="64"/>
      <c r="E2891" s="66"/>
      <c r="F2891" s="66"/>
      <c r="G2891" s="1779"/>
      <c r="J2891" s="1374"/>
    </row>
    <row r="2892" spans="1:10" x14ac:dyDescent="0.25">
      <c r="A2892" s="585" t="str">
        <f>IF(dstCommercial="Yes","P","")</f>
        <v/>
      </c>
      <c r="C2892" s="254" t="str">
        <f t="shared" si="62"/>
        <v/>
      </c>
      <c r="D2892" s="64"/>
      <c r="E2892" s="66"/>
      <c r="F2892" s="66"/>
      <c r="G2892" s="1779"/>
      <c r="J2892" s="1374"/>
    </row>
    <row r="2893" spans="1:10" x14ac:dyDescent="0.25">
      <c r="C2893" s="254" t="str">
        <f t="shared" si="62"/>
        <v/>
      </c>
      <c r="D2893" s="64"/>
      <c r="E2893" s="534"/>
      <c r="F2893" s="534"/>
      <c r="G2893" s="1365" t="s">
        <v>3967</v>
      </c>
      <c r="J2893" s="1374"/>
    </row>
    <row r="2894" spans="1:10" x14ac:dyDescent="0.25">
      <c r="A2894" s="585" t="str">
        <f>IF(dstCommercial="Yes","P","")</f>
        <v/>
      </c>
      <c r="C2894" s="254" t="str">
        <f t="shared" si="62"/>
        <v/>
      </c>
      <c r="D2894" s="64"/>
      <c r="E2894" s="66"/>
      <c r="F2894" s="66"/>
      <c r="G2894" s="1359" t="s">
        <v>3646</v>
      </c>
      <c r="J2894" s="1374"/>
    </row>
    <row r="2895" spans="1:10" x14ac:dyDescent="0.25">
      <c r="A2895" s="585" t="str">
        <f>IF(dstCommercial="Yes","P","")</f>
        <v/>
      </c>
      <c r="C2895" s="254" t="str">
        <f t="shared" si="62"/>
        <v/>
      </c>
      <c r="D2895" s="64"/>
      <c r="E2895" s="66"/>
      <c r="F2895" s="66"/>
      <c r="G2895" s="1359" t="s">
        <v>3647</v>
      </c>
      <c r="J2895" s="1374"/>
    </row>
    <row r="2896" spans="1:10" x14ac:dyDescent="0.25">
      <c r="A2896" s="585" t="str">
        <f>IF(dstCommercial="Yes","P","")</f>
        <v/>
      </c>
      <c r="C2896" s="254" t="str">
        <f t="shared" si="62"/>
        <v/>
      </c>
      <c r="D2896" s="64"/>
      <c r="E2896" s="66"/>
      <c r="F2896" s="66"/>
      <c r="G2896" s="1359" t="s">
        <v>3648</v>
      </c>
      <c r="J2896" s="1374"/>
    </row>
    <row r="2897" spans="1:10" x14ac:dyDescent="0.25">
      <c r="A2897" s="585" t="str">
        <f>IF(dstCommercial="Yes","P","")</f>
        <v/>
      </c>
      <c r="C2897" s="254" t="str">
        <f t="shared" si="62"/>
        <v/>
      </c>
      <c r="D2897" s="64"/>
      <c r="E2897" s="66"/>
      <c r="F2897" s="66"/>
      <c r="G2897" s="1359" t="s">
        <v>3649</v>
      </c>
      <c r="J2897" s="1374"/>
    </row>
    <row r="2898" spans="1:10" x14ac:dyDescent="0.25">
      <c r="A2898" s="585" t="str">
        <f>IF(dstCommercial="Yes","P","")</f>
        <v/>
      </c>
      <c r="C2898" s="254" t="str">
        <f t="shared" si="62"/>
        <v/>
      </c>
      <c r="D2898" s="64"/>
      <c r="E2898" s="27" t="s">
        <v>258</v>
      </c>
      <c r="F2898" s="66"/>
      <c r="G2898" s="1779" t="s">
        <v>3181</v>
      </c>
      <c r="J2898" s="1374"/>
    </row>
    <row r="2899" spans="1:10" x14ac:dyDescent="0.25">
      <c r="A2899" s="585" t="str">
        <f>IF(dstCommercial="Yes","P","")</f>
        <v/>
      </c>
      <c r="C2899" s="254" t="str">
        <f t="shared" ref="C2899:C2962" si="63">IF(LEN(B2899)=0,IF(A2899="P","P",""),B2899)</f>
        <v/>
      </c>
      <c r="D2899" s="64"/>
      <c r="E2899" s="534"/>
      <c r="F2899" s="534"/>
      <c r="G2899" s="1755"/>
      <c r="J2899" s="1374"/>
    </row>
    <row r="2900" spans="1:10" x14ac:dyDescent="0.25">
      <c r="A2900" s="585" t="str">
        <f>IF(dstCommercial="Yes","P","")</f>
        <v/>
      </c>
      <c r="C2900" s="254" t="str">
        <f t="shared" si="63"/>
        <v/>
      </c>
      <c r="D2900" s="64"/>
      <c r="E2900" s="206" t="s">
        <v>260</v>
      </c>
      <c r="F2900" s="534"/>
      <c r="G2900" s="1354" t="s">
        <v>3182</v>
      </c>
      <c r="J2900" s="1374"/>
    </row>
    <row r="2901" spans="1:10" x14ac:dyDescent="0.25">
      <c r="A2901" s="585" t="str">
        <f>IF(dstCommercial="Yes","P","")</f>
        <v/>
      </c>
      <c r="C2901" s="254" t="str">
        <f t="shared" si="63"/>
        <v/>
      </c>
      <c r="D2901" s="64"/>
      <c r="E2901" s="206" t="s">
        <v>269</v>
      </c>
      <c r="F2901" s="534"/>
      <c r="G2901" s="1354" t="s">
        <v>3183</v>
      </c>
      <c r="J2901" s="1374"/>
    </row>
    <row r="2902" spans="1:10" x14ac:dyDescent="0.25">
      <c r="A2902" s="585" t="str">
        <f>IF(dstCommercial="Yes","P","")</f>
        <v/>
      </c>
      <c r="C2902" s="254" t="str">
        <f t="shared" si="63"/>
        <v/>
      </c>
      <c r="D2902" s="64"/>
      <c r="E2902" s="27" t="s">
        <v>275</v>
      </c>
      <c r="F2902" s="66"/>
      <c r="G2902" s="1779" t="s">
        <v>3184</v>
      </c>
      <c r="J2902" s="1374"/>
    </row>
    <row r="2903" spans="1:10" x14ac:dyDescent="0.25">
      <c r="A2903" s="585" t="str">
        <f>IF(dstCommercial="Yes","P","")</f>
        <v/>
      </c>
      <c r="C2903" s="254" t="str">
        <f t="shared" si="63"/>
        <v/>
      </c>
      <c r="D2903" s="64"/>
      <c r="E2903" s="206"/>
      <c r="F2903" s="534"/>
      <c r="G2903" s="1755"/>
      <c r="J2903" s="1374"/>
    </row>
    <row r="2904" spans="1:10" ht="15.75" thickBot="1" x14ac:dyDescent="0.3">
      <c r="A2904" s="585" t="str">
        <f>IF(dstCommercial="Yes","P","")</f>
        <v/>
      </c>
      <c r="C2904" s="254" t="str">
        <f t="shared" si="63"/>
        <v/>
      </c>
      <c r="D2904" s="189"/>
      <c r="E2904" s="190" t="s">
        <v>277</v>
      </c>
      <c r="F2904" s="855"/>
      <c r="G2904" s="1358" t="s">
        <v>3185</v>
      </c>
      <c r="J2904" s="1374"/>
    </row>
    <row r="2905" spans="1:10" ht="15.75" thickTop="1" x14ac:dyDescent="0.25">
      <c r="A2905" s="585" t="str">
        <f>IF(dstCommercial="Yes","P","")</f>
        <v/>
      </c>
      <c r="C2905" s="254" t="str">
        <f t="shared" si="63"/>
        <v/>
      </c>
      <c r="D2905" s="64">
        <v>901.5</v>
      </c>
      <c r="E2905" s="66"/>
      <c r="F2905" s="66"/>
      <c r="G2905" s="1796" t="s">
        <v>3186</v>
      </c>
      <c r="J2905" s="1374"/>
    </row>
    <row r="2906" spans="1:10" x14ac:dyDescent="0.25">
      <c r="A2906" s="585" t="str">
        <f>IF(dstCommercial="Yes","P","")</f>
        <v/>
      </c>
      <c r="C2906" s="254" t="str">
        <f t="shared" si="63"/>
        <v/>
      </c>
      <c r="D2906" s="64"/>
      <c r="E2906" s="66"/>
      <c r="F2906" s="66"/>
      <c r="G2906" s="1796"/>
      <c r="J2906" s="1374"/>
    </row>
    <row r="2907" spans="1:10" x14ac:dyDescent="0.25">
      <c r="A2907" s="585" t="str">
        <f>IF(dstCommercial="Yes","P","")</f>
        <v/>
      </c>
      <c r="C2907" s="254" t="str">
        <f t="shared" si="63"/>
        <v/>
      </c>
      <c r="D2907" s="64"/>
      <c r="E2907" s="66"/>
      <c r="F2907" s="66"/>
      <c r="G2907" s="1360" t="s">
        <v>3187</v>
      </c>
      <c r="J2907" s="1374"/>
    </row>
    <row r="2908" spans="1:10" x14ac:dyDescent="0.25">
      <c r="A2908" s="585" t="str">
        <f>IF(dstCommercial="Yes","P","")</f>
        <v/>
      </c>
      <c r="C2908" s="254" t="str">
        <f t="shared" si="63"/>
        <v/>
      </c>
      <c r="D2908" s="64"/>
      <c r="E2908" s="27" t="s">
        <v>256</v>
      </c>
      <c r="F2908" s="66"/>
      <c r="G2908" s="1779" t="s">
        <v>3188</v>
      </c>
      <c r="J2908" s="1374"/>
    </row>
    <row r="2909" spans="1:10" x14ac:dyDescent="0.25">
      <c r="A2909" s="585" t="str">
        <f>IF(dstCommercial="Yes","P","")</f>
        <v/>
      </c>
      <c r="C2909" s="254" t="str">
        <f t="shared" si="63"/>
        <v/>
      </c>
      <c r="D2909" s="64"/>
      <c r="E2909" s="534"/>
      <c r="F2909" s="534"/>
      <c r="G2909" s="1755"/>
      <c r="J2909" s="1374"/>
    </row>
    <row r="2910" spans="1:10" x14ac:dyDescent="0.25">
      <c r="A2910" s="585" t="str">
        <f>IF(dstCommercial="Yes","P","")</f>
        <v/>
      </c>
      <c r="C2910" s="254" t="str">
        <f t="shared" si="63"/>
        <v/>
      </c>
      <c r="D2910" s="64"/>
      <c r="E2910" s="27" t="s">
        <v>258</v>
      </c>
      <c r="F2910" s="66"/>
      <c r="G2910" s="1779" t="s">
        <v>3189</v>
      </c>
      <c r="J2910" s="1374"/>
    </row>
    <row r="2911" spans="1:10" x14ac:dyDescent="0.25">
      <c r="A2911" s="585" t="str">
        <f>IF(dstCommercial="Yes","P","")</f>
        <v/>
      </c>
      <c r="C2911" s="254" t="str">
        <f t="shared" si="63"/>
        <v/>
      </c>
      <c r="D2911" s="64"/>
      <c r="E2911" s="66"/>
      <c r="F2911" s="66"/>
      <c r="G2911" s="1779"/>
      <c r="J2911" s="1374"/>
    </row>
    <row r="2912" spans="1:10" ht="15.75" thickBot="1" x14ac:dyDescent="0.3">
      <c r="A2912" s="585" t="str">
        <f>IF(dstCommercial="Yes","P","")</f>
        <v/>
      </c>
      <c r="C2912" s="254" t="str">
        <f t="shared" si="63"/>
        <v/>
      </c>
      <c r="D2912" s="189"/>
      <c r="E2912" s="855"/>
      <c r="F2912" s="855"/>
      <c r="G2912" s="1783"/>
      <c r="J2912" s="1374"/>
    </row>
    <row r="2913" spans="1:10" ht="15.75" thickTop="1" x14ac:dyDescent="0.25">
      <c r="A2913" s="585" t="str">
        <f>IF(dstCommercial="Yes","P","")</f>
        <v/>
      </c>
      <c r="C2913" s="254" t="str">
        <f t="shared" si="63"/>
        <v/>
      </c>
      <c r="D2913" s="64">
        <v>901.7</v>
      </c>
      <c r="E2913" s="66"/>
      <c r="F2913" s="66"/>
      <c r="G2913" s="1796" t="s">
        <v>3191</v>
      </c>
      <c r="J2913" s="1374"/>
    </row>
    <row r="2914" spans="1:10" x14ac:dyDescent="0.25">
      <c r="A2914" s="585" t="str">
        <f>IF(dstCommercial="Yes","P","")</f>
        <v/>
      </c>
      <c r="C2914" s="254" t="str">
        <f t="shared" si="63"/>
        <v/>
      </c>
      <c r="D2914" s="64"/>
      <c r="E2914" s="66"/>
      <c r="F2914" s="66"/>
      <c r="G2914" s="1796"/>
      <c r="J2914" s="1374"/>
    </row>
    <row r="2915" spans="1:10" x14ac:dyDescent="0.25">
      <c r="A2915" s="585" t="str">
        <f>IF(dstCommercial="Yes","P","")</f>
        <v/>
      </c>
      <c r="C2915" s="254" t="str">
        <f t="shared" si="63"/>
        <v/>
      </c>
      <c r="D2915" s="64"/>
      <c r="E2915" s="66"/>
      <c r="F2915" s="66"/>
      <c r="G2915" s="1796"/>
      <c r="J2915" s="1374"/>
    </row>
    <row r="2916" spans="1:10" x14ac:dyDescent="0.25">
      <c r="A2916" s="585" t="str">
        <f>IF(dstCommercial="Yes","P","")</f>
        <v/>
      </c>
      <c r="C2916" s="254" t="str">
        <f t="shared" si="63"/>
        <v/>
      </c>
      <c r="D2916" s="64"/>
      <c r="E2916" s="66"/>
      <c r="F2916" s="66"/>
      <c r="G2916" s="1796"/>
      <c r="J2916" s="1374"/>
    </row>
    <row r="2917" spans="1:10" x14ac:dyDescent="0.25">
      <c r="A2917" s="585" t="str">
        <f>IF(dstCommercial="Yes","P","")</f>
        <v/>
      </c>
      <c r="C2917" s="254" t="str">
        <f t="shared" si="63"/>
        <v/>
      </c>
      <c r="D2917" s="64"/>
      <c r="E2917" s="66"/>
      <c r="F2917" s="66"/>
      <c r="G2917" s="1796"/>
      <c r="J2917" s="1374"/>
    </row>
    <row r="2918" spans="1:10" x14ac:dyDescent="0.25">
      <c r="A2918" s="585" t="str">
        <f>IF(dstCommercial="Yes","P","")</f>
        <v/>
      </c>
      <c r="C2918" s="254" t="str">
        <f t="shared" si="63"/>
        <v/>
      </c>
      <c r="D2918" s="64"/>
      <c r="E2918" s="66"/>
      <c r="F2918" s="66"/>
      <c r="G2918" s="1851" t="s">
        <v>3192</v>
      </c>
      <c r="J2918" s="1374"/>
    </row>
    <row r="2919" spans="1:10" x14ac:dyDescent="0.25">
      <c r="A2919" s="585" t="str">
        <f>IF(dstCommercial="Yes","P","")</f>
        <v/>
      </c>
      <c r="C2919" s="254" t="str">
        <f t="shared" si="63"/>
        <v/>
      </c>
      <c r="D2919" s="64"/>
      <c r="E2919" s="66"/>
      <c r="F2919" s="66"/>
      <c r="G2919" s="1851"/>
      <c r="J2919" s="1374"/>
    </row>
    <row r="2920" spans="1:10" x14ac:dyDescent="0.25">
      <c r="A2920" s="585" t="str">
        <f>IF(dstCommercial="Yes","P","")</f>
        <v/>
      </c>
      <c r="C2920" s="254" t="str">
        <f t="shared" si="63"/>
        <v/>
      </c>
      <c r="D2920" s="64"/>
      <c r="E2920" s="27" t="s">
        <v>256</v>
      </c>
      <c r="F2920" s="66"/>
      <c r="G2920" s="1779" t="s">
        <v>3193</v>
      </c>
      <c r="J2920" s="1374"/>
    </row>
    <row r="2921" spans="1:10" x14ac:dyDescent="0.25">
      <c r="A2921" s="585" t="str">
        <f>IF(dstCommercial="Yes","P","")</f>
        <v/>
      </c>
      <c r="C2921" s="254" t="str">
        <f t="shared" si="63"/>
        <v/>
      </c>
      <c r="D2921" s="64"/>
      <c r="E2921" s="66"/>
      <c r="F2921" s="66"/>
      <c r="G2921" s="1779"/>
      <c r="J2921" s="1374"/>
    </row>
    <row r="2922" spans="1:10" x14ac:dyDescent="0.25">
      <c r="A2922" s="585" t="str">
        <f>IF(dstCommercial="Yes","P","")</f>
        <v/>
      </c>
      <c r="C2922" s="254" t="str">
        <f t="shared" si="63"/>
        <v/>
      </c>
      <c r="D2922" s="64"/>
      <c r="E2922" s="66"/>
      <c r="F2922" s="66"/>
      <c r="G2922" s="1779"/>
      <c r="J2922" s="1374"/>
    </row>
    <row r="2923" spans="1:10" x14ac:dyDescent="0.25">
      <c r="A2923" s="585" t="str">
        <f>IF(dstCommercial="Yes","P","")</f>
        <v/>
      </c>
      <c r="C2923" s="254" t="str">
        <f t="shared" si="63"/>
        <v/>
      </c>
      <c r="D2923" s="64"/>
      <c r="E2923" s="66"/>
      <c r="F2923" s="66"/>
      <c r="G2923" s="1779"/>
      <c r="J2923" s="1374"/>
    </row>
    <row r="2924" spans="1:10" x14ac:dyDescent="0.25">
      <c r="A2924" s="585" t="str">
        <f>IF(dstCommercial="Yes","P","")</f>
        <v/>
      </c>
      <c r="C2924" s="254" t="str">
        <f t="shared" si="63"/>
        <v/>
      </c>
      <c r="D2924" s="64"/>
      <c r="E2924" s="66"/>
      <c r="F2924" s="27" t="s">
        <v>121</v>
      </c>
      <c r="G2924" s="1359" t="s">
        <v>3194</v>
      </c>
      <c r="J2924" s="1374"/>
    </row>
    <row r="2925" spans="1:10" x14ac:dyDescent="0.25">
      <c r="A2925" s="585" t="str">
        <f>IF(dstCommercial="Yes","P","")</f>
        <v/>
      </c>
      <c r="C2925" s="254" t="str">
        <f t="shared" si="63"/>
        <v/>
      </c>
      <c r="D2925" s="64"/>
      <c r="E2925" s="66"/>
      <c r="F2925" s="27" t="s">
        <v>122</v>
      </c>
      <c r="G2925" s="1359" t="s">
        <v>3195</v>
      </c>
      <c r="J2925" s="1374"/>
    </row>
    <row r="2926" spans="1:10" x14ac:dyDescent="0.25">
      <c r="A2926" s="585" t="str">
        <f>IF(dstCommercial="Yes","P","")</f>
        <v/>
      </c>
      <c r="C2926" s="254" t="str">
        <f t="shared" si="63"/>
        <v/>
      </c>
      <c r="D2926" s="64"/>
      <c r="E2926" s="66"/>
      <c r="F2926" s="27" t="s">
        <v>123</v>
      </c>
      <c r="G2926" s="1359" t="s">
        <v>3196</v>
      </c>
      <c r="J2926" s="1374"/>
    </row>
    <row r="2927" spans="1:10" x14ac:dyDescent="0.25">
      <c r="A2927" s="585" t="str">
        <f>IF(dstCommercial="Yes","P","")</f>
        <v/>
      </c>
      <c r="C2927" s="254" t="str">
        <f t="shared" si="63"/>
        <v/>
      </c>
      <c r="D2927" s="64"/>
      <c r="E2927" s="66"/>
      <c r="F2927" s="27" t="s">
        <v>401</v>
      </c>
      <c r="G2927" s="1359" t="s">
        <v>3197</v>
      </c>
      <c r="J2927" s="1374"/>
    </row>
    <row r="2928" spans="1:10" x14ac:dyDescent="0.25">
      <c r="A2928" s="585" t="str">
        <f>IF(dstCommercial="Yes","P","")</f>
        <v/>
      </c>
      <c r="C2928" s="254" t="str">
        <f t="shared" si="63"/>
        <v/>
      </c>
      <c r="D2928" s="64"/>
      <c r="E2928" s="66"/>
      <c r="F2928" s="27" t="s">
        <v>539</v>
      </c>
      <c r="G2928" s="1359" t="s">
        <v>3198</v>
      </c>
      <c r="J2928" s="1374"/>
    </row>
    <row r="2929" spans="1:10" x14ac:dyDescent="0.25">
      <c r="A2929" s="585" t="str">
        <f>IF(dstCommercial="Yes","P","")</f>
        <v/>
      </c>
      <c r="C2929" s="254" t="str">
        <f t="shared" si="63"/>
        <v/>
      </c>
      <c r="D2929" s="64"/>
      <c r="E2929" s="534"/>
      <c r="F2929" s="206" t="s">
        <v>604</v>
      </c>
      <c r="G2929" s="1354" t="s">
        <v>3199</v>
      </c>
      <c r="J2929" s="1374"/>
    </row>
    <row r="2930" spans="1:10" x14ac:dyDescent="0.25">
      <c r="A2930" s="585" t="str">
        <f>IF(dstCommercial="Yes","P","")</f>
        <v/>
      </c>
      <c r="C2930" s="254" t="str">
        <f t="shared" si="63"/>
        <v/>
      </c>
      <c r="D2930" s="64"/>
      <c r="E2930" s="206" t="s">
        <v>258</v>
      </c>
      <c r="F2930" s="534"/>
      <c r="G2930" s="1354" t="s">
        <v>3837</v>
      </c>
      <c r="J2930" s="1374"/>
    </row>
    <row r="2931" spans="1:10" x14ac:dyDescent="0.25">
      <c r="A2931" s="585" t="str">
        <f>IF(dstCommercial="Yes","P","")</f>
        <v/>
      </c>
      <c r="C2931" s="254" t="str">
        <f t="shared" si="63"/>
        <v/>
      </c>
      <c r="D2931" s="64"/>
      <c r="E2931" s="27" t="s">
        <v>260</v>
      </c>
      <c r="F2931" s="66"/>
      <c r="G2931" s="1359" t="s">
        <v>3650</v>
      </c>
      <c r="J2931" s="1374"/>
    </row>
    <row r="2932" spans="1:10" x14ac:dyDescent="0.25">
      <c r="A2932" s="585" t="str">
        <f>IF(dstCommercial="Yes","P","")</f>
        <v/>
      </c>
      <c r="C2932" s="254" t="str">
        <f t="shared" si="63"/>
        <v/>
      </c>
      <c r="D2932" s="64"/>
      <c r="E2932" s="66"/>
      <c r="F2932" s="66"/>
      <c r="G2932" s="1851" t="s">
        <v>3200</v>
      </c>
      <c r="J2932" s="1374"/>
    </row>
    <row r="2933" spans="1:10" ht="15.75" thickBot="1" x14ac:dyDescent="0.3">
      <c r="A2933" s="585" t="str">
        <f>IF(dstCommercial="Yes","P","")</f>
        <v/>
      </c>
      <c r="C2933" s="254" t="str">
        <f t="shared" si="63"/>
        <v/>
      </c>
      <c r="D2933" s="189"/>
      <c r="E2933" s="855"/>
      <c r="F2933" s="855"/>
      <c r="G2933" s="1943"/>
      <c r="J2933" s="1374"/>
    </row>
    <row r="2934" spans="1:10" ht="15.75" thickTop="1" x14ac:dyDescent="0.25">
      <c r="A2934" s="585" t="str">
        <f>IF(dstCommercial="Yes","P","")</f>
        <v/>
      </c>
      <c r="C2934" s="254" t="str">
        <f t="shared" si="63"/>
        <v/>
      </c>
      <c r="D2934" s="180">
        <v>901.8</v>
      </c>
      <c r="E2934" s="509"/>
      <c r="F2934" s="509"/>
      <c r="G2934" s="1781" t="s">
        <v>3201</v>
      </c>
      <c r="J2934" s="1374"/>
    </row>
    <row r="2935" spans="1:10" x14ac:dyDescent="0.25">
      <c r="A2935" s="585" t="str">
        <f>IF(dstCommercial="Yes","P","")</f>
        <v/>
      </c>
      <c r="C2935" s="254" t="str">
        <f t="shared" si="63"/>
        <v/>
      </c>
      <c r="D2935" s="64"/>
      <c r="E2935" s="66"/>
      <c r="F2935" s="66"/>
      <c r="G2935" s="1796"/>
      <c r="J2935" s="1374"/>
    </row>
    <row r="2936" spans="1:10" x14ac:dyDescent="0.25">
      <c r="A2936" s="585" t="str">
        <f>IF(dstCommercial="Yes","P","")</f>
        <v/>
      </c>
      <c r="C2936" s="254" t="str">
        <f t="shared" si="63"/>
        <v/>
      </c>
      <c r="D2936" s="64"/>
      <c r="E2936" s="66"/>
      <c r="F2936" s="66"/>
      <c r="G2936" s="1796"/>
      <c r="J2936" s="1374"/>
    </row>
    <row r="2937" spans="1:10" x14ac:dyDescent="0.25">
      <c r="A2937" s="585" t="str">
        <f>IF(dstCommercial="Yes","P","")</f>
        <v/>
      </c>
      <c r="C2937" s="254" t="str">
        <f t="shared" si="63"/>
        <v/>
      </c>
      <c r="D2937" s="64"/>
      <c r="E2937" s="66"/>
      <c r="F2937" s="66"/>
      <c r="G2937" s="1796"/>
      <c r="J2937" s="1374"/>
    </row>
    <row r="2938" spans="1:10" x14ac:dyDescent="0.25">
      <c r="A2938" s="585" t="str">
        <f>IF(dstCommercial="Yes","P","")</f>
        <v/>
      </c>
      <c r="C2938" s="254" t="str">
        <f t="shared" si="63"/>
        <v/>
      </c>
      <c r="D2938" s="64"/>
      <c r="E2938" s="66"/>
      <c r="F2938" s="66"/>
      <c r="G2938" s="1796"/>
      <c r="J2938" s="1374"/>
    </row>
    <row r="2939" spans="1:10" ht="15.75" thickBot="1" x14ac:dyDescent="0.3">
      <c r="A2939" s="585" t="str">
        <f>IF(dstCommercial="Yes","P","")</f>
        <v/>
      </c>
      <c r="C2939" s="254" t="str">
        <f t="shared" si="63"/>
        <v/>
      </c>
      <c r="D2939" s="189"/>
      <c r="E2939" s="855"/>
      <c r="F2939" s="855"/>
      <c r="G2939" s="1797"/>
      <c r="J2939" s="1374"/>
    </row>
    <row r="2940" spans="1:10" ht="15.75" thickTop="1" x14ac:dyDescent="0.25">
      <c r="A2940" s="585" t="str">
        <f>IF(dstCommercial="Yes","P","")</f>
        <v/>
      </c>
      <c r="C2940" s="254" t="str">
        <f t="shared" si="63"/>
        <v/>
      </c>
      <c r="D2940" s="180">
        <v>901.9</v>
      </c>
      <c r="E2940" s="509"/>
      <c r="F2940" s="509"/>
      <c r="G2940" s="1781" t="s">
        <v>3202</v>
      </c>
      <c r="J2940" s="1374"/>
    </row>
    <row r="2941" spans="1:10" x14ac:dyDescent="0.25">
      <c r="A2941" s="585" t="str">
        <f>IF(dstCommercial="Yes","P","")</f>
        <v/>
      </c>
      <c r="C2941" s="254" t="str">
        <f t="shared" si="63"/>
        <v/>
      </c>
      <c r="D2941" s="64"/>
      <c r="E2941" s="66"/>
      <c r="F2941" s="66"/>
      <c r="G2941" s="1796"/>
      <c r="J2941" s="1374"/>
    </row>
    <row r="2942" spans="1:10" x14ac:dyDescent="0.25">
      <c r="A2942" s="585" t="str">
        <f>IF(dstCommercial="Yes","P","")</f>
        <v/>
      </c>
      <c r="C2942" s="254" t="str">
        <f t="shared" si="63"/>
        <v/>
      </c>
      <c r="D2942" s="64"/>
      <c r="E2942" s="66"/>
      <c r="F2942" s="66"/>
      <c r="G2942" s="1796"/>
      <c r="J2942" s="1374"/>
    </row>
    <row r="2943" spans="1:10" x14ac:dyDescent="0.25">
      <c r="A2943" s="585" t="str">
        <f>IF(dstCommercial="Yes","P","")</f>
        <v/>
      </c>
      <c r="C2943" s="254" t="str">
        <f t="shared" si="63"/>
        <v/>
      </c>
      <c r="D2943" s="64" t="s">
        <v>3203</v>
      </c>
      <c r="E2943" s="66"/>
      <c r="F2943" s="66"/>
      <c r="G2943" s="1796" t="s">
        <v>3204</v>
      </c>
      <c r="J2943" s="1374"/>
    </row>
    <row r="2944" spans="1:10" x14ac:dyDescent="0.25">
      <c r="A2944" s="585" t="str">
        <f>IF(dstCommercial="Yes","P","")</f>
        <v/>
      </c>
      <c r="C2944" s="254" t="str">
        <f t="shared" si="63"/>
        <v/>
      </c>
      <c r="D2944" s="64"/>
      <c r="E2944" s="66"/>
      <c r="F2944" s="66"/>
      <c r="G2944" s="1796"/>
      <c r="J2944" s="1374"/>
    </row>
    <row r="2945" spans="1:10" x14ac:dyDescent="0.25">
      <c r="A2945" s="585" t="str">
        <f>IF(dstCommercial="Yes","P","")</f>
        <v/>
      </c>
      <c r="C2945" s="254" t="str">
        <f t="shared" si="63"/>
        <v/>
      </c>
      <c r="D2945" s="64"/>
      <c r="E2945" s="27" t="s">
        <v>256</v>
      </c>
      <c r="F2945" s="66"/>
      <c r="G2945" s="1779" t="s">
        <v>3205</v>
      </c>
      <c r="J2945" s="1374"/>
    </row>
    <row r="2946" spans="1:10" x14ac:dyDescent="0.25">
      <c r="A2946" s="585" t="str">
        <f>IF(dstCommercial="Yes","P","")</f>
        <v/>
      </c>
      <c r="C2946" s="254" t="str">
        <f t="shared" si="63"/>
        <v/>
      </c>
      <c r="D2946" s="64"/>
      <c r="E2946" s="534"/>
      <c r="F2946" s="534"/>
      <c r="G2946" s="1755"/>
      <c r="J2946" s="1374"/>
    </row>
    <row r="2947" spans="1:10" x14ac:dyDescent="0.25">
      <c r="A2947" s="585" t="str">
        <f>IF(dstCommercial="Yes","P","")</f>
        <v/>
      </c>
      <c r="C2947" s="254" t="str">
        <f t="shared" si="63"/>
        <v/>
      </c>
      <c r="D2947" s="64"/>
      <c r="E2947" s="206" t="s">
        <v>258</v>
      </c>
      <c r="F2947" s="534"/>
      <c r="G2947" s="1354" t="s">
        <v>3206</v>
      </c>
      <c r="J2947" s="1374"/>
    </row>
    <row r="2948" spans="1:10" x14ac:dyDescent="0.25">
      <c r="A2948" s="585" t="str">
        <f>IF(dstCommercial="Yes","P","")</f>
        <v/>
      </c>
      <c r="C2948" s="254" t="str">
        <f t="shared" si="63"/>
        <v/>
      </c>
      <c r="D2948" s="64"/>
      <c r="E2948" s="27" t="s">
        <v>260</v>
      </c>
      <c r="F2948" s="66"/>
      <c r="G2948" s="1359" t="s">
        <v>3207</v>
      </c>
      <c r="J2948" s="1374"/>
    </row>
    <row r="2949" spans="1:10" x14ac:dyDescent="0.25">
      <c r="C2949" s="254" t="str">
        <f t="shared" si="63"/>
        <v/>
      </c>
      <c r="D2949" s="1402"/>
      <c r="E2949" s="1402"/>
      <c r="F2949" s="1402"/>
      <c r="G2949" s="527" t="s">
        <v>3664</v>
      </c>
      <c r="J2949" s="1374"/>
    </row>
    <row r="2950" spans="1:10" x14ac:dyDescent="0.25">
      <c r="A2950" s="585" t="str">
        <f>IF(dstCommercial="Yes","P","")</f>
        <v/>
      </c>
      <c r="C2950" s="254" t="str">
        <f t="shared" si="63"/>
        <v/>
      </c>
      <c r="D2950" s="192" t="s">
        <v>3208</v>
      </c>
      <c r="E2950" s="533"/>
      <c r="F2950" s="533"/>
      <c r="G2950" s="1864" t="s">
        <v>3209</v>
      </c>
      <c r="J2950" s="1374"/>
    </row>
    <row r="2951" spans="1:10" x14ac:dyDescent="0.25">
      <c r="A2951" s="585" t="str">
        <f>IF(dstCommercial="Yes","P","")</f>
        <v/>
      </c>
      <c r="C2951" s="254" t="str">
        <f t="shared" si="63"/>
        <v/>
      </c>
      <c r="D2951" s="64"/>
      <c r="E2951" s="66"/>
      <c r="F2951" s="66"/>
      <c r="G2951" s="1796"/>
      <c r="J2951" s="1374"/>
    </row>
    <row r="2952" spans="1:10" x14ac:dyDescent="0.25">
      <c r="A2952" s="585" t="str">
        <f>IF(dstCommercial="Yes","P","")</f>
        <v/>
      </c>
      <c r="C2952" s="254" t="str">
        <f t="shared" si="63"/>
        <v/>
      </c>
      <c r="D2952" s="64"/>
      <c r="E2952" s="66"/>
      <c r="F2952" s="66"/>
      <c r="G2952" s="1924" t="s">
        <v>3210</v>
      </c>
      <c r="J2952" s="1374"/>
    </row>
    <row r="2953" spans="1:10" x14ac:dyDescent="0.25">
      <c r="A2953" s="585" t="str">
        <f>IF(dstCommercial="Yes","P","")</f>
        <v/>
      </c>
      <c r="C2953" s="254" t="str">
        <f t="shared" si="63"/>
        <v/>
      </c>
      <c r="D2953" s="64"/>
      <c r="E2953" s="66"/>
      <c r="F2953" s="66"/>
      <c r="G2953" s="1924"/>
      <c r="J2953" s="1374"/>
    </row>
    <row r="2954" spans="1:10" x14ac:dyDescent="0.25">
      <c r="C2954" s="254" t="str">
        <f t="shared" si="63"/>
        <v/>
      </c>
      <c r="D2954" s="215"/>
      <c r="E2954" s="534"/>
      <c r="F2954" s="534"/>
      <c r="G2954" s="527" t="s">
        <v>3759</v>
      </c>
      <c r="J2954" s="1374"/>
    </row>
    <row r="2955" spans="1:10" x14ac:dyDescent="0.25">
      <c r="A2955" s="585" t="str">
        <f>IF(dstCommercial="Yes","P","")</f>
        <v/>
      </c>
      <c r="C2955" s="254" t="str">
        <f t="shared" si="63"/>
        <v/>
      </c>
      <c r="D2955" s="64" t="s">
        <v>3211</v>
      </c>
      <c r="E2955" s="66"/>
      <c r="F2955" s="66"/>
      <c r="G2955" s="1796" t="s">
        <v>3212</v>
      </c>
      <c r="J2955" s="1374"/>
    </row>
    <row r="2956" spans="1:10" x14ac:dyDescent="0.25">
      <c r="A2956" s="585" t="str">
        <f>IF(dstCommercial="Yes","P","")</f>
        <v/>
      </c>
      <c r="C2956" s="254" t="str">
        <f t="shared" si="63"/>
        <v/>
      </c>
      <c r="D2956" s="64"/>
      <c r="E2956" s="66"/>
      <c r="F2956" s="66"/>
      <c r="G2956" s="1796"/>
      <c r="J2956" s="1374"/>
    </row>
    <row r="2957" spans="1:10" x14ac:dyDescent="0.25">
      <c r="A2957" s="585" t="str">
        <f>IF(dstCommercial="Yes","P","")</f>
        <v/>
      </c>
      <c r="C2957" s="254" t="str">
        <f t="shared" si="63"/>
        <v/>
      </c>
      <c r="D2957" s="64"/>
      <c r="E2957" s="66"/>
      <c r="F2957" s="66"/>
      <c r="G2957" s="1796"/>
      <c r="J2957" s="1374"/>
    </row>
    <row r="2958" spans="1:10" x14ac:dyDescent="0.25">
      <c r="A2958" s="585" t="str">
        <f>IF(dstCommercial="Yes","P","")</f>
        <v/>
      </c>
      <c r="C2958" s="254" t="str">
        <f t="shared" si="63"/>
        <v/>
      </c>
      <c r="D2958" s="64"/>
      <c r="E2958" s="66"/>
      <c r="F2958" s="66"/>
      <c r="G2958" s="1796"/>
      <c r="J2958" s="1374"/>
    </row>
    <row r="2959" spans="1:10" x14ac:dyDescent="0.25">
      <c r="A2959" s="585" t="str">
        <f>IF(dstCommercial="Yes","P","")</f>
        <v/>
      </c>
      <c r="C2959" s="254" t="str">
        <f t="shared" si="63"/>
        <v/>
      </c>
      <c r="D2959" s="64"/>
      <c r="E2959" s="66"/>
      <c r="F2959" s="66"/>
      <c r="G2959" s="1796"/>
      <c r="J2959" s="1374"/>
    </row>
    <row r="2960" spans="1:10" ht="15.75" thickBot="1" x14ac:dyDescent="0.3">
      <c r="A2960" s="585" t="str">
        <f>IF(dstCommercial="Yes","P","")</f>
        <v/>
      </c>
      <c r="C2960" s="254" t="str">
        <f t="shared" si="63"/>
        <v/>
      </c>
      <c r="D2960" s="189"/>
      <c r="E2960" s="855"/>
      <c r="F2960" s="855"/>
      <c r="G2960" s="1797"/>
      <c r="J2960" s="1374"/>
    </row>
    <row r="2961" spans="1:10" ht="15.75" thickTop="1" x14ac:dyDescent="0.25">
      <c r="A2961" s="585" t="str">
        <f>IF(dstCommercial="Yes","P","")</f>
        <v/>
      </c>
      <c r="C2961" s="254" t="str">
        <f t="shared" si="63"/>
        <v/>
      </c>
      <c r="D2961" s="222">
        <v>901.1</v>
      </c>
      <c r="E2961" s="66"/>
      <c r="F2961" s="66"/>
      <c r="G2961" s="1796" t="s">
        <v>3213</v>
      </c>
      <c r="J2961" s="1374"/>
    </row>
    <row r="2962" spans="1:10" x14ac:dyDescent="0.25">
      <c r="A2962" s="585" t="str">
        <f>IF(dstCommercial="Yes","P","")</f>
        <v/>
      </c>
      <c r="C2962" s="254" t="str">
        <f t="shared" si="63"/>
        <v/>
      </c>
      <c r="D2962" s="64"/>
      <c r="E2962" s="66"/>
      <c r="F2962" s="66"/>
      <c r="G2962" s="1796"/>
      <c r="J2962" s="1374"/>
    </row>
    <row r="2963" spans="1:10" x14ac:dyDescent="0.25">
      <c r="A2963" s="585" t="str">
        <f>IF(dstCommercial="Yes","P","")</f>
        <v/>
      </c>
      <c r="C2963" s="254" t="str">
        <f t="shared" ref="C2963:C3026" si="64">IF(LEN(B2963)=0,IF(A2963="P","P",""),B2963)</f>
        <v/>
      </c>
      <c r="D2963" s="64"/>
      <c r="E2963" s="66"/>
      <c r="F2963" s="66"/>
      <c r="G2963" s="1796"/>
      <c r="J2963" s="1374"/>
    </row>
    <row r="2964" spans="1:10" x14ac:dyDescent="0.25">
      <c r="A2964" s="585" t="str">
        <f>IF(dstCommercial="Yes","P","")</f>
        <v/>
      </c>
      <c r="C2964" s="254" t="str">
        <f t="shared" si="64"/>
        <v/>
      </c>
      <c r="D2964" s="64"/>
      <c r="E2964" s="27" t="s">
        <v>256</v>
      </c>
      <c r="F2964" s="66"/>
      <c r="G2964" s="1779" t="s">
        <v>3214</v>
      </c>
      <c r="J2964" s="1374"/>
    </row>
    <row r="2965" spans="1:10" x14ac:dyDescent="0.25">
      <c r="A2965" s="585" t="str">
        <f>IF(dstCommercial="Yes","P","")</f>
        <v/>
      </c>
      <c r="C2965" s="254" t="str">
        <f t="shared" si="64"/>
        <v/>
      </c>
      <c r="D2965" s="64"/>
      <c r="E2965" s="66"/>
      <c r="F2965" s="66"/>
      <c r="G2965" s="1779"/>
      <c r="J2965" s="1374"/>
    </row>
    <row r="2966" spans="1:10" x14ac:dyDescent="0.25">
      <c r="A2966" s="585" t="str">
        <f>IF(dstCommercial="Yes","P","")</f>
        <v/>
      </c>
      <c r="C2966" s="254" t="str">
        <f t="shared" si="64"/>
        <v/>
      </c>
      <c r="D2966" s="64"/>
      <c r="E2966" s="66"/>
      <c r="F2966" s="66"/>
      <c r="G2966" s="1779"/>
      <c r="J2966" s="1374"/>
    </row>
    <row r="2967" spans="1:10" x14ac:dyDescent="0.25">
      <c r="A2967" s="585" t="str">
        <f>IF(dstCommercial="Yes","P","")</f>
        <v/>
      </c>
      <c r="C2967" s="254" t="str">
        <f t="shared" si="64"/>
        <v/>
      </c>
      <c r="D2967" s="64"/>
      <c r="E2967" s="66"/>
      <c r="F2967" s="66"/>
      <c r="G2967" s="1779"/>
      <c r="J2967" s="1374"/>
    </row>
    <row r="2968" spans="1:10" x14ac:dyDescent="0.25">
      <c r="A2968" s="585" t="str">
        <f>IF(dstCommercial="Yes","P","")</f>
        <v/>
      </c>
      <c r="C2968" s="254" t="str">
        <f t="shared" si="64"/>
        <v/>
      </c>
      <c r="D2968" s="64"/>
      <c r="E2968" s="534"/>
      <c r="F2968" s="534"/>
      <c r="G2968" s="1755"/>
      <c r="J2968" s="1374"/>
    </row>
    <row r="2969" spans="1:10" x14ac:dyDescent="0.25">
      <c r="A2969" s="585" t="str">
        <f>IF(dstCommercial="Yes","P","")</f>
        <v/>
      </c>
      <c r="C2969" s="254" t="str">
        <f t="shared" si="64"/>
        <v/>
      </c>
      <c r="D2969" s="64"/>
      <c r="E2969" s="206" t="s">
        <v>258</v>
      </c>
      <c r="F2969" s="534"/>
      <c r="G2969" s="1354" t="s">
        <v>3215</v>
      </c>
      <c r="J2969" s="1374"/>
    </row>
    <row r="2970" spans="1:10" x14ac:dyDescent="0.25">
      <c r="A2970" s="585" t="str">
        <f>IF(dstCommercial="Yes","P","")</f>
        <v/>
      </c>
      <c r="C2970" s="254" t="str">
        <f t="shared" si="64"/>
        <v/>
      </c>
      <c r="D2970" s="64"/>
      <c r="E2970" s="27" t="s">
        <v>260</v>
      </c>
      <c r="F2970" s="66"/>
      <c r="G2970" s="1779" t="s">
        <v>3216</v>
      </c>
      <c r="J2970" s="1374"/>
    </row>
    <row r="2971" spans="1:10" x14ac:dyDescent="0.25">
      <c r="A2971" s="585" t="str">
        <f>IF(dstCommercial="Yes","P","")</f>
        <v/>
      </c>
      <c r="C2971" s="254" t="str">
        <f t="shared" si="64"/>
        <v/>
      </c>
      <c r="D2971" s="64"/>
      <c r="E2971" s="66"/>
      <c r="F2971" s="66"/>
      <c r="G2971" s="1779"/>
      <c r="J2971" s="1374"/>
    </row>
    <row r="2972" spans="1:10" x14ac:dyDescent="0.25">
      <c r="A2972" s="585" t="str">
        <f>IF(dstCommercial="Yes","P","")</f>
        <v/>
      </c>
      <c r="C2972" s="254" t="str">
        <f t="shared" si="64"/>
        <v/>
      </c>
      <c r="D2972" s="64"/>
      <c r="E2972" s="66"/>
      <c r="F2972" s="66"/>
      <c r="G2972" s="1779"/>
      <c r="J2972" s="1374"/>
    </row>
    <row r="2973" spans="1:10" ht="15.75" thickBot="1" x14ac:dyDescent="0.3">
      <c r="C2973" s="254" t="str">
        <f t="shared" si="64"/>
        <v/>
      </c>
      <c r="D2973" s="189"/>
      <c r="E2973" s="855"/>
      <c r="F2973" s="855"/>
      <c r="G2973" s="482" t="s">
        <v>3760</v>
      </c>
      <c r="J2973" s="1374"/>
    </row>
    <row r="2974" spans="1:10" ht="15.75" thickTop="1" x14ac:dyDescent="0.25">
      <c r="A2974" s="585" t="str">
        <f>IF(dstCommercial="Yes","P","")</f>
        <v/>
      </c>
      <c r="C2974" s="254" t="str">
        <f t="shared" si="64"/>
        <v/>
      </c>
      <c r="D2974" s="180">
        <v>901.11</v>
      </c>
      <c r="E2974" s="509"/>
      <c r="F2974" s="509"/>
      <c r="G2974" s="1781" t="s">
        <v>3217</v>
      </c>
      <c r="J2974" s="1374"/>
    </row>
    <row r="2975" spans="1:10" x14ac:dyDescent="0.25">
      <c r="A2975" s="585" t="str">
        <f>IF(dstCommercial="Yes","P","")</f>
        <v/>
      </c>
      <c r="C2975" s="254" t="str">
        <f t="shared" si="64"/>
        <v/>
      </c>
      <c r="D2975" s="64"/>
      <c r="E2975" s="66"/>
      <c r="F2975" s="66"/>
      <c r="G2975" s="1796"/>
      <c r="J2975" s="1374"/>
    </row>
    <row r="2976" spans="1:10" x14ac:dyDescent="0.25">
      <c r="A2976" s="585" t="str">
        <f>IF(dstCommercial="Yes","P","")</f>
        <v/>
      </c>
      <c r="C2976" s="254" t="str">
        <f t="shared" si="64"/>
        <v/>
      </c>
      <c r="D2976" s="64"/>
      <c r="E2976" s="66"/>
      <c r="F2976" s="66"/>
      <c r="G2976" s="1796"/>
      <c r="J2976" s="1374"/>
    </row>
    <row r="2977" spans="1:10" x14ac:dyDescent="0.25">
      <c r="A2977" s="585" t="str">
        <f>IF(dstCommercial="Yes","P","")</f>
        <v/>
      </c>
      <c r="C2977" s="254" t="str">
        <f t="shared" si="64"/>
        <v/>
      </c>
      <c r="D2977" s="64"/>
      <c r="E2977" s="66"/>
      <c r="F2977" s="66"/>
      <c r="G2977" s="1796"/>
      <c r="J2977" s="1374"/>
    </row>
    <row r="2978" spans="1:10" ht="15.75" thickBot="1" x14ac:dyDescent="0.3">
      <c r="A2978" s="585" t="str">
        <f>IF(dstCommercial="Yes","P","")</f>
        <v/>
      </c>
      <c r="C2978" s="254" t="str">
        <f t="shared" si="64"/>
        <v/>
      </c>
      <c r="D2978" s="189"/>
      <c r="E2978" s="855"/>
      <c r="F2978" s="855"/>
      <c r="G2978" s="1797"/>
      <c r="J2978" s="1374"/>
    </row>
    <row r="2979" spans="1:10" ht="15.75" thickTop="1" x14ac:dyDescent="0.25">
      <c r="A2979" s="585" t="str">
        <f>IF(dstCommercial="Yes","P","")</f>
        <v/>
      </c>
      <c r="C2979" s="254" t="str">
        <f t="shared" si="64"/>
        <v/>
      </c>
      <c r="D2979" s="114" t="s">
        <v>4772</v>
      </c>
      <c r="E2979" s="1007"/>
      <c r="F2979" s="1007"/>
      <c r="G2979" s="1899" t="s">
        <v>4773</v>
      </c>
      <c r="J2979" s="1374"/>
    </row>
    <row r="2980" spans="1:10" x14ac:dyDescent="0.25">
      <c r="A2980" s="585" t="str">
        <f>IF(dstCommercial="Yes","P","")</f>
        <v/>
      </c>
      <c r="C2980" s="254" t="str">
        <f t="shared" si="64"/>
        <v/>
      </c>
      <c r="D2980" s="87"/>
      <c r="E2980" s="862"/>
      <c r="F2980" s="862"/>
      <c r="G2980" s="1833"/>
      <c r="J2980" s="1374"/>
    </row>
    <row r="2981" spans="1:10" x14ac:dyDescent="0.25">
      <c r="A2981" s="585" t="str">
        <f>IF(dstCommercial="Yes","P","")</f>
        <v/>
      </c>
      <c r="C2981" s="254" t="str">
        <f t="shared" si="64"/>
        <v/>
      </c>
      <c r="D2981" s="87"/>
      <c r="E2981" s="862"/>
      <c r="F2981" s="862"/>
      <c r="G2981" s="1833"/>
      <c r="J2981" s="1374"/>
    </row>
    <row r="2982" spans="1:10" x14ac:dyDescent="0.25">
      <c r="A2982" s="585" t="str">
        <f>IF(dstCommercial="Yes","P","")</f>
        <v/>
      </c>
      <c r="C2982" s="254" t="str">
        <f t="shared" si="64"/>
        <v/>
      </c>
      <c r="D2982" s="174"/>
      <c r="E2982" s="863"/>
      <c r="F2982" s="863"/>
      <c r="G2982" s="1834"/>
      <c r="J2982" s="1374"/>
    </row>
    <row r="2983" spans="1:10" x14ac:dyDescent="0.25">
      <c r="A2983" s="585" t="str">
        <f>IF(dstCommercial="Yes","P","")</f>
        <v/>
      </c>
      <c r="C2983" s="254" t="str">
        <f t="shared" si="64"/>
        <v/>
      </c>
      <c r="D2983" s="846" t="s">
        <v>4774</v>
      </c>
      <c r="E2983" s="993"/>
      <c r="F2983" s="993"/>
      <c r="G2983" s="1835" t="s">
        <v>4775</v>
      </c>
      <c r="J2983" s="1374" t="s">
        <v>3892</v>
      </c>
    </row>
    <row r="2984" spans="1:10" x14ac:dyDescent="0.25">
      <c r="A2984" s="585" t="str">
        <f>IF(dstCommercial="Yes","P","")</f>
        <v/>
      </c>
      <c r="C2984" s="254" t="str">
        <f t="shared" si="64"/>
        <v/>
      </c>
      <c r="D2984" s="87"/>
      <c r="E2984" s="862"/>
      <c r="F2984" s="862"/>
      <c r="G2984" s="1833"/>
      <c r="J2984" s="1374"/>
    </row>
    <row r="2985" spans="1:10" x14ac:dyDescent="0.25">
      <c r="A2985" s="585" t="str">
        <f>IF(dstCommercial="Yes","P","")</f>
        <v/>
      </c>
      <c r="C2985" s="254" t="str">
        <f t="shared" si="64"/>
        <v/>
      </c>
      <c r="D2985" s="87"/>
      <c r="E2985" s="862"/>
      <c r="F2985" s="862"/>
      <c r="G2985" s="1833"/>
      <c r="J2985" s="1374"/>
    </row>
    <row r="2986" spans="1:10" x14ac:dyDescent="0.25">
      <c r="A2986" s="585" t="str">
        <f>IF(dstCommercial="Yes","P","")</f>
        <v/>
      </c>
      <c r="C2986" s="254" t="str">
        <f t="shared" si="64"/>
        <v/>
      </c>
      <c r="D2986" s="87"/>
      <c r="E2986" s="862"/>
      <c r="F2986" s="862"/>
      <c r="G2986" s="1833"/>
      <c r="J2986" s="1374"/>
    </row>
    <row r="2987" spans="1:10" x14ac:dyDescent="0.25">
      <c r="A2987" s="585" t="str">
        <f>IF(dstCommercial="Yes","P","")</f>
        <v/>
      </c>
      <c r="C2987" s="254" t="str">
        <f t="shared" si="64"/>
        <v/>
      </c>
      <c r="D2987" s="174"/>
      <c r="E2987" s="863"/>
      <c r="F2987" s="863"/>
      <c r="G2987" s="1834"/>
      <c r="J2987" s="1374"/>
    </row>
    <row r="2988" spans="1:10" x14ac:dyDescent="0.25">
      <c r="A2988" s="585" t="str">
        <f>IF(dstCommercial="Yes","P","")</f>
        <v/>
      </c>
      <c r="C2988" s="254" t="str">
        <f t="shared" si="64"/>
        <v/>
      </c>
      <c r="D2988" s="87" t="s">
        <v>4776</v>
      </c>
      <c r="E2988" s="993"/>
      <c r="F2988" s="993"/>
      <c r="G2988" s="1835" t="s">
        <v>4777</v>
      </c>
      <c r="J2988" s="1374" t="s">
        <v>5145</v>
      </c>
    </row>
    <row r="2989" spans="1:10" x14ac:dyDescent="0.25">
      <c r="A2989" s="585" t="str">
        <f>IF(dstCommercial="Yes","P","")</f>
        <v/>
      </c>
      <c r="C2989" s="254" t="str">
        <f t="shared" si="64"/>
        <v/>
      </c>
      <c r="D2989" s="87"/>
      <c r="E2989" s="862"/>
      <c r="F2989" s="862"/>
      <c r="G2989" s="1833"/>
      <c r="J2989" s="1374"/>
    </row>
    <row r="2990" spans="1:10" x14ac:dyDescent="0.25">
      <c r="A2990" s="585" t="str">
        <f>IF(dstCommercial="Yes","P","")</f>
        <v/>
      </c>
      <c r="C2990" s="254" t="str">
        <f t="shared" si="64"/>
        <v/>
      </c>
      <c r="D2990" s="87"/>
      <c r="E2990" s="863"/>
      <c r="F2990" s="863"/>
      <c r="G2990" s="1834"/>
      <c r="J2990" s="1374"/>
    </row>
    <row r="2991" spans="1:10" x14ac:dyDescent="0.25">
      <c r="A2991" s="585" t="str">
        <f>IF(dstCommercial="Yes","P","")</f>
        <v/>
      </c>
      <c r="C2991" s="254" t="str">
        <f t="shared" si="64"/>
        <v/>
      </c>
      <c r="D2991" s="87"/>
      <c r="E2991" s="862" t="s">
        <v>256</v>
      </c>
      <c r="F2991" s="862"/>
      <c r="G2991" s="1787" t="s">
        <v>3168</v>
      </c>
      <c r="J2991" s="1374"/>
    </row>
    <row r="2992" spans="1:10" x14ac:dyDescent="0.25">
      <c r="A2992" s="585" t="str">
        <f>IF(dstCommercial="Yes","P","")</f>
        <v/>
      </c>
      <c r="C2992" s="254" t="str">
        <f t="shared" si="64"/>
        <v/>
      </c>
      <c r="D2992" s="87"/>
      <c r="E2992" s="862"/>
      <c r="F2992" s="862"/>
      <c r="G2992" s="1787"/>
      <c r="J2992" s="1374"/>
    </row>
    <row r="2993" spans="1:10" x14ac:dyDescent="0.25">
      <c r="A2993" s="585" t="str">
        <f>IF(dstCommercial="Yes","P","")</f>
        <v/>
      </c>
      <c r="C2993" s="254" t="str">
        <f t="shared" si="64"/>
        <v/>
      </c>
      <c r="D2993" s="87"/>
      <c r="E2993" s="863"/>
      <c r="F2993" s="863"/>
      <c r="G2993" s="1786"/>
      <c r="J2993" s="1374"/>
    </row>
    <row r="2994" spans="1:10" x14ac:dyDescent="0.25">
      <c r="A2994" s="585" t="str">
        <f>IF(dstCommercial="Yes","P","")</f>
        <v/>
      </c>
      <c r="C2994" s="254" t="str">
        <f t="shared" si="64"/>
        <v/>
      </c>
      <c r="D2994" s="87"/>
      <c r="E2994" s="993" t="s">
        <v>258</v>
      </c>
      <c r="F2994" s="993"/>
      <c r="G2994" s="1769" t="s">
        <v>4778</v>
      </c>
      <c r="J2994" s="1374"/>
    </row>
    <row r="2995" spans="1:10" x14ac:dyDescent="0.25">
      <c r="A2995" s="585" t="str">
        <f>IF(dstCommercial="Yes","P","")</f>
        <v/>
      </c>
      <c r="C2995" s="254" t="str">
        <f t="shared" si="64"/>
        <v/>
      </c>
      <c r="D2995" s="87"/>
      <c r="E2995" s="863"/>
      <c r="F2995" s="863"/>
      <c r="G2995" s="1786"/>
      <c r="J2995" s="1374"/>
    </row>
    <row r="2996" spans="1:10" x14ac:dyDescent="0.25">
      <c r="A2996" s="585" t="str">
        <f>IF(dstCommercial="Yes","P","")</f>
        <v/>
      </c>
      <c r="C2996" s="254" t="str">
        <f t="shared" si="64"/>
        <v/>
      </c>
      <c r="D2996" s="87"/>
      <c r="E2996" s="862" t="s">
        <v>260</v>
      </c>
      <c r="F2996" s="862"/>
      <c r="G2996" s="1787" t="s">
        <v>4779</v>
      </c>
      <c r="J2996" s="1374"/>
    </row>
    <row r="2997" spans="1:10" x14ac:dyDescent="0.25">
      <c r="A2997" s="585" t="str">
        <f>IF(dstCommercial="Yes","P","")</f>
        <v/>
      </c>
      <c r="C2997" s="254" t="str">
        <f t="shared" si="64"/>
        <v/>
      </c>
      <c r="D2997" s="174"/>
      <c r="E2997" s="863"/>
      <c r="F2997" s="863"/>
      <c r="G2997" s="1786"/>
      <c r="J2997" s="1374"/>
    </row>
    <row r="2998" spans="1:10" x14ac:dyDescent="0.25">
      <c r="A2998" s="585" t="str">
        <f>IF(dstCommercial="Yes","P","")</f>
        <v/>
      </c>
      <c r="C2998" s="254" t="str">
        <f t="shared" si="64"/>
        <v/>
      </c>
      <c r="D2998" s="846" t="s">
        <v>4780</v>
      </c>
      <c r="E2998" s="993"/>
      <c r="F2998" s="993"/>
      <c r="G2998" s="1835" t="s">
        <v>4781</v>
      </c>
      <c r="J2998" s="1374" t="s">
        <v>5145</v>
      </c>
    </row>
    <row r="2999" spans="1:10" x14ac:dyDescent="0.25">
      <c r="A2999" s="585" t="str">
        <f>IF(dstCommercial="Yes","P","")</f>
        <v/>
      </c>
      <c r="C2999" s="254" t="str">
        <f t="shared" si="64"/>
        <v/>
      </c>
      <c r="D2999" s="87"/>
      <c r="E2999" s="862"/>
      <c r="F2999" s="862"/>
      <c r="G2999" s="1833"/>
      <c r="J2999" s="1374"/>
    </row>
    <row r="3000" spans="1:10" x14ac:dyDescent="0.25">
      <c r="A3000" s="585" t="str">
        <f>IF(dstCommercial="Yes","P","")</f>
        <v/>
      </c>
      <c r="C3000" s="254" t="str">
        <f t="shared" si="64"/>
        <v/>
      </c>
      <c r="D3000" s="87"/>
      <c r="E3000" s="862"/>
      <c r="F3000" s="862"/>
      <c r="G3000" s="1833"/>
      <c r="J3000" s="1374"/>
    </row>
    <row r="3001" spans="1:10" x14ac:dyDescent="0.25">
      <c r="A3001" s="585" t="str">
        <f>IF(dstCommercial="Yes","P","")</f>
        <v/>
      </c>
      <c r="C3001" s="254" t="str">
        <f t="shared" si="64"/>
        <v/>
      </c>
      <c r="D3001" s="174"/>
      <c r="E3001" s="863"/>
      <c r="F3001" s="863"/>
      <c r="G3001" s="1834"/>
      <c r="J3001" s="1374"/>
    </row>
    <row r="3002" spans="1:10" x14ac:dyDescent="0.25">
      <c r="A3002" s="585" t="str">
        <f>IF(dstCommercial="Yes","P","")</f>
        <v/>
      </c>
      <c r="C3002" s="254" t="str">
        <f t="shared" si="64"/>
        <v/>
      </c>
      <c r="D3002" s="846" t="s">
        <v>4782</v>
      </c>
      <c r="E3002" s="993"/>
      <c r="F3002" s="993"/>
      <c r="G3002" s="1835" t="s">
        <v>4783</v>
      </c>
      <c r="J3002" s="1374" t="s">
        <v>5145</v>
      </c>
    </row>
    <row r="3003" spans="1:10" x14ac:dyDescent="0.25">
      <c r="A3003" s="585" t="str">
        <f>IF(dstCommercial="Yes","P","")</f>
        <v/>
      </c>
      <c r="C3003" s="254" t="str">
        <f t="shared" si="64"/>
        <v/>
      </c>
      <c r="D3003" s="87"/>
      <c r="E3003" s="862"/>
      <c r="F3003" s="862"/>
      <c r="G3003" s="1833"/>
      <c r="J3003" s="1374"/>
    </row>
    <row r="3004" spans="1:10" x14ac:dyDescent="0.25">
      <c r="A3004" s="585" t="str">
        <f>IF(dstCommercial="Yes","P","")</f>
        <v/>
      </c>
      <c r="C3004" s="254" t="str">
        <f t="shared" si="64"/>
        <v/>
      </c>
      <c r="D3004" s="87"/>
      <c r="E3004" s="862"/>
      <c r="F3004" s="862"/>
      <c r="G3004" s="1833"/>
      <c r="J3004" s="1374"/>
    </row>
    <row r="3005" spans="1:10" x14ac:dyDescent="0.25">
      <c r="A3005" s="585" t="str">
        <f>IF(dstCommercial="Yes","P","")</f>
        <v/>
      </c>
      <c r="C3005" s="254" t="str">
        <f t="shared" si="64"/>
        <v/>
      </c>
      <c r="D3005" s="174"/>
      <c r="E3005" s="863"/>
      <c r="F3005" s="863"/>
      <c r="G3005" s="1834"/>
      <c r="J3005" s="1374"/>
    </row>
    <row r="3006" spans="1:10" x14ac:dyDescent="0.25">
      <c r="A3006" s="585" t="str">
        <f>IF(dstCommercial="Yes","P","")</f>
        <v/>
      </c>
      <c r="C3006" s="254" t="str">
        <f t="shared" si="64"/>
        <v/>
      </c>
      <c r="D3006" s="87" t="s">
        <v>4784</v>
      </c>
      <c r="E3006" s="862"/>
      <c r="F3006" s="862"/>
      <c r="G3006" s="1833" t="s">
        <v>4785</v>
      </c>
      <c r="J3006" s="1374" t="s">
        <v>3892</v>
      </c>
    </row>
    <row r="3007" spans="1:10" ht="15.75" thickBot="1" x14ac:dyDescent="0.3">
      <c r="A3007" s="585" t="str">
        <f>IF(dstCommercial="Yes","P","")</f>
        <v/>
      </c>
      <c r="C3007" s="254" t="str">
        <f t="shared" si="64"/>
        <v/>
      </c>
      <c r="D3007" s="96"/>
      <c r="E3007" s="902"/>
      <c r="F3007" s="902"/>
      <c r="G3007" s="1900"/>
      <c r="J3007" s="1374"/>
    </row>
    <row r="3008" spans="1:10" ht="15.75" thickTop="1" x14ac:dyDescent="0.25">
      <c r="A3008" s="585" t="str">
        <f>IF(dstCommercial="Yes","P","")</f>
        <v/>
      </c>
      <c r="C3008" s="254" t="str">
        <f t="shared" si="64"/>
        <v/>
      </c>
      <c r="D3008" s="114" t="s">
        <v>4786</v>
      </c>
      <c r="E3008" s="1007"/>
      <c r="F3008" s="1007"/>
      <c r="G3008" s="1899" t="s">
        <v>4787</v>
      </c>
      <c r="J3008" s="1374" t="s">
        <v>5127</v>
      </c>
    </row>
    <row r="3009" spans="1:10" ht="15.75" thickBot="1" x14ac:dyDescent="0.3">
      <c r="A3009" s="585" t="str">
        <f>IF(dstCommercial="Yes","P","")</f>
        <v/>
      </c>
      <c r="C3009" s="254" t="str">
        <f t="shared" si="64"/>
        <v/>
      </c>
      <c r="D3009" s="96"/>
      <c r="E3009" s="902"/>
      <c r="F3009" s="902"/>
      <c r="G3009" s="1900"/>
      <c r="J3009" s="1374"/>
    </row>
    <row r="3010" spans="1:10" ht="15.75" thickTop="1" x14ac:dyDescent="0.25">
      <c r="A3010" s="585" t="str">
        <f>IF(dstCommercial="Yes","P","")</f>
        <v/>
      </c>
      <c r="C3010" s="254" t="str">
        <f t="shared" si="64"/>
        <v/>
      </c>
      <c r="D3010" s="87" t="s">
        <v>4788</v>
      </c>
      <c r="E3010" s="862"/>
      <c r="F3010" s="862"/>
      <c r="G3010" s="1361" t="s">
        <v>4789</v>
      </c>
      <c r="J3010" s="1374" t="s">
        <v>3892</v>
      </c>
    </row>
    <row r="3011" spans="1:10" x14ac:dyDescent="0.25">
      <c r="A3011" s="585" t="str">
        <f>IF(dstCommercial="Yes","P","")</f>
        <v/>
      </c>
      <c r="C3011" s="254" t="str">
        <f t="shared" si="64"/>
        <v/>
      </c>
      <c r="D3011" s="87"/>
      <c r="E3011" s="862" t="s">
        <v>256</v>
      </c>
      <c r="F3011" s="862"/>
      <c r="G3011" s="1787" t="s">
        <v>3176</v>
      </c>
      <c r="J3011" s="1374"/>
    </row>
    <row r="3012" spans="1:10" x14ac:dyDescent="0.25">
      <c r="A3012" s="585" t="str">
        <f>IF(dstCommercial="Yes","P","")</f>
        <v/>
      </c>
      <c r="C3012" s="254" t="str">
        <f t="shared" si="64"/>
        <v/>
      </c>
      <c r="D3012" s="87"/>
      <c r="E3012" s="863"/>
      <c r="F3012" s="863"/>
      <c r="G3012" s="1786"/>
      <c r="J3012" s="1374"/>
    </row>
    <row r="3013" spans="1:10" x14ac:dyDescent="0.25">
      <c r="A3013" s="585" t="str">
        <f>IF(dstCommercial="Yes","P","")</f>
        <v/>
      </c>
      <c r="C3013" s="254" t="str">
        <f t="shared" si="64"/>
        <v/>
      </c>
      <c r="D3013" s="87"/>
      <c r="E3013" s="862" t="s">
        <v>258</v>
      </c>
      <c r="F3013" s="862"/>
      <c r="G3013" s="1787" t="s">
        <v>4790</v>
      </c>
      <c r="J3013" s="1374"/>
    </row>
    <row r="3014" spans="1:10" ht="15.75" thickBot="1" x14ac:dyDescent="0.3">
      <c r="A3014" s="585" t="str">
        <f>IF(dstCommercial="Yes","P","")</f>
        <v/>
      </c>
      <c r="C3014" s="254" t="str">
        <f t="shared" si="64"/>
        <v/>
      </c>
      <c r="D3014" s="96"/>
      <c r="E3014" s="902"/>
      <c r="F3014" s="902"/>
      <c r="G3014" s="1766"/>
      <c r="J3014" s="1374"/>
    </row>
    <row r="3015" spans="1:10" ht="15.75" thickTop="1" x14ac:dyDescent="0.25">
      <c r="A3015" s="585" t="str">
        <f>IF(dstCommercial="Yes","P","")</f>
        <v/>
      </c>
      <c r="C3015" s="254" t="str">
        <f t="shared" si="64"/>
        <v/>
      </c>
      <c r="D3015" s="114" t="s">
        <v>4791</v>
      </c>
      <c r="E3015" s="1007"/>
      <c r="F3015" s="1007"/>
      <c r="G3015" s="1899" t="s">
        <v>4792</v>
      </c>
      <c r="J3015" s="1374" t="s">
        <v>5127</v>
      </c>
    </row>
    <row r="3016" spans="1:10" ht="15.75" thickBot="1" x14ac:dyDescent="0.3">
      <c r="A3016" s="585" t="str">
        <f>IF(dstCommercial="Yes","P","")</f>
        <v/>
      </c>
      <c r="C3016" s="254" t="str">
        <f t="shared" si="64"/>
        <v/>
      </c>
      <c r="D3016" s="96"/>
      <c r="E3016" s="902"/>
      <c r="F3016" s="902"/>
      <c r="G3016" s="1900"/>
      <c r="J3016" s="1374"/>
    </row>
    <row r="3017" spans="1:10" ht="15.75" thickTop="1" x14ac:dyDescent="0.25">
      <c r="A3017" s="585" t="str">
        <f>IF(dstCommercial="Yes","P","")</f>
        <v/>
      </c>
      <c r="C3017" s="254" t="str">
        <f t="shared" si="64"/>
        <v/>
      </c>
      <c r="D3017" s="87" t="s">
        <v>4793</v>
      </c>
      <c r="E3017" s="862"/>
      <c r="F3017" s="862"/>
      <c r="G3017" s="1361" t="s">
        <v>4794</v>
      </c>
      <c r="J3017" s="1374"/>
    </row>
    <row r="3018" spans="1:10" x14ac:dyDescent="0.25">
      <c r="A3018" s="585" t="str">
        <f>IF(dstCommercial="Yes","P","")</f>
        <v/>
      </c>
      <c r="C3018" s="254" t="str">
        <f t="shared" si="64"/>
        <v/>
      </c>
      <c r="D3018" s="87" t="s">
        <v>4795</v>
      </c>
      <c r="E3018" s="862"/>
      <c r="F3018" s="862"/>
      <c r="G3018" s="1833" t="s">
        <v>4796</v>
      </c>
      <c r="J3018" s="1374" t="s">
        <v>5127</v>
      </c>
    </row>
    <row r="3019" spans="1:10" x14ac:dyDescent="0.25">
      <c r="A3019" s="585" t="str">
        <f>IF(dstCommercial="Yes","P","")</f>
        <v/>
      </c>
      <c r="C3019" s="254" t="str">
        <f t="shared" si="64"/>
        <v/>
      </c>
      <c r="D3019" s="174"/>
      <c r="E3019" s="863"/>
      <c r="F3019" s="863"/>
      <c r="G3019" s="1834"/>
      <c r="J3019" s="1374"/>
    </row>
    <row r="3020" spans="1:10" x14ac:dyDescent="0.25">
      <c r="A3020" s="585" t="str">
        <f>IF(dstCommercial="Yes","P","")</f>
        <v/>
      </c>
      <c r="C3020" s="254" t="str">
        <f t="shared" si="64"/>
        <v/>
      </c>
      <c r="D3020" s="87" t="s">
        <v>4797</v>
      </c>
      <c r="E3020" s="862"/>
      <c r="F3020" s="862"/>
      <c r="G3020" s="1833" t="s">
        <v>4798</v>
      </c>
      <c r="J3020" s="1374" t="s">
        <v>5127</v>
      </c>
    </row>
    <row r="3021" spans="1:10" ht="15.75" thickBot="1" x14ac:dyDescent="0.3">
      <c r="A3021" s="585" t="str">
        <f>IF(dstCommercial="Yes","P","")</f>
        <v/>
      </c>
      <c r="C3021" s="254" t="str">
        <f t="shared" si="64"/>
        <v/>
      </c>
      <c r="D3021" s="96"/>
      <c r="E3021" s="902"/>
      <c r="F3021" s="902"/>
      <c r="G3021" s="1900"/>
      <c r="J3021" s="1374"/>
    </row>
    <row r="3022" spans="1:10" ht="15.75" thickTop="1" x14ac:dyDescent="0.25">
      <c r="A3022" s="585" t="str">
        <f>IF(dstCommercial="Yes","P","")</f>
        <v/>
      </c>
      <c r="C3022" s="254" t="str">
        <f t="shared" si="64"/>
        <v/>
      </c>
      <c r="D3022" s="114" t="s">
        <v>4799</v>
      </c>
      <c r="E3022" s="1007"/>
      <c r="F3022" s="1007"/>
      <c r="G3022" s="1899" t="s">
        <v>4800</v>
      </c>
      <c r="J3022" s="1374"/>
    </row>
    <row r="3023" spans="1:10" x14ac:dyDescent="0.25">
      <c r="A3023" s="585" t="str">
        <f>IF(dstCommercial="Yes","P","")</f>
        <v/>
      </c>
      <c r="C3023" s="254" t="str">
        <f t="shared" si="64"/>
        <v/>
      </c>
      <c r="D3023" s="174"/>
      <c r="E3023" s="863"/>
      <c r="F3023" s="863"/>
      <c r="G3023" s="1834"/>
      <c r="J3023" s="1374"/>
    </row>
    <row r="3024" spans="1:10" x14ac:dyDescent="0.25">
      <c r="A3024" s="585" t="str">
        <f>IF(dstCommercial="Yes","P","")</f>
        <v/>
      </c>
      <c r="C3024" s="254" t="str">
        <f t="shared" si="64"/>
        <v/>
      </c>
      <c r="D3024" s="78" t="s">
        <v>4499</v>
      </c>
      <c r="E3024" s="667"/>
      <c r="F3024" s="667"/>
      <c r="G3024" s="1785" t="s">
        <v>4500</v>
      </c>
      <c r="J3024" s="1374" t="s">
        <v>5149</v>
      </c>
    </row>
    <row r="3025" spans="1:10" x14ac:dyDescent="0.25">
      <c r="A3025" s="585" t="str">
        <f>IF(dstCommercial="Yes","P","")</f>
        <v/>
      </c>
      <c r="C3025" s="254" t="str">
        <f t="shared" si="64"/>
        <v/>
      </c>
      <c r="D3025" s="667"/>
      <c r="E3025" s="667"/>
      <c r="F3025" s="667"/>
      <c r="G3025" s="1785"/>
      <c r="J3025" s="1374"/>
    </row>
    <row r="3026" spans="1:10" x14ac:dyDescent="0.25">
      <c r="A3026" s="585" t="str">
        <f>IF(dstCommercial="Yes","P","")</f>
        <v/>
      </c>
      <c r="C3026" s="254" t="str">
        <f t="shared" si="64"/>
        <v/>
      </c>
      <c r="D3026" s="667"/>
      <c r="E3026" s="667"/>
      <c r="F3026" s="667"/>
      <c r="G3026" s="1785"/>
      <c r="J3026" s="1374"/>
    </row>
    <row r="3027" spans="1:10" x14ac:dyDescent="0.25">
      <c r="A3027" s="585" t="str">
        <f>IF(dstCommercial="Yes","P","")</f>
        <v/>
      </c>
      <c r="C3027" s="254" t="str">
        <f t="shared" ref="C3027:C3090" si="65">IF(LEN(B3027)=0,IF(A3027="P","P",""),B3027)</f>
        <v/>
      </c>
      <c r="D3027" s="667"/>
      <c r="E3027" s="667" t="s">
        <v>256</v>
      </c>
      <c r="F3027" s="667"/>
      <c r="G3027" s="1370" t="s">
        <v>3255</v>
      </c>
      <c r="J3027" s="1374"/>
    </row>
    <row r="3028" spans="1:10" x14ac:dyDescent="0.25">
      <c r="A3028" s="585" t="str">
        <f>IF(dstCommercial="Yes","P","")</f>
        <v/>
      </c>
      <c r="C3028" s="254" t="str">
        <f t="shared" si="65"/>
        <v/>
      </c>
      <c r="D3028" s="667"/>
      <c r="E3028" s="667"/>
      <c r="F3028" s="667" t="s">
        <v>121</v>
      </c>
      <c r="G3028" s="1370" t="s">
        <v>4501</v>
      </c>
      <c r="J3028" s="1374"/>
    </row>
    <row r="3029" spans="1:10" x14ac:dyDescent="0.25">
      <c r="A3029" s="585" t="str">
        <f>IF(dstCommercial="Yes","P","")</f>
        <v/>
      </c>
      <c r="C3029" s="254" t="str">
        <f t="shared" si="65"/>
        <v/>
      </c>
      <c r="D3029" s="684"/>
      <c r="E3029" s="684"/>
      <c r="F3029" s="684" t="s">
        <v>122</v>
      </c>
      <c r="G3029" s="1371" t="s">
        <v>4502</v>
      </c>
      <c r="J3029" s="1374"/>
    </row>
    <row r="3030" spans="1:10" ht="15" customHeight="1" x14ac:dyDescent="0.25">
      <c r="A3030" s="585" t="str">
        <f>IF(dstCommercial="Yes","P","")</f>
        <v/>
      </c>
      <c r="C3030" s="254" t="str">
        <f t="shared" si="65"/>
        <v/>
      </c>
      <c r="D3030" s="667" t="s">
        <v>4503</v>
      </c>
      <c r="E3030" s="667"/>
      <c r="F3030" s="667"/>
      <c r="G3030" s="1355" t="s">
        <v>4820</v>
      </c>
      <c r="J3030" s="1374"/>
    </row>
    <row r="3031" spans="1:10" x14ac:dyDescent="0.25">
      <c r="A3031" s="585" t="str">
        <f>IF(dstCommercial="Yes","P","")</f>
        <v/>
      </c>
      <c r="C3031" s="254" t="str">
        <f t="shared" si="65"/>
        <v/>
      </c>
      <c r="D3031" s="667" t="s">
        <v>4505</v>
      </c>
      <c r="E3031" s="667"/>
      <c r="F3031" s="667"/>
      <c r="G3031" s="1785" t="s">
        <v>4506</v>
      </c>
      <c r="J3031" s="1374"/>
    </row>
    <row r="3032" spans="1:10" x14ac:dyDescent="0.25">
      <c r="A3032" s="585" t="str">
        <f>IF(dstCommercial="Yes","P","")</f>
        <v/>
      </c>
      <c r="C3032" s="254" t="str">
        <f t="shared" si="65"/>
        <v/>
      </c>
      <c r="D3032" s="667"/>
      <c r="E3032" s="667"/>
      <c r="F3032" s="667"/>
      <c r="G3032" s="1785"/>
      <c r="J3032" s="1374"/>
    </row>
    <row r="3033" spans="1:10" x14ac:dyDescent="0.25">
      <c r="A3033" s="585" t="str">
        <f>IF(dstCommercial="Yes","P","")</f>
        <v/>
      </c>
      <c r="C3033" s="254" t="str">
        <f t="shared" si="65"/>
        <v/>
      </c>
      <c r="D3033" s="667"/>
      <c r="E3033" s="667"/>
      <c r="F3033" s="667"/>
      <c r="G3033" s="1785"/>
      <c r="J3033" s="1374"/>
    </row>
    <row r="3034" spans="1:10" x14ac:dyDescent="0.25">
      <c r="A3034" s="585" t="str">
        <f>IF(dstCommercial="Yes","P","")</f>
        <v/>
      </c>
      <c r="C3034" s="254" t="str">
        <f t="shared" si="65"/>
        <v/>
      </c>
      <c r="D3034" s="667"/>
      <c r="E3034" s="667"/>
      <c r="F3034" s="667"/>
      <c r="G3034" s="1785"/>
      <c r="J3034" s="1374"/>
    </row>
    <row r="3035" spans="1:10" x14ac:dyDescent="0.25">
      <c r="A3035" s="585" t="str">
        <f>IF(dstCommercial="Yes","P","")</f>
        <v/>
      </c>
      <c r="C3035" s="254" t="str">
        <f t="shared" si="65"/>
        <v/>
      </c>
      <c r="D3035" s="667"/>
      <c r="E3035" s="667"/>
      <c r="F3035" s="667"/>
      <c r="G3035" s="1785"/>
      <c r="J3035" s="1374"/>
    </row>
    <row r="3036" spans="1:10" x14ac:dyDescent="0.25">
      <c r="A3036" s="585" t="str">
        <f>IF(dstCommercial="Yes","P","")</f>
        <v/>
      </c>
      <c r="C3036" s="254" t="str">
        <f t="shared" si="65"/>
        <v/>
      </c>
      <c r="D3036" s="667"/>
      <c r="E3036" s="667"/>
      <c r="F3036" s="667"/>
      <c r="G3036" s="1785"/>
      <c r="J3036" s="1374"/>
    </row>
    <row r="3037" spans="1:10" x14ac:dyDescent="0.25">
      <c r="A3037" s="585" t="str">
        <f>IF(dstCommercial="Yes","P","")</f>
        <v/>
      </c>
      <c r="C3037" s="254" t="str">
        <f t="shared" si="65"/>
        <v/>
      </c>
      <c r="D3037" s="684"/>
      <c r="E3037" s="684"/>
      <c r="F3037" s="684"/>
      <c r="G3037" s="1936"/>
      <c r="J3037" s="1374"/>
    </row>
    <row r="3038" spans="1:10" x14ac:dyDescent="0.25">
      <c r="A3038" s="585" t="str">
        <f>IF(dstCommercial="Yes","P","")</f>
        <v/>
      </c>
      <c r="C3038" s="254" t="str">
        <f t="shared" si="65"/>
        <v/>
      </c>
      <c r="D3038" s="693" t="s">
        <v>4507</v>
      </c>
      <c r="E3038" s="693"/>
      <c r="F3038" s="693"/>
      <c r="G3038" s="1935" t="s">
        <v>4508</v>
      </c>
      <c r="J3038" s="1374"/>
    </row>
    <row r="3039" spans="1:10" x14ac:dyDescent="0.25">
      <c r="A3039" s="585" t="str">
        <f>IF(dstCommercial="Yes","P","")</f>
        <v/>
      </c>
      <c r="C3039" s="254" t="str">
        <f t="shared" si="65"/>
        <v/>
      </c>
      <c r="D3039" s="667"/>
      <c r="E3039" s="667"/>
      <c r="F3039" s="667"/>
      <c r="G3039" s="1785"/>
      <c r="J3039" s="1374"/>
    </row>
    <row r="3040" spans="1:10" x14ac:dyDescent="0.25">
      <c r="A3040" s="585" t="str">
        <f>IF(dstCommercial="Yes","P","")</f>
        <v/>
      </c>
      <c r="C3040" s="254" t="str">
        <f t="shared" si="65"/>
        <v/>
      </c>
      <c r="D3040" s="667"/>
      <c r="E3040" s="667"/>
      <c r="F3040" s="667"/>
      <c r="G3040" s="1785"/>
      <c r="J3040" s="1374"/>
    </row>
    <row r="3041" spans="1:10" x14ac:dyDescent="0.25">
      <c r="A3041" s="585" t="str">
        <f>IF(dstCommercial="Yes","P","")</f>
        <v/>
      </c>
      <c r="C3041" s="254" t="str">
        <f t="shared" si="65"/>
        <v/>
      </c>
      <c r="D3041" s="667"/>
      <c r="E3041" s="667"/>
      <c r="F3041" s="667"/>
      <c r="G3041" s="1785"/>
      <c r="J3041" s="1374"/>
    </row>
    <row r="3042" spans="1:10" x14ac:dyDescent="0.25">
      <c r="A3042" s="585" t="str">
        <f>IF(dstCommercial="Yes","P","")</f>
        <v/>
      </c>
      <c r="C3042" s="254" t="str">
        <f t="shared" si="65"/>
        <v/>
      </c>
      <c r="D3042" s="667"/>
      <c r="E3042" s="667"/>
      <c r="F3042" s="667"/>
      <c r="G3042" s="1785"/>
      <c r="J3042" s="1374"/>
    </row>
    <row r="3043" spans="1:10" x14ac:dyDescent="0.25">
      <c r="A3043" s="585" t="str">
        <f>IF(dstCommercial="Yes","P","")</f>
        <v/>
      </c>
      <c r="C3043" s="254" t="str">
        <f t="shared" si="65"/>
        <v/>
      </c>
      <c r="D3043" s="667"/>
      <c r="E3043" s="667"/>
      <c r="F3043" s="667"/>
      <c r="G3043" s="1785"/>
      <c r="J3043" s="1374"/>
    </row>
    <row r="3044" spans="1:10" x14ac:dyDescent="0.25">
      <c r="A3044" s="585" t="str">
        <f>IF(dstCommercial="Yes","P","")</f>
        <v/>
      </c>
      <c r="C3044" s="254" t="str">
        <f t="shared" si="65"/>
        <v/>
      </c>
      <c r="D3044" s="684"/>
      <c r="E3044" s="684"/>
      <c r="F3044" s="684"/>
      <c r="G3044" s="1936"/>
      <c r="J3044" s="1374"/>
    </row>
    <row r="3045" spans="1:10" x14ac:dyDescent="0.25">
      <c r="A3045" s="585" t="str">
        <f>IF(dstCommercial="Yes","P","")</f>
        <v/>
      </c>
      <c r="C3045" s="254" t="str">
        <f t="shared" si="65"/>
        <v/>
      </c>
      <c r="D3045" s="693" t="s">
        <v>4509</v>
      </c>
      <c r="E3045" s="693"/>
      <c r="F3045" s="693"/>
      <c r="G3045" s="1935" t="s">
        <v>4510</v>
      </c>
      <c r="J3045" s="1374"/>
    </row>
    <row r="3046" spans="1:10" x14ac:dyDescent="0.25">
      <c r="A3046" s="585" t="str">
        <f>IF(dstCommercial="Yes","P","")</f>
        <v/>
      </c>
      <c r="C3046" s="254" t="str">
        <f t="shared" si="65"/>
        <v/>
      </c>
      <c r="D3046" s="667"/>
      <c r="E3046" s="667"/>
      <c r="F3046" s="667"/>
      <c r="G3046" s="1785"/>
      <c r="J3046" s="1374"/>
    </row>
    <row r="3047" spans="1:10" x14ac:dyDescent="0.25">
      <c r="A3047" s="585" t="str">
        <f>IF(dstCommercial="Yes","P","")</f>
        <v/>
      </c>
      <c r="C3047" s="254" t="str">
        <f t="shared" si="65"/>
        <v/>
      </c>
      <c r="D3047" s="667"/>
      <c r="E3047" s="667"/>
      <c r="F3047" s="667"/>
      <c r="G3047" s="1785"/>
      <c r="J3047" s="1374"/>
    </row>
    <row r="3048" spans="1:10" x14ac:dyDescent="0.25">
      <c r="A3048" s="585" t="str">
        <f>IF(dstCommercial="Yes","P","")</f>
        <v/>
      </c>
      <c r="C3048" s="254" t="str">
        <f t="shared" si="65"/>
        <v/>
      </c>
      <c r="D3048" s="667"/>
      <c r="E3048" s="667"/>
      <c r="F3048" s="667"/>
      <c r="G3048" s="1785"/>
      <c r="J3048" s="1374"/>
    </row>
    <row r="3049" spans="1:10" x14ac:dyDescent="0.25">
      <c r="A3049" s="585" t="str">
        <f>IF(dstCommercial="Yes","P","")</f>
        <v/>
      </c>
      <c r="C3049" s="254" t="str">
        <f t="shared" si="65"/>
        <v/>
      </c>
      <c r="D3049" s="667"/>
      <c r="E3049" s="667"/>
      <c r="F3049" s="667"/>
      <c r="G3049" s="1785"/>
      <c r="J3049" s="1374"/>
    </row>
    <row r="3050" spans="1:10" x14ac:dyDescent="0.25">
      <c r="A3050" s="585" t="str">
        <f>IF(dstCommercial="Yes","P","")</f>
        <v/>
      </c>
      <c r="C3050" s="254" t="str">
        <f t="shared" si="65"/>
        <v/>
      </c>
      <c r="D3050" s="667"/>
      <c r="E3050" s="667"/>
      <c r="F3050" s="667"/>
      <c r="G3050" s="1785"/>
      <c r="J3050" s="1374"/>
    </row>
    <row r="3051" spans="1:10" x14ac:dyDescent="0.25">
      <c r="A3051" s="585" t="str">
        <f>IF(dstCommercial="Yes","P","")</f>
        <v/>
      </c>
      <c r="C3051" s="254" t="str">
        <f t="shared" si="65"/>
        <v/>
      </c>
      <c r="D3051" s="684"/>
      <c r="E3051" s="684"/>
      <c r="F3051" s="684"/>
      <c r="G3051" s="1936"/>
      <c r="J3051" s="1374"/>
    </row>
    <row r="3052" spans="1:10" x14ac:dyDescent="0.25">
      <c r="A3052" s="585" t="str">
        <f>IF(dstCommercial="Yes","P","")</f>
        <v/>
      </c>
      <c r="C3052" s="254" t="str">
        <f t="shared" si="65"/>
        <v/>
      </c>
      <c r="D3052" s="693" t="s">
        <v>4511</v>
      </c>
      <c r="E3052" s="693"/>
      <c r="F3052" s="693"/>
      <c r="G3052" s="1935" t="s">
        <v>4512</v>
      </c>
      <c r="J3052" s="1374"/>
    </row>
    <row r="3053" spans="1:10" x14ac:dyDescent="0.25">
      <c r="A3053" s="585" t="str">
        <f>IF(dstCommercial="Yes","P","")</f>
        <v/>
      </c>
      <c r="C3053" s="254" t="str">
        <f t="shared" si="65"/>
        <v/>
      </c>
      <c r="D3053" s="667"/>
      <c r="E3053" s="667"/>
      <c r="F3053" s="667"/>
      <c r="G3053" s="1785"/>
      <c r="J3053" s="1374"/>
    </row>
    <row r="3054" spans="1:10" x14ac:dyDescent="0.25">
      <c r="A3054" s="585" t="str">
        <f>IF(dstCommercial="Yes","P","")</f>
        <v/>
      </c>
      <c r="C3054" s="254" t="str">
        <f t="shared" si="65"/>
        <v/>
      </c>
      <c r="D3054" s="667"/>
      <c r="E3054" s="667"/>
      <c r="F3054" s="667"/>
      <c r="G3054" s="1785"/>
      <c r="J3054" s="1374"/>
    </row>
    <row r="3055" spans="1:10" x14ac:dyDescent="0.25">
      <c r="A3055" s="585" t="str">
        <f>IF(dstCommercial="Yes","P","")</f>
        <v/>
      </c>
      <c r="C3055" s="254" t="str">
        <f t="shared" si="65"/>
        <v/>
      </c>
      <c r="D3055" s="667"/>
      <c r="E3055" s="667"/>
      <c r="F3055" s="667"/>
      <c r="G3055" s="1785"/>
      <c r="J3055" s="1374"/>
    </row>
    <row r="3056" spans="1:10" x14ac:dyDescent="0.25">
      <c r="A3056" s="585" t="str">
        <f>IF(dstCommercial="Yes","P","")</f>
        <v/>
      </c>
      <c r="C3056" s="254" t="str">
        <f t="shared" si="65"/>
        <v/>
      </c>
      <c r="D3056" s="684"/>
      <c r="E3056" s="684"/>
      <c r="F3056" s="684"/>
      <c r="G3056" s="1936"/>
      <c r="J3056" s="1374"/>
    </row>
    <row r="3057" spans="1:10" x14ac:dyDescent="0.25">
      <c r="A3057" s="585" t="str">
        <f>IF(dstCommercial="Yes","P","")</f>
        <v/>
      </c>
      <c r="C3057" s="254" t="str">
        <f t="shared" si="65"/>
        <v/>
      </c>
      <c r="D3057" s="693" t="s">
        <v>4513</v>
      </c>
      <c r="E3057" s="693"/>
      <c r="F3057" s="693"/>
      <c r="G3057" s="1935" t="s">
        <v>4514</v>
      </c>
      <c r="J3057" s="1374"/>
    </row>
    <row r="3058" spans="1:10" x14ac:dyDescent="0.25">
      <c r="A3058" s="585" t="str">
        <f>IF(dstCommercial="Yes","P","")</f>
        <v/>
      </c>
      <c r="C3058" s="254" t="str">
        <f t="shared" si="65"/>
        <v/>
      </c>
      <c r="D3058" s="684"/>
      <c r="E3058" s="684"/>
      <c r="F3058" s="684"/>
      <c r="G3058" s="1936"/>
      <c r="J3058" s="1374"/>
    </row>
    <row r="3059" spans="1:10" x14ac:dyDescent="0.25">
      <c r="A3059" s="585" t="str">
        <f>IF(dstCommercial="Yes","P","")</f>
        <v/>
      </c>
      <c r="C3059" s="254" t="str">
        <f t="shared" si="65"/>
        <v/>
      </c>
      <c r="D3059" s="693" t="s">
        <v>4515</v>
      </c>
      <c r="E3059" s="693"/>
      <c r="F3059" s="693"/>
      <c r="G3059" s="1935" t="s">
        <v>4516</v>
      </c>
      <c r="J3059" s="1374"/>
    </row>
    <row r="3060" spans="1:10" x14ac:dyDescent="0.25">
      <c r="A3060" s="585" t="str">
        <f>IF(dstCommercial="Yes","P","")</f>
        <v/>
      </c>
      <c r="C3060" s="254" t="str">
        <f t="shared" si="65"/>
        <v/>
      </c>
      <c r="D3060" s="667"/>
      <c r="E3060" s="667"/>
      <c r="F3060" s="667"/>
      <c r="G3060" s="1785"/>
      <c r="J3060" s="1374"/>
    </row>
    <row r="3061" spans="1:10" x14ac:dyDescent="0.25">
      <c r="A3061" s="585" t="str">
        <f>IF(dstCommercial="Yes","P","")</f>
        <v/>
      </c>
      <c r="C3061" s="254" t="str">
        <f t="shared" si="65"/>
        <v/>
      </c>
      <c r="D3061" s="667"/>
      <c r="E3061" s="667"/>
      <c r="F3061" s="667"/>
      <c r="G3061" s="1785"/>
      <c r="J3061" s="1374"/>
    </row>
    <row r="3062" spans="1:10" x14ac:dyDescent="0.25">
      <c r="A3062" s="585" t="str">
        <f>IF(dstCommercial="Yes","P","")</f>
        <v/>
      </c>
      <c r="C3062" s="254" t="str">
        <f t="shared" si="65"/>
        <v/>
      </c>
      <c r="D3062" s="684"/>
      <c r="E3062" s="684"/>
      <c r="F3062" s="684"/>
      <c r="G3062" s="1936"/>
      <c r="J3062" s="1374"/>
    </row>
    <row r="3063" spans="1:10" x14ac:dyDescent="0.25">
      <c r="A3063" s="585" t="str">
        <f>IF(dstCommercial="Yes","P","")</f>
        <v/>
      </c>
      <c r="C3063" s="254" t="str">
        <f t="shared" si="65"/>
        <v/>
      </c>
      <c r="D3063" s="693" t="s">
        <v>4517</v>
      </c>
      <c r="E3063" s="693"/>
      <c r="F3063" s="693"/>
      <c r="G3063" s="1935" t="s">
        <v>4518</v>
      </c>
      <c r="J3063" s="1374"/>
    </row>
    <row r="3064" spans="1:10" x14ac:dyDescent="0.25">
      <c r="A3064" s="585" t="str">
        <f>IF(dstCommercial="Yes","P","")</f>
        <v/>
      </c>
      <c r="C3064" s="254" t="str">
        <f t="shared" si="65"/>
        <v/>
      </c>
      <c r="D3064" s="667"/>
      <c r="E3064" s="667"/>
      <c r="F3064" s="667"/>
      <c r="G3064" s="1785"/>
      <c r="J3064" s="1374"/>
    </row>
    <row r="3065" spans="1:10" x14ac:dyDescent="0.25">
      <c r="A3065" s="585" t="str">
        <f>IF(dstCommercial="Yes","P","")</f>
        <v/>
      </c>
      <c r="C3065" s="254" t="str">
        <f t="shared" si="65"/>
        <v/>
      </c>
      <c r="D3065" s="684"/>
      <c r="E3065" s="684"/>
      <c r="F3065" s="684"/>
      <c r="G3065" s="1936"/>
      <c r="J3065" s="1374"/>
    </row>
    <row r="3066" spans="1:10" x14ac:dyDescent="0.25">
      <c r="A3066" s="585" t="str">
        <f>IF(dstCommercial="Yes","P","")</f>
        <v/>
      </c>
      <c r="C3066" s="254" t="str">
        <f t="shared" si="65"/>
        <v/>
      </c>
      <c r="D3066" s="667" t="s">
        <v>4519</v>
      </c>
      <c r="E3066" s="667"/>
      <c r="F3066" s="667"/>
      <c r="G3066" s="1355" t="s">
        <v>4520</v>
      </c>
      <c r="J3066" s="1374"/>
    </row>
    <row r="3067" spans="1:10" x14ac:dyDescent="0.25">
      <c r="A3067" s="585" t="str">
        <f>IF(dstCommercial="Yes","P","")</f>
        <v/>
      </c>
      <c r="C3067" s="254" t="str">
        <f t="shared" si="65"/>
        <v/>
      </c>
      <c r="D3067" s="667"/>
      <c r="E3067" s="667"/>
      <c r="F3067" s="667"/>
      <c r="G3067" s="1355" t="s">
        <v>4521</v>
      </c>
      <c r="J3067" s="1374"/>
    </row>
    <row r="3068" spans="1:10" x14ac:dyDescent="0.25">
      <c r="A3068" s="585" t="str">
        <f>IF(dstCommercial="Yes","P","")</f>
        <v/>
      </c>
      <c r="C3068" s="254" t="str">
        <f t="shared" si="65"/>
        <v/>
      </c>
      <c r="D3068" s="667"/>
      <c r="E3068" s="667"/>
      <c r="F3068" s="667"/>
      <c r="G3068" s="1933" t="s">
        <v>4522</v>
      </c>
      <c r="J3068" s="1374"/>
    </row>
    <row r="3069" spans="1:10" x14ac:dyDescent="0.25">
      <c r="A3069" s="585" t="str">
        <f>IF(dstCommercial="Yes","P","")</f>
        <v/>
      </c>
      <c r="C3069" s="254" t="str">
        <f t="shared" si="65"/>
        <v/>
      </c>
      <c r="D3069" s="667"/>
      <c r="E3069" s="667"/>
      <c r="F3069" s="667"/>
      <c r="G3069" s="1933"/>
      <c r="J3069" s="1374"/>
    </row>
    <row r="3070" spans="1:10" x14ac:dyDescent="0.25">
      <c r="A3070" s="585" t="str">
        <f>IF(dstCommercial="Yes","P","")</f>
        <v/>
      </c>
      <c r="C3070" s="254" t="str">
        <f t="shared" si="65"/>
        <v/>
      </c>
      <c r="D3070" s="667"/>
      <c r="E3070" s="667" t="s">
        <v>256</v>
      </c>
      <c r="F3070" s="667"/>
      <c r="G3070" s="1370" t="s">
        <v>4523</v>
      </c>
      <c r="J3070" s="1374"/>
    </row>
    <row r="3071" spans="1:10" x14ac:dyDescent="0.25">
      <c r="A3071" s="585" t="str">
        <f>IF(dstCommercial="Yes","P","")</f>
        <v/>
      </c>
      <c r="C3071" s="254" t="str">
        <f t="shared" si="65"/>
        <v/>
      </c>
      <c r="D3071" s="667"/>
      <c r="E3071" s="667"/>
      <c r="F3071" s="667" t="s">
        <v>121</v>
      </c>
      <c r="G3071" s="1370" t="s">
        <v>4524</v>
      </c>
      <c r="J3071" s="1374"/>
    </row>
    <row r="3072" spans="1:10" x14ac:dyDescent="0.25">
      <c r="A3072" s="585" t="str">
        <f>IF(dstCommercial="Yes","P","")</f>
        <v/>
      </c>
      <c r="C3072" s="254" t="str">
        <f t="shared" si="65"/>
        <v/>
      </c>
      <c r="D3072" s="667"/>
      <c r="E3072" s="667"/>
      <c r="F3072" s="667" t="s">
        <v>122</v>
      </c>
      <c r="G3072" s="1933" t="s">
        <v>4525</v>
      </c>
      <c r="J3072" s="1374"/>
    </row>
    <row r="3073" spans="1:10" x14ac:dyDescent="0.25">
      <c r="A3073" s="585" t="str">
        <f>IF(dstCommercial="Yes","P","")</f>
        <v/>
      </c>
      <c r="C3073" s="254" t="str">
        <f t="shared" si="65"/>
        <v/>
      </c>
      <c r="D3073" s="667"/>
      <c r="E3073" s="667"/>
      <c r="F3073" s="667"/>
      <c r="G3073" s="1933"/>
      <c r="J3073" s="1374"/>
    </row>
    <row r="3074" spans="1:10" x14ac:dyDescent="0.25">
      <c r="A3074" s="585" t="str">
        <f>IF(dstCommercial="Yes","P","")</f>
        <v/>
      </c>
      <c r="C3074" s="254" t="str">
        <f t="shared" si="65"/>
        <v/>
      </c>
      <c r="D3074" s="1375"/>
      <c r="E3074" s="1375"/>
      <c r="F3074" s="667" t="s">
        <v>123</v>
      </c>
      <c r="G3074" s="1933" t="s">
        <v>4526</v>
      </c>
      <c r="J3074" s="1374"/>
    </row>
    <row r="3075" spans="1:10" x14ac:dyDescent="0.25">
      <c r="A3075" s="585" t="str">
        <f>IF(dstCommercial="Yes","P","")</f>
        <v/>
      </c>
      <c r="C3075" s="254" t="str">
        <f t="shared" si="65"/>
        <v/>
      </c>
      <c r="D3075" s="1375"/>
      <c r="E3075" s="1375"/>
      <c r="F3075" s="667"/>
      <c r="G3075" s="1933"/>
      <c r="J3075" s="1374"/>
    </row>
    <row r="3076" spans="1:10" x14ac:dyDescent="0.25">
      <c r="A3076" s="585" t="str">
        <f>IF(dstCommercial="Yes","P","")</f>
        <v/>
      </c>
      <c r="C3076" s="254" t="str">
        <f t="shared" si="65"/>
        <v/>
      </c>
      <c r="D3076" s="1375"/>
      <c r="E3076" s="1375"/>
      <c r="F3076" s="139" t="s">
        <v>401</v>
      </c>
      <c r="G3076" s="1933" t="s">
        <v>4527</v>
      </c>
      <c r="J3076" s="1374"/>
    </row>
    <row r="3077" spans="1:10" x14ac:dyDescent="0.25">
      <c r="A3077" s="585" t="str">
        <f>IF(dstCommercial="Yes","P","")</f>
        <v/>
      </c>
      <c r="C3077" s="254" t="str">
        <f t="shared" si="65"/>
        <v/>
      </c>
      <c r="D3077" s="1375"/>
      <c r="E3077" s="1375"/>
      <c r="F3077" s="139"/>
      <c r="G3077" s="1933"/>
      <c r="J3077" s="1374"/>
    </row>
    <row r="3078" spans="1:10" x14ac:dyDescent="0.25">
      <c r="A3078" s="585" t="str">
        <f>IF(dstCommercial="Yes","P","")</f>
        <v/>
      </c>
      <c r="C3078" s="254" t="str">
        <f t="shared" si="65"/>
        <v/>
      </c>
      <c r="D3078" s="1375"/>
      <c r="E3078" s="1375"/>
      <c r="F3078" s="139" t="s">
        <v>539</v>
      </c>
      <c r="G3078" s="1933" t="s">
        <v>4897</v>
      </c>
      <c r="J3078" s="1374"/>
    </row>
    <row r="3079" spans="1:10" x14ac:dyDescent="0.25">
      <c r="A3079" s="585" t="str">
        <f>IF(dstCommercial="Yes","P","")</f>
        <v/>
      </c>
      <c r="C3079" s="254" t="str">
        <f t="shared" si="65"/>
        <v/>
      </c>
      <c r="D3079" s="1375"/>
      <c r="E3079" s="1375"/>
      <c r="F3079" s="139"/>
      <c r="G3079" s="1933"/>
      <c r="J3079" s="1374"/>
    </row>
    <row r="3080" spans="1:10" x14ac:dyDescent="0.25">
      <c r="A3080" s="585" t="str">
        <f>IF(dstCommercial="Yes","P","")</f>
        <v/>
      </c>
      <c r="C3080" s="254" t="str">
        <f t="shared" si="65"/>
        <v/>
      </c>
      <c r="D3080" s="1375"/>
      <c r="E3080" s="1375"/>
      <c r="F3080" s="139"/>
      <c r="G3080" s="1933"/>
      <c r="J3080" s="1374"/>
    </row>
    <row r="3081" spans="1:10" x14ac:dyDescent="0.25">
      <c r="A3081" s="585" t="str">
        <f>IF(dstCommercial="Yes","P","")</f>
        <v/>
      </c>
      <c r="C3081" s="254" t="str">
        <f t="shared" si="65"/>
        <v/>
      </c>
      <c r="D3081" s="1375"/>
      <c r="E3081" s="1375"/>
      <c r="F3081" s="139" t="s">
        <v>604</v>
      </c>
      <c r="G3081" s="1933" t="s">
        <v>4528</v>
      </c>
      <c r="J3081" s="1374"/>
    </row>
    <row r="3082" spans="1:10" x14ac:dyDescent="0.25">
      <c r="A3082" s="585" t="str">
        <f>IF(dstCommercial="Yes","P","")</f>
        <v/>
      </c>
      <c r="C3082" s="254" t="str">
        <f t="shared" si="65"/>
        <v/>
      </c>
      <c r="D3082" s="1375"/>
      <c r="E3082" s="1375"/>
      <c r="F3082" s="139"/>
      <c r="G3082" s="1933"/>
      <c r="J3082" s="1374"/>
    </row>
    <row r="3083" spans="1:10" x14ac:dyDescent="0.25">
      <c r="A3083" s="585" t="str">
        <f>IF(dstCommercial="Yes","P","")</f>
        <v/>
      </c>
      <c r="C3083" s="254" t="str">
        <f t="shared" si="65"/>
        <v/>
      </c>
      <c r="D3083" s="1375"/>
      <c r="E3083" s="1375"/>
      <c r="F3083" s="667" t="s">
        <v>606</v>
      </c>
      <c r="G3083" s="1933" t="s">
        <v>4529</v>
      </c>
      <c r="J3083" s="1374"/>
    </row>
    <row r="3084" spans="1:10" x14ac:dyDescent="0.25">
      <c r="A3084" s="585" t="str">
        <f>IF(dstCommercial="Yes","P","")</f>
        <v/>
      </c>
      <c r="C3084" s="254" t="str">
        <f t="shared" si="65"/>
        <v/>
      </c>
      <c r="D3084" s="1375"/>
      <c r="E3084" s="1375"/>
      <c r="F3084" s="667"/>
      <c r="G3084" s="1933"/>
      <c r="J3084" s="1374"/>
    </row>
    <row r="3085" spans="1:10" x14ac:dyDescent="0.25">
      <c r="A3085" s="585" t="str">
        <f>IF(dstCommercial="Yes","P","")</f>
        <v/>
      </c>
      <c r="C3085" s="254" t="str">
        <f t="shared" si="65"/>
        <v/>
      </c>
      <c r="D3085" s="1375"/>
      <c r="E3085" s="1375"/>
      <c r="F3085" s="667" t="s">
        <v>608</v>
      </c>
      <c r="G3085" s="1933" t="s">
        <v>4530</v>
      </c>
      <c r="J3085" s="1374"/>
    </row>
    <row r="3086" spans="1:10" x14ac:dyDescent="0.25">
      <c r="A3086" s="585" t="str">
        <f>IF(dstCommercial="Yes","P","")</f>
        <v/>
      </c>
      <c r="C3086" s="254" t="str">
        <f t="shared" si="65"/>
        <v/>
      </c>
      <c r="D3086" s="1375"/>
      <c r="E3086" s="1375"/>
      <c r="F3086" s="667"/>
      <c r="G3086" s="1933"/>
      <c r="J3086" s="1374"/>
    </row>
    <row r="3087" spans="1:10" x14ac:dyDescent="0.25">
      <c r="A3087" s="585" t="str">
        <f>IF(dstCommercial="Yes","P","")</f>
        <v/>
      </c>
      <c r="C3087" s="254" t="str">
        <f t="shared" si="65"/>
        <v/>
      </c>
      <c r="D3087" s="1375"/>
      <c r="E3087" s="1375"/>
      <c r="F3087" s="667" t="s">
        <v>844</v>
      </c>
      <c r="G3087" s="1933" t="s">
        <v>4531</v>
      </c>
      <c r="J3087" s="1374"/>
    </row>
    <row r="3088" spans="1:10" x14ac:dyDescent="0.25">
      <c r="A3088" s="585" t="str">
        <f>IF(dstCommercial="Yes","P","")</f>
        <v/>
      </c>
      <c r="C3088" s="254" t="str">
        <f t="shared" si="65"/>
        <v/>
      </c>
      <c r="D3088" s="1375"/>
      <c r="E3088" s="1375"/>
      <c r="F3088" s="667"/>
      <c r="G3088" s="1933"/>
      <c r="J3088" s="1374"/>
    </row>
    <row r="3089" spans="1:10" x14ac:dyDescent="0.25">
      <c r="A3089" s="585" t="str">
        <f>IF(dstCommercial="Yes","P","")</f>
        <v/>
      </c>
      <c r="C3089" s="254" t="str">
        <f t="shared" si="65"/>
        <v/>
      </c>
      <c r="D3089" s="1375"/>
      <c r="E3089" s="1375"/>
      <c r="F3089" s="667"/>
      <c r="G3089" s="1933"/>
      <c r="J3089" s="1374"/>
    </row>
    <row r="3090" spans="1:10" x14ac:dyDescent="0.25">
      <c r="A3090" s="585" t="str">
        <f>IF(dstCommercial="Yes","P","")</f>
        <v/>
      </c>
      <c r="C3090" s="254" t="str">
        <f t="shared" si="65"/>
        <v/>
      </c>
      <c r="D3090" s="602"/>
      <c r="E3090" s="602"/>
      <c r="F3090" s="668" t="s">
        <v>845</v>
      </c>
      <c r="G3090" s="1929" t="s">
        <v>4532</v>
      </c>
      <c r="J3090" s="1374"/>
    </row>
    <row r="3091" spans="1:10" ht="15.75" thickBot="1" x14ac:dyDescent="0.3">
      <c r="A3091" s="585" t="str">
        <f>IF(dstCommercial="Yes","P","")</f>
        <v/>
      </c>
      <c r="C3091" s="254" t="str">
        <f t="shared" ref="C3091:C3118" si="66">IF(LEN(B3091)=0,IF(A3091="P","P",""),B3091)</f>
        <v/>
      </c>
      <c r="D3091" s="1403"/>
      <c r="E3091" s="673"/>
      <c r="F3091" s="673"/>
      <c r="G3091" s="1930"/>
      <c r="J3091" s="1374"/>
    </row>
    <row r="3092" spans="1:10" ht="15.75" thickTop="1" x14ac:dyDescent="0.25">
      <c r="C3092" s="254" t="str">
        <f t="shared" si="66"/>
        <v/>
      </c>
      <c r="D3092" s="87" t="s">
        <v>4801</v>
      </c>
      <c r="E3092" s="862"/>
      <c r="F3092" s="862"/>
      <c r="G3092" s="1361" t="s">
        <v>4802</v>
      </c>
      <c r="J3092" s="1374"/>
    </row>
    <row r="3093" spans="1:10" x14ac:dyDescent="0.25">
      <c r="C3093" s="254" t="str">
        <f t="shared" si="66"/>
        <v/>
      </c>
      <c r="D3093" s="87" t="s">
        <v>4803</v>
      </c>
      <c r="E3093" s="862"/>
      <c r="F3093" s="862"/>
      <c r="G3093" s="1833" t="s">
        <v>4804</v>
      </c>
      <c r="J3093" s="1374"/>
    </row>
    <row r="3094" spans="1:10" x14ac:dyDescent="0.25">
      <c r="C3094" s="254" t="str">
        <f t="shared" si="66"/>
        <v/>
      </c>
      <c r="D3094" s="87"/>
      <c r="E3094" s="862"/>
      <c r="F3094" s="862"/>
      <c r="G3094" s="1833"/>
      <c r="J3094" s="1374"/>
    </row>
    <row r="3095" spans="1:10" x14ac:dyDescent="0.25">
      <c r="C3095" s="254" t="str">
        <f t="shared" si="66"/>
        <v/>
      </c>
      <c r="D3095" s="87"/>
      <c r="E3095" s="862"/>
      <c r="F3095" s="862"/>
      <c r="G3095" s="1833"/>
      <c r="J3095" s="1374"/>
    </row>
    <row r="3096" spans="1:10" x14ac:dyDescent="0.25">
      <c r="C3096" s="254" t="str">
        <f t="shared" si="66"/>
        <v/>
      </c>
      <c r="D3096" s="87"/>
      <c r="E3096" s="862"/>
      <c r="F3096" s="862"/>
      <c r="G3096" s="1833"/>
      <c r="J3096" s="1374"/>
    </row>
    <row r="3097" spans="1:10" x14ac:dyDescent="0.25">
      <c r="C3097" s="254" t="str">
        <f t="shared" si="66"/>
        <v/>
      </c>
      <c r="D3097" s="87"/>
      <c r="E3097" s="862"/>
      <c r="F3097" s="862"/>
      <c r="G3097" s="1833"/>
      <c r="J3097" s="1374"/>
    </row>
    <row r="3098" spans="1:10" x14ac:dyDescent="0.25">
      <c r="C3098" s="254" t="str">
        <f t="shared" si="66"/>
        <v/>
      </c>
      <c r="D3098" s="87"/>
      <c r="E3098" s="862"/>
      <c r="F3098" s="862"/>
      <c r="G3098" s="1833"/>
      <c r="J3098" s="1374"/>
    </row>
    <row r="3099" spans="1:10" x14ac:dyDescent="0.25">
      <c r="C3099" s="254" t="str">
        <f t="shared" si="66"/>
        <v/>
      </c>
      <c r="D3099" s="87"/>
      <c r="E3099" s="862" t="s">
        <v>256</v>
      </c>
      <c r="F3099" s="862"/>
      <c r="G3099" s="1787" t="s">
        <v>4805</v>
      </c>
      <c r="J3099" s="1374"/>
    </row>
    <row r="3100" spans="1:10" x14ac:dyDescent="0.25">
      <c r="C3100" s="254" t="str">
        <f t="shared" si="66"/>
        <v/>
      </c>
      <c r="D3100" s="87"/>
      <c r="E3100" s="863"/>
      <c r="F3100" s="863"/>
      <c r="G3100" s="1786"/>
      <c r="J3100" s="1374"/>
    </row>
    <row r="3101" spans="1:10" x14ac:dyDescent="0.25">
      <c r="C3101" s="254" t="str">
        <f t="shared" si="66"/>
        <v/>
      </c>
      <c r="D3101" s="87"/>
      <c r="E3101" s="994" t="s">
        <v>258</v>
      </c>
      <c r="F3101" s="994"/>
      <c r="G3101" s="858" t="s">
        <v>4806</v>
      </c>
      <c r="J3101" s="1374"/>
    </row>
    <row r="3102" spans="1:10" x14ac:dyDescent="0.25">
      <c r="C3102" s="254" t="str">
        <f t="shared" si="66"/>
        <v/>
      </c>
      <c r="D3102" s="87"/>
      <c r="E3102" s="993" t="s">
        <v>260</v>
      </c>
      <c r="F3102" s="993"/>
      <c r="G3102" s="1769" t="s">
        <v>4807</v>
      </c>
      <c r="J3102" s="1374"/>
    </row>
    <row r="3103" spans="1:10" x14ac:dyDescent="0.25">
      <c r="C3103" s="254" t="str">
        <f t="shared" si="66"/>
        <v/>
      </c>
      <c r="D3103" s="87"/>
      <c r="E3103" s="863"/>
      <c r="F3103" s="863"/>
      <c r="G3103" s="1786"/>
      <c r="J3103" s="1374"/>
    </row>
    <row r="3104" spans="1:10" x14ac:dyDescent="0.25">
      <c r="C3104" s="254" t="str">
        <f t="shared" si="66"/>
        <v/>
      </c>
      <c r="D3104" s="87"/>
      <c r="E3104" s="994" t="s">
        <v>269</v>
      </c>
      <c r="F3104" s="994"/>
      <c r="G3104" s="858" t="s">
        <v>4808</v>
      </c>
      <c r="J3104" s="1374"/>
    </row>
    <row r="3105" spans="1:10" ht="15.75" thickBot="1" x14ac:dyDescent="0.3">
      <c r="C3105" s="254" t="str">
        <f t="shared" si="66"/>
        <v/>
      </c>
      <c r="D3105" s="96"/>
      <c r="E3105" s="902" t="s">
        <v>275</v>
      </c>
      <c r="F3105" s="902"/>
      <c r="G3105" s="1357" t="s">
        <v>4809</v>
      </c>
      <c r="J3105" s="1374"/>
    </row>
    <row r="3106" spans="1:10" ht="15.75" thickTop="1" x14ac:dyDescent="0.25">
      <c r="A3106" s="585" t="str">
        <f>IF(dstCommercial="Yes","P","")</f>
        <v/>
      </c>
      <c r="C3106" s="254" t="str">
        <f t="shared" si="66"/>
        <v/>
      </c>
      <c r="D3106" s="87" t="s">
        <v>4810</v>
      </c>
      <c r="E3106" s="862"/>
      <c r="F3106" s="862"/>
      <c r="G3106" s="1833" t="s">
        <v>4817</v>
      </c>
      <c r="J3106" s="1374" t="s">
        <v>5150</v>
      </c>
    </row>
    <row r="3107" spans="1:10" x14ac:dyDescent="0.25">
      <c r="A3107" s="585" t="str">
        <f>IF(dstCommercial="Yes","P","")</f>
        <v/>
      </c>
      <c r="C3107" s="254" t="str">
        <f t="shared" si="66"/>
        <v/>
      </c>
      <c r="D3107" s="87"/>
      <c r="E3107" s="862"/>
      <c r="F3107" s="862"/>
      <c r="G3107" s="1833"/>
      <c r="J3107" s="1374"/>
    </row>
    <row r="3108" spans="1:10" x14ac:dyDescent="0.25">
      <c r="A3108" s="585" t="str">
        <f>IF(dstCommercial="Yes","P","")</f>
        <v/>
      </c>
      <c r="C3108" s="254" t="str">
        <f t="shared" si="66"/>
        <v/>
      </c>
      <c r="D3108" s="87"/>
      <c r="E3108" s="862"/>
      <c r="F3108" s="862"/>
      <c r="G3108" s="1833"/>
      <c r="J3108" s="1374"/>
    </row>
    <row r="3109" spans="1:10" x14ac:dyDescent="0.25">
      <c r="A3109" s="585" t="str">
        <f>IF(dstCommercial="Yes","P","")</f>
        <v/>
      </c>
      <c r="C3109" s="254" t="str">
        <f t="shared" si="66"/>
        <v/>
      </c>
      <c r="D3109" s="87"/>
      <c r="E3109" s="862"/>
      <c r="F3109" s="862"/>
      <c r="G3109" s="1833"/>
      <c r="J3109" s="1374"/>
    </row>
    <row r="3110" spans="1:10" x14ac:dyDescent="0.25">
      <c r="A3110" s="585" t="str">
        <f>IF(dstCommercial="Yes","P","")</f>
        <v/>
      </c>
      <c r="C3110" s="254" t="str">
        <f t="shared" si="66"/>
        <v/>
      </c>
      <c r="D3110" s="87"/>
      <c r="E3110" s="862"/>
      <c r="F3110" s="862"/>
      <c r="G3110" s="1833"/>
      <c r="J3110" s="1374"/>
    </row>
    <row r="3111" spans="1:10" x14ac:dyDescent="0.25">
      <c r="A3111" s="585" t="str">
        <f>IF(dstCommercial="Yes","P","")</f>
        <v/>
      </c>
      <c r="C3111" s="254" t="str">
        <f t="shared" si="66"/>
        <v/>
      </c>
      <c r="D3111" s="87"/>
      <c r="E3111" s="862"/>
      <c r="F3111" s="862"/>
      <c r="G3111" s="1833"/>
      <c r="J3111" s="1374"/>
    </row>
    <row r="3112" spans="1:10" x14ac:dyDescent="0.25">
      <c r="A3112" s="585" t="str">
        <f>IF(dstCommercial="Yes","P","")</f>
        <v/>
      </c>
      <c r="C3112" s="254" t="str">
        <f t="shared" si="66"/>
        <v/>
      </c>
      <c r="D3112" s="87"/>
      <c r="E3112" s="862" t="s">
        <v>256</v>
      </c>
      <c r="F3112" s="862"/>
      <c r="G3112" s="1787" t="s">
        <v>4811</v>
      </c>
      <c r="J3112" s="1374"/>
    </row>
    <row r="3113" spans="1:10" x14ac:dyDescent="0.25">
      <c r="A3113" s="585" t="str">
        <f>IF(dstCommercial="Yes","P","")</f>
        <v/>
      </c>
      <c r="C3113" s="254" t="str">
        <f t="shared" si="66"/>
        <v/>
      </c>
      <c r="D3113" s="87"/>
      <c r="E3113" s="863"/>
      <c r="F3113" s="863"/>
      <c r="G3113" s="1786"/>
      <c r="J3113" s="1374"/>
    </row>
    <row r="3114" spans="1:10" x14ac:dyDescent="0.25">
      <c r="A3114" s="585" t="str">
        <f>IF(dstCommercial="Yes","P","")</f>
        <v/>
      </c>
      <c r="C3114" s="254" t="str">
        <f t="shared" si="66"/>
        <v/>
      </c>
      <c r="D3114" s="87"/>
      <c r="E3114" s="862" t="s">
        <v>258</v>
      </c>
      <c r="F3114" s="862"/>
      <c r="G3114" s="1787" t="s">
        <v>4812</v>
      </c>
      <c r="J3114" s="1374"/>
    </row>
    <row r="3115" spans="1:10" x14ac:dyDescent="0.25">
      <c r="A3115" s="585" t="str">
        <f>IF(dstCommercial="Yes","P","")</f>
        <v/>
      </c>
      <c r="C3115" s="254" t="str">
        <f t="shared" si="66"/>
        <v/>
      </c>
      <c r="D3115" s="87"/>
      <c r="E3115" s="863"/>
      <c r="F3115" s="863"/>
      <c r="G3115" s="1786"/>
      <c r="J3115" s="1374"/>
    </row>
    <row r="3116" spans="1:10" x14ac:dyDescent="0.25">
      <c r="A3116" s="585" t="str">
        <f>IF(dstCommercial="Yes","P","")</f>
        <v/>
      </c>
      <c r="C3116" s="254" t="str">
        <f t="shared" si="66"/>
        <v/>
      </c>
      <c r="D3116" s="87"/>
      <c r="E3116" s="862" t="s">
        <v>260</v>
      </c>
      <c r="F3116" s="862"/>
      <c r="G3116" s="1787" t="s">
        <v>4813</v>
      </c>
      <c r="J3116" s="1374"/>
    </row>
    <row r="3117" spans="1:10" x14ac:dyDescent="0.25">
      <c r="A3117" s="585" t="str">
        <f>IF(dstCommercial="Yes","P","")</f>
        <v/>
      </c>
      <c r="C3117" s="254" t="str">
        <f t="shared" si="66"/>
        <v/>
      </c>
      <c r="D3117" s="87"/>
      <c r="E3117" s="862"/>
      <c r="F3117" s="862"/>
      <c r="G3117" s="1787"/>
      <c r="J3117" s="1374"/>
    </row>
    <row r="3118" spans="1:10" x14ac:dyDescent="0.25">
      <c r="A3118" s="585" t="str">
        <f>IF(dstCommercial="Yes","P","")</f>
        <v/>
      </c>
      <c r="C3118" s="254" t="str">
        <f t="shared" si="66"/>
        <v/>
      </c>
      <c r="D3118" s="87"/>
      <c r="E3118" s="862"/>
      <c r="F3118" s="862"/>
      <c r="G3118" s="1787"/>
      <c r="J3118" s="1374"/>
    </row>
  </sheetData>
  <sheetProtection algorithmName="SHA-512" hashValue="F/8QXg3okhzUkZKNQRmlL7bFzBIdY2qbxdS0Gu+KUsjnJN9TtWXKKlm5Sd8XMWAuWfMY119N5Q7mZLYCq96Sqw==" saltValue="2rFUXW+6Ok5LPOMJagvyHQ==" spinCount="100000" sheet="1" objects="1" scenarios="1" selectLockedCells="1" autoFilter="0" selectUnlockedCells="1"/>
  <autoFilter ref="A6:C3118" xr:uid="{00000000-0009-0000-0000-000009000000}"/>
  <mergeCells count="921">
    <mergeCell ref="G3114:G3115"/>
    <mergeCell ref="G3116:G3118"/>
    <mergeCell ref="J2506:J2508"/>
    <mergeCell ref="J2509:J2510"/>
    <mergeCell ref="J2536:J2537"/>
    <mergeCell ref="J2741:J2742"/>
    <mergeCell ref="J2745:J2746"/>
    <mergeCell ref="J2812:J2813"/>
    <mergeCell ref="G3083:G3084"/>
    <mergeCell ref="G3085:G3086"/>
    <mergeCell ref="G3087:G3089"/>
    <mergeCell ref="G3090:G3091"/>
    <mergeCell ref="G3093:G3098"/>
    <mergeCell ref="G3099:G3100"/>
    <mergeCell ref="G3102:G3103"/>
    <mergeCell ref="G3106:G3111"/>
    <mergeCell ref="G3112:G3113"/>
    <mergeCell ref="G3057:G3058"/>
    <mergeCell ref="G3059:G3062"/>
    <mergeCell ref="G3063:G3065"/>
    <mergeCell ref="G3068:G3069"/>
    <mergeCell ref="G3072:G3073"/>
    <mergeCell ref="G3074:G3075"/>
    <mergeCell ref="G3076:G3077"/>
    <mergeCell ref="G3078:G3080"/>
    <mergeCell ref="G3081:G3082"/>
    <mergeCell ref="G3015:G3016"/>
    <mergeCell ref="G3018:G3019"/>
    <mergeCell ref="G3020:G3021"/>
    <mergeCell ref="G3022:G3023"/>
    <mergeCell ref="G3024:G3026"/>
    <mergeCell ref="G3031:G3037"/>
    <mergeCell ref="G3038:G3044"/>
    <mergeCell ref="G3045:G3051"/>
    <mergeCell ref="G3052:G3056"/>
    <mergeCell ref="G2991:G2993"/>
    <mergeCell ref="G2994:G2995"/>
    <mergeCell ref="G2996:G2997"/>
    <mergeCell ref="G2998:G3001"/>
    <mergeCell ref="G3002:G3005"/>
    <mergeCell ref="G3006:G3007"/>
    <mergeCell ref="G3008:G3009"/>
    <mergeCell ref="G3011:G3012"/>
    <mergeCell ref="G3013:G3014"/>
    <mergeCell ref="G2952:G2953"/>
    <mergeCell ref="G2955:G2960"/>
    <mergeCell ref="G2961:G2963"/>
    <mergeCell ref="G2964:G2968"/>
    <mergeCell ref="G2970:G2972"/>
    <mergeCell ref="G2974:G2978"/>
    <mergeCell ref="G2979:G2982"/>
    <mergeCell ref="G2983:G2987"/>
    <mergeCell ref="G2988:G2990"/>
    <mergeCell ref="G2913:G2917"/>
    <mergeCell ref="G2918:G2919"/>
    <mergeCell ref="G2920:G2923"/>
    <mergeCell ref="G2932:G2933"/>
    <mergeCell ref="G2934:G2939"/>
    <mergeCell ref="G2940:G2942"/>
    <mergeCell ref="G2943:G2944"/>
    <mergeCell ref="G2945:G2946"/>
    <mergeCell ref="G2950:G2951"/>
    <mergeCell ref="G2877:G2878"/>
    <mergeCell ref="G2884:G2885"/>
    <mergeCell ref="G2886:G2888"/>
    <mergeCell ref="G2889:G2892"/>
    <mergeCell ref="G2898:G2899"/>
    <mergeCell ref="G2902:G2903"/>
    <mergeCell ref="G2905:G2906"/>
    <mergeCell ref="G2908:G2909"/>
    <mergeCell ref="G2910:G2912"/>
    <mergeCell ref="G2850:G2852"/>
    <mergeCell ref="G2854:G2856"/>
    <mergeCell ref="G2857:G2858"/>
    <mergeCell ref="G2859:G2860"/>
    <mergeCell ref="G2861:G2864"/>
    <mergeCell ref="G2865:G2867"/>
    <mergeCell ref="G2868:G2870"/>
    <mergeCell ref="G2871:G2873"/>
    <mergeCell ref="G2875:G2876"/>
    <mergeCell ref="G2826:G2827"/>
    <mergeCell ref="G2829:G2830"/>
    <mergeCell ref="G2831:G2833"/>
    <mergeCell ref="G2834:G2835"/>
    <mergeCell ref="G2836:G2837"/>
    <mergeCell ref="G2838:G2839"/>
    <mergeCell ref="G2840:G2841"/>
    <mergeCell ref="G2843:G2846"/>
    <mergeCell ref="G2847:G2848"/>
    <mergeCell ref="G2789:G2794"/>
    <mergeCell ref="G2795:G2801"/>
    <mergeCell ref="G2802:G2806"/>
    <mergeCell ref="G2807:G2809"/>
    <mergeCell ref="G2810:G2811"/>
    <mergeCell ref="G2812:G2813"/>
    <mergeCell ref="G2814:G2815"/>
    <mergeCell ref="G2816:G2817"/>
    <mergeCell ref="G2820:G2824"/>
    <mergeCell ref="G2741:G2743"/>
    <mergeCell ref="G2745:G2748"/>
    <mergeCell ref="G2761:G2763"/>
    <mergeCell ref="G2764:G2766"/>
    <mergeCell ref="G2767:G2769"/>
    <mergeCell ref="G2771:G2772"/>
    <mergeCell ref="G2774:G2776"/>
    <mergeCell ref="G2778:G2779"/>
    <mergeCell ref="G2780:G2786"/>
    <mergeCell ref="G2694:G2698"/>
    <mergeCell ref="G2699:G2706"/>
    <mergeCell ref="G2708:G2713"/>
    <mergeCell ref="G2715:G2716"/>
    <mergeCell ref="G2719:G2720"/>
    <mergeCell ref="G2723:G2725"/>
    <mergeCell ref="G2727:G2730"/>
    <mergeCell ref="G2731:G2736"/>
    <mergeCell ref="G2737:G2740"/>
    <mergeCell ref="G2671:G2673"/>
    <mergeCell ref="G2675:G2676"/>
    <mergeCell ref="G2677:G2678"/>
    <mergeCell ref="G2679:G2680"/>
    <mergeCell ref="G2681:G2682"/>
    <mergeCell ref="G2683:G2684"/>
    <mergeCell ref="G2685:G2686"/>
    <mergeCell ref="G2687:G2689"/>
    <mergeCell ref="G2691:G2693"/>
    <mergeCell ref="G2625:G2627"/>
    <mergeCell ref="G2634:G2636"/>
    <mergeCell ref="G2637:G2638"/>
    <mergeCell ref="G2639:G2646"/>
    <mergeCell ref="G2651:G2652"/>
    <mergeCell ref="G2659:G2660"/>
    <mergeCell ref="G2661:G2662"/>
    <mergeCell ref="G2663:G2667"/>
    <mergeCell ref="G2669:G2670"/>
    <mergeCell ref="G2594:G2595"/>
    <mergeCell ref="G2597:G2598"/>
    <mergeCell ref="G2600:G2603"/>
    <mergeCell ref="G2606:G2608"/>
    <mergeCell ref="G2609:G2610"/>
    <mergeCell ref="G2614:G2615"/>
    <mergeCell ref="G2616:G2618"/>
    <mergeCell ref="G2619:G2620"/>
    <mergeCell ref="G2621:G2624"/>
    <mergeCell ref="G2556:G2557"/>
    <mergeCell ref="G2558:G2560"/>
    <mergeCell ref="G2570:G2571"/>
    <mergeCell ref="G2573:G2574"/>
    <mergeCell ref="G2575:G2576"/>
    <mergeCell ref="G2577:G2578"/>
    <mergeCell ref="G2579:G2580"/>
    <mergeCell ref="G2582:G2583"/>
    <mergeCell ref="G2589:G2593"/>
    <mergeCell ref="G2533:G2534"/>
    <mergeCell ref="G2536:G2538"/>
    <mergeCell ref="G2539:G2542"/>
    <mergeCell ref="G2543:G2544"/>
    <mergeCell ref="G2545:G2546"/>
    <mergeCell ref="G2547:G2548"/>
    <mergeCell ref="G2550:G2551"/>
    <mergeCell ref="G2552:G2553"/>
    <mergeCell ref="G2554:G2555"/>
    <mergeCell ref="G2496:G2497"/>
    <mergeCell ref="G2498:G2500"/>
    <mergeCell ref="G2501:G2503"/>
    <mergeCell ref="G2506:G2508"/>
    <mergeCell ref="G2509:G2510"/>
    <mergeCell ref="G2511:G2512"/>
    <mergeCell ref="G2513:G2514"/>
    <mergeCell ref="G2516:G2521"/>
    <mergeCell ref="G2525:G2526"/>
    <mergeCell ref="G2472:G2473"/>
    <mergeCell ref="G2474:G2475"/>
    <mergeCell ref="G2476:G2478"/>
    <mergeCell ref="G2479:G2480"/>
    <mergeCell ref="G2481:G2485"/>
    <mergeCell ref="G2486:G2488"/>
    <mergeCell ref="G2489:G2490"/>
    <mergeCell ref="G2491:G2492"/>
    <mergeCell ref="G2494:G2495"/>
    <mergeCell ref="J2409:J2410"/>
    <mergeCell ref="J2436:J2437"/>
    <mergeCell ref="J2439:J2440"/>
    <mergeCell ref="J2443:J2444"/>
    <mergeCell ref="J2455:J2456"/>
    <mergeCell ref="J2457:J2458"/>
    <mergeCell ref="J2256:J2257"/>
    <mergeCell ref="J2304:J2306"/>
    <mergeCell ref="J2323:J2325"/>
    <mergeCell ref="J2341:J2342"/>
    <mergeCell ref="J2368:J2369"/>
    <mergeCell ref="J2396:J2398"/>
    <mergeCell ref="J2035:J2036"/>
    <mergeCell ref="J2086:J2089"/>
    <mergeCell ref="J2151:J2153"/>
    <mergeCell ref="J2203:J2204"/>
    <mergeCell ref="J2244:J2245"/>
    <mergeCell ref="J2249:J2250"/>
    <mergeCell ref="J1913:J1914"/>
    <mergeCell ref="J1986:J1987"/>
    <mergeCell ref="J1995:J1996"/>
    <mergeCell ref="J2002:J2003"/>
    <mergeCell ref="J2007:J2009"/>
    <mergeCell ref="J2026:J2027"/>
    <mergeCell ref="J2013:J2014"/>
    <mergeCell ref="J1548:J1549"/>
    <mergeCell ref="J1650:J1651"/>
    <mergeCell ref="J1772:J1774"/>
    <mergeCell ref="J1792:J1793"/>
    <mergeCell ref="J1847:J1848"/>
    <mergeCell ref="J1853:J1854"/>
    <mergeCell ref="J1292:J1293"/>
    <mergeCell ref="J1315:J1316"/>
    <mergeCell ref="J1358:J1359"/>
    <mergeCell ref="J1386:J1387"/>
    <mergeCell ref="J1498:J1499"/>
    <mergeCell ref="J1543:J1544"/>
    <mergeCell ref="J1683:J1684"/>
    <mergeCell ref="J1052:J1060"/>
    <mergeCell ref="J1065:J1067"/>
    <mergeCell ref="J1089:J1091"/>
    <mergeCell ref="J1153:J1154"/>
    <mergeCell ref="J1210:J1213"/>
    <mergeCell ref="J886:J888"/>
    <mergeCell ref="J896:J899"/>
    <mergeCell ref="J946:J948"/>
    <mergeCell ref="J953:J954"/>
    <mergeCell ref="J1048:J1051"/>
    <mergeCell ref="J932:J933"/>
    <mergeCell ref="J1080:J1081"/>
    <mergeCell ref="J763:J764"/>
    <mergeCell ref="J812:J814"/>
    <mergeCell ref="J863:J867"/>
    <mergeCell ref="J595:J596"/>
    <mergeCell ref="J610:J611"/>
    <mergeCell ref="J619:J620"/>
    <mergeCell ref="J635:J636"/>
    <mergeCell ref="J673:J674"/>
    <mergeCell ref="J696:J697"/>
    <mergeCell ref="J705:J706"/>
    <mergeCell ref="J717:J718"/>
    <mergeCell ref="J724:J725"/>
    <mergeCell ref="J749:J750"/>
    <mergeCell ref="J434:J435"/>
    <mergeCell ref="J468:J469"/>
    <mergeCell ref="J509:J511"/>
    <mergeCell ref="J522:J523"/>
    <mergeCell ref="J565:J567"/>
    <mergeCell ref="J571:J572"/>
    <mergeCell ref="J330:J333"/>
    <mergeCell ref="J363:J364"/>
    <mergeCell ref="J379:J380"/>
    <mergeCell ref="J410:J412"/>
    <mergeCell ref="J413:J414"/>
    <mergeCell ref="J420:J421"/>
    <mergeCell ref="J156:J157"/>
    <mergeCell ref="J159:J160"/>
    <mergeCell ref="J161:J162"/>
    <mergeCell ref="J175:J176"/>
    <mergeCell ref="J197:J198"/>
    <mergeCell ref="J261:J262"/>
    <mergeCell ref="J90:J91"/>
    <mergeCell ref="J97:J98"/>
    <mergeCell ref="J103:J104"/>
    <mergeCell ref="J120:J122"/>
    <mergeCell ref="J154:J155"/>
    <mergeCell ref="J148:J149"/>
    <mergeCell ref="J51:J52"/>
    <mergeCell ref="J57:J60"/>
    <mergeCell ref="J68:J69"/>
    <mergeCell ref="J70:J71"/>
    <mergeCell ref="J72:J73"/>
    <mergeCell ref="J74:J75"/>
    <mergeCell ref="G2461:G2463"/>
    <mergeCell ref="G2464:G2467"/>
    <mergeCell ref="G2468:G2470"/>
    <mergeCell ref="H749:H750"/>
    <mergeCell ref="H756:H757"/>
    <mergeCell ref="H804:H805"/>
    <mergeCell ref="H1052:H1053"/>
    <mergeCell ref="H1081:H1082"/>
    <mergeCell ref="H1101:H1102"/>
    <mergeCell ref="H1414:H1415"/>
    <mergeCell ref="G2439:G2441"/>
    <mergeCell ref="G2442:G2444"/>
    <mergeCell ref="G2446:G2449"/>
    <mergeCell ref="G2450:G2454"/>
    <mergeCell ref="G2455:G2456"/>
    <mergeCell ref="G2457:G2458"/>
    <mergeCell ref="G2396:G2400"/>
    <mergeCell ref="G2409:G2410"/>
    <mergeCell ref="G2413:G2414"/>
    <mergeCell ref="G2421:G2424"/>
    <mergeCell ref="G2433:G2435"/>
    <mergeCell ref="G2437:G2438"/>
    <mergeCell ref="G2368:G2370"/>
    <mergeCell ref="G2372:G2373"/>
    <mergeCell ref="G2374:G2377"/>
    <mergeCell ref="G2385:G2386"/>
    <mergeCell ref="G2388:G2389"/>
    <mergeCell ref="G2394:G2395"/>
    <mergeCell ref="G2352:G2354"/>
    <mergeCell ref="G2355:G2356"/>
    <mergeCell ref="G2358:G2359"/>
    <mergeCell ref="G2360:G2361"/>
    <mergeCell ref="G2363:G2365"/>
    <mergeCell ref="G2366:G2367"/>
    <mergeCell ref="G2335:G2336"/>
    <mergeCell ref="G2339:G2340"/>
    <mergeCell ref="G2341:G2343"/>
    <mergeCell ref="G2345:G2346"/>
    <mergeCell ref="G2347:G2349"/>
    <mergeCell ref="G2350:G2351"/>
    <mergeCell ref="G2304:G2307"/>
    <mergeCell ref="G2317:G2322"/>
    <mergeCell ref="G2323:G2324"/>
    <mergeCell ref="G2326:G2328"/>
    <mergeCell ref="G2329:G2331"/>
    <mergeCell ref="G2332:G2333"/>
    <mergeCell ref="G2288:G2289"/>
    <mergeCell ref="G2291:G2292"/>
    <mergeCell ref="G2293:G2294"/>
    <mergeCell ref="G2296:G2297"/>
    <mergeCell ref="G2298:G2299"/>
    <mergeCell ref="G2300:G2301"/>
    <mergeCell ref="G2269:G2270"/>
    <mergeCell ref="G2272:G2273"/>
    <mergeCell ref="G2276:G2277"/>
    <mergeCell ref="G2280:G2281"/>
    <mergeCell ref="G2282:G2285"/>
    <mergeCell ref="G2286:G2287"/>
    <mergeCell ref="G2244:G2248"/>
    <mergeCell ref="G2249:G2252"/>
    <mergeCell ref="G2254:G2255"/>
    <mergeCell ref="G2256:G2257"/>
    <mergeCell ref="G2261:G2264"/>
    <mergeCell ref="G2267:G2268"/>
    <mergeCell ref="G2219:G2220"/>
    <mergeCell ref="G2221:G2228"/>
    <mergeCell ref="G2229:G2231"/>
    <mergeCell ref="G2233:G2237"/>
    <mergeCell ref="G2238:G2239"/>
    <mergeCell ref="G2242:G2243"/>
    <mergeCell ref="G2201:G2202"/>
    <mergeCell ref="G2203:G2204"/>
    <mergeCell ref="G2206:G2207"/>
    <mergeCell ref="G2209:G2210"/>
    <mergeCell ref="G2211:G2215"/>
    <mergeCell ref="G2216:G2218"/>
    <mergeCell ref="G2181:G2182"/>
    <mergeCell ref="G2183:G2185"/>
    <mergeCell ref="G2186:G2188"/>
    <mergeCell ref="G2189:G2190"/>
    <mergeCell ref="G2191:G2192"/>
    <mergeCell ref="G2196:G2197"/>
    <mergeCell ref="G2168:G2169"/>
    <mergeCell ref="G2170:G2171"/>
    <mergeCell ref="G2172:G2174"/>
    <mergeCell ref="G2175:G2176"/>
    <mergeCell ref="G2177:G2178"/>
    <mergeCell ref="G2179:G2180"/>
    <mergeCell ref="G2153:G2154"/>
    <mergeCell ref="G2157:G2158"/>
    <mergeCell ref="G2159:G2160"/>
    <mergeCell ref="G2161:G2162"/>
    <mergeCell ref="G2163:G2165"/>
    <mergeCell ref="G2166:G2167"/>
    <mergeCell ref="G2123:G2129"/>
    <mergeCell ref="G2130:G2136"/>
    <mergeCell ref="G2137:G2141"/>
    <mergeCell ref="G2142:G2143"/>
    <mergeCell ref="G2144:G2147"/>
    <mergeCell ref="G2148:G2150"/>
    <mergeCell ref="G2092:G2093"/>
    <mergeCell ref="G2097:G2098"/>
    <mergeCell ref="G2099:G2101"/>
    <mergeCell ref="G2102:G2104"/>
    <mergeCell ref="G2105:G2107"/>
    <mergeCell ref="G2115:G2122"/>
    <mergeCell ref="G2075:G2076"/>
    <mergeCell ref="G2077:G2078"/>
    <mergeCell ref="G2079:G2081"/>
    <mergeCell ref="G2082:G2084"/>
    <mergeCell ref="G2086:G2089"/>
    <mergeCell ref="G2090:G2091"/>
    <mergeCell ref="G2053:G2054"/>
    <mergeCell ref="G2055:G2056"/>
    <mergeCell ref="G2057:G2059"/>
    <mergeCell ref="G2060:G2061"/>
    <mergeCell ref="G2064:G2065"/>
    <mergeCell ref="G2073:G2074"/>
    <mergeCell ref="G2035:G2036"/>
    <mergeCell ref="G2037:G2038"/>
    <mergeCell ref="G2041:G2042"/>
    <mergeCell ref="G2043:G2044"/>
    <mergeCell ref="G2045:G2046"/>
    <mergeCell ref="G2051:G2052"/>
    <mergeCell ref="G2007:G2012"/>
    <mergeCell ref="G2013:G2015"/>
    <mergeCell ref="G2016:G2020"/>
    <mergeCell ref="G2022:G2024"/>
    <mergeCell ref="G2026:G2030"/>
    <mergeCell ref="G2031:G2034"/>
    <mergeCell ref="G1963:G1964"/>
    <mergeCell ref="G1965:G1969"/>
    <mergeCell ref="G1972:G1975"/>
    <mergeCell ref="G1984:G1985"/>
    <mergeCell ref="G1986:G1991"/>
    <mergeCell ref="G1992:G1994"/>
    <mergeCell ref="G2004:G2005"/>
    <mergeCell ref="G1995:G1996"/>
    <mergeCell ref="G1997:G1998"/>
    <mergeCell ref="G2002:G2003"/>
    <mergeCell ref="G1970:G1971"/>
    <mergeCell ref="G1696:G1699"/>
    <mergeCell ref="G1680:G1682"/>
    <mergeCell ref="G1683:G1684"/>
    <mergeCell ref="G1803:G1804"/>
    <mergeCell ref="G1807:G1808"/>
    <mergeCell ref="G1811:G1812"/>
    <mergeCell ref="G1813:G1815"/>
    <mergeCell ref="G1816:G1818"/>
    <mergeCell ref="G1822:G1823"/>
    <mergeCell ref="G1788:G1789"/>
    <mergeCell ref="G1790:G1791"/>
    <mergeCell ref="G1792:G1793"/>
    <mergeCell ref="G1794:G1795"/>
    <mergeCell ref="G1796:G1797"/>
    <mergeCell ref="G1799:G1800"/>
    <mergeCell ref="G1768:G1769"/>
    <mergeCell ref="G1742:G1744"/>
    <mergeCell ref="G1747:G1748"/>
    <mergeCell ref="G1739:G1740"/>
    <mergeCell ref="G1730:G1732"/>
    <mergeCell ref="G1734:G1736"/>
    <mergeCell ref="G1719:G1721"/>
    <mergeCell ref="G1722:G1724"/>
    <mergeCell ref="G1701:G1702"/>
    <mergeCell ref="G1664:G1665"/>
    <mergeCell ref="G1666:G1667"/>
    <mergeCell ref="G1668:G1669"/>
    <mergeCell ref="G1670:G1672"/>
    <mergeCell ref="G1673:G1674"/>
    <mergeCell ref="G1675:G1679"/>
    <mergeCell ref="G1690:G1691"/>
    <mergeCell ref="G1688:G1689"/>
    <mergeCell ref="G1694:G1695"/>
    <mergeCell ref="G1398:G1399"/>
    <mergeCell ref="G1400:G1401"/>
    <mergeCell ref="G1404:G1406"/>
    <mergeCell ref="G1407:G1408"/>
    <mergeCell ref="G1410:G1413"/>
    <mergeCell ref="G1414:G1415"/>
    <mergeCell ref="G1402:G1403"/>
    <mergeCell ref="G1416:G1418"/>
    <mergeCell ref="G1419:G1420"/>
    <mergeCell ref="G1321:G1322"/>
    <mergeCell ref="G1329:G1330"/>
    <mergeCell ref="G1331:G1332"/>
    <mergeCell ref="G1333:G1334"/>
    <mergeCell ref="G1337:G1338"/>
    <mergeCell ref="G1339:G1340"/>
    <mergeCell ref="G1351:G1355"/>
    <mergeCell ref="G1356:G1357"/>
    <mergeCell ref="G1335:G1336"/>
    <mergeCell ref="G1344:G1345"/>
    <mergeCell ref="G1346:G1347"/>
    <mergeCell ref="G1096:G1097"/>
    <mergeCell ref="G1098:G1100"/>
    <mergeCell ref="G1101:G1103"/>
    <mergeCell ref="G1105:G1111"/>
    <mergeCell ref="G1113:G1120"/>
    <mergeCell ref="G1121:G1125"/>
    <mergeCell ref="G1176:G1178"/>
    <mergeCell ref="G1188:G1190"/>
    <mergeCell ref="G1153:G1157"/>
    <mergeCell ref="G1139:G1147"/>
    <mergeCell ref="G1148:G1149"/>
    <mergeCell ref="G1129:G1137"/>
    <mergeCell ref="G988:G989"/>
    <mergeCell ref="G990:G991"/>
    <mergeCell ref="G993:G996"/>
    <mergeCell ref="G998:G1001"/>
    <mergeCell ref="G1002:G1003"/>
    <mergeCell ref="G1004:G1006"/>
    <mergeCell ref="G916:G917"/>
    <mergeCell ref="G928:G929"/>
    <mergeCell ref="G930:G931"/>
    <mergeCell ref="G932:G933"/>
    <mergeCell ref="G937:G939"/>
    <mergeCell ref="G940:G944"/>
    <mergeCell ref="G970:G973"/>
    <mergeCell ref="G974:G978"/>
    <mergeCell ref="G980:G981"/>
    <mergeCell ref="G983:G984"/>
    <mergeCell ref="G953:G956"/>
    <mergeCell ref="G946:G948"/>
    <mergeCell ref="G950:G951"/>
    <mergeCell ref="G926:G927"/>
    <mergeCell ref="G859:G861"/>
    <mergeCell ref="G863:G867"/>
    <mergeCell ref="G820:G822"/>
    <mergeCell ref="G824:G825"/>
    <mergeCell ref="G826:G827"/>
    <mergeCell ref="G828:G829"/>
    <mergeCell ref="G830:G831"/>
    <mergeCell ref="G832:G833"/>
    <mergeCell ref="G834:G835"/>
    <mergeCell ref="G836:G837"/>
    <mergeCell ref="G838:G842"/>
    <mergeCell ref="G843:G846"/>
    <mergeCell ref="G776:G777"/>
    <mergeCell ref="G758:G760"/>
    <mergeCell ref="G761:G762"/>
    <mergeCell ref="G763:G771"/>
    <mergeCell ref="G749:G751"/>
    <mergeCell ref="G705:G706"/>
    <mergeCell ref="G711:G713"/>
    <mergeCell ref="G714:G715"/>
    <mergeCell ref="G857:G858"/>
    <mergeCell ref="G847:G848"/>
    <mergeCell ref="G849:G850"/>
    <mergeCell ref="G853:G856"/>
    <mergeCell ref="G804:G809"/>
    <mergeCell ref="G812:G816"/>
    <mergeCell ref="G818:G819"/>
    <mergeCell ref="G789:G793"/>
    <mergeCell ref="G794:G802"/>
    <mergeCell ref="G784:G785"/>
    <mergeCell ref="G786:G787"/>
    <mergeCell ref="G743:G744"/>
    <mergeCell ref="G745:G748"/>
    <mergeCell ref="G448:G451"/>
    <mergeCell ref="G452:G455"/>
    <mergeCell ref="G456:G458"/>
    <mergeCell ref="G440:G441"/>
    <mergeCell ref="G442:G444"/>
    <mergeCell ref="G445:G446"/>
    <mergeCell ref="G655:G656"/>
    <mergeCell ref="G662:G666"/>
    <mergeCell ref="G667:G668"/>
    <mergeCell ref="G540:G543"/>
    <mergeCell ref="G461:G462"/>
    <mergeCell ref="G463:G464"/>
    <mergeCell ref="G466:G467"/>
    <mergeCell ref="G468:G469"/>
    <mergeCell ref="G470:G473"/>
    <mergeCell ref="G474:G475"/>
    <mergeCell ref="G477:G481"/>
    <mergeCell ref="G486:G487"/>
    <mergeCell ref="G492:G494"/>
    <mergeCell ref="G646:G647"/>
    <mergeCell ref="G648:G649"/>
    <mergeCell ref="G650:G651"/>
    <mergeCell ref="G652:G653"/>
    <mergeCell ref="G311:G313"/>
    <mergeCell ref="G315:G316"/>
    <mergeCell ref="G317:G319"/>
    <mergeCell ref="G282:G284"/>
    <mergeCell ref="G393:G394"/>
    <mergeCell ref="G395:G396"/>
    <mergeCell ref="G397:G401"/>
    <mergeCell ref="G402:G404"/>
    <mergeCell ref="G384:G385"/>
    <mergeCell ref="G388:G389"/>
    <mergeCell ref="G390:G391"/>
    <mergeCell ref="G374:G376"/>
    <mergeCell ref="G379:G380"/>
    <mergeCell ref="G363:G365"/>
    <mergeCell ref="G366:G368"/>
    <mergeCell ref="G351:G353"/>
    <mergeCell ref="G355:G357"/>
    <mergeCell ref="G146:G147"/>
    <mergeCell ref="G148:G149"/>
    <mergeCell ref="G144:G145"/>
    <mergeCell ref="G229:G232"/>
    <mergeCell ref="G233:G235"/>
    <mergeCell ref="G247:G249"/>
    <mergeCell ref="G250:G251"/>
    <mergeCell ref="G252:G253"/>
    <mergeCell ref="G261:G262"/>
    <mergeCell ref="G215:G216"/>
    <mergeCell ref="G217:G218"/>
    <mergeCell ref="G219:G221"/>
    <mergeCell ref="G222:G223"/>
    <mergeCell ref="G225:G226"/>
    <mergeCell ref="G227:G228"/>
    <mergeCell ref="G186:G187"/>
    <mergeCell ref="G184:G185"/>
    <mergeCell ref="G170:G174"/>
    <mergeCell ref="G175:G176"/>
    <mergeCell ref="G177:G179"/>
    <mergeCell ref="G159:G160"/>
    <mergeCell ref="G154:G155"/>
    <mergeCell ref="G156:G158"/>
    <mergeCell ref="G161:G163"/>
    <mergeCell ref="G180:G181"/>
    <mergeCell ref="G182:G183"/>
    <mergeCell ref="G190:G191"/>
    <mergeCell ref="G193:G194"/>
    <mergeCell ref="G195:G196"/>
    <mergeCell ref="G197:G198"/>
    <mergeCell ref="G1936:G1938"/>
    <mergeCell ref="G1939:G1942"/>
    <mergeCell ref="G320:G321"/>
    <mergeCell ref="G327:G329"/>
    <mergeCell ref="G330:G335"/>
    <mergeCell ref="G342:G343"/>
    <mergeCell ref="G344:G345"/>
    <mergeCell ref="G348:G350"/>
    <mergeCell ref="G271:G273"/>
    <mergeCell ref="G285:G286"/>
    <mergeCell ref="G287:G289"/>
    <mergeCell ref="G292:G295"/>
    <mergeCell ref="G296:G303"/>
    <mergeCell ref="G304:G307"/>
    <mergeCell ref="G346:G347"/>
    <mergeCell ref="G322:G323"/>
    <mergeCell ref="G324:G325"/>
    <mergeCell ref="G309:G310"/>
    <mergeCell ref="G1948:G1949"/>
    <mergeCell ref="G1952:G1953"/>
    <mergeCell ref="G1955:G1956"/>
    <mergeCell ref="G1958:G1959"/>
    <mergeCell ref="G1960:G1962"/>
    <mergeCell ref="G1927:G1928"/>
    <mergeCell ref="G1925:G1926"/>
    <mergeCell ref="G1883:G1884"/>
    <mergeCell ref="G1901:G1903"/>
    <mergeCell ref="G1915:G1917"/>
    <mergeCell ref="G1918:G1919"/>
    <mergeCell ref="G1920:G1921"/>
    <mergeCell ref="G1929:G1934"/>
    <mergeCell ref="G1869:G1870"/>
    <mergeCell ref="G1863:G1864"/>
    <mergeCell ref="G1850:G1852"/>
    <mergeCell ref="G1853:G1855"/>
    <mergeCell ref="G1858:G1860"/>
    <mergeCell ref="G1861:G1862"/>
    <mergeCell ref="G1908:G1909"/>
    <mergeCell ref="G1910:G1912"/>
    <mergeCell ref="G1913:G1914"/>
    <mergeCell ref="G1867:G1868"/>
    <mergeCell ref="G1871:G1873"/>
    <mergeCell ref="G1879:G1882"/>
    <mergeCell ref="G1885:G1886"/>
    <mergeCell ref="G1888:G1889"/>
    <mergeCell ref="G1896:G1900"/>
    <mergeCell ref="G1833:G1834"/>
    <mergeCell ref="G1838:G1840"/>
    <mergeCell ref="G1843:G1844"/>
    <mergeCell ref="G1825:G1830"/>
    <mergeCell ref="G1801:G1802"/>
    <mergeCell ref="G1781:G1782"/>
    <mergeCell ref="G1783:G1784"/>
    <mergeCell ref="G1786:G1787"/>
    <mergeCell ref="G1770:G1771"/>
    <mergeCell ref="G1773:G1774"/>
    <mergeCell ref="G1775:G1777"/>
    <mergeCell ref="G1703:G1704"/>
    <mergeCell ref="G1705:G1708"/>
    <mergeCell ref="G1710:G1718"/>
    <mergeCell ref="G1750:G1751"/>
    <mergeCell ref="G1752:G1753"/>
    <mergeCell ref="G1754:G1757"/>
    <mergeCell ref="G1758:G1760"/>
    <mergeCell ref="G1762:G1763"/>
    <mergeCell ref="G1765:G1767"/>
    <mergeCell ref="G1655:G1657"/>
    <mergeCell ref="G1658:G1660"/>
    <mergeCell ref="G1615:G1616"/>
    <mergeCell ref="G1617:G1618"/>
    <mergeCell ref="G1619:G1622"/>
    <mergeCell ref="G1623:G1624"/>
    <mergeCell ref="G1596:G1597"/>
    <mergeCell ref="G1577:G1578"/>
    <mergeCell ref="G1584:G1585"/>
    <mergeCell ref="G1586:G1588"/>
    <mergeCell ref="G1589:G1590"/>
    <mergeCell ref="G1591:G1593"/>
    <mergeCell ref="G1628:G1631"/>
    <mergeCell ref="G1632:G1633"/>
    <mergeCell ref="G1634:G1636"/>
    <mergeCell ref="G1640:G1642"/>
    <mergeCell ref="G1643:G1648"/>
    <mergeCell ref="G1650:G1654"/>
    <mergeCell ref="G1594:G1595"/>
    <mergeCell ref="G1598:G1599"/>
    <mergeCell ref="G1602:G1603"/>
    <mergeCell ref="G1604:G1606"/>
    <mergeCell ref="G1607:G1611"/>
    <mergeCell ref="G1612:G1614"/>
    <mergeCell ref="G1573:G1574"/>
    <mergeCell ref="G1575:G1576"/>
    <mergeCell ref="G1538:G1539"/>
    <mergeCell ref="G1541:G1542"/>
    <mergeCell ref="G1543:G1547"/>
    <mergeCell ref="G1524:G1525"/>
    <mergeCell ref="G1528:G1531"/>
    <mergeCell ref="G1533:G1534"/>
    <mergeCell ref="G1489:G1490"/>
    <mergeCell ref="G1496:G1497"/>
    <mergeCell ref="G1498:G1500"/>
    <mergeCell ref="G1548:G1550"/>
    <mergeCell ref="G1551:G1552"/>
    <mergeCell ref="G1553:G1554"/>
    <mergeCell ref="G1555:G1556"/>
    <mergeCell ref="G1559:G1560"/>
    <mergeCell ref="G1561:G1562"/>
    <mergeCell ref="G1501:G1502"/>
    <mergeCell ref="G1504:G1505"/>
    <mergeCell ref="G1510:G1511"/>
    <mergeCell ref="G1512:G1513"/>
    <mergeCell ref="G1521:G1522"/>
    <mergeCell ref="G1526:G1527"/>
    <mergeCell ref="G1486:G1488"/>
    <mergeCell ref="H1479:H1484"/>
    <mergeCell ref="G1466:G1467"/>
    <mergeCell ref="G1437:G1439"/>
    <mergeCell ref="G1442:G1444"/>
    <mergeCell ref="G1447:G1448"/>
    <mergeCell ref="G1450:G1451"/>
    <mergeCell ref="G1424:G1425"/>
    <mergeCell ref="G1426:G1427"/>
    <mergeCell ref="G1430:G1431"/>
    <mergeCell ref="G1433:G1434"/>
    <mergeCell ref="G1452:G1454"/>
    <mergeCell ref="G1456:G1458"/>
    <mergeCell ref="G1461:G1463"/>
    <mergeCell ref="G1464:G1465"/>
    <mergeCell ref="G1475:G1476"/>
    <mergeCell ref="G1479:G1484"/>
    <mergeCell ref="G1391:G1392"/>
    <mergeCell ref="G1393:G1395"/>
    <mergeCell ref="G1396:G1397"/>
    <mergeCell ref="G1386:G1387"/>
    <mergeCell ref="G1373:G1374"/>
    <mergeCell ref="G1375:G1376"/>
    <mergeCell ref="G1358:G1359"/>
    <mergeCell ref="G1362:G1363"/>
    <mergeCell ref="G1364:G1365"/>
    <mergeCell ref="G1368:G1369"/>
    <mergeCell ref="G1370:G1371"/>
    <mergeCell ref="G1377:G1379"/>
    <mergeCell ref="G1380:G1381"/>
    <mergeCell ref="G1382:G1383"/>
    <mergeCell ref="G1384:G1385"/>
    <mergeCell ref="G1389:G1390"/>
    <mergeCell ref="G1307:G1308"/>
    <mergeCell ref="G1315:G1316"/>
    <mergeCell ref="G1317:G1318"/>
    <mergeCell ref="G1319:G1320"/>
    <mergeCell ref="G1289:G1290"/>
    <mergeCell ref="G1292:G1293"/>
    <mergeCell ref="G1297:G1299"/>
    <mergeCell ref="G1300:G1301"/>
    <mergeCell ref="G1270:G1271"/>
    <mergeCell ref="G1279:G1280"/>
    <mergeCell ref="G1285:G1286"/>
    <mergeCell ref="G1287:G1288"/>
    <mergeCell ref="G1265:G1266"/>
    <mergeCell ref="G1233:G1237"/>
    <mergeCell ref="G1217:G1218"/>
    <mergeCell ref="G1220:G1221"/>
    <mergeCell ref="G1229:G1230"/>
    <mergeCell ref="G1204:G1206"/>
    <mergeCell ref="G1212:G1215"/>
    <mergeCell ref="G1197:G1198"/>
    <mergeCell ref="G1200:G1202"/>
    <mergeCell ref="G1244:G1245"/>
    <mergeCell ref="G1246:G1247"/>
    <mergeCell ref="G1248:G1249"/>
    <mergeCell ref="G1251:G1252"/>
    <mergeCell ref="G1255:G1256"/>
    <mergeCell ref="G1260:G1262"/>
    <mergeCell ref="G1083:G1087"/>
    <mergeCell ref="G1089:G1094"/>
    <mergeCell ref="G1045:G1046"/>
    <mergeCell ref="G1048:G1051"/>
    <mergeCell ref="G1052:G1056"/>
    <mergeCell ref="G1007:G1008"/>
    <mergeCell ref="G1011:G1013"/>
    <mergeCell ref="G1014:G1015"/>
    <mergeCell ref="G1016:G1018"/>
    <mergeCell ref="G1058:G1060"/>
    <mergeCell ref="G1061:G1062"/>
    <mergeCell ref="G1065:G1066"/>
    <mergeCell ref="G1068:G1075"/>
    <mergeCell ref="G1076:G1079"/>
    <mergeCell ref="G1080:G1081"/>
    <mergeCell ref="G1019:G1025"/>
    <mergeCell ref="G1026:G1028"/>
    <mergeCell ref="G1029:G1036"/>
    <mergeCell ref="G1037:G1038"/>
    <mergeCell ref="G1039:G1040"/>
    <mergeCell ref="G1042:G1043"/>
    <mergeCell ref="G906:G908"/>
    <mergeCell ref="G911:G912"/>
    <mergeCell ref="G914:G915"/>
    <mergeCell ref="G889:G892"/>
    <mergeCell ref="G893:G895"/>
    <mergeCell ref="G896:G904"/>
    <mergeCell ref="G868:G869"/>
    <mergeCell ref="G870:G873"/>
    <mergeCell ref="G879:G882"/>
    <mergeCell ref="G886:G888"/>
    <mergeCell ref="G883:G885"/>
    <mergeCell ref="G693:G694"/>
    <mergeCell ref="G682:G686"/>
    <mergeCell ref="G687:G692"/>
    <mergeCell ref="G696:G698"/>
    <mergeCell ref="G699:G700"/>
    <mergeCell ref="G717:G722"/>
    <mergeCell ref="G724:G725"/>
    <mergeCell ref="G726:G728"/>
    <mergeCell ref="G735:G742"/>
    <mergeCell ref="G670:G671"/>
    <mergeCell ref="G673:G676"/>
    <mergeCell ref="G680:G681"/>
    <mergeCell ref="G643:G644"/>
    <mergeCell ref="G592:G594"/>
    <mergeCell ref="G595:G600"/>
    <mergeCell ref="G601:G604"/>
    <mergeCell ref="G582:G583"/>
    <mergeCell ref="G586:G587"/>
    <mergeCell ref="G606:G607"/>
    <mergeCell ref="G608:G609"/>
    <mergeCell ref="G610:G611"/>
    <mergeCell ref="G612:G614"/>
    <mergeCell ref="G616:G618"/>
    <mergeCell ref="G619:G620"/>
    <mergeCell ref="J582:J583"/>
    <mergeCell ref="G544:G545"/>
    <mergeCell ref="G522:G523"/>
    <mergeCell ref="G524:G525"/>
    <mergeCell ref="G527:G530"/>
    <mergeCell ref="G531:G532"/>
    <mergeCell ref="G509:G514"/>
    <mergeCell ref="G520:G521"/>
    <mergeCell ref="G496:G499"/>
    <mergeCell ref="G501:G503"/>
    <mergeCell ref="G504:G505"/>
    <mergeCell ref="G506:G507"/>
    <mergeCell ref="G547:G549"/>
    <mergeCell ref="G550:G552"/>
    <mergeCell ref="G554:G558"/>
    <mergeCell ref="G559:G560"/>
    <mergeCell ref="G563:G564"/>
    <mergeCell ref="G565:G566"/>
    <mergeCell ref="G568:G570"/>
    <mergeCell ref="G571:G573"/>
    <mergeCell ref="G575:G577"/>
    <mergeCell ref="G578:G579"/>
    <mergeCell ref="G533:G534"/>
    <mergeCell ref="G537:G538"/>
    <mergeCell ref="G415:G416"/>
    <mergeCell ref="G420:G421"/>
    <mergeCell ref="G406:G407"/>
    <mergeCell ref="G422:G423"/>
    <mergeCell ref="G425:G427"/>
    <mergeCell ref="G428:G429"/>
    <mergeCell ref="G431:G433"/>
    <mergeCell ref="G434:G435"/>
    <mergeCell ref="G436:G437"/>
    <mergeCell ref="G410:G412"/>
    <mergeCell ref="G413:G414"/>
    <mergeCell ref="J282:J284"/>
    <mergeCell ref="G254:G255"/>
    <mergeCell ref="G263:G265"/>
    <mergeCell ref="G266:G269"/>
    <mergeCell ref="G205:G206"/>
    <mergeCell ref="G207:G210"/>
    <mergeCell ref="G212:G213"/>
    <mergeCell ref="G199:G201"/>
    <mergeCell ref="G202:G203"/>
    <mergeCell ref="G134:G135"/>
    <mergeCell ref="G139:G140"/>
    <mergeCell ref="G141:G143"/>
    <mergeCell ref="J127:J128"/>
    <mergeCell ref="G120:G122"/>
    <mergeCell ref="G123:G126"/>
    <mergeCell ref="G127:G130"/>
    <mergeCell ref="G90:G91"/>
    <mergeCell ref="G92:G93"/>
    <mergeCell ref="G97:G98"/>
    <mergeCell ref="G100:G101"/>
    <mergeCell ref="G103:G104"/>
    <mergeCell ref="G105:G106"/>
    <mergeCell ref="G108:G109"/>
    <mergeCell ref="G113:G116"/>
    <mergeCell ref="G117:G119"/>
    <mergeCell ref="G78:G79"/>
    <mergeCell ref="G80:G81"/>
    <mergeCell ref="G82:G86"/>
    <mergeCell ref="G68:G69"/>
    <mergeCell ref="G70:G71"/>
    <mergeCell ref="G76:G77"/>
    <mergeCell ref="G35:G38"/>
    <mergeCell ref="G41:G43"/>
    <mergeCell ref="G44:G45"/>
    <mergeCell ref="G49:G50"/>
    <mergeCell ref="G51:G52"/>
    <mergeCell ref="G57:G60"/>
    <mergeCell ref="G62:G65"/>
    <mergeCell ref="G72:G73"/>
    <mergeCell ref="G74:G75"/>
    <mergeCell ref="J22:J23"/>
    <mergeCell ref="J24:J25"/>
    <mergeCell ref="J26:J27"/>
    <mergeCell ref="J36:J40"/>
    <mergeCell ref="J15:J17"/>
    <mergeCell ref="A1:A5"/>
    <mergeCell ref="B1:B5"/>
    <mergeCell ref="C1:C5"/>
    <mergeCell ref="D1:G5"/>
    <mergeCell ref="J1:J6"/>
    <mergeCell ref="G8:G10"/>
    <mergeCell ref="G18:G19"/>
    <mergeCell ref="G20:G21"/>
    <mergeCell ref="G22:G23"/>
    <mergeCell ref="G24:G25"/>
    <mergeCell ref="G26:G29"/>
  </mergeCells>
  <hyperlinks>
    <hyperlink ref="G447" location="'Figure 6(3)'!A1" display="See Figure 6(3)" xr:uid="{EA322B9A-EE3F-4884-A43F-F2AF64D5C24A}"/>
    <hyperlink ref="G439" location="'Figure 6(3)'!A1" display="See Figure 6(3)" xr:uid="{1365B23E-217C-47CF-9A3A-2E7BEA680B58}"/>
    <hyperlink ref="G585" location="'Table 604.1'!A1" display="See Table 604.1" xr:uid="{992B4E98-30A7-415F-A25E-B23112EC7170}"/>
    <hyperlink ref="G992" location="'Table 701.4.3.2(2)'!A1" display="See Table 701.4.3.2(2)" xr:uid="{A135CCF0-45DD-4103-800A-E064D8C7D796}"/>
    <hyperlink ref="G1095" location="'Table 703.2.1(a)'!A1" display="See Table 703.2.1(a)" xr:uid="{B61A8438-30D4-480C-A029-7245CC365D72}"/>
    <hyperlink ref="G1348" location="'Table 703.7.1(7)'!A1" display="See Table 703.7.1(7)" xr:uid="{0B11E12C-5B90-427E-9B2C-68781BECB486}"/>
    <hyperlink ref="G1112" location="'Table 703.2.5.1'!A1" display="See Table 703.2.5.1" xr:uid="{FC221744-5E85-4D13-AB8B-2788FD8C8FB4}"/>
    <hyperlink ref="G1662" location="'Table 801.1(1)'!A1" display="See Table 801.1(1)" xr:uid="{B2E5A506-F74E-4C76-8F25-C4547FA7876C}"/>
    <hyperlink ref="G1663" location="'Table 801.1(2)'!A1" display="See Table 801.1(2)" xr:uid="{73CFB902-2853-465C-8167-24A672250A20}"/>
    <hyperlink ref="G2001" location="'Table 901.9.1'!A1" display="See Table 901.9.1" xr:uid="{59FE7055-6AFB-4A3F-A64E-F0E4ABF9AC55}"/>
    <hyperlink ref="G2006" location="'Table 901.9.2'!A1" display="See Table 901.9.2" xr:uid="{BB8A6722-9F40-4F8A-A859-5B55C156B3F5}"/>
    <hyperlink ref="G2025" location="'Table 901.10(3)'!A1" display="See Table 901.10(3)" xr:uid="{7C4757B7-FC65-4C43-BE0E-A91514EC13E9}"/>
    <hyperlink ref="G526" location="'Table 602.1.12'!A1" display="See Table 602.1.12" xr:uid="{B6B48D82-FA75-46D0-A9C6-3D6D181F668C}"/>
    <hyperlink ref="J1410" r:id="rId1" xr:uid="{93C03FBA-0A23-44F6-BA7B-32A38278C61D}"/>
    <hyperlink ref="G2718" location="'Table 604.1'!A1" display="See Table 604.1" xr:uid="{69F5EE34-0F82-457B-8CED-01868FE70C2E}"/>
    <hyperlink ref="G2949" location="'Table 901.9.1'!A1" display="See Table 901.9.1" xr:uid="{59EFE14E-F875-4945-B66C-20D050AC1922}"/>
    <hyperlink ref="G2954" location="'Table 901.9.2'!A1" display="See Table 901.9.2" xr:uid="{319A6787-688E-4D1F-86B3-A0BBCA1369AD}"/>
    <hyperlink ref="G2973" location="'Table 901.10(3)'!A1" display="See Table 901.10(3)" xr:uid="{982A8C0B-A81F-4F62-B28B-3828EE4D7489}"/>
    <hyperlink ref="G2744" r:id="rId2" location="C402.4" xr:uid="{C2567095-597C-465A-AF46-A0A8D94C9D5B}"/>
  </hyperlinks>
  <pageMargins left="0.7" right="0.7" top="0.75" bottom="0.75" header="0.3" footer="0.3"/>
  <pageSetup scale="51" fitToHeight="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4" id="{43CB123E-8C34-4BBB-A450-747CDABA1C9B}">
            <xm:f>'\Users\Matt\Documents\working\[working 20191201.xlsx]Ch9'!#REF!=TRUE</xm:f>
            <x14:dxf>
              <fill>
                <patternFill>
                  <bgColor rgb="FF92D050"/>
                </patternFill>
              </fill>
            </x14:dxf>
          </x14:cfRule>
          <xm:sqref>G2908 G2910 G2934 G2945:G2948 G2950 G2955 G2964 G2969:G2970 G2974</xm:sqref>
        </x14:conditionalFormatting>
        <x14:conditionalFormatting xmlns:xm="http://schemas.microsoft.com/office/excel/2006/main">
          <x14:cfRule type="expression" priority="3" id="{D5F562CA-7D3C-4360-BDC9-D832CE1A56E7}">
            <xm:f>'Overview (Design)'!$G$28&gt;2400</xm:f>
            <x14:dxf>
              <font>
                <color theme="1"/>
              </font>
              <fill>
                <patternFill>
                  <bgColor rgb="FFFF0000"/>
                </patternFill>
              </fill>
              <border>
                <left style="thin">
                  <color auto="1"/>
                </left>
                <right style="thin">
                  <color auto="1"/>
                </right>
                <top style="thin">
                  <color auto="1"/>
                </top>
                <vertical/>
                <horizontal/>
              </border>
            </x14:dxf>
          </x14:cfRule>
          <xm:sqref>G905</xm:sqref>
        </x14:conditionalFormatting>
        <x14:conditionalFormatting xmlns:xm="http://schemas.microsoft.com/office/excel/2006/main">
          <x14:cfRule type="expression" priority="1" id="{EDC3A9C0-EB8A-476C-8178-C066236A5DB4}">
            <xm:f>'Overview (Design)'!$G$28&gt;2400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G909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N25"/>
  <sheetViews>
    <sheetView showGridLines="0" zoomScaleNormal="100" workbookViewId="0">
      <selection activeCell="D25" sqref="D25:G25"/>
    </sheetView>
  </sheetViews>
  <sheetFormatPr defaultRowHeight="15" x14ac:dyDescent="0.25"/>
  <cols>
    <col min="1" max="1" width="9.140625" style="558"/>
    <col min="2" max="2" width="3.7109375" customWidth="1"/>
    <col min="3" max="3" width="62.28515625" bestFit="1" customWidth="1"/>
    <col min="8" max="8" width="2.28515625" style="563" customWidth="1"/>
    <col min="10" max="10" width="9.140625" style="558"/>
    <col min="11" max="11" width="11" customWidth="1"/>
    <col min="12" max="12" width="8" customWidth="1"/>
  </cols>
  <sheetData>
    <row r="1" spans="2:13" x14ac:dyDescent="0.25">
      <c r="D1" s="1776" t="s">
        <v>4877</v>
      </c>
      <c r="E1" s="1776"/>
      <c r="F1" s="1776"/>
      <c r="G1" s="1776"/>
      <c r="H1" s="1776"/>
      <c r="I1" s="1776"/>
      <c r="J1" s="1776"/>
      <c r="K1" s="1776"/>
      <c r="L1" s="1776"/>
      <c r="M1" s="1776"/>
    </row>
    <row r="2" spans="2:13" x14ac:dyDescent="0.25">
      <c r="D2" s="1776"/>
      <c r="E2" s="1776"/>
      <c r="F2" s="1776"/>
      <c r="G2" s="1776"/>
      <c r="H2" s="1776"/>
      <c r="I2" s="1776"/>
      <c r="J2" s="1776"/>
      <c r="K2" s="1776"/>
      <c r="L2" s="1776"/>
      <c r="M2" s="1776"/>
    </row>
    <row r="3" spans="2:13" x14ac:dyDescent="0.25">
      <c r="D3" s="1776"/>
      <c r="E3" s="1776"/>
      <c r="F3" s="1776"/>
      <c r="G3" s="1776"/>
      <c r="H3" s="1776"/>
      <c r="I3" s="1776"/>
      <c r="J3" s="1776"/>
      <c r="K3" s="1776"/>
      <c r="L3" s="1776"/>
      <c r="M3" s="1776"/>
    </row>
    <row r="4" spans="2:13" x14ac:dyDescent="0.25">
      <c r="D4" s="1776"/>
      <c r="E4" s="1776"/>
      <c r="F4" s="1776"/>
      <c r="G4" s="1776"/>
      <c r="H4" s="1776"/>
      <c r="I4" s="1776"/>
      <c r="J4" s="1776"/>
      <c r="K4" s="1776"/>
      <c r="L4" s="1776"/>
      <c r="M4" s="1776"/>
    </row>
    <row r="5" spans="2:13" s="558" customFormat="1" x14ac:dyDescent="0.25">
      <c r="D5" s="1776"/>
      <c r="E5" s="1776"/>
      <c r="F5" s="1776"/>
      <c r="G5" s="1776"/>
      <c r="H5" s="1776"/>
      <c r="I5" s="1776"/>
      <c r="J5" s="1776"/>
      <c r="K5" s="1776"/>
      <c r="L5" s="1776"/>
      <c r="M5" s="1776"/>
    </row>
    <row r="6" spans="2:13" s="558" customFormat="1" x14ac:dyDescent="0.25">
      <c r="D6" s="561"/>
      <c r="E6" s="561"/>
      <c r="F6" s="561"/>
      <c r="G6" s="561"/>
      <c r="H6" s="567"/>
      <c r="I6" s="561"/>
      <c r="J6" s="561"/>
      <c r="K6" s="561"/>
      <c r="L6" s="561"/>
      <c r="M6" s="561"/>
    </row>
    <row r="7" spans="2:13" ht="21" x14ac:dyDescent="0.35">
      <c r="C7" s="572" t="s">
        <v>3830</v>
      </c>
    </row>
    <row r="8" spans="2:13" x14ac:dyDescent="0.25">
      <c r="E8" s="773" t="str">
        <f>IF(LEN('Overview (Design)'!G23)=0,"","Project Name: ")</f>
        <v/>
      </c>
      <c r="F8" s="774" t="str">
        <f>IF(LEN('Overview (Design)'!G23)=0,"",'Overview (Design)'!G23)</f>
        <v/>
      </c>
    </row>
    <row r="9" spans="2:13" x14ac:dyDescent="0.25">
      <c r="B9" s="576" t="str">
        <f>IF(startError,"û","ü")</f>
        <v>û</v>
      </c>
      <c r="C9" s="577" t="s">
        <v>4093</v>
      </c>
      <c r="E9" s="774" t="s">
        <v>4096</v>
      </c>
      <c r="F9" s="774" t="str">
        <f>IF(LEN(dstHomeAddress)=0,"",dstHomeAddress&amp;", ")&amp;IF(LEN(dstCity)=0,"",dstCity&amp;", ")&amp;dstState&amp;" "&amp;dstZIP</f>
        <v xml:space="preserve"> </v>
      </c>
    </row>
    <row r="10" spans="2:13" s="563" customFormat="1" x14ac:dyDescent="0.25">
      <c r="B10"/>
      <c r="C10" s="581"/>
    </row>
    <row r="11" spans="2:13" x14ac:dyDescent="0.25">
      <c r="D11" s="1984" t="s">
        <v>3838</v>
      </c>
      <c r="E11" s="1984"/>
      <c r="F11" s="1984"/>
      <c r="G11" s="1984"/>
      <c r="H11"/>
      <c r="I11" s="1983" t="s">
        <v>253</v>
      </c>
      <c r="J11" s="570"/>
      <c r="K11" s="1983" t="s">
        <v>3834</v>
      </c>
      <c r="L11" s="1983" t="s">
        <v>3835</v>
      </c>
    </row>
    <row r="12" spans="2:13" x14ac:dyDescent="0.25">
      <c r="C12" s="558"/>
      <c r="D12" s="560" t="s">
        <v>292</v>
      </c>
      <c r="E12" s="560" t="s">
        <v>293</v>
      </c>
      <c r="F12" s="560" t="s">
        <v>294</v>
      </c>
      <c r="G12" s="565" t="s">
        <v>290</v>
      </c>
      <c r="H12"/>
      <c r="I12" s="1983"/>
      <c r="J12" s="570"/>
      <c r="K12" s="1983"/>
      <c r="L12" s="1983"/>
    </row>
    <row r="13" spans="2:13" x14ac:dyDescent="0.25">
      <c r="C13" s="559" t="s">
        <v>3824</v>
      </c>
      <c r="D13" s="571">
        <v>50</v>
      </c>
      <c r="E13" s="571">
        <v>64</v>
      </c>
      <c r="F13" s="571">
        <v>93</v>
      </c>
      <c r="G13" s="571">
        <v>121</v>
      </c>
      <c r="H13"/>
      <c r="I13" s="573">
        <f ca="1">Points!H15</f>
        <v>0</v>
      </c>
      <c r="K13" s="576" t="str">
        <f>IF('Ch5'!$AG$3,"û","ü")</f>
        <v>ü</v>
      </c>
      <c r="L13" s="576" t="str">
        <f ca="1">IF('Ch5'!$AI$3,"û","ü")</f>
        <v>ü</v>
      </c>
    </row>
    <row r="14" spans="2:13" x14ac:dyDescent="0.25">
      <c r="C14" s="559" t="s">
        <v>3823</v>
      </c>
      <c r="D14" s="571">
        <v>43</v>
      </c>
      <c r="E14" s="571">
        <v>59</v>
      </c>
      <c r="F14" s="571">
        <v>89</v>
      </c>
      <c r="G14" s="571">
        <v>119</v>
      </c>
      <c r="H14"/>
      <c r="I14" s="573">
        <f ca="1">Points!H16</f>
        <v>0</v>
      </c>
      <c r="K14" s="576" t="str">
        <f ca="1">IF('Ch6'!$AG$3,"û","ü")</f>
        <v>û</v>
      </c>
      <c r="L14" s="576" t="str">
        <f ca="1">IF('Ch6'!$AI$3,"û","ü")</f>
        <v>ü</v>
      </c>
    </row>
    <row r="15" spans="2:13" x14ac:dyDescent="0.25">
      <c r="C15" s="559" t="s">
        <v>3825</v>
      </c>
      <c r="D15" s="571">
        <v>30</v>
      </c>
      <c r="E15" s="571">
        <v>45</v>
      </c>
      <c r="F15" s="571">
        <v>60</v>
      </c>
      <c r="G15" s="571">
        <v>70</v>
      </c>
      <c r="H15"/>
      <c r="I15" s="573">
        <f ca="1">Points!H17</f>
        <v>0</v>
      </c>
      <c r="K15" s="576" t="str">
        <f ca="1">IF('Ch7'!$AG$3,"û","ü")</f>
        <v>û</v>
      </c>
      <c r="L15" s="576" t="str">
        <f ca="1">IF('Ch7'!$AI$3,"û","ü")</f>
        <v>ü</v>
      </c>
    </row>
    <row r="16" spans="2:13" x14ac:dyDescent="0.25">
      <c r="C16" s="559" t="s">
        <v>3826</v>
      </c>
      <c r="D16" s="571">
        <v>25</v>
      </c>
      <c r="E16" s="571">
        <v>39</v>
      </c>
      <c r="F16" s="571">
        <v>67</v>
      </c>
      <c r="G16" s="571">
        <v>92</v>
      </c>
      <c r="H16"/>
      <c r="I16" s="573">
        <f ca="1">Points!H18</f>
        <v>0</v>
      </c>
      <c r="K16" s="576" t="str">
        <f>IF('Ch8'!$AG$3,"û","ü")</f>
        <v>û</v>
      </c>
      <c r="L16" s="576" t="str">
        <f ca="1">IF('Ch8'!$AI$3,"û","ü")</f>
        <v>ü</v>
      </c>
    </row>
    <row r="17" spans="3:14" x14ac:dyDescent="0.25">
      <c r="C17" s="559" t="s">
        <v>3827</v>
      </c>
      <c r="D17" s="571">
        <v>25</v>
      </c>
      <c r="E17" s="571">
        <v>42</v>
      </c>
      <c r="F17" s="571">
        <v>69</v>
      </c>
      <c r="G17" s="571">
        <v>97</v>
      </c>
      <c r="H17"/>
      <c r="I17" s="573">
        <f ca="1">Points!H19</f>
        <v>0</v>
      </c>
      <c r="K17" s="576" t="str">
        <f>IF('Ch9'!$AG$3,"û","ü")</f>
        <v>û</v>
      </c>
      <c r="L17" s="576" t="str">
        <f ca="1">IF('Ch9'!$AI$3,"û","ü")</f>
        <v>ü</v>
      </c>
    </row>
    <row r="18" spans="3:14" x14ac:dyDescent="0.25">
      <c r="C18" s="559" t="s">
        <v>3828</v>
      </c>
      <c r="D18" s="571">
        <v>8</v>
      </c>
      <c r="E18" s="571">
        <v>10</v>
      </c>
      <c r="F18" s="571">
        <v>11</v>
      </c>
      <c r="G18" s="571">
        <v>12</v>
      </c>
      <c r="H18"/>
      <c r="I18" s="573">
        <f>Points!H20</f>
        <v>2</v>
      </c>
      <c r="K18" s="576" t="str">
        <f ca="1">IF('Ch10'!$AG$3,"û","ü")</f>
        <v>û</v>
      </c>
      <c r="L18" s="576" t="str">
        <f>IF('Ch10'!$AI$3,"û","ü")</f>
        <v>ü</v>
      </c>
    </row>
    <row r="19" spans="3:14" x14ac:dyDescent="0.25">
      <c r="C19" s="559" t="s">
        <v>3821</v>
      </c>
      <c r="D19" s="571">
        <v>50</v>
      </c>
      <c r="E19" s="571">
        <v>75</v>
      </c>
      <c r="F19" s="571">
        <v>100</v>
      </c>
      <c r="G19" s="571">
        <v>100</v>
      </c>
      <c r="H19"/>
      <c r="I19" s="573"/>
    </row>
    <row r="20" spans="3:14" s="558" customFormat="1" x14ac:dyDescent="0.25">
      <c r="C20" s="559" t="s">
        <v>3832</v>
      </c>
      <c r="D20" s="571">
        <f>MAX(0,ROUNDDOWN(('Overview (Design)'!$G$25-4000)/100,0))</f>
        <v>0</v>
      </c>
      <c r="E20" s="571">
        <f>MAX(0,ROUNDDOWN(('Overview (Design)'!$G$25-4000)/100,0))</f>
        <v>0</v>
      </c>
      <c r="F20" s="571">
        <f>MAX(0,ROUNDDOWN(('Overview (Design)'!$G$25-4000)/100,0))</f>
        <v>0</v>
      </c>
      <c r="G20" s="571">
        <f>MAX(0,ROUNDDOWN(('Overview (Design)'!$G$25-4000)/100,0))</f>
        <v>0</v>
      </c>
      <c r="H20"/>
      <c r="I20" s="573"/>
      <c r="K20"/>
      <c r="L20"/>
      <c r="M20"/>
      <c r="N20"/>
    </row>
    <row r="21" spans="3:14" x14ac:dyDescent="0.25">
      <c r="C21" s="578" t="s">
        <v>3822</v>
      </c>
      <c r="D21" s="571">
        <f>SUM(D13:D20)</f>
        <v>231</v>
      </c>
      <c r="E21" s="571">
        <f>SUM(E13:E20)</f>
        <v>334</v>
      </c>
      <c r="F21" s="571">
        <f>SUM(F13:F20)</f>
        <v>489</v>
      </c>
      <c r="G21" s="571">
        <f>SUM(G13:G20)</f>
        <v>611</v>
      </c>
      <c r="H21"/>
      <c r="I21" s="573">
        <f ca="1">SUM(I13:I18)</f>
        <v>2</v>
      </c>
    </row>
    <row r="22" spans="3:14" x14ac:dyDescent="0.25">
      <c r="H22"/>
    </row>
    <row r="23" spans="3:14" x14ac:dyDescent="0.25">
      <c r="C23" s="559" t="s">
        <v>3829</v>
      </c>
      <c r="D23" s="574">
        <f ca="1">Points!J21</f>
        <v>-179</v>
      </c>
      <c r="E23" s="574">
        <f ca="1">Points!K21</f>
        <v>-257</v>
      </c>
      <c r="F23" s="574">
        <f ca="1">Points!L21</f>
        <v>-387</v>
      </c>
      <c r="G23" s="574">
        <f ca="1">Points!M21</f>
        <v>-509</v>
      </c>
      <c r="H23" s="579"/>
    </row>
    <row r="25" spans="3:14" ht="18.75" x14ac:dyDescent="0.25">
      <c r="C25" s="575" t="s">
        <v>3831</v>
      </c>
      <c r="D25" s="1980" t="str">
        <f ca="1">Points!R22</f>
        <v>None</v>
      </c>
      <c r="E25" s="1981"/>
      <c r="F25" s="1981"/>
      <c r="G25" s="1982"/>
      <c r="H25" s="580"/>
    </row>
  </sheetData>
  <sheetProtection algorithmName="SHA-512" hashValue="rX/FMj4GN4hE98s9sp8pbwPVzuoC+B+COJj22+4Bpl6Piaz9ZVb+Hd77+mRK/JUeRRuJCWKo7CimTr9Lq9NQHw==" saltValue="sxk6+42arFqWkkDxApsUpQ==" spinCount="100000" sheet="1" objects="1" scenarios="1" selectLockedCells="1" selectUnlockedCells="1"/>
  <mergeCells count="6">
    <mergeCell ref="D25:G25"/>
    <mergeCell ref="D1:M5"/>
    <mergeCell ref="K11:K12"/>
    <mergeCell ref="L11:L12"/>
    <mergeCell ref="I11:I12"/>
    <mergeCell ref="D11:G11"/>
  </mergeCells>
  <conditionalFormatting sqref="D13:G21">
    <cfRule type="cellIs" dxfId="3294" priority="27" operator="lessThanOrEqual">
      <formula>$I13</formula>
    </cfRule>
  </conditionalFormatting>
  <conditionalFormatting sqref="D19:G19">
    <cfRule type="cellIs" dxfId="3293" priority="16" operator="lessThanOrEqual">
      <formula>D$23</formula>
    </cfRule>
  </conditionalFormatting>
  <conditionalFormatting sqref="D25">
    <cfRule type="expression" dxfId="3292" priority="12">
      <formula>D25="Gold"</formula>
    </cfRule>
    <cfRule type="expression" dxfId="3291" priority="13">
      <formula>D25="Silver"</formula>
    </cfRule>
    <cfRule type="expression" dxfId="3290" priority="14">
      <formula>D25="Bronze"</formula>
    </cfRule>
    <cfRule type="expression" dxfId="3289" priority="15">
      <formula>D25="Emerald"</formula>
    </cfRule>
  </conditionalFormatting>
  <conditionalFormatting sqref="D12">
    <cfRule type="expression" dxfId="3288" priority="8">
      <formula>D12="Gold"</formula>
    </cfRule>
    <cfRule type="expression" dxfId="3287" priority="9">
      <formula>D12="Silver"</formula>
    </cfRule>
    <cfRule type="expression" dxfId="3286" priority="10">
      <formula>D12="Bronze"</formula>
    </cfRule>
    <cfRule type="expression" dxfId="3285" priority="11">
      <formula>D12="Emerald"</formula>
    </cfRule>
  </conditionalFormatting>
  <conditionalFormatting sqref="E12:G12">
    <cfRule type="expression" dxfId="3284" priority="4">
      <formula>E12="Gold"</formula>
    </cfRule>
    <cfRule type="expression" dxfId="3283" priority="5">
      <formula>E12="Silver"</formula>
    </cfRule>
    <cfRule type="expression" dxfId="3282" priority="6">
      <formula>E12="Bronze"</formula>
    </cfRule>
    <cfRule type="expression" dxfId="3281" priority="7">
      <formula>E12="Emerald"</formula>
    </cfRule>
  </conditionalFormatting>
  <conditionalFormatting sqref="K13:L18">
    <cfRule type="expression" dxfId="3280" priority="2">
      <formula>K13="ü"</formula>
    </cfRule>
    <cfRule type="expression" dxfId="3279" priority="23">
      <formula>K13="û"</formula>
    </cfRule>
  </conditionalFormatting>
  <conditionalFormatting sqref="B9">
    <cfRule type="expression" dxfId="3278" priority="1">
      <formula>$B$9="ü"</formula>
    </cfRule>
    <cfRule type="expression" dxfId="3277" priority="3">
      <formula>$B$9="û"</formula>
    </cfRule>
  </conditionalFormatting>
  <conditionalFormatting sqref="F16">
    <cfRule type="expression" dxfId="3276" priority="29">
      <formula>Ch8Max=2</formula>
    </cfRule>
  </conditionalFormatting>
  <conditionalFormatting sqref="G16">
    <cfRule type="expression" dxfId="3275" priority="28">
      <formula>Ch8Max=2</formula>
    </cfRule>
  </conditionalFormatting>
  <conditionalFormatting sqref="F15">
    <cfRule type="expression" dxfId="3274" priority="26">
      <formula>Ch7Max&lt;3</formula>
    </cfRule>
  </conditionalFormatting>
  <conditionalFormatting sqref="G15">
    <cfRule type="expression" dxfId="3273" priority="25">
      <formula>Ch7Max&lt;4</formula>
    </cfRule>
  </conditionalFormatting>
  <pageMargins left="0.7" right="0.7" top="0.75" bottom="0.75" header="0.3" footer="0.3"/>
  <pageSetup scale="56"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FF2C-8CFA-44B2-8454-E6DDF2DFF2E5}">
  <sheetPr codeName="Sheet17">
    <pageSetUpPr fitToPage="1"/>
  </sheetPr>
  <dimension ref="A1:BI314"/>
  <sheetViews>
    <sheetView showGridLines="0" zoomScaleNormal="100" zoomScaleSheetLayoutView="80" workbookViewId="0">
      <pane ySplit="8" topLeftCell="A9" activePane="bottomLeft" state="frozen"/>
      <selection activeCell="E90" sqref="E90"/>
      <selection pane="bottomLeft" activeCell="W15" sqref="W15"/>
    </sheetView>
  </sheetViews>
  <sheetFormatPr defaultRowHeight="15" x14ac:dyDescent="0.25"/>
  <cols>
    <col min="1" max="14" width="7.5703125" style="1461" customWidth="1"/>
    <col min="15" max="15" width="7.5703125" style="1460" customWidth="1"/>
    <col min="16" max="16" width="6.140625" style="1461" hidden="1" customWidth="1"/>
    <col min="17" max="17" width="5.42578125" style="1461" hidden="1" customWidth="1"/>
    <col min="18" max="20" width="6.140625" style="1461" hidden="1" customWidth="1"/>
    <col min="21" max="21" width="8.7109375" style="1461" hidden="1" customWidth="1"/>
    <col min="22" max="22" width="3.140625" style="1461" hidden="1" customWidth="1"/>
    <col min="23" max="23" width="21.42578125" style="1460" customWidth="1"/>
    <col min="24" max="24" width="69" style="1461" customWidth="1"/>
    <col min="25" max="25" width="4.7109375" style="1461" hidden="1" customWidth="1"/>
    <col min="26" max="35" width="9.140625" style="1461" hidden="1" customWidth="1"/>
    <col min="36" max="40" width="8.42578125" style="1461" hidden="1" customWidth="1"/>
    <col min="41" max="41" width="9.140625" style="1461" hidden="1" customWidth="1"/>
    <col min="42" max="42" width="29.140625" style="1461" hidden="1" customWidth="1"/>
    <col min="43" max="43" width="2.7109375" style="1461" hidden="1" customWidth="1"/>
    <col min="44" max="44" width="29.140625" style="1461" hidden="1" customWidth="1"/>
    <col min="45" max="45" width="4.85546875" style="1461" hidden="1" customWidth="1"/>
    <col min="46" max="48" width="8.42578125" style="1461" hidden="1" customWidth="1"/>
    <col min="49" max="59" width="9.140625" style="1461" hidden="1" customWidth="1"/>
    <col min="60" max="60" width="13.28515625" style="1461" hidden="1" customWidth="1"/>
    <col min="61" max="61" width="26.140625" style="1461" hidden="1" customWidth="1"/>
    <col min="62" max="62" width="9.140625" style="1461" customWidth="1"/>
    <col min="63" max="16384" width="9.140625" style="1461"/>
  </cols>
  <sheetData>
    <row r="1" spans="1:61" ht="15" customHeight="1" x14ac:dyDescent="0.25">
      <c r="W1" s="1993" t="s">
        <v>4877</v>
      </c>
      <c r="X1" s="2344" t="s">
        <v>4064</v>
      </c>
      <c r="Y1"/>
    </row>
    <row r="2" spans="1:61" x14ac:dyDescent="0.25">
      <c r="C2" s="1476" t="s">
        <v>5400</v>
      </c>
      <c r="D2" s="664" t="s">
        <v>5425</v>
      </c>
      <c r="W2" s="1993"/>
      <c r="X2" s="2344" t="s">
        <v>3503</v>
      </c>
      <c r="Y2"/>
    </row>
    <row r="3" spans="1:61" x14ac:dyDescent="0.25">
      <c r="C3" s="1476" t="s">
        <v>5395</v>
      </c>
      <c r="D3" s="1461" t="str">
        <f ca="1">G89</f>
        <v>Not Earned</v>
      </c>
      <c r="Q3" s="1460" t="s">
        <v>5245</v>
      </c>
      <c r="R3" s="1461" t="s">
        <v>315</v>
      </c>
      <c r="W3" s="1994"/>
      <c r="X3" s="2344" t="s">
        <v>3504</v>
      </c>
      <c r="Y3"/>
      <c r="AF3" s="1460" t="s">
        <v>312</v>
      </c>
      <c r="AG3" s="1461" t="b">
        <f>OR(ReportType="",IF(ReportType="Rough",OR(AF:AF),OR(AE:AE)))</f>
        <v>0</v>
      </c>
      <c r="AH3" s="1460" t="s">
        <v>313</v>
      </c>
      <c r="AI3" s="1461" t="b">
        <f ca="1">OR(AD:AD)</f>
        <v>0</v>
      </c>
    </row>
    <row r="4" spans="1:61" x14ac:dyDescent="0.25">
      <c r="C4" s="1476" t="s">
        <v>5397</v>
      </c>
      <c r="D4" s="1461" t="str">
        <f ca="1">G116</f>
        <v>Not Earned</v>
      </c>
      <c r="W4" s="327" t="s">
        <v>3502</v>
      </c>
      <c r="X4" s="1470" t="str">
        <f>IF(dstCity="","",IF(dstBatch, "Various ", dstHomeAddress)&amp;", "&amp;dstCity&amp;", "&amp;dstState&amp;"  "&amp;dstZIP)</f>
        <v/>
      </c>
      <c r="Y4"/>
    </row>
    <row r="5" spans="1:61" ht="15" customHeight="1" x14ac:dyDescent="0.25">
      <c r="C5" s="1476" t="s">
        <v>5396</v>
      </c>
      <c r="D5" s="1461" t="str">
        <f>G173</f>
        <v>Not Earned</v>
      </c>
      <c r="W5" s="326" t="s">
        <v>130</v>
      </c>
      <c r="X5" s="1471" t="str">
        <f>IF(dstLot="","",dstLot)</f>
        <v/>
      </c>
      <c r="Y5"/>
    </row>
    <row r="6" spans="1:61" ht="15" customHeight="1" x14ac:dyDescent="0.25">
      <c r="C6" s="1476" t="s">
        <v>5398</v>
      </c>
      <c r="D6" s="1461" t="str">
        <f ca="1">G194</f>
        <v>Not Earned</v>
      </c>
      <c r="W6" s="1463"/>
    </row>
    <row r="7" spans="1:61" ht="15" customHeight="1" x14ac:dyDescent="0.25">
      <c r="C7" s="1476" t="s">
        <v>5399</v>
      </c>
      <c r="D7" s="1461" t="str">
        <f>G307</f>
        <v>Not Earned</v>
      </c>
      <c r="I7" s="1995" t="s">
        <v>5781</v>
      </c>
      <c r="J7" s="1995"/>
      <c r="K7" s="1995"/>
      <c r="L7" s="1995"/>
      <c r="M7" s="1995"/>
      <c r="P7" s="1461" t="s">
        <v>4103</v>
      </c>
      <c r="Q7" s="1461" t="s">
        <v>309</v>
      </c>
      <c r="R7" s="1461" t="s">
        <v>250</v>
      </c>
      <c r="S7" s="1461" t="s">
        <v>251</v>
      </c>
      <c r="T7" s="1461" t="s">
        <v>0</v>
      </c>
      <c r="U7" s="1461" t="s">
        <v>4104</v>
      </c>
      <c r="W7" s="1463"/>
      <c r="AC7" s="1457" t="s">
        <v>307</v>
      </c>
      <c r="AD7" s="1457" t="s">
        <v>0</v>
      </c>
      <c r="AE7" s="1457" t="s">
        <v>306</v>
      </c>
      <c r="AF7" s="1460" t="s">
        <v>3991</v>
      </c>
    </row>
    <row r="8" spans="1:61" x14ac:dyDescent="0.25">
      <c r="A8" s="334"/>
      <c r="B8" s="334"/>
      <c r="C8" s="334"/>
      <c r="D8" s="334"/>
      <c r="H8" s="1460"/>
      <c r="I8" s="1995"/>
      <c r="J8" s="1995"/>
      <c r="K8" s="1995"/>
      <c r="L8" s="1995"/>
      <c r="M8" s="1995"/>
      <c r="P8" s="1456" t="s">
        <v>247</v>
      </c>
      <c r="Q8" s="1456" t="s">
        <v>247</v>
      </c>
      <c r="R8" s="1456" t="s">
        <v>247</v>
      </c>
      <c r="S8" s="1456" t="s">
        <v>247</v>
      </c>
      <c r="T8" s="1456" t="s">
        <v>247</v>
      </c>
      <c r="U8" s="1456" t="s">
        <v>247</v>
      </c>
      <c r="V8" s="1456" t="s">
        <v>247</v>
      </c>
      <c r="W8" s="1463"/>
      <c r="X8" s="627" t="s">
        <v>5241</v>
      </c>
      <c r="Y8" s="1469" t="s">
        <v>247</v>
      </c>
      <c r="Z8" s="1456" t="s">
        <v>247</v>
      </c>
      <c r="AA8" s="1456" t="s">
        <v>247</v>
      </c>
      <c r="AB8" s="1456" t="s">
        <v>247</v>
      </c>
      <c r="AC8" s="1456" t="s">
        <v>247</v>
      </c>
      <c r="AD8" s="1456" t="s">
        <v>247</v>
      </c>
      <c r="AE8" s="1456" t="s">
        <v>247</v>
      </c>
      <c r="AF8" s="1456" t="s">
        <v>247</v>
      </c>
      <c r="AG8" s="1456" t="s">
        <v>247</v>
      </c>
      <c r="AH8" s="1456" t="s">
        <v>247</v>
      </c>
      <c r="AI8" s="1456" t="s">
        <v>247</v>
      </c>
      <c r="AJ8" s="1461" t="s">
        <v>247</v>
      </c>
      <c r="AK8" s="1461" t="s">
        <v>247</v>
      </c>
      <c r="AL8" s="1461" t="s">
        <v>247</v>
      </c>
      <c r="AM8" s="1461" t="s">
        <v>247</v>
      </c>
      <c r="AN8" s="1461" t="s">
        <v>247</v>
      </c>
      <c r="AO8" s="1461" t="s">
        <v>247</v>
      </c>
      <c r="AP8" s="1461" t="s">
        <v>247</v>
      </c>
      <c r="AQ8" s="1461" t="s">
        <v>247</v>
      </c>
      <c r="AR8" s="1461" t="s">
        <v>247</v>
      </c>
      <c r="AS8" s="1461" t="s">
        <v>247</v>
      </c>
      <c r="AT8" s="1461" t="s">
        <v>247</v>
      </c>
      <c r="AU8" s="1461" t="s">
        <v>247</v>
      </c>
      <c r="AV8" s="1461" t="s">
        <v>247</v>
      </c>
      <c r="AW8" s="1461" t="s">
        <v>247</v>
      </c>
      <c r="AX8" s="1461" t="s">
        <v>247</v>
      </c>
      <c r="AY8" s="1461" t="s">
        <v>247</v>
      </c>
      <c r="AZ8" s="1461" t="s">
        <v>247</v>
      </c>
      <c r="BA8" s="1461" t="s">
        <v>247</v>
      </c>
      <c r="BB8" s="1461" t="s">
        <v>247</v>
      </c>
      <c r="BC8" s="1461" t="s">
        <v>247</v>
      </c>
      <c r="BD8" s="1461" t="s">
        <v>247</v>
      </c>
      <c r="BE8" s="1461" t="s">
        <v>247</v>
      </c>
      <c r="BF8" s="1461" t="s">
        <v>247</v>
      </c>
      <c r="BG8" s="1461" t="s">
        <v>247</v>
      </c>
      <c r="BH8" s="1461" t="s">
        <v>247</v>
      </c>
      <c r="BI8" s="1461" t="s">
        <v>247</v>
      </c>
    </row>
    <row r="9" spans="1:61" x14ac:dyDescent="0.25">
      <c r="O9" s="1461"/>
      <c r="W9" s="1461"/>
    </row>
    <row r="10" spans="1:61" x14ac:dyDescent="0.25">
      <c r="B10" s="1985" t="s">
        <v>5253</v>
      </c>
      <c r="C10" s="1985"/>
      <c r="D10" s="1985"/>
      <c r="E10" s="1985"/>
      <c r="F10" s="1985"/>
      <c r="G10" s="1987" t="str">
        <f>IF(AND(LEN('Ch7'!W549)&gt;0,'Ch7'!W549=0),"Expected to Meet Based on Expected Energy Performance from Selected Path but Energy Analysis Documentation Required for Review",IF('Ch7'!W549&gt;0,"Not Expected to Meet Based on Expected Energy Performance from Selected Path – However, Badge Compliance is Based on Separate Energy Analysis Documentation that is Independent from This Tool, and Badge is Available for All Energy Compliance Paths.","Not expected to meet based on Performance Path inputs, 
but compliance possible based on energy analysis document"))</f>
        <v>Not expected to meet based on Performance Path inputs, 
but compliance possible based on energy analysis document</v>
      </c>
      <c r="H10" s="1988"/>
      <c r="I10" s="1988"/>
      <c r="J10" s="1988"/>
      <c r="K10" s="1988"/>
      <c r="L10" s="1988"/>
      <c r="M10" s="1988"/>
      <c r="N10" s="1988"/>
      <c r="O10" s="1989"/>
      <c r="P10" s="94"/>
      <c r="Q10" s="94"/>
      <c r="R10" s="94"/>
      <c r="S10" s="94"/>
      <c r="T10" s="94"/>
      <c r="U10" s="94"/>
      <c r="V10" s="94"/>
      <c r="W10" s="94"/>
      <c r="X10" s="94"/>
      <c r="Y10" s="94"/>
    </row>
    <row r="11" spans="1:61" ht="15.75" thickBot="1" x14ac:dyDescent="0.3">
      <c r="B11" s="1986"/>
      <c r="C11" s="1986"/>
      <c r="D11" s="1986"/>
      <c r="E11" s="1986"/>
      <c r="F11" s="1986"/>
      <c r="G11" s="1990"/>
      <c r="H11" s="1991"/>
      <c r="I11" s="1991"/>
      <c r="J11" s="1991"/>
      <c r="K11" s="1991"/>
      <c r="L11" s="1991"/>
      <c r="M11" s="1991"/>
      <c r="N11" s="1991"/>
      <c r="O11" s="1992"/>
      <c r="P11" s="99"/>
      <c r="Q11" s="99"/>
      <c r="R11" s="99"/>
      <c r="S11" s="99"/>
      <c r="T11" s="99"/>
      <c r="U11" s="99"/>
      <c r="V11" s="99"/>
      <c r="W11" s="99"/>
      <c r="X11" s="99"/>
      <c r="Y11"/>
    </row>
    <row r="12" spans="1:61" ht="15.75" thickTop="1" x14ac:dyDescent="0.25">
      <c r="O12" s="1461"/>
      <c r="W12" s="1461"/>
      <c r="Y12"/>
    </row>
    <row r="13" spans="1:61" x14ac:dyDescent="0.25">
      <c r="O13" s="1461"/>
      <c r="W13" s="1461"/>
      <c r="Y13"/>
    </row>
    <row r="14" spans="1:61" x14ac:dyDescent="0.25">
      <c r="C14" s="1459" t="s">
        <v>5356</v>
      </c>
      <c r="O14" s="1461"/>
      <c r="R14" s="1461" t="b">
        <f>OR(LEN(W15)&gt;0,LEN(W16)&gt;0,LEN(W17)&gt;0,LEN(W21)&gt;0,LEN(W22)&gt;0,LEN(W23)&gt;0,LEN(W39)&gt;0,LEN(W40)&gt;0,LEN(W41)&gt;0,LEN(W42)&gt;0,LEN(W43)&gt;0,LEN(W44)&gt;0,LEN(W45)&gt;0,LEN(W46)&gt;0,LEN(W47)&gt;0,LEN(W48)&gt;0,LEN(W49)&gt;0,LEN(W54)&gt;0,LEN(W55)&gt;0)</f>
        <v>0</v>
      </c>
      <c r="W14" s="1461"/>
    </row>
    <row r="15" spans="1:61" x14ac:dyDescent="0.25">
      <c r="D15" s="1806" t="s">
        <v>5357</v>
      </c>
      <c r="E15" s="1806"/>
      <c r="F15" s="1806"/>
      <c r="G15" s="1806"/>
      <c r="H15" s="1806"/>
      <c r="I15" s="1806"/>
      <c r="J15" s="1806"/>
      <c r="K15" s="1806"/>
      <c r="L15" s="1806"/>
      <c r="M15" s="1806"/>
      <c r="O15" s="1461"/>
      <c r="P15" s="1461" t="b">
        <v>1</v>
      </c>
      <c r="Q15" s="1461" t="b">
        <v>1</v>
      </c>
      <c r="R15" s="1475" t="b">
        <f>R14</f>
        <v>0</v>
      </c>
      <c r="S15" s="582" t="b">
        <v>1</v>
      </c>
      <c r="T15" s="582" t="b">
        <v>0</v>
      </c>
      <c r="W15" s="1454"/>
      <c r="X15" s="1462"/>
      <c r="AC15" s="1461" t="b">
        <f>OR(AD15:AE15)</f>
        <v>0</v>
      </c>
      <c r="AD15" s="1461" t="b">
        <f>T15</f>
        <v>0</v>
      </c>
      <c r="AE15" s="1461" t="b">
        <f>AND(R15=TRUE,LEN(W15)=0)</f>
        <v>0</v>
      </c>
      <c r="AF15" s="1461" t="b">
        <f>AND(AE15,NOT(Q15))</f>
        <v>0</v>
      </c>
      <c r="AO15"/>
      <c r="AP15" s="1461" t="s">
        <v>5428</v>
      </c>
      <c r="AQ15" s="254" t="str">
        <f>IF(LEN(W15)=0,"",W15)</f>
        <v/>
      </c>
      <c r="AR15" s="1461" t="s">
        <v>5454</v>
      </c>
      <c r="AS15" s="254" t="str">
        <f>IF(LEN(X15)=0,"",X15)</f>
        <v/>
      </c>
    </row>
    <row r="16" spans="1:61" x14ac:dyDescent="0.25">
      <c r="D16" s="1806" t="s">
        <v>5358</v>
      </c>
      <c r="E16" s="1806"/>
      <c r="F16" s="1806"/>
      <c r="G16" s="1806"/>
      <c r="H16" s="1806"/>
      <c r="I16" s="1806"/>
      <c r="J16" s="1806"/>
      <c r="K16" s="1806"/>
      <c r="L16" s="1806"/>
      <c r="M16" s="1806"/>
      <c r="O16" s="1461"/>
      <c r="P16" s="1461" t="b">
        <v>1</v>
      </c>
      <c r="Q16" s="1461" t="b">
        <v>1</v>
      </c>
      <c r="R16" s="1461" t="b">
        <f>R14</f>
        <v>0</v>
      </c>
      <c r="S16" s="582" t="b">
        <v>1</v>
      </c>
      <c r="T16" s="582" t="b">
        <v>0</v>
      </c>
      <c r="W16" s="1454"/>
      <c r="X16" s="1462"/>
      <c r="AC16" s="1461" t="b">
        <f>OR(AD16:AE16)</f>
        <v>0</v>
      </c>
      <c r="AD16" s="1461" t="b">
        <f>T16</f>
        <v>0</v>
      </c>
      <c r="AE16" s="1461" t="b">
        <f>AND(R16=TRUE,LEN(W16)=0)</f>
        <v>0</v>
      </c>
      <c r="AF16" s="1461" t="b">
        <f>AND(AE16,NOT(Q16))</f>
        <v>0</v>
      </c>
      <c r="AO16"/>
      <c r="AP16" s="1461" t="s">
        <v>5429</v>
      </c>
      <c r="AQ16" s="254" t="str">
        <f>IF(LEN(W16)=0,"",W16)</f>
        <v/>
      </c>
      <c r="AR16" s="1461" t="s">
        <v>5455</v>
      </c>
      <c r="AS16" s="254" t="str">
        <f>IF(LEN(X16)=0,"",X16)</f>
        <v/>
      </c>
    </row>
    <row r="17" spans="3:51" x14ac:dyDescent="0.25">
      <c r="D17" s="1806" t="s">
        <v>5359</v>
      </c>
      <c r="E17" s="1806"/>
      <c r="F17" s="1806"/>
      <c r="G17" s="1806"/>
      <c r="H17" s="1806"/>
      <c r="I17" s="1806"/>
      <c r="J17" s="1806"/>
      <c r="K17" s="1806"/>
      <c r="L17" s="1806"/>
      <c r="M17" s="1806"/>
      <c r="O17" s="1461"/>
      <c r="P17" s="1461" t="b">
        <v>1</v>
      </c>
      <c r="Q17" s="1461" t="b">
        <v>1</v>
      </c>
      <c r="R17" s="1461" t="b">
        <f>R14</f>
        <v>0</v>
      </c>
      <c r="S17" s="582" t="b">
        <v>1</v>
      </c>
      <c r="T17" s="582" t="b">
        <v>0</v>
      </c>
      <c r="W17" s="1454"/>
      <c r="X17" s="1462"/>
      <c r="AC17" s="1461" t="b">
        <f>OR(AD17:AE17)</f>
        <v>0</v>
      </c>
      <c r="AD17" s="1461" t="b">
        <f>T17</f>
        <v>0</v>
      </c>
      <c r="AE17" s="1461" t="b">
        <f>AND(R17=TRUE,LEN(W17)=0)</f>
        <v>0</v>
      </c>
      <c r="AF17" s="1461" t="b">
        <f>AND(AE17,NOT(Q17))</f>
        <v>0</v>
      </c>
      <c r="AO17"/>
      <c r="AP17" s="1461" t="s">
        <v>5430</v>
      </c>
      <c r="AQ17" s="254" t="str">
        <f>IF(LEN(W17)=0,"",W17)</f>
        <v/>
      </c>
      <c r="AR17" s="1461" t="s">
        <v>5456</v>
      </c>
      <c r="AS17" s="254" t="str">
        <f>IF(LEN(X17)=0,"",X17)</f>
        <v/>
      </c>
    </row>
    <row r="18" spans="3:51" x14ac:dyDescent="0.25">
      <c r="E18" s="1806" t="s">
        <v>5360</v>
      </c>
      <c r="F18" s="1806"/>
      <c r="G18" s="1806"/>
      <c r="H18" s="1806"/>
      <c r="I18" s="1806"/>
      <c r="J18" s="1806"/>
      <c r="K18" s="1806"/>
      <c r="L18" s="1806"/>
      <c r="M18" s="1806"/>
      <c r="O18" s="1461"/>
      <c r="R18" s="1461" t="b">
        <f>R14</f>
        <v>0</v>
      </c>
      <c r="W18" s="1461"/>
      <c r="X18" s="1757"/>
      <c r="Y18" s="582"/>
      <c r="AC18" s="1461" t="b">
        <f>OR(AD18:AE18)</f>
        <v>0</v>
      </c>
      <c r="AE18" s="1461" t="b">
        <f>AND(R18=TRUE,LEN(X18)=0)</f>
        <v>0</v>
      </c>
      <c r="AF18" s="1461" t="b">
        <f>AND(AE18,NOT(Q18))</f>
        <v>0</v>
      </c>
      <c r="AO18"/>
      <c r="AR18" s="1461" t="s">
        <v>5457</v>
      </c>
      <c r="AS18" s="254" t="str">
        <f>IF(LEN(X18)=0,"",X18)</f>
        <v/>
      </c>
      <c r="AX18" s="1460" t="str">
        <f>'Overview (Verification)'!A18</f>
        <v>Single-Family or Multifamily:</v>
      </c>
      <c r="AY18" s="1461" t="str">
        <f>IF(LEN(dstSingleOrMulti)=0,0,dstSingleOrMulti)</f>
        <v>Single-Family</v>
      </c>
    </row>
    <row r="19" spans="3:51" x14ac:dyDescent="0.25">
      <c r="O19" s="1461"/>
      <c r="W19" s="1461"/>
      <c r="X19" s="1757"/>
      <c r="AO19"/>
    </row>
    <row r="20" spans="3:51" x14ac:dyDescent="0.25">
      <c r="O20" s="1461"/>
      <c r="W20" s="1461"/>
      <c r="AO20"/>
    </row>
    <row r="21" spans="3:51" x14ac:dyDescent="0.25">
      <c r="D21" s="1806" t="s">
        <v>5361</v>
      </c>
      <c r="E21" s="1806"/>
      <c r="F21" s="1806"/>
      <c r="G21" s="1806"/>
      <c r="H21" s="1806"/>
      <c r="I21" s="1806"/>
      <c r="J21" s="1806"/>
      <c r="K21" s="1806"/>
      <c r="L21" s="1806"/>
      <c r="M21" s="1806"/>
      <c r="O21" s="1461"/>
      <c r="P21" s="1461" t="b">
        <v>1</v>
      </c>
      <c r="Q21" s="1461" t="b">
        <v>1</v>
      </c>
      <c r="R21" s="1461" t="b">
        <f>R14</f>
        <v>0</v>
      </c>
      <c r="S21" s="582" t="b">
        <v>1</v>
      </c>
      <c r="T21" s="582" t="b">
        <v>0</v>
      </c>
      <c r="W21" s="1455"/>
      <c r="X21" s="1462"/>
      <c r="AC21" s="1461" t="b">
        <f>OR(AD21:AE21)</f>
        <v>0</v>
      </c>
      <c r="AD21" s="1461" t="b">
        <f>T21</f>
        <v>0</v>
      </c>
      <c r="AE21" s="1461" t="b">
        <f>AND(R21=TRUE,LEN(W21)=0)</f>
        <v>0</v>
      </c>
      <c r="AF21" s="1461" t="b">
        <f>AND(AE21,NOT(Q21))</f>
        <v>0</v>
      </c>
      <c r="AO21"/>
      <c r="AP21" s="1461" t="s">
        <v>5431</v>
      </c>
      <c r="AQ21" s="254" t="str">
        <f>IF(LEN(W21)=0,"",W21)</f>
        <v/>
      </c>
      <c r="AR21" s="1461" t="s">
        <v>5458</v>
      </c>
      <c r="AS21" s="254" t="str">
        <f>IF(LEN(X21)=0,"",X21)</f>
        <v/>
      </c>
    </row>
    <row r="22" spans="3:51" x14ac:dyDescent="0.25">
      <c r="D22" s="1806" t="s">
        <v>5362</v>
      </c>
      <c r="E22" s="1806"/>
      <c r="F22" s="1806"/>
      <c r="G22" s="1806"/>
      <c r="H22" s="1806"/>
      <c r="I22" s="1806"/>
      <c r="J22" s="1806"/>
      <c r="K22" s="1806"/>
      <c r="L22" s="1806"/>
      <c r="M22" s="1806"/>
      <c r="O22" s="1461"/>
      <c r="P22" s="1461" t="b">
        <v>1</v>
      </c>
      <c r="Q22" s="1461" t="b">
        <v>1</v>
      </c>
      <c r="R22" s="1461" t="b">
        <f>R14</f>
        <v>0</v>
      </c>
      <c r="S22" s="582" t="b">
        <v>1</v>
      </c>
      <c r="T22" s="582" t="b">
        <v>0</v>
      </c>
      <c r="W22" s="1455"/>
      <c r="X22" s="1462"/>
      <c r="AC22" s="1461" t="b">
        <f>OR(AD22:AE22)</f>
        <v>0</v>
      </c>
      <c r="AD22" s="1461" t="b">
        <f>T22</f>
        <v>0</v>
      </c>
      <c r="AE22" s="1461" t="b">
        <f>AND(R22=TRUE,LEN(W22)=0)</f>
        <v>0</v>
      </c>
      <c r="AF22" s="1461" t="b">
        <f>AND(AE22,NOT(Q22))</f>
        <v>0</v>
      </c>
      <c r="AO22"/>
      <c r="AP22" s="1461" t="s">
        <v>5432</v>
      </c>
      <c r="AQ22" s="254" t="str">
        <f>IF(LEN(W22)=0,"",W22)</f>
        <v/>
      </c>
      <c r="AR22" s="1461" t="s">
        <v>5459</v>
      </c>
      <c r="AS22" s="254" t="str">
        <f>IF(LEN(X22)=0,"",X22)</f>
        <v/>
      </c>
    </row>
    <row r="23" spans="3:51" x14ac:dyDescent="0.25">
      <c r="D23" s="1806" t="s">
        <v>5363</v>
      </c>
      <c r="E23" s="1806"/>
      <c r="F23" s="1806"/>
      <c r="G23" s="1806"/>
      <c r="H23" s="1806"/>
      <c r="I23" s="1806"/>
      <c r="J23" s="1806"/>
      <c r="K23" s="1806"/>
      <c r="L23" s="1806"/>
      <c r="M23" s="1806"/>
      <c r="O23" s="1461"/>
      <c r="P23" s="1461" t="b">
        <v>1</v>
      </c>
      <c r="Q23" s="1461" t="b">
        <v>1</v>
      </c>
      <c r="R23" s="1461" t="b">
        <f>R14</f>
        <v>0</v>
      </c>
      <c r="S23" s="582" t="b">
        <v>1</v>
      </c>
      <c r="T23" s="582" t="b">
        <v>0</v>
      </c>
      <c r="W23" s="1455"/>
      <c r="X23" s="1462"/>
      <c r="AC23" s="1461" t="b">
        <f>OR(AD23:AE23)</f>
        <v>0</v>
      </c>
      <c r="AD23" s="1461" t="b">
        <f>T23</f>
        <v>0</v>
      </c>
      <c r="AE23" s="1461" t="b">
        <f>AND(R23=TRUE,LEN(W23)=0)</f>
        <v>0</v>
      </c>
      <c r="AF23" s="1461" t="b">
        <f>AND(AE23,NOT(Q23))</f>
        <v>0</v>
      </c>
      <c r="AO23"/>
      <c r="AP23" s="1461" t="s">
        <v>5433</v>
      </c>
      <c r="AQ23" s="254" t="str">
        <f>IF(LEN(W23)=0,"",W23)</f>
        <v/>
      </c>
      <c r="AR23" s="1461" t="s">
        <v>5460</v>
      </c>
      <c r="AS23" s="254" t="str">
        <f>IF(LEN(X23)=0,"",X23)</f>
        <v/>
      </c>
    </row>
    <row r="24" spans="3:51" x14ac:dyDescent="0.25">
      <c r="E24" s="1806" t="s">
        <v>5364</v>
      </c>
      <c r="F24" s="1806"/>
      <c r="G24" s="1806"/>
      <c r="H24" s="1806"/>
      <c r="I24" s="1806"/>
      <c r="J24" s="1806"/>
      <c r="K24" s="1806"/>
      <c r="L24" s="1806"/>
      <c r="M24" s="1806"/>
      <c r="O24" s="1461"/>
      <c r="R24" s="1461" t="b">
        <f>R14</f>
        <v>0</v>
      </c>
      <c r="W24" s="1461"/>
      <c r="X24" s="1757"/>
      <c r="Y24" s="582"/>
      <c r="AC24" s="1461" t="b">
        <f>OR(AD24:AE24)</f>
        <v>0</v>
      </c>
      <c r="AE24" s="1461" t="b">
        <f>AND(R24=TRUE,LEN(X24)=0)</f>
        <v>0</v>
      </c>
      <c r="AF24" s="1461" t="b">
        <f>AND(AE24,NOT(Q24))</f>
        <v>0</v>
      </c>
      <c r="AO24"/>
      <c r="AR24" s="1461" t="s">
        <v>5461</v>
      </c>
      <c r="AS24" s="254" t="str">
        <f>IF(LEN(X24)=0,"",X24)</f>
        <v/>
      </c>
    </row>
    <row r="25" spans="3:51" x14ac:dyDescent="0.25">
      <c r="O25" s="1461"/>
      <c r="W25" s="1461"/>
      <c r="X25" s="1757"/>
      <c r="AO25"/>
    </row>
    <row r="26" spans="3:51" x14ac:dyDescent="0.25">
      <c r="O26" s="1461"/>
      <c r="W26" s="1461"/>
      <c r="AO26"/>
    </row>
    <row r="27" spans="3:51" x14ac:dyDescent="0.25">
      <c r="D27" s="1806" t="s">
        <v>5365</v>
      </c>
      <c r="E27" s="1806"/>
      <c r="F27" s="1806"/>
      <c r="G27" s="1806"/>
      <c r="H27" s="1806"/>
      <c r="I27" s="1806"/>
      <c r="J27" s="1806"/>
      <c r="K27" s="1806"/>
      <c r="L27" s="1806"/>
      <c r="M27" s="1806"/>
      <c r="O27" s="1461"/>
      <c r="R27" s="1461" t="b">
        <f>R14</f>
        <v>0</v>
      </c>
      <c r="W27" s="1461"/>
      <c r="X27" s="1462"/>
      <c r="Y27" s="582"/>
      <c r="AC27" s="1461" t="b">
        <f>OR(AD27:AE27)</f>
        <v>0</v>
      </c>
      <c r="AE27" s="1461" t="b">
        <f>AND(R27=TRUE,LEN(X27)=0)</f>
        <v>0</v>
      </c>
      <c r="AF27" s="1461" t="b">
        <f>AND(AE27,NOT(Q27))</f>
        <v>0</v>
      </c>
      <c r="AO27"/>
      <c r="AR27" s="1461" t="s">
        <v>5462</v>
      </c>
      <c r="AS27" s="254" t="str">
        <f>IF(LEN(X27)=0,"",X27)</f>
        <v/>
      </c>
    </row>
    <row r="28" spans="3:51" x14ac:dyDescent="0.25">
      <c r="D28" s="1806" t="s">
        <v>5366</v>
      </c>
      <c r="E28" s="1806"/>
      <c r="F28" s="1806"/>
      <c r="G28" s="1806"/>
      <c r="H28" s="1806"/>
      <c r="I28" s="1806"/>
      <c r="J28" s="1806"/>
      <c r="K28" s="1806"/>
      <c r="L28" s="1806"/>
      <c r="M28" s="1806"/>
      <c r="O28" s="1461"/>
      <c r="R28" s="1461" t="b">
        <f>R14</f>
        <v>0</v>
      </c>
      <c r="W28" s="1461"/>
      <c r="X28" s="1462"/>
      <c r="Y28" s="582"/>
      <c r="AC28" s="1461" t="b">
        <f>OR(AD28:AE28)</f>
        <v>0</v>
      </c>
      <c r="AE28" s="1461" t="b">
        <f>AND(R28=TRUE,LEN(X28)=0)</f>
        <v>0</v>
      </c>
      <c r="AF28" s="1461" t="b">
        <f>AND(AE28,NOT(Q28))</f>
        <v>0</v>
      </c>
      <c r="AO28"/>
      <c r="AR28" s="1461" t="s">
        <v>5463</v>
      </c>
      <c r="AS28" s="254" t="str">
        <f>IF(LEN(X28)=0,"",X28)</f>
        <v/>
      </c>
    </row>
    <row r="29" spans="3:51" x14ac:dyDescent="0.25">
      <c r="D29" s="1806" t="s">
        <v>5367</v>
      </c>
      <c r="E29" s="1806"/>
      <c r="F29" s="1806"/>
      <c r="G29" s="1806"/>
      <c r="H29" s="1806"/>
      <c r="I29" s="1806"/>
      <c r="J29" s="1806"/>
      <c r="K29" s="1806"/>
      <c r="L29" s="1806"/>
      <c r="M29" s="1806"/>
      <c r="O29" s="1461"/>
      <c r="R29" s="1461" t="b">
        <f>R14</f>
        <v>0</v>
      </c>
      <c r="W29" s="1461"/>
      <c r="X29" s="1757"/>
      <c r="Y29" s="582"/>
      <c r="AC29" s="1461" t="b">
        <f>OR(AD29:AE29)</f>
        <v>0</v>
      </c>
      <c r="AE29" s="1461" t="b">
        <f>AND(R29=TRUE,LEN(X29)=0)</f>
        <v>0</v>
      </c>
      <c r="AF29" s="1461" t="b">
        <f>AND(AE29,NOT(Q29))</f>
        <v>0</v>
      </c>
      <c r="AO29"/>
      <c r="AR29" s="1461" t="s">
        <v>5464</v>
      </c>
      <c r="AS29" s="254" t="str">
        <f>IF(LEN(X29)=0,"",X29)</f>
        <v/>
      </c>
    </row>
    <row r="30" spans="3:51" x14ac:dyDescent="0.25">
      <c r="O30" s="1461"/>
      <c r="W30" s="1461"/>
      <c r="X30" s="1757"/>
      <c r="AO30"/>
    </row>
    <row r="31" spans="3:51" x14ac:dyDescent="0.25">
      <c r="O31" s="1461"/>
      <c r="W31" s="1461"/>
      <c r="X31" s="1757"/>
      <c r="AO31"/>
    </row>
    <row r="32" spans="3:51" x14ac:dyDescent="0.25">
      <c r="C32" s="1459" t="s">
        <v>5368</v>
      </c>
      <c r="O32" s="1461"/>
      <c r="W32" s="1461"/>
      <c r="AO32"/>
    </row>
    <row r="33" spans="3:45" x14ac:dyDescent="0.25">
      <c r="D33" s="1806" t="s">
        <v>5403</v>
      </c>
      <c r="E33" s="1806"/>
      <c r="F33" s="1806"/>
      <c r="G33" s="1806"/>
      <c r="H33" s="1806"/>
      <c r="I33" s="1806"/>
      <c r="J33" s="1806"/>
      <c r="K33" s="1806"/>
      <c r="L33" s="1806"/>
      <c r="M33" s="1806"/>
      <c r="O33" s="1461"/>
      <c r="R33" s="1461" t="b">
        <f>R14</f>
        <v>0</v>
      </c>
      <c r="W33" s="1461"/>
      <c r="X33" s="1462"/>
      <c r="Y33" s="582"/>
      <c r="AC33" s="1461" t="b">
        <f>OR(AD33:AE33)</f>
        <v>0</v>
      </c>
      <c r="AE33" s="1461" t="b">
        <f>AND(R33=TRUE,LEN(X33)=0)</f>
        <v>0</v>
      </c>
      <c r="AF33" s="1461" t="b">
        <f>AND(AE33,NOT(Q33))</f>
        <v>0</v>
      </c>
      <c r="AO33"/>
      <c r="AR33" s="1461" t="s">
        <v>5465</v>
      </c>
      <c r="AS33" s="254" t="str">
        <f>IF(LEN(X33)=0,"",X33)</f>
        <v/>
      </c>
    </row>
    <row r="34" spans="3:45" x14ac:dyDescent="0.25">
      <c r="D34" s="1806" t="s">
        <v>5404</v>
      </c>
      <c r="E34" s="1806"/>
      <c r="F34" s="1806"/>
      <c r="G34" s="1806"/>
      <c r="H34" s="1806"/>
      <c r="I34" s="1806"/>
      <c r="J34" s="1806"/>
      <c r="K34" s="1806"/>
      <c r="L34" s="1806"/>
      <c r="M34" s="1806"/>
      <c r="O34" s="1461"/>
      <c r="R34" s="1461" t="b">
        <f>R14</f>
        <v>0</v>
      </c>
      <c r="W34" s="1461"/>
      <c r="X34" s="1462"/>
      <c r="Y34" s="582"/>
      <c r="AC34" s="1461" t="b">
        <f>OR(AD34:AE34)</f>
        <v>0</v>
      </c>
      <c r="AE34" s="1461" t="b">
        <f>AND(R34=TRUE,LEN(X34)=0)</f>
        <v>0</v>
      </c>
      <c r="AF34" s="1461" t="b">
        <f>AND(AE34,NOT(Q34))</f>
        <v>0</v>
      </c>
      <c r="AO34"/>
      <c r="AR34" s="1461" t="s">
        <v>5466</v>
      </c>
      <c r="AS34" s="254" t="str">
        <f>IF(LEN(X34)=0,"",X34)</f>
        <v/>
      </c>
    </row>
    <row r="35" spans="3:45" x14ac:dyDescent="0.25">
      <c r="D35" s="1806" t="s">
        <v>5405</v>
      </c>
      <c r="E35" s="1806"/>
      <c r="F35" s="1806"/>
      <c r="G35" s="1806"/>
      <c r="H35" s="1806"/>
      <c r="I35" s="1806"/>
      <c r="J35" s="1806"/>
      <c r="K35" s="1806"/>
      <c r="L35" s="1806"/>
      <c r="M35" s="1806"/>
      <c r="O35" s="1461"/>
      <c r="R35" s="1461" t="b">
        <f>R14</f>
        <v>0</v>
      </c>
      <c r="W35" s="1461"/>
      <c r="X35" s="1462"/>
      <c r="Y35" s="582"/>
      <c r="AC35" s="1461" t="b">
        <f>OR(AD35:AE35)</f>
        <v>0</v>
      </c>
      <c r="AE35" s="1461" t="b">
        <f>AND(R35=TRUE,LEN(X35)=0)</f>
        <v>0</v>
      </c>
      <c r="AF35" s="1461" t="b">
        <f>AND(AE35,NOT(Q35))</f>
        <v>0</v>
      </c>
      <c r="AO35"/>
      <c r="AR35" s="1461" t="s">
        <v>5467</v>
      </c>
      <c r="AS35" s="254" t="str">
        <f>IF(LEN(X35)=0,"",X35)</f>
        <v/>
      </c>
    </row>
    <row r="36" spans="3:45" x14ac:dyDescent="0.25">
      <c r="E36" s="1806" t="s">
        <v>5369</v>
      </c>
      <c r="F36" s="1806"/>
      <c r="G36" s="1806"/>
      <c r="H36" s="1806"/>
      <c r="I36" s="1806"/>
      <c r="J36" s="1806"/>
      <c r="K36" s="1806"/>
      <c r="L36" s="1806"/>
      <c r="M36" s="1806"/>
      <c r="O36" s="1461"/>
      <c r="R36" s="1461" t="b">
        <f>R14</f>
        <v>0</v>
      </c>
      <c r="W36" s="1461"/>
      <c r="X36" s="1462"/>
      <c r="Y36" s="582"/>
      <c r="AC36" s="1461" t="b">
        <f>OR(AD36:AE36)</f>
        <v>0</v>
      </c>
      <c r="AE36" s="1461" t="b">
        <f>AND(R36=TRUE,LEN(X36)=0)</f>
        <v>0</v>
      </c>
      <c r="AF36" s="1461" t="b">
        <f>AND(AE36,NOT(Q36))</f>
        <v>0</v>
      </c>
      <c r="AO36"/>
      <c r="AR36" s="1461" t="s">
        <v>5468</v>
      </c>
      <c r="AS36" s="254" t="str">
        <f>IF(LEN(X36)=0,"",X36)</f>
        <v/>
      </c>
    </row>
    <row r="37" spans="3:45" x14ac:dyDescent="0.25">
      <c r="O37" s="1461"/>
      <c r="W37" s="1461"/>
      <c r="AO37"/>
    </row>
    <row r="38" spans="3:45" x14ac:dyDescent="0.25">
      <c r="C38" s="1459" t="s">
        <v>5370</v>
      </c>
      <c r="O38" s="1461"/>
      <c r="W38" s="1461"/>
      <c r="AO38"/>
    </row>
    <row r="39" spans="3:45" x14ac:dyDescent="0.25">
      <c r="D39" s="1806" t="s">
        <v>5371</v>
      </c>
      <c r="E39" s="1806"/>
      <c r="F39" s="1806"/>
      <c r="G39" s="1806"/>
      <c r="H39" s="1806"/>
      <c r="I39" s="1806"/>
      <c r="J39" s="1806"/>
      <c r="K39" s="1806"/>
      <c r="L39" s="1806"/>
      <c r="M39" s="1806"/>
      <c r="O39" s="1461"/>
      <c r="P39" s="1461" t="b">
        <v>1</v>
      </c>
      <c r="Q39" s="1461" t="b">
        <v>1</v>
      </c>
      <c r="R39" s="1461" t="b">
        <v>0</v>
      </c>
      <c r="S39" s="1461" t="b">
        <v>1</v>
      </c>
      <c r="T39" s="1461" t="b">
        <v>0</v>
      </c>
      <c r="W39" s="25"/>
      <c r="X39" s="1462"/>
      <c r="Y39" s="582"/>
      <c r="AO39"/>
      <c r="AP39" s="1461" t="s">
        <v>5434</v>
      </c>
      <c r="AQ39" s="254" t="str">
        <f t="shared" ref="AQ39:AQ49" si="0">IF(LEN(W39)=0,"",W39)</f>
        <v/>
      </c>
      <c r="AR39" s="1461" t="s">
        <v>5469</v>
      </c>
      <c r="AS39" s="254" t="str">
        <f t="shared" ref="AS39:AS50" si="1">IF(LEN(X39)=0,"",X39)</f>
        <v/>
      </c>
    </row>
    <row r="40" spans="3:45" x14ac:dyDescent="0.25">
      <c r="D40" s="1806" t="s">
        <v>5384</v>
      </c>
      <c r="E40" s="1806"/>
      <c r="F40" s="1806"/>
      <c r="G40" s="1806"/>
      <c r="H40" s="1806"/>
      <c r="I40" s="1806"/>
      <c r="J40" s="1806"/>
      <c r="K40" s="1806"/>
      <c r="L40" s="1806"/>
      <c r="M40" s="1806"/>
      <c r="O40" s="1461"/>
      <c r="P40" s="1461" t="b">
        <v>1</v>
      </c>
      <c r="Q40" s="1461" t="b">
        <v>1</v>
      </c>
      <c r="R40" s="1461" t="b">
        <v>0</v>
      </c>
      <c r="S40" s="1461" t="b">
        <v>1</v>
      </c>
      <c r="T40" s="1461" t="b">
        <v>0</v>
      </c>
      <c r="W40" s="25"/>
      <c r="X40" s="1462"/>
      <c r="Y40" s="582"/>
      <c r="AO40"/>
      <c r="AP40" s="1461" t="s">
        <v>5435</v>
      </c>
      <c r="AQ40" s="254" t="str">
        <f t="shared" si="0"/>
        <v/>
      </c>
      <c r="AR40" s="1461" t="s">
        <v>5470</v>
      </c>
      <c r="AS40" s="254" t="str">
        <f t="shared" si="1"/>
        <v/>
      </c>
    </row>
    <row r="41" spans="3:45" x14ac:dyDescent="0.25">
      <c r="D41" s="1806" t="s">
        <v>5372</v>
      </c>
      <c r="E41" s="1806"/>
      <c r="F41" s="1806"/>
      <c r="G41" s="1806"/>
      <c r="H41" s="1806"/>
      <c r="I41" s="1806"/>
      <c r="J41" s="1806"/>
      <c r="K41" s="1806"/>
      <c r="L41" s="1806"/>
      <c r="M41" s="1806"/>
      <c r="O41" s="1461"/>
      <c r="P41" s="1461" t="b">
        <v>1</v>
      </c>
      <c r="Q41" s="1461" t="b">
        <v>1</v>
      </c>
      <c r="R41" s="1461" t="b">
        <v>0</v>
      </c>
      <c r="S41" s="1461" t="b">
        <v>1</v>
      </c>
      <c r="T41" s="1461" t="b">
        <v>0</v>
      </c>
      <c r="W41" s="25"/>
      <c r="X41" s="1462"/>
      <c r="Y41" s="582"/>
      <c r="AO41"/>
      <c r="AP41" s="1461" t="s">
        <v>5436</v>
      </c>
      <c r="AQ41" s="254" t="str">
        <f t="shared" si="0"/>
        <v/>
      </c>
      <c r="AR41" s="1461" t="s">
        <v>5471</v>
      </c>
      <c r="AS41" s="254" t="str">
        <f t="shared" si="1"/>
        <v/>
      </c>
    </row>
    <row r="42" spans="3:45" x14ac:dyDescent="0.25">
      <c r="D42" s="1806" t="s">
        <v>5373</v>
      </c>
      <c r="E42" s="1806"/>
      <c r="F42" s="1806"/>
      <c r="G42" s="1806"/>
      <c r="H42" s="1806"/>
      <c r="I42" s="1806"/>
      <c r="J42" s="1806"/>
      <c r="K42" s="1806"/>
      <c r="L42" s="1806"/>
      <c r="M42" s="1806"/>
      <c r="O42" s="1461"/>
      <c r="P42" s="1461" t="b">
        <v>1</v>
      </c>
      <c r="Q42" s="1461" t="b">
        <v>1</v>
      </c>
      <c r="R42" s="1461" t="b">
        <v>0</v>
      </c>
      <c r="S42" s="1461" t="b">
        <v>1</v>
      </c>
      <c r="T42" s="1461" t="b">
        <v>0</v>
      </c>
      <c r="W42" s="25"/>
      <c r="X42" s="1462"/>
      <c r="Y42" s="582"/>
      <c r="AO42"/>
      <c r="AP42" s="1461" t="s">
        <v>5437</v>
      </c>
      <c r="AQ42" s="254" t="str">
        <f t="shared" si="0"/>
        <v/>
      </c>
      <c r="AR42" s="1461" t="s">
        <v>5472</v>
      </c>
      <c r="AS42" s="254" t="str">
        <f t="shared" si="1"/>
        <v/>
      </c>
    </row>
    <row r="43" spans="3:45" x14ac:dyDescent="0.25">
      <c r="D43" s="1806" t="s">
        <v>5374</v>
      </c>
      <c r="E43" s="1806"/>
      <c r="F43" s="1806"/>
      <c r="G43" s="1806"/>
      <c r="H43" s="1806"/>
      <c r="I43" s="1806"/>
      <c r="J43" s="1806"/>
      <c r="K43" s="1806"/>
      <c r="L43" s="1806"/>
      <c r="M43" s="1806"/>
      <c r="O43" s="1461"/>
      <c r="P43" s="1461" t="b">
        <v>1</v>
      </c>
      <c r="Q43" s="1461" t="b">
        <v>1</v>
      </c>
      <c r="R43" s="1461" t="b">
        <v>0</v>
      </c>
      <c r="S43" s="1461" t="b">
        <v>1</v>
      </c>
      <c r="T43" s="1461" t="b">
        <v>0</v>
      </c>
      <c r="W43" s="25"/>
      <c r="X43" s="1462"/>
      <c r="Y43" s="582"/>
      <c r="AO43"/>
      <c r="AP43" s="1461" t="s">
        <v>5438</v>
      </c>
      <c r="AQ43" s="254" t="str">
        <f t="shared" si="0"/>
        <v/>
      </c>
      <c r="AR43" s="1461" t="s">
        <v>5473</v>
      </c>
      <c r="AS43" s="254" t="str">
        <f t="shared" si="1"/>
        <v/>
      </c>
    </row>
    <row r="44" spans="3:45" x14ac:dyDescent="0.25">
      <c r="D44" s="1806" t="s">
        <v>5375</v>
      </c>
      <c r="E44" s="1806"/>
      <c r="F44" s="1806"/>
      <c r="G44" s="1806"/>
      <c r="H44" s="1806"/>
      <c r="I44" s="1806"/>
      <c r="J44" s="1806"/>
      <c r="K44" s="1806"/>
      <c r="L44" s="1806"/>
      <c r="M44" s="1806"/>
      <c r="O44" s="1461"/>
      <c r="P44" s="1461" t="b">
        <v>1</v>
      </c>
      <c r="Q44" s="1461" t="b">
        <v>1</v>
      </c>
      <c r="R44" s="1461" t="b">
        <v>0</v>
      </c>
      <c r="S44" s="1461" t="b">
        <v>1</v>
      </c>
      <c r="T44" s="1461" t="b">
        <v>0</v>
      </c>
      <c r="W44" s="25"/>
      <c r="X44" s="1462"/>
      <c r="Y44" s="582"/>
      <c r="AO44"/>
      <c r="AP44" s="1461" t="s">
        <v>5439</v>
      </c>
      <c r="AQ44" s="254" t="str">
        <f t="shared" si="0"/>
        <v/>
      </c>
      <c r="AR44" s="1461" t="s">
        <v>5474</v>
      </c>
      <c r="AS44" s="254" t="str">
        <f t="shared" si="1"/>
        <v/>
      </c>
    </row>
    <row r="45" spans="3:45" x14ac:dyDescent="0.25">
      <c r="D45" s="1806" t="s">
        <v>5376</v>
      </c>
      <c r="E45" s="1806"/>
      <c r="F45" s="1806"/>
      <c r="G45" s="1806"/>
      <c r="H45" s="1806"/>
      <c r="I45" s="1806"/>
      <c r="J45" s="1806"/>
      <c r="K45" s="1806"/>
      <c r="L45" s="1806"/>
      <c r="M45" s="1806"/>
      <c r="O45" s="1461"/>
      <c r="P45" s="1461" t="b">
        <v>1</v>
      </c>
      <c r="Q45" s="1461" t="b">
        <v>1</v>
      </c>
      <c r="R45" s="1461" t="b">
        <v>0</v>
      </c>
      <c r="S45" s="1461" t="b">
        <v>1</v>
      </c>
      <c r="T45" s="1461" t="b">
        <v>0</v>
      </c>
      <c r="W45" s="25"/>
      <c r="X45" s="1462"/>
      <c r="Y45" s="582"/>
      <c r="AO45"/>
      <c r="AP45" s="1461" t="s">
        <v>5440</v>
      </c>
      <c r="AQ45" s="254" t="str">
        <f t="shared" si="0"/>
        <v/>
      </c>
      <c r="AR45" s="1461" t="s">
        <v>5475</v>
      </c>
      <c r="AS45" s="254" t="str">
        <f t="shared" si="1"/>
        <v/>
      </c>
    </row>
    <row r="46" spans="3:45" x14ac:dyDescent="0.25">
      <c r="D46" s="1806" t="s">
        <v>3799</v>
      </c>
      <c r="E46" s="1806"/>
      <c r="F46" s="1806"/>
      <c r="G46" s="1806"/>
      <c r="H46" s="1806"/>
      <c r="I46" s="1806"/>
      <c r="J46" s="1806"/>
      <c r="K46" s="1806"/>
      <c r="L46" s="1806"/>
      <c r="M46" s="1806"/>
      <c r="O46" s="1461"/>
      <c r="P46" s="1461" t="b">
        <v>1</v>
      </c>
      <c r="Q46" s="1461" t="b">
        <v>1</v>
      </c>
      <c r="R46" s="1461" t="b">
        <v>0</v>
      </c>
      <c r="S46" s="1461" t="b">
        <v>1</v>
      </c>
      <c r="T46" s="1461" t="b">
        <v>0</v>
      </c>
      <c r="W46" s="25"/>
      <c r="X46" s="1462"/>
      <c r="Y46" s="582"/>
      <c r="AO46"/>
      <c r="AP46" s="1461" t="s">
        <v>5441</v>
      </c>
      <c r="AQ46" s="254" t="str">
        <f t="shared" si="0"/>
        <v/>
      </c>
      <c r="AR46" s="1461" t="s">
        <v>5476</v>
      </c>
      <c r="AS46" s="254" t="str">
        <f t="shared" si="1"/>
        <v/>
      </c>
    </row>
    <row r="47" spans="3:45" x14ac:dyDescent="0.25">
      <c r="D47" s="1806" t="s">
        <v>5377</v>
      </c>
      <c r="E47" s="1806"/>
      <c r="F47" s="1806"/>
      <c r="G47" s="1806"/>
      <c r="H47" s="1806"/>
      <c r="I47" s="1806"/>
      <c r="J47" s="1806"/>
      <c r="K47" s="1806"/>
      <c r="L47" s="1806"/>
      <c r="M47" s="1806"/>
      <c r="O47" s="1461"/>
      <c r="P47" s="1461" t="b">
        <v>1</v>
      </c>
      <c r="Q47" s="1461" t="b">
        <v>1</v>
      </c>
      <c r="R47" s="1461" t="b">
        <v>0</v>
      </c>
      <c r="S47" s="1461" t="b">
        <v>1</v>
      </c>
      <c r="T47" s="1461" t="b">
        <v>0</v>
      </c>
      <c r="W47" s="25"/>
      <c r="X47" s="1462"/>
      <c r="Y47" s="582"/>
      <c r="AO47"/>
      <c r="AP47" s="1461" t="s">
        <v>5442</v>
      </c>
      <c r="AQ47" s="254" t="str">
        <f t="shared" si="0"/>
        <v/>
      </c>
      <c r="AR47" s="1461" t="s">
        <v>5477</v>
      </c>
      <c r="AS47" s="254" t="str">
        <f t="shared" si="1"/>
        <v/>
      </c>
    </row>
    <row r="48" spans="3:45" x14ac:dyDescent="0.25">
      <c r="D48" s="1806" t="s">
        <v>5378</v>
      </c>
      <c r="E48" s="1806"/>
      <c r="F48" s="1806"/>
      <c r="G48" s="1806"/>
      <c r="H48" s="1806"/>
      <c r="I48" s="1806"/>
      <c r="J48" s="1806"/>
      <c r="K48" s="1806"/>
      <c r="L48" s="1806"/>
      <c r="M48" s="1806"/>
      <c r="O48" s="1461"/>
      <c r="P48" s="1461" t="b">
        <v>1</v>
      </c>
      <c r="Q48" s="1461" t="b">
        <v>1</v>
      </c>
      <c r="R48" s="1461" t="b">
        <v>0</v>
      </c>
      <c r="S48" s="1461" t="b">
        <v>1</v>
      </c>
      <c r="T48" s="1461" t="b">
        <v>0</v>
      </c>
      <c r="W48" s="25"/>
      <c r="X48" s="1462"/>
      <c r="Y48" s="582"/>
      <c r="AO48"/>
      <c r="AP48" s="1461" t="s">
        <v>5443</v>
      </c>
      <c r="AQ48" s="254" t="str">
        <f t="shared" si="0"/>
        <v/>
      </c>
      <c r="AR48" s="1461" t="s">
        <v>5478</v>
      </c>
      <c r="AS48" s="254" t="str">
        <f t="shared" si="1"/>
        <v/>
      </c>
    </row>
    <row r="49" spans="3:45" x14ac:dyDescent="0.25">
      <c r="D49" s="1806" t="s">
        <v>204</v>
      </c>
      <c r="E49" s="1806"/>
      <c r="F49" s="1806"/>
      <c r="G49" s="1806"/>
      <c r="H49" s="1806"/>
      <c r="I49" s="1806"/>
      <c r="J49" s="1806"/>
      <c r="K49" s="1806"/>
      <c r="L49" s="1806"/>
      <c r="M49" s="1806"/>
      <c r="O49" s="1461"/>
      <c r="P49" s="1461" t="b">
        <v>1</v>
      </c>
      <c r="Q49" s="1461" t="b">
        <v>1</v>
      </c>
      <c r="R49" s="1461" t="b">
        <v>0</v>
      </c>
      <c r="S49" s="1461" t="b">
        <v>1</v>
      </c>
      <c r="T49" s="1461" t="b">
        <v>0</v>
      </c>
      <c r="W49" s="25"/>
      <c r="X49" s="1462"/>
      <c r="Y49" s="582"/>
      <c r="AO49"/>
      <c r="AP49" s="1461" t="s">
        <v>5444</v>
      </c>
      <c r="AQ49" s="254" t="str">
        <f t="shared" si="0"/>
        <v/>
      </c>
      <c r="AR49" s="1461" t="s">
        <v>5479</v>
      </c>
      <c r="AS49" s="254" t="str">
        <f t="shared" si="1"/>
        <v/>
      </c>
    </row>
    <row r="50" spans="3:45" x14ac:dyDescent="0.25">
      <c r="E50" s="1996" t="s">
        <v>5379</v>
      </c>
      <c r="F50" s="1996"/>
      <c r="G50" s="1996"/>
      <c r="H50" s="1996"/>
      <c r="I50" s="1996"/>
      <c r="J50" s="1996"/>
      <c r="K50" s="1996"/>
      <c r="L50" s="1996"/>
      <c r="M50" s="1996"/>
      <c r="O50" s="1461"/>
      <c r="R50" s="1461" t="b">
        <f>R14</f>
        <v>0</v>
      </c>
      <c r="W50" s="1461"/>
      <c r="X50" s="1757"/>
      <c r="Y50" s="582"/>
      <c r="AC50" s="1461" t="b">
        <f t="shared" ref="AC50" si="2">OR(AD50:AE50)</f>
        <v>0</v>
      </c>
      <c r="AE50" s="1461" t="b">
        <f>AND(R50=TRUE,LEN(X50)=0)</f>
        <v>0</v>
      </c>
      <c r="AF50" s="1461" t="b">
        <f t="shared" ref="AF50" si="3">AND(AE50,NOT(Q50))</f>
        <v>0</v>
      </c>
      <c r="AO50"/>
      <c r="AR50" s="1461" t="s">
        <v>5480</v>
      </c>
      <c r="AS50" s="254" t="str">
        <f t="shared" si="1"/>
        <v/>
      </c>
    </row>
    <row r="51" spans="3:45" x14ac:dyDescent="0.25">
      <c r="O51" s="1461"/>
      <c r="W51" s="1461"/>
      <c r="X51" s="1757"/>
      <c r="AO51"/>
    </row>
    <row r="52" spans="3:45" x14ac:dyDescent="0.25">
      <c r="O52" s="1461"/>
      <c r="W52" s="1461"/>
      <c r="AO52"/>
    </row>
    <row r="53" spans="3:45" x14ac:dyDescent="0.25">
      <c r="C53" s="1459" t="s">
        <v>5380</v>
      </c>
      <c r="O53" s="1461"/>
      <c r="W53" s="1461"/>
      <c r="AO53"/>
    </row>
    <row r="54" spans="3:45" x14ac:dyDescent="0.25">
      <c r="D54" s="1806" t="s">
        <v>5381</v>
      </c>
      <c r="E54" s="1806"/>
      <c r="F54" s="1806"/>
      <c r="G54" s="1806"/>
      <c r="H54" s="1806"/>
      <c r="I54" s="1806"/>
      <c r="J54" s="1806"/>
      <c r="K54" s="1806"/>
      <c r="L54" s="1806"/>
      <c r="M54" s="1806"/>
      <c r="O54" s="1461"/>
      <c r="P54" s="1461" t="b">
        <v>1</v>
      </c>
      <c r="Q54" s="1461" t="b">
        <v>1</v>
      </c>
      <c r="R54" s="1461" t="b">
        <f>R14</f>
        <v>0</v>
      </c>
      <c r="S54" s="1461" t="b">
        <f>NOT(W55=TRUE)</f>
        <v>1</v>
      </c>
      <c r="T54" s="1461" t="b">
        <v>0</v>
      </c>
      <c r="W54" s="25"/>
      <c r="X54" s="1462"/>
      <c r="AC54" s="1461" t="b">
        <f>OR(AD54:AE54)</f>
        <v>0</v>
      </c>
      <c r="AD54" s="1461" t="b">
        <f>T54</f>
        <v>0</v>
      </c>
      <c r="AE54" s="1461" t="b">
        <f>AND(R54=TRUE,LEN(W54)=0)</f>
        <v>0</v>
      </c>
      <c r="AF54" s="1461" t="b">
        <f>AND(AE54,NOT(Q54))</f>
        <v>0</v>
      </c>
      <c r="AO54"/>
      <c r="AP54" s="1461" t="s">
        <v>5445</v>
      </c>
      <c r="AQ54" s="254" t="str">
        <f>IF(LEN(W54)=0,"",W54)</f>
        <v/>
      </c>
      <c r="AR54" s="1461" t="s">
        <v>5481</v>
      </c>
      <c r="AS54" s="254" t="str">
        <f>IF(LEN(X54)=0,"",X54)</f>
        <v/>
      </c>
    </row>
    <row r="55" spans="3:45" x14ac:dyDescent="0.25">
      <c r="D55" s="1806" t="s">
        <v>5382</v>
      </c>
      <c r="E55" s="1806"/>
      <c r="F55" s="1806"/>
      <c r="G55" s="1806"/>
      <c r="H55" s="1806"/>
      <c r="I55" s="1806"/>
      <c r="J55" s="1806"/>
      <c r="K55" s="1806"/>
      <c r="L55" s="1806"/>
      <c r="M55" s="1806"/>
      <c r="O55" s="1461"/>
      <c r="P55" s="1461" t="b">
        <v>1</v>
      </c>
      <c r="Q55" s="1461" t="b">
        <v>1</v>
      </c>
      <c r="R55" s="1461" t="b">
        <f>R14</f>
        <v>0</v>
      </c>
      <c r="S55" s="1461" t="b">
        <f>NOT(W54=TRUE)</f>
        <v>1</v>
      </c>
      <c r="T55" s="1461" t="b">
        <v>0</v>
      </c>
      <c r="W55" s="25"/>
      <c r="X55" s="1462"/>
      <c r="AC55" s="1461" t="b">
        <f>OR(AD55:AE55)</f>
        <v>0</v>
      </c>
      <c r="AD55" s="1461" t="b">
        <f>T55</f>
        <v>0</v>
      </c>
      <c r="AE55" s="1461" t="b">
        <f>AND(R55=TRUE,LEN(W55)=0)</f>
        <v>0</v>
      </c>
      <c r="AF55" s="1461" t="b">
        <f>AND(AE55,NOT(Q55))</f>
        <v>0</v>
      </c>
      <c r="AO55"/>
      <c r="AP55" s="1461" t="s">
        <v>5446</v>
      </c>
      <c r="AQ55" s="254" t="str">
        <f>IF(LEN(W55)=0,"",W55)</f>
        <v/>
      </c>
      <c r="AR55" s="1461" t="s">
        <v>5482</v>
      </c>
      <c r="AS55" s="254" t="str">
        <f>IF(LEN(X55)=0,"",X55)</f>
        <v/>
      </c>
    </row>
    <row r="56" spans="3:45" x14ac:dyDescent="0.25">
      <c r="O56" s="1461"/>
      <c r="W56" s="1461"/>
      <c r="AO56"/>
    </row>
    <row r="57" spans="3:45" x14ac:dyDescent="0.25">
      <c r="C57" s="1459" t="s">
        <v>5383</v>
      </c>
      <c r="O57" s="1461"/>
      <c r="W57" s="1461"/>
      <c r="AO57"/>
    </row>
    <row r="58" spans="3:45" x14ac:dyDescent="0.25">
      <c r="D58" s="1806" t="s">
        <v>5406</v>
      </c>
      <c r="E58" s="1806"/>
      <c r="F58" s="1806"/>
      <c r="G58" s="1806"/>
      <c r="H58" s="1806"/>
      <c r="I58" s="1806"/>
      <c r="J58" s="1806"/>
      <c r="K58" s="1806"/>
      <c r="L58" s="1806"/>
      <c r="M58" s="1806"/>
      <c r="O58" s="1461"/>
      <c r="R58" s="1461" t="b">
        <f>R14</f>
        <v>0</v>
      </c>
      <c r="W58" s="1461"/>
      <c r="X58" s="1757"/>
      <c r="Y58" s="582"/>
      <c r="AC58" s="1461" t="b">
        <f>OR(AD58:AE58)</f>
        <v>0</v>
      </c>
      <c r="AE58" s="1461" t="b">
        <f>AND(R58=TRUE,LEN(X58)=0)</f>
        <v>0</v>
      </c>
      <c r="AF58" s="1461" t="b">
        <f>AND(AE58,NOT(Q58))</f>
        <v>0</v>
      </c>
      <c r="AO58"/>
      <c r="AR58" s="1461" t="s">
        <v>5483</v>
      </c>
      <c r="AS58" s="254" t="str">
        <f>IF(LEN(X58)=0,"",X58)</f>
        <v/>
      </c>
    </row>
    <row r="59" spans="3:45" x14ac:dyDescent="0.25">
      <c r="O59" s="1461"/>
      <c r="W59" s="1461"/>
      <c r="X59" s="1757"/>
      <c r="AO59"/>
    </row>
    <row r="60" spans="3:45" x14ac:dyDescent="0.25">
      <c r="O60" s="1461"/>
      <c r="W60" s="1461"/>
      <c r="AO60"/>
    </row>
    <row r="61" spans="3:45" x14ac:dyDescent="0.25">
      <c r="O61" s="1461"/>
      <c r="W61" s="1461"/>
      <c r="AO61"/>
    </row>
    <row r="62" spans="3:45" x14ac:dyDescent="0.25">
      <c r="C62" s="1459" t="s">
        <v>5385</v>
      </c>
      <c r="O62" s="1461"/>
      <c r="W62" s="1461"/>
      <c r="AO62"/>
    </row>
    <row r="63" spans="3:45" ht="15" customHeight="1" x14ac:dyDescent="0.25">
      <c r="D63" s="1847" t="s">
        <v>5386</v>
      </c>
      <c r="E63" s="1847"/>
      <c r="F63" s="1847"/>
      <c r="G63" s="1847"/>
      <c r="H63" s="1847"/>
      <c r="I63" s="1847"/>
      <c r="J63" s="1847"/>
      <c r="K63" s="1847"/>
      <c r="L63" s="1847"/>
      <c r="M63" s="1847"/>
      <c r="N63" s="1458"/>
      <c r="O63" s="1458"/>
      <c r="W63" s="1461"/>
      <c r="AO63"/>
    </row>
    <row r="64" spans="3:45" x14ac:dyDescent="0.25">
      <c r="D64" s="1847"/>
      <c r="E64" s="1847"/>
      <c r="F64" s="1847"/>
      <c r="G64" s="1847"/>
      <c r="H64" s="1847"/>
      <c r="I64" s="1847"/>
      <c r="J64" s="1847"/>
      <c r="K64" s="1847"/>
      <c r="L64" s="1847"/>
      <c r="M64" s="1847"/>
      <c r="N64" s="1458"/>
      <c r="O64" s="1458"/>
      <c r="W64" s="1461"/>
      <c r="AO64"/>
    </row>
    <row r="65" spans="4:45" x14ac:dyDescent="0.25">
      <c r="D65" s="1847"/>
      <c r="E65" s="1847"/>
      <c r="F65" s="1847"/>
      <c r="G65" s="1847"/>
      <c r="H65" s="1847"/>
      <c r="I65" s="1847"/>
      <c r="J65" s="1847"/>
      <c r="K65" s="1847"/>
      <c r="L65" s="1847"/>
      <c r="M65" s="1847"/>
      <c r="O65" s="1461"/>
      <c r="W65" s="1461"/>
      <c r="AO65"/>
    </row>
    <row r="66" spans="4:45" x14ac:dyDescent="0.25">
      <c r="D66" s="2002" t="s">
        <v>5387</v>
      </c>
      <c r="E66" s="2002"/>
      <c r="F66" s="2002"/>
      <c r="G66" s="2002"/>
      <c r="H66" s="2002"/>
      <c r="I66" s="2002"/>
      <c r="J66" s="2002"/>
      <c r="K66" s="2002"/>
      <c r="L66" s="2002"/>
      <c r="M66" s="2002"/>
      <c r="O66" s="1461"/>
      <c r="W66" s="1461"/>
      <c r="X66" s="1757"/>
      <c r="AO66"/>
      <c r="AR66" s="1461" t="s">
        <v>5484</v>
      </c>
      <c r="AS66" s="254" t="str">
        <f>IF(LEN(X66)=0,"",X66)</f>
        <v/>
      </c>
    </row>
    <row r="67" spans="4:45" x14ac:dyDescent="0.25">
      <c r="D67" s="2002"/>
      <c r="E67" s="2002"/>
      <c r="F67" s="2002"/>
      <c r="G67" s="2002"/>
      <c r="H67" s="2002"/>
      <c r="I67" s="2002"/>
      <c r="J67" s="2002"/>
      <c r="K67" s="2002"/>
      <c r="L67" s="2002"/>
      <c r="M67" s="2002"/>
      <c r="O67" s="1461"/>
      <c r="W67" s="1461"/>
      <c r="X67" s="1757"/>
      <c r="AO67"/>
    </row>
    <row r="68" spans="4:45" customFormat="1" x14ac:dyDescent="0.25">
      <c r="D68" s="2003" t="s">
        <v>5748</v>
      </c>
      <c r="E68" s="2003"/>
      <c r="F68" s="2003"/>
      <c r="G68" s="2003"/>
      <c r="H68" s="2003"/>
      <c r="I68" s="2003"/>
      <c r="J68" s="2003"/>
      <c r="K68" s="2003"/>
      <c r="L68" s="2003"/>
      <c r="M68" s="2003"/>
    </row>
    <row r="69" spans="4:45" customFormat="1" ht="15" customHeight="1" x14ac:dyDescent="0.25">
      <c r="D69" s="1806" t="s">
        <v>5757</v>
      </c>
      <c r="E69" s="1806"/>
      <c r="F69" s="1806"/>
      <c r="G69" s="1806"/>
      <c r="H69" s="1806"/>
      <c r="I69" s="1806"/>
      <c r="J69" s="1806"/>
      <c r="K69" s="1806"/>
      <c r="L69" s="1806"/>
      <c r="M69" s="1806"/>
      <c r="P69" s="1665" t="b">
        <v>1</v>
      </c>
      <c r="Q69" s="1665" t="b">
        <v>1</v>
      </c>
      <c r="R69" s="1665" t="b">
        <v>0</v>
      </c>
      <c r="S69" s="1665" t="b">
        <v>1</v>
      </c>
      <c r="T69" s="1665" t="b">
        <v>0</v>
      </c>
      <c r="W69" s="856"/>
      <c r="X69" s="1798"/>
      <c r="AM69" s="1665"/>
      <c r="AN69" s="1461"/>
      <c r="AO69" s="1461"/>
      <c r="AP69" s="1665" t="s">
        <v>5761</v>
      </c>
      <c r="AQ69" s="254" t="str">
        <f>IF(LEN(W69)=0,"",W69)</f>
        <v/>
      </c>
      <c r="AR69" s="1665" t="s">
        <v>5772</v>
      </c>
      <c r="AS69" s="254" t="str">
        <f>IF(LEN(X69)=0,"",X69)</f>
        <v/>
      </c>
    </row>
    <row r="70" spans="4:45" customFormat="1" x14ac:dyDescent="0.25">
      <c r="D70" s="1806" t="s">
        <v>5759</v>
      </c>
      <c r="E70" s="1806"/>
      <c r="F70" s="1806"/>
      <c r="G70" s="1806"/>
      <c r="H70" s="1806"/>
      <c r="I70" s="1806"/>
      <c r="J70" s="1806"/>
      <c r="K70" s="1806"/>
      <c r="L70" s="1806"/>
      <c r="M70" s="1806"/>
      <c r="P70" s="1665" t="b">
        <v>1</v>
      </c>
      <c r="Q70" s="1665" t="b">
        <v>1</v>
      </c>
      <c r="R70" s="1665" t="b">
        <v>0</v>
      </c>
      <c r="S70" s="1665" t="b">
        <v>1</v>
      </c>
      <c r="T70" s="1665" t="b">
        <v>0</v>
      </c>
      <c r="W70" s="1672"/>
      <c r="X70" s="1799"/>
      <c r="AM70" s="1665"/>
      <c r="AN70" s="1665"/>
      <c r="AO70" s="1665"/>
      <c r="AP70" s="1665" t="s">
        <v>5762</v>
      </c>
      <c r="AQ70" s="254" t="str">
        <f t="shared" ref="AQ70:AQ73" si="4">IF(LEN(W70)=0,"",W70)</f>
        <v/>
      </c>
    </row>
    <row r="71" spans="4:45" s="1665" customFormat="1" x14ac:dyDescent="0.25">
      <c r="D71" s="2007" t="s">
        <v>5760</v>
      </c>
      <c r="E71" s="2008"/>
      <c r="F71" s="2008"/>
      <c r="G71" s="2008"/>
      <c r="H71" s="2008"/>
      <c r="I71" s="2008"/>
      <c r="J71" s="2008"/>
      <c r="K71" s="2008"/>
      <c r="L71" s="2008"/>
      <c r="M71" s="2009"/>
      <c r="P71" s="1665" t="b">
        <v>1</v>
      </c>
      <c r="Q71" s="1665" t="b">
        <v>1</v>
      </c>
      <c r="R71" s="1665" t="b">
        <v>0</v>
      </c>
      <c r="S71" s="1665" t="b">
        <v>1</v>
      </c>
      <c r="T71" s="1665" t="b">
        <v>0</v>
      </c>
      <c r="W71" s="1008"/>
      <c r="X71" s="1799"/>
      <c r="AP71" s="1665" t="s">
        <v>5763</v>
      </c>
      <c r="AQ71" s="254" t="str">
        <f t="shared" si="4"/>
        <v/>
      </c>
    </row>
    <row r="72" spans="4:45" customFormat="1" x14ac:dyDescent="0.25">
      <c r="D72" s="1806" t="s">
        <v>5749</v>
      </c>
      <c r="E72" s="1806"/>
      <c r="F72" s="1806"/>
      <c r="G72" s="1806"/>
      <c r="H72" s="1806"/>
      <c r="I72" s="1806"/>
      <c r="J72" s="1806"/>
      <c r="K72" s="1806"/>
      <c r="L72" s="1806"/>
      <c r="M72" s="1806"/>
      <c r="P72" s="1665" t="b">
        <v>1</v>
      </c>
      <c r="Q72" s="1665" t="b">
        <v>1</v>
      </c>
      <c r="R72" s="1665" t="b">
        <v>0</v>
      </c>
      <c r="S72" s="1665" t="b">
        <v>1</v>
      </c>
      <c r="T72" s="1665" t="b">
        <v>0</v>
      </c>
      <c r="W72" s="1671"/>
      <c r="X72" s="1799"/>
      <c r="AM72" s="1665"/>
      <c r="AN72" s="1665"/>
      <c r="AO72" s="1665"/>
      <c r="AP72" s="1665" t="s">
        <v>5764</v>
      </c>
      <c r="AQ72" s="254" t="str">
        <f t="shared" si="4"/>
        <v/>
      </c>
    </row>
    <row r="73" spans="4:45" customFormat="1" x14ac:dyDescent="0.25">
      <c r="D73" s="1806" t="s">
        <v>5750</v>
      </c>
      <c r="E73" s="1806"/>
      <c r="F73" s="1806"/>
      <c r="G73" s="1806"/>
      <c r="H73" s="1806"/>
      <c r="I73" s="1806"/>
      <c r="J73" s="1806"/>
      <c r="K73" s="1806"/>
      <c r="L73" s="1806"/>
      <c r="M73" s="1806"/>
      <c r="P73" s="1665" t="b">
        <v>1</v>
      </c>
      <c r="Q73" s="1665" t="b">
        <v>1</v>
      </c>
      <c r="R73" s="1665" t="b">
        <v>0</v>
      </c>
      <c r="S73" s="1665" t="b">
        <v>1</v>
      </c>
      <c r="T73" s="1665" t="b">
        <v>0</v>
      </c>
      <c r="W73" s="1676"/>
      <c r="X73" s="1756"/>
      <c r="AM73" s="1665"/>
      <c r="AN73" s="1665"/>
      <c r="AO73" s="1665"/>
      <c r="AP73" s="1665" t="s">
        <v>5765</v>
      </c>
      <c r="AQ73" s="254" t="str">
        <f t="shared" si="4"/>
        <v/>
      </c>
    </row>
    <row r="74" spans="4:45" x14ac:dyDescent="0.25">
      <c r="D74" s="2002" t="s">
        <v>5388</v>
      </c>
      <c r="E74" s="2002"/>
      <c r="F74" s="2002"/>
      <c r="G74" s="2002"/>
      <c r="H74" s="2002"/>
      <c r="I74" s="2002"/>
      <c r="J74" s="2002"/>
      <c r="K74" s="2002"/>
      <c r="L74" s="2002"/>
      <c r="M74" s="2002"/>
      <c r="O74" s="1461"/>
      <c r="W74" s="1461"/>
      <c r="X74" s="1757"/>
      <c r="AO74"/>
      <c r="AR74" s="1461" t="s">
        <v>5485</v>
      </c>
      <c r="AS74" s="254" t="str">
        <f>IF(LEN(X74)=0,"",X74)</f>
        <v/>
      </c>
    </row>
    <row r="75" spans="4:45" x14ac:dyDescent="0.25">
      <c r="D75" s="2002"/>
      <c r="E75" s="2002"/>
      <c r="F75" s="2002"/>
      <c r="G75" s="2002"/>
      <c r="H75" s="2002"/>
      <c r="I75" s="2002"/>
      <c r="J75" s="2002"/>
      <c r="K75" s="2002"/>
      <c r="L75" s="2002"/>
      <c r="M75" s="2002"/>
      <c r="O75" s="1461"/>
      <c r="W75" s="1461"/>
      <c r="X75" s="1757"/>
      <c r="AO75"/>
    </row>
    <row r="76" spans="4:45" x14ac:dyDescent="0.25">
      <c r="D76" s="2002"/>
      <c r="E76" s="2002"/>
      <c r="F76" s="2002"/>
      <c r="G76" s="2002"/>
      <c r="H76" s="2002"/>
      <c r="I76" s="2002"/>
      <c r="J76" s="2002"/>
      <c r="K76" s="2002"/>
      <c r="L76" s="2002"/>
      <c r="M76" s="2002"/>
      <c r="O76" s="1461"/>
      <c r="W76" s="1461"/>
      <c r="X76" s="1757"/>
      <c r="AO76"/>
    </row>
    <row r="77" spans="4:45" x14ac:dyDescent="0.25">
      <c r="D77" s="2002" t="s">
        <v>5389</v>
      </c>
      <c r="E77" s="2002"/>
      <c r="F77" s="2002"/>
      <c r="G77" s="2002"/>
      <c r="H77" s="2002"/>
      <c r="I77" s="2002"/>
      <c r="J77" s="2002"/>
      <c r="K77" s="2002"/>
      <c r="L77" s="2002"/>
      <c r="M77" s="2002"/>
      <c r="O77" s="1461"/>
      <c r="W77" s="1461"/>
      <c r="X77" s="1757"/>
      <c r="AO77"/>
      <c r="AR77" s="1461" t="s">
        <v>5486</v>
      </c>
      <c r="AS77" s="254" t="str">
        <f>IF(LEN(X77)=0,"",X77)</f>
        <v/>
      </c>
    </row>
    <row r="78" spans="4:45" x14ac:dyDescent="0.25">
      <c r="D78" s="2002"/>
      <c r="E78" s="2002"/>
      <c r="F78" s="2002"/>
      <c r="G78" s="2002"/>
      <c r="H78" s="2002"/>
      <c r="I78" s="2002"/>
      <c r="J78" s="2002"/>
      <c r="K78" s="2002"/>
      <c r="L78" s="2002"/>
      <c r="M78" s="2002"/>
      <c r="O78" s="1461"/>
      <c r="W78" s="1461"/>
      <c r="X78" s="1757"/>
      <c r="AO78"/>
    </row>
    <row r="79" spans="4:45" customFormat="1" x14ac:dyDescent="0.25">
      <c r="D79" s="2004" t="s">
        <v>5751</v>
      </c>
      <c r="E79" s="2005"/>
      <c r="F79" s="2005"/>
      <c r="G79" s="2005"/>
      <c r="H79" s="2005"/>
      <c r="I79" s="2005"/>
      <c r="J79" s="2005"/>
      <c r="K79" s="2005"/>
      <c r="L79" s="2005"/>
      <c r="M79" s="2006"/>
    </row>
    <row r="80" spans="4:45" customFormat="1" x14ac:dyDescent="0.25">
      <c r="D80" s="2007" t="s">
        <v>5752</v>
      </c>
      <c r="E80" s="2008"/>
      <c r="F80" s="2008"/>
      <c r="G80" s="2008"/>
      <c r="H80" s="2008"/>
      <c r="I80" s="2008"/>
      <c r="J80" s="2008"/>
      <c r="K80" s="2008"/>
      <c r="L80" s="2008"/>
      <c r="M80" s="2009"/>
      <c r="P80" s="1665" t="b">
        <v>1</v>
      </c>
      <c r="Q80" s="1665" t="b">
        <v>1</v>
      </c>
      <c r="R80" s="1665" t="b">
        <v>0</v>
      </c>
      <c r="S80" s="1665" t="b">
        <v>1</v>
      </c>
      <c r="T80" s="1665" t="b">
        <v>0</v>
      </c>
      <c r="W80" s="1673"/>
      <c r="X80" s="1798"/>
      <c r="AM80" s="1665"/>
      <c r="AN80" s="1665"/>
      <c r="AO80" s="1665"/>
      <c r="AP80" s="1665" t="s">
        <v>5766</v>
      </c>
      <c r="AQ80" s="254" t="str">
        <f>IF(LEN(W80)=0,"",W80)</f>
        <v/>
      </c>
      <c r="AR80" s="1665" t="s">
        <v>5773</v>
      </c>
      <c r="AS80" s="254" t="str">
        <f>IF(LEN(X80)=0,"",X80)</f>
        <v/>
      </c>
    </row>
    <row r="81" spans="2:45" customFormat="1" x14ac:dyDescent="0.25">
      <c r="D81" s="2007" t="s">
        <v>5753</v>
      </c>
      <c r="E81" s="2008"/>
      <c r="F81" s="2008"/>
      <c r="G81" s="2008"/>
      <c r="H81" s="2008"/>
      <c r="I81" s="2008"/>
      <c r="J81" s="2008"/>
      <c r="K81" s="2008"/>
      <c r="L81" s="2008"/>
      <c r="M81" s="2009"/>
      <c r="P81" s="1665" t="b">
        <v>1</v>
      </c>
      <c r="Q81" s="1665" t="b">
        <v>1</v>
      </c>
      <c r="R81" s="1665" t="b">
        <v>0</v>
      </c>
      <c r="S81" s="1665" t="b">
        <v>1</v>
      </c>
      <c r="T81" s="1665" t="b">
        <v>0</v>
      </c>
      <c r="W81" s="1674"/>
      <c r="X81" s="1799"/>
      <c r="AM81" s="1665"/>
      <c r="AN81" s="1665"/>
      <c r="AO81" s="1665"/>
      <c r="AP81" s="1665" t="s">
        <v>5767</v>
      </c>
      <c r="AQ81" s="254" t="str">
        <f t="shared" ref="AQ81:AQ84" si="5">IF(LEN(W81)=0,"",W81)</f>
        <v/>
      </c>
      <c r="AR81" s="1665"/>
      <c r="AS81" s="1665"/>
    </row>
    <row r="82" spans="2:45" customFormat="1" x14ac:dyDescent="0.25">
      <c r="D82" s="2007" t="s">
        <v>5754</v>
      </c>
      <c r="E82" s="2008"/>
      <c r="F82" s="2008"/>
      <c r="G82" s="2008"/>
      <c r="H82" s="2008"/>
      <c r="I82" s="2008"/>
      <c r="J82" s="2008"/>
      <c r="K82" s="2008"/>
      <c r="L82" s="2008"/>
      <c r="M82" s="2009"/>
      <c r="P82" s="1665" t="b">
        <v>1</v>
      </c>
      <c r="Q82" s="1665" t="b">
        <v>1</v>
      </c>
      <c r="R82" s="1665" t="b">
        <v>0</v>
      </c>
      <c r="S82" s="1665" t="b">
        <v>1</v>
      </c>
      <c r="T82" s="1665" t="b">
        <v>0</v>
      </c>
      <c r="W82" s="1674"/>
      <c r="X82" s="1799"/>
      <c r="AM82" s="1665"/>
      <c r="AN82" s="1665"/>
      <c r="AO82" s="1665"/>
      <c r="AP82" s="1665" t="s">
        <v>5768</v>
      </c>
      <c r="AQ82" s="254" t="str">
        <f t="shared" si="5"/>
        <v/>
      </c>
      <c r="AR82" s="1665"/>
      <c r="AS82" s="1665"/>
    </row>
    <row r="83" spans="2:45" customFormat="1" ht="15" customHeight="1" x14ac:dyDescent="0.25">
      <c r="D83" s="2007" t="s">
        <v>5758</v>
      </c>
      <c r="E83" s="2008"/>
      <c r="F83" s="2008"/>
      <c r="G83" s="2008"/>
      <c r="H83" s="2008"/>
      <c r="I83" s="2008"/>
      <c r="J83" s="2008"/>
      <c r="K83" s="2008"/>
      <c r="L83" s="2008"/>
      <c r="M83" s="2009"/>
      <c r="P83" s="1665" t="b">
        <v>1</v>
      </c>
      <c r="Q83" s="1665" t="b">
        <v>1</v>
      </c>
      <c r="R83" s="1665" t="b">
        <v>0</v>
      </c>
      <c r="S83" s="1665" t="b">
        <v>1</v>
      </c>
      <c r="T83" s="1665" t="b">
        <v>0</v>
      </c>
      <c r="W83" s="1675"/>
      <c r="X83" s="1799"/>
      <c r="AM83" s="1665"/>
      <c r="AN83" s="1665"/>
      <c r="AO83" s="1665"/>
      <c r="AP83" s="1665" t="s">
        <v>5769</v>
      </c>
      <c r="AQ83" s="254" t="str">
        <f t="shared" si="5"/>
        <v/>
      </c>
      <c r="AR83" s="1665"/>
      <c r="AS83" s="1665"/>
    </row>
    <row r="84" spans="2:45" customFormat="1" x14ac:dyDescent="0.25">
      <c r="D84" s="2007" t="s">
        <v>5755</v>
      </c>
      <c r="E84" s="2008"/>
      <c r="F84" s="2008"/>
      <c r="G84" s="2008"/>
      <c r="H84" s="2008"/>
      <c r="I84" s="2008"/>
      <c r="J84" s="2008"/>
      <c r="K84" s="2008"/>
      <c r="L84" s="2008"/>
      <c r="M84" s="2009"/>
      <c r="P84" s="1665" t="b">
        <v>1</v>
      </c>
      <c r="Q84" s="1665" t="b">
        <v>1</v>
      </c>
      <c r="R84" s="1665" t="b">
        <v>0</v>
      </c>
      <c r="S84" s="1665" t="b">
        <v>1</v>
      </c>
      <c r="T84" s="1665" t="b">
        <v>0</v>
      </c>
      <c r="W84" s="1454"/>
      <c r="X84" s="1799"/>
      <c r="AM84" s="1665"/>
      <c r="AN84" s="1665"/>
      <c r="AO84" s="1665"/>
      <c r="AP84" s="1665" t="s">
        <v>5770</v>
      </c>
      <c r="AQ84" s="254" t="str">
        <f t="shared" si="5"/>
        <v/>
      </c>
      <c r="AR84" s="1665"/>
      <c r="AS84" s="1665"/>
    </row>
    <row r="85" spans="2:45" customFormat="1" x14ac:dyDescent="0.25">
      <c r="D85" s="2007" t="s">
        <v>5756</v>
      </c>
      <c r="E85" s="2008"/>
      <c r="F85" s="2008"/>
      <c r="G85" s="2008"/>
      <c r="H85" s="2008"/>
      <c r="I85" s="2008"/>
      <c r="J85" s="2008"/>
      <c r="K85" s="2008"/>
      <c r="L85" s="2008"/>
      <c r="M85" s="2009"/>
      <c r="P85" s="1665" t="b">
        <v>1</v>
      </c>
      <c r="Q85" s="1665" t="b">
        <v>1</v>
      </c>
      <c r="R85" s="1665" t="b">
        <v>0</v>
      </c>
      <c r="S85" s="1665" t="b">
        <v>1</v>
      </c>
      <c r="T85" s="1665" t="b">
        <v>0</v>
      </c>
      <c r="W85" s="1008"/>
      <c r="X85" s="1756"/>
      <c r="AM85" s="1665"/>
      <c r="AN85" s="1665"/>
      <c r="AO85" s="1665"/>
      <c r="AP85" s="1665" t="s">
        <v>5771</v>
      </c>
      <c r="AQ85" s="254" t="str">
        <f t="shared" ref="AQ85" si="6">IF(LEN(W85)=0,"",W85)</f>
        <v/>
      </c>
    </row>
    <row r="86" spans="2:45" x14ac:dyDescent="0.25">
      <c r="O86" s="1461"/>
      <c r="W86" s="1461"/>
      <c r="AO86"/>
    </row>
    <row r="87" spans="2:45" x14ac:dyDescent="0.25">
      <c r="O87" s="1461"/>
      <c r="W87" s="1461"/>
      <c r="AO87"/>
    </row>
    <row r="88" spans="2:45" x14ac:dyDescent="0.25">
      <c r="O88" s="1461"/>
      <c r="W88" s="1461"/>
      <c r="AO88"/>
    </row>
    <row r="89" spans="2:45" ht="15" customHeight="1" x14ac:dyDescent="0.25">
      <c r="B89" s="1985" t="s">
        <v>5248</v>
      </c>
      <c r="C89" s="1985"/>
      <c r="D89" s="1985"/>
      <c r="E89" s="94"/>
      <c r="F89" s="113"/>
      <c r="G89" s="1997" t="str">
        <f ca="1">IF(AND(W110=TRUE,W97="Met",W106="Met"),"Earned","Not Earned")</f>
        <v>Not Earned</v>
      </c>
      <c r="H89" s="1997"/>
      <c r="I89" s="1997"/>
      <c r="J89" s="1997"/>
      <c r="K89" s="1997"/>
      <c r="L89" s="1997"/>
      <c r="M89" s="1997"/>
      <c r="N89" s="1997"/>
      <c r="O89" s="1998"/>
      <c r="P89" s="94"/>
      <c r="Q89" s="94"/>
      <c r="R89" s="94"/>
      <c r="S89" s="94"/>
      <c r="T89" s="94"/>
      <c r="U89" s="94"/>
      <c r="V89" s="94"/>
      <c r="W89" s="94"/>
      <c r="X89" s="94"/>
      <c r="Y89" s="94"/>
      <c r="AO89"/>
    </row>
    <row r="90" spans="2:45" ht="15.75" customHeight="1" thickBot="1" x14ac:dyDescent="0.3">
      <c r="B90" s="1986"/>
      <c r="C90" s="1986"/>
      <c r="D90" s="1986"/>
      <c r="E90" s="99"/>
      <c r="F90" s="1465"/>
      <c r="G90" s="1999"/>
      <c r="H90" s="1999"/>
      <c r="I90" s="1999"/>
      <c r="J90" s="1999"/>
      <c r="K90" s="1999"/>
      <c r="L90" s="1999"/>
      <c r="M90" s="1999"/>
      <c r="N90" s="1999"/>
      <c r="O90" s="2000"/>
      <c r="P90" s="99"/>
      <c r="Q90" s="99"/>
      <c r="R90" s="99"/>
      <c r="S90" s="99"/>
      <c r="T90" s="99"/>
      <c r="U90" s="99"/>
      <c r="V90" s="99"/>
      <c r="W90" s="99"/>
      <c r="X90" s="99"/>
      <c r="Y90" s="99"/>
      <c r="AO90"/>
    </row>
    <row r="91" spans="2:45" ht="15.75" thickTop="1" x14ac:dyDescent="0.25">
      <c r="O91" s="1461"/>
      <c r="W91" s="1461"/>
      <c r="AO91"/>
    </row>
    <row r="92" spans="2:45" x14ac:dyDescent="0.25">
      <c r="O92" s="1461"/>
      <c r="W92" s="1461"/>
      <c r="AO92"/>
    </row>
    <row r="93" spans="2:45" x14ac:dyDescent="0.25">
      <c r="C93" s="1459" t="s">
        <v>5254</v>
      </c>
      <c r="W93" s="1461"/>
      <c r="AO93"/>
    </row>
    <row r="94" spans="2:45" x14ac:dyDescent="0.25">
      <c r="C94" s="1445" t="s">
        <v>5255</v>
      </c>
      <c r="W94" s="1461"/>
      <c r="AO94"/>
    </row>
    <row r="95" spans="2:45" x14ac:dyDescent="0.25">
      <c r="D95" s="1461" t="s">
        <v>5390</v>
      </c>
      <c r="W95" s="1461"/>
      <c r="AO95"/>
    </row>
    <row r="96" spans="2:45" x14ac:dyDescent="0.25">
      <c r="C96" s="1445" t="s">
        <v>5407</v>
      </c>
      <c r="W96" s="1461"/>
      <c r="AO96"/>
    </row>
    <row r="97" spans="3:45" x14ac:dyDescent="0.25">
      <c r="C97" s="1461" t="s">
        <v>5257</v>
      </c>
      <c r="W97" s="2001" t="str">
        <f ca="1">IF('Ch6'!O546&gt;=10,"Met","Not Met")</f>
        <v>Not Met</v>
      </c>
      <c r="X97" s="1757"/>
      <c r="AO97"/>
      <c r="AR97" s="1461" t="s">
        <v>5487</v>
      </c>
      <c r="AS97" s="254" t="str">
        <f>IF(LEN(X97)=0,"",X97)</f>
        <v/>
      </c>
    </row>
    <row r="98" spans="3:45" x14ac:dyDescent="0.25">
      <c r="C98" s="1461" t="s">
        <v>5258</v>
      </c>
      <c r="W98" s="2001"/>
      <c r="X98" s="1757"/>
      <c r="AO98"/>
    </row>
    <row r="99" spans="3:45" ht="15" customHeight="1" x14ac:dyDescent="0.25">
      <c r="C99" s="1461" t="s">
        <v>5259</v>
      </c>
      <c r="W99" s="2001"/>
      <c r="X99" s="1757"/>
      <c r="AO99"/>
    </row>
    <row r="100" spans="3:45" x14ac:dyDescent="0.25">
      <c r="W100" s="1461"/>
      <c r="AO100"/>
    </row>
    <row r="101" spans="3:45" x14ac:dyDescent="0.25">
      <c r="W101" s="1461"/>
      <c r="AO101"/>
    </row>
    <row r="102" spans="3:45" x14ac:dyDescent="0.25">
      <c r="C102" s="1459" t="s">
        <v>5256</v>
      </c>
      <c r="W102" s="1461"/>
      <c r="AO102"/>
    </row>
    <row r="103" spans="3:45" x14ac:dyDescent="0.25">
      <c r="C103" s="1445" t="s">
        <v>5255</v>
      </c>
      <c r="W103" s="1461"/>
      <c r="AO103"/>
    </row>
    <row r="104" spans="3:45" x14ac:dyDescent="0.25">
      <c r="D104" s="1461" t="s">
        <v>5391</v>
      </c>
      <c r="W104" s="1461"/>
      <c r="AO104"/>
    </row>
    <row r="105" spans="3:45" x14ac:dyDescent="0.25">
      <c r="C105" s="1445" t="s">
        <v>5407</v>
      </c>
      <c r="W105" s="1461"/>
      <c r="AO105"/>
    </row>
    <row r="106" spans="3:45" x14ac:dyDescent="0.25">
      <c r="C106" s="1461" t="s">
        <v>5260</v>
      </c>
      <c r="W106" s="1468" t="str">
        <f ca="1">IF('Ch7'!O715&gt;=1,"Met","Not Met")</f>
        <v>Not Met</v>
      </c>
      <c r="X106" s="1462"/>
      <c r="AO106"/>
      <c r="AR106" s="1461" t="s">
        <v>5488</v>
      </c>
      <c r="AS106" s="254" t="str">
        <f>IF(LEN(X106)=0,"",X106)</f>
        <v/>
      </c>
    </row>
    <row r="107" spans="3:45" x14ac:dyDescent="0.25">
      <c r="W107" s="1461"/>
      <c r="AO107"/>
    </row>
    <row r="108" spans="3:45" x14ac:dyDescent="0.25">
      <c r="L108" s="1460"/>
      <c r="AO108"/>
    </row>
    <row r="109" spans="3:45" x14ac:dyDescent="0.25">
      <c r="C109" s="1459" t="s">
        <v>5261</v>
      </c>
      <c r="L109" s="1460"/>
      <c r="AO109"/>
    </row>
    <row r="110" spans="3:45" ht="15" customHeight="1" x14ac:dyDescent="0.25">
      <c r="C110" s="1699" t="s">
        <v>5262</v>
      </c>
      <c r="D110" s="1699"/>
      <c r="E110" s="1699"/>
      <c r="F110" s="1699"/>
      <c r="G110" s="1699"/>
      <c r="H110" s="1699"/>
      <c r="I110" s="1699"/>
      <c r="J110" s="1699"/>
      <c r="K110" s="1699"/>
      <c r="L110" s="1699"/>
      <c r="M110" s="8"/>
      <c r="N110" s="8"/>
      <c r="O110" s="8"/>
      <c r="P110" s="1461" t="b">
        <v>1</v>
      </c>
      <c r="Q110" s="1461" t="b">
        <v>1</v>
      </c>
      <c r="R110" s="1461" t="b">
        <v>1</v>
      </c>
      <c r="S110" s="1461" t="b">
        <v>1</v>
      </c>
      <c r="T110" s="1461" t="b">
        <v>0</v>
      </c>
      <c r="W110" s="25"/>
      <c r="X110" s="1757"/>
      <c r="AO110"/>
      <c r="AP110" s="1461" t="s">
        <v>5447</v>
      </c>
      <c r="AQ110" s="254" t="str">
        <f>IF(LEN(W110)=0,"",W110)</f>
        <v/>
      </c>
      <c r="AR110" s="1461" t="s">
        <v>5489</v>
      </c>
      <c r="AS110" s="254" t="str">
        <f>IF(LEN(X110)=0,"",X110)</f>
        <v/>
      </c>
    </row>
    <row r="111" spans="3:45" x14ac:dyDescent="0.25">
      <c r="C111" s="1699"/>
      <c r="D111" s="1699"/>
      <c r="E111" s="1699"/>
      <c r="F111" s="1699"/>
      <c r="G111" s="1699"/>
      <c r="H111" s="1699"/>
      <c r="I111" s="1699"/>
      <c r="J111" s="1699"/>
      <c r="K111" s="1699"/>
      <c r="L111" s="1699"/>
      <c r="X111" s="1757"/>
      <c r="AO111"/>
    </row>
    <row r="112" spans="3:45" x14ac:dyDescent="0.25">
      <c r="X112" s="1757"/>
      <c r="AO112"/>
    </row>
    <row r="113" spans="2:45" x14ac:dyDescent="0.25">
      <c r="AO113"/>
    </row>
    <row r="114" spans="2:45" x14ac:dyDescent="0.25">
      <c r="AO114"/>
    </row>
    <row r="115" spans="2:45" ht="15" customHeight="1" x14ac:dyDescent="0.25">
      <c r="AO115"/>
    </row>
    <row r="116" spans="2:45" x14ac:dyDescent="0.25">
      <c r="B116" s="1985" t="s">
        <v>5250</v>
      </c>
      <c r="C116" s="1985"/>
      <c r="D116" s="1985"/>
      <c r="E116" s="1985"/>
      <c r="F116" s="94"/>
      <c r="G116" s="2010" t="str">
        <f ca="1">IF(AND(N169&gt;=18,W125="Met",W139="Met",OR(R152=FALSE,W152=TRUE),W166=TRUE),"Earned","Not Earned")</f>
        <v>Not Earned</v>
      </c>
      <c r="H116" s="1997"/>
      <c r="I116" s="1997"/>
      <c r="J116" s="1997"/>
      <c r="K116" s="1997"/>
      <c r="L116" s="1997"/>
      <c r="M116" s="1997"/>
      <c r="N116" s="1997"/>
      <c r="O116" s="1998"/>
      <c r="P116" s="94"/>
      <c r="Q116" s="94"/>
      <c r="R116" s="94"/>
      <c r="S116" s="94"/>
      <c r="T116" s="94"/>
      <c r="U116" s="94"/>
      <c r="V116" s="94"/>
      <c r="W116" s="94"/>
      <c r="X116" s="94"/>
      <c r="Y116" s="94"/>
      <c r="AO116"/>
    </row>
    <row r="117" spans="2:45" ht="15.75" thickBot="1" x14ac:dyDescent="0.3">
      <c r="B117" s="1986"/>
      <c r="C117" s="1986"/>
      <c r="D117" s="1986"/>
      <c r="E117" s="1986"/>
      <c r="F117" s="99"/>
      <c r="G117" s="2011"/>
      <c r="H117" s="1999"/>
      <c r="I117" s="1999"/>
      <c r="J117" s="1999"/>
      <c r="K117" s="1999"/>
      <c r="L117" s="1999"/>
      <c r="M117" s="1999"/>
      <c r="N117" s="1999"/>
      <c r="O117" s="2000"/>
      <c r="P117" s="99"/>
      <c r="Q117" s="99"/>
      <c r="R117" s="99"/>
      <c r="S117" s="99"/>
      <c r="T117" s="99"/>
      <c r="U117" s="99"/>
      <c r="V117" s="99"/>
      <c r="W117" s="99"/>
      <c r="X117" s="99"/>
      <c r="Y117" s="99"/>
      <c r="AO117"/>
    </row>
    <row r="118" spans="2:45" ht="15.75" thickTop="1" x14ac:dyDescent="0.25">
      <c r="O118" s="1461"/>
      <c r="W118" s="1461"/>
      <c r="AM118" s="1460"/>
      <c r="AO118"/>
    </row>
    <row r="119" spans="2:45" x14ac:dyDescent="0.25">
      <c r="O119" s="1461"/>
      <c r="W119" s="1461"/>
      <c r="AM119" s="1460"/>
      <c r="AO119"/>
    </row>
    <row r="120" spans="2:45" x14ac:dyDescent="0.25">
      <c r="C120" s="1459" t="s">
        <v>5274</v>
      </c>
      <c r="L120" s="1460"/>
      <c r="AM120" s="1460"/>
      <c r="AO120"/>
    </row>
    <row r="121" spans="2:45" x14ac:dyDescent="0.25">
      <c r="C121" s="1445" t="s">
        <v>5255</v>
      </c>
      <c r="L121" s="1460"/>
      <c r="AO121"/>
    </row>
    <row r="122" spans="2:45" x14ac:dyDescent="0.25">
      <c r="D122" s="1461" t="s">
        <v>5275</v>
      </c>
      <c r="L122" s="1460"/>
      <c r="AO122"/>
    </row>
    <row r="123" spans="2:45" x14ac:dyDescent="0.25">
      <c r="D123" s="1461" t="s">
        <v>5408</v>
      </c>
      <c r="W123" s="1461"/>
      <c r="AO123"/>
    </row>
    <row r="124" spans="2:45" x14ac:dyDescent="0.25">
      <c r="C124" s="1445" t="s">
        <v>5407</v>
      </c>
      <c r="L124" s="1456"/>
      <c r="N124" s="1706" t="s">
        <v>249</v>
      </c>
      <c r="O124" s="1706"/>
      <c r="W124" s="1461"/>
      <c r="AO124"/>
    </row>
    <row r="125" spans="2:45" ht="15" customHeight="1" x14ac:dyDescent="0.25">
      <c r="C125" s="8" t="s">
        <v>5276</v>
      </c>
      <c r="D125" s="1458"/>
      <c r="E125" s="1458"/>
      <c r="F125" s="1458"/>
      <c r="G125" s="1458"/>
      <c r="H125" s="1458"/>
      <c r="I125" s="1458"/>
      <c r="J125" s="1458"/>
      <c r="N125" s="2012" t="s">
        <v>4108</v>
      </c>
      <c r="O125" s="2012"/>
      <c r="W125" s="1468" t="str">
        <f>IF(LEN('Ch6'!W542)&gt;0,"Met","Not Met")</f>
        <v>Not Met</v>
      </c>
      <c r="X125" s="1757"/>
      <c r="AO125"/>
      <c r="AR125" s="1461" t="s">
        <v>5490</v>
      </c>
      <c r="AS125" s="254" t="str">
        <f>IF(LEN(X125)=0,"",X125)</f>
        <v/>
      </c>
    </row>
    <row r="126" spans="2:45" x14ac:dyDescent="0.25">
      <c r="C126" s="1461" t="s">
        <v>5277</v>
      </c>
      <c r="L126" s="1467"/>
      <c r="N126" s="2013">
        <v>1</v>
      </c>
      <c r="O126" s="2013"/>
      <c r="P126" s="1461" t="b">
        <v>1</v>
      </c>
      <c r="Q126" s="1461" t="b">
        <v>1</v>
      </c>
      <c r="R126" s="1461" t="b">
        <v>0</v>
      </c>
      <c r="S126" s="1461" t="b">
        <v>1</v>
      </c>
      <c r="T126" s="1461" t="b">
        <v>0</v>
      </c>
      <c r="W126" s="25"/>
      <c r="X126" s="1757"/>
      <c r="AO126"/>
      <c r="AP126" s="1461" t="s">
        <v>5448</v>
      </c>
      <c r="AQ126" s="254" t="str">
        <f>IF(LEN(W126)=0,"",W126)</f>
        <v/>
      </c>
    </row>
    <row r="127" spans="2:45" x14ac:dyDescent="0.25">
      <c r="C127" s="1461" t="s">
        <v>5278</v>
      </c>
      <c r="L127" s="1466"/>
      <c r="N127" s="2014" t="s">
        <v>5283</v>
      </c>
      <c r="O127" s="2014"/>
      <c r="W127" s="1468">
        <f ca="1">'Ch7'!O557</f>
        <v>0</v>
      </c>
      <c r="X127" s="1757"/>
      <c r="AO127"/>
    </row>
    <row r="128" spans="2:45" x14ac:dyDescent="0.25">
      <c r="C128" s="1461" t="s">
        <v>5279</v>
      </c>
      <c r="L128" s="1467"/>
      <c r="N128" s="2013">
        <v>1</v>
      </c>
      <c r="O128" s="2013"/>
      <c r="W128" s="1468">
        <f>'Ch7'!O561</f>
        <v>0</v>
      </c>
      <c r="X128" s="1757"/>
      <c r="AO128"/>
    </row>
    <row r="129" spans="3:45" x14ac:dyDescent="0.25">
      <c r="C129" s="1461" t="s">
        <v>5280</v>
      </c>
      <c r="L129" s="1467"/>
      <c r="N129" s="2013">
        <v>1</v>
      </c>
      <c r="O129" s="2013"/>
      <c r="W129" s="1468">
        <f>'Ch7'!O581</f>
        <v>0</v>
      </c>
      <c r="X129" s="1757"/>
      <c r="AO129"/>
    </row>
    <row r="130" spans="3:45" x14ac:dyDescent="0.25">
      <c r="C130" s="1461" t="s">
        <v>5281</v>
      </c>
      <c r="L130" s="1466"/>
      <c r="N130" s="2014" t="s">
        <v>5401</v>
      </c>
      <c r="O130" s="2014"/>
      <c r="S130" s="1461" t="b">
        <f ca="1">IF($AY$18=INDEX(INDIRECT("ddSingleOrMulti"),2),TRUE,FALSE)</f>
        <v>0</v>
      </c>
      <c r="W130" s="1468">
        <f ca="1">('Ch7'!O564+'Ch7'!O568)*S130</f>
        <v>0</v>
      </c>
      <c r="X130" s="1757"/>
      <c r="AO130"/>
    </row>
    <row r="131" spans="3:45" x14ac:dyDescent="0.25">
      <c r="C131" s="1461" t="s">
        <v>5282</v>
      </c>
      <c r="L131" s="1466"/>
      <c r="N131" s="2014" t="s">
        <v>5409</v>
      </c>
      <c r="O131" s="2014"/>
      <c r="S131" s="1461" t="b">
        <f ca="1">IF($AY$18=INDEX(INDIRECT("ddSingleOrMulti"),2),TRUE,FALSE)</f>
        <v>0</v>
      </c>
      <c r="W131" s="1468">
        <f ca="1">'Ch7'!O573*S131</f>
        <v>0</v>
      </c>
      <c r="X131" s="1757"/>
      <c r="AO131"/>
    </row>
    <row r="132" spans="3:45" x14ac:dyDescent="0.25">
      <c r="W132" s="1461"/>
      <c r="AO132"/>
    </row>
    <row r="133" spans="3:45" x14ac:dyDescent="0.25">
      <c r="O133" s="1461"/>
      <c r="W133" s="1461"/>
      <c r="AO133"/>
    </row>
    <row r="134" spans="3:45" x14ac:dyDescent="0.25">
      <c r="C134" s="1459" t="s">
        <v>5284</v>
      </c>
      <c r="AO134"/>
    </row>
    <row r="135" spans="3:45" x14ac:dyDescent="0.25">
      <c r="C135" s="1445" t="s">
        <v>5285</v>
      </c>
      <c r="AO135"/>
    </row>
    <row r="136" spans="3:45" x14ac:dyDescent="0.25">
      <c r="D136" s="1461" t="s">
        <v>5275</v>
      </c>
      <c r="AO136"/>
    </row>
    <row r="137" spans="3:45" x14ac:dyDescent="0.25">
      <c r="D137" s="1461" t="s">
        <v>5408</v>
      </c>
      <c r="AO137"/>
    </row>
    <row r="138" spans="3:45" x14ac:dyDescent="0.25">
      <c r="C138" s="1445" t="s">
        <v>5407</v>
      </c>
      <c r="N138" s="2012" t="s">
        <v>249</v>
      </c>
      <c r="O138" s="2012"/>
      <c r="AO138"/>
    </row>
    <row r="139" spans="3:45" x14ac:dyDescent="0.25">
      <c r="C139" s="1461" t="s">
        <v>5286</v>
      </c>
      <c r="N139" s="2012" t="s">
        <v>4108</v>
      </c>
      <c r="O139" s="2012"/>
      <c r="W139" s="1468" t="str">
        <f>IF('Ch7'!W666=TRUE,"Met","Not Met")</f>
        <v>Not Met</v>
      </c>
      <c r="X139" s="1757"/>
      <c r="AO139"/>
      <c r="AR139" s="1461" t="s">
        <v>5491</v>
      </c>
      <c r="AS139" s="254" t="str">
        <f>IF(LEN(X139)=0,"",X139)</f>
        <v/>
      </c>
    </row>
    <row r="140" spans="3:45" x14ac:dyDescent="0.25">
      <c r="C140" s="1461" t="s">
        <v>5287</v>
      </c>
      <c r="N140" s="2012">
        <v>1</v>
      </c>
      <c r="O140" s="2012"/>
      <c r="W140" s="1468">
        <f>'Ch7'!O741</f>
        <v>0</v>
      </c>
      <c r="X140" s="1757"/>
      <c r="AO140"/>
    </row>
    <row r="141" spans="3:45" x14ac:dyDescent="0.25">
      <c r="C141" s="1461" t="s">
        <v>5288</v>
      </c>
      <c r="N141" s="2012">
        <v>2</v>
      </c>
      <c r="O141" s="2012"/>
      <c r="W141" s="1468">
        <f>'Ch7'!O746</f>
        <v>0</v>
      </c>
      <c r="X141" s="1757"/>
      <c r="AO141"/>
    </row>
    <row r="142" spans="3:45" x14ac:dyDescent="0.25">
      <c r="C142" s="1461" t="s">
        <v>5289</v>
      </c>
      <c r="N142" s="2012">
        <v>3</v>
      </c>
      <c r="O142" s="2012"/>
      <c r="W142" s="1468">
        <f>'Ch10'!O213</f>
        <v>0</v>
      </c>
      <c r="X142" s="1757"/>
      <c r="AO142"/>
    </row>
    <row r="143" spans="3:45" x14ac:dyDescent="0.25">
      <c r="C143" s="1461" t="s">
        <v>5290</v>
      </c>
      <c r="N143" s="2012">
        <v>2</v>
      </c>
      <c r="O143" s="2012"/>
      <c r="W143" s="1468">
        <f>MAX('Ch7'!O664-1,0)</f>
        <v>0</v>
      </c>
      <c r="X143" s="1757"/>
      <c r="AO143"/>
    </row>
    <row r="144" spans="3:45" x14ac:dyDescent="0.25">
      <c r="C144" s="1461" t="s">
        <v>5291</v>
      </c>
      <c r="N144" s="2012" t="s">
        <v>5283</v>
      </c>
      <c r="O144" s="2012"/>
      <c r="W144" s="1468">
        <f>'Ch7'!O686</f>
        <v>0</v>
      </c>
      <c r="X144" s="1757"/>
      <c r="AO144"/>
    </row>
    <row r="145" spans="3:45" x14ac:dyDescent="0.25">
      <c r="AO145"/>
    </row>
    <row r="146" spans="3:45" x14ac:dyDescent="0.25">
      <c r="O146" s="1461"/>
      <c r="W146" s="1461"/>
      <c r="AO146"/>
    </row>
    <row r="147" spans="3:45" x14ac:dyDescent="0.25">
      <c r="C147" s="627" t="s">
        <v>5292</v>
      </c>
      <c r="D147" s="8"/>
      <c r="E147" s="8"/>
      <c r="F147" s="8"/>
      <c r="G147" s="8"/>
      <c r="H147" s="8"/>
      <c r="I147" s="8"/>
      <c r="O147" s="1461"/>
      <c r="W147" s="1461"/>
      <c r="AO147"/>
    </row>
    <row r="148" spans="3:45" x14ac:dyDescent="0.25">
      <c r="C148" s="1446" t="s">
        <v>5255</v>
      </c>
      <c r="D148" s="8"/>
      <c r="E148" s="8"/>
      <c r="F148" s="8"/>
      <c r="G148" s="8"/>
      <c r="H148" s="8"/>
      <c r="I148" s="8"/>
      <c r="O148" s="1461"/>
      <c r="W148" s="1461"/>
      <c r="AO148"/>
    </row>
    <row r="149" spans="3:45" x14ac:dyDescent="0.25">
      <c r="D149" s="8" t="s">
        <v>5297</v>
      </c>
      <c r="E149" s="8"/>
      <c r="F149" s="8"/>
      <c r="G149" s="8"/>
      <c r="H149" s="8"/>
      <c r="I149" s="8"/>
      <c r="AO149"/>
    </row>
    <row r="150" spans="3:45" x14ac:dyDescent="0.25">
      <c r="D150" s="8" t="s">
        <v>5408</v>
      </c>
      <c r="AO150"/>
    </row>
    <row r="151" spans="3:45" x14ac:dyDescent="0.25">
      <c r="C151" s="1445" t="s">
        <v>5407</v>
      </c>
      <c r="E151" s="8"/>
      <c r="F151" s="8"/>
      <c r="G151" s="8"/>
      <c r="H151" s="8"/>
      <c r="I151" s="8"/>
      <c r="N151" s="1706" t="s">
        <v>249</v>
      </c>
      <c r="O151" s="1706"/>
      <c r="AO151"/>
    </row>
    <row r="152" spans="3:45" x14ac:dyDescent="0.25">
      <c r="C152" s="8" t="s">
        <v>5293</v>
      </c>
      <c r="E152" s="8"/>
      <c r="F152" s="8"/>
      <c r="G152" s="8"/>
      <c r="H152" s="8"/>
      <c r="I152" s="8"/>
      <c r="N152" s="2012" t="s">
        <v>4108</v>
      </c>
      <c r="O152" s="2012"/>
      <c r="P152" s="1461" t="b">
        <v>1</v>
      </c>
      <c r="Q152" s="1461" t="b">
        <v>1</v>
      </c>
      <c r="R152" s="1461" t="b">
        <f ca="1">S152</f>
        <v>0</v>
      </c>
      <c r="S152" s="1" t="b">
        <f ca="1">'Ch8'!S156</f>
        <v>0</v>
      </c>
      <c r="T152" s="1461" t="b">
        <v>0</v>
      </c>
      <c r="W152" s="25"/>
      <c r="X152" s="1757"/>
      <c r="AO152"/>
      <c r="AP152" s="1461" t="s">
        <v>5449</v>
      </c>
      <c r="AQ152" s="254" t="str">
        <f>IF(LEN(W152)=0,"",W152)</f>
        <v/>
      </c>
      <c r="AR152" s="1461" t="s">
        <v>5427</v>
      </c>
      <c r="AS152" s="254" t="str">
        <f>IF(LEN(X152)=0,"",X152)</f>
        <v/>
      </c>
    </row>
    <row r="153" spans="3:45" x14ac:dyDescent="0.25">
      <c r="C153" s="8" t="s">
        <v>5294</v>
      </c>
      <c r="E153" s="8"/>
      <c r="F153" s="8"/>
      <c r="G153" s="8"/>
      <c r="H153" s="8"/>
      <c r="I153" s="8"/>
      <c r="N153" s="1706">
        <v>3</v>
      </c>
      <c r="O153" s="1706"/>
      <c r="P153" s="1461" t="b">
        <v>1</v>
      </c>
      <c r="Q153" s="1461" t="b">
        <v>1</v>
      </c>
      <c r="R153" s="1461" t="b">
        <v>0</v>
      </c>
      <c r="S153" s="1461" t="b">
        <v>1</v>
      </c>
      <c r="T153" s="1461" t="b">
        <v>0</v>
      </c>
      <c r="W153" s="25"/>
      <c r="X153" s="1757"/>
      <c r="AO153"/>
      <c r="AP153" s="1461" t="s">
        <v>5450</v>
      </c>
      <c r="AQ153" s="254" t="str">
        <f>IF(LEN(W153)=0,"",W153)</f>
        <v/>
      </c>
    </row>
    <row r="154" spans="3:45" x14ac:dyDescent="0.25">
      <c r="C154" s="8" t="s">
        <v>5295</v>
      </c>
      <c r="D154" s="8"/>
      <c r="E154" s="8"/>
      <c r="F154" s="8"/>
      <c r="G154" s="8"/>
      <c r="H154" s="8"/>
      <c r="I154" s="8"/>
      <c r="N154" s="1706" t="s">
        <v>5402</v>
      </c>
      <c r="O154" s="1706"/>
      <c r="P154" s="1461" t="b">
        <v>1</v>
      </c>
      <c r="Q154" s="1461" t="b">
        <v>1</v>
      </c>
      <c r="R154" s="1461" t="b">
        <v>0</v>
      </c>
      <c r="S154" s="1461" t="b">
        <f ca="1">IF($AY$18=INDEX(INDIRECT("ddSingleOrMulti"),1),TRUE,FALSE)</f>
        <v>1</v>
      </c>
      <c r="T154" s="1461" t="b">
        <v>0</v>
      </c>
      <c r="W154" s="25"/>
      <c r="X154" s="1757"/>
      <c r="AO154"/>
      <c r="AP154" s="1461" t="s">
        <v>5451</v>
      </c>
      <c r="AQ154" s="254" t="str">
        <f>IF(LEN(W154)=0,"",W154)</f>
        <v/>
      </c>
    </row>
    <row r="155" spans="3:45" x14ac:dyDescent="0.25">
      <c r="C155" s="8" t="s">
        <v>5296</v>
      </c>
      <c r="D155" s="8"/>
      <c r="E155" s="8"/>
      <c r="F155" s="8"/>
      <c r="G155" s="8"/>
      <c r="H155" s="8"/>
      <c r="I155" s="8"/>
      <c r="N155" s="1706">
        <v>2</v>
      </c>
      <c r="O155" s="1706"/>
      <c r="P155" s="1461" t="b">
        <v>1</v>
      </c>
      <c r="Q155" s="1461" t="b">
        <v>1</v>
      </c>
      <c r="R155" s="1461" t="b">
        <v>0</v>
      </c>
      <c r="S155" s="1461" t="b">
        <v>1</v>
      </c>
      <c r="T155" s="1461" t="b">
        <v>0</v>
      </c>
      <c r="U155" s="1461" t="str">
        <f>'Verification Report'!U1852</f>
        <v>dd803_3</v>
      </c>
      <c r="W155" s="1464"/>
      <c r="X155" s="1757"/>
      <c r="AO155"/>
      <c r="AP155" s="1461" t="s">
        <v>5452</v>
      </c>
      <c r="AQ155" s="254" t="str">
        <f>IF(LEN(W155)=0,"",W155)</f>
        <v/>
      </c>
    </row>
    <row r="156" spans="3:45" x14ac:dyDescent="0.25">
      <c r="AO156"/>
    </row>
    <row r="157" spans="3:45" x14ac:dyDescent="0.25">
      <c r="AO157"/>
    </row>
    <row r="158" spans="3:45" x14ac:dyDescent="0.25">
      <c r="C158" s="1459" t="s">
        <v>5298</v>
      </c>
      <c r="O158" s="1461"/>
      <c r="W158" s="1461"/>
      <c r="AO158"/>
    </row>
    <row r="159" spans="3:45" x14ac:dyDescent="0.25">
      <c r="C159" s="1445" t="s">
        <v>5255</v>
      </c>
      <c r="O159" s="1461"/>
      <c r="W159" s="1461"/>
      <c r="AO159"/>
    </row>
    <row r="160" spans="3:45" x14ac:dyDescent="0.25">
      <c r="C160" s="1458"/>
      <c r="D160" s="1461" t="s">
        <v>5424</v>
      </c>
      <c r="O160" s="1461"/>
      <c r="W160" s="1461"/>
      <c r="AO160"/>
    </row>
    <row r="161" spans="2:45" x14ac:dyDescent="0.25">
      <c r="C161" s="1445" t="s">
        <v>5407</v>
      </c>
      <c r="N161" s="1706" t="s">
        <v>249</v>
      </c>
      <c r="O161" s="1706"/>
      <c r="W161" s="1461"/>
      <c r="AO161"/>
    </row>
    <row r="162" spans="2:45" x14ac:dyDescent="0.25">
      <c r="C162" s="1461" t="s">
        <v>5299</v>
      </c>
      <c r="N162" s="1706">
        <v>1</v>
      </c>
      <c r="O162" s="1706"/>
      <c r="W162" s="1468">
        <f>'Ch7'!O748</f>
        <v>0</v>
      </c>
      <c r="X162" s="1757"/>
      <c r="AO162"/>
      <c r="AR162" s="1461" t="s">
        <v>5492</v>
      </c>
      <c r="AS162" s="254" t="str">
        <f>IF(LEN(X162)=0,"",X162)</f>
        <v/>
      </c>
    </row>
    <row r="163" spans="2:45" x14ac:dyDescent="0.25">
      <c r="C163" s="1461" t="s">
        <v>5300</v>
      </c>
      <c r="N163" s="1706">
        <v>2</v>
      </c>
      <c r="O163" s="1706"/>
      <c r="W163" s="1468">
        <f>'Ch9'!O366</f>
        <v>0</v>
      </c>
      <c r="X163" s="1757"/>
      <c r="AO163"/>
    </row>
    <row r="164" spans="2:45" x14ac:dyDescent="0.25">
      <c r="O164" s="1461"/>
      <c r="W164" s="1461"/>
      <c r="AO164"/>
    </row>
    <row r="165" spans="2:45" ht="15" customHeight="1" x14ac:dyDescent="0.25">
      <c r="C165" s="1459" t="s">
        <v>5261</v>
      </c>
      <c r="L165" s="1460"/>
      <c r="W165" s="1461"/>
      <c r="AO165"/>
    </row>
    <row r="166" spans="2:45" ht="15" customHeight="1" x14ac:dyDescent="0.25">
      <c r="D166" s="1699" t="s">
        <v>5301</v>
      </c>
      <c r="E166" s="1699"/>
      <c r="F166" s="1699"/>
      <c r="G166" s="1699"/>
      <c r="H166" s="1699"/>
      <c r="I166" s="1699"/>
      <c r="J166" s="1699"/>
      <c r="K166" s="1699"/>
      <c r="L166" s="1699"/>
      <c r="M166" s="1699"/>
      <c r="N166" s="1458"/>
      <c r="O166" s="1458"/>
      <c r="P166" s="1461" t="b">
        <v>1</v>
      </c>
      <c r="Q166" s="1461" t="b">
        <v>1</v>
      </c>
      <c r="R166" s="1461" t="b">
        <v>1</v>
      </c>
      <c r="S166" s="1461" t="b">
        <v>1</v>
      </c>
      <c r="T166" s="1461" t="b">
        <v>0</v>
      </c>
      <c r="W166" s="25"/>
      <c r="X166" s="1757"/>
      <c r="AO166"/>
      <c r="AP166" s="1461" t="s">
        <v>5453</v>
      </c>
      <c r="AQ166" s="254" t="str">
        <f>IF(LEN(W166)=0,"",W166)</f>
        <v/>
      </c>
      <c r="AR166" s="1461" t="s">
        <v>5493</v>
      </c>
      <c r="AS166" s="254" t="str">
        <f>IF(LEN(X166)=0,"",X166)</f>
        <v/>
      </c>
    </row>
    <row r="167" spans="2:45" x14ac:dyDescent="0.25">
      <c r="D167" s="1699"/>
      <c r="E167" s="1699"/>
      <c r="F167" s="1699"/>
      <c r="G167" s="1699"/>
      <c r="H167" s="1699"/>
      <c r="I167" s="1699"/>
      <c r="J167" s="1699"/>
      <c r="K167" s="1699"/>
      <c r="L167" s="1699"/>
      <c r="M167" s="1699"/>
      <c r="N167" s="1458"/>
      <c r="O167" s="1458"/>
      <c r="X167" s="1757"/>
      <c r="AO167"/>
    </row>
    <row r="168" spans="2:45" x14ac:dyDescent="0.25">
      <c r="N168" s="1984" t="s">
        <v>5393</v>
      </c>
      <c r="O168" s="1984"/>
      <c r="AO168"/>
    </row>
    <row r="169" spans="2:45" x14ac:dyDescent="0.25">
      <c r="N169" s="1984">
        <f ca="1">SUM(W127:W131)+SUM(W140:W144)+SUM(W162:W163)+(1*W126)+(3*W153)+(10*W154*S154)+(2*(LEN(W155)&gt;0))</f>
        <v>0</v>
      </c>
      <c r="O169" s="1984"/>
      <c r="AO169"/>
    </row>
    <row r="170" spans="2:45" ht="15" customHeight="1" x14ac:dyDescent="0.25">
      <c r="N170" s="1937" t="str">
        <f ca="1">IF(N169&lt;18,"need "&amp;18-N169&amp;" more","")</f>
        <v>need 18 more</v>
      </c>
      <c r="O170" s="1937"/>
      <c r="AO170"/>
    </row>
    <row r="171" spans="2:45" ht="15" customHeight="1" x14ac:dyDescent="0.25">
      <c r="AO171"/>
    </row>
    <row r="172" spans="2:45" ht="15" customHeight="1" x14ac:dyDescent="0.25">
      <c r="B172" s="731"/>
      <c r="AO172"/>
    </row>
    <row r="173" spans="2:45" x14ac:dyDescent="0.25">
      <c r="B173" s="1985" t="s">
        <v>5249</v>
      </c>
      <c r="C173" s="1985"/>
      <c r="D173" s="1985"/>
      <c r="E173" s="1985"/>
      <c r="F173" s="1985"/>
      <c r="G173" s="2010" t="str">
        <f>IF(COUNTIF(W181:W189,"Not Met")=0,"Earned","Not Earned")</f>
        <v>Not Earned</v>
      </c>
      <c r="H173" s="1997"/>
      <c r="I173" s="1997"/>
      <c r="J173" s="1997"/>
      <c r="K173" s="1997"/>
      <c r="L173" s="1997"/>
      <c r="M173" s="1997"/>
      <c r="N173" s="1997"/>
      <c r="O173" s="1998"/>
      <c r="P173" s="94"/>
      <c r="Q173" s="94"/>
      <c r="R173" s="94"/>
      <c r="S173" s="94"/>
      <c r="T173" s="94"/>
      <c r="U173" s="94"/>
      <c r="V173" s="94"/>
      <c r="W173" s="94"/>
      <c r="X173" s="94"/>
      <c r="Y173" s="94"/>
      <c r="AO173"/>
    </row>
    <row r="174" spans="2:45" ht="15.75" thickBot="1" x14ac:dyDescent="0.3">
      <c r="B174" s="1986"/>
      <c r="C174" s="1986"/>
      <c r="D174" s="1986"/>
      <c r="E174" s="1986"/>
      <c r="F174" s="1986"/>
      <c r="G174" s="2011"/>
      <c r="H174" s="1999"/>
      <c r="I174" s="1999"/>
      <c r="J174" s="1999"/>
      <c r="K174" s="1999"/>
      <c r="L174" s="1999"/>
      <c r="M174" s="1999"/>
      <c r="N174" s="1999"/>
      <c r="O174" s="2000"/>
      <c r="P174" s="99"/>
      <c r="Q174" s="99"/>
      <c r="R174" s="99"/>
      <c r="S174" s="99"/>
      <c r="T174" s="99"/>
      <c r="U174" s="99"/>
      <c r="V174" s="99"/>
      <c r="W174" s="99"/>
      <c r="X174" s="99"/>
      <c r="Y174" s="99"/>
      <c r="AO174"/>
    </row>
    <row r="175" spans="2:45" ht="15.75" thickTop="1" x14ac:dyDescent="0.25">
      <c r="O175" s="1461"/>
      <c r="W175" s="1461"/>
      <c r="AO175"/>
    </row>
    <row r="176" spans="2:45" x14ac:dyDescent="0.25">
      <c r="O176" s="1461"/>
      <c r="W176" s="1461"/>
      <c r="AO176"/>
    </row>
    <row r="177" spans="2:41" ht="15.75" customHeight="1" x14ac:dyDescent="0.25">
      <c r="C177" s="1459" t="s">
        <v>5263</v>
      </c>
      <c r="W177" s="1461"/>
      <c r="AO177"/>
    </row>
    <row r="178" spans="2:41" ht="15" customHeight="1" x14ac:dyDescent="0.25">
      <c r="C178" s="1445" t="s">
        <v>5255</v>
      </c>
      <c r="W178" s="1461"/>
      <c r="AO178"/>
    </row>
    <row r="179" spans="2:41" ht="15.75" customHeight="1" x14ac:dyDescent="0.25">
      <c r="D179" s="8" t="s">
        <v>5266</v>
      </c>
      <c r="W179" s="1461"/>
      <c r="AO179"/>
    </row>
    <row r="180" spans="2:41" x14ac:dyDescent="0.25">
      <c r="C180" s="1445" t="s">
        <v>5407</v>
      </c>
      <c r="W180" s="1461"/>
      <c r="AO180"/>
    </row>
    <row r="181" spans="2:41" x14ac:dyDescent="0.25">
      <c r="C181" s="94" t="s">
        <v>5267</v>
      </c>
      <c r="D181" s="94"/>
      <c r="W181" s="1468" t="str">
        <f>IF('Ch6'!W521=TRUE,"Met","Not Met")</f>
        <v>Not Met</v>
      </c>
      <c r="AO181"/>
    </row>
    <row r="182" spans="2:41" x14ac:dyDescent="0.25">
      <c r="B182" s="94"/>
      <c r="C182" s="1461" t="s">
        <v>5268</v>
      </c>
      <c r="E182" s="94"/>
      <c r="F182" s="94"/>
      <c r="G182" s="94"/>
      <c r="H182" s="94"/>
      <c r="I182" s="94"/>
      <c r="J182" s="94"/>
      <c r="K182" s="94"/>
      <c r="L182" s="94"/>
      <c r="P182" s="94"/>
      <c r="Q182" s="94"/>
      <c r="R182" s="94"/>
      <c r="S182" s="94"/>
      <c r="T182" s="94"/>
      <c r="U182" s="94"/>
      <c r="V182" s="94"/>
      <c r="W182" s="1468" t="str">
        <f>IF('Ch6'!W526=TRUE,"Met","Not Met")</f>
        <v>Not Met</v>
      </c>
      <c r="X182" s="94"/>
      <c r="Y182" s="94"/>
      <c r="AO182"/>
    </row>
    <row r="183" spans="2:41" x14ac:dyDescent="0.25">
      <c r="C183" s="1461" t="s">
        <v>5269</v>
      </c>
      <c r="L183" s="1460"/>
      <c r="W183" s="1468" t="str">
        <f>IF('Ch6'!W530=TRUE,"Met","Not Met")</f>
        <v>Not Met</v>
      </c>
      <c r="AO183"/>
    </row>
    <row r="184" spans="2:41" x14ac:dyDescent="0.25">
      <c r="C184" s="1461" t="s">
        <v>5270</v>
      </c>
      <c r="L184" s="1460"/>
      <c r="W184" s="1468" t="str">
        <f>IF('Ch6'!W532=TRUE,"Met","Not Met")</f>
        <v>Not Met</v>
      </c>
      <c r="AO184"/>
    </row>
    <row r="185" spans="2:41" x14ac:dyDescent="0.25">
      <c r="C185" s="1461" t="s">
        <v>5271</v>
      </c>
      <c r="L185" s="1460"/>
      <c r="W185" s="1468" t="str">
        <f>IF('Ch6'!W534=TRUE,"Met","Not Met")</f>
        <v>Not Met</v>
      </c>
      <c r="AO185"/>
    </row>
    <row r="186" spans="2:41" x14ac:dyDescent="0.25">
      <c r="C186" s="1461" t="s">
        <v>5272</v>
      </c>
      <c r="W186" s="1468" t="str">
        <f>IF('Ch6'!W535=TRUE,"Met","Not Met")</f>
        <v>Not Met</v>
      </c>
      <c r="AO186"/>
    </row>
    <row r="187" spans="2:41" x14ac:dyDescent="0.25">
      <c r="C187" s="1461" t="s">
        <v>5273</v>
      </c>
      <c r="W187" s="1468" t="str">
        <f>IF('Ch6'!W536=TRUE,"Met","Not Met")</f>
        <v>Not Met</v>
      </c>
      <c r="AO187"/>
    </row>
    <row r="188" spans="2:41" x14ac:dyDescent="0.25">
      <c r="C188" s="1461" t="s">
        <v>5264</v>
      </c>
      <c r="W188" s="1468" t="str">
        <f>IF('Ch6'!W540=TRUE,"Met","Not Met")</f>
        <v>Not Met</v>
      </c>
      <c r="AO188"/>
    </row>
    <row r="189" spans="2:41" ht="15" customHeight="1" x14ac:dyDescent="0.25">
      <c r="C189" s="1699" t="s">
        <v>5265</v>
      </c>
      <c r="D189" s="1699"/>
      <c r="E189" s="1699"/>
      <c r="F189" s="1699"/>
      <c r="G189" s="1699"/>
      <c r="H189" s="1699"/>
      <c r="I189" s="1699"/>
      <c r="J189" s="1699"/>
      <c r="K189" s="1699"/>
      <c r="L189" s="1699"/>
      <c r="O189" s="1461"/>
      <c r="W189" s="1468" t="str">
        <f>IF(LEN('Ch6'!W542)&gt;0,"Met","Not Met")</f>
        <v>Not Met</v>
      </c>
      <c r="AO189"/>
    </row>
    <row r="190" spans="2:41" x14ac:dyDescent="0.25">
      <c r="C190" s="1699"/>
      <c r="D190" s="1699"/>
      <c r="E190" s="1699"/>
      <c r="F190" s="1699"/>
      <c r="G190" s="1699"/>
      <c r="H190" s="1699"/>
      <c r="I190" s="1699"/>
      <c r="J190" s="1699"/>
      <c r="K190" s="1699"/>
      <c r="L190" s="1699"/>
      <c r="W190" s="1461"/>
      <c r="AO190"/>
    </row>
    <row r="191" spans="2:41" x14ac:dyDescent="0.25">
      <c r="W191" s="1461"/>
      <c r="AO191"/>
    </row>
    <row r="192" spans="2:41" ht="15" customHeight="1" x14ac:dyDescent="0.25">
      <c r="W192" s="1461"/>
      <c r="AO192"/>
    </row>
    <row r="193" spans="2:45" ht="15" customHeight="1" x14ac:dyDescent="0.25">
      <c r="W193" s="1461"/>
      <c r="AO193"/>
    </row>
    <row r="194" spans="2:45" x14ac:dyDescent="0.25">
      <c r="B194" s="1985" t="s">
        <v>5251</v>
      </c>
      <c r="C194" s="1985"/>
      <c r="D194" s="1985"/>
      <c r="E194" s="94"/>
      <c r="F194" s="94"/>
      <c r="G194" s="2010" t="str">
        <f ca="1">IF(AND(N303&gt;=29,OR(W203="Met",W203="N/A"),OR(W204="Met",W204="N/A"),COUNTIF(W205:W207,"Not Met")=0,COUNTIF(W208:W214,"&gt;0")&gt;=3,W223="Met",W246="Met",OR(W256="Met",W256="N/A"),SUM(W287:W291)&gt;=15),"Earned","Not Earned")</f>
        <v>Not Earned</v>
      </c>
      <c r="H194" s="1997"/>
      <c r="I194" s="1997"/>
      <c r="J194" s="1997"/>
      <c r="K194" s="1997"/>
      <c r="L194" s="1997"/>
      <c r="M194" s="1997"/>
      <c r="N194" s="1997"/>
      <c r="O194" s="1998"/>
      <c r="P194" s="94"/>
      <c r="Q194" s="94"/>
      <c r="R194" s="94"/>
      <c r="S194" s="94"/>
      <c r="T194" s="94"/>
      <c r="U194" s="94"/>
      <c r="V194" s="94"/>
      <c r="W194" s="94"/>
      <c r="X194" s="94"/>
      <c r="Y194" s="94"/>
      <c r="AO194"/>
    </row>
    <row r="195" spans="2:45" ht="15.75" thickBot="1" x14ac:dyDescent="0.3">
      <c r="B195" s="1986"/>
      <c r="C195" s="1986"/>
      <c r="D195" s="1986"/>
      <c r="E195" s="99"/>
      <c r="F195" s="99"/>
      <c r="G195" s="2011"/>
      <c r="H195" s="1999"/>
      <c r="I195" s="1999"/>
      <c r="J195" s="1999"/>
      <c r="K195" s="1999"/>
      <c r="L195" s="1999"/>
      <c r="M195" s="1999"/>
      <c r="N195" s="1999"/>
      <c r="O195" s="2000"/>
      <c r="P195" s="99"/>
      <c r="Q195" s="99"/>
      <c r="R195" s="99"/>
      <c r="S195" s="99"/>
      <c r="T195" s="99"/>
      <c r="U195" s="99"/>
      <c r="V195" s="99"/>
      <c r="W195" s="99"/>
      <c r="X195" s="99"/>
      <c r="Y195" s="99"/>
      <c r="AO195"/>
    </row>
    <row r="196" spans="2:45" ht="15.75" thickTop="1" x14ac:dyDescent="0.25">
      <c r="AO196"/>
    </row>
    <row r="197" spans="2:45" x14ac:dyDescent="0.25">
      <c r="AO197"/>
    </row>
    <row r="198" spans="2:45" x14ac:dyDescent="0.25">
      <c r="C198" s="1459" t="s">
        <v>5302</v>
      </c>
      <c r="AO198"/>
    </row>
    <row r="199" spans="2:45" x14ac:dyDescent="0.25">
      <c r="C199" s="1445" t="s">
        <v>5255</v>
      </c>
      <c r="AO199"/>
    </row>
    <row r="200" spans="2:45" x14ac:dyDescent="0.25">
      <c r="D200" s="8" t="s">
        <v>5303</v>
      </c>
      <c r="AO200"/>
    </row>
    <row r="201" spans="2:45" x14ac:dyDescent="0.25">
      <c r="D201" s="1461" t="s">
        <v>5410</v>
      </c>
      <c r="AO201"/>
    </row>
    <row r="202" spans="2:45" x14ac:dyDescent="0.25">
      <c r="C202" s="1445" t="s">
        <v>5407</v>
      </c>
      <c r="N202" s="1706" t="s">
        <v>249</v>
      </c>
      <c r="O202" s="1706"/>
      <c r="R202" s="1492" t="b">
        <f>OR(LEN(W203)&gt;0,LEN(W204)&gt;0,LEN(W256)&gt;0)</f>
        <v>0</v>
      </c>
      <c r="AO202"/>
    </row>
    <row r="203" spans="2:45" x14ac:dyDescent="0.25">
      <c r="C203" s="1461" t="s">
        <v>5304</v>
      </c>
      <c r="N203" s="2012" t="s">
        <v>4108</v>
      </c>
      <c r="O203" s="2012"/>
      <c r="P203" s="1490" t="b">
        <v>1</v>
      </c>
      <c r="Q203" s="1490" t="b">
        <v>1</v>
      </c>
      <c r="R203" s="1490" t="b">
        <f>R202</f>
        <v>0</v>
      </c>
      <c r="S203" s="1490" t="b">
        <v>1</v>
      </c>
      <c r="T203" s="1490" t="b">
        <v>0</v>
      </c>
      <c r="U203" s="1490" t="s">
        <v>5608</v>
      </c>
      <c r="W203" s="1491"/>
      <c r="X203" s="1757"/>
      <c r="AC203" s="1492" t="b">
        <f>OR(AD203:AE203)</f>
        <v>0</v>
      </c>
      <c r="AD203" s="1492" t="b">
        <f>T203</f>
        <v>0</v>
      </c>
      <c r="AE203" s="1492" t="b">
        <f>AND(R203=TRUE,OR(LEN(W203)=0,W203="Not Met"))</f>
        <v>0</v>
      </c>
      <c r="AF203" s="1492" t="b">
        <f>AND(AE203,NOT(Q203))</f>
        <v>0</v>
      </c>
      <c r="AO203"/>
      <c r="AP203" s="1492" t="s">
        <v>5609</v>
      </c>
      <c r="AQ203" s="254" t="str">
        <f>IF(LEN(W203)=0,"",W203)</f>
        <v/>
      </c>
      <c r="AR203" s="1461" t="s">
        <v>5494</v>
      </c>
      <c r="AS203" s="254" t="str">
        <f>IF(LEN(X203)=0,"",X203)</f>
        <v/>
      </c>
    </row>
    <row r="204" spans="2:45" x14ac:dyDescent="0.25">
      <c r="C204" s="1461" t="s">
        <v>5305</v>
      </c>
      <c r="N204" s="2012" t="s">
        <v>4108</v>
      </c>
      <c r="O204" s="2012"/>
      <c r="P204" s="1490" t="b">
        <v>1</v>
      </c>
      <c r="Q204" s="1490" t="b">
        <v>1</v>
      </c>
      <c r="R204" s="1492" t="b">
        <f>R202</f>
        <v>0</v>
      </c>
      <c r="S204" s="1490" t="b">
        <v>1</v>
      </c>
      <c r="T204" s="1490" t="b">
        <v>0</v>
      </c>
      <c r="U204" s="1490" t="s">
        <v>5608</v>
      </c>
      <c r="W204" s="1491"/>
      <c r="X204" s="1757"/>
      <c r="AC204" s="1492" t="b">
        <f>OR(AD204:AE204)</f>
        <v>0</v>
      </c>
      <c r="AD204" s="1492" t="b">
        <f>T204</f>
        <v>0</v>
      </c>
      <c r="AE204" s="1492" t="b">
        <f>AND(R204=TRUE,OR(LEN(W204)=0,W204="Not Met"))</f>
        <v>0</v>
      </c>
      <c r="AF204" s="1492" t="b">
        <f>AND(AE204,NOT(Q204))</f>
        <v>0</v>
      </c>
      <c r="AO204"/>
      <c r="AP204" s="1492" t="s">
        <v>5610</v>
      </c>
      <c r="AQ204" s="254" t="str">
        <f>IF(LEN(W204)=0,"",W204)</f>
        <v/>
      </c>
    </row>
    <row r="205" spans="2:45" x14ac:dyDescent="0.25">
      <c r="C205" s="1461" t="s">
        <v>5306</v>
      </c>
      <c r="N205" s="2012" t="s">
        <v>4108</v>
      </c>
      <c r="O205" s="2012"/>
      <c r="W205" s="1468" t="str">
        <f ca="1">IF('Ch9'!O219&gt;0,"Met","Not Met")</f>
        <v>Not Met</v>
      </c>
      <c r="X205" s="1757"/>
      <c r="AO205"/>
    </row>
    <row r="206" spans="2:45" x14ac:dyDescent="0.25">
      <c r="C206" s="1461" t="s">
        <v>5660</v>
      </c>
      <c r="N206" s="2012" t="s">
        <v>5661</v>
      </c>
      <c r="O206" s="2012"/>
      <c r="P206" s="1600"/>
      <c r="Q206" s="1600"/>
      <c r="R206" s="1600"/>
      <c r="S206" s="1600"/>
      <c r="T206" s="1600"/>
      <c r="U206" s="1600"/>
      <c r="V206" s="1600"/>
      <c r="W206" s="1601" t="str">
        <f ca="1">IF(AND('Ch9'!S176=FALSE,'Ch9'!S178=FALSE),"N/A",IF(AND(OR('Ch9'!S176=FALSE,'Ch9'!W176=TRUE),OR('Ch9'!S178=FALSE,'Ch9'!W178=TRUE)),"Met","Not Met"))</f>
        <v>N/A</v>
      </c>
      <c r="X206" s="1757"/>
      <c r="AO206"/>
    </row>
    <row r="207" spans="2:45" x14ac:dyDescent="0.25">
      <c r="C207" s="1461" t="s">
        <v>5307</v>
      </c>
      <c r="N207" s="2012" t="s">
        <v>4108</v>
      </c>
      <c r="O207" s="2012"/>
      <c r="W207" s="1468" t="s">
        <v>3039</v>
      </c>
      <c r="X207" s="1757"/>
      <c r="AO207"/>
    </row>
    <row r="208" spans="2:45" x14ac:dyDescent="0.25">
      <c r="C208" s="1461" t="s">
        <v>5308</v>
      </c>
      <c r="N208" s="1706" t="s">
        <v>5411</v>
      </c>
      <c r="O208" s="1706"/>
      <c r="S208" s="1461" t="b">
        <f ca="1">IF($AY$18=INDEX(INDIRECT("ddSingleOrMulti"),2),TRUE,FALSE)</f>
        <v>0</v>
      </c>
      <c r="W208" s="1468">
        <f ca="1">'Ch9'!O215*S208</f>
        <v>0</v>
      </c>
      <c r="X208" s="1757"/>
      <c r="AO208"/>
    </row>
    <row r="209" spans="3:45" x14ac:dyDescent="0.25">
      <c r="C209" s="1461" t="s">
        <v>5309</v>
      </c>
      <c r="N209" s="1706">
        <v>6</v>
      </c>
      <c r="O209" s="1706"/>
      <c r="W209" s="1468">
        <f>'Ch9'!O55</f>
        <v>0</v>
      </c>
      <c r="X209" s="1757"/>
      <c r="AO209"/>
    </row>
    <row r="210" spans="3:45" x14ac:dyDescent="0.25">
      <c r="C210" s="1461" t="s">
        <v>5310</v>
      </c>
      <c r="N210" s="1706">
        <v>3</v>
      </c>
      <c r="O210" s="1706"/>
      <c r="W210" s="1468">
        <f>'Ch9'!O312</f>
        <v>0</v>
      </c>
      <c r="X210" s="1757"/>
      <c r="AO210"/>
    </row>
    <row r="211" spans="3:45" x14ac:dyDescent="0.25">
      <c r="C211" s="1461" t="s">
        <v>5311</v>
      </c>
      <c r="N211" s="1706">
        <v>2</v>
      </c>
      <c r="O211" s="1706"/>
      <c r="W211" s="1468">
        <f>'Ch9'!O344</f>
        <v>0</v>
      </c>
      <c r="X211" s="1757"/>
      <c r="AO211"/>
    </row>
    <row r="212" spans="3:45" x14ac:dyDescent="0.25">
      <c r="C212" s="1461" t="s">
        <v>5312</v>
      </c>
      <c r="N212" s="1706">
        <v>3</v>
      </c>
      <c r="O212" s="1706"/>
      <c r="W212" s="1468">
        <f>'Ch9'!O349</f>
        <v>0</v>
      </c>
      <c r="X212" s="1757"/>
      <c r="AO212"/>
    </row>
    <row r="213" spans="3:45" x14ac:dyDescent="0.25">
      <c r="C213" s="1461" t="s">
        <v>5299</v>
      </c>
      <c r="N213" s="1706">
        <v>1</v>
      </c>
      <c r="O213" s="1706"/>
      <c r="W213" s="1468">
        <f>'Ch7'!O748</f>
        <v>0</v>
      </c>
      <c r="X213" s="1757"/>
      <c r="AO213"/>
    </row>
    <row r="214" spans="3:45" x14ac:dyDescent="0.25">
      <c r="C214" s="1461" t="s">
        <v>5313</v>
      </c>
      <c r="N214" s="1706">
        <v>3</v>
      </c>
      <c r="O214" s="1706"/>
      <c r="W214" s="1468">
        <f>'Ch9'!O235</f>
        <v>0</v>
      </c>
      <c r="X214" s="1757"/>
      <c r="AO214"/>
    </row>
    <row r="215" spans="3:45" x14ac:dyDescent="0.25">
      <c r="AO215"/>
    </row>
    <row r="216" spans="3:45" x14ac:dyDescent="0.25">
      <c r="AO216"/>
    </row>
    <row r="217" spans="3:45" ht="15" customHeight="1" x14ac:dyDescent="0.25">
      <c r="C217" s="1459" t="s">
        <v>5314</v>
      </c>
      <c r="AO217"/>
    </row>
    <row r="218" spans="3:45" ht="15" customHeight="1" x14ac:dyDescent="0.25">
      <c r="C218" s="1445" t="s">
        <v>5255</v>
      </c>
      <c r="AO218"/>
    </row>
    <row r="219" spans="3:45" x14ac:dyDescent="0.25">
      <c r="D219" s="8" t="s">
        <v>5315</v>
      </c>
      <c r="AO219"/>
    </row>
    <row r="220" spans="3:45" ht="15" customHeight="1" x14ac:dyDescent="0.25">
      <c r="D220" s="1461" t="s">
        <v>5412</v>
      </c>
      <c r="O220" s="1461"/>
      <c r="W220" s="1461"/>
      <c r="AO220"/>
    </row>
    <row r="221" spans="3:45" x14ac:dyDescent="0.25">
      <c r="C221" s="1445" t="s">
        <v>5407</v>
      </c>
      <c r="W221" s="1461"/>
      <c r="AO221"/>
    </row>
    <row r="222" spans="3:45" x14ac:dyDescent="0.25">
      <c r="C222" s="1461" t="s">
        <v>5316</v>
      </c>
      <c r="O222" s="1461"/>
      <c r="S222" s="1461" t="s">
        <v>5394</v>
      </c>
      <c r="W222" s="1461"/>
      <c r="X222" s="1757"/>
      <c r="AO222"/>
      <c r="AR222" s="1461" t="s">
        <v>5495</v>
      </c>
      <c r="AS222" s="254" t="str">
        <f>IF(LEN(X222)=0,"",X222)</f>
        <v/>
      </c>
    </row>
    <row r="223" spans="3:45" ht="15" customHeight="1" x14ac:dyDescent="0.25">
      <c r="C223" s="1461" t="s">
        <v>5317</v>
      </c>
      <c r="S223" s="1461" t="b">
        <f>'Ch5'!W26=TRUE</f>
        <v>0</v>
      </c>
      <c r="W223" s="2015" t="str">
        <f ca="1">IF(OR(S223:S226,LEN(W227)&gt;0),"Met","Not Met")</f>
        <v>Not Met</v>
      </c>
      <c r="X223" s="1757"/>
      <c r="AO223"/>
    </row>
    <row r="224" spans="3:45" x14ac:dyDescent="0.25">
      <c r="C224" s="1461" t="s">
        <v>5318</v>
      </c>
      <c r="S224" s="1461" t="b">
        <f ca="1">('Ch5'!O28+'Ch5'!O38)&gt;0</f>
        <v>0</v>
      </c>
      <c r="W224" s="2016"/>
      <c r="X224" s="1757"/>
      <c r="AO224"/>
    </row>
    <row r="225" spans="3:43" ht="15" customHeight="1" x14ac:dyDescent="0.25">
      <c r="C225" s="1461" t="s">
        <v>5413</v>
      </c>
      <c r="S225" s="1461" t="b">
        <f>'Ch5'!W322=TRUE</f>
        <v>0</v>
      </c>
      <c r="W225" s="2016"/>
      <c r="X225" s="1757"/>
      <c r="AO225"/>
    </row>
    <row r="226" spans="3:43" x14ac:dyDescent="0.25">
      <c r="C226" s="1461" t="s">
        <v>5414</v>
      </c>
      <c r="S226" s="1461" t="b">
        <f>'Ch5'!W324=TRUE</f>
        <v>0</v>
      </c>
      <c r="W226" s="2017"/>
      <c r="X226" s="1757"/>
      <c r="AO226"/>
    </row>
    <row r="227" spans="3:43" s="1665" customFormat="1" x14ac:dyDescent="0.25">
      <c r="D227" s="1699" t="s">
        <v>5778</v>
      </c>
      <c r="E227" s="1699"/>
      <c r="F227" s="1699"/>
      <c r="G227" s="1699"/>
      <c r="H227" s="1699"/>
      <c r="I227" s="1699"/>
      <c r="J227" s="1699"/>
      <c r="K227" s="1699"/>
      <c r="L227" s="1699"/>
      <c r="M227" s="1699"/>
      <c r="N227" s="1699"/>
      <c r="O227" s="1699"/>
      <c r="P227" s="1665" t="b">
        <v>1</v>
      </c>
      <c r="Q227" s="1665" t="b">
        <v>1</v>
      </c>
      <c r="R227" s="1665" t="b">
        <v>0</v>
      </c>
      <c r="S227" s="1665" t="b">
        <f ca="1">IF($AY$18=INDEX(INDIRECT("ddSingleOrMulti"),1),TRUE,FALSE)</f>
        <v>1</v>
      </c>
      <c r="T227" s="94" t="b">
        <f ca="1">AND(NOT(S227),LEN(W227)&gt;0)</f>
        <v>0</v>
      </c>
      <c r="U227" s="1665" t="s">
        <v>5774</v>
      </c>
      <c r="W227" s="1484"/>
      <c r="X227" s="1757"/>
      <c r="AC227" s="1665" t="b">
        <f ca="1">OR(AD227:AE227)</f>
        <v>0</v>
      </c>
      <c r="AD227" s="1665" t="b">
        <f ca="1">T227</f>
        <v>0</v>
      </c>
      <c r="AE227" s="1665" t="b">
        <f>AND(LEN(W227)&gt;0,LEN(X222)=0)</f>
        <v>0</v>
      </c>
      <c r="AF227" s="1665" t="b">
        <f>AND(AE227,NOT(Q227))</f>
        <v>0</v>
      </c>
      <c r="AP227" s="1665" t="s">
        <v>5779</v>
      </c>
      <c r="AQ227" s="254" t="str">
        <f>IF(LEN(W227)=0,"",W227)</f>
        <v/>
      </c>
    </row>
    <row r="228" spans="3:43" s="1665" customFormat="1" x14ac:dyDescent="0.25">
      <c r="D228" s="1699"/>
      <c r="E228" s="1699"/>
      <c r="F228" s="1699"/>
      <c r="G228" s="1699"/>
      <c r="H228" s="1699"/>
      <c r="I228" s="1699"/>
      <c r="J228" s="1699"/>
      <c r="K228" s="1699"/>
      <c r="L228" s="1699"/>
      <c r="M228" s="1699"/>
      <c r="N228" s="1699"/>
      <c r="O228" s="1699"/>
      <c r="W228" s="1666"/>
      <c r="X228" s="1757"/>
    </row>
    <row r="229" spans="3:43" s="1665" customFormat="1" x14ac:dyDescent="0.25">
      <c r="D229" s="1699"/>
      <c r="E229" s="1699"/>
      <c r="F229" s="1699"/>
      <c r="G229" s="1699"/>
      <c r="H229" s="1699"/>
      <c r="I229" s="1699"/>
      <c r="J229" s="1699"/>
      <c r="K229" s="1699"/>
      <c r="L229" s="1699"/>
      <c r="M229" s="1699"/>
      <c r="N229" s="1699"/>
      <c r="O229" s="1699"/>
      <c r="W229" s="1666"/>
      <c r="X229" s="1757"/>
    </row>
    <row r="230" spans="3:43" s="1665" customFormat="1" x14ac:dyDescent="0.25">
      <c r="D230" s="1699"/>
      <c r="E230" s="1699"/>
      <c r="F230" s="1699"/>
      <c r="G230" s="1699"/>
      <c r="H230" s="1699"/>
      <c r="I230" s="1699"/>
      <c r="J230" s="1699"/>
      <c r="K230" s="1699"/>
      <c r="L230" s="1699"/>
      <c r="M230" s="1699"/>
      <c r="N230" s="1699"/>
      <c r="O230" s="1699"/>
      <c r="W230" s="1666"/>
      <c r="X230" s="1757"/>
    </row>
    <row r="231" spans="3:43" s="1665" customFormat="1" x14ac:dyDescent="0.25">
      <c r="O231" s="1664"/>
      <c r="W231" s="1666"/>
      <c r="X231" s="1757"/>
    </row>
    <row r="232" spans="3:43" x14ac:dyDescent="0.25">
      <c r="X232" s="1757"/>
      <c r="AO232"/>
    </row>
    <row r="233" spans="3:43" x14ac:dyDescent="0.25">
      <c r="C233" s="1461" t="s">
        <v>5319</v>
      </c>
      <c r="N233" s="1706" t="s">
        <v>249</v>
      </c>
      <c r="O233" s="1706"/>
      <c r="X233" s="1757"/>
      <c r="AO233"/>
    </row>
    <row r="234" spans="3:43" x14ac:dyDescent="0.25">
      <c r="C234" s="1461" t="s">
        <v>5320</v>
      </c>
      <c r="N234" s="2012">
        <v>5</v>
      </c>
      <c r="O234" s="2012"/>
      <c r="W234" s="1468">
        <f>'Ch5'!O43</f>
        <v>0</v>
      </c>
      <c r="X234" s="1757"/>
      <c r="AO234"/>
    </row>
    <row r="235" spans="3:43" x14ac:dyDescent="0.25">
      <c r="C235" s="1461" t="s">
        <v>5321</v>
      </c>
      <c r="N235" s="2012" t="s">
        <v>5415</v>
      </c>
      <c r="O235" s="2012"/>
      <c r="S235" s="1461" t="b">
        <f ca="1">IF($AY$18=INDEX(INDIRECT("ddSingleOrMulti"),2),TRUE,FALSE)</f>
        <v>0</v>
      </c>
      <c r="W235" s="1468">
        <f ca="1">('Ch5'!O46+'Ch5'!O51)*S235</f>
        <v>0</v>
      </c>
      <c r="X235" s="1757"/>
      <c r="AO235"/>
    </row>
    <row r="236" spans="3:43" x14ac:dyDescent="0.25">
      <c r="C236" s="1461" t="s">
        <v>5322</v>
      </c>
      <c r="N236" s="2012">
        <v>6</v>
      </c>
      <c r="O236" s="2012"/>
      <c r="W236" s="1468">
        <f>'Ch5'!O22</f>
        <v>0</v>
      </c>
      <c r="X236" s="1757"/>
      <c r="AO236"/>
    </row>
    <row r="237" spans="3:43" x14ac:dyDescent="0.25">
      <c r="C237" s="1461" t="s">
        <v>5323</v>
      </c>
      <c r="N237" s="2012">
        <v>5</v>
      </c>
      <c r="O237" s="2012"/>
      <c r="W237" s="1468">
        <f>'Ch5'!O56</f>
        <v>0</v>
      </c>
      <c r="X237" s="1757"/>
      <c r="AO237"/>
    </row>
    <row r="238" spans="3:43" x14ac:dyDescent="0.25">
      <c r="C238" s="1461" t="s">
        <v>5324</v>
      </c>
      <c r="N238" s="2012" t="s">
        <v>5416</v>
      </c>
      <c r="O238" s="2012"/>
      <c r="S238" s="1461" t="b">
        <f ca="1">IF($AY$18=INDEX(INDIRECT("ddSingleOrMulti"),2),TRUE,FALSE)</f>
        <v>0</v>
      </c>
      <c r="W238" s="1468">
        <f ca="1">'Ch5'!O283*S238</f>
        <v>0</v>
      </c>
      <c r="X238" s="1757"/>
      <c r="AO238"/>
    </row>
    <row r="239" spans="3:43" x14ac:dyDescent="0.25">
      <c r="O239" s="1461"/>
      <c r="W239" s="1461"/>
      <c r="AO239"/>
    </row>
    <row r="240" spans="3:43" x14ac:dyDescent="0.25">
      <c r="O240" s="1461"/>
      <c r="W240" s="1461"/>
      <c r="AO240"/>
    </row>
    <row r="241" spans="3:45" x14ac:dyDescent="0.25">
      <c r="C241" s="1459" t="s">
        <v>5325</v>
      </c>
      <c r="O241" s="1461"/>
      <c r="W241" s="1461"/>
      <c r="AO241"/>
    </row>
    <row r="242" spans="3:45" x14ac:dyDescent="0.25">
      <c r="C242" s="1445" t="s">
        <v>5255</v>
      </c>
      <c r="O242" s="1461"/>
      <c r="W242" s="1461"/>
      <c r="AO242"/>
    </row>
    <row r="243" spans="3:45" x14ac:dyDescent="0.25">
      <c r="D243" s="8" t="s">
        <v>5326</v>
      </c>
      <c r="O243" s="1461"/>
      <c r="W243" s="1461"/>
      <c r="AO243"/>
    </row>
    <row r="244" spans="3:45" x14ac:dyDescent="0.25">
      <c r="D244" s="1461" t="s">
        <v>5417</v>
      </c>
      <c r="O244" s="1461"/>
      <c r="W244" s="1461"/>
      <c r="AO244"/>
    </row>
    <row r="245" spans="3:45" x14ac:dyDescent="0.25">
      <c r="C245" s="1445" t="s">
        <v>5407</v>
      </c>
      <c r="N245" s="1706" t="s">
        <v>249</v>
      </c>
      <c r="O245" s="1706"/>
      <c r="W245" s="1461"/>
      <c r="AO245"/>
    </row>
    <row r="246" spans="3:45" x14ac:dyDescent="0.25">
      <c r="C246" s="1461" t="s">
        <v>5327</v>
      </c>
      <c r="N246" s="2012" t="s">
        <v>4108</v>
      </c>
      <c r="O246" s="2012"/>
      <c r="W246" s="1468" t="str">
        <f>IF(AND('Ch6'!O144&gt;0,'Ch6'!O149&gt;0),"Met","Not Met")</f>
        <v>Not Met</v>
      </c>
      <c r="X246" s="1757"/>
      <c r="AO246"/>
      <c r="AR246" s="1461" t="s">
        <v>5496</v>
      </c>
      <c r="AS246" s="254" t="str">
        <f>IF(LEN(X246)=0,"",X246)</f>
        <v/>
      </c>
    </row>
    <row r="247" spans="3:45" x14ac:dyDescent="0.25">
      <c r="C247" s="1461" t="s">
        <v>5328</v>
      </c>
      <c r="N247" s="2012" t="s">
        <v>5662</v>
      </c>
      <c r="O247" s="2012"/>
      <c r="S247" s="1461" t="b">
        <f ca="1">IF($AY$18=INDEX(INDIRECT("ddSingleOrMulti"),2),TRUE,FALSE)</f>
        <v>0</v>
      </c>
      <c r="W247" s="1468">
        <f ca="1">'Ch6'!O207*S247</f>
        <v>0</v>
      </c>
      <c r="X247" s="1757"/>
      <c r="AO247"/>
    </row>
    <row r="248" spans="3:45" x14ac:dyDescent="0.25">
      <c r="C248" s="1461" t="s">
        <v>5329</v>
      </c>
      <c r="N248" s="2012" t="s">
        <v>5330</v>
      </c>
      <c r="O248" s="2012"/>
      <c r="W248" s="1468">
        <f ca="1">'Ch6'!O192</f>
        <v>0</v>
      </c>
      <c r="X248" s="1757"/>
      <c r="AO248"/>
    </row>
    <row r="249" spans="3:45" x14ac:dyDescent="0.25">
      <c r="O249" s="1461"/>
      <c r="W249" s="1461"/>
      <c r="AO249"/>
    </row>
    <row r="250" spans="3:45" x14ac:dyDescent="0.25">
      <c r="O250" s="1461"/>
      <c r="W250" s="1461"/>
      <c r="AO250"/>
    </row>
    <row r="251" spans="3:45" x14ac:dyDescent="0.25">
      <c r="C251" s="1459" t="s">
        <v>5331</v>
      </c>
      <c r="O251" s="1461"/>
      <c r="W251" s="1461"/>
      <c r="AO251"/>
    </row>
    <row r="252" spans="3:45" x14ac:dyDescent="0.25">
      <c r="C252" s="1445" t="s">
        <v>5255</v>
      </c>
      <c r="O252" s="1461"/>
      <c r="W252" s="1461"/>
      <c r="AO252"/>
    </row>
    <row r="253" spans="3:45" x14ac:dyDescent="0.25">
      <c r="D253" s="8" t="s">
        <v>5326</v>
      </c>
      <c r="O253" s="1461"/>
      <c r="W253" s="1461"/>
      <c r="AO253"/>
    </row>
    <row r="254" spans="3:45" x14ac:dyDescent="0.25">
      <c r="D254" s="1461" t="s">
        <v>5417</v>
      </c>
      <c r="O254" s="1461"/>
      <c r="W254" s="1461"/>
      <c r="AO254"/>
    </row>
    <row r="255" spans="3:45" x14ac:dyDescent="0.25">
      <c r="C255" s="1445" t="s">
        <v>5407</v>
      </c>
      <c r="N255" s="2012" t="s">
        <v>249</v>
      </c>
      <c r="O255" s="2012"/>
      <c r="W255" s="1461"/>
      <c r="AO255"/>
    </row>
    <row r="256" spans="3:45" x14ac:dyDescent="0.25">
      <c r="C256" s="1461" t="s">
        <v>5332</v>
      </c>
      <c r="N256" s="2012" t="s">
        <v>4108</v>
      </c>
      <c r="O256" s="2012"/>
      <c r="P256" s="1490" t="b">
        <v>1</v>
      </c>
      <c r="Q256" s="1490" t="b">
        <v>1</v>
      </c>
      <c r="R256" s="1492" t="b">
        <f>R202</f>
        <v>0</v>
      </c>
      <c r="S256" s="1490" t="b">
        <v>1</v>
      </c>
      <c r="T256" s="1490" t="b">
        <v>0</v>
      </c>
      <c r="U256" s="1490" t="s">
        <v>5608</v>
      </c>
      <c r="W256" s="1491"/>
      <c r="X256" s="1757"/>
      <c r="AC256" s="1492" t="b">
        <f>OR(AD256:AE256)</f>
        <v>0</v>
      </c>
      <c r="AD256" s="1492" t="b">
        <f>T256</f>
        <v>0</v>
      </c>
      <c r="AE256" s="1492" t="b">
        <f>AND(R256=TRUE,OR(LEN(W256)=0,W256="Not Met"))</f>
        <v>0</v>
      </c>
      <c r="AF256" s="1492" t="b">
        <f>AND(AE256,NOT(Q256))</f>
        <v>0</v>
      </c>
      <c r="AO256"/>
      <c r="AP256" s="1492" t="s">
        <v>5613</v>
      </c>
      <c r="AQ256" s="254" t="str">
        <f>IF(LEN(W256)=0,"",W256)</f>
        <v/>
      </c>
      <c r="AR256" s="1461" t="s">
        <v>5497</v>
      </c>
      <c r="AS256" s="254" t="str">
        <f>IF(LEN(X256)=0,"",X256)</f>
        <v/>
      </c>
    </row>
    <row r="257" spans="3:45" x14ac:dyDescent="0.25">
      <c r="C257" s="1461" t="s">
        <v>5333</v>
      </c>
      <c r="N257" s="1706">
        <v>2</v>
      </c>
      <c r="O257" s="1706"/>
      <c r="W257" s="1468">
        <f>'Ch9'!O366</f>
        <v>0</v>
      </c>
      <c r="X257" s="1757"/>
      <c r="AO257"/>
    </row>
    <row r="258" spans="3:45" x14ac:dyDescent="0.25">
      <c r="O258" s="1461"/>
      <c r="W258" s="1461"/>
      <c r="AO258"/>
    </row>
    <row r="259" spans="3:45" x14ac:dyDescent="0.25">
      <c r="O259" s="1461"/>
      <c r="W259" s="1461"/>
      <c r="AO259"/>
    </row>
    <row r="260" spans="3:45" x14ac:dyDescent="0.25">
      <c r="C260" s="1459" t="s">
        <v>5335</v>
      </c>
      <c r="O260" s="1461"/>
      <c r="W260" s="1461"/>
      <c r="AO260"/>
    </row>
    <row r="261" spans="3:45" x14ac:dyDescent="0.25">
      <c r="C261" s="1445" t="s">
        <v>5255</v>
      </c>
      <c r="O261" s="1461"/>
      <c r="W261" s="1461"/>
      <c r="AO261"/>
    </row>
    <row r="262" spans="3:45" x14ac:dyDescent="0.25">
      <c r="D262" s="8" t="s">
        <v>5418</v>
      </c>
      <c r="O262" s="1461"/>
      <c r="W262" s="1461"/>
      <c r="AO262"/>
    </row>
    <row r="263" spans="3:45" x14ac:dyDescent="0.25">
      <c r="C263" s="1445" t="s">
        <v>5407</v>
      </c>
      <c r="N263" s="2012" t="s">
        <v>249</v>
      </c>
      <c r="O263" s="2012"/>
      <c r="W263" s="1461"/>
      <c r="AO263"/>
    </row>
    <row r="264" spans="3:45" x14ac:dyDescent="0.25">
      <c r="C264" s="1461" t="s">
        <v>5336</v>
      </c>
      <c r="N264" s="2012" t="s">
        <v>5419</v>
      </c>
      <c r="O264" s="2012"/>
      <c r="S264" s="1461" t="b">
        <f ca="1">IF($AY$18=INDEX(INDIRECT("ddSingleOrMulti"),2),TRUE,FALSE)</f>
        <v>0</v>
      </c>
      <c r="W264" s="1468">
        <f ca="1">'Ch5'!O287*S264</f>
        <v>0</v>
      </c>
      <c r="X264" s="1757"/>
      <c r="AO264"/>
      <c r="AR264" s="1461" t="s">
        <v>5498</v>
      </c>
      <c r="AS264" s="254" t="str">
        <f>IF(LEN(X264)=0,"",X264)</f>
        <v/>
      </c>
    </row>
    <row r="265" spans="3:45" x14ac:dyDescent="0.25">
      <c r="C265" s="1461" t="s">
        <v>5337</v>
      </c>
      <c r="N265" s="2012" t="s">
        <v>5411</v>
      </c>
      <c r="O265" s="2012"/>
      <c r="S265" s="1461" t="b">
        <f ca="1">IF($AY$18=INDEX(INDIRECT("ddSingleOrMulti"),2),TRUE,FALSE)</f>
        <v>0</v>
      </c>
      <c r="W265" s="1468">
        <f ca="1">'Ch5'!O289*S265</f>
        <v>0</v>
      </c>
      <c r="X265" s="1757"/>
      <c r="AO265"/>
    </row>
    <row r="266" spans="3:45" x14ac:dyDescent="0.25">
      <c r="O266" s="1461"/>
      <c r="W266" s="1461"/>
      <c r="AO266"/>
    </row>
    <row r="267" spans="3:45" x14ac:dyDescent="0.25">
      <c r="O267" s="1461"/>
      <c r="W267" s="1461"/>
      <c r="AO267"/>
    </row>
    <row r="268" spans="3:45" x14ac:dyDescent="0.25">
      <c r="C268" s="1459" t="s">
        <v>5338</v>
      </c>
      <c r="O268" s="1461"/>
      <c r="W268" s="1461"/>
      <c r="AO268"/>
    </row>
    <row r="269" spans="3:45" x14ac:dyDescent="0.25">
      <c r="C269" s="1445" t="s">
        <v>5255</v>
      </c>
      <c r="O269" s="1461"/>
      <c r="W269" s="1461"/>
      <c r="AO269"/>
    </row>
    <row r="270" spans="3:45" x14ac:dyDescent="0.25">
      <c r="D270" s="8" t="s">
        <v>5418</v>
      </c>
      <c r="O270" s="1461"/>
      <c r="W270" s="1461"/>
      <c r="AO270"/>
    </row>
    <row r="271" spans="3:45" x14ac:dyDescent="0.25">
      <c r="C271" s="1445" t="s">
        <v>5407</v>
      </c>
      <c r="N271" s="1706" t="s">
        <v>249</v>
      </c>
      <c r="O271" s="1706"/>
      <c r="W271" s="1461"/>
      <c r="AO271"/>
    </row>
    <row r="272" spans="3:45" x14ac:dyDescent="0.25">
      <c r="C272" s="1461" t="s">
        <v>5339</v>
      </c>
      <c r="N272" s="1706">
        <v>1</v>
      </c>
      <c r="O272" s="1706"/>
      <c r="W272" s="1468">
        <f ca="1">'Ch7'!O487</f>
        <v>0</v>
      </c>
      <c r="X272" s="1757"/>
      <c r="AO272"/>
      <c r="AR272" s="1461" t="s">
        <v>5499</v>
      </c>
      <c r="AS272" s="254" t="str">
        <f>IF(LEN(X272)=0,"",X272)</f>
        <v/>
      </c>
    </row>
    <row r="273" spans="3:45" x14ac:dyDescent="0.25">
      <c r="C273" s="1461" t="s">
        <v>5340</v>
      </c>
      <c r="N273" s="1706">
        <v>1</v>
      </c>
      <c r="O273" s="1706"/>
      <c r="W273" s="1468">
        <f>'Ch7'!W671*1</f>
        <v>0</v>
      </c>
      <c r="X273" s="1757"/>
      <c r="AO273"/>
    </row>
    <row r="274" spans="3:45" x14ac:dyDescent="0.25">
      <c r="O274" s="1461"/>
      <c r="W274" s="1461"/>
      <c r="AO274"/>
    </row>
    <row r="275" spans="3:45" x14ac:dyDescent="0.25">
      <c r="O275" s="1461"/>
      <c r="W275" s="1461"/>
      <c r="AO275"/>
    </row>
    <row r="276" spans="3:45" x14ac:dyDescent="0.25">
      <c r="C276" s="1459" t="s">
        <v>5341</v>
      </c>
      <c r="O276" s="1461"/>
      <c r="W276" s="1461"/>
      <c r="AO276"/>
    </row>
    <row r="277" spans="3:45" x14ac:dyDescent="0.25">
      <c r="C277" s="1445" t="s">
        <v>5255</v>
      </c>
      <c r="O277" s="1461"/>
      <c r="W277" s="1461"/>
      <c r="AO277"/>
    </row>
    <row r="278" spans="3:45" x14ac:dyDescent="0.25">
      <c r="D278" s="8" t="s">
        <v>5418</v>
      </c>
      <c r="O278" s="1461"/>
      <c r="W278" s="1461"/>
      <c r="AO278"/>
    </row>
    <row r="279" spans="3:45" x14ac:dyDescent="0.25">
      <c r="C279" s="1445" t="s">
        <v>5407</v>
      </c>
      <c r="N279" s="1706" t="s">
        <v>249</v>
      </c>
      <c r="O279" s="1706"/>
      <c r="W279" s="1461"/>
      <c r="AO279"/>
    </row>
    <row r="280" spans="3:45" x14ac:dyDescent="0.25">
      <c r="C280" s="1461" t="s">
        <v>5342</v>
      </c>
      <c r="N280" s="2012" t="s">
        <v>5392</v>
      </c>
      <c r="O280" s="2012"/>
      <c r="W280" s="1468">
        <f ca="1">'Ch9'!O377</f>
        <v>0</v>
      </c>
      <c r="X280" s="1462"/>
      <c r="AO280"/>
      <c r="AR280" s="1461" t="s">
        <v>5500</v>
      </c>
      <c r="AS280" s="254" t="str">
        <f>IF(LEN(X280)=0,"",X280)</f>
        <v/>
      </c>
    </row>
    <row r="281" spans="3:45" x14ac:dyDescent="0.25">
      <c r="O281" s="1461"/>
      <c r="W281" s="1461"/>
      <c r="AO281"/>
    </row>
    <row r="282" spans="3:45" x14ac:dyDescent="0.25">
      <c r="O282" s="1461"/>
      <c r="W282" s="1461"/>
      <c r="AO282"/>
    </row>
    <row r="283" spans="3:45" x14ac:dyDescent="0.25">
      <c r="C283" s="1459" t="s">
        <v>5343</v>
      </c>
      <c r="O283" s="1461"/>
      <c r="W283" s="1461"/>
      <c r="AO283"/>
    </row>
    <row r="284" spans="3:45" x14ac:dyDescent="0.25">
      <c r="C284" s="1445" t="s">
        <v>5255</v>
      </c>
      <c r="O284" s="1461"/>
      <c r="W284" s="1461"/>
      <c r="AO284"/>
    </row>
    <row r="285" spans="3:45" x14ac:dyDescent="0.25">
      <c r="D285" s="8" t="s">
        <v>5423</v>
      </c>
      <c r="O285" s="1461"/>
      <c r="W285" s="1461"/>
      <c r="AO285"/>
    </row>
    <row r="286" spans="3:45" x14ac:dyDescent="0.25">
      <c r="C286" s="1445" t="s">
        <v>5407</v>
      </c>
      <c r="N286" s="2012" t="s">
        <v>249</v>
      </c>
      <c r="O286" s="2012"/>
      <c r="W286" s="1461"/>
      <c r="AO286"/>
    </row>
    <row r="287" spans="3:45" x14ac:dyDescent="0.25">
      <c r="C287" s="1461" t="s">
        <v>5344</v>
      </c>
      <c r="N287" s="2012" t="s">
        <v>5334</v>
      </c>
      <c r="O287" s="2012"/>
      <c r="W287" s="1468">
        <f>'Ch6'!O503</f>
        <v>0</v>
      </c>
      <c r="X287" s="1757"/>
      <c r="AO287"/>
      <c r="AR287" s="1461" t="s">
        <v>5501</v>
      </c>
      <c r="AS287" s="254" t="str">
        <f>IF(LEN(X287)=0,"",X287)</f>
        <v/>
      </c>
    </row>
    <row r="288" spans="3:45" x14ac:dyDescent="0.25">
      <c r="C288" s="1461" t="s">
        <v>5345</v>
      </c>
      <c r="N288" s="2012" t="s">
        <v>5349</v>
      </c>
      <c r="O288" s="2012"/>
      <c r="W288" s="1468">
        <f>'Ch9'!O91+'Ch9'!O93</f>
        <v>0</v>
      </c>
      <c r="X288" s="1757"/>
      <c r="AO288"/>
    </row>
    <row r="289" spans="3:45" x14ac:dyDescent="0.25">
      <c r="C289" s="1461" t="s">
        <v>5346</v>
      </c>
      <c r="N289" s="2012" t="s">
        <v>5350</v>
      </c>
      <c r="O289" s="2012"/>
      <c r="W289" s="1468">
        <f>'Ch9'!O98</f>
        <v>0</v>
      </c>
      <c r="X289" s="1757"/>
      <c r="AO289"/>
    </row>
    <row r="290" spans="3:45" x14ac:dyDescent="0.25">
      <c r="C290" s="1461" t="s">
        <v>5347</v>
      </c>
      <c r="N290" s="2012">
        <v>4</v>
      </c>
      <c r="O290" s="2012"/>
      <c r="W290" s="1468">
        <f>'Ch9'!O119</f>
        <v>0</v>
      </c>
      <c r="X290" s="1757"/>
      <c r="AO290"/>
    </row>
    <row r="291" spans="3:45" x14ac:dyDescent="0.25">
      <c r="C291" s="1461" t="s">
        <v>5348</v>
      </c>
      <c r="N291" s="2012" t="s">
        <v>5420</v>
      </c>
      <c r="O291" s="2012"/>
      <c r="S291" s="1461" t="b">
        <f ca="1">IF($AY$18=INDEX(INDIRECT("ddSingleOrMulti"),2),TRUE,FALSE)</f>
        <v>0</v>
      </c>
      <c r="W291" s="1468">
        <f ca="1">'Ch9'!O164*S291</f>
        <v>0</v>
      </c>
      <c r="X291" s="1757"/>
      <c r="AO291"/>
    </row>
    <row r="292" spans="3:45" x14ac:dyDescent="0.25">
      <c r="O292" s="1461"/>
      <c r="W292" s="1461"/>
      <c r="AO292"/>
    </row>
    <row r="293" spans="3:45" x14ac:dyDescent="0.25">
      <c r="O293" s="1461"/>
      <c r="W293" s="1461"/>
      <c r="AO293"/>
    </row>
    <row r="294" spans="3:45" x14ac:dyDescent="0.25">
      <c r="C294" s="1459" t="s">
        <v>5351</v>
      </c>
      <c r="O294" s="1461"/>
      <c r="W294" s="1461"/>
      <c r="AO294"/>
    </row>
    <row r="295" spans="3:45" x14ac:dyDescent="0.25">
      <c r="C295" s="1445" t="s">
        <v>5255</v>
      </c>
      <c r="O295" s="1461"/>
      <c r="W295" s="1461"/>
      <c r="AO295"/>
    </row>
    <row r="296" spans="3:45" x14ac:dyDescent="0.25">
      <c r="D296" s="8" t="s">
        <v>5421</v>
      </c>
      <c r="O296" s="1461"/>
      <c r="W296" s="1461"/>
      <c r="AO296"/>
    </row>
    <row r="297" spans="3:45" x14ac:dyDescent="0.25">
      <c r="C297" s="1445" t="s">
        <v>5407</v>
      </c>
      <c r="N297" s="1706" t="s">
        <v>249</v>
      </c>
      <c r="O297" s="1706"/>
      <c r="W297" s="1461"/>
      <c r="AO297"/>
    </row>
    <row r="298" spans="3:45" x14ac:dyDescent="0.25">
      <c r="C298" s="1461" t="s">
        <v>5352</v>
      </c>
      <c r="N298" s="1706">
        <v>3</v>
      </c>
      <c r="O298" s="1706"/>
      <c r="W298" s="1468">
        <f>'Ch5'!W190*3</f>
        <v>0</v>
      </c>
      <c r="X298" s="1757"/>
      <c r="AO298"/>
      <c r="AR298" s="1461" t="s">
        <v>5502</v>
      </c>
      <c r="AS298" s="254" t="str">
        <f>IF(LEN(X298)=0,"",X298)</f>
        <v/>
      </c>
    </row>
    <row r="299" spans="3:45" x14ac:dyDescent="0.25">
      <c r="C299" s="1461" t="s">
        <v>5353</v>
      </c>
      <c r="N299" s="1706">
        <v>3</v>
      </c>
      <c r="O299" s="1706"/>
      <c r="W299" s="1468">
        <f>'Ch5'!W191*3</f>
        <v>0</v>
      </c>
      <c r="X299" s="1757"/>
    </row>
    <row r="300" spans="3:45" x14ac:dyDescent="0.25">
      <c r="C300" s="1461" t="s">
        <v>5354</v>
      </c>
      <c r="N300" s="1706">
        <v>3</v>
      </c>
      <c r="O300" s="1706"/>
      <c r="W300" s="1468">
        <f>'Ch5'!W192*3</f>
        <v>0</v>
      </c>
      <c r="X300" s="1757"/>
    </row>
    <row r="301" spans="3:45" x14ac:dyDescent="0.25">
      <c r="O301" s="1461"/>
      <c r="W301" s="1461"/>
    </row>
    <row r="302" spans="3:45" x14ac:dyDescent="0.25">
      <c r="N302" s="1984" t="s">
        <v>5393</v>
      </c>
      <c r="O302" s="1984"/>
      <c r="W302" s="1461"/>
    </row>
    <row r="303" spans="3:45" ht="15" customHeight="1" x14ac:dyDescent="0.25">
      <c r="N303" s="1984">
        <f ca="1">SUM(W208:W214)+SUM(W234:W238)+SUM(W247:W248)+W257+SUM(W264:W265)+SUM(W272:W273)+W280+SUM(W287:W291)+SUM(W298:W300)</f>
        <v>0</v>
      </c>
      <c r="O303" s="1984"/>
    </row>
    <row r="304" spans="3:45" ht="15" customHeight="1" x14ac:dyDescent="0.25">
      <c r="N304" s="1937" t="str">
        <f ca="1">IF(N303&lt;29,"need "&amp;29-N303&amp;" more","")</f>
        <v>need 29 more</v>
      </c>
      <c r="O304" s="1937"/>
    </row>
    <row r="305" spans="2:25" ht="15" customHeight="1" x14ac:dyDescent="0.25"/>
    <row r="306" spans="2:25" x14ac:dyDescent="0.25">
      <c r="B306" s="731"/>
      <c r="O306" s="1461"/>
      <c r="W306" s="1461"/>
    </row>
    <row r="307" spans="2:25" x14ac:dyDescent="0.25">
      <c r="B307" s="1985" t="s">
        <v>5252</v>
      </c>
      <c r="C307" s="1985"/>
      <c r="D307" s="1985"/>
      <c r="E307" s="94"/>
      <c r="F307" s="94"/>
      <c r="G307" s="2010" t="str">
        <f>IF(W311&lt;=0,"Earned","Not Earned")</f>
        <v>Not Earned</v>
      </c>
      <c r="H307" s="1997"/>
      <c r="I307" s="1997"/>
      <c r="J307" s="1997"/>
      <c r="K307" s="1997"/>
      <c r="L307" s="1997"/>
      <c r="M307" s="1997"/>
      <c r="N307" s="1997"/>
      <c r="O307" s="1998"/>
      <c r="P307" s="94"/>
      <c r="Q307" s="94"/>
      <c r="R307" s="94"/>
      <c r="S307" s="94"/>
      <c r="T307" s="94"/>
      <c r="U307" s="94"/>
      <c r="V307" s="94"/>
      <c r="W307" s="94"/>
      <c r="X307" s="94"/>
      <c r="Y307" s="94"/>
    </row>
    <row r="308" spans="2:25" ht="15.75" thickBot="1" x14ac:dyDescent="0.3">
      <c r="B308" s="1986"/>
      <c r="C308" s="1986"/>
      <c r="D308" s="1986"/>
      <c r="E308" s="99"/>
      <c r="F308" s="99"/>
      <c r="G308" s="2011"/>
      <c r="H308" s="1999"/>
      <c r="I308" s="1999"/>
      <c r="J308" s="1999"/>
      <c r="K308" s="1999"/>
      <c r="L308" s="1999"/>
      <c r="M308" s="1999"/>
      <c r="N308" s="1999"/>
      <c r="O308" s="2000"/>
      <c r="P308" s="99"/>
      <c r="Q308" s="99"/>
      <c r="R308" s="99"/>
      <c r="S308" s="99"/>
      <c r="T308" s="99"/>
      <c r="U308" s="99"/>
      <c r="V308" s="99"/>
      <c r="W308" s="99"/>
      <c r="X308" s="99"/>
      <c r="Y308" s="99"/>
    </row>
    <row r="309" spans="2:25" ht="15.75" thickTop="1" x14ac:dyDescent="0.25">
      <c r="O309" s="1461"/>
      <c r="W309" s="1461"/>
    </row>
    <row r="310" spans="2:25" x14ac:dyDescent="0.25">
      <c r="O310" s="1461"/>
      <c r="W310" s="1461"/>
    </row>
    <row r="311" spans="2:25" x14ac:dyDescent="0.25">
      <c r="N311" s="1461" t="s">
        <v>5355</v>
      </c>
      <c r="O311" s="1461"/>
      <c r="W311" s="1444" t="str">
        <f>IF(LEN('Ch8'!W239)=0, "WRI not Entered",'Ch8'!W239)</f>
        <v>WRI not Entered</v>
      </c>
    </row>
    <row r="312" spans="2:25" x14ac:dyDescent="0.25">
      <c r="O312" s="1461"/>
      <c r="W312" s="1461"/>
    </row>
    <row r="313" spans="2:25" ht="15.75" thickBot="1" x14ac:dyDescent="0.3">
      <c r="B313" s="99"/>
      <c r="C313" s="99"/>
      <c r="D313" s="99"/>
      <c r="E313" s="99"/>
      <c r="F313" s="99"/>
      <c r="G313" s="99"/>
      <c r="H313" s="99"/>
      <c r="I313" s="99"/>
      <c r="J313" s="99"/>
      <c r="K313" s="99"/>
      <c r="L313" s="99"/>
      <c r="M313" s="99"/>
      <c r="N313" s="99"/>
      <c r="O313" s="1406"/>
      <c r="P313" s="99"/>
      <c r="Q313" s="99"/>
      <c r="R313" s="99"/>
      <c r="S313" s="99"/>
      <c r="T313" s="99"/>
      <c r="U313" s="99"/>
      <c r="V313" s="99"/>
      <c r="W313" s="1406"/>
      <c r="X313" s="99"/>
      <c r="Y313" s="99"/>
    </row>
    <row r="314" spans="2:25" ht="15.75" thickTop="1" x14ac:dyDescent="0.25"/>
  </sheetData>
  <sheetProtection algorithmName="SHA-512" hashValue="gnobcF3koyozbADvF5dfFepXIxhviWy/gintMFEX86VORjr0TTke55g4Lv2wdjxhrn5ppjVcRHBaS3njNH4TKg==" saltValue="svJFVNn0CM+JVBPh53mf6g==" spinCount="100000" sheet="1" objects="1" scenarios="1" selectLockedCells="1"/>
  <mergeCells count="165">
    <mergeCell ref="D85:M85"/>
    <mergeCell ref="D71:M71"/>
    <mergeCell ref="X69:X73"/>
    <mergeCell ref="X80:X85"/>
    <mergeCell ref="D227:O230"/>
    <mergeCell ref="N303:O303"/>
    <mergeCell ref="N304:O304"/>
    <mergeCell ref="B307:D308"/>
    <mergeCell ref="G307:O308"/>
    <mergeCell ref="N297:O297"/>
    <mergeCell ref="N298:O298"/>
    <mergeCell ref="X298:X300"/>
    <mergeCell ref="N299:O299"/>
    <mergeCell ref="N300:O300"/>
    <mergeCell ref="N302:O302"/>
    <mergeCell ref="N286:O286"/>
    <mergeCell ref="N287:O287"/>
    <mergeCell ref="X287:X291"/>
    <mergeCell ref="N288:O288"/>
    <mergeCell ref="N289:O289"/>
    <mergeCell ref="N290:O290"/>
    <mergeCell ref="N291:O291"/>
    <mergeCell ref="N271:O271"/>
    <mergeCell ref="N272:O272"/>
    <mergeCell ref="X272:X273"/>
    <mergeCell ref="N273:O273"/>
    <mergeCell ref="N279:O279"/>
    <mergeCell ref="N280:O280"/>
    <mergeCell ref="N256:O256"/>
    <mergeCell ref="X256:X257"/>
    <mergeCell ref="N257:O257"/>
    <mergeCell ref="N263:O263"/>
    <mergeCell ref="N264:O264"/>
    <mergeCell ref="X264:X265"/>
    <mergeCell ref="N265:O265"/>
    <mergeCell ref="N255:O255"/>
    <mergeCell ref="X222:X238"/>
    <mergeCell ref="W223:W226"/>
    <mergeCell ref="N233:O233"/>
    <mergeCell ref="N234:O234"/>
    <mergeCell ref="N235:O235"/>
    <mergeCell ref="N236:O236"/>
    <mergeCell ref="N237:O237"/>
    <mergeCell ref="N238:O238"/>
    <mergeCell ref="N245:O245"/>
    <mergeCell ref="N246:O246"/>
    <mergeCell ref="X246:X248"/>
    <mergeCell ref="N247:O247"/>
    <mergeCell ref="N248:O248"/>
    <mergeCell ref="X203:X214"/>
    <mergeCell ref="N204:O204"/>
    <mergeCell ref="N205:O205"/>
    <mergeCell ref="N206:O206"/>
    <mergeCell ref="N207:O207"/>
    <mergeCell ref="N208:O208"/>
    <mergeCell ref="N209:O209"/>
    <mergeCell ref="N210:O210"/>
    <mergeCell ref="N211:O211"/>
    <mergeCell ref="N212:O212"/>
    <mergeCell ref="N213:O213"/>
    <mergeCell ref="N214:O214"/>
    <mergeCell ref="B194:D195"/>
    <mergeCell ref="G194:O195"/>
    <mergeCell ref="N202:O202"/>
    <mergeCell ref="N203:O203"/>
    <mergeCell ref="B173:F174"/>
    <mergeCell ref="G173:O174"/>
    <mergeCell ref="C189:L190"/>
    <mergeCell ref="N161:O161"/>
    <mergeCell ref="N162:O162"/>
    <mergeCell ref="D166:M167"/>
    <mergeCell ref="X166:X167"/>
    <mergeCell ref="N168:O168"/>
    <mergeCell ref="N169:O169"/>
    <mergeCell ref="N170:O170"/>
    <mergeCell ref="N151:O151"/>
    <mergeCell ref="N152:O152"/>
    <mergeCell ref="X152:X155"/>
    <mergeCell ref="N153:O153"/>
    <mergeCell ref="N154:O154"/>
    <mergeCell ref="N155:O155"/>
    <mergeCell ref="N138:O138"/>
    <mergeCell ref="N139:O139"/>
    <mergeCell ref="X139:X144"/>
    <mergeCell ref="N140:O140"/>
    <mergeCell ref="N141:O141"/>
    <mergeCell ref="N142:O142"/>
    <mergeCell ref="N143:O143"/>
    <mergeCell ref="N144:O144"/>
    <mergeCell ref="X162:X163"/>
    <mergeCell ref="N163:O163"/>
    <mergeCell ref="B116:E117"/>
    <mergeCell ref="G116:O117"/>
    <mergeCell ref="N124:O124"/>
    <mergeCell ref="N125:O125"/>
    <mergeCell ref="X125:X131"/>
    <mergeCell ref="N126:O126"/>
    <mergeCell ref="N127:O127"/>
    <mergeCell ref="N128:O128"/>
    <mergeCell ref="N129:O129"/>
    <mergeCell ref="N130:O130"/>
    <mergeCell ref="N131:O131"/>
    <mergeCell ref="B89:D90"/>
    <mergeCell ref="G89:O90"/>
    <mergeCell ref="W97:W99"/>
    <mergeCell ref="X97:X99"/>
    <mergeCell ref="C110:L111"/>
    <mergeCell ref="X110:X112"/>
    <mergeCell ref="D63:M65"/>
    <mergeCell ref="D66:M67"/>
    <mergeCell ref="X66:X67"/>
    <mergeCell ref="D74:M76"/>
    <mergeCell ref="X74:X76"/>
    <mergeCell ref="D77:M78"/>
    <mergeCell ref="X77:X78"/>
    <mergeCell ref="D68:M68"/>
    <mergeCell ref="D69:M69"/>
    <mergeCell ref="D70:M70"/>
    <mergeCell ref="D72:M72"/>
    <mergeCell ref="D73:M73"/>
    <mergeCell ref="D79:M79"/>
    <mergeCell ref="D80:M80"/>
    <mergeCell ref="D81:M81"/>
    <mergeCell ref="D82:M82"/>
    <mergeCell ref="D83:M83"/>
    <mergeCell ref="D84:M84"/>
    <mergeCell ref="X50:X51"/>
    <mergeCell ref="D54:M54"/>
    <mergeCell ref="D55:M55"/>
    <mergeCell ref="D58:M58"/>
    <mergeCell ref="X58:X59"/>
    <mergeCell ref="D43:M43"/>
    <mergeCell ref="D44:M44"/>
    <mergeCell ref="D45:M45"/>
    <mergeCell ref="D46:M46"/>
    <mergeCell ref="D47:M47"/>
    <mergeCell ref="D48:M48"/>
    <mergeCell ref="D40:M40"/>
    <mergeCell ref="D41:M41"/>
    <mergeCell ref="D42:M42"/>
    <mergeCell ref="D27:M27"/>
    <mergeCell ref="D28:M28"/>
    <mergeCell ref="D29:M29"/>
    <mergeCell ref="D49:M49"/>
    <mergeCell ref="E50:M50"/>
    <mergeCell ref="D34:M34"/>
    <mergeCell ref="D35:M35"/>
    <mergeCell ref="E36:M36"/>
    <mergeCell ref="B10:F11"/>
    <mergeCell ref="G10:O11"/>
    <mergeCell ref="D15:M15"/>
    <mergeCell ref="D16:M16"/>
    <mergeCell ref="D17:M17"/>
    <mergeCell ref="E18:M18"/>
    <mergeCell ref="D39:M39"/>
    <mergeCell ref="W1:W3"/>
    <mergeCell ref="X29:X31"/>
    <mergeCell ref="D33:M33"/>
    <mergeCell ref="X18:X19"/>
    <mergeCell ref="D21:M21"/>
    <mergeCell ref="D22:M22"/>
    <mergeCell ref="D23:M23"/>
    <mergeCell ref="E24:M24"/>
    <mergeCell ref="X24:X25"/>
    <mergeCell ref="I7:M8"/>
  </mergeCells>
  <conditionalFormatting sqref="W110">
    <cfRule type="expression" dxfId="3272" priority="169">
      <formula>OR($T$110 = TRUE, AND($W$110 = TRUE, $S$110 = FALSE))</formula>
    </cfRule>
    <cfRule type="expression" dxfId="3271" priority="170">
      <formula>OR($S$110 = FALSE, AND($P$110 = FALSE, ReportType &lt;&gt; "Final"), AND($Q$110 = FALSE, ReportType &lt;&gt; "Rough"))</formula>
    </cfRule>
    <cfRule type="expression" dxfId="3270" priority="171">
      <formula>AND(IF($R$110,$W$110,TRUE),LEN(TRIM($W$110))&gt;0)</formula>
    </cfRule>
    <cfRule type="expression" dxfId="3269" priority="172">
      <formula>AND($R$110,$S$110)</formula>
    </cfRule>
  </conditionalFormatting>
  <conditionalFormatting sqref="W166">
    <cfRule type="expression" dxfId="3268" priority="165">
      <formula>OR($T$166 = TRUE, AND($W$166 = TRUE, $S$166 = FALSE))</formula>
    </cfRule>
    <cfRule type="expression" dxfId="3267" priority="166">
      <formula>OR($S$166 = FALSE, AND($P$166 = FALSE, ReportType &lt;&gt; "Final"), AND($Q$166 = FALSE, ReportType &lt;&gt; "Rough"))</formula>
    </cfRule>
    <cfRule type="expression" dxfId="3266" priority="167">
      <formula>AND(IF($R$166,$W$166,TRUE),LEN(TRIM($W$166))&gt;0)</formula>
    </cfRule>
    <cfRule type="expression" dxfId="3265" priority="168">
      <formula>AND($R$166,$S$166)</formula>
    </cfRule>
  </conditionalFormatting>
  <conditionalFormatting sqref="W152">
    <cfRule type="expression" dxfId="3264" priority="161">
      <formula>OR($T$152 = TRUE, AND($W$152 = TRUE, $S$152 = FALSE))</formula>
    </cfRule>
    <cfRule type="expression" dxfId="3263" priority="162">
      <formula>OR($S$152 = FALSE, AND($P$152 = FALSE, ReportType &lt;&gt; "Final"), AND($Q$152 = FALSE, ReportType &lt;&gt; "Rough"))</formula>
    </cfRule>
    <cfRule type="expression" dxfId="3262" priority="163">
      <formula>AND(IF($R$152,$W$152,TRUE),LEN(TRIM($W$152))&gt;0)</formula>
    </cfRule>
    <cfRule type="expression" dxfId="3261" priority="164">
      <formula>AND($R$152,$S$152)</formula>
    </cfRule>
  </conditionalFormatting>
  <conditionalFormatting sqref="W153">
    <cfRule type="expression" dxfId="3260" priority="157">
      <formula>OR($T$153 = TRUE, AND($W$153 = TRUE, $S$153 = FALSE))</formula>
    </cfRule>
    <cfRule type="expression" dxfId="3259" priority="158">
      <formula>OR($S$153 = FALSE, AND($P$153 = FALSE, ReportType &lt;&gt; "Final"), AND($Q$153 = FALSE, ReportType &lt;&gt; "Rough"))</formula>
    </cfRule>
    <cfRule type="expression" dxfId="3258" priority="159">
      <formula>AND(IF($R$153,$W$153,TRUE),LEN(TRIM($W$153))&gt;0)</formula>
    </cfRule>
    <cfRule type="expression" dxfId="3257" priority="160">
      <formula>AND($R$153,$S$153)</formula>
    </cfRule>
  </conditionalFormatting>
  <conditionalFormatting sqref="W154">
    <cfRule type="expression" dxfId="3256" priority="153">
      <formula>OR($T$154 = TRUE, AND($W$154 = TRUE, $S$154 = FALSE))</formula>
    </cfRule>
    <cfRule type="expression" dxfId="3255" priority="154">
      <formula>OR($S$154 = FALSE, AND($P$154 = FALSE, ReportType &lt;&gt; "Final"), AND($Q$154 = FALSE, ReportType &lt;&gt; "Rough"))</formula>
    </cfRule>
    <cfRule type="expression" dxfId="3254" priority="155">
      <formula>AND(IF($R$154,$W$154,TRUE),LEN(TRIM($W$154))&gt;0)</formula>
    </cfRule>
    <cfRule type="expression" dxfId="3253" priority="156">
      <formula>AND($R$154,$S$154)</formula>
    </cfRule>
  </conditionalFormatting>
  <conditionalFormatting sqref="W155">
    <cfRule type="expression" dxfId="3252" priority="149">
      <formula>OR($T$155 = TRUE, AND(LEN(TRIM($W$155))&gt;0, $S$155 = FALSE))</formula>
    </cfRule>
    <cfRule type="expression" dxfId="3251" priority="150">
      <formula>OR($S$155 = FALSE, AND($P$155 = FALSE, ReportType &lt;&gt; "Final"), AND($Q$155 = FALSE, ReportType &lt;&gt; "Rough"))</formula>
    </cfRule>
    <cfRule type="expression" dxfId="3250" priority="151">
      <formula>AND($W$155&lt;&gt;"Not Met",LEN(TRIM($W$155))&gt;0)</formula>
    </cfRule>
    <cfRule type="expression" dxfId="3249" priority="152">
      <formula>AND($R$155,$S$155)</formula>
    </cfRule>
  </conditionalFormatting>
  <conditionalFormatting sqref="W126">
    <cfRule type="expression" dxfId="3248" priority="145">
      <formula>OR($T$126 = TRUE, AND($W$126 = TRUE, $S$126 = FALSE))</formula>
    </cfRule>
    <cfRule type="expression" dxfId="3247" priority="146">
      <formula>OR($S$126 = FALSE, AND($P$126 = FALSE, ReportType &lt;&gt; "Final"), AND($Q$126 = FALSE, ReportType &lt;&gt; "Rough"))</formula>
    </cfRule>
    <cfRule type="expression" dxfId="3246" priority="147">
      <formula>AND(IF($R$126,$W$126,TRUE),LEN(TRIM($W$126))&gt;0)</formula>
    </cfRule>
    <cfRule type="expression" dxfId="3245" priority="148">
      <formula>AND($R$126,$S$126)</formula>
    </cfRule>
  </conditionalFormatting>
  <conditionalFormatting sqref="W39">
    <cfRule type="expression" dxfId="3244" priority="141">
      <formula>OR($T$39 = TRUE, AND($W$39 = TRUE, $S$39 = FALSE))</formula>
    </cfRule>
    <cfRule type="expression" dxfId="3243" priority="142">
      <formula>OR($S$39 = FALSE, AND($P$39 = FALSE, ReportType &lt;&gt; "Final"), AND($Q$39 = FALSE, ReportType &lt;&gt; "Rough"))</formula>
    </cfRule>
    <cfRule type="expression" dxfId="3242" priority="143">
      <formula>AND(IF($R$39,$W$39,TRUE),LEN(TRIM($W$39))&gt;0)</formula>
    </cfRule>
    <cfRule type="expression" dxfId="3241" priority="144">
      <formula>AND($R$39,$S$39)</formula>
    </cfRule>
  </conditionalFormatting>
  <conditionalFormatting sqref="W40">
    <cfRule type="expression" dxfId="3240" priority="137">
      <formula>OR($T$40 = TRUE, AND($W$40 = TRUE, $S$40 = FALSE))</formula>
    </cfRule>
    <cfRule type="expression" dxfId="3239" priority="138">
      <formula>OR($S$40 = FALSE, AND($P$40 = FALSE, ReportType &lt;&gt; "Final"), AND($Q$40 = FALSE, ReportType &lt;&gt; "Rough"))</formula>
    </cfRule>
    <cfRule type="expression" dxfId="3238" priority="139">
      <formula>AND(IF($R$40,$W$40,TRUE),LEN(TRIM($W$40))&gt;0)</formula>
    </cfRule>
    <cfRule type="expression" dxfId="3237" priority="140">
      <formula>AND($R$40,$S$40)</formula>
    </cfRule>
  </conditionalFormatting>
  <conditionalFormatting sqref="W41">
    <cfRule type="expression" dxfId="3236" priority="133">
      <formula>OR($T$41 = TRUE, AND($W$41 = TRUE, $S$41 = FALSE))</formula>
    </cfRule>
    <cfRule type="expression" dxfId="3235" priority="134">
      <formula>OR($S$41 = FALSE, AND($P$41 = FALSE, ReportType &lt;&gt; "Final"), AND($Q$41 = FALSE, ReportType &lt;&gt; "Rough"))</formula>
    </cfRule>
    <cfRule type="expression" dxfId="3234" priority="135">
      <formula>AND(IF($R$41,$W$41,TRUE),LEN(TRIM($W$41))&gt;0)</formula>
    </cfRule>
    <cfRule type="expression" dxfId="3233" priority="136">
      <formula>AND($R$41,$S$41)</formula>
    </cfRule>
  </conditionalFormatting>
  <conditionalFormatting sqref="W42">
    <cfRule type="expression" dxfId="3232" priority="129">
      <formula>OR($T$42 = TRUE, AND($W$42 = TRUE, $S$42 = FALSE))</formula>
    </cfRule>
    <cfRule type="expression" dxfId="3231" priority="130">
      <formula>OR($S$42 = FALSE, AND($P$42 = FALSE, ReportType &lt;&gt; "Final"), AND($Q$42 = FALSE, ReportType &lt;&gt; "Rough"))</formula>
    </cfRule>
    <cfRule type="expression" dxfId="3230" priority="131">
      <formula>AND(IF($R$42,$W$42,TRUE),LEN(TRIM($W$42))&gt;0)</formula>
    </cfRule>
    <cfRule type="expression" dxfId="3229" priority="132">
      <formula>AND($R$42,$S$42)</formula>
    </cfRule>
  </conditionalFormatting>
  <conditionalFormatting sqref="W43">
    <cfRule type="expression" dxfId="3228" priority="125">
      <formula>OR($T$43 = TRUE, AND($W$43 = TRUE, $S$43 = FALSE))</formula>
    </cfRule>
    <cfRule type="expression" dxfId="3227" priority="126">
      <formula>OR($S$43 = FALSE, AND($P$43 = FALSE, ReportType &lt;&gt; "Final"), AND($Q$43 = FALSE, ReportType &lt;&gt; "Rough"))</formula>
    </cfRule>
    <cfRule type="expression" dxfId="3226" priority="127">
      <formula>AND(IF($R$43,$W$43,TRUE),LEN(TRIM($W$43))&gt;0)</formula>
    </cfRule>
    <cfRule type="expression" dxfId="3225" priority="128">
      <formula>AND($R$43,$S$43)</formula>
    </cfRule>
  </conditionalFormatting>
  <conditionalFormatting sqref="W44">
    <cfRule type="expression" dxfId="3224" priority="121">
      <formula>OR($T$44 = TRUE, AND($W$44 = TRUE, $S$44 = FALSE))</formula>
    </cfRule>
    <cfRule type="expression" dxfId="3223" priority="122">
      <formula>OR($S$44 = FALSE, AND($P$44 = FALSE, ReportType &lt;&gt; "Final"), AND($Q$44 = FALSE, ReportType &lt;&gt; "Rough"))</formula>
    </cfRule>
    <cfRule type="expression" dxfId="3222" priority="123">
      <formula>AND(IF($R$44,$W$44,TRUE),LEN(TRIM($W$44))&gt;0)</formula>
    </cfRule>
    <cfRule type="expression" dxfId="3221" priority="124">
      <formula>AND($R$44,$S$44)</formula>
    </cfRule>
  </conditionalFormatting>
  <conditionalFormatting sqref="W45">
    <cfRule type="expression" dxfId="3220" priority="117">
      <formula>OR($T$45 = TRUE, AND($W$45 = TRUE, $S$45 = FALSE))</formula>
    </cfRule>
    <cfRule type="expression" dxfId="3219" priority="118">
      <formula>OR($S$45 = FALSE, AND($P$45 = FALSE, ReportType &lt;&gt; "Final"), AND($Q$45 = FALSE, ReportType &lt;&gt; "Rough"))</formula>
    </cfRule>
    <cfRule type="expression" dxfId="3218" priority="119">
      <formula>AND(IF($R$45,$W$45,TRUE),LEN(TRIM($W$45))&gt;0)</formula>
    </cfRule>
    <cfRule type="expression" dxfId="3217" priority="120">
      <formula>AND($R$45,$S$45)</formula>
    </cfRule>
  </conditionalFormatting>
  <conditionalFormatting sqref="W46">
    <cfRule type="expression" dxfId="3216" priority="113">
      <formula>OR($T$46 = TRUE, AND($W$46 = TRUE, $S$46 = FALSE))</formula>
    </cfRule>
    <cfRule type="expression" dxfId="3215" priority="114">
      <formula>OR($S$46 = FALSE, AND($P$46 = FALSE, ReportType &lt;&gt; "Final"), AND($Q$46 = FALSE, ReportType &lt;&gt; "Rough"))</formula>
    </cfRule>
    <cfRule type="expression" dxfId="3214" priority="115">
      <formula>AND(IF($R$46,$W$46,TRUE),LEN(TRIM($W$46))&gt;0)</formula>
    </cfRule>
    <cfRule type="expression" dxfId="3213" priority="116">
      <formula>AND($R$46,$S$46)</formula>
    </cfRule>
  </conditionalFormatting>
  <conditionalFormatting sqref="W47">
    <cfRule type="expression" dxfId="3212" priority="109">
      <formula>OR($T$47 = TRUE, AND($W$47 = TRUE, $S$47 = FALSE))</formula>
    </cfRule>
    <cfRule type="expression" dxfId="3211" priority="110">
      <formula>OR($S$47 = FALSE, AND($P$47 = FALSE, ReportType &lt;&gt; "Final"), AND($Q$47 = FALSE, ReportType &lt;&gt; "Rough"))</formula>
    </cfRule>
    <cfRule type="expression" dxfId="3210" priority="111">
      <formula>AND(IF($R$47,$W$47,TRUE),LEN(TRIM($W$47))&gt;0)</formula>
    </cfRule>
    <cfRule type="expression" dxfId="3209" priority="112">
      <formula>AND($R$47,$S$47)</formula>
    </cfRule>
  </conditionalFormatting>
  <conditionalFormatting sqref="W48">
    <cfRule type="expression" dxfId="3208" priority="105">
      <formula>OR($T$48 = TRUE, AND($W$48 = TRUE, $S$48 = FALSE))</formula>
    </cfRule>
    <cfRule type="expression" dxfId="3207" priority="106">
      <formula>OR($S$48 = FALSE, AND($P$48 = FALSE, ReportType &lt;&gt; "Final"), AND($Q$48 = FALSE, ReportType &lt;&gt; "Rough"))</formula>
    </cfRule>
    <cfRule type="expression" dxfId="3206" priority="107">
      <formula>AND(IF($R$48,$W$48,TRUE),LEN(TRIM($W$48))&gt;0)</formula>
    </cfRule>
    <cfRule type="expression" dxfId="3205" priority="108">
      <formula>AND($R$48,$S$48)</formula>
    </cfRule>
  </conditionalFormatting>
  <conditionalFormatting sqref="W49">
    <cfRule type="expression" dxfId="3204" priority="101">
      <formula>OR($T$49 = TRUE, AND($W$49 = TRUE, $S$49 = FALSE))</formula>
    </cfRule>
    <cfRule type="expression" dxfId="3203" priority="102">
      <formula>OR($S$49 = FALSE, AND($P$49 = FALSE, ReportType &lt;&gt; "Final"), AND($Q$49 = FALSE, ReportType &lt;&gt; "Rough"))</formula>
    </cfRule>
    <cfRule type="expression" dxfId="3202" priority="103">
      <formula>AND(IF($R$49,$W$49,TRUE),LEN(TRIM($W$49))&gt;0)</formula>
    </cfRule>
    <cfRule type="expression" dxfId="3201" priority="104">
      <formula>AND($R$49,$S$49)</formula>
    </cfRule>
  </conditionalFormatting>
  <conditionalFormatting sqref="W54">
    <cfRule type="expression" dxfId="3200" priority="97">
      <formula>OR($T$54 = TRUE, AND($W$54 = TRUE, $S$54 = FALSE))</formula>
    </cfRule>
    <cfRule type="expression" dxfId="3199" priority="98">
      <formula>OR($S$54 = FALSE, AND($P$54 = FALSE, ReportType &lt;&gt; "Final"), AND($Q$54 = FALSE, ReportType &lt;&gt; "Rough"))</formula>
    </cfRule>
    <cfRule type="expression" dxfId="3198" priority="99">
      <formula>AND(IF($R$54,$W$54,TRUE),LEN(TRIM($W$54))&gt;0)</formula>
    </cfRule>
    <cfRule type="expression" dxfId="3197" priority="100">
      <formula>AND($R$54,$S$54)</formula>
    </cfRule>
  </conditionalFormatting>
  <conditionalFormatting sqref="W55">
    <cfRule type="expression" dxfId="3196" priority="93">
      <formula>OR($T$55 = TRUE, AND($W$55 = TRUE, $S$55 = FALSE))</formula>
    </cfRule>
    <cfRule type="expression" dxfId="3195" priority="94">
      <formula>OR($S$55 = FALSE, AND($P$55 = FALSE, ReportType &lt;&gt; "Final"), AND($Q$55 = FALSE, ReportType &lt;&gt; "Rough"))</formula>
    </cfRule>
    <cfRule type="expression" dxfId="3194" priority="95">
      <formula>AND(IF($R$55,$W$55,TRUE),LEN(TRIM($W$55))&gt;0)</formula>
    </cfRule>
    <cfRule type="expression" dxfId="3193" priority="96">
      <formula>AND($R$55,$S$55)</formula>
    </cfRule>
  </conditionalFormatting>
  <conditionalFormatting sqref="W15">
    <cfRule type="expression" dxfId="3192" priority="91">
      <formula>AND(R15,S15)</formula>
    </cfRule>
  </conditionalFormatting>
  <conditionalFormatting sqref="W15">
    <cfRule type="expression" dxfId="3191" priority="90">
      <formula>AND(IF(R15,W15,TRUE),LEN(TRIM(W15))&gt;0)</formula>
    </cfRule>
  </conditionalFormatting>
  <conditionalFormatting sqref="W15">
    <cfRule type="expression" dxfId="3190" priority="89">
      <formula>OR(T15 = TRUE, AND(W15 = TRUE, S15 = FALSE))</formula>
    </cfRule>
  </conditionalFormatting>
  <conditionalFormatting sqref="W15">
    <cfRule type="expression" dxfId="3189" priority="92">
      <formula>OR(S15 = FALSE, AND(P15 = FALSE, ReportType &lt;&gt; "Final"), AND(Q15 = FALSE, ReportType &lt;&gt; "Rough"))</formula>
    </cfRule>
  </conditionalFormatting>
  <conditionalFormatting sqref="W16">
    <cfRule type="expression" dxfId="3188" priority="87">
      <formula>AND(R16,S16)</formula>
    </cfRule>
  </conditionalFormatting>
  <conditionalFormatting sqref="W16">
    <cfRule type="expression" dxfId="3187" priority="86">
      <formula>AND(IF(R16,W16,TRUE),LEN(TRIM(W16))&gt;0)</formula>
    </cfRule>
  </conditionalFormatting>
  <conditionalFormatting sqref="W16">
    <cfRule type="expression" dxfId="3186" priority="85">
      <formula>OR(T16 = TRUE, AND(W16 = TRUE, S16 = FALSE))</formula>
    </cfRule>
  </conditionalFormatting>
  <conditionalFormatting sqref="W16">
    <cfRule type="expression" dxfId="3185" priority="88">
      <formula>OR(S16 = FALSE, AND(P16 = FALSE, ReportType &lt;&gt; "Final"), AND(Q16 = FALSE, ReportType &lt;&gt; "Rough"))</formula>
    </cfRule>
  </conditionalFormatting>
  <conditionalFormatting sqref="W17">
    <cfRule type="expression" dxfId="3184" priority="83">
      <formula>AND(R17,S17)</formula>
    </cfRule>
  </conditionalFormatting>
  <conditionalFormatting sqref="W17">
    <cfRule type="expression" dxfId="3183" priority="82">
      <formula>AND(IF(R17,W17,TRUE),LEN(TRIM(W17))&gt;0)</formula>
    </cfRule>
  </conditionalFormatting>
  <conditionalFormatting sqref="W17">
    <cfRule type="expression" dxfId="3182" priority="81">
      <formula>OR(T17 = TRUE, AND(W17 = TRUE, S17 = FALSE))</formula>
    </cfRule>
  </conditionalFormatting>
  <conditionalFormatting sqref="W17">
    <cfRule type="expression" dxfId="3181" priority="84">
      <formula>OR(S17 = FALSE, AND(P17 = FALSE, ReportType &lt;&gt; "Final"), AND(Q17 = FALSE, ReportType &lt;&gt; "Rough"))</formula>
    </cfRule>
  </conditionalFormatting>
  <conditionalFormatting sqref="W21">
    <cfRule type="expression" dxfId="3180" priority="79">
      <formula>AND(R21,S21)</formula>
    </cfRule>
  </conditionalFormatting>
  <conditionalFormatting sqref="W21">
    <cfRule type="expression" dxfId="3179" priority="78">
      <formula>AND(IF(R21,W21,TRUE),LEN(TRIM(W21))&gt;0)</formula>
    </cfRule>
  </conditionalFormatting>
  <conditionalFormatting sqref="W21">
    <cfRule type="expression" dxfId="3178" priority="77">
      <formula>OR(T21 = TRUE, AND(W21 = TRUE, S21 = FALSE))</formula>
    </cfRule>
  </conditionalFormatting>
  <conditionalFormatting sqref="W21">
    <cfRule type="expression" dxfId="3177" priority="80">
      <formula>OR(S21 = FALSE, AND(P21 = FALSE, ReportType &lt;&gt; "Final"), AND(Q21 = FALSE, ReportType &lt;&gt; "Rough"))</formula>
    </cfRule>
  </conditionalFormatting>
  <conditionalFormatting sqref="W22">
    <cfRule type="expression" dxfId="3176" priority="75">
      <formula>AND(R22,S22)</formula>
    </cfRule>
  </conditionalFormatting>
  <conditionalFormatting sqref="W22">
    <cfRule type="expression" dxfId="3175" priority="74">
      <formula>AND(IF(R22,W22,TRUE),LEN(TRIM(W22))&gt;0)</formula>
    </cfRule>
  </conditionalFormatting>
  <conditionalFormatting sqref="W22">
    <cfRule type="expression" dxfId="3174" priority="73">
      <formula>OR(T22 = TRUE, AND(W22 = TRUE, S22 = FALSE))</formula>
    </cfRule>
  </conditionalFormatting>
  <conditionalFormatting sqref="W22">
    <cfRule type="expression" dxfId="3173" priority="76">
      <formula>OR(S22 = FALSE, AND(P22 = FALSE, ReportType &lt;&gt; "Final"), AND(Q22 = FALSE, ReportType &lt;&gt; "Rough"))</formula>
    </cfRule>
  </conditionalFormatting>
  <conditionalFormatting sqref="W23">
    <cfRule type="expression" dxfId="3172" priority="71">
      <formula>AND(R23,S23)</formula>
    </cfRule>
  </conditionalFormatting>
  <conditionalFormatting sqref="W23">
    <cfRule type="expression" dxfId="3171" priority="70">
      <formula>AND(IF(R23,W23,TRUE),LEN(TRIM(W23))&gt;0)</formula>
    </cfRule>
  </conditionalFormatting>
  <conditionalFormatting sqref="W23">
    <cfRule type="expression" dxfId="3170" priority="69">
      <formula>OR(T23 = TRUE, AND(W23 = TRUE, S23 = FALSE))</formula>
    </cfRule>
  </conditionalFormatting>
  <conditionalFormatting sqref="W23">
    <cfRule type="expression" dxfId="3169" priority="72">
      <formula>OR(S23 = FALSE, AND(P23 = FALSE, ReportType &lt;&gt; "Final"), AND(Q23 = FALSE, ReportType &lt;&gt; "Rough"))</formula>
    </cfRule>
  </conditionalFormatting>
  <conditionalFormatting sqref="X2">
    <cfRule type="expression" dxfId="3168" priority="66">
      <formula>$AG$3</formula>
    </cfRule>
  </conditionalFormatting>
  <conditionalFormatting sqref="X3">
    <cfRule type="expression" dxfId="3167" priority="67">
      <formula>$AI$3</formula>
    </cfRule>
  </conditionalFormatting>
  <conditionalFormatting sqref="X18 X24 X27:X29 X33:X36 X50 X58">
    <cfRule type="expression" dxfId="3166" priority="65">
      <formula>R18</formula>
    </cfRule>
  </conditionalFormatting>
  <conditionalFormatting sqref="X39:X49">
    <cfRule type="expression" dxfId="3165" priority="64">
      <formula>W39</formula>
    </cfRule>
  </conditionalFormatting>
  <conditionalFormatting sqref="X1">
    <cfRule type="expression" dxfId="3164" priority="62">
      <formula>startError</formula>
    </cfRule>
  </conditionalFormatting>
  <conditionalFormatting sqref="W203">
    <cfRule type="expression" dxfId="3163" priority="61">
      <formula>AND($R$203,$S$203)</formula>
    </cfRule>
  </conditionalFormatting>
  <conditionalFormatting sqref="W203">
    <cfRule type="expression" dxfId="3162" priority="60">
      <formula>AND($W$203&lt;&gt;"Not Met",LEN(TRIM($W$203))&gt;0)</formula>
    </cfRule>
  </conditionalFormatting>
  <conditionalFormatting sqref="W203">
    <cfRule type="expression" dxfId="3161" priority="59">
      <formula>$S$203 = FALSE</formula>
    </cfRule>
  </conditionalFormatting>
  <conditionalFormatting sqref="W203">
    <cfRule type="expression" dxfId="3160" priority="58">
      <formula>OR($T$203 = TRUE, AND(LEN(TRIM($W$203))&gt;0, $S$203 = FALSE))</formula>
    </cfRule>
  </conditionalFormatting>
  <conditionalFormatting sqref="W204">
    <cfRule type="expression" dxfId="3159" priority="57">
      <formula>AND($R$204,$S$204)</formula>
    </cfRule>
  </conditionalFormatting>
  <conditionalFormatting sqref="W204">
    <cfRule type="expression" dxfId="3158" priority="56">
      <formula>AND($W$204&lt;&gt;"Not Met",LEN(TRIM($W$204))&gt;0)</formula>
    </cfRule>
  </conditionalFormatting>
  <conditionalFormatting sqref="W204">
    <cfRule type="expression" dxfId="3157" priority="55">
      <formula>$S$204 = FALSE</formula>
    </cfRule>
  </conditionalFormatting>
  <conditionalFormatting sqref="W204">
    <cfRule type="expression" dxfId="3156" priority="54">
      <formula>OR($T$204 = TRUE, AND(LEN(TRIM($W$204))&gt;0, $S$204 = FALSE))</formula>
    </cfRule>
  </conditionalFormatting>
  <conditionalFormatting sqref="W256">
    <cfRule type="expression" dxfId="3155" priority="53">
      <formula>AND($R$256,$S$256)</formula>
    </cfRule>
  </conditionalFormatting>
  <conditionalFormatting sqref="W256">
    <cfRule type="expression" dxfId="3154" priority="52">
      <formula>AND($W$256&lt;&gt;"Not Met",LEN(TRIM($W$256))&gt;0)</formula>
    </cfRule>
  </conditionalFormatting>
  <conditionalFormatting sqref="W256">
    <cfRule type="expression" dxfId="3153" priority="51">
      <formula>$S$256 = FALSE</formula>
    </cfRule>
  </conditionalFormatting>
  <conditionalFormatting sqref="W256">
    <cfRule type="expression" dxfId="3152" priority="50">
      <formula>OR($T$256 = TRUE, AND(LEN(TRIM($W$256))&gt;0, $S$256 = FALSE))</formula>
    </cfRule>
  </conditionalFormatting>
  <conditionalFormatting sqref="W72">
    <cfRule type="expression" dxfId="3151" priority="48">
      <formula>AND(R72,S72)</formula>
    </cfRule>
  </conditionalFormatting>
  <conditionalFormatting sqref="W72">
    <cfRule type="expression" dxfId="3150" priority="47">
      <formula>AND(IF(R72,W72,TRUE),LEN(TRIM(W72))&gt;0)</formula>
    </cfRule>
  </conditionalFormatting>
  <conditionalFormatting sqref="W72">
    <cfRule type="expression" dxfId="3149" priority="46">
      <formula>OR(T72 = TRUE, AND(W72 = TRUE, S72 = FALSE))</formula>
    </cfRule>
  </conditionalFormatting>
  <conditionalFormatting sqref="W72">
    <cfRule type="expression" dxfId="3148" priority="49">
      <formula>OR(S72 = FALSE, AND(P72 = FALSE, ReportType &lt;&gt; "Final"), AND(Q72 = FALSE, ReportType &lt;&gt; "Rough"))</formula>
    </cfRule>
  </conditionalFormatting>
  <conditionalFormatting sqref="W69">
    <cfRule type="expression" dxfId="3147" priority="44">
      <formula>AND(R69,S69)</formula>
    </cfRule>
  </conditionalFormatting>
  <conditionalFormatting sqref="W69">
    <cfRule type="expression" dxfId="3146" priority="43">
      <formula>AND(IF(R69,W69,TRUE),LEN(TRIM(W69))&gt;0)</formula>
    </cfRule>
  </conditionalFormatting>
  <conditionalFormatting sqref="W69">
    <cfRule type="expression" dxfId="3145" priority="42">
      <formula>OR(T69 = TRUE, AND(W69 = TRUE, S69 = FALSE))</formula>
    </cfRule>
  </conditionalFormatting>
  <conditionalFormatting sqref="W69">
    <cfRule type="expression" dxfId="3144" priority="45">
      <formula>OR(S69 = FALSE, AND(P69 = FALSE, ReportType &lt;&gt; "Final"), AND(Q69 = FALSE, ReportType &lt;&gt; "Rough"))</formula>
    </cfRule>
  </conditionalFormatting>
  <conditionalFormatting sqref="W73">
    <cfRule type="expression" dxfId="3143" priority="40">
      <formula>AND(R73,S73)</formula>
    </cfRule>
  </conditionalFormatting>
  <conditionalFormatting sqref="W73">
    <cfRule type="expression" dxfId="3142" priority="39">
      <formula>AND(IF(R73,W73,TRUE),LEN(TRIM(W73))&gt;0)</formula>
    </cfRule>
  </conditionalFormatting>
  <conditionalFormatting sqref="W73">
    <cfRule type="expression" dxfId="3141" priority="38">
      <formula>OR(T73 = TRUE, AND(W73 = TRUE, S73 = FALSE))</formula>
    </cfRule>
  </conditionalFormatting>
  <conditionalFormatting sqref="W73">
    <cfRule type="expression" dxfId="3140" priority="41">
      <formula>OR(S73 = FALSE, AND(P73 = FALSE, ReportType &lt;&gt; "Final"), AND(Q73 = FALSE, ReportType &lt;&gt; "Rough"))</formula>
    </cfRule>
  </conditionalFormatting>
  <conditionalFormatting sqref="W70">
    <cfRule type="expression" dxfId="3139" priority="36">
      <formula>AND(R70,S70)</formula>
    </cfRule>
  </conditionalFormatting>
  <conditionalFormatting sqref="W70">
    <cfRule type="expression" dxfId="3138" priority="35">
      <formula>AND(IF(R70,W70,TRUE),LEN(TRIM(W70))&gt;0)</formula>
    </cfRule>
  </conditionalFormatting>
  <conditionalFormatting sqref="W70">
    <cfRule type="expression" dxfId="3137" priority="34">
      <formula>OR(T70 = TRUE, AND(W70 = TRUE, S70 = FALSE))</formula>
    </cfRule>
  </conditionalFormatting>
  <conditionalFormatting sqref="W70">
    <cfRule type="expression" dxfId="3136" priority="37">
      <formula>OR(S70 = FALSE, AND(P70 = FALSE, ReportType &lt;&gt; "Final"), AND(Q70 = FALSE, ReportType &lt;&gt; "Rough"))</formula>
    </cfRule>
  </conditionalFormatting>
  <conditionalFormatting sqref="W71">
    <cfRule type="expression" dxfId="3135" priority="32">
      <formula>AND(R71,S71)</formula>
    </cfRule>
  </conditionalFormatting>
  <conditionalFormatting sqref="W71">
    <cfRule type="expression" dxfId="3134" priority="31">
      <formula>AND(IF(R71,W71,TRUE),LEN(TRIM(W71))&gt;0)</formula>
    </cfRule>
  </conditionalFormatting>
  <conditionalFormatting sqref="W71">
    <cfRule type="expression" dxfId="3133" priority="30">
      <formula>OR(T71 = TRUE, AND(W71 = TRUE, S71 = FALSE))</formula>
    </cfRule>
  </conditionalFormatting>
  <conditionalFormatting sqref="W71">
    <cfRule type="expression" dxfId="3132" priority="33">
      <formula>OR(S71 = FALSE, AND(P71 = FALSE, ReportType &lt;&gt; "Final"), AND(Q71 = FALSE, ReportType &lt;&gt; "Rough"))</formula>
    </cfRule>
  </conditionalFormatting>
  <conditionalFormatting sqref="W85">
    <cfRule type="expression" dxfId="3131" priority="28">
      <formula>AND(R85,S85)</formula>
    </cfRule>
  </conditionalFormatting>
  <conditionalFormatting sqref="W85">
    <cfRule type="expression" dxfId="3130" priority="27">
      <formula>AND(IF(R85,W85,TRUE),LEN(TRIM(W85))&gt;0)</formula>
    </cfRule>
  </conditionalFormatting>
  <conditionalFormatting sqref="W85">
    <cfRule type="expression" dxfId="3129" priority="26">
      <formula>OR(T85 = TRUE, AND(W85 = TRUE, S85 = FALSE))</formula>
    </cfRule>
  </conditionalFormatting>
  <conditionalFormatting sqref="W85">
    <cfRule type="expression" dxfId="3128" priority="29">
      <formula>OR(S85 = FALSE, AND(P85 = FALSE, ReportType &lt;&gt; "Final"), AND(Q85 = FALSE, ReportType &lt;&gt; "Rough"))</formula>
    </cfRule>
  </conditionalFormatting>
  <conditionalFormatting sqref="W80">
    <cfRule type="expression" dxfId="3127" priority="24">
      <formula>AND(R80,S80)</formula>
    </cfRule>
  </conditionalFormatting>
  <conditionalFormatting sqref="W80">
    <cfRule type="expression" dxfId="3126" priority="23">
      <formula>AND(IF(R80,W80,TRUE),LEN(TRIM(W80))&gt;0)</formula>
    </cfRule>
  </conditionalFormatting>
  <conditionalFormatting sqref="W80">
    <cfRule type="expression" dxfId="3125" priority="22">
      <formula>OR(T80 = TRUE, AND(W80 = TRUE, S80 = FALSE))</formula>
    </cfRule>
  </conditionalFormatting>
  <conditionalFormatting sqref="W80">
    <cfRule type="expression" dxfId="3124" priority="25">
      <formula>OR(S80 = FALSE, AND(P80 = FALSE, ReportType &lt;&gt; "Final"), AND(Q80 = FALSE, ReportType &lt;&gt; "Rough"))</formula>
    </cfRule>
  </conditionalFormatting>
  <conditionalFormatting sqref="W81">
    <cfRule type="expression" dxfId="3123" priority="20">
      <formula>AND(R81,S81)</formula>
    </cfRule>
  </conditionalFormatting>
  <conditionalFormatting sqref="W81">
    <cfRule type="expression" dxfId="3122" priority="19">
      <formula>AND(IF(R81,W81,TRUE),LEN(TRIM(W81))&gt;0)</formula>
    </cfRule>
  </conditionalFormatting>
  <conditionalFormatting sqref="W81">
    <cfRule type="expression" dxfId="3121" priority="18">
      <formula>OR(T81 = TRUE, AND(W81 = TRUE, S81 = FALSE))</formula>
    </cfRule>
  </conditionalFormatting>
  <conditionalFormatting sqref="W81">
    <cfRule type="expression" dxfId="3120" priority="21">
      <formula>OR(S81 = FALSE, AND(P81 = FALSE, ReportType &lt;&gt; "Final"), AND(Q81 = FALSE, ReportType &lt;&gt; "Rough"))</formula>
    </cfRule>
  </conditionalFormatting>
  <conditionalFormatting sqref="W82">
    <cfRule type="expression" dxfId="3119" priority="16">
      <formula>AND(R82,S82)</formula>
    </cfRule>
  </conditionalFormatting>
  <conditionalFormatting sqref="W82">
    <cfRule type="expression" dxfId="3118" priority="15">
      <formula>AND(IF(R82,W82,TRUE),LEN(TRIM(W82))&gt;0)</formula>
    </cfRule>
  </conditionalFormatting>
  <conditionalFormatting sqref="W82">
    <cfRule type="expression" dxfId="3117" priority="14">
      <formula>OR(T82 = TRUE, AND(W82 = TRUE, S82 = FALSE))</formula>
    </cfRule>
  </conditionalFormatting>
  <conditionalFormatting sqref="W82">
    <cfRule type="expression" dxfId="3116" priority="17">
      <formula>OR(S82 = FALSE, AND(P82 = FALSE, ReportType &lt;&gt; "Final"), AND(Q82 = FALSE, ReportType &lt;&gt; "Rough"))</formula>
    </cfRule>
  </conditionalFormatting>
  <conditionalFormatting sqref="W83">
    <cfRule type="expression" dxfId="3115" priority="12">
      <formula>AND(R83,S83)</formula>
    </cfRule>
  </conditionalFormatting>
  <conditionalFormatting sqref="W83">
    <cfRule type="expression" dxfId="3114" priority="11">
      <formula>AND(IF(R83,W83,TRUE),LEN(TRIM(W83))&gt;0)</formula>
    </cfRule>
  </conditionalFormatting>
  <conditionalFormatting sqref="W83">
    <cfRule type="expression" dxfId="3113" priority="10">
      <formula>OR(T83 = TRUE, AND(W83 = TRUE, S83 = FALSE))</formula>
    </cfRule>
  </conditionalFormatting>
  <conditionalFormatting sqref="W83">
    <cfRule type="expression" dxfId="3112" priority="13">
      <formula>OR(S83 = FALSE, AND(P83 = FALSE, ReportType &lt;&gt; "Final"), AND(Q83 = FALSE, ReportType &lt;&gt; "Rough"))</formula>
    </cfRule>
  </conditionalFormatting>
  <conditionalFormatting sqref="W84">
    <cfRule type="expression" dxfId="3111" priority="8">
      <formula>AND(R84,S84)</formula>
    </cfRule>
  </conditionalFormatting>
  <conditionalFormatting sqref="W84">
    <cfRule type="expression" dxfId="3110" priority="7">
      <formula>AND(IF(R84,W84,TRUE),LEN(TRIM(W84))&gt;0)</formula>
    </cfRule>
  </conditionalFormatting>
  <conditionalFormatting sqref="W84">
    <cfRule type="expression" dxfId="3109" priority="6">
      <formula>OR(T84 = TRUE, AND(W84 = TRUE, S84 = FALSE))</formula>
    </cfRule>
  </conditionalFormatting>
  <conditionalFormatting sqref="W84">
    <cfRule type="expression" dxfId="3108" priority="9">
      <formula>OR(S84 = FALSE, AND(P84 = FALSE, ReportType &lt;&gt; "Final"), AND(Q84 = FALSE, ReportType &lt;&gt; "Rough"))</formula>
    </cfRule>
  </conditionalFormatting>
  <conditionalFormatting sqref="W227">
    <cfRule type="expression" dxfId="3107" priority="5">
      <formula>AND($R$227,$S$227)</formula>
    </cfRule>
  </conditionalFormatting>
  <conditionalFormatting sqref="W227">
    <cfRule type="expression" dxfId="3106" priority="4">
      <formula>AND($W$227&lt;&gt;"Not Met",LEN(TRIM($W$227))&gt;0)</formula>
    </cfRule>
  </conditionalFormatting>
  <conditionalFormatting sqref="W227">
    <cfRule type="expression" dxfId="3105" priority="3">
      <formula>$S$227 = FALSE</formula>
    </cfRule>
  </conditionalFormatting>
  <conditionalFormatting sqref="W227">
    <cfRule type="expression" dxfId="3104" priority="2">
      <formula>OR($T$227 = TRUE, AND(LEN(TRIM($W$227))&gt;0, $S$227 = FALSE))</formula>
    </cfRule>
  </conditionalFormatting>
  <conditionalFormatting sqref="X222:X238">
    <cfRule type="expression" dxfId="3103" priority="1">
      <formula>LEN($W$227)&gt;0</formula>
    </cfRule>
  </conditionalFormatting>
  <dataValidations count="19">
    <dataValidation type="decimal" allowBlank="1" showDropDown="1" showInputMessage="1" showErrorMessage="1" error="Enter a number" prompt="Enter a decimal" sqref="W21:W23" xr:uid="{EEAC702C-C21F-4DCE-9337-E6C408E758C5}">
      <formula1>0</formula1>
      <formula2>1</formula2>
    </dataValidation>
    <dataValidation type="whole" allowBlank="1" showDropDown="1" showInputMessage="1" showErrorMessage="1" error="Enter a number" prompt="Enter a whole number" sqref="W15:W17" xr:uid="{5630048B-CC64-4BB5-8390-04AF7B9FCFEF}">
      <formula1>0</formula1>
      <formula2>100</formula2>
    </dataValidation>
    <dataValidation type="list" allowBlank="1" showInputMessage="1" showErrorMessage="1" error="Please use the dropdown." sqref="W155" xr:uid="{31DD6076-4617-4A0B-9F95-8D38658D90E6}">
      <formula1>INDIRECT($U$155)</formula1>
    </dataValidation>
    <dataValidation type="list" allowBlank="1" showDropDown="1" showInputMessage="1" showErrorMessage="1" error="Use Checkbox" prompt="Use Checkbox" sqref="W110 W166 W126 W152:W154 W54:W55 W39:W49" xr:uid="{88D60872-038D-4BAC-902A-483571172250}">
      <formula1>TorF</formula1>
    </dataValidation>
    <dataValidation type="custom" allowBlank="1" showInputMessage="1" showErrorMessage="1" sqref="B306 B172" xr:uid="{7CBC4554-D19C-421F-93EF-C4177830CEBA}">
      <formula1>"&lt;0&gt;0"</formula1>
    </dataValidation>
    <dataValidation type="list" allowBlank="1" showInputMessage="1" showErrorMessage="1" error="Please use the dropdown." sqref="W203" xr:uid="{50534581-34B5-4365-A59A-2F2A6E2969C9}">
      <formula1>INDIRECT($U$203)</formula1>
    </dataValidation>
    <dataValidation type="list" allowBlank="1" showInputMessage="1" showErrorMessage="1" error="Please use the dropdown." sqref="W204" xr:uid="{0E01B21A-8F02-4CDD-B924-808CC888729A}">
      <formula1>INDIRECT($U$204)</formula1>
    </dataValidation>
    <dataValidation type="list" allowBlank="1" showInputMessage="1" showErrorMessage="1" error="Please use the dropdown." sqref="W256" xr:uid="{43C3811F-B87E-4D63-98F9-F47578DFD88D}">
      <formula1>INDIRECT($U$256)</formula1>
    </dataValidation>
    <dataValidation type="whole" allowBlank="1" showDropDown="1" showInputMessage="1" showErrorMessage="1" error="Enter a number" prompt="Enter a whole number" sqref="W72" xr:uid="{525EE85B-53ED-4F04-9B1B-C97E04F9C7C2}">
      <formula1>0</formula1>
      <formula2>300</formula2>
    </dataValidation>
    <dataValidation type="whole" allowBlank="1" showDropDown="1" showInputMessage="1" showErrorMessage="1" error="Enter a number" prompt="Enter a whole number" sqref="W69" xr:uid="{E9BA587E-C4AB-40A1-94AA-86BFC46E51EB}">
      <formula1>0</formula1>
      <formula2>1000</formula2>
    </dataValidation>
    <dataValidation type="whole" allowBlank="1" showDropDown="1" showInputMessage="1" showErrorMessage="1" error="Enter a number" prompt="Enter a whole number" sqref="W73" xr:uid="{F33079FE-4E27-4834-B232-90FF182E1C76}">
      <formula1>0</formula1>
      <formula2>10000</formula2>
    </dataValidation>
    <dataValidation type="whole" allowBlank="1" showDropDown="1" showInputMessage="1" showErrorMessage="1" error="Enter a number" prompt="Enter a whole number" sqref="W70" xr:uid="{28F2B43A-91CA-4640-8EDA-26AF20CF6F92}">
      <formula1>0</formula1>
      <formula2>90</formula2>
    </dataValidation>
    <dataValidation type="decimal" allowBlank="1" showDropDown="1" showInputMessage="1" showErrorMessage="1" error="Enter a percentage" prompt="Enter a percentage" sqref="W71 W85" xr:uid="{C8A5CFD0-9B20-4F92-8CB4-D063DFDCB9A9}">
      <formula1>0</formula1>
      <formula2>1</formula2>
    </dataValidation>
    <dataValidation type="whole" allowBlank="1" showDropDown="1" showInputMessage="1" showErrorMessage="1" error="Enter a number" prompt="Enter a whole number" sqref="W80" xr:uid="{F4734CFF-CFE2-41F6-B969-946E177DC572}">
      <formula1>0</formula1>
      <formula2>134102</formula2>
    </dataValidation>
    <dataValidation type="whole" allowBlank="1" showDropDown="1" showInputMessage="1" showErrorMessage="1" error="Enter a number" prompt="Enter a whole number" sqref="W81" xr:uid="{B20E9596-F75B-4E7D-953B-6C1441099CA3}">
      <formula1>-70</formula1>
      <formula2>212</formula2>
    </dataValidation>
    <dataValidation type="whole" allowBlank="1" showDropDown="1" showInputMessage="1" showErrorMessage="1" error="Enter a number" prompt="Enter a whole number" sqref="W82" xr:uid="{8078DF76-7102-426C-961F-3A9432262CAA}">
      <formula1>80</formula1>
      <formula2>500</formula2>
    </dataValidation>
    <dataValidation type="whole" allowBlank="1" showDropDown="1" showInputMessage="1" showErrorMessage="1" error="Enter a number" prompt="Enter a whole number" sqref="W83" xr:uid="{6A632487-A7E0-4E75-8390-38385446C53B}">
      <formula1>0</formula1>
      <formula2>7</formula2>
    </dataValidation>
    <dataValidation type="whole" allowBlank="1" showDropDown="1" showInputMessage="1" showErrorMessage="1" error="Enter a number" prompt="Enter a whole number" sqref="W84" xr:uid="{03B7859E-2F78-4E6B-B7FF-55C5F3098939}">
      <formula1>0</formula1>
      <formula2>50</formula2>
    </dataValidation>
    <dataValidation type="list" allowBlank="1" showInputMessage="1" showErrorMessage="1" error="Please use the dropdown." sqref="W227" xr:uid="{37B8A0C4-20D6-4937-BB1D-0DCAF4B95C5B}">
      <formula1>INDIRECT($U$227)</formula1>
    </dataValidation>
  </dataValidations>
  <hyperlinks>
    <hyperlink ref="C2:C7" location="Badges!W15" display="Net Zero Energy:" xr:uid="{7C403C10-F58C-4DC9-80CF-06FFF0E86735}"/>
    <hyperlink ref="C3" location="'Badges (Design)'!X84" display="Resilience:" xr:uid="{2F4D745D-4954-47FD-8975-28BAABAD94E2}"/>
    <hyperlink ref="C4" location="'Badges (Design)'!X112" display="Smart Home:" xr:uid="{C9FF8E9E-9C7B-4122-8CCE-AF6D4BE5B96C}"/>
    <hyperlink ref="C5" location="'Badges (Design)'!B159" display="Universal Design:" xr:uid="{C92B3E36-281A-4F16-8795-48ADC28BA3EA}"/>
    <hyperlink ref="C6" location="'Badges (Design)'!X190" display="Wellness:" xr:uid="{F9AEFB24-AA57-4A86-B18F-26D25A05190E}"/>
    <hyperlink ref="C7" location="'Badges (Design)'!B288" display="Zero Water:" xr:uid="{C29A4EFF-389B-4ED5-82FA-43C3B5FC2F9C}"/>
    <hyperlink ref="C2" location="'Badges (Design)'!W15" display="Net Zero Energy:" xr:uid="{FB45C4F0-5265-4698-8C7C-927B2F83A56A}"/>
  </hyperlinks>
  <pageMargins left="0.7" right="0.7" top="0.75" bottom="0.75" header="0.3" footer="0.3"/>
  <pageSetup scale="44" fitToHeight="0" orientation="portrait" r:id="rId1"/>
  <rowBreaks count="3" manualBreakCount="3">
    <brk id="115" max="23" man="1"/>
    <brk id="193" max="23" man="1"/>
    <brk id="305"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locked="0" defaultSize="0" autoFill="0" autoLine="0" autoPict="0">
                <anchor moveWithCells="1">
                  <from>
                    <xdr:col>22</xdr:col>
                    <xdr:colOff>0</xdr:colOff>
                    <xdr:row>109</xdr:row>
                    <xdr:rowOff>0</xdr:rowOff>
                  </from>
                  <to>
                    <xdr:col>22</xdr:col>
                    <xdr:colOff>180975</xdr:colOff>
                    <xdr:row>109</xdr:row>
                    <xdr:rowOff>180975</xdr:rowOff>
                  </to>
                </anchor>
              </controlPr>
            </control>
          </mc:Choice>
        </mc:AlternateContent>
        <mc:AlternateContent xmlns:mc="http://schemas.openxmlformats.org/markup-compatibility/2006">
          <mc:Choice Requires="x14">
            <control shapeId="205826" r:id="rId5" name="Check Box 2">
              <controlPr locked="0" defaultSize="0" autoFill="0" autoLine="0" autoPict="0">
                <anchor moveWithCells="1">
                  <from>
                    <xdr:col>22</xdr:col>
                    <xdr:colOff>0</xdr:colOff>
                    <xdr:row>165</xdr:row>
                    <xdr:rowOff>0</xdr:rowOff>
                  </from>
                  <to>
                    <xdr:col>22</xdr:col>
                    <xdr:colOff>180975</xdr:colOff>
                    <xdr:row>165</xdr:row>
                    <xdr:rowOff>180975</xdr:rowOff>
                  </to>
                </anchor>
              </controlPr>
            </control>
          </mc:Choice>
        </mc:AlternateContent>
        <mc:AlternateContent xmlns:mc="http://schemas.openxmlformats.org/markup-compatibility/2006">
          <mc:Choice Requires="x14">
            <control shapeId="205827" r:id="rId6" name="Check Box 3">
              <controlPr locked="0" defaultSize="0" autoFill="0" autoLine="0" autoPict="0">
                <anchor moveWithCells="1">
                  <from>
                    <xdr:col>22</xdr:col>
                    <xdr:colOff>0</xdr:colOff>
                    <xdr:row>151</xdr:row>
                    <xdr:rowOff>0</xdr:rowOff>
                  </from>
                  <to>
                    <xdr:col>22</xdr:col>
                    <xdr:colOff>180975</xdr:colOff>
                    <xdr:row>151</xdr:row>
                    <xdr:rowOff>180975</xdr:rowOff>
                  </to>
                </anchor>
              </controlPr>
            </control>
          </mc:Choice>
        </mc:AlternateContent>
        <mc:AlternateContent xmlns:mc="http://schemas.openxmlformats.org/markup-compatibility/2006">
          <mc:Choice Requires="x14">
            <control shapeId="205828" r:id="rId7" name="Check Box 4">
              <controlPr locked="0" defaultSize="0" autoFill="0" autoLine="0" autoPict="0">
                <anchor moveWithCells="1">
                  <from>
                    <xdr:col>22</xdr:col>
                    <xdr:colOff>0</xdr:colOff>
                    <xdr:row>152</xdr:row>
                    <xdr:rowOff>0</xdr:rowOff>
                  </from>
                  <to>
                    <xdr:col>22</xdr:col>
                    <xdr:colOff>180975</xdr:colOff>
                    <xdr:row>152</xdr:row>
                    <xdr:rowOff>180975</xdr:rowOff>
                  </to>
                </anchor>
              </controlPr>
            </control>
          </mc:Choice>
        </mc:AlternateContent>
        <mc:AlternateContent xmlns:mc="http://schemas.openxmlformats.org/markup-compatibility/2006">
          <mc:Choice Requires="x14">
            <control shapeId="205829" r:id="rId8" name="Check Box 5">
              <controlPr locked="0" defaultSize="0" autoFill="0" autoLine="0" autoPict="0">
                <anchor moveWithCells="1">
                  <from>
                    <xdr:col>22</xdr:col>
                    <xdr:colOff>0</xdr:colOff>
                    <xdr:row>153</xdr:row>
                    <xdr:rowOff>0</xdr:rowOff>
                  </from>
                  <to>
                    <xdr:col>22</xdr:col>
                    <xdr:colOff>180975</xdr:colOff>
                    <xdr:row>153</xdr:row>
                    <xdr:rowOff>180975</xdr:rowOff>
                  </to>
                </anchor>
              </controlPr>
            </control>
          </mc:Choice>
        </mc:AlternateContent>
        <mc:AlternateContent xmlns:mc="http://schemas.openxmlformats.org/markup-compatibility/2006">
          <mc:Choice Requires="x14">
            <control shapeId="205830" r:id="rId9" name="Check Box 6">
              <controlPr locked="0" defaultSize="0" autoFill="0" autoLine="0" autoPict="0">
                <anchor moveWithCells="1">
                  <from>
                    <xdr:col>22</xdr:col>
                    <xdr:colOff>0</xdr:colOff>
                    <xdr:row>125</xdr:row>
                    <xdr:rowOff>0</xdr:rowOff>
                  </from>
                  <to>
                    <xdr:col>22</xdr:col>
                    <xdr:colOff>180975</xdr:colOff>
                    <xdr:row>125</xdr:row>
                    <xdr:rowOff>180975</xdr:rowOff>
                  </to>
                </anchor>
              </controlPr>
            </control>
          </mc:Choice>
        </mc:AlternateContent>
        <mc:AlternateContent xmlns:mc="http://schemas.openxmlformats.org/markup-compatibility/2006">
          <mc:Choice Requires="x14">
            <control shapeId="205831" r:id="rId10" name="Check Box 7">
              <controlPr locked="0" defaultSize="0" autoFill="0" autoLine="0" autoPict="0">
                <anchor moveWithCells="1">
                  <from>
                    <xdr:col>22</xdr:col>
                    <xdr:colOff>0</xdr:colOff>
                    <xdr:row>38</xdr:row>
                    <xdr:rowOff>0</xdr:rowOff>
                  </from>
                  <to>
                    <xdr:col>22</xdr:col>
                    <xdr:colOff>180975</xdr:colOff>
                    <xdr:row>38</xdr:row>
                    <xdr:rowOff>180975</xdr:rowOff>
                  </to>
                </anchor>
              </controlPr>
            </control>
          </mc:Choice>
        </mc:AlternateContent>
        <mc:AlternateContent xmlns:mc="http://schemas.openxmlformats.org/markup-compatibility/2006">
          <mc:Choice Requires="x14">
            <control shapeId="205832" r:id="rId11" name="Check Box 8">
              <controlPr locked="0" defaultSize="0" autoFill="0" autoLine="0" autoPict="0">
                <anchor moveWithCells="1">
                  <from>
                    <xdr:col>22</xdr:col>
                    <xdr:colOff>0</xdr:colOff>
                    <xdr:row>39</xdr:row>
                    <xdr:rowOff>0</xdr:rowOff>
                  </from>
                  <to>
                    <xdr:col>22</xdr:col>
                    <xdr:colOff>180975</xdr:colOff>
                    <xdr:row>39</xdr:row>
                    <xdr:rowOff>180975</xdr:rowOff>
                  </to>
                </anchor>
              </controlPr>
            </control>
          </mc:Choice>
        </mc:AlternateContent>
        <mc:AlternateContent xmlns:mc="http://schemas.openxmlformats.org/markup-compatibility/2006">
          <mc:Choice Requires="x14">
            <control shapeId="205833" r:id="rId12" name="Check Box 9">
              <controlPr locked="0" defaultSize="0" autoFill="0" autoLine="0" autoPict="0">
                <anchor mov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205834" r:id="rId13" name="Check Box 10">
              <controlPr locked="0" defaultSize="0" autoFill="0" autoLine="0" autoPict="0">
                <anchor mov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205835" r:id="rId14" name="Check Box 11">
              <controlPr locked="0" defaultSize="0" autoFill="0" autoLine="0" autoPict="0">
                <anchor moveWithCells="1">
                  <from>
                    <xdr:col>22</xdr:col>
                    <xdr:colOff>0</xdr:colOff>
                    <xdr:row>42</xdr:row>
                    <xdr:rowOff>0</xdr:rowOff>
                  </from>
                  <to>
                    <xdr:col>22</xdr:col>
                    <xdr:colOff>180975</xdr:colOff>
                    <xdr:row>42</xdr:row>
                    <xdr:rowOff>180975</xdr:rowOff>
                  </to>
                </anchor>
              </controlPr>
            </control>
          </mc:Choice>
        </mc:AlternateContent>
        <mc:AlternateContent xmlns:mc="http://schemas.openxmlformats.org/markup-compatibility/2006">
          <mc:Choice Requires="x14">
            <control shapeId="205836" r:id="rId15" name="Check Box 12">
              <controlPr locked="0" defaultSize="0" autoFill="0" autoLine="0" autoPict="0">
                <anchor moveWithCells="1">
                  <from>
                    <xdr:col>22</xdr:col>
                    <xdr:colOff>0</xdr:colOff>
                    <xdr:row>43</xdr:row>
                    <xdr:rowOff>0</xdr:rowOff>
                  </from>
                  <to>
                    <xdr:col>22</xdr:col>
                    <xdr:colOff>180975</xdr:colOff>
                    <xdr:row>43</xdr:row>
                    <xdr:rowOff>180975</xdr:rowOff>
                  </to>
                </anchor>
              </controlPr>
            </control>
          </mc:Choice>
        </mc:AlternateContent>
        <mc:AlternateContent xmlns:mc="http://schemas.openxmlformats.org/markup-compatibility/2006">
          <mc:Choice Requires="x14">
            <control shapeId="205837" r:id="rId16" name="Check Box 13">
              <controlPr locked="0" defaultSize="0" autoFill="0" autoLine="0" autoPict="0">
                <anchor moveWithCells="1">
                  <from>
                    <xdr:col>22</xdr:col>
                    <xdr:colOff>0</xdr:colOff>
                    <xdr:row>44</xdr:row>
                    <xdr:rowOff>0</xdr:rowOff>
                  </from>
                  <to>
                    <xdr:col>22</xdr:col>
                    <xdr:colOff>180975</xdr:colOff>
                    <xdr:row>44</xdr:row>
                    <xdr:rowOff>180975</xdr:rowOff>
                  </to>
                </anchor>
              </controlPr>
            </control>
          </mc:Choice>
        </mc:AlternateContent>
        <mc:AlternateContent xmlns:mc="http://schemas.openxmlformats.org/markup-compatibility/2006">
          <mc:Choice Requires="x14">
            <control shapeId="205838" r:id="rId17" name="Check Box 14">
              <controlPr locked="0" defaultSize="0" autoFill="0" autoLine="0" autoPict="0">
                <anchor moveWithCells="1">
                  <from>
                    <xdr:col>22</xdr:col>
                    <xdr:colOff>0</xdr:colOff>
                    <xdr:row>45</xdr:row>
                    <xdr:rowOff>0</xdr:rowOff>
                  </from>
                  <to>
                    <xdr:col>22</xdr:col>
                    <xdr:colOff>180975</xdr:colOff>
                    <xdr:row>45</xdr:row>
                    <xdr:rowOff>180975</xdr:rowOff>
                  </to>
                </anchor>
              </controlPr>
            </control>
          </mc:Choice>
        </mc:AlternateContent>
        <mc:AlternateContent xmlns:mc="http://schemas.openxmlformats.org/markup-compatibility/2006">
          <mc:Choice Requires="x14">
            <control shapeId="205839" r:id="rId18" name="Check Box 15">
              <controlPr locked="0" defaultSize="0" autoFill="0" autoLine="0" autoPict="0">
                <anchor moveWithCells="1">
                  <from>
                    <xdr:col>22</xdr:col>
                    <xdr:colOff>0</xdr:colOff>
                    <xdr:row>46</xdr:row>
                    <xdr:rowOff>0</xdr:rowOff>
                  </from>
                  <to>
                    <xdr:col>22</xdr:col>
                    <xdr:colOff>180975</xdr:colOff>
                    <xdr:row>46</xdr:row>
                    <xdr:rowOff>180975</xdr:rowOff>
                  </to>
                </anchor>
              </controlPr>
            </control>
          </mc:Choice>
        </mc:AlternateContent>
        <mc:AlternateContent xmlns:mc="http://schemas.openxmlformats.org/markup-compatibility/2006">
          <mc:Choice Requires="x14">
            <control shapeId="205840" r:id="rId19" name="Check Box 16">
              <controlPr locked="0" defaultSize="0" autoFill="0" autoLine="0" autoPict="0">
                <anchor moveWithCells="1">
                  <from>
                    <xdr:col>22</xdr:col>
                    <xdr:colOff>0</xdr:colOff>
                    <xdr:row>47</xdr:row>
                    <xdr:rowOff>0</xdr:rowOff>
                  </from>
                  <to>
                    <xdr:col>22</xdr:col>
                    <xdr:colOff>180975</xdr:colOff>
                    <xdr:row>47</xdr:row>
                    <xdr:rowOff>180975</xdr:rowOff>
                  </to>
                </anchor>
              </controlPr>
            </control>
          </mc:Choice>
        </mc:AlternateContent>
        <mc:AlternateContent xmlns:mc="http://schemas.openxmlformats.org/markup-compatibility/2006">
          <mc:Choice Requires="x14">
            <control shapeId="205841" r:id="rId20" name="Check Box 17">
              <controlPr locked="0" defaultSize="0" autoFill="0" autoLine="0" autoPict="0">
                <anchor moveWithCells="1">
                  <from>
                    <xdr:col>22</xdr:col>
                    <xdr:colOff>0</xdr:colOff>
                    <xdr:row>48</xdr:row>
                    <xdr:rowOff>0</xdr:rowOff>
                  </from>
                  <to>
                    <xdr:col>22</xdr:col>
                    <xdr:colOff>180975</xdr:colOff>
                    <xdr:row>48</xdr:row>
                    <xdr:rowOff>180975</xdr:rowOff>
                  </to>
                </anchor>
              </controlPr>
            </control>
          </mc:Choice>
        </mc:AlternateContent>
        <mc:AlternateContent xmlns:mc="http://schemas.openxmlformats.org/markup-compatibility/2006">
          <mc:Choice Requires="x14">
            <control shapeId="205842" r:id="rId21" name="Check Box 18">
              <controlPr locked="0" defaultSize="0" autoFill="0" autoLine="0" autoPict="0">
                <anchor moveWithCells="1">
                  <from>
                    <xdr:col>22</xdr:col>
                    <xdr:colOff>0</xdr:colOff>
                    <xdr:row>53</xdr:row>
                    <xdr:rowOff>0</xdr:rowOff>
                  </from>
                  <to>
                    <xdr:col>22</xdr:col>
                    <xdr:colOff>180975</xdr:colOff>
                    <xdr:row>53</xdr:row>
                    <xdr:rowOff>180975</xdr:rowOff>
                  </to>
                </anchor>
              </controlPr>
            </control>
          </mc:Choice>
        </mc:AlternateContent>
        <mc:AlternateContent xmlns:mc="http://schemas.openxmlformats.org/markup-compatibility/2006">
          <mc:Choice Requires="x14">
            <control shapeId="205843" r:id="rId22" name="Check Box 19">
              <controlPr locked="0" defaultSize="0" autoFill="0" autoLine="0" autoPict="0">
                <anchor moveWithCells="1">
                  <from>
                    <xdr:col>22</xdr:col>
                    <xdr:colOff>0</xdr:colOff>
                    <xdr:row>54</xdr:row>
                    <xdr:rowOff>0</xdr:rowOff>
                  </from>
                  <to>
                    <xdr:col>22</xdr:col>
                    <xdr:colOff>180975</xdr:colOff>
                    <xdr:row>54</xdr:row>
                    <xdr:rowOff>180975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B54C9-DA91-43B6-ACD9-F3F362F80F54}">
  <sheetPr codeName="Sheet43">
    <pageSetUpPr fitToPage="1"/>
  </sheetPr>
  <dimension ref="A1:BI143"/>
  <sheetViews>
    <sheetView showGridLines="0" zoomScaleNormal="100" zoomScaleSheetLayoutView="80" workbookViewId="0">
      <pane ySplit="8" topLeftCell="A9" activePane="bottomLeft" state="frozen"/>
      <selection activeCell="E90" sqref="E90"/>
      <selection pane="bottomLeft" activeCell="W18" sqref="W18"/>
    </sheetView>
  </sheetViews>
  <sheetFormatPr defaultRowHeight="15" x14ac:dyDescent="0.25"/>
  <cols>
    <col min="1" max="14" width="7.5703125" style="1518" customWidth="1"/>
    <col min="15" max="15" width="7.5703125" style="1517" customWidth="1"/>
    <col min="16" max="16" width="6.140625" style="1518" hidden="1" customWidth="1"/>
    <col min="17" max="17" width="5.42578125" style="1518" hidden="1" customWidth="1"/>
    <col min="18" max="20" width="6.140625" style="1518" hidden="1" customWidth="1"/>
    <col min="21" max="21" width="8.7109375" style="1518" hidden="1" customWidth="1"/>
    <col min="22" max="22" width="3.140625" style="1518" hidden="1" customWidth="1"/>
    <col min="23" max="23" width="21.42578125" style="1517" customWidth="1"/>
    <col min="24" max="24" width="69" style="1518" customWidth="1"/>
    <col min="25" max="25" width="4.7109375" style="1518" hidden="1" customWidth="1"/>
    <col min="26" max="35" width="9.140625" style="1518" hidden="1" customWidth="1"/>
    <col min="36" max="40" width="8.42578125" style="1518" hidden="1" customWidth="1"/>
    <col min="41" max="41" width="9.140625" style="1518" hidden="1" customWidth="1"/>
    <col min="42" max="42" width="29.140625" style="1518" hidden="1" customWidth="1"/>
    <col min="43" max="43" width="2.7109375" style="1518" hidden="1" customWidth="1"/>
    <col min="44" max="44" width="29.140625" style="1518" hidden="1" customWidth="1"/>
    <col min="45" max="45" width="4.85546875" style="1518" hidden="1" customWidth="1"/>
    <col min="46" max="48" width="8.42578125" style="1518" hidden="1" customWidth="1"/>
    <col min="49" max="59" width="9.140625" style="1518" hidden="1" customWidth="1"/>
    <col min="60" max="60" width="13.28515625" style="1518" hidden="1" customWidth="1"/>
    <col min="61" max="61" width="26.140625" style="1518" hidden="1" customWidth="1"/>
    <col min="62" max="62" width="9.140625" style="1518" customWidth="1"/>
    <col min="63" max="16384" width="9.140625" style="1518"/>
  </cols>
  <sheetData>
    <row r="1" spans="1:61" ht="15" customHeight="1" x14ac:dyDescent="0.25">
      <c r="W1" s="1993" t="s">
        <v>4877</v>
      </c>
      <c r="X1" s="1473" t="s">
        <v>4064</v>
      </c>
    </row>
    <row r="2" spans="1:61" x14ac:dyDescent="0.25">
      <c r="A2"/>
      <c r="B2"/>
      <c r="C2" s="1634" t="s">
        <v>5719</v>
      </c>
      <c r="D2" t="str">
        <f ca="1">G10</f>
        <v>Not Earned</v>
      </c>
      <c r="E2"/>
      <c r="F2"/>
      <c r="W2" s="1993"/>
      <c r="X2" s="1473" t="s">
        <v>3503</v>
      </c>
    </row>
    <row r="3" spans="1:61" x14ac:dyDescent="0.25">
      <c r="A3"/>
      <c r="B3"/>
      <c r="C3"/>
      <c r="D3"/>
      <c r="E3"/>
      <c r="F3"/>
      <c r="Q3" s="1517" t="s">
        <v>5245</v>
      </c>
      <c r="R3" s="1518" t="s">
        <v>315</v>
      </c>
      <c r="W3" s="1994"/>
      <c r="X3" s="1473" t="s">
        <v>3504</v>
      </c>
      <c r="AF3" s="1517" t="s">
        <v>312</v>
      </c>
      <c r="AG3" s="1518" t="b">
        <f ca="1">OR(AE:AE)</f>
        <v>0</v>
      </c>
      <c r="AH3" s="1517" t="s">
        <v>313</v>
      </c>
      <c r="AI3" s="1518" t="b">
        <f>OR(AD:AD)</f>
        <v>0</v>
      </c>
    </row>
    <row r="4" spans="1:61" x14ac:dyDescent="0.25">
      <c r="A4"/>
      <c r="B4"/>
      <c r="C4"/>
      <c r="D4"/>
      <c r="E4"/>
      <c r="F4"/>
      <c r="W4" s="327" t="s">
        <v>3502</v>
      </c>
      <c r="X4" s="1520" t="str">
        <f>IF(dstCity="","",IF(dstBatch, "Various ", dstHomeAddress)&amp;", "&amp;dstCity&amp;", "&amp;dstState&amp;"  "&amp;dstZIP)</f>
        <v/>
      </c>
    </row>
    <row r="5" spans="1:61" ht="15" customHeight="1" x14ac:dyDescent="0.25">
      <c r="A5"/>
      <c r="B5"/>
      <c r="C5"/>
      <c r="D5"/>
      <c r="E5"/>
      <c r="F5"/>
      <c r="W5" s="326" t="s">
        <v>130</v>
      </c>
      <c r="X5" s="1521" t="str">
        <f>IF(dstLot="","",dstLot)</f>
        <v/>
      </c>
    </row>
    <row r="6" spans="1:61" ht="15" customHeight="1" x14ac:dyDescent="0.25">
      <c r="A6"/>
      <c r="B6"/>
      <c r="C6"/>
      <c r="D6"/>
      <c r="E6"/>
      <c r="F6"/>
      <c r="W6" s="1519"/>
    </row>
    <row r="7" spans="1:61" ht="15" customHeight="1" x14ac:dyDescent="0.25">
      <c r="A7"/>
      <c r="B7"/>
      <c r="C7"/>
      <c r="D7"/>
      <c r="E7"/>
      <c r="F7"/>
      <c r="P7" s="1518" t="s">
        <v>4103</v>
      </c>
      <c r="Q7" s="1518" t="s">
        <v>309</v>
      </c>
      <c r="R7" s="1518" t="s">
        <v>250</v>
      </c>
      <c r="S7" s="1518" t="s">
        <v>251</v>
      </c>
      <c r="T7" s="1518" t="s">
        <v>0</v>
      </c>
      <c r="U7" s="1518" t="s">
        <v>4104</v>
      </c>
      <c r="W7" s="1519"/>
      <c r="AC7" s="1515" t="s">
        <v>307</v>
      </c>
      <c r="AD7" s="1515" t="s">
        <v>0</v>
      </c>
      <c r="AE7" s="1515" t="s">
        <v>306</v>
      </c>
      <c r="AF7" s="1517" t="s">
        <v>3991</v>
      </c>
    </row>
    <row r="8" spans="1:61" x14ac:dyDescent="0.25">
      <c r="A8" s="334"/>
      <c r="B8" s="334"/>
      <c r="C8" s="334"/>
      <c r="D8" s="334"/>
      <c r="H8" s="1517"/>
      <c r="I8" s="1407"/>
      <c r="J8" s="1407"/>
      <c r="P8" s="1514" t="s">
        <v>247</v>
      </c>
      <c r="Q8" s="1514" t="s">
        <v>247</v>
      </c>
      <c r="R8" s="1514" t="s">
        <v>247</v>
      </c>
      <c r="S8" s="1514" t="s">
        <v>247</v>
      </c>
      <c r="T8" s="1514" t="s">
        <v>247</v>
      </c>
      <c r="U8" s="1514" t="s">
        <v>247</v>
      </c>
      <c r="V8" s="1514" t="s">
        <v>247</v>
      </c>
      <c r="W8" s="1519"/>
      <c r="X8" s="627" t="s">
        <v>5241</v>
      </c>
      <c r="Y8" s="1514" t="s">
        <v>247</v>
      </c>
      <c r="Z8" s="1514" t="s">
        <v>247</v>
      </c>
      <c r="AA8" s="1514" t="s">
        <v>247</v>
      </c>
      <c r="AB8" s="1514" t="s">
        <v>247</v>
      </c>
      <c r="AC8" s="1514" t="s">
        <v>247</v>
      </c>
      <c r="AD8" s="1514" t="s">
        <v>247</v>
      </c>
      <c r="AE8" s="1514" t="s">
        <v>247</v>
      </c>
      <c r="AF8" s="1514" t="s">
        <v>247</v>
      </c>
      <c r="AG8" s="1514" t="s">
        <v>247</v>
      </c>
      <c r="AH8" s="1514" t="s">
        <v>247</v>
      </c>
      <c r="AI8" s="1514" t="s">
        <v>247</v>
      </c>
      <c r="AJ8" s="1518" t="s">
        <v>247</v>
      </c>
      <c r="AK8" s="1518" t="s">
        <v>247</v>
      </c>
      <c r="AL8" s="1518" t="s">
        <v>247</v>
      </c>
      <c r="AM8" s="1518" t="s">
        <v>247</v>
      </c>
      <c r="AN8" s="1518" t="s">
        <v>247</v>
      </c>
      <c r="AO8" s="1518" t="s">
        <v>247</v>
      </c>
      <c r="AP8" s="1518" t="s">
        <v>247</v>
      </c>
      <c r="AQ8" s="1518" t="s">
        <v>247</v>
      </c>
      <c r="AR8" s="1518" t="s">
        <v>247</v>
      </c>
      <c r="AS8" s="1518" t="s">
        <v>247</v>
      </c>
      <c r="AT8" s="1518" t="s">
        <v>247</v>
      </c>
      <c r="AU8" s="1518" t="s">
        <v>247</v>
      </c>
      <c r="AV8" s="1518" t="s">
        <v>247</v>
      </c>
      <c r="AW8" s="1518" t="s">
        <v>247</v>
      </c>
      <c r="AX8" s="1518" t="s">
        <v>247</v>
      </c>
      <c r="AY8" s="1518" t="s">
        <v>247</v>
      </c>
      <c r="AZ8" s="1518" t="s">
        <v>247</v>
      </c>
      <c r="BA8" s="1518" t="s">
        <v>247</v>
      </c>
      <c r="BB8" s="1518" t="s">
        <v>247</v>
      </c>
      <c r="BC8" s="1518" t="s">
        <v>247</v>
      </c>
      <c r="BD8" s="1518" t="s">
        <v>247</v>
      </c>
      <c r="BE8" s="1518" t="s">
        <v>247</v>
      </c>
      <c r="BF8" s="1518" t="s">
        <v>247</v>
      </c>
      <c r="BG8" s="1518" t="s">
        <v>247</v>
      </c>
      <c r="BH8" s="1518" t="s">
        <v>247</v>
      </c>
      <c r="BI8" s="1518" t="s">
        <v>247</v>
      </c>
    </row>
    <row r="9" spans="1:61" x14ac:dyDescent="0.25">
      <c r="O9" s="1518"/>
      <c r="W9" s="1518"/>
    </row>
    <row r="10" spans="1:61" x14ac:dyDescent="0.25">
      <c r="B10" s="1985" t="s">
        <v>5679</v>
      </c>
      <c r="C10" s="1985"/>
      <c r="D10" s="1985"/>
      <c r="E10" s="1985"/>
      <c r="F10" s="94"/>
      <c r="G10" s="2010" t="str" cm="1">
        <f t="array" aca="1" ref="G10" ca="1">IF(S15&gt;0,IF(INDEX(T10:T11,S15),"Earned","Not Earned"),"Not Earned")</f>
        <v>Not Earned</v>
      </c>
      <c r="H10" s="1997"/>
      <c r="I10" s="1997"/>
      <c r="J10" s="1997"/>
      <c r="K10" s="1997"/>
      <c r="L10" s="1997"/>
      <c r="M10" s="1997"/>
      <c r="N10" s="1997"/>
      <c r="O10" s="1998"/>
      <c r="P10" s="94"/>
      <c r="Q10" s="647"/>
      <c r="R10" s="94"/>
      <c r="S10" s="647" t="s">
        <v>5718</v>
      </c>
      <c r="T10" s="94" t="b">
        <f ca="1">AND(W18=TRUE,W19=TRUE,W20=TRUE,W22=TRUE,W23=TRUE,W24=TRUE,W27=TRUE,W28=TRUE,W34=TRUE,W41=TRUE,W48=TRUE,NOT(W59="Not Met"),NOT(W98="Not Met"))</f>
        <v>0</v>
      </c>
      <c r="U10" s="94"/>
      <c r="V10" s="94"/>
      <c r="W10" s="94"/>
      <c r="X10" s="94"/>
      <c r="Y10" s="94"/>
    </row>
    <row r="11" spans="1:61" ht="15.75" thickBot="1" x14ac:dyDescent="0.3">
      <c r="B11" s="1986"/>
      <c r="C11" s="1986"/>
      <c r="D11" s="1986"/>
      <c r="E11" s="1986"/>
      <c r="F11" s="99"/>
      <c r="G11" s="2011"/>
      <c r="H11" s="1999"/>
      <c r="I11" s="1999"/>
      <c r="J11" s="1999"/>
      <c r="K11" s="1999"/>
      <c r="L11" s="1999"/>
      <c r="M11" s="1999"/>
      <c r="N11" s="1999"/>
      <c r="O11" s="2000"/>
      <c r="P11" s="99"/>
      <c r="Q11" s="1406"/>
      <c r="R11" s="99"/>
      <c r="S11" s="1406" t="s">
        <v>5717</v>
      </c>
      <c r="T11" s="99" t="b" cm="1">
        <f t="array" aca="1" ref="T11" ca="1">AND(W18=TRUE,W19=TRUE,W20=TRUE,W22=TRUE,W23=TRUE,W24=TRUE,W27=TRUE,W28=TRUE,SUM(COUNTIF(INDIRECT({"W36","W43","W50","W63","W74","W84","W105","W112","W117","W125","W130"}),"Not Met"))=0)</f>
        <v>0</v>
      </c>
      <c r="U11" s="99"/>
      <c r="V11" s="99"/>
      <c r="W11" s="99"/>
      <c r="X11" s="99"/>
      <c r="Y11" s="99"/>
      <c r="AX11" s="1630" t="str">
        <f>'Overview (Design)'!A10</f>
        <v>Builder Name:</v>
      </c>
      <c r="AY11" s="1629">
        <f>'Overview (Design)'!G10</f>
        <v>0</v>
      </c>
    </row>
    <row r="12" spans="1:61" ht="15.75" thickTop="1" x14ac:dyDescent="0.25">
      <c r="O12" s="1518"/>
      <c r="W12" s="1518"/>
      <c r="AM12" s="1517"/>
      <c r="AX12" s="1630" t="str">
        <f>'Overview (Design)'!A11</f>
        <v>Physical Address of Home:</v>
      </c>
      <c r="AY12" s="1629">
        <f>'Overview (Design)'!G11</f>
        <v>0</v>
      </c>
    </row>
    <row r="13" spans="1:61" x14ac:dyDescent="0.25">
      <c r="O13" s="1518"/>
      <c r="W13" s="1518"/>
      <c r="AM13" s="1517"/>
      <c r="AX13" s="1630" t="str">
        <f>'Overview (Design)'!A12</f>
        <v>Community/Lot #:</v>
      </c>
      <c r="AY13" s="1629">
        <f>'Overview (Design)'!G12</f>
        <v>0</v>
      </c>
    </row>
    <row r="14" spans="1:61" x14ac:dyDescent="0.25">
      <c r="L14" s="1517"/>
      <c r="N14" s="1517" t="s">
        <v>5633</v>
      </c>
      <c r="O14" s="1518"/>
      <c r="U14" s="1518" t="s">
        <v>5663</v>
      </c>
      <c r="W14" s="1609" t="str">
        <f>IF(LEN('Ch8'!W13)=0, "Enter in Ch8",'Ch8'!W13)</f>
        <v>Enter in Ch8</v>
      </c>
      <c r="AD14"/>
      <c r="AM14" s="1517"/>
      <c r="AX14" s="1630" t="str">
        <f>'Overview (Design)'!A13</f>
        <v>City:</v>
      </c>
      <c r="AY14" s="1629">
        <f>'Overview (Design)'!G13</f>
        <v>0</v>
      </c>
    </row>
    <row r="15" spans="1:61" x14ac:dyDescent="0.25">
      <c r="C15" s="1445"/>
      <c r="L15" s="1517"/>
      <c r="R15" s="1" t="s">
        <v>3381</v>
      </c>
      <c r="S15" s="1">
        <f ca="1">IFERROR(MATCH(W14,INDIRECT(U14),0),0)</f>
        <v>0</v>
      </c>
      <c r="AX15" s="1630" t="str">
        <f>'Overview (Design)'!A14</f>
        <v>State:</v>
      </c>
      <c r="AY15" s="1629">
        <f>'Overview (Design)'!G14</f>
        <v>0</v>
      </c>
    </row>
    <row r="16" spans="1:61" x14ac:dyDescent="0.25">
      <c r="C16" s="1516" t="s">
        <v>5632</v>
      </c>
      <c r="L16" s="1517"/>
      <c r="AX16" s="1630" t="str">
        <f>'Overview (Design)'!A15</f>
        <v>County:</v>
      </c>
      <c r="AY16" s="1629">
        <f>'Overview (Design)'!G15</f>
        <v>0</v>
      </c>
    </row>
    <row r="17" spans="2:51" x14ac:dyDescent="0.25">
      <c r="C17" s="1445"/>
      <c r="L17" s="1514"/>
      <c r="N17"/>
      <c r="O17"/>
      <c r="W17"/>
      <c r="X17"/>
      <c r="AN17"/>
      <c r="AO17"/>
      <c r="AP17"/>
      <c r="AQ17"/>
      <c r="AR17"/>
      <c r="AS17"/>
      <c r="AT17"/>
      <c r="AU17"/>
      <c r="AV17"/>
      <c r="AW17"/>
      <c r="AX17" s="1630" t="str">
        <f>'Overview (Design)'!A16</f>
        <v>Zip:</v>
      </c>
      <c r="AY17" s="1629">
        <f>'Overview (Design)'!G16</f>
        <v>0</v>
      </c>
    </row>
    <row r="18" spans="2:51" ht="15" customHeight="1" x14ac:dyDescent="0.25">
      <c r="B18" s="1528"/>
      <c r="C18" s="178" t="s">
        <v>5634</v>
      </c>
      <c r="D18" s="1210"/>
      <c r="E18" s="1210"/>
      <c r="F18" s="1210"/>
      <c r="G18" s="1210"/>
      <c r="H18" s="1210"/>
      <c r="I18" s="1210"/>
      <c r="J18" s="1210"/>
      <c r="K18" s="178"/>
      <c r="L18" s="178"/>
      <c r="M18" s="178"/>
      <c r="N18" s="178"/>
      <c r="O18" s="178"/>
      <c r="P18" s="1523" t="b">
        <v>1</v>
      </c>
      <c r="Q18" s="1523" t="b">
        <v>1</v>
      </c>
      <c r="R18" s="1523" t="b">
        <f ca="1">S18</f>
        <v>0</v>
      </c>
      <c r="S18" s="1523" t="b">
        <f ca="1">S15&gt;0</f>
        <v>0</v>
      </c>
      <c r="T18" s="1523" t="b">
        <v>0</v>
      </c>
      <c r="W18" s="25"/>
      <c r="X18" s="1524"/>
      <c r="AC18" s="1518" t="b">
        <f ca="1">OR(AD18,AE18)</f>
        <v>0</v>
      </c>
      <c r="AD18" s="1639" t="b">
        <f>T18</f>
        <v>0</v>
      </c>
      <c r="AE18" s="1639" t="b">
        <f ca="1">AND(R18,NOT(W18))</f>
        <v>0</v>
      </c>
      <c r="AL18" s="1639" t="s">
        <v>5721</v>
      </c>
      <c r="AN18"/>
      <c r="AO18"/>
      <c r="AP18" s="1639" t="str">
        <f>"des"&amp;AL18</f>
        <v>desWaterSenseLeaks1</v>
      </c>
      <c r="AQ18" s="254" t="str">
        <f>IF(LEN(W18)=0,"",W18)</f>
        <v/>
      </c>
      <c r="AR18" s="1639" t="str">
        <f>"dnt"&amp;AL18</f>
        <v>dntWaterSenseLeaks1</v>
      </c>
      <c r="AS18" s="254" t="str">
        <f>IF(LEN(X18)=0,"",X18)</f>
        <v/>
      </c>
      <c r="AT18"/>
      <c r="AU18"/>
      <c r="AV18"/>
      <c r="AW18"/>
      <c r="AX18" s="1630"/>
      <c r="AY18" s="1629"/>
    </row>
    <row r="19" spans="2:51" x14ac:dyDescent="0.25">
      <c r="B19" s="1528"/>
      <c r="C19" s="211" t="s">
        <v>5635</v>
      </c>
      <c r="D19" s="211"/>
      <c r="E19" s="211"/>
      <c r="F19" s="211"/>
      <c r="G19" s="211"/>
      <c r="H19" s="211"/>
      <c r="I19" s="211"/>
      <c r="J19" s="211"/>
      <c r="K19" s="211"/>
      <c r="L19" s="1529"/>
      <c r="M19" s="211"/>
      <c r="N19" s="211"/>
      <c r="O19" s="211"/>
      <c r="P19" s="1523" t="b">
        <v>1</v>
      </c>
      <c r="Q19" s="1523" t="b">
        <v>1</v>
      </c>
      <c r="R19" s="1639" t="b">
        <f ca="1">S19</f>
        <v>0</v>
      </c>
      <c r="S19" s="1523" t="b">
        <f ca="1">S15&gt;0</f>
        <v>0</v>
      </c>
      <c r="T19" s="1523" t="b">
        <v>0</v>
      </c>
      <c r="W19" s="25"/>
      <c r="X19" s="1524"/>
      <c r="AC19" s="1639" t="b">
        <f ca="1">OR(AD19,AE19)</f>
        <v>0</v>
      </c>
      <c r="AD19" s="1639" t="b">
        <f>T19</f>
        <v>0</v>
      </c>
      <c r="AE19" s="1639" t="b">
        <f ca="1">AND(R19,NOT(W19))</f>
        <v>0</v>
      </c>
      <c r="AL19" s="1639" t="s">
        <v>5722</v>
      </c>
      <c r="AN19"/>
      <c r="AO19"/>
      <c r="AP19" s="1639" t="str">
        <f>"des"&amp;AL19</f>
        <v>desWaterSenseLeaks2</v>
      </c>
      <c r="AQ19" s="254" t="str">
        <f>IF(LEN(W19)=0,"",W19)</f>
        <v/>
      </c>
      <c r="AR19" s="1639" t="str">
        <f>"dnt"&amp;AL19</f>
        <v>dntWaterSenseLeaks2</v>
      </c>
      <c r="AS19" s="254" t="str">
        <f>IF(LEN(X19)=0,"",X19)</f>
        <v/>
      </c>
      <c r="AT19"/>
      <c r="AU19"/>
      <c r="AV19"/>
      <c r="AW19"/>
      <c r="AX19" s="1630" t="str">
        <f>'Overview (Design)'!A18</f>
        <v>Single-Family or Multifamily:</v>
      </c>
      <c r="AY19" s="1629" t="str">
        <f>'Overview (Design)'!G18</f>
        <v>Single-Family</v>
      </c>
    </row>
    <row r="20" spans="2:51" x14ac:dyDescent="0.25">
      <c r="B20" s="1528"/>
      <c r="C20" s="2023" t="s">
        <v>5636</v>
      </c>
      <c r="D20" s="2023"/>
      <c r="E20" s="2023"/>
      <c r="F20" s="2023"/>
      <c r="G20" s="2023"/>
      <c r="H20" s="2023"/>
      <c r="I20" s="2023"/>
      <c r="J20" s="2023"/>
      <c r="K20" s="2023"/>
      <c r="L20" s="2023"/>
      <c r="M20" s="2023"/>
      <c r="N20" s="195"/>
      <c r="O20" s="195"/>
      <c r="P20" s="1523" t="b">
        <v>1</v>
      </c>
      <c r="Q20" s="1523" t="b">
        <v>1</v>
      </c>
      <c r="R20" s="1639" t="b">
        <f ca="1">S20</f>
        <v>0</v>
      </c>
      <c r="S20" s="1523" t="b">
        <f ca="1">S15&gt;0</f>
        <v>0</v>
      </c>
      <c r="T20" s="1523" t="b">
        <v>0</v>
      </c>
      <c r="W20" s="25"/>
      <c r="X20" s="1757"/>
      <c r="AC20" s="1639" t="b">
        <f ca="1">OR(AD20,AE20)</f>
        <v>0</v>
      </c>
      <c r="AD20" s="1639" t="b">
        <f>T20</f>
        <v>0</v>
      </c>
      <c r="AE20" s="1639" t="b">
        <f ca="1">AND(R20,NOT(W20))</f>
        <v>0</v>
      </c>
      <c r="AL20" s="1639" t="s">
        <v>5723</v>
      </c>
      <c r="AN20"/>
      <c r="AO20"/>
      <c r="AP20" s="1639" t="str">
        <f>"des"&amp;AL20</f>
        <v>desWaterSenseLeaks3</v>
      </c>
      <c r="AQ20" s="254" t="str">
        <f>IF(LEN(W20)=0,"",W20)</f>
        <v/>
      </c>
      <c r="AR20" s="1639" t="str">
        <f>"dnt"&amp;AL20</f>
        <v>dntWaterSenseLeaks3</v>
      </c>
      <c r="AS20" s="254" t="str">
        <f>IF(LEN(X20)=0,"",X20)</f>
        <v/>
      </c>
      <c r="AT20"/>
      <c r="AU20"/>
      <c r="AV20"/>
      <c r="AW20"/>
      <c r="AX20" s="1630" t="str">
        <f>'Overview (Design)'!A19</f>
        <v>Number of Units:</v>
      </c>
      <c r="AY20" s="1629">
        <f>'Overview (Design)'!G19</f>
        <v>0</v>
      </c>
    </row>
    <row r="21" spans="2:51" s="1523" customFormat="1" x14ac:dyDescent="0.25">
      <c r="B21" s="664"/>
      <c r="C21" s="2024"/>
      <c r="D21" s="2024"/>
      <c r="E21" s="2024"/>
      <c r="F21" s="2024"/>
      <c r="G21" s="2024"/>
      <c r="H21" s="2024"/>
      <c r="I21" s="2024"/>
      <c r="J21" s="2024"/>
      <c r="K21" s="2024"/>
      <c r="L21" s="2024"/>
      <c r="M21" s="2024"/>
      <c r="N21" s="178"/>
      <c r="O21" s="178"/>
      <c r="X21" s="1757"/>
      <c r="AN21"/>
      <c r="AO21"/>
      <c r="AP21"/>
      <c r="AQ21"/>
      <c r="AR21"/>
      <c r="AS21"/>
      <c r="AT21"/>
      <c r="AU21"/>
      <c r="AV21"/>
      <c r="AW21"/>
      <c r="AX21" s="1630" t="str">
        <f>'Overview (Design)'!A20</f>
        <v>Building includes commercial space pursuing Commercial Space certification?</v>
      </c>
      <c r="AY21" s="1629">
        <f>'Overview (Design)'!G20</f>
        <v>0</v>
      </c>
    </row>
    <row r="22" spans="2:51" x14ac:dyDescent="0.25">
      <c r="B22" s="1528"/>
      <c r="C22" s="211" t="s">
        <v>5637</v>
      </c>
      <c r="D22" s="211"/>
      <c r="E22" s="211"/>
      <c r="F22" s="211"/>
      <c r="G22" s="211"/>
      <c r="H22" s="211"/>
      <c r="I22" s="211"/>
      <c r="J22" s="211"/>
      <c r="K22" s="211"/>
      <c r="L22" s="1529"/>
      <c r="M22" s="211"/>
      <c r="N22" s="211"/>
      <c r="O22" s="211"/>
      <c r="P22" s="1523" t="b">
        <v>1</v>
      </c>
      <c r="Q22" s="1523" t="b">
        <v>1</v>
      </c>
      <c r="R22" s="1639" t="b">
        <f ca="1">S22</f>
        <v>0</v>
      </c>
      <c r="S22" s="1523" t="b">
        <f ca="1">S15&gt;0</f>
        <v>0</v>
      </c>
      <c r="T22" s="1523" t="b">
        <v>0</v>
      </c>
      <c r="W22" s="25"/>
      <c r="X22" s="1524"/>
      <c r="AC22" s="1639" t="b">
        <f ca="1">OR(AD22,AE22)</f>
        <v>0</v>
      </c>
      <c r="AD22" s="1639" t="b">
        <f>T22</f>
        <v>0</v>
      </c>
      <c r="AE22" s="1639" t="b">
        <f ca="1">AND(R22,NOT(W22))</f>
        <v>0</v>
      </c>
      <c r="AL22" s="1639" t="s">
        <v>5724</v>
      </c>
      <c r="AN22"/>
      <c r="AO22"/>
      <c r="AP22" s="1639" t="str">
        <f>"des"&amp;AL22</f>
        <v>desWaterSenseLeaks4</v>
      </c>
      <c r="AQ22" s="254" t="str">
        <f>IF(LEN(W22)=0,"",W22)</f>
        <v/>
      </c>
      <c r="AR22" s="1639" t="str">
        <f>"dnt"&amp;AL22</f>
        <v>dntWaterSenseLeaks4</v>
      </c>
      <c r="AS22" s="254" t="str">
        <f>IF(LEN(X22)=0,"",X22)</f>
        <v/>
      </c>
      <c r="AT22"/>
      <c r="AU22"/>
      <c r="AV22"/>
      <c r="AW22"/>
      <c r="AX22" s="1630"/>
      <c r="AY22" s="1629"/>
    </row>
    <row r="23" spans="2:51" x14ac:dyDescent="0.25">
      <c r="B23" s="1528"/>
      <c r="C23" s="211" t="s">
        <v>5638</v>
      </c>
      <c r="D23" s="211"/>
      <c r="E23" s="211"/>
      <c r="F23" s="211"/>
      <c r="G23" s="211"/>
      <c r="H23" s="211"/>
      <c r="I23" s="211"/>
      <c r="J23" s="211"/>
      <c r="K23" s="211"/>
      <c r="L23" s="1529"/>
      <c r="M23" s="211"/>
      <c r="N23" s="211"/>
      <c r="O23" s="211"/>
      <c r="P23" s="1523" t="b">
        <v>1</v>
      </c>
      <c r="Q23" s="1523" t="b">
        <v>1</v>
      </c>
      <c r="R23" s="1639" t="b">
        <f ca="1">S23</f>
        <v>0</v>
      </c>
      <c r="S23" s="1523" t="b">
        <f ca="1">S15&gt;0</f>
        <v>0</v>
      </c>
      <c r="T23" s="1523" t="b">
        <v>0</v>
      </c>
      <c r="W23" s="25"/>
      <c r="X23" s="1524"/>
      <c r="AC23" s="1639" t="b">
        <f ca="1">OR(AD23,AE23)</f>
        <v>0</v>
      </c>
      <c r="AD23" s="1639" t="b">
        <f>T23</f>
        <v>0</v>
      </c>
      <c r="AE23" s="1639" t="b">
        <f ca="1">AND(R23,NOT(W23))</f>
        <v>0</v>
      </c>
      <c r="AL23" s="1639" t="s">
        <v>5725</v>
      </c>
      <c r="AN23"/>
      <c r="AO23"/>
      <c r="AP23" s="1639" t="str">
        <f>"des"&amp;AL23</f>
        <v>desWaterSenseLeaks5</v>
      </c>
      <c r="AQ23" s="254" t="str">
        <f>IF(LEN(W23)=0,"",W23)</f>
        <v/>
      </c>
      <c r="AR23" s="1639" t="str">
        <f>"dnt"&amp;AL23</f>
        <v>dntWaterSenseLeaks5</v>
      </c>
      <c r="AS23" s="254" t="str">
        <f>IF(LEN(X23)=0,"",X23)</f>
        <v/>
      </c>
      <c r="AT23"/>
      <c r="AU23"/>
      <c r="AV23"/>
      <c r="AW23"/>
      <c r="AX23" s="1630"/>
      <c r="AY23" s="1629"/>
    </row>
    <row r="24" spans="2:51" x14ac:dyDescent="0.25">
      <c r="B24" s="1528"/>
      <c r="C24" s="2023" t="s">
        <v>5639</v>
      </c>
      <c r="D24" s="2023"/>
      <c r="E24" s="2023"/>
      <c r="F24" s="2023"/>
      <c r="G24" s="2023"/>
      <c r="H24" s="2023"/>
      <c r="I24" s="2023"/>
      <c r="J24" s="2023"/>
      <c r="K24" s="2023"/>
      <c r="L24" s="2023"/>
      <c r="M24" s="2023"/>
      <c r="N24" s="195"/>
      <c r="O24" s="195"/>
      <c r="P24" s="1523" t="b">
        <v>1</v>
      </c>
      <c r="Q24" s="1523" t="b">
        <v>1</v>
      </c>
      <c r="R24" s="1639" t="b">
        <f ca="1">S24</f>
        <v>0</v>
      </c>
      <c r="S24" s="1523" t="b">
        <f ca="1">S15&gt;0</f>
        <v>0</v>
      </c>
      <c r="T24" s="1523" t="b">
        <v>0</v>
      </c>
      <c r="W24" s="25"/>
      <c r="X24" s="1757"/>
      <c r="AC24" s="1639" t="b">
        <f ca="1">OR(AD24,AE24)</f>
        <v>0</v>
      </c>
      <c r="AD24" s="1639" t="b">
        <f>T24</f>
        <v>0</v>
      </c>
      <c r="AE24" s="1639" t="b">
        <f ca="1">AND(R24,NOT(W24))</f>
        <v>0</v>
      </c>
      <c r="AL24" s="1639" t="s">
        <v>5726</v>
      </c>
      <c r="AN24"/>
      <c r="AO24"/>
      <c r="AP24" s="1639" t="str">
        <f>"des"&amp;AL24</f>
        <v>desWaterSenseLeaks6</v>
      </c>
      <c r="AQ24" s="254" t="str">
        <f>IF(LEN(W24)=0,"",W24)</f>
        <v/>
      </c>
      <c r="AR24" s="1639" t="str">
        <f>"dnt"&amp;AL24</f>
        <v>dntWaterSenseLeaks6</v>
      </c>
      <c r="AS24" s="254" t="str">
        <f>IF(LEN(X24)=0,"",X24)</f>
        <v/>
      </c>
      <c r="AT24"/>
      <c r="AU24"/>
      <c r="AV24"/>
      <c r="AW24"/>
      <c r="AX24" s="1630" t="str">
        <f>'Overview (Design)'!A23</f>
        <v>Project Name:</v>
      </c>
      <c r="AY24" s="1629">
        <f>'Overview (Design)'!G23</f>
        <v>0</v>
      </c>
    </row>
    <row r="25" spans="2:51" s="1523" customFormat="1" x14ac:dyDescent="0.25">
      <c r="B25" s="664"/>
      <c r="C25" s="1847"/>
      <c r="D25" s="1847"/>
      <c r="E25" s="1847"/>
      <c r="F25" s="1847"/>
      <c r="G25" s="1847"/>
      <c r="H25" s="1847"/>
      <c r="I25" s="1847"/>
      <c r="J25" s="1847"/>
      <c r="K25" s="1847"/>
      <c r="L25" s="1847"/>
      <c r="M25" s="1847"/>
      <c r="N25" s="94"/>
      <c r="O25" s="94"/>
      <c r="X25" s="1757"/>
      <c r="AN25"/>
      <c r="AO25"/>
      <c r="AP25"/>
      <c r="AQ25"/>
      <c r="AR25"/>
      <c r="AS25"/>
      <c r="AT25"/>
      <c r="AU25"/>
      <c r="AV25"/>
      <c r="AW25"/>
      <c r="AX25" s="1630"/>
      <c r="AY25" s="1629"/>
    </row>
    <row r="26" spans="2:51" s="1523" customFormat="1" x14ac:dyDescent="0.25">
      <c r="B26" s="664"/>
      <c r="C26" s="2024"/>
      <c r="D26" s="2024"/>
      <c r="E26" s="2024"/>
      <c r="F26" s="2024"/>
      <c r="G26" s="2024"/>
      <c r="H26" s="2024"/>
      <c r="I26" s="2024"/>
      <c r="J26" s="2024"/>
      <c r="K26" s="2024"/>
      <c r="L26" s="2024"/>
      <c r="M26" s="2024"/>
      <c r="N26" s="178"/>
      <c r="O26" s="178"/>
      <c r="X26" s="1757"/>
      <c r="AN26"/>
      <c r="AO26"/>
      <c r="AP26"/>
      <c r="AQ26"/>
      <c r="AR26"/>
      <c r="AS26"/>
      <c r="AT26"/>
      <c r="AU26"/>
      <c r="AV26"/>
      <c r="AW26"/>
      <c r="AX26" s="1630" t="str">
        <f>'Overview (Design)'!A25</f>
        <v>Above grade plane finished floor area:</v>
      </c>
      <c r="AY26" s="1629">
        <f>'Overview (Design)'!G25</f>
        <v>0</v>
      </c>
    </row>
    <row r="27" spans="2:51" x14ac:dyDescent="0.25">
      <c r="B27" s="1528"/>
      <c r="C27" s="211" t="s">
        <v>5640</v>
      </c>
      <c r="D27" s="211"/>
      <c r="E27" s="211"/>
      <c r="F27" s="211"/>
      <c r="G27" s="211"/>
      <c r="H27" s="211"/>
      <c r="I27" s="211"/>
      <c r="J27" s="211"/>
      <c r="K27" s="211"/>
      <c r="L27" s="1530"/>
      <c r="M27" s="211"/>
      <c r="N27" s="211"/>
      <c r="O27" s="211"/>
      <c r="P27" s="1523" t="b">
        <v>1</v>
      </c>
      <c r="Q27" s="1523" t="b">
        <v>1</v>
      </c>
      <c r="R27" s="1639" t="b">
        <f ca="1">S27</f>
        <v>0</v>
      </c>
      <c r="S27" s="1523" t="b">
        <f ca="1">S15&gt;0</f>
        <v>0</v>
      </c>
      <c r="T27" s="1523" t="b">
        <v>0</v>
      </c>
      <c r="W27" s="25"/>
      <c r="X27" s="1524"/>
      <c r="AC27" s="1639" t="b">
        <f ca="1">OR(AD27,AE27)</f>
        <v>0</v>
      </c>
      <c r="AD27" s="1639" t="b">
        <f>T27</f>
        <v>0</v>
      </c>
      <c r="AE27" s="1639" t="b">
        <f ca="1">AND(R27,NOT(W27))</f>
        <v>0</v>
      </c>
      <c r="AL27" s="1639" t="s">
        <v>5727</v>
      </c>
      <c r="AN27"/>
      <c r="AO27"/>
      <c r="AP27" s="1639" t="str">
        <f>"des"&amp;AL27</f>
        <v>desWaterSenseLeaks7</v>
      </c>
      <c r="AQ27" s="254" t="str">
        <f>IF(LEN(W27)=0,"",W27)</f>
        <v/>
      </c>
      <c r="AR27" s="1639" t="str">
        <f>"dnt"&amp;AL27</f>
        <v>dntWaterSenseLeaks7</v>
      </c>
      <c r="AS27" s="254" t="str">
        <f>IF(LEN(X27)=0,"",X27)</f>
        <v/>
      </c>
      <c r="AT27"/>
      <c r="AU27"/>
      <c r="AV27"/>
      <c r="AW27"/>
      <c r="AX27" s="1630" t="str">
        <f>'Overview (Design)'!A26</f>
        <v>Total conditioned floor area:</v>
      </c>
      <c r="AY27" s="1629">
        <f>'Overview (Design)'!G26</f>
        <v>0</v>
      </c>
    </row>
    <row r="28" spans="2:51" x14ac:dyDescent="0.25">
      <c r="B28" s="1528"/>
      <c r="C28" s="1699" t="s">
        <v>5641</v>
      </c>
      <c r="D28" s="1699"/>
      <c r="E28" s="1699"/>
      <c r="F28" s="1699"/>
      <c r="G28" s="1699"/>
      <c r="H28" s="1699"/>
      <c r="I28" s="1699"/>
      <c r="J28" s="1699"/>
      <c r="K28" s="1699"/>
      <c r="L28" s="1699"/>
      <c r="M28" s="1699"/>
      <c r="N28"/>
      <c r="O28"/>
      <c r="P28" s="1523" t="b">
        <v>1</v>
      </c>
      <c r="Q28" s="1523" t="b">
        <v>1</v>
      </c>
      <c r="R28" s="1639" t="b">
        <f ca="1">S28</f>
        <v>0</v>
      </c>
      <c r="S28" s="1523" t="b">
        <f ca="1">S15&gt;0</f>
        <v>0</v>
      </c>
      <c r="T28" s="1523" t="b">
        <v>0</v>
      </c>
      <c r="W28" s="25"/>
      <c r="X28" s="1757"/>
      <c r="AC28" s="1639" t="b">
        <f ca="1">OR(AD28,AE28)</f>
        <v>0</v>
      </c>
      <c r="AD28" s="1639" t="b">
        <f>T28</f>
        <v>0</v>
      </c>
      <c r="AE28" s="1639" t="b">
        <f ca="1">AND(R28,NOT(W28))</f>
        <v>0</v>
      </c>
      <c r="AL28" s="1639" t="s">
        <v>5728</v>
      </c>
      <c r="AP28" s="1639" t="str">
        <f>"des"&amp;AL28</f>
        <v>desWaterSenseLeaks8</v>
      </c>
      <c r="AQ28" s="254" t="str">
        <f>IF(LEN(W28)=0,"",W28)</f>
        <v/>
      </c>
      <c r="AR28" s="1639" t="str">
        <f>"dnt"&amp;AL28</f>
        <v>dntWaterSenseLeaks8</v>
      </c>
      <c r="AS28" s="254" t="str">
        <f>IF(LEN(X28)=0,"",X28)</f>
        <v/>
      </c>
      <c r="AX28" s="1630" t="str">
        <f>'Overview (Design)'!A27</f>
        <v>Stories above grade:</v>
      </c>
      <c r="AY28" s="1629">
        <f>'Overview (Design)'!G27</f>
        <v>0</v>
      </c>
    </row>
    <row r="29" spans="2:51" x14ac:dyDescent="0.25">
      <c r="C29" s="1699"/>
      <c r="D29" s="1699"/>
      <c r="E29" s="1699"/>
      <c r="F29" s="1699"/>
      <c r="G29" s="1699"/>
      <c r="H29" s="1699"/>
      <c r="I29" s="1699"/>
      <c r="J29" s="1699"/>
      <c r="K29" s="1699"/>
      <c r="L29" s="1699"/>
      <c r="M29" s="1699"/>
      <c r="W29"/>
      <c r="X29" s="1757"/>
      <c r="AX29" s="1630" t="str">
        <f>'Overview (Design)'!A28</f>
        <v>Project Elevation (ft. above sea level):</v>
      </c>
      <c r="AY29" s="1629">
        <f>'Overview (Design)'!G28</f>
        <v>0</v>
      </c>
    </row>
    <row r="30" spans="2:51" x14ac:dyDescent="0.25">
      <c r="C30"/>
      <c r="D30"/>
      <c r="W30"/>
      <c r="X30"/>
      <c r="AX30" s="1630"/>
      <c r="AY30" s="1629"/>
    </row>
    <row r="31" spans="2:51" x14ac:dyDescent="0.25">
      <c r="AX31" s="1630" t="str">
        <f>'Overview (Design)'!A30</f>
        <v xml:space="preserve">Project Description (optional): </v>
      </c>
      <c r="AY31" s="1629">
        <f>'Overview (Design)'!G30</f>
        <v>0</v>
      </c>
    </row>
    <row r="32" spans="2:51" x14ac:dyDescent="0.25">
      <c r="C32" s="1522" t="s">
        <v>5644</v>
      </c>
      <c r="AX32" s="1630"/>
      <c r="AY32" s="1629"/>
    </row>
    <row r="33" spans="2:51" x14ac:dyDescent="0.25">
      <c r="AX33" s="1630" t="str">
        <f>'Overview (Design)'!A32</f>
        <v>Foundation Type:</v>
      </c>
      <c r="AY33" s="1629">
        <f>'Overview (Design)'!G32</f>
        <v>0</v>
      </c>
    </row>
    <row r="34" spans="2:51" x14ac:dyDescent="0.25">
      <c r="B34" s="1528"/>
      <c r="C34" s="1518" t="s">
        <v>5645</v>
      </c>
      <c r="P34" s="1523" t="b">
        <v>1</v>
      </c>
      <c r="Q34" s="1523" t="b">
        <v>1</v>
      </c>
      <c r="R34" s="1523" t="b">
        <f ca="1">S34</f>
        <v>0</v>
      </c>
      <c r="S34" s="1523" t="b">
        <f ca="1">S15=1</f>
        <v>0</v>
      </c>
      <c r="T34" s="1523" t="b">
        <v>0</v>
      </c>
      <c r="W34" s="25"/>
      <c r="X34" s="1524"/>
      <c r="AC34" s="1639" t="b">
        <f ca="1">OR(AD34,AE34)</f>
        <v>0</v>
      </c>
      <c r="AD34" s="1639" t="b">
        <f>T34</f>
        <v>0</v>
      </c>
      <c r="AE34" s="1639" t="b">
        <f ca="1">AND(R34,NOT(W34))</f>
        <v>0</v>
      </c>
      <c r="AL34" s="1639" t="s">
        <v>5729</v>
      </c>
      <c r="AP34" s="1639" t="str">
        <f>"des"&amp;AL34</f>
        <v>desWaterSenseToilet</v>
      </c>
      <c r="AQ34" s="254" t="str">
        <f>IF(LEN(W34)=0,"",W34)</f>
        <v/>
      </c>
      <c r="AR34" s="1639" t="str">
        <f>"dnt"&amp;AL34</f>
        <v>dntWaterSenseToilet</v>
      </c>
      <c r="AS34" s="254" t="str">
        <f>IF(LEN(X34)=0,"",X34)</f>
        <v/>
      </c>
      <c r="AX34" s="1630"/>
      <c r="AY34" s="1629"/>
    </row>
    <row r="35" spans="2:51" x14ac:dyDescent="0.25">
      <c r="AX35" s="1630" t="str">
        <f>'Overview (Design)'!A34</f>
        <v>Type of Heating System (main system):</v>
      </c>
      <c r="AY35" s="1629">
        <f>'Overview (Design)'!G34</f>
        <v>0</v>
      </c>
    </row>
    <row r="36" spans="2:51" x14ac:dyDescent="0.25">
      <c r="C36" s="1518" t="s">
        <v>5646</v>
      </c>
      <c r="S36" s="1518" t="b">
        <f ca="1">S15=2</f>
        <v>0</v>
      </c>
      <c r="W36" s="1525" t="str">
        <f ca="1">IF(S36,IF('Ch8'!O131&gt;0,"Met", "Not Met"),"N/A")</f>
        <v>N/A</v>
      </c>
      <c r="X36"/>
      <c r="AX36" s="1630" t="str">
        <f>'Overview (Design)'!A35</f>
        <v>Type of Heating System (system 2):</v>
      </c>
      <c r="AY36" s="1629">
        <f>'Overview (Design)'!G35</f>
        <v>0</v>
      </c>
    </row>
    <row r="37" spans="2:51" x14ac:dyDescent="0.25">
      <c r="AX37" s="1630" t="str">
        <f>'Overview (Design)'!A36</f>
        <v>Type of Heating System (system 3):</v>
      </c>
      <c r="AY37" s="1629">
        <f>'Overview (Design)'!G36</f>
        <v>0</v>
      </c>
    </row>
    <row r="38" spans="2:51" x14ac:dyDescent="0.25">
      <c r="AX38" s="1630" t="str">
        <f>'Overview (Design)'!A37</f>
        <v>Primary Heating Fuel:</v>
      </c>
      <c r="AY38" s="1629">
        <f>'Overview (Design)'!G37</f>
        <v>0</v>
      </c>
    </row>
    <row r="39" spans="2:51" x14ac:dyDescent="0.25">
      <c r="B39" s="1523"/>
      <c r="C39" s="1522" t="s">
        <v>5647</v>
      </c>
      <c r="AX39" s="1630" t="str">
        <f>'Overview (Design)'!A38</f>
        <v>Heating Ducts:</v>
      </c>
      <c r="AY39" s="1629">
        <f>'Overview (Design)'!G38</f>
        <v>0</v>
      </c>
    </row>
    <row r="40" spans="2:51" x14ac:dyDescent="0.25">
      <c r="B40" s="1523"/>
      <c r="C40" s="1523"/>
      <c r="AX40" s="1630" t="str">
        <f>'Overview (Design)'!A39</f>
        <v>Type of Cooling System (main system):</v>
      </c>
      <c r="AY40" s="1629">
        <f>'Overview (Design)'!G39</f>
        <v>0</v>
      </c>
    </row>
    <row r="41" spans="2:51" x14ac:dyDescent="0.25">
      <c r="B41" s="1528"/>
      <c r="C41" s="1523" t="str">
        <f ca="1">IF(S15=2,"Lavatory faucets are WaterSense labeled and have a maximum flow rate of 1.2 gallons per minute (gpm).","Lavatory faucets are WaterSense labeled.")</f>
        <v>Lavatory faucets are WaterSense labeled.</v>
      </c>
      <c r="P41" s="1523" t="b">
        <v>1</v>
      </c>
      <c r="Q41" s="1523" t="b">
        <v>1</v>
      </c>
      <c r="R41" s="1523" t="b">
        <f ca="1">S41</f>
        <v>0</v>
      </c>
      <c r="S41" s="1523" t="b">
        <f ca="1">S15=1</f>
        <v>0</v>
      </c>
      <c r="T41" s="1523" t="b">
        <v>0</v>
      </c>
      <c r="W41" s="25"/>
      <c r="X41" s="1524"/>
      <c r="AC41" s="1639" t="b">
        <f ca="1">OR(AD41,AE41)</f>
        <v>0</v>
      </c>
      <c r="AD41" s="1639" t="b">
        <f>T41</f>
        <v>0</v>
      </c>
      <c r="AE41" s="1639" t="b">
        <f ca="1">AND(R41,NOT(W41))</f>
        <v>0</v>
      </c>
      <c r="AL41" s="1639" t="s">
        <v>5730</v>
      </c>
      <c r="AP41" s="1639" t="str">
        <f>"des"&amp;AL41</f>
        <v>desWaterSenseLavFaucet</v>
      </c>
      <c r="AQ41" s="254" t="str">
        <f>IF(LEN(W41)=0,"",W41)</f>
        <v/>
      </c>
      <c r="AR41" s="1639" t="str">
        <f>"dnt"&amp;AL41</f>
        <v>dntWaterSenseLavFaucet</v>
      </c>
      <c r="AS41" s="254" t="str">
        <f>IF(LEN(X41)=0,"",X41)</f>
        <v/>
      </c>
      <c r="AX41" s="1630" t="str">
        <f>'Overview (Design)'!A40</f>
        <v>Type of Cooling System (system 2):</v>
      </c>
      <c r="AY41" s="1629">
        <f>'Overview (Design)'!G40</f>
        <v>0</v>
      </c>
    </row>
    <row r="42" spans="2:51" x14ac:dyDescent="0.25">
      <c r="B42" s="1523"/>
      <c r="C42" s="1523"/>
      <c r="AX42" s="1630" t="str">
        <f>'Overview (Design)'!A41</f>
        <v>Type of Cooling System (system 3):</v>
      </c>
      <c r="AY42" s="1629">
        <f>'Overview (Design)'!G41</f>
        <v>0</v>
      </c>
    </row>
    <row r="43" spans="2:51" x14ac:dyDescent="0.25">
      <c r="B43" s="1523"/>
      <c r="C43" s="1523" t="s">
        <v>5682</v>
      </c>
      <c r="S43" s="1523" t="b">
        <f ca="1">S15=2</f>
        <v>0</v>
      </c>
      <c r="W43" s="1525" t="str">
        <f ca="1">IF(S43,IF('Ch8'!W102="(5)","Met", "Not Met"),"N/A")</f>
        <v>N/A</v>
      </c>
      <c r="X43"/>
      <c r="AX43" s="1630" t="str">
        <f>'Overview (Design)'!A42</f>
        <v>Cooling Ducts:</v>
      </c>
      <c r="AY43" s="1629">
        <f>'Overview (Design)'!G42</f>
        <v>0</v>
      </c>
    </row>
    <row r="44" spans="2:51" x14ac:dyDescent="0.25">
      <c r="AX44" s="1630"/>
      <c r="AY44" s="1629"/>
    </row>
    <row r="45" spans="2:51" x14ac:dyDescent="0.25">
      <c r="AX45" s="1630" t="str">
        <f>'Overview (Design)'!A44</f>
        <v>Maximum window and door SHGC:</v>
      </c>
      <c r="AY45" s="1629">
        <f>'Overview (Design)'!G44</f>
        <v>0</v>
      </c>
    </row>
    <row r="46" spans="2:51" x14ac:dyDescent="0.25">
      <c r="B46" s="1523"/>
      <c r="C46" s="1522" t="s">
        <v>5648</v>
      </c>
      <c r="AX46" s="1630" t="str">
        <f>'Overview (Design)'!A45</f>
        <v>Maximum skylight SHGC:</v>
      </c>
      <c r="AY46" s="1629">
        <f>'Overview (Design)'!G45</f>
        <v>0</v>
      </c>
    </row>
    <row r="47" spans="2:51" x14ac:dyDescent="0.25">
      <c r="B47" s="1523"/>
      <c r="C47" s="1523"/>
      <c r="AX47" s="1630" t="str">
        <f>'Overview (Design)'!A46</f>
        <v>Maximum window and door U-value:</v>
      </c>
      <c r="AY47" s="1629">
        <f>'Overview (Design)'!G46</f>
        <v>0</v>
      </c>
    </row>
    <row r="48" spans="2:51" x14ac:dyDescent="0.25">
      <c r="B48" s="1528"/>
      <c r="C48" s="1523" t="s">
        <v>5649</v>
      </c>
      <c r="P48" s="1523" t="b">
        <v>1</v>
      </c>
      <c r="Q48" s="1523" t="b">
        <v>1</v>
      </c>
      <c r="R48" s="1523" t="b">
        <f ca="1">S48</f>
        <v>0</v>
      </c>
      <c r="S48" s="1523" t="b">
        <f ca="1">S15=1</f>
        <v>0</v>
      </c>
      <c r="T48" s="1523" t="b">
        <v>0</v>
      </c>
      <c r="W48" s="25"/>
      <c r="X48" s="1524"/>
      <c r="AC48" s="1639" t="b">
        <f ca="1">OR(AD48,AE48)</f>
        <v>0</v>
      </c>
      <c r="AD48" s="1639" t="b">
        <f>T48</f>
        <v>0</v>
      </c>
      <c r="AE48" s="1639" t="b">
        <f ca="1">AND(R48,NOT(W48))</f>
        <v>0</v>
      </c>
      <c r="AL48" s="1639" t="s">
        <v>5731</v>
      </c>
      <c r="AP48" s="1639" t="str">
        <f>"des"&amp;AL48</f>
        <v>desWaterSenseShowerheads</v>
      </c>
      <c r="AQ48" s="254" t="str">
        <f>IF(LEN(W48)=0,"",W48)</f>
        <v/>
      </c>
      <c r="AR48" s="1639" t="str">
        <f>"dnt"&amp;AL48</f>
        <v>dntWaterSenseShowerheads</v>
      </c>
      <c r="AS48" s="254" t="str">
        <f>IF(LEN(X48)=0,"",X48)</f>
        <v/>
      </c>
      <c r="AX48" s="1630" t="str">
        <f>'Overview (Design)'!A47</f>
        <v>Maximum skylight U-value:</v>
      </c>
      <c r="AY48" s="1629">
        <f>'Overview (Design)'!G47</f>
        <v>0</v>
      </c>
    </row>
    <row r="49" spans="2:51" x14ac:dyDescent="0.25">
      <c r="B49" s="1523"/>
      <c r="C49" s="1523"/>
      <c r="AX49" s="1630" t="str">
        <f>'Overview (Design)'!A48</f>
        <v>Renewable Energy:</v>
      </c>
      <c r="AY49" s="1629">
        <f>'Overview (Design)'!G48</f>
        <v>0</v>
      </c>
    </row>
    <row r="50" spans="2:51" x14ac:dyDescent="0.25">
      <c r="B50" s="1523"/>
      <c r="C50" s="1523" t="s">
        <v>5650</v>
      </c>
      <c r="S50" s="1523" t="b">
        <f ca="1">S15=2</f>
        <v>0</v>
      </c>
      <c r="W50" s="1525" t="str">
        <f ca="1">IF(S50,IF('Ch8'!O80&gt;0,"Met", "Not Met"),"N/A")</f>
        <v>N/A</v>
      </c>
      <c r="X50"/>
      <c r="AX50" s="1630" t="str">
        <f>'Overview (Design)'!A49</f>
        <v>Thermal Envelope Insulation:</v>
      </c>
      <c r="AY50" s="1629">
        <f>'Overview (Design)'!G49</f>
        <v>0</v>
      </c>
    </row>
    <row r="51" spans="2:51" x14ac:dyDescent="0.25">
      <c r="AX51" s="1630" t="str">
        <f>'Overview (Design)'!A50</f>
        <v>Attic Type:</v>
      </c>
      <c r="AY51" s="1629">
        <f>'Overview (Design)'!G50</f>
        <v>0</v>
      </c>
    </row>
    <row r="52" spans="2:51" x14ac:dyDescent="0.25">
      <c r="AX52" s="1630" t="str">
        <f>'Overview (Design)'!A51</f>
        <v>Attached Garage:</v>
      </c>
      <c r="AY52" s="1629">
        <f>'Overview (Design)'!G51</f>
        <v>0</v>
      </c>
    </row>
    <row r="53" spans="2:51" s="1625" customFormat="1" x14ac:dyDescent="0.25">
      <c r="C53" s="1623" t="s">
        <v>5686</v>
      </c>
      <c r="O53" s="1624"/>
      <c r="W53" s="1624"/>
      <c r="AX53" s="1630" t="str">
        <f>'Overview (Design)'!A52</f>
        <v>Recessed Lighting:</v>
      </c>
      <c r="AY53" s="1629">
        <f>'Overview (Design)'!G52</f>
        <v>0</v>
      </c>
    </row>
    <row r="54" spans="2:51" s="1625" customFormat="1" x14ac:dyDescent="0.25">
      <c r="O54" s="1624"/>
      <c r="W54" s="1624"/>
      <c r="AX54" s="1630"/>
      <c r="AY54" s="1629"/>
    </row>
    <row r="55" spans="2:51" s="1625" customFormat="1" x14ac:dyDescent="0.25">
      <c r="C55" s="178" t="s">
        <v>5685</v>
      </c>
      <c r="D55" s="178"/>
      <c r="E55" s="178"/>
      <c r="F55" s="178"/>
      <c r="G55" s="178"/>
      <c r="H55" s="178"/>
      <c r="I55" s="178"/>
      <c r="J55" s="178"/>
      <c r="K55" s="178"/>
      <c r="L55" s="178"/>
      <c r="M55" s="178"/>
      <c r="N55" s="178"/>
      <c r="O55" s="1649"/>
      <c r="P55" s="1625" t="b">
        <v>1</v>
      </c>
      <c r="Q55" s="1625" t="b">
        <v>1</v>
      </c>
      <c r="R55" s="1625" t="b">
        <v>0</v>
      </c>
      <c r="S55" s="1625" t="b">
        <v>1</v>
      </c>
      <c r="T55" s="1625" t="b">
        <v>0</v>
      </c>
      <c r="W55" s="25"/>
      <c r="X55" s="1626"/>
      <c r="AC55" s="1639" t="b">
        <f>OR(AD55,AE55)</f>
        <v>0</v>
      </c>
      <c r="AD55" s="1639" t="b">
        <f>T55</f>
        <v>0</v>
      </c>
      <c r="AE55" s="1639" t="b">
        <f>AND(R55,NOT(W55))</f>
        <v>0</v>
      </c>
      <c r="AL55" s="1639" t="s">
        <v>5732</v>
      </c>
      <c r="AP55" s="1639" t="str">
        <f>"des"&amp;AL55</f>
        <v>desWaterSenseIrrigation</v>
      </c>
      <c r="AQ55" s="254" t="str">
        <f>IF(LEN(W55)=0,"",W55)</f>
        <v/>
      </c>
      <c r="AR55" s="1639" t="str">
        <f>"dnt"&amp;AL55</f>
        <v>dntWaterSenseIrrigation</v>
      </c>
      <c r="AS55" s="254" t="str">
        <f>IF(LEN(X55)=0,"",X55)</f>
        <v/>
      </c>
      <c r="AX55" s="1630" t="str">
        <f>'Overview (Design)'!A54</f>
        <v>Special Design Features:</v>
      </c>
      <c r="AY55" s="1629">
        <f>'Overview (Design)'!G54</f>
        <v>0</v>
      </c>
    </row>
    <row r="56" spans="2:51" s="1625" customFormat="1" x14ac:dyDescent="0.25">
      <c r="O56" s="1624"/>
      <c r="W56" s="1624"/>
      <c r="AX56" s="1630" t="str">
        <f>'Overview (Design)'!A55</f>
        <v>Passive Solar:</v>
      </c>
      <c r="AY56" s="1629">
        <f>'Overview (Design)'!G55</f>
        <v>0</v>
      </c>
    </row>
    <row r="57" spans="2:51" s="1625" customFormat="1" x14ac:dyDescent="0.25">
      <c r="C57" s="1625" t="s">
        <v>5683</v>
      </c>
      <c r="O57" s="1624"/>
      <c r="W57" s="1624"/>
      <c r="AX57" s="1630" t="str">
        <f>'Overview (Design)'!A56</f>
        <v>Mass Walls:</v>
      </c>
      <c r="AY57" s="1629">
        <f>'Overview (Design)'!G56</f>
        <v>0</v>
      </c>
    </row>
    <row r="58" spans="2:51" s="1625" customFormat="1" x14ac:dyDescent="0.25">
      <c r="O58" s="1624"/>
      <c r="W58" s="1624"/>
      <c r="AX58" s="1630" t="str">
        <f>'Overview (Design)'!A57</f>
        <v>Radiant/Hydronic:</v>
      </c>
      <c r="AY58" s="1629">
        <f>'Overview (Design)'!G57</f>
        <v>0</v>
      </c>
    </row>
    <row r="59" spans="2:51" s="1625" customFormat="1" x14ac:dyDescent="0.25">
      <c r="C59" s="178" t="s">
        <v>5684</v>
      </c>
      <c r="D59" s="178"/>
      <c r="E59" s="178"/>
      <c r="F59" s="178"/>
      <c r="G59" s="178"/>
      <c r="H59" s="178"/>
      <c r="I59" s="178"/>
      <c r="J59" s="178"/>
      <c r="K59" s="178"/>
      <c r="L59" s="178"/>
      <c r="M59" s="178"/>
      <c r="N59" s="178"/>
      <c r="O59" s="1649"/>
      <c r="S59" s="1625" t="b">
        <f ca="1">AND(S15=1,NOT(W55=TRUE))</f>
        <v>0</v>
      </c>
      <c r="W59" s="1627" t="str">
        <f ca="1">IF(S59,IF('Ch5'!O156&gt;0,"Met", "Not Met"),"N/A")</f>
        <v>N/A</v>
      </c>
      <c r="AX59" s="1630" t="str">
        <f>'Overview (Design)'!A58</f>
        <v>Tankless Water Heater:</v>
      </c>
      <c r="AY59" s="1629">
        <f>'Overview (Design)'!G58</f>
        <v>0</v>
      </c>
    </row>
    <row r="60" spans="2:51" s="1625" customFormat="1" x14ac:dyDescent="0.25">
      <c r="O60" s="1624"/>
      <c r="W60" s="1624"/>
      <c r="AX60" s="1630" t="str">
        <f>'Overview (Design)'!A59</f>
        <v>Composting Toilet:</v>
      </c>
      <c r="AY60" s="1629">
        <f>'Overview (Design)'!G59</f>
        <v>0</v>
      </c>
    </row>
    <row r="61" spans="2:51" s="1625" customFormat="1" x14ac:dyDescent="0.25">
      <c r="C61" s="8" t="s">
        <v>5687</v>
      </c>
      <c r="O61" s="1624"/>
      <c r="W61" s="1624"/>
      <c r="AX61" s="1630"/>
      <c r="AY61" s="1629"/>
    </row>
    <row r="62" spans="2:51" s="1625" customFormat="1" x14ac:dyDescent="0.25">
      <c r="O62" s="1624"/>
      <c r="W62" s="1624"/>
      <c r="AX62" s="1630" t="str">
        <f>'Overview (Design)'!A61</f>
        <v>Local Energy Code:</v>
      </c>
      <c r="AY62" s="1629">
        <f>'Overview (Design)'!G61</f>
        <v>0</v>
      </c>
    </row>
    <row r="63" spans="2:51" s="1625" customFormat="1" x14ac:dyDescent="0.25">
      <c r="C63" s="1625" t="s">
        <v>5688</v>
      </c>
      <c r="O63" s="1624"/>
      <c r="S63" s="1625" t="b">
        <f ca="1">AND(S15=2,NOT(W55=TRUE))</f>
        <v>0</v>
      </c>
      <c r="W63" s="1627" t="str">
        <f ca="1">IF(S63,IF('Ch8'!O164&gt;0,"Met", "Not Met"),"N/A")</f>
        <v>N/A</v>
      </c>
      <c r="AX63" s="1630" t="str">
        <f>'Overview (Design)'!A62</f>
        <v>Local Building Code:</v>
      </c>
      <c r="AY63" s="1629">
        <f>'Overview (Design)'!G62</f>
        <v>0</v>
      </c>
    </row>
    <row r="64" spans="2:51" s="1625" customFormat="1" x14ac:dyDescent="0.25">
      <c r="O64" s="1624"/>
      <c r="W64" s="1624"/>
      <c r="AX64" s="1630"/>
      <c r="AY64" s="1629"/>
    </row>
    <row r="65" spans="3:51" s="1625" customFormat="1" x14ac:dyDescent="0.25">
      <c r="C65" s="1445" t="s">
        <v>5241</v>
      </c>
      <c r="O65" s="1624"/>
      <c r="W65" s="1624"/>
      <c r="AX65" s="1630" t="str">
        <f>'Overview (Design)'!A64</f>
        <v>Who completed this information?</v>
      </c>
      <c r="AY65" s="1629">
        <f>'Overview (Design)'!G64</f>
        <v>0</v>
      </c>
    </row>
    <row r="66" spans="3:51" s="1625" customFormat="1" ht="15" customHeight="1" x14ac:dyDescent="0.25">
      <c r="C66" s="1624" t="s">
        <v>3458</v>
      </c>
      <c r="D66" s="2018" t="s">
        <v>5689</v>
      </c>
      <c r="E66" s="2018"/>
      <c r="F66" s="2018"/>
      <c r="G66" s="2018"/>
      <c r="H66" s="2018"/>
      <c r="I66" s="2018"/>
      <c r="J66" s="2018"/>
      <c r="K66" s="2018"/>
      <c r="L66" s="2018"/>
      <c r="M66" s="2018"/>
      <c r="N66" s="2018"/>
      <c r="O66" s="2018"/>
      <c r="W66" s="1624"/>
      <c r="AX66" s="1630"/>
      <c r="AY66" s="1629"/>
    </row>
    <row r="67" spans="3:51" s="1625" customFormat="1" x14ac:dyDescent="0.25">
      <c r="C67" s="1624"/>
      <c r="D67" s="2018"/>
      <c r="E67" s="2018"/>
      <c r="F67" s="2018"/>
      <c r="G67" s="2018"/>
      <c r="H67" s="2018"/>
      <c r="I67" s="2018"/>
      <c r="J67" s="2018"/>
      <c r="K67" s="2018"/>
      <c r="L67" s="2018"/>
      <c r="M67" s="2018"/>
      <c r="N67" s="2018"/>
      <c r="O67" s="2018"/>
      <c r="W67" s="1624"/>
      <c r="AX67" s="1630"/>
      <c r="AY67" s="1629"/>
    </row>
    <row r="68" spans="3:51" s="1625" customFormat="1" ht="15" customHeight="1" x14ac:dyDescent="0.25">
      <c r="C68" s="647" t="s">
        <v>3458</v>
      </c>
      <c r="D68" s="2019" t="s">
        <v>5690</v>
      </c>
      <c r="E68" s="2019"/>
      <c r="F68" s="2019"/>
      <c r="G68" s="2019"/>
      <c r="H68" s="2019"/>
      <c r="I68" s="2019"/>
      <c r="J68" s="2019"/>
      <c r="K68" s="2019"/>
      <c r="L68" s="2019"/>
      <c r="M68" s="2019"/>
      <c r="N68" s="2019"/>
      <c r="O68" s="2019"/>
      <c r="W68" s="1624"/>
      <c r="AX68" s="1630"/>
      <c r="AY68" s="1629"/>
    </row>
    <row r="69" spans="3:51" s="1625" customFormat="1" x14ac:dyDescent="0.25">
      <c r="C69" s="94"/>
      <c r="D69" s="2019"/>
      <c r="E69" s="2019"/>
      <c r="F69" s="2019"/>
      <c r="G69" s="2019"/>
      <c r="H69" s="2019"/>
      <c r="I69" s="2019"/>
      <c r="J69" s="2019"/>
      <c r="K69" s="2019"/>
      <c r="L69" s="2019"/>
      <c r="M69" s="2019"/>
      <c r="N69" s="2019"/>
      <c r="O69" s="2019"/>
      <c r="W69" s="1624"/>
      <c r="AX69" s="1630"/>
      <c r="AY69" s="1629"/>
    </row>
    <row r="70" spans="3:51" s="1625" customFormat="1" x14ac:dyDescent="0.25">
      <c r="C70" s="178"/>
      <c r="D70" s="2020"/>
      <c r="E70" s="2020"/>
      <c r="F70" s="2020"/>
      <c r="G70" s="2020"/>
      <c r="H70" s="2020"/>
      <c r="I70" s="2020"/>
      <c r="J70" s="2020"/>
      <c r="K70" s="2020"/>
      <c r="L70" s="2020"/>
      <c r="M70" s="2020"/>
      <c r="N70" s="2020"/>
      <c r="O70" s="2020"/>
      <c r="W70" s="1624"/>
      <c r="AX70" s="1630"/>
      <c r="AY70" s="1629"/>
    </row>
    <row r="71" spans="3:51" s="1625" customFormat="1" x14ac:dyDescent="0.25">
      <c r="D71" s="1632"/>
      <c r="E71" s="1632"/>
      <c r="F71" s="1632"/>
      <c r="G71" s="1632"/>
      <c r="H71" s="1632"/>
      <c r="I71" s="1632"/>
      <c r="J71" s="1632"/>
      <c r="K71" s="1632"/>
      <c r="L71" s="1632"/>
      <c r="M71" s="1632"/>
      <c r="N71" s="1632"/>
      <c r="O71" s="1632"/>
      <c r="W71" s="1624"/>
      <c r="AX71" s="1630"/>
      <c r="AY71" s="1629"/>
    </row>
    <row r="72" spans="3:51" s="1625" customFormat="1" x14ac:dyDescent="0.25">
      <c r="C72" s="8" t="s">
        <v>5691</v>
      </c>
      <c r="D72" s="1632"/>
      <c r="E72" s="1632"/>
      <c r="F72" s="1632"/>
      <c r="G72" s="1632"/>
      <c r="H72" s="1632"/>
      <c r="I72" s="1632"/>
      <c r="J72" s="1632"/>
      <c r="K72" s="1632"/>
      <c r="L72" s="1632"/>
      <c r="M72" s="1632"/>
      <c r="N72" s="1632"/>
      <c r="O72" s="1632"/>
      <c r="W72" s="1624"/>
      <c r="AX72" s="1630"/>
      <c r="AY72" s="1629"/>
    </row>
    <row r="73" spans="3:51" s="1625" customFormat="1" x14ac:dyDescent="0.25">
      <c r="D73" s="1632"/>
      <c r="E73" s="1632"/>
      <c r="F73" s="1632"/>
      <c r="G73" s="1632"/>
      <c r="H73" s="1632"/>
      <c r="I73" s="1632"/>
      <c r="J73" s="1632"/>
      <c r="K73" s="1632"/>
      <c r="L73" s="1632"/>
      <c r="M73" s="1632"/>
      <c r="N73" s="1632"/>
      <c r="O73" s="1632"/>
      <c r="W73" s="1624"/>
      <c r="AX73" s="1630"/>
      <c r="AY73" s="1629"/>
    </row>
    <row r="74" spans="3:51" s="1625" customFormat="1" x14ac:dyDescent="0.25">
      <c r="C74" s="1625" t="s">
        <v>5692</v>
      </c>
      <c r="D74" s="1632"/>
      <c r="E74" s="1632"/>
      <c r="F74" s="1632"/>
      <c r="G74" s="1632"/>
      <c r="H74" s="1632"/>
      <c r="I74" s="1632"/>
      <c r="J74" s="1632"/>
      <c r="K74" s="1632"/>
      <c r="L74" s="1632"/>
      <c r="M74" s="1632"/>
      <c r="N74" s="1632"/>
      <c r="O74" s="1632"/>
      <c r="S74" s="1629" t="b">
        <f ca="1">AND(S15=2,NOT(W55=TRUE))</f>
        <v>0</v>
      </c>
      <c r="W74" s="1631" t="str">
        <f ca="1">IF(S74,IF('Ch8'!O156&gt;0,"Met", "Not Met"),"N/A")</f>
        <v>N/A</v>
      </c>
      <c r="AX74" s="1630"/>
      <c r="AY74" s="1629"/>
    </row>
    <row r="75" spans="3:51" s="1625" customFormat="1" x14ac:dyDescent="0.25">
      <c r="D75" s="1632"/>
      <c r="E75" s="1632"/>
      <c r="F75" s="1632"/>
      <c r="G75" s="1632"/>
      <c r="H75" s="1632"/>
      <c r="I75" s="1632"/>
      <c r="J75" s="1632"/>
      <c r="K75" s="1632"/>
      <c r="L75" s="1632"/>
      <c r="M75" s="1632"/>
      <c r="N75" s="1632"/>
      <c r="O75" s="1632"/>
      <c r="W75" s="1624"/>
      <c r="AX75" s="1630"/>
      <c r="AY75" s="1629"/>
    </row>
    <row r="76" spans="3:51" s="1625" customFormat="1" x14ac:dyDescent="0.25">
      <c r="C76" s="1445" t="s">
        <v>5241</v>
      </c>
      <c r="D76" s="1632"/>
      <c r="E76" s="1632"/>
      <c r="F76" s="1632"/>
      <c r="G76" s="1632"/>
      <c r="H76" s="1632"/>
      <c r="I76" s="1632"/>
      <c r="J76" s="1632"/>
      <c r="K76" s="1632"/>
      <c r="L76" s="1632"/>
      <c r="M76" s="1632"/>
      <c r="N76" s="1632"/>
      <c r="O76" s="1632"/>
      <c r="W76" s="1624"/>
      <c r="AX76" s="1630"/>
      <c r="AY76" s="1629"/>
    </row>
    <row r="77" spans="3:51" s="1625" customFormat="1" ht="15" customHeight="1" x14ac:dyDescent="0.25">
      <c r="C77" s="1624" t="s">
        <v>3458</v>
      </c>
      <c r="D77" s="86" t="s">
        <v>5694</v>
      </c>
      <c r="E77" s="1632"/>
      <c r="F77" s="1632"/>
      <c r="G77" s="1632"/>
      <c r="H77" s="1632"/>
      <c r="I77" s="1632"/>
      <c r="J77" s="1632"/>
      <c r="K77" s="1632"/>
      <c r="L77" s="1632"/>
      <c r="M77" s="1632"/>
      <c r="N77" s="1632"/>
      <c r="O77" s="1632"/>
      <c r="W77" s="1624"/>
      <c r="AX77" s="1630"/>
      <c r="AY77" s="1629"/>
    </row>
    <row r="78" spans="3:51" s="1625" customFormat="1" x14ac:dyDescent="0.25">
      <c r="C78" s="94"/>
      <c r="D78" s="2021" t="s">
        <v>5693</v>
      </c>
      <c r="E78" s="2021"/>
      <c r="F78" s="2021"/>
      <c r="G78" s="2021"/>
      <c r="H78" s="2021"/>
      <c r="I78" s="2021"/>
      <c r="J78" s="2021"/>
      <c r="K78" s="547"/>
      <c r="L78" s="547"/>
      <c r="M78" s="547"/>
      <c r="N78" s="547"/>
      <c r="O78" s="547"/>
      <c r="W78" s="1624"/>
      <c r="AX78" s="1630"/>
      <c r="AY78" s="1629"/>
    </row>
    <row r="79" spans="3:51" s="1625" customFormat="1" x14ac:dyDescent="0.25">
      <c r="C79" s="178"/>
      <c r="D79" s="1652" t="s">
        <v>5695</v>
      </c>
      <c r="E79" s="548"/>
      <c r="F79" s="548"/>
      <c r="G79" s="548"/>
      <c r="H79" s="548"/>
      <c r="I79" s="548"/>
      <c r="J79" s="548"/>
      <c r="K79" s="548"/>
      <c r="L79" s="548"/>
      <c r="M79" s="548"/>
      <c r="N79" s="548"/>
      <c r="O79" s="548"/>
      <c r="W79" s="1624"/>
      <c r="AX79" s="1630"/>
      <c r="AY79" s="1629"/>
    </row>
    <row r="80" spans="3:51" s="1625" customFormat="1" x14ac:dyDescent="0.25">
      <c r="D80" s="1632"/>
      <c r="E80" s="1632"/>
      <c r="F80" s="1632"/>
      <c r="G80" s="1632"/>
      <c r="H80" s="1632"/>
      <c r="I80" s="1632"/>
      <c r="J80" s="1632"/>
      <c r="K80" s="1632"/>
      <c r="L80" s="1632"/>
      <c r="M80" s="1632"/>
      <c r="N80" s="1632"/>
      <c r="O80" s="1632"/>
      <c r="W80" s="1624"/>
      <c r="AX80" s="1630"/>
      <c r="AY80" s="1629"/>
    </row>
    <row r="81" spans="3:51" s="1625" customFormat="1" x14ac:dyDescent="0.25">
      <c r="C81" s="1699" t="s">
        <v>5696</v>
      </c>
      <c r="D81" s="1699"/>
      <c r="E81" s="1699"/>
      <c r="F81" s="1699"/>
      <c r="G81" s="1699"/>
      <c r="H81" s="1699"/>
      <c r="I81" s="1699"/>
      <c r="J81" s="1699"/>
      <c r="K81" s="1699"/>
      <c r="L81" s="1699"/>
      <c r="M81" s="1699"/>
      <c r="N81" s="1699"/>
      <c r="O81" s="1699"/>
      <c r="W81" s="1624"/>
      <c r="AX81" s="1630"/>
      <c r="AY81" s="1629"/>
    </row>
    <row r="82" spans="3:51" s="1625" customFormat="1" x14ac:dyDescent="0.25">
      <c r="C82" s="1699"/>
      <c r="D82" s="1699"/>
      <c r="E82" s="1699"/>
      <c r="F82" s="1699"/>
      <c r="G82" s="1699"/>
      <c r="H82" s="1699"/>
      <c r="I82" s="1699"/>
      <c r="J82" s="1699"/>
      <c r="K82" s="1699"/>
      <c r="L82" s="1699"/>
      <c r="M82" s="1699"/>
      <c r="N82" s="1699"/>
      <c r="O82" s="1699"/>
      <c r="W82" s="1624"/>
      <c r="AX82" s="1630"/>
      <c r="AY82" s="1629"/>
    </row>
    <row r="83" spans="3:51" s="1625" customFormat="1" x14ac:dyDescent="0.25">
      <c r="D83" s="1632"/>
      <c r="E83" s="1632"/>
      <c r="F83" s="1632"/>
      <c r="G83" s="1632"/>
      <c r="H83" s="1632"/>
      <c r="I83" s="1632"/>
      <c r="J83" s="1632"/>
      <c r="K83" s="1632"/>
      <c r="L83" s="1632"/>
      <c r="M83" s="1632"/>
      <c r="N83" s="1632"/>
      <c r="O83" s="1632"/>
      <c r="W83" s="1624"/>
      <c r="AX83" s="1630"/>
      <c r="AY83" s="1629"/>
    </row>
    <row r="84" spans="3:51" s="1625" customFormat="1" x14ac:dyDescent="0.25">
      <c r="C84" s="1625" t="s">
        <v>4376</v>
      </c>
      <c r="D84" s="1632"/>
      <c r="E84" s="1632"/>
      <c r="F84" s="1632"/>
      <c r="G84" s="1632"/>
      <c r="H84" s="1632"/>
      <c r="I84" s="1632"/>
      <c r="J84" s="1632"/>
      <c r="K84" s="1632"/>
      <c r="L84" s="1632"/>
      <c r="M84" s="1632"/>
      <c r="N84" s="1632"/>
      <c r="O84" s="1632"/>
      <c r="S84" s="1629" t="b">
        <f ca="1">AND(S15=2,NOT(W55=TRUE))</f>
        <v>0</v>
      </c>
      <c r="W84" s="1631" t="str">
        <f ca="1">IF(S84,IF(OR('Ch8'!W143="Met",'Ch8'!W143="N/A"),"Met", "Not Met"),"N/A")</f>
        <v>N/A</v>
      </c>
      <c r="AX84" s="1630"/>
      <c r="AY84" s="1629"/>
    </row>
    <row r="85" spans="3:51" s="1625" customFormat="1" x14ac:dyDescent="0.25">
      <c r="D85" s="1632"/>
      <c r="E85" s="1632"/>
      <c r="F85" s="1632"/>
      <c r="G85" s="1632"/>
      <c r="H85" s="1632"/>
      <c r="I85" s="1632"/>
      <c r="J85" s="1632"/>
      <c r="K85" s="1632"/>
      <c r="L85" s="1632"/>
      <c r="M85" s="1632"/>
      <c r="N85" s="1632"/>
      <c r="O85" s="1632"/>
      <c r="W85" s="1624"/>
      <c r="AX85" s="1630"/>
      <c r="AY85" s="1629"/>
    </row>
    <row r="86" spans="3:51" s="1625" customFormat="1" x14ac:dyDescent="0.25">
      <c r="C86" s="1445" t="s">
        <v>5241</v>
      </c>
      <c r="D86" s="1632"/>
      <c r="E86" s="1632"/>
      <c r="F86" s="1632"/>
      <c r="G86" s="1632"/>
      <c r="H86" s="1632"/>
      <c r="I86" s="1632"/>
      <c r="J86" s="1632"/>
      <c r="K86" s="1632"/>
      <c r="L86" s="1632"/>
      <c r="M86" s="1632"/>
      <c r="N86" s="1632"/>
      <c r="O86" s="1632"/>
      <c r="W86" s="1624"/>
      <c r="AX86" s="1630"/>
      <c r="AY86" s="1629"/>
    </row>
    <row r="87" spans="3:51" s="1625" customFormat="1" x14ac:dyDescent="0.25">
      <c r="C87" s="1624" t="s">
        <v>3458</v>
      </c>
      <c r="D87" s="1625" t="s">
        <v>5698</v>
      </c>
      <c r="O87" s="1624"/>
      <c r="W87" s="1624"/>
      <c r="AX87" s="1630"/>
      <c r="AY87" s="1629"/>
    </row>
    <row r="88" spans="3:51" s="1625" customFormat="1" x14ac:dyDescent="0.25">
      <c r="C88" s="1624"/>
      <c r="D88" s="1633" t="s">
        <v>5697</v>
      </c>
      <c r="O88" s="1624"/>
      <c r="W88" s="1624"/>
      <c r="AX88" s="1630"/>
      <c r="AY88" s="1629"/>
    </row>
    <row r="89" spans="3:51" s="1625" customFormat="1" x14ac:dyDescent="0.25">
      <c r="C89" s="1624" t="s">
        <v>3458</v>
      </c>
      <c r="D89" s="2022" t="s">
        <v>5720</v>
      </c>
      <c r="E89" s="2022"/>
      <c r="F89" s="2022"/>
      <c r="G89" s="2022"/>
      <c r="H89" s="2022"/>
      <c r="I89" s="2022"/>
      <c r="J89" s="2022"/>
      <c r="K89" s="2022"/>
      <c r="L89" s="2022"/>
      <c r="M89" s="2022"/>
      <c r="N89" s="2022"/>
      <c r="O89" s="2022"/>
      <c r="W89" s="1624"/>
      <c r="AX89" s="1630"/>
      <c r="AY89" s="1629"/>
    </row>
    <row r="90" spans="3:51" s="1625" customFormat="1" x14ac:dyDescent="0.25">
      <c r="C90" s="1624"/>
      <c r="D90" s="2022"/>
      <c r="E90" s="2022"/>
      <c r="F90" s="2022"/>
      <c r="G90" s="2022"/>
      <c r="H90" s="2022"/>
      <c r="I90" s="2022"/>
      <c r="J90" s="2022"/>
      <c r="K90" s="2022"/>
      <c r="L90" s="2022"/>
      <c r="M90" s="2022"/>
      <c r="N90" s="2022"/>
      <c r="O90" s="2022"/>
      <c r="W90" s="1624"/>
      <c r="AX90" s="1630"/>
      <c r="AY90" s="1629"/>
    </row>
    <row r="91" spans="3:51" s="1625" customFormat="1" x14ac:dyDescent="0.25">
      <c r="C91" s="1624"/>
      <c r="D91" s="2022"/>
      <c r="E91" s="2022"/>
      <c r="F91" s="2022"/>
      <c r="G91" s="2022"/>
      <c r="H91" s="2022"/>
      <c r="I91" s="2022"/>
      <c r="J91" s="2022"/>
      <c r="K91" s="2022"/>
      <c r="L91" s="2022"/>
      <c r="M91" s="2022"/>
      <c r="N91" s="2022"/>
      <c r="O91" s="2022"/>
      <c r="W91" s="1624"/>
      <c r="AX91" s="1630"/>
      <c r="AY91" s="1629"/>
    </row>
    <row r="92" spans="3:51" s="1625" customFormat="1" x14ac:dyDescent="0.25">
      <c r="C92" s="1624"/>
      <c r="D92" s="2022"/>
      <c r="E92" s="2022"/>
      <c r="F92" s="2022"/>
      <c r="G92" s="2022"/>
      <c r="H92" s="2022"/>
      <c r="I92" s="2022"/>
      <c r="J92" s="2022"/>
      <c r="K92" s="2022"/>
      <c r="L92" s="2022"/>
      <c r="M92" s="2022"/>
      <c r="N92" s="2022"/>
      <c r="O92" s="2022"/>
      <c r="W92" s="1624"/>
      <c r="AX92" s="1630"/>
      <c r="AY92" s="1629"/>
    </row>
    <row r="93" spans="3:51" s="1625" customFormat="1" x14ac:dyDescent="0.25">
      <c r="C93" s="1624"/>
      <c r="D93" s="2022"/>
      <c r="E93" s="2022"/>
      <c r="F93" s="2022"/>
      <c r="G93" s="2022"/>
      <c r="H93" s="2022"/>
      <c r="I93" s="2022"/>
      <c r="J93" s="2022"/>
      <c r="K93" s="2022"/>
      <c r="L93" s="2022"/>
      <c r="M93" s="2022"/>
      <c r="N93" s="2022"/>
      <c r="O93" s="2022"/>
      <c r="W93" s="1624"/>
      <c r="AX93" s="1630"/>
      <c r="AY93" s="1629"/>
    </row>
    <row r="94" spans="3:51" s="1625" customFormat="1" x14ac:dyDescent="0.25">
      <c r="C94" s="1624"/>
      <c r="O94" s="1624"/>
      <c r="W94" s="1624"/>
      <c r="AX94" s="1630"/>
      <c r="AY94" s="1629"/>
    </row>
    <row r="95" spans="3:51" s="1625" customFormat="1" x14ac:dyDescent="0.25">
      <c r="C95" s="1624"/>
      <c r="O95" s="1624"/>
      <c r="W95" s="1624"/>
      <c r="AX95" s="1630"/>
      <c r="AY95" s="1629"/>
    </row>
    <row r="96" spans="3:51" x14ac:dyDescent="0.25">
      <c r="C96" s="1522" t="s">
        <v>5651</v>
      </c>
      <c r="AX96" s="1630"/>
      <c r="AY96" s="1629"/>
    </row>
    <row r="97" spans="2:51" x14ac:dyDescent="0.25">
      <c r="AX97" s="1630"/>
      <c r="AY97" s="1629"/>
    </row>
    <row r="98" spans="2:51" x14ac:dyDescent="0.25">
      <c r="B98" s="1528"/>
      <c r="C98" s="1518" t="s">
        <v>5652</v>
      </c>
      <c r="S98" s="1523" t="b">
        <f ca="1">S15=1</f>
        <v>0</v>
      </c>
      <c r="W98" s="1525" t="str">
        <f ca="1">IF(S98,IF(AND(LEN('Ch8'!W239)&gt;0,'Ch8'!W239&lt;=64),"Met", "Not Met"),"N/A")</f>
        <v>N/A</v>
      </c>
      <c r="AX98" s="1630"/>
      <c r="AY98" s="1629"/>
    </row>
    <row r="99" spans="2:51" x14ac:dyDescent="0.25">
      <c r="AX99" s="1630"/>
      <c r="AY99" s="1629"/>
    </row>
    <row r="100" spans="2:51" x14ac:dyDescent="0.25">
      <c r="AX100" s="1630"/>
      <c r="AY100" s="1629"/>
    </row>
    <row r="101" spans="2:51" x14ac:dyDescent="0.25">
      <c r="B101" s="1523"/>
      <c r="C101" s="1522" t="s">
        <v>5653</v>
      </c>
      <c r="AX101" s="1630"/>
      <c r="AY101" s="1629"/>
    </row>
    <row r="102" spans="2:51" x14ac:dyDescent="0.25">
      <c r="B102" s="1523"/>
      <c r="C102" s="1523"/>
      <c r="AX102" s="1630"/>
      <c r="AY102" s="1629"/>
    </row>
    <row r="103" spans="2:51" x14ac:dyDescent="0.25">
      <c r="B103" s="1528"/>
      <c r="C103" s="1523" t="s">
        <v>5699</v>
      </c>
      <c r="AX103" s="1630"/>
      <c r="AY103" s="1629"/>
    </row>
    <row r="104" spans="2:51" x14ac:dyDescent="0.25">
      <c r="B104" s="1523"/>
      <c r="C104" s="1523"/>
      <c r="AX104" s="1630"/>
      <c r="AY104" s="1629"/>
    </row>
    <row r="105" spans="2:51" x14ac:dyDescent="0.25">
      <c r="B105" s="1523"/>
      <c r="C105" s="1523" t="s">
        <v>5700</v>
      </c>
      <c r="S105" s="1523" t="b">
        <f ca="1">S15=2</f>
        <v>0</v>
      </c>
      <c r="W105" s="1525" t="str">
        <f ca="1">IF(S105,IF('Ch8'!O112&gt;3,"Met", "Not Met"),"N/A")</f>
        <v>N/A</v>
      </c>
      <c r="AX105" s="1630"/>
      <c r="AY105" s="1629"/>
    </row>
    <row r="106" spans="2:51" x14ac:dyDescent="0.25">
      <c r="AX106" s="1630"/>
      <c r="AY106" s="1629"/>
    </row>
    <row r="107" spans="2:51" x14ac:dyDescent="0.25">
      <c r="AX107" s="1630"/>
      <c r="AY107" s="1629"/>
    </row>
    <row r="108" spans="2:51" x14ac:dyDescent="0.25">
      <c r="C108" s="1623" t="s">
        <v>5701</v>
      </c>
      <c r="AX108" s="1630"/>
      <c r="AY108" s="1629"/>
    </row>
    <row r="109" spans="2:51" x14ac:dyDescent="0.25">
      <c r="W109" s="1517" t="s">
        <v>5705</v>
      </c>
      <c r="AX109" s="1630"/>
      <c r="AY109" s="1629"/>
    </row>
    <row r="110" spans="2:51" x14ac:dyDescent="0.25">
      <c r="C110" s="1518" t="s">
        <v>5702</v>
      </c>
      <c r="P110" s="1518" t="b">
        <v>1</v>
      </c>
      <c r="Q110" s="1518" t="b">
        <v>1</v>
      </c>
      <c r="R110" s="1518" t="b">
        <v>0</v>
      </c>
      <c r="S110" s="1518" t="b">
        <v>1</v>
      </c>
      <c r="T110" s="1518" t="b">
        <v>0</v>
      </c>
      <c r="W110" s="25"/>
      <c r="X110" s="1635"/>
      <c r="AC110" s="1639" t="b">
        <f>OR(AD110,AE110)</f>
        <v>0</v>
      </c>
      <c r="AD110" s="1639" t="b">
        <f>T110</f>
        <v>0</v>
      </c>
      <c r="AE110" s="1639" t="b">
        <f>AND(R110,NOT(W110))</f>
        <v>0</v>
      </c>
      <c r="AL110" s="1639" t="s">
        <v>5735</v>
      </c>
      <c r="AP110" s="1639" t="str">
        <f>"des"&amp;AL110</f>
        <v>desWaterSenseClothesWasher</v>
      </c>
      <c r="AQ110" s="254" t="str">
        <f>IF(LEN(W110)=0,"",W110)</f>
        <v/>
      </c>
      <c r="AR110" s="1639" t="str">
        <f>"dnt"&amp;AL110</f>
        <v>dntWaterSenseClothesWasher</v>
      </c>
      <c r="AS110" s="254" t="str">
        <f>IF(LEN(X110)=0,"",X110)</f>
        <v/>
      </c>
      <c r="AX110" s="1630"/>
      <c r="AY110" s="1629"/>
    </row>
    <row r="111" spans="2:51" x14ac:dyDescent="0.25">
      <c r="AX111" s="1630"/>
      <c r="AY111" s="1629"/>
    </row>
    <row r="112" spans="2:51" x14ac:dyDescent="0.25">
      <c r="C112" s="178" t="s">
        <v>5703</v>
      </c>
      <c r="D112" s="178"/>
      <c r="E112" s="178"/>
      <c r="F112" s="178"/>
      <c r="G112" s="178"/>
      <c r="H112" s="178"/>
      <c r="I112" s="178"/>
      <c r="J112" s="178"/>
      <c r="K112" s="178"/>
      <c r="L112" s="178"/>
      <c r="M112" s="178"/>
      <c r="N112" s="178"/>
      <c r="O112" s="1649"/>
      <c r="S112" s="1625" t="b">
        <f ca="1">AND(S15=2,NOT(W110=TRUE))</f>
        <v>0</v>
      </c>
      <c r="W112" s="1627" t="str">
        <f ca="1">IF(S112,IF('Ch8'!O56=18,"Met", "Not Met"),"N/A")</f>
        <v>N/A</v>
      </c>
      <c r="AX112" s="1630"/>
      <c r="AY112" s="1629"/>
    </row>
    <row r="113" spans="3:51" s="1625" customFormat="1" x14ac:dyDescent="0.25">
      <c r="O113" s="1624"/>
      <c r="W113" s="1624"/>
      <c r="AX113" s="1630"/>
      <c r="AY113" s="1629"/>
    </row>
    <row r="114" spans="3:51" x14ac:dyDescent="0.25">
      <c r="W114" s="1624" t="s">
        <v>5705</v>
      </c>
      <c r="AX114" s="1630"/>
      <c r="AY114" s="1629"/>
    </row>
    <row r="115" spans="3:51" x14ac:dyDescent="0.25">
      <c r="C115" s="1518" t="s">
        <v>5704</v>
      </c>
      <c r="P115" s="1625" t="b">
        <v>1</v>
      </c>
      <c r="Q115" s="1625" t="b">
        <v>1</v>
      </c>
      <c r="R115" s="1625" t="b">
        <v>0</v>
      </c>
      <c r="S115" s="1625" t="b">
        <v>1</v>
      </c>
      <c r="T115" s="1625" t="b">
        <v>0</v>
      </c>
      <c r="W115" s="25"/>
      <c r="X115" s="1635"/>
      <c r="AC115" s="1639" t="b">
        <f>OR(AD115,AE115)</f>
        <v>0</v>
      </c>
      <c r="AD115" s="1639" t="b">
        <f>T115</f>
        <v>0</v>
      </c>
      <c r="AE115" s="1639" t="b">
        <f>AND(R115,NOT(W115))</f>
        <v>0</v>
      </c>
      <c r="AL115" s="1639" t="s">
        <v>5734</v>
      </c>
      <c r="AP115" s="1639" t="str">
        <f>"des"&amp;AL115</f>
        <v>desWaterSenseDishwasher</v>
      </c>
      <c r="AQ115" s="254" t="str">
        <f>IF(LEN(W115)=0,"",W115)</f>
        <v/>
      </c>
      <c r="AR115" s="1639" t="str">
        <f>"dnt"&amp;AL115</f>
        <v>dntWaterSenseDishwasher</v>
      </c>
      <c r="AS115" s="254" t="str">
        <f>IF(LEN(X115)=0,"",X115)</f>
        <v/>
      </c>
      <c r="AX115" s="1630"/>
      <c r="AY115" s="1629"/>
    </row>
    <row r="116" spans="3:51" x14ac:dyDescent="0.25">
      <c r="AX116" s="1630"/>
      <c r="AY116" s="1629"/>
    </row>
    <row r="117" spans="3:51" x14ac:dyDescent="0.25">
      <c r="C117" s="1518" t="s">
        <v>5716</v>
      </c>
      <c r="S117" s="1625" t="b">
        <f ca="1">AND(S15=2,NOT(W115=TRUE))</f>
        <v>0</v>
      </c>
      <c r="W117" s="1627" t="str">
        <f ca="1">IF(S117,IF('Ch8'!O55&gt;0,"Met", "Not Met"),"N/A")</f>
        <v>N/A</v>
      </c>
      <c r="AX117" s="1630"/>
      <c r="AY117" s="1629"/>
    </row>
    <row r="118" spans="3:51" x14ac:dyDescent="0.25">
      <c r="AX118" s="1630"/>
      <c r="AY118" s="1629"/>
    </row>
    <row r="119" spans="3:51" x14ac:dyDescent="0.25">
      <c r="AX119" s="1630"/>
      <c r="AY119" s="1629"/>
    </row>
    <row r="120" spans="3:51" x14ac:dyDescent="0.25">
      <c r="C120" s="1628" t="s">
        <v>5706</v>
      </c>
      <c r="AX120" s="1630"/>
      <c r="AY120" s="1629"/>
    </row>
    <row r="121" spans="3:51" x14ac:dyDescent="0.25">
      <c r="C121" s="1629"/>
      <c r="AX121" s="1630"/>
      <c r="AY121" s="1629"/>
    </row>
    <row r="122" spans="3:51" x14ac:dyDescent="0.25">
      <c r="C122" s="2018" t="s">
        <v>5707</v>
      </c>
      <c r="D122" s="2018"/>
      <c r="E122" s="2018"/>
      <c r="F122" s="2018"/>
      <c r="G122" s="2018"/>
      <c r="H122" s="2018"/>
      <c r="I122" s="2018"/>
      <c r="J122" s="2018"/>
      <c r="K122" s="2018"/>
      <c r="L122" s="2018"/>
      <c r="M122" s="2018"/>
      <c r="N122" s="2018"/>
      <c r="O122" s="2018"/>
      <c r="AX122" s="1630"/>
      <c r="AY122" s="1629"/>
    </row>
    <row r="123" spans="3:51" x14ac:dyDescent="0.25">
      <c r="C123" s="2018"/>
      <c r="D123" s="2018"/>
      <c r="E123" s="2018"/>
      <c r="F123" s="2018"/>
      <c r="G123" s="2018"/>
      <c r="H123" s="2018"/>
      <c r="I123" s="2018"/>
      <c r="J123" s="2018"/>
      <c r="K123" s="2018"/>
      <c r="L123" s="2018"/>
      <c r="M123" s="2018"/>
      <c r="N123" s="2018"/>
      <c r="O123" s="2018"/>
      <c r="AX123" s="1630"/>
      <c r="AY123" s="1629"/>
    </row>
    <row r="124" spans="3:51" s="1629" customFormat="1" x14ac:dyDescent="0.25">
      <c r="O124" s="1630"/>
      <c r="W124" s="1630"/>
      <c r="AX124" s="1630"/>
    </row>
    <row r="125" spans="3:51" x14ac:dyDescent="0.25">
      <c r="C125" s="1629" t="s">
        <v>5708</v>
      </c>
      <c r="S125" s="1629" t="b">
        <f ca="1">S15=2</f>
        <v>0</v>
      </c>
      <c r="W125" s="1631" t="str">
        <f ca="1">IF(S125,IF('Ch8'!O20&gt;8,"Met", "Not Met"),"N/A")</f>
        <v>N/A</v>
      </c>
      <c r="AX125" s="1630"/>
      <c r="AY125" s="1629"/>
    </row>
    <row r="126" spans="3:51" x14ac:dyDescent="0.25">
      <c r="AX126" s="1630"/>
      <c r="AY126" s="1629"/>
    </row>
    <row r="127" spans="3:51" x14ac:dyDescent="0.25">
      <c r="AX127" s="1630"/>
      <c r="AY127" s="1629"/>
    </row>
    <row r="128" spans="3:51" x14ac:dyDescent="0.25">
      <c r="C128" s="1628" t="s">
        <v>5709</v>
      </c>
      <c r="AX128" s="1630"/>
      <c r="AY128" s="1629"/>
    </row>
    <row r="129" spans="3:51" x14ac:dyDescent="0.25">
      <c r="AX129" s="1630"/>
      <c r="AY129" s="1629"/>
    </row>
    <row r="130" spans="3:51" x14ac:dyDescent="0.25">
      <c r="C130" s="1518" t="s">
        <v>5710</v>
      </c>
      <c r="S130" s="1518" t="b">
        <f ca="1">AND(S15=2,(AY19=INDEX(INDIRECT("ddSingleOrMulti"),2)))</f>
        <v>0</v>
      </c>
      <c r="W130" s="1631" t="str">
        <f ca="1">IF(S130,IF(OR(W132=TRUE,W136="Met",W143="Met"),"Met", "Not Met"),"N/A")</f>
        <v>N/A</v>
      </c>
      <c r="AX130" s="1630"/>
      <c r="AY130" s="1629"/>
    </row>
    <row r="131" spans="3:51" x14ac:dyDescent="0.25">
      <c r="AX131" s="1630"/>
      <c r="AY131" s="1629"/>
    </row>
    <row r="132" spans="3:51" x14ac:dyDescent="0.25">
      <c r="C132" s="178" t="s">
        <v>5711</v>
      </c>
      <c r="D132" s="178"/>
      <c r="E132" s="178"/>
      <c r="F132" s="178"/>
      <c r="G132" s="178"/>
      <c r="H132" s="178"/>
      <c r="I132" s="178"/>
      <c r="J132" s="178"/>
      <c r="K132" s="178"/>
      <c r="L132" s="178"/>
      <c r="M132" s="178"/>
      <c r="N132" s="178"/>
      <c r="O132" s="1649"/>
      <c r="P132" s="1629" t="b">
        <v>1</v>
      </c>
      <c r="Q132" s="1629" t="b">
        <v>1</v>
      </c>
      <c r="R132" s="1629" t="b">
        <v>0</v>
      </c>
      <c r="S132" s="1629" t="b">
        <v>1</v>
      </c>
      <c r="T132" s="1629" t="b">
        <v>0</v>
      </c>
      <c r="W132" s="25"/>
      <c r="X132" s="1635"/>
      <c r="AC132" s="1639" t="b">
        <f>OR(AD132,AE132)</f>
        <v>0</v>
      </c>
      <c r="AD132" s="1639" t="b">
        <f>T132</f>
        <v>0</v>
      </c>
      <c r="AE132" s="1639" t="b">
        <f>AND(R132,NOT(W132))</f>
        <v>0</v>
      </c>
      <c r="AL132" s="1639" t="s">
        <v>5733</v>
      </c>
      <c r="AP132" s="1639" t="str">
        <f>"des"&amp;AL132</f>
        <v>desWaterSenseOptionA</v>
      </c>
      <c r="AQ132" s="254" t="str">
        <f>IF(LEN(W132)=0,"",W132)</f>
        <v/>
      </c>
      <c r="AR132" s="1639" t="str">
        <f>"dnt"&amp;AL132</f>
        <v>dntWaterSenseOptionA</v>
      </c>
      <c r="AS132" s="254" t="str">
        <f>IF(LEN(X132)=0,"",X132)</f>
        <v/>
      </c>
      <c r="AX132" s="1630"/>
      <c r="AY132" s="1629"/>
    </row>
    <row r="133" spans="3:51" x14ac:dyDescent="0.25">
      <c r="AX133" s="1630"/>
      <c r="AY133" s="1629"/>
    </row>
    <row r="134" spans="3:51" x14ac:dyDescent="0.25">
      <c r="C134" s="1518" t="s">
        <v>5712</v>
      </c>
      <c r="AX134" s="1630"/>
      <c r="AY134" s="1629"/>
    </row>
    <row r="135" spans="3:51" x14ac:dyDescent="0.25">
      <c r="AX135" s="1630"/>
      <c r="AY135" s="1629"/>
    </row>
    <row r="136" spans="3:51" x14ac:dyDescent="0.25">
      <c r="C136" s="178" t="s">
        <v>5713</v>
      </c>
      <c r="D136" s="178"/>
      <c r="E136" s="178"/>
      <c r="F136" s="178"/>
      <c r="G136" s="178"/>
      <c r="H136" s="178"/>
      <c r="I136" s="178"/>
      <c r="J136" s="178"/>
      <c r="K136" s="178"/>
      <c r="L136" s="178"/>
      <c r="M136" s="178"/>
      <c r="N136" s="178"/>
      <c r="O136" s="1649"/>
      <c r="S136" s="1629" t="b">
        <f ca="1">S130</f>
        <v>0</v>
      </c>
      <c r="W136" s="1631" t="str">
        <f ca="1">IF(S136,IF('Ch8'!O92&gt;0,"Met", "Not Met"),"N/A")</f>
        <v>N/A</v>
      </c>
    </row>
    <row r="138" spans="3:51" x14ac:dyDescent="0.25">
      <c r="C138" s="1699" t="s">
        <v>5714</v>
      </c>
      <c r="D138" s="1699"/>
      <c r="E138" s="1699"/>
      <c r="F138" s="1699"/>
      <c r="G138" s="1699"/>
      <c r="H138" s="1699"/>
      <c r="I138" s="1699"/>
      <c r="J138" s="1699"/>
      <c r="K138" s="1699"/>
      <c r="L138" s="1699"/>
      <c r="M138" s="1699"/>
      <c r="N138" s="1699"/>
      <c r="O138" s="1699"/>
    </row>
    <row r="139" spans="3:51" x14ac:dyDescent="0.25">
      <c r="C139" s="1699"/>
      <c r="D139" s="1699"/>
      <c r="E139" s="1699"/>
      <c r="F139" s="1699"/>
      <c r="G139" s="1699"/>
      <c r="H139" s="1699"/>
      <c r="I139" s="1699"/>
      <c r="J139" s="1699"/>
      <c r="K139" s="1699"/>
      <c r="L139" s="1699"/>
      <c r="M139" s="1699"/>
      <c r="N139" s="1699"/>
      <c r="O139" s="1699"/>
    </row>
    <row r="140" spans="3:51" x14ac:dyDescent="0.25">
      <c r="C140" s="1699"/>
      <c r="D140" s="1699"/>
      <c r="E140" s="1699"/>
      <c r="F140" s="1699"/>
      <c r="G140" s="1699"/>
      <c r="H140" s="1699"/>
      <c r="I140" s="1699"/>
      <c r="J140" s="1699"/>
      <c r="K140" s="1699"/>
      <c r="L140" s="1699"/>
      <c r="M140" s="1699"/>
      <c r="N140" s="1699"/>
      <c r="O140" s="1699"/>
    </row>
    <row r="141" spans="3:51" x14ac:dyDescent="0.25">
      <c r="C141" s="1699"/>
      <c r="D141" s="1699"/>
      <c r="E141" s="1699"/>
      <c r="F141" s="1699"/>
      <c r="G141" s="1699"/>
      <c r="H141" s="1699"/>
      <c r="I141" s="1699"/>
      <c r="J141" s="1699"/>
      <c r="K141" s="1699"/>
      <c r="L141" s="1699"/>
      <c r="M141" s="1699"/>
      <c r="N141" s="1699"/>
      <c r="O141" s="1699"/>
    </row>
    <row r="143" spans="3:51" x14ac:dyDescent="0.25">
      <c r="C143" s="1518" t="s">
        <v>5715</v>
      </c>
      <c r="S143" s="1629" t="b">
        <f ca="1">S130</f>
        <v>0</v>
      </c>
      <c r="W143" s="1631" t="str">
        <f ca="1">IF(S143,IF('Ch8'!O20=9,"Met", "Not Met"),"N/A")</f>
        <v>N/A</v>
      </c>
    </row>
  </sheetData>
  <sheetProtection algorithmName="SHA-512" hashValue="INhMjFEZJzVkUjGAzgil/WoQW+VXlWshLGnucW8V9D7j0d3w67hQUTltBpv+iU4lpxds+Il61pGsQccwNfHK/g==" saltValue="E4V5XVMuqYYKUl4mQfOdpg==" spinCount="100000" sheet="1" objects="1" scenarios="1" selectLockedCells="1"/>
  <mergeCells count="16">
    <mergeCell ref="W1:W3"/>
    <mergeCell ref="B10:E11"/>
    <mergeCell ref="C20:M21"/>
    <mergeCell ref="C24:M26"/>
    <mergeCell ref="C28:M29"/>
    <mergeCell ref="C122:O123"/>
    <mergeCell ref="C138:O141"/>
    <mergeCell ref="G10:O11"/>
    <mergeCell ref="X20:X21"/>
    <mergeCell ref="X24:X26"/>
    <mergeCell ref="X28:X29"/>
    <mergeCell ref="C81:O82"/>
    <mergeCell ref="D66:O67"/>
    <mergeCell ref="D68:O70"/>
    <mergeCell ref="D78:J78"/>
    <mergeCell ref="D89:O93"/>
  </mergeCells>
  <phoneticPr fontId="90" type="noConversion"/>
  <conditionalFormatting sqref="X2">
    <cfRule type="expression" dxfId="3102" priority="80">
      <formula>$AG$3</formula>
    </cfRule>
  </conditionalFormatting>
  <conditionalFormatting sqref="X3">
    <cfRule type="expression" dxfId="3101" priority="81">
      <formula>$AI$3</formula>
    </cfRule>
  </conditionalFormatting>
  <conditionalFormatting sqref="X1">
    <cfRule type="expression" dxfId="3100" priority="77">
      <formula>startError</formula>
    </cfRule>
  </conditionalFormatting>
  <conditionalFormatting sqref="W18">
    <cfRule type="expression" dxfId="3099" priority="57">
      <formula>OR($T$18 = TRUE, AND($W$18 = TRUE, $S$18 = FALSE))</formula>
    </cfRule>
    <cfRule type="expression" dxfId="3098" priority="58">
      <formula>$S$18 = FALSE</formula>
    </cfRule>
    <cfRule type="expression" dxfId="3097" priority="59">
      <formula>AND(IF($R$18,$W$18,TRUE),LEN(TRIM($W$18))&gt;0)</formula>
    </cfRule>
    <cfRule type="expression" dxfId="3096" priority="60">
      <formula>AND($R$18,$S$18)</formula>
    </cfRule>
  </conditionalFormatting>
  <conditionalFormatting sqref="W19">
    <cfRule type="expression" dxfId="3095" priority="53">
      <formula>OR($T$19 = TRUE, AND($W$19 = TRUE, $S$19 = FALSE))</formula>
    </cfRule>
    <cfRule type="expression" dxfId="3094" priority="54">
      <formula>$S$19 = FALSE</formula>
    </cfRule>
    <cfRule type="expression" dxfId="3093" priority="55">
      <formula>AND(IF($R$19,$W$19,TRUE),LEN(TRIM($W$19))&gt;0)</formula>
    </cfRule>
    <cfRule type="expression" dxfId="3092" priority="56">
      <formula>AND($R$19,$S$19)</formula>
    </cfRule>
  </conditionalFormatting>
  <conditionalFormatting sqref="W20">
    <cfRule type="expression" dxfId="3091" priority="49">
      <formula>OR($T$20 = TRUE, AND($W$20 = TRUE, $S$20 = FALSE))</formula>
    </cfRule>
    <cfRule type="expression" dxfId="3090" priority="50">
      <formula>$S$20 = FALSE</formula>
    </cfRule>
    <cfRule type="expression" dxfId="3089" priority="51">
      <formula>AND(IF($R$20,$W$20,TRUE),LEN(TRIM($W$20))&gt;0)</formula>
    </cfRule>
    <cfRule type="expression" dxfId="3088" priority="52">
      <formula>AND($R$20,$S$20)</formula>
    </cfRule>
  </conditionalFormatting>
  <conditionalFormatting sqref="W22">
    <cfRule type="expression" dxfId="3087" priority="45">
      <formula>OR($T$22 = TRUE, AND($W$22 = TRUE, $S$22 = FALSE))</formula>
    </cfRule>
    <cfRule type="expression" dxfId="3086" priority="46">
      <formula>$S$22 = FALSE</formula>
    </cfRule>
    <cfRule type="expression" dxfId="3085" priority="47">
      <formula>AND(IF($R$22,$W$22,TRUE),LEN(TRIM($W$22))&gt;0)</formula>
    </cfRule>
    <cfRule type="expression" dxfId="3084" priority="48">
      <formula>AND($R$22,$S$22)</formula>
    </cfRule>
  </conditionalFormatting>
  <conditionalFormatting sqref="W23">
    <cfRule type="expression" dxfId="3083" priority="41">
      <formula>OR($T$23 = TRUE, AND($W$23 = TRUE, $S$23 = FALSE))</formula>
    </cfRule>
    <cfRule type="expression" dxfId="3082" priority="42">
      <formula>$S$23 = FALSE</formula>
    </cfRule>
    <cfRule type="expression" dxfId="3081" priority="43">
      <formula>AND(IF($R$23,$W$23,TRUE),LEN(TRIM($W$23))&gt;0)</formula>
    </cfRule>
    <cfRule type="expression" dxfId="3080" priority="44">
      <formula>AND($R$23,$S$23)</formula>
    </cfRule>
  </conditionalFormatting>
  <conditionalFormatting sqref="W24">
    <cfRule type="expression" dxfId="3079" priority="37">
      <formula>OR($T$24 = TRUE, AND($W$24 = TRUE, $S$24 = FALSE))</formula>
    </cfRule>
    <cfRule type="expression" dxfId="3078" priority="38">
      <formula>$S$24 = FALSE</formula>
    </cfRule>
    <cfRule type="expression" dxfId="3077" priority="39">
      <formula>AND(IF($R$24,$W$24,TRUE),LEN(TRIM($W$24))&gt;0)</formula>
    </cfRule>
    <cfRule type="expression" dxfId="3076" priority="40">
      <formula>AND($R$24,$S$24)</formula>
    </cfRule>
  </conditionalFormatting>
  <conditionalFormatting sqref="W27">
    <cfRule type="expression" dxfId="3075" priority="33">
      <formula>OR($T$27 = TRUE, AND($W$27 = TRUE, $S$27 = FALSE))</formula>
    </cfRule>
    <cfRule type="expression" dxfId="3074" priority="34">
      <formula>$S$27 = FALSE</formula>
    </cfRule>
    <cfRule type="expression" dxfId="3073" priority="35">
      <formula>AND(IF($R$27,$W$27,TRUE),LEN(TRIM($W$27))&gt;0)</formula>
    </cfRule>
    <cfRule type="expression" dxfId="3072" priority="36">
      <formula>AND($R$27,$S$27)</formula>
    </cfRule>
  </conditionalFormatting>
  <conditionalFormatting sqref="W28">
    <cfRule type="expression" dxfId="3071" priority="29">
      <formula>OR($T$28 = TRUE, AND($W$28 = TRUE, $S$28 = FALSE))</formula>
    </cfRule>
    <cfRule type="expression" dxfId="3070" priority="30">
      <formula>$S$28 = FALSE</formula>
    </cfRule>
    <cfRule type="expression" dxfId="3069" priority="31">
      <formula>AND(IF($R$28,$W$28,TRUE),LEN(TRIM($W$28))&gt;0)</formula>
    </cfRule>
    <cfRule type="expression" dxfId="3068" priority="32">
      <formula>AND($R$28,$S$28)</formula>
    </cfRule>
  </conditionalFormatting>
  <conditionalFormatting sqref="W34">
    <cfRule type="expression" dxfId="3067" priority="25">
      <formula>OR($T$34 = TRUE, AND($W$34 = TRUE, $S$34 = FALSE))</formula>
    </cfRule>
    <cfRule type="expression" dxfId="3066" priority="26">
      <formula>$S$34 = FALSE</formula>
    </cfRule>
    <cfRule type="expression" dxfId="3065" priority="27">
      <formula>AND(IF($R$34,$W$34,TRUE),LEN(TRIM($W$34))&gt;0)</formula>
    </cfRule>
    <cfRule type="expression" dxfId="3064" priority="28">
      <formula>AND($R$34,$S$34)</formula>
    </cfRule>
  </conditionalFormatting>
  <conditionalFormatting sqref="W41">
    <cfRule type="expression" dxfId="3063" priority="21">
      <formula>OR($T$41 = TRUE, AND($W$41 = TRUE, $S$41 = FALSE))</formula>
    </cfRule>
    <cfRule type="expression" dxfId="3062" priority="22">
      <formula>$S$41 = FALSE</formula>
    </cfRule>
    <cfRule type="expression" dxfId="3061" priority="23">
      <formula>AND(IF($R$41,$W$41,TRUE),LEN(TRIM($W$41))&gt;0)</formula>
    </cfRule>
    <cfRule type="expression" dxfId="3060" priority="24">
      <formula>AND($R$41,$S$41)</formula>
    </cfRule>
  </conditionalFormatting>
  <conditionalFormatting sqref="W48">
    <cfRule type="expression" dxfId="3059" priority="17">
      <formula>OR($T$48 = TRUE, AND($W$48 = TRUE, $S$48 = FALSE))</formula>
    </cfRule>
    <cfRule type="expression" dxfId="3058" priority="18">
      <formula>$S$48 = FALSE</formula>
    </cfRule>
    <cfRule type="expression" dxfId="3057" priority="19">
      <formula>AND(IF($R$48,$W$48,TRUE),LEN(TRIM($W$48))&gt;0)</formula>
    </cfRule>
    <cfRule type="expression" dxfId="3056" priority="20">
      <formula>AND($R$48,$S$48)</formula>
    </cfRule>
  </conditionalFormatting>
  <conditionalFormatting sqref="W55">
    <cfRule type="expression" dxfId="3055" priority="13">
      <formula>OR($T$55 = TRUE, AND($W$55 = TRUE, $S$55 = FALSE))</formula>
    </cfRule>
    <cfRule type="expression" dxfId="3054" priority="14">
      <formula>$S$55 = FALSE</formula>
    </cfRule>
    <cfRule type="expression" dxfId="3053" priority="15">
      <formula>AND(IF($R$55,$W$55,TRUE),LEN(TRIM($W$55))&gt;0)</formula>
    </cfRule>
    <cfRule type="expression" dxfId="3052" priority="16">
      <formula>AND($R$55,$S$55)</formula>
    </cfRule>
  </conditionalFormatting>
  <conditionalFormatting sqref="W110">
    <cfRule type="expression" dxfId="3051" priority="9">
      <formula>OR($T$110 = TRUE, AND($W$110 = TRUE, $S$110 = FALSE))</formula>
    </cfRule>
    <cfRule type="expression" dxfId="3050" priority="10">
      <formula>$S$110 = FALSE</formula>
    </cfRule>
    <cfRule type="expression" dxfId="3049" priority="11">
      <formula>AND(IF($R$110,$W$110,TRUE),LEN(TRIM($W$110))&gt;0)</formula>
    </cfRule>
    <cfRule type="expression" dxfId="3048" priority="12">
      <formula>AND($R$110,$S$110)</formula>
    </cfRule>
  </conditionalFormatting>
  <conditionalFormatting sqref="W115">
    <cfRule type="expression" dxfId="3047" priority="5">
      <formula>OR($T$115 = TRUE, AND($W$115 = TRUE, $S$115 = FALSE))</formula>
    </cfRule>
    <cfRule type="expression" dxfId="3046" priority="6">
      <formula>$S$115 = FALSE</formula>
    </cfRule>
    <cfRule type="expression" dxfId="3045" priority="7">
      <formula>AND(IF($R$115,$W$115,TRUE),LEN(TRIM($W$115))&gt;0)</formula>
    </cfRule>
    <cfRule type="expression" dxfId="3044" priority="8">
      <formula>AND($R$115,$S$115)</formula>
    </cfRule>
  </conditionalFormatting>
  <conditionalFormatting sqref="W132">
    <cfRule type="expression" dxfId="3043" priority="1">
      <formula>OR($T$132 = TRUE, AND($W$132 = TRUE, $S$132 = FALSE))</formula>
    </cfRule>
    <cfRule type="expression" dxfId="3042" priority="2">
      <formula>$S$132 = FALSE</formula>
    </cfRule>
    <cfRule type="expression" dxfId="3041" priority="3">
      <formula>AND(IF($R$132,$W$132,TRUE),LEN(TRIM($W$132))&gt;0)</formula>
    </cfRule>
    <cfRule type="expression" dxfId="3040" priority="4">
      <formula>AND($R$132,$S$132)</formula>
    </cfRule>
  </conditionalFormatting>
  <dataValidations count="1">
    <dataValidation type="list" allowBlank="1" showDropDown="1" showInputMessage="1" showErrorMessage="1" error="Use Checkbox" prompt="Use Checkbox" sqref="W27:W28 W22:W24 W18:W20 W41 W34 W48 W55 W115 W110 W132" xr:uid="{96ACB2A9-CDB9-4239-BA5D-8BA9F0963AC8}">
      <formula1>TorF</formula1>
    </dataValidation>
  </dataValidations>
  <hyperlinks>
    <hyperlink ref="D78" r:id="rId1" xr:uid="{751D73D3-DACE-4314-8151-94BEB74FA214}"/>
    <hyperlink ref="D88" r:id="rId2" xr:uid="{7F41A31F-2C01-40A7-A8F5-5646B728D5AC}"/>
  </hyperlinks>
  <pageMargins left="0.7" right="0.7" top="0.75" bottom="0.75" header="0.3" footer="0.3"/>
  <pageSetup scale="44" fitToHeight="0" orientation="portrait" r:id="rId3"/>
  <rowBreaks count="1" manualBreakCount="1">
    <brk id="9" max="23" man="1"/>
  </rowBreaks>
  <drawing r:id="rId4"/>
  <legacyDrawing r:id="rId5"/>
  <mc:AlternateContent xmlns:mc="http://schemas.openxmlformats.org/markup-compatibility/2006">
    <mc:Choice Requires="x14">
      <controls>
        <mc:AlternateContent xmlns:mc="http://schemas.openxmlformats.org/markup-compatibility/2006">
          <mc:Choice Requires="x14">
            <control shapeId="218133" r:id="rId6" name="Check Box 21">
              <controlPr locked="0" defaultSize="0" autoFill="0" autoLine="0" autoPict="0">
                <anchor moveWithCells="1">
                  <from>
                    <xdr:col>22</xdr:col>
                    <xdr:colOff>0</xdr:colOff>
                    <xdr:row>17</xdr:row>
                    <xdr:rowOff>0</xdr:rowOff>
                  </from>
                  <to>
                    <xdr:col>22</xdr:col>
                    <xdr:colOff>180975</xdr:colOff>
                    <xdr:row>17</xdr:row>
                    <xdr:rowOff>180975</xdr:rowOff>
                  </to>
                </anchor>
              </controlPr>
            </control>
          </mc:Choice>
        </mc:AlternateContent>
        <mc:AlternateContent xmlns:mc="http://schemas.openxmlformats.org/markup-compatibility/2006">
          <mc:Choice Requires="x14">
            <control shapeId="218134" r:id="rId7" name="Check Box 22">
              <controlPr locked="0" defaultSize="0" autoFill="0" autoLine="0" autoPict="0">
                <anchor moveWithCells="1">
                  <from>
                    <xdr:col>22</xdr:col>
                    <xdr:colOff>0</xdr:colOff>
                    <xdr:row>18</xdr:row>
                    <xdr:rowOff>0</xdr:rowOff>
                  </from>
                  <to>
                    <xdr:col>22</xdr:col>
                    <xdr:colOff>180975</xdr:colOff>
                    <xdr:row>18</xdr:row>
                    <xdr:rowOff>180975</xdr:rowOff>
                  </to>
                </anchor>
              </controlPr>
            </control>
          </mc:Choice>
        </mc:AlternateContent>
        <mc:AlternateContent xmlns:mc="http://schemas.openxmlformats.org/markup-compatibility/2006">
          <mc:Choice Requires="x14">
            <control shapeId="218135" r:id="rId8" name="Check Box 23">
              <controlPr locked="0" defaultSize="0" autoFill="0" autoLine="0" autoPict="0">
                <anchor moveWithCells="1">
                  <from>
                    <xdr:col>22</xdr:col>
                    <xdr:colOff>0</xdr:colOff>
                    <xdr:row>19</xdr:row>
                    <xdr:rowOff>0</xdr:rowOff>
                  </from>
                  <to>
                    <xdr:col>22</xdr:col>
                    <xdr:colOff>180975</xdr:colOff>
                    <xdr:row>19</xdr:row>
                    <xdr:rowOff>180975</xdr:rowOff>
                  </to>
                </anchor>
              </controlPr>
            </control>
          </mc:Choice>
        </mc:AlternateContent>
        <mc:AlternateContent xmlns:mc="http://schemas.openxmlformats.org/markup-compatibility/2006">
          <mc:Choice Requires="x14">
            <control shapeId="218136" r:id="rId9" name="Check Box 24">
              <controlPr locked="0" defaultSize="0" autoFill="0" autoLine="0" autoPict="0">
                <anchor moveWithCells="1">
                  <from>
                    <xdr:col>22</xdr:col>
                    <xdr:colOff>0</xdr:colOff>
                    <xdr:row>21</xdr:row>
                    <xdr:rowOff>0</xdr:rowOff>
                  </from>
                  <to>
                    <xdr:col>22</xdr:col>
                    <xdr:colOff>180975</xdr:colOff>
                    <xdr:row>21</xdr:row>
                    <xdr:rowOff>180975</xdr:rowOff>
                  </to>
                </anchor>
              </controlPr>
            </control>
          </mc:Choice>
        </mc:AlternateContent>
        <mc:AlternateContent xmlns:mc="http://schemas.openxmlformats.org/markup-compatibility/2006">
          <mc:Choice Requires="x14">
            <control shapeId="218137" r:id="rId10" name="Check Box 25">
              <controlPr locked="0" defaultSize="0" autoFill="0" autoLine="0" autoPict="0">
                <anchor moveWithCells="1">
                  <from>
                    <xdr:col>22</xdr:col>
                    <xdr:colOff>0</xdr:colOff>
                    <xdr:row>22</xdr:row>
                    <xdr:rowOff>0</xdr:rowOff>
                  </from>
                  <to>
                    <xdr:col>22</xdr:col>
                    <xdr:colOff>180975</xdr:colOff>
                    <xdr:row>22</xdr:row>
                    <xdr:rowOff>180975</xdr:rowOff>
                  </to>
                </anchor>
              </controlPr>
            </control>
          </mc:Choice>
        </mc:AlternateContent>
        <mc:AlternateContent xmlns:mc="http://schemas.openxmlformats.org/markup-compatibility/2006">
          <mc:Choice Requires="x14">
            <control shapeId="218138" r:id="rId11" name="Check Box 26">
              <controlPr locked="0" defaultSize="0" autoFill="0" autoLine="0" autoPict="0">
                <anchor moveWithCells="1">
                  <from>
                    <xdr:col>22</xdr:col>
                    <xdr:colOff>0</xdr:colOff>
                    <xdr:row>23</xdr:row>
                    <xdr:rowOff>0</xdr:rowOff>
                  </from>
                  <to>
                    <xdr:col>22</xdr:col>
                    <xdr:colOff>180975</xdr:colOff>
                    <xdr:row>23</xdr:row>
                    <xdr:rowOff>180975</xdr:rowOff>
                  </to>
                </anchor>
              </controlPr>
            </control>
          </mc:Choice>
        </mc:AlternateContent>
        <mc:AlternateContent xmlns:mc="http://schemas.openxmlformats.org/markup-compatibility/2006">
          <mc:Choice Requires="x14">
            <control shapeId="218139" r:id="rId12" name="Check Box 27">
              <controlPr locked="0" defaultSize="0" autoFill="0" autoLine="0" autoPict="0">
                <anchor moveWithCells="1">
                  <from>
                    <xdr:col>22</xdr:col>
                    <xdr:colOff>0</xdr:colOff>
                    <xdr:row>26</xdr:row>
                    <xdr:rowOff>0</xdr:rowOff>
                  </from>
                  <to>
                    <xdr:col>22</xdr:col>
                    <xdr:colOff>180975</xdr:colOff>
                    <xdr:row>26</xdr:row>
                    <xdr:rowOff>180975</xdr:rowOff>
                  </to>
                </anchor>
              </controlPr>
            </control>
          </mc:Choice>
        </mc:AlternateContent>
        <mc:AlternateContent xmlns:mc="http://schemas.openxmlformats.org/markup-compatibility/2006">
          <mc:Choice Requires="x14">
            <control shapeId="218140" r:id="rId13" name="Check Box 28">
              <controlPr locked="0" defaultSize="0" autoFill="0" autoLine="0" autoPict="0">
                <anchor moveWithCells="1">
                  <from>
                    <xdr:col>22</xdr:col>
                    <xdr:colOff>0</xdr:colOff>
                    <xdr:row>27</xdr:row>
                    <xdr:rowOff>0</xdr:rowOff>
                  </from>
                  <to>
                    <xdr:col>22</xdr:col>
                    <xdr:colOff>180975</xdr:colOff>
                    <xdr:row>27</xdr:row>
                    <xdr:rowOff>180975</xdr:rowOff>
                  </to>
                </anchor>
              </controlPr>
            </control>
          </mc:Choice>
        </mc:AlternateContent>
        <mc:AlternateContent xmlns:mc="http://schemas.openxmlformats.org/markup-compatibility/2006">
          <mc:Choice Requires="x14">
            <control shapeId="218143" r:id="rId14" name="Check Box 31">
              <controlPr locked="0" defaultSize="0" autoFill="0" autoLine="0" autoPict="0">
                <anchor moveWithCells="1">
                  <from>
                    <xdr:col>22</xdr:col>
                    <xdr:colOff>0</xdr:colOff>
                    <xdr:row>33</xdr:row>
                    <xdr:rowOff>0</xdr:rowOff>
                  </from>
                  <to>
                    <xdr:col>22</xdr:col>
                    <xdr:colOff>180975</xdr:colOff>
                    <xdr:row>33</xdr:row>
                    <xdr:rowOff>180975</xdr:rowOff>
                  </to>
                </anchor>
              </controlPr>
            </control>
          </mc:Choice>
        </mc:AlternateContent>
        <mc:AlternateContent xmlns:mc="http://schemas.openxmlformats.org/markup-compatibility/2006">
          <mc:Choice Requires="x14">
            <control shapeId="218145" r:id="rId15" name="Check Box 33">
              <controlPr locked="0" defaultSize="0" autoFill="0" autoLine="0" autoPict="0">
                <anchor mov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218147" r:id="rId16" name="Check Box 35">
              <controlPr locked="0" defaultSize="0" autoFill="0" autoLine="0" autoPict="0">
                <anchor moveWithCells="1">
                  <from>
                    <xdr:col>22</xdr:col>
                    <xdr:colOff>0</xdr:colOff>
                    <xdr:row>47</xdr:row>
                    <xdr:rowOff>0</xdr:rowOff>
                  </from>
                  <to>
                    <xdr:col>22</xdr:col>
                    <xdr:colOff>180975</xdr:colOff>
                    <xdr:row>47</xdr:row>
                    <xdr:rowOff>180975</xdr:rowOff>
                  </to>
                </anchor>
              </controlPr>
            </control>
          </mc:Choice>
        </mc:AlternateContent>
        <mc:AlternateContent xmlns:mc="http://schemas.openxmlformats.org/markup-compatibility/2006">
          <mc:Choice Requires="x14">
            <control shapeId="218149" r:id="rId17" name="Check Box 37">
              <controlPr locked="0" defaultSize="0" autoFill="0" autoLine="0" autoPict="0">
                <anchor mov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218151" r:id="rId18" name="Check Box 39">
              <controlPr locked="0" defaultSize="0" autoFill="0" autoLine="0" autoPict="0">
                <anchor moveWithCells="1">
                  <from>
                    <xdr:col>22</xdr:col>
                    <xdr:colOff>0</xdr:colOff>
                    <xdr:row>109</xdr:row>
                    <xdr:rowOff>0</xdr:rowOff>
                  </from>
                  <to>
                    <xdr:col>22</xdr:col>
                    <xdr:colOff>180975</xdr:colOff>
                    <xdr:row>109</xdr:row>
                    <xdr:rowOff>180975</xdr:rowOff>
                  </to>
                </anchor>
              </controlPr>
            </control>
          </mc:Choice>
        </mc:AlternateContent>
        <mc:AlternateContent xmlns:mc="http://schemas.openxmlformats.org/markup-compatibility/2006">
          <mc:Choice Requires="x14">
            <control shapeId="218152" r:id="rId19" name="Check Box 40">
              <controlPr locked="0" defaultSize="0" autoFill="0" autoLine="0" autoPict="0">
                <anchor moveWithCells="1">
                  <from>
                    <xdr:col>22</xdr:col>
                    <xdr:colOff>0</xdr:colOff>
                    <xdr:row>114</xdr:row>
                    <xdr:rowOff>0</xdr:rowOff>
                  </from>
                  <to>
                    <xdr:col>22</xdr:col>
                    <xdr:colOff>180975</xdr:colOff>
                    <xdr:row>114</xdr:row>
                    <xdr:rowOff>180975</xdr:rowOff>
                  </to>
                </anchor>
              </controlPr>
            </control>
          </mc:Choice>
        </mc:AlternateContent>
        <mc:AlternateContent xmlns:mc="http://schemas.openxmlformats.org/markup-compatibility/2006">
          <mc:Choice Requires="x14">
            <control shapeId="218154" r:id="rId20" name="Check Box 42">
              <controlPr locked="0" defaultSize="0" autoFill="0" autoLine="0" autoPict="0">
                <anchor moveWithCells="1">
                  <from>
                    <xdr:col>22</xdr:col>
                    <xdr:colOff>0</xdr:colOff>
                    <xdr:row>131</xdr:row>
                    <xdr:rowOff>0</xdr:rowOff>
                  </from>
                  <to>
                    <xdr:col>22</xdr:col>
                    <xdr:colOff>180975</xdr:colOff>
                    <xdr:row>131</xdr:row>
                    <xdr:rowOff>180975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1"/>
    <pageSetUpPr fitToPage="1"/>
  </sheetPr>
  <dimension ref="A2:HU20"/>
  <sheetViews>
    <sheetView zoomScaleNormal="100" workbookViewId="0"/>
  </sheetViews>
  <sheetFormatPr defaultRowHeight="15" x14ac:dyDescent="0.25"/>
  <cols>
    <col min="1" max="1" width="6.28515625" hidden="1" customWidth="1"/>
    <col min="2" max="2" width="10.5703125" hidden="1" customWidth="1"/>
    <col min="3" max="3" width="16.5703125" hidden="1" customWidth="1"/>
    <col min="4" max="4" width="20.42578125" style="1665" hidden="1" customWidth="1"/>
    <col min="5" max="5" width="15.7109375" hidden="1" customWidth="1"/>
    <col min="6" max="6" width="14" style="1101" hidden="1" customWidth="1"/>
    <col min="7" max="7" width="25.85546875" hidden="1" customWidth="1"/>
    <col min="8" max="10" width="24.5703125" hidden="1" customWidth="1"/>
    <col min="11" max="11" width="13.28515625" hidden="1" customWidth="1"/>
    <col min="12" max="12" width="9.42578125" style="270" hidden="1" customWidth="1"/>
    <col min="13" max="15" width="24.5703125" style="268" hidden="1" customWidth="1"/>
    <col min="16" max="16" width="9.28515625" style="270" hidden="1" customWidth="1"/>
    <col min="17" max="17" width="13.7109375" hidden="1" customWidth="1"/>
    <col min="18" max="18" width="20.28515625" hidden="1" customWidth="1"/>
    <col min="19" max="19" width="7.42578125" hidden="1" customWidth="1"/>
    <col min="20" max="20" width="17.7109375" hidden="1" customWidth="1"/>
    <col min="21" max="21" width="18.85546875" hidden="1" customWidth="1"/>
    <col min="22" max="22" width="14.42578125" hidden="1" customWidth="1"/>
    <col min="23" max="23" width="12.5703125" hidden="1" customWidth="1"/>
    <col min="24" max="24" width="18.140625" style="9" hidden="1" customWidth="1"/>
    <col min="25" max="25" width="8.28515625" style="9" hidden="1" customWidth="1"/>
    <col min="26" max="26" width="9.5703125" hidden="1" customWidth="1"/>
    <col min="27" max="27" width="14" hidden="1" customWidth="1"/>
    <col min="28" max="28" width="15.28515625" style="1101" hidden="1" customWidth="1"/>
    <col min="29" max="29" width="18.140625" hidden="1" customWidth="1"/>
    <col min="30" max="30" width="12.28515625" hidden="1" customWidth="1"/>
    <col min="31" max="31" width="10.28515625" style="791" hidden="1" customWidth="1"/>
    <col min="32" max="34" width="10.28515625" hidden="1" customWidth="1"/>
    <col min="35" max="35" width="9.7109375" hidden="1" customWidth="1"/>
    <col min="36" max="37" width="10.28515625" hidden="1" customWidth="1"/>
    <col min="38" max="38" width="8.28515625" style="1489" hidden="1" customWidth="1"/>
    <col min="39" max="39" width="9.28515625" hidden="1" customWidth="1"/>
    <col min="40" max="40" width="10.28515625" hidden="1" customWidth="1"/>
    <col min="41" max="41" width="10.28515625" style="1690" hidden="1" customWidth="1"/>
    <col min="42" max="42" width="12.7109375" hidden="1" customWidth="1"/>
    <col min="43" max="47" width="19.42578125" hidden="1" customWidth="1"/>
    <col min="48" max="48" width="19.42578125" style="1657" hidden="1" customWidth="1"/>
    <col min="49" max="49" width="14.42578125" hidden="1" customWidth="1"/>
    <col min="50" max="50" width="14.42578125" style="140" hidden="1" customWidth="1"/>
    <col min="51" max="51" width="18" style="140" hidden="1" customWidth="1"/>
    <col min="52" max="52" width="14.42578125" style="140" hidden="1" customWidth="1"/>
    <col min="53" max="53" width="10.28515625" style="140" hidden="1" customWidth="1"/>
    <col min="54" max="54" width="12.28515625" style="140" hidden="1" customWidth="1"/>
    <col min="55" max="55" width="15.28515625" style="140" hidden="1" customWidth="1"/>
    <col min="56" max="57" width="11.28515625" style="140" hidden="1" customWidth="1"/>
    <col min="58" max="58" width="13.42578125" style="140" hidden="1" customWidth="1"/>
    <col min="59" max="60" width="13.85546875" style="140" hidden="1" customWidth="1"/>
    <col min="61" max="66" width="13.85546875" style="157" hidden="1" customWidth="1"/>
    <col min="67" max="70" width="21.42578125" style="157" hidden="1" customWidth="1"/>
    <col min="71" max="71" width="11.7109375" style="157" hidden="1" customWidth="1"/>
    <col min="72" max="72" width="11.140625" style="157" hidden="1" customWidth="1"/>
    <col min="73" max="73" width="14.5703125" style="157" hidden="1" customWidth="1"/>
    <col min="74" max="74" width="15.5703125" style="157" hidden="1" customWidth="1"/>
    <col min="75" max="76" width="14.7109375" style="157" hidden="1" customWidth="1"/>
    <col min="77" max="80" width="18.7109375" style="157" hidden="1" customWidth="1"/>
    <col min="81" max="81" width="8.28515625" style="157" hidden="1" customWidth="1"/>
    <col min="82" max="82" width="10.28515625" style="791" hidden="1" customWidth="1"/>
    <col min="83" max="83" width="8.28515625" style="791" hidden="1" customWidth="1"/>
    <col min="84" max="84" width="19.42578125" hidden="1" customWidth="1"/>
    <col min="85" max="85" width="11" style="1480" hidden="1" customWidth="1"/>
    <col min="86" max="86" width="10.7109375" hidden="1" customWidth="1"/>
    <col min="87" max="87" width="16.85546875" style="1606" hidden="1" customWidth="1"/>
    <col min="88" max="88" width="21.85546875" style="1606" hidden="1" customWidth="1"/>
    <col min="89" max="90" width="12.28515625" style="791" hidden="1" customWidth="1"/>
    <col min="91" max="91" width="21.7109375" hidden="1" customWidth="1"/>
    <col min="92" max="92" width="14.42578125" style="1101" hidden="1" customWidth="1"/>
    <col min="93" max="93" width="14.5703125" style="1101" hidden="1" customWidth="1"/>
    <col min="94" max="94" width="14.28515625" style="1101" hidden="1" customWidth="1"/>
    <col min="95" max="96" width="14.5703125" style="1101" hidden="1" customWidth="1"/>
    <col min="97" max="97" width="14.140625" style="1101" hidden="1" customWidth="1"/>
    <col min="98" max="98" width="14.42578125" style="1101" hidden="1" customWidth="1"/>
    <col min="99" max="99" width="14.5703125" style="1101" hidden="1" customWidth="1"/>
    <col min="100" max="101" width="14" style="1101" hidden="1" customWidth="1"/>
    <col min="102" max="102" width="14.42578125" style="1101" hidden="1" customWidth="1"/>
    <col min="103" max="103" width="14" style="1101" hidden="1" customWidth="1"/>
    <col min="104" max="104" width="15.140625" style="1101" hidden="1" customWidth="1"/>
    <col min="105" max="105" width="12.28515625" hidden="1" customWidth="1"/>
    <col min="106" max="106" width="15.42578125" style="1667" hidden="1" customWidth="1"/>
    <col min="107" max="107" width="22.42578125" style="1352" hidden="1" customWidth="1"/>
    <col min="108" max="108" width="14.42578125" style="417" hidden="1" customWidth="1"/>
    <col min="109" max="109" width="12.28515625" style="417" hidden="1" customWidth="1"/>
    <col min="110" max="110" width="14.42578125" style="417" hidden="1" customWidth="1"/>
    <col min="111" max="112" width="12.28515625" style="394" hidden="1" customWidth="1"/>
    <col min="113" max="113" width="10.28515625" style="383" hidden="1" customWidth="1"/>
    <col min="114" max="114" width="10.28515625" style="381" hidden="1" customWidth="1"/>
    <col min="115" max="116" width="12.28515625" style="1090" hidden="1" customWidth="1"/>
    <col min="117" max="117" width="10.28515625" style="816" hidden="1" customWidth="1"/>
    <col min="118" max="118" width="12.28515625" style="372" hidden="1" customWidth="1"/>
    <col min="119" max="120" width="14.42578125" style="372" hidden="1" customWidth="1"/>
    <col min="121" max="122" width="12.28515625" style="372" hidden="1" customWidth="1"/>
    <col min="123" max="123" width="10.28515625" style="371" hidden="1" customWidth="1"/>
    <col min="124" max="124" width="9.28515625" style="816" hidden="1" customWidth="1"/>
    <col min="125" max="125" width="17" style="816" hidden="1" customWidth="1"/>
    <col min="126" max="126" width="8.28515625" hidden="1" customWidth="1"/>
    <col min="127" max="127" width="10.28515625" hidden="1" customWidth="1"/>
    <col min="128" max="128" width="16.42578125" hidden="1" customWidth="1"/>
    <col min="129" max="129" width="10.28515625" hidden="1" customWidth="1"/>
    <col min="130" max="130" width="10.5703125" hidden="1" customWidth="1"/>
    <col min="131" max="131" width="11.28515625" hidden="1" customWidth="1"/>
    <col min="132" max="132" width="11.42578125" style="868" hidden="1" customWidth="1"/>
    <col min="133" max="133" width="10.28515625" style="868" hidden="1" customWidth="1"/>
    <col min="134" max="134" width="10.28515625" hidden="1" customWidth="1"/>
    <col min="135" max="135" width="12.28515625" hidden="1" customWidth="1"/>
    <col min="136" max="136" width="14.42578125" hidden="1" customWidth="1"/>
    <col min="137" max="137" width="10.28515625" style="752" hidden="1" customWidth="1"/>
    <col min="138" max="138" width="10.28515625" hidden="1" customWidth="1"/>
    <col min="139" max="139" width="15.7109375" hidden="1" customWidth="1"/>
    <col min="140" max="140" width="10.28515625" style="868" hidden="1" customWidth="1"/>
    <col min="141" max="141" width="10.28515625" style="868" bestFit="1" customWidth="1"/>
    <col min="142" max="142" width="11.28515625" style="1411" bestFit="1" customWidth="1"/>
    <col min="143" max="143" width="15.7109375" bestFit="1" customWidth="1"/>
    <col min="144" max="144" width="8.28515625" style="1108" bestFit="1" customWidth="1"/>
    <col min="145" max="146" width="12.28515625" bestFit="1" customWidth="1"/>
    <col min="147" max="148" width="10.28515625" bestFit="1" customWidth="1"/>
    <col min="149" max="154" width="12.28515625" bestFit="1" customWidth="1"/>
    <col min="155" max="155" width="12.42578125" bestFit="1" customWidth="1"/>
    <col min="156" max="156" width="10.28515625" bestFit="1" customWidth="1"/>
    <col min="157" max="157" width="10.28515625" style="386" customWidth="1"/>
    <col min="158" max="158" width="10.42578125" style="386" bestFit="1" customWidth="1"/>
    <col min="159" max="159" width="10.140625" style="386" bestFit="1" customWidth="1"/>
    <col min="160" max="160" width="10.42578125" style="386" bestFit="1" customWidth="1"/>
    <col min="161" max="161" width="10.7109375" style="631" bestFit="1" customWidth="1"/>
    <col min="162" max="162" width="11.28515625" bestFit="1" customWidth="1"/>
    <col min="163" max="163" width="10.28515625" bestFit="1" customWidth="1"/>
    <col min="164" max="164" width="16.140625" style="868" bestFit="1" customWidth="1"/>
    <col min="165" max="166" width="8.28515625" bestFit="1" customWidth="1"/>
    <col min="167" max="167" width="12.42578125" style="1523" bestFit="1" customWidth="1"/>
    <col min="168" max="168" width="8.28515625" style="1523" customWidth="1"/>
    <col min="169" max="169" width="11.85546875" bestFit="1" customWidth="1"/>
    <col min="170" max="173" width="13.42578125" bestFit="1" customWidth="1"/>
    <col min="174" max="182" width="15.42578125" bestFit="1" customWidth="1"/>
    <col min="183" max="185" width="16.42578125" bestFit="1" customWidth="1"/>
    <col min="186" max="196" width="13.42578125" bestFit="1" customWidth="1"/>
    <col min="197" max="199" width="14.42578125" bestFit="1" customWidth="1"/>
    <col min="200" max="200" width="11.28515625" bestFit="1" customWidth="1"/>
    <col min="201" max="201" width="12.28515625" style="1101" bestFit="1" customWidth="1"/>
    <col min="202" max="202" width="12.28515625" bestFit="1" customWidth="1"/>
    <col min="203" max="205" width="14.42578125" bestFit="1" customWidth="1"/>
    <col min="206" max="206" width="12.28515625" bestFit="1" customWidth="1"/>
    <col min="207" max="217" width="13.42578125" bestFit="1" customWidth="1"/>
    <col min="218" max="218" width="13.42578125" style="1344" customWidth="1"/>
    <col min="219" max="219" width="13.42578125" bestFit="1" customWidth="1"/>
    <col min="220" max="220" width="11.28515625" bestFit="1" customWidth="1"/>
    <col min="221" max="222" width="13.42578125" bestFit="1" customWidth="1"/>
    <col min="223" max="225" width="15.42578125" bestFit="1" customWidth="1"/>
    <col min="226" max="229" width="13.42578125" bestFit="1" customWidth="1"/>
  </cols>
  <sheetData>
    <row r="2" spans="1:229" x14ac:dyDescent="0.25">
      <c r="A2" t="s">
        <v>90</v>
      </c>
      <c r="B2" t="s">
        <v>190</v>
      </c>
      <c r="AD2" t="s">
        <v>283</v>
      </c>
      <c r="AP2" t="s">
        <v>2985</v>
      </c>
      <c r="BV2"/>
      <c r="CF2" t="s">
        <v>2989</v>
      </c>
      <c r="DR2" s="377"/>
      <c r="DU2" t="s">
        <v>3544</v>
      </c>
      <c r="EO2" t="s">
        <v>3655</v>
      </c>
      <c r="FK2" s="1523" t="s">
        <v>5631</v>
      </c>
      <c r="FM2" s="970" t="s">
        <v>4814</v>
      </c>
    </row>
    <row r="3" spans="1:229" x14ac:dyDescent="0.25">
      <c r="AA3" s="9"/>
      <c r="BV3"/>
      <c r="DR3" s="377"/>
      <c r="GT3" s="1101"/>
    </row>
    <row r="4" spans="1:229" x14ac:dyDescent="0.25">
      <c r="A4" t="s">
        <v>232</v>
      </c>
      <c r="B4" s="1" t="s">
        <v>262</v>
      </c>
      <c r="C4" s="1" t="s">
        <v>5608</v>
      </c>
      <c r="D4" s="1" t="s">
        <v>5774</v>
      </c>
      <c r="E4" t="str">
        <f>'Overview (Design)'!E18</f>
        <v>ddSingleOrMulti</v>
      </c>
      <c r="F4" s="1101" t="str">
        <f>'Overview (Design)'!E20</f>
        <v>ddCommercial</v>
      </c>
      <c r="G4" t="str">
        <f>'Overview (Design)'!E32</f>
        <v>ddFoundation</v>
      </c>
      <c r="H4" t="str">
        <f>'Overview (Design)'!E34</f>
        <v>ddHeat1</v>
      </c>
      <c r="I4" t="str">
        <f>'Overview (Design)'!E35</f>
        <v>ddHeat2</v>
      </c>
      <c r="J4" t="str">
        <f>'Overview (Design)'!E36</f>
        <v>ddHeat3</v>
      </c>
      <c r="K4" t="str">
        <f>'Overview (Design)'!E37</f>
        <v>ddFuel</v>
      </c>
      <c r="L4" s="270" t="str">
        <f>'Overview (Design)'!E38</f>
        <v>ddHDucts</v>
      </c>
      <c r="M4" s="268" t="str">
        <f>'Overview (Design)'!E39</f>
        <v>ddCool1</v>
      </c>
      <c r="N4" s="268" t="str">
        <f>'Overview (Design)'!E40</f>
        <v>ddCool2</v>
      </c>
      <c r="O4" s="268" t="str">
        <f>'Overview (Design)'!E41</f>
        <v>ddCool3</v>
      </c>
      <c r="P4" s="270" t="str">
        <f>'Overview (Design)'!E42</f>
        <v>ddCDucts</v>
      </c>
      <c r="Q4" t="str">
        <f>'Overview (Design)'!E48</f>
        <v>ddRenewable</v>
      </c>
      <c r="R4" t="str">
        <f>'Overview (Design)'!E49</f>
        <v>ddTEInsulation</v>
      </c>
      <c r="S4" t="str">
        <f>'Overview (Design)'!E50</f>
        <v>ddAttic</v>
      </c>
      <c r="T4" t="str">
        <f>'Overview (Design)'!E51</f>
        <v>ddAttachedGarage</v>
      </c>
      <c r="U4" t="str">
        <f>'Overview (Design)'!E52</f>
        <v>ddRecessedLighting</v>
      </c>
      <c r="V4" t="str">
        <f>'Overview (Design)'!E55</f>
        <v>ddPassiveSolar</v>
      </c>
      <c r="W4" t="str">
        <f>'Overview (Design)'!E56</f>
        <v>ddMassWalls</v>
      </c>
      <c r="X4" s="9" t="str">
        <f>'Overview (Design)'!E57</f>
        <v>ddRadiantHydronic</v>
      </c>
      <c r="Y4" s="9" t="str">
        <f>'Overview (Design)'!E58</f>
        <v>ddTLWH</v>
      </c>
      <c r="Z4" t="str">
        <f>'Overview (Design)'!E59</f>
        <v>ddCToilet</v>
      </c>
      <c r="AA4" t="str">
        <f>'Overview (Design)'!E61</f>
        <v>ddEnergyCode</v>
      </c>
      <c r="AB4" s="1" t="s">
        <v>189</v>
      </c>
      <c r="AC4" s="1" t="s">
        <v>4848</v>
      </c>
      <c r="AD4" s="791" t="str">
        <f>'Ch5'!U38</f>
        <v>dd501_2_4_1</v>
      </c>
      <c r="AE4" t="str">
        <f>'Ch5'!U46</f>
        <v>dd501_2_6</v>
      </c>
      <c r="AF4" t="str">
        <f>'Ch5'!U94</f>
        <v>dd503_2_3</v>
      </c>
      <c r="AG4" s="76" t="str">
        <f>'Ch5'!U129</f>
        <v>dd503_4_3</v>
      </c>
      <c r="AH4" s="76" t="str">
        <f>'Ch5'!U136</f>
        <v>dd503_4_4</v>
      </c>
      <c r="AI4" s="76" t="str">
        <f>'Ch5'!U148</f>
        <v>dd503_5</v>
      </c>
      <c r="AJ4" s="76" t="str">
        <f>'Ch5'!U150</f>
        <v>dd503_5_1</v>
      </c>
      <c r="AK4" s="76" t="str">
        <f>'Ch5'!U166</f>
        <v>dd503_5_6</v>
      </c>
      <c r="AL4" s="1489" t="str">
        <f>'Ch5'!U195</f>
        <v>dd503_7</v>
      </c>
      <c r="AM4" s="76" t="str">
        <f>'Ch5'!U202</f>
        <v>dd503_8</v>
      </c>
      <c r="AN4" s="76" t="str">
        <f>'Ch5'!U258</f>
        <v>dd505_1_3</v>
      </c>
      <c r="AO4" s="1690" t="str">
        <f>'Ch5'!U276</f>
        <v>dd505_3</v>
      </c>
      <c r="AP4" t="str">
        <f>'Ch6'!U58</f>
        <v>dd601_6</v>
      </c>
      <c r="AQ4" s="136" t="str">
        <f>'Ch6'!U65</f>
        <v>dd601_7_a</v>
      </c>
      <c r="AR4" s="136" t="str">
        <f>'Ch6'!U66</f>
        <v>dd601_7_b</v>
      </c>
      <c r="AS4" s="136" t="str">
        <f>'Ch6'!U67</f>
        <v>dd601_7_c</v>
      </c>
      <c r="AT4" s="136" t="str">
        <f>'Ch6'!U71</f>
        <v>dd601_7_d</v>
      </c>
      <c r="AU4" s="136" t="str">
        <f>'Ch6'!U73</f>
        <v>dd601_7_e</v>
      </c>
      <c r="AV4" s="1657" t="str">
        <f>'Ch6'!U93</f>
        <v>dd602_1_1_1</v>
      </c>
      <c r="AW4" s="140" t="str">
        <f>'Ch6'!U113</f>
        <v>dd602_1_4_1_2</v>
      </c>
      <c r="AX4" s="140" t="str">
        <f>'Ch6'!U119</f>
        <v>dd602_1_4_2_2</v>
      </c>
      <c r="AY4" s="140" t="str">
        <f>'Ch6'!U122</f>
        <v>dd602_1_5</v>
      </c>
      <c r="AZ4" s="140" t="str">
        <f>'Ch6'!U146</f>
        <v>dd602_1_7_1_2</v>
      </c>
      <c r="BA4" s="140" t="str">
        <f>'Ch6'!U157</f>
        <v>dd602_1_8</v>
      </c>
      <c r="BB4" s="140" t="str">
        <f>'Ch6'!U183</f>
        <v>dd602_1_9_5</v>
      </c>
      <c r="BC4" s="140" t="str">
        <f>'Ch6'!U193</f>
        <v>dd602_1_10</v>
      </c>
      <c r="BD4" s="140" t="str">
        <f>'Ch6'!U205</f>
        <v>dd602_1_11</v>
      </c>
      <c r="BE4" s="140" t="str">
        <f>'Ch6'!U210</f>
        <v>dd602_1_13</v>
      </c>
      <c r="BF4" s="140" t="str">
        <f>'Ch6'!U216</f>
        <v>dd602_1_14_1</v>
      </c>
      <c r="BG4" s="157" t="str">
        <f>'Ch6'!U319</f>
        <v>dd606_1_a</v>
      </c>
      <c r="BH4" s="157" t="str">
        <f>'Ch6'!U320</f>
        <v>dd606_1_b</v>
      </c>
      <c r="BI4" s="157" t="str">
        <f>'Ch6'!U321</f>
        <v>dd606_1_c</v>
      </c>
      <c r="BJ4" s="157" t="str">
        <f>'Ch6'!U322</f>
        <v>dd606_1_d</v>
      </c>
      <c r="BK4" s="157" t="str">
        <f>'Ch6'!U323</f>
        <v>dd606_1_e</v>
      </c>
      <c r="BL4" s="157" t="str">
        <f>'Ch6'!U324</f>
        <v>dd606_1_f</v>
      </c>
      <c r="BM4" s="157" t="str">
        <f>'Ch6'!U325</f>
        <v>dd606_1_g</v>
      </c>
      <c r="BN4" s="157" t="str">
        <f>'Ch6'!U326</f>
        <v>dd606_1_h</v>
      </c>
      <c r="BO4" s="157" t="str">
        <f>'Ch6'!U350</f>
        <v>dd606_2_1a</v>
      </c>
      <c r="BP4" s="157" t="str">
        <f>'Ch6'!U351</f>
        <v>dd606_2_1b</v>
      </c>
      <c r="BQ4" s="157" t="str">
        <f>'Ch6'!U353</f>
        <v>dd606_2_2a</v>
      </c>
      <c r="BR4" s="157" t="str">
        <f>'Ch6'!U354</f>
        <v>dd606_2_2b</v>
      </c>
      <c r="BS4" s="157" t="str">
        <f>'Ch6'!U356</f>
        <v>dd606_3</v>
      </c>
      <c r="BT4" s="157" t="str">
        <f>'Ch6'!U379</f>
        <v>dd608_1</v>
      </c>
      <c r="BU4" s="157" t="str">
        <f>'Ch6'!U390</f>
        <v>dd609_1_1</v>
      </c>
      <c r="BV4" s="157" t="str">
        <f>'Ch6'!U392</f>
        <v>dd609_1_2</v>
      </c>
      <c r="BW4" s="157" t="str">
        <f>'Ch6'!U434</f>
        <v>dd610_1_2_1a</v>
      </c>
      <c r="BX4" s="157" t="str">
        <f>'Ch6'!U441</f>
        <v>dd610_1_2_1b</v>
      </c>
      <c r="BY4" s="157" t="str">
        <f>'Ch6'!U447</f>
        <v>dd610_1_2_2a</v>
      </c>
      <c r="BZ4" s="157" t="str">
        <f>'Ch6'!U454</f>
        <v>dd610_1_2_2b</v>
      </c>
      <c r="CA4" s="157" t="str">
        <f>'Ch6'!U460</f>
        <v>dd610_1_2_2c</v>
      </c>
      <c r="CB4" s="157" t="str">
        <f>'Ch6'!U466</f>
        <v>dd610_1_2_2_f</v>
      </c>
      <c r="CC4" s="159" t="str">
        <f>'Ch6'!U495</f>
        <v>dd612_1</v>
      </c>
      <c r="CD4" s="791" t="str">
        <f>'Ch6'!U542</f>
        <v>dd612_3_9</v>
      </c>
      <c r="CE4" s="791" t="str">
        <f>'Ch6'!U546</f>
        <v>dd613_1</v>
      </c>
      <c r="CF4" t="str">
        <f>'Ch7'!U12</f>
        <v>dd701_1</v>
      </c>
      <c r="CG4" s="1480" t="str">
        <f>'Ch7'!U14</f>
        <v>dd701_1_</v>
      </c>
      <c r="CH4" t="str">
        <f>'Ch7'!U28</f>
        <v>dd701_1_4</v>
      </c>
      <c r="CI4" s="1606" t="s">
        <v>5668</v>
      </c>
      <c r="CJ4" s="1606" t="s">
        <v>5669</v>
      </c>
      <c r="CK4" s="791" t="str">
        <f>'Ch7'!U44</f>
        <v>dd701_1_6_2</v>
      </c>
      <c r="CL4" s="791" t="str">
        <f>'Ch7'!U47</f>
        <v>dd701_1_6_4</v>
      </c>
      <c r="CM4" s="268" t="str">
        <f>'Ch7'!U71</f>
        <v>dd701_4_1_2</v>
      </c>
      <c r="CN4" s="1101" t="str">
        <f>'Ch7'!U88</f>
        <v>dd701_4_3_1_a</v>
      </c>
      <c r="CO4" s="1101" t="str">
        <f>'Ch7'!U89</f>
        <v>dd701_4_3_1_b</v>
      </c>
      <c r="CP4" s="1101" t="str">
        <f>'Ch7'!U90</f>
        <v>dd701_4_3_1_c</v>
      </c>
      <c r="CQ4" s="1101" t="str">
        <f>'Ch7'!U91</f>
        <v>dd701_4_3_1_d</v>
      </c>
      <c r="CR4" s="1101" t="str">
        <f>'Ch7'!U92</f>
        <v>dd701_4_3_1_e</v>
      </c>
      <c r="CS4" s="1101" t="str">
        <f>'Ch7'!U93</f>
        <v>dd701_4_3_1_f</v>
      </c>
      <c r="CT4" s="1101" t="str">
        <f>'Ch7'!U94</f>
        <v>dd701_4_3_1_g</v>
      </c>
      <c r="CU4" s="1101" t="str">
        <f>'Ch7'!U95</f>
        <v>dd701_4_3_1_h</v>
      </c>
      <c r="CV4" s="1101" t="str">
        <f>'Ch7'!U96</f>
        <v>dd701_4_3_1_i</v>
      </c>
      <c r="CW4" s="1101" t="str">
        <f>'Ch7'!U97</f>
        <v>dd701_4_3_1_j</v>
      </c>
      <c r="CX4" s="1101" t="str">
        <f>'Ch7'!U98</f>
        <v>dd701_4_3_1_k</v>
      </c>
      <c r="CY4" s="1101" t="str">
        <f>'Ch7'!U99</f>
        <v>dd701_4_3_1_l</v>
      </c>
      <c r="CZ4" s="1101" t="str">
        <f>'Ch7'!U100</f>
        <v>dd701_4_3_1_m</v>
      </c>
      <c r="DA4" s="330" t="str">
        <f>'Ch7'!U160</f>
        <v>dd701_4_3_5</v>
      </c>
      <c r="DB4" s="1667" t="str">
        <f>'Ch7'!U214</f>
        <v>dd703_1_3</v>
      </c>
      <c r="DC4" s="1352" t="str">
        <f>'Ch7'!U236</f>
        <v>dd703_2_5_1</v>
      </c>
      <c r="DD4" s="417" t="str">
        <f>'Ch7'!U244</f>
        <v>dd703_2_5_1_1</v>
      </c>
      <c r="DE4" s="417" t="str">
        <f>'Ch7'!U252</f>
        <v>dd703_2_5_2</v>
      </c>
      <c r="DF4" s="417" t="str">
        <f>'Ch7'!U260</f>
        <v>dd703_2_5_2_1</v>
      </c>
      <c r="DG4" s="394" t="str">
        <f>'Ch7'!U271</f>
        <v>dd703_3_0_1</v>
      </c>
      <c r="DH4" s="394" t="str">
        <f>'Ch7'!U278</f>
        <v>dd703_3_0_2</v>
      </c>
      <c r="DI4" s="383" t="str">
        <f>'Ch7'!U364</f>
        <v>dd703_4_4</v>
      </c>
      <c r="DJ4" s="330" t="str">
        <f>'Ch7'!U375</f>
        <v>dd703_5_1</v>
      </c>
      <c r="DK4" s="1090" t="str">
        <f>'Ch7'!U381</f>
        <v>dd703_5_1_1</v>
      </c>
      <c r="DL4" s="1090" t="str">
        <f>'Ch7'!U400</f>
        <v>dd703_5_1_2</v>
      </c>
      <c r="DM4" s="816" t="str">
        <f>'Ch7'!U429</f>
        <v>dd703_5_5</v>
      </c>
      <c r="DN4" s="330" t="str">
        <f>'Ch7'!U557</f>
        <v>dd705_2_1_1</v>
      </c>
      <c r="DO4" s="372" t="str">
        <f>'Ch7'!U564</f>
        <v>dd705_2_1_3_1</v>
      </c>
      <c r="DP4" s="372" t="str">
        <f>'Ch7'!U568</f>
        <v>dd705_2_1_3_2</v>
      </c>
      <c r="DQ4" s="372" t="str">
        <f>'Ch7'!U573</f>
        <v>dd705_2_1_4</v>
      </c>
      <c r="DR4" s="377" t="str">
        <f>'Ch7'!U637</f>
        <v>dd705_6_2_3</v>
      </c>
      <c r="DS4" s="371" t="str">
        <f>'Ch7'!U679</f>
        <v>dd706_2_2</v>
      </c>
      <c r="DT4" s="816" t="str">
        <f>'Ch7'!U752</f>
        <v>dd706_13</v>
      </c>
      <c r="DU4" s="816" t="str">
        <f>'Ch8'!U13</f>
        <v>dd801_1</v>
      </c>
      <c r="DV4" t="str">
        <f>'Ch8'!U21</f>
        <v>dd802_1</v>
      </c>
      <c r="DW4" s="337" t="str">
        <f>'Ch8'!U56</f>
        <v>dd802_2_2</v>
      </c>
      <c r="DX4" s="337" t="str">
        <f>'Ch8'!U80</f>
        <v>dd802_4_1</v>
      </c>
      <c r="DY4" s="337" t="str">
        <f>'Ch8'!U92</f>
        <v>dd802_4_2</v>
      </c>
      <c r="DZ4" s="337" t="str">
        <f>'Ch8'!U97</f>
        <v>dd802_4_3</v>
      </c>
      <c r="EA4" s="868" t="str">
        <f>'Ch8'!U100</f>
        <v>dd802_5_1a</v>
      </c>
      <c r="EB4" s="868" t="str">
        <f>'Ch8'!U102</f>
        <v>dd802_5_1b</v>
      </c>
      <c r="EC4" s="868" t="str">
        <f>'Ch8'!U112</f>
        <v>dd802_5_2</v>
      </c>
      <c r="ED4" s="341" t="str">
        <f>'Ch8'!U117</f>
        <v>dd802_5_3</v>
      </c>
      <c r="EE4" s="353" t="str">
        <f>'Ch8'!U124</f>
        <v>dd802_5_4_2</v>
      </c>
      <c r="EF4" s="353" t="str">
        <f>'Ch8'!U134</f>
        <v>dd802_5_4_4_a</v>
      </c>
      <c r="EG4" s="752" t="str">
        <f>'Ch8'!U143</f>
        <v>dd802_6_1</v>
      </c>
      <c r="EH4" s="353" t="str">
        <f>'Ch8'!U175</f>
        <v>dd802_7_1</v>
      </c>
      <c r="EI4" s="353" t="str">
        <f>'Ch8'!U189</f>
        <v>dd802_7_2_1</v>
      </c>
      <c r="EJ4" s="868" t="str">
        <f>'Ch8'!U195</f>
        <v>dd802_9_1</v>
      </c>
      <c r="EK4" s="868" t="str">
        <f>'Ch8'!U203</f>
        <v>dd802_9_2</v>
      </c>
      <c r="EL4" s="1411" t="str">
        <f>'Ch8'!U208</f>
        <v>dd802_10_1</v>
      </c>
      <c r="EM4" s="353" t="str">
        <f>'Ch8'!U217</f>
        <v>dd803_1_1</v>
      </c>
      <c r="EN4" s="1108" t="str">
        <f>'Ch8'!U223</f>
        <v>dd803_3</v>
      </c>
      <c r="EO4" t="str">
        <f>'Ch9'!U23</f>
        <v>dd901_1_3_1</v>
      </c>
      <c r="EP4" s="386" t="str">
        <f>'Ch9'!U26</f>
        <v>dd901_1_3_2</v>
      </c>
      <c r="EQ4" s="386" t="str">
        <f>'Ch9'!U29</f>
        <v>dd901_1_4</v>
      </c>
      <c r="ER4" s="386" t="str">
        <f>'Ch9'!U37</f>
        <v>dd901_1_6</v>
      </c>
      <c r="ES4" s="386" t="str">
        <f>'Ch9'!U43</f>
        <v>dd901_2_1_1_m</v>
      </c>
      <c r="ET4" s="386" t="str">
        <f>'Ch9'!U46</f>
        <v>dd901_2_1_2_m</v>
      </c>
      <c r="EU4" s="386" t="str">
        <f>'Ch9'!U48</f>
        <v>dd901_2_1_3_m</v>
      </c>
      <c r="EV4" s="386" t="str">
        <f>'Ch9'!U51</f>
        <v>dd901_2_1_4_m</v>
      </c>
      <c r="EW4" s="386" t="str">
        <f>'Ch9'!U53</f>
        <v>dd901_2_1_5_m</v>
      </c>
      <c r="EX4" s="386" t="str">
        <f>'Ch9'!U58</f>
        <v>dd901_3_1_a_m</v>
      </c>
      <c r="EY4" s="386" t="str">
        <f>'Ch9'!U60</f>
        <v>dd901_3_1_b_m</v>
      </c>
      <c r="EZ4" s="386" t="str">
        <f>'Ch9'!U72</f>
        <v>dd901_4_1</v>
      </c>
      <c r="FA4" s="386" t="str">
        <f>'Ch9'!U77</f>
        <v>dd901_4_a</v>
      </c>
      <c r="FB4" s="386" t="str">
        <f>'Ch9'!U78</f>
        <v>dd901_4_b</v>
      </c>
      <c r="FC4" s="386" t="str">
        <f>'Ch9'!U79</f>
        <v>dd901_4_c</v>
      </c>
      <c r="FD4" s="386" t="str">
        <f>'Ch9'!U80</f>
        <v>dd901_4_d</v>
      </c>
      <c r="FE4" s="631" t="str">
        <f>'Ch9'!U168</f>
        <v>dd901_13</v>
      </c>
      <c r="FF4" s="386" t="str">
        <f>'Ch9'!U188</f>
        <v>dd902_1_2</v>
      </c>
      <c r="FG4" s="386" t="str">
        <f>'Ch9'!U219</f>
        <v>dd902_2_1</v>
      </c>
      <c r="FH4" s="868" t="str">
        <f>'Ch9'!U238</f>
        <v>dd902_3</v>
      </c>
      <c r="FI4" s="386" t="str">
        <f>'Ch9'!U328</f>
        <v>dd903_1</v>
      </c>
      <c r="FJ4" s="386" t="str">
        <f>'Ch9'!U332</f>
        <v>dd903_2</v>
      </c>
      <c r="FK4" s="1523" t="str">
        <f>'WaterSense (Design)'!U14</f>
        <v>dd801_1</v>
      </c>
      <c r="FM4" t="e">
        <f>#REF!</f>
        <v>#REF!</v>
      </c>
      <c r="FN4" s="970" t="e">
        <f>#REF!</f>
        <v>#REF!</v>
      </c>
      <c r="FO4" s="970" t="e">
        <f>#REF!</f>
        <v>#REF!</v>
      </c>
      <c r="FP4" s="970" t="e">
        <f>#REF!</f>
        <v>#REF!</v>
      </c>
      <c r="FQ4" s="970" t="e">
        <f>#REF!</f>
        <v>#REF!</v>
      </c>
      <c r="FR4" s="970" t="e">
        <f>#REF!</f>
        <v>#REF!</v>
      </c>
      <c r="FS4" s="970" t="e">
        <f>#REF!</f>
        <v>#REF!</v>
      </c>
      <c r="FT4" s="970" t="e">
        <f>#REF!</f>
        <v>#REF!</v>
      </c>
      <c r="FU4" s="970" t="e">
        <f>#REF!</f>
        <v>#REF!</v>
      </c>
      <c r="FV4" s="970" t="e">
        <f>#REF!</f>
        <v>#REF!</v>
      </c>
      <c r="FW4" s="970" t="e">
        <f>#REF!</f>
        <v>#REF!</v>
      </c>
      <c r="FX4" s="970" t="e">
        <f>#REF!</f>
        <v>#REF!</v>
      </c>
      <c r="FY4" s="970" t="e">
        <f>#REF!</f>
        <v>#REF!</v>
      </c>
      <c r="FZ4" s="970" t="e">
        <f>#REF!</f>
        <v>#REF!</v>
      </c>
      <c r="GA4" s="970" t="e">
        <f>#REF!</f>
        <v>#REF!</v>
      </c>
      <c r="GB4" s="970" t="e">
        <f>#REF!</f>
        <v>#REF!</v>
      </c>
      <c r="GC4" s="970" t="e">
        <f>#REF!</f>
        <v>#REF!</v>
      </c>
      <c r="GD4" s="970" t="e">
        <f>#REF!</f>
        <v>#REF!</v>
      </c>
      <c r="GE4" s="970" t="e">
        <f>#REF!</f>
        <v>#REF!</v>
      </c>
      <c r="GF4" s="970" t="e">
        <f>#REF!</f>
        <v>#REF!</v>
      </c>
      <c r="GG4" s="970" t="e">
        <f>#REF!</f>
        <v>#REF!</v>
      </c>
      <c r="GH4" s="970" t="e">
        <f>#REF!</f>
        <v>#REF!</v>
      </c>
      <c r="GI4" s="970" t="e">
        <f>#REF!</f>
        <v>#REF!</v>
      </c>
      <c r="GJ4" s="970" t="e">
        <f>#REF!</f>
        <v>#REF!</v>
      </c>
      <c r="GK4" s="970" t="e">
        <f>#REF!</f>
        <v>#REF!</v>
      </c>
      <c r="GL4" s="970" t="e">
        <f>#REF!</f>
        <v>#REF!</v>
      </c>
      <c r="GM4" s="970" t="e">
        <f>#REF!</f>
        <v>#REF!</v>
      </c>
      <c r="GN4" s="970" t="e">
        <f>#REF!</f>
        <v>#REF!</v>
      </c>
      <c r="GO4" s="970" t="e">
        <f>#REF!</f>
        <v>#REF!</v>
      </c>
      <c r="GP4" s="970" t="e">
        <f>#REF!</f>
        <v>#REF!</v>
      </c>
      <c r="GQ4" s="970" t="e">
        <f>#REF!</f>
        <v>#REF!</v>
      </c>
      <c r="GR4" s="970" t="e">
        <f>#REF!</f>
        <v>#REF!</v>
      </c>
      <c r="GS4" s="1101" t="e">
        <f>#REF!</f>
        <v>#REF!</v>
      </c>
      <c r="GT4" s="970" t="e">
        <f>#REF!</f>
        <v>#REF!</v>
      </c>
      <c r="GU4" s="970" t="e">
        <f>#REF!</f>
        <v>#REF!</v>
      </c>
      <c r="GV4" s="970" t="e">
        <f>#REF!</f>
        <v>#REF!</v>
      </c>
      <c r="GW4" s="970" t="e">
        <f>#REF!</f>
        <v>#REF!</v>
      </c>
      <c r="GX4" s="970" t="e">
        <f>#REF!</f>
        <v>#REF!</v>
      </c>
      <c r="GY4" s="970" t="e">
        <f>#REF!</f>
        <v>#REF!</v>
      </c>
      <c r="GZ4" s="970" t="e">
        <f>#REF!</f>
        <v>#REF!</v>
      </c>
      <c r="HA4" s="970" t="e">
        <f>#REF!</f>
        <v>#REF!</v>
      </c>
      <c r="HB4" s="970" t="e">
        <f>#REF!</f>
        <v>#REF!</v>
      </c>
      <c r="HC4" s="970" t="e">
        <f>#REF!</f>
        <v>#REF!</v>
      </c>
      <c r="HD4" s="970" t="e">
        <f>#REF!</f>
        <v>#REF!</v>
      </c>
      <c r="HE4" s="970" t="e">
        <f>#REF!</f>
        <v>#REF!</v>
      </c>
      <c r="HF4" s="970" t="e">
        <f>#REF!</f>
        <v>#REF!</v>
      </c>
      <c r="HG4" s="970" t="e">
        <f>#REF!</f>
        <v>#REF!</v>
      </c>
      <c r="HH4" s="970" t="e">
        <f>#REF!</f>
        <v>#REF!</v>
      </c>
      <c r="HI4" s="970" t="e">
        <f>#REF!</f>
        <v>#REF!</v>
      </c>
      <c r="HJ4" s="1344" t="e">
        <f>#REF!</f>
        <v>#REF!</v>
      </c>
      <c r="HK4" s="970" t="e">
        <f>#REF!</f>
        <v>#REF!</v>
      </c>
      <c r="HL4" s="970" t="e">
        <f>#REF!</f>
        <v>#REF!</v>
      </c>
      <c r="HM4" s="970" t="e">
        <f>#REF!</f>
        <v>#REF!</v>
      </c>
      <c r="HN4" s="970" t="e">
        <f>#REF!</f>
        <v>#REF!</v>
      </c>
      <c r="HO4" s="970" t="e">
        <f>#REF!</f>
        <v>#REF!</v>
      </c>
      <c r="HP4" s="970" t="e">
        <f>#REF!</f>
        <v>#REF!</v>
      </c>
      <c r="HQ4" s="970" t="e">
        <f>#REF!</f>
        <v>#REF!</v>
      </c>
      <c r="HR4" s="970" t="e">
        <f>#REF!</f>
        <v>#REF!</v>
      </c>
      <c r="HS4" s="970" t="e">
        <f>#REF!</f>
        <v>#REF!</v>
      </c>
      <c r="HT4" s="970" t="e">
        <f>#REF!</f>
        <v>#REF!</v>
      </c>
      <c r="HU4" s="970" t="e">
        <f>#REF!</f>
        <v>#REF!</v>
      </c>
    </row>
    <row r="5" spans="1:229" s="1404" customFormat="1" x14ac:dyDescent="0.25">
      <c r="B5" s="1404" t="b">
        <v>1</v>
      </c>
      <c r="C5" s="1490" t="s">
        <v>3039</v>
      </c>
      <c r="D5" s="1665" t="s">
        <v>5775</v>
      </c>
      <c r="E5" s="4" t="s">
        <v>191</v>
      </c>
      <c r="F5" s="1404" t="s">
        <v>225</v>
      </c>
      <c r="G5" s="4" t="s">
        <v>192</v>
      </c>
      <c r="H5" s="4" t="s">
        <v>200</v>
      </c>
      <c r="I5" s="4" t="s">
        <v>200</v>
      </c>
      <c r="J5" s="4" t="s">
        <v>200</v>
      </c>
      <c r="K5" s="4" t="s">
        <v>205</v>
      </c>
      <c r="L5" s="4" t="s">
        <v>3410</v>
      </c>
      <c r="M5" s="4" t="s">
        <v>202</v>
      </c>
      <c r="N5" s="4" t="s">
        <v>202</v>
      </c>
      <c r="O5" s="4" t="s">
        <v>202</v>
      </c>
      <c r="P5" s="4" t="s">
        <v>3410</v>
      </c>
      <c r="Q5" s="4" t="s">
        <v>210</v>
      </c>
      <c r="R5" s="4" t="s">
        <v>215</v>
      </c>
      <c r="S5" s="4" t="s">
        <v>210</v>
      </c>
      <c r="T5" s="4" t="s">
        <v>225</v>
      </c>
      <c r="U5" s="4" t="s">
        <v>225</v>
      </c>
      <c r="V5" s="4" t="s">
        <v>225</v>
      </c>
      <c r="W5" s="4" t="s">
        <v>225</v>
      </c>
      <c r="X5" s="4" t="s">
        <v>225</v>
      </c>
      <c r="Y5" s="4" t="s">
        <v>225</v>
      </c>
      <c r="Z5" s="4" t="s">
        <v>225</v>
      </c>
      <c r="AA5" s="4" t="s">
        <v>227</v>
      </c>
      <c r="AB5" s="4" t="s">
        <v>4822</v>
      </c>
      <c r="AC5" s="4" t="s">
        <v>4822</v>
      </c>
      <c r="AD5" s="1404" t="s">
        <v>121</v>
      </c>
      <c r="AE5" s="1404" t="s">
        <v>121</v>
      </c>
      <c r="AF5" s="1404" t="s">
        <v>121</v>
      </c>
      <c r="AG5" s="1404" t="s">
        <v>121</v>
      </c>
      <c r="AH5" s="1404" t="s">
        <v>121</v>
      </c>
      <c r="AI5" s="1404" t="s">
        <v>763</v>
      </c>
      <c r="AJ5" s="1404" t="s">
        <v>121</v>
      </c>
      <c r="AK5" s="1404" t="s">
        <v>121</v>
      </c>
      <c r="AL5" s="119" t="s">
        <v>256</v>
      </c>
      <c r="AM5" s="1404" t="s">
        <v>2966</v>
      </c>
      <c r="AN5" s="1404" t="s">
        <v>121</v>
      </c>
      <c r="AO5" s="18" t="s">
        <v>256</v>
      </c>
      <c r="AP5" s="1404" t="s">
        <v>2986</v>
      </c>
      <c r="AQ5" s="1404" t="s">
        <v>3512</v>
      </c>
      <c r="AR5" s="1404" t="s">
        <v>3512</v>
      </c>
      <c r="AS5" s="1404" t="s">
        <v>3512</v>
      </c>
      <c r="AT5" s="1404" t="s">
        <v>3512</v>
      </c>
      <c r="AU5" s="1404" t="s">
        <v>3512</v>
      </c>
      <c r="AV5" s="1657" t="s">
        <v>3039</v>
      </c>
      <c r="AW5" s="1404" t="s">
        <v>3039</v>
      </c>
      <c r="AX5" s="1404" t="s">
        <v>3039</v>
      </c>
      <c r="AY5" s="1404" t="s">
        <v>3044</v>
      </c>
      <c r="AZ5" s="1404" t="s">
        <v>3039</v>
      </c>
      <c r="BA5" s="1404" t="s">
        <v>3039</v>
      </c>
      <c r="BB5" s="1404" t="s">
        <v>121</v>
      </c>
      <c r="BC5" s="1404" t="s">
        <v>3048</v>
      </c>
      <c r="BD5" s="1404" t="s">
        <v>3039</v>
      </c>
      <c r="BE5" s="1404" t="s">
        <v>3039</v>
      </c>
      <c r="BF5" s="1404" t="s">
        <v>3039</v>
      </c>
      <c r="BG5" s="1404" t="s">
        <v>3077</v>
      </c>
      <c r="BH5" s="1404" t="s">
        <v>3077</v>
      </c>
      <c r="BI5" s="1404" t="s">
        <v>3077</v>
      </c>
      <c r="BJ5" s="1404" t="s">
        <v>3077</v>
      </c>
      <c r="BK5" s="1404" t="s">
        <v>3077</v>
      </c>
      <c r="BL5" s="1404" t="s">
        <v>3077</v>
      </c>
      <c r="BM5" s="1404" t="s">
        <v>3077</v>
      </c>
      <c r="BN5" s="1404" t="s">
        <v>3077</v>
      </c>
      <c r="BO5" s="1404" t="s">
        <v>3506</v>
      </c>
      <c r="BP5" s="1404" t="s">
        <v>3506</v>
      </c>
      <c r="BQ5" s="1404" t="s">
        <v>3506</v>
      </c>
      <c r="BR5" s="1404" t="s">
        <v>3506</v>
      </c>
      <c r="BS5" s="1404" t="s">
        <v>3082</v>
      </c>
      <c r="BT5" s="1404" t="s">
        <v>3087</v>
      </c>
      <c r="BU5" s="1404" t="s">
        <v>3093</v>
      </c>
      <c r="BV5" s="1404" t="s">
        <v>3093</v>
      </c>
      <c r="BW5" s="1404" t="s">
        <v>3109</v>
      </c>
      <c r="BX5" s="1404" t="s">
        <v>3109</v>
      </c>
      <c r="BY5" s="1404" t="s">
        <v>3115</v>
      </c>
      <c r="BZ5" s="1404" t="s">
        <v>3115</v>
      </c>
      <c r="CA5" s="1404" t="s">
        <v>3115</v>
      </c>
      <c r="CB5" s="1404" t="s">
        <v>3115</v>
      </c>
      <c r="CC5" s="172" t="s">
        <v>3125</v>
      </c>
      <c r="CD5" s="119" t="s">
        <v>4204</v>
      </c>
      <c r="CE5" s="18" t="s">
        <v>4218</v>
      </c>
      <c r="CF5" s="1404" t="s">
        <v>2990</v>
      </c>
      <c r="CG5" s="1404" t="s">
        <v>5604</v>
      </c>
      <c r="CH5" s="1404" t="s">
        <v>2994</v>
      </c>
      <c r="CI5" s="1606" t="s">
        <v>5670</v>
      </c>
      <c r="CJ5" s="1606" t="s">
        <v>5672</v>
      </c>
      <c r="CK5" s="1404" t="s">
        <v>3039</v>
      </c>
      <c r="CL5" s="1404" t="s">
        <v>3039</v>
      </c>
      <c r="CM5" s="1404" t="s">
        <v>3039</v>
      </c>
      <c r="CN5" s="1404" t="s">
        <v>3039</v>
      </c>
      <c r="CO5" s="1404" t="s">
        <v>3039</v>
      </c>
      <c r="CP5" s="1404" t="s">
        <v>3039</v>
      </c>
      <c r="CQ5" s="1404" t="s">
        <v>3039</v>
      </c>
      <c r="CR5" s="1404" t="s">
        <v>3039</v>
      </c>
      <c r="CS5" s="1404" t="s">
        <v>3039</v>
      </c>
      <c r="CT5" s="1404" t="s">
        <v>3039</v>
      </c>
      <c r="CU5" s="1404" t="s">
        <v>3039</v>
      </c>
      <c r="CV5" s="1404" t="s">
        <v>3039</v>
      </c>
      <c r="CW5" s="1404" t="s">
        <v>3039</v>
      </c>
      <c r="CX5" s="1404" t="s">
        <v>3039</v>
      </c>
      <c r="CY5" s="1404" t="s">
        <v>3039</v>
      </c>
      <c r="CZ5" s="1404" t="s">
        <v>3039</v>
      </c>
      <c r="DA5" s="1404" t="s">
        <v>3039</v>
      </c>
      <c r="DB5" s="1404" t="s">
        <v>5798</v>
      </c>
      <c r="DC5" s="1404" t="s">
        <v>3039</v>
      </c>
      <c r="DD5" s="1404" t="s">
        <v>3039</v>
      </c>
      <c r="DE5" s="1404" t="s">
        <v>121</v>
      </c>
      <c r="DF5" s="1404" t="s">
        <v>3039</v>
      </c>
      <c r="DG5" s="1404" t="s">
        <v>225</v>
      </c>
      <c r="DH5" s="1404" t="s">
        <v>225</v>
      </c>
      <c r="DI5" s="119" t="s">
        <v>256</v>
      </c>
      <c r="DJ5" s="18" t="s">
        <v>205</v>
      </c>
      <c r="DK5" s="18" t="s">
        <v>121</v>
      </c>
      <c r="DL5" s="18" t="s">
        <v>121</v>
      </c>
      <c r="DM5" s="1404" t="s">
        <v>121</v>
      </c>
      <c r="DN5" s="119" t="s">
        <v>256</v>
      </c>
      <c r="DO5" s="1404" t="s">
        <v>121</v>
      </c>
      <c r="DP5" s="1404" t="s">
        <v>121</v>
      </c>
      <c r="DQ5" s="119" t="s">
        <v>256</v>
      </c>
      <c r="DR5" s="119" t="s">
        <v>256</v>
      </c>
      <c r="DS5" s="1404" t="s">
        <v>121</v>
      </c>
      <c r="DT5" s="18" t="s">
        <v>256</v>
      </c>
      <c r="DU5" s="1404" t="s">
        <v>2990</v>
      </c>
      <c r="DV5" s="18" t="s">
        <v>256</v>
      </c>
      <c r="DW5" s="18" t="s">
        <v>258</v>
      </c>
      <c r="DX5" s="1404" t="s">
        <v>3589</v>
      </c>
      <c r="DY5" s="1404" t="s">
        <v>121</v>
      </c>
      <c r="DZ5" s="1404" t="s">
        <v>3593</v>
      </c>
      <c r="EA5" s="1404" t="s">
        <v>3597</v>
      </c>
      <c r="EB5" s="18" t="s">
        <v>256</v>
      </c>
      <c r="EC5" s="18" t="s">
        <v>256</v>
      </c>
      <c r="ED5" s="1404" t="s">
        <v>3597</v>
      </c>
      <c r="EE5" s="1404" t="s">
        <v>3597</v>
      </c>
      <c r="EF5" s="1404" t="s">
        <v>3601</v>
      </c>
      <c r="EG5" s="1404" t="s">
        <v>3039</v>
      </c>
      <c r="EH5" s="18" t="s">
        <v>256</v>
      </c>
      <c r="EI5" s="1404" t="s">
        <v>3609</v>
      </c>
      <c r="EJ5" s="18" t="s">
        <v>256</v>
      </c>
      <c r="EK5" s="18" t="s">
        <v>256</v>
      </c>
      <c r="EL5" s="1411" t="s">
        <v>3039</v>
      </c>
      <c r="EM5" s="1404" t="s">
        <v>3609</v>
      </c>
      <c r="EN5" s="18" t="s">
        <v>256</v>
      </c>
      <c r="EO5" s="1404" t="s">
        <v>121</v>
      </c>
      <c r="EP5" s="1404" t="s">
        <v>121</v>
      </c>
      <c r="EQ5" s="1404" t="s">
        <v>3039</v>
      </c>
      <c r="ER5" s="18" t="s">
        <v>256</v>
      </c>
      <c r="ES5" s="1404" t="s">
        <v>3039</v>
      </c>
      <c r="ET5" s="1404" t="s">
        <v>3039</v>
      </c>
      <c r="EU5" s="1404" t="s">
        <v>3039</v>
      </c>
      <c r="EV5" s="1404" t="s">
        <v>3039</v>
      </c>
      <c r="EW5" s="1404" t="s">
        <v>3039</v>
      </c>
      <c r="EX5" s="1404" t="s">
        <v>3039</v>
      </c>
      <c r="EY5" s="1404" t="s">
        <v>3039</v>
      </c>
      <c r="EZ5" s="1404" t="s">
        <v>3039</v>
      </c>
      <c r="FA5" s="119" t="s">
        <v>258</v>
      </c>
      <c r="FB5" s="119" t="s">
        <v>258</v>
      </c>
      <c r="FC5" s="119" t="s">
        <v>258</v>
      </c>
      <c r="FD5" s="119" t="s">
        <v>258</v>
      </c>
      <c r="FE5" s="1404" t="s">
        <v>3039</v>
      </c>
      <c r="FF5" s="1404" t="s">
        <v>3039</v>
      </c>
      <c r="FG5" s="18" t="s">
        <v>256</v>
      </c>
      <c r="FH5" s="18" t="s">
        <v>4534</v>
      </c>
      <c r="FI5" s="18" t="s">
        <v>256</v>
      </c>
      <c r="FJ5" s="18" t="s">
        <v>256</v>
      </c>
      <c r="FK5" s="18" t="s">
        <v>5642</v>
      </c>
      <c r="FL5" s="18"/>
      <c r="FM5" s="1404" t="s">
        <v>4815</v>
      </c>
      <c r="FN5" s="1404" t="s">
        <v>3039</v>
      </c>
      <c r="FO5" s="1404" t="s">
        <v>3039</v>
      </c>
      <c r="FP5" s="1404" t="s">
        <v>3039</v>
      </c>
      <c r="FQ5" s="1404" t="s">
        <v>3039</v>
      </c>
      <c r="FR5" s="1404" t="s">
        <v>3039</v>
      </c>
      <c r="FS5" s="1404" t="s">
        <v>3039</v>
      </c>
      <c r="FT5" s="1404" t="s">
        <v>3039</v>
      </c>
      <c r="FU5" s="1404" t="s">
        <v>3039</v>
      </c>
      <c r="FV5" s="1404" t="s">
        <v>3039</v>
      </c>
      <c r="FW5" s="1404" t="s">
        <v>3039</v>
      </c>
      <c r="FX5" s="1404" t="s">
        <v>3039</v>
      </c>
      <c r="FY5" s="1404" t="s">
        <v>3039</v>
      </c>
      <c r="FZ5" s="1404" t="s">
        <v>3039</v>
      </c>
      <c r="GA5" s="1404" t="s">
        <v>3039</v>
      </c>
      <c r="GB5" s="1404" t="s">
        <v>3039</v>
      </c>
      <c r="GC5" s="1404" t="s">
        <v>3039</v>
      </c>
      <c r="GD5" s="1404" t="s">
        <v>3039</v>
      </c>
      <c r="GE5" s="1404" t="s">
        <v>3039</v>
      </c>
      <c r="GF5" s="1404" t="s">
        <v>3039</v>
      </c>
      <c r="GG5" s="1404" t="s">
        <v>3039</v>
      </c>
      <c r="GH5" s="1404" t="s">
        <v>3039</v>
      </c>
      <c r="GI5" s="1404" t="s">
        <v>3039</v>
      </c>
      <c r="GJ5" s="1404" t="s">
        <v>3039</v>
      </c>
      <c r="GK5" s="1404" t="s">
        <v>3039</v>
      </c>
      <c r="GL5" s="1404" t="s">
        <v>3039</v>
      </c>
      <c r="GM5" s="1404" t="s">
        <v>3039</v>
      </c>
      <c r="GN5" s="1404" t="s">
        <v>3039</v>
      </c>
      <c r="GO5" s="1404" t="s">
        <v>3039</v>
      </c>
      <c r="GP5" s="1404" t="s">
        <v>3039</v>
      </c>
      <c r="GQ5" s="1404" t="s">
        <v>3039</v>
      </c>
      <c r="GR5" s="1404" t="s">
        <v>3039</v>
      </c>
      <c r="GS5" s="1404" t="s">
        <v>3039</v>
      </c>
      <c r="GT5" s="1404" t="s">
        <v>3039</v>
      </c>
      <c r="GU5" s="1404" t="s">
        <v>3039</v>
      </c>
      <c r="GV5" s="1404" t="s">
        <v>3039</v>
      </c>
      <c r="GW5" s="1404" t="s">
        <v>3039</v>
      </c>
      <c r="GX5" s="18" t="s">
        <v>256</v>
      </c>
      <c r="GY5" s="1404" t="s">
        <v>3039</v>
      </c>
      <c r="GZ5" s="1404" t="s">
        <v>3039</v>
      </c>
      <c r="HA5" s="1404" t="s">
        <v>3039</v>
      </c>
      <c r="HB5" s="1404" t="s">
        <v>3039</v>
      </c>
      <c r="HC5" s="1404" t="s">
        <v>3039</v>
      </c>
      <c r="HD5" s="1404" t="s">
        <v>3039</v>
      </c>
      <c r="HE5" s="1404" t="s">
        <v>3039</v>
      </c>
      <c r="HF5" s="1404" t="s">
        <v>3039</v>
      </c>
      <c r="HG5" s="1404" t="s">
        <v>3039</v>
      </c>
      <c r="HH5" s="1404" t="s">
        <v>3039</v>
      </c>
      <c r="HI5" s="1404" t="s">
        <v>3039</v>
      </c>
      <c r="HJ5" s="1404" t="s">
        <v>3039</v>
      </c>
      <c r="HK5" s="18" t="s">
        <v>256</v>
      </c>
      <c r="HL5" s="1404" t="s">
        <v>3039</v>
      </c>
      <c r="HM5" s="1404" t="s">
        <v>3039</v>
      </c>
      <c r="HN5" s="1404" t="s">
        <v>3039</v>
      </c>
      <c r="HO5" s="1404" t="s">
        <v>3039</v>
      </c>
      <c r="HP5" s="1404" t="s">
        <v>3039</v>
      </c>
      <c r="HQ5" s="1404" t="s">
        <v>3039</v>
      </c>
      <c r="HR5" s="1404" t="s">
        <v>3039</v>
      </c>
      <c r="HS5" s="1404" t="s">
        <v>3039</v>
      </c>
      <c r="HT5" s="1404" t="s">
        <v>3039</v>
      </c>
      <c r="HU5" s="1404" t="s">
        <v>3039</v>
      </c>
    </row>
    <row r="6" spans="1:229" s="1404" customFormat="1" x14ac:dyDescent="0.25">
      <c r="B6" s="1404" t="b">
        <v>0</v>
      </c>
      <c r="C6" s="1490" t="s">
        <v>3040</v>
      </c>
      <c r="D6" s="1665" t="s">
        <v>5776</v>
      </c>
      <c r="E6" s="4" t="s">
        <v>362</v>
      </c>
      <c r="F6" s="1404" t="s">
        <v>226</v>
      </c>
      <c r="G6" s="4" t="s">
        <v>193</v>
      </c>
      <c r="H6" s="4" t="s">
        <v>201</v>
      </c>
      <c r="I6" s="4" t="s">
        <v>201</v>
      </c>
      <c r="J6" s="4" t="s">
        <v>201</v>
      </c>
      <c r="K6" s="4" t="s">
        <v>206</v>
      </c>
      <c r="L6" s="4" t="s">
        <v>3411</v>
      </c>
      <c r="M6" s="4" t="s">
        <v>5796</v>
      </c>
      <c r="N6" s="4" t="s">
        <v>5796</v>
      </c>
      <c r="O6" s="4" t="s">
        <v>5796</v>
      </c>
      <c r="P6" s="4" t="s">
        <v>3411</v>
      </c>
      <c r="Q6" s="4" t="s">
        <v>211</v>
      </c>
      <c r="R6" s="4" t="s">
        <v>216</v>
      </c>
      <c r="S6" s="4" t="s">
        <v>223</v>
      </c>
      <c r="T6" s="4" t="s">
        <v>226</v>
      </c>
      <c r="U6" s="4" t="s">
        <v>226</v>
      </c>
      <c r="V6" s="4" t="s">
        <v>226</v>
      </c>
      <c r="W6" s="4" t="s">
        <v>226</v>
      </c>
      <c r="X6" s="4" t="s">
        <v>226</v>
      </c>
      <c r="Y6" s="4" t="s">
        <v>226</v>
      </c>
      <c r="Z6" s="4" t="s">
        <v>226</v>
      </c>
      <c r="AA6" s="4" t="s">
        <v>228</v>
      </c>
      <c r="AB6" s="4" t="s">
        <v>230</v>
      </c>
      <c r="AC6" s="4" t="s">
        <v>230</v>
      </c>
      <c r="AD6" s="1404" t="s">
        <v>122</v>
      </c>
      <c r="AE6" s="1404" t="s">
        <v>122</v>
      </c>
      <c r="AF6" s="1404" t="s">
        <v>122</v>
      </c>
      <c r="AG6" s="1404" t="s">
        <v>122</v>
      </c>
      <c r="AH6" s="1404" t="s">
        <v>122</v>
      </c>
      <c r="AI6" s="1404" t="s">
        <v>764</v>
      </c>
      <c r="AJ6" s="1404" t="s">
        <v>122</v>
      </c>
      <c r="AK6" s="1404" t="s">
        <v>122</v>
      </c>
      <c r="AL6" s="119" t="s">
        <v>258</v>
      </c>
      <c r="AM6" s="1404" t="s">
        <v>2967</v>
      </c>
      <c r="AN6" s="1404" t="s">
        <v>122</v>
      </c>
      <c r="AO6" s="18" t="s">
        <v>258</v>
      </c>
      <c r="AP6" s="1404" t="s">
        <v>2987</v>
      </c>
      <c r="AQ6" s="1404" t="s">
        <v>3513</v>
      </c>
      <c r="AR6" s="1404" t="s">
        <v>3513</v>
      </c>
      <c r="AS6" s="1404" t="s">
        <v>3513</v>
      </c>
      <c r="AT6" s="1404" t="s">
        <v>3513</v>
      </c>
      <c r="AU6" s="1404" t="s">
        <v>3513</v>
      </c>
      <c r="AV6" s="1657" t="s">
        <v>3040</v>
      </c>
      <c r="AW6" s="1404" t="s">
        <v>3040</v>
      </c>
      <c r="AX6" s="1404" t="s">
        <v>3040</v>
      </c>
      <c r="AY6" s="1404" t="s">
        <v>3045</v>
      </c>
      <c r="AZ6" s="1404" t="s">
        <v>3040</v>
      </c>
      <c r="BA6" s="1404" t="s">
        <v>3040</v>
      </c>
      <c r="BB6" s="1404" t="s">
        <v>122</v>
      </c>
      <c r="BC6" s="1404" t="s">
        <v>3049</v>
      </c>
      <c r="BD6" s="1404" t="s">
        <v>3040</v>
      </c>
      <c r="BE6" s="1404" t="s">
        <v>3040</v>
      </c>
      <c r="BF6" s="1404" t="s">
        <v>3040</v>
      </c>
      <c r="BG6" s="1404" t="s">
        <v>3078</v>
      </c>
      <c r="BH6" s="1404" t="s">
        <v>3078</v>
      </c>
      <c r="BI6" s="1404" t="s">
        <v>3078</v>
      </c>
      <c r="BJ6" s="1404" t="s">
        <v>3078</v>
      </c>
      <c r="BK6" s="1404" t="s">
        <v>3078</v>
      </c>
      <c r="BL6" s="1404" t="s">
        <v>3078</v>
      </c>
      <c r="BM6" s="1404" t="s">
        <v>3078</v>
      </c>
      <c r="BN6" s="1404" t="s">
        <v>3078</v>
      </c>
      <c r="BO6" s="1404" t="s">
        <v>3507</v>
      </c>
      <c r="BP6" s="1404" t="s">
        <v>3507</v>
      </c>
      <c r="BQ6" s="1404" t="s">
        <v>3507</v>
      </c>
      <c r="BR6" s="1404" t="s">
        <v>3507</v>
      </c>
      <c r="BS6" s="1404" t="s">
        <v>3083</v>
      </c>
      <c r="BT6" s="1404" t="s">
        <v>3088</v>
      </c>
      <c r="BU6" s="1404" t="s">
        <v>3094</v>
      </c>
      <c r="BV6" s="1404" t="s">
        <v>3094</v>
      </c>
      <c r="BW6" s="1404" t="s">
        <v>3110</v>
      </c>
      <c r="BX6" s="1404" t="s">
        <v>3110</v>
      </c>
      <c r="BY6" s="1404" t="s">
        <v>3116</v>
      </c>
      <c r="BZ6" s="1404" t="s">
        <v>3116</v>
      </c>
      <c r="CA6" s="1404" t="s">
        <v>3116</v>
      </c>
      <c r="CB6" s="1404" t="s">
        <v>3116</v>
      </c>
      <c r="CC6" s="172" t="s">
        <v>3126</v>
      </c>
      <c r="CD6" s="119" t="s">
        <v>4205</v>
      </c>
      <c r="CE6" s="18" t="s">
        <v>4219</v>
      </c>
      <c r="CF6" s="1404" t="s">
        <v>2991</v>
      </c>
      <c r="CG6" s="1480" t="s">
        <v>5601</v>
      </c>
      <c r="CH6" s="1404" t="s">
        <v>2995</v>
      </c>
      <c r="CI6" s="1606" t="s">
        <v>5674</v>
      </c>
      <c r="CJ6" s="1606" t="s">
        <v>5675</v>
      </c>
      <c r="CK6" s="1404" t="s">
        <v>3040</v>
      </c>
      <c r="CL6" s="1404" t="s">
        <v>3040</v>
      </c>
      <c r="CM6" s="1404" t="s">
        <v>3040</v>
      </c>
      <c r="CN6" s="1404" t="s">
        <v>3040</v>
      </c>
      <c r="CO6" s="1404" t="s">
        <v>3040</v>
      </c>
      <c r="CP6" s="1404" t="s">
        <v>3040</v>
      </c>
      <c r="CQ6" s="1404" t="s">
        <v>3040</v>
      </c>
      <c r="CR6" s="1404" t="s">
        <v>3040</v>
      </c>
      <c r="CS6" s="1404" t="s">
        <v>3040</v>
      </c>
      <c r="CT6" s="1404" t="s">
        <v>3040</v>
      </c>
      <c r="CU6" s="1404" t="s">
        <v>3040</v>
      </c>
      <c r="CV6" s="1404" t="s">
        <v>3040</v>
      </c>
      <c r="CW6" s="1404" t="s">
        <v>3040</v>
      </c>
      <c r="CX6" s="1404" t="s">
        <v>3040</v>
      </c>
      <c r="CY6" s="1404" t="s">
        <v>3040</v>
      </c>
      <c r="CZ6" s="1404" t="s">
        <v>3040</v>
      </c>
      <c r="DA6" s="1404" t="s">
        <v>3040</v>
      </c>
      <c r="DB6" s="1667" t="s">
        <v>5799</v>
      </c>
      <c r="DC6" s="1404" t="s">
        <v>3040</v>
      </c>
      <c r="DD6" s="1404" t="s">
        <v>3040</v>
      </c>
      <c r="DE6" s="1404" t="s">
        <v>122</v>
      </c>
      <c r="DF6" s="1404" t="s">
        <v>3040</v>
      </c>
      <c r="DG6" s="1404" t="s">
        <v>226</v>
      </c>
      <c r="DH6" s="1404" t="s">
        <v>226</v>
      </c>
      <c r="DI6" s="119" t="s">
        <v>258</v>
      </c>
      <c r="DJ6" s="18" t="s">
        <v>4837</v>
      </c>
      <c r="DK6" s="18" t="s">
        <v>122</v>
      </c>
      <c r="DL6" s="18" t="s">
        <v>122</v>
      </c>
      <c r="DM6" s="1404" t="s">
        <v>122</v>
      </c>
      <c r="DN6" s="119" t="s">
        <v>258</v>
      </c>
      <c r="DO6" s="1404" t="s">
        <v>122</v>
      </c>
      <c r="DP6" s="1404" t="s">
        <v>122</v>
      </c>
      <c r="DQ6" s="119" t="s">
        <v>258</v>
      </c>
      <c r="DR6" s="119" t="s">
        <v>258</v>
      </c>
      <c r="DS6" s="1404" t="s">
        <v>122</v>
      </c>
      <c r="DT6" s="18" t="s">
        <v>258</v>
      </c>
      <c r="DU6" s="1404" t="s">
        <v>2991</v>
      </c>
      <c r="DV6" s="18" t="s">
        <v>258</v>
      </c>
      <c r="DW6" s="18" t="s">
        <v>260</v>
      </c>
      <c r="DX6" s="1404" t="s">
        <v>3590</v>
      </c>
      <c r="DY6" s="1404" t="s">
        <v>122</v>
      </c>
      <c r="DZ6" s="1404" t="s">
        <v>3594</v>
      </c>
      <c r="EA6" s="1404" t="s">
        <v>3598</v>
      </c>
      <c r="EB6" s="18" t="s">
        <v>258</v>
      </c>
      <c r="EC6" s="18" t="s">
        <v>258</v>
      </c>
      <c r="ED6" s="1404" t="s">
        <v>3598</v>
      </c>
      <c r="EE6" s="1404" t="s">
        <v>3598</v>
      </c>
      <c r="EF6" s="1404" t="s">
        <v>3602</v>
      </c>
      <c r="EG6" s="1404" t="s">
        <v>3040</v>
      </c>
      <c r="EH6" s="18" t="s">
        <v>3604</v>
      </c>
      <c r="EI6" s="1404" t="s">
        <v>3610</v>
      </c>
      <c r="EJ6" s="18" t="s">
        <v>258</v>
      </c>
      <c r="EK6" s="18" t="s">
        <v>258</v>
      </c>
      <c r="EL6" s="1411" t="s">
        <v>3040</v>
      </c>
      <c r="EM6" s="1404" t="s">
        <v>3610</v>
      </c>
      <c r="EN6" s="18" t="s">
        <v>258</v>
      </c>
      <c r="EO6" s="1404" t="s">
        <v>122</v>
      </c>
      <c r="EP6" s="1404" t="s">
        <v>122</v>
      </c>
      <c r="EQ6" s="1404" t="s">
        <v>3040</v>
      </c>
      <c r="ER6" s="18" t="s">
        <v>258</v>
      </c>
      <c r="ES6" s="1404" t="s">
        <v>3040</v>
      </c>
      <c r="ET6" s="1404" t="s">
        <v>3040</v>
      </c>
      <c r="EU6" s="1404" t="s">
        <v>3040</v>
      </c>
      <c r="EV6" s="1404" t="s">
        <v>3040</v>
      </c>
      <c r="EW6" s="1404" t="s">
        <v>3040</v>
      </c>
      <c r="EX6" s="1404" t="s">
        <v>3040</v>
      </c>
      <c r="EY6" s="1404" t="s">
        <v>3040</v>
      </c>
      <c r="EZ6" s="1404" t="s">
        <v>3040</v>
      </c>
      <c r="FA6" s="119" t="s">
        <v>260</v>
      </c>
      <c r="FB6" s="119" t="s">
        <v>260</v>
      </c>
      <c r="FC6" s="119" t="s">
        <v>260</v>
      </c>
      <c r="FD6" s="119" t="s">
        <v>260</v>
      </c>
      <c r="FE6" s="1404" t="s">
        <v>3040</v>
      </c>
      <c r="FF6" s="1404" t="s">
        <v>3040</v>
      </c>
      <c r="FG6" s="18" t="s">
        <v>258</v>
      </c>
      <c r="FH6" s="18" t="s">
        <v>4872</v>
      </c>
      <c r="FI6" s="18" t="s">
        <v>258</v>
      </c>
      <c r="FJ6" s="18" t="s">
        <v>258</v>
      </c>
      <c r="FK6" s="18" t="s">
        <v>5643</v>
      </c>
      <c r="FL6" s="18"/>
      <c r="FM6" s="1404" t="s">
        <v>4816</v>
      </c>
      <c r="FN6" s="1404" t="s">
        <v>3040</v>
      </c>
      <c r="FO6" s="1404" t="s">
        <v>3040</v>
      </c>
      <c r="FP6" s="1404" t="s">
        <v>3040</v>
      </c>
      <c r="FQ6" s="1404" t="s">
        <v>3040</v>
      </c>
      <c r="FR6" s="1404" t="s">
        <v>3040</v>
      </c>
      <c r="FS6" s="1404" t="s">
        <v>3040</v>
      </c>
      <c r="FT6" s="1404" t="s">
        <v>3040</v>
      </c>
      <c r="FU6" s="1404" t="s">
        <v>3040</v>
      </c>
      <c r="FV6" s="1404" t="s">
        <v>3040</v>
      </c>
      <c r="FW6" s="1404" t="s">
        <v>3040</v>
      </c>
      <c r="FX6" s="1404" t="s">
        <v>3040</v>
      </c>
      <c r="FY6" s="1404" t="s">
        <v>3040</v>
      </c>
      <c r="FZ6" s="1404" t="s">
        <v>3040</v>
      </c>
      <c r="GA6" s="1404" t="s">
        <v>3040</v>
      </c>
      <c r="GB6" s="1404" t="s">
        <v>3040</v>
      </c>
      <c r="GC6" s="1404" t="s">
        <v>3040</v>
      </c>
      <c r="GD6" s="1404" t="s">
        <v>3040</v>
      </c>
      <c r="GE6" s="1404" t="s">
        <v>3040</v>
      </c>
      <c r="GF6" s="1404" t="s">
        <v>3040</v>
      </c>
      <c r="GG6" s="1404" t="s">
        <v>3040</v>
      </c>
      <c r="GH6" s="1404" t="s">
        <v>3040</v>
      </c>
      <c r="GI6" s="1404" t="s">
        <v>3040</v>
      </c>
      <c r="GJ6" s="1404" t="s">
        <v>3040</v>
      </c>
      <c r="GK6" s="1404" t="s">
        <v>3040</v>
      </c>
      <c r="GL6" s="1404" t="s">
        <v>3040</v>
      </c>
      <c r="GM6" s="1404" t="s">
        <v>3040</v>
      </c>
      <c r="GN6" s="1404" t="s">
        <v>3040</v>
      </c>
      <c r="GO6" s="1404" t="s">
        <v>3040</v>
      </c>
      <c r="GP6" s="1404" t="s">
        <v>3040</v>
      </c>
      <c r="GQ6" s="1404" t="s">
        <v>3040</v>
      </c>
      <c r="GR6" s="1404" t="s">
        <v>3040</v>
      </c>
      <c r="GS6" s="1404" t="s">
        <v>3040</v>
      </c>
      <c r="GT6" s="1404" t="s">
        <v>3040</v>
      </c>
      <c r="GU6" s="1404" t="s">
        <v>3040</v>
      </c>
      <c r="GV6" s="1404" t="s">
        <v>3040</v>
      </c>
      <c r="GW6" s="1404" t="s">
        <v>3040</v>
      </c>
      <c r="GX6" s="18" t="s">
        <v>258</v>
      </c>
      <c r="GY6" s="1404" t="s">
        <v>3040</v>
      </c>
      <c r="GZ6" s="1404" t="s">
        <v>3040</v>
      </c>
      <c r="HA6" s="1404" t="s">
        <v>3040</v>
      </c>
      <c r="HB6" s="1404" t="s">
        <v>3040</v>
      </c>
      <c r="HC6" s="1404" t="s">
        <v>3040</v>
      </c>
      <c r="HD6" s="1404" t="s">
        <v>3040</v>
      </c>
      <c r="HE6" s="1404" t="s">
        <v>3040</v>
      </c>
      <c r="HF6" s="1404" t="s">
        <v>3040</v>
      </c>
      <c r="HG6" s="1404" t="s">
        <v>3040</v>
      </c>
      <c r="HH6" s="1404" t="s">
        <v>3040</v>
      </c>
      <c r="HI6" s="1404" t="s">
        <v>3040</v>
      </c>
      <c r="HJ6" s="1404" t="s">
        <v>3040</v>
      </c>
      <c r="HK6" s="18" t="s">
        <v>258</v>
      </c>
      <c r="HL6" s="1404" t="s">
        <v>3040</v>
      </c>
      <c r="HM6" s="1404" t="s">
        <v>3040</v>
      </c>
      <c r="HN6" s="1404" t="s">
        <v>3040</v>
      </c>
      <c r="HO6" s="1404" t="s">
        <v>3040</v>
      </c>
      <c r="HP6" s="1404" t="s">
        <v>3040</v>
      </c>
      <c r="HQ6" s="1404" t="s">
        <v>3040</v>
      </c>
      <c r="HR6" s="1404" t="s">
        <v>3040</v>
      </c>
      <c r="HS6" s="1404" t="s">
        <v>3040</v>
      </c>
      <c r="HT6" s="1404" t="s">
        <v>3040</v>
      </c>
      <c r="HU6" s="1404" t="s">
        <v>3040</v>
      </c>
    </row>
    <row r="7" spans="1:229" s="1404" customFormat="1" x14ac:dyDescent="0.25">
      <c r="C7" s="1490" t="s">
        <v>3041</v>
      </c>
      <c r="D7" s="1665" t="s">
        <v>5777</v>
      </c>
      <c r="G7" s="4" t="s">
        <v>194</v>
      </c>
      <c r="H7" s="4" t="s">
        <v>202</v>
      </c>
      <c r="I7" s="4" t="s">
        <v>202</v>
      </c>
      <c r="J7" s="4" t="s">
        <v>202</v>
      </c>
      <c r="K7" s="4" t="s">
        <v>207</v>
      </c>
      <c r="L7" s="4" t="s">
        <v>3412</v>
      </c>
      <c r="M7" s="4" t="s">
        <v>204</v>
      </c>
      <c r="N7" s="4" t="s">
        <v>204</v>
      </c>
      <c r="O7" s="4" t="s">
        <v>204</v>
      </c>
      <c r="P7" s="4" t="s">
        <v>3412</v>
      </c>
      <c r="Q7" s="4" t="s">
        <v>212</v>
      </c>
      <c r="R7" s="4" t="s">
        <v>217</v>
      </c>
      <c r="S7" s="4" t="s">
        <v>224</v>
      </c>
      <c r="AA7" s="4" t="s">
        <v>229</v>
      </c>
      <c r="AB7" s="4" t="s">
        <v>231</v>
      </c>
      <c r="AC7" s="4" t="s">
        <v>231</v>
      </c>
      <c r="AE7" s="1404" t="s">
        <v>123</v>
      </c>
      <c r="AF7" s="1404" t="s">
        <v>123</v>
      </c>
      <c r="AG7" s="1404" t="s">
        <v>123</v>
      </c>
      <c r="AH7" s="1404" t="s">
        <v>123</v>
      </c>
      <c r="AI7" s="1404" t="s">
        <v>765</v>
      </c>
      <c r="AJ7" s="1404" t="s">
        <v>123</v>
      </c>
      <c r="AK7" s="1404" t="s">
        <v>123</v>
      </c>
      <c r="AL7" s="1489"/>
      <c r="AM7" s="1404" t="s">
        <v>2968</v>
      </c>
      <c r="AN7" s="1404" t="s">
        <v>123</v>
      </c>
      <c r="AO7" s="18" t="s">
        <v>260</v>
      </c>
      <c r="AP7" s="1404" t="s">
        <v>2988</v>
      </c>
      <c r="AQ7" s="1404" t="s">
        <v>3514</v>
      </c>
      <c r="AR7" s="1404" t="s">
        <v>3514</v>
      </c>
      <c r="AS7" s="1404" t="s">
        <v>3514</v>
      </c>
      <c r="AT7" s="1404" t="s">
        <v>3514</v>
      </c>
      <c r="AU7" s="1404" t="s">
        <v>3514</v>
      </c>
      <c r="AV7" s="1657" t="s">
        <v>3041</v>
      </c>
      <c r="AW7" s="1404" t="s">
        <v>3041</v>
      </c>
      <c r="AX7" s="1404" t="s">
        <v>3041</v>
      </c>
      <c r="AY7" s="1404" t="s">
        <v>3046</v>
      </c>
      <c r="AZ7" s="1404" t="s">
        <v>3041</v>
      </c>
      <c r="BA7" s="1404" t="s">
        <v>3041</v>
      </c>
      <c r="BC7" s="1404" t="s">
        <v>3050</v>
      </c>
      <c r="BD7" s="1404" t="s">
        <v>3041</v>
      </c>
      <c r="BE7" s="1404" t="s">
        <v>3041</v>
      </c>
      <c r="BF7" s="1404" t="s">
        <v>3041</v>
      </c>
      <c r="BO7" s="1404" t="s">
        <v>3508</v>
      </c>
      <c r="BP7" s="1404" t="s">
        <v>3508</v>
      </c>
      <c r="BQ7" s="1404" t="s">
        <v>3508</v>
      </c>
      <c r="BR7" s="1404" t="s">
        <v>3508</v>
      </c>
      <c r="BS7" s="1404" t="s">
        <v>3084</v>
      </c>
      <c r="BT7" s="1404" t="s">
        <v>3089</v>
      </c>
      <c r="BU7" s="1404" t="s">
        <v>3095</v>
      </c>
      <c r="BV7" s="1404" t="s">
        <v>3095</v>
      </c>
      <c r="BW7" s="1404" t="s">
        <v>3111</v>
      </c>
      <c r="BX7" s="1404" t="s">
        <v>3111</v>
      </c>
      <c r="CC7" s="172" t="s">
        <v>3127</v>
      </c>
      <c r="CD7" s="119" t="s">
        <v>4206</v>
      </c>
      <c r="CE7" s="18" t="s">
        <v>4220</v>
      </c>
      <c r="CF7" s="1404" t="s">
        <v>4854</v>
      </c>
      <c r="CG7" s="1480" t="s">
        <v>5602</v>
      </c>
      <c r="CI7" s="1606" t="s">
        <v>4114</v>
      </c>
      <c r="CJ7" s="1606" t="s">
        <v>5673</v>
      </c>
      <c r="CK7" s="1404" t="s">
        <v>3041</v>
      </c>
      <c r="CL7" s="1404" t="s">
        <v>3041</v>
      </c>
      <c r="CM7" s="1404" t="s">
        <v>3384</v>
      </c>
      <c r="CN7" s="1404" t="s">
        <v>3041</v>
      </c>
      <c r="CO7" s="1404" t="s">
        <v>3041</v>
      </c>
      <c r="CP7" s="1404" t="s">
        <v>3041</v>
      </c>
      <c r="CQ7" s="1404" t="s">
        <v>3041</v>
      </c>
      <c r="CR7" s="1404" t="s">
        <v>3041</v>
      </c>
      <c r="CS7" s="1404" t="s">
        <v>3041</v>
      </c>
      <c r="CT7" s="1404" t="s">
        <v>3041</v>
      </c>
      <c r="CU7" s="1404" t="s">
        <v>3041</v>
      </c>
      <c r="CV7" s="1404" t="s">
        <v>3041</v>
      </c>
      <c r="CW7" s="1404" t="s">
        <v>3041</v>
      </c>
      <c r="CX7" s="1404" t="s">
        <v>3041</v>
      </c>
      <c r="CY7" s="1404" t="s">
        <v>3041</v>
      </c>
      <c r="CZ7" s="1404" t="s">
        <v>3041</v>
      </c>
      <c r="DA7" s="1404" t="s">
        <v>3041</v>
      </c>
      <c r="DB7" s="1667"/>
      <c r="DC7" s="1404" t="s">
        <v>5126</v>
      </c>
      <c r="DD7" s="1404" t="s">
        <v>3041</v>
      </c>
      <c r="DE7" s="1404" t="s">
        <v>123</v>
      </c>
      <c r="DF7" s="1404" t="s">
        <v>3041</v>
      </c>
      <c r="DI7" s="119" t="s">
        <v>260</v>
      </c>
      <c r="DJ7" s="18" t="s">
        <v>207</v>
      </c>
      <c r="DK7" s="18" t="s">
        <v>123</v>
      </c>
      <c r="DL7" s="18" t="s">
        <v>123</v>
      </c>
      <c r="DV7" s="18" t="s">
        <v>260</v>
      </c>
      <c r="DX7" s="1404" t="s">
        <v>3591</v>
      </c>
      <c r="DZ7" s="1404" t="s">
        <v>3595</v>
      </c>
      <c r="EA7" s="1404" t="s">
        <v>3599</v>
      </c>
      <c r="EB7" s="18" t="s">
        <v>260</v>
      </c>
      <c r="ED7" s="1404" t="s">
        <v>3599</v>
      </c>
      <c r="EE7" s="1404" t="s">
        <v>3599</v>
      </c>
      <c r="EF7" s="1404" t="s">
        <v>3603</v>
      </c>
      <c r="EG7" s="1404" t="s">
        <v>3041</v>
      </c>
      <c r="EH7" s="18" t="s">
        <v>3605</v>
      </c>
      <c r="EI7" s="1404" t="s">
        <v>3611</v>
      </c>
      <c r="EL7" s="1411" t="s">
        <v>3041</v>
      </c>
      <c r="EM7" s="1404" t="s">
        <v>3615</v>
      </c>
      <c r="EQ7" s="1404" t="s">
        <v>3041</v>
      </c>
      <c r="ES7" s="1404" t="s">
        <v>3041</v>
      </c>
      <c r="ET7" s="1404" t="s">
        <v>3041</v>
      </c>
      <c r="EU7" s="1404" t="s">
        <v>3041</v>
      </c>
      <c r="EV7" s="1404" t="s">
        <v>3041</v>
      </c>
      <c r="EW7" s="1404" t="s">
        <v>3041</v>
      </c>
      <c r="EX7" s="1404" t="s">
        <v>3041</v>
      </c>
      <c r="EY7" s="1404" t="s">
        <v>3041</v>
      </c>
      <c r="EZ7" s="1404" t="s">
        <v>3041</v>
      </c>
      <c r="FA7" s="119" t="s">
        <v>269</v>
      </c>
      <c r="FB7" s="119" t="s">
        <v>269</v>
      </c>
      <c r="FC7" s="119" t="s">
        <v>269</v>
      </c>
      <c r="FD7" s="119" t="s">
        <v>269</v>
      </c>
      <c r="FE7" s="1404" t="s">
        <v>3968</v>
      </c>
      <c r="FF7" s="1404" t="s">
        <v>3041</v>
      </c>
      <c r="FG7" s="119" t="s">
        <v>260</v>
      </c>
      <c r="FH7" s="18" t="s">
        <v>4503</v>
      </c>
      <c r="FK7" s="1523"/>
      <c r="FL7" s="1523"/>
      <c r="FN7" s="1404" t="s">
        <v>3041</v>
      </c>
      <c r="FO7" s="1404" t="s">
        <v>3041</v>
      </c>
      <c r="FP7" s="1404" t="s">
        <v>3041</v>
      </c>
      <c r="FQ7" s="1404" t="s">
        <v>3041</v>
      </c>
      <c r="FR7" s="1404" t="s">
        <v>3041</v>
      </c>
      <c r="FS7" s="1404" t="s">
        <v>3041</v>
      </c>
      <c r="FT7" s="1404" t="s">
        <v>3041</v>
      </c>
      <c r="FU7" s="1404" t="s">
        <v>3041</v>
      </c>
      <c r="FV7" s="1404" t="s">
        <v>3041</v>
      </c>
      <c r="FW7" s="1404" t="s">
        <v>3041</v>
      </c>
      <c r="FX7" s="1404" t="s">
        <v>3041</v>
      </c>
      <c r="FY7" s="1404" t="s">
        <v>3041</v>
      </c>
      <c r="FZ7" s="1404" t="s">
        <v>3041</v>
      </c>
      <c r="GA7" s="1404" t="s">
        <v>3041</v>
      </c>
      <c r="GB7" s="1404" t="s">
        <v>3041</v>
      </c>
      <c r="GC7" s="1404" t="s">
        <v>3041</v>
      </c>
      <c r="GD7" s="1404" t="s">
        <v>3041</v>
      </c>
      <c r="GE7" s="1404" t="s">
        <v>3041</v>
      </c>
      <c r="GF7" s="1404" t="s">
        <v>3041</v>
      </c>
      <c r="GG7" s="1404" t="s">
        <v>3041</v>
      </c>
      <c r="GH7" s="1404" t="s">
        <v>3041</v>
      </c>
      <c r="GI7" s="1404" t="s">
        <v>3041</v>
      </c>
      <c r="GJ7" s="1404" t="s">
        <v>3041</v>
      </c>
      <c r="GK7" s="1404" t="s">
        <v>3041</v>
      </c>
      <c r="GL7" s="1404" t="s">
        <v>3041</v>
      </c>
      <c r="GM7" s="1404" t="s">
        <v>3041</v>
      </c>
      <c r="GN7" s="1404" t="s">
        <v>3041</v>
      </c>
      <c r="GO7" s="1404" t="s">
        <v>3041</v>
      </c>
      <c r="GP7" s="1404" t="s">
        <v>3041</v>
      </c>
      <c r="GQ7" s="1404" t="s">
        <v>3041</v>
      </c>
      <c r="GR7" s="1404" t="s">
        <v>3041</v>
      </c>
      <c r="GS7" s="1404" t="s">
        <v>3041</v>
      </c>
      <c r="GT7" s="1404" t="s">
        <v>3041</v>
      </c>
      <c r="GU7" s="1404" t="s">
        <v>3041</v>
      </c>
      <c r="GV7" s="1404" t="s">
        <v>3041</v>
      </c>
      <c r="GW7" s="1404" t="s">
        <v>3041</v>
      </c>
      <c r="GX7" s="18" t="s">
        <v>260</v>
      </c>
      <c r="GY7" s="1404" t="s">
        <v>3041</v>
      </c>
      <c r="GZ7" s="1404" t="s">
        <v>3041</v>
      </c>
      <c r="HA7" s="1404" t="s">
        <v>3041</v>
      </c>
      <c r="HB7" s="1404" t="s">
        <v>3041</v>
      </c>
      <c r="HC7" s="1404" t="s">
        <v>3041</v>
      </c>
      <c r="HD7" s="1404" t="s">
        <v>3041</v>
      </c>
      <c r="HE7" s="1404" t="s">
        <v>3041</v>
      </c>
      <c r="HF7" s="1404" t="s">
        <v>3041</v>
      </c>
      <c r="HG7" s="1404" t="s">
        <v>3041</v>
      </c>
      <c r="HH7" s="1404" t="s">
        <v>3041</v>
      </c>
      <c r="HI7" s="1404" t="s">
        <v>3041</v>
      </c>
      <c r="HJ7" s="1404" t="s">
        <v>3041</v>
      </c>
      <c r="HK7" s="18"/>
      <c r="HL7" s="1404" t="s">
        <v>3041</v>
      </c>
      <c r="HM7" s="1404" t="s">
        <v>3041</v>
      </c>
      <c r="HN7" s="1404" t="s">
        <v>3041</v>
      </c>
      <c r="HO7" s="1404" t="s">
        <v>3041</v>
      </c>
      <c r="HP7" s="1404" t="s">
        <v>3041</v>
      </c>
      <c r="HQ7" s="1404" t="s">
        <v>3041</v>
      </c>
      <c r="HR7" s="1404" t="s">
        <v>3041</v>
      </c>
      <c r="HS7" s="1404" t="s">
        <v>3041</v>
      </c>
      <c r="HT7" s="1404" t="s">
        <v>3041</v>
      </c>
      <c r="HU7" s="1404" t="s">
        <v>3041</v>
      </c>
    </row>
    <row r="8" spans="1:229" s="1404" customFormat="1" x14ac:dyDescent="0.25">
      <c r="D8" s="1665"/>
      <c r="G8" s="4" t="s">
        <v>195</v>
      </c>
      <c r="H8" s="4" t="s">
        <v>203</v>
      </c>
      <c r="I8" s="4" t="s">
        <v>203</v>
      </c>
      <c r="J8" s="4" t="s">
        <v>203</v>
      </c>
      <c r="K8" s="4" t="s">
        <v>208</v>
      </c>
      <c r="L8" s="4"/>
      <c r="M8" s="4" t="s">
        <v>3413</v>
      </c>
      <c r="N8" s="4" t="s">
        <v>3413</v>
      </c>
      <c r="O8" s="4" t="s">
        <v>3413</v>
      </c>
      <c r="P8" s="4"/>
      <c r="Q8" s="4" t="s">
        <v>213</v>
      </c>
      <c r="R8" s="4" t="s">
        <v>218</v>
      </c>
      <c r="S8" s="4" t="s">
        <v>199</v>
      </c>
      <c r="AA8" s="4" t="s">
        <v>4109</v>
      </c>
      <c r="AB8" s="4" t="s">
        <v>4110</v>
      </c>
      <c r="AC8" s="4" t="s">
        <v>4110</v>
      </c>
      <c r="AJ8" s="1404" t="s">
        <v>401</v>
      </c>
      <c r="AK8" s="1404" t="s">
        <v>401</v>
      </c>
      <c r="AL8" s="1489"/>
      <c r="AM8" s="1404" t="s">
        <v>2969</v>
      </c>
      <c r="AO8" s="18" t="s">
        <v>269</v>
      </c>
      <c r="AV8" s="1657"/>
      <c r="AY8" s="1404" t="s">
        <v>3047</v>
      </c>
      <c r="BO8" s="1404" t="s">
        <v>4179</v>
      </c>
      <c r="BP8" s="1404" t="s">
        <v>4179</v>
      </c>
      <c r="BQ8" s="1404" t="s">
        <v>4179</v>
      </c>
      <c r="BR8" s="1404" t="s">
        <v>4179</v>
      </c>
      <c r="BU8" s="1404" t="s">
        <v>3096</v>
      </c>
      <c r="BV8" s="1404" t="s">
        <v>3096</v>
      </c>
      <c r="BW8" s="1404" t="s">
        <v>3112</v>
      </c>
      <c r="BX8" s="1404" t="s">
        <v>3112</v>
      </c>
      <c r="CC8" s="172" t="s">
        <v>3128</v>
      </c>
      <c r="CD8" s="119" t="s">
        <v>4207</v>
      </c>
      <c r="CE8" s="18" t="s">
        <v>4221</v>
      </c>
      <c r="CF8" s="1404" t="s">
        <v>2992</v>
      </c>
      <c r="CG8" s="1508" t="s">
        <v>5603</v>
      </c>
      <c r="CI8" s="1606" t="s">
        <v>5671</v>
      </c>
      <c r="CJ8" s="1606"/>
      <c r="CM8" s="1404" t="s">
        <v>3385</v>
      </c>
      <c r="DB8" s="1667"/>
      <c r="DI8" s="1404" t="s">
        <v>5239</v>
      </c>
      <c r="DK8" s="18" t="s">
        <v>401</v>
      </c>
      <c r="DL8" s="18" t="s">
        <v>401</v>
      </c>
      <c r="DV8" s="18" t="s">
        <v>269</v>
      </c>
      <c r="DX8" s="1404" t="s">
        <v>3592</v>
      </c>
      <c r="EB8" s="18" t="s">
        <v>269</v>
      </c>
      <c r="EH8" s="18" t="s">
        <v>3606</v>
      </c>
      <c r="EL8" s="1411"/>
      <c r="EM8" s="1404" t="s">
        <v>3614</v>
      </c>
      <c r="FA8" s="119" t="s">
        <v>275</v>
      </c>
      <c r="FB8" s="119" t="s">
        <v>275</v>
      </c>
      <c r="FC8" s="119" t="s">
        <v>275</v>
      </c>
      <c r="FD8" s="119" t="s">
        <v>275</v>
      </c>
      <c r="FG8" s="119" t="s">
        <v>269</v>
      </c>
      <c r="FH8" s="1404" t="s">
        <v>3041</v>
      </c>
      <c r="FK8" s="1523"/>
      <c r="FL8" s="1523"/>
    </row>
    <row r="9" spans="1:229" s="1404" customFormat="1" x14ac:dyDescent="0.25">
      <c r="D9" s="1665"/>
      <c r="G9" s="4" t="s">
        <v>196</v>
      </c>
      <c r="H9" s="4" t="s">
        <v>204</v>
      </c>
      <c r="I9" s="4" t="s">
        <v>204</v>
      </c>
      <c r="J9" s="4" t="s">
        <v>204</v>
      </c>
      <c r="K9" s="4" t="s">
        <v>209</v>
      </c>
      <c r="L9" s="4"/>
      <c r="M9" s="4" t="s">
        <v>199</v>
      </c>
      <c r="N9" s="4" t="s">
        <v>199</v>
      </c>
      <c r="O9" s="4" t="s">
        <v>199</v>
      </c>
      <c r="P9" s="4"/>
      <c r="Q9" s="4" t="s">
        <v>214</v>
      </c>
      <c r="R9" s="4" t="s">
        <v>219</v>
      </c>
      <c r="AA9" s="4" t="s">
        <v>4114</v>
      </c>
      <c r="AB9" s="4" t="s">
        <v>4115</v>
      </c>
      <c r="AC9" s="4" t="s">
        <v>4115</v>
      </c>
      <c r="AL9" s="1489"/>
      <c r="AM9" s="1404" t="s">
        <v>2970</v>
      </c>
      <c r="AO9" s="18" t="s">
        <v>275</v>
      </c>
      <c r="AV9" s="1657"/>
      <c r="BO9" s="1404" t="s">
        <v>3509</v>
      </c>
      <c r="BP9" s="1404" t="s">
        <v>3509</v>
      </c>
      <c r="BQ9" s="1404" t="s">
        <v>3509</v>
      </c>
      <c r="BR9" s="1404" t="s">
        <v>3509</v>
      </c>
      <c r="BU9" s="1404" t="s">
        <v>3103</v>
      </c>
      <c r="BV9" s="1404" t="s">
        <v>3097</v>
      </c>
      <c r="BW9" s="1404" t="s">
        <v>3113</v>
      </c>
      <c r="BX9" s="1404" t="s">
        <v>3113</v>
      </c>
      <c r="CC9" s="172" t="s">
        <v>3129</v>
      </c>
      <c r="CD9" s="119" t="s">
        <v>4208</v>
      </c>
      <c r="CE9" s="18" t="s">
        <v>4222</v>
      </c>
      <c r="CF9" s="1404" t="s">
        <v>4224</v>
      </c>
      <c r="CG9" s="1480" t="s">
        <v>199</v>
      </c>
      <c r="CI9" s="1606"/>
      <c r="CJ9" s="1606"/>
      <c r="DB9" s="1667"/>
      <c r="DK9" s="18" t="s">
        <v>539</v>
      </c>
      <c r="DL9" s="18" t="s">
        <v>539</v>
      </c>
      <c r="DV9" s="18" t="s">
        <v>3545</v>
      </c>
      <c r="EB9" s="18" t="s">
        <v>275</v>
      </c>
      <c r="EH9" s="18" t="s">
        <v>3607</v>
      </c>
      <c r="EL9" s="1411"/>
      <c r="FA9" s="119" t="s">
        <v>277</v>
      </c>
      <c r="FB9" s="119" t="s">
        <v>277</v>
      </c>
      <c r="FC9" s="119" t="s">
        <v>277</v>
      </c>
      <c r="FD9" s="119" t="s">
        <v>277</v>
      </c>
      <c r="FG9" s="119" t="s">
        <v>275</v>
      </c>
      <c r="FK9" s="1523"/>
      <c r="FL9" s="1523"/>
    </row>
    <row r="10" spans="1:229" s="1404" customFormat="1" x14ac:dyDescent="0.25">
      <c r="D10" s="1665"/>
      <c r="G10" s="4" t="s">
        <v>197</v>
      </c>
      <c r="H10" s="4" t="s">
        <v>3413</v>
      </c>
      <c r="I10" s="4" t="s">
        <v>3413</v>
      </c>
      <c r="J10" s="4" t="s">
        <v>3413</v>
      </c>
      <c r="K10" s="4" t="s">
        <v>199</v>
      </c>
      <c r="L10" s="4"/>
      <c r="M10" s="4" t="s">
        <v>210</v>
      </c>
      <c r="N10" s="4" t="s">
        <v>210</v>
      </c>
      <c r="O10" s="4" t="s">
        <v>210</v>
      </c>
      <c r="P10" s="4"/>
      <c r="Q10" s="4" t="s">
        <v>199</v>
      </c>
      <c r="R10" s="4" t="s">
        <v>220</v>
      </c>
      <c r="AA10" s="4" t="s">
        <v>199</v>
      </c>
      <c r="AB10" s="4" t="s">
        <v>199</v>
      </c>
      <c r="AC10" s="4" t="s">
        <v>4844</v>
      </c>
      <c r="AL10" s="1489"/>
      <c r="AM10" s="119" t="s">
        <v>766</v>
      </c>
      <c r="AO10" s="1690"/>
      <c r="AV10" s="1657"/>
      <c r="BO10" s="1404" t="s">
        <v>3510</v>
      </c>
      <c r="BP10" s="1404" t="s">
        <v>3510</v>
      </c>
      <c r="BQ10" s="1404" t="s">
        <v>3510</v>
      </c>
      <c r="BR10" s="1404" t="s">
        <v>3510</v>
      </c>
      <c r="BV10" s="1404" t="s">
        <v>3098</v>
      </c>
      <c r="CC10" s="172" t="s">
        <v>3130</v>
      </c>
      <c r="CE10" s="18" t="s">
        <v>4223</v>
      </c>
      <c r="CG10" s="1480"/>
      <c r="CI10" s="1606"/>
      <c r="CJ10" s="1606"/>
      <c r="DB10" s="1667"/>
      <c r="DV10" s="18" t="s">
        <v>275</v>
      </c>
      <c r="EL10" s="1411"/>
      <c r="FK10" s="1523"/>
      <c r="FL10" s="1523"/>
    </row>
    <row r="11" spans="1:229" s="1404" customFormat="1" x14ac:dyDescent="0.25">
      <c r="D11" s="1665"/>
      <c r="G11" s="4" t="s">
        <v>198</v>
      </c>
      <c r="H11" s="4" t="s">
        <v>199</v>
      </c>
      <c r="I11" s="4" t="s">
        <v>199</v>
      </c>
      <c r="J11" s="4" t="s">
        <v>199</v>
      </c>
      <c r="N11" s="4"/>
      <c r="O11" s="4"/>
      <c r="P11" s="4"/>
      <c r="R11" s="4" t="s">
        <v>221</v>
      </c>
      <c r="AC11" s="4" t="s">
        <v>4845</v>
      </c>
      <c r="AL11" s="1489"/>
      <c r="AO11" s="1690"/>
      <c r="AV11" s="1657"/>
      <c r="BO11" s="1404" t="s">
        <v>3511</v>
      </c>
      <c r="BP11" s="1404" t="s">
        <v>3511</v>
      </c>
      <c r="BQ11" s="1404" t="s">
        <v>3511</v>
      </c>
      <c r="BR11" s="1404" t="s">
        <v>3511</v>
      </c>
      <c r="BV11" s="1404" t="s">
        <v>3099</v>
      </c>
      <c r="CC11" s="172" t="s">
        <v>3131</v>
      </c>
      <c r="CG11" s="1480"/>
      <c r="CI11" s="1606"/>
      <c r="CJ11" s="1606"/>
      <c r="DB11" s="1667"/>
      <c r="EL11" s="1411"/>
      <c r="FK11" s="1523"/>
      <c r="FL11" s="1523"/>
    </row>
    <row r="12" spans="1:229" s="1404" customFormat="1" x14ac:dyDescent="0.25">
      <c r="D12" s="1665"/>
      <c r="G12" s="4" t="s">
        <v>199</v>
      </c>
      <c r="H12" s="4" t="s">
        <v>210</v>
      </c>
      <c r="I12" s="4" t="s">
        <v>210</v>
      </c>
      <c r="J12" s="4" t="s">
        <v>210</v>
      </c>
      <c r="R12" s="4" t="s">
        <v>222</v>
      </c>
      <c r="AC12" s="4" t="s">
        <v>4846</v>
      </c>
      <c r="AL12" s="1489"/>
      <c r="AO12" s="1690"/>
      <c r="AV12" s="1657"/>
      <c r="BO12" s="1404" t="s">
        <v>199</v>
      </c>
      <c r="BP12" s="1404" t="s">
        <v>199</v>
      </c>
      <c r="BQ12" s="1404" t="s">
        <v>199</v>
      </c>
      <c r="BR12" s="1404" t="s">
        <v>199</v>
      </c>
      <c r="BV12" s="1404" t="s">
        <v>3100</v>
      </c>
      <c r="CC12" s="172" t="s">
        <v>3132</v>
      </c>
      <c r="CG12" s="1480"/>
      <c r="CI12" s="1606"/>
      <c r="CJ12" s="1606"/>
      <c r="DB12" s="1667"/>
      <c r="EL12" s="1411"/>
      <c r="FK12" s="1523"/>
      <c r="FL12" s="1523"/>
    </row>
    <row r="13" spans="1:229" s="1404" customFormat="1" x14ac:dyDescent="0.25">
      <c r="D13" s="1665"/>
      <c r="R13" s="4" t="s">
        <v>199</v>
      </c>
      <c r="AC13" s="4" t="s">
        <v>4847</v>
      </c>
      <c r="AL13" s="1489"/>
      <c r="AO13" s="1690"/>
      <c r="AV13" s="1657"/>
      <c r="BV13" s="1404" t="s">
        <v>3101</v>
      </c>
      <c r="CC13" s="172" t="s">
        <v>3133</v>
      </c>
      <c r="CG13" s="1480"/>
      <c r="CI13" s="1606"/>
      <c r="CJ13" s="1606"/>
      <c r="DB13" s="1667"/>
      <c r="EL13" s="1411"/>
      <c r="FK13" s="1523"/>
      <c r="FL13" s="1523"/>
    </row>
    <row r="14" spans="1:229" s="1404" customFormat="1" x14ac:dyDescent="0.25">
      <c r="D14" s="1665"/>
      <c r="AC14" s="4" t="s">
        <v>199</v>
      </c>
      <c r="AL14" s="1489"/>
      <c r="AO14" s="1690"/>
      <c r="AV14" s="1657"/>
      <c r="BV14" s="1404" t="s">
        <v>3102</v>
      </c>
      <c r="CC14" s="172" t="s">
        <v>3134</v>
      </c>
      <c r="CG14" s="1480"/>
      <c r="CI14" s="1606"/>
      <c r="CJ14" s="1606"/>
      <c r="DB14" s="1667"/>
      <c r="EL14" s="1411"/>
      <c r="FK14" s="1523"/>
      <c r="FL14" s="1523"/>
    </row>
    <row r="15" spans="1:229" s="1404" customFormat="1" x14ac:dyDescent="0.25">
      <c r="D15" s="1665"/>
      <c r="AL15" s="1489"/>
      <c r="AO15" s="1690"/>
      <c r="AV15" s="1657"/>
      <c r="CG15" s="1480"/>
      <c r="CI15" s="1606"/>
      <c r="CJ15" s="1606"/>
      <c r="DB15" s="1667"/>
      <c r="EL15" s="1411"/>
      <c r="FK15" s="1523"/>
      <c r="FL15" s="1523"/>
    </row>
    <row r="16" spans="1:229" x14ac:dyDescent="0.25">
      <c r="CD16"/>
      <c r="GD16" s="970"/>
      <c r="GF16" s="970"/>
    </row>
    <row r="17" spans="82:188" x14ac:dyDescent="0.25">
      <c r="CD17"/>
      <c r="GD17" s="970"/>
      <c r="GF17" s="970"/>
    </row>
    <row r="18" spans="82:188" x14ac:dyDescent="0.25">
      <c r="GD18" s="970"/>
      <c r="GF18" s="970"/>
    </row>
    <row r="19" spans="82:188" x14ac:dyDescent="0.25">
      <c r="GD19" s="970"/>
      <c r="GF19" s="970"/>
    </row>
    <row r="20" spans="82:188" x14ac:dyDescent="0.25">
      <c r="GF20" s="970"/>
    </row>
  </sheetData>
  <sheetProtection algorithmName="SHA-512" hashValue="9xT9mb45SagpwkQX6zNMqSfC0quUGyDu2EuGizpQAmKr38g+RLkANkUjdXr9djDVRWAuhHPq2omazutB6rF0iw==" saltValue="3yav2aB7mpj/LQgVnY1bTA==" spinCount="100000" sheet="1" objects="1" scenarios="1" selectLockedCells="1" selectUnlockedCells="1"/>
  <pageMargins left="0.7" right="0.7" top="0.75" bottom="0.75" header="0.3" footer="0.3"/>
  <pageSetup scale="1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1"/>
    <pageSetUpPr fitToPage="1"/>
  </sheetPr>
  <dimension ref="A3:AC25"/>
  <sheetViews>
    <sheetView zoomScaleNormal="100" workbookViewId="0">
      <selection activeCell="X10" sqref="X10"/>
    </sheetView>
  </sheetViews>
  <sheetFormatPr defaultRowHeight="15" x14ac:dyDescent="0.25"/>
  <cols>
    <col min="1" max="1" width="12.28515625" hidden="1" customWidth="1"/>
    <col min="2" max="2" width="8.28515625" hidden="1" customWidth="1"/>
    <col min="3" max="3" width="11.5703125" hidden="1" customWidth="1"/>
    <col min="4" max="4" width="6" hidden="1" customWidth="1"/>
    <col min="5" max="5" width="5.140625" hidden="1" customWidth="1"/>
    <col min="6" max="6" width="8.28515625" hidden="1" customWidth="1"/>
    <col min="7" max="7" width="12.85546875" hidden="1" customWidth="1"/>
    <col min="8" max="8" width="7.28515625" style="17" hidden="1" customWidth="1"/>
    <col min="9" max="9" width="8.85546875" hidden="1" customWidth="1"/>
    <col min="10" max="12" width="5.5703125" style="558" hidden="1" customWidth="1"/>
    <col min="13" max="13" width="8.28515625" style="17" hidden="1" customWidth="1"/>
    <col min="14" max="14" width="5.42578125" hidden="1" customWidth="1"/>
    <col min="15" max="15" width="9.7109375" hidden="1" customWidth="1"/>
    <col min="16" max="16" width="9.5703125" style="17" hidden="1" customWidth="1"/>
    <col min="17" max="17" width="10" hidden="1" customWidth="1"/>
    <col min="18" max="18" width="5.85546875" style="17" hidden="1" customWidth="1"/>
    <col min="19" max="19" width="15.28515625" hidden="1" customWidth="1"/>
    <col min="20" max="20" width="12.85546875" hidden="1" customWidth="1"/>
    <col min="21" max="21" width="13.28515625" hidden="1" customWidth="1"/>
    <col min="22" max="22" width="5.5703125" hidden="1" customWidth="1"/>
    <col min="23" max="23" width="12.85546875" style="43" hidden="1" customWidth="1"/>
    <col min="24" max="24" width="9.42578125" style="43" hidden="1" customWidth="1"/>
    <col min="25" max="25" width="7.140625" hidden="1" customWidth="1"/>
    <col min="26" max="26" width="14" hidden="1" customWidth="1"/>
    <col min="27" max="27" width="9.28515625" hidden="1" customWidth="1"/>
    <col min="28" max="28" width="14.42578125" hidden="1" customWidth="1"/>
    <col min="29" max="29" width="5.85546875" hidden="1" customWidth="1"/>
  </cols>
  <sheetData>
    <row r="3" spans="1:29" x14ac:dyDescent="0.25">
      <c r="A3" t="s">
        <v>285</v>
      </c>
      <c r="B3" t="b">
        <f>OR('Overview (Design)'!G14="",'Overview (Design)'!G15="",'Overview (Design)'!G18="",AND('Overview (Design)'!G18=INDEX(ddSingleOrMulti,2),OR('Overview (Design)'!G19="",'Overview (Design)'!G23="")),'Overview (Design)'!G25="",'Overview (Design)'!G26="",'Overview (Design)'!G27="",AND('Overview (Design)'!G28="",'Overview (Design)'!P11="Tropical"),'Overview (Design)'!G32="",'Overview (Design)'!G34="",'Overview (Design)'!G38="",'Overview (Design)'!G39="",'Overview (Design)'!G42="",'Overview (Design)'!G44="",'Overview (Design)'!G46="",'Overview (Design)'!G50="",'Overview (Design)'!L11="!!")</f>
        <v>1</v>
      </c>
    </row>
    <row r="4" spans="1:29" x14ac:dyDescent="0.25">
      <c r="A4" t="s">
        <v>311</v>
      </c>
      <c r="B4" t="b">
        <f>OR('Overview (Verification)'!P14="",'Overview (Verification)'!P15="",'Overview (Verification)'!P18="",'Overview (Verification)'!P25="",'Overview (Verification)'!P26="",'Overview (Verification)'!P27="",AND('Overview (Verification)'!P28="",'Overview (Verification)'!Y11="Tropical"),'Overview (Verification)'!P32="",'Overview (Verification)'!P34="",'Overview (Verification)'!P38="",'Overview (Verification)'!P39="",'Overview (Verification)'!P42="",'Overview (Verification)'!P44="",'Overview (Verification)'!P46="",'Overview (Verification)'!P50="")</f>
        <v>1</v>
      </c>
    </row>
    <row r="8" spans="1:29" x14ac:dyDescent="0.25">
      <c r="G8" s="17"/>
      <c r="H8"/>
      <c r="I8" s="17"/>
      <c r="M8"/>
      <c r="O8" s="17"/>
      <c r="P8"/>
      <c r="Q8" s="17"/>
      <c r="R8"/>
    </row>
    <row r="9" spans="1:29" x14ac:dyDescent="0.25">
      <c r="G9" s="17"/>
      <c r="H9"/>
      <c r="I9" s="17"/>
      <c r="M9" t="s">
        <v>4245</v>
      </c>
      <c r="N9">
        <f ca="1">IFERROR(MATCH('Ch7'!W12,INDIRECT('Ch7'!U12),0),0)</f>
        <v>0</v>
      </c>
      <c r="O9" s="17"/>
      <c r="P9"/>
      <c r="Q9" s="17"/>
      <c r="R9"/>
      <c r="X9" s="43" t="s">
        <v>5745</v>
      </c>
      <c r="Y9">
        <f ca="1">IFERROR(MATCH('Verification Report'!W882,INDIRECT('Ch7'!U12),0),0)</f>
        <v>0</v>
      </c>
    </row>
    <row r="10" spans="1:29" x14ac:dyDescent="0.25">
      <c r="G10" s="42" t="s">
        <v>322</v>
      </c>
      <c r="H10" s="43" t="s">
        <v>294</v>
      </c>
      <c r="I10" s="17"/>
      <c r="M10" t="s">
        <v>4065</v>
      </c>
      <c r="N10">
        <f ca="1">IF(OR(Ch7Path=1,Ch7Path=3),4,IF('Ch7'!W28=INDEX(INDIRECT('Ch7'!U28),2),2,IF('Ch7'!W28=INDEX(INDIRECT('Ch7'!U28),1),1,3)))</f>
        <v>3</v>
      </c>
      <c r="O10" s="17"/>
      <c r="P10"/>
      <c r="Q10" s="17"/>
      <c r="R10"/>
      <c r="S10" s="42" t="s">
        <v>321</v>
      </c>
      <c r="T10" t="str">
        <f>IF(LEN('Verification Report'!L1)=0,"None Chosen",'Verification Report'!L1)</f>
        <v>None Chosen</v>
      </c>
      <c r="X10" s="353" t="s">
        <v>2997</v>
      </c>
      <c r="Y10" s="1">
        <f ca="1">IF(OR(Y9=1,Y9=3),4,IF('Verification Report'!W898=INDEX(INDIRECT('Ch7'!U28),2),2,IF('Verification Report'!W898=INDEX(INDIRECT('Ch7'!U28),1),2,3)))</f>
        <v>3</v>
      </c>
    </row>
    <row r="11" spans="1:29" x14ac:dyDescent="0.25">
      <c r="G11" s="17"/>
      <c r="H11"/>
      <c r="I11" s="17"/>
      <c r="M11" s="1414" t="s">
        <v>5244</v>
      </c>
      <c r="N11">
        <f ca="1">'Ch8'!S14</f>
        <v>0</v>
      </c>
      <c r="O11" s="17"/>
      <c r="P11"/>
      <c r="Q11" s="17"/>
      <c r="R11"/>
      <c r="X11" s="1414" t="s">
        <v>5244</v>
      </c>
      <c r="Y11" s="1414">
        <f ca="1">'Verification Report'!S1643</f>
        <v>0</v>
      </c>
    </row>
    <row r="12" spans="1:29" x14ac:dyDescent="0.25">
      <c r="C12" t="s">
        <v>295</v>
      </c>
      <c r="G12" s="17" t="s">
        <v>308</v>
      </c>
      <c r="H12"/>
      <c r="I12" s="17"/>
      <c r="M12" s="17" t="s">
        <v>4066</v>
      </c>
      <c r="N12">
        <f ca="1">IF(N11=2,IF('Ch8'!$O$131&gt;0,4,2),IFERROR(MATCH('Ch8'!$M$237,'Ch8'!$R$240:$R$243,0),0))</f>
        <v>0</v>
      </c>
      <c r="O12" s="17"/>
      <c r="P12"/>
      <c r="Q12" s="17"/>
      <c r="R12"/>
      <c r="S12" t="s">
        <v>309</v>
      </c>
      <c r="X12" s="353" t="s">
        <v>3600</v>
      </c>
      <c r="Y12" s="1414">
        <f ca="1">IF(Y11=2,IF('Verification Report'!O1760&gt;0,4,2),IFERROR(MATCH('Verification Report'!M1866,'Verification Report'!R1869:R1872,0),0))</f>
        <v>0</v>
      </c>
    </row>
    <row r="13" spans="1:29" x14ac:dyDescent="0.25">
      <c r="G13" s="17"/>
      <c r="H13"/>
      <c r="I13" s="17"/>
      <c r="M13"/>
      <c r="O13" s="17"/>
      <c r="P13"/>
      <c r="Q13" s="17"/>
      <c r="R13"/>
    </row>
    <row r="14" spans="1:29" x14ac:dyDescent="0.25">
      <c r="C14" t="s">
        <v>292</v>
      </c>
      <c r="D14" t="s">
        <v>293</v>
      </c>
      <c r="E14" t="s">
        <v>294</v>
      </c>
      <c r="F14" t="s">
        <v>290</v>
      </c>
      <c r="G14" s="17"/>
      <c r="H14" t="s">
        <v>296</v>
      </c>
      <c r="I14" s="17"/>
      <c r="J14" s="558" t="s">
        <v>297</v>
      </c>
      <c r="K14" s="558" t="s">
        <v>297</v>
      </c>
      <c r="L14" s="558" t="s">
        <v>297</v>
      </c>
      <c r="M14" t="s">
        <v>297</v>
      </c>
      <c r="N14" t="s">
        <v>298</v>
      </c>
      <c r="O14" s="17"/>
      <c r="P14" t="s">
        <v>299</v>
      </c>
      <c r="Q14" s="17"/>
      <c r="R14"/>
      <c r="S14" s="20"/>
      <c r="T14" s="20" t="s">
        <v>296</v>
      </c>
      <c r="U14" s="20"/>
      <c r="V14" s="20" t="s">
        <v>297</v>
      </c>
      <c r="Y14" s="20" t="s">
        <v>298</v>
      </c>
      <c r="Z14" s="20"/>
      <c r="AA14" s="20" t="s">
        <v>323</v>
      </c>
      <c r="AB14" s="20"/>
      <c r="AC14" s="20"/>
    </row>
    <row r="15" spans="1:29" x14ac:dyDescent="0.25">
      <c r="A15">
        <v>5</v>
      </c>
      <c r="B15" t="s">
        <v>300</v>
      </c>
      <c r="C15">
        <v>50</v>
      </c>
      <c r="D15">
        <v>64</v>
      </c>
      <c r="E15">
        <v>93</v>
      </c>
      <c r="F15">
        <v>121</v>
      </c>
      <c r="G15" s="7" t="str">
        <f t="shared" ref="G15:G20" si="0">"Ch"&amp;$A15&amp;"Points"</f>
        <v>Ch5Points</v>
      </c>
      <c r="H15" s="1">
        <f ca="1">ROUNDDOWN(SUM('Ch5'!O:O),0)</f>
        <v>0</v>
      </c>
      <c r="I15" s="7" t="str">
        <f t="shared" ref="I15:I20" si="1">"Ch"&amp;$A15&amp;"Add"</f>
        <v>Ch5Add</v>
      </c>
      <c r="J15" s="558">
        <f t="shared" ref="J15:M20" ca="1" si="2">$H15-C15</f>
        <v>-50</v>
      </c>
      <c r="K15" s="558">
        <f t="shared" ca="1" si="2"/>
        <v>-64</v>
      </c>
      <c r="L15" s="558">
        <f t="shared" ca="1" si="2"/>
        <v>-93</v>
      </c>
      <c r="M15">
        <f t="shared" ca="1" si="2"/>
        <v>-121</v>
      </c>
      <c r="N15">
        <f ca="1">IFERROR(MATCH(H15,C15:F15,1),0)</f>
        <v>0</v>
      </c>
      <c r="O15" s="7" t="str">
        <f t="shared" ref="O15:O20" si="3">"Ch"&amp;$A15&amp;"NLev"</f>
        <v>Ch5NLev</v>
      </c>
      <c r="P15">
        <f t="shared" ref="P15:P20" ca="1" si="4">IF(N15=4,0,INDEX(C15:F15,N15+1)-H15)</f>
        <v>50</v>
      </c>
      <c r="Q15" s="7" t="str">
        <f t="shared" ref="Q15:Q20" si="5">"Ch"&amp;$A15&amp;"Level"</f>
        <v>Ch5Level</v>
      </c>
      <c r="R15" t="str">
        <f t="shared" ref="R15:R22" ca="1" si="6">IFERROR(INDEX($C$14:$F$14,N15),"None")</f>
        <v>None</v>
      </c>
      <c r="S15" s="19" t="str">
        <f t="shared" ref="S15:S20" si="7">"Ch"&amp;$A15&amp;"PointsFinal"</f>
        <v>Ch5PointsFinal</v>
      </c>
      <c r="T15" s="1">
        <f ca="1">ROUNDDOWN(SUMIFS('Verification Report'!O:O,'Verification Report'!A:A, 5),0)</f>
        <v>0</v>
      </c>
      <c r="U15" s="42" t="str">
        <f t="shared" ref="U15:U20" si="8">"Ch"&amp;$A15&amp;"AddFinal"</f>
        <v>Ch5AddFinal</v>
      </c>
      <c r="V15" s="39">
        <f t="shared" ref="V15:V20" ca="1" si="9">MAX(IFERROR(T15-INDEX(C15:F15,MAX(1,MIN(Y$15:Y$20))),0),0)</f>
        <v>0</v>
      </c>
      <c r="W15" s="42" t="str">
        <f t="shared" ref="W15:W20" si="10">"Ch"&amp;$A15&amp;"AddGoal"</f>
        <v>Ch5AddGoal</v>
      </c>
      <c r="X15" s="43">
        <f t="shared" ref="X15:X20" ca="1" si="11">MAX(IFERROR($T15-INDEX($C15:$F15,MATCH(verGoalLevel,$C$14:$F$14,0)),0),0)</f>
        <v>0</v>
      </c>
      <c r="Y15" s="20">
        <f ca="1">IFERROR(MATCH(T15,C15:F15,1),0)</f>
        <v>0</v>
      </c>
      <c r="Z15" s="19" t="str">
        <f t="shared" ref="Z15:Z20" si="12">"Ch"&amp;$A15&amp;"GLevFinal"</f>
        <v>Ch5GLevFinal</v>
      </c>
      <c r="AA15" s="20">
        <f t="shared" ref="AA15:AA20" ca="1" si="13">MAX(IFERROR(INDEX($C15:$F15,MATCH(verGoalLevel,$C$14:$F$14,0))-$T15,0),0)</f>
        <v>0</v>
      </c>
      <c r="AB15" s="19" t="str">
        <f t="shared" ref="AB15:AB20" si="14">"Ch"&amp;$A15&amp;"LevelFinal"</f>
        <v>Ch5LevelFinal</v>
      </c>
      <c r="AC15" s="20" t="str">
        <f t="shared" ref="AC15:AC22" ca="1" si="15">IFERROR(INDEX($C$14:$F$14,Y15),"None")</f>
        <v>None</v>
      </c>
    </row>
    <row r="16" spans="1:29" x14ac:dyDescent="0.25">
      <c r="A16">
        <v>6</v>
      </c>
      <c r="B16" s="17" t="s">
        <v>301</v>
      </c>
      <c r="C16">
        <v>43</v>
      </c>
      <c r="D16">
        <v>59</v>
      </c>
      <c r="E16">
        <v>89</v>
      </c>
      <c r="F16">
        <v>119</v>
      </c>
      <c r="G16" s="7" t="str">
        <f t="shared" si="0"/>
        <v>Ch6Points</v>
      </c>
      <c r="H16" s="76">
        <f ca="1">SUM('Ch6'!O:O)</f>
        <v>0</v>
      </c>
      <c r="I16" s="7" t="str">
        <f t="shared" si="1"/>
        <v>Ch6Add</v>
      </c>
      <c r="J16" s="558">
        <f t="shared" ca="1" si="2"/>
        <v>-43</v>
      </c>
      <c r="K16" s="558">
        <f t="shared" ca="1" si="2"/>
        <v>-59</v>
      </c>
      <c r="L16" s="558">
        <f t="shared" ca="1" si="2"/>
        <v>-89</v>
      </c>
      <c r="M16" s="558">
        <f t="shared" ca="1" si="2"/>
        <v>-119</v>
      </c>
      <c r="N16" s="17">
        <f ca="1">IFERROR(MATCH(H16,C16:F16,1),0)</f>
        <v>0</v>
      </c>
      <c r="O16" s="7" t="str">
        <f t="shared" si="3"/>
        <v>Ch6NLev</v>
      </c>
      <c r="P16" s="17">
        <f t="shared" ca="1" si="4"/>
        <v>43</v>
      </c>
      <c r="Q16" s="7" t="str">
        <f t="shared" si="5"/>
        <v>Ch6Level</v>
      </c>
      <c r="R16" s="17" t="str">
        <f t="shared" ca="1" si="6"/>
        <v>None</v>
      </c>
      <c r="S16" s="19" t="str">
        <f t="shared" si="7"/>
        <v>Ch6PointsFinal</v>
      </c>
      <c r="T16" s="249">
        <f ca="1">SUMIFS('Verification Report'!O:O,'Verification Report'!A:A, 6)</f>
        <v>0</v>
      </c>
      <c r="U16" s="19" t="str">
        <f t="shared" si="8"/>
        <v>Ch6AddFinal</v>
      </c>
      <c r="V16" s="39">
        <f t="shared" ca="1" si="9"/>
        <v>0</v>
      </c>
      <c r="W16" s="42" t="str">
        <f t="shared" si="10"/>
        <v>Ch6AddGoal</v>
      </c>
      <c r="X16" s="43">
        <f t="shared" ca="1" si="11"/>
        <v>0</v>
      </c>
      <c r="Y16" s="20">
        <f ca="1">IFERROR(MATCH(T16,C16:F16,1),0)</f>
        <v>0</v>
      </c>
      <c r="Z16" s="42" t="str">
        <f t="shared" si="12"/>
        <v>Ch6GLevFinal</v>
      </c>
      <c r="AA16" s="43">
        <f t="shared" ca="1" si="13"/>
        <v>0</v>
      </c>
      <c r="AB16" s="19" t="str">
        <f t="shared" si="14"/>
        <v>Ch6LevelFinal</v>
      </c>
      <c r="AC16" s="20" t="str">
        <f t="shared" ca="1" si="15"/>
        <v>None</v>
      </c>
    </row>
    <row r="17" spans="1:29" x14ac:dyDescent="0.25">
      <c r="A17">
        <v>7</v>
      </c>
      <c r="B17" s="17" t="s">
        <v>302</v>
      </c>
      <c r="C17">
        <v>30</v>
      </c>
      <c r="D17">
        <v>45</v>
      </c>
      <c r="E17">
        <v>60</v>
      </c>
      <c r="F17">
        <v>70</v>
      </c>
      <c r="G17" s="7" t="str">
        <f t="shared" si="0"/>
        <v>Ch7Points</v>
      </c>
      <c r="H17" s="76">
        <f ca="1">SUM('Ch7'!O:O)</f>
        <v>0</v>
      </c>
      <c r="I17" s="7" t="str">
        <f t="shared" si="1"/>
        <v>Ch7Add</v>
      </c>
      <c r="J17" s="558">
        <f t="shared" ca="1" si="2"/>
        <v>-30</v>
      </c>
      <c r="K17" s="558">
        <f t="shared" ca="1" si="2"/>
        <v>-45</v>
      </c>
      <c r="L17" s="558">
        <f t="shared" ca="1" si="2"/>
        <v>-60</v>
      </c>
      <c r="M17" s="558">
        <f t="shared" ca="1" si="2"/>
        <v>-70</v>
      </c>
      <c r="N17" s="1">
        <f ca="1">MIN(IFERROR(MATCH(H17,$C17:$F17,1),0),N10)</f>
        <v>0</v>
      </c>
      <c r="O17" s="7" t="str">
        <f t="shared" si="3"/>
        <v>Ch7NLev</v>
      </c>
      <c r="P17" s="17">
        <f t="shared" ca="1" si="4"/>
        <v>30</v>
      </c>
      <c r="Q17" s="7" t="str">
        <f t="shared" si="5"/>
        <v>Ch7Level</v>
      </c>
      <c r="R17" s="17" t="str">
        <f t="shared" ca="1" si="6"/>
        <v>None</v>
      </c>
      <c r="S17" s="19" t="str">
        <f t="shared" si="7"/>
        <v>Ch7PointsFinal</v>
      </c>
      <c r="T17" s="249">
        <f ca="1">SUMIFS('Verification Report'!O:O,'Verification Report'!A:A, 7)</f>
        <v>0</v>
      </c>
      <c r="U17" s="19" t="str">
        <f t="shared" si="8"/>
        <v>Ch7AddFinal</v>
      </c>
      <c r="V17" s="39">
        <f t="shared" ca="1" si="9"/>
        <v>0</v>
      </c>
      <c r="W17" s="42" t="str">
        <f t="shared" si="10"/>
        <v>Ch7AddGoal</v>
      </c>
      <c r="X17" s="43">
        <f t="shared" ca="1" si="11"/>
        <v>0</v>
      </c>
      <c r="Y17" s="1">
        <f ca="1">MIN(IFERROR(MATCH(T17,$C17:$F17,1),0),Y10)</f>
        <v>0</v>
      </c>
      <c r="Z17" s="42" t="str">
        <f t="shared" si="12"/>
        <v>Ch7GLevFinal</v>
      </c>
      <c r="AA17" s="43">
        <f t="shared" ca="1" si="13"/>
        <v>0</v>
      </c>
      <c r="AB17" s="19" t="str">
        <f t="shared" si="14"/>
        <v>Ch7LevelFinal</v>
      </c>
      <c r="AC17" s="20" t="str">
        <f t="shared" ca="1" si="15"/>
        <v>None</v>
      </c>
    </row>
    <row r="18" spans="1:29" x14ac:dyDescent="0.25">
      <c r="A18">
        <v>8</v>
      </c>
      <c r="B18" s="17" t="s">
        <v>303</v>
      </c>
      <c r="C18">
        <v>25</v>
      </c>
      <c r="D18">
        <v>39</v>
      </c>
      <c r="E18">
        <v>67</v>
      </c>
      <c r="F18">
        <v>92</v>
      </c>
      <c r="G18" s="7" t="str">
        <f t="shared" si="0"/>
        <v>Ch8Points</v>
      </c>
      <c r="H18" s="76">
        <f ca="1">SUM('Ch8'!O:O)</f>
        <v>0</v>
      </c>
      <c r="I18" s="7" t="str">
        <f t="shared" si="1"/>
        <v>Ch8Add</v>
      </c>
      <c r="J18" s="558">
        <f t="shared" ca="1" si="2"/>
        <v>-25</v>
      </c>
      <c r="K18" s="558">
        <f t="shared" ca="1" si="2"/>
        <v>-39</v>
      </c>
      <c r="L18" s="558">
        <f t="shared" ca="1" si="2"/>
        <v>-67</v>
      </c>
      <c r="M18" s="558">
        <f t="shared" ca="1" si="2"/>
        <v>-92</v>
      </c>
      <c r="N18" s="1">
        <f ca="1">IF(N11=2,MIN(IFERROR(MATCH(H18,$C18:$F18,1),0),N12),N12)</f>
        <v>0</v>
      </c>
      <c r="O18" s="7" t="str">
        <f t="shared" si="3"/>
        <v>Ch8NLev</v>
      </c>
      <c r="P18" s="1">
        <f ca="1">IF(OR(N18=4,N11=1),0,INDEX(C18:F18,N18+1)-H18)</f>
        <v>25</v>
      </c>
      <c r="Q18" s="7" t="str">
        <f t="shared" si="5"/>
        <v>Ch8Level</v>
      </c>
      <c r="R18" s="17" t="str">
        <f t="shared" ca="1" si="6"/>
        <v>None</v>
      </c>
      <c r="S18" s="19" t="str">
        <f t="shared" si="7"/>
        <v>Ch8PointsFinal</v>
      </c>
      <c r="T18" s="249">
        <f ca="1">SUMIFS('Verification Report'!O:O,'Verification Report'!A:A, 8)</f>
        <v>0</v>
      </c>
      <c r="U18" s="19" t="str">
        <f t="shared" si="8"/>
        <v>Ch8AddFinal</v>
      </c>
      <c r="V18" s="39">
        <f t="shared" ca="1" si="9"/>
        <v>0</v>
      </c>
      <c r="W18" s="42" t="str">
        <f t="shared" si="10"/>
        <v>Ch8AddGoal</v>
      </c>
      <c r="X18" s="43">
        <f t="shared" ca="1" si="11"/>
        <v>0</v>
      </c>
      <c r="Y18" s="1">
        <f ca="1">IF(Y11=2,MIN(IFERROR(MATCH(T18,$C18:$F18,1),0),Y12),Y12)</f>
        <v>0</v>
      </c>
      <c r="Z18" s="42" t="str">
        <f t="shared" si="12"/>
        <v>Ch8GLevFinal</v>
      </c>
      <c r="AA18" s="43">
        <f t="shared" ca="1" si="13"/>
        <v>0</v>
      </c>
      <c r="AB18" s="19" t="str">
        <f t="shared" si="14"/>
        <v>Ch8LevelFinal</v>
      </c>
      <c r="AC18" s="20" t="str">
        <f t="shared" ca="1" si="15"/>
        <v>None</v>
      </c>
    </row>
    <row r="19" spans="1:29" x14ac:dyDescent="0.25">
      <c r="A19">
        <v>9</v>
      </c>
      <c r="B19" s="17" t="s">
        <v>304</v>
      </c>
      <c r="C19">
        <v>25</v>
      </c>
      <c r="D19">
        <v>42</v>
      </c>
      <c r="E19">
        <v>69</v>
      </c>
      <c r="F19">
        <v>97</v>
      </c>
      <c r="G19" s="7" t="str">
        <f t="shared" si="0"/>
        <v>Ch9Points</v>
      </c>
      <c r="H19" s="76">
        <f ca="1">SUM('Ch9'!O:O)</f>
        <v>0</v>
      </c>
      <c r="I19" s="7" t="str">
        <f t="shared" si="1"/>
        <v>Ch9Add</v>
      </c>
      <c r="J19" s="558">
        <f t="shared" ca="1" si="2"/>
        <v>-25</v>
      </c>
      <c r="K19" s="558">
        <f t="shared" ca="1" si="2"/>
        <v>-42</v>
      </c>
      <c r="L19" s="558">
        <f t="shared" ca="1" si="2"/>
        <v>-69</v>
      </c>
      <c r="M19" s="558">
        <f t="shared" ca="1" si="2"/>
        <v>-97</v>
      </c>
      <c r="N19" s="17">
        <f ca="1">IFERROR(MATCH(H19,C19:F19,1),0)</f>
        <v>0</v>
      </c>
      <c r="O19" s="7" t="str">
        <f t="shared" si="3"/>
        <v>Ch9NLev</v>
      </c>
      <c r="P19" s="17">
        <f t="shared" ca="1" si="4"/>
        <v>25</v>
      </c>
      <c r="Q19" s="7" t="str">
        <f t="shared" si="5"/>
        <v>Ch9Level</v>
      </c>
      <c r="R19" s="17" t="str">
        <f t="shared" ca="1" si="6"/>
        <v>None</v>
      </c>
      <c r="S19" s="19" t="str">
        <f t="shared" si="7"/>
        <v>Ch9PointsFinal</v>
      </c>
      <c r="T19" s="249">
        <f ca="1">SUMIFS('Verification Report'!O:O,'Verification Report'!A:A, 9)</f>
        <v>0</v>
      </c>
      <c r="U19" s="19" t="str">
        <f t="shared" si="8"/>
        <v>Ch9AddFinal</v>
      </c>
      <c r="V19" s="39">
        <f t="shared" ca="1" si="9"/>
        <v>0</v>
      </c>
      <c r="W19" s="42" t="str">
        <f t="shared" si="10"/>
        <v>Ch9AddGoal</v>
      </c>
      <c r="X19" s="43">
        <f t="shared" ca="1" si="11"/>
        <v>0</v>
      </c>
      <c r="Y19" s="20">
        <f ca="1">IFERROR(MATCH(T19,C19:F19,1),0)</f>
        <v>0</v>
      </c>
      <c r="Z19" s="42" t="str">
        <f t="shared" si="12"/>
        <v>Ch9GLevFinal</v>
      </c>
      <c r="AA19" s="43">
        <f t="shared" ca="1" si="13"/>
        <v>0</v>
      </c>
      <c r="AB19" s="19" t="str">
        <f t="shared" si="14"/>
        <v>Ch9LevelFinal</v>
      </c>
      <c r="AC19" s="20" t="str">
        <f t="shared" ca="1" si="15"/>
        <v>None</v>
      </c>
    </row>
    <row r="20" spans="1:29" x14ac:dyDescent="0.25">
      <c r="A20">
        <v>10</v>
      </c>
      <c r="B20" s="17" t="s">
        <v>305</v>
      </c>
      <c r="C20">
        <v>8</v>
      </c>
      <c r="D20">
        <v>10</v>
      </c>
      <c r="E20">
        <v>11</v>
      </c>
      <c r="F20">
        <v>12</v>
      </c>
      <c r="G20" s="7" t="str">
        <f t="shared" si="0"/>
        <v>Ch10Points</v>
      </c>
      <c r="H20" s="76">
        <f>SUM('Ch10'!O:O)</f>
        <v>2</v>
      </c>
      <c r="I20" s="7" t="str">
        <f t="shared" si="1"/>
        <v>Ch10Add</v>
      </c>
      <c r="J20" s="558">
        <f t="shared" si="2"/>
        <v>-6</v>
      </c>
      <c r="K20" s="558">
        <f t="shared" si="2"/>
        <v>-8</v>
      </c>
      <c r="L20" s="558">
        <f t="shared" si="2"/>
        <v>-9</v>
      </c>
      <c r="M20" s="558">
        <f t="shared" si="2"/>
        <v>-10</v>
      </c>
      <c r="N20" s="17">
        <f>IFERROR(MATCH(H20,C20:F20,1),0)</f>
        <v>0</v>
      </c>
      <c r="O20" s="7" t="str">
        <f t="shared" si="3"/>
        <v>Ch10NLev</v>
      </c>
      <c r="P20" s="17">
        <f t="shared" si="4"/>
        <v>6</v>
      </c>
      <c r="Q20" s="7" t="str">
        <f t="shared" si="5"/>
        <v>Ch10Level</v>
      </c>
      <c r="R20" s="17" t="str">
        <f t="shared" si="6"/>
        <v>None</v>
      </c>
      <c r="S20" s="19" t="str">
        <f t="shared" si="7"/>
        <v>Ch10PointsFinal</v>
      </c>
      <c r="T20" s="249">
        <f>SUMIFS('Verification Report'!O:O,'Verification Report'!A:A, 10)</f>
        <v>2</v>
      </c>
      <c r="U20" s="19" t="str">
        <f t="shared" si="8"/>
        <v>Ch10AddFinal</v>
      </c>
      <c r="V20" s="39">
        <f t="shared" ca="1" si="9"/>
        <v>0</v>
      </c>
      <c r="W20" s="42" t="str">
        <f t="shared" si="10"/>
        <v>Ch10AddGoal</v>
      </c>
      <c r="X20" s="43">
        <f t="shared" si="11"/>
        <v>0</v>
      </c>
      <c r="Y20" s="20">
        <f>IFERROR(MATCH(T20,C20:F20,1),0)</f>
        <v>0</v>
      </c>
      <c r="Z20" s="42" t="str">
        <f t="shared" si="12"/>
        <v>Ch10GLevFinal</v>
      </c>
      <c r="AA20" s="43">
        <f t="shared" si="13"/>
        <v>0</v>
      </c>
      <c r="AB20" s="19" t="str">
        <f t="shared" si="14"/>
        <v>Ch10LevelFinal</v>
      </c>
      <c r="AC20" s="20" t="str">
        <f t="shared" si="15"/>
        <v>None</v>
      </c>
    </row>
    <row r="21" spans="1:29" x14ac:dyDescent="0.25">
      <c r="A21" s="56">
        <f>'Overview (Design)'!$G$25</f>
        <v>0</v>
      </c>
      <c r="B21" t="s">
        <v>364</v>
      </c>
      <c r="C21" s="56">
        <f>50+MAX(0,ROUNDDOWN(($A21-4000)/100,0))</f>
        <v>50</v>
      </c>
      <c r="D21" s="56">
        <f>75+MAX(0,ROUNDDOWN(($A21-4000)/100,0))</f>
        <v>75</v>
      </c>
      <c r="E21" s="56">
        <f>100+MAX(0,ROUNDDOWN(($A21-4000)/100,0))</f>
        <v>100</v>
      </c>
      <c r="F21" s="56">
        <f>100+MAX(0,ROUNDDOWN(($A21-4000)/100,0))</f>
        <v>100</v>
      </c>
      <c r="G21" s="17"/>
      <c r="I21" s="17"/>
      <c r="J21" s="558">
        <f ca="1">SUM(J15:J20)</f>
        <v>-179</v>
      </c>
      <c r="K21" s="558">
        <f ca="1">SUM(K15:K20)</f>
        <v>-257</v>
      </c>
      <c r="L21" s="558">
        <f ca="1">SUM(L15:L20)</f>
        <v>-387</v>
      </c>
      <c r="M21">
        <f ca="1">SUM(M15:M20)</f>
        <v>-509</v>
      </c>
      <c r="N21" s="17">
        <f ca="1">IF(M21&gt;=F21,4,IF(L21&gt;=E21,3,IF(K21&gt;=D21,2,IF(J21&gt;=C21,1,0))))</f>
        <v>0</v>
      </c>
      <c r="O21" s="17"/>
      <c r="P21"/>
      <c r="Q21" s="17"/>
      <c r="R21" s="17" t="str">
        <f t="shared" ca="1" si="6"/>
        <v>None</v>
      </c>
      <c r="S21" s="20"/>
      <c r="U21" s="20"/>
      <c r="V21" s="20">
        <f ca="1">SUM(V15:V20)</f>
        <v>0</v>
      </c>
      <c r="Y21" s="20">
        <f ca="1">IFERROR(MATCH(V21,C22:F22,1),MAX(0,MIN(Y15:Y20)-1))</f>
        <v>0</v>
      </c>
      <c r="Z21" s="20"/>
      <c r="AA21" s="20"/>
      <c r="AB21" s="20"/>
      <c r="AC21" s="20" t="str">
        <f t="shared" ca="1" si="15"/>
        <v>None</v>
      </c>
    </row>
    <row r="22" spans="1:29" x14ac:dyDescent="0.25">
      <c r="A22" s="56">
        <f>IF(LEN('Overview (Verification)'!$P$25)=0,0,'Overview (Verification)'!$P$25)</f>
        <v>0</v>
      </c>
      <c r="B22" t="s">
        <v>365</v>
      </c>
      <c r="C22" s="56">
        <f>50+MAX(0,ROUNDDOWN(($A22-4000)/100,0))</f>
        <v>50</v>
      </c>
      <c r="D22" s="56">
        <f>75+MAX(0,ROUNDDOWN(($A22-4000)/100,0))</f>
        <v>75</v>
      </c>
      <c r="E22" s="56">
        <f>100+MAX(0,ROUNDDOWN(($A22-4000)/100,0))</f>
        <v>100</v>
      </c>
      <c r="F22" s="56">
        <f>100+MAX(0,ROUNDDOWN(($A22-4000)/100,0))</f>
        <v>100</v>
      </c>
      <c r="G22" s="17"/>
      <c r="H22"/>
      <c r="I22" s="17"/>
      <c r="M22"/>
      <c r="N22">
        <f ca="1">MIN(N15:N21)</f>
        <v>0</v>
      </c>
      <c r="O22" s="17"/>
      <c r="P22"/>
      <c r="Q22" s="17"/>
      <c r="R22" s="17" t="str">
        <f t="shared" ca="1" si="6"/>
        <v>None</v>
      </c>
      <c r="S22" s="20"/>
      <c r="T22" s="20"/>
      <c r="U22" s="20"/>
      <c r="V22" s="20"/>
      <c r="Y22" s="39">
        <f ca="1">MIN(Y15:Y21)</f>
        <v>0</v>
      </c>
      <c r="Z22" s="20"/>
      <c r="AA22" s="20"/>
      <c r="AB22" s="20"/>
      <c r="AC22" s="20" t="str">
        <f t="shared" ca="1" si="15"/>
        <v>None</v>
      </c>
    </row>
    <row r="23" spans="1:29" x14ac:dyDescent="0.25">
      <c r="C23">
        <v>231</v>
      </c>
      <c r="D23">
        <v>334</v>
      </c>
      <c r="E23">
        <v>489</v>
      </c>
      <c r="F23">
        <v>611</v>
      </c>
      <c r="G23" s="17"/>
      <c r="H23"/>
      <c r="I23" s="17"/>
      <c r="M23"/>
      <c r="O23" s="17"/>
      <c r="P23"/>
      <c r="Q23" s="17"/>
      <c r="R23"/>
    </row>
    <row r="24" spans="1:29" x14ac:dyDescent="0.25">
      <c r="D24" s="56"/>
      <c r="E24" s="56"/>
      <c r="F24" s="56"/>
      <c r="G24" s="17"/>
      <c r="H24"/>
      <c r="I24" s="17"/>
      <c r="M24"/>
      <c r="O24" s="17"/>
      <c r="P24"/>
      <c r="Q24" s="17"/>
      <c r="R24"/>
    </row>
    <row r="25" spans="1:29" x14ac:dyDescent="0.25">
      <c r="C25" s="56"/>
      <c r="D25" s="56"/>
      <c r="E25" s="56"/>
      <c r="F25" s="56"/>
    </row>
  </sheetData>
  <sheetProtection algorithmName="SHA-512" hashValue="af9iK6un5g7wCEYFn93aY83Pa8+UCaSbJi6eLnoGVXORnGjJOTsnQt/AQbWWdj/5u4IAIGXz4DMrtOPWljHkrQ==" saltValue="F2bG5dCLb1NUgQr0eLE/Dw==" spinCount="100000" sheet="1" objects="1" scenarios="1" selectLockedCells="1" selectUnlockedCells="1"/>
  <pageMargins left="0.7" right="0.7" top="0.75" bottom="0.75" header="0.3" footer="0.3"/>
  <pageSetup scale="3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1"/>
    <pageSetUpPr fitToPage="1"/>
  </sheetPr>
  <dimension ref="A1:AN38"/>
  <sheetViews>
    <sheetView topLeftCell="A4" zoomScaleNormal="100" workbookViewId="0">
      <selection activeCell="E90" sqref="E90"/>
    </sheetView>
  </sheetViews>
  <sheetFormatPr defaultRowHeight="15" x14ac:dyDescent="0.25"/>
  <cols>
    <col min="1" max="1" width="0" hidden="1" customWidth="1"/>
    <col min="2" max="2" width="8.28515625" hidden="1" customWidth="1"/>
    <col min="3" max="3" width="3.5703125" style="332" hidden="1" customWidth="1"/>
    <col min="4" max="11" width="3" hidden="1" customWidth="1"/>
    <col min="12" max="12" width="0" hidden="1" customWidth="1"/>
    <col min="13" max="13" width="7.28515625" hidden="1" customWidth="1"/>
    <col min="14" max="21" width="4.7109375" hidden="1" customWidth="1"/>
  </cols>
  <sheetData>
    <row r="1" spans="1:40" x14ac:dyDescent="0.25">
      <c r="B1" t="s">
        <v>891</v>
      </c>
      <c r="M1" s="394" t="s">
        <v>898</v>
      </c>
    </row>
    <row r="2" spans="1:40" s="332" customFormat="1" x14ac:dyDescent="0.25"/>
    <row r="3" spans="1:40" s="332" customFormat="1" x14ac:dyDescent="0.25">
      <c r="B3" s="335" t="s">
        <v>355</v>
      </c>
    </row>
    <row r="5" spans="1:40" x14ac:dyDescent="0.25">
      <c r="B5" t="s">
        <v>3536</v>
      </c>
      <c r="C5" s="332" t="str">
        <f>'Overview (Design)'!N15</f>
        <v>!!</v>
      </c>
      <c r="M5" s="394" t="s">
        <v>3536</v>
      </c>
      <c r="N5" t="str">
        <f>'Overview (Design)'!N15</f>
        <v>!!</v>
      </c>
      <c r="O5" s="439"/>
    </row>
    <row r="6" spans="1:40" x14ac:dyDescent="0.25">
      <c r="B6" t="s">
        <v>3537</v>
      </c>
      <c r="C6" s="332" t="str">
        <f>'Overview (Design)'!Q15</f>
        <v>!!</v>
      </c>
      <c r="M6" t="s">
        <v>3763</v>
      </c>
      <c r="N6" s="439">
        <f>MAX('Ch7'!W105,'Ch7'!W623)</f>
        <v>0</v>
      </c>
      <c r="O6" s="439">
        <f>MAX('Ch7'!W108,'Ch7'!W625)</f>
        <v>0</v>
      </c>
      <c r="X6" s="1700" t="s">
        <v>5153</v>
      </c>
      <c r="Y6" s="1700"/>
      <c r="Z6" s="1700"/>
      <c r="AA6" s="1700"/>
      <c r="AB6" s="1700"/>
      <c r="AC6" s="1700"/>
      <c r="AD6" s="1700"/>
      <c r="AE6" s="1700"/>
      <c r="AF6" s="1700"/>
      <c r="AG6" s="1700"/>
      <c r="AH6" s="1700"/>
      <c r="AI6" s="1700"/>
      <c r="AJ6" s="1700"/>
      <c r="AK6" s="1700"/>
      <c r="AL6" s="1700"/>
      <c r="AM6" s="1700"/>
      <c r="AN6" s="1700"/>
    </row>
    <row r="7" spans="1:40" x14ac:dyDescent="0.25">
      <c r="B7" t="s">
        <v>3538</v>
      </c>
      <c r="C7" s="332">
        <f>'Ch7'!W222</f>
        <v>0</v>
      </c>
      <c r="D7" s="333"/>
      <c r="M7" t="s">
        <v>3764</v>
      </c>
      <c r="N7">
        <f>IF(N6&lt;=1,1,IF(N6&lt;=2,2,IF(N6&lt;=3,3,IF(N6&lt;=4,4,0))))</f>
        <v>1</v>
      </c>
      <c r="O7" s="757">
        <f>IF(O6&lt;=0.13,1,IF(O6&lt;=0.18,2,IF(O6&lt;=0.23,3,IF(O6&lt;=0.28,4,0))))</f>
        <v>1</v>
      </c>
      <c r="X7" s="1700"/>
      <c r="Y7" s="1700"/>
      <c r="Z7" s="1700"/>
      <c r="AA7" s="1700"/>
      <c r="AB7" s="1700"/>
      <c r="AC7" s="1700"/>
      <c r="AD7" s="1700"/>
      <c r="AE7" s="1700"/>
      <c r="AF7" s="1700"/>
      <c r="AG7" s="1700"/>
      <c r="AH7" s="1700"/>
      <c r="AI7" s="1700"/>
      <c r="AJ7" s="1700"/>
      <c r="AK7" s="1700"/>
      <c r="AL7" s="1700"/>
      <c r="AM7" s="1700"/>
      <c r="AN7" s="1700"/>
    </row>
    <row r="8" spans="1:40" x14ac:dyDescent="0.25">
      <c r="X8" s="1700"/>
      <c r="Y8" s="1700"/>
      <c r="Z8" s="1700"/>
      <c r="AA8" s="1700"/>
      <c r="AB8" s="1700"/>
      <c r="AC8" s="1700"/>
      <c r="AD8" s="1700"/>
      <c r="AE8" s="1700"/>
      <c r="AF8" s="1700"/>
      <c r="AG8" s="1700"/>
      <c r="AH8" s="1700"/>
      <c r="AI8" s="1700"/>
      <c r="AJ8" s="1700"/>
      <c r="AK8" s="1700"/>
      <c r="AL8" s="1700"/>
      <c r="AM8" s="1700"/>
      <c r="AN8" s="1700"/>
    </row>
    <row r="9" spans="1:40" x14ac:dyDescent="0.25">
      <c r="C9" s="332" t="s">
        <v>3535</v>
      </c>
      <c r="D9">
        <v>1</v>
      </c>
      <c r="E9">
        <v>2</v>
      </c>
      <c r="F9">
        <v>3</v>
      </c>
      <c r="G9">
        <v>4</v>
      </c>
      <c r="H9">
        <v>5</v>
      </c>
      <c r="I9">
        <v>6</v>
      </c>
      <c r="J9">
        <v>7</v>
      </c>
      <c r="K9">
        <v>8</v>
      </c>
      <c r="N9" s="394">
        <v>1</v>
      </c>
      <c r="O9" s="394">
        <v>2</v>
      </c>
      <c r="P9" s="394">
        <v>3</v>
      </c>
      <c r="Q9" s="394">
        <v>4</v>
      </c>
      <c r="R9" s="394">
        <v>5</v>
      </c>
      <c r="S9" s="394">
        <v>6</v>
      </c>
      <c r="T9" s="394">
        <v>7</v>
      </c>
      <c r="U9" s="394">
        <v>8</v>
      </c>
      <c r="X9" s="1700"/>
      <c r="Y9" s="1700"/>
      <c r="Z9" s="1700"/>
      <c r="AA9" s="1700"/>
      <c r="AB9" s="1700"/>
      <c r="AC9" s="1700"/>
      <c r="AD9" s="1700"/>
      <c r="AE9" s="1700"/>
      <c r="AF9" s="1700"/>
      <c r="AG9" s="1700"/>
      <c r="AH9" s="1700"/>
      <c r="AI9" s="1700"/>
      <c r="AJ9" s="1700"/>
      <c r="AK9" s="1700"/>
      <c r="AL9" s="1700"/>
      <c r="AM9" s="1700"/>
      <c r="AN9" s="1700"/>
    </row>
    <row r="10" spans="1:40" x14ac:dyDescent="0.25">
      <c r="A10">
        <v>1</v>
      </c>
      <c r="B10" s="333">
        <v>0</v>
      </c>
      <c r="C10" s="332">
        <v>0</v>
      </c>
      <c r="D10">
        <v>0</v>
      </c>
      <c r="E10">
        <v>0</v>
      </c>
      <c r="F10">
        <v>0</v>
      </c>
      <c r="G10">
        <v>0</v>
      </c>
      <c r="H10">
        <v>0</v>
      </c>
      <c r="I10">
        <v>0</v>
      </c>
      <c r="J10">
        <v>0</v>
      </c>
      <c r="K10">
        <v>0</v>
      </c>
      <c r="M10">
        <v>1</v>
      </c>
      <c r="N10">
        <v>4</v>
      </c>
      <c r="O10">
        <v>7</v>
      </c>
      <c r="P10">
        <v>5</v>
      </c>
      <c r="Q10">
        <v>7</v>
      </c>
      <c r="R10">
        <v>7</v>
      </c>
      <c r="S10">
        <v>10</v>
      </c>
      <c r="T10">
        <v>15</v>
      </c>
      <c r="U10">
        <v>11</v>
      </c>
    </row>
    <row r="11" spans="1:40" x14ac:dyDescent="0.25">
      <c r="A11">
        <v>2</v>
      </c>
      <c r="B11" s="333">
        <v>0.05</v>
      </c>
      <c r="C11" s="332">
        <v>1</v>
      </c>
      <c r="D11">
        <v>2</v>
      </c>
      <c r="E11">
        <v>3</v>
      </c>
      <c r="F11">
        <v>3</v>
      </c>
      <c r="G11">
        <v>3</v>
      </c>
      <c r="H11">
        <v>3</v>
      </c>
      <c r="I11">
        <v>3</v>
      </c>
      <c r="J11">
        <v>3</v>
      </c>
      <c r="K11">
        <v>3</v>
      </c>
      <c r="M11">
        <v>2</v>
      </c>
      <c r="N11" s="394">
        <v>3</v>
      </c>
      <c r="O11" s="394">
        <v>5</v>
      </c>
      <c r="P11" s="394">
        <v>3</v>
      </c>
      <c r="Q11" s="394">
        <v>4</v>
      </c>
      <c r="R11" s="394">
        <v>4</v>
      </c>
      <c r="S11" s="394">
        <v>6</v>
      </c>
      <c r="T11" s="394">
        <v>8</v>
      </c>
      <c r="U11" s="394">
        <v>7</v>
      </c>
    </row>
    <row r="12" spans="1:40" x14ac:dyDescent="0.25">
      <c r="A12">
        <v>3</v>
      </c>
      <c r="B12" s="333">
        <v>0.1</v>
      </c>
      <c r="C12" s="332">
        <v>1</v>
      </c>
      <c r="D12">
        <v>3</v>
      </c>
      <c r="E12">
        <v>6</v>
      </c>
      <c r="F12">
        <v>5</v>
      </c>
      <c r="G12">
        <v>6</v>
      </c>
      <c r="H12">
        <v>6</v>
      </c>
      <c r="I12">
        <v>6</v>
      </c>
      <c r="J12">
        <v>5</v>
      </c>
      <c r="K12">
        <v>7</v>
      </c>
      <c r="M12">
        <v>3</v>
      </c>
      <c r="N12" s="394">
        <v>2</v>
      </c>
      <c r="O12" s="394">
        <v>4</v>
      </c>
      <c r="P12" s="394"/>
      <c r="Q12" s="394"/>
      <c r="R12" s="394"/>
      <c r="S12" s="394"/>
      <c r="T12" s="394"/>
      <c r="U12" s="394"/>
      <c r="X12" s="1700" t="s">
        <v>5152</v>
      </c>
      <c r="Y12" s="1700"/>
      <c r="Z12" s="1700"/>
      <c r="AA12" s="1700"/>
      <c r="AB12" s="1700"/>
      <c r="AC12" s="1700"/>
      <c r="AD12" s="1700"/>
      <c r="AE12" s="1700"/>
      <c r="AF12" s="1700"/>
      <c r="AG12" s="1700"/>
      <c r="AH12" s="1700"/>
      <c r="AI12" s="1700"/>
      <c r="AJ12" s="1700"/>
      <c r="AK12" s="1700"/>
      <c r="AL12" s="1700"/>
      <c r="AM12" s="1700"/>
      <c r="AN12" s="1700"/>
    </row>
    <row r="13" spans="1:40" x14ac:dyDescent="0.25">
      <c r="A13">
        <v>4</v>
      </c>
      <c r="B13" s="333">
        <v>0.15</v>
      </c>
      <c r="C13" s="332">
        <v>2</v>
      </c>
      <c r="D13">
        <v>5</v>
      </c>
      <c r="E13">
        <v>9</v>
      </c>
      <c r="F13">
        <v>8</v>
      </c>
      <c r="G13">
        <v>9</v>
      </c>
      <c r="H13">
        <v>9</v>
      </c>
      <c r="I13">
        <v>9</v>
      </c>
      <c r="J13">
        <v>8</v>
      </c>
      <c r="K13">
        <v>10</v>
      </c>
      <c r="M13">
        <v>4</v>
      </c>
      <c r="N13" s="394">
        <v>1</v>
      </c>
      <c r="O13" s="394">
        <v>2</v>
      </c>
      <c r="P13" s="394"/>
      <c r="Q13" s="394"/>
      <c r="R13" s="394"/>
      <c r="S13" s="394"/>
      <c r="T13" s="394"/>
      <c r="U13" s="394"/>
      <c r="X13" s="1700"/>
      <c r="Y13" s="1700"/>
      <c r="Z13" s="1700"/>
      <c r="AA13" s="1700"/>
      <c r="AB13" s="1700"/>
      <c r="AC13" s="1700"/>
      <c r="AD13" s="1700"/>
      <c r="AE13" s="1700"/>
      <c r="AF13" s="1700"/>
      <c r="AG13" s="1700"/>
      <c r="AH13" s="1700"/>
      <c r="AI13" s="1700"/>
      <c r="AJ13" s="1700"/>
      <c r="AK13" s="1700"/>
      <c r="AL13" s="1700"/>
      <c r="AM13" s="1700"/>
      <c r="AN13" s="1700"/>
    </row>
    <row r="14" spans="1:40" x14ac:dyDescent="0.25">
      <c r="A14">
        <v>5</v>
      </c>
      <c r="B14" s="333">
        <v>0.2</v>
      </c>
      <c r="C14" s="332">
        <v>3</v>
      </c>
      <c r="D14">
        <v>6</v>
      </c>
      <c r="E14">
        <v>12</v>
      </c>
      <c r="F14">
        <v>10</v>
      </c>
      <c r="G14">
        <v>12</v>
      </c>
      <c r="H14">
        <v>12</v>
      </c>
      <c r="I14">
        <v>12</v>
      </c>
      <c r="J14">
        <v>11</v>
      </c>
      <c r="K14">
        <v>13</v>
      </c>
      <c r="X14" s="1700"/>
      <c r="Y14" s="1700"/>
      <c r="Z14" s="1700"/>
      <c r="AA14" s="1700"/>
      <c r="AB14" s="1700"/>
      <c r="AC14" s="1700"/>
      <c r="AD14" s="1700"/>
      <c r="AE14" s="1700"/>
      <c r="AF14" s="1700"/>
      <c r="AG14" s="1700"/>
      <c r="AH14" s="1700"/>
      <c r="AI14" s="1700"/>
      <c r="AJ14" s="1700"/>
      <c r="AK14" s="1700"/>
      <c r="AL14" s="1700"/>
      <c r="AM14" s="1700"/>
      <c r="AN14" s="1700"/>
    </row>
    <row r="15" spans="1:40" x14ac:dyDescent="0.25">
      <c r="A15">
        <v>6</v>
      </c>
      <c r="B15" s="333">
        <v>0.25</v>
      </c>
      <c r="C15" s="332">
        <v>4</v>
      </c>
      <c r="D15">
        <v>8</v>
      </c>
      <c r="E15">
        <v>15</v>
      </c>
      <c r="F15">
        <v>13</v>
      </c>
      <c r="G15">
        <v>16</v>
      </c>
      <c r="H15">
        <v>14</v>
      </c>
      <c r="I15">
        <v>15</v>
      </c>
      <c r="J15">
        <v>14</v>
      </c>
      <c r="K15">
        <v>17</v>
      </c>
      <c r="X15" s="1700"/>
      <c r="Y15" s="1700"/>
      <c r="Z15" s="1700"/>
      <c r="AA15" s="1700"/>
      <c r="AB15" s="1700"/>
      <c r="AC15" s="1700"/>
      <c r="AD15" s="1700"/>
      <c r="AE15" s="1700"/>
      <c r="AF15" s="1700"/>
      <c r="AG15" s="1700"/>
      <c r="AH15" s="1700"/>
      <c r="AI15" s="1700"/>
      <c r="AJ15" s="1700"/>
      <c r="AK15" s="1700"/>
      <c r="AL15" s="1700"/>
      <c r="AM15" s="1700"/>
      <c r="AN15" s="1700"/>
    </row>
    <row r="16" spans="1:40" x14ac:dyDescent="0.25">
      <c r="A16">
        <v>7</v>
      </c>
      <c r="B16" s="333">
        <v>0.3</v>
      </c>
      <c r="C16" s="332">
        <v>5</v>
      </c>
      <c r="D16">
        <v>10</v>
      </c>
      <c r="E16">
        <v>18</v>
      </c>
      <c r="F16">
        <v>16</v>
      </c>
      <c r="G16">
        <v>19</v>
      </c>
      <c r="H16">
        <v>17</v>
      </c>
      <c r="I16">
        <v>18</v>
      </c>
      <c r="J16">
        <v>16</v>
      </c>
      <c r="K16">
        <v>20</v>
      </c>
    </row>
    <row r="17" spans="1:21" x14ac:dyDescent="0.25">
      <c r="A17">
        <v>8</v>
      </c>
      <c r="B17" s="333">
        <v>0.35</v>
      </c>
      <c r="C17" s="332">
        <v>5</v>
      </c>
      <c r="D17">
        <v>11</v>
      </c>
      <c r="E17">
        <v>21</v>
      </c>
      <c r="F17">
        <v>18</v>
      </c>
      <c r="G17">
        <v>22</v>
      </c>
      <c r="H17">
        <v>20</v>
      </c>
      <c r="I17">
        <v>21</v>
      </c>
      <c r="J17">
        <v>19</v>
      </c>
      <c r="K17">
        <v>23</v>
      </c>
    </row>
    <row r="19" spans="1:21" x14ac:dyDescent="0.25">
      <c r="B19" t="s">
        <v>3539</v>
      </c>
      <c r="C19" s="332" t="e">
        <f>IF(C6="Tropical",INDEX(C10:C17,MATCH(C7,B10:B17,1)),INDEX(D10:K17,MATCH(C7,B10:B17,1),MATCH(C5,D9:K9,1)))</f>
        <v>#N/A</v>
      </c>
      <c r="M19" t="s">
        <v>3539</v>
      </c>
      <c r="N19">
        <f>IF(N6=0,0,IFERROR(INDEX($N$10:$U$13,N7,$N$5),0))</f>
        <v>0</v>
      </c>
      <c r="O19" s="767">
        <f>IF(O6=0,0,IFERROR(INDEX($N$10:$U$13,O7,$N$5),0))</f>
        <v>0</v>
      </c>
    </row>
    <row r="22" spans="1:21" x14ac:dyDescent="0.25">
      <c r="B22" s="335" t="s">
        <v>3540</v>
      </c>
    </row>
    <row r="24" spans="1:21" x14ac:dyDescent="0.25">
      <c r="A24" s="332"/>
      <c r="B24" s="332" t="s">
        <v>3536</v>
      </c>
      <c r="C24" s="334" t="str">
        <f>'Overview (Verification)'!W15</f>
        <v>!!</v>
      </c>
      <c r="D24" s="332"/>
      <c r="E24" s="332"/>
      <c r="F24" s="332"/>
      <c r="G24" s="332"/>
      <c r="H24" s="332"/>
      <c r="I24" s="332"/>
      <c r="J24" s="332"/>
      <c r="K24" s="332"/>
      <c r="M24" s="394" t="s">
        <v>3536</v>
      </c>
      <c r="N24" s="394" t="str">
        <f>'Overview (Verification)'!W15</f>
        <v>!!</v>
      </c>
      <c r="P24" s="394"/>
      <c r="Q24" s="394"/>
      <c r="R24" s="394"/>
      <c r="S24" s="394"/>
      <c r="T24" s="394"/>
      <c r="U24" s="394"/>
    </row>
    <row r="25" spans="1:21" x14ac:dyDescent="0.25">
      <c r="A25" s="332"/>
      <c r="B25" s="332" t="s">
        <v>3537</v>
      </c>
      <c r="C25" s="334" t="str">
        <f>'Overview (Verification)'!Z15</f>
        <v>!!</v>
      </c>
      <c r="D25" s="332"/>
      <c r="E25" s="332"/>
      <c r="F25" s="332"/>
      <c r="G25" s="332"/>
      <c r="H25" s="332"/>
      <c r="I25" s="332"/>
      <c r="J25" s="332"/>
      <c r="K25" s="332"/>
      <c r="M25" s="394" t="s">
        <v>3763</v>
      </c>
      <c r="N25" s="768">
        <f>MAX('Verification Report'!W975,'Verification Report'!W1493)</f>
        <v>0</v>
      </c>
      <c r="O25" s="768">
        <f>MAX('Verification Report'!W978,'Verification Report'!W1495)</f>
        <v>0</v>
      </c>
      <c r="P25" s="394"/>
      <c r="Q25" s="394"/>
      <c r="R25" s="394"/>
      <c r="S25" s="394"/>
      <c r="T25" s="394"/>
      <c r="U25" s="394"/>
    </row>
    <row r="26" spans="1:21" x14ac:dyDescent="0.25">
      <c r="A26" s="332"/>
      <c r="B26" s="332" t="s">
        <v>3538</v>
      </c>
      <c r="C26" s="334">
        <f>'Verification Report'!W1092</f>
        <v>0</v>
      </c>
      <c r="D26" s="333"/>
      <c r="E26" s="332"/>
      <c r="F26" s="332"/>
      <c r="G26" s="332"/>
      <c r="H26" s="332"/>
      <c r="I26" s="332"/>
      <c r="J26" s="332"/>
      <c r="K26" s="332"/>
      <c r="M26" s="394" t="s">
        <v>3764</v>
      </c>
      <c r="N26" s="394">
        <f>IF(N25&lt;=1,1,IF(N25&lt;=2,2,IF(N25&lt;=3,3,IF(N25&lt;=4,4,0))))</f>
        <v>1</v>
      </c>
      <c r="O26" s="791">
        <f>IF(O25&lt;=0.13,1,IF(O25&lt;=0.18,2,IF(O25&lt;=0.23,3,IF(O25&lt;=0.28,4,0))))</f>
        <v>1</v>
      </c>
      <c r="P26" s="394"/>
      <c r="Q26" s="394"/>
      <c r="R26" s="394"/>
      <c r="S26" s="394"/>
      <c r="T26" s="394"/>
      <c r="U26" s="394"/>
    </row>
    <row r="27" spans="1:21" x14ac:dyDescent="0.25">
      <c r="A27" s="332"/>
      <c r="B27" s="332"/>
      <c r="D27" s="332"/>
      <c r="E27" s="332"/>
      <c r="F27" s="332"/>
      <c r="G27" s="332"/>
      <c r="H27" s="332"/>
      <c r="I27" s="332"/>
      <c r="J27" s="332"/>
      <c r="K27" s="332"/>
      <c r="M27" s="394"/>
      <c r="O27" s="394"/>
      <c r="P27" s="394"/>
      <c r="Q27" s="394"/>
      <c r="R27" s="394"/>
      <c r="S27" s="394"/>
      <c r="T27" s="394"/>
      <c r="U27" s="394"/>
    </row>
    <row r="28" spans="1:21" x14ac:dyDescent="0.25">
      <c r="A28" s="332"/>
      <c r="B28" s="332"/>
      <c r="C28" s="332" t="s">
        <v>3535</v>
      </c>
      <c r="D28" s="332">
        <v>1</v>
      </c>
      <c r="E28" s="332">
        <v>2</v>
      </c>
      <c r="F28" s="332">
        <v>3</v>
      </c>
      <c r="G28" s="332">
        <v>4</v>
      </c>
      <c r="H28" s="332">
        <v>5</v>
      </c>
      <c r="I28" s="332">
        <v>6</v>
      </c>
      <c r="J28" s="332">
        <v>7</v>
      </c>
      <c r="K28" s="332">
        <v>8</v>
      </c>
      <c r="M28" s="394"/>
      <c r="N28" s="394">
        <v>1</v>
      </c>
      <c r="O28" s="394">
        <v>2</v>
      </c>
      <c r="P28" s="394">
        <v>3</v>
      </c>
      <c r="Q28" s="394">
        <v>4</v>
      </c>
      <c r="R28" s="394">
        <v>5</v>
      </c>
      <c r="S28" s="394">
        <v>6</v>
      </c>
      <c r="T28" s="394">
        <v>7</v>
      </c>
      <c r="U28" s="394">
        <v>8</v>
      </c>
    </row>
    <row r="29" spans="1:21" x14ac:dyDescent="0.25">
      <c r="A29" s="332">
        <v>1</v>
      </c>
      <c r="B29" s="333">
        <v>0</v>
      </c>
      <c r="C29" s="332">
        <v>0</v>
      </c>
      <c r="D29" s="332">
        <v>0</v>
      </c>
      <c r="E29" s="332">
        <v>0</v>
      </c>
      <c r="F29" s="332">
        <v>0</v>
      </c>
      <c r="G29" s="332">
        <v>0</v>
      </c>
      <c r="H29" s="332">
        <v>0</v>
      </c>
      <c r="I29" s="332">
        <v>0</v>
      </c>
      <c r="J29" s="332">
        <v>0</v>
      </c>
      <c r="K29" s="332">
        <v>0</v>
      </c>
      <c r="M29" s="394">
        <v>1</v>
      </c>
      <c r="N29" s="394">
        <v>4</v>
      </c>
      <c r="O29" s="394">
        <v>7</v>
      </c>
      <c r="P29" s="394">
        <v>5</v>
      </c>
      <c r="Q29" s="394">
        <v>7</v>
      </c>
      <c r="R29" s="394">
        <v>7</v>
      </c>
      <c r="S29" s="394">
        <v>10</v>
      </c>
      <c r="T29" s="394">
        <v>15</v>
      </c>
      <c r="U29" s="394">
        <v>11</v>
      </c>
    </row>
    <row r="30" spans="1:21" x14ac:dyDescent="0.25">
      <c r="A30" s="332">
        <v>2</v>
      </c>
      <c r="B30" s="333">
        <v>0.05</v>
      </c>
      <c r="C30" s="332">
        <v>1</v>
      </c>
      <c r="D30" s="332">
        <v>2</v>
      </c>
      <c r="E30" s="332">
        <v>3</v>
      </c>
      <c r="F30" s="332">
        <v>3</v>
      </c>
      <c r="G30" s="332">
        <v>3</v>
      </c>
      <c r="H30" s="332">
        <v>3</v>
      </c>
      <c r="I30" s="332">
        <v>3</v>
      </c>
      <c r="J30" s="332">
        <v>3</v>
      </c>
      <c r="K30" s="332">
        <v>3</v>
      </c>
      <c r="M30" s="394">
        <v>2</v>
      </c>
      <c r="N30" s="394">
        <v>3</v>
      </c>
      <c r="O30" s="394">
        <v>5</v>
      </c>
      <c r="P30" s="394">
        <v>3</v>
      </c>
      <c r="Q30" s="394">
        <v>4</v>
      </c>
      <c r="R30" s="394">
        <v>4</v>
      </c>
      <c r="S30" s="394">
        <v>6</v>
      </c>
      <c r="T30" s="394">
        <v>8</v>
      </c>
      <c r="U30" s="394">
        <v>7</v>
      </c>
    </row>
    <row r="31" spans="1:21" x14ac:dyDescent="0.25">
      <c r="A31" s="332">
        <v>3</v>
      </c>
      <c r="B31" s="333">
        <v>0.1</v>
      </c>
      <c r="C31" s="332">
        <v>1</v>
      </c>
      <c r="D31" s="332">
        <v>3</v>
      </c>
      <c r="E31" s="332">
        <v>6</v>
      </c>
      <c r="F31" s="332">
        <v>5</v>
      </c>
      <c r="G31" s="332">
        <v>6</v>
      </c>
      <c r="H31" s="332">
        <v>6</v>
      </c>
      <c r="I31" s="332">
        <v>6</v>
      </c>
      <c r="J31" s="332">
        <v>5</v>
      </c>
      <c r="K31" s="332">
        <v>7</v>
      </c>
      <c r="M31" s="394">
        <v>3</v>
      </c>
      <c r="N31" s="394">
        <v>2</v>
      </c>
      <c r="O31" s="394">
        <v>4</v>
      </c>
      <c r="P31" s="394"/>
      <c r="Q31" s="394"/>
      <c r="R31" s="394"/>
      <c r="S31" s="394"/>
      <c r="T31" s="394"/>
      <c r="U31" s="394"/>
    </row>
    <row r="32" spans="1:21" x14ac:dyDescent="0.25">
      <c r="A32" s="332">
        <v>4</v>
      </c>
      <c r="B32" s="333">
        <v>0.15</v>
      </c>
      <c r="C32" s="332">
        <v>2</v>
      </c>
      <c r="D32" s="332">
        <v>5</v>
      </c>
      <c r="E32" s="332">
        <v>9</v>
      </c>
      <c r="F32" s="332">
        <v>8</v>
      </c>
      <c r="G32" s="332">
        <v>9</v>
      </c>
      <c r="H32" s="332">
        <v>9</v>
      </c>
      <c r="I32" s="332">
        <v>9</v>
      </c>
      <c r="J32" s="332">
        <v>8</v>
      </c>
      <c r="K32" s="332">
        <v>10</v>
      </c>
      <c r="M32" s="394">
        <v>4</v>
      </c>
      <c r="N32" s="394">
        <v>1</v>
      </c>
      <c r="O32" s="394">
        <v>2</v>
      </c>
      <c r="P32" s="394"/>
      <c r="Q32" s="394"/>
      <c r="R32" s="394"/>
      <c r="S32" s="394"/>
      <c r="T32" s="394"/>
      <c r="U32" s="394"/>
    </row>
    <row r="33" spans="1:21" x14ac:dyDescent="0.25">
      <c r="A33" s="332">
        <v>5</v>
      </c>
      <c r="B33" s="333">
        <v>0.2</v>
      </c>
      <c r="C33" s="332">
        <v>3</v>
      </c>
      <c r="D33" s="332">
        <v>6</v>
      </c>
      <c r="E33" s="332">
        <v>12</v>
      </c>
      <c r="F33" s="332">
        <v>10</v>
      </c>
      <c r="G33" s="332">
        <v>12</v>
      </c>
      <c r="H33" s="332">
        <v>12</v>
      </c>
      <c r="I33" s="332">
        <v>12</v>
      </c>
      <c r="J33" s="332">
        <v>11</v>
      </c>
      <c r="K33" s="332">
        <v>13</v>
      </c>
      <c r="M33" s="394"/>
      <c r="N33" s="394"/>
      <c r="O33" s="394"/>
      <c r="P33" s="394"/>
      <c r="Q33" s="394"/>
      <c r="R33" s="394"/>
      <c r="S33" s="394"/>
      <c r="T33" s="394"/>
      <c r="U33" s="394"/>
    </row>
    <row r="34" spans="1:21" x14ac:dyDescent="0.25">
      <c r="A34" s="332">
        <v>6</v>
      </c>
      <c r="B34" s="333">
        <v>0.25</v>
      </c>
      <c r="C34" s="332">
        <v>4</v>
      </c>
      <c r="D34" s="332">
        <v>8</v>
      </c>
      <c r="E34" s="332">
        <v>15</v>
      </c>
      <c r="F34" s="332">
        <v>13</v>
      </c>
      <c r="G34" s="332">
        <v>16</v>
      </c>
      <c r="H34" s="332">
        <v>14</v>
      </c>
      <c r="I34" s="332">
        <v>15</v>
      </c>
      <c r="J34" s="332">
        <v>14</v>
      </c>
      <c r="K34" s="332">
        <v>17</v>
      </c>
      <c r="M34" s="394"/>
      <c r="N34" s="394"/>
      <c r="O34" s="394"/>
      <c r="P34" s="394"/>
      <c r="Q34" s="394"/>
      <c r="R34" s="394"/>
      <c r="S34" s="394"/>
      <c r="T34" s="394"/>
      <c r="U34" s="394"/>
    </row>
    <row r="35" spans="1:21" x14ac:dyDescent="0.25">
      <c r="A35" s="332">
        <v>7</v>
      </c>
      <c r="B35" s="333">
        <v>0.3</v>
      </c>
      <c r="C35" s="332">
        <v>5</v>
      </c>
      <c r="D35" s="332">
        <v>10</v>
      </c>
      <c r="E35" s="332">
        <v>18</v>
      </c>
      <c r="F35" s="332">
        <v>16</v>
      </c>
      <c r="G35" s="332">
        <v>19</v>
      </c>
      <c r="H35" s="332">
        <v>17</v>
      </c>
      <c r="I35" s="332">
        <v>18</v>
      </c>
      <c r="J35" s="332">
        <v>16</v>
      </c>
      <c r="K35" s="332">
        <v>20</v>
      </c>
      <c r="M35" s="394"/>
      <c r="N35" s="394"/>
      <c r="O35" s="394"/>
      <c r="P35" s="394"/>
      <c r="Q35" s="394"/>
      <c r="R35" s="394"/>
      <c r="S35" s="394"/>
      <c r="T35" s="394"/>
      <c r="U35" s="394"/>
    </row>
    <row r="36" spans="1:21" x14ac:dyDescent="0.25">
      <c r="A36" s="332">
        <v>8</v>
      </c>
      <c r="B36" s="333">
        <v>0.35</v>
      </c>
      <c r="C36" s="332">
        <v>5</v>
      </c>
      <c r="D36" s="332">
        <v>11</v>
      </c>
      <c r="E36" s="332">
        <v>21</v>
      </c>
      <c r="F36" s="332">
        <v>18</v>
      </c>
      <c r="G36" s="332">
        <v>22</v>
      </c>
      <c r="H36" s="332">
        <v>20</v>
      </c>
      <c r="I36" s="332">
        <v>21</v>
      </c>
      <c r="J36" s="332">
        <v>19</v>
      </c>
      <c r="K36" s="332">
        <v>23</v>
      </c>
      <c r="M36" s="394"/>
      <c r="N36" s="394"/>
      <c r="O36" s="394"/>
      <c r="P36" s="394"/>
      <c r="Q36" s="394"/>
      <c r="R36" s="394"/>
      <c r="S36" s="394"/>
      <c r="T36" s="394"/>
      <c r="U36" s="394"/>
    </row>
    <row r="37" spans="1:21" x14ac:dyDescent="0.25">
      <c r="A37" s="332"/>
      <c r="B37" s="332"/>
      <c r="D37" s="332"/>
      <c r="E37" s="332"/>
      <c r="F37" s="332"/>
      <c r="G37" s="332"/>
      <c r="H37" s="332"/>
      <c r="I37" s="332"/>
      <c r="J37" s="332"/>
      <c r="K37" s="332"/>
      <c r="M37" s="394"/>
      <c r="N37" s="394"/>
      <c r="O37" s="394"/>
      <c r="P37" s="394"/>
      <c r="Q37" s="394"/>
      <c r="R37" s="394"/>
      <c r="S37" s="394"/>
      <c r="T37" s="394"/>
      <c r="U37" s="394"/>
    </row>
    <row r="38" spans="1:21" x14ac:dyDescent="0.25">
      <c r="A38" s="332"/>
      <c r="B38" s="332" t="s">
        <v>3539</v>
      </c>
      <c r="C38" s="332" t="e">
        <f>IF(C25="Tropical",INDEX(C29:C36,MATCH(C26,B29:B36,1)),INDEX(D29:K36,MATCH(C26,B29:B36,1),MATCH(C24,D28:K28,1)))</f>
        <v>#N/A</v>
      </c>
      <c r="D38" s="332"/>
      <c r="E38" s="332"/>
      <c r="F38" s="332"/>
      <c r="G38" s="332"/>
      <c r="H38" s="332"/>
      <c r="I38" s="332"/>
      <c r="J38" s="332"/>
      <c r="K38" s="332"/>
      <c r="M38" s="394" t="s">
        <v>3539</v>
      </c>
      <c r="N38" s="767">
        <f>IF(N25=0,0,IFERROR(INDEX($N$29:$U$32,N26,$N$24),0))</f>
        <v>0</v>
      </c>
      <c r="O38" s="767">
        <f>IF(O25=0,0,IFERROR(INDEX($N$29:$U$32,O26,$N$24),0))</f>
        <v>0</v>
      </c>
      <c r="P38" s="394"/>
      <c r="Q38" s="394"/>
      <c r="R38" s="394"/>
      <c r="S38" s="394"/>
      <c r="T38" s="394"/>
      <c r="U38" s="394"/>
    </row>
  </sheetData>
  <sheetProtection algorithmName="SHA-512" hashValue="ifqI7/yT+kzXDxlxAHukWKjFqh6XHDSIsHd+vkru0rv/exsh8yQvpfMidtgw+ZrTQSWsowyTBwZ4jXpdMZvhvw==" saltValue="/yeqFxtYW15X5Pq99DcKIA==" spinCount="100000" sheet="1" objects="1" scenarios="1" selectLockedCells="1" selectUnlockedCells="1"/>
  <mergeCells count="2">
    <mergeCell ref="X12:AN15"/>
    <mergeCell ref="X6:AN9"/>
  </mergeCells>
  <pageMargins left="0.7" right="0.7" top="0.75" bottom="0.75" header="0.3" footer="0.3"/>
  <pageSetup scale="33"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Z64"/>
  <sheetViews>
    <sheetView showGridLines="0" zoomScaleNormal="100" workbookViewId="0">
      <pane ySplit="6" topLeftCell="A7" activePane="bottomLeft" state="frozen"/>
      <selection activeCell="E90" sqref="E90"/>
      <selection pane="bottomLeft" activeCell="J8" sqref="J8:K8"/>
    </sheetView>
  </sheetViews>
  <sheetFormatPr defaultColWidth="9.140625" defaultRowHeight="15" x14ac:dyDescent="0.25"/>
  <cols>
    <col min="1" max="4" width="9.140625" style="43"/>
    <col min="5" max="13" width="9.140625" style="47" customWidth="1"/>
    <col min="14" max="14" width="16.85546875" style="43" hidden="1" customWidth="1"/>
    <col min="15" max="15" width="17.42578125" style="43" hidden="1" customWidth="1"/>
    <col min="16" max="16384" width="9.140625" style="43"/>
  </cols>
  <sheetData>
    <row r="1" spans="1:26" x14ac:dyDescent="0.25">
      <c r="A1" s="1937"/>
      <c r="B1" s="1937"/>
      <c r="C1" s="1937"/>
      <c r="D1" s="2069" t="s">
        <v>4877</v>
      </c>
      <c r="E1" s="1937"/>
      <c r="F1" s="1937"/>
      <c r="G1" s="1937"/>
      <c r="H1" s="1937"/>
      <c r="I1" s="1937"/>
      <c r="J1" s="1937"/>
      <c r="K1" s="1937"/>
      <c r="L1" s="1937"/>
      <c r="M1" s="1937"/>
      <c r="N1" s="1937"/>
      <c r="O1" s="1937"/>
      <c r="P1" s="1937"/>
      <c r="Q1" s="1937"/>
      <c r="R1" s="1937"/>
      <c r="S1" s="1937"/>
      <c r="T1" s="1937"/>
      <c r="U1" s="1937"/>
      <c r="V1" s="1937"/>
      <c r="W1" s="1937"/>
      <c r="X1" s="1937"/>
      <c r="Y1" s="2070"/>
    </row>
    <row r="2" spans="1:26" x14ac:dyDescent="0.25">
      <c r="A2" s="1931"/>
      <c r="B2" s="1931"/>
      <c r="C2" s="1931"/>
      <c r="D2" s="2071"/>
      <c r="E2" s="1931"/>
      <c r="F2" s="1931"/>
      <c r="G2" s="1931"/>
      <c r="H2" s="1931"/>
      <c r="I2" s="1931"/>
      <c r="J2" s="1931"/>
      <c r="K2" s="1931"/>
      <c r="L2" s="1931"/>
      <c r="M2" s="1931"/>
      <c r="N2" s="1931"/>
      <c r="O2" s="1931"/>
      <c r="P2" s="1931"/>
      <c r="Q2" s="1931"/>
      <c r="R2" s="1931"/>
      <c r="S2" s="1931"/>
      <c r="T2" s="1931"/>
      <c r="U2" s="1931"/>
      <c r="V2" s="1931"/>
      <c r="W2" s="1931"/>
      <c r="X2" s="1931"/>
      <c r="Y2" s="2072"/>
    </row>
    <row r="3" spans="1:26" ht="15" customHeight="1" x14ac:dyDescent="0.25">
      <c r="A3" s="1931"/>
      <c r="B3" s="1931"/>
      <c r="C3" s="1931"/>
      <c r="D3" s="2073"/>
      <c r="E3" s="1777"/>
      <c r="F3" s="1777"/>
      <c r="G3" s="1777"/>
      <c r="H3" s="1777"/>
      <c r="I3" s="1777"/>
      <c r="J3" s="1777"/>
      <c r="K3" s="1777"/>
      <c r="L3" s="1777"/>
      <c r="M3" s="1777"/>
      <c r="N3" s="1777"/>
      <c r="O3" s="1777"/>
      <c r="P3" s="1777"/>
      <c r="Q3" s="1777"/>
      <c r="R3" s="1777"/>
      <c r="S3" s="1777"/>
      <c r="T3" s="1777"/>
      <c r="U3" s="1777"/>
      <c r="V3" s="1777"/>
      <c r="W3" s="1777"/>
      <c r="X3" s="1777"/>
      <c r="Y3" s="2074"/>
    </row>
    <row r="4" spans="1:26" s="58" customFormat="1" x14ac:dyDescent="0.25">
      <c r="A4" s="1931"/>
      <c r="B4" s="1931"/>
      <c r="C4" s="1931"/>
      <c r="D4" s="2057" t="s">
        <v>358</v>
      </c>
      <c r="E4" s="2058"/>
      <c r="F4" s="2058"/>
      <c r="G4" s="2058"/>
      <c r="H4" s="2058"/>
      <c r="I4" s="2058"/>
      <c r="J4" s="2058"/>
      <c r="K4" s="2058"/>
      <c r="L4" s="2058"/>
      <c r="M4" s="2059"/>
      <c r="P4" s="2063" t="s">
        <v>4067</v>
      </c>
      <c r="Q4" s="2064"/>
      <c r="R4" s="2064"/>
      <c r="S4" s="2064"/>
      <c r="T4" s="2064"/>
      <c r="U4" s="2064"/>
      <c r="V4" s="2064"/>
      <c r="W4" s="2064"/>
      <c r="X4" s="2064"/>
      <c r="Y4" s="2065"/>
    </row>
    <row r="5" spans="1:26" s="58" customFormat="1" x14ac:dyDescent="0.25">
      <c r="A5" s="1931"/>
      <c r="B5" s="1931"/>
      <c r="C5" s="1931"/>
      <c r="D5" s="2060"/>
      <c r="E5" s="2061"/>
      <c r="F5" s="2061"/>
      <c r="G5" s="2061"/>
      <c r="H5" s="2061"/>
      <c r="I5" s="2061"/>
      <c r="J5" s="2061"/>
      <c r="K5" s="2061"/>
      <c r="L5" s="2061"/>
      <c r="M5" s="2062"/>
      <c r="P5" s="2066"/>
      <c r="Q5" s="2067"/>
      <c r="R5" s="2067"/>
      <c r="S5" s="2067"/>
      <c r="T5" s="2067"/>
      <c r="U5" s="2067"/>
      <c r="V5" s="2067"/>
      <c r="W5" s="2067"/>
      <c r="X5" s="2067"/>
      <c r="Y5" s="2068"/>
    </row>
    <row r="6" spans="1:26" ht="18.75" x14ac:dyDescent="0.3">
      <c r="A6" s="15" t="s">
        <v>3952</v>
      </c>
      <c r="B6" s="15"/>
      <c r="C6" s="15"/>
      <c r="D6" s="15"/>
      <c r="E6" s="2030" t="s">
        <v>355</v>
      </c>
      <c r="F6" s="2031"/>
      <c r="G6" s="2031"/>
      <c r="H6" s="2032"/>
      <c r="I6" s="55" t="s">
        <v>357</v>
      </c>
      <c r="J6" s="2030" t="s">
        <v>356</v>
      </c>
      <c r="K6" s="2031"/>
      <c r="L6" s="2031"/>
      <c r="M6" s="2032"/>
      <c r="N6" s="43" t="s">
        <v>247</v>
      </c>
      <c r="O6" s="43" t="s">
        <v>247</v>
      </c>
      <c r="P6" s="15" t="s">
        <v>315</v>
      </c>
      <c r="Q6" s="15"/>
      <c r="R6" s="15"/>
      <c r="S6" s="15"/>
      <c r="T6" s="15"/>
      <c r="U6" s="15"/>
      <c r="V6" s="15"/>
      <c r="W6" s="15"/>
      <c r="X6" s="15"/>
      <c r="Y6" s="15"/>
    </row>
    <row r="7" spans="1:26" x14ac:dyDescent="0.25">
      <c r="N7" s="43" t="s">
        <v>233</v>
      </c>
      <c r="O7" s="43" t="s">
        <v>234</v>
      </c>
    </row>
    <row r="8" spans="1:26" s="622" customFormat="1" x14ac:dyDescent="0.25">
      <c r="A8" s="1712" t="s">
        <v>3839</v>
      </c>
      <c r="B8" s="1712"/>
      <c r="C8" s="1712"/>
      <c r="D8" s="1712"/>
      <c r="E8" s="588"/>
      <c r="F8" s="588"/>
      <c r="G8" s="588"/>
      <c r="H8" s="588"/>
      <c r="I8"/>
      <c r="J8" s="2056"/>
      <c r="K8" s="2056"/>
      <c r="L8"/>
      <c r="M8"/>
      <c r="N8"/>
      <c r="O8" s="331" t="s">
        <v>4098</v>
      </c>
      <c r="P8" s="2007" t="str">
        <f>IF(LEN(J8)&gt;0,J8,"")</f>
        <v/>
      </c>
      <c r="Q8" s="2009"/>
      <c r="R8" s="2345" t="s">
        <v>5814</v>
      </c>
      <c r="S8" s="48"/>
      <c r="T8" s="48"/>
      <c r="U8" s="48"/>
      <c r="V8" s="48"/>
      <c r="W8" s="48"/>
    </row>
    <row r="10" spans="1:26" x14ac:dyDescent="0.25">
      <c r="A10" s="1712" t="s">
        <v>124</v>
      </c>
      <c r="B10" s="1712"/>
      <c r="C10" s="1712"/>
      <c r="D10" s="1712"/>
      <c r="E10" s="2033" t="str">
        <f>IF(LEN('Overview (Design)'!G10)=0,"",'Overview (Design)'!G10)</f>
        <v/>
      </c>
      <c r="F10" s="2034"/>
      <c r="G10" s="2034"/>
      <c r="H10" s="2035"/>
      <c r="I10" s="54"/>
      <c r="J10" s="1724"/>
      <c r="K10" s="1724"/>
      <c r="L10" s="1724"/>
      <c r="M10" s="1724"/>
      <c r="N10" s="41"/>
      <c r="O10" s="41" t="s">
        <v>325</v>
      </c>
      <c r="P10" s="2027" t="str">
        <f t="shared" ref="P10:P16" si="0">IF(LEN(IF(I10,E10,J10))=0,"",IF(I10,E10,J10))</f>
        <v/>
      </c>
      <c r="Q10" s="2027"/>
      <c r="R10" s="2027"/>
      <c r="S10" s="2027"/>
      <c r="T10" s="48"/>
      <c r="U10" s="1717" t="s">
        <v>3618</v>
      </c>
      <c r="V10" s="1718"/>
      <c r="W10" s="625"/>
      <c r="X10" s="335"/>
      <c r="Y10" s="335"/>
    </row>
    <row r="11" spans="1:26" x14ac:dyDescent="0.25">
      <c r="A11" s="1712" t="s">
        <v>125</v>
      </c>
      <c r="B11" s="1712"/>
      <c r="C11" s="1712"/>
      <c r="D11" s="1712"/>
      <c r="E11" s="2033" t="str">
        <f>IF(LEN('Overview (Design)'!G11)=0,"",'Overview (Design)'!G11)</f>
        <v/>
      </c>
      <c r="F11" s="2034"/>
      <c r="G11" s="2034"/>
      <c r="H11" s="2035"/>
      <c r="I11" s="54"/>
      <c r="J11" s="1724"/>
      <c r="K11" s="1724"/>
      <c r="L11" s="1724"/>
      <c r="M11" s="1724"/>
      <c r="N11" s="41"/>
      <c r="O11" s="41" t="s">
        <v>326</v>
      </c>
      <c r="P11" s="2027" t="str">
        <f t="shared" si="0"/>
        <v/>
      </c>
      <c r="Q11" s="2027" t="str">
        <f t="shared" ref="Q11:S15" si="1">IF(LEN(IF(J11,F11,K11))=0,"",IF(J11,F11,K11))</f>
        <v/>
      </c>
      <c r="R11" s="2027" t="str">
        <f t="shared" si="1"/>
        <v/>
      </c>
      <c r="S11" s="2027" t="str">
        <f t="shared" si="1"/>
        <v/>
      </c>
      <c r="T11" s="48"/>
      <c r="U11" s="628" t="str">
        <f>W15</f>
        <v>!!</v>
      </c>
      <c r="V11" s="629" t="str">
        <f>X15</f>
        <v>!!</v>
      </c>
      <c r="W11" s="629" t="str">
        <f>Y15</f>
        <v>!!</v>
      </c>
      <c r="X11" s="629"/>
      <c r="Y11" s="630" t="str">
        <f>Z15</f>
        <v>!!</v>
      </c>
    </row>
    <row r="12" spans="1:26" x14ac:dyDescent="0.25">
      <c r="A12" s="1712" t="s">
        <v>130</v>
      </c>
      <c r="B12" s="1712"/>
      <c r="C12" s="1712"/>
      <c r="D12" s="1712"/>
      <c r="E12" s="2033" t="str">
        <f>IF(LEN('Overview (Design)'!G12)=0,"",'Overview (Design)'!G12)</f>
        <v/>
      </c>
      <c r="F12" s="2034"/>
      <c r="G12" s="2034"/>
      <c r="H12" s="2035"/>
      <c r="I12" s="54"/>
      <c r="J12" s="1724"/>
      <c r="K12" s="1724"/>
      <c r="L12" s="1724"/>
      <c r="M12" s="1724"/>
      <c r="N12" s="41"/>
      <c r="O12" s="41" t="s">
        <v>327</v>
      </c>
      <c r="P12" s="2027" t="str">
        <f t="shared" si="0"/>
        <v/>
      </c>
      <c r="Q12" s="2027" t="str">
        <f t="shared" si="1"/>
        <v/>
      </c>
      <c r="R12" s="2027" t="str">
        <f t="shared" si="1"/>
        <v/>
      </c>
      <c r="S12" s="2027" t="str">
        <f t="shared" si="1"/>
        <v/>
      </c>
      <c r="T12" s="48"/>
      <c r="U12" s="48"/>
      <c r="V12" s="48"/>
      <c r="W12" s="48"/>
    </row>
    <row r="13" spans="1:26" x14ac:dyDescent="0.25">
      <c r="A13" s="1712" t="s">
        <v>126</v>
      </c>
      <c r="B13" s="1712"/>
      <c r="C13" s="1712"/>
      <c r="D13" s="1712"/>
      <c r="E13" s="2033" t="str">
        <f>IF(LEN('Overview (Design)'!G13)=0,"",'Overview (Design)'!G13)</f>
        <v/>
      </c>
      <c r="F13" s="2034"/>
      <c r="G13" s="2034"/>
      <c r="H13" s="2035"/>
      <c r="I13" s="54"/>
      <c r="J13" s="1724"/>
      <c r="K13" s="1724"/>
      <c r="L13" s="1724"/>
      <c r="M13" s="1724"/>
      <c r="N13" s="41"/>
      <c r="O13" s="41" t="s">
        <v>328</v>
      </c>
      <c r="P13" s="2027" t="str">
        <f t="shared" si="0"/>
        <v/>
      </c>
      <c r="Q13" s="2027" t="str">
        <f t="shared" si="1"/>
        <v/>
      </c>
      <c r="R13" s="2027" t="str">
        <f t="shared" si="1"/>
        <v/>
      </c>
      <c r="S13" s="2027" t="str">
        <f t="shared" si="1"/>
        <v/>
      </c>
      <c r="T13" s="2345" t="s">
        <v>5814</v>
      </c>
      <c r="U13" s="48"/>
      <c r="V13" s="48"/>
      <c r="W13" s="48"/>
    </row>
    <row r="14" spans="1:26" x14ac:dyDescent="0.25">
      <c r="A14" s="1712" t="s">
        <v>128</v>
      </c>
      <c r="B14" s="1712"/>
      <c r="C14" s="1712"/>
      <c r="D14" s="1712"/>
      <c r="E14" s="2033" t="str">
        <f>IF(LEN('Overview (Design)'!G14)=0,"",'Overview (Design)'!G14)</f>
        <v/>
      </c>
      <c r="F14" s="2034"/>
      <c r="G14" s="2034"/>
      <c r="H14" s="2035"/>
      <c r="I14" s="54"/>
      <c r="J14" s="1724"/>
      <c r="K14" s="1724"/>
      <c r="L14" s="1724"/>
      <c r="M14" s="1724"/>
      <c r="N14" s="6" t="s">
        <v>175</v>
      </c>
      <c r="O14" s="41" t="s">
        <v>329</v>
      </c>
      <c r="P14" s="2028" t="str">
        <f t="shared" si="0"/>
        <v/>
      </c>
      <c r="Q14" s="2028" t="str">
        <f t="shared" si="1"/>
        <v/>
      </c>
      <c r="R14" s="2028" t="str">
        <f t="shared" si="1"/>
        <v/>
      </c>
      <c r="S14" s="2028" t="str">
        <f t="shared" si="1"/>
        <v/>
      </c>
      <c r="T14" s="2356" t="s">
        <v>2</v>
      </c>
      <c r="U14" s="2356" t="s">
        <v>4</v>
      </c>
      <c r="V14" s="578" t="str">
        <f>Geography!D1</f>
        <v>Radon</v>
      </c>
      <c r="W14" s="2356" t="str">
        <f>Geography!E1</f>
        <v>Climate</v>
      </c>
      <c r="X14" s="2352" t="str">
        <f>Geography!F1</f>
        <v>Moist</v>
      </c>
      <c r="Y14" s="2352" t="str">
        <f>Geography!G1</f>
        <v>WarmHumid</v>
      </c>
      <c r="Z14" s="2352" t="str">
        <f>Geography!H1</f>
        <v>Tropical</v>
      </c>
    </row>
    <row r="15" spans="1:26" x14ac:dyDescent="0.25">
      <c r="A15" s="1712" t="s">
        <v>127</v>
      </c>
      <c r="B15" s="1712"/>
      <c r="C15" s="1712"/>
      <c r="D15" s="1712"/>
      <c r="E15" s="2033" t="str">
        <f>IF(LEN('Overview (Design)'!G15)=0,"",'Overview (Design)'!G15)</f>
        <v/>
      </c>
      <c r="F15" s="2034"/>
      <c r="G15" s="2034"/>
      <c r="H15" s="2035"/>
      <c r="I15" s="54"/>
      <c r="J15" s="1724"/>
      <c r="K15" s="1724"/>
      <c r="L15" s="1724"/>
      <c r="M15" s="1724"/>
      <c r="N15" s="6" t="s">
        <v>176</v>
      </c>
      <c r="O15" s="41" t="s">
        <v>330</v>
      </c>
      <c r="P15" s="2028" t="str">
        <f t="shared" si="0"/>
        <v/>
      </c>
      <c r="Q15" s="2028" t="str">
        <f t="shared" si="1"/>
        <v/>
      </c>
      <c r="R15" s="2028" t="str">
        <f t="shared" si="1"/>
        <v/>
      </c>
      <c r="S15" s="2028" t="str">
        <f t="shared" si="1"/>
        <v/>
      </c>
      <c r="T15" s="2357" t="str">
        <f>P14</f>
        <v/>
      </c>
      <c r="U15" s="2357" t="str">
        <f>P15</f>
        <v/>
      </c>
      <c r="V15" s="578" t="str">
        <f>IFERROR(DGET(dbState,V14,$T$14:$U$15),"!!")</f>
        <v>!!</v>
      </c>
      <c r="W15" s="2356" t="str">
        <f>IFERROR(DGET(dbState,W14,$T$14:$U$15),"!!")</f>
        <v>!!</v>
      </c>
      <c r="X15" s="2352" t="str">
        <f>IFERROR(DGET(dbState,X14,$T$14:$U$15),"!!")</f>
        <v>!!</v>
      </c>
      <c r="Y15" s="2352" t="str">
        <f>IFERROR(DGET(dbState,Y14,$T$14:$U$15),"!!")</f>
        <v>!!</v>
      </c>
      <c r="Z15" s="2352" t="str">
        <f>IFERROR(DGET(dbState,Z14,$T$14:$U$15),"!!")</f>
        <v>!!</v>
      </c>
    </row>
    <row r="16" spans="1:26" x14ac:dyDescent="0.25">
      <c r="A16" s="1712" t="s">
        <v>129</v>
      </c>
      <c r="B16" s="1712"/>
      <c r="C16" s="1712"/>
      <c r="D16" s="1712"/>
      <c r="E16" s="2033" t="str">
        <f>IF(LEN('Overview (Design)'!G16)=0,"",'Overview (Design)'!G16)</f>
        <v/>
      </c>
      <c r="F16" s="2034"/>
      <c r="G16" s="2034"/>
      <c r="H16" s="2035"/>
      <c r="I16" s="54"/>
      <c r="J16" s="727"/>
      <c r="K16" s="45"/>
      <c r="L16" s="45"/>
      <c r="M16" s="45"/>
      <c r="N16" s="41"/>
      <c r="O16" s="41" t="s">
        <v>331</v>
      </c>
      <c r="P16" s="49" t="str">
        <f t="shared" si="0"/>
        <v/>
      </c>
      <c r="Q16" s="2345" t="s">
        <v>5814</v>
      </c>
      <c r="R16" s="50"/>
      <c r="S16" s="50"/>
      <c r="T16" s="48"/>
      <c r="U16" s="48"/>
      <c r="V16" s="48"/>
      <c r="W16" s="48"/>
    </row>
    <row r="17" spans="1:25" x14ac:dyDescent="0.25">
      <c r="A17" s="1712"/>
      <c r="B17" s="1712"/>
      <c r="C17" s="1712"/>
      <c r="D17" s="1712"/>
      <c r="E17" s="45"/>
      <c r="F17" s="45"/>
      <c r="G17" s="45"/>
      <c r="H17" s="45"/>
      <c r="I17" s="46"/>
      <c r="J17" s="45"/>
      <c r="K17" s="45"/>
      <c r="L17" s="45"/>
      <c r="M17" s="45"/>
      <c r="N17" s="41"/>
      <c r="O17" s="41"/>
      <c r="P17" s="50"/>
      <c r="Q17" s="50"/>
      <c r="R17" s="50"/>
      <c r="S17" s="50"/>
      <c r="T17" s="48"/>
      <c r="U17" s="48"/>
      <c r="V17" s="48"/>
      <c r="W17" s="48"/>
    </row>
    <row r="18" spans="1:25" x14ac:dyDescent="0.25">
      <c r="A18" s="1712" t="s">
        <v>360</v>
      </c>
      <c r="B18" s="1712"/>
      <c r="C18" s="1712"/>
      <c r="D18" s="1712"/>
      <c r="E18" s="2033" t="str">
        <f>IF(LEN('Overview (Design)'!G18)=0,"",'Overview (Design)'!G18)</f>
        <v>Single-Family</v>
      </c>
      <c r="F18" s="2034"/>
      <c r="G18" s="2034"/>
      <c r="H18" s="2035"/>
      <c r="I18" s="54" t="b">
        <v>1</v>
      </c>
      <c r="J18" s="2037"/>
      <c r="K18" s="2037"/>
      <c r="L18" s="45"/>
      <c r="M18" s="45"/>
      <c r="N18" s="41" t="s">
        <v>177</v>
      </c>
      <c r="O18" s="41" t="s">
        <v>332</v>
      </c>
      <c r="P18" s="2038" t="str">
        <f>IF(LEN(IF(I18,E18,J18))=0,"",IF(I18,E18,J18))</f>
        <v>Single-Family</v>
      </c>
      <c r="Q18" s="2039" t="str">
        <f>IF(LEN(IF(J18,F18,K18))=0,"",IF(J18,F18,K18))</f>
        <v/>
      </c>
      <c r="R18" s="50"/>
      <c r="S18" s="50"/>
      <c r="T18" s="48"/>
      <c r="U18" s="48"/>
      <c r="V18" s="48"/>
      <c r="W18" s="48"/>
    </row>
    <row r="19" spans="1:25" x14ac:dyDescent="0.25">
      <c r="A19" s="2358" t="s">
        <v>156</v>
      </c>
      <c r="B19" s="2040"/>
      <c r="C19" s="2040"/>
      <c r="D19" s="2041"/>
      <c r="E19" s="2033" t="str">
        <f>IF(LEN('Overview (Design)'!G19)=0,"",'Overview (Design)'!G19)</f>
        <v/>
      </c>
      <c r="F19" s="2034"/>
      <c r="G19" s="2034"/>
      <c r="H19" s="2035"/>
      <c r="I19" s="54"/>
      <c r="J19" s="725"/>
      <c r="K19"/>
      <c r="L19" s="45"/>
      <c r="M19" s="45"/>
      <c r="N19" s="41"/>
      <c r="O19" s="41" t="s">
        <v>333</v>
      </c>
      <c r="P19" s="49" t="str">
        <f>IF(LEN(IF(I19,E19,J19))=0,"",IF(I19,E19,J19))</f>
        <v/>
      </c>
      <c r="Q19" s="50"/>
      <c r="R19" s="50"/>
      <c r="S19" s="50"/>
      <c r="T19" s="48"/>
      <c r="U19" s="48"/>
      <c r="V19" s="48"/>
      <c r="W19" s="48"/>
    </row>
    <row r="20" spans="1:25" customFormat="1" ht="15" customHeight="1" x14ac:dyDescent="0.25">
      <c r="A20" s="2353" t="s">
        <v>4840</v>
      </c>
      <c r="B20" s="1736"/>
      <c r="C20" s="1736"/>
      <c r="D20" s="1736"/>
      <c r="E20" s="2033" t="str">
        <f>IF(LEN('Overview (Design)'!G20)=0,"",'Overview (Design)'!G20)</f>
        <v/>
      </c>
      <c r="F20" s="2034"/>
      <c r="G20" s="2034"/>
      <c r="H20" s="2035"/>
      <c r="I20" s="54"/>
      <c r="J20" s="1099"/>
      <c r="N20" s="1101" t="s">
        <v>4842</v>
      </c>
      <c r="O20" s="331" t="s">
        <v>4843</v>
      </c>
      <c r="P20" s="1102" t="str">
        <f>IF(LEN(IF(I20,E20,J20))=0,"",IF(I20,E20,J20))</f>
        <v/>
      </c>
    </row>
    <row r="21" spans="1:25" customFormat="1" x14ac:dyDescent="0.25">
      <c r="A21" s="1736"/>
      <c r="B21" s="1736"/>
      <c r="C21" s="1736"/>
      <c r="D21" s="1736"/>
    </row>
    <row r="22" spans="1:25" customFormat="1" x14ac:dyDescent="0.25">
      <c r="A22" s="1736"/>
      <c r="B22" s="1736"/>
      <c r="C22" s="1736"/>
      <c r="D22" s="1736"/>
    </row>
    <row r="23" spans="1:25" x14ac:dyDescent="0.25">
      <c r="A23" s="2358" t="s">
        <v>157</v>
      </c>
      <c r="B23" s="2040"/>
      <c r="C23" s="2040"/>
      <c r="D23" s="2041"/>
      <c r="E23" s="2033" t="str">
        <f>IF(LEN('Overview (Design)'!G23)=0,"",'Overview (Design)'!G23)</f>
        <v/>
      </c>
      <c r="F23" s="2034"/>
      <c r="G23" s="2034"/>
      <c r="H23" s="2035"/>
      <c r="I23" s="54"/>
      <c r="J23" s="1724"/>
      <c r="K23" s="1724"/>
      <c r="L23" s="1724"/>
      <c r="M23" s="1724"/>
      <c r="N23" s="41"/>
      <c r="O23" s="41" t="s">
        <v>334</v>
      </c>
      <c r="P23" s="2027" t="str">
        <f>IF(LEN(IF(I23,E23,J23))=0,"",IF(I23,E23,J23))</f>
        <v/>
      </c>
      <c r="Q23" s="2027" t="str">
        <f>IF(LEN(IF(J23,F23,K23))=0,"",IF(J23,F23,K23))</f>
        <v/>
      </c>
      <c r="R23" s="2027" t="str">
        <f>IF(LEN(IF(K23,G23,L23))=0,"",IF(K23,G23,L23))</f>
        <v/>
      </c>
      <c r="S23" s="2027" t="str">
        <f>IF(LEN(IF(L23,H23,M23))=0,"",IF(L23,H23,M23))</f>
        <v/>
      </c>
      <c r="T23" s="48"/>
      <c r="U23" s="48"/>
      <c r="V23" s="48"/>
      <c r="W23" s="48"/>
    </row>
    <row r="24" spans="1:25" x14ac:dyDescent="0.25">
      <c r="A24" s="1750"/>
      <c r="B24" s="1750"/>
      <c r="C24" s="1750"/>
      <c r="D24" s="1750"/>
      <c r="E24" s="45"/>
      <c r="F24" s="45"/>
      <c r="G24" s="45"/>
      <c r="H24" s="45"/>
      <c r="N24" s="41"/>
      <c r="O24" s="41"/>
      <c r="P24" s="48"/>
      <c r="Q24" s="48"/>
      <c r="R24" s="48"/>
      <c r="S24" s="48"/>
      <c r="T24" s="48"/>
      <c r="U24" s="48"/>
      <c r="V24" s="48"/>
      <c r="W24" s="48"/>
    </row>
    <row r="25" spans="1:25" ht="15" customHeight="1" x14ac:dyDescent="0.25">
      <c r="A25" s="1712" t="s">
        <v>131</v>
      </c>
      <c r="B25" s="1712"/>
      <c r="C25" s="1712"/>
      <c r="D25" s="1712"/>
      <c r="E25" s="2033" t="str">
        <f>IF(LEN('Overview (Design)'!G25)=0,"",'Overview (Design)'!G25)</f>
        <v/>
      </c>
      <c r="F25" s="2034"/>
      <c r="G25" s="2034"/>
      <c r="H25" s="2035"/>
      <c r="I25" s="54"/>
      <c r="J25" s="725"/>
      <c r="K25" s="3" t="s">
        <v>146</v>
      </c>
      <c r="L25" s="46"/>
      <c r="M25" s="46"/>
      <c r="N25" s="41"/>
      <c r="O25" s="41" t="s">
        <v>335</v>
      </c>
      <c r="P25" s="51" t="str">
        <f>IF(LEN(IF(I25,E25,J25))=0,"",IF(I25,E25,J25))</f>
        <v/>
      </c>
      <c r="Q25" s="52" t="s">
        <v>146</v>
      </c>
      <c r="R25" s="2049" t="s">
        <v>361</v>
      </c>
      <c r="S25" s="2049"/>
      <c r="T25" s="2049"/>
      <c r="U25" s="2049"/>
      <c r="V25" s="2049"/>
      <c r="W25" s="2049"/>
      <c r="X25" s="45"/>
      <c r="Y25" s="45"/>
    </row>
    <row r="26" spans="1:25" x14ac:dyDescent="0.25">
      <c r="A26" s="1712" t="s">
        <v>132</v>
      </c>
      <c r="B26" s="1712"/>
      <c r="C26" s="1712"/>
      <c r="D26" s="1712"/>
      <c r="E26" s="2033" t="str">
        <f>IF(LEN('Overview (Design)'!G26)=0,"",'Overview (Design)'!G26)</f>
        <v/>
      </c>
      <c r="F26" s="2034"/>
      <c r="G26" s="2034"/>
      <c r="H26" s="2035"/>
      <c r="I26" s="54"/>
      <c r="J26" s="725"/>
      <c r="K26" s="3" t="s">
        <v>147</v>
      </c>
      <c r="L26" s="46"/>
      <c r="M26" s="46"/>
      <c r="N26" s="41"/>
      <c r="O26" s="41" t="s">
        <v>336</v>
      </c>
      <c r="P26" s="49" t="str">
        <f>IF(LEN(IF(I26,E26,J26))=0,"",IF(I26,E26,J26))</f>
        <v/>
      </c>
      <c r="Q26" s="52" t="s">
        <v>147</v>
      </c>
      <c r="R26" s="2049"/>
      <c r="S26" s="2049"/>
      <c r="T26" s="2049"/>
      <c r="U26" s="2049"/>
      <c r="V26" s="2049"/>
      <c r="W26" s="2049"/>
    </row>
    <row r="27" spans="1:25" s="442" customFormat="1" x14ac:dyDescent="0.25">
      <c r="A27" s="1712" t="s">
        <v>3520</v>
      </c>
      <c r="B27" s="1712"/>
      <c r="C27" s="1712"/>
      <c r="D27" s="1712"/>
      <c r="E27" s="2033" t="str">
        <f>IF(LEN('Overview (Design)'!G27)=0,"",'Overview (Design)'!G27)</f>
        <v/>
      </c>
      <c r="F27" s="2034"/>
      <c r="G27" s="2034"/>
      <c r="H27" s="2035"/>
      <c r="I27" s="54"/>
      <c r="J27" s="725"/>
      <c r="K27" s="3"/>
      <c r="L27" s="441"/>
      <c r="M27" s="441"/>
      <c r="N27" s="440"/>
      <c r="O27" s="514" t="s">
        <v>3810</v>
      </c>
      <c r="P27" s="470" t="str">
        <f>IF(LEN(IF(I27,E27,J27))=0,"",IF(I27,E27,J27))</f>
        <v/>
      </c>
      <c r="Q27" s="52"/>
      <c r="R27" s="471"/>
      <c r="S27" s="471"/>
      <c r="T27" s="471"/>
      <c r="U27" s="471"/>
      <c r="V27" s="471"/>
      <c r="W27" s="471"/>
    </row>
    <row r="28" spans="1:25" s="1606" customFormat="1" x14ac:dyDescent="0.25">
      <c r="A28" s="1712" t="s">
        <v>5664</v>
      </c>
      <c r="B28" s="1712"/>
      <c r="C28" s="1712"/>
      <c r="D28" s="2026"/>
      <c r="E28" s="2033" t="str">
        <f>IF(LEN('Overview (Design)'!G28)=0,"",'Overview (Design)'!G28)</f>
        <v/>
      </c>
      <c r="F28" s="2034"/>
      <c r="G28" s="2034"/>
      <c r="H28" s="2035"/>
      <c r="I28" s="54"/>
      <c r="J28" s="1604"/>
      <c r="K28" s="3" t="s">
        <v>5666</v>
      </c>
      <c r="L28" s="1605"/>
      <c r="M28" s="1605"/>
      <c r="N28" s="1602"/>
      <c r="O28" s="1602" t="s">
        <v>5667</v>
      </c>
      <c r="P28" s="1618" t="str">
        <f>IF(LEN(IF(I28,E28,J28))=0,"",IF(I28,E28,J28))</f>
        <v/>
      </c>
      <c r="Q28" s="3" t="s">
        <v>5666</v>
      </c>
      <c r="R28" s="1619"/>
      <c r="S28" s="1619"/>
      <c r="T28" s="1619"/>
      <c r="U28" s="1619"/>
      <c r="V28" s="1619"/>
      <c r="W28" s="1619"/>
    </row>
    <row r="29" spans="1:25" x14ac:dyDescent="0.25">
      <c r="A29" s="1749"/>
      <c r="B29" s="1749"/>
      <c r="C29" s="1749"/>
      <c r="D29" s="1749"/>
      <c r="E29" s="45"/>
      <c r="F29" s="45"/>
      <c r="G29" s="45"/>
      <c r="H29" s="45"/>
      <c r="N29" s="41"/>
      <c r="O29" s="41"/>
      <c r="P29" s="48"/>
      <c r="Q29" s="48"/>
      <c r="R29" s="48"/>
      <c r="S29" s="48"/>
      <c r="T29" s="48"/>
      <c r="U29" s="48"/>
      <c r="V29" s="48"/>
      <c r="W29" s="48"/>
    </row>
    <row r="30" spans="1:25" x14ac:dyDescent="0.25">
      <c r="A30" s="1712" t="s">
        <v>133</v>
      </c>
      <c r="B30" s="1712"/>
      <c r="C30" s="1712"/>
      <c r="D30" s="1712"/>
      <c r="E30" s="2050" t="str">
        <f>IF(LEN('Overview (Design)'!G30)=0,"",'Overview (Design)'!G30)</f>
        <v/>
      </c>
      <c r="F30" s="2051"/>
      <c r="G30" s="2051"/>
      <c r="H30" s="2052"/>
      <c r="I30" s="54"/>
      <c r="J30" s="2036"/>
      <c r="K30" s="2036"/>
      <c r="L30" s="2036"/>
      <c r="M30" s="2036"/>
      <c r="N30" s="41"/>
      <c r="O30" s="41" t="s">
        <v>337</v>
      </c>
      <c r="P30" s="2043" t="str">
        <f t="shared" ref="P30:P52" si="2">IF(LEN(IF(I30,E30,J30))=0,"",IF(I30,E30,J30))</f>
        <v/>
      </c>
      <c r="Q30" s="2044" t="str">
        <f t="shared" ref="Q30:S31" si="3">IF(LEN(IF(J30,F30,K30))=0,"",IF(J30,F30,K30))</f>
        <v/>
      </c>
      <c r="R30" s="2044" t="str">
        <f t="shared" si="3"/>
        <v/>
      </c>
      <c r="S30" s="2045" t="str">
        <f t="shared" si="3"/>
        <v/>
      </c>
      <c r="T30" s="48"/>
      <c r="U30" s="48"/>
      <c r="V30" s="48"/>
      <c r="W30" s="48"/>
      <c r="X30" s="47"/>
      <c r="Y30" s="47"/>
    </row>
    <row r="31" spans="1:25" s="47" customFormat="1" x14ac:dyDescent="0.25">
      <c r="A31" s="625"/>
      <c r="B31" s="625"/>
      <c r="C31" s="625"/>
      <c r="D31" s="625"/>
      <c r="E31" s="2053"/>
      <c r="F31" s="2054"/>
      <c r="G31" s="2054"/>
      <c r="H31" s="2055"/>
      <c r="I31" s="59"/>
      <c r="J31" s="2036"/>
      <c r="K31" s="2036"/>
      <c r="L31" s="2036"/>
      <c r="M31" s="2036"/>
      <c r="N31" s="45"/>
      <c r="O31" s="45"/>
      <c r="P31" s="2046" t="str">
        <f t="shared" si="2"/>
        <v/>
      </c>
      <c r="Q31" s="2047" t="str">
        <f t="shared" si="3"/>
        <v/>
      </c>
      <c r="R31" s="2047" t="str">
        <f t="shared" si="3"/>
        <v/>
      </c>
      <c r="S31" s="2048" t="str">
        <f t="shared" si="3"/>
        <v/>
      </c>
      <c r="T31" s="48"/>
      <c r="U31" s="48"/>
      <c r="V31" s="48"/>
      <c r="W31" s="48"/>
    </row>
    <row r="32" spans="1:25" x14ac:dyDescent="0.25">
      <c r="A32" s="1712" t="s">
        <v>134</v>
      </c>
      <c r="B32" s="1712"/>
      <c r="C32" s="1712"/>
      <c r="D32" s="2026"/>
      <c r="E32" s="2033" t="str">
        <f>IF(LEN('Overview (Design)'!G32)=0,"",'Overview (Design)'!G32)</f>
        <v/>
      </c>
      <c r="F32" s="2034"/>
      <c r="G32" s="2034"/>
      <c r="H32" s="2035"/>
      <c r="I32" s="54"/>
      <c r="J32" s="1724"/>
      <c r="K32" s="1724"/>
      <c r="L32" s="1724"/>
      <c r="M32" s="1724"/>
      <c r="N32" s="41" t="s">
        <v>178</v>
      </c>
      <c r="O32" s="41" t="s">
        <v>338</v>
      </c>
      <c r="P32" s="2042" t="str">
        <f t="shared" si="2"/>
        <v/>
      </c>
      <c r="Q32" s="2042" t="str">
        <f>IF(LEN(IF(J32,F32,K32))=0,"",IF(J32,F32,K32))</f>
        <v/>
      </c>
      <c r="R32" s="2042" t="str">
        <f>IF(LEN(IF(K32,G32,L32))=0,"",IF(K32,G32,L32))</f>
        <v/>
      </c>
      <c r="S32" s="2042" t="str">
        <f>IF(LEN(IF(L32,H32,M32))=0,"",IF(L32,H32,M32))</f>
        <v/>
      </c>
    </row>
    <row r="33" spans="1:25" s="442" customFormat="1" x14ac:dyDescent="0.25">
      <c r="A33" s="335"/>
      <c r="B33" s="335"/>
      <c r="C33" s="335"/>
      <c r="D33" s="335"/>
      <c r="E33" s="467"/>
      <c r="F33" s="468"/>
      <c r="G33" s="468"/>
      <c r="H33" s="469"/>
      <c r="I33"/>
      <c r="J33"/>
      <c r="K33"/>
      <c r="L33"/>
      <c r="M33"/>
      <c r="N33"/>
      <c r="O33"/>
      <c r="P33"/>
      <c r="Q33"/>
      <c r="R33"/>
      <c r="S33" s="94"/>
      <c r="T33" s="2025" t="s">
        <v>366</v>
      </c>
      <c r="U33" s="2025"/>
      <c r="V33" s="2025"/>
      <c r="W33" s="2025"/>
      <c r="X33" s="2025"/>
      <c r="Y33" s="2025"/>
    </row>
    <row r="34" spans="1:25" x14ac:dyDescent="0.25">
      <c r="A34" s="1712" t="s">
        <v>3386</v>
      </c>
      <c r="B34" s="1712"/>
      <c r="C34" s="1712"/>
      <c r="D34" s="2026"/>
      <c r="E34" s="2033" t="str">
        <f>IF(LEN('Overview (Design)'!G34)=0,"",'Overview (Design)'!G34)</f>
        <v/>
      </c>
      <c r="F34" s="2034"/>
      <c r="G34" s="2034"/>
      <c r="H34" s="2035"/>
      <c r="I34" s="54"/>
      <c r="J34" s="1724"/>
      <c r="K34" s="1724"/>
      <c r="L34" s="1724"/>
      <c r="N34" s="514" t="s">
        <v>3390</v>
      </c>
      <c r="O34" s="41" t="s">
        <v>339</v>
      </c>
      <c r="P34" s="2028" t="str">
        <f t="shared" si="2"/>
        <v/>
      </c>
      <c r="Q34" s="2028" t="str">
        <f t="shared" ref="Q34:R36" si="4">IF(LEN(IF(J34,F34,K34))=0,"",IF(J34,F34,K34))</f>
        <v/>
      </c>
      <c r="R34" s="2028" t="str">
        <f t="shared" si="4"/>
        <v/>
      </c>
      <c r="S34" s="48"/>
      <c r="T34" s="2029"/>
      <c r="U34" s="2029"/>
      <c r="V34" s="2029"/>
      <c r="W34" s="2029"/>
      <c r="X34" s="2029"/>
      <c r="Y34" s="2029"/>
    </row>
    <row r="35" spans="1:25" x14ac:dyDescent="0.25">
      <c r="A35" s="1712" t="s">
        <v>3393</v>
      </c>
      <c r="B35" s="1712"/>
      <c r="C35" s="1712"/>
      <c r="D35" s="2026"/>
      <c r="E35" s="2033" t="str">
        <f>IF(LEN('Overview (Design)'!G35)=0,"",'Overview (Design)'!G35)</f>
        <v/>
      </c>
      <c r="F35" s="2034"/>
      <c r="G35" s="2034"/>
      <c r="H35" s="2035"/>
      <c r="I35" s="54"/>
      <c r="J35" s="1724"/>
      <c r="K35" s="1724"/>
      <c r="L35" s="1724"/>
      <c r="N35" s="514" t="s">
        <v>3391</v>
      </c>
      <c r="O35" s="41" t="s">
        <v>340</v>
      </c>
      <c r="P35" s="2027" t="str">
        <f t="shared" si="2"/>
        <v/>
      </c>
      <c r="Q35" s="2027" t="str">
        <f t="shared" si="4"/>
        <v/>
      </c>
      <c r="R35" s="2027" t="str">
        <f t="shared" si="4"/>
        <v/>
      </c>
      <c r="S35" s="48"/>
      <c r="T35" s="2029"/>
      <c r="U35" s="2029"/>
      <c r="V35" s="2029"/>
      <c r="W35" s="2029"/>
      <c r="X35" s="2029"/>
      <c r="Y35" s="2029"/>
    </row>
    <row r="36" spans="1:25" x14ac:dyDescent="0.25">
      <c r="A36" s="1712" t="s">
        <v>3394</v>
      </c>
      <c r="B36" s="1712"/>
      <c r="C36" s="1712"/>
      <c r="D36" s="2026"/>
      <c r="E36" s="2033" t="str">
        <f>IF(LEN('Overview (Design)'!G36)=0,"",'Overview (Design)'!G36)</f>
        <v/>
      </c>
      <c r="F36" s="2034"/>
      <c r="G36" s="2034"/>
      <c r="H36" s="2035"/>
      <c r="I36" s="54"/>
      <c r="J36" s="1724"/>
      <c r="K36" s="1724"/>
      <c r="L36" s="1724"/>
      <c r="N36" s="514" t="s">
        <v>3392</v>
      </c>
      <c r="O36" s="41" t="s">
        <v>341</v>
      </c>
      <c r="P36" s="2027" t="str">
        <f t="shared" si="2"/>
        <v/>
      </c>
      <c r="Q36" s="2027" t="str">
        <f t="shared" si="4"/>
        <v/>
      </c>
      <c r="R36" s="2027" t="str">
        <f t="shared" si="4"/>
        <v/>
      </c>
      <c r="S36" s="48"/>
      <c r="T36" s="2029"/>
      <c r="U36" s="2029"/>
      <c r="V36" s="2029"/>
      <c r="W36" s="2029"/>
      <c r="X36" s="2029"/>
      <c r="Y36" s="2029"/>
    </row>
    <row r="37" spans="1:25" x14ac:dyDescent="0.25">
      <c r="A37" s="1712" t="s">
        <v>4113</v>
      </c>
      <c r="B37" s="1712"/>
      <c r="C37" s="1712"/>
      <c r="D37" s="1712"/>
      <c r="E37" s="2033" t="str">
        <f>IF(LEN('Overview (Design)'!G37)=0,"",'Overview (Design)'!G37)</f>
        <v/>
      </c>
      <c r="F37" s="2034"/>
      <c r="G37" s="2034"/>
      <c r="H37" s="2035"/>
      <c r="I37" s="54"/>
      <c r="J37" s="1724"/>
      <c r="K37" s="1724"/>
      <c r="L37" s="1724"/>
      <c r="N37" s="514" t="s">
        <v>179</v>
      </c>
      <c r="O37" s="514" t="s">
        <v>342</v>
      </c>
      <c r="P37" s="2027" t="str">
        <f t="shared" si="2"/>
        <v/>
      </c>
      <c r="Q37" s="2027" t="str">
        <f t="shared" ref="Q37:Q42" si="5">IF(LEN(IF(J37,F37,K37))=0,"",IF(J37,F37,K37))</f>
        <v/>
      </c>
      <c r="R37" s="48"/>
      <c r="S37" s="48"/>
      <c r="T37" s="2029"/>
      <c r="U37" s="2029"/>
      <c r="V37" s="2029"/>
      <c r="W37" s="2029"/>
      <c r="X37" s="2029"/>
      <c r="Y37" s="2029"/>
    </row>
    <row r="38" spans="1:25" s="442" customFormat="1" x14ac:dyDescent="0.25">
      <c r="A38" s="1712" t="s">
        <v>3404</v>
      </c>
      <c r="B38" s="1712"/>
      <c r="C38" s="1712"/>
      <c r="D38" s="2026"/>
      <c r="E38" s="2033" t="str">
        <f>IF(LEN('Overview (Design)'!G38)=0,"",'Overview (Design)'!G38)</f>
        <v/>
      </c>
      <c r="F38" s="2034"/>
      <c r="G38" s="2034"/>
      <c r="H38" s="2035"/>
      <c r="I38" s="54"/>
      <c r="J38" s="1724"/>
      <c r="K38" s="1724"/>
      <c r="L38" s="1724"/>
      <c r="N38" s="514" t="s">
        <v>3405</v>
      </c>
      <c r="O38" s="514" t="s">
        <v>3811</v>
      </c>
      <c r="P38" s="2027" t="str">
        <f t="shared" ref="P38:P47" si="6">IF(LEN(IF(I38,E38,J38))=0,"",IF(I38,E38,J38))</f>
        <v/>
      </c>
      <c r="Q38" s="2027" t="str">
        <f t="shared" si="5"/>
        <v/>
      </c>
      <c r="R38" s="48"/>
      <c r="S38" s="48"/>
      <c r="T38" s="48"/>
      <c r="U38" s="48"/>
      <c r="V38" s="48"/>
      <c r="W38" s="48"/>
    </row>
    <row r="39" spans="1:25" s="442" customFormat="1" x14ac:dyDescent="0.25">
      <c r="A39" s="1712" t="s">
        <v>3395</v>
      </c>
      <c r="B39" s="1712"/>
      <c r="C39" s="1712"/>
      <c r="D39" s="2026"/>
      <c r="E39" s="2033" t="str">
        <f>IF(LEN('Overview (Design)'!G39)=0,"",'Overview (Design)'!G39)</f>
        <v/>
      </c>
      <c r="F39" s="2034"/>
      <c r="G39" s="2034"/>
      <c r="H39" s="2035"/>
      <c r="I39" s="54"/>
      <c r="J39" s="1724"/>
      <c r="K39" s="1724"/>
      <c r="L39" s="1724"/>
      <c r="N39" s="514" t="s">
        <v>3398</v>
      </c>
      <c r="O39" s="514" t="s">
        <v>3812</v>
      </c>
      <c r="P39" s="2027" t="str">
        <f t="shared" si="6"/>
        <v/>
      </c>
      <c r="Q39" s="2027" t="str">
        <f t="shared" si="5"/>
        <v/>
      </c>
      <c r="R39" s="48"/>
      <c r="S39" s="48"/>
      <c r="T39" s="2029"/>
      <c r="U39" s="2029"/>
      <c r="V39" s="2029"/>
      <c r="W39" s="2029"/>
      <c r="X39" s="2029"/>
      <c r="Y39" s="2029"/>
    </row>
    <row r="40" spans="1:25" s="442" customFormat="1" x14ac:dyDescent="0.25">
      <c r="A40" s="1712" t="s">
        <v>3396</v>
      </c>
      <c r="B40" s="1712"/>
      <c r="C40" s="1712"/>
      <c r="D40" s="2026"/>
      <c r="E40" s="2033" t="str">
        <f>IF(LEN('Overview (Design)'!G40)=0,"",'Overview (Design)'!G40)</f>
        <v/>
      </c>
      <c r="F40" s="2034"/>
      <c r="G40" s="2034"/>
      <c r="H40" s="2035"/>
      <c r="I40" s="54"/>
      <c r="J40" s="1724"/>
      <c r="K40" s="1724"/>
      <c r="L40" s="1724"/>
      <c r="N40" s="514" t="s">
        <v>3400</v>
      </c>
      <c r="O40" s="514" t="s">
        <v>3813</v>
      </c>
      <c r="P40" s="2027" t="str">
        <f t="shared" si="6"/>
        <v/>
      </c>
      <c r="Q40" s="2027" t="str">
        <f t="shared" si="5"/>
        <v/>
      </c>
      <c r="R40" s="48"/>
      <c r="S40" s="48"/>
      <c r="T40" s="2029"/>
      <c r="U40" s="2029"/>
      <c r="V40" s="2029"/>
      <c r="W40" s="2029"/>
      <c r="X40" s="2029"/>
      <c r="Y40" s="2029"/>
    </row>
    <row r="41" spans="1:25" s="442" customFormat="1" x14ac:dyDescent="0.25">
      <c r="A41" s="1712" t="s">
        <v>3397</v>
      </c>
      <c r="B41" s="1712"/>
      <c r="C41" s="1712"/>
      <c r="D41" s="2026"/>
      <c r="E41" s="2033" t="str">
        <f>IF(LEN('Overview (Design)'!G41)=0,"",'Overview (Design)'!G41)</f>
        <v/>
      </c>
      <c r="F41" s="2034"/>
      <c r="G41" s="2034"/>
      <c r="H41" s="2035"/>
      <c r="I41" s="54"/>
      <c r="J41" s="1724"/>
      <c r="K41" s="1724"/>
      <c r="L41" s="1724"/>
      <c r="N41" s="514" t="s">
        <v>3402</v>
      </c>
      <c r="O41" s="514" t="s">
        <v>3814</v>
      </c>
      <c r="P41" s="2027" t="str">
        <f t="shared" si="6"/>
        <v/>
      </c>
      <c r="Q41" s="2027" t="str">
        <f t="shared" si="5"/>
        <v/>
      </c>
      <c r="R41" s="48"/>
      <c r="S41" s="48"/>
      <c r="T41" s="2029"/>
      <c r="U41" s="2029"/>
      <c r="V41" s="2029"/>
      <c r="W41" s="2029"/>
      <c r="X41" s="2029"/>
      <c r="Y41" s="2029"/>
    </row>
    <row r="42" spans="1:25" s="442" customFormat="1" x14ac:dyDescent="0.25">
      <c r="A42" s="1712" t="s">
        <v>3407</v>
      </c>
      <c r="B42" s="1712"/>
      <c r="C42" s="1712"/>
      <c r="D42" s="2026"/>
      <c r="E42" s="2033" t="str">
        <f>IF(LEN('Overview (Design)'!G42)=0,"",'Overview (Design)'!G42)</f>
        <v/>
      </c>
      <c r="F42" s="2034"/>
      <c r="G42" s="2034"/>
      <c r="H42" s="2035"/>
      <c r="I42" s="54"/>
      <c r="J42" s="1724"/>
      <c r="K42" s="1724"/>
      <c r="L42"/>
      <c r="N42" s="514" t="s">
        <v>3408</v>
      </c>
      <c r="O42" s="514" t="s">
        <v>3815</v>
      </c>
      <c r="P42" s="2027" t="str">
        <f t="shared" si="6"/>
        <v/>
      </c>
      <c r="Q42" s="2027" t="str">
        <f t="shared" si="5"/>
        <v/>
      </c>
      <c r="R42" s="48"/>
      <c r="S42" s="48"/>
      <c r="T42" s="48"/>
      <c r="U42" s="48"/>
      <c r="V42" s="48"/>
      <c r="W42" s="48"/>
    </row>
    <row r="43" spans="1:25" customFormat="1" x14ac:dyDescent="0.25">
      <c r="A43" s="335"/>
      <c r="B43" s="335"/>
      <c r="C43" s="335"/>
      <c r="D43" s="335"/>
      <c r="O43" s="516"/>
    </row>
    <row r="44" spans="1:25" s="442" customFormat="1" x14ac:dyDescent="0.25">
      <c r="A44" s="1712" t="s">
        <v>3525</v>
      </c>
      <c r="B44" s="1712"/>
      <c r="C44" s="1712"/>
      <c r="D44" s="2026"/>
      <c r="E44" s="2033" t="str">
        <f>IF(LEN('Overview (Design)'!G44)=0,"",'Overview (Design)'!G44)</f>
        <v/>
      </c>
      <c r="F44" s="2034"/>
      <c r="G44" s="2034"/>
      <c r="H44" s="2035"/>
      <c r="I44" s="54"/>
      <c r="J44" s="725"/>
      <c r="K44"/>
      <c r="N44" s="516"/>
      <c r="O44" s="331" t="s">
        <v>3816</v>
      </c>
      <c r="P44" s="517" t="str">
        <f t="shared" si="6"/>
        <v/>
      </c>
      <c r="Q44"/>
      <c r="R44" s="48"/>
      <c r="S44" s="48"/>
      <c r="T44" s="48"/>
      <c r="U44" s="48"/>
      <c r="V44" s="48"/>
      <c r="W44" s="48"/>
    </row>
    <row r="45" spans="1:25" s="442" customFormat="1" x14ac:dyDescent="0.25">
      <c r="A45" s="1712" t="s">
        <v>3521</v>
      </c>
      <c r="B45" s="1712"/>
      <c r="C45" s="1712"/>
      <c r="D45" s="2026"/>
      <c r="E45" s="2033" t="str">
        <f>IF(LEN('Overview (Design)'!G45)=0,"",'Overview (Design)'!G45)</f>
        <v/>
      </c>
      <c r="F45" s="2034"/>
      <c r="G45" s="2034"/>
      <c r="H45" s="2035"/>
      <c r="I45" s="54"/>
      <c r="J45" s="725"/>
      <c r="K45"/>
      <c r="N45" s="516"/>
      <c r="O45" s="331" t="s">
        <v>3817</v>
      </c>
      <c r="P45" s="517" t="str">
        <f t="shared" si="6"/>
        <v/>
      </c>
      <c r="Q45"/>
      <c r="R45" s="48"/>
      <c r="S45" s="48"/>
      <c r="T45" s="48"/>
      <c r="U45" s="48"/>
      <c r="V45" s="48"/>
      <c r="W45" s="48"/>
    </row>
    <row r="46" spans="1:25" s="442" customFormat="1" x14ac:dyDescent="0.25">
      <c r="A46" s="1712" t="s">
        <v>3526</v>
      </c>
      <c r="B46" s="1712"/>
      <c r="C46" s="1712"/>
      <c r="D46" s="2026"/>
      <c r="E46" s="2033" t="str">
        <f>IF(LEN('Overview (Design)'!G46)=0,"",'Overview (Design)'!G46)</f>
        <v/>
      </c>
      <c r="F46" s="2034"/>
      <c r="G46" s="2034"/>
      <c r="H46" s="2035"/>
      <c r="I46" s="54"/>
      <c r="J46" s="725"/>
      <c r="K46"/>
      <c r="N46" s="516"/>
      <c r="O46" s="331" t="s">
        <v>3818</v>
      </c>
      <c r="P46" s="517" t="str">
        <f t="shared" si="6"/>
        <v/>
      </c>
      <c r="Q46"/>
      <c r="R46" s="48"/>
      <c r="S46" s="48"/>
      <c r="T46" s="48"/>
      <c r="U46" s="48"/>
      <c r="V46" s="48"/>
      <c r="W46" s="48"/>
    </row>
    <row r="47" spans="1:25" s="442" customFormat="1" x14ac:dyDescent="0.25">
      <c r="A47" s="1712" t="s">
        <v>3522</v>
      </c>
      <c r="B47" s="1712"/>
      <c r="C47" s="1712"/>
      <c r="D47" s="2026"/>
      <c r="E47" s="2033" t="str">
        <f>IF(LEN('Overview (Design)'!G47)=0,"",'Overview (Design)'!G47)</f>
        <v/>
      </c>
      <c r="F47" s="2034"/>
      <c r="G47" s="2034"/>
      <c r="H47" s="2035"/>
      <c r="I47" s="54"/>
      <c r="J47" s="725"/>
      <c r="K47"/>
      <c r="N47" s="516"/>
      <c r="O47" s="331" t="s">
        <v>3819</v>
      </c>
      <c r="P47" s="517" t="str">
        <f t="shared" si="6"/>
        <v/>
      </c>
      <c r="Q47"/>
      <c r="R47" s="48"/>
      <c r="S47" s="48"/>
      <c r="T47" s="2025" t="s">
        <v>366</v>
      </c>
      <c r="U47" s="2025"/>
      <c r="V47" s="2025"/>
      <c r="W47" s="2025"/>
      <c r="X47" s="2025"/>
      <c r="Y47" s="2025"/>
    </row>
    <row r="48" spans="1:25" x14ac:dyDescent="0.25">
      <c r="A48" s="1712" t="s">
        <v>135</v>
      </c>
      <c r="B48" s="1712"/>
      <c r="C48" s="1712"/>
      <c r="D48" s="1712"/>
      <c r="E48" s="2033" t="str">
        <f>IF(LEN('Overview (Design)'!G48)=0,"",'Overview (Design)'!G48)</f>
        <v/>
      </c>
      <c r="F48" s="2034"/>
      <c r="G48" s="2034"/>
      <c r="H48" s="2035"/>
      <c r="I48" s="54"/>
      <c r="J48" s="1724"/>
      <c r="K48" s="1724"/>
      <c r="N48" s="514" t="s">
        <v>180</v>
      </c>
      <c r="O48" s="41" t="s">
        <v>343</v>
      </c>
      <c r="P48" s="2027" t="str">
        <f t="shared" si="2"/>
        <v/>
      </c>
      <c r="Q48" s="2027" t="str">
        <f>IF(LEN(IF(J48,F48,K48))=0,"",IF(J48,F48,K48))</f>
        <v/>
      </c>
      <c r="R48" s="48"/>
      <c r="S48" s="48"/>
      <c r="T48" s="2029"/>
      <c r="U48" s="2029"/>
      <c r="V48" s="2029"/>
      <c r="W48" s="2029"/>
      <c r="X48" s="2029"/>
      <c r="Y48" s="2029"/>
    </row>
    <row r="49" spans="1:25" x14ac:dyDescent="0.25">
      <c r="A49" s="1712" t="s">
        <v>136</v>
      </c>
      <c r="B49" s="1712"/>
      <c r="C49" s="1712"/>
      <c r="D49" s="1712"/>
      <c r="E49" s="2033" t="str">
        <f>IF(LEN('Overview (Design)'!G49)=0,"",'Overview (Design)'!G49)</f>
        <v/>
      </c>
      <c r="F49" s="2034"/>
      <c r="G49" s="2034"/>
      <c r="H49" s="2035"/>
      <c r="I49" s="54"/>
      <c r="J49" s="1724"/>
      <c r="K49" s="1724"/>
      <c r="L49" s="1724"/>
      <c r="N49" s="514" t="s">
        <v>181</v>
      </c>
      <c r="O49" s="41" t="s">
        <v>344</v>
      </c>
      <c r="P49" s="2027" t="str">
        <f t="shared" si="2"/>
        <v/>
      </c>
      <c r="Q49" s="2027" t="str">
        <f>IF(LEN(IF(J49,F49,K49))=0,"",IF(J49,F49,K49))</f>
        <v/>
      </c>
      <c r="R49" s="2027" t="str">
        <f>IF(LEN(IF(K49,G49,L49))=0,"",IF(K49,G49,L49))</f>
        <v/>
      </c>
      <c r="S49" s="48"/>
      <c r="T49" s="2029"/>
      <c r="U49" s="2029"/>
      <c r="V49" s="2029"/>
      <c r="W49" s="2029"/>
      <c r="X49" s="2029"/>
      <c r="Y49" s="2029"/>
    </row>
    <row r="50" spans="1:25" x14ac:dyDescent="0.25">
      <c r="A50" s="1712" t="s">
        <v>137</v>
      </c>
      <c r="B50" s="1712"/>
      <c r="C50" s="1712"/>
      <c r="D50" s="1712"/>
      <c r="E50" s="2033" t="str">
        <f>IF(LEN('Overview (Design)'!G50)=0,"",'Overview (Design)'!G50)</f>
        <v/>
      </c>
      <c r="F50" s="2034"/>
      <c r="G50" s="2034"/>
      <c r="H50" s="2035"/>
      <c r="I50" s="54"/>
      <c r="J50" s="1724"/>
      <c r="K50" s="1724"/>
      <c r="N50" s="514" t="s">
        <v>182</v>
      </c>
      <c r="O50" s="41" t="s">
        <v>345</v>
      </c>
      <c r="P50" s="2028" t="str">
        <f t="shared" si="2"/>
        <v/>
      </c>
      <c r="Q50" s="2028" t="str">
        <f>IF(LEN(IF(J50,F50,K50))=0,"",IF(J50,F50,K50))</f>
        <v/>
      </c>
      <c r="R50" s="48"/>
      <c r="S50" s="48"/>
      <c r="T50" s="48"/>
      <c r="U50" s="48"/>
      <c r="V50" s="48"/>
      <c r="W50" s="48"/>
    </row>
    <row r="51" spans="1:25" x14ac:dyDescent="0.25">
      <c r="A51" s="1712" t="s">
        <v>138</v>
      </c>
      <c r="B51" s="1712"/>
      <c r="C51" s="1712"/>
      <c r="D51" s="1712"/>
      <c r="E51" s="2033" t="str">
        <f>IF(LEN('Overview (Design)'!G51)=0,"",'Overview (Design)'!G51)</f>
        <v/>
      </c>
      <c r="F51" s="2034"/>
      <c r="G51" s="2034"/>
      <c r="H51" s="2035"/>
      <c r="I51" s="54"/>
      <c r="J51" s="725"/>
      <c r="N51" s="514" t="s">
        <v>183</v>
      </c>
      <c r="O51" s="41" t="s">
        <v>346</v>
      </c>
      <c r="P51" s="49" t="str">
        <f t="shared" si="2"/>
        <v/>
      </c>
      <c r="Q51" s="48"/>
      <c r="R51" s="48"/>
      <c r="S51" s="48"/>
      <c r="T51" s="48"/>
      <c r="U51" s="48"/>
      <c r="V51" s="48"/>
      <c r="W51" s="48"/>
    </row>
    <row r="52" spans="1:25" x14ac:dyDescent="0.25">
      <c r="A52" s="1712" t="s">
        <v>139</v>
      </c>
      <c r="B52" s="1712"/>
      <c r="C52" s="1712"/>
      <c r="D52" s="1712"/>
      <c r="E52" s="2033" t="str">
        <f>IF(LEN('Overview (Design)'!G52)=0,"",'Overview (Design)'!G52)</f>
        <v/>
      </c>
      <c r="F52" s="2034"/>
      <c r="G52" s="2034"/>
      <c r="H52" s="2035"/>
      <c r="I52" s="54"/>
      <c r="J52" s="725"/>
      <c r="N52" s="514" t="s">
        <v>184</v>
      </c>
      <c r="O52" s="41" t="s">
        <v>347</v>
      </c>
      <c r="P52" s="49" t="str">
        <f t="shared" si="2"/>
        <v/>
      </c>
      <c r="Q52" s="48"/>
      <c r="R52" s="48"/>
      <c r="S52" s="48"/>
      <c r="T52" s="48"/>
      <c r="U52" s="48"/>
      <c r="V52" s="48"/>
      <c r="W52" s="48"/>
    </row>
    <row r="53" spans="1:25" x14ac:dyDescent="0.25">
      <c r="A53" s="1750"/>
      <c r="B53" s="1750"/>
      <c r="C53" s="1750"/>
      <c r="D53" s="1750"/>
      <c r="E53" s="45"/>
      <c r="F53" s="45"/>
      <c r="G53" s="45"/>
      <c r="H53" s="45"/>
      <c r="J53" s="45"/>
      <c r="N53" s="514"/>
      <c r="O53" s="41"/>
      <c r="P53" s="50"/>
      <c r="Q53" s="48"/>
      <c r="R53" s="48"/>
      <c r="S53" s="48"/>
      <c r="T53" s="48"/>
      <c r="U53" s="48"/>
      <c r="V53" s="48"/>
      <c r="W53" s="48"/>
    </row>
    <row r="54" spans="1:25" x14ac:dyDescent="0.25">
      <c r="A54" s="1712" t="s">
        <v>140</v>
      </c>
      <c r="B54" s="1712"/>
      <c r="C54" s="1712"/>
      <c r="D54" s="627"/>
      <c r="E54" s="45"/>
      <c r="F54" s="45"/>
      <c r="G54" s="45"/>
      <c r="H54" s="45"/>
      <c r="I54" s="8"/>
      <c r="J54" s="45"/>
      <c r="N54" s="514"/>
      <c r="O54" s="41"/>
      <c r="P54" s="50"/>
      <c r="Q54" s="48"/>
      <c r="R54" s="48"/>
      <c r="S54" s="48"/>
      <c r="T54" s="48"/>
      <c r="U54" s="48"/>
      <c r="V54" s="48"/>
      <c r="W54" s="48"/>
    </row>
    <row r="55" spans="1:25" x14ac:dyDescent="0.25">
      <c r="A55" s="1712" t="s">
        <v>141</v>
      </c>
      <c r="B55" s="1712"/>
      <c r="C55" s="1712"/>
      <c r="D55" s="1712"/>
      <c r="E55" s="2033" t="str">
        <f>IF(LEN('Overview (Design)'!G55)=0,"",'Overview (Design)'!G55)</f>
        <v/>
      </c>
      <c r="F55" s="2034"/>
      <c r="G55" s="2034"/>
      <c r="H55" s="2035"/>
      <c r="I55" s="54"/>
      <c r="J55" s="726"/>
      <c r="N55" s="514" t="s">
        <v>185</v>
      </c>
      <c r="O55" s="41" t="s">
        <v>348</v>
      </c>
      <c r="P55" s="53" t="str">
        <f>IF(LEN(IF(I55,E55,J55))=0,"",IF(I55,E55,J55))</f>
        <v/>
      </c>
      <c r="Q55" s="48"/>
      <c r="R55" s="48"/>
      <c r="S55" s="48"/>
      <c r="T55" s="48"/>
      <c r="U55" s="48"/>
      <c r="V55" s="48"/>
      <c r="W55" s="48"/>
    </row>
    <row r="56" spans="1:25" x14ac:dyDescent="0.25">
      <c r="A56" s="1712" t="s">
        <v>142</v>
      </c>
      <c r="B56" s="1712"/>
      <c r="C56" s="1712"/>
      <c r="D56" s="1712"/>
      <c r="E56" s="2033" t="str">
        <f>IF(LEN('Overview (Design)'!G56)=0,"",'Overview (Design)'!G56)</f>
        <v/>
      </c>
      <c r="F56" s="2034"/>
      <c r="G56" s="2034"/>
      <c r="H56" s="2035"/>
      <c r="I56" s="54"/>
      <c r="J56" s="725"/>
      <c r="N56" s="514" t="s">
        <v>186</v>
      </c>
      <c r="O56" s="41" t="s">
        <v>349</v>
      </c>
      <c r="P56" s="49" t="str">
        <f>IF(LEN(IF(I56,E56,J56))=0,"",IF(I56,E56,J56))</f>
        <v/>
      </c>
      <c r="Q56" s="48"/>
      <c r="R56" s="48"/>
      <c r="S56" s="48"/>
      <c r="T56" s="48"/>
      <c r="U56" s="48"/>
      <c r="V56" s="48"/>
      <c r="W56" s="48"/>
    </row>
    <row r="57" spans="1:25" x14ac:dyDescent="0.25">
      <c r="A57" s="1712" t="s">
        <v>143</v>
      </c>
      <c r="B57" s="1712"/>
      <c r="C57" s="1712"/>
      <c r="D57" s="1712"/>
      <c r="E57" s="2033" t="str">
        <f>IF(LEN('Overview (Design)'!G57)=0,"",'Overview (Design)'!G57)</f>
        <v/>
      </c>
      <c r="F57" s="2034"/>
      <c r="G57" s="2034"/>
      <c r="H57" s="2035"/>
      <c r="I57" s="54"/>
      <c r="J57" s="725"/>
      <c r="N57" s="514" t="s">
        <v>187</v>
      </c>
      <c r="O57" s="41" t="s">
        <v>350</v>
      </c>
      <c r="P57" s="49" t="str">
        <f>IF(LEN(IF(I57,E57,J57))=0,"",IF(I57,E57,J57))</f>
        <v/>
      </c>
      <c r="Q57" s="48"/>
      <c r="R57" s="48"/>
      <c r="S57" s="48"/>
      <c r="T57" s="48"/>
      <c r="U57" s="48"/>
      <c r="V57" s="48"/>
      <c r="W57" s="48"/>
    </row>
    <row r="58" spans="1:25" x14ac:dyDescent="0.25">
      <c r="A58" s="1751" t="s">
        <v>235</v>
      </c>
      <c r="B58" s="1751"/>
      <c r="C58" s="1751"/>
      <c r="D58" s="1751"/>
      <c r="E58" s="2033" t="str">
        <f>IF(LEN('Overview (Design)'!G58)=0,"",'Overview (Design)'!G58)</f>
        <v/>
      </c>
      <c r="F58" s="2034"/>
      <c r="G58" s="2034"/>
      <c r="H58" s="2035"/>
      <c r="I58" s="54"/>
      <c r="J58" s="725"/>
      <c r="N58" s="514" t="s">
        <v>239</v>
      </c>
      <c r="O58" s="41" t="s">
        <v>351</v>
      </c>
      <c r="P58" s="49" t="str">
        <f>IF(LEN(IF(I58,E58,J58))=0,"",IF(I58,E58,J58))</f>
        <v/>
      </c>
      <c r="Q58" s="48"/>
      <c r="R58" s="48"/>
      <c r="S58" s="48"/>
      <c r="T58" s="48"/>
      <c r="U58" s="48"/>
      <c r="V58" s="48"/>
      <c r="W58" s="48"/>
    </row>
    <row r="59" spans="1:25" ht="14.45" customHeight="1" x14ac:dyDescent="0.25">
      <c r="A59" s="1752" t="s">
        <v>236</v>
      </c>
      <c r="B59" s="1752"/>
      <c r="C59" s="1752"/>
      <c r="D59" s="1752"/>
      <c r="E59" s="2033" t="str">
        <f>IF(LEN('Overview (Design)'!G59)=0,"",'Overview (Design)'!G59)</f>
        <v/>
      </c>
      <c r="F59" s="2034"/>
      <c r="G59" s="2034"/>
      <c r="H59" s="2035"/>
      <c r="I59" s="54"/>
      <c r="J59" s="725"/>
      <c r="N59" s="514" t="s">
        <v>240</v>
      </c>
      <c r="O59" s="41" t="s">
        <v>352</v>
      </c>
      <c r="P59" s="49" t="str">
        <f>IF(LEN(IF(I59,E59,J59))=0,"",IF(I59,E59,J59))</f>
        <v/>
      </c>
      <c r="Q59" s="48"/>
      <c r="R59" s="48"/>
      <c r="S59" s="48"/>
      <c r="T59" s="48"/>
      <c r="U59" s="48"/>
      <c r="V59" s="48"/>
      <c r="W59" s="48"/>
    </row>
    <row r="60" spans="1:25" x14ac:dyDescent="0.25">
      <c r="A60" s="1749"/>
      <c r="B60" s="1749"/>
      <c r="C60" s="1749"/>
      <c r="D60" s="1749"/>
      <c r="E60" s="45"/>
      <c r="F60" s="45"/>
      <c r="G60" s="45"/>
      <c r="H60" s="45"/>
      <c r="J60" s="45"/>
      <c r="N60" s="514"/>
      <c r="O60" s="41"/>
      <c r="P60" s="50"/>
      <c r="Q60" s="48"/>
      <c r="R60" s="48"/>
      <c r="S60" s="48"/>
      <c r="T60" s="2025" t="s">
        <v>366</v>
      </c>
      <c r="U60" s="2025"/>
      <c r="V60" s="2025"/>
      <c r="W60" s="2025"/>
      <c r="X60" s="2025"/>
      <c r="Y60" s="2025"/>
    </row>
    <row r="61" spans="1:25" x14ac:dyDescent="0.25">
      <c r="A61" s="1712" t="s">
        <v>144</v>
      </c>
      <c r="B61" s="1712"/>
      <c r="C61" s="1712"/>
      <c r="D61" s="1712"/>
      <c r="E61" s="2033" t="str">
        <f>IF(LEN('Overview (Design)'!G61)=0,"",'Overview (Design)'!G61)</f>
        <v/>
      </c>
      <c r="F61" s="2034"/>
      <c r="G61" s="2034"/>
      <c r="H61" s="2035"/>
      <c r="I61" s="54"/>
      <c r="J61" s="1724"/>
      <c r="K61" s="1724"/>
      <c r="N61" s="514" t="s">
        <v>188</v>
      </c>
      <c r="O61" s="41" t="s">
        <v>353</v>
      </c>
      <c r="P61" s="2027" t="str">
        <f>IF(LEN(IF(I61,E61,J61))=0,"",IF(I61,E61,J61))</f>
        <v/>
      </c>
      <c r="Q61" s="2027" t="str">
        <f>IF(LEN(IF(J61,F61,K61))=0,"",IF(J61,F61,K61))</f>
        <v/>
      </c>
      <c r="R61" s="48"/>
      <c r="S61" s="48"/>
      <c r="T61" s="2029"/>
      <c r="U61" s="2029"/>
      <c r="V61" s="2029"/>
      <c r="W61" s="2029"/>
      <c r="X61" s="2029"/>
      <c r="Y61" s="2029"/>
    </row>
    <row r="62" spans="1:25" x14ac:dyDescent="0.25">
      <c r="A62" s="1712" t="s">
        <v>145</v>
      </c>
      <c r="B62" s="1712"/>
      <c r="C62" s="1712"/>
      <c r="D62" s="1712"/>
      <c r="E62" s="2033" t="str">
        <f>IF(LEN('Overview (Design)'!G62)=0,"",'Overview (Design)'!G62)</f>
        <v/>
      </c>
      <c r="F62" s="2034"/>
      <c r="G62" s="2034"/>
      <c r="H62" s="2035"/>
      <c r="I62" s="54"/>
      <c r="J62" s="1724"/>
      <c r="K62" s="1724"/>
      <c r="N62" s="1097" t="str">
        <f>IF($P$18=INDEX(ddSingleOrMulti,2),"ddBuildingCodeMF","ddBuildingCode")</f>
        <v>ddBuildingCode</v>
      </c>
      <c r="O62" s="41" t="s">
        <v>354</v>
      </c>
      <c r="P62" s="2027" t="str">
        <f>IF(LEN(IF(I62,E62,J62))=0,"",IF(I62,E62,J62))</f>
        <v/>
      </c>
      <c r="Q62" s="2027" t="str">
        <f>IF(LEN(IF(J62,F62,K62))=0,"",IF(J62,F62,K62))</f>
        <v/>
      </c>
      <c r="R62" s="48"/>
      <c r="S62" s="48"/>
      <c r="T62" s="2029"/>
      <c r="U62" s="2029"/>
      <c r="V62" s="2029"/>
      <c r="W62" s="2029"/>
      <c r="X62" s="2029"/>
      <c r="Y62" s="2029"/>
    </row>
    <row r="63" spans="1:25" s="622" customFormat="1" x14ac:dyDescent="0.25">
      <c r="A63" s="625"/>
      <c r="B63" s="625"/>
      <c r="C63" s="625"/>
      <c r="D63" s="625"/>
      <c r="E63" s="588"/>
      <c r="F63" s="588"/>
      <c r="G63" s="588"/>
      <c r="H63" s="588"/>
      <c r="I63"/>
      <c r="J63"/>
      <c r="K63"/>
      <c r="L63"/>
      <c r="M63"/>
      <c r="N63"/>
      <c r="O63"/>
      <c r="P63"/>
      <c r="Q63"/>
      <c r="R63" s="48"/>
      <c r="S63" s="48"/>
      <c r="T63" s="48"/>
      <c r="U63" s="48"/>
      <c r="V63" s="48"/>
      <c r="W63" s="48"/>
    </row>
    <row r="64" spans="1:25" ht="18.75" x14ac:dyDescent="0.3">
      <c r="A64" s="15"/>
      <c r="B64" s="15"/>
      <c r="C64" s="15"/>
      <c r="D64" s="15"/>
      <c r="E64" s="15"/>
      <c r="F64" s="15"/>
      <c r="G64" s="15"/>
      <c r="H64" s="15"/>
      <c r="I64" s="15"/>
      <c r="J64" s="15"/>
      <c r="K64" s="15"/>
      <c r="L64" s="15"/>
      <c r="M64" s="15"/>
      <c r="N64" s="15"/>
      <c r="O64" s="15"/>
      <c r="P64" s="15"/>
      <c r="Q64" s="15"/>
      <c r="R64" s="15"/>
      <c r="S64" s="15"/>
      <c r="T64" s="15"/>
      <c r="U64" s="15"/>
      <c r="V64" s="15"/>
      <c r="W64" s="15"/>
      <c r="X64" s="15"/>
      <c r="Y64" s="15"/>
    </row>
  </sheetData>
  <sheetProtection algorithmName="SHA-512" hashValue="/+Xw1y5JXnrhtqC7rtdZTTJVxY2JQyj0C9OszQ9MuYF7y+CeOXrHStT4Mzk+EgrgWP0VD9RY4JNNs1g+IkW2kg==" saltValue="AEoiSink0oVb4rn/bm0WwQ==" spinCount="100000" sheet="1" objects="1" scenarios="1" selectLockedCells="1"/>
  <mergeCells count="163">
    <mergeCell ref="E28:H28"/>
    <mergeCell ref="A28:D28"/>
    <mergeCell ref="T60:Y60"/>
    <mergeCell ref="A51:D51"/>
    <mergeCell ref="A52:D52"/>
    <mergeCell ref="U10:V10"/>
    <mergeCell ref="A1:C5"/>
    <mergeCell ref="D4:M5"/>
    <mergeCell ref="P4:Y5"/>
    <mergeCell ref="D1:Y3"/>
    <mergeCell ref="A57:D57"/>
    <mergeCell ref="A58:D58"/>
    <mergeCell ref="A59:D59"/>
    <mergeCell ref="A60:D60"/>
    <mergeCell ref="E58:H58"/>
    <mergeCell ref="E59:H59"/>
    <mergeCell ref="E57:H57"/>
    <mergeCell ref="A36:D36"/>
    <mergeCell ref="P36:R36"/>
    <mergeCell ref="A37:D37"/>
    <mergeCell ref="P37:Q37"/>
    <mergeCell ref="T39:Y39"/>
    <mergeCell ref="T40:Y40"/>
    <mergeCell ref="T41:Y41"/>
    <mergeCell ref="T35:Y35"/>
    <mergeCell ref="P48:Q48"/>
    <mergeCell ref="T36:Y36"/>
    <mergeCell ref="T37:Y37"/>
    <mergeCell ref="T48:Y48"/>
    <mergeCell ref="T49:Y49"/>
    <mergeCell ref="P38:Q38"/>
    <mergeCell ref="P39:Q39"/>
    <mergeCell ref="J37:L37"/>
    <mergeCell ref="J38:L38"/>
    <mergeCell ref="J39:L39"/>
    <mergeCell ref="T47:Y47"/>
    <mergeCell ref="J48:K48"/>
    <mergeCell ref="A55:D55"/>
    <mergeCell ref="A56:D56"/>
    <mergeCell ref="E55:H55"/>
    <mergeCell ref="E56:H56"/>
    <mergeCell ref="P40:Q40"/>
    <mergeCell ref="E51:H51"/>
    <mergeCell ref="E52:H52"/>
    <mergeCell ref="J49:L49"/>
    <mergeCell ref="J50:K50"/>
    <mergeCell ref="E49:H49"/>
    <mergeCell ref="E47:H47"/>
    <mergeCell ref="P50:Q50"/>
    <mergeCell ref="E50:H50"/>
    <mergeCell ref="E40:H40"/>
    <mergeCell ref="E41:H41"/>
    <mergeCell ref="E42:H42"/>
    <mergeCell ref="E44:H44"/>
    <mergeCell ref="E45:H45"/>
    <mergeCell ref="E48:H48"/>
    <mergeCell ref="E46:H46"/>
    <mergeCell ref="A53:D53"/>
    <mergeCell ref="A40:D40"/>
    <mergeCell ref="A41:D41"/>
    <mergeCell ref="A42:D42"/>
    <mergeCell ref="T61:Y61"/>
    <mergeCell ref="A61:D61"/>
    <mergeCell ref="P61:Q61"/>
    <mergeCell ref="E61:H61"/>
    <mergeCell ref="J61:K61"/>
    <mergeCell ref="A62:D62"/>
    <mergeCell ref="P62:Q62"/>
    <mergeCell ref="E62:H62"/>
    <mergeCell ref="J62:K62"/>
    <mergeCell ref="T62:Y62"/>
    <mergeCell ref="A44:D44"/>
    <mergeCell ref="A45:D45"/>
    <mergeCell ref="A8:D8"/>
    <mergeCell ref="J8:K8"/>
    <mergeCell ref="P8:Q8"/>
    <mergeCell ref="E38:H38"/>
    <mergeCell ref="E39:H39"/>
    <mergeCell ref="E36:H36"/>
    <mergeCell ref="E37:H37"/>
    <mergeCell ref="E35:H35"/>
    <mergeCell ref="A38:D38"/>
    <mergeCell ref="A39:D39"/>
    <mergeCell ref="J40:L40"/>
    <mergeCell ref="J41:L41"/>
    <mergeCell ref="J42:K42"/>
    <mergeCell ref="P41:Q41"/>
    <mergeCell ref="P42:Q42"/>
    <mergeCell ref="P13:S13"/>
    <mergeCell ref="E11:H11"/>
    <mergeCell ref="A20:D22"/>
    <mergeCell ref="J23:M23"/>
    <mergeCell ref="J34:L34"/>
    <mergeCell ref="E20:H20"/>
    <mergeCell ref="A10:D10"/>
    <mergeCell ref="A48:D48"/>
    <mergeCell ref="A46:D46"/>
    <mergeCell ref="A47:D47"/>
    <mergeCell ref="A19:D19"/>
    <mergeCell ref="A23:D23"/>
    <mergeCell ref="P23:S23"/>
    <mergeCell ref="A54:C54"/>
    <mergeCell ref="A49:D49"/>
    <mergeCell ref="P49:R49"/>
    <mergeCell ref="A50:D50"/>
    <mergeCell ref="A25:D25"/>
    <mergeCell ref="A26:D26"/>
    <mergeCell ref="A29:D29"/>
    <mergeCell ref="A30:D30"/>
    <mergeCell ref="E25:H25"/>
    <mergeCell ref="A32:D32"/>
    <mergeCell ref="P32:S32"/>
    <mergeCell ref="J32:M32"/>
    <mergeCell ref="E26:H26"/>
    <mergeCell ref="A27:D27"/>
    <mergeCell ref="P30:S31"/>
    <mergeCell ref="R25:W26"/>
    <mergeCell ref="E27:H27"/>
    <mergeCell ref="E30:H31"/>
    <mergeCell ref="P10:S10"/>
    <mergeCell ref="E10:H10"/>
    <mergeCell ref="A24:D24"/>
    <mergeCell ref="A14:D14"/>
    <mergeCell ref="P14:S14"/>
    <mergeCell ref="A15:D15"/>
    <mergeCell ref="P15:S15"/>
    <mergeCell ref="A16:D16"/>
    <mergeCell ref="A17:D17"/>
    <mergeCell ref="E14:H14"/>
    <mergeCell ref="E15:H15"/>
    <mergeCell ref="E16:H16"/>
    <mergeCell ref="A18:D18"/>
    <mergeCell ref="P18:Q18"/>
    <mergeCell ref="J12:M12"/>
    <mergeCell ref="A11:D11"/>
    <mergeCell ref="P11:S11"/>
    <mergeCell ref="A12:D12"/>
    <mergeCell ref="P12:S12"/>
    <mergeCell ref="A13:D13"/>
    <mergeCell ref="T33:Y33"/>
    <mergeCell ref="J36:L36"/>
    <mergeCell ref="A35:D35"/>
    <mergeCell ref="P35:R35"/>
    <mergeCell ref="J35:L35"/>
    <mergeCell ref="A34:D34"/>
    <mergeCell ref="P34:R34"/>
    <mergeCell ref="T34:Y34"/>
    <mergeCell ref="E6:H6"/>
    <mergeCell ref="J6:M6"/>
    <mergeCell ref="J10:M10"/>
    <mergeCell ref="J11:M11"/>
    <mergeCell ref="E32:H32"/>
    <mergeCell ref="E34:H34"/>
    <mergeCell ref="E12:H12"/>
    <mergeCell ref="E13:H13"/>
    <mergeCell ref="J30:M31"/>
    <mergeCell ref="J13:M13"/>
    <mergeCell ref="J14:M14"/>
    <mergeCell ref="J15:M15"/>
    <mergeCell ref="E18:H18"/>
    <mergeCell ref="E19:H19"/>
    <mergeCell ref="E23:H23"/>
    <mergeCell ref="J18:K18"/>
  </mergeCells>
  <conditionalFormatting sqref="J10:M16 J18:M18 J25:J27 J30 J61:K62 J48:L52 J34:L41 J42 J44:J47 J19 L19:M19 J8 T34:Y36 T39:Y41 J55:J59 J32:M32 J23">
    <cfRule type="notContainsBlanks" dxfId="3039" priority="13">
      <formula>LEN(TRIM(J8))&gt;0</formula>
    </cfRule>
  </conditionalFormatting>
  <conditionalFormatting sqref="T34:T36">
    <cfRule type="expression" dxfId="3038" priority="102" stopIfTrue="1">
      <formula>OR(AND(E34="Other",I34),J34="Other")</formula>
    </cfRule>
    <cfRule type="expression" dxfId="3037" priority="103">
      <formula>TRUE</formula>
    </cfRule>
  </conditionalFormatting>
  <conditionalFormatting sqref="P4:Y5">
    <cfRule type="expression" dxfId="3036" priority="101">
      <formula>startError</formula>
    </cfRule>
  </conditionalFormatting>
  <conditionalFormatting sqref="I10">
    <cfRule type="expression" dxfId="3035" priority="100">
      <formula>LEN(TRIM($I$10))&gt;0</formula>
    </cfRule>
  </conditionalFormatting>
  <conditionalFormatting sqref="I11">
    <cfRule type="expression" dxfId="3034" priority="99">
      <formula>LEN(TRIM($I$11))&gt;0</formula>
    </cfRule>
  </conditionalFormatting>
  <conditionalFormatting sqref="I12">
    <cfRule type="expression" dxfId="3033" priority="98">
      <formula>LEN(TRIM($I$12))&gt;0</formula>
    </cfRule>
  </conditionalFormatting>
  <conditionalFormatting sqref="I13">
    <cfRule type="expression" dxfId="3032" priority="97">
      <formula>LEN(TRIM($I$13))&gt;0</formula>
    </cfRule>
  </conditionalFormatting>
  <conditionalFormatting sqref="I14">
    <cfRule type="expression" dxfId="3031" priority="96">
      <formula>LEN(TRIM($I$14))&gt;0</formula>
    </cfRule>
  </conditionalFormatting>
  <conditionalFormatting sqref="I15">
    <cfRule type="expression" dxfId="3030" priority="95">
      <formula>LEN(TRIM($I$15))&gt;0</formula>
    </cfRule>
  </conditionalFormatting>
  <conditionalFormatting sqref="I16">
    <cfRule type="expression" dxfId="3029" priority="94">
      <formula>LEN(TRIM($I$16))&gt;0</formula>
    </cfRule>
  </conditionalFormatting>
  <conditionalFormatting sqref="I18">
    <cfRule type="expression" dxfId="3028" priority="93">
      <formula>LEN(TRIM($I$18))&gt;0</formula>
    </cfRule>
  </conditionalFormatting>
  <conditionalFormatting sqref="I19">
    <cfRule type="expression" dxfId="3027" priority="92">
      <formula>LEN(TRIM($I$19))&gt;0</formula>
    </cfRule>
  </conditionalFormatting>
  <conditionalFormatting sqref="I23">
    <cfRule type="expression" dxfId="3026" priority="91">
      <formula>LEN(TRIM($I$23))&gt;0</formula>
    </cfRule>
  </conditionalFormatting>
  <conditionalFormatting sqref="I25">
    <cfRule type="expression" dxfId="3025" priority="90">
      <formula>LEN(TRIM($I$25))&gt;0</formula>
    </cfRule>
  </conditionalFormatting>
  <conditionalFormatting sqref="I26">
    <cfRule type="expression" dxfId="3024" priority="89">
      <formula>LEN(TRIM($I$26))&gt;0</formula>
    </cfRule>
  </conditionalFormatting>
  <conditionalFormatting sqref="I30">
    <cfRule type="expression" dxfId="3023" priority="88">
      <formula>LEN(TRIM($I$30))&gt;0</formula>
    </cfRule>
  </conditionalFormatting>
  <conditionalFormatting sqref="I32">
    <cfRule type="expression" dxfId="3022" priority="86">
      <formula>LEN(TRIM($I$32))&gt;0</formula>
    </cfRule>
  </conditionalFormatting>
  <conditionalFormatting sqref="I34">
    <cfRule type="expression" dxfId="3021" priority="85">
      <formula>LEN(TRIM($I$34))&gt;0</formula>
    </cfRule>
  </conditionalFormatting>
  <conditionalFormatting sqref="I35">
    <cfRule type="expression" dxfId="3020" priority="84">
      <formula>LEN(TRIM($I$35))&gt;0</formula>
    </cfRule>
  </conditionalFormatting>
  <conditionalFormatting sqref="I36">
    <cfRule type="expression" dxfId="3019" priority="83">
      <formula>LEN(TRIM($I$36))&gt;0</formula>
    </cfRule>
  </conditionalFormatting>
  <conditionalFormatting sqref="I37">
    <cfRule type="expression" dxfId="3018" priority="82">
      <formula>LEN(TRIM($I$37))&gt;0</formula>
    </cfRule>
  </conditionalFormatting>
  <conditionalFormatting sqref="I48">
    <cfRule type="expression" dxfId="3017" priority="81">
      <formula>LEN(TRIM($I$48))&gt;0</formula>
    </cfRule>
  </conditionalFormatting>
  <conditionalFormatting sqref="I49">
    <cfRule type="expression" dxfId="3016" priority="80">
      <formula>LEN(TRIM($I$49))&gt;0</formula>
    </cfRule>
  </conditionalFormatting>
  <conditionalFormatting sqref="I50">
    <cfRule type="expression" dxfId="3015" priority="79">
      <formula>LEN(TRIM($I$50))&gt;0</formula>
    </cfRule>
  </conditionalFormatting>
  <conditionalFormatting sqref="I51">
    <cfRule type="expression" dxfId="3014" priority="78">
      <formula>LEN(TRIM($I$51))&gt;0</formula>
    </cfRule>
  </conditionalFormatting>
  <conditionalFormatting sqref="I52">
    <cfRule type="expression" dxfId="3013" priority="77">
      <formula>LEN(TRIM($I$52))&gt;0</formula>
    </cfRule>
  </conditionalFormatting>
  <conditionalFormatting sqref="I55">
    <cfRule type="expression" dxfId="3012" priority="76">
      <formula>LEN(TRIM($I$55))&gt;0</formula>
    </cfRule>
  </conditionalFormatting>
  <conditionalFormatting sqref="I56">
    <cfRule type="expression" dxfId="3011" priority="75">
      <formula>LEN(TRIM($I$56))&gt;0</formula>
    </cfRule>
  </conditionalFormatting>
  <conditionalFormatting sqref="I57">
    <cfRule type="expression" dxfId="3010" priority="73">
      <formula>LEN(TRIM($I$57))&gt;0</formula>
    </cfRule>
  </conditionalFormatting>
  <conditionalFormatting sqref="I58">
    <cfRule type="expression" dxfId="3009" priority="72">
      <formula>LEN(TRIM($I$58))&gt;0</formula>
    </cfRule>
  </conditionalFormatting>
  <conditionalFormatting sqref="I59">
    <cfRule type="expression" dxfId="3008" priority="71">
      <formula>LEN(TRIM($I$59))&gt;0</formula>
    </cfRule>
  </conditionalFormatting>
  <conditionalFormatting sqref="I61">
    <cfRule type="expression" dxfId="3007" priority="70">
      <formula>LEN(TRIM($I$61))&gt;0</formula>
    </cfRule>
  </conditionalFormatting>
  <conditionalFormatting sqref="I62">
    <cfRule type="expression" dxfId="3006" priority="69">
      <formula>LEN(TRIM($I$62))&gt;0</formula>
    </cfRule>
  </conditionalFormatting>
  <conditionalFormatting sqref="I27">
    <cfRule type="expression" dxfId="3005" priority="68">
      <formula>LEN(TRIM($I$27))&gt;0</formula>
    </cfRule>
  </conditionalFormatting>
  <conditionalFormatting sqref="I38">
    <cfRule type="expression" dxfId="3004" priority="67">
      <formula>LEN(TRIM($I$38))&gt;0</formula>
    </cfRule>
  </conditionalFormatting>
  <conditionalFormatting sqref="I39">
    <cfRule type="expression" dxfId="3003" priority="66">
      <formula>LEN(TRIM($I$39))&gt;0</formula>
    </cfRule>
  </conditionalFormatting>
  <conditionalFormatting sqref="I40">
    <cfRule type="expression" dxfId="3002" priority="65">
      <formula>LEN(TRIM($I$40))&gt;0</formula>
    </cfRule>
  </conditionalFormatting>
  <conditionalFormatting sqref="I41">
    <cfRule type="expression" dxfId="3001" priority="64">
      <formula>LEN(TRIM($I$41))&gt;0</formula>
    </cfRule>
  </conditionalFormatting>
  <conditionalFormatting sqref="I42">
    <cfRule type="expression" dxfId="3000" priority="63">
      <formula>LEN(TRIM($I$42))&gt;0</formula>
    </cfRule>
  </conditionalFormatting>
  <conditionalFormatting sqref="I44">
    <cfRule type="expression" dxfId="2999" priority="61">
      <formula>LEN(TRIM($I$44))&gt;0</formula>
    </cfRule>
  </conditionalFormatting>
  <conditionalFormatting sqref="I45">
    <cfRule type="expression" dxfId="2998" priority="60">
      <formula>LEN(TRIM($I$45))&gt;0</formula>
    </cfRule>
  </conditionalFormatting>
  <conditionalFormatting sqref="I46">
    <cfRule type="expression" dxfId="2997" priority="59">
      <formula>LEN(TRIM($I$46))&gt;0</formula>
    </cfRule>
  </conditionalFormatting>
  <conditionalFormatting sqref="I47">
    <cfRule type="expression" dxfId="2996" priority="58">
      <formula>LEN(TRIM($I$47))&gt;0</formula>
    </cfRule>
  </conditionalFormatting>
  <conditionalFormatting sqref="J38">
    <cfRule type="expression" dxfId="2995" priority="46">
      <formula>I38</formula>
    </cfRule>
    <cfRule type="notContainsBlanks" dxfId="2994" priority="47">
      <formula>LEN(TRIM(J38))&gt;0</formula>
    </cfRule>
  </conditionalFormatting>
  <conditionalFormatting sqref="J39">
    <cfRule type="expression" dxfId="2993" priority="44">
      <formula>I39</formula>
    </cfRule>
    <cfRule type="notContainsBlanks" dxfId="2992" priority="45">
      <formula>LEN(TRIM(J39))&gt;0</formula>
    </cfRule>
  </conditionalFormatting>
  <conditionalFormatting sqref="J40">
    <cfRule type="expression" dxfId="2991" priority="42">
      <formula>I40</formula>
    </cfRule>
    <cfRule type="notContainsBlanks" dxfId="2990" priority="43">
      <formula>LEN(TRIM(J40))&gt;0</formula>
    </cfRule>
  </conditionalFormatting>
  <conditionalFormatting sqref="J41">
    <cfRule type="expression" dxfId="2989" priority="40">
      <formula>I41</formula>
    </cfRule>
    <cfRule type="notContainsBlanks" dxfId="2988" priority="41">
      <formula>LEN(TRIM(J41))&gt;0</formula>
    </cfRule>
  </conditionalFormatting>
  <conditionalFormatting sqref="J42">
    <cfRule type="expression" dxfId="2987" priority="38">
      <formula>I42</formula>
    </cfRule>
    <cfRule type="notContainsBlanks" dxfId="2986" priority="39">
      <formula>LEN(TRIM(J42))&gt;0</formula>
    </cfRule>
  </conditionalFormatting>
  <conditionalFormatting sqref="J44">
    <cfRule type="notContainsBlanks" dxfId="2985" priority="37">
      <formula>LEN(TRIM(J44))&gt;0</formula>
    </cfRule>
  </conditionalFormatting>
  <conditionalFormatting sqref="J45">
    <cfRule type="notContainsBlanks" dxfId="2984" priority="36">
      <formula>LEN(TRIM(J45))&gt;0</formula>
    </cfRule>
  </conditionalFormatting>
  <conditionalFormatting sqref="J46">
    <cfRule type="notContainsBlanks" dxfId="2983" priority="35">
      <formula>LEN(TRIM(J46))&gt;0</formula>
    </cfRule>
  </conditionalFormatting>
  <conditionalFormatting sqref="J47">
    <cfRule type="notContainsBlanks" dxfId="2982" priority="34">
      <formula>LEN(TRIM(J47))&gt;0</formula>
    </cfRule>
  </conditionalFormatting>
  <conditionalFormatting sqref="J10:M16 J18:M18 J25:J27 J30 J61:K62 J48:L52 J34:L41 J42 J44:J47 J23:M23 J19 L19:M19 J55:J59 J32:M32">
    <cfRule type="expression" dxfId="2981" priority="104">
      <formula>I10</formula>
    </cfRule>
  </conditionalFormatting>
  <conditionalFormatting sqref="T39:T41">
    <cfRule type="expression" dxfId="2980" priority="32" stopIfTrue="1">
      <formula>OR(AND(E39="Other",I39),J39="Other")</formula>
    </cfRule>
    <cfRule type="expression" dxfId="2979" priority="33">
      <formula>TRUE</formula>
    </cfRule>
  </conditionalFormatting>
  <conditionalFormatting sqref="R8">
    <cfRule type="expression" dxfId="2978" priority="31">
      <formula>dstBatch=TRUE</formula>
    </cfRule>
  </conditionalFormatting>
  <conditionalFormatting sqref="T37:Y37">
    <cfRule type="notContainsBlanks" dxfId="2977" priority="30">
      <formula>LEN(TRIM(T37))&gt;0</formula>
    </cfRule>
  </conditionalFormatting>
  <conditionalFormatting sqref="T37">
    <cfRule type="expression" dxfId="2976" priority="28" stopIfTrue="1">
      <formula>OR(AND(E37="Other",I37),J37="Other")</formula>
    </cfRule>
    <cfRule type="expression" dxfId="2975" priority="29">
      <formula>TRUE</formula>
    </cfRule>
  </conditionalFormatting>
  <conditionalFormatting sqref="T48:Y48">
    <cfRule type="notContainsBlanks" dxfId="2974" priority="27">
      <formula>LEN(TRIM(T48))&gt;0</formula>
    </cfRule>
  </conditionalFormatting>
  <conditionalFormatting sqref="T48">
    <cfRule type="expression" dxfId="2973" priority="25" stopIfTrue="1">
      <formula>OR(AND(E48="Other",I48),J48="Other")</formula>
    </cfRule>
    <cfRule type="expression" dxfId="2972" priority="26">
      <formula>TRUE</formula>
    </cfRule>
  </conditionalFormatting>
  <conditionalFormatting sqref="T49:Y49">
    <cfRule type="notContainsBlanks" dxfId="2971" priority="24">
      <formula>LEN(TRIM(T49))&gt;0</formula>
    </cfRule>
  </conditionalFormatting>
  <conditionalFormatting sqref="T49">
    <cfRule type="expression" dxfId="2970" priority="22" stopIfTrue="1">
      <formula>OR(AND(E49="Other",I49),J49="Other")</formula>
    </cfRule>
    <cfRule type="expression" dxfId="2969" priority="23">
      <formula>TRUE</formula>
    </cfRule>
  </conditionalFormatting>
  <conditionalFormatting sqref="T61:Y61">
    <cfRule type="notContainsBlanks" dxfId="2968" priority="21">
      <formula>LEN(TRIM(T61))&gt;0</formula>
    </cfRule>
  </conditionalFormatting>
  <conditionalFormatting sqref="T61">
    <cfRule type="expression" dxfId="2967" priority="19" stopIfTrue="1">
      <formula>OR(AND(E61="Other",I61),J61="Other")</formula>
    </cfRule>
    <cfRule type="expression" dxfId="2966" priority="20">
      <formula>TRUE</formula>
    </cfRule>
  </conditionalFormatting>
  <conditionalFormatting sqref="T62:Y62">
    <cfRule type="notContainsBlanks" dxfId="2965" priority="18">
      <formula>LEN(TRIM(T62))&gt;0</formula>
    </cfRule>
  </conditionalFormatting>
  <conditionalFormatting sqref="T62">
    <cfRule type="expression" dxfId="2964" priority="16" stopIfTrue="1">
      <formula>OR(AND(E62="Other",I62),J62="Other")</formula>
    </cfRule>
    <cfRule type="expression" dxfId="2963" priority="17">
      <formula>TRUE</formula>
    </cfRule>
  </conditionalFormatting>
  <conditionalFormatting sqref="T13">
    <cfRule type="expression" dxfId="2962" priority="15">
      <formula>dstBatch=TRUE</formula>
    </cfRule>
  </conditionalFormatting>
  <conditionalFormatting sqref="Q16">
    <cfRule type="expression" dxfId="2961" priority="14">
      <formula>dstBatch=TRUE</formula>
    </cfRule>
  </conditionalFormatting>
  <conditionalFormatting sqref="J8:K8">
    <cfRule type="expression" dxfId="2960" priority="11">
      <formula>AND(dstBatch=TRUE,LEN($J$8)&gt;0)</formula>
    </cfRule>
    <cfRule type="expression" dxfId="2959" priority="105">
      <formula>dstBatch</formula>
    </cfRule>
  </conditionalFormatting>
  <conditionalFormatting sqref="J20">
    <cfRule type="notContainsBlanks" dxfId="2958" priority="6">
      <formula>LEN(TRIM(J20))&gt;0</formula>
    </cfRule>
  </conditionalFormatting>
  <conditionalFormatting sqref="J20">
    <cfRule type="expression" dxfId="2957" priority="7">
      <formula>I20</formula>
    </cfRule>
  </conditionalFormatting>
  <conditionalFormatting sqref="I20">
    <cfRule type="expression" dxfId="2956" priority="5">
      <formula>LEN(TRIM($I$20))&gt;0</formula>
    </cfRule>
  </conditionalFormatting>
  <conditionalFormatting sqref="I28">
    <cfRule type="expression" dxfId="2955" priority="3">
      <formula>LEN(TRIM($I$28))&gt;0</formula>
    </cfRule>
  </conditionalFormatting>
  <conditionalFormatting sqref="J28">
    <cfRule type="notContainsBlanks" dxfId="2954" priority="1">
      <formula>LEN(TRIM(J28))&gt;0</formula>
    </cfRule>
  </conditionalFormatting>
  <conditionalFormatting sqref="J28">
    <cfRule type="expression" dxfId="2953" priority="2">
      <formula>I28</formula>
    </cfRule>
  </conditionalFormatting>
  <dataValidations xWindow="570" yWindow="734" count="26">
    <dataValidation type="whole" allowBlank="1" showInputMessage="1" showErrorMessage="1" error="Must enter a whole number." sqref="P19:P20 J19" xr:uid="{00000000-0002-0000-0E00-000000000000}">
      <formula1>0</formula1>
      <formula2>100000000000</formula2>
    </dataValidation>
    <dataValidation type="list" allowBlank="1" showInputMessage="1" showErrorMessage="1" error="Please use the dropdown." sqref="P55 J55" xr:uid="{00000000-0002-0000-0E00-000001000000}">
      <formula1>INDIRECT($N$55)</formula1>
    </dataValidation>
    <dataValidation type="list" allowBlank="1" showInputMessage="1" showErrorMessage="1" error="Please use the dropdown." sqref="J62:K62 P62:Q62" xr:uid="{00000000-0002-0000-0E00-000002000000}">
      <formula1>INDIRECT($N$62)</formula1>
    </dataValidation>
    <dataValidation type="list" allowBlank="1" showInputMessage="1" showErrorMessage="1" error="Please use the dropdown." sqref="P61:Q61 J61:K61" xr:uid="{00000000-0002-0000-0E00-000003000000}">
      <formula1>INDIRECT($N$61)</formula1>
    </dataValidation>
    <dataValidation type="list" allowBlank="1" showInputMessage="1" showErrorMessage="1" error="Please use the dropdown." sqref="P59 J59" xr:uid="{00000000-0002-0000-0E00-000004000000}">
      <formula1>INDIRECT($N$59)</formula1>
    </dataValidation>
    <dataValidation type="list" allowBlank="1" showInputMessage="1" showErrorMessage="1" error="Please use the dropdown." sqref="P58 J58" xr:uid="{00000000-0002-0000-0E00-000005000000}">
      <formula1>INDIRECT($N$58)</formula1>
    </dataValidation>
    <dataValidation type="list" allowBlank="1" showInputMessage="1" showErrorMessage="1" error="Please use the dropdown." sqref="P57 J57" xr:uid="{00000000-0002-0000-0E00-000006000000}">
      <formula1>INDIRECT($N$57)</formula1>
    </dataValidation>
    <dataValidation type="list" allowBlank="1" showInputMessage="1" showErrorMessage="1" error="Please use the dropdown." sqref="P56 J56" xr:uid="{00000000-0002-0000-0E00-000008000000}">
      <formula1>INDIRECT($N$56)</formula1>
    </dataValidation>
    <dataValidation type="list" allowBlank="1" showInputMessage="1" showErrorMessage="1" error="Please use the dropdown." sqref="P52 J52" xr:uid="{00000000-0002-0000-0E00-000009000000}">
      <formula1>INDIRECT($N$52)</formula1>
    </dataValidation>
    <dataValidation type="list" allowBlank="1" showInputMessage="1" showErrorMessage="1" error="Please use the dropdown." sqref="P51 J51" xr:uid="{00000000-0002-0000-0E00-00000A000000}">
      <formula1>INDIRECT($N$51)</formula1>
    </dataValidation>
    <dataValidation type="list" allowBlank="1" showInputMessage="1" showErrorMessage="1" error="Please use the dropdown." sqref="P50:Q50 J50:K50" xr:uid="{00000000-0002-0000-0E00-00000B000000}">
      <formula1>INDIRECT($N$50)</formula1>
    </dataValidation>
    <dataValidation type="list" allowBlank="1" showInputMessage="1" showErrorMessage="1" error="Please use the dropdown." sqref="P49:R49 J49:L49" xr:uid="{00000000-0002-0000-0E00-00000C000000}">
      <formula1>INDIRECT($N$49)</formula1>
    </dataValidation>
    <dataValidation type="list" allowBlank="1" showInputMessage="1" showErrorMessage="1" error="Please use the dropdown." sqref="P48:Q48 J48:K48" xr:uid="{00000000-0002-0000-0E00-00000D000000}">
      <formula1>INDIRECT($N$48)</formula1>
    </dataValidation>
    <dataValidation type="list" allowBlank="1" showInputMessage="1" showErrorMessage="1" error="Please use the dropdown." sqref="P44:P47 P37:Q42" xr:uid="{00000000-0002-0000-0E00-00000E000000}">
      <formula1>INDIRECT($N$37)</formula1>
    </dataValidation>
    <dataValidation type="list" allowBlank="1" showInputMessage="1" showErrorMessage="1" error="Please use the dropdown." sqref="P36:R36 J36:L36" xr:uid="{00000000-0002-0000-0E00-00000F000000}">
      <formula1>INDIRECT($N$36)</formula1>
    </dataValidation>
    <dataValidation type="list" allowBlank="1" showInputMessage="1" showErrorMessage="1" error="Please use the dropdown." sqref="P35:R35 J35:L35" xr:uid="{00000000-0002-0000-0E00-000010000000}">
      <formula1>INDIRECT($N$35)</formula1>
    </dataValidation>
    <dataValidation type="list" allowBlank="1" showInputMessage="1" showErrorMessage="1" error="Please use the dropdown." sqref="P34:R34 J34:L34" xr:uid="{00000000-0002-0000-0E00-000011000000}">
      <formula1>INDIRECT($N$34)</formula1>
    </dataValidation>
    <dataValidation type="list" allowBlank="1" showInputMessage="1" showErrorMessage="1" error="Please use the dropdown." sqref="J32:M32 P32:S32" xr:uid="{00000000-0002-0000-0E00-000012000000}">
      <formula1>INDIRECT($N$32)</formula1>
    </dataValidation>
    <dataValidation type="list" allowBlank="1" showInputMessage="1" showErrorMessage="1" error="Please use the dropdown." sqref="P18:Q18 J18:K18" xr:uid="{00000000-0002-0000-0E00-000013000000}">
      <formula1>INDIRECT($N$18)</formula1>
    </dataValidation>
    <dataValidation type="list" allowBlank="1" showDropDown="1" showInputMessage="1" showErrorMessage="1" error="Use Checkbox" prompt="Use Checkbox" sqref="I34:I42 I18:I20 I30 I10:I16 I32 I44:I52 I61:I62 I55:I59 I23 I25:I28" xr:uid="{00000000-0002-0000-0E00-000014000000}">
      <formula1>TorF</formula1>
    </dataValidation>
    <dataValidation type="list" allowBlank="1" showInputMessage="1" showErrorMessage="1" error="Please use the dropdown." sqref="J37:L41 J42:K42" xr:uid="{00000000-0002-0000-0E00-000015000000}">
      <formula1>INDIRECT(N37)</formula1>
    </dataValidation>
    <dataValidation type="decimal" allowBlank="1" showInputMessage="1" showErrorMessage="1" error="Enter a decimal between 0 and 1." prompt="Enter the U-value." sqref="J46:J47" xr:uid="{00000000-0002-0000-0E00-000016000000}">
      <formula1>0</formula1>
      <formula2>1</formula2>
    </dataValidation>
    <dataValidation type="decimal" allowBlank="1" showInputMessage="1" showErrorMessage="1" error="Enter a decimal between 0 and 1." prompt="Enter the SHGC value." sqref="J44:J45" xr:uid="{00000000-0002-0000-0E00-000017000000}">
      <formula1>0</formula1>
      <formula2>1</formula2>
    </dataValidation>
    <dataValidation type="whole" allowBlank="1" showInputMessage="1" showErrorMessage="1" error="Enter a whole number between 1 and 1000." prompt="Enter the number of stories above grade." sqref="J27" xr:uid="{00000000-0002-0000-0E00-000018000000}">
      <formula1>1</formula1>
      <formula2>1000</formula2>
    </dataValidation>
    <dataValidation type="list" allowBlank="1" showInputMessage="1" showErrorMessage="1" error="Choose from the list" sqref="J20" xr:uid="{7FCEBF27-50E7-4027-B3F6-08103D8734E7}">
      <formula1>INDIRECT(N20)</formula1>
    </dataValidation>
    <dataValidation type="whole" allowBlank="1" showInputMessage="1" showErrorMessage="1" error="Enter a whole number." prompt="Enter the number of feet above sea level." sqref="J28" xr:uid="{6E2819C8-D614-43E0-826A-243FDD764AF2}">
      <formula1>1</formula1>
      <formula2>100000</formula2>
    </dataValidation>
  </dataValidations>
  <pageMargins left="0.7" right="0.7" top="0.75" bottom="0.75" header="0.3" footer="0.3"/>
  <pageSetup scale="4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92" r:id="rId4" name="Check Box 44">
              <controlPr locked="0" defaultSize="0" autoFill="0" autoLine="0" autoPict="0">
                <anchor moveWithCells="1">
                  <from>
                    <xdr:col>8</xdr:col>
                    <xdr:colOff>0</xdr:colOff>
                    <xdr:row>9</xdr:row>
                    <xdr:rowOff>0</xdr:rowOff>
                  </from>
                  <to>
                    <xdr:col>8</xdr:col>
                    <xdr:colOff>180975</xdr:colOff>
                    <xdr:row>9</xdr:row>
                    <xdr:rowOff>180975</xdr:rowOff>
                  </to>
                </anchor>
              </controlPr>
            </control>
          </mc:Choice>
        </mc:AlternateContent>
        <mc:AlternateContent xmlns:mc="http://schemas.openxmlformats.org/markup-compatibility/2006">
          <mc:Choice Requires="x14">
            <control shapeId="27693" r:id="rId5" name="Check Box 45">
              <controlPr locked="0" defaultSize="0" autoFill="0" autoLine="0" autoPict="0">
                <anchor moveWithCells="1">
                  <from>
                    <xdr:col>8</xdr:col>
                    <xdr:colOff>0</xdr:colOff>
                    <xdr:row>10</xdr:row>
                    <xdr:rowOff>0</xdr:rowOff>
                  </from>
                  <to>
                    <xdr:col>8</xdr:col>
                    <xdr:colOff>180975</xdr:colOff>
                    <xdr:row>10</xdr:row>
                    <xdr:rowOff>180975</xdr:rowOff>
                  </to>
                </anchor>
              </controlPr>
            </control>
          </mc:Choice>
        </mc:AlternateContent>
        <mc:AlternateContent xmlns:mc="http://schemas.openxmlformats.org/markup-compatibility/2006">
          <mc:Choice Requires="x14">
            <control shapeId="27694" r:id="rId6" name="Check Box 46">
              <controlPr locked="0" defaultSize="0" autoFill="0" autoLine="0" autoPict="0">
                <anchor moveWithCells="1">
                  <from>
                    <xdr:col>8</xdr:col>
                    <xdr:colOff>0</xdr:colOff>
                    <xdr:row>11</xdr:row>
                    <xdr:rowOff>0</xdr:rowOff>
                  </from>
                  <to>
                    <xdr:col>8</xdr:col>
                    <xdr:colOff>180975</xdr:colOff>
                    <xdr:row>11</xdr:row>
                    <xdr:rowOff>180975</xdr:rowOff>
                  </to>
                </anchor>
              </controlPr>
            </control>
          </mc:Choice>
        </mc:AlternateContent>
        <mc:AlternateContent xmlns:mc="http://schemas.openxmlformats.org/markup-compatibility/2006">
          <mc:Choice Requires="x14">
            <control shapeId="27695" r:id="rId7" name="Check Box 47">
              <controlPr locked="0" defaultSize="0" autoFill="0" autoLine="0" autoPict="0">
                <anchor moveWithCells="1">
                  <from>
                    <xdr:col>8</xdr:col>
                    <xdr:colOff>0</xdr:colOff>
                    <xdr:row>12</xdr:row>
                    <xdr:rowOff>0</xdr:rowOff>
                  </from>
                  <to>
                    <xdr:col>8</xdr:col>
                    <xdr:colOff>180975</xdr:colOff>
                    <xdr:row>12</xdr:row>
                    <xdr:rowOff>180975</xdr:rowOff>
                  </to>
                </anchor>
              </controlPr>
            </control>
          </mc:Choice>
        </mc:AlternateContent>
        <mc:AlternateContent xmlns:mc="http://schemas.openxmlformats.org/markup-compatibility/2006">
          <mc:Choice Requires="x14">
            <control shapeId="27696" r:id="rId8" name="Check Box 48">
              <controlPr locked="0" defaultSize="0" autoFill="0" autoLine="0" autoPict="0">
                <anchor moveWithCells="1">
                  <from>
                    <xdr:col>8</xdr:col>
                    <xdr:colOff>0</xdr:colOff>
                    <xdr:row>13</xdr:row>
                    <xdr:rowOff>0</xdr:rowOff>
                  </from>
                  <to>
                    <xdr:col>8</xdr:col>
                    <xdr:colOff>180975</xdr:colOff>
                    <xdr:row>13</xdr:row>
                    <xdr:rowOff>180975</xdr:rowOff>
                  </to>
                </anchor>
              </controlPr>
            </control>
          </mc:Choice>
        </mc:AlternateContent>
        <mc:AlternateContent xmlns:mc="http://schemas.openxmlformats.org/markup-compatibility/2006">
          <mc:Choice Requires="x14">
            <control shapeId="27697" r:id="rId9" name="Check Box 49">
              <controlPr locked="0" defaultSize="0" autoFill="0" autoLine="0" autoPict="0">
                <anchor moveWithCells="1">
                  <from>
                    <xdr:col>8</xdr:col>
                    <xdr:colOff>0</xdr:colOff>
                    <xdr:row>14</xdr:row>
                    <xdr:rowOff>0</xdr:rowOff>
                  </from>
                  <to>
                    <xdr:col>8</xdr:col>
                    <xdr:colOff>180975</xdr:colOff>
                    <xdr:row>14</xdr:row>
                    <xdr:rowOff>180975</xdr:rowOff>
                  </to>
                </anchor>
              </controlPr>
            </control>
          </mc:Choice>
        </mc:AlternateContent>
        <mc:AlternateContent xmlns:mc="http://schemas.openxmlformats.org/markup-compatibility/2006">
          <mc:Choice Requires="x14">
            <control shapeId="27698" r:id="rId10" name="Check Box 50">
              <controlPr locked="0" defaultSize="0" autoFill="0" autoLine="0" autoPict="0">
                <anchor moveWithCells="1">
                  <from>
                    <xdr:col>8</xdr:col>
                    <xdr:colOff>0</xdr:colOff>
                    <xdr:row>15</xdr:row>
                    <xdr:rowOff>0</xdr:rowOff>
                  </from>
                  <to>
                    <xdr:col>8</xdr:col>
                    <xdr:colOff>180975</xdr:colOff>
                    <xdr:row>15</xdr:row>
                    <xdr:rowOff>180975</xdr:rowOff>
                  </to>
                </anchor>
              </controlPr>
            </control>
          </mc:Choice>
        </mc:AlternateContent>
        <mc:AlternateContent xmlns:mc="http://schemas.openxmlformats.org/markup-compatibility/2006">
          <mc:Choice Requires="x14">
            <control shapeId="27699" r:id="rId11" name="Check Box 51">
              <controlPr locked="0" defaultSize="0" autoFill="0" autoLine="0" autoPict="0">
                <anchor moveWithCells="1">
                  <from>
                    <xdr:col>8</xdr:col>
                    <xdr:colOff>0</xdr:colOff>
                    <xdr:row>17</xdr:row>
                    <xdr:rowOff>0</xdr:rowOff>
                  </from>
                  <to>
                    <xdr:col>8</xdr:col>
                    <xdr:colOff>180975</xdr:colOff>
                    <xdr:row>17</xdr:row>
                    <xdr:rowOff>180975</xdr:rowOff>
                  </to>
                </anchor>
              </controlPr>
            </control>
          </mc:Choice>
        </mc:AlternateContent>
        <mc:AlternateContent xmlns:mc="http://schemas.openxmlformats.org/markup-compatibility/2006">
          <mc:Choice Requires="x14">
            <control shapeId="27700" r:id="rId12" name="Check Box 52">
              <controlPr locked="0" defaultSize="0" autoFill="0" autoLine="0" autoPict="0">
                <anchor moveWithCells="1">
                  <from>
                    <xdr:col>8</xdr:col>
                    <xdr:colOff>0</xdr:colOff>
                    <xdr:row>18</xdr:row>
                    <xdr:rowOff>0</xdr:rowOff>
                  </from>
                  <to>
                    <xdr:col>8</xdr:col>
                    <xdr:colOff>180975</xdr:colOff>
                    <xdr:row>18</xdr:row>
                    <xdr:rowOff>180975</xdr:rowOff>
                  </to>
                </anchor>
              </controlPr>
            </control>
          </mc:Choice>
        </mc:AlternateContent>
        <mc:AlternateContent xmlns:mc="http://schemas.openxmlformats.org/markup-compatibility/2006">
          <mc:Choice Requires="x14">
            <control shapeId="27701" r:id="rId13" name="Check Box 53">
              <controlPr locked="0" defaultSize="0" autoFill="0" autoLine="0" autoPict="0">
                <anchor moveWithCells="1">
                  <from>
                    <xdr:col>8</xdr:col>
                    <xdr:colOff>0</xdr:colOff>
                    <xdr:row>22</xdr:row>
                    <xdr:rowOff>0</xdr:rowOff>
                  </from>
                  <to>
                    <xdr:col>8</xdr:col>
                    <xdr:colOff>180975</xdr:colOff>
                    <xdr:row>22</xdr:row>
                    <xdr:rowOff>180975</xdr:rowOff>
                  </to>
                </anchor>
              </controlPr>
            </control>
          </mc:Choice>
        </mc:AlternateContent>
        <mc:AlternateContent xmlns:mc="http://schemas.openxmlformats.org/markup-compatibility/2006">
          <mc:Choice Requires="x14">
            <control shapeId="27702" r:id="rId14" name="Check Box 54">
              <controlPr locked="0" defaultSize="0" autoFill="0" autoLine="0" autoPict="0">
                <anchor moveWithCells="1">
                  <from>
                    <xdr:col>8</xdr:col>
                    <xdr:colOff>0</xdr:colOff>
                    <xdr:row>24</xdr:row>
                    <xdr:rowOff>0</xdr:rowOff>
                  </from>
                  <to>
                    <xdr:col>8</xdr:col>
                    <xdr:colOff>180975</xdr:colOff>
                    <xdr:row>24</xdr:row>
                    <xdr:rowOff>180975</xdr:rowOff>
                  </to>
                </anchor>
              </controlPr>
            </control>
          </mc:Choice>
        </mc:AlternateContent>
        <mc:AlternateContent xmlns:mc="http://schemas.openxmlformats.org/markup-compatibility/2006">
          <mc:Choice Requires="x14">
            <control shapeId="27703" r:id="rId15" name="Check Box 55">
              <controlPr locked="0" defaultSize="0" autoFill="0" autoLine="0" autoPict="0">
                <anchor moveWithCells="1">
                  <from>
                    <xdr:col>8</xdr:col>
                    <xdr:colOff>0</xdr:colOff>
                    <xdr:row>25</xdr:row>
                    <xdr:rowOff>0</xdr:rowOff>
                  </from>
                  <to>
                    <xdr:col>8</xdr:col>
                    <xdr:colOff>180975</xdr:colOff>
                    <xdr:row>25</xdr:row>
                    <xdr:rowOff>180975</xdr:rowOff>
                  </to>
                </anchor>
              </controlPr>
            </control>
          </mc:Choice>
        </mc:AlternateContent>
        <mc:AlternateContent xmlns:mc="http://schemas.openxmlformats.org/markup-compatibility/2006">
          <mc:Choice Requires="x14">
            <control shapeId="27704" r:id="rId16" name="Check Box 56">
              <controlPr locked="0" defaultSize="0" autoFill="0" autoLine="0" autoPict="0">
                <anchor moveWithCells="1">
                  <from>
                    <xdr:col>8</xdr:col>
                    <xdr:colOff>0</xdr:colOff>
                    <xdr:row>29</xdr:row>
                    <xdr:rowOff>0</xdr:rowOff>
                  </from>
                  <to>
                    <xdr:col>8</xdr:col>
                    <xdr:colOff>180975</xdr:colOff>
                    <xdr:row>29</xdr:row>
                    <xdr:rowOff>180975</xdr:rowOff>
                  </to>
                </anchor>
              </controlPr>
            </control>
          </mc:Choice>
        </mc:AlternateContent>
        <mc:AlternateContent xmlns:mc="http://schemas.openxmlformats.org/markup-compatibility/2006">
          <mc:Choice Requires="x14">
            <control shapeId="27706" r:id="rId17" name="Check Box 58">
              <controlPr locked="0" defaultSize="0" autoFill="0" autoLine="0" autoPict="0">
                <anchor moveWithCells="1">
                  <from>
                    <xdr:col>8</xdr:col>
                    <xdr:colOff>0</xdr:colOff>
                    <xdr:row>31</xdr:row>
                    <xdr:rowOff>0</xdr:rowOff>
                  </from>
                  <to>
                    <xdr:col>8</xdr:col>
                    <xdr:colOff>180975</xdr:colOff>
                    <xdr:row>31</xdr:row>
                    <xdr:rowOff>180975</xdr:rowOff>
                  </to>
                </anchor>
              </controlPr>
            </control>
          </mc:Choice>
        </mc:AlternateContent>
        <mc:AlternateContent xmlns:mc="http://schemas.openxmlformats.org/markup-compatibility/2006">
          <mc:Choice Requires="x14">
            <control shapeId="27707" r:id="rId18" name="Check Box 59">
              <controlPr locked="0" defaultSize="0" autoFill="0" autoLine="0" autoPict="0">
                <anchor moveWithCells="1">
                  <from>
                    <xdr:col>8</xdr:col>
                    <xdr:colOff>0</xdr:colOff>
                    <xdr:row>33</xdr:row>
                    <xdr:rowOff>0</xdr:rowOff>
                  </from>
                  <to>
                    <xdr:col>8</xdr:col>
                    <xdr:colOff>180975</xdr:colOff>
                    <xdr:row>33</xdr:row>
                    <xdr:rowOff>180975</xdr:rowOff>
                  </to>
                </anchor>
              </controlPr>
            </control>
          </mc:Choice>
        </mc:AlternateContent>
        <mc:AlternateContent xmlns:mc="http://schemas.openxmlformats.org/markup-compatibility/2006">
          <mc:Choice Requires="x14">
            <control shapeId="27708" r:id="rId19" name="Check Box 60">
              <controlPr locked="0" defaultSize="0" autoFill="0" autoLine="0" autoPict="0">
                <anchor moveWithCells="1">
                  <from>
                    <xdr:col>8</xdr:col>
                    <xdr:colOff>0</xdr:colOff>
                    <xdr:row>34</xdr:row>
                    <xdr:rowOff>0</xdr:rowOff>
                  </from>
                  <to>
                    <xdr:col>8</xdr:col>
                    <xdr:colOff>180975</xdr:colOff>
                    <xdr:row>34</xdr:row>
                    <xdr:rowOff>180975</xdr:rowOff>
                  </to>
                </anchor>
              </controlPr>
            </control>
          </mc:Choice>
        </mc:AlternateContent>
        <mc:AlternateContent xmlns:mc="http://schemas.openxmlformats.org/markup-compatibility/2006">
          <mc:Choice Requires="x14">
            <control shapeId="27709" r:id="rId20" name="Check Box 61">
              <controlPr locked="0" defaultSize="0" autoFill="0" autoLine="0" autoPict="0">
                <anchor moveWithCells="1">
                  <from>
                    <xdr:col>8</xdr:col>
                    <xdr:colOff>0</xdr:colOff>
                    <xdr:row>35</xdr:row>
                    <xdr:rowOff>0</xdr:rowOff>
                  </from>
                  <to>
                    <xdr:col>8</xdr:col>
                    <xdr:colOff>180975</xdr:colOff>
                    <xdr:row>35</xdr:row>
                    <xdr:rowOff>180975</xdr:rowOff>
                  </to>
                </anchor>
              </controlPr>
            </control>
          </mc:Choice>
        </mc:AlternateContent>
        <mc:AlternateContent xmlns:mc="http://schemas.openxmlformats.org/markup-compatibility/2006">
          <mc:Choice Requires="x14">
            <control shapeId="27710" r:id="rId21" name="Check Box 62">
              <controlPr locked="0" defaultSize="0" autoFill="0" autoLine="0" autoPict="0">
                <anchor moveWithCells="1">
                  <from>
                    <xdr:col>8</xdr:col>
                    <xdr:colOff>0</xdr:colOff>
                    <xdr:row>36</xdr:row>
                    <xdr:rowOff>0</xdr:rowOff>
                  </from>
                  <to>
                    <xdr:col>8</xdr:col>
                    <xdr:colOff>180975</xdr:colOff>
                    <xdr:row>36</xdr:row>
                    <xdr:rowOff>180975</xdr:rowOff>
                  </to>
                </anchor>
              </controlPr>
            </control>
          </mc:Choice>
        </mc:AlternateContent>
        <mc:AlternateContent xmlns:mc="http://schemas.openxmlformats.org/markup-compatibility/2006">
          <mc:Choice Requires="x14">
            <control shapeId="27711" r:id="rId22" name="Check Box 63">
              <controlPr locked="0" defaultSize="0" autoFill="0" autoLine="0" autoPict="0">
                <anchor moveWithCells="1">
                  <from>
                    <xdr:col>8</xdr:col>
                    <xdr:colOff>0</xdr:colOff>
                    <xdr:row>47</xdr:row>
                    <xdr:rowOff>0</xdr:rowOff>
                  </from>
                  <to>
                    <xdr:col>8</xdr:col>
                    <xdr:colOff>180975</xdr:colOff>
                    <xdr:row>47</xdr:row>
                    <xdr:rowOff>180975</xdr:rowOff>
                  </to>
                </anchor>
              </controlPr>
            </control>
          </mc:Choice>
        </mc:AlternateContent>
        <mc:AlternateContent xmlns:mc="http://schemas.openxmlformats.org/markup-compatibility/2006">
          <mc:Choice Requires="x14">
            <control shapeId="27712" r:id="rId23" name="Check Box 64">
              <controlPr locked="0" defaultSize="0" autoFill="0" autoLine="0" autoPict="0">
                <anchor moveWithCells="1">
                  <from>
                    <xdr:col>8</xdr:col>
                    <xdr:colOff>0</xdr:colOff>
                    <xdr:row>48</xdr:row>
                    <xdr:rowOff>0</xdr:rowOff>
                  </from>
                  <to>
                    <xdr:col>8</xdr:col>
                    <xdr:colOff>180975</xdr:colOff>
                    <xdr:row>48</xdr:row>
                    <xdr:rowOff>180975</xdr:rowOff>
                  </to>
                </anchor>
              </controlPr>
            </control>
          </mc:Choice>
        </mc:AlternateContent>
        <mc:AlternateContent xmlns:mc="http://schemas.openxmlformats.org/markup-compatibility/2006">
          <mc:Choice Requires="x14">
            <control shapeId="27713" r:id="rId24" name="Check Box 65">
              <controlPr locked="0" defaultSize="0" autoFill="0" autoLine="0" autoPict="0">
                <anchor moveWithCells="1">
                  <from>
                    <xdr:col>8</xdr:col>
                    <xdr:colOff>0</xdr:colOff>
                    <xdr:row>49</xdr:row>
                    <xdr:rowOff>0</xdr:rowOff>
                  </from>
                  <to>
                    <xdr:col>8</xdr:col>
                    <xdr:colOff>180975</xdr:colOff>
                    <xdr:row>49</xdr:row>
                    <xdr:rowOff>180975</xdr:rowOff>
                  </to>
                </anchor>
              </controlPr>
            </control>
          </mc:Choice>
        </mc:AlternateContent>
        <mc:AlternateContent xmlns:mc="http://schemas.openxmlformats.org/markup-compatibility/2006">
          <mc:Choice Requires="x14">
            <control shapeId="27714" r:id="rId25" name="Check Box 66">
              <controlPr locked="0" defaultSize="0" autoFill="0" autoLine="0" autoPict="0">
                <anchor moveWithCells="1">
                  <from>
                    <xdr:col>8</xdr:col>
                    <xdr:colOff>0</xdr:colOff>
                    <xdr:row>50</xdr:row>
                    <xdr:rowOff>0</xdr:rowOff>
                  </from>
                  <to>
                    <xdr:col>8</xdr:col>
                    <xdr:colOff>180975</xdr:colOff>
                    <xdr:row>50</xdr:row>
                    <xdr:rowOff>180975</xdr:rowOff>
                  </to>
                </anchor>
              </controlPr>
            </control>
          </mc:Choice>
        </mc:AlternateContent>
        <mc:AlternateContent xmlns:mc="http://schemas.openxmlformats.org/markup-compatibility/2006">
          <mc:Choice Requires="x14">
            <control shapeId="27715" r:id="rId26" name="Check Box 67">
              <controlPr locked="0" defaultSize="0" autoFill="0" autoLine="0" autoPict="0">
                <anchor moveWithCells="1">
                  <from>
                    <xdr:col>8</xdr:col>
                    <xdr:colOff>0</xdr:colOff>
                    <xdr:row>51</xdr:row>
                    <xdr:rowOff>0</xdr:rowOff>
                  </from>
                  <to>
                    <xdr:col>8</xdr:col>
                    <xdr:colOff>180975</xdr:colOff>
                    <xdr:row>51</xdr:row>
                    <xdr:rowOff>180975</xdr:rowOff>
                  </to>
                </anchor>
              </controlPr>
            </control>
          </mc:Choice>
        </mc:AlternateContent>
        <mc:AlternateContent xmlns:mc="http://schemas.openxmlformats.org/markup-compatibility/2006">
          <mc:Choice Requires="x14">
            <control shapeId="27716" r:id="rId27" name="Check Box 68">
              <controlPr locked="0" defaultSize="0" autoFill="0" autoLine="0" autoPict="0">
                <anchor moveWithCells="1">
                  <from>
                    <xdr:col>8</xdr:col>
                    <xdr:colOff>0</xdr:colOff>
                    <xdr:row>54</xdr:row>
                    <xdr:rowOff>0</xdr:rowOff>
                  </from>
                  <to>
                    <xdr:col>8</xdr:col>
                    <xdr:colOff>180975</xdr:colOff>
                    <xdr:row>54</xdr:row>
                    <xdr:rowOff>180975</xdr:rowOff>
                  </to>
                </anchor>
              </controlPr>
            </control>
          </mc:Choice>
        </mc:AlternateContent>
        <mc:AlternateContent xmlns:mc="http://schemas.openxmlformats.org/markup-compatibility/2006">
          <mc:Choice Requires="x14">
            <control shapeId="27717" r:id="rId28" name="Check Box 69">
              <controlPr locked="0" defaultSize="0" autoFill="0" autoLine="0" autoPict="0">
                <anchor moveWithCells="1">
                  <from>
                    <xdr:col>8</xdr:col>
                    <xdr:colOff>0</xdr:colOff>
                    <xdr:row>55</xdr:row>
                    <xdr:rowOff>0</xdr:rowOff>
                  </from>
                  <to>
                    <xdr:col>8</xdr:col>
                    <xdr:colOff>180975</xdr:colOff>
                    <xdr:row>55</xdr:row>
                    <xdr:rowOff>180975</xdr:rowOff>
                  </to>
                </anchor>
              </controlPr>
            </control>
          </mc:Choice>
        </mc:AlternateContent>
        <mc:AlternateContent xmlns:mc="http://schemas.openxmlformats.org/markup-compatibility/2006">
          <mc:Choice Requires="x14">
            <control shapeId="27719" r:id="rId29" name="Check Box 71">
              <controlPr locked="0" defaultSize="0" autoFill="0" autoLine="0" autoPict="0">
                <anchor moveWithCells="1">
                  <from>
                    <xdr:col>8</xdr:col>
                    <xdr:colOff>0</xdr:colOff>
                    <xdr:row>56</xdr:row>
                    <xdr:rowOff>0</xdr:rowOff>
                  </from>
                  <to>
                    <xdr:col>8</xdr:col>
                    <xdr:colOff>180975</xdr:colOff>
                    <xdr:row>56</xdr:row>
                    <xdr:rowOff>180975</xdr:rowOff>
                  </to>
                </anchor>
              </controlPr>
            </control>
          </mc:Choice>
        </mc:AlternateContent>
        <mc:AlternateContent xmlns:mc="http://schemas.openxmlformats.org/markup-compatibility/2006">
          <mc:Choice Requires="x14">
            <control shapeId="27720" r:id="rId30" name="Check Box 72">
              <controlPr locked="0" defaultSize="0" autoFill="0" autoLine="0" autoPict="0">
                <anchor moveWithCells="1">
                  <from>
                    <xdr:col>8</xdr:col>
                    <xdr:colOff>0</xdr:colOff>
                    <xdr:row>57</xdr:row>
                    <xdr:rowOff>0</xdr:rowOff>
                  </from>
                  <to>
                    <xdr:col>8</xdr:col>
                    <xdr:colOff>180975</xdr:colOff>
                    <xdr:row>57</xdr:row>
                    <xdr:rowOff>180975</xdr:rowOff>
                  </to>
                </anchor>
              </controlPr>
            </control>
          </mc:Choice>
        </mc:AlternateContent>
        <mc:AlternateContent xmlns:mc="http://schemas.openxmlformats.org/markup-compatibility/2006">
          <mc:Choice Requires="x14">
            <control shapeId="27721" r:id="rId31" name="Check Box 73">
              <controlPr locked="0" defaultSize="0" autoFill="0" autoLine="0" autoPict="0">
                <anchor moveWithCells="1">
                  <from>
                    <xdr:col>8</xdr:col>
                    <xdr:colOff>0</xdr:colOff>
                    <xdr:row>58</xdr:row>
                    <xdr:rowOff>0</xdr:rowOff>
                  </from>
                  <to>
                    <xdr:col>8</xdr:col>
                    <xdr:colOff>180975</xdr:colOff>
                    <xdr:row>59</xdr:row>
                    <xdr:rowOff>0</xdr:rowOff>
                  </to>
                </anchor>
              </controlPr>
            </control>
          </mc:Choice>
        </mc:AlternateContent>
        <mc:AlternateContent xmlns:mc="http://schemas.openxmlformats.org/markup-compatibility/2006">
          <mc:Choice Requires="x14">
            <control shapeId="27722" r:id="rId32" name="Check Box 74">
              <controlPr locked="0" defaultSize="0" autoFill="0" autoLine="0" autoPict="0">
                <anchor moveWithCells="1">
                  <from>
                    <xdr:col>8</xdr:col>
                    <xdr:colOff>0</xdr:colOff>
                    <xdr:row>60</xdr:row>
                    <xdr:rowOff>0</xdr:rowOff>
                  </from>
                  <to>
                    <xdr:col>8</xdr:col>
                    <xdr:colOff>180975</xdr:colOff>
                    <xdr:row>60</xdr:row>
                    <xdr:rowOff>180975</xdr:rowOff>
                  </to>
                </anchor>
              </controlPr>
            </control>
          </mc:Choice>
        </mc:AlternateContent>
        <mc:AlternateContent xmlns:mc="http://schemas.openxmlformats.org/markup-compatibility/2006">
          <mc:Choice Requires="x14">
            <control shapeId="27723" r:id="rId33" name="Check Box 75">
              <controlPr locked="0" defaultSize="0" autoFill="0" autoLine="0" autoPict="0">
                <anchor moveWithCells="1">
                  <from>
                    <xdr:col>8</xdr:col>
                    <xdr:colOff>0</xdr:colOff>
                    <xdr:row>61</xdr:row>
                    <xdr:rowOff>0</xdr:rowOff>
                  </from>
                  <to>
                    <xdr:col>8</xdr:col>
                    <xdr:colOff>180975</xdr:colOff>
                    <xdr:row>61</xdr:row>
                    <xdr:rowOff>180975</xdr:rowOff>
                  </to>
                </anchor>
              </controlPr>
            </control>
          </mc:Choice>
        </mc:AlternateContent>
        <mc:AlternateContent xmlns:mc="http://schemas.openxmlformats.org/markup-compatibility/2006">
          <mc:Choice Requires="x14">
            <control shapeId="27725" r:id="rId34" name="Check Box 77">
              <controlPr locked="0" defaultSize="0" autoFill="0" autoLine="0" autoPict="0">
                <anchor moveWithCells="1">
                  <from>
                    <xdr:col>8</xdr:col>
                    <xdr:colOff>0</xdr:colOff>
                    <xdr:row>26</xdr:row>
                    <xdr:rowOff>0</xdr:rowOff>
                  </from>
                  <to>
                    <xdr:col>8</xdr:col>
                    <xdr:colOff>180975</xdr:colOff>
                    <xdr:row>26</xdr:row>
                    <xdr:rowOff>180975</xdr:rowOff>
                  </to>
                </anchor>
              </controlPr>
            </control>
          </mc:Choice>
        </mc:AlternateContent>
        <mc:AlternateContent xmlns:mc="http://schemas.openxmlformats.org/markup-compatibility/2006">
          <mc:Choice Requires="x14">
            <control shapeId="27727" r:id="rId35" name="Check Box 79">
              <controlPr locked="0" defaultSize="0" autoFill="0" autoLine="0" autoPict="0">
                <anchor moveWithCells="1">
                  <from>
                    <xdr:col>8</xdr:col>
                    <xdr:colOff>0</xdr:colOff>
                    <xdr:row>37</xdr:row>
                    <xdr:rowOff>0</xdr:rowOff>
                  </from>
                  <to>
                    <xdr:col>8</xdr:col>
                    <xdr:colOff>180975</xdr:colOff>
                    <xdr:row>37</xdr:row>
                    <xdr:rowOff>180975</xdr:rowOff>
                  </to>
                </anchor>
              </controlPr>
            </control>
          </mc:Choice>
        </mc:AlternateContent>
        <mc:AlternateContent xmlns:mc="http://schemas.openxmlformats.org/markup-compatibility/2006">
          <mc:Choice Requires="x14">
            <control shapeId="27728" r:id="rId36" name="Check Box 80">
              <controlPr locked="0" defaultSize="0" autoFill="0" autoLine="0" autoPict="0">
                <anchor moveWithCells="1">
                  <from>
                    <xdr:col>8</xdr:col>
                    <xdr:colOff>0</xdr:colOff>
                    <xdr:row>38</xdr:row>
                    <xdr:rowOff>0</xdr:rowOff>
                  </from>
                  <to>
                    <xdr:col>8</xdr:col>
                    <xdr:colOff>180975</xdr:colOff>
                    <xdr:row>38</xdr:row>
                    <xdr:rowOff>180975</xdr:rowOff>
                  </to>
                </anchor>
              </controlPr>
            </control>
          </mc:Choice>
        </mc:AlternateContent>
        <mc:AlternateContent xmlns:mc="http://schemas.openxmlformats.org/markup-compatibility/2006">
          <mc:Choice Requires="x14">
            <control shapeId="27729" r:id="rId37" name="Check Box 81">
              <controlPr locked="0" defaultSize="0" autoFill="0" autoLine="0" autoPict="0">
                <anchor moveWithCells="1">
                  <from>
                    <xdr:col>8</xdr:col>
                    <xdr:colOff>0</xdr:colOff>
                    <xdr:row>39</xdr:row>
                    <xdr:rowOff>0</xdr:rowOff>
                  </from>
                  <to>
                    <xdr:col>8</xdr:col>
                    <xdr:colOff>180975</xdr:colOff>
                    <xdr:row>39</xdr:row>
                    <xdr:rowOff>180975</xdr:rowOff>
                  </to>
                </anchor>
              </controlPr>
            </control>
          </mc:Choice>
        </mc:AlternateContent>
        <mc:AlternateContent xmlns:mc="http://schemas.openxmlformats.org/markup-compatibility/2006">
          <mc:Choice Requires="x14">
            <control shapeId="27730" r:id="rId38" name="Check Box 82">
              <controlPr locked="0" defaultSize="0" autoFill="0" autoLine="0" autoPict="0">
                <anchor moveWithCells="1">
                  <from>
                    <xdr:col>8</xdr:col>
                    <xdr:colOff>0</xdr:colOff>
                    <xdr:row>40</xdr:row>
                    <xdr:rowOff>0</xdr:rowOff>
                  </from>
                  <to>
                    <xdr:col>8</xdr:col>
                    <xdr:colOff>180975</xdr:colOff>
                    <xdr:row>40</xdr:row>
                    <xdr:rowOff>180975</xdr:rowOff>
                  </to>
                </anchor>
              </controlPr>
            </control>
          </mc:Choice>
        </mc:AlternateContent>
        <mc:AlternateContent xmlns:mc="http://schemas.openxmlformats.org/markup-compatibility/2006">
          <mc:Choice Requires="x14">
            <control shapeId="27731" r:id="rId39" name="Check Box 83">
              <controlPr locked="0" defaultSize="0" autoFill="0" autoLine="0" autoPict="0">
                <anchor moveWithCells="1">
                  <from>
                    <xdr:col>8</xdr:col>
                    <xdr:colOff>0</xdr:colOff>
                    <xdr:row>41</xdr:row>
                    <xdr:rowOff>0</xdr:rowOff>
                  </from>
                  <to>
                    <xdr:col>8</xdr:col>
                    <xdr:colOff>180975</xdr:colOff>
                    <xdr:row>41</xdr:row>
                    <xdr:rowOff>180975</xdr:rowOff>
                  </to>
                </anchor>
              </controlPr>
            </control>
          </mc:Choice>
        </mc:AlternateContent>
        <mc:AlternateContent xmlns:mc="http://schemas.openxmlformats.org/markup-compatibility/2006">
          <mc:Choice Requires="x14">
            <control shapeId="27733" r:id="rId40" name="Check Box 85">
              <controlPr locked="0" defaultSize="0" autoFill="0" autoLine="0" autoPict="0">
                <anchor moveWithCells="1">
                  <from>
                    <xdr:col>8</xdr:col>
                    <xdr:colOff>0</xdr:colOff>
                    <xdr:row>43</xdr:row>
                    <xdr:rowOff>0</xdr:rowOff>
                  </from>
                  <to>
                    <xdr:col>8</xdr:col>
                    <xdr:colOff>180975</xdr:colOff>
                    <xdr:row>43</xdr:row>
                    <xdr:rowOff>180975</xdr:rowOff>
                  </to>
                </anchor>
              </controlPr>
            </control>
          </mc:Choice>
        </mc:AlternateContent>
        <mc:AlternateContent xmlns:mc="http://schemas.openxmlformats.org/markup-compatibility/2006">
          <mc:Choice Requires="x14">
            <control shapeId="27734" r:id="rId41" name="Check Box 86">
              <controlPr locked="0" defaultSize="0" autoFill="0" autoLine="0" autoPict="0">
                <anchor moveWithCells="1">
                  <from>
                    <xdr:col>8</xdr:col>
                    <xdr:colOff>0</xdr:colOff>
                    <xdr:row>44</xdr:row>
                    <xdr:rowOff>0</xdr:rowOff>
                  </from>
                  <to>
                    <xdr:col>8</xdr:col>
                    <xdr:colOff>180975</xdr:colOff>
                    <xdr:row>44</xdr:row>
                    <xdr:rowOff>180975</xdr:rowOff>
                  </to>
                </anchor>
              </controlPr>
            </control>
          </mc:Choice>
        </mc:AlternateContent>
        <mc:AlternateContent xmlns:mc="http://schemas.openxmlformats.org/markup-compatibility/2006">
          <mc:Choice Requires="x14">
            <control shapeId="27735" r:id="rId42" name="Check Box 87">
              <controlPr locked="0" defaultSize="0" autoFill="0" autoLine="0" autoPict="0">
                <anchor moveWithCells="1">
                  <from>
                    <xdr:col>8</xdr:col>
                    <xdr:colOff>0</xdr:colOff>
                    <xdr:row>45</xdr:row>
                    <xdr:rowOff>0</xdr:rowOff>
                  </from>
                  <to>
                    <xdr:col>8</xdr:col>
                    <xdr:colOff>180975</xdr:colOff>
                    <xdr:row>45</xdr:row>
                    <xdr:rowOff>180975</xdr:rowOff>
                  </to>
                </anchor>
              </controlPr>
            </control>
          </mc:Choice>
        </mc:AlternateContent>
        <mc:AlternateContent xmlns:mc="http://schemas.openxmlformats.org/markup-compatibility/2006">
          <mc:Choice Requires="x14">
            <control shapeId="27736" r:id="rId43" name="Check Box 88">
              <controlPr locked="0" defaultSize="0" autoFill="0" autoLine="0" autoPict="0">
                <anchor moveWithCells="1">
                  <from>
                    <xdr:col>8</xdr:col>
                    <xdr:colOff>0</xdr:colOff>
                    <xdr:row>46</xdr:row>
                    <xdr:rowOff>0</xdr:rowOff>
                  </from>
                  <to>
                    <xdr:col>8</xdr:col>
                    <xdr:colOff>180975</xdr:colOff>
                    <xdr:row>46</xdr:row>
                    <xdr:rowOff>180975</xdr:rowOff>
                  </to>
                </anchor>
              </controlPr>
            </control>
          </mc:Choice>
        </mc:AlternateContent>
        <mc:AlternateContent xmlns:mc="http://schemas.openxmlformats.org/markup-compatibility/2006">
          <mc:Choice Requires="x14">
            <control shapeId="27738" r:id="rId44" name="Check Box 90">
              <controlPr locked="0" defaultSize="0" autoFill="0" autoLine="0" autoPict="0">
                <anchor moveWithCells="1">
                  <from>
                    <xdr:col>8</xdr:col>
                    <xdr:colOff>0</xdr:colOff>
                    <xdr:row>19</xdr:row>
                    <xdr:rowOff>0</xdr:rowOff>
                  </from>
                  <to>
                    <xdr:col>8</xdr:col>
                    <xdr:colOff>180975</xdr:colOff>
                    <xdr:row>19</xdr:row>
                    <xdr:rowOff>180975</xdr:rowOff>
                  </to>
                </anchor>
              </controlPr>
            </control>
          </mc:Choice>
        </mc:AlternateContent>
        <mc:AlternateContent xmlns:mc="http://schemas.openxmlformats.org/markup-compatibility/2006">
          <mc:Choice Requires="x14">
            <control shapeId="27740" r:id="rId45" name="Check Box 92">
              <controlPr locked="0" defaultSize="0" autoFill="0" autoLine="0" autoPict="0">
                <anchor moveWithCells="1">
                  <from>
                    <xdr:col>8</xdr:col>
                    <xdr:colOff>0</xdr:colOff>
                    <xdr:row>27</xdr:row>
                    <xdr:rowOff>0</xdr:rowOff>
                  </from>
                  <to>
                    <xdr:col>8</xdr:col>
                    <xdr:colOff>180975</xdr:colOff>
                    <xdr:row>27</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341" id="{31A7DF45-F348-433F-99A6-7A5E293585E0}">
            <xm:f>IF($P$18=Dropdowns!#REF!,TRUE,FALSE)</xm:f>
            <x14:dxf>
              <font>
                <color theme="1"/>
              </font>
            </x14:dxf>
          </x14:cfRule>
          <xm:sqref>A19:D23</xm:sqref>
        </x14:conditionalFormatting>
        <x14:conditionalFormatting xmlns:xm="http://schemas.microsoft.com/office/excel/2006/main">
          <x14:cfRule type="expression" priority="12343" id="{294FD1A7-26E7-438F-9BCA-B17EC9906DAF}">
            <xm:f>NOT(P18=Dropdowns!#REF!)</xm:f>
            <x14:dxf>
              <fill>
                <patternFill patternType="darkGrid">
                  <bgColor theme="0"/>
                </patternFill>
              </fill>
            </x14:dxf>
          </x14:cfRule>
          <xm:sqref>J19</xm:sqref>
        </x14:conditionalFormatting>
        <x14:conditionalFormatting xmlns:xm="http://schemas.microsoft.com/office/excel/2006/main">
          <x14:cfRule type="expression" priority="12344" id="{F110A43A-96E7-4A7F-B35C-777AE8CDA7A9}">
            <xm:f>NOT(P18=Dropdowns!#REF!)</xm:f>
            <x14:dxf>
              <fill>
                <patternFill patternType="darkGrid">
                  <bgColor theme="0"/>
                </patternFill>
              </fill>
            </x14:dxf>
          </x14:cfRule>
          <xm:sqref>J23</xm:sqref>
        </x14:conditionalFormatting>
        <x14:conditionalFormatting xmlns:xm="http://schemas.microsoft.com/office/excel/2006/main">
          <x14:cfRule type="expression" priority="12345" id="{189944D4-7F07-42C7-94ED-4FA4E2C009B3}">
            <xm:f>NOT(P18=Dropdowns!#REF!)</xm:f>
            <x14:dxf>
              <fill>
                <patternFill patternType="darkGrid">
                  <bgColor theme="0"/>
                </patternFill>
              </fill>
            </x14:dxf>
          </x14:cfRule>
          <xm:sqref>J20</xm:sqref>
        </x14:conditionalFormatting>
      </x14:conditionalFormattings>
    </ext>
    <ext xmlns:x14="http://schemas.microsoft.com/office/spreadsheetml/2009/9/main" uri="{CCE6A557-97BC-4b89-ADB6-D9C93CAAB3DF}">
      <x14:dataValidations xmlns:xm="http://schemas.microsoft.com/office/excel/2006/main" xWindow="570" yWindow="734" count="3">
        <x14:dataValidation type="list" allowBlank="1" showInputMessage="1" showErrorMessage="1" xr:uid="{00000000-0002-0000-0E00-000019000000}">
          <x14:formula1>
            <xm:f>OFFSET(Geography!$C$2,MATCH($P$14,Geography!$A$2:$A$3255,0)-1,0,COUNTIF(Geography!$A$2:$A$3255,$P$14),1)</xm:f>
          </x14:formula1>
          <xm:sqref>P15</xm:sqref>
        </x14:dataValidation>
        <x14:dataValidation type="list" allowBlank="1" showInputMessage="1" showErrorMessage="1" xr:uid="{00000000-0002-0000-0E00-00001B000000}">
          <x14:formula1>
            <xm:f>OFFSET(Geography!$C$2,MATCH($J$14,Geography!$A$2:$A$3255,0)-1,0,COUNTIF(Geography!$A$2:$A$3255,$J$14),1)</xm:f>
          </x14:formula1>
          <xm:sqref>J15:M15</xm:sqref>
        </x14:dataValidation>
        <x14:dataValidation type="list" allowBlank="1" showInputMessage="1" showErrorMessage="1" xr:uid="{00000000-0002-0000-0E00-00001A000000}">
          <x14:formula1>
            <xm:f>Geography!$J$2:$J$58</xm:f>
          </x14:formula1>
          <xm:sqref>P14 J14:M14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I2534"/>
  <sheetViews>
    <sheetView showGridLines="0" zoomScaleNormal="100" workbookViewId="0">
      <pane ySplit="7" topLeftCell="A8" activePane="bottomLeft" state="frozen"/>
      <selection activeCell="E90" sqref="E90"/>
      <selection pane="bottomLeft" activeCell="L1" sqref="L1"/>
    </sheetView>
  </sheetViews>
  <sheetFormatPr defaultRowHeight="15" x14ac:dyDescent="0.25"/>
  <cols>
    <col min="1" max="1" width="3.28515625" style="585" bestFit="1" customWidth="1"/>
    <col min="2" max="2" width="9.7109375" style="585" hidden="1" customWidth="1"/>
    <col min="3" max="6" width="4.42578125" style="585" hidden="1" customWidth="1"/>
    <col min="7" max="7" width="3.140625" style="2406" bestFit="1" customWidth="1"/>
    <col min="8" max="8" width="3.140625" style="585" bestFit="1" customWidth="1"/>
    <col min="9" max="9" width="10.42578125" style="32" customWidth="1"/>
    <col min="10" max="11" width="3.85546875" style="32" customWidth="1"/>
    <col min="12" max="12" width="71.7109375" style="1148" customWidth="1"/>
    <col min="13" max="13" width="13.5703125" style="32" customWidth="1"/>
    <col min="14" max="15" width="7.7109375" style="32" customWidth="1"/>
    <col min="16" max="17" width="8.85546875" style="37" hidden="1" customWidth="1"/>
    <col min="18" max="21" width="8.85546875" style="32" hidden="1" customWidth="1"/>
    <col min="22" max="22" width="3" style="32" hidden="1" customWidth="1"/>
    <col min="23" max="23" width="21.42578125" style="32" customWidth="1"/>
    <col min="24" max="25" width="34.85546875" style="32" customWidth="1"/>
    <col min="26" max="26" width="34.85546875" style="731" hidden="1" customWidth="1"/>
    <col min="27" max="27" width="9.5703125" style="783" hidden="1" customWidth="1"/>
    <col min="28" max="28" width="2.140625" hidden="1" customWidth="1"/>
    <col min="29" max="29" width="8.5703125" style="32" hidden="1" customWidth="1"/>
    <col min="30" max="30" width="6.140625" style="32" hidden="1" customWidth="1"/>
    <col min="31" max="31" width="10.42578125" style="32" hidden="1" customWidth="1"/>
    <col min="32" max="32" width="14.140625" style="32" hidden="1" customWidth="1"/>
    <col min="33" max="33" width="5.42578125" style="32" hidden="1" customWidth="1"/>
    <col min="34" max="34" width="8.140625" style="32" hidden="1" customWidth="1"/>
    <col min="35" max="35" width="5.85546875" style="32" hidden="1" customWidth="1"/>
    <col min="36" max="36" width="2.85546875" style="32" hidden="1" customWidth="1"/>
    <col min="37" max="37" width="3.28515625" style="32" hidden="1" customWidth="1"/>
    <col min="38" max="38" width="17.7109375" style="32" hidden="1" customWidth="1"/>
    <col min="39" max="39" width="9.85546875" style="32" hidden="1" customWidth="1"/>
    <col min="40" max="40" width="15.28515625" style="32" hidden="1" customWidth="1"/>
    <col min="41" max="41" width="5.85546875" style="32" hidden="1" customWidth="1"/>
    <col min="42" max="42" width="16.140625" style="32" hidden="1" customWidth="1"/>
    <col min="43" max="43" width="2.140625" style="32" hidden="1" customWidth="1"/>
    <col min="44" max="44" width="18.140625" style="32" hidden="1" customWidth="1"/>
    <col min="45" max="46" width="2.140625" style="32" hidden="1" customWidth="1"/>
    <col min="47" max="49" width="2.140625" hidden="1" customWidth="1"/>
    <col min="50" max="50" width="36.140625" hidden="1" customWidth="1"/>
    <col min="51" max="54" width="2.140625" hidden="1" customWidth="1"/>
    <col min="55" max="55" width="5.5703125" hidden="1" customWidth="1"/>
    <col min="56" max="56" width="7.28515625" hidden="1" customWidth="1"/>
    <col min="57" max="57" width="6.5703125" hidden="1" customWidth="1"/>
    <col min="58" max="58" width="7.85546875" hidden="1" customWidth="1"/>
    <col min="59" max="59" width="6" hidden="1" customWidth="1"/>
    <col min="60" max="60" width="12.140625" hidden="1" customWidth="1"/>
    <col min="61" max="61" width="8" hidden="1" customWidth="1"/>
  </cols>
  <sheetData>
    <row r="1" spans="1:61" ht="15" customHeight="1" x14ac:dyDescent="0.25">
      <c r="A1" s="2365" t="s">
        <v>4095</v>
      </c>
      <c r="B1" s="2365"/>
      <c r="C1" s="2365"/>
      <c r="D1" s="2365"/>
      <c r="E1" s="2365"/>
      <c r="F1" s="2365"/>
      <c r="G1" s="2365"/>
      <c r="H1" s="2366"/>
      <c r="I1" s="2115" t="s">
        <v>359</v>
      </c>
      <c r="J1" s="2115"/>
      <c r="K1" s="2115"/>
      <c r="L1" s="1206"/>
      <c r="M1" s="2116"/>
      <c r="N1" s="2117"/>
      <c r="O1" s="2118"/>
      <c r="P1" s="28"/>
      <c r="Q1" s="28"/>
      <c r="R1" s="28"/>
      <c r="S1" s="28"/>
      <c r="T1" s="28"/>
      <c r="U1" s="28"/>
      <c r="V1" s="28"/>
      <c r="W1" s="1993" t="s">
        <v>4877</v>
      </c>
      <c r="X1" s="2360" t="s">
        <v>4068</v>
      </c>
      <c r="Y1" s="2107"/>
      <c r="Z1" s="1583"/>
      <c r="AF1" s="31" t="s">
        <v>324</v>
      </c>
      <c r="AG1" s="32" t="str">
        <f ca="1">IF(LEN(Ch5GLevFinal)=1,"     ", IF(LEN(Ch5GLevFinal)=2, "   ",""))&amp;Ch5GLevFinal</f>
        <v xml:space="preserve">     0</v>
      </c>
      <c r="AH1" s="43" t="str">
        <f ca="1">IF(LEN(Ch6GLevFinal)=1,"    ", IF(LEN(Ch6GLevFinal)=2, "   ",""))&amp;Ch6GLevFinal</f>
        <v xml:space="preserve">    0</v>
      </c>
      <c r="AI1" s="43" t="str">
        <f ca="1">IF(LEN(Ch7GLevFinal)=1,"   ","")&amp;Ch7GLevFinal</f>
        <v xml:space="preserve">   0</v>
      </c>
      <c r="AJ1" s="43" t="str">
        <f ca="1">IF(LEN(Ch8GLevFinal)=1,"  ","")&amp;Ch8GLevFinal</f>
        <v xml:space="preserve">  0</v>
      </c>
      <c r="AK1" s="43" t="str">
        <f ca="1">IF(LEN(Ch9GLevFinal)=1,"   ","")&amp;Ch9GLevFinal</f>
        <v xml:space="preserve">   0</v>
      </c>
      <c r="AL1" s="43" t="str">
        <f>IF(LEN(Ch10GLevFinal)=1,"  ","")&amp;Ch10GLevFinal</f>
        <v xml:space="preserve">  0</v>
      </c>
      <c r="AM1" s="32" t="s">
        <v>317</v>
      </c>
    </row>
    <row r="2" spans="1:61" x14ac:dyDescent="0.25">
      <c r="A2" s="2365"/>
      <c r="B2" s="2365"/>
      <c r="C2" s="2365"/>
      <c r="D2" s="2365"/>
      <c r="E2" s="2365"/>
      <c r="F2" s="2365"/>
      <c r="G2" s="2365"/>
      <c r="H2" s="2366"/>
      <c r="I2" s="2125" t="str">
        <f ca="1">"Goal Level: "&amp;verGoalLevel&amp;",  Overall Level: "&amp; AM2</f>
        <v>Goal Level: None Chosen,  Overall Level: None</v>
      </c>
      <c r="J2" s="2125"/>
      <c r="K2" s="2125"/>
      <c r="L2" s="2125"/>
      <c r="M2" s="2119"/>
      <c r="N2" s="2120"/>
      <c r="O2" s="2121"/>
      <c r="P2" s="28"/>
      <c r="Q2" s="28"/>
      <c r="R2" s="28"/>
      <c r="S2" s="28"/>
      <c r="T2" s="28"/>
      <c r="U2" s="28"/>
      <c r="V2" s="28"/>
      <c r="W2" s="1993"/>
      <c r="X2" s="2360" t="s">
        <v>3503</v>
      </c>
      <c r="Y2" s="2107"/>
      <c r="Z2" s="1583"/>
      <c r="AF2" s="31" t="s">
        <v>316</v>
      </c>
      <c r="AG2" s="39" t="str">
        <f ca="1">IF(LEN(Ch5AddGoal)=1,"     ", IF(LEN(Ch5AddGoal)=2, "   ",""))&amp;Ch5AddGoal</f>
        <v xml:space="preserve">     0</v>
      </c>
      <c r="AH2" s="43" t="str">
        <f ca="1">IF(LEN(Ch6AddGoal)=1,"    ", IF(LEN(Ch6AddGoal)=2, "   ",""))&amp;Ch6AddGoal</f>
        <v xml:space="preserve">    0</v>
      </c>
      <c r="AI2" s="43" t="str">
        <f ca="1">IF(LEN(Ch7AddGoal)=1,"   ","")&amp;Ch7AddGoal</f>
        <v xml:space="preserve">   0</v>
      </c>
      <c r="AJ2" s="43" t="str">
        <f ca="1">IF(LEN(Ch8AddGoal)=1,"  ","")&amp;Ch8AddGoal</f>
        <v xml:space="preserve">  0</v>
      </c>
      <c r="AK2" s="43" t="str">
        <f ca="1">IF(LEN(Ch9AddGoal)=1,"   ","")&amp;Ch9AddGoal</f>
        <v xml:space="preserve">   0</v>
      </c>
      <c r="AL2" s="43" t="str">
        <f>IF(LEN(Ch10AddGoal)=1,"  ","")&amp;Ch10AddGoal</f>
        <v xml:space="preserve">  0</v>
      </c>
      <c r="AM2" s="32" t="str">
        <f ca="1">Points!AC22</f>
        <v>None</v>
      </c>
    </row>
    <row r="3" spans="1:61" x14ac:dyDescent="0.25">
      <c r="A3" s="2365"/>
      <c r="B3" s="2365"/>
      <c r="C3" s="2365"/>
      <c r="D3" s="2365"/>
      <c r="E3" s="2365"/>
      <c r="F3" s="2365"/>
      <c r="G3" s="2365"/>
      <c r="H3" s="2366"/>
      <c r="I3" s="2126" t="str">
        <f ca="1" xml:space="preserve"> "                  Points to Goal Level:     Ch5:  "&amp;AG1&amp;",    Ch6:  "&amp;AH1&amp;",    Ch7:  "&amp;AI1&amp;",    Ch8:  "&amp;AJ1&amp;",    Ch9:  "&amp;AK1&amp;",    Ch10:  "&amp;AL1</f>
        <v xml:space="preserve">                  Points to Goal Level:     Ch5:       0,    Ch6:      0,    Ch7:     0,    Ch8:    0,    Ch9:     0,    Ch10:    0</v>
      </c>
      <c r="J3" s="2126"/>
      <c r="K3" s="2126"/>
      <c r="L3" s="2126"/>
      <c r="M3" s="2119"/>
      <c r="N3" s="2120"/>
      <c r="O3" s="2121"/>
      <c r="P3" s="28"/>
      <c r="Q3" s="28"/>
      <c r="R3" s="28"/>
      <c r="S3" s="28"/>
      <c r="T3" s="28"/>
      <c r="U3" s="28"/>
      <c r="V3" s="28"/>
      <c r="W3" s="1994"/>
      <c r="X3" s="2360" t="s">
        <v>3504</v>
      </c>
      <c r="Y3" s="2107"/>
      <c r="Z3" s="1583"/>
      <c r="AF3" s="31" t="s">
        <v>312</v>
      </c>
      <c r="AG3" s="32" t="b">
        <f ca="1">OR(ReportType="",IF(ReportType="Rough",OR(AF:AF),OR(AE:AE)))</f>
        <v>1</v>
      </c>
      <c r="AH3" s="31" t="s">
        <v>313</v>
      </c>
      <c r="AI3" s="32" t="b">
        <f ca="1">OR(AD:AD)</f>
        <v>0</v>
      </c>
    </row>
    <row r="4" spans="1:61" s="58" customFormat="1" ht="15" customHeight="1" x14ac:dyDescent="0.25">
      <c r="A4" s="2361" t="s">
        <v>3844</v>
      </c>
      <c r="B4" s="585"/>
      <c r="C4" s="2367"/>
      <c r="D4" s="2367"/>
      <c r="E4" s="2367"/>
      <c r="F4" s="585"/>
      <c r="G4" s="2368" t="s">
        <v>318</v>
      </c>
      <c r="H4" s="2361" t="s">
        <v>3980</v>
      </c>
      <c r="I4" s="2126" t="str">
        <f ca="1" xml:space="preserve"> "      Add'l Pts above goal level:     Ch5:  "&amp;AG2&amp;",    Ch6:  "&amp;AH2&amp;",    Ch7:  "&amp;AI2&amp;",    Ch8:  "&amp;AJ2&amp;",    Ch9:  "&amp;AK2&amp;",    Ch10:  "&amp;AL2</f>
        <v xml:space="preserve">      Add'l Pts above goal level:     Ch5:       0,    Ch6:      0,    Ch7:     0,    Ch8:    0,    Ch9:     0,    Ch10:    0</v>
      </c>
      <c r="J4" s="2126"/>
      <c r="K4" s="2126"/>
      <c r="L4" s="2126"/>
      <c r="M4" s="2119"/>
      <c r="N4" s="2120"/>
      <c r="O4" s="2121"/>
      <c r="P4" s="28"/>
      <c r="Q4" s="28"/>
      <c r="R4" s="28"/>
      <c r="S4" s="28"/>
      <c r="T4" s="28"/>
      <c r="U4" s="28"/>
      <c r="V4" s="28"/>
      <c r="W4" s="327" t="s">
        <v>3502</v>
      </c>
      <c r="X4" s="2109" t="str">
        <f>IF(verCity="","",IF(dstBatch, "Various ", verHomeAddress)&amp;", "&amp;verCity&amp;", "&amp;verState&amp;"  "&amp;verZIP)</f>
        <v/>
      </c>
      <c r="Y4" s="2110"/>
      <c r="Z4" s="1584"/>
      <c r="AA4" s="783"/>
      <c r="AF4" s="57"/>
      <c r="AH4" s="57"/>
    </row>
    <row r="5" spans="1:61" s="58" customFormat="1" ht="15" customHeight="1" x14ac:dyDescent="0.25">
      <c r="A5" s="2361"/>
      <c r="B5" s="585"/>
      <c r="C5" s="2369"/>
      <c r="D5" s="2369"/>
      <c r="E5" s="2369"/>
      <c r="F5" s="585"/>
      <c r="G5" s="2368"/>
      <c r="H5" s="2361"/>
      <c r="I5" s="2114" t="s">
        <v>3963</v>
      </c>
      <c r="J5" s="2114"/>
      <c r="K5" s="2114"/>
      <c r="L5" s="1207"/>
      <c r="M5" s="2122"/>
      <c r="N5" s="2123"/>
      <c r="O5" s="2124"/>
      <c r="P5" s="28"/>
      <c r="Q5" s="28"/>
      <c r="R5" s="28"/>
      <c r="S5" s="28"/>
      <c r="T5" s="28"/>
      <c r="U5" s="28"/>
      <c r="V5" s="28"/>
      <c r="W5" s="326" t="s">
        <v>130</v>
      </c>
      <c r="X5" s="2111" t="str">
        <f>IF('Overview (Verification)'!P12="","",'Overview (Verification)'!P12)</f>
        <v/>
      </c>
      <c r="Y5" s="2112"/>
      <c r="Z5" s="1584"/>
      <c r="AA5" s="783"/>
      <c r="AF5" s="57"/>
      <c r="AH5" s="57"/>
    </row>
    <row r="6" spans="1:61" ht="15" customHeight="1" x14ac:dyDescent="0.25">
      <c r="A6" s="2361"/>
      <c r="C6" s="2369"/>
      <c r="D6" s="2369"/>
      <c r="E6" s="2369"/>
      <c r="G6" s="2368"/>
      <c r="H6" s="2361"/>
      <c r="I6" s="1829" t="s">
        <v>248</v>
      </c>
      <c r="J6" s="1829"/>
      <c r="K6" s="1830"/>
      <c r="L6" s="1831" t="s">
        <v>310</v>
      </c>
      <c r="M6" s="1810" t="s">
        <v>249</v>
      </c>
      <c r="N6" s="2108" t="s">
        <v>253</v>
      </c>
      <c r="O6" s="2108" t="s">
        <v>320</v>
      </c>
      <c r="P6" s="38" t="s">
        <v>314</v>
      </c>
      <c r="Q6" s="38" t="s">
        <v>315</v>
      </c>
      <c r="R6" s="34" t="s">
        <v>250</v>
      </c>
      <c r="S6" s="34" t="s">
        <v>251</v>
      </c>
      <c r="T6" s="34" t="s">
        <v>0</v>
      </c>
      <c r="U6" s="34" t="s">
        <v>363</v>
      </c>
      <c r="V6" s="34"/>
      <c r="W6" s="1810" t="s">
        <v>252</v>
      </c>
      <c r="X6" s="1810" t="s">
        <v>4076</v>
      </c>
      <c r="Y6" s="1820" t="s">
        <v>4075</v>
      </c>
      <c r="Z6" s="2092" t="s">
        <v>4105</v>
      </c>
      <c r="AA6" s="783" t="s">
        <v>5658</v>
      </c>
      <c r="AC6" s="30" t="s">
        <v>307</v>
      </c>
      <c r="AD6" s="30" t="s">
        <v>0</v>
      </c>
      <c r="AE6" s="30" t="s">
        <v>306</v>
      </c>
      <c r="AF6" s="713" t="s">
        <v>3991</v>
      </c>
    </row>
    <row r="7" spans="1:61" s="32" customFormat="1" x14ac:dyDescent="0.25">
      <c r="A7" s="585"/>
      <c r="B7" s="2370"/>
      <c r="C7" s="2370"/>
      <c r="D7" s="2370"/>
      <c r="E7" s="2370"/>
      <c r="F7" s="585"/>
      <c r="G7" s="585"/>
      <c r="H7" s="585"/>
      <c r="I7" s="1829"/>
      <c r="J7" s="1829"/>
      <c r="K7" s="1830"/>
      <c r="L7" s="1832"/>
      <c r="M7" s="1811"/>
      <c r="N7" s="2108"/>
      <c r="O7" s="2108"/>
      <c r="P7" s="38"/>
      <c r="Q7" s="38"/>
      <c r="R7" s="34"/>
      <c r="S7" s="34"/>
      <c r="T7" s="34"/>
      <c r="U7" s="34"/>
      <c r="V7" s="34"/>
      <c r="W7" s="1811"/>
      <c r="X7" s="1811"/>
      <c r="Y7" s="1821"/>
      <c r="Z7" s="2093"/>
      <c r="AA7" s="783" t="s">
        <v>5659</v>
      </c>
      <c r="AB7"/>
      <c r="AC7" s="30"/>
      <c r="AD7" s="30"/>
      <c r="AE7" s="30"/>
    </row>
    <row r="8" spans="1:61" s="656" customFormat="1" ht="18.75" x14ac:dyDescent="0.3">
      <c r="A8" s="2371">
        <v>5</v>
      </c>
      <c r="B8" s="2372"/>
      <c r="C8" s="2372"/>
      <c r="D8" s="2372"/>
      <c r="E8" s="2372"/>
      <c r="F8" s="2372"/>
      <c r="G8" s="2373"/>
      <c r="H8" s="2371" t="s">
        <v>3971</v>
      </c>
      <c r="I8" s="22" t="s">
        <v>737</v>
      </c>
      <c r="J8" s="22"/>
      <c r="K8" s="22"/>
      <c r="L8" s="1208"/>
      <c r="M8" s="24"/>
      <c r="N8" s="24"/>
      <c r="O8" s="24"/>
      <c r="P8" s="656" t="s">
        <v>247</v>
      </c>
      <c r="Q8" s="656" t="s">
        <v>247</v>
      </c>
      <c r="R8" s="656" t="s">
        <v>247</v>
      </c>
      <c r="S8" s="656" t="s">
        <v>247</v>
      </c>
      <c r="T8" s="656" t="s">
        <v>247</v>
      </c>
      <c r="U8" s="656" t="s">
        <v>247</v>
      </c>
      <c r="V8" s="656" t="s">
        <v>247</v>
      </c>
      <c r="W8" s="23"/>
      <c r="X8" s="23"/>
      <c r="Y8" s="23"/>
      <c r="Z8" s="1585" t="s">
        <v>247</v>
      </c>
      <c r="AA8" s="782" t="s">
        <v>247</v>
      </c>
      <c r="AB8" s="770" t="s">
        <v>247</v>
      </c>
      <c r="AC8" s="770" t="s">
        <v>247</v>
      </c>
      <c r="AD8" s="770" t="s">
        <v>247</v>
      </c>
      <c r="AE8" s="770" t="s">
        <v>247</v>
      </c>
      <c r="AF8" s="770" t="s">
        <v>247</v>
      </c>
      <c r="AG8" s="770" t="s">
        <v>247</v>
      </c>
      <c r="AH8" s="770" t="s">
        <v>247</v>
      </c>
      <c r="AI8" s="770" t="s">
        <v>247</v>
      </c>
      <c r="AJ8" s="770" t="s">
        <v>247</v>
      </c>
      <c r="AK8" s="770" t="s">
        <v>247</v>
      </c>
      <c r="AL8" s="770" t="s">
        <v>247</v>
      </c>
      <c r="AM8" s="770" t="s">
        <v>247</v>
      </c>
      <c r="AN8" s="770" t="s">
        <v>247</v>
      </c>
      <c r="AO8" s="770" t="s">
        <v>247</v>
      </c>
      <c r="AP8" s="770" t="s">
        <v>247</v>
      </c>
      <c r="AQ8" s="770" t="s">
        <v>247</v>
      </c>
      <c r="AR8" s="770" t="s">
        <v>247</v>
      </c>
      <c r="AS8" s="770" t="s">
        <v>247</v>
      </c>
      <c r="AT8" s="770" t="s">
        <v>247</v>
      </c>
      <c r="AU8" s="770" t="s">
        <v>247</v>
      </c>
      <c r="AV8" s="770" t="s">
        <v>247</v>
      </c>
      <c r="AW8" s="770" t="s">
        <v>247</v>
      </c>
      <c r="AX8" s="770" t="s">
        <v>247</v>
      </c>
      <c r="AY8" s="770" t="s">
        <v>247</v>
      </c>
      <c r="AZ8" s="770" t="s">
        <v>247</v>
      </c>
      <c r="BA8" s="770" t="s">
        <v>247</v>
      </c>
      <c r="BB8" s="770" t="s">
        <v>247</v>
      </c>
      <c r="BC8" s="770" t="s">
        <v>247</v>
      </c>
      <c r="BD8" s="770" t="s">
        <v>247</v>
      </c>
      <c r="BE8" s="770" t="s">
        <v>247</v>
      </c>
      <c r="BF8" s="770" t="s">
        <v>247</v>
      </c>
      <c r="BG8" s="770" t="s">
        <v>247</v>
      </c>
      <c r="BH8" s="770" t="s">
        <v>247</v>
      </c>
      <c r="BI8" s="770" t="s">
        <v>247</v>
      </c>
    </row>
    <row r="9" spans="1:61" ht="15" customHeight="1" x14ac:dyDescent="0.25">
      <c r="A9" s="2371">
        <v>5</v>
      </c>
      <c r="B9" s="2374" t="s">
        <v>4581</v>
      </c>
      <c r="C9" s="2374"/>
      <c r="D9" s="2374"/>
      <c r="E9" s="2374"/>
      <c r="F9" s="2374"/>
      <c r="G9" s="2373"/>
      <c r="H9" s="2375"/>
      <c r="I9" s="87" t="s">
        <v>254</v>
      </c>
      <c r="J9" s="87"/>
      <c r="K9" s="87"/>
      <c r="L9" s="1796" t="s">
        <v>4116</v>
      </c>
      <c r="M9" s="489"/>
      <c r="N9" s="250"/>
      <c r="O9" s="976"/>
      <c r="P9" s="249"/>
      <c r="Q9" s="249"/>
      <c r="R9" s="249" t="b">
        <v>0</v>
      </c>
      <c r="S9" s="249" t="b">
        <v>1</v>
      </c>
      <c r="T9" s="249" t="b">
        <v>0</v>
      </c>
      <c r="U9" s="249"/>
      <c r="V9" s="249"/>
      <c r="W9" s="249"/>
      <c r="X9" s="911"/>
      <c r="AC9" s="970"/>
      <c r="AD9" s="970"/>
      <c r="AE9" s="970"/>
      <c r="AF9" s="249"/>
      <c r="AG9" s="249"/>
      <c r="AH9" s="249"/>
      <c r="AI9" s="249"/>
      <c r="AJ9" s="249"/>
      <c r="AK9" s="249"/>
      <c r="AL9" s="1336"/>
      <c r="AM9" s="18"/>
      <c r="AN9" s="1336"/>
      <c r="AO9" s="18"/>
      <c r="AP9" s="1336"/>
      <c r="AQ9" s="1336"/>
      <c r="AR9" s="1336"/>
      <c r="AS9" s="1336"/>
    </row>
    <row r="10" spans="1:61" x14ac:dyDescent="0.25">
      <c r="A10" s="2371">
        <v>5</v>
      </c>
      <c r="B10" s="2374" t="s">
        <v>4581</v>
      </c>
      <c r="C10" s="2374"/>
      <c r="D10" s="2374"/>
      <c r="E10" s="2374"/>
      <c r="F10" s="2374"/>
      <c r="G10" s="2373"/>
      <c r="H10" s="2375"/>
      <c r="I10" s="87"/>
      <c r="J10" s="87"/>
      <c r="K10" s="87"/>
      <c r="L10" s="1796"/>
      <c r="M10" s="489"/>
      <c r="N10" s="250"/>
      <c r="O10" s="976"/>
      <c r="P10" s="249"/>
      <c r="Q10" s="249"/>
      <c r="R10" s="249"/>
      <c r="S10" s="249"/>
      <c r="T10" s="249"/>
      <c r="U10" s="249"/>
      <c r="V10" s="249"/>
      <c r="W10" s="249"/>
      <c r="X10" s="911"/>
      <c r="AC10" s="970"/>
      <c r="AD10" s="970"/>
      <c r="AE10" s="970"/>
      <c r="AF10" s="249"/>
      <c r="AG10" s="249"/>
      <c r="AH10" s="249"/>
      <c r="AI10" s="249"/>
      <c r="AJ10" s="249"/>
      <c r="AK10" s="249"/>
      <c r="AL10" s="1336"/>
      <c r="AM10" s="1336"/>
      <c r="AN10" s="1336"/>
      <c r="AO10" s="1336"/>
      <c r="AP10" s="1336"/>
      <c r="AQ10" s="1336"/>
      <c r="AR10" s="1336"/>
      <c r="AS10" s="1336"/>
      <c r="AX10" s="42" t="str">
        <f>'Overview (Verification)'!A10</f>
        <v>Builder Name:</v>
      </c>
      <c r="AY10" s="43">
        <f>IF(LEN('Overview (Verification)'!P10)=0,0,'Overview (Verification)'!P10)</f>
        <v>0</v>
      </c>
    </row>
    <row r="11" spans="1:61" x14ac:dyDescent="0.25">
      <c r="A11" s="2371">
        <v>5</v>
      </c>
      <c r="B11" s="2374" t="s">
        <v>4581</v>
      </c>
      <c r="C11" s="2374"/>
      <c r="D11" s="2374"/>
      <c r="E11" s="2374"/>
      <c r="F11" s="2374"/>
      <c r="G11" s="2373"/>
      <c r="H11" s="2375"/>
      <c r="I11" s="87"/>
      <c r="J11" s="87"/>
      <c r="K11" s="87"/>
      <c r="L11" s="1796"/>
      <c r="M11" s="489"/>
      <c r="N11" s="250"/>
      <c r="O11" s="976"/>
      <c r="P11" s="249"/>
      <c r="Q11" s="249"/>
      <c r="R11" s="249"/>
      <c r="S11" s="249"/>
      <c r="T11" s="249"/>
      <c r="U11" s="249"/>
      <c r="V11" s="249"/>
      <c r="W11" s="249"/>
      <c r="X11" s="911"/>
      <c r="AC11" s="970"/>
      <c r="AD11" s="970"/>
      <c r="AE11" s="970"/>
      <c r="AF11" s="249"/>
      <c r="AG11" s="249"/>
      <c r="AH11" s="249"/>
      <c r="AI11" s="249"/>
      <c r="AJ11" s="249"/>
      <c r="AK11" s="249"/>
      <c r="AL11" s="1336"/>
      <c r="AM11" s="1336"/>
      <c r="AN11" s="1336"/>
      <c r="AO11" s="1336"/>
      <c r="AP11" s="1336"/>
      <c r="AQ11" s="1336"/>
      <c r="AR11" s="1336"/>
      <c r="AS11" s="1336"/>
      <c r="AX11" s="42" t="str">
        <f>'Overview (Verification)'!A11</f>
        <v>Physical Address of Home:</v>
      </c>
      <c r="AY11" s="258">
        <f>IF(LEN('Overview (Verification)'!P11)=0,0,'Overview (Verification)'!P11)</f>
        <v>0</v>
      </c>
    </row>
    <row r="12" spans="1:61" ht="18.75" x14ac:dyDescent="0.3">
      <c r="A12" s="2371">
        <v>5</v>
      </c>
      <c r="B12" s="2374" t="s">
        <v>255</v>
      </c>
      <c r="C12" s="2374"/>
      <c r="D12" s="2374"/>
      <c r="E12" s="2374"/>
      <c r="F12" s="2374"/>
      <c r="G12" s="2373" t="s">
        <v>3974</v>
      </c>
      <c r="H12" s="2371" t="s">
        <v>3971</v>
      </c>
      <c r="I12" s="88" t="s">
        <v>736</v>
      </c>
      <c r="J12" s="88"/>
      <c r="K12" s="88"/>
      <c r="L12" s="84"/>
      <c r="M12" s="490"/>
      <c r="N12" s="68"/>
      <c r="O12" s="68"/>
      <c r="P12" s="23"/>
      <c r="Q12" s="23"/>
      <c r="R12" s="23"/>
      <c r="S12" s="23"/>
      <c r="T12" s="23"/>
      <c r="U12" s="23"/>
      <c r="V12" s="23"/>
      <c r="W12" s="23"/>
      <c r="X12" s="23"/>
      <c r="Y12" s="23"/>
      <c r="Z12" s="1586"/>
      <c r="AC12" s="970"/>
      <c r="AD12" s="970"/>
      <c r="AE12" s="970"/>
      <c r="AF12" s="249"/>
      <c r="AG12" s="249"/>
      <c r="AH12" s="249"/>
      <c r="AI12" s="249"/>
      <c r="AJ12" s="249"/>
      <c r="AK12" s="249"/>
      <c r="AL12" s="1336"/>
      <c r="AM12" s="1336"/>
      <c r="AN12" s="1336"/>
      <c r="AO12" s="1336"/>
      <c r="AP12" s="1336"/>
      <c r="AQ12" s="1336"/>
      <c r="AR12" s="1336"/>
      <c r="AS12" s="1336"/>
      <c r="AX12" s="42" t="str">
        <f>'Overview (Verification)'!A12</f>
        <v>Community/Lot #:</v>
      </c>
      <c r="AY12" s="258">
        <f>IF(LEN('Overview (Verification)'!P12)=0,0,'Overview (Verification)'!P12)</f>
        <v>0</v>
      </c>
    </row>
    <row r="13" spans="1:61" ht="15" customHeight="1" x14ac:dyDescent="0.25">
      <c r="A13" s="2371">
        <v>5</v>
      </c>
      <c r="B13" s="2374" t="s">
        <v>255</v>
      </c>
      <c r="C13" s="2374"/>
      <c r="D13" s="2374"/>
      <c r="E13" s="2374"/>
      <c r="F13" s="2374"/>
      <c r="G13" s="2373" t="str">
        <f>IF(N13&gt;0,"P","")</f>
        <v/>
      </c>
      <c r="H13" s="2371" t="s">
        <v>3971</v>
      </c>
      <c r="I13" s="91" t="s">
        <v>255</v>
      </c>
      <c r="J13" s="91"/>
      <c r="K13" s="91"/>
      <c r="L13" s="1178" t="s">
        <v>4900</v>
      </c>
      <c r="M13" s="67"/>
      <c r="N13" s="1137">
        <f>'Ch5'!O14</f>
        <v>0</v>
      </c>
      <c r="O13" s="1137">
        <f>MAX(M14*S14*W14,M16*S16*W16+M17*S17*W17+M18*S18*W18)</f>
        <v>0</v>
      </c>
      <c r="P13" s="93"/>
      <c r="Q13" s="93"/>
      <c r="R13" s="94" t="b">
        <v>0</v>
      </c>
      <c r="S13" s="94" t="b">
        <v>1</v>
      </c>
      <c r="T13" s="94" t="b">
        <v>0</v>
      </c>
      <c r="U13" s="94"/>
      <c r="V13" s="94"/>
      <c r="W13" s="94" t="s">
        <v>263</v>
      </c>
      <c r="X13" s="1757"/>
      <c r="Y13" s="2081" t="str">
        <f>IF(LEN('Ch5'!X14)=0,"None",'Ch5'!X14)</f>
        <v>None</v>
      </c>
      <c r="Z13" s="2084"/>
      <c r="AC13" s="970"/>
      <c r="AD13" s="970"/>
      <c r="AE13" s="970"/>
      <c r="AF13" s="249"/>
      <c r="AG13" s="249"/>
      <c r="AH13" s="249"/>
      <c r="AI13" s="249"/>
      <c r="AJ13" s="249"/>
      <c r="AK13" s="249"/>
      <c r="AL13" s="1336" t="str">
        <f>SUBSTITUTE(SUBSTITUTE(SUBSTITUTE("vpa"&amp;$B13&amp;$C13&amp;$D13&amp;$E13,".","_"),"(","_"),")","")</f>
        <v>vpa501_1</v>
      </c>
      <c r="AM13" s="1131">
        <f>M14</f>
        <v>15</v>
      </c>
      <c r="AN13" s="1336" t="str">
        <f>SUBSTITUTE(SUBSTITUTE(SUBSTITUTE("vpc"&amp;$B13&amp;$C13&amp;$D13&amp;$E13,".","_"),"(","_"),")","")</f>
        <v>vpc501_1</v>
      </c>
      <c r="AO13" s="1131">
        <f>O13</f>
        <v>0</v>
      </c>
      <c r="AP13" s="1336"/>
      <c r="AQ13" s="1336"/>
      <c r="AR13" s="1336" t="str">
        <f>SUBSTITUTE(SUBSTITUTE(SUBSTITUTE("vnt"&amp;$B13&amp;$C13&amp;$D13&amp;$E13,".","_"),"(","_"),")","")</f>
        <v>vnt501_1</v>
      </c>
      <c r="AS13" s="254" t="str">
        <f>IF(LEN(X13)=0,"",X13)</f>
        <v/>
      </c>
      <c r="AX13" s="42" t="str">
        <f>'Overview (Verification)'!A13</f>
        <v>City:</v>
      </c>
      <c r="AY13" s="258">
        <f>IF(LEN('Overview (Verification)'!P13)=0,0,'Overview (Verification)'!P13)</f>
        <v>0</v>
      </c>
    </row>
    <row r="14" spans="1:61" x14ac:dyDescent="0.25">
      <c r="A14" s="2371">
        <v>5</v>
      </c>
      <c r="B14" s="2374" t="s">
        <v>255</v>
      </c>
      <c r="C14" s="2374" t="s">
        <v>256</v>
      </c>
      <c r="D14" s="2374"/>
      <c r="E14" s="2374"/>
      <c r="F14" s="2374"/>
      <c r="G14" s="2373" t="str">
        <f>G13</f>
        <v/>
      </c>
      <c r="H14" s="2371" t="s">
        <v>3971</v>
      </c>
      <c r="I14" s="91"/>
      <c r="J14" s="174" t="s">
        <v>256</v>
      </c>
      <c r="K14" s="174"/>
      <c r="L14" s="1195" t="s">
        <v>4901</v>
      </c>
      <c r="M14" s="1135">
        <v>15</v>
      </c>
      <c r="N14" s="1137"/>
      <c r="O14" s="1137"/>
      <c r="P14" s="93" t="b">
        <v>1</v>
      </c>
      <c r="Q14" s="93" t="b">
        <v>1</v>
      </c>
      <c r="R14" s="94" t="b">
        <v>0</v>
      </c>
      <c r="S14" s="94" t="b">
        <v>1</v>
      </c>
      <c r="T14" s="94" t="b">
        <v>0</v>
      </c>
      <c r="U14" s="94"/>
      <c r="V14" s="94"/>
      <c r="W14" s="25"/>
      <c r="X14" s="1757"/>
      <c r="Y14" s="2081"/>
      <c r="Z14" s="2084"/>
      <c r="AC14" s="970"/>
      <c r="AD14" s="970"/>
      <c r="AE14" s="970"/>
      <c r="AF14" s="249"/>
      <c r="AG14" s="249"/>
      <c r="AH14" s="249"/>
      <c r="AI14" s="249"/>
      <c r="AJ14" s="249"/>
      <c r="AK14" s="249"/>
      <c r="AL14" s="1336"/>
      <c r="AM14" s="1336"/>
      <c r="AN14" s="1336"/>
      <c r="AO14" s="1336"/>
      <c r="AP14" s="1336" t="str">
        <f>SUBSTITUTE(SUBSTITUTE(SUBSTITUTE("vch"&amp;$B14&amp;$C14&amp;$D14&amp;$E14,".","_"),"(","_"),")","")</f>
        <v>vch501_1_1</v>
      </c>
      <c r="AQ14" s="254" t="str">
        <f>IF(LEN(W14)=0,"",W14)</f>
        <v/>
      </c>
      <c r="AR14" s="1336"/>
      <c r="AS14" s="254"/>
      <c r="AX14" s="42" t="str">
        <f>'Overview (Verification)'!A14</f>
        <v>State:</v>
      </c>
      <c r="AY14" s="258">
        <f>IF(LEN('Overview (Verification)'!P14)=0,0,'Overview (Verification)'!P14)</f>
        <v>0</v>
      </c>
      <c r="AZ14" s="43"/>
      <c r="BA14" s="43"/>
      <c r="BB14" s="43"/>
      <c r="BC14" s="43" t="str">
        <f>'Overview (Verification)'!T14</f>
        <v>State</v>
      </c>
      <c r="BD14" s="43" t="str">
        <f>'Overview (Verification)'!U14</f>
        <v>County</v>
      </c>
      <c r="BE14" s="43" t="str">
        <f>'Overview (Verification)'!V14</f>
        <v>Radon</v>
      </c>
      <c r="BF14" s="43" t="str">
        <f>'Overview (Verification)'!W14</f>
        <v>Climate</v>
      </c>
      <c r="BG14" s="43" t="str">
        <f>'Overview (Verification)'!X14</f>
        <v>Moist</v>
      </c>
      <c r="BH14" s="43" t="str">
        <f>'Overview (Verification)'!Y14</f>
        <v>WarmHumid</v>
      </c>
    </row>
    <row r="15" spans="1:61" s="1133" customFormat="1" x14ac:dyDescent="0.25">
      <c r="A15" s="2371">
        <v>5</v>
      </c>
      <c r="B15" s="2374" t="s">
        <v>255</v>
      </c>
      <c r="C15" s="2374" t="s">
        <v>258</v>
      </c>
      <c r="D15" s="2374"/>
      <c r="E15" s="2374"/>
      <c r="F15" s="2374"/>
      <c r="G15" s="2373" t="str">
        <f>G14</f>
        <v/>
      </c>
      <c r="H15" s="2371" t="s">
        <v>3971</v>
      </c>
      <c r="I15" s="91"/>
      <c r="J15" s="846" t="s">
        <v>258</v>
      </c>
      <c r="K15" s="91"/>
      <c r="L15" s="1174" t="s">
        <v>4902</v>
      </c>
      <c r="M15" s="1134"/>
      <c r="N15" s="1137"/>
      <c r="O15" s="1137"/>
      <c r="P15" s="93"/>
      <c r="Q15" s="93"/>
      <c r="R15" s="94"/>
      <c r="S15" s="94"/>
      <c r="T15" s="94"/>
      <c r="U15" s="94"/>
      <c r="V15" s="94"/>
      <c r="W15"/>
      <c r="X15" s="1757"/>
      <c r="Y15" s="2081"/>
      <c r="Z15" s="2084"/>
      <c r="AA15" s="1527" t="str">
        <f>IF(LEN('Photo Review'!I14)&gt;0,'Photo Review'!I14,"")</f>
        <v/>
      </c>
      <c r="AL15" s="1336"/>
      <c r="AM15" s="1336"/>
      <c r="AN15" s="1336"/>
      <c r="AO15" s="1336"/>
      <c r="AP15" s="1336"/>
      <c r="AQ15" s="254"/>
      <c r="AR15" s="1336"/>
      <c r="AS15" s="254"/>
      <c r="AX15" s="42" t="str">
        <f>'Overview (Verification)'!A15</f>
        <v>County:</v>
      </c>
      <c r="AY15" s="258">
        <f>IF(LEN('Overview (Verification)'!P15)=0,0,'Overview (Verification)'!P15)</f>
        <v>0</v>
      </c>
      <c r="AZ15" s="43"/>
      <c r="BA15" s="43"/>
      <c r="BB15" s="43"/>
      <c r="BC15" s="43" t="str">
        <f>'Overview (Verification)'!T15</f>
        <v/>
      </c>
      <c r="BD15" s="43" t="str">
        <f>'Overview (Verification)'!U15</f>
        <v/>
      </c>
      <c r="BE15" s="43" t="str">
        <f>'Overview (Verification)'!V15</f>
        <v>!!</v>
      </c>
      <c r="BF15" s="43" t="str">
        <f>'Overview (Verification)'!W15</f>
        <v>!!</v>
      </c>
      <c r="BG15" s="43" t="str">
        <f>'Overview (Verification)'!X15</f>
        <v>!!</v>
      </c>
      <c r="BH15" s="43" t="str">
        <f>'Overview (Verification)'!Y15</f>
        <v>!!</v>
      </c>
    </row>
    <row r="16" spans="1:61" x14ac:dyDescent="0.25">
      <c r="A16" s="2371">
        <v>5</v>
      </c>
      <c r="B16" s="2374" t="s">
        <v>255</v>
      </c>
      <c r="C16" s="2374" t="s">
        <v>258</v>
      </c>
      <c r="D16" s="2374" t="s">
        <v>121</v>
      </c>
      <c r="E16" s="2374"/>
      <c r="F16" s="2374"/>
      <c r="G16" s="2373" t="str">
        <f>G15</f>
        <v/>
      </c>
      <c r="H16" s="2371" t="s">
        <v>3971</v>
      </c>
      <c r="I16" s="91"/>
      <c r="J16" s="1133"/>
      <c r="K16" s="174" t="s">
        <v>121</v>
      </c>
      <c r="L16" s="1163" t="s">
        <v>257</v>
      </c>
      <c r="M16" s="1135">
        <v>10</v>
      </c>
      <c r="N16" s="1039"/>
      <c r="O16" s="1039"/>
      <c r="P16" s="93" t="b">
        <v>1</v>
      </c>
      <c r="Q16" s="93" t="b">
        <v>1</v>
      </c>
      <c r="R16" s="94" t="b">
        <v>0</v>
      </c>
      <c r="S16" s="94" t="b">
        <v>1</v>
      </c>
      <c r="T16" s="94" t="b">
        <v>0</v>
      </c>
      <c r="U16" s="94"/>
      <c r="V16" s="94"/>
      <c r="W16" s="25"/>
      <c r="X16" s="1757"/>
      <c r="Y16" s="2081"/>
      <c r="Z16" s="2084"/>
      <c r="AA16" s="1526"/>
      <c r="AC16" s="970"/>
      <c r="AD16" s="970"/>
      <c r="AE16" s="970"/>
      <c r="AF16" s="249"/>
      <c r="AG16" s="249"/>
      <c r="AH16" s="249"/>
      <c r="AI16" s="249"/>
      <c r="AJ16" s="249"/>
      <c r="AK16" s="249"/>
      <c r="AL16" s="1336" t="str">
        <f>SUBSTITUTE(SUBSTITUTE(SUBSTITUTE("vpa"&amp;$B16&amp;$C16&amp;$D16&amp;$E16,".","_"),"(","_"),")","")</f>
        <v>vpa501_1_2_a</v>
      </c>
      <c r="AM16" s="254">
        <f>M16</f>
        <v>10</v>
      </c>
      <c r="AN16" s="254"/>
      <c r="AO16" s="254"/>
      <c r="AP16" s="1336" t="str">
        <f>SUBSTITUTE(SUBSTITUTE(SUBSTITUTE("vch"&amp;$B16&amp;$C16&amp;$D16&amp;$E16,".","_"),"(","_"),")","")</f>
        <v>vch501_1_2_a</v>
      </c>
      <c r="AQ16" s="254" t="str">
        <f>IF(LEN(W16)=0,"",W16)</f>
        <v/>
      </c>
      <c r="AR16" s="254"/>
      <c r="AS16" s="254"/>
      <c r="AX16" s="42" t="str">
        <f>'Overview (Verification)'!A16</f>
        <v>Zip:</v>
      </c>
      <c r="AY16" s="258">
        <f>IF(LEN('Overview (Verification)'!P16)=0,0,'Overview (Verification)'!P16)</f>
        <v>0</v>
      </c>
    </row>
    <row r="17" spans="1:52" x14ac:dyDescent="0.25">
      <c r="A17" s="2371">
        <v>5</v>
      </c>
      <c r="B17" s="2374" t="s">
        <v>255</v>
      </c>
      <c r="C17" s="2374" t="s">
        <v>258</v>
      </c>
      <c r="D17" s="2374" t="s">
        <v>122</v>
      </c>
      <c r="E17" s="2374"/>
      <c r="F17" s="2374"/>
      <c r="G17" s="2373" t="str">
        <f>G16</f>
        <v/>
      </c>
      <c r="H17" s="2371" t="s">
        <v>3971</v>
      </c>
      <c r="I17" s="91"/>
      <c r="J17" s="1133"/>
      <c r="K17" s="212" t="s">
        <v>122</v>
      </c>
      <c r="L17" s="1163" t="s">
        <v>259</v>
      </c>
      <c r="M17" s="1135">
        <v>10</v>
      </c>
      <c r="N17" s="1039"/>
      <c r="O17" s="1039"/>
      <c r="P17" s="93" t="b">
        <v>1</v>
      </c>
      <c r="Q17" s="93" t="b">
        <v>1</v>
      </c>
      <c r="R17" s="94" t="b">
        <v>0</v>
      </c>
      <c r="S17" s="94" t="b">
        <f>W18&lt;&gt;TRUE</f>
        <v>1</v>
      </c>
      <c r="T17" s="94" t="b">
        <f>IF(AND(NOT(S17),W17=TRUE),TRUE,FALSE)</f>
        <v>0</v>
      </c>
      <c r="U17" s="94"/>
      <c r="V17" s="94"/>
      <c r="W17" s="25"/>
      <c r="X17" s="1757"/>
      <c r="Y17" s="2081"/>
      <c r="Z17" s="2084"/>
      <c r="AA17" s="1526"/>
      <c r="AC17" s="970" t="b">
        <f>OR(AD17:AE17)</f>
        <v>0</v>
      </c>
      <c r="AD17" s="970" t="b">
        <f>T17</f>
        <v>0</v>
      </c>
      <c r="AE17" s="970"/>
      <c r="AF17" s="249"/>
      <c r="AG17" s="249"/>
      <c r="AH17" s="249"/>
      <c r="AI17" s="249"/>
      <c r="AJ17" s="249"/>
      <c r="AK17" s="249"/>
      <c r="AL17" s="1336" t="str">
        <f>SUBSTITUTE(SUBSTITUTE(SUBSTITUTE("vpa"&amp;$B17&amp;$C17&amp;$D17&amp;$E17,".","_"),"(","_"),")","")</f>
        <v>vpa501_1_2_b</v>
      </c>
      <c r="AM17" s="254">
        <f>M17</f>
        <v>10</v>
      </c>
      <c r="AN17" s="254"/>
      <c r="AO17" s="254"/>
      <c r="AP17" s="1336" t="str">
        <f>SUBSTITUTE(SUBSTITUTE(SUBSTITUTE("vch"&amp;$B17&amp;$C17&amp;$D17&amp;$E17,".","_"),"(","_"),")","")</f>
        <v>vch501_1_2_b</v>
      </c>
      <c r="AQ17" s="254" t="str">
        <f>IF(LEN(W17)=0,"",W17)</f>
        <v/>
      </c>
      <c r="AR17" s="254"/>
      <c r="AS17" s="254"/>
      <c r="AX17" s="42"/>
      <c r="AY17" s="43"/>
    </row>
    <row r="18" spans="1:52" ht="15.75" thickBot="1" x14ac:dyDescent="0.3">
      <c r="A18" s="2371">
        <v>5</v>
      </c>
      <c r="B18" s="2374" t="s">
        <v>255</v>
      </c>
      <c r="C18" s="2374" t="s">
        <v>258</v>
      </c>
      <c r="D18" s="2376" t="s">
        <v>123</v>
      </c>
      <c r="E18" s="2374"/>
      <c r="F18" s="2374"/>
      <c r="G18" s="2373" t="str">
        <f>G17</f>
        <v/>
      </c>
      <c r="H18" s="2371" t="s">
        <v>3971</v>
      </c>
      <c r="I18" s="96"/>
      <c r="J18" s="99"/>
      <c r="K18" s="111" t="s">
        <v>123</v>
      </c>
      <c r="L18" s="1171" t="s">
        <v>261</v>
      </c>
      <c r="M18" s="492">
        <v>15</v>
      </c>
      <c r="N18" s="1040"/>
      <c r="O18" s="1040"/>
      <c r="P18" s="93" t="b">
        <v>1</v>
      </c>
      <c r="Q18" s="93" t="b">
        <v>1</v>
      </c>
      <c r="R18" s="99" t="b">
        <v>0</v>
      </c>
      <c r="S18" s="99" t="b">
        <f>W17&lt;&gt;TRUE</f>
        <v>1</v>
      </c>
      <c r="T18" s="99" t="b">
        <f>IF(AND(NOT(S18),W18=TRUE),TRUE,FALSE)</f>
        <v>0</v>
      </c>
      <c r="U18" s="99"/>
      <c r="V18" s="99"/>
      <c r="W18" s="186"/>
      <c r="X18" s="1771"/>
      <c r="Y18" s="2082"/>
      <c r="Z18" s="2086"/>
      <c r="AA18" s="1526"/>
      <c r="AC18" s="970" t="b">
        <f>OR(AD18:AE18)</f>
        <v>0</v>
      </c>
      <c r="AD18" s="970" t="b">
        <f>T18</f>
        <v>0</v>
      </c>
      <c r="AE18" s="970"/>
      <c r="AF18" s="249"/>
      <c r="AG18" s="249"/>
      <c r="AH18" s="249"/>
      <c r="AI18" s="249"/>
      <c r="AJ18" s="249"/>
      <c r="AK18" s="249"/>
      <c r="AL18" s="1336" t="str">
        <f>SUBSTITUTE(SUBSTITUTE(SUBSTITUTE("vpa"&amp;$B18&amp;$C18&amp;$D18&amp;$E18,".","_"),"(","_"),")","")</f>
        <v>vpa501_1_2_c</v>
      </c>
      <c r="AM18" s="254">
        <f>M18</f>
        <v>15</v>
      </c>
      <c r="AN18" s="254"/>
      <c r="AO18" s="254"/>
      <c r="AP18" s="1336" t="str">
        <f>SUBSTITUTE(SUBSTITUTE(SUBSTITUTE("vch"&amp;$B18&amp;$C18&amp;$D18&amp;$E18,".","_"),"(","_"),")","")</f>
        <v>vch501_1_2_c</v>
      </c>
      <c r="AQ18" s="254" t="str">
        <f>IF(LEN(W18)=0,"",W18)</f>
        <v/>
      </c>
      <c r="AR18" s="254"/>
      <c r="AS18" s="254"/>
      <c r="AX18" s="42" t="str">
        <f>'Overview (Verification)'!A18</f>
        <v>Single-Family or Multifamily:</v>
      </c>
      <c r="AY18" s="258" t="str">
        <f>IF(LEN('Overview (Verification)'!P18)=0,0,'Overview (Verification)'!P18)</f>
        <v>Single-Family</v>
      </c>
    </row>
    <row r="19" spans="1:52" ht="15.75" thickTop="1" x14ac:dyDescent="0.25">
      <c r="A19" s="2371">
        <v>5</v>
      </c>
      <c r="B19" s="2374" t="s">
        <v>264</v>
      </c>
      <c r="C19" s="2374"/>
      <c r="D19" s="2374"/>
      <c r="E19" s="2374"/>
      <c r="F19" s="2374"/>
      <c r="G19" s="2363" t="str">
        <f ca="1">IF(COUNTIF(G21:G55,"P")&gt;0,"P","")</f>
        <v/>
      </c>
      <c r="H19" s="2371" t="s">
        <v>3971</v>
      </c>
      <c r="I19" s="87" t="s">
        <v>264</v>
      </c>
      <c r="J19" s="87"/>
      <c r="K19" s="87"/>
      <c r="L19" s="1796" t="s">
        <v>265</v>
      </c>
      <c r="M19" s="1813"/>
      <c r="N19" s="2113"/>
      <c r="O19" s="2113"/>
      <c r="P19" s="254"/>
      <c r="Q19" s="254"/>
      <c r="R19" s="249"/>
      <c r="S19" s="249"/>
      <c r="T19" s="249"/>
      <c r="U19" s="249"/>
      <c r="V19" s="249"/>
      <c r="W19" s="185"/>
      <c r="X19" s="1756"/>
      <c r="Y19" s="2098" t="str">
        <f>IF(LEN('Ch5'!X20)=0,"None",'Ch5'!X20)</f>
        <v>None</v>
      </c>
      <c r="Z19" s="2085"/>
      <c r="AA19" s="1526"/>
      <c r="AC19" s="970"/>
      <c r="AD19" s="970"/>
      <c r="AE19" s="970"/>
      <c r="AF19" s="249"/>
      <c r="AG19" s="249"/>
      <c r="AH19" s="249"/>
      <c r="AI19" s="249"/>
      <c r="AJ19" s="249"/>
      <c r="AK19" s="249"/>
      <c r="AL19" s="254"/>
      <c r="AM19" s="254"/>
      <c r="AN19" s="254"/>
      <c r="AO19" s="254"/>
      <c r="AP19" s="254"/>
      <c r="AQ19" s="254"/>
      <c r="AR19" s="1336" t="str">
        <f>SUBSTITUTE(SUBSTITUTE(SUBSTITUTE("vnt"&amp;$B19&amp;$C19&amp;$D19&amp;$E19,".","_"),"(","_"),")","")</f>
        <v>vnt501_2</v>
      </c>
      <c r="AS19" s="254" t="str">
        <f>IF(LEN(X19)=0,"",X19)</f>
        <v/>
      </c>
      <c r="AX19" s="42" t="str">
        <f>'Overview (Verification)'!A19</f>
        <v>Number of Units:</v>
      </c>
      <c r="AY19" s="258">
        <f>IF(LEN('Overview (Verification)'!P19)=0,0,'Overview (Verification)'!P19)</f>
        <v>0</v>
      </c>
    </row>
    <row r="20" spans="1:52" x14ac:dyDescent="0.25">
      <c r="A20" s="2371">
        <v>5</v>
      </c>
      <c r="B20" s="2374" t="s">
        <v>264</v>
      </c>
      <c r="C20" s="2374"/>
      <c r="D20" s="2374"/>
      <c r="E20" s="2374"/>
      <c r="F20" s="2374"/>
      <c r="G20" s="2373" t="str">
        <f ca="1">G19</f>
        <v/>
      </c>
      <c r="H20" s="2371" t="s">
        <v>3971</v>
      </c>
      <c r="I20" s="87"/>
      <c r="J20" s="87"/>
      <c r="K20" s="87"/>
      <c r="L20" s="1796"/>
      <c r="M20" s="1813"/>
      <c r="N20" s="2113"/>
      <c r="O20" s="2113"/>
      <c r="P20" s="254"/>
      <c r="Q20" s="254"/>
      <c r="R20" s="249"/>
      <c r="S20" s="249"/>
      <c r="T20" s="249"/>
      <c r="U20" s="249"/>
      <c r="V20" s="249"/>
      <c r="W20" s="249"/>
      <c r="X20" s="1757"/>
      <c r="Y20" s="2081"/>
      <c r="Z20" s="2083"/>
      <c r="AA20" s="1526"/>
      <c r="AC20" s="970"/>
      <c r="AD20" s="970"/>
      <c r="AE20" s="970"/>
      <c r="AF20" s="249"/>
      <c r="AG20" s="249"/>
      <c r="AH20" s="249"/>
      <c r="AI20" s="249"/>
      <c r="AJ20" s="249"/>
      <c r="AK20" s="249"/>
      <c r="AL20" s="254"/>
      <c r="AM20" s="254"/>
      <c r="AN20" s="254"/>
      <c r="AO20" s="254"/>
      <c r="AP20" s="254"/>
      <c r="AQ20" s="254"/>
      <c r="AR20" s="254"/>
      <c r="AS20" s="254"/>
      <c r="AX20" s="1100" t="str">
        <f>'Overview (Verification)'!A20</f>
        <v>Building includes commercial space pursuing Commercial Space certification?</v>
      </c>
      <c r="AY20" s="1101">
        <f>IF(LEN('Overview (Verification)'!P20)=0,0,'Overview (Verification)'!P20)</f>
        <v>0</v>
      </c>
    </row>
    <row r="21" spans="1:52" x14ac:dyDescent="0.25">
      <c r="A21" s="2371">
        <v>5</v>
      </c>
      <c r="B21" s="2374" t="s">
        <v>264</v>
      </c>
      <c r="C21" s="2374" t="s">
        <v>256</v>
      </c>
      <c r="D21" s="2374"/>
      <c r="E21" s="2374"/>
      <c r="F21" s="2374"/>
      <c r="G21" s="2373" t="str">
        <f>IF(N21&gt;0,"P","")</f>
        <v/>
      </c>
      <c r="H21" s="2371" t="s">
        <v>3971</v>
      </c>
      <c r="I21" s="87"/>
      <c r="J21" s="91" t="s">
        <v>256</v>
      </c>
      <c r="K21" s="91"/>
      <c r="L21" s="1793" t="s">
        <v>266</v>
      </c>
      <c r="M21" s="1790">
        <v>6</v>
      </c>
      <c r="N21" s="2103">
        <f>'Ch5'!O22</f>
        <v>0</v>
      </c>
      <c r="O21" s="2103">
        <f>M21*W21</f>
        <v>0</v>
      </c>
      <c r="P21" s="93" t="b">
        <v>1</v>
      </c>
      <c r="Q21" s="93" t="b">
        <v>1</v>
      </c>
      <c r="R21" s="249" t="b">
        <v>0</v>
      </c>
      <c r="S21" s="249" t="b">
        <v>1</v>
      </c>
      <c r="T21" s="249" t="b">
        <v>0</v>
      </c>
      <c r="U21" s="249"/>
      <c r="V21" s="249"/>
      <c r="W21" s="25"/>
      <c r="X21" s="1757"/>
      <c r="Y21" s="2081" t="str">
        <f>IF(LEN('Ch5'!X22)=0,"None",'Ch5'!X22)</f>
        <v>None</v>
      </c>
      <c r="Z21" s="2083"/>
      <c r="AA21" s="1526"/>
      <c r="AC21" s="970"/>
      <c r="AD21" s="970"/>
      <c r="AE21" s="970"/>
      <c r="AF21" s="249"/>
      <c r="AG21" s="249"/>
      <c r="AH21" s="249"/>
      <c r="AI21" s="249"/>
      <c r="AJ21" s="249"/>
      <c r="AK21" s="249"/>
      <c r="AL21" s="1336" t="str">
        <f>SUBSTITUTE(SUBSTITUTE(SUBSTITUTE("vpa"&amp;$B21&amp;$C21&amp;$D21&amp;$E21,".","_"),"(","_"),")","")</f>
        <v>vpa501_2_1</v>
      </c>
      <c r="AM21" s="254">
        <f>M21</f>
        <v>6</v>
      </c>
      <c r="AN21" s="1336" t="str">
        <f>SUBSTITUTE(SUBSTITUTE(SUBSTITUTE("vpc"&amp;$B21&amp;$C21&amp;$D21&amp;$E21,".","_"),"(","_"),")","")</f>
        <v>vpc501_2_1</v>
      </c>
      <c r="AO21" s="254">
        <f>O21</f>
        <v>0</v>
      </c>
      <c r="AP21" s="1336" t="str">
        <f>SUBSTITUTE(SUBSTITUTE(SUBSTITUTE("vch"&amp;$B21&amp;$C21&amp;$D21&amp;$E21,".","_"),"(","_"),")","")</f>
        <v>vch501_2_1</v>
      </c>
      <c r="AQ21" s="254" t="str">
        <f>IF(LEN(W21)=0,"",W21)</f>
        <v/>
      </c>
      <c r="AR21" s="1336" t="str">
        <f>SUBSTITUTE(SUBSTITUTE(SUBSTITUTE("vnt"&amp;$B21&amp;$C21&amp;$D21&amp;$E21,".","_"),"(","_"),")","")</f>
        <v>vnt501_2_1</v>
      </c>
      <c r="AS21" s="254" t="str">
        <f>IF(LEN(X21)=0,"",X21)</f>
        <v/>
      </c>
    </row>
    <row r="22" spans="1:52" x14ac:dyDescent="0.25">
      <c r="A22" s="2371">
        <v>5</v>
      </c>
      <c r="B22" s="2374" t="s">
        <v>264</v>
      </c>
      <c r="C22" s="2374" t="s">
        <v>256</v>
      </c>
      <c r="D22" s="2374"/>
      <c r="E22" s="2374"/>
      <c r="F22" s="2374"/>
      <c r="G22" s="2373" t="str">
        <f>G21</f>
        <v/>
      </c>
      <c r="H22" s="2371" t="s">
        <v>3971</v>
      </c>
      <c r="I22" s="87"/>
      <c r="J22" s="174"/>
      <c r="K22" s="174"/>
      <c r="L22" s="1761"/>
      <c r="M22" s="1791"/>
      <c r="N22" s="2104"/>
      <c r="O22" s="2104"/>
      <c r="P22" s="253"/>
      <c r="Q22" s="253"/>
      <c r="R22" s="249"/>
      <c r="S22" s="249"/>
      <c r="T22" s="249"/>
      <c r="U22" s="249"/>
      <c r="V22" s="249"/>
      <c r="W22" s="249"/>
      <c r="X22" s="1757"/>
      <c r="Y22" s="2081"/>
      <c r="Z22" s="2083"/>
      <c r="AA22" s="1526"/>
      <c r="AC22" s="970"/>
      <c r="AD22" s="970"/>
      <c r="AE22" s="970"/>
      <c r="AF22" s="249"/>
      <c r="AG22" s="249"/>
      <c r="AH22" s="249"/>
      <c r="AI22" s="249"/>
      <c r="AJ22" s="249"/>
      <c r="AK22" s="249"/>
      <c r="AL22" s="254"/>
      <c r="AM22" s="254"/>
      <c r="AN22" s="254"/>
      <c r="AO22" s="254"/>
      <c r="AP22" s="254"/>
      <c r="AQ22" s="254"/>
      <c r="AR22" s="254"/>
      <c r="AS22" s="254"/>
    </row>
    <row r="23" spans="1:52" x14ac:dyDescent="0.25">
      <c r="A23" s="2371">
        <v>5</v>
      </c>
      <c r="B23" s="2374" t="s">
        <v>264</v>
      </c>
      <c r="C23" s="2374" t="s">
        <v>258</v>
      </c>
      <c r="D23" s="2374"/>
      <c r="E23" s="2374"/>
      <c r="F23" s="2374"/>
      <c r="G23" s="2373" t="str">
        <f>IF(N23&gt;0,"P","")</f>
        <v/>
      </c>
      <c r="H23" s="2371" t="s">
        <v>3971</v>
      </c>
      <c r="I23" s="87"/>
      <c r="J23" s="91" t="s">
        <v>258</v>
      </c>
      <c r="K23" s="91"/>
      <c r="L23" s="1754" t="s">
        <v>267</v>
      </c>
      <c r="M23" s="1790">
        <v>3</v>
      </c>
      <c r="N23" s="2103">
        <f>'Ch5'!O24</f>
        <v>0</v>
      </c>
      <c r="O23" s="2103">
        <f>M23*W23</f>
        <v>0</v>
      </c>
      <c r="P23" s="93" t="b">
        <v>1</v>
      </c>
      <c r="Q23" s="93" t="b">
        <v>1</v>
      </c>
      <c r="R23" s="249" t="b">
        <v>0</v>
      </c>
      <c r="S23" s="249" t="b">
        <v>1</v>
      </c>
      <c r="T23" s="249" t="b">
        <v>0</v>
      </c>
      <c r="U23" s="249"/>
      <c r="V23" s="249"/>
      <c r="W23" s="25"/>
      <c r="X23" s="1757"/>
      <c r="Y23" s="2081" t="str">
        <f>IF(LEN('Ch5'!X24)=0,"None",'Ch5'!X24)</f>
        <v>None</v>
      </c>
      <c r="Z23" s="2083"/>
      <c r="AA23" s="1526"/>
      <c r="AC23" s="970"/>
      <c r="AD23" s="970"/>
      <c r="AE23" s="970"/>
      <c r="AF23" s="249"/>
      <c r="AG23" s="249"/>
      <c r="AH23" s="249"/>
      <c r="AI23" s="249"/>
      <c r="AJ23" s="249"/>
      <c r="AK23" s="249"/>
      <c r="AL23" s="1336" t="str">
        <f>SUBSTITUTE(SUBSTITUTE(SUBSTITUTE("vpa"&amp;$B23&amp;$C23&amp;$D23&amp;$E23,".","_"),"(","_"),")","")</f>
        <v>vpa501_2_2</v>
      </c>
      <c r="AM23" s="254">
        <f>M23</f>
        <v>3</v>
      </c>
      <c r="AN23" s="1336" t="str">
        <f>SUBSTITUTE(SUBSTITUTE(SUBSTITUTE("vpc"&amp;$B23&amp;$C23&amp;$D23&amp;$E23,".","_"),"(","_"),")","")</f>
        <v>vpc501_2_2</v>
      </c>
      <c r="AO23" s="254">
        <f>O23</f>
        <v>0</v>
      </c>
      <c r="AP23" s="1336" t="str">
        <f>SUBSTITUTE(SUBSTITUTE(SUBSTITUTE("vch"&amp;$B23&amp;$C23&amp;$D23&amp;$E23,".","_"),"(","_"),")","")</f>
        <v>vch501_2_2</v>
      </c>
      <c r="AQ23" s="254" t="str">
        <f>IF(LEN(W23)=0,"",W23)</f>
        <v/>
      </c>
      <c r="AR23" s="1336" t="str">
        <f>SUBSTITUTE(SUBSTITUTE(SUBSTITUTE("vnt"&amp;$B23&amp;$C23&amp;$D23&amp;$E23,".","_"),"(","_"),")","")</f>
        <v>vnt501_2_2</v>
      </c>
      <c r="AS23" s="254" t="str">
        <f>IF(LEN(X23)=0,"",X23)</f>
        <v/>
      </c>
      <c r="AX23" s="42" t="str">
        <f>'Overview (Verification)'!A23</f>
        <v>Project Name:</v>
      </c>
      <c r="AY23" s="258">
        <f>IF(LEN('Overview (Verification)'!P23)=0,0,'Overview (Verification)'!P23)</f>
        <v>0</v>
      </c>
    </row>
    <row r="24" spans="1:52" x14ac:dyDescent="0.25">
      <c r="A24" s="2371">
        <v>5</v>
      </c>
      <c r="B24" s="2374" t="s">
        <v>264</v>
      </c>
      <c r="C24" s="2374" t="s">
        <v>258</v>
      </c>
      <c r="D24" s="2374"/>
      <c r="E24" s="2374"/>
      <c r="F24" s="2374"/>
      <c r="G24" s="2373" t="str">
        <f>G23</f>
        <v/>
      </c>
      <c r="H24" s="2371" t="s">
        <v>3971</v>
      </c>
      <c r="I24" s="87"/>
      <c r="J24" s="174"/>
      <c r="K24" s="174"/>
      <c r="L24" s="1755"/>
      <c r="M24" s="1791"/>
      <c r="N24" s="2104"/>
      <c r="O24" s="2104"/>
      <c r="P24" s="253"/>
      <c r="Q24" s="253"/>
      <c r="R24" s="249"/>
      <c r="S24" s="249"/>
      <c r="T24" s="249"/>
      <c r="U24" s="249"/>
      <c r="V24" s="249"/>
      <c r="W24" s="249"/>
      <c r="X24" s="1757"/>
      <c r="Y24" s="2081"/>
      <c r="Z24" s="2083"/>
      <c r="AA24" s="1526"/>
      <c r="AC24" s="970"/>
      <c r="AD24" s="970"/>
      <c r="AE24" s="970"/>
      <c r="AF24" s="249"/>
      <c r="AG24" s="249"/>
      <c r="AH24" s="249"/>
      <c r="AI24" s="249"/>
      <c r="AJ24" s="249"/>
      <c r="AK24" s="249"/>
      <c r="AL24" s="254"/>
      <c r="AM24" s="254"/>
      <c r="AN24" s="254"/>
      <c r="AO24" s="254"/>
      <c r="AP24" s="254"/>
      <c r="AQ24" s="254"/>
      <c r="AR24" s="254"/>
      <c r="AS24" s="254"/>
      <c r="AX24" s="42"/>
      <c r="AY24" s="43"/>
    </row>
    <row r="25" spans="1:52" x14ac:dyDescent="0.25">
      <c r="A25" s="2371">
        <v>5</v>
      </c>
      <c r="B25" s="2374" t="s">
        <v>264</v>
      </c>
      <c r="C25" s="2374" t="s">
        <v>260</v>
      </c>
      <c r="D25" s="2374"/>
      <c r="E25" s="2374"/>
      <c r="F25" s="2374"/>
      <c r="G25" s="2373" t="str">
        <f>IF(N25&gt;0,"P","")</f>
        <v/>
      </c>
      <c r="H25" s="2371" t="s">
        <v>3971</v>
      </c>
      <c r="I25" s="87"/>
      <c r="J25" s="91" t="s">
        <v>260</v>
      </c>
      <c r="K25" s="91"/>
      <c r="L25" s="1793" t="s">
        <v>268</v>
      </c>
      <c r="M25" s="1790">
        <v>5</v>
      </c>
      <c r="N25" s="2103">
        <f>'Ch5'!O26</f>
        <v>0</v>
      </c>
      <c r="O25" s="2103">
        <f>M25*W25</f>
        <v>0</v>
      </c>
      <c r="P25" s="93" t="b">
        <v>1</v>
      </c>
      <c r="Q25" s="93" t="b">
        <v>1</v>
      </c>
      <c r="R25" s="249" t="b">
        <v>0</v>
      </c>
      <c r="S25" s="249" t="b">
        <v>1</v>
      </c>
      <c r="T25" s="249" t="b">
        <v>0</v>
      </c>
      <c r="U25" s="249"/>
      <c r="V25" s="249"/>
      <c r="W25" s="25"/>
      <c r="X25" s="1757"/>
      <c r="Y25" s="2081" t="str">
        <f>IF(LEN('Ch5'!X26)=0,"None",'Ch5'!X26)</f>
        <v>None</v>
      </c>
      <c r="Z25" s="2083"/>
      <c r="AA25" s="1551" t="str">
        <f>IF(LEN('Photo Review'!I24)&gt;0,'Photo Review'!I24,"")</f>
        <v/>
      </c>
      <c r="AC25" s="970"/>
      <c r="AD25" s="970"/>
      <c r="AE25" s="970"/>
      <c r="AF25" s="249"/>
      <c r="AG25" s="249"/>
      <c r="AH25" s="249"/>
      <c r="AI25" s="249"/>
      <c r="AJ25" s="249"/>
      <c r="AK25" s="249"/>
      <c r="AL25" s="1336" t="str">
        <f>SUBSTITUTE(SUBSTITUTE(SUBSTITUTE("vpa"&amp;$B25&amp;$C25&amp;$D25&amp;$E25,".","_"),"(","_"),")","")</f>
        <v>vpa501_2_3</v>
      </c>
      <c r="AM25" s="254">
        <f>M25</f>
        <v>5</v>
      </c>
      <c r="AN25" s="1336" t="str">
        <f>SUBSTITUTE(SUBSTITUTE(SUBSTITUTE("vpc"&amp;$B25&amp;$C25&amp;$D25&amp;$E25,".","_"),"(","_"),")","")</f>
        <v>vpc501_2_3</v>
      </c>
      <c r="AO25" s="254">
        <f>O25</f>
        <v>0</v>
      </c>
      <c r="AP25" s="1336" t="str">
        <f>SUBSTITUTE(SUBSTITUTE(SUBSTITUTE("vch"&amp;$B25&amp;$C25&amp;$D25&amp;$E25,".","_"),"(","_"),")","")</f>
        <v>vch501_2_3</v>
      </c>
      <c r="AQ25" s="254" t="str">
        <f>IF(LEN(W25)=0,"",W25)</f>
        <v/>
      </c>
      <c r="AR25" s="1336" t="str">
        <f>SUBSTITUTE(SUBSTITUTE(SUBSTITUTE("vnt"&amp;$B25&amp;$C25&amp;$D25&amp;$E25,".","_"),"(","_"),")","")</f>
        <v>vnt501_2_3</v>
      </c>
      <c r="AS25" s="254" t="str">
        <f>IF(LEN(X25)=0,"",X25)</f>
        <v/>
      </c>
      <c r="AX25" s="42" t="str">
        <f>'Overview (Verification)'!A25</f>
        <v>Above grade plane finished floor area:</v>
      </c>
      <c r="AY25" s="258">
        <f>IF(LEN('Overview (Verification)'!P25)=0,0,'Overview (Verification)'!P25)</f>
        <v>0</v>
      </c>
    </row>
    <row r="26" spans="1:52" x14ac:dyDescent="0.25">
      <c r="A26" s="2371">
        <v>5</v>
      </c>
      <c r="B26" s="2374" t="s">
        <v>264</v>
      </c>
      <c r="C26" s="2374" t="s">
        <v>260</v>
      </c>
      <c r="D26" s="2374"/>
      <c r="E26" s="2374"/>
      <c r="F26" s="2374"/>
      <c r="G26" s="2373" t="str">
        <f>G25</f>
        <v/>
      </c>
      <c r="H26" s="2371" t="s">
        <v>3971</v>
      </c>
      <c r="I26" s="87"/>
      <c r="J26" s="174"/>
      <c r="K26" s="174"/>
      <c r="L26" s="1761"/>
      <c r="M26" s="1791"/>
      <c r="N26" s="2104"/>
      <c r="O26" s="2104"/>
      <c r="P26" s="253"/>
      <c r="Q26" s="253"/>
      <c r="R26" s="249"/>
      <c r="S26" s="249"/>
      <c r="T26" s="249"/>
      <c r="U26" s="249"/>
      <c r="V26" s="249"/>
      <c r="W26" s="249"/>
      <c r="X26" s="1757"/>
      <c r="Y26" s="2081"/>
      <c r="Z26" s="2083"/>
      <c r="AA26" s="1526"/>
      <c r="AC26" s="970"/>
      <c r="AD26" s="970"/>
      <c r="AE26" s="970"/>
      <c r="AF26" s="249"/>
      <c r="AG26" s="249"/>
      <c r="AH26" s="249"/>
      <c r="AI26" s="249"/>
      <c r="AJ26" s="249"/>
      <c r="AK26" s="249"/>
      <c r="AL26" s="254"/>
      <c r="AM26" s="254"/>
      <c r="AN26" s="254"/>
      <c r="AO26" s="254"/>
      <c r="AP26" s="254"/>
      <c r="AQ26" s="254"/>
      <c r="AR26" s="254"/>
      <c r="AS26" s="254"/>
      <c r="AX26" s="42" t="str">
        <f>'Overview (Verification)'!A26</f>
        <v>Total conditioned floor area:</v>
      </c>
      <c r="AY26" s="258">
        <f>IF(LEN('Overview (Verification)'!P26)=0,0,'Overview (Verification)'!P26)</f>
        <v>0</v>
      </c>
    </row>
    <row r="27" spans="1:52" x14ac:dyDescent="0.25">
      <c r="A27" s="2371">
        <v>5</v>
      </c>
      <c r="B27" s="2374" t="s">
        <v>264</v>
      </c>
      <c r="C27" s="2374" t="s">
        <v>269</v>
      </c>
      <c r="D27" s="2374"/>
      <c r="E27" s="2374"/>
      <c r="F27" s="2374"/>
      <c r="G27" s="2373" t="str">
        <f>IF(N27&gt;0,"P","")</f>
        <v/>
      </c>
      <c r="H27" s="2371" t="s">
        <v>3971</v>
      </c>
      <c r="I27" s="87"/>
      <c r="J27" s="91" t="s">
        <v>269</v>
      </c>
      <c r="K27" s="91"/>
      <c r="L27" s="1754" t="s">
        <v>270</v>
      </c>
      <c r="M27" s="1790">
        <v>4</v>
      </c>
      <c r="N27" s="2105">
        <f>'Ch5'!O28</f>
        <v>0</v>
      </c>
      <c r="O27" s="2103">
        <f>M27*W27*S27</f>
        <v>0</v>
      </c>
      <c r="P27" s="93" t="b">
        <v>1</v>
      </c>
      <c r="Q27" s="93" t="b">
        <v>1</v>
      </c>
      <c r="R27" s="249" t="b">
        <v>0</v>
      </c>
      <c r="S27" s="249" t="b">
        <v>1</v>
      </c>
      <c r="T27" s="249" t="b">
        <v>0</v>
      </c>
      <c r="U27" s="249"/>
      <c r="V27" s="249"/>
      <c r="W27" s="25"/>
      <c r="X27" s="1798"/>
      <c r="Y27" s="2081" t="str">
        <f>IF(LEN('Ch5'!X28)=0,"None",'Ch5'!X28)</f>
        <v>None</v>
      </c>
      <c r="Z27" s="2083"/>
      <c r="AA27" s="1526"/>
      <c r="AC27" s="970" t="b">
        <f>OR(AD27:AE27)</f>
        <v>0</v>
      </c>
      <c r="AD27" s="970" t="b">
        <v>0</v>
      </c>
      <c r="AE27" s="970" t="b">
        <f>AND(W27=TRUE,LEN(X27)=0)</f>
        <v>0</v>
      </c>
      <c r="AF27" s="249" t="b">
        <f>AND(AE27,NOT(Q27))</f>
        <v>0</v>
      </c>
      <c r="AG27" s="249"/>
      <c r="AH27" s="249"/>
      <c r="AI27" s="249"/>
      <c r="AJ27" s="249"/>
      <c r="AK27" s="249"/>
      <c r="AL27" s="1336" t="str">
        <f>SUBSTITUTE(SUBSTITUTE(SUBSTITUTE("vpa"&amp;$B27&amp;$C27&amp;$D27&amp;$E27,".","_"),"(","_"),")","")</f>
        <v>vpa501_2_4</v>
      </c>
      <c r="AM27" s="254">
        <f>M27</f>
        <v>4</v>
      </c>
      <c r="AN27" s="1336" t="str">
        <f>SUBSTITUTE(SUBSTITUTE(SUBSTITUTE("vpc"&amp;$B27&amp;$C27&amp;$D27&amp;$E27,".","_"),"(","_"),")","")</f>
        <v>vpc501_2_4</v>
      </c>
      <c r="AO27" s="254">
        <f>O27</f>
        <v>0</v>
      </c>
      <c r="AP27" s="1336" t="str">
        <f>SUBSTITUTE(SUBSTITUTE(SUBSTITUTE("vch"&amp;$B27&amp;$C27&amp;$D27&amp;$E27,".","_"),"(","_"),")","")</f>
        <v>vch501_2_4</v>
      </c>
      <c r="AQ27" s="254" t="str">
        <f>IF(LEN(W27)=0,"",W27)</f>
        <v/>
      </c>
      <c r="AR27" s="1336" t="str">
        <f>SUBSTITUTE(SUBSTITUTE(SUBSTITUTE("vnt"&amp;$B27&amp;$C27&amp;$D27&amp;$E27,".","_"),"(","_"),")","")</f>
        <v>vnt501_2_4</v>
      </c>
      <c r="AS27" s="254" t="str">
        <f>IF(LEN(X27)=0,"",X27)</f>
        <v/>
      </c>
      <c r="AX27" s="515" t="str">
        <f>'Overview (Verification)'!A27</f>
        <v>Stories above grade:</v>
      </c>
      <c r="AY27" s="516">
        <f>IF(LEN('Overview (Verification)'!P27)=0,0,'Overview (Verification)'!P27)</f>
        <v>0</v>
      </c>
    </row>
    <row r="28" spans="1:52" x14ac:dyDescent="0.25">
      <c r="A28" s="2371">
        <v>5</v>
      </c>
      <c r="B28" s="2374" t="s">
        <v>264</v>
      </c>
      <c r="C28" s="2374" t="s">
        <v>269</v>
      </c>
      <c r="D28" s="2374"/>
      <c r="E28" s="2374"/>
      <c r="F28" s="2374"/>
      <c r="G28" s="2373" t="str">
        <f t="shared" ref="G28:G41" si="0">G27</f>
        <v/>
      </c>
      <c r="H28" s="2371" t="s">
        <v>3971</v>
      </c>
      <c r="I28" s="87"/>
      <c r="J28" s="91"/>
      <c r="K28" s="91"/>
      <c r="L28" s="1754"/>
      <c r="M28" s="1790"/>
      <c r="N28" s="2103"/>
      <c r="O28" s="2103"/>
      <c r="P28" s="253"/>
      <c r="Q28" s="253"/>
      <c r="R28" s="249"/>
      <c r="S28" s="249"/>
      <c r="T28" s="249"/>
      <c r="U28" s="249"/>
      <c r="V28" s="249"/>
      <c r="W28" s="249"/>
      <c r="X28" s="1799"/>
      <c r="Y28" s="2081" t="str">
        <f>IF(LEN('Ch5'!X29)=0,"None",'Ch5'!X29:X33)</f>
        <v>None</v>
      </c>
      <c r="Z28" s="2083"/>
      <c r="AA28" s="1526"/>
      <c r="AC28" s="970"/>
      <c r="AD28" s="970"/>
      <c r="AE28" s="970"/>
      <c r="AF28" s="249"/>
      <c r="AG28" s="249"/>
      <c r="AH28" s="249"/>
      <c r="AI28" s="249"/>
      <c r="AJ28" s="249"/>
      <c r="AK28" s="249"/>
      <c r="AL28" s="254"/>
      <c r="AM28" s="254"/>
      <c r="AN28" s="254"/>
      <c r="AO28" s="254"/>
      <c r="AP28" s="254"/>
      <c r="AQ28" s="254"/>
      <c r="AR28" s="254"/>
      <c r="AS28" s="254"/>
      <c r="AX28" s="1605" t="str">
        <f>'Overview (Verification)'!A28</f>
        <v>Project Elevation (ft. above sea level):</v>
      </c>
      <c r="AY28" s="1606">
        <f>IF(LEN('Overview (Verification)'!P28)=0,0,'Overview (Verification)'!P28)</f>
        <v>0</v>
      </c>
    </row>
    <row r="29" spans="1:52" x14ac:dyDescent="0.25">
      <c r="A29" s="2371">
        <v>5</v>
      </c>
      <c r="B29" s="2374" t="s">
        <v>264</v>
      </c>
      <c r="C29" s="2374" t="s">
        <v>269</v>
      </c>
      <c r="D29" s="2374"/>
      <c r="E29" s="2374"/>
      <c r="F29" s="2374"/>
      <c r="G29" s="2373" t="str">
        <f t="shared" si="0"/>
        <v/>
      </c>
      <c r="H29" s="2371" t="s">
        <v>3971</v>
      </c>
      <c r="I29" s="87"/>
      <c r="J29" s="91"/>
      <c r="K29" s="91"/>
      <c r="L29" s="1754"/>
      <c r="M29" s="1790"/>
      <c r="N29" s="2103"/>
      <c r="O29" s="2103"/>
      <c r="P29" s="253"/>
      <c r="Q29" s="253"/>
      <c r="R29" s="249"/>
      <c r="S29" s="249"/>
      <c r="T29" s="249"/>
      <c r="U29" s="249"/>
      <c r="V29" s="249"/>
      <c r="W29" s="249"/>
      <c r="X29" s="1799"/>
      <c r="Y29" s="2081" t="str">
        <f>IF(LEN('Ch5'!X30)=0,"None",'Ch5'!X30:X34)</f>
        <v>None</v>
      </c>
      <c r="Z29" s="2083"/>
      <c r="AA29" s="1526"/>
      <c r="AC29" s="970"/>
      <c r="AD29" s="970"/>
      <c r="AE29" s="970"/>
      <c r="AF29" s="249"/>
      <c r="AG29" s="249"/>
      <c r="AH29" s="249"/>
      <c r="AI29" s="249"/>
      <c r="AJ29" s="249"/>
      <c r="AK29" s="249"/>
      <c r="AL29" s="254"/>
      <c r="AM29" s="254"/>
      <c r="AN29" s="254"/>
      <c r="AO29" s="254"/>
      <c r="AP29" s="254"/>
      <c r="AQ29" s="254"/>
      <c r="AR29" s="254"/>
      <c r="AS29" s="254"/>
    </row>
    <row r="30" spans="1:52" x14ac:dyDescent="0.25">
      <c r="A30" s="2371">
        <v>5</v>
      </c>
      <c r="B30" s="2374" t="s">
        <v>264</v>
      </c>
      <c r="C30" s="2374" t="s">
        <v>269</v>
      </c>
      <c r="D30" s="2374"/>
      <c r="E30" s="2374"/>
      <c r="F30" s="2374"/>
      <c r="G30" s="2373" t="str">
        <f t="shared" si="0"/>
        <v/>
      </c>
      <c r="H30" s="2371" t="s">
        <v>3971</v>
      </c>
      <c r="I30" s="87"/>
      <c r="J30" s="91"/>
      <c r="K30" s="91"/>
      <c r="L30" s="1754"/>
      <c r="M30" s="1790"/>
      <c r="N30" s="2103"/>
      <c r="O30" s="2103"/>
      <c r="P30" s="253"/>
      <c r="Q30" s="253"/>
      <c r="R30" s="249"/>
      <c r="S30" s="249"/>
      <c r="T30" s="249"/>
      <c r="U30" s="249"/>
      <c r="V30" s="249"/>
      <c r="W30" s="249"/>
      <c r="X30" s="1799"/>
      <c r="Y30" s="2081" t="str">
        <f>IF(LEN('Ch5'!X31)=0,"None",'Ch5'!X31:X35)</f>
        <v>None</v>
      </c>
      <c r="Z30" s="2083"/>
      <c r="AA30" s="1526"/>
      <c r="AC30" s="970"/>
      <c r="AD30" s="970"/>
      <c r="AE30" s="970"/>
      <c r="AF30" s="249"/>
      <c r="AG30" s="249"/>
      <c r="AH30" s="249"/>
      <c r="AI30" s="249"/>
      <c r="AJ30" s="249"/>
      <c r="AK30" s="249"/>
      <c r="AL30" s="254"/>
      <c r="AM30" s="254"/>
      <c r="AN30" s="254"/>
      <c r="AO30" s="254"/>
      <c r="AP30" s="254"/>
      <c r="AQ30" s="254"/>
      <c r="AR30" s="254"/>
      <c r="AS30" s="254"/>
      <c r="AX30" s="42" t="str">
        <f>'Overview (Verification)'!A30</f>
        <v xml:space="preserve">Project Description (optional): </v>
      </c>
      <c r="AY30" s="258">
        <f>IF(LEN('Overview (Verification)'!P30)=0,0,'Overview (Verification)'!P30)</f>
        <v>0</v>
      </c>
    </row>
    <row r="31" spans="1:52" ht="15" customHeight="1" x14ac:dyDescent="0.25">
      <c r="A31" s="2371">
        <v>5</v>
      </c>
      <c r="B31" s="2374" t="s">
        <v>264</v>
      </c>
      <c r="C31" s="2374" t="s">
        <v>269</v>
      </c>
      <c r="D31" s="2374"/>
      <c r="E31" s="2374"/>
      <c r="F31" s="2374"/>
      <c r="G31" s="2373" t="str">
        <f t="shared" si="0"/>
        <v/>
      </c>
      <c r="H31" s="2371" t="s">
        <v>3971</v>
      </c>
      <c r="I31" s="87"/>
      <c r="J31" s="91"/>
      <c r="K31" s="91"/>
      <c r="L31" s="1162" t="s">
        <v>271</v>
      </c>
      <c r="M31" s="1790"/>
      <c r="N31" s="2103"/>
      <c r="O31" s="2103"/>
      <c r="P31" s="253"/>
      <c r="Q31" s="253"/>
      <c r="R31" s="249"/>
      <c r="S31" s="249"/>
      <c r="T31" s="249"/>
      <c r="U31" s="249"/>
      <c r="V31" s="249"/>
      <c r="W31" s="249"/>
      <c r="X31" s="1799"/>
      <c r="Y31" s="2081" t="str">
        <f>IF(LEN('Ch5'!X32)=0,"None",'Ch5'!X32:X36)</f>
        <v>None</v>
      </c>
      <c r="Z31" s="2083"/>
      <c r="AA31" s="1526"/>
      <c r="AC31" s="970"/>
      <c r="AD31" s="970"/>
      <c r="AE31" s="970"/>
      <c r="AF31" s="249"/>
      <c r="AG31" s="249"/>
      <c r="AH31" s="249"/>
      <c r="AI31" s="249"/>
      <c r="AJ31" s="249"/>
      <c r="AK31" s="249"/>
      <c r="AL31" s="254"/>
      <c r="AM31" s="254"/>
      <c r="AN31" s="254"/>
      <c r="AO31" s="254"/>
      <c r="AP31" s="254"/>
      <c r="AQ31" s="254"/>
      <c r="AR31" s="254"/>
      <c r="AS31" s="254"/>
      <c r="AX31" s="515"/>
      <c r="AY31" s="258"/>
    </row>
    <row r="32" spans="1:52" x14ac:dyDescent="0.25">
      <c r="A32" s="2371">
        <v>5</v>
      </c>
      <c r="B32" s="2374" t="s">
        <v>264</v>
      </c>
      <c r="C32" s="2374" t="s">
        <v>269</v>
      </c>
      <c r="D32" s="2374"/>
      <c r="E32" s="2374"/>
      <c r="F32" s="2374"/>
      <c r="G32" s="2373" t="str">
        <f t="shared" si="0"/>
        <v/>
      </c>
      <c r="H32" s="2371" t="s">
        <v>3971</v>
      </c>
      <c r="I32" s="87"/>
      <c r="J32" s="91"/>
      <c r="K32" s="91"/>
      <c r="L32" s="1162" t="s">
        <v>272</v>
      </c>
      <c r="M32" s="1790"/>
      <c r="N32" s="2103"/>
      <c r="O32" s="2103"/>
      <c r="P32" s="253"/>
      <c r="Q32" s="253"/>
      <c r="R32" s="249"/>
      <c r="S32" s="249"/>
      <c r="T32" s="249"/>
      <c r="U32" s="249"/>
      <c r="V32" s="249"/>
      <c r="W32" s="249"/>
      <c r="X32" s="1799"/>
      <c r="Y32" s="2081" t="str">
        <f>IF(LEN('Ch5'!X33)=0,"None",'Ch5'!X33:X43)</f>
        <v>None</v>
      </c>
      <c r="Z32" s="2083"/>
      <c r="AA32" s="1526"/>
      <c r="AC32" s="970"/>
      <c r="AD32" s="970"/>
      <c r="AE32" s="970"/>
      <c r="AF32" s="249"/>
      <c r="AG32" s="249"/>
      <c r="AH32" s="249"/>
      <c r="AI32" s="249"/>
      <c r="AJ32" s="249"/>
      <c r="AK32" s="249"/>
      <c r="AL32" s="254"/>
      <c r="AM32" s="254"/>
      <c r="AN32" s="254"/>
      <c r="AO32" s="254"/>
      <c r="AP32" s="254"/>
      <c r="AQ32" s="254"/>
      <c r="AR32" s="254"/>
      <c r="AS32" s="254"/>
      <c r="AX32" s="42" t="str">
        <f>'Overview (Verification)'!A32</f>
        <v>Foundation Type:</v>
      </c>
      <c r="AY32" s="258">
        <f>IF(LEN('Overview (Verification)'!P32)=0,0,'Overview (Verification)'!P32)</f>
        <v>0</v>
      </c>
      <c r="AZ32" s="1">
        <f>IFERROR(MATCH(AY32,ddFoundation,0),0)</f>
        <v>0</v>
      </c>
    </row>
    <row r="33" spans="1:51" x14ac:dyDescent="0.25">
      <c r="A33" s="2371">
        <v>5</v>
      </c>
      <c r="B33" s="2374" t="s">
        <v>264</v>
      </c>
      <c r="C33" s="2374" t="s">
        <v>269</v>
      </c>
      <c r="D33" s="2374"/>
      <c r="E33" s="2374"/>
      <c r="F33" s="2374"/>
      <c r="G33" s="2373" t="str">
        <f t="shared" si="0"/>
        <v/>
      </c>
      <c r="H33" s="2371" t="s">
        <v>3971</v>
      </c>
      <c r="I33" s="87"/>
      <c r="J33" s="91"/>
      <c r="K33" s="91"/>
      <c r="L33" s="1162" t="s">
        <v>273</v>
      </c>
      <c r="M33" s="1790"/>
      <c r="N33" s="2103"/>
      <c r="O33" s="2103"/>
      <c r="P33" s="253"/>
      <c r="Q33" s="253"/>
      <c r="R33" s="249"/>
      <c r="S33" s="249"/>
      <c r="T33" s="249"/>
      <c r="U33" s="249"/>
      <c r="V33" s="249"/>
      <c r="W33" s="249"/>
      <c r="X33" s="1799"/>
      <c r="Y33" s="2081" t="str">
        <f>IF(LEN('Ch5'!X34)=0,"None",'Ch5'!X34:X44)</f>
        <v>None</v>
      </c>
      <c r="Z33" s="2083"/>
      <c r="AA33" s="1526"/>
      <c r="AC33" s="970"/>
      <c r="AD33" s="970"/>
      <c r="AE33" s="970"/>
      <c r="AF33" s="249"/>
      <c r="AG33" s="249"/>
      <c r="AH33" s="249"/>
      <c r="AI33" s="249"/>
      <c r="AJ33" s="249"/>
      <c r="AK33" s="249"/>
      <c r="AL33" s="254"/>
      <c r="AM33" s="254"/>
      <c r="AN33" s="254"/>
      <c r="AO33" s="254"/>
      <c r="AP33" s="254"/>
      <c r="AQ33" s="254"/>
      <c r="AR33" s="254"/>
      <c r="AS33" s="254"/>
      <c r="AX33" s="515"/>
      <c r="AY33" s="516"/>
    </row>
    <row r="34" spans="1:51" x14ac:dyDescent="0.25">
      <c r="A34" s="2371">
        <v>5</v>
      </c>
      <c r="B34" s="2374" t="s">
        <v>264</v>
      </c>
      <c r="C34" s="2374" t="s">
        <v>269</v>
      </c>
      <c r="D34" s="2374"/>
      <c r="E34" s="2374"/>
      <c r="F34" s="2374"/>
      <c r="G34" s="2373" t="str">
        <f t="shared" si="0"/>
        <v/>
      </c>
      <c r="H34" s="2371" t="s">
        <v>3971</v>
      </c>
      <c r="I34" s="87"/>
      <c r="J34" s="91"/>
      <c r="K34" s="91"/>
      <c r="L34" s="1162" t="s">
        <v>274</v>
      </c>
      <c r="M34" s="1790"/>
      <c r="N34" s="2103"/>
      <c r="O34" s="2103"/>
      <c r="P34" s="253"/>
      <c r="Q34" s="253"/>
      <c r="R34" s="249"/>
      <c r="S34" s="249"/>
      <c r="T34" s="249"/>
      <c r="U34" s="249"/>
      <c r="V34" s="249"/>
      <c r="W34" s="249"/>
      <c r="X34" s="1799"/>
      <c r="Y34" s="2081" t="str">
        <f>IF(LEN('Ch5'!X35)=0,"None",'Ch5'!X35:X45)</f>
        <v>None</v>
      </c>
      <c r="Z34" s="2083"/>
      <c r="AA34" s="1526"/>
      <c r="AC34" s="970"/>
      <c r="AD34" s="970"/>
      <c r="AE34" s="970"/>
      <c r="AF34" s="249"/>
      <c r="AG34" s="249"/>
      <c r="AH34" s="249"/>
      <c r="AI34" s="249"/>
      <c r="AJ34" s="249"/>
      <c r="AK34" s="249"/>
      <c r="AL34" s="254"/>
      <c r="AM34" s="254"/>
      <c r="AN34" s="254"/>
      <c r="AO34" s="254"/>
      <c r="AP34" s="254"/>
      <c r="AQ34" s="254"/>
      <c r="AR34" s="254"/>
      <c r="AS34" s="254"/>
      <c r="AX34" s="515" t="str">
        <f>'Overview (Verification)'!A34</f>
        <v>Type of Heating System (main system):</v>
      </c>
      <c r="AY34" s="516">
        <f>IF(LEN('Overview (Verification)'!P34)=0,0,'Overview (Verification)'!P34)</f>
        <v>0</v>
      </c>
    </row>
    <row r="35" spans="1:51" x14ac:dyDescent="0.25">
      <c r="A35" s="2371">
        <v>5</v>
      </c>
      <c r="B35" s="2374" t="s">
        <v>264</v>
      </c>
      <c r="C35" s="2374" t="s">
        <v>269</v>
      </c>
      <c r="D35" s="2374"/>
      <c r="E35" s="2374"/>
      <c r="F35" s="2374"/>
      <c r="G35" s="2373" t="str">
        <f t="shared" si="0"/>
        <v/>
      </c>
      <c r="H35" s="2371" t="s">
        <v>3971</v>
      </c>
      <c r="I35" s="87"/>
      <c r="J35" s="174"/>
      <c r="K35" s="174"/>
      <c r="L35" s="1177" t="s">
        <v>284</v>
      </c>
      <c r="M35" s="1790"/>
      <c r="N35" s="2103"/>
      <c r="O35" s="2103"/>
      <c r="P35" s="253"/>
      <c r="Q35" s="253"/>
      <c r="R35" s="249"/>
      <c r="S35" s="249"/>
      <c r="T35" s="249"/>
      <c r="U35" s="249"/>
      <c r="V35" s="249"/>
      <c r="W35" s="249"/>
      <c r="X35" s="1756"/>
      <c r="Y35" s="2081" t="str">
        <f>IF(LEN('Ch5'!X36)=0,"None",'Ch5'!X36:X46)</f>
        <v>None</v>
      </c>
      <c r="Z35" s="2083"/>
      <c r="AA35" s="1526"/>
      <c r="AC35" s="970"/>
      <c r="AD35" s="970"/>
      <c r="AE35" s="970"/>
      <c r="AF35" s="249"/>
      <c r="AG35" s="249"/>
      <c r="AH35" s="249"/>
      <c r="AI35" s="249"/>
      <c r="AJ35" s="249"/>
      <c r="AK35" s="249"/>
      <c r="AL35" s="254"/>
      <c r="AM35" s="254"/>
      <c r="AN35" s="254"/>
      <c r="AO35" s="254"/>
      <c r="AP35" s="254"/>
      <c r="AQ35" s="254"/>
      <c r="AR35" s="254"/>
      <c r="AS35" s="254"/>
      <c r="AX35" s="515" t="str">
        <f>'Overview (Verification)'!A35</f>
        <v>Type of Heating System (system 2):</v>
      </c>
      <c r="AY35" s="516">
        <f>IF(LEN('Overview (Verification)'!P35)=0,0,'Overview (Verification)'!P35)</f>
        <v>0</v>
      </c>
    </row>
    <row r="36" spans="1:51" x14ac:dyDescent="0.25">
      <c r="A36" s="2371">
        <v>5</v>
      </c>
      <c r="B36" s="2374" t="s">
        <v>264</v>
      </c>
      <c r="C36" s="2374" t="s">
        <v>269</v>
      </c>
      <c r="G36" s="2373" t="str">
        <f t="shared" si="0"/>
        <v/>
      </c>
      <c r="H36" s="2371" t="s">
        <v>3971</v>
      </c>
      <c r="I36"/>
      <c r="J36" s="868"/>
      <c r="K36" s="868"/>
      <c r="L36" s="1817" t="s">
        <v>4117</v>
      </c>
      <c r="M36" s="510"/>
      <c r="N36" s="664"/>
      <c r="O36" s="665"/>
      <c r="P36" s="868"/>
      <c r="Q36" s="868"/>
      <c r="R36" s="868"/>
      <c r="S36" s="868"/>
      <c r="T36" s="868"/>
      <c r="U36" s="868"/>
      <c r="V36"/>
      <c r="W36"/>
      <c r="X36" s="911"/>
      <c r="Y36"/>
      <c r="AA36" s="1526"/>
      <c r="AC36" s="970"/>
      <c r="AD36" s="970"/>
      <c r="AE36" s="970"/>
      <c r="AF36"/>
      <c r="AG36"/>
      <c r="AH36"/>
      <c r="AI36"/>
      <c r="AJ36"/>
      <c r="AK36"/>
      <c r="AL36" s="1336"/>
      <c r="AM36" s="1336"/>
      <c r="AN36" s="1336"/>
      <c r="AO36" s="1336"/>
      <c r="AP36" s="1336"/>
      <c r="AQ36" s="1336"/>
      <c r="AR36" s="1336"/>
      <c r="AS36" s="1336"/>
      <c r="AT36"/>
      <c r="AX36" s="515" t="str">
        <f>'Overview (Verification)'!A36</f>
        <v>Type of Heating System (system 3):</v>
      </c>
      <c r="AY36" s="516">
        <f>IF(LEN('Overview (Verification)'!P36)=0,0,'Overview (Verification)'!P36)</f>
        <v>0</v>
      </c>
    </row>
    <row r="37" spans="1:51" x14ac:dyDescent="0.25">
      <c r="A37" s="2371">
        <v>5</v>
      </c>
      <c r="B37" s="2374" t="s">
        <v>264</v>
      </c>
      <c r="C37" s="2374" t="s">
        <v>269</v>
      </c>
      <c r="D37" s="2374" t="s">
        <v>256</v>
      </c>
      <c r="F37" s="2374"/>
      <c r="G37" s="2373" t="str">
        <f ca="1">IF(N37&gt;0,"P","")</f>
        <v/>
      </c>
      <c r="H37" s="2371" t="s">
        <v>3971</v>
      </c>
      <c r="I37"/>
      <c r="J37" s="868"/>
      <c r="K37" s="868"/>
      <c r="L37" s="1841"/>
      <c r="M37" s="510"/>
      <c r="N37" s="2128">
        <f ca="1">'Ch5'!O38</f>
        <v>0</v>
      </c>
      <c r="O37" s="2127">
        <f ca="1">IFERROR(INDEX({5,2},MATCH(W37,INDIRECT(U37),0)),0)*S37</f>
        <v>0</v>
      </c>
      <c r="P37" s="868" t="b">
        <v>1</v>
      </c>
      <c r="Q37" s="868" t="b">
        <v>1</v>
      </c>
      <c r="R37" s="868" t="b">
        <v>0</v>
      </c>
      <c r="S37" s="868" t="b">
        <f>NOT(W27)</f>
        <v>1</v>
      </c>
      <c r="T37" s="868" t="b">
        <f>AND(LEN(W37)&gt;0,NOT(S37))</f>
        <v>0</v>
      </c>
      <c r="U37" s="868" t="str">
        <f>SUBSTITUTE(SUBSTITUTE(SUBSTITUTE("dd"&amp;$B37&amp;$C37&amp;$D37&amp;$E37&amp;$F37,".","_"),"(","_"),")","")</f>
        <v>dd501_2_4_1</v>
      </c>
      <c r="V37"/>
      <c r="W37" s="12"/>
      <c r="X37" s="1757"/>
      <c r="Y37" s="2099" t="str">
        <f>IF(LEN('Ch5'!X38)=0,"None",'Ch5'!X38)</f>
        <v>None</v>
      </c>
      <c r="Z37" s="2083"/>
      <c r="AA37" s="1526"/>
      <c r="AC37" s="970" t="b">
        <f>OR(AD37:AE37)</f>
        <v>0</v>
      </c>
      <c r="AD37" s="970" t="b">
        <f>T37</f>
        <v>0</v>
      </c>
      <c r="AE37" s="970"/>
      <c r="AF37"/>
      <c r="AG37"/>
      <c r="AH37"/>
      <c r="AI37"/>
      <c r="AJ37"/>
      <c r="AK37"/>
      <c r="AL37" s="1336"/>
      <c r="AM37" s="1336"/>
      <c r="AN37" s="1336" t="str">
        <f>SUBSTITUTE(SUBSTITUTE(SUBSTITUTE("vpc"&amp;$B37&amp;$C37&amp;$D37&amp;$E37,".","_"),"(","_"),")","")</f>
        <v>vpc501_2_4_1</v>
      </c>
      <c r="AO37" s="254">
        <f ca="1">O37</f>
        <v>0</v>
      </c>
      <c r="AP37" s="1336" t="str">
        <f>SUBSTITUTE(SUBSTITUTE(SUBSTITUTE("vch"&amp;$B37&amp;$C37&amp;$D37&amp;$E37,".","_"),"(","_"),")","")</f>
        <v>vch501_2_4_1</v>
      </c>
      <c r="AQ37" s="254" t="str">
        <f>IF(LEN(W37)=0,"",W37)</f>
        <v/>
      </c>
      <c r="AR37" s="1336" t="str">
        <f>SUBSTITUTE(SUBSTITUTE(SUBSTITUTE("vnt"&amp;$B37&amp;$C37&amp;$D37&amp;$E37,".","_"),"(","_"),")","")</f>
        <v>vnt501_2_4_1</v>
      </c>
      <c r="AS37" s="254" t="str">
        <f>IF(LEN(X37)=0,"",X37)</f>
        <v/>
      </c>
      <c r="AT37"/>
      <c r="AX37" s="515" t="str">
        <f>'Overview (Verification)'!A37</f>
        <v>Primary Heating Fuel:</v>
      </c>
      <c r="AY37" s="516">
        <f>IF(LEN('Overview (Verification)'!P37)=0,0,'Overview (Verification)'!P37)</f>
        <v>0</v>
      </c>
    </row>
    <row r="38" spans="1:51" x14ac:dyDescent="0.25">
      <c r="A38" s="2371">
        <v>5</v>
      </c>
      <c r="B38" s="2374" t="s">
        <v>264</v>
      </c>
      <c r="C38" s="2374" t="s">
        <v>269</v>
      </c>
      <c r="D38" s="2374" t="s">
        <v>256</v>
      </c>
      <c r="F38" s="2374"/>
      <c r="G38" s="2373" t="str">
        <f t="shared" ca="1" si="0"/>
        <v/>
      </c>
      <c r="H38" s="2371" t="s">
        <v>3971</v>
      </c>
      <c r="I38"/>
      <c r="J38" s="868"/>
      <c r="K38" s="868"/>
      <c r="L38" s="1841"/>
      <c r="M38" s="510"/>
      <c r="N38" s="2128"/>
      <c r="O38" s="2127"/>
      <c r="P38" s="868"/>
      <c r="Q38" s="868"/>
      <c r="R38" s="868"/>
      <c r="S38" s="868"/>
      <c r="T38" s="868"/>
      <c r="U38" s="868"/>
      <c r="V38"/>
      <c r="W38"/>
      <c r="X38" s="1757"/>
      <c r="Y38" s="2100"/>
      <c r="Z38" s="2083"/>
      <c r="AA38" s="1526"/>
      <c r="AC38" s="970"/>
      <c r="AD38" s="970"/>
      <c r="AE38" s="970"/>
      <c r="AF38"/>
      <c r="AG38"/>
      <c r="AH38"/>
      <c r="AI38"/>
      <c r="AJ38"/>
      <c r="AK38"/>
      <c r="AL38" s="1336"/>
      <c r="AM38" s="1336"/>
      <c r="AN38" s="1336"/>
      <c r="AO38" s="1336"/>
      <c r="AP38" s="1336"/>
      <c r="AQ38" s="1336"/>
      <c r="AR38" s="1336"/>
      <c r="AS38" s="1336"/>
      <c r="AT38"/>
      <c r="AX38" s="515" t="str">
        <f>'Overview (Verification)'!A38</f>
        <v>Heating Ducts:</v>
      </c>
      <c r="AY38" s="516">
        <f>IF(LEN('Overview (Verification)'!P38)=0,0,'Overview (Verification)'!P38)</f>
        <v>0</v>
      </c>
    </row>
    <row r="39" spans="1:51" x14ac:dyDescent="0.25">
      <c r="A39" s="2371">
        <v>5</v>
      </c>
      <c r="B39" s="2374" t="s">
        <v>264</v>
      </c>
      <c r="C39" s="2374" t="s">
        <v>269</v>
      </c>
      <c r="D39" s="2374" t="s">
        <v>256</v>
      </c>
      <c r="F39" s="2374"/>
      <c r="G39" s="2373" t="str">
        <f t="shared" ca="1" si="0"/>
        <v/>
      </c>
      <c r="H39" s="2371" t="s">
        <v>3971</v>
      </c>
      <c r="I39"/>
      <c r="J39" s="868"/>
      <c r="K39" s="868"/>
      <c r="L39" s="1841"/>
      <c r="M39" s="66"/>
      <c r="N39" s="2128"/>
      <c r="O39" s="2127"/>
      <c r="P39" s="868"/>
      <c r="Q39" s="868"/>
      <c r="R39" s="868"/>
      <c r="S39" s="868"/>
      <c r="T39" s="868"/>
      <c r="U39" s="868"/>
      <c r="V39"/>
      <c r="W39"/>
      <c r="X39" s="1757"/>
      <c r="Y39" s="2100"/>
      <c r="Z39" s="2083"/>
      <c r="AA39" s="1526"/>
      <c r="AC39" s="970"/>
      <c r="AD39" s="970"/>
      <c r="AE39" s="970"/>
      <c r="AF39"/>
      <c r="AG39"/>
      <c r="AH39"/>
      <c r="AI39"/>
      <c r="AJ39"/>
      <c r="AK39"/>
      <c r="AL39" s="1336"/>
      <c r="AM39" s="1336"/>
      <c r="AN39" s="1336"/>
      <c r="AO39" s="1336"/>
      <c r="AP39" s="1336"/>
      <c r="AQ39" s="1336"/>
      <c r="AR39" s="1336"/>
      <c r="AS39" s="1336"/>
      <c r="AT39"/>
      <c r="AX39" s="515" t="str">
        <f>'Overview (Verification)'!A39</f>
        <v>Type of Cooling System (main system):</v>
      </c>
      <c r="AY39" s="516">
        <f>IF(LEN('Overview (Verification)'!P39)=0,0,'Overview (Verification)'!P39)</f>
        <v>0</v>
      </c>
    </row>
    <row r="40" spans="1:51" x14ac:dyDescent="0.25">
      <c r="A40" s="2371">
        <v>5</v>
      </c>
      <c r="B40" s="2374" t="s">
        <v>264</v>
      </c>
      <c r="C40" s="2374" t="s">
        <v>269</v>
      </c>
      <c r="D40" s="2374" t="s">
        <v>256</v>
      </c>
      <c r="E40" s="2374" t="s">
        <v>121</v>
      </c>
      <c r="F40" s="2374"/>
      <c r="G40" s="2373" t="str">
        <f t="shared" ca="1" si="0"/>
        <v/>
      </c>
      <c r="H40" s="2371" t="s">
        <v>3971</v>
      </c>
      <c r="I40"/>
      <c r="J40" s="868"/>
      <c r="K40" s="845" t="s">
        <v>121</v>
      </c>
      <c r="L40" s="1169" t="s">
        <v>4118</v>
      </c>
      <c r="M40" s="1021">
        <v>5</v>
      </c>
      <c r="N40" s="664"/>
      <c r="O40" s="664"/>
      <c r="P40" s="868"/>
      <c r="Q40" s="868"/>
      <c r="R40" s="868"/>
      <c r="S40" s="868"/>
      <c r="T40" s="868"/>
      <c r="U40" s="868"/>
      <c r="V40"/>
      <c r="W40"/>
      <c r="X40" s="1757"/>
      <c r="Y40" s="2100"/>
      <c r="Z40" s="2083"/>
      <c r="AA40" s="1526"/>
      <c r="AC40" s="970"/>
      <c r="AD40" s="970"/>
      <c r="AE40" s="970"/>
      <c r="AF40"/>
      <c r="AG40"/>
      <c r="AH40"/>
      <c r="AI40"/>
      <c r="AJ40"/>
      <c r="AK40"/>
      <c r="AL40" s="1336" t="str">
        <f>SUBSTITUTE(SUBSTITUTE(SUBSTITUTE("vpa"&amp;$B40&amp;$C40&amp;$D40&amp;$E40,".","_"),"(","_"),")","")</f>
        <v>vpa501_2_4_1_a</v>
      </c>
      <c r="AM40" s="254">
        <f>M40</f>
        <v>5</v>
      </c>
      <c r="AN40" s="1336"/>
      <c r="AO40" s="1336"/>
      <c r="AP40" s="1336"/>
      <c r="AQ40" s="1336"/>
      <c r="AR40" s="1336"/>
      <c r="AS40" s="1336"/>
      <c r="AT40"/>
      <c r="AX40" s="515" t="str">
        <f>'Overview (Verification)'!A40</f>
        <v>Type of Cooling System (system 2):</v>
      </c>
      <c r="AY40" s="516">
        <f>IF(LEN('Overview (Verification)'!P40)=0,0,'Overview (Verification)'!P40)</f>
        <v>0</v>
      </c>
    </row>
    <row r="41" spans="1:51" x14ac:dyDescent="0.25">
      <c r="A41" s="2371">
        <v>5</v>
      </c>
      <c r="B41" s="2374" t="s">
        <v>264</v>
      </c>
      <c r="C41" s="2374" t="s">
        <v>269</v>
      </c>
      <c r="D41" s="2374" t="s">
        <v>256</v>
      </c>
      <c r="E41" s="2374" t="s">
        <v>122</v>
      </c>
      <c r="F41" s="2374"/>
      <c r="G41" s="2373" t="str">
        <f t="shared" ca="1" si="0"/>
        <v/>
      </c>
      <c r="H41" s="2371" t="s">
        <v>3971</v>
      </c>
      <c r="I41"/>
      <c r="J41" s="178"/>
      <c r="K41" s="851" t="s">
        <v>122</v>
      </c>
      <c r="L41" s="1153" t="s">
        <v>4119</v>
      </c>
      <c r="M41" s="1020">
        <v>2</v>
      </c>
      <c r="N41" s="1041"/>
      <c r="O41" s="664"/>
      <c r="P41" s="868"/>
      <c r="Q41" s="868"/>
      <c r="R41" s="868"/>
      <c r="S41" s="868"/>
      <c r="T41" s="868"/>
      <c r="U41" s="868"/>
      <c r="V41"/>
      <c r="W41"/>
      <c r="X41" s="1757"/>
      <c r="Y41" s="2097"/>
      <c r="Z41" s="2083"/>
      <c r="AA41" s="1526"/>
      <c r="AC41" s="970"/>
      <c r="AD41" s="970"/>
      <c r="AE41" s="970"/>
      <c r="AF41"/>
      <c r="AG41"/>
      <c r="AH41"/>
      <c r="AI41"/>
      <c r="AJ41"/>
      <c r="AK41"/>
      <c r="AL41" s="1336" t="str">
        <f>SUBSTITUTE(SUBSTITUTE(SUBSTITUTE("vpa"&amp;$B41&amp;$C41&amp;$D41&amp;$E41,".","_"),"(","_"),")","")</f>
        <v>vpa501_2_4_1_b</v>
      </c>
      <c r="AM41" s="254">
        <f>M41</f>
        <v>2</v>
      </c>
      <c r="AN41" s="1336"/>
      <c r="AO41" s="1336"/>
      <c r="AP41" s="1336"/>
      <c r="AQ41" s="1336"/>
      <c r="AR41" s="1336"/>
      <c r="AS41" s="1336"/>
      <c r="AT41"/>
      <c r="AX41" s="515" t="str">
        <f>'Overview (Verification)'!A41</f>
        <v>Type of Cooling System (system 3):</v>
      </c>
      <c r="AY41" s="516">
        <f>IF(LEN('Overview (Verification)'!P41)=0,0,'Overview (Verification)'!P41)</f>
        <v>0</v>
      </c>
    </row>
    <row r="42" spans="1:51" x14ac:dyDescent="0.25">
      <c r="A42" s="2371">
        <v>5</v>
      </c>
      <c r="B42" s="2374" t="s">
        <v>264</v>
      </c>
      <c r="C42" s="2374" t="s">
        <v>275</v>
      </c>
      <c r="D42" s="2374"/>
      <c r="E42" s="2374"/>
      <c r="F42" s="2374"/>
      <c r="G42" s="2373" t="str">
        <f>IF(N42&gt;0,"P","")</f>
        <v/>
      </c>
      <c r="H42" s="2371" t="s">
        <v>3971</v>
      </c>
      <c r="I42" s="87"/>
      <c r="J42" s="91" t="s">
        <v>275</v>
      </c>
      <c r="K42" s="91"/>
      <c r="L42" s="1754" t="s">
        <v>276</v>
      </c>
      <c r="M42" s="1789">
        <v>5</v>
      </c>
      <c r="N42" s="2103">
        <f>'Ch5'!O43</f>
        <v>0</v>
      </c>
      <c r="O42" s="2105">
        <f>M42*W42</f>
        <v>0</v>
      </c>
      <c r="P42" s="93" t="b">
        <v>1</v>
      </c>
      <c r="Q42" s="93" t="b">
        <v>1</v>
      </c>
      <c r="R42" s="249" t="b">
        <v>0</v>
      </c>
      <c r="S42" s="249" t="b">
        <v>1</v>
      </c>
      <c r="T42" s="249" t="b">
        <v>0</v>
      </c>
      <c r="U42" s="249"/>
      <c r="V42" s="249"/>
      <c r="W42" s="25"/>
      <c r="X42" s="1757"/>
      <c r="Y42" s="2081" t="str">
        <f>IF(LEN('Ch5'!X43)=0,"None",'Ch5'!X43)</f>
        <v>None</v>
      </c>
      <c r="Z42" s="2083"/>
      <c r="AA42" s="1526"/>
      <c r="AC42" s="970"/>
      <c r="AD42" s="970"/>
      <c r="AE42" s="970"/>
      <c r="AF42" s="249"/>
      <c r="AG42" s="249"/>
      <c r="AH42" s="249"/>
      <c r="AI42" s="249"/>
      <c r="AJ42" s="249"/>
      <c r="AK42" s="249"/>
      <c r="AL42" s="1336" t="str">
        <f>SUBSTITUTE(SUBSTITUTE(SUBSTITUTE("vpa"&amp;$B42&amp;$C42&amp;$D42&amp;$E42,".","_"),"(","_"),")","")</f>
        <v>vpa501_2_5</v>
      </c>
      <c r="AM42" s="254">
        <f>M42</f>
        <v>5</v>
      </c>
      <c r="AN42" s="1336" t="str">
        <f>SUBSTITUTE(SUBSTITUTE(SUBSTITUTE("vpc"&amp;$B42&amp;$C42&amp;$D42&amp;$E42,".","_"),"(","_"),")","")</f>
        <v>vpc501_2_5</v>
      </c>
      <c r="AO42" s="254">
        <f>O42</f>
        <v>0</v>
      </c>
      <c r="AP42" s="1336" t="str">
        <f>SUBSTITUTE(SUBSTITUTE(SUBSTITUTE("vch"&amp;$B42&amp;$C42&amp;$D42&amp;$E42,".","_"),"(","_"),")","")</f>
        <v>vch501_2_5</v>
      </c>
      <c r="AQ42" s="254" t="str">
        <f>IF(LEN(W42)=0,"",W42)</f>
        <v/>
      </c>
      <c r="AR42" s="1336" t="str">
        <f>SUBSTITUTE(SUBSTITUTE(SUBSTITUTE("vnt"&amp;$B42&amp;$C42&amp;$D42&amp;$E42,".","_"),"(","_"),")","")</f>
        <v>vnt501_2_5</v>
      </c>
      <c r="AS42" s="254" t="str">
        <f>IF(LEN(X42)=0,"",X42)</f>
        <v/>
      </c>
      <c r="AX42" s="515" t="str">
        <f>'Overview (Verification)'!A42</f>
        <v>Cooling Ducts:</v>
      </c>
      <c r="AY42" s="516">
        <f>IF(LEN('Overview (Verification)'!P42)=0,0,'Overview (Verification)'!P42)</f>
        <v>0</v>
      </c>
    </row>
    <row r="43" spans="1:51" x14ac:dyDescent="0.25">
      <c r="A43" s="2371">
        <v>5</v>
      </c>
      <c r="B43" s="2374" t="s">
        <v>264</v>
      </c>
      <c r="C43" s="2374" t="s">
        <v>275</v>
      </c>
      <c r="D43" s="2374"/>
      <c r="E43" s="2374"/>
      <c r="F43" s="2374"/>
      <c r="G43" s="2373" t="str">
        <f>G42</f>
        <v/>
      </c>
      <c r="H43" s="2371" t="s">
        <v>3971</v>
      </c>
      <c r="I43" s="87"/>
      <c r="J43" s="91"/>
      <c r="K43" s="91"/>
      <c r="L43" s="1754"/>
      <c r="M43" s="1790"/>
      <c r="N43" s="2103"/>
      <c r="O43" s="2103"/>
      <c r="P43" s="253"/>
      <c r="Q43" s="253"/>
      <c r="R43" s="249"/>
      <c r="S43" s="249"/>
      <c r="T43" s="249"/>
      <c r="U43" s="249"/>
      <c r="V43" s="249"/>
      <c r="W43" s="249"/>
      <c r="X43" s="1757"/>
      <c r="Y43" s="2081" t="str">
        <f>IF(LEN('Ch5'!X44)=0,"None",'Ch5'!X44:X48)</f>
        <v>None</v>
      </c>
      <c r="Z43" s="2083"/>
      <c r="AA43" s="1526"/>
      <c r="AC43" s="970"/>
      <c r="AD43" s="970"/>
      <c r="AE43" s="970"/>
      <c r="AF43" s="249"/>
      <c r="AG43" s="249"/>
      <c r="AH43" s="249"/>
      <c r="AI43" s="249"/>
      <c r="AJ43" s="249"/>
      <c r="AK43" s="249"/>
      <c r="AL43" s="254"/>
      <c r="AM43" s="254"/>
      <c r="AN43" s="254"/>
      <c r="AO43" s="254"/>
      <c r="AP43" s="254"/>
      <c r="AQ43" s="254"/>
      <c r="AR43" s="254"/>
      <c r="AS43" s="254"/>
      <c r="AX43" s="515"/>
      <c r="AY43" s="516"/>
    </row>
    <row r="44" spans="1:51" x14ac:dyDescent="0.25">
      <c r="A44" s="2371">
        <v>5</v>
      </c>
      <c r="B44" s="2374" t="s">
        <v>264</v>
      </c>
      <c r="C44" s="2374" t="s">
        <v>275</v>
      </c>
      <c r="D44" s="2374"/>
      <c r="E44" s="2374"/>
      <c r="F44" s="2374"/>
      <c r="G44" s="2373" t="str">
        <f>G43</f>
        <v/>
      </c>
      <c r="H44" s="2371" t="s">
        <v>3971</v>
      </c>
      <c r="I44" s="87"/>
      <c r="J44" s="174"/>
      <c r="K44" s="174"/>
      <c r="L44" s="1755"/>
      <c r="M44" s="1791"/>
      <c r="N44" s="2104"/>
      <c r="O44" s="2104"/>
      <c r="P44" s="253"/>
      <c r="Q44" s="253"/>
      <c r="R44" s="249"/>
      <c r="S44" s="249"/>
      <c r="T44" s="249"/>
      <c r="U44" s="249"/>
      <c r="V44" s="249"/>
      <c r="W44" s="249"/>
      <c r="X44" s="1757"/>
      <c r="Y44" s="2081" t="str">
        <f>IF(LEN('Ch5'!X45)=0,"None",'Ch5'!X45:X49)</f>
        <v>None</v>
      </c>
      <c r="Z44" s="2083"/>
      <c r="AA44" s="1526"/>
      <c r="AC44" s="970"/>
      <c r="AD44" s="970"/>
      <c r="AE44" s="970"/>
      <c r="AF44" s="249"/>
      <c r="AG44" s="249"/>
      <c r="AH44" s="249"/>
      <c r="AI44" s="249"/>
      <c r="AJ44" s="249"/>
      <c r="AK44" s="249"/>
      <c r="AL44" s="254"/>
      <c r="AM44" s="254"/>
      <c r="AN44" s="254"/>
      <c r="AO44" s="254"/>
      <c r="AP44" s="254"/>
      <c r="AQ44" s="254"/>
      <c r="AR44" s="254"/>
      <c r="AS44" s="254"/>
      <c r="AX44" s="515" t="str">
        <f>'Overview (Verification)'!A44</f>
        <v>Maximum window and door SHGC:</v>
      </c>
      <c r="AY44" s="516">
        <f>IF(LEN('Overview (Verification)'!P44)=0,0,'Overview (Verification)'!P44)</f>
        <v>0</v>
      </c>
    </row>
    <row r="45" spans="1:51" x14ac:dyDescent="0.25">
      <c r="A45" s="2371">
        <v>5</v>
      </c>
      <c r="B45" s="2374" t="s">
        <v>264</v>
      </c>
      <c r="C45" s="2374" t="s">
        <v>277</v>
      </c>
      <c r="D45" s="2374"/>
      <c r="E45" s="2374"/>
      <c r="F45" s="2374"/>
      <c r="G45" s="2373" t="str">
        <f ca="1">IF(N45&gt;0,"P","")</f>
        <v/>
      </c>
      <c r="H45" s="2371" t="s">
        <v>3971</v>
      </c>
      <c r="I45" s="87"/>
      <c r="J45" s="87" t="s">
        <v>277</v>
      </c>
      <c r="K45" s="87"/>
      <c r="L45" s="1779" t="s">
        <v>278</v>
      </c>
      <c r="M45" s="1813"/>
      <c r="N45" s="2127">
        <f ca="1">'Ch5'!O46</f>
        <v>0</v>
      </c>
      <c r="O45" s="2127">
        <f ca="1">IFERROR(INDEX({2,4,6},MATCH(W45,INDIRECT(U45),0)),0)*S45</f>
        <v>0</v>
      </c>
      <c r="P45" s="93" t="b">
        <v>1</v>
      </c>
      <c r="Q45" s="93" t="b">
        <v>1</v>
      </c>
      <c r="R45" s="249" t="b">
        <v>0</v>
      </c>
      <c r="S45" s="249" t="b">
        <f ca="1">IF(AY18=INDEX(INDIRECT("ddSingleOrMulti"),2),TRUE,FALSE)</f>
        <v>0</v>
      </c>
      <c r="T45" s="94" t="b">
        <f ca="1">IF(AND(NOT(S45),LEN(W45)&gt;0),TRUE,FALSE)</f>
        <v>0</v>
      </c>
      <c r="U45" s="249" t="str">
        <f>SUBSTITUTE(SUBSTITUTE(SUBSTITUTE("dd"&amp;$B45&amp;$C45&amp;$D45&amp;$E45&amp;$F45,".","_"),"(","_"),")","")</f>
        <v>dd501_2_6</v>
      </c>
      <c r="V45" s="249"/>
      <c r="W45" s="12"/>
      <c r="X45" s="1757"/>
      <c r="Y45" s="2081" t="str">
        <f>IF(LEN('Ch5'!X46)=0,"None",'Ch5'!X46)</f>
        <v>None</v>
      </c>
      <c r="Z45" s="2083"/>
      <c r="AA45" s="1526"/>
      <c r="AC45" s="970" t="b">
        <f ca="1">OR(AD45:AE45)</f>
        <v>0</v>
      </c>
      <c r="AD45" s="970" t="b">
        <f ca="1">T45</f>
        <v>0</v>
      </c>
      <c r="AE45" s="970"/>
      <c r="AF45" s="249"/>
      <c r="AG45" s="249"/>
      <c r="AH45" s="249"/>
      <c r="AI45" s="249"/>
      <c r="AJ45" s="249"/>
      <c r="AK45" s="249"/>
      <c r="AL45" s="254"/>
      <c r="AM45" s="254"/>
      <c r="AN45" s="1336" t="str">
        <f>SUBSTITUTE(SUBSTITUTE(SUBSTITUTE("vpc"&amp;$B45&amp;$C45&amp;$D45&amp;$E45,".","_"),"(","_"),")","")</f>
        <v>vpc501_2_6</v>
      </c>
      <c r="AO45" s="254">
        <f ca="1">O45</f>
        <v>0</v>
      </c>
      <c r="AP45" s="1336" t="str">
        <f>SUBSTITUTE(SUBSTITUTE(SUBSTITUTE("vch"&amp;$B45&amp;$C45&amp;$D45&amp;$E45,".","_"),"(","_"),")","")</f>
        <v>vch501_2_6</v>
      </c>
      <c r="AQ45" s="254" t="str">
        <f>IF(LEN(W45)=0,"",W45)</f>
        <v/>
      </c>
      <c r="AR45" s="1336" t="str">
        <f>SUBSTITUTE(SUBSTITUTE(SUBSTITUTE("vnt"&amp;$B45&amp;$C45&amp;$D45&amp;$E45,".","_"),"(","_"),")","")</f>
        <v>vnt501_2_6</v>
      </c>
      <c r="AS45" s="254" t="str">
        <f>IF(LEN(X45)=0,"",X45)</f>
        <v/>
      </c>
      <c r="AX45" s="515" t="str">
        <f>'Overview (Verification)'!A45</f>
        <v>Maximum skylight SHGC:</v>
      </c>
      <c r="AY45" s="516">
        <f>IF(LEN('Overview (Verification)'!P45)=0,0,'Overview (Verification)'!P45)</f>
        <v>0</v>
      </c>
    </row>
    <row r="46" spans="1:51" x14ac:dyDescent="0.25">
      <c r="A46" s="2371">
        <v>5</v>
      </c>
      <c r="B46" s="2374" t="s">
        <v>264</v>
      </c>
      <c r="C46" s="2374" t="s">
        <v>277</v>
      </c>
      <c r="D46" s="2374"/>
      <c r="E46" s="2374"/>
      <c r="F46" s="2374"/>
      <c r="G46" s="2373" t="str">
        <f ca="1">G45</f>
        <v/>
      </c>
      <c r="H46" s="2371" t="s">
        <v>3971</v>
      </c>
      <c r="I46" s="87"/>
      <c r="J46" s="87"/>
      <c r="K46" s="87"/>
      <c r="L46" s="1779"/>
      <c r="M46" s="1813"/>
      <c r="N46" s="2127"/>
      <c r="O46" s="2127"/>
      <c r="P46" s="253"/>
      <c r="Q46" s="253"/>
      <c r="R46" s="249"/>
      <c r="S46" s="249"/>
      <c r="T46" s="249"/>
      <c r="U46" s="249"/>
      <c r="V46" s="249"/>
      <c r="W46" s="249"/>
      <c r="X46" s="1757"/>
      <c r="Y46" s="2081" t="str">
        <f>IF(LEN('Ch5'!X47)=0,"None",'Ch5'!X47:X58)</f>
        <v>None</v>
      </c>
      <c r="Z46" s="2083"/>
      <c r="AA46" s="1526"/>
      <c r="AC46" s="970"/>
      <c r="AD46" s="970"/>
      <c r="AE46" s="970"/>
      <c r="AF46" s="249"/>
      <c r="AG46" s="249"/>
      <c r="AH46" s="249"/>
      <c r="AI46" s="249"/>
      <c r="AJ46" s="249"/>
      <c r="AK46" s="249"/>
      <c r="AL46" s="254"/>
      <c r="AM46" s="254"/>
      <c r="AN46" s="254"/>
      <c r="AO46" s="254"/>
      <c r="AP46" s="254"/>
      <c r="AQ46" s="254"/>
      <c r="AR46" s="254"/>
      <c r="AS46" s="254"/>
      <c r="AX46" s="515" t="str">
        <f>'Overview (Verification)'!A46</f>
        <v>Maximum window and door U-value:</v>
      </c>
      <c r="AY46" s="516">
        <f>IF(LEN('Overview (Verification)'!P46)=0,0,'Overview (Verification)'!P46)</f>
        <v>0</v>
      </c>
    </row>
    <row r="47" spans="1:51" x14ac:dyDescent="0.25">
      <c r="A47" s="2371">
        <v>5</v>
      </c>
      <c r="B47" s="2374" t="s">
        <v>264</v>
      </c>
      <c r="C47" s="2374" t="s">
        <v>277</v>
      </c>
      <c r="D47" s="2374" t="s">
        <v>121</v>
      </c>
      <c r="E47" s="2374"/>
      <c r="F47" s="2374"/>
      <c r="G47" s="2373" t="str">
        <f ca="1">G46</f>
        <v/>
      </c>
      <c r="H47" s="2371" t="s">
        <v>3971</v>
      </c>
      <c r="I47" s="87"/>
      <c r="J47" s="87"/>
      <c r="K47" s="87" t="s">
        <v>121</v>
      </c>
      <c r="L47" s="1170" t="s">
        <v>279</v>
      </c>
      <c r="M47" s="1021">
        <v>2</v>
      </c>
      <c r="N47" s="1042"/>
      <c r="O47" s="1042"/>
      <c r="P47" s="249"/>
      <c r="Q47" s="249"/>
      <c r="R47" s="249"/>
      <c r="S47" s="249"/>
      <c r="T47" s="249"/>
      <c r="U47" s="249"/>
      <c r="V47" s="249"/>
      <c r="W47" s="249"/>
      <c r="X47" s="1757"/>
      <c r="Y47" s="2081" t="str">
        <f>IF(LEN('Ch5'!X48)=0,"None",'Ch5'!X48:X59)</f>
        <v>None</v>
      </c>
      <c r="Z47" s="2083"/>
      <c r="AA47" s="1526"/>
      <c r="AC47" s="970"/>
      <c r="AD47" s="970"/>
      <c r="AE47" s="970"/>
      <c r="AF47" s="249"/>
      <c r="AG47" s="249"/>
      <c r="AH47" s="249"/>
      <c r="AI47" s="249"/>
      <c r="AJ47" s="249"/>
      <c r="AK47" s="249"/>
      <c r="AL47" s="1336" t="str">
        <f>SUBSTITUTE(SUBSTITUTE(SUBSTITUTE("vpa"&amp;$B47&amp;$C47&amp;$D47&amp;$E47,".","_"),"(","_"),")","")</f>
        <v>vpa501_2_6_a</v>
      </c>
      <c r="AM47" s="254">
        <f>M47</f>
        <v>2</v>
      </c>
      <c r="AN47" s="254"/>
      <c r="AO47" s="254"/>
      <c r="AP47" s="254"/>
      <c r="AQ47" s="254"/>
      <c r="AR47" s="254"/>
      <c r="AS47" s="254"/>
      <c r="AX47" s="515" t="str">
        <f>'Overview (Verification)'!A47</f>
        <v>Maximum skylight U-value:</v>
      </c>
      <c r="AY47" s="516">
        <f>IF(LEN('Overview (Verification)'!P47)=0,0,'Overview (Verification)'!P47)</f>
        <v>0</v>
      </c>
    </row>
    <row r="48" spans="1:51" x14ac:dyDescent="0.25">
      <c r="A48" s="2371">
        <v>5</v>
      </c>
      <c r="B48" s="2374" t="s">
        <v>264</v>
      </c>
      <c r="C48" s="2374" t="s">
        <v>277</v>
      </c>
      <c r="D48" s="2374" t="s">
        <v>122</v>
      </c>
      <c r="E48" s="2374"/>
      <c r="F48" s="2374"/>
      <c r="G48" s="2373" t="str">
        <f ca="1">G47</f>
        <v/>
      </c>
      <c r="H48" s="2371" t="s">
        <v>3971</v>
      </c>
      <c r="I48" s="87"/>
      <c r="J48" s="87"/>
      <c r="K48" s="87" t="s">
        <v>122</v>
      </c>
      <c r="L48" s="1170" t="s">
        <v>280</v>
      </c>
      <c r="M48" s="1021">
        <v>4</v>
      </c>
      <c r="N48" s="1042"/>
      <c r="O48" s="1042"/>
      <c r="P48" s="249"/>
      <c r="Q48" s="249"/>
      <c r="R48" s="249"/>
      <c r="S48" s="249"/>
      <c r="T48" s="249"/>
      <c r="U48" s="249"/>
      <c r="V48" s="249"/>
      <c r="W48" s="249"/>
      <c r="X48" s="1757"/>
      <c r="Y48" s="2081" t="str">
        <f>IF(LEN('Ch5'!X49)=0,"None",'Ch5'!X49:X60)</f>
        <v>None</v>
      </c>
      <c r="Z48" s="2083"/>
      <c r="AA48" s="1526"/>
      <c r="AC48" s="970"/>
      <c r="AD48" s="970"/>
      <c r="AE48" s="970"/>
      <c r="AF48" s="249"/>
      <c r="AG48" s="249"/>
      <c r="AH48" s="249"/>
      <c r="AI48" s="249"/>
      <c r="AJ48" s="249"/>
      <c r="AK48" s="249"/>
      <c r="AL48" s="1336" t="str">
        <f>SUBSTITUTE(SUBSTITUTE(SUBSTITUTE("vpa"&amp;$B48&amp;$C48&amp;$D48&amp;$E48,".","_"),"(","_"),")","")</f>
        <v>vpa501_2_6_b</v>
      </c>
      <c r="AM48" s="254">
        <f>M48</f>
        <v>4</v>
      </c>
      <c r="AN48" s="254"/>
      <c r="AO48" s="254"/>
      <c r="AP48" s="254"/>
      <c r="AQ48" s="254"/>
      <c r="AR48" s="254"/>
      <c r="AS48" s="254"/>
      <c r="AX48" s="515" t="str">
        <f>'Overview (Verification)'!A48</f>
        <v>Renewable Energy:</v>
      </c>
      <c r="AY48" s="516">
        <f>IF(LEN('Overview (Verification)'!P48)=0,0,'Overview (Verification)'!P48)</f>
        <v>0</v>
      </c>
    </row>
    <row r="49" spans="1:51" x14ac:dyDescent="0.25">
      <c r="A49" s="2371">
        <v>5</v>
      </c>
      <c r="B49" s="2374" t="s">
        <v>264</v>
      </c>
      <c r="C49" s="2374" t="s">
        <v>277</v>
      </c>
      <c r="D49" s="2376" t="s">
        <v>123</v>
      </c>
      <c r="E49" s="2376"/>
      <c r="F49" s="2376"/>
      <c r="G49" s="2373" t="str">
        <f ca="1">G48</f>
        <v/>
      </c>
      <c r="H49" s="2371" t="s">
        <v>3971</v>
      </c>
      <c r="I49" s="87"/>
      <c r="J49" s="87"/>
      <c r="K49" s="89" t="s">
        <v>123</v>
      </c>
      <c r="L49" s="1170" t="s">
        <v>281</v>
      </c>
      <c r="M49" s="1021">
        <v>6</v>
      </c>
      <c r="N49" s="1042"/>
      <c r="O49" s="1042"/>
      <c r="P49" s="249"/>
      <c r="Q49" s="249"/>
      <c r="R49" s="249"/>
      <c r="S49" s="249"/>
      <c r="T49" s="249"/>
      <c r="U49" s="249"/>
      <c r="V49" s="249"/>
      <c r="W49" s="249"/>
      <c r="X49" s="1757"/>
      <c r="Y49" s="2081" t="str">
        <f>IF(LEN('Ch5'!X50)=0,"None",'Ch5'!X50:X61)</f>
        <v>None</v>
      </c>
      <c r="Z49" s="2083"/>
      <c r="AA49" s="1526"/>
      <c r="AC49" s="970"/>
      <c r="AD49" s="970"/>
      <c r="AE49" s="970"/>
      <c r="AF49" s="249"/>
      <c r="AG49" s="249"/>
      <c r="AH49" s="249"/>
      <c r="AI49" s="249"/>
      <c r="AJ49" s="249"/>
      <c r="AK49" s="249"/>
      <c r="AL49" s="1336" t="str">
        <f>SUBSTITUTE(SUBSTITUTE(SUBSTITUTE("vpa"&amp;$B49&amp;$C49&amp;$D49&amp;$E49,".","_"),"(","_"),")","")</f>
        <v>vpa501_2_6_c</v>
      </c>
      <c r="AM49" s="254">
        <f>M49</f>
        <v>6</v>
      </c>
      <c r="AN49" s="254"/>
      <c r="AO49" s="254"/>
      <c r="AP49" s="254"/>
      <c r="AQ49" s="254"/>
      <c r="AR49" s="254"/>
      <c r="AS49" s="254"/>
      <c r="AX49" s="515" t="str">
        <f>'Overview (Verification)'!A49</f>
        <v>Thermal Envelope Insulation:</v>
      </c>
      <c r="AY49" s="516">
        <f>IF(LEN('Overview (Verification)'!P49)=0,0,'Overview (Verification)'!P49)</f>
        <v>0</v>
      </c>
    </row>
    <row r="50" spans="1:51" ht="15" customHeight="1" x14ac:dyDescent="0.25">
      <c r="A50" s="2371">
        <v>5</v>
      </c>
      <c r="B50" s="2374" t="s">
        <v>264</v>
      </c>
      <c r="C50" s="2374" t="s">
        <v>277</v>
      </c>
      <c r="D50" s="2376" t="s">
        <v>401</v>
      </c>
      <c r="F50" s="2376"/>
      <c r="G50" s="2373" t="str">
        <f ca="1">IF(N50&gt;0,"P","")</f>
        <v/>
      </c>
      <c r="H50" s="2371" t="s">
        <v>3971</v>
      </c>
      <c r="I50"/>
      <c r="J50" s="868"/>
      <c r="K50" s="89" t="s">
        <v>401</v>
      </c>
      <c r="L50" s="1787" t="s">
        <v>4120</v>
      </c>
      <c r="M50" s="1788" t="s">
        <v>4121</v>
      </c>
      <c r="N50" s="2075">
        <f ca="1">'Ch5'!O51</f>
        <v>0</v>
      </c>
      <c r="O50" s="1927">
        <f ca="1">2*S50*W50</f>
        <v>0</v>
      </c>
      <c r="P50" s="868" t="b">
        <v>1</v>
      </c>
      <c r="Q50" s="868" t="b">
        <v>1</v>
      </c>
      <c r="R50" s="868" t="b">
        <v>0</v>
      </c>
      <c r="S50" s="868" t="b">
        <f ca="1">O45&gt;0</f>
        <v>0</v>
      </c>
      <c r="T50" s="868" t="b">
        <f ca="1">AND(W50=TRUE,NOT(S50))</f>
        <v>0</v>
      </c>
      <c r="U50"/>
      <c r="V50"/>
      <c r="W50" s="25"/>
      <c r="X50" s="1757"/>
      <c r="Y50" s="2081" t="str">
        <f>IF(LEN('Ch5'!X51)=0,"None",'Ch5'!X51)</f>
        <v>None</v>
      </c>
      <c r="Z50" s="2083"/>
      <c r="AA50" s="1526"/>
      <c r="AC50" s="970" t="b">
        <f ca="1">OR(AD50:AE50)</f>
        <v>0</v>
      </c>
      <c r="AD50" s="970" t="b">
        <f ca="1">T50</f>
        <v>0</v>
      </c>
      <c r="AE50" s="970"/>
      <c r="AF50"/>
      <c r="AG50"/>
      <c r="AH50"/>
      <c r="AI50"/>
      <c r="AJ50"/>
      <c r="AK50"/>
      <c r="AL50" s="1336" t="str">
        <f>SUBSTITUTE(SUBSTITUTE(SUBSTITUTE("vpa"&amp;$B50&amp;$C50&amp;$D50&amp;$E50,".","_"),"(","_"),")","")</f>
        <v>vpa501_2_6_d</v>
      </c>
      <c r="AM50" s="254" t="str">
        <f>M50</f>
        <v>2 per
(a)-(c)</v>
      </c>
      <c r="AN50" s="1336" t="str">
        <f>SUBSTITUTE(SUBSTITUTE(SUBSTITUTE("vpc"&amp;$B50&amp;$C50&amp;$D50&amp;$E50,".","_"),"(","_"),")","")</f>
        <v>vpc501_2_6_d</v>
      </c>
      <c r="AO50" s="254">
        <f ca="1">O50</f>
        <v>0</v>
      </c>
      <c r="AP50" s="1336" t="str">
        <f>SUBSTITUTE(SUBSTITUTE(SUBSTITUTE("vch"&amp;$B50&amp;$C50&amp;$D50&amp;$E50,".","_"),"(","_"),")","")</f>
        <v>vch501_2_6_d</v>
      </c>
      <c r="AQ50" s="254" t="str">
        <f>IF(LEN(W50)=0,"",W50)</f>
        <v/>
      </c>
      <c r="AR50" s="1336" t="str">
        <f>SUBSTITUTE(SUBSTITUTE(SUBSTITUTE("vnt"&amp;$B50&amp;$C50&amp;$D50&amp;$E50,".","_"),"(","_"),")","")</f>
        <v>vnt501_2_6_d</v>
      </c>
      <c r="AS50" s="254" t="str">
        <f>IF(LEN(X50)=0,"",X50)</f>
        <v/>
      </c>
      <c r="AT50"/>
      <c r="AX50" s="515" t="str">
        <f>'Overview (Verification)'!A50</f>
        <v>Attic Type:</v>
      </c>
      <c r="AY50" s="516">
        <f>IF(LEN('Overview (Verification)'!P50)=0,0,'Overview (Verification)'!P50)</f>
        <v>0</v>
      </c>
    </row>
    <row r="51" spans="1:51" x14ac:dyDescent="0.25">
      <c r="A51" s="2371">
        <v>5</v>
      </c>
      <c r="B51" s="2374" t="s">
        <v>264</v>
      </c>
      <c r="C51" s="2374" t="s">
        <v>277</v>
      </c>
      <c r="D51" s="2376" t="s">
        <v>401</v>
      </c>
      <c r="F51" s="2376"/>
      <c r="G51" s="2373" t="str">
        <f ca="1">G50</f>
        <v/>
      </c>
      <c r="H51" s="2371" t="s">
        <v>3971</v>
      </c>
      <c r="I51"/>
      <c r="J51" s="868"/>
      <c r="K51" s="868"/>
      <c r="L51" s="1787"/>
      <c r="M51" s="1788"/>
      <c r="N51" s="2075"/>
      <c r="O51" s="1927"/>
      <c r="P51" s="868"/>
      <c r="Q51" s="868"/>
      <c r="R51" s="868"/>
      <c r="S51" s="868"/>
      <c r="T51" s="868"/>
      <c r="U51"/>
      <c r="V51"/>
      <c r="W51"/>
      <c r="X51" s="1757"/>
      <c r="Y51" s="2081"/>
      <c r="Z51" s="2083"/>
      <c r="AA51" s="1526"/>
      <c r="AC51" s="970"/>
      <c r="AD51" s="970"/>
      <c r="AE51" s="970"/>
      <c r="AF51"/>
      <c r="AG51"/>
      <c r="AH51"/>
      <c r="AI51"/>
      <c r="AJ51"/>
      <c r="AK51"/>
      <c r="AL51" s="1336"/>
      <c r="AM51" s="1336"/>
      <c r="AN51" s="1336"/>
      <c r="AO51" s="1336"/>
      <c r="AP51" s="1336"/>
      <c r="AQ51" s="1336"/>
      <c r="AR51" s="1336"/>
      <c r="AS51" s="1336"/>
      <c r="AT51"/>
      <c r="AX51" s="515" t="str">
        <f>'Overview (Verification)'!A51</f>
        <v>Attached Garage:</v>
      </c>
      <c r="AY51" s="516">
        <f>IF(LEN('Overview (Verification)'!P51)=0,0,'Overview (Verification)'!P51)</f>
        <v>0</v>
      </c>
    </row>
    <row r="52" spans="1:51" x14ac:dyDescent="0.25">
      <c r="A52" s="2371">
        <v>5</v>
      </c>
      <c r="B52" s="2374" t="s">
        <v>264</v>
      </c>
      <c r="C52" s="2374" t="s">
        <v>383</v>
      </c>
      <c r="D52" s="2376"/>
      <c r="F52" s="2376"/>
      <c r="G52" s="2373" t="str">
        <f>IF(N52&gt;0,"P","")</f>
        <v/>
      </c>
      <c r="H52" s="2371" t="s">
        <v>3971</v>
      </c>
      <c r="I52"/>
      <c r="J52" s="846" t="s">
        <v>383</v>
      </c>
      <c r="K52" s="849"/>
      <c r="L52" s="1769" t="s">
        <v>4122</v>
      </c>
      <c r="M52" s="1789">
        <v>5</v>
      </c>
      <c r="N52" s="2079">
        <f>'Ch5'!O53</f>
        <v>0</v>
      </c>
      <c r="O52" s="2079">
        <f>M52*W52</f>
        <v>0</v>
      </c>
      <c r="P52" s="868" t="b">
        <v>1</v>
      </c>
      <c r="Q52" s="868" t="b">
        <v>1</v>
      </c>
      <c r="R52" s="868" t="b">
        <v>0</v>
      </c>
      <c r="S52" s="868" t="b">
        <v>1</v>
      </c>
      <c r="T52" s="868" t="b">
        <v>0</v>
      </c>
      <c r="U52"/>
      <c r="V52"/>
      <c r="W52" s="25"/>
      <c r="X52" s="1757"/>
      <c r="Y52" s="2099" t="str">
        <f>IF(LEN('Ch5'!X53)=0,"None",'Ch5'!X53)</f>
        <v>None</v>
      </c>
      <c r="Z52" s="2083"/>
      <c r="AA52" s="1526"/>
      <c r="AC52" s="970" t="b">
        <f>OR(AD52:AE52)</f>
        <v>0</v>
      </c>
      <c r="AD52" s="970" t="b">
        <v>0</v>
      </c>
      <c r="AE52" s="970" t="b">
        <f>AND(W52=TRUE,LEN(X52)=0)</f>
        <v>0</v>
      </c>
      <c r="AF52" s="970"/>
      <c r="AG52"/>
      <c r="AH52"/>
      <c r="AI52"/>
      <c r="AJ52"/>
      <c r="AK52"/>
      <c r="AL52" s="1336" t="str">
        <f>SUBSTITUTE(SUBSTITUTE(SUBSTITUTE("vpa"&amp;$B52&amp;$C52&amp;$D52&amp;$E52,".","_"),"(","_"),")","")</f>
        <v>vpa501_2_7</v>
      </c>
      <c r="AM52" s="254">
        <f>M52</f>
        <v>5</v>
      </c>
      <c r="AN52" s="1336" t="str">
        <f>SUBSTITUTE(SUBSTITUTE(SUBSTITUTE("vpc"&amp;$B52&amp;$C52&amp;$D52&amp;$E52,".","_"),"(","_"),")","")</f>
        <v>vpc501_2_7</v>
      </c>
      <c r="AO52" s="254">
        <f>O52</f>
        <v>0</v>
      </c>
      <c r="AP52" s="1336" t="str">
        <f>SUBSTITUTE(SUBSTITUTE(SUBSTITUTE("vch"&amp;$B52&amp;$C52&amp;$D52&amp;$E52,".","_"),"(","_"),")","")</f>
        <v>vch501_2_7</v>
      </c>
      <c r="AQ52" s="254" t="str">
        <f>IF(LEN(W52)=0,"",W52)</f>
        <v/>
      </c>
      <c r="AR52" s="1336" t="str">
        <f>SUBSTITUTE(SUBSTITUTE(SUBSTITUTE("vnt"&amp;$B52&amp;$C52&amp;$D52&amp;$E52,".","_"),"(","_"),")","")</f>
        <v>vnt501_2_7</v>
      </c>
      <c r="AS52" s="254" t="str">
        <f>IF(LEN(X52)=0,"",X52)</f>
        <v/>
      </c>
      <c r="AT52"/>
      <c r="AX52" s="515" t="str">
        <f>'Overview (Verification)'!A52</f>
        <v>Recessed Lighting:</v>
      </c>
      <c r="AY52" s="516">
        <f>IF(LEN('Overview (Verification)'!P52)=0,0,'Overview (Verification)'!P52)</f>
        <v>0</v>
      </c>
    </row>
    <row r="53" spans="1:51" x14ac:dyDescent="0.25">
      <c r="A53" s="2371">
        <v>5</v>
      </c>
      <c r="B53" s="2374" t="s">
        <v>264</v>
      </c>
      <c r="C53" s="2374" t="s">
        <v>383</v>
      </c>
      <c r="D53" s="2376"/>
      <c r="F53" s="2376"/>
      <c r="G53" s="2373" t="str">
        <f>G52</f>
        <v/>
      </c>
      <c r="H53" s="2371" t="s">
        <v>3971</v>
      </c>
      <c r="I53"/>
      <c r="J53" s="845"/>
      <c r="K53" s="845"/>
      <c r="L53" s="1787"/>
      <c r="M53" s="1790"/>
      <c r="N53" s="2075"/>
      <c r="O53" s="1927"/>
      <c r="P53" s="868"/>
      <c r="Q53" s="868"/>
      <c r="R53" s="868"/>
      <c r="S53" s="868"/>
      <c r="T53" s="868"/>
      <c r="U53"/>
      <c r="V53"/>
      <c r="W53"/>
      <c r="X53" s="1757"/>
      <c r="Y53" s="2100"/>
      <c r="Z53" s="2083"/>
      <c r="AA53" s="1526"/>
      <c r="AC53" s="970"/>
      <c r="AD53" s="970"/>
      <c r="AE53" s="970"/>
      <c r="AF53"/>
      <c r="AG53"/>
      <c r="AH53"/>
      <c r="AI53"/>
      <c r="AJ53"/>
      <c r="AK53"/>
      <c r="AL53" s="1336"/>
      <c r="AM53" s="1336"/>
      <c r="AN53" s="1336"/>
      <c r="AO53" s="1336"/>
      <c r="AP53" s="1336"/>
      <c r="AQ53" s="1336"/>
      <c r="AR53" s="1336"/>
      <c r="AS53" s="1336"/>
      <c r="AT53"/>
      <c r="AX53" s="515"/>
      <c r="AY53" s="516"/>
    </row>
    <row r="54" spans="1:51" x14ac:dyDescent="0.25">
      <c r="A54" s="2371">
        <v>5</v>
      </c>
      <c r="B54" s="2374" t="s">
        <v>264</v>
      </c>
      <c r="C54" s="2374" t="s">
        <v>383</v>
      </c>
      <c r="D54" s="2376"/>
      <c r="F54" s="2376"/>
      <c r="G54" s="2373" t="str">
        <f>G53</f>
        <v/>
      </c>
      <c r="H54" s="2371" t="s">
        <v>3971</v>
      </c>
      <c r="I54"/>
      <c r="J54" s="851"/>
      <c r="K54" s="851"/>
      <c r="L54" s="1177" t="s">
        <v>4125</v>
      </c>
      <c r="M54" s="1791"/>
      <c r="N54" s="2076"/>
      <c r="O54" s="2076"/>
      <c r="P54" s="868"/>
      <c r="Q54" s="868"/>
      <c r="R54" s="868"/>
      <c r="S54" s="868"/>
      <c r="T54" s="868"/>
      <c r="U54"/>
      <c r="V54"/>
      <c r="W54"/>
      <c r="X54" s="1757"/>
      <c r="Y54" s="2097"/>
      <c r="Z54" s="2083"/>
      <c r="AA54" s="1526"/>
      <c r="AC54" s="970"/>
      <c r="AD54" s="970"/>
      <c r="AE54" s="970"/>
      <c r="AF54"/>
      <c r="AG54"/>
      <c r="AH54"/>
      <c r="AI54"/>
      <c r="AJ54"/>
      <c r="AK54"/>
      <c r="AL54" s="1336"/>
      <c r="AM54" s="1336"/>
      <c r="AN54" s="1336"/>
      <c r="AO54" s="1336"/>
      <c r="AP54" s="1336"/>
      <c r="AQ54" s="1336"/>
      <c r="AR54" s="1336"/>
      <c r="AS54" s="1336"/>
      <c r="AT54"/>
      <c r="AX54" s="515" t="str">
        <f>'Overview (Verification)'!A54</f>
        <v>Special Design Features:</v>
      </c>
      <c r="AY54" s="516"/>
    </row>
    <row r="55" spans="1:51" x14ac:dyDescent="0.25">
      <c r="A55" s="2371">
        <v>5</v>
      </c>
      <c r="B55" s="2374" t="s">
        <v>264</v>
      </c>
      <c r="C55" s="2374" t="s">
        <v>428</v>
      </c>
      <c r="D55" s="2376"/>
      <c r="F55" s="2376"/>
      <c r="G55" s="2373" t="str">
        <f>IF(N55&gt;0,"P","")</f>
        <v/>
      </c>
      <c r="H55" s="2371" t="s">
        <v>3971</v>
      </c>
      <c r="I55"/>
      <c r="J55" s="846" t="s">
        <v>428</v>
      </c>
      <c r="K55" s="849"/>
      <c r="L55" s="1155" t="s">
        <v>4123</v>
      </c>
      <c r="M55" s="1789">
        <v>5</v>
      </c>
      <c r="N55" s="2078">
        <f>'Ch5'!O56</f>
        <v>0</v>
      </c>
      <c r="O55" s="2078">
        <f>M55*W55</f>
        <v>0</v>
      </c>
      <c r="P55" s="868" t="b">
        <v>1</v>
      </c>
      <c r="Q55" s="868" t="b">
        <v>1</v>
      </c>
      <c r="R55" s="868" t="b">
        <v>0</v>
      </c>
      <c r="S55" s="868" t="b">
        <v>1</v>
      </c>
      <c r="T55" s="868" t="b">
        <v>0</v>
      </c>
      <c r="U55"/>
      <c r="V55"/>
      <c r="W55" s="25"/>
      <c r="X55" s="1757"/>
      <c r="Y55" s="2081" t="str">
        <f>IF(LEN('Ch5'!X56)=0,"None",'Ch5'!X56)</f>
        <v>None</v>
      </c>
      <c r="Z55" s="2083"/>
      <c r="AA55" s="1526"/>
      <c r="AC55" s="970" t="b">
        <f>OR(AD55:AE55)</f>
        <v>0</v>
      </c>
      <c r="AD55" s="970" t="b">
        <v>0</v>
      </c>
      <c r="AE55" s="970" t="b">
        <f>AND(W55=TRUE,LEN(X55)=0)</f>
        <v>0</v>
      </c>
      <c r="AF55" s="970"/>
      <c r="AG55"/>
      <c r="AH55"/>
      <c r="AI55"/>
      <c r="AJ55"/>
      <c r="AK55"/>
      <c r="AL55" s="1336" t="str">
        <f>SUBSTITUTE(SUBSTITUTE(SUBSTITUTE("vpa"&amp;$B55&amp;$C55&amp;$D55&amp;$E55,".","_"),"(","_"),")","")</f>
        <v>vpa501_2_8</v>
      </c>
      <c r="AM55" s="254">
        <f>M55</f>
        <v>5</v>
      </c>
      <c r="AN55" s="1336" t="str">
        <f>SUBSTITUTE(SUBSTITUTE(SUBSTITUTE("vpc"&amp;$B55&amp;$C55&amp;$D55&amp;$E55,".","_"),"(","_"),")","")</f>
        <v>vpc501_2_8</v>
      </c>
      <c r="AO55" s="254">
        <f>O55</f>
        <v>0</v>
      </c>
      <c r="AP55" s="1336" t="str">
        <f>SUBSTITUTE(SUBSTITUTE(SUBSTITUTE("vch"&amp;$B55&amp;$C55&amp;$D55&amp;$E55,".","_"),"(","_"),")","")</f>
        <v>vch501_2_8</v>
      </c>
      <c r="AQ55" s="254" t="str">
        <f>IF(LEN(W55)=0,"",W55)</f>
        <v/>
      </c>
      <c r="AR55" s="1336" t="str">
        <f>SUBSTITUTE(SUBSTITUTE(SUBSTITUTE("vnt"&amp;$B55&amp;$C55&amp;$D55&amp;$E55,".","_"),"(","_"),")","")</f>
        <v>vnt501_2_8</v>
      </c>
      <c r="AS55" s="254" t="str">
        <f>IF(LEN(X55)=0,"",X55)</f>
        <v/>
      </c>
      <c r="AT55"/>
      <c r="AX55" s="515" t="str">
        <f>'Overview (Verification)'!A55</f>
        <v>Passive Solar:</v>
      </c>
      <c r="AY55" s="516">
        <f>IF(LEN('Overview (Verification)'!P55)=0,0,'Overview (Verification)'!P55)</f>
        <v>0</v>
      </c>
    </row>
    <row r="56" spans="1:51" x14ac:dyDescent="0.25">
      <c r="A56" s="2371">
        <v>5</v>
      </c>
      <c r="B56" s="2374" t="s">
        <v>264</v>
      </c>
      <c r="C56" s="2374" t="s">
        <v>428</v>
      </c>
      <c r="D56" s="2376"/>
      <c r="F56" s="2376"/>
      <c r="G56" s="2373" t="str">
        <f>G55</f>
        <v/>
      </c>
      <c r="H56" s="2371" t="s">
        <v>3971</v>
      </c>
      <c r="I56"/>
      <c r="J56" s="87"/>
      <c r="K56" s="845"/>
      <c r="L56" s="1179" t="s">
        <v>4124</v>
      </c>
      <c r="M56" s="1790"/>
      <c r="N56" s="2076"/>
      <c r="O56" s="2076"/>
      <c r="P56" s="868"/>
      <c r="Q56" s="868"/>
      <c r="R56" s="868"/>
      <c r="S56" s="868"/>
      <c r="T56" s="868"/>
      <c r="U56"/>
      <c r="V56"/>
      <c r="W56"/>
      <c r="X56" s="1757"/>
      <c r="Y56" s="2081"/>
      <c r="Z56" s="2083"/>
      <c r="AA56" s="1526"/>
      <c r="AC56" s="970"/>
      <c r="AD56" s="970"/>
      <c r="AE56" s="970"/>
      <c r="AF56"/>
      <c r="AG56"/>
      <c r="AH56"/>
      <c r="AI56"/>
      <c r="AJ56"/>
      <c r="AK56"/>
      <c r="AL56" s="1336"/>
      <c r="AM56" s="1336"/>
      <c r="AN56" s="1336"/>
      <c r="AO56" s="1336"/>
      <c r="AP56" s="1336"/>
      <c r="AQ56" s="1336"/>
      <c r="AR56" s="1336"/>
      <c r="AS56" s="1336"/>
      <c r="AT56"/>
      <c r="AX56" s="515" t="str">
        <f>'Overview (Verification)'!A56</f>
        <v>Mass Walls:</v>
      </c>
      <c r="AY56" s="516">
        <f>IF(LEN('Overview (Verification)'!P56)=0,0,'Overview (Verification)'!P56)</f>
        <v>0</v>
      </c>
    </row>
    <row r="57" spans="1:51" ht="18.75" x14ac:dyDescent="0.3">
      <c r="A57" s="2371">
        <v>5</v>
      </c>
      <c r="B57" s="2374" t="s">
        <v>497</v>
      </c>
      <c r="C57" s="2374"/>
      <c r="D57" s="2374"/>
      <c r="E57" s="2374"/>
      <c r="F57" s="2374"/>
      <c r="G57" s="2373" t="s">
        <v>3974</v>
      </c>
      <c r="H57" s="2371" t="s">
        <v>3971</v>
      </c>
      <c r="I57" s="69" t="s">
        <v>367</v>
      </c>
      <c r="J57" s="69"/>
      <c r="K57" s="69"/>
      <c r="L57" s="228"/>
      <c r="M57" s="390"/>
      <c r="N57" s="1043"/>
      <c r="O57" s="1043"/>
      <c r="P57" s="23"/>
      <c r="Q57" s="23"/>
      <c r="R57" s="23"/>
      <c r="S57" s="23"/>
      <c r="T57" s="23"/>
      <c r="U57" s="23"/>
      <c r="V57" s="23"/>
      <c r="W57" s="23"/>
      <c r="X57" s="23"/>
      <c r="Y57" s="23"/>
      <c r="Z57" s="1586"/>
      <c r="AA57" s="1526"/>
      <c r="AC57" s="970"/>
      <c r="AD57" s="970"/>
      <c r="AE57" s="970"/>
      <c r="AF57" s="249"/>
      <c r="AG57" s="249"/>
      <c r="AH57" s="249"/>
      <c r="AI57" s="249"/>
      <c r="AJ57" s="249"/>
      <c r="AK57" s="249"/>
      <c r="AL57" s="1336"/>
      <c r="AM57" s="1336"/>
      <c r="AN57" s="1336"/>
      <c r="AO57" s="1336"/>
      <c r="AP57" s="1336"/>
      <c r="AQ57" s="1336"/>
      <c r="AR57" s="1336"/>
      <c r="AS57" s="1336"/>
      <c r="AX57" s="515" t="str">
        <f>'Overview (Verification)'!A57</f>
        <v>Radiant/Hydronic:</v>
      </c>
      <c r="AY57" s="516">
        <f>IF(LEN('Overview (Verification)'!P57)=0,0,'Overview (Verification)'!P57)</f>
        <v>0</v>
      </c>
    </row>
    <row r="58" spans="1:51" x14ac:dyDescent="0.25">
      <c r="A58" s="2371">
        <v>5</v>
      </c>
      <c r="B58" s="2374" t="s">
        <v>368</v>
      </c>
      <c r="C58" s="2374"/>
      <c r="D58" s="2374"/>
      <c r="E58" s="2374"/>
      <c r="F58" s="2374"/>
      <c r="G58" s="2373" t="str">
        <f>IF(N58&gt;0,"P","")</f>
        <v/>
      </c>
      <c r="H58" s="2371" t="s">
        <v>3971</v>
      </c>
      <c r="I58" s="139">
        <v>502.1</v>
      </c>
      <c r="J58" s="90"/>
      <c r="K58" s="90"/>
      <c r="L58" s="1796" t="s">
        <v>369</v>
      </c>
      <c r="M58" s="1767">
        <v>4</v>
      </c>
      <c r="N58" s="2075">
        <f>'Ch5'!O59</f>
        <v>0</v>
      </c>
      <c r="O58" s="2075">
        <f>M58*W58</f>
        <v>0</v>
      </c>
      <c r="P58" s="249" t="b">
        <v>1</v>
      </c>
      <c r="Q58" s="249" t="b">
        <v>1</v>
      </c>
      <c r="R58" s="249" t="b">
        <v>0</v>
      </c>
      <c r="S58" s="249" t="b">
        <v>1</v>
      </c>
      <c r="T58" s="249" t="b">
        <v>0</v>
      </c>
      <c r="U58" s="249"/>
      <c r="V58" s="249"/>
      <c r="W58" s="25"/>
      <c r="X58" s="1757"/>
      <c r="Y58" s="2081" t="str">
        <f>IF(LEN('Ch5'!X59)=0,"None",'Ch5'!X59)</f>
        <v>None</v>
      </c>
      <c r="Z58" s="2083"/>
      <c r="AA58" s="1526"/>
      <c r="AC58" s="970"/>
      <c r="AD58" s="970"/>
      <c r="AE58" s="970"/>
      <c r="AF58" s="249"/>
      <c r="AG58" s="249"/>
      <c r="AH58" s="249"/>
      <c r="AI58" s="249"/>
      <c r="AJ58" s="249"/>
      <c r="AK58" s="249"/>
      <c r="AL58" s="1336" t="str">
        <f>SUBSTITUTE(SUBSTITUTE(SUBSTITUTE("vpa"&amp;$B58&amp;$C58&amp;$D58&amp;$E58,".","_"),"(","_"),")","")</f>
        <v>vpa502_1</v>
      </c>
      <c r="AM58" s="254">
        <f>M58</f>
        <v>4</v>
      </c>
      <c r="AN58" s="1336" t="str">
        <f>SUBSTITUTE(SUBSTITUTE(SUBSTITUTE("vpc"&amp;$B58&amp;$C58&amp;$D58&amp;$E58,".","_"),"(","_"),")","")</f>
        <v>vpc502_1</v>
      </c>
      <c r="AO58" s="254">
        <f>O58</f>
        <v>0</v>
      </c>
      <c r="AP58" s="1336" t="str">
        <f>SUBSTITUTE(SUBSTITUTE(SUBSTITUTE("vch"&amp;$B58&amp;$C58&amp;$D58&amp;$E58,".","_"),"(","_"),")","")</f>
        <v>vch502_1</v>
      </c>
      <c r="AQ58" s="254" t="str">
        <f>IF(LEN(W58)=0,"",W58)</f>
        <v/>
      </c>
      <c r="AR58" s="1336" t="str">
        <f>SUBSTITUTE(SUBSTITUTE(SUBSTITUTE("vnt"&amp;$B58&amp;$C58&amp;$D58&amp;$E58,".","_"),"(","_"),")","")</f>
        <v>vnt502_1</v>
      </c>
      <c r="AS58" s="254" t="str">
        <f>IF(LEN(X58)=0,"",X58)</f>
        <v/>
      </c>
      <c r="AX58" s="515" t="str">
        <f>'Overview (Verification)'!A58</f>
        <v>Tankless Water Heater:</v>
      </c>
      <c r="AY58" s="516">
        <f>IF(LEN('Overview (Verification)'!P58)=0,0,'Overview (Verification)'!P58)</f>
        <v>0</v>
      </c>
    </row>
    <row r="59" spans="1:51" x14ac:dyDescent="0.25">
      <c r="A59" s="2371">
        <v>5</v>
      </c>
      <c r="B59" s="2374" t="s">
        <v>368</v>
      </c>
      <c r="C59" s="2374"/>
      <c r="D59" s="2374"/>
      <c r="E59" s="2374"/>
      <c r="F59" s="2374"/>
      <c r="G59" s="2373" t="str">
        <f>G58</f>
        <v/>
      </c>
      <c r="H59" s="2371" t="s">
        <v>3971</v>
      </c>
      <c r="I59" s="90"/>
      <c r="J59" s="90"/>
      <c r="K59" s="90"/>
      <c r="L59" s="1796"/>
      <c r="M59" s="1767"/>
      <c r="N59" s="2075"/>
      <c r="O59" s="2075"/>
      <c r="P59" s="249"/>
      <c r="Q59" s="249"/>
      <c r="R59" s="249"/>
      <c r="S59" s="249"/>
      <c r="T59" s="249"/>
      <c r="U59" s="249"/>
      <c r="V59" s="249"/>
      <c r="W59" s="249"/>
      <c r="X59" s="1757"/>
      <c r="Y59" s="2081"/>
      <c r="Z59" s="2083"/>
      <c r="AA59" s="1526"/>
      <c r="AC59" s="970"/>
      <c r="AD59" s="970"/>
      <c r="AE59" s="970"/>
      <c r="AF59" s="249"/>
      <c r="AG59" s="249"/>
      <c r="AH59" s="249"/>
      <c r="AI59" s="249"/>
      <c r="AJ59" s="249"/>
      <c r="AK59" s="249"/>
      <c r="AL59" s="1336"/>
      <c r="AM59" s="1336"/>
      <c r="AN59" s="1336"/>
      <c r="AO59" s="1336"/>
      <c r="AP59" s="1336"/>
      <c r="AQ59" s="1336"/>
      <c r="AR59" s="1336"/>
      <c r="AS59" s="1336"/>
      <c r="AX59" s="515" t="str">
        <f>'Overview (Verification)'!A59</f>
        <v>Composting Toilet:</v>
      </c>
      <c r="AY59" s="516">
        <f>IF(LEN('Overview (Verification)'!P59)=0,0,'Overview (Verification)'!P59)</f>
        <v>0</v>
      </c>
    </row>
    <row r="60" spans="1:51" x14ac:dyDescent="0.25">
      <c r="A60" s="2371">
        <v>5</v>
      </c>
      <c r="B60" s="2374" t="s">
        <v>368</v>
      </c>
      <c r="C60" s="2374"/>
      <c r="D60" s="2374"/>
      <c r="E60" s="2374"/>
      <c r="F60" s="2374"/>
      <c r="G60" s="2373" t="str">
        <f>G59</f>
        <v/>
      </c>
      <c r="H60" s="2371" t="s">
        <v>3971</v>
      </c>
      <c r="I60" s="90"/>
      <c r="J60" s="90"/>
      <c r="K60" s="90"/>
      <c r="L60" s="1796"/>
      <c r="M60" s="1767"/>
      <c r="N60" s="2075"/>
      <c r="O60" s="2075"/>
      <c r="P60" s="249"/>
      <c r="Q60" s="249"/>
      <c r="R60" s="249"/>
      <c r="S60" s="249"/>
      <c r="T60" s="249"/>
      <c r="U60" s="249"/>
      <c r="V60" s="249"/>
      <c r="W60" s="249"/>
      <c r="X60" s="1757"/>
      <c r="Y60" s="2081"/>
      <c r="Z60" s="2083"/>
      <c r="AA60" s="1526"/>
      <c r="AC60" s="970"/>
      <c r="AD60" s="970"/>
      <c r="AE60" s="970"/>
      <c r="AF60" s="249"/>
      <c r="AG60" s="249"/>
      <c r="AH60" s="249"/>
      <c r="AI60" s="249"/>
      <c r="AJ60" s="249"/>
      <c r="AK60" s="249"/>
      <c r="AL60" s="1336"/>
      <c r="AM60" s="1336"/>
      <c r="AN60" s="1336"/>
      <c r="AO60" s="1336"/>
      <c r="AP60" s="1336"/>
      <c r="AQ60" s="1336"/>
      <c r="AR60" s="1336"/>
      <c r="AS60" s="1336"/>
      <c r="AX60" s="515"/>
      <c r="AY60" s="516"/>
    </row>
    <row r="61" spans="1:51" x14ac:dyDescent="0.25">
      <c r="A61" s="2371">
        <v>5</v>
      </c>
      <c r="B61" s="2374" t="s">
        <v>368</v>
      </c>
      <c r="C61" s="2374"/>
      <c r="D61" s="2374"/>
      <c r="E61" s="2374"/>
      <c r="F61" s="2374"/>
      <c r="G61" s="2373" t="str">
        <f>G60</f>
        <v/>
      </c>
      <c r="H61" s="2371" t="s">
        <v>3971</v>
      </c>
      <c r="I61" s="90"/>
      <c r="J61" s="90"/>
      <c r="K61" s="90"/>
      <c r="L61" s="1796"/>
      <c r="M61" s="1767"/>
      <c r="N61" s="2075"/>
      <c r="O61" s="2075"/>
      <c r="P61" s="249"/>
      <c r="Q61" s="249"/>
      <c r="R61" s="249"/>
      <c r="S61" s="249"/>
      <c r="T61" s="249"/>
      <c r="U61" s="249"/>
      <c r="V61" s="249"/>
      <c r="W61" s="249"/>
      <c r="X61" s="1757"/>
      <c r="Y61" s="2081"/>
      <c r="Z61" s="2083"/>
      <c r="AA61" s="1526"/>
      <c r="AC61" s="970"/>
      <c r="AD61" s="970"/>
      <c r="AE61" s="970"/>
      <c r="AF61" s="249"/>
      <c r="AG61" s="249"/>
      <c r="AH61" s="249"/>
      <c r="AI61" s="249"/>
      <c r="AJ61" s="249"/>
      <c r="AK61" s="249"/>
      <c r="AL61" s="1336"/>
      <c r="AM61" s="1336"/>
      <c r="AN61" s="1336"/>
      <c r="AO61" s="1336"/>
      <c r="AP61" s="1336"/>
      <c r="AQ61" s="1336"/>
      <c r="AR61" s="1336"/>
      <c r="AS61" s="1336"/>
      <c r="AX61" s="515" t="str">
        <f>'Overview (Verification)'!A61</f>
        <v>Local Energy Code:</v>
      </c>
      <c r="AY61" s="516">
        <f>IF(LEN('Overview (Verification)'!P61)=0,0,'Overview (Verification)'!P61)</f>
        <v>0</v>
      </c>
    </row>
    <row r="62" spans="1:51" ht="18.75" x14ac:dyDescent="0.3">
      <c r="A62" s="2371">
        <v>5</v>
      </c>
      <c r="B62" s="2374" t="s">
        <v>370</v>
      </c>
      <c r="C62" s="2374"/>
      <c r="D62" s="2374"/>
      <c r="E62" s="2374"/>
      <c r="F62" s="2374"/>
      <c r="G62" s="2373" t="s">
        <v>3974</v>
      </c>
      <c r="H62" s="2371" t="s">
        <v>3971</v>
      </c>
      <c r="I62" s="69" t="s">
        <v>371</v>
      </c>
      <c r="J62" s="88"/>
      <c r="K62" s="88"/>
      <c r="L62" s="84"/>
      <c r="M62" s="390"/>
      <c r="N62" s="1043"/>
      <c r="O62" s="1043"/>
      <c r="P62" s="23"/>
      <c r="Q62" s="23"/>
      <c r="R62" s="23"/>
      <c r="S62" s="23"/>
      <c r="T62" s="23"/>
      <c r="U62" s="23"/>
      <c r="V62" s="23"/>
      <c r="W62" s="23"/>
      <c r="X62" s="23"/>
      <c r="Y62" s="23"/>
      <c r="Z62" s="1586"/>
      <c r="AA62" s="1526"/>
      <c r="AC62" s="970"/>
      <c r="AD62" s="970"/>
      <c r="AE62" s="970"/>
      <c r="AF62" s="249"/>
      <c r="AG62" s="249"/>
      <c r="AH62" s="249"/>
      <c r="AI62" s="249"/>
      <c r="AJ62" s="249"/>
      <c r="AK62" s="249"/>
      <c r="AL62" s="1336"/>
      <c r="AM62" s="1336"/>
      <c r="AN62" s="1336"/>
      <c r="AO62" s="1336"/>
      <c r="AP62" s="1336"/>
      <c r="AQ62" s="1336"/>
      <c r="AR62" s="1336"/>
      <c r="AS62" s="1336"/>
      <c r="AX62" s="515" t="str">
        <f>'Overview (Verification)'!A62</f>
        <v>Local Building Code:</v>
      </c>
      <c r="AY62" s="516">
        <f>IF(LEN('Overview (Verification)'!P62)=0,0,'Overview (Verification)'!P62)</f>
        <v>0</v>
      </c>
    </row>
    <row r="63" spans="1:51" x14ac:dyDescent="0.25">
      <c r="A63" s="2371">
        <v>5</v>
      </c>
      <c r="B63" s="2374" t="s">
        <v>372</v>
      </c>
      <c r="C63" s="2374"/>
      <c r="D63" s="2374"/>
      <c r="E63" s="2374"/>
      <c r="F63" s="2374"/>
      <c r="G63" s="2375"/>
      <c r="H63" s="2375"/>
      <c r="I63" s="668" t="s">
        <v>372</v>
      </c>
      <c r="J63" s="102"/>
      <c r="K63" s="102"/>
      <c r="L63" s="1782" t="s">
        <v>373</v>
      </c>
      <c r="M63" s="1010"/>
      <c r="N63" s="1044"/>
      <c r="O63" s="1044"/>
      <c r="P63" s="94"/>
      <c r="Q63" s="94"/>
      <c r="R63" s="94"/>
      <c r="S63" s="94"/>
      <c r="T63" s="94"/>
      <c r="U63" s="94"/>
      <c r="V63" s="94"/>
      <c r="W63" s="94"/>
      <c r="X63" s="1757"/>
      <c r="Y63" s="2081" t="str">
        <f>IF(LEN('Ch5'!X64)=0,"None",'Ch5'!X64)</f>
        <v>None</v>
      </c>
      <c r="Z63" s="2084"/>
      <c r="AA63" s="1526"/>
      <c r="AC63" s="970"/>
      <c r="AD63" s="970"/>
      <c r="AE63" s="970"/>
      <c r="AF63" s="249"/>
      <c r="AG63" s="249"/>
      <c r="AH63" s="249"/>
      <c r="AI63" s="249"/>
      <c r="AJ63" s="249"/>
      <c r="AK63" s="249"/>
      <c r="AL63" s="1336"/>
      <c r="AM63" s="1336"/>
      <c r="AN63" s="1336"/>
      <c r="AO63" s="1336"/>
      <c r="AP63" s="1336"/>
      <c r="AQ63" s="1336"/>
      <c r="AR63" s="1336" t="str">
        <f>SUBSTITUTE(SUBSTITUTE(SUBSTITUTE("vnt"&amp;$B63&amp;$C63&amp;$D63&amp;$E63,".","_"),"(","_"),")","")</f>
        <v>vnt503_0</v>
      </c>
      <c r="AS63" s="254" t="str">
        <f>IF(LEN(X63)=0,"",X63)</f>
        <v/>
      </c>
    </row>
    <row r="64" spans="1:51" x14ac:dyDescent="0.25">
      <c r="A64" s="2371">
        <v>5</v>
      </c>
      <c r="B64" s="2374" t="s">
        <v>372</v>
      </c>
      <c r="C64" s="2374"/>
      <c r="D64" s="2374"/>
      <c r="E64" s="2374"/>
      <c r="F64" s="2374"/>
      <c r="G64" s="2375"/>
      <c r="H64" s="2375"/>
      <c r="I64" s="102"/>
      <c r="J64" s="102"/>
      <c r="K64" s="102"/>
      <c r="L64" s="1782"/>
      <c r="M64" s="1010"/>
      <c r="N64" s="1044"/>
      <c r="O64" s="1044"/>
      <c r="P64" s="94"/>
      <c r="Q64" s="94"/>
      <c r="R64" s="94"/>
      <c r="S64" s="94"/>
      <c r="T64" s="94"/>
      <c r="U64" s="94"/>
      <c r="V64" s="94"/>
      <c r="W64" s="94"/>
      <c r="X64" s="1757"/>
      <c r="Y64" s="2081"/>
      <c r="Z64" s="2084"/>
      <c r="AA64" s="1526"/>
      <c r="AC64" s="970"/>
      <c r="AD64" s="970"/>
      <c r="AE64" s="970"/>
      <c r="AF64" s="249"/>
      <c r="AG64" s="249"/>
      <c r="AH64" s="249"/>
      <c r="AI64" s="249"/>
      <c r="AJ64" s="249"/>
      <c r="AK64" s="249"/>
      <c r="AL64" s="1336"/>
      <c r="AM64" s="1336"/>
      <c r="AN64" s="1336"/>
      <c r="AO64" s="1336"/>
      <c r="AP64" s="1336"/>
      <c r="AQ64" s="1336"/>
      <c r="AR64" s="1336"/>
      <c r="AS64" s="1336"/>
    </row>
    <row r="65" spans="1:51" x14ac:dyDescent="0.25">
      <c r="A65" s="2371">
        <v>5</v>
      </c>
      <c r="B65" s="2374" t="s">
        <v>372</v>
      </c>
      <c r="C65" s="2374"/>
      <c r="D65" s="2374"/>
      <c r="E65" s="2374"/>
      <c r="F65" s="2374"/>
      <c r="G65" s="2375"/>
      <c r="H65" s="2375"/>
      <c r="I65" s="102"/>
      <c r="J65" s="102"/>
      <c r="K65" s="102"/>
      <c r="L65" s="1782"/>
      <c r="M65" s="1010"/>
      <c r="N65" s="1044"/>
      <c r="O65" s="1044"/>
      <c r="P65" s="94"/>
      <c r="Q65" s="94"/>
      <c r="R65" s="94"/>
      <c r="S65" s="94"/>
      <c r="T65" s="94"/>
      <c r="U65" s="94"/>
      <c r="V65" s="94"/>
      <c r="W65" s="94"/>
      <c r="X65" s="1757"/>
      <c r="Y65" s="2081"/>
      <c r="Z65" s="2084"/>
      <c r="AA65" s="1526"/>
      <c r="AC65" s="970"/>
      <c r="AD65" s="970"/>
      <c r="AE65" s="970"/>
      <c r="AF65" s="249"/>
      <c r="AG65" s="249"/>
      <c r="AH65" s="249"/>
      <c r="AI65" s="249"/>
      <c r="AJ65" s="249"/>
      <c r="AK65" s="249"/>
      <c r="AL65" s="1336"/>
      <c r="AM65" s="1336"/>
      <c r="AN65" s="1336"/>
      <c r="AO65" s="1336"/>
      <c r="AP65" s="1336"/>
      <c r="AQ65" s="1336"/>
      <c r="AR65" s="1336"/>
      <c r="AS65" s="1336"/>
    </row>
    <row r="66" spans="1:51" x14ac:dyDescent="0.25">
      <c r="A66" s="2371">
        <v>5</v>
      </c>
      <c r="B66" s="2374" t="s">
        <v>372</v>
      </c>
      <c r="C66" s="2374"/>
      <c r="D66" s="2374"/>
      <c r="E66" s="2374"/>
      <c r="F66" s="2374"/>
      <c r="G66" s="2375"/>
      <c r="H66" s="2375"/>
      <c r="I66" s="102"/>
      <c r="J66" s="102"/>
      <c r="K66" s="102"/>
      <c r="L66" s="1782"/>
      <c r="M66" s="1010"/>
      <c r="N66" s="1044"/>
      <c r="O66" s="1044"/>
      <c r="P66" s="94"/>
      <c r="Q66" s="94"/>
      <c r="R66" s="94"/>
      <c r="S66" s="94"/>
      <c r="T66" s="94"/>
      <c r="U66" s="94"/>
      <c r="V66" s="94"/>
      <c r="W66" s="94"/>
      <c r="X66" s="1757"/>
      <c r="Y66" s="2081"/>
      <c r="Z66" s="2084"/>
      <c r="AA66" s="1526"/>
      <c r="AC66" s="970"/>
      <c r="AD66" s="970"/>
      <c r="AE66" s="970"/>
      <c r="AF66" s="249"/>
      <c r="AG66" s="249"/>
      <c r="AH66" s="249"/>
      <c r="AI66" s="249"/>
      <c r="AJ66" s="249"/>
      <c r="AK66" s="249"/>
      <c r="AL66" s="1336"/>
      <c r="AM66" s="1336"/>
      <c r="AN66" s="1336"/>
      <c r="AO66" s="1336"/>
      <c r="AP66" s="1336"/>
      <c r="AQ66" s="1336"/>
      <c r="AR66" s="1336"/>
      <c r="AS66" s="1336"/>
    </row>
    <row r="67" spans="1:51" ht="15.75" thickBot="1" x14ac:dyDescent="0.3">
      <c r="A67" s="2371">
        <v>5</v>
      </c>
      <c r="B67" s="2374" t="s">
        <v>372</v>
      </c>
      <c r="C67" s="2374"/>
      <c r="D67" s="2374"/>
      <c r="E67" s="2374"/>
      <c r="F67" s="2374"/>
      <c r="G67" s="2375"/>
      <c r="H67" s="2375"/>
      <c r="I67" s="103"/>
      <c r="J67" s="103"/>
      <c r="K67" s="103"/>
      <c r="L67" s="1190" t="s">
        <v>374</v>
      </c>
      <c r="M67" s="1011"/>
      <c r="N67" s="1045"/>
      <c r="O67" s="1045"/>
      <c r="P67" s="99"/>
      <c r="Q67" s="99"/>
      <c r="R67" s="99"/>
      <c r="S67" s="99"/>
      <c r="T67" s="99"/>
      <c r="U67" s="99"/>
      <c r="V67" s="99"/>
      <c r="W67" s="99"/>
      <c r="X67" s="1771"/>
      <c r="Y67" s="2082"/>
      <c r="Z67" s="2086"/>
      <c r="AA67" s="1526"/>
      <c r="AC67" s="970"/>
      <c r="AD67" s="970"/>
      <c r="AE67" s="970"/>
      <c r="AF67" s="249"/>
      <c r="AG67" s="249"/>
      <c r="AH67" s="249"/>
      <c r="AI67" s="249"/>
      <c r="AJ67" s="249"/>
      <c r="AK67" s="249"/>
      <c r="AL67" s="1336"/>
      <c r="AM67" s="1336"/>
      <c r="AN67" s="1336"/>
      <c r="AO67" s="1336"/>
      <c r="AP67" s="1336"/>
      <c r="AQ67" s="1336"/>
      <c r="AR67" s="1336"/>
      <c r="AS67" s="1336"/>
    </row>
    <row r="68" spans="1:51" ht="15.75" customHeight="1" thickTop="1" x14ac:dyDescent="0.25">
      <c r="A68" s="2371">
        <v>5</v>
      </c>
      <c r="B68" s="2374" t="s">
        <v>375</v>
      </c>
      <c r="C68" s="2374"/>
      <c r="D68" s="2374"/>
      <c r="E68" s="2374"/>
      <c r="F68" s="2374"/>
      <c r="G68" s="2363" t="str">
        <f>IF(COUNTIF(G69:G83,"P")&gt;0,"P","")</f>
        <v/>
      </c>
      <c r="H68" s="2375" t="s">
        <v>3972</v>
      </c>
      <c r="I68" s="139">
        <v>503.1</v>
      </c>
      <c r="J68" s="898"/>
      <c r="K68" s="898"/>
      <c r="L68" s="1201" t="s">
        <v>376</v>
      </c>
      <c r="M68" s="1009"/>
      <c r="N68" s="1046"/>
      <c r="O68" s="1046"/>
      <c r="P68" s="105"/>
      <c r="Q68" s="105"/>
      <c r="R68" s="105"/>
      <c r="S68" s="105"/>
      <c r="T68" s="105"/>
      <c r="U68" s="105"/>
      <c r="V68" s="105"/>
      <c r="W68" s="105"/>
      <c r="X68" s="1757"/>
      <c r="Y68" s="2129" t="str">
        <f>IF(LEN('Ch5'!X69)=0,"None",'Ch5'!X69)</f>
        <v>None</v>
      </c>
      <c r="Z68" s="2088"/>
      <c r="AA68" s="1526"/>
      <c r="AC68" s="970"/>
      <c r="AD68" s="970"/>
      <c r="AE68" s="970"/>
      <c r="AF68" s="249"/>
      <c r="AG68" s="249"/>
      <c r="AH68" s="249"/>
      <c r="AI68" s="249"/>
      <c r="AJ68" s="249"/>
      <c r="AK68" s="249"/>
      <c r="AL68" s="1336"/>
      <c r="AM68" s="1336"/>
      <c r="AN68" s="1336"/>
      <c r="AO68" s="1336"/>
      <c r="AP68" s="1336"/>
      <c r="AQ68" s="1336"/>
      <c r="AR68" s="1336" t="str">
        <f>SUBSTITUTE(SUBSTITUTE(SUBSTITUTE("vnt"&amp;$B68&amp;$C68&amp;$D68&amp;$E68,".","_"),"(","_"),")","")</f>
        <v>vnt503_1</v>
      </c>
      <c r="AS68" s="254" t="str">
        <f>IF(LEN(X68)=0,"",X68)</f>
        <v/>
      </c>
    </row>
    <row r="69" spans="1:51" x14ac:dyDescent="0.25">
      <c r="A69" s="2371">
        <v>5</v>
      </c>
      <c r="B69" s="2374" t="s">
        <v>375</v>
      </c>
      <c r="C69" s="2374" t="s">
        <v>256</v>
      </c>
      <c r="D69" s="2374"/>
      <c r="E69" s="2374"/>
      <c r="F69" s="2374"/>
      <c r="G69" s="2373" t="str">
        <f>IF(N69&gt;0,"P","")</f>
        <v/>
      </c>
      <c r="H69" s="2375" t="s">
        <v>3972</v>
      </c>
      <c r="I69" s="102"/>
      <c r="J69" s="91" t="s">
        <v>256</v>
      </c>
      <c r="K69" s="102"/>
      <c r="L69" s="1761" t="s">
        <v>377</v>
      </c>
      <c r="M69" s="1759">
        <v>5</v>
      </c>
      <c r="N69" s="2076">
        <f>'Ch5'!O70</f>
        <v>0</v>
      </c>
      <c r="O69" s="2076">
        <f>M69*W69</f>
        <v>0</v>
      </c>
      <c r="P69" s="94" t="b">
        <v>1</v>
      </c>
      <c r="Q69" s="94" t="b">
        <v>0</v>
      </c>
      <c r="R69" s="94" t="b">
        <v>0</v>
      </c>
      <c r="S69" s="94" t="b">
        <v>1</v>
      </c>
      <c r="T69" s="94" t="b">
        <v>0</v>
      </c>
      <c r="U69" s="94"/>
      <c r="V69" s="94"/>
      <c r="W69" s="360"/>
      <c r="X69" s="1757"/>
      <c r="Y69" s="2100"/>
      <c r="Z69" s="2084"/>
      <c r="AA69" s="1526"/>
      <c r="AC69" s="970"/>
      <c r="AD69" s="970"/>
      <c r="AE69" s="970"/>
      <c r="AF69" s="249"/>
      <c r="AG69" s="249"/>
      <c r="AH69" s="249"/>
      <c r="AI69" s="249"/>
      <c r="AJ69" s="249"/>
      <c r="AK69" s="249"/>
      <c r="AL69" s="1336" t="str">
        <f>SUBSTITUTE(SUBSTITUTE(SUBSTITUTE("vpa"&amp;$B69&amp;$C69&amp;$D69&amp;$E69,".","_"),"(","_"),")","")</f>
        <v>vpa503_1_1</v>
      </c>
      <c r="AM69" s="254">
        <f>M69</f>
        <v>5</v>
      </c>
      <c r="AN69" s="1336" t="str">
        <f>SUBSTITUTE(SUBSTITUTE(SUBSTITUTE("vpc"&amp;$B69&amp;$C69&amp;$D69&amp;$E69,".","_"),"(","_"),")","")</f>
        <v>vpc503_1_1</v>
      </c>
      <c r="AO69" s="254">
        <f>O69</f>
        <v>0</v>
      </c>
      <c r="AP69" s="1336" t="str">
        <f>SUBSTITUTE(SUBSTITUTE(SUBSTITUTE("vch"&amp;$B69&amp;$C69&amp;$D69&amp;$E69,".","_"),"(","_"),")","")</f>
        <v>vch503_1_1</v>
      </c>
      <c r="AQ69" s="254" t="str">
        <f>IF(LEN(W69)=0,"",W69)</f>
        <v/>
      </c>
      <c r="AR69" s="254"/>
      <c r="AS69" s="254"/>
    </row>
    <row r="70" spans="1:51" s="1150" customFormat="1" x14ac:dyDescent="0.25">
      <c r="A70" s="2371">
        <v>5</v>
      </c>
      <c r="B70" s="2374" t="s">
        <v>375</v>
      </c>
      <c r="C70" s="2374" t="s">
        <v>256</v>
      </c>
      <c r="D70" s="2374"/>
      <c r="E70" s="2374"/>
      <c r="F70" s="2374"/>
      <c r="G70" s="2373" t="str">
        <f>G69</f>
        <v/>
      </c>
      <c r="H70" s="2375" t="s">
        <v>3972</v>
      </c>
      <c r="I70" s="102"/>
      <c r="J70" s="174"/>
      <c r="K70" s="177"/>
      <c r="L70" s="1761"/>
      <c r="M70" s="1759"/>
      <c r="N70" s="2076"/>
      <c r="O70" s="2076"/>
      <c r="P70" s="94"/>
      <c r="Q70" s="94"/>
      <c r="R70" s="94"/>
      <c r="S70" s="94"/>
      <c r="T70" s="94"/>
      <c r="U70" s="94"/>
      <c r="V70" s="94"/>
      <c r="W70"/>
      <c r="X70" s="1757"/>
      <c r="Y70" s="2100"/>
      <c r="Z70" s="2084"/>
      <c r="AA70" s="1526"/>
      <c r="AL70" s="1336"/>
      <c r="AM70" s="254"/>
      <c r="AN70" s="1336"/>
      <c r="AO70" s="254"/>
      <c r="AP70" s="1336"/>
      <c r="AQ70" s="254"/>
      <c r="AR70" s="254"/>
      <c r="AS70" s="254"/>
    </row>
    <row r="71" spans="1:51" x14ac:dyDescent="0.25">
      <c r="A71" s="2371">
        <v>5</v>
      </c>
      <c r="B71" s="2374" t="s">
        <v>375</v>
      </c>
      <c r="C71" s="2374" t="s">
        <v>258</v>
      </c>
      <c r="D71" s="2374"/>
      <c r="E71" s="2374"/>
      <c r="F71" s="2374"/>
      <c r="G71" s="2373" t="str">
        <f>IF(N71&gt;0,"P","")</f>
        <v/>
      </c>
      <c r="H71" s="2375" t="s">
        <v>3972</v>
      </c>
      <c r="I71" s="102"/>
      <c r="J71" s="91" t="s">
        <v>258</v>
      </c>
      <c r="K71" s="102"/>
      <c r="L71" s="1754" t="s">
        <v>378</v>
      </c>
      <c r="M71" s="1758">
        <v>6</v>
      </c>
      <c r="N71" s="1927">
        <f>'Ch5'!O72</f>
        <v>0</v>
      </c>
      <c r="O71" s="1927">
        <f>M71*S71*W71</f>
        <v>0</v>
      </c>
      <c r="P71" s="94" t="b">
        <v>1</v>
      </c>
      <c r="Q71" s="94" t="b">
        <v>0</v>
      </c>
      <c r="R71" s="94" t="b">
        <v>0</v>
      </c>
      <c r="S71" s="94" t="b">
        <f>IF(W69=TRUE,TRUE,FALSE)</f>
        <v>0</v>
      </c>
      <c r="T71" s="94" t="b">
        <f>IF(AND(NOT(S71),W71=TRUE),TRUE,FALSE)</f>
        <v>0</v>
      </c>
      <c r="U71" s="94"/>
      <c r="V71" s="94"/>
      <c r="W71" s="360"/>
      <c r="X71" s="1757"/>
      <c r="Y71" s="2100"/>
      <c r="Z71" s="2084"/>
      <c r="AA71" s="1526"/>
      <c r="AC71" s="970" t="b">
        <f>OR(AD71:AE71)</f>
        <v>0</v>
      </c>
      <c r="AD71" s="970" t="b">
        <f>T71</f>
        <v>0</v>
      </c>
      <c r="AE71" s="970"/>
      <c r="AF71" s="249"/>
      <c r="AG71" s="249"/>
      <c r="AH71" s="249"/>
      <c r="AI71" s="249"/>
      <c r="AJ71" s="249"/>
      <c r="AK71" s="249"/>
      <c r="AL71" s="1336" t="str">
        <f>SUBSTITUTE(SUBSTITUTE(SUBSTITUTE("vpa"&amp;$B71&amp;$C71&amp;$D71&amp;$E71,".","_"),"(","_"),")","")</f>
        <v>vpa503_1_2</v>
      </c>
      <c r="AM71" s="254">
        <f>M71</f>
        <v>6</v>
      </c>
      <c r="AN71" s="1336" t="str">
        <f>SUBSTITUTE(SUBSTITUTE(SUBSTITUTE("vpc"&amp;$B71&amp;$C71&amp;$D71&amp;$E71,".","_"),"(","_"),")","")</f>
        <v>vpc503_1_2</v>
      </c>
      <c r="AO71" s="254">
        <f>O71</f>
        <v>0</v>
      </c>
      <c r="AP71" s="1336" t="str">
        <f>SUBSTITUTE(SUBSTITUTE(SUBSTITUTE("vch"&amp;$B71&amp;$C71&amp;$D71&amp;$E71,".","_"),"(","_"),")","")</f>
        <v>vch503_1_2</v>
      </c>
      <c r="AQ71" s="254" t="str">
        <f>IF(LEN(W71)=0,"",W71)</f>
        <v/>
      </c>
      <c r="AR71" s="254"/>
      <c r="AS71" s="254"/>
    </row>
    <row r="72" spans="1:51" x14ac:dyDescent="0.25">
      <c r="A72" s="2371">
        <v>5</v>
      </c>
      <c r="B72" s="2374" t="s">
        <v>375</v>
      </c>
      <c r="C72" s="2374" t="s">
        <v>258</v>
      </c>
      <c r="D72" s="2374"/>
      <c r="E72" s="2374"/>
      <c r="F72" s="2374"/>
      <c r="G72" s="2373" t="str">
        <f>G71</f>
        <v/>
      </c>
      <c r="H72" s="2375" t="s">
        <v>3972</v>
      </c>
      <c r="I72" s="102"/>
      <c r="J72" s="174"/>
      <c r="K72" s="177"/>
      <c r="L72" s="1755"/>
      <c r="M72" s="1759"/>
      <c r="N72" s="2076"/>
      <c r="O72" s="2076"/>
      <c r="P72" s="94"/>
      <c r="Q72" s="94"/>
      <c r="R72" s="94"/>
      <c r="S72" s="94"/>
      <c r="T72" s="94"/>
      <c r="U72" s="94"/>
      <c r="V72" s="94"/>
      <c r="W72" s="94"/>
      <c r="X72" s="1757"/>
      <c r="Y72" s="2100"/>
      <c r="Z72" s="2084"/>
      <c r="AA72" s="1526"/>
      <c r="AC72" s="970"/>
      <c r="AD72" s="970"/>
      <c r="AE72" s="970"/>
      <c r="AF72" s="249"/>
      <c r="AG72" s="249"/>
      <c r="AH72" s="249"/>
      <c r="AI72" s="249"/>
      <c r="AJ72" s="249"/>
      <c r="AK72" s="249"/>
      <c r="AL72" s="1336"/>
      <c r="AM72" s="1336"/>
      <c r="AN72" s="1336"/>
      <c r="AO72" s="1336"/>
      <c r="AP72" s="1336"/>
      <c r="AQ72" s="1336"/>
      <c r="AR72" s="1336"/>
      <c r="AS72" s="1336"/>
    </row>
    <row r="73" spans="1:51" x14ac:dyDescent="0.25">
      <c r="A73" s="2371">
        <v>5</v>
      </c>
      <c r="B73" s="2374" t="s">
        <v>375</v>
      </c>
      <c r="C73" s="2374" t="s">
        <v>260</v>
      </c>
      <c r="D73" s="2374"/>
      <c r="E73" s="2374"/>
      <c r="F73" s="2374"/>
      <c r="G73" s="2373" t="str">
        <f>IF(N73&gt;0,"P","")</f>
        <v/>
      </c>
      <c r="H73" s="2375" t="s">
        <v>3972</v>
      </c>
      <c r="I73" s="102"/>
      <c r="J73" s="91" t="s">
        <v>260</v>
      </c>
      <c r="K73" s="102"/>
      <c r="L73" s="1754" t="s">
        <v>379</v>
      </c>
      <c r="M73" s="1758">
        <v>4</v>
      </c>
      <c r="N73" s="1927">
        <f>'Ch5'!O74</f>
        <v>0</v>
      </c>
      <c r="O73" s="1927">
        <f>M73*S73*W73</f>
        <v>0</v>
      </c>
      <c r="P73" s="94" t="b">
        <v>1</v>
      </c>
      <c r="Q73" s="94" t="b">
        <v>0</v>
      </c>
      <c r="R73" s="94" t="b">
        <v>0</v>
      </c>
      <c r="S73" s="94" t="b">
        <f>IF(AND(W69=TRUE,W71=TRUE),TRUE,FALSE)</f>
        <v>0</v>
      </c>
      <c r="T73" s="94" t="b">
        <f>IF(AND(NOT(S73),W73=TRUE),TRUE,FALSE)</f>
        <v>0</v>
      </c>
      <c r="U73" s="94"/>
      <c r="V73" s="94"/>
      <c r="W73" s="360"/>
      <c r="X73" s="1757"/>
      <c r="Y73" s="2100"/>
      <c r="Z73" s="2084"/>
      <c r="AA73" s="1526"/>
      <c r="AC73" s="970" t="b">
        <f>OR(AD73:AE73)</f>
        <v>0</v>
      </c>
      <c r="AD73" s="970" t="b">
        <f>T73</f>
        <v>0</v>
      </c>
      <c r="AE73" s="970"/>
      <c r="AF73" s="249"/>
      <c r="AG73" s="249"/>
      <c r="AH73" s="249"/>
      <c r="AI73" s="249"/>
      <c r="AJ73" s="249"/>
      <c r="AK73" s="249"/>
      <c r="AL73" s="1336" t="str">
        <f>SUBSTITUTE(SUBSTITUTE(SUBSTITUTE("vpa"&amp;$B73&amp;$C73&amp;$D73&amp;$E73,".","_"),"(","_"),")","")</f>
        <v>vpa503_1_3</v>
      </c>
      <c r="AM73" s="254">
        <f>M73</f>
        <v>4</v>
      </c>
      <c r="AN73" s="1336" t="str">
        <f>SUBSTITUTE(SUBSTITUTE(SUBSTITUTE("vpc"&amp;$B73&amp;$C73&amp;$D73&amp;$E73,".","_"),"(","_"),")","")</f>
        <v>vpc503_1_3</v>
      </c>
      <c r="AO73" s="254">
        <f>O73</f>
        <v>0</v>
      </c>
      <c r="AP73" s="1336" t="str">
        <f>SUBSTITUTE(SUBSTITUTE(SUBSTITUTE("vch"&amp;$B73&amp;$C73&amp;$D73&amp;$E73,".","_"),"(","_"),")","")</f>
        <v>vch503_1_3</v>
      </c>
      <c r="AQ73" s="254" t="str">
        <f>IF(LEN(W73)=0,"",W73)</f>
        <v/>
      </c>
      <c r="AR73" s="254"/>
      <c r="AS73" s="254"/>
    </row>
    <row r="74" spans="1:51" x14ac:dyDescent="0.25">
      <c r="A74" s="2371">
        <v>5</v>
      </c>
      <c r="B74" s="2374" t="s">
        <v>375</v>
      </c>
      <c r="C74" s="2374" t="s">
        <v>260</v>
      </c>
      <c r="D74" s="2374"/>
      <c r="E74" s="2374"/>
      <c r="F74" s="2374"/>
      <c r="G74" s="2373" t="str">
        <f>G73</f>
        <v/>
      </c>
      <c r="H74" s="2375" t="s">
        <v>3972</v>
      </c>
      <c r="I74" s="102"/>
      <c r="J74" s="174"/>
      <c r="K74" s="177"/>
      <c r="L74" s="1755"/>
      <c r="M74" s="1759"/>
      <c r="N74" s="2076"/>
      <c r="O74" s="2076"/>
      <c r="P74" s="94"/>
      <c r="Q74" s="94"/>
      <c r="R74" s="94"/>
      <c r="S74" s="94"/>
      <c r="T74" s="94"/>
      <c r="U74" s="94"/>
      <c r="V74" s="94"/>
      <c r="W74" s="94"/>
      <c r="X74" s="1757"/>
      <c r="Y74" s="2100"/>
      <c r="Z74" s="2084"/>
      <c r="AA74" s="1526"/>
      <c r="AC74" s="970"/>
      <c r="AD74" s="970"/>
      <c r="AE74" s="970"/>
      <c r="AF74" s="249"/>
      <c r="AG74" s="249"/>
      <c r="AH74" s="249"/>
      <c r="AI74" s="249"/>
      <c r="AJ74" s="249"/>
      <c r="AK74" s="249"/>
      <c r="AL74" s="1336"/>
      <c r="AM74" s="1336"/>
      <c r="AN74" s="1336"/>
      <c r="AO74" s="1336"/>
      <c r="AP74" s="1336"/>
      <c r="AQ74" s="1336"/>
      <c r="AR74" s="1336"/>
      <c r="AS74" s="1336"/>
    </row>
    <row r="75" spans="1:51" x14ac:dyDescent="0.25">
      <c r="A75" s="2371">
        <v>5</v>
      </c>
      <c r="B75" s="2374" t="s">
        <v>375</v>
      </c>
      <c r="C75" s="2374" t="s">
        <v>269</v>
      </c>
      <c r="D75" s="2374"/>
      <c r="E75" s="2374"/>
      <c r="F75" s="2374"/>
      <c r="G75" s="2373" t="str">
        <f>IF(N75&gt;0,"P","")</f>
        <v/>
      </c>
      <c r="H75" s="2375" t="s">
        <v>3972</v>
      </c>
      <c r="I75" s="102"/>
      <c r="J75" s="91" t="s">
        <v>269</v>
      </c>
      <c r="K75" s="102"/>
      <c r="L75" s="1760" t="s">
        <v>380</v>
      </c>
      <c r="M75" s="1762">
        <v>4</v>
      </c>
      <c r="N75" s="2079">
        <f>'Ch5'!O76</f>
        <v>0</v>
      </c>
      <c r="O75" s="2079">
        <f>M75*W75</f>
        <v>0</v>
      </c>
      <c r="P75" s="94" t="b">
        <v>1</v>
      </c>
      <c r="Q75" s="94" t="b">
        <v>0</v>
      </c>
      <c r="R75" s="94" t="b">
        <v>0</v>
      </c>
      <c r="S75" s="94" t="b">
        <v>1</v>
      </c>
      <c r="T75" s="94" t="b">
        <v>0</v>
      </c>
      <c r="U75" s="94"/>
      <c r="V75" s="94"/>
      <c r="W75" s="360"/>
      <c r="X75" s="1757"/>
      <c r="Y75" s="2100"/>
      <c r="Z75" s="2084"/>
      <c r="AA75" s="1526"/>
      <c r="AC75" s="970"/>
      <c r="AD75" s="970"/>
      <c r="AE75" s="970"/>
      <c r="AF75" s="249"/>
      <c r="AG75" s="249"/>
      <c r="AH75" s="249"/>
      <c r="AI75" s="249"/>
      <c r="AJ75" s="249"/>
      <c r="AK75" s="249"/>
      <c r="AL75" s="1336" t="str">
        <f>SUBSTITUTE(SUBSTITUTE(SUBSTITUTE("vpa"&amp;$B75&amp;$C75&amp;$D75&amp;$E75,".","_"),"(","_"),")","")</f>
        <v>vpa503_1_4</v>
      </c>
      <c r="AM75" s="254">
        <f>M75</f>
        <v>4</v>
      </c>
      <c r="AN75" s="1336" t="str">
        <f>SUBSTITUTE(SUBSTITUTE(SUBSTITUTE("vpc"&amp;$B75&amp;$C75&amp;$D75&amp;$E75,".","_"),"(","_"),")","")</f>
        <v>vpc503_1_4</v>
      </c>
      <c r="AO75" s="254">
        <f>O75</f>
        <v>0</v>
      </c>
      <c r="AP75" s="1336" t="str">
        <f>SUBSTITUTE(SUBSTITUTE(SUBSTITUTE("vch"&amp;$B75&amp;$C75&amp;$D75&amp;$E75,".","_"),"(","_"),")","")</f>
        <v>vch503_1_4</v>
      </c>
      <c r="AQ75" s="254" t="str">
        <f>IF(LEN(W75)=0,"",W75)</f>
        <v/>
      </c>
      <c r="AR75" s="254"/>
      <c r="AS75" s="254"/>
    </row>
    <row r="76" spans="1:51" s="1150" customFormat="1" x14ac:dyDescent="0.25">
      <c r="A76" s="2371">
        <v>5</v>
      </c>
      <c r="B76" s="2374" t="s">
        <v>375</v>
      </c>
      <c r="C76" s="2374" t="s">
        <v>269</v>
      </c>
      <c r="D76" s="2374"/>
      <c r="E76" s="2374"/>
      <c r="F76" s="2374"/>
      <c r="G76" s="2373" t="str">
        <f>G75</f>
        <v/>
      </c>
      <c r="H76" s="2375" t="s">
        <v>3972</v>
      </c>
      <c r="I76" s="102"/>
      <c r="J76" s="174"/>
      <c r="K76" s="177"/>
      <c r="L76" s="1761"/>
      <c r="M76" s="1759"/>
      <c r="N76" s="2076"/>
      <c r="O76" s="2076"/>
      <c r="P76" s="94"/>
      <c r="Q76" s="94"/>
      <c r="R76" s="94"/>
      <c r="S76" s="94"/>
      <c r="T76" s="94"/>
      <c r="U76" s="94"/>
      <c r="V76" s="94"/>
      <c r="W76"/>
      <c r="X76" s="1757"/>
      <c r="Y76" s="2100"/>
      <c r="Z76" s="2084"/>
      <c r="AA76" s="1526"/>
      <c r="AL76" s="1336"/>
      <c r="AM76" s="254"/>
      <c r="AN76" s="1336"/>
      <c r="AO76" s="254"/>
      <c r="AP76" s="1336"/>
      <c r="AQ76" s="254"/>
      <c r="AR76" s="254"/>
      <c r="AS76" s="254"/>
    </row>
    <row r="77" spans="1:51" x14ac:dyDescent="0.25">
      <c r="A77" s="2371">
        <v>5</v>
      </c>
      <c r="B77" s="2374" t="s">
        <v>375</v>
      </c>
      <c r="C77" s="2374" t="s">
        <v>275</v>
      </c>
      <c r="D77" s="2374"/>
      <c r="E77" s="2374"/>
      <c r="F77" s="2374"/>
      <c r="G77" s="2373" t="str">
        <f>IF(N77&gt;0,"P","")</f>
        <v/>
      </c>
      <c r="H77" s="2375" t="s">
        <v>3972</v>
      </c>
      <c r="I77" s="102"/>
      <c r="J77" s="846" t="s">
        <v>275</v>
      </c>
      <c r="K77" s="1211"/>
      <c r="L77" s="1760" t="s">
        <v>381</v>
      </c>
      <c r="M77" s="1762">
        <v>3</v>
      </c>
      <c r="N77" s="2079">
        <f>'Ch5'!O78</f>
        <v>0</v>
      </c>
      <c r="O77" s="2079">
        <f>M77*W77</f>
        <v>0</v>
      </c>
      <c r="P77" s="94" t="b">
        <v>1</v>
      </c>
      <c r="Q77" s="94" t="b">
        <v>0</v>
      </c>
      <c r="R77" s="94" t="b">
        <v>0</v>
      </c>
      <c r="S77" s="94" t="b">
        <v>1</v>
      </c>
      <c r="T77" s="94" t="b">
        <v>0</v>
      </c>
      <c r="U77" s="94"/>
      <c r="V77" s="94"/>
      <c r="W77" s="360"/>
      <c r="X77" s="1757"/>
      <c r="Y77" s="2100"/>
      <c r="Z77" s="2084"/>
      <c r="AA77" s="1526"/>
      <c r="AC77" s="970"/>
      <c r="AD77" s="970"/>
      <c r="AE77" s="970"/>
      <c r="AF77" s="249"/>
      <c r="AG77" s="249"/>
      <c r="AH77" s="249"/>
      <c r="AI77" s="249"/>
      <c r="AJ77" s="249"/>
      <c r="AK77" s="249"/>
      <c r="AL77" s="1336" t="str">
        <f>SUBSTITUTE(SUBSTITUTE(SUBSTITUTE("vpa"&amp;$B77&amp;$C77&amp;$D77&amp;$E77,".","_"),"(","_"),")","")</f>
        <v>vpa503_1_5</v>
      </c>
      <c r="AM77" s="254">
        <f>M77</f>
        <v>3</v>
      </c>
      <c r="AN77" s="1336" t="str">
        <f>SUBSTITUTE(SUBSTITUTE(SUBSTITUTE("vpc"&amp;$B77&amp;$C77&amp;$D77&amp;$E77,".","_"),"(","_"),")","")</f>
        <v>vpc503_1_5</v>
      </c>
      <c r="AO77" s="254">
        <f>O77</f>
        <v>0</v>
      </c>
      <c r="AP77" s="1336" t="str">
        <f>SUBSTITUTE(SUBSTITUTE(SUBSTITUTE("vch"&amp;$B77&amp;$C77&amp;$D77&amp;$E77,".","_"),"(","_"),")","")</f>
        <v>vch503_1_5</v>
      </c>
      <c r="AQ77" s="254" t="str">
        <f>IF(LEN(W77)=0,"",W77)</f>
        <v/>
      </c>
      <c r="AR77" s="254"/>
      <c r="AS77" s="254"/>
      <c r="AX77" s="515"/>
      <c r="AY77" s="516"/>
    </row>
    <row r="78" spans="1:51" s="1150" customFormat="1" x14ac:dyDescent="0.25">
      <c r="A78" s="2371">
        <v>5</v>
      </c>
      <c r="B78" s="2374" t="s">
        <v>375</v>
      </c>
      <c r="C78" s="2374" t="s">
        <v>275</v>
      </c>
      <c r="D78" s="2374"/>
      <c r="E78" s="2374"/>
      <c r="F78" s="2374"/>
      <c r="G78" s="2373" t="str">
        <f>G77</f>
        <v/>
      </c>
      <c r="H78" s="2375" t="s">
        <v>3972</v>
      </c>
      <c r="I78" s="102"/>
      <c r="J78" s="174"/>
      <c r="K78" s="177"/>
      <c r="L78" s="1761"/>
      <c r="M78" s="1759"/>
      <c r="N78" s="2076"/>
      <c r="O78" s="2076"/>
      <c r="P78" s="94"/>
      <c r="Q78" s="94"/>
      <c r="R78" s="94"/>
      <c r="S78" s="94"/>
      <c r="T78" s="94"/>
      <c r="U78" s="94"/>
      <c r="V78" s="94"/>
      <c r="W78"/>
      <c r="X78" s="1757"/>
      <c r="Y78" s="2100"/>
      <c r="Z78" s="2084"/>
      <c r="AA78" s="1526"/>
      <c r="AL78" s="1336"/>
      <c r="AM78" s="254"/>
      <c r="AN78" s="1336"/>
      <c r="AO78" s="254"/>
      <c r="AP78" s="1336"/>
      <c r="AQ78" s="254"/>
      <c r="AR78" s="254"/>
      <c r="AS78" s="254"/>
      <c r="AX78" s="1149"/>
    </row>
    <row r="79" spans="1:51" x14ac:dyDescent="0.25">
      <c r="A79" s="2371">
        <v>5</v>
      </c>
      <c r="B79" s="2374" t="s">
        <v>375</v>
      </c>
      <c r="C79" s="2374" t="s">
        <v>277</v>
      </c>
      <c r="D79" s="2374"/>
      <c r="E79" s="2374"/>
      <c r="F79" s="2374"/>
      <c r="G79" s="2373" t="str">
        <f>IF(N79&gt;0,"P","")</f>
        <v/>
      </c>
      <c r="H79" s="2375" t="s">
        <v>3972</v>
      </c>
      <c r="I79" s="102"/>
      <c r="J79" s="91" t="s">
        <v>277</v>
      </c>
      <c r="K79" s="102"/>
      <c r="L79" s="1754" t="s">
        <v>382</v>
      </c>
      <c r="M79" s="1758">
        <v>4</v>
      </c>
      <c r="N79" s="1927">
        <f>'Ch5'!O80</f>
        <v>0</v>
      </c>
      <c r="O79" s="1927">
        <f>M79*W79</f>
        <v>0</v>
      </c>
      <c r="P79" s="94" t="b">
        <v>1</v>
      </c>
      <c r="Q79" s="94" t="b">
        <v>0</v>
      </c>
      <c r="R79" s="94" t="b">
        <v>0</v>
      </c>
      <c r="S79" s="94" t="b">
        <v>1</v>
      </c>
      <c r="T79" s="94" t="b">
        <v>0</v>
      </c>
      <c r="U79" s="94"/>
      <c r="V79" s="94"/>
      <c r="W79" s="360"/>
      <c r="X79" s="1757"/>
      <c r="Y79" s="2100"/>
      <c r="Z79" s="2084"/>
      <c r="AA79" s="1526"/>
      <c r="AC79" s="970"/>
      <c r="AD79" s="970"/>
      <c r="AE79" s="970"/>
      <c r="AF79" s="249"/>
      <c r="AG79" s="249"/>
      <c r="AH79" s="249"/>
      <c r="AI79" s="249"/>
      <c r="AJ79" s="249"/>
      <c r="AK79" s="249"/>
      <c r="AL79" s="1336" t="str">
        <f>SUBSTITUTE(SUBSTITUTE(SUBSTITUTE("vpa"&amp;$B79&amp;$C79&amp;$D79&amp;$E79,".","_"),"(","_"),")","")</f>
        <v>vpa503_1_6</v>
      </c>
      <c r="AM79" s="254">
        <f>M79</f>
        <v>4</v>
      </c>
      <c r="AN79" s="1336" t="str">
        <f>SUBSTITUTE(SUBSTITUTE(SUBSTITUTE("vpc"&amp;$B79&amp;$C79&amp;$D79&amp;$E79,".","_"),"(","_"),")","")</f>
        <v>vpc503_1_6</v>
      </c>
      <c r="AO79" s="254">
        <f>O79</f>
        <v>0</v>
      </c>
      <c r="AP79" s="1336" t="str">
        <f>SUBSTITUTE(SUBSTITUTE(SUBSTITUTE("vch"&amp;$B79&amp;$C79&amp;$D79&amp;$E79,".","_"),"(","_"),")","")</f>
        <v>vch503_1_6</v>
      </c>
      <c r="AQ79" s="254" t="str">
        <f>IF(LEN(W79)=0,"",W79)</f>
        <v/>
      </c>
      <c r="AR79" s="254"/>
      <c r="AS79" s="254"/>
    </row>
    <row r="80" spans="1:51" x14ac:dyDescent="0.25">
      <c r="A80" s="2371">
        <v>5</v>
      </c>
      <c r="B80" s="2374" t="s">
        <v>375</v>
      </c>
      <c r="C80" s="2374" t="s">
        <v>277</v>
      </c>
      <c r="D80" s="2374"/>
      <c r="E80" s="2374"/>
      <c r="F80" s="2374"/>
      <c r="G80" s="2373" t="str">
        <f>G79</f>
        <v/>
      </c>
      <c r="H80" s="2375" t="s">
        <v>3972</v>
      </c>
      <c r="I80" s="102"/>
      <c r="J80" s="174"/>
      <c r="K80" s="177"/>
      <c r="L80" s="1755"/>
      <c r="M80" s="1759"/>
      <c r="N80" s="2076"/>
      <c r="O80" s="2076"/>
      <c r="P80" s="94"/>
      <c r="Q80" s="94"/>
      <c r="R80" s="94"/>
      <c r="S80" s="94"/>
      <c r="T80" s="94"/>
      <c r="U80" s="94"/>
      <c r="V80" s="94"/>
      <c r="W80" s="94"/>
      <c r="X80" s="1757"/>
      <c r="Y80" s="2100"/>
      <c r="Z80" s="2084"/>
      <c r="AA80" s="1526"/>
      <c r="AC80" s="970"/>
      <c r="AD80" s="970"/>
      <c r="AE80" s="970"/>
      <c r="AF80" s="249"/>
      <c r="AG80" s="249"/>
      <c r="AH80" s="249"/>
      <c r="AI80" s="249"/>
      <c r="AJ80" s="249"/>
      <c r="AK80" s="249"/>
      <c r="AL80" s="1336"/>
      <c r="AM80" s="1336"/>
      <c r="AN80" s="1336"/>
      <c r="AO80" s="1336"/>
      <c r="AP80" s="1336"/>
      <c r="AQ80" s="1336"/>
      <c r="AR80" s="1336"/>
      <c r="AS80" s="1336"/>
    </row>
    <row r="81" spans="1:46" x14ac:dyDescent="0.25">
      <c r="A81" s="2371">
        <v>5</v>
      </c>
      <c r="B81" s="2374" t="s">
        <v>375</v>
      </c>
      <c r="C81" s="2374" t="s">
        <v>383</v>
      </c>
      <c r="D81" s="2374"/>
      <c r="E81" s="2374"/>
      <c r="F81" s="2374"/>
      <c r="G81" s="2373" t="str">
        <f>IF(N81&gt;0,"P","")</f>
        <v/>
      </c>
      <c r="H81" s="2375" t="s">
        <v>3972</v>
      </c>
      <c r="I81" s="102"/>
      <c r="J81" s="91" t="s">
        <v>383</v>
      </c>
      <c r="K81" s="102"/>
      <c r="L81" s="1754" t="s">
        <v>384</v>
      </c>
      <c r="M81" s="1758">
        <v>5</v>
      </c>
      <c r="N81" s="1927">
        <f>'Ch5'!O82</f>
        <v>0</v>
      </c>
      <c r="O81" s="1927">
        <f>M81*W81</f>
        <v>0</v>
      </c>
      <c r="P81" s="94" t="b">
        <v>1</v>
      </c>
      <c r="Q81" s="94" t="b">
        <v>0</v>
      </c>
      <c r="R81" s="94" t="b">
        <v>0</v>
      </c>
      <c r="S81" s="94" t="b">
        <v>1</v>
      </c>
      <c r="T81" s="94" t="b">
        <v>0</v>
      </c>
      <c r="U81" s="94"/>
      <c r="V81" s="94"/>
      <c r="W81" s="360"/>
      <c r="X81" s="1757"/>
      <c r="Y81" s="2100"/>
      <c r="Z81" s="2084"/>
      <c r="AA81" s="1526"/>
      <c r="AC81" s="970"/>
      <c r="AD81" s="970"/>
      <c r="AE81" s="970"/>
      <c r="AF81" s="249"/>
      <c r="AG81" s="249"/>
      <c r="AH81" s="249"/>
      <c r="AI81" s="249"/>
      <c r="AJ81" s="249"/>
      <c r="AK81" s="249"/>
      <c r="AL81" s="1336" t="str">
        <f>SUBSTITUTE(SUBSTITUTE(SUBSTITUTE("vpa"&amp;$B81&amp;$C81&amp;$D81&amp;$E81,".","_"),"(","_"),")","")</f>
        <v>vpa503_1_7</v>
      </c>
      <c r="AM81" s="254">
        <f>M81</f>
        <v>5</v>
      </c>
      <c r="AN81" s="1336" t="str">
        <f>SUBSTITUTE(SUBSTITUTE(SUBSTITUTE("vpc"&amp;$B81&amp;$C81&amp;$D81&amp;$E81,".","_"),"(","_"),")","")</f>
        <v>vpc503_1_7</v>
      </c>
      <c r="AO81" s="254">
        <f>O81</f>
        <v>0</v>
      </c>
      <c r="AP81" s="1336" t="str">
        <f>SUBSTITUTE(SUBSTITUTE(SUBSTITUTE("vch"&amp;$B81&amp;$C81&amp;$D81&amp;$E81,".","_"),"(","_"),")","")</f>
        <v>vch503_1_7</v>
      </c>
      <c r="AQ81" s="254" t="str">
        <f>IF(LEN(W81)=0,"",W81)</f>
        <v/>
      </c>
      <c r="AR81" s="254"/>
      <c r="AS81" s="254"/>
    </row>
    <row r="82" spans="1:46" s="94" customFormat="1" x14ac:dyDescent="0.25">
      <c r="A82" s="2371">
        <v>5</v>
      </c>
      <c r="B82" s="2374" t="s">
        <v>375</v>
      </c>
      <c r="C82" s="2374" t="s">
        <v>383</v>
      </c>
      <c r="D82" s="2374"/>
      <c r="E82" s="2374"/>
      <c r="F82" s="2374"/>
      <c r="G82" s="2377" t="str">
        <f>G81</f>
        <v/>
      </c>
      <c r="H82" s="2378" t="s">
        <v>3972</v>
      </c>
      <c r="I82" s="102"/>
      <c r="J82" s="102"/>
      <c r="K82" s="102"/>
      <c r="L82" s="1754"/>
      <c r="M82" s="1758"/>
      <c r="N82" s="1927"/>
      <c r="O82" s="1927"/>
      <c r="X82" s="1757"/>
      <c r="Y82" s="2100"/>
      <c r="Z82" s="2084"/>
      <c r="AA82" s="1526"/>
      <c r="AC82" s="970"/>
      <c r="AD82" s="970"/>
      <c r="AE82" s="970"/>
      <c r="AL82" s="1336"/>
      <c r="AM82" s="1336"/>
      <c r="AN82" s="1336"/>
      <c r="AO82" s="1336"/>
      <c r="AP82" s="1336"/>
      <c r="AQ82" s="1336"/>
      <c r="AR82" s="1336"/>
      <c r="AS82" s="1336"/>
    </row>
    <row r="83" spans="1:46" x14ac:dyDescent="0.25">
      <c r="A83" s="2371">
        <v>5</v>
      </c>
      <c r="B83" s="2374" t="s">
        <v>375</v>
      </c>
      <c r="C83" s="2374" t="s">
        <v>428</v>
      </c>
      <c r="G83" s="2373" t="str">
        <f>IF(N83&gt;0,"P","")</f>
        <v/>
      </c>
      <c r="H83" s="2375" t="s">
        <v>3972</v>
      </c>
      <c r="I83"/>
      <c r="J83" s="846" t="s">
        <v>428</v>
      </c>
      <c r="K83" s="849"/>
      <c r="L83" s="1769" t="s">
        <v>4126</v>
      </c>
      <c r="M83" s="1762">
        <v>6</v>
      </c>
      <c r="N83" s="2079">
        <f>'Ch5'!O84</f>
        <v>0</v>
      </c>
      <c r="O83" s="2079">
        <f>M83*W83</f>
        <v>0</v>
      </c>
      <c r="P83" s="868" t="b">
        <v>1</v>
      </c>
      <c r="Q83" s="868" t="b">
        <v>0</v>
      </c>
      <c r="R83" s="868" t="b">
        <v>0</v>
      </c>
      <c r="S83" s="868" t="b">
        <v>1</v>
      </c>
      <c r="T83" s="868" t="b">
        <v>0</v>
      </c>
      <c r="U83"/>
      <c r="V83"/>
      <c r="W83" s="25"/>
      <c r="X83" s="1757"/>
      <c r="Y83" s="2100"/>
      <c r="Z83" s="2084"/>
      <c r="AA83" s="1526"/>
      <c r="AC83" s="970"/>
      <c r="AD83" s="970"/>
      <c r="AE83" s="970"/>
      <c r="AF83"/>
      <c r="AG83"/>
      <c r="AH83"/>
      <c r="AI83"/>
      <c r="AJ83"/>
      <c r="AK83"/>
      <c r="AL83" s="1336" t="str">
        <f>SUBSTITUTE(SUBSTITUTE(SUBSTITUTE("vpa"&amp;$B83&amp;$C83&amp;$D83&amp;$E83,".","_"),"(","_"),")","")</f>
        <v>vpa503_1_8</v>
      </c>
      <c r="AM83" s="254">
        <f>M83</f>
        <v>6</v>
      </c>
      <c r="AN83" s="1336" t="str">
        <f>SUBSTITUTE(SUBSTITUTE(SUBSTITUTE("vpc"&amp;$B83&amp;$C83&amp;$D83&amp;$E83,".","_"),"(","_"),")","")</f>
        <v>vpc503_1_8</v>
      </c>
      <c r="AO83" s="254">
        <f>O83</f>
        <v>0</v>
      </c>
      <c r="AP83" s="1336" t="str">
        <f>SUBSTITUTE(SUBSTITUTE(SUBSTITUTE("vch"&amp;$B83&amp;$C83&amp;$D83&amp;$E83,".","_"),"(","_"),")","")</f>
        <v>vch503_1_8</v>
      </c>
      <c r="AQ83" s="254" t="str">
        <f>IF(LEN(W83)=0,"",W83)</f>
        <v/>
      </c>
      <c r="AR83" s="1336"/>
      <c r="AS83" s="1336"/>
      <c r="AT83"/>
    </row>
    <row r="84" spans="1:46" x14ac:dyDescent="0.25">
      <c r="A84" s="2371">
        <v>5</v>
      </c>
      <c r="B84" s="2374" t="s">
        <v>375</v>
      </c>
      <c r="C84" s="2374" t="s">
        <v>428</v>
      </c>
      <c r="G84" s="2377" t="str">
        <f>G83</f>
        <v/>
      </c>
      <c r="H84" s="2378" t="s">
        <v>3972</v>
      </c>
      <c r="I84"/>
      <c r="J84" s="845"/>
      <c r="K84" s="845"/>
      <c r="L84" s="1787"/>
      <c r="M84" s="1758"/>
      <c r="N84" s="2075"/>
      <c r="O84" s="1927"/>
      <c r="P84" s="868"/>
      <c r="Q84" s="868"/>
      <c r="R84" s="868"/>
      <c r="S84" s="868"/>
      <c r="T84" s="868"/>
      <c r="U84"/>
      <c r="V84"/>
      <c r="W84"/>
      <c r="X84" s="1757"/>
      <c r="Y84" s="2100"/>
      <c r="Z84" s="2084"/>
      <c r="AA84" s="1526"/>
      <c r="AC84" s="970"/>
      <c r="AD84" s="970"/>
      <c r="AE84" s="970"/>
      <c r="AF84"/>
      <c r="AG84"/>
      <c r="AH84"/>
      <c r="AI84"/>
      <c r="AJ84"/>
      <c r="AK84"/>
      <c r="AL84" s="1336"/>
      <c r="AM84" s="1336"/>
      <c r="AN84" s="1336"/>
      <c r="AO84" s="1336"/>
      <c r="AP84" s="1336"/>
      <c r="AQ84" s="1336"/>
      <c r="AR84" s="1336"/>
      <c r="AS84" s="1336"/>
      <c r="AT84"/>
    </row>
    <row r="85" spans="1:46" x14ac:dyDescent="0.25">
      <c r="A85" s="2371">
        <v>5</v>
      </c>
      <c r="B85" s="2374" t="s">
        <v>375</v>
      </c>
      <c r="C85" s="2374" t="s">
        <v>428</v>
      </c>
      <c r="G85" s="2377" t="str">
        <f>G84</f>
        <v/>
      </c>
      <c r="H85" s="2378" t="s">
        <v>3972</v>
      </c>
      <c r="I85"/>
      <c r="J85" s="845"/>
      <c r="K85" s="845"/>
      <c r="L85" s="1787"/>
      <c r="M85" s="1758"/>
      <c r="N85" s="2075"/>
      <c r="O85" s="1927"/>
      <c r="P85" s="868"/>
      <c r="Q85" s="868"/>
      <c r="R85" s="868"/>
      <c r="S85" s="868"/>
      <c r="T85" s="868"/>
      <c r="U85"/>
      <c r="V85"/>
      <c r="W85"/>
      <c r="X85" s="1757"/>
      <c r="Y85" s="2100"/>
      <c r="Z85" s="2084"/>
      <c r="AA85" s="1526"/>
      <c r="AC85" s="970"/>
      <c r="AD85" s="970"/>
      <c r="AE85" s="970"/>
      <c r="AF85"/>
      <c r="AG85"/>
      <c r="AH85"/>
      <c r="AI85"/>
      <c r="AJ85"/>
      <c r="AK85"/>
      <c r="AL85" s="1336"/>
      <c r="AM85" s="1336"/>
      <c r="AN85" s="1336"/>
      <c r="AO85" s="1336"/>
      <c r="AP85" s="1336"/>
      <c r="AQ85" s="1336"/>
      <c r="AR85" s="1336"/>
      <c r="AS85" s="1336"/>
      <c r="AT85"/>
    </row>
    <row r="86" spans="1:46" x14ac:dyDescent="0.25">
      <c r="A86" s="2371">
        <v>5</v>
      </c>
      <c r="B86" s="2374" t="s">
        <v>375</v>
      </c>
      <c r="C86" s="2374" t="s">
        <v>428</v>
      </c>
      <c r="G86" s="2377" t="str">
        <f>G85</f>
        <v/>
      </c>
      <c r="H86" s="2378" t="s">
        <v>3972</v>
      </c>
      <c r="I86"/>
      <c r="J86" s="845"/>
      <c r="K86" s="845"/>
      <c r="L86" s="1787"/>
      <c r="M86" s="1758"/>
      <c r="N86" s="2075"/>
      <c r="O86" s="1927"/>
      <c r="P86" s="868"/>
      <c r="Q86" s="868"/>
      <c r="R86" s="868"/>
      <c r="S86" s="868"/>
      <c r="T86" s="868"/>
      <c r="U86"/>
      <c r="V86"/>
      <c r="W86"/>
      <c r="X86" s="1757"/>
      <c r="Y86" s="2100"/>
      <c r="Z86" s="2084"/>
      <c r="AA86" s="1526"/>
      <c r="AC86" s="970"/>
      <c r="AD86" s="970"/>
      <c r="AE86" s="970"/>
      <c r="AF86"/>
      <c r="AG86"/>
      <c r="AH86"/>
      <c r="AI86"/>
      <c r="AJ86"/>
      <c r="AK86"/>
      <c r="AL86" s="1336"/>
      <c r="AM86" s="1336"/>
      <c r="AN86" s="1336"/>
      <c r="AO86" s="1336"/>
      <c r="AP86" s="1336"/>
      <c r="AQ86" s="1336"/>
      <c r="AR86" s="1336"/>
      <c r="AS86" s="1336"/>
      <c r="AT86"/>
    </row>
    <row r="87" spans="1:46" ht="15.75" thickBot="1" x14ac:dyDescent="0.3">
      <c r="A87" s="2371">
        <v>5</v>
      </c>
      <c r="B87" s="2374" t="s">
        <v>375</v>
      </c>
      <c r="C87" s="2374" t="s">
        <v>428</v>
      </c>
      <c r="G87" s="2377" t="str">
        <f>G86</f>
        <v/>
      </c>
      <c r="H87" s="2378" t="s">
        <v>3972</v>
      </c>
      <c r="I87"/>
      <c r="J87" s="852"/>
      <c r="K87" s="852"/>
      <c r="L87" s="1766"/>
      <c r="M87" s="1768"/>
      <c r="N87" s="1928"/>
      <c r="O87" s="1928"/>
      <c r="P87" s="99"/>
      <c r="Q87" s="99"/>
      <c r="R87" s="99"/>
      <c r="S87" s="99"/>
      <c r="T87" s="99"/>
      <c r="U87"/>
      <c r="V87"/>
      <c r="W87"/>
      <c r="X87" s="1757"/>
      <c r="Y87" s="2102"/>
      <c r="Z87" s="2086"/>
      <c r="AA87" s="1526"/>
      <c r="AC87" s="970"/>
      <c r="AD87" s="970"/>
      <c r="AE87" s="970"/>
      <c r="AF87"/>
      <c r="AG87"/>
      <c r="AH87"/>
      <c r="AI87"/>
      <c r="AJ87"/>
      <c r="AK87"/>
      <c r="AL87" s="1336"/>
      <c r="AM87" s="1336"/>
      <c r="AN87" s="1336"/>
      <c r="AO87" s="1336"/>
      <c r="AP87" s="1336"/>
      <c r="AQ87" s="1336"/>
      <c r="AR87" s="1336"/>
      <c r="AS87" s="1336"/>
      <c r="AT87"/>
    </row>
    <row r="88" spans="1:46" ht="15" customHeight="1" thickTop="1" x14ac:dyDescent="0.25">
      <c r="A88" s="2371">
        <v>5</v>
      </c>
      <c r="B88" s="2374" t="s">
        <v>385</v>
      </c>
      <c r="C88" s="2374"/>
      <c r="D88" s="2374"/>
      <c r="E88" s="2374"/>
      <c r="F88" s="2374"/>
      <c r="G88" s="2363" t="str">
        <f ca="1">IF(COUNTIF(G90:G100,"P")&gt;0,"P","")</f>
        <v/>
      </c>
      <c r="H88" s="2375" t="s">
        <v>3971</v>
      </c>
      <c r="I88" s="106">
        <v>503.2</v>
      </c>
      <c r="J88" s="107"/>
      <c r="K88" s="107"/>
      <c r="L88" s="1189" t="s">
        <v>386</v>
      </c>
      <c r="M88" s="1009"/>
      <c r="N88" s="1046"/>
      <c r="O88" s="1046"/>
      <c r="P88" s="105"/>
      <c r="Q88" s="105"/>
      <c r="R88" s="105"/>
      <c r="S88" s="105"/>
      <c r="T88" s="105"/>
      <c r="U88" s="105"/>
      <c r="V88" s="105"/>
      <c r="W88" s="105" t="s">
        <v>739</v>
      </c>
      <c r="X88" s="1784"/>
      <c r="Y88" s="2098" t="str">
        <f>IF(LEN('Ch5'!X89)=0,"None",'Ch5'!X89)</f>
        <v>None</v>
      </c>
      <c r="Z88" s="2085"/>
      <c r="AA88" s="1526"/>
      <c r="AC88" s="970"/>
      <c r="AD88" s="970"/>
      <c r="AE88" s="970"/>
      <c r="AF88" s="249"/>
      <c r="AG88" s="249"/>
      <c r="AH88" s="249"/>
      <c r="AI88" s="249"/>
      <c r="AJ88" s="249"/>
      <c r="AK88" s="249"/>
      <c r="AL88" s="1336"/>
      <c r="AM88" s="1336"/>
      <c r="AN88" s="1336"/>
      <c r="AO88" s="1336"/>
      <c r="AP88" s="1336"/>
      <c r="AQ88" s="1336"/>
      <c r="AR88" s="1336" t="str">
        <f>SUBSTITUTE(SUBSTITUTE(SUBSTITUTE("vnt"&amp;$B88&amp;$C88&amp;$D88&amp;$E88,".","_"),"(","_"),")","")</f>
        <v>vnt503_2</v>
      </c>
      <c r="AS88" s="254" t="str">
        <f>IF(LEN(X88)=0,"",X88)</f>
        <v/>
      </c>
    </row>
    <row r="89" spans="1:46" x14ac:dyDescent="0.25">
      <c r="A89" s="2371">
        <v>5</v>
      </c>
      <c r="B89" s="2374" t="s">
        <v>385</v>
      </c>
      <c r="C89" s="2374"/>
      <c r="D89" s="2374"/>
      <c r="E89" s="2374"/>
      <c r="F89" s="2374"/>
      <c r="G89" s="2373" t="str">
        <f ca="1">G88</f>
        <v/>
      </c>
      <c r="H89" s="2375" t="s">
        <v>3971</v>
      </c>
      <c r="I89" s="101"/>
      <c r="J89" s="102"/>
      <c r="K89" s="102"/>
      <c r="L89" s="1179" t="s">
        <v>3380</v>
      </c>
      <c r="M89" s="1010"/>
      <c r="N89" s="1044"/>
      <c r="O89" s="1044"/>
      <c r="P89" s="249" t="b">
        <v>1</v>
      </c>
      <c r="Q89" s="249" t="b">
        <v>1</v>
      </c>
      <c r="R89" s="94" t="b">
        <v>1</v>
      </c>
      <c r="S89" s="94" t="b">
        <v>1</v>
      </c>
      <c r="T89" s="94" t="b">
        <v>0</v>
      </c>
      <c r="U89" s="94"/>
      <c r="V89" s="94"/>
      <c r="W89" s="108"/>
      <c r="X89" s="1757"/>
      <c r="Y89" s="2081"/>
      <c r="Z89" s="2084"/>
      <c r="AA89" s="1551" t="str">
        <f>IF(LEN('Photo Review'!I88)&gt;0,'Photo Review'!I88,"")</f>
        <v/>
      </c>
      <c r="AC89" s="970"/>
      <c r="AD89" s="970"/>
      <c r="AE89" s="970"/>
      <c r="AF89" s="249"/>
      <c r="AG89" s="249"/>
      <c r="AH89" s="249"/>
      <c r="AI89" s="249"/>
      <c r="AJ89" s="249"/>
      <c r="AK89" s="249"/>
      <c r="AL89" s="1336"/>
      <c r="AM89" s="1336"/>
      <c r="AN89" s="1336"/>
      <c r="AO89" s="1336"/>
      <c r="AP89" s="1336" t="str">
        <f>SUBSTITUTE(SUBSTITUTE(SUBSTITUTE("vch"&amp;$B89&amp;$C89&amp;$D89&amp;$E89,".","_"),"(","_"),")","")</f>
        <v>vch503_2</v>
      </c>
      <c r="AQ89" s="254" t="str">
        <f>IF(LEN(W89)=0,"",W89)</f>
        <v/>
      </c>
      <c r="AR89" s="1336"/>
      <c r="AS89" s="1336"/>
    </row>
    <row r="90" spans="1:46" x14ac:dyDescent="0.25">
      <c r="A90" s="2371">
        <v>5</v>
      </c>
      <c r="B90" s="2374" t="s">
        <v>385</v>
      </c>
      <c r="C90" s="2374" t="s">
        <v>256</v>
      </c>
      <c r="D90" s="2374"/>
      <c r="E90" s="2374"/>
      <c r="F90" s="2374"/>
      <c r="G90" s="2373" t="str">
        <f>IF(N90&gt;0,"P","")</f>
        <v/>
      </c>
      <c r="H90" s="2375" t="s">
        <v>3971</v>
      </c>
      <c r="I90" s="102"/>
      <c r="J90" s="174" t="s">
        <v>256</v>
      </c>
      <c r="K90" s="177"/>
      <c r="L90" s="1163" t="s">
        <v>387</v>
      </c>
      <c r="M90" s="1015">
        <v>5</v>
      </c>
      <c r="N90" s="1047">
        <f>'Ch5'!O91</f>
        <v>0</v>
      </c>
      <c r="O90" s="1047">
        <f>M90*W90*S90</f>
        <v>0</v>
      </c>
      <c r="P90" s="249" t="b">
        <v>1</v>
      </c>
      <c r="Q90" s="352" t="b">
        <v>1</v>
      </c>
      <c r="R90" s="94" t="b">
        <v>0</v>
      </c>
      <c r="S90" s="94" t="b">
        <f>IF(W89&gt;=0.25,TRUE,FALSE)</f>
        <v>0</v>
      </c>
      <c r="T90" s="94" t="b">
        <f>IF(AND(NOT(S90),W90=TRUE),TRUE,FALSE)</f>
        <v>0</v>
      </c>
      <c r="U90" s="94"/>
      <c r="V90" s="94"/>
      <c r="W90" s="25"/>
      <c r="X90" s="1757"/>
      <c r="Y90" s="2081"/>
      <c r="Z90" s="2084"/>
      <c r="AA90" s="1526"/>
      <c r="AC90" s="970" t="b">
        <f>OR(AD90:AE90)</f>
        <v>0</v>
      </c>
      <c r="AD90" s="970" t="b">
        <f>T90</f>
        <v>0</v>
      </c>
      <c r="AE90" s="970"/>
      <c r="AF90" s="249"/>
      <c r="AG90" s="249"/>
      <c r="AH90" s="249"/>
      <c r="AI90" s="249"/>
      <c r="AJ90" s="249"/>
      <c r="AK90" s="249"/>
      <c r="AL90" s="1336" t="str">
        <f>SUBSTITUTE(SUBSTITUTE(SUBSTITUTE("vpa"&amp;$B90&amp;$C90&amp;$D90&amp;$E90,".","_"),"(","_"),")","")</f>
        <v>vpa503_2_1</v>
      </c>
      <c r="AM90" s="254">
        <f>M90</f>
        <v>5</v>
      </c>
      <c r="AN90" s="1336" t="str">
        <f>SUBSTITUTE(SUBSTITUTE(SUBSTITUTE("vpc"&amp;$B90&amp;$C90&amp;$D90&amp;$E90,".","_"),"(","_"),")","")</f>
        <v>vpc503_2_1</v>
      </c>
      <c r="AO90" s="254">
        <f>O90</f>
        <v>0</v>
      </c>
      <c r="AP90" s="1336" t="str">
        <f>SUBSTITUTE(SUBSTITUTE(SUBSTITUTE("vch"&amp;$B90&amp;$C90&amp;$D90&amp;$E90,".","_"),"(","_"),")","")</f>
        <v>vch503_2_1</v>
      </c>
      <c r="AQ90" s="254" t="str">
        <f>IF(LEN(W90)=0,"",W90)</f>
        <v/>
      </c>
      <c r="AR90" s="254"/>
      <c r="AS90" s="254"/>
    </row>
    <row r="91" spans="1:46" x14ac:dyDescent="0.25">
      <c r="A91" s="2371">
        <v>5</v>
      </c>
      <c r="B91" s="2374" t="s">
        <v>385</v>
      </c>
      <c r="C91" s="2374" t="s">
        <v>258</v>
      </c>
      <c r="D91" s="2374"/>
      <c r="E91" s="2374"/>
      <c r="F91" s="2374"/>
      <c r="G91" s="2373" t="str">
        <f>IF(N91&gt;0,"P","")</f>
        <v/>
      </c>
      <c r="H91" s="2375" t="s">
        <v>3971</v>
      </c>
      <c r="I91" s="102"/>
      <c r="J91" s="91" t="s">
        <v>258</v>
      </c>
      <c r="K91" s="102"/>
      <c r="L91" s="1754" t="s">
        <v>388</v>
      </c>
      <c r="M91" s="1758">
        <v>5</v>
      </c>
      <c r="N91" s="1927">
        <f>'Ch5'!O92</f>
        <v>0</v>
      </c>
      <c r="O91" s="1927">
        <f>M91*W91*S91</f>
        <v>0</v>
      </c>
      <c r="P91" s="249" t="b">
        <v>1</v>
      </c>
      <c r="Q91" s="352" t="b">
        <v>1</v>
      </c>
      <c r="R91" s="94" t="b">
        <v>0</v>
      </c>
      <c r="S91" s="94" t="b">
        <f>S90</f>
        <v>0</v>
      </c>
      <c r="T91" s="94" t="b">
        <f>IF(AND(NOT(S91),W91=TRUE),TRUE,FALSE)</f>
        <v>0</v>
      </c>
      <c r="U91" s="94"/>
      <c r="V91" s="94"/>
      <c r="W91" s="25"/>
      <c r="X91" s="1757"/>
      <c r="Y91" s="2081"/>
      <c r="Z91" s="2084"/>
      <c r="AA91" s="1526"/>
      <c r="AC91" s="970" t="b">
        <f>OR(AD91:AE91)</f>
        <v>0</v>
      </c>
      <c r="AD91" s="970" t="b">
        <f>T91</f>
        <v>0</v>
      </c>
      <c r="AE91" s="970"/>
      <c r="AF91" s="249"/>
      <c r="AG91" s="249"/>
      <c r="AH91" s="249"/>
      <c r="AI91" s="249"/>
      <c r="AJ91" s="249"/>
      <c r="AK91" s="249"/>
      <c r="AL91" s="1336" t="str">
        <f>SUBSTITUTE(SUBSTITUTE(SUBSTITUTE("vpa"&amp;$B91&amp;$C91&amp;$D91&amp;$E91,".","_"),"(","_"),")","")</f>
        <v>vpa503_2_2</v>
      </c>
      <c r="AM91" s="254">
        <f>M91</f>
        <v>5</v>
      </c>
      <c r="AN91" s="1336" t="str">
        <f>SUBSTITUTE(SUBSTITUTE(SUBSTITUTE("vpc"&amp;$B91&amp;$C91&amp;$D91&amp;$E91,".","_"),"(","_"),")","")</f>
        <v>vpc503_2_2</v>
      </c>
      <c r="AO91" s="254">
        <f>O91</f>
        <v>0</v>
      </c>
      <c r="AP91" s="1336" t="str">
        <f>SUBSTITUTE(SUBSTITUTE(SUBSTITUTE("vch"&amp;$B91&amp;$C91&amp;$D91&amp;$E91,".","_"),"(","_"),")","")</f>
        <v>vch503_2_2</v>
      </c>
      <c r="AQ91" s="254" t="str">
        <f>IF(LEN(W91)=0,"",W91)</f>
        <v/>
      </c>
      <c r="AR91" s="1336"/>
      <c r="AS91" s="1336"/>
    </row>
    <row r="92" spans="1:46" x14ac:dyDescent="0.25">
      <c r="A92" s="2371">
        <v>5</v>
      </c>
      <c r="B92" s="2374" t="s">
        <v>385</v>
      </c>
      <c r="C92" s="2374" t="s">
        <v>258</v>
      </c>
      <c r="D92" s="2374"/>
      <c r="E92" s="2374"/>
      <c r="F92" s="2374"/>
      <c r="G92" s="2373" t="str">
        <f>G91</f>
        <v/>
      </c>
      <c r="H92" s="2375" t="s">
        <v>3971</v>
      </c>
      <c r="I92" s="102"/>
      <c r="J92" s="177"/>
      <c r="K92" s="177"/>
      <c r="L92" s="1755"/>
      <c r="M92" s="1759"/>
      <c r="N92" s="2076"/>
      <c r="O92" s="2076"/>
      <c r="P92" s="94"/>
      <c r="Q92" s="94"/>
      <c r="R92" s="94"/>
      <c r="S92" s="94"/>
      <c r="T92" s="94"/>
      <c r="U92" s="94"/>
      <c r="V92" s="94"/>
      <c r="W92" s="94"/>
      <c r="X92" s="1757"/>
      <c r="Y92" s="2081"/>
      <c r="Z92" s="2084"/>
      <c r="AA92" s="1526"/>
      <c r="AC92" s="970"/>
      <c r="AD92" s="970"/>
      <c r="AE92" s="970"/>
      <c r="AF92" s="249"/>
      <c r="AG92" s="249"/>
      <c r="AH92" s="249"/>
      <c r="AI92" s="249"/>
      <c r="AJ92" s="249"/>
      <c r="AK92" s="249"/>
      <c r="AL92" s="1336"/>
      <c r="AM92" s="1336"/>
      <c r="AN92" s="1336"/>
      <c r="AO92" s="1336"/>
      <c r="AP92" s="1336"/>
      <c r="AQ92" s="1336"/>
      <c r="AR92" s="1336"/>
      <c r="AS92" s="1336"/>
    </row>
    <row r="93" spans="1:46" x14ac:dyDescent="0.25">
      <c r="A93" s="2371">
        <v>5</v>
      </c>
      <c r="B93" s="2374" t="s">
        <v>385</v>
      </c>
      <c r="C93" s="2374" t="s">
        <v>260</v>
      </c>
      <c r="D93" s="2374"/>
      <c r="E93" s="2374"/>
      <c r="F93" s="2374"/>
      <c r="G93" s="2373" t="str">
        <f ca="1">IF(N93&gt;0,"P","")</f>
        <v/>
      </c>
      <c r="H93" s="2375" t="s">
        <v>3971</v>
      </c>
      <c r="I93" s="102"/>
      <c r="J93" s="91" t="s">
        <v>260</v>
      </c>
      <c r="K93" s="102"/>
      <c r="L93" s="1754" t="s">
        <v>389</v>
      </c>
      <c r="M93" s="1010"/>
      <c r="N93" s="1927">
        <f ca="1">'Ch5'!O94</f>
        <v>0</v>
      </c>
      <c r="O93" s="1927">
        <f ca="1">S93*IFERROR(INDEX({1,4,6},MATCH(W93,INDIRECT(U93))),0)</f>
        <v>0</v>
      </c>
      <c r="P93" s="249" t="b">
        <v>1</v>
      </c>
      <c r="Q93" s="352" t="b">
        <v>1</v>
      </c>
      <c r="R93" s="94" t="b">
        <v>0</v>
      </c>
      <c r="S93" s="94" t="b">
        <f>S90</f>
        <v>0</v>
      </c>
      <c r="T93" s="94" t="b">
        <f>IF(AND(NOT(S93),LEN(W93)&gt;0),TRUE,FALSE)</f>
        <v>0</v>
      </c>
      <c r="U93" s="94" t="str">
        <f>SUBSTITUTE(SUBSTITUTE(SUBSTITUTE("dd"&amp;B93&amp;C93&amp;D93&amp;E93&amp;F93,".","_"),"(","_"),")","")</f>
        <v>dd503_2_3</v>
      </c>
      <c r="V93" s="94"/>
      <c r="W93" s="12"/>
      <c r="X93" s="1757"/>
      <c r="Y93" s="2081"/>
      <c r="Z93" s="2084"/>
      <c r="AA93" s="1526"/>
      <c r="AC93" s="970" t="b">
        <f>OR(AD93:AE93)</f>
        <v>0</v>
      </c>
      <c r="AD93" s="970" t="b">
        <f>T93</f>
        <v>0</v>
      </c>
      <c r="AE93" s="970"/>
      <c r="AF93" s="249"/>
      <c r="AG93" s="249"/>
      <c r="AH93" s="249"/>
      <c r="AI93" s="249"/>
      <c r="AJ93" s="249"/>
      <c r="AK93" s="249"/>
      <c r="AL93" s="1336"/>
      <c r="AM93" s="1336"/>
      <c r="AN93" s="1336" t="str">
        <f>SUBSTITUTE(SUBSTITUTE(SUBSTITUTE("vpc"&amp;$B93&amp;$C93&amp;$D93&amp;$E93,".","_"),"(","_"),")","")</f>
        <v>vpc503_2_3</v>
      </c>
      <c r="AO93" s="254">
        <f ca="1">O93</f>
        <v>0</v>
      </c>
      <c r="AP93" s="1336" t="str">
        <f>SUBSTITUTE(SUBSTITUTE(SUBSTITUTE("vch"&amp;$B93&amp;$C93&amp;$D93&amp;$E93,".","_"),"(","_"),")","")</f>
        <v>vch503_2_3</v>
      </c>
      <c r="AQ93" s="254" t="str">
        <f>IF(LEN(W93)=0,"",W93)</f>
        <v/>
      </c>
      <c r="AR93" s="1336"/>
      <c r="AS93" s="1336"/>
    </row>
    <row r="94" spans="1:46" x14ac:dyDescent="0.25">
      <c r="A94" s="2371">
        <v>5</v>
      </c>
      <c r="B94" s="2374" t="s">
        <v>385</v>
      </c>
      <c r="C94" s="2374" t="s">
        <v>260</v>
      </c>
      <c r="D94" s="2374"/>
      <c r="E94" s="2374"/>
      <c r="F94" s="2374"/>
      <c r="G94" s="2373" t="str">
        <f ca="1">G93</f>
        <v/>
      </c>
      <c r="H94" s="2375" t="s">
        <v>3971</v>
      </c>
      <c r="I94" s="102"/>
      <c r="J94" s="102"/>
      <c r="K94" s="102"/>
      <c r="L94" s="1754"/>
      <c r="M94" s="1010"/>
      <c r="N94" s="1927"/>
      <c r="O94" s="1927"/>
      <c r="P94" s="94"/>
      <c r="Q94" s="94"/>
      <c r="R94" s="94"/>
      <c r="S94" s="94"/>
      <c r="T94" s="94"/>
      <c r="U94" s="94"/>
      <c r="V94" s="94"/>
      <c r="W94" s="94"/>
      <c r="X94" s="1757"/>
      <c r="Y94" s="2081"/>
      <c r="Z94" s="2084"/>
      <c r="AA94" s="1526"/>
      <c r="AC94" s="970"/>
      <c r="AD94" s="970"/>
      <c r="AE94" s="970"/>
      <c r="AF94" s="249"/>
      <c r="AG94" s="249"/>
      <c r="AH94" s="249"/>
      <c r="AI94" s="249"/>
      <c r="AJ94" s="249"/>
      <c r="AK94" s="249"/>
      <c r="AL94" s="1336"/>
      <c r="AM94" s="1336"/>
      <c r="AN94" s="1336"/>
      <c r="AO94" s="1336"/>
      <c r="AP94" s="1336"/>
      <c r="AQ94" s="1336"/>
      <c r="AR94" s="1336"/>
      <c r="AS94" s="1336"/>
    </row>
    <row r="95" spans="1:46" x14ac:dyDescent="0.25">
      <c r="A95" s="2371">
        <v>5</v>
      </c>
      <c r="B95" s="2374" t="s">
        <v>385</v>
      </c>
      <c r="C95" s="2374" t="s">
        <v>260</v>
      </c>
      <c r="D95" s="2374" t="s">
        <v>121</v>
      </c>
      <c r="E95" s="2374"/>
      <c r="F95" s="2374"/>
      <c r="G95" s="2373" t="str">
        <f ca="1">G94</f>
        <v/>
      </c>
      <c r="H95" s="2375" t="s">
        <v>3971</v>
      </c>
      <c r="I95" s="102"/>
      <c r="J95" s="102"/>
      <c r="K95" s="91" t="s">
        <v>121</v>
      </c>
      <c r="L95" s="1162" t="s">
        <v>767</v>
      </c>
      <c r="M95" s="1010">
        <v>1</v>
      </c>
      <c r="N95" s="1044"/>
      <c r="O95" s="1044"/>
      <c r="P95" s="94"/>
      <c r="Q95" s="94"/>
      <c r="R95" s="94"/>
      <c r="S95" s="94"/>
      <c r="T95" s="94"/>
      <c r="U95" s="94"/>
      <c r="V95" s="94"/>
      <c r="W95" s="94"/>
      <c r="X95" s="1757"/>
      <c r="Y95" s="2081"/>
      <c r="Z95" s="2084"/>
      <c r="AA95" s="1526"/>
      <c r="AC95" s="970"/>
      <c r="AD95" s="970"/>
      <c r="AE95" s="970"/>
      <c r="AF95" s="249"/>
      <c r="AG95" s="249"/>
      <c r="AH95" s="249"/>
      <c r="AI95" s="249"/>
      <c r="AJ95" s="249"/>
      <c r="AK95" s="249"/>
      <c r="AL95" s="1336" t="str">
        <f>SUBSTITUTE(SUBSTITUTE(SUBSTITUTE("vpa"&amp;$B95&amp;$C95&amp;$D95&amp;$E95,".","_"),"(","_"),")","")</f>
        <v>vpa503_2_3_a</v>
      </c>
      <c r="AM95" s="254">
        <f>M95</f>
        <v>1</v>
      </c>
      <c r="AN95" s="1336"/>
      <c r="AO95" s="1336"/>
      <c r="AP95" s="1336"/>
      <c r="AQ95" s="1336"/>
      <c r="AR95" s="1336"/>
      <c r="AS95" s="1336"/>
    </row>
    <row r="96" spans="1:46" x14ac:dyDescent="0.25">
      <c r="A96" s="2371">
        <v>5</v>
      </c>
      <c r="B96" s="2374" t="s">
        <v>385</v>
      </c>
      <c r="C96" s="2374" t="s">
        <v>260</v>
      </c>
      <c r="D96" s="2374" t="s">
        <v>122</v>
      </c>
      <c r="E96" s="2374"/>
      <c r="F96" s="2374"/>
      <c r="G96" s="2373" t="str">
        <f ca="1">G95</f>
        <v/>
      </c>
      <c r="H96" s="2375" t="s">
        <v>3971</v>
      </c>
      <c r="I96" s="102"/>
      <c r="J96" s="102"/>
      <c r="K96" s="91" t="s">
        <v>122</v>
      </c>
      <c r="L96" s="1162" t="s">
        <v>390</v>
      </c>
      <c r="M96" s="1010">
        <v>4</v>
      </c>
      <c r="N96" s="1044"/>
      <c r="O96" s="1044"/>
      <c r="P96" s="94"/>
      <c r="Q96" s="94"/>
      <c r="R96" s="94"/>
      <c r="S96" s="94"/>
      <c r="T96" s="94"/>
      <c r="U96" s="94"/>
      <c r="V96" s="94"/>
      <c r="W96" s="94"/>
      <c r="X96" s="1757"/>
      <c r="Y96" s="2081"/>
      <c r="Z96" s="2084"/>
      <c r="AA96" s="1526"/>
      <c r="AC96" s="970"/>
      <c r="AD96" s="970"/>
      <c r="AE96" s="970"/>
      <c r="AF96" s="249"/>
      <c r="AG96" s="249"/>
      <c r="AH96" s="249"/>
      <c r="AI96" s="249"/>
      <c r="AJ96" s="249"/>
      <c r="AK96" s="249"/>
      <c r="AL96" s="1336" t="str">
        <f>SUBSTITUTE(SUBSTITUTE(SUBSTITUTE("vpa"&amp;$B96&amp;$C96&amp;$D96&amp;$E96,".","_"),"(","_"),")","")</f>
        <v>vpa503_2_3_b</v>
      </c>
      <c r="AM96" s="254">
        <f>M96</f>
        <v>4</v>
      </c>
      <c r="AN96" s="1336"/>
      <c r="AO96" s="1336"/>
      <c r="AP96" s="1336"/>
      <c r="AQ96" s="1336"/>
      <c r="AR96" s="1336"/>
      <c r="AS96" s="1336"/>
    </row>
    <row r="97" spans="1:45" x14ac:dyDescent="0.25">
      <c r="A97" s="2371">
        <v>5</v>
      </c>
      <c r="B97" s="2374" t="s">
        <v>385</v>
      </c>
      <c r="C97" s="2374" t="s">
        <v>260</v>
      </c>
      <c r="D97" s="2376" t="s">
        <v>123</v>
      </c>
      <c r="E97" s="2376"/>
      <c r="F97" s="2376"/>
      <c r="G97" s="2373" t="str">
        <f ca="1">G96</f>
        <v/>
      </c>
      <c r="H97" s="2379" t="s">
        <v>3971</v>
      </c>
      <c r="I97" s="102"/>
      <c r="J97" s="177"/>
      <c r="K97" s="179" t="s">
        <v>123</v>
      </c>
      <c r="L97" s="1163" t="s">
        <v>391</v>
      </c>
      <c r="M97" s="1015">
        <v>6</v>
      </c>
      <c r="N97" s="1047"/>
      <c r="O97" s="1047"/>
      <c r="P97" s="94"/>
      <c r="Q97" s="94"/>
      <c r="R97" s="94"/>
      <c r="S97" s="94"/>
      <c r="T97" s="94"/>
      <c r="U97" s="94"/>
      <c r="V97" s="94"/>
      <c r="W97" s="94"/>
      <c r="X97" s="1757"/>
      <c r="Y97" s="2081"/>
      <c r="Z97" s="2084"/>
      <c r="AA97" s="1526"/>
      <c r="AC97" s="970"/>
      <c r="AD97" s="970"/>
      <c r="AE97" s="970"/>
      <c r="AF97" s="249"/>
      <c r="AG97" s="249"/>
      <c r="AH97" s="249"/>
      <c r="AI97" s="249"/>
      <c r="AJ97" s="249"/>
      <c r="AK97" s="249"/>
      <c r="AL97" s="1336" t="str">
        <f>SUBSTITUTE(SUBSTITUTE(SUBSTITUTE("vpa"&amp;$B97&amp;$C97&amp;$D97&amp;$E97,".","_"),"(","_"),")","")</f>
        <v>vpa503_2_3_c</v>
      </c>
      <c r="AM97" s="254">
        <f>M97</f>
        <v>6</v>
      </c>
      <c r="AN97" s="1336"/>
      <c r="AO97" s="1336"/>
      <c r="AP97" s="1336"/>
      <c r="AQ97" s="1336"/>
      <c r="AR97" s="1336"/>
      <c r="AS97" s="1336"/>
    </row>
    <row r="98" spans="1:45" x14ac:dyDescent="0.25">
      <c r="A98" s="2371">
        <v>5</v>
      </c>
      <c r="B98" s="2374" t="s">
        <v>385</v>
      </c>
      <c r="C98" s="2374" t="s">
        <v>269</v>
      </c>
      <c r="D98" s="2374"/>
      <c r="E98" s="2374"/>
      <c r="F98" s="2374"/>
      <c r="G98" s="2373" t="str">
        <f>IF(N98&gt;0,"P","")</f>
        <v/>
      </c>
      <c r="H98" s="2375" t="s">
        <v>3971</v>
      </c>
      <c r="I98" s="102"/>
      <c r="J98" s="91" t="s">
        <v>269</v>
      </c>
      <c r="K98" s="102"/>
      <c r="L98" s="1754" t="s">
        <v>392</v>
      </c>
      <c r="M98" s="1758">
        <v>6</v>
      </c>
      <c r="N98" s="1927">
        <f>'Ch5'!O99</f>
        <v>0</v>
      </c>
      <c r="O98" s="1927">
        <f>M98*W98*S98</f>
        <v>0</v>
      </c>
      <c r="P98" s="249" t="b">
        <v>1</v>
      </c>
      <c r="Q98" s="352" t="b">
        <v>1</v>
      </c>
      <c r="R98" s="94" t="b">
        <v>0</v>
      </c>
      <c r="S98" s="94" t="b">
        <f>S90</f>
        <v>0</v>
      </c>
      <c r="T98" s="94" t="b">
        <f>IF(AND(NOT(S98),W98=TRUE),TRUE,FALSE)</f>
        <v>0</v>
      </c>
      <c r="U98" s="94"/>
      <c r="V98" s="94"/>
      <c r="W98" s="25"/>
      <c r="X98" s="1757"/>
      <c r="Y98" s="2081"/>
      <c r="Z98" s="2084"/>
      <c r="AA98" s="1551" t="str">
        <f>IF(LEN('Photo Review'!I97)&gt;0,'Photo Review'!I97,"")</f>
        <v/>
      </c>
      <c r="AC98" s="970" t="b">
        <f>OR(AD98:AE98)</f>
        <v>0</v>
      </c>
      <c r="AD98" s="970" t="b">
        <f>T98</f>
        <v>0</v>
      </c>
      <c r="AE98" s="970"/>
      <c r="AF98" s="249"/>
      <c r="AG98" s="249"/>
      <c r="AH98" s="249"/>
      <c r="AI98" s="249"/>
      <c r="AJ98" s="249"/>
      <c r="AK98" s="249"/>
      <c r="AL98" s="1336" t="str">
        <f>SUBSTITUTE(SUBSTITUTE(SUBSTITUTE("vpa"&amp;$B98&amp;$C98&amp;$D98&amp;$E98,".","_"),"(","_"),")","")</f>
        <v>vpa503_2_4</v>
      </c>
      <c r="AM98" s="254">
        <f>M98</f>
        <v>6</v>
      </c>
      <c r="AN98" s="1336" t="str">
        <f>SUBSTITUTE(SUBSTITUTE(SUBSTITUTE("vpc"&amp;$B98&amp;$C98&amp;$D98&amp;$E98,".","_"),"(","_"),")","")</f>
        <v>vpc503_2_4</v>
      </c>
      <c r="AO98" s="254">
        <f>O98</f>
        <v>0</v>
      </c>
      <c r="AP98" s="1336" t="str">
        <f>SUBSTITUTE(SUBSTITUTE(SUBSTITUTE("vch"&amp;$B98&amp;$C98&amp;$D98&amp;$E98,".","_"),"(","_"),")","")</f>
        <v>vch503_2_4</v>
      </c>
      <c r="AQ98" s="254" t="str">
        <f>IF(LEN(W98)=0,"",W98)</f>
        <v/>
      </c>
      <c r="AR98" s="1336"/>
      <c r="AS98" s="1336"/>
    </row>
    <row r="99" spans="1:45" x14ac:dyDescent="0.25">
      <c r="A99" s="2371">
        <v>5</v>
      </c>
      <c r="B99" s="2374" t="s">
        <v>385</v>
      </c>
      <c r="C99" s="2374" t="s">
        <v>269</v>
      </c>
      <c r="D99" s="2374"/>
      <c r="E99" s="2374"/>
      <c r="F99" s="2374"/>
      <c r="G99" s="2373" t="str">
        <f>G98</f>
        <v/>
      </c>
      <c r="H99" s="2375" t="s">
        <v>3971</v>
      </c>
      <c r="I99" s="102"/>
      <c r="J99" s="177"/>
      <c r="K99" s="177"/>
      <c r="L99" s="1755"/>
      <c r="M99" s="1759"/>
      <c r="N99" s="2076"/>
      <c r="O99" s="2076"/>
      <c r="P99" s="94"/>
      <c r="Q99" s="94"/>
      <c r="R99" s="94"/>
      <c r="S99" s="94"/>
      <c r="T99" s="94"/>
      <c r="U99" s="94"/>
      <c r="V99" s="94"/>
      <c r="W99" s="94"/>
      <c r="X99" s="1757"/>
      <c r="Y99" s="2081"/>
      <c r="Z99" s="2084"/>
      <c r="AA99" s="1526"/>
      <c r="AC99" s="970"/>
      <c r="AD99" s="970"/>
      <c r="AE99" s="970"/>
      <c r="AF99" s="249"/>
      <c r="AG99" s="249"/>
      <c r="AH99" s="249"/>
      <c r="AI99" s="249"/>
      <c r="AJ99" s="249"/>
      <c r="AK99" s="249"/>
      <c r="AL99" s="1336"/>
      <c r="AM99" s="1336"/>
      <c r="AN99" s="1336"/>
      <c r="AO99" s="1336"/>
      <c r="AP99" s="1336"/>
      <c r="AQ99" s="1336"/>
      <c r="AR99" s="1336"/>
      <c r="AS99" s="1336"/>
    </row>
    <row r="100" spans="1:45" ht="15.75" thickBot="1" x14ac:dyDescent="0.3">
      <c r="A100" s="2371">
        <v>5</v>
      </c>
      <c r="B100" s="2374" t="s">
        <v>385</v>
      </c>
      <c r="C100" s="2374" t="s">
        <v>275</v>
      </c>
      <c r="D100" s="2374"/>
      <c r="E100" s="2374"/>
      <c r="F100" s="2374"/>
      <c r="G100" s="2373" t="str">
        <f>IF(N100&gt;0,"P","")</f>
        <v/>
      </c>
      <c r="H100" s="2375" t="s">
        <v>3971</v>
      </c>
      <c r="I100" s="103"/>
      <c r="J100" s="96" t="s">
        <v>275</v>
      </c>
      <c r="K100" s="103"/>
      <c r="L100" s="1171" t="s">
        <v>393</v>
      </c>
      <c r="M100" s="1011">
        <v>5</v>
      </c>
      <c r="N100" s="1045">
        <f>'Ch5'!O101</f>
        <v>0</v>
      </c>
      <c r="O100" s="1045">
        <f>M100*W100*S100</f>
        <v>0</v>
      </c>
      <c r="P100" s="249" t="b">
        <v>1</v>
      </c>
      <c r="Q100" s="249" t="b">
        <v>1</v>
      </c>
      <c r="R100" s="99" t="b">
        <v>0</v>
      </c>
      <c r="S100" s="99" t="b">
        <f>S90</f>
        <v>0</v>
      </c>
      <c r="T100" s="99" t="b">
        <f>IF(AND(NOT(S100),W100=TRUE),TRUE,FALSE)</f>
        <v>0</v>
      </c>
      <c r="U100" s="99"/>
      <c r="V100" s="99"/>
      <c r="W100" s="25"/>
      <c r="X100" s="1771"/>
      <c r="Y100" s="2082"/>
      <c r="Z100" s="2086"/>
      <c r="AA100" s="1526"/>
      <c r="AC100" s="970" t="b">
        <f>OR(AD100:AE100)</f>
        <v>0</v>
      </c>
      <c r="AD100" s="970" t="b">
        <f>T100</f>
        <v>0</v>
      </c>
      <c r="AE100" s="970"/>
      <c r="AF100" s="249"/>
      <c r="AG100" s="249"/>
      <c r="AH100" s="249"/>
      <c r="AI100" s="249"/>
      <c r="AJ100" s="249"/>
      <c r="AK100" s="249"/>
      <c r="AL100" s="1336" t="str">
        <f>SUBSTITUTE(SUBSTITUTE(SUBSTITUTE("vpa"&amp;$B100&amp;$C100&amp;$D100&amp;$E100,".","_"),"(","_"),")","")</f>
        <v>vpa503_2_5</v>
      </c>
      <c r="AM100" s="254">
        <f>M100</f>
        <v>5</v>
      </c>
      <c r="AN100" s="1336" t="str">
        <f>SUBSTITUTE(SUBSTITUTE(SUBSTITUTE("vpc"&amp;$B100&amp;$C100&amp;$D100&amp;$E100,".","_"),"(","_"),")","")</f>
        <v>vpc503_2_5</v>
      </c>
      <c r="AO100" s="254">
        <f>O100</f>
        <v>0</v>
      </c>
      <c r="AP100" s="1336" t="str">
        <f>SUBSTITUTE(SUBSTITUTE(SUBSTITUTE("vch"&amp;$B100&amp;$C100&amp;$D100&amp;$E100,".","_"),"(","_"),")","")</f>
        <v>vch503_2_5</v>
      </c>
      <c r="AQ100" s="254" t="str">
        <f>IF(LEN(W100)=0,"",W100)</f>
        <v/>
      </c>
      <c r="AR100" s="1336"/>
      <c r="AS100" s="1336"/>
    </row>
    <row r="101" spans="1:45" ht="15.75" thickTop="1" x14ac:dyDescent="0.25">
      <c r="A101" s="2371">
        <v>5</v>
      </c>
      <c r="B101" s="2374" t="s">
        <v>394</v>
      </c>
      <c r="C101" s="2374"/>
      <c r="D101" s="2374"/>
      <c r="E101" s="2374"/>
      <c r="F101" s="2374"/>
      <c r="G101" s="2363" t="str">
        <f>IF(COUNTIF(G104:G113,"P")&gt;0,"P","")</f>
        <v/>
      </c>
      <c r="H101" s="2375" t="s">
        <v>3972</v>
      </c>
      <c r="I101" s="106">
        <v>503.3</v>
      </c>
      <c r="J101" s="107"/>
      <c r="K101" s="107"/>
      <c r="L101" s="1781" t="s">
        <v>395</v>
      </c>
      <c r="M101" s="1009"/>
      <c r="N101" s="1046"/>
      <c r="O101" s="1046"/>
      <c r="P101" s="105"/>
      <c r="Q101" s="105"/>
      <c r="R101" s="105"/>
      <c r="S101" s="105"/>
      <c r="T101" s="105"/>
      <c r="U101" s="105"/>
      <c r="V101" s="105"/>
      <c r="W101" s="105"/>
      <c r="X101" s="1784"/>
      <c r="Y101" s="2097" t="str">
        <f>IF(LEN('Ch5'!X102)=0,"None",'Ch5'!X102)</f>
        <v>None</v>
      </c>
      <c r="Z101" s="2085"/>
      <c r="AA101" s="1526"/>
      <c r="AC101" s="970"/>
      <c r="AD101" s="970"/>
      <c r="AE101" s="970"/>
      <c r="AF101" s="249"/>
      <c r="AG101" s="249"/>
      <c r="AH101" s="249"/>
      <c r="AI101" s="249"/>
      <c r="AJ101" s="249"/>
      <c r="AK101" s="249"/>
      <c r="AL101" s="1336"/>
      <c r="AM101" s="1336"/>
      <c r="AN101" s="1336"/>
      <c r="AO101" s="1336"/>
      <c r="AP101" s="1336"/>
      <c r="AQ101" s="1336"/>
      <c r="AR101" s="1336" t="str">
        <f>SUBSTITUTE(SUBSTITUTE(SUBSTITUTE("vnt"&amp;$B101&amp;$C101&amp;$D101&amp;$E101,".","_"),"(","_"),")","")</f>
        <v>vnt503_3</v>
      </c>
      <c r="AS101" s="254" t="str">
        <f>IF(LEN(X101)=0,"",X101)</f>
        <v/>
      </c>
    </row>
    <row r="102" spans="1:45" x14ac:dyDescent="0.25">
      <c r="A102" s="2371">
        <v>5</v>
      </c>
      <c r="B102" s="2374" t="s">
        <v>394</v>
      </c>
      <c r="C102" s="2374"/>
      <c r="D102" s="2374"/>
      <c r="E102" s="2374"/>
      <c r="F102" s="2374"/>
      <c r="G102" s="2373" t="str">
        <f>G101</f>
        <v/>
      </c>
      <c r="H102" s="2375" t="s">
        <v>3972</v>
      </c>
      <c r="I102" s="102"/>
      <c r="J102" s="102"/>
      <c r="K102" s="102"/>
      <c r="L102" s="1782"/>
      <c r="M102" s="1010"/>
      <c r="N102" s="1044"/>
      <c r="O102" s="1044"/>
      <c r="P102" s="94"/>
      <c r="Q102" s="94"/>
      <c r="R102" s="94"/>
      <c r="S102" s="94"/>
      <c r="T102" s="94"/>
      <c r="U102" s="94"/>
      <c r="V102" s="94"/>
      <c r="W102" s="94"/>
      <c r="X102" s="1757"/>
      <c r="Y102" s="2081"/>
      <c r="Z102" s="2084"/>
      <c r="AA102" s="1526"/>
      <c r="AC102" s="970"/>
      <c r="AD102" s="970"/>
      <c r="AE102" s="970"/>
      <c r="AF102" s="249"/>
      <c r="AG102" s="249"/>
      <c r="AH102" s="249"/>
      <c r="AI102" s="249"/>
      <c r="AJ102" s="249"/>
      <c r="AK102" s="249"/>
      <c r="AL102" s="1336"/>
      <c r="AM102" s="1336"/>
      <c r="AN102" s="1336"/>
      <c r="AO102" s="1336"/>
      <c r="AP102" s="1336"/>
      <c r="AQ102" s="1336"/>
      <c r="AR102" s="1336"/>
      <c r="AS102" s="1336"/>
    </row>
    <row r="103" spans="1:45" x14ac:dyDescent="0.25">
      <c r="A103" s="2371">
        <v>5</v>
      </c>
      <c r="B103" s="2374" t="s">
        <v>394</v>
      </c>
      <c r="C103" s="2374"/>
      <c r="D103" s="2374"/>
      <c r="E103" s="2374"/>
      <c r="F103" s="2374"/>
      <c r="G103" s="2373" t="str">
        <f>G102</f>
        <v/>
      </c>
      <c r="H103" s="2375" t="s">
        <v>3972</v>
      </c>
      <c r="I103" s="102"/>
      <c r="J103" s="102"/>
      <c r="K103" s="102"/>
      <c r="L103" s="1179" t="s">
        <v>768</v>
      </c>
      <c r="M103" s="1010"/>
      <c r="N103" s="1044"/>
      <c r="O103" s="1044"/>
      <c r="P103" s="94"/>
      <c r="Q103" s="94"/>
      <c r="R103" s="94"/>
      <c r="S103" s="94"/>
      <c r="T103" s="94"/>
      <c r="U103" s="94"/>
      <c r="V103" s="94"/>
      <c r="W103" s="94"/>
      <c r="X103" s="1757"/>
      <c r="Y103" s="2081"/>
      <c r="Z103" s="2084"/>
      <c r="AA103" s="1526"/>
      <c r="AC103" s="970"/>
      <c r="AD103" s="970"/>
      <c r="AE103" s="970"/>
      <c r="AF103" s="249"/>
      <c r="AG103" s="249"/>
      <c r="AH103" s="249"/>
      <c r="AI103" s="249"/>
      <c r="AJ103" s="249"/>
      <c r="AK103" s="249"/>
      <c r="AL103" s="1336"/>
      <c r="AM103" s="1336"/>
      <c r="AN103" s="1336"/>
      <c r="AO103" s="1336"/>
      <c r="AP103" s="1336"/>
      <c r="AQ103" s="1336"/>
      <c r="AR103" s="1336"/>
      <c r="AS103" s="1336"/>
    </row>
    <row r="104" spans="1:45" x14ac:dyDescent="0.25">
      <c r="A104" s="2371">
        <v>5</v>
      </c>
      <c r="B104" s="2374" t="s">
        <v>394</v>
      </c>
      <c r="C104" s="2374" t="s">
        <v>256</v>
      </c>
      <c r="D104" s="2374"/>
      <c r="E104" s="2374"/>
      <c r="F104" s="2374"/>
      <c r="G104" s="2373" t="str">
        <f>IF(N104&gt;0,"P","")</f>
        <v/>
      </c>
      <c r="H104" s="2375" t="s">
        <v>3972</v>
      </c>
      <c r="I104" s="102"/>
      <c r="J104" s="91" t="s">
        <v>256</v>
      </c>
      <c r="K104" s="102"/>
      <c r="L104" s="1754" t="s">
        <v>396</v>
      </c>
      <c r="M104" s="1758">
        <v>5</v>
      </c>
      <c r="N104" s="1927">
        <f>'Ch5'!O105</f>
        <v>0</v>
      </c>
      <c r="O104" s="1927">
        <f>M104*W104</f>
        <v>0</v>
      </c>
      <c r="P104" s="249" t="b">
        <v>1</v>
      </c>
      <c r="Q104" s="249" t="b">
        <v>0</v>
      </c>
      <c r="R104" s="94" t="b">
        <v>0</v>
      </c>
      <c r="S104" s="94" t="b">
        <v>1</v>
      </c>
      <c r="T104" s="94" t="b">
        <v>0</v>
      </c>
      <c r="U104" s="94"/>
      <c r="V104" s="94"/>
      <c r="W104" s="25"/>
      <c r="X104" s="1757"/>
      <c r="Y104" s="2081"/>
      <c r="Z104" s="2084"/>
      <c r="AA104" s="1526"/>
      <c r="AC104" s="970"/>
      <c r="AD104" s="970"/>
      <c r="AE104" s="970"/>
      <c r="AF104" s="249"/>
      <c r="AG104" s="249"/>
      <c r="AH104" s="249"/>
      <c r="AI104" s="249"/>
      <c r="AJ104" s="249"/>
      <c r="AK104" s="249"/>
      <c r="AL104" s="1336" t="str">
        <f>SUBSTITUTE(SUBSTITUTE(SUBSTITUTE("vpa"&amp;$B104&amp;$C104&amp;$D104&amp;$E104,".","_"),"(","_"),")","")</f>
        <v>vpa503_3_1</v>
      </c>
      <c r="AM104" s="254">
        <f>M104</f>
        <v>5</v>
      </c>
      <c r="AN104" s="1336" t="str">
        <f>SUBSTITUTE(SUBSTITUTE(SUBSTITUTE("vpc"&amp;$B104&amp;$C104&amp;$D104&amp;$E104,".","_"),"(","_"),")","")</f>
        <v>vpc503_3_1</v>
      </c>
      <c r="AO104" s="254">
        <f>O104</f>
        <v>0</v>
      </c>
      <c r="AP104" s="1336" t="str">
        <f>SUBSTITUTE(SUBSTITUTE(SUBSTITUTE("vch"&amp;$B104&amp;$C104&amp;$D104&amp;$E104,".","_"),"(","_"),")","")</f>
        <v>vch503_3_1</v>
      </c>
      <c r="AQ104" s="254" t="str">
        <f>IF(LEN(W104)=0,"",W104)</f>
        <v/>
      </c>
      <c r="AR104" s="1336"/>
      <c r="AS104" s="1336"/>
    </row>
    <row r="105" spans="1:45" x14ac:dyDescent="0.25">
      <c r="A105" s="2371">
        <v>5</v>
      </c>
      <c r="B105" s="2374" t="s">
        <v>394</v>
      </c>
      <c r="C105" s="2374" t="s">
        <v>256</v>
      </c>
      <c r="D105" s="2374"/>
      <c r="E105" s="2374"/>
      <c r="F105" s="2374"/>
      <c r="G105" s="2373" t="str">
        <f>G104</f>
        <v/>
      </c>
      <c r="H105" s="2375" t="s">
        <v>3972</v>
      </c>
      <c r="I105" s="102"/>
      <c r="J105" s="174"/>
      <c r="K105" s="177"/>
      <c r="L105" s="1755"/>
      <c r="M105" s="1759"/>
      <c r="N105" s="2076"/>
      <c r="O105" s="2076"/>
      <c r="P105" s="94"/>
      <c r="Q105" s="94"/>
      <c r="R105" s="94"/>
      <c r="S105" s="94"/>
      <c r="T105" s="94"/>
      <c r="U105" s="94"/>
      <c r="V105" s="94"/>
      <c r="W105" s="94"/>
      <c r="X105" s="1757"/>
      <c r="Y105" s="2081"/>
      <c r="Z105" s="2084"/>
      <c r="AA105" s="1526"/>
      <c r="AC105" s="970"/>
      <c r="AD105" s="970"/>
      <c r="AE105" s="970"/>
      <c r="AF105" s="249"/>
      <c r="AG105" s="249"/>
      <c r="AH105" s="249"/>
      <c r="AI105" s="249"/>
      <c r="AJ105" s="249"/>
      <c r="AK105" s="249"/>
      <c r="AL105" s="1336"/>
      <c r="AM105" s="1336"/>
      <c r="AN105" s="1336"/>
      <c r="AO105" s="1336"/>
      <c r="AP105" s="1336"/>
      <c r="AQ105" s="1336"/>
      <c r="AR105" s="1336"/>
      <c r="AS105" s="1336"/>
    </row>
    <row r="106" spans="1:45" x14ac:dyDescent="0.25">
      <c r="A106" s="2371">
        <v>5</v>
      </c>
      <c r="B106" s="2374" t="s">
        <v>394</v>
      </c>
      <c r="C106" s="2374" t="s">
        <v>258</v>
      </c>
      <c r="D106" s="2374"/>
      <c r="E106" s="2374"/>
      <c r="F106" s="2374"/>
      <c r="G106" s="2373" t="str">
        <f>IF(N106&gt;0,"P","")</f>
        <v/>
      </c>
      <c r="H106" s="2375" t="s">
        <v>3972</v>
      </c>
      <c r="I106" s="102"/>
      <c r="J106" s="91" t="s">
        <v>258</v>
      </c>
      <c r="K106" s="102"/>
      <c r="L106" s="1754" t="s">
        <v>397</v>
      </c>
      <c r="M106" s="1762">
        <v>5</v>
      </c>
      <c r="N106" s="2079">
        <f>'Ch5'!O107</f>
        <v>0</v>
      </c>
      <c r="O106" s="2079">
        <f>M106*MIN(W108+W109+W111+W112,1)</f>
        <v>0</v>
      </c>
      <c r="P106" s="249" t="b">
        <v>1</v>
      </c>
      <c r="Q106" s="249" t="b">
        <v>0</v>
      </c>
      <c r="R106" s="94" t="b">
        <v>0</v>
      </c>
      <c r="S106" s="94" t="b">
        <v>1</v>
      </c>
      <c r="T106" s="94" t="b">
        <v>0</v>
      </c>
      <c r="U106" s="94"/>
      <c r="V106" s="94"/>
      <c r="W106" s="94"/>
      <c r="X106" s="1757"/>
      <c r="Y106" s="2081"/>
      <c r="Z106" s="2084"/>
      <c r="AA106" s="1526"/>
      <c r="AC106" s="970"/>
      <c r="AD106" s="970"/>
      <c r="AE106" s="970"/>
      <c r="AF106" s="249"/>
      <c r="AG106" s="249"/>
      <c r="AH106" s="249"/>
      <c r="AI106" s="249"/>
      <c r="AJ106" s="249"/>
      <c r="AK106" s="249"/>
      <c r="AL106" s="1336" t="str">
        <f>SUBSTITUTE(SUBSTITUTE(SUBSTITUTE("vpa"&amp;$B106&amp;$C106&amp;$D106&amp;$E106,".","_"),"(","_"),")","")</f>
        <v>vpa503_3_2</v>
      </c>
      <c r="AM106" s="254">
        <f>M106</f>
        <v>5</v>
      </c>
      <c r="AN106" s="1336" t="str">
        <f>SUBSTITUTE(SUBSTITUTE(SUBSTITUTE("vpc"&amp;$B106&amp;$C106&amp;$D106&amp;$E106,".","_"),"(","_"),")","")</f>
        <v>vpc503_3_2</v>
      </c>
      <c r="AO106" s="254">
        <f>O106</f>
        <v>0</v>
      </c>
      <c r="AP106" s="1336"/>
      <c r="AQ106" s="1336"/>
      <c r="AR106" s="1336"/>
      <c r="AS106" s="1336"/>
    </row>
    <row r="107" spans="1:45" x14ac:dyDescent="0.25">
      <c r="A107" s="2371">
        <v>5</v>
      </c>
      <c r="B107" s="2374" t="s">
        <v>394</v>
      </c>
      <c r="C107" s="2374" t="s">
        <v>258</v>
      </c>
      <c r="D107" s="2374"/>
      <c r="E107" s="2374"/>
      <c r="F107" s="2374"/>
      <c r="G107" s="2373" t="str">
        <f t="shared" ref="G107:G112" si="1">G106</f>
        <v/>
      </c>
      <c r="H107" s="2375" t="s">
        <v>3972</v>
      </c>
      <c r="I107" s="102"/>
      <c r="J107" s="102"/>
      <c r="K107" s="102"/>
      <c r="L107" s="1754"/>
      <c r="M107" s="1758"/>
      <c r="N107" s="1927"/>
      <c r="O107" s="1927"/>
      <c r="P107" s="94"/>
      <c r="Q107" s="94"/>
      <c r="R107" s="94"/>
      <c r="S107" s="94"/>
      <c r="T107" s="94"/>
      <c r="U107" s="94"/>
      <c r="V107" s="94"/>
      <c r="W107" s="94"/>
      <c r="X107" s="1757"/>
      <c r="Y107" s="2081"/>
      <c r="Z107" s="2084"/>
      <c r="AA107" s="1526"/>
      <c r="AC107" s="970"/>
      <c r="AD107" s="970"/>
      <c r="AE107" s="970"/>
      <c r="AF107" s="249"/>
      <c r="AG107" s="249"/>
      <c r="AH107" s="249"/>
      <c r="AI107" s="249"/>
      <c r="AJ107" s="249"/>
      <c r="AK107" s="249"/>
      <c r="AL107" s="1336"/>
      <c r="AM107" s="1336"/>
      <c r="AN107" s="1336"/>
      <c r="AO107" s="1336"/>
      <c r="AP107" s="1336"/>
      <c r="AQ107" s="1336"/>
      <c r="AR107" s="1336"/>
      <c r="AS107" s="1336"/>
    </row>
    <row r="108" spans="1:45" x14ac:dyDescent="0.25">
      <c r="A108" s="2371">
        <v>5</v>
      </c>
      <c r="B108" s="2374" t="s">
        <v>394</v>
      </c>
      <c r="C108" s="2374" t="s">
        <v>258</v>
      </c>
      <c r="D108" s="2374" t="s">
        <v>121</v>
      </c>
      <c r="E108" s="2374"/>
      <c r="F108" s="2374"/>
      <c r="G108" s="2373" t="str">
        <f t="shared" si="1"/>
        <v/>
      </c>
      <c r="H108" s="2375" t="s">
        <v>3972</v>
      </c>
      <c r="I108" s="102"/>
      <c r="J108" s="102"/>
      <c r="K108" s="91" t="s">
        <v>121</v>
      </c>
      <c r="L108" s="1162" t="s">
        <v>398</v>
      </c>
      <c r="M108" s="1758"/>
      <c r="N108" s="1927"/>
      <c r="O108" s="1927"/>
      <c r="P108" s="249" t="b">
        <v>1</v>
      </c>
      <c r="Q108" s="249" t="b">
        <v>0</v>
      </c>
      <c r="R108" s="94" t="b">
        <v>0</v>
      </c>
      <c r="S108" s="94" t="b">
        <v>1</v>
      </c>
      <c r="T108" s="94" t="b">
        <v>0</v>
      </c>
      <c r="U108" s="94"/>
      <c r="V108" s="94"/>
      <c r="W108" s="25"/>
      <c r="X108" s="1757"/>
      <c r="Y108" s="2081"/>
      <c r="Z108" s="2084"/>
      <c r="AA108" s="1526"/>
      <c r="AC108" s="970"/>
      <c r="AD108" s="970"/>
      <c r="AE108" s="970"/>
      <c r="AF108" s="249"/>
      <c r="AG108" s="249"/>
      <c r="AH108" s="249"/>
      <c r="AI108" s="249"/>
      <c r="AJ108" s="249"/>
      <c r="AK108" s="249"/>
      <c r="AL108" s="1336"/>
      <c r="AM108" s="1336"/>
      <c r="AN108" s="1336"/>
      <c r="AO108" s="1336"/>
      <c r="AP108" s="1336" t="str">
        <f>SUBSTITUTE(SUBSTITUTE(SUBSTITUTE("vch"&amp;$B108&amp;$C108&amp;$D108&amp;$E108,".","_"),"(","_"),")","")</f>
        <v>vch503_3_2_a</v>
      </c>
      <c r="AQ108" s="254" t="str">
        <f>IF(LEN(W108)=0,"",W108)</f>
        <v/>
      </c>
      <c r="AR108" s="1336"/>
      <c r="AS108" s="1336"/>
    </row>
    <row r="109" spans="1:45" x14ac:dyDescent="0.25">
      <c r="A109" s="2371">
        <v>5</v>
      </c>
      <c r="B109" s="2374" t="s">
        <v>394</v>
      </c>
      <c r="C109" s="2374" t="s">
        <v>258</v>
      </c>
      <c r="D109" s="2374" t="s">
        <v>122</v>
      </c>
      <c r="E109" s="2374"/>
      <c r="F109" s="2374"/>
      <c r="G109" s="2373" t="str">
        <f t="shared" si="1"/>
        <v/>
      </c>
      <c r="H109" s="2375" t="s">
        <v>3972</v>
      </c>
      <c r="I109" s="102"/>
      <c r="J109" s="102"/>
      <c r="K109" s="91" t="s">
        <v>122</v>
      </c>
      <c r="L109" s="1754" t="s">
        <v>399</v>
      </c>
      <c r="M109" s="1758"/>
      <c r="N109" s="1927"/>
      <c r="O109" s="1927"/>
      <c r="P109" s="249" t="b">
        <v>1</v>
      </c>
      <c r="Q109" s="249" t="b">
        <v>0</v>
      </c>
      <c r="R109" s="94" t="b">
        <v>0</v>
      </c>
      <c r="S109" s="94" t="b">
        <v>1</v>
      </c>
      <c r="T109" s="94" t="b">
        <v>0</v>
      </c>
      <c r="U109" s="94"/>
      <c r="V109" s="94"/>
      <c r="W109" s="25"/>
      <c r="X109" s="1757"/>
      <c r="Y109" s="2081"/>
      <c r="Z109" s="2084"/>
      <c r="AA109" s="1526"/>
      <c r="AC109" s="970"/>
      <c r="AD109" s="970"/>
      <c r="AE109" s="970"/>
      <c r="AF109" s="249"/>
      <c r="AG109" s="249"/>
      <c r="AH109" s="249"/>
      <c r="AI109" s="249"/>
      <c r="AJ109" s="249"/>
      <c r="AK109" s="249"/>
      <c r="AL109" s="1336"/>
      <c r="AM109" s="1336"/>
      <c r="AN109" s="1336"/>
      <c r="AO109" s="1336"/>
      <c r="AP109" s="1336" t="str">
        <f>SUBSTITUTE(SUBSTITUTE(SUBSTITUTE("vch"&amp;$B109&amp;$C109&amp;$D109&amp;$E109,".","_"),"(","_"),")","")</f>
        <v>vch503_3_2_b</v>
      </c>
      <c r="AQ109" s="254" t="str">
        <f>IF(LEN(W109)=0,"",W109)</f>
        <v/>
      </c>
      <c r="AR109" s="1336"/>
      <c r="AS109" s="1336"/>
    </row>
    <row r="110" spans="1:45" x14ac:dyDescent="0.25">
      <c r="A110" s="2371">
        <v>5</v>
      </c>
      <c r="B110" s="2374" t="s">
        <v>394</v>
      </c>
      <c r="C110" s="2374" t="s">
        <v>258</v>
      </c>
      <c r="D110" s="2374" t="s">
        <v>122</v>
      </c>
      <c r="E110" s="2374"/>
      <c r="F110" s="2374"/>
      <c r="G110" s="2373" t="str">
        <f t="shared" si="1"/>
        <v/>
      </c>
      <c r="H110" s="2375" t="s">
        <v>3972</v>
      </c>
      <c r="I110" s="102"/>
      <c r="J110" s="102"/>
      <c r="K110" s="102"/>
      <c r="L110" s="1754"/>
      <c r="M110" s="1758"/>
      <c r="N110" s="1927"/>
      <c r="O110" s="1927"/>
      <c r="P110" s="94"/>
      <c r="Q110" s="94"/>
      <c r="R110" s="94"/>
      <c r="S110" s="94"/>
      <c r="T110" s="94"/>
      <c r="U110" s="94"/>
      <c r="V110" s="94"/>
      <c r="W110" s="94"/>
      <c r="X110" s="1757"/>
      <c r="Y110" s="2081"/>
      <c r="Z110" s="2084"/>
      <c r="AA110" s="1526"/>
      <c r="AC110" s="970"/>
      <c r="AD110" s="970"/>
      <c r="AE110" s="970"/>
      <c r="AF110" s="249"/>
      <c r="AG110" s="249"/>
      <c r="AH110" s="249"/>
      <c r="AI110" s="249"/>
      <c r="AJ110" s="249"/>
      <c r="AK110" s="249"/>
      <c r="AL110" s="1336"/>
      <c r="AM110" s="1336"/>
      <c r="AN110" s="1336"/>
      <c r="AO110" s="1336"/>
      <c r="AP110" s="1336"/>
      <c r="AQ110" s="1336"/>
      <c r="AR110" s="1336"/>
      <c r="AS110" s="1336"/>
    </row>
    <row r="111" spans="1:45" x14ac:dyDescent="0.25">
      <c r="A111" s="2371">
        <v>5</v>
      </c>
      <c r="B111" s="2374" t="s">
        <v>394</v>
      </c>
      <c r="C111" s="2374" t="s">
        <v>258</v>
      </c>
      <c r="D111" s="2376" t="s">
        <v>123</v>
      </c>
      <c r="E111" s="2376"/>
      <c r="F111" s="2376"/>
      <c r="G111" s="2373" t="str">
        <f t="shared" si="1"/>
        <v/>
      </c>
      <c r="H111" s="2379" t="s">
        <v>3972</v>
      </c>
      <c r="I111" s="102"/>
      <c r="J111" s="102"/>
      <c r="K111" s="110" t="s">
        <v>123</v>
      </c>
      <c r="L111" s="1162" t="s">
        <v>400</v>
      </c>
      <c r="M111" s="1758"/>
      <c r="N111" s="1927"/>
      <c r="O111" s="1927"/>
      <c r="P111" s="249" t="b">
        <v>1</v>
      </c>
      <c r="Q111" s="249" t="b">
        <v>0</v>
      </c>
      <c r="R111" s="94" t="b">
        <v>0</v>
      </c>
      <c r="S111" s="94" t="b">
        <v>1</v>
      </c>
      <c r="T111" s="94" t="b">
        <v>0</v>
      </c>
      <c r="U111" s="94"/>
      <c r="V111" s="94"/>
      <c r="W111" s="25"/>
      <c r="X111" s="1757"/>
      <c r="Y111" s="2081"/>
      <c r="Z111" s="2084"/>
      <c r="AA111" s="1526"/>
      <c r="AC111" s="970"/>
      <c r="AD111" s="970"/>
      <c r="AE111" s="970"/>
      <c r="AF111" s="249"/>
      <c r="AG111" s="249"/>
      <c r="AH111" s="249"/>
      <c r="AI111" s="249"/>
      <c r="AJ111" s="249"/>
      <c r="AK111" s="249"/>
      <c r="AL111" s="1336"/>
      <c r="AM111" s="1336"/>
      <c r="AN111" s="1336"/>
      <c r="AO111" s="1336"/>
      <c r="AP111" s="1336" t="str">
        <f>SUBSTITUTE(SUBSTITUTE(SUBSTITUTE("vch"&amp;$B111&amp;$C111&amp;$D111&amp;$E111,".","_"),"(","_"),")","")</f>
        <v>vch503_3_2_c</v>
      </c>
      <c r="AQ111" s="254" t="str">
        <f>IF(LEN(W111)=0,"",W111)</f>
        <v/>
      </c>
      <c r="AR111" s="1336"/>
      <c r="AS111" s="1336"/>
    </row>
    <row r="112" spans="1:45" x14ac:dyDescent="0.25">
      <c r="A112" s="2371">
        <v>5</v>
      </c>
      <c r="B112" s="2374" t="s">
        <v>394</v>
      </c>
      <c r="C112" s="2374" t="s">
        <v>258</v>
      </c>
      <c r="D112" s="2376" t="s">
        <v>401</v>
      </c>
      <c r="E112" s="2376"/>
      <c r="F112" s="2376"/>
      <c r="G112" s="2373" t="str">
        <f t="shared" si="1"/>
        <v/>
      </c>
      <c r="H112" s="2379" t="s">
        <v>3972</v>
      </c>
      <c r="I112" s="102"/>
      <c r="J112" s="177"/>
      <c r="K112" s="179" t="s">
        <v>401</v>
      </c>
      <c r="L112" s="1163" t="s">
        <v>402</v>
      </c>
      <c r="M112" s="1759"/>
      <c r="N112" s="2076"/>
      <c r="O112" s="2076"/>
      <c r="P112" s="249" t="b">
        <v>1</v>
      </c>
      <c r="Q112" s="249" t="b">
        <v>0</v>
      </c>
      <c r="R112" s="94" t="b">
        <v>0</v>
      </c>
      <c r="S112" s="94" t="b">
        <v>1</v>
      </c>
      <c r="T112" s="94" t="b">
        <v>0</v>
      </c>
      <c r="U112" s="94"/>
      <c r="V112" s="94"/>
      <c r="W112" s="25"/>
      <c r="X112" s="1757"/>
      <c r="Y112" s="2081"/>
      <c r="Z112" s="2084"/>
      <c r="AA112" s="1526"/>
      <c r="AC112" s="970"/>
      <c r="AD112" s="970"/>
      <c r="AE112" s="970"/>
      <c r="AF112" s="249"/>
      <c r="AG112" s="249"/>
      <c r="AH112" s="249"/>
      <c r="AI112" s="249"/>
      <c r="AJ112" s="249"/>
      <c r="AK112" s="249"/>
      <c r="AL112" s="1336"/>
      <c r="AM112" s="1336"/>
      <c r="AN112" s="1336"/>
      <c r="AO112" s="1336"/>
      <c r="AP112" s="1336" t="str">
        <f>SUBSTITUTE(SUBSTITUTE(SUBSTITUTE("vch"&amp;$B112&amp;$C112&amp;$D112&amp;$E112,".","_"),"(","_"),")","")</f>
        <v>vch503_3_2_d</v>
      </c>
      <c r="AQ112" s="254" t="str">
        <f>IF(LEN(W112)=0,"",W112)</f>
        <v/>
      </c>
      <c r="AR112" s="1336"/>
      <c r="AS112" s="1336"/>
    </row>
    <row r="113" spans="1:45" ht="15.75" thickBot="1" x14ac:dyDescent="0.3">
      <c r="A113" s="2371">
        <v>5</v>
      </c>
      <c r="B113" s="2374" t="s">
        <v>394</v>
      </c>
      <c r="C113" s="2374" t="s">
        <v>260</v>
      </c>
      <c r="D113" s="2374"/>
      <c r="E113" s="2374"/>
      <c r="F113" s="2374"/>
      <c r="G113" s="2373" t="str">
        <f>IF(N113&gt;0,"P","")</f>
        <v/>
      </c>
      <c r="H113" s="2375" t="s">
        <v>3972</v>
      </c>
      <c r="I113" s="103"/>
      <c r="J113" s="96" t="s">
        <v>260</v>
      </c>
      <c r="K113" s="103"/>
      <c r="L113" s="1171" t="s">
        <v>403</v>
      </c>
      <c r="M113" s="1011">
        <v>5</v>
      </c>
      <c r="N113" s="1045">
        <f>'Ch5'!O114</f>
        <v>0</v>
      </c>
      <c r="O113" s="1045">
        <f>M113*W113</f>
        <v>0</v>
      </c>
      <c r="P113" s="249" t="b">
        <v>1</v>
      </c>
      <c r="Q113" s="249" t="b">
        <v>0</v>
      </c>
      <c r="R113" s="99" t="b">
        <v>0</v>
      </c>
      <c r="S113" s="99" t="b">
        <v>1</v>
      </c>
      <c r="T113" s="99" t="b">
        <v>0</v>
      </c>
      <c r="U113" s="99"/>
      <c r="V113" s="99"/>
      <c r="W113" s="186"/>
      <c r="X113" s="1771"/>
      <c r="Y113" s="2082"/>
      <c r="Z113" s="2086"/>
      <c r="AA113" s="1526"/>
      <c r="AC113" s="970"/>
      <c r="AD113" s="970"/>
      <c r="AE113" s="970"/>
      <c r="AF113" s="249"/>
      <c r="AG113" s="249"/>
      <c r="AH113" s="249"/>
      <c r="AI113" s="249"/>
      <c r="AJ113" s="249"/>
      <c r="AK113" s="249"/>
      <c r="AL113" s="1336" t="str">
        <f>SUBSTITUTE(SUBSTITUTE(SUBSTITUTE("vpa"&amp;$B113&amp;$C113&amp;$D113&amp;$E113,".","_"),"(","_"),")","")</f>
        <v>vpa503_3_3</v>
      </c>
      <c r="AM113" s="254">
        <f>M113</f>
        <v>5</v>
      </c>
      <c r="AN113" s="1336" t="str">
        <f>SUBSTITUTE(SUBSTITUTE(SUBSTITUTE("vpc"&amp;$B113&amp;$C113&amp;$D113&amp;$E113,".","_"),"(","_"),")","")</f>
        <v>vpc503_3_3</v>
      </c>
      <c r="AO113" s="254">
        <f>O113</f>
        <v>0</v>
      </c>
      <c r="AP113" s="1336" t="str">
        <f>SUBSTITUTE(SUBSTITUTE(SUBSTITUTE("vch"&amp;$B113&amp;$C113&amp;$D113&amp;$E113,".","_"),"(","_"),")","")</f>
        <v>vch503_3_3</v>
      </c>
      <c r="AQ113" s="254" t="str">
        <f>IF(LEN(W113)=0,"",W113)</f>
        <v/>
      </c>
      <c r="AR113" s="1336"/>
      <c r="AS113" s="1336"/>
    </row>
    <row r="114" spans="1:45" ht="15.75" thickTop="1" x14ac:dyDescent="0.25">
      <c r="A114" s="2371">
        <v>5</v>
      </c>
      <c r="B114" s="2374" t="s">
        <v>404</v>
      </c>
      <c r="C114" s="2374"/>
      <c r="D114" s="2374"/>
      <c r="E114" s="2374"/>
      <c r="F114" s="2374"/>
      <c r="G114" s="2363" t="str">
        <f ca="1">IF(COUNTIF(G121:G142,"P")&gt;0,"P","")</f>
        <v/>
      </c>
      <c r="H114" s="2375" t="s">
        <v>3971</v>
      </c>
      <c r="I114" s="139">
        <v>503.4</v>
      </c>
      <c r="J114" s="90"/>
      <c r="K114" s="90"/>
      <c r="L114" s="1781" t="s">
        <v>405</v>
      </c>
      <c r="M114" s="1014"/>
      <c r="N114" s="1042"/>
      <c r="O114" s="1042"/>
      <c r="P114" s="249"/>
      <c r="Q114" s="249"/>
      <c r="R114" s="249"/>
      <c r="S114" s="249"/>
      <c r="T114" s="249"/>
      <c r="U114" s="249"/>
      <c r="V114" s="249"/>
      <c r="W114" s="185"/>
      <c r="X114" s="1815"/>
      <c r="Y114" s="2098" t="str">
        <f>IF(LEN('Ch5'!X115)=0,"None",'Ch5'!X115)</f>
        <v>None</v>
      </c>
      <c r="Z114" s="2085"/>
      <c r="AA114" s="1526"/>
      <c r="AC114" s="970"/>
      <c r="AD114" s="970"/>
      <c r="AE114" s="970"/>
      <c r="AF114" s="249"/>
      <c r="AG114" s="249"/>
      <c r="AH114" s="249"/>
      <c r="AI114" s="249"/>
      <c r="AJ114" s="249"/>
      <c r="AK114" s="249"/>
      <c r="AL114" s="1336"/>
      <c r="AM114" s="1336"/>
      <c r="AN114" s="1336"/>
      <c r="AO114" s="1336"/>
      <c r="AP114" s="1336"/>
      <c r="AQ114" s="1336"/>
      <c r="AR114" s="1336" t="str">
        <f>SUBSTITUTE(SUBSTITUTE(SUBSTITUTE("vnt"&amp;$B114&amp;$C114&amp;$D114&amp;$E114,".","_"),"(","_"),")","")</f>
        <v>vnt503_4</v>
      </c>
      <c r="AS114" s="254" t="str">
        <f>IF(LEN(X114)=0,"",X114)</f>
        <v/>
      </c>
    </row>
    <row r="115" spans="1:45" x14ac:dyDescent="0.25">
      <c r="A115" s="2371">
        <v>5</v>
      </c>
      <c r="B115" s="2374" t="s">
        <v>404</v>
      </c>
      <c r="C115" s="2374"/>
      <c r="D115" s="2374"/>
      <c r="E115" s="2374"/>
      <c r="F115" s="2374"/>
      <c r="G115" s="2373" t="str">
        <f ca="1">G114</f>
        <v/>
      </c>
      <c r="H115" s="2375" t="s">
        <v>3971</v>
      </c>
      <c r="I115" s="90"/>
      <c r="J115" s="90"/>
      <c r="K115" s="90"/>
      <c r="L115" s="1796"/>
      <c r="M115" s="1014"/>
      <c r="N115" s="1042"/>
      <c r="O115" s="1042"/>
      <c r="P115" s="249"/>
      <c r="Q115" s="249"/>
      <c r="R115" s="249"/>
      <c r="S115" s="249"/>
      <c r="T115" s="249"/>
      <c r="U115" s="249"/>
      <c r="V115" s="249"/>
      <c r="W115" s="249"/>
      <c r="X115" s="1799"/>
      <c r="Y115" s="2081"/>
      <c r="Z115" s="2083"/>
      <c r="AA115" s="1526"/>
      <c r="AC115" s="970"/>
      <c r="AD115" s="970"/>
      <c r="AE115" s="970"/>
      <c r="AF115" s="249"/>
      <c r="AG115" s="249"/>
      <c r="AH115" s="249"/>
      <c r="AI115" s="249"/>
      <c r="AJ115" s="249"/>
      <c r="AK115" s="249"/>
      <c r="AL115" s="1336"/>
      <c r="AM115" s="1336"/>
      <c r="AN115" s="1336"/>
      <c r="AO115" s="1336"/>
      <c r="AP115" s="1336"/>
      <c r="AQ115" s="1336"/>
      <c r="AR115" s="1336"/>
      <c r="AS115" s="1336"/>
    </row>
    <row r="116" spans="1:45" x14ac:dyDescent="0.25">
      <c r="A116" s="2371">
        <v>5</v>
      </c>
      <c r="B116" s="2374" t="s">
        <v>404</v>
      </c>
      <c r="C116" s="2374"/>
      <c r="D116" s="2374"/>
      <c r="E116" s="2374"/>
      <c r="F116" s="2374"/>
      <c r="G116" s="2373" t="str">
        <f ca="1">G115</f>
        <v/>
      </c>
      <c r="H116" s="2375" t="s">
        <v>3971</v>
      </c>
      <c r="I116" s="90"/>
      <c r="J116" s="90"/>
      <c r="K116" s="90"/>
      <c r="L116" s="1796"/>
      <c r="M116" s="1014"/>
      <c r="N116" s="1042"/>
      <c r="O116" s="1042"/>
      <c r="P116" s="249"/>
      <c r="Q116" s="249"/>
      <c r="R116" s="249"/>
      <c r="S116" s="249"/>
      <c r="T116" s="249"/>
      <c r="U116" s="249"/>
      <c r="V116" s="249"/>
      <c r="W116" s="249"/>
      <c r="X116" s="1799"/>
      <c r="Y116" s="2081"/>
      <c r="Z116" s="2083"/>
      <c r="AA116" s="1526"/>
      <c r="AC116" s="970"/>
      <c r="AD116" s="970"/>
      <c r="AE116" s="970"/>
      <c r="AF116" s="249"/>
      <c r="AG116" s="249"/>
      <c r="AH116" s="249"/>
      <c r="AI116" s="249"/>
      <c r="AJ116" s="249"/>
      <c r="AK116" s="249"/>
      <c r="AL116" s="1336"/>
      <c r="AM116" s="1336"/>
      <c r="AN116" s="1336"/>
      <c r="AO116" s="1336"/>
      <c r="AP116" s="1336"/>
      <c r="AQ116" s="1336"/>
      <c r="AR116" s="1336"/>
      <c r="AS116" s="1336"/>
    </row>
    <row r="117" spans="1:45" x14ac:dyDescent="0.25">
      <c r="A117" s="2371">
        <v>5</v>
      </c>
      <c r="B117" s="2374" t="s">
        <v>404</v>
      </c>
      <c r="C117" s="2374"/>
      <c r="D117" s="2374"/>
      <c r="E117" s="2374"/>
      <c r="F117" s="2374"/>
      <c r="G117" s="2373" t="str">
        <f ca="1">G116</f>
        <v/>
      </c>
      <c r="H117" s="2375" t="s">
        <v>3971</v>
      </c>
      <c r="I117" s="90"/>
      <c r="J117" s="90"/>
      <c r="K117" s="90"/>
      <c r="L117" s="1796"/>
      <c r="M117" s="1014"/>
      <c r="N117" s="1042"/>
      <c r="O117" s="1042"/>
      <c r="P117" s="249"/>
      <c r="Q117" s="249"/>
      <c r="R117" s="249"/>
      <c r="S117" s="249"/>
      <c r="T117" s="249"/>
      <c r="U117" s="249"/>
      <c r="V117" s="249"/>
      <c r="W117" s="249"/>
      <c r="X117" s="1799"/>
      <c r="Y117" s="2081"/>
      <c r="Z117" s="2083"/>
      <c r="AA117" s="1526"/>
      <c r="AC117" s="970"/>
      <c r="AD117" s="970"/>
      <c r="AE117" s="970"/>
      <c r="AF117" s="249"/>
      <c r="AG117" s="249"/>
      <c r="AH117" s="249"/>
      <c r="AI117" s="249"/>
      <c r="AJ117" s="249"/>
      <c r="AK117" s="249"/>
      <c r="AL117" s="1336"/>
      <c r="AM117" s="1336"/>
      <c r="AN117" s="1336"/>
      <c r="AO117" s="1336"/>
      <c r="AP117" s="1336"/>
      <c r="AQ117" s="1336"/>
      <c r="AR117" s="1336"/>
      <c r="AS117" s="1336"/>
    </row>
    <row r="118" spans="1:45" x14ac:dyDescent="0.25">
      <c r="A118" s="2371">
        <v>5</v>
      </c>
      <c r="B118" s="2374" t="s">
        <v>404</v>
      </c>
      <c r="C118" s="2374"/>
      <c r="D118" s="2374"/>
      <c r="E118" s="2374"/>
      <c r="F118" s="2374"/>
      <c r="G118" s="2373"/>
      <c r="H118" s="2375"/>
      <c r="I118" s="90"/>
      <c r="J118" s="90"/>
      <c r="K118" s="90"/>
      <c r="L118" s="1804" t="s">
        <v>2965</v>
      </c>
      <c r="M118" s="1014"/>
      <c r="N118" s="1042"/>
      <c r="O118" s="1042"/>
      <c r="P118" s="249"/>
      <c r="Q118" s="249"/>
      <c r="R118" s="249"/>
      <c r="S118" s="249"/>
      <c r="T118" s="249"/>
      <c r="U118" s="249"/>
      <c r="V118" s="249"/>
      <c r="W118" s="249"/>
      <c r="X118" s="1799"/>
      <c r="Y118" s="2081"/>
      <c r="Z118" s="2083"/>
      <c r="AA118" s="1526"/>
      <c r="AC118" s="970"/>
      <c r="AD118" s="970"/>
      <c r="AE118" s="970"/>
      <c r="AF118" s="249"/>
      <c r="AG118" s="249"/>
      <c r="AH118" s="249"/>
      <c r="AI118" s="249"/>
      <c r="AJ118" s="249"/>
      <c r="AK118" s="249"/>
      <c r="AL118" s="1336"/>
      <c r="AM118" s="1336"/>
      <c r="AN118" s="1336"/>
      <c r="AO118" s="1336"/>
      <c r="AP118" s="1336"/>
      <c r="AQ118" s="1336"/>
      <c r="AR118" s="1336"/>
      <c r="AS118" s="1336"/>
    </row>
    <row r="119" spans="1:45" x14ac:dyDescent="0.25">
      <c r="A119" s="2371">
        <v>5</v>
      </c>
      <c r="B119" s="2374" t="s">
        <v>404</v>
      </c>
      <c r="C119" s="2374"/>
      <c r="D119" s="2374"/>
      <c r="E119" s="2374"/>
      <c r="F119" s="2374"/>
      <c r="G119" s="2373"/>
      <c r="H119" s="2375"/>
      <c r="I119" s="90"/>
      <c r="J119" s="90"/>
      <c r="K119" s="90"/>
      <c r="L119" s="1804"/>
      <c r="M119" s="1014"/>
      <c r="N119" s="1042"/>
      <c r="O119" s="1042"/>
      <c r="P119" s="249"/>
      <c r="Q119" s="249"/>
      <c r="R119" s="249"/>
      <c r="S119" s="249"/>
      <c r="T119" s="249"/>
      <c r="U119" s="249"/>
      <c r="V119" s="249"/>
      <c r="W119" s="249"/>
      <c r="X119" s="1799"/>
      <c r="Y119" s="2081"/>
      <c r="Z119" s="2083"/>
      <c r="AA119" s="1526"/>
      <c r="AC119" s="970"/>
      <c r="AD119" s="970"/>
      <c r="AE119" s="970"/>
      <c r="AF119" s="249"/>
      <c r="AG119" s="249"/>
      <c r="AH119" s="249"/>
      <c r="AI119" s="249"/>
      <c r="AJ119" s="249"/>
      <c r="AK119" s="249"/>
      <c r="AL119" s="1336"/>
      <c r="AM119" s="1336"/>
      <c r="AN119" s="1336"/>
      <c r="AO119" s="1336"/>
      <c r="AP119" s="1336"/>
      <c r="AQ119" s="1336"/>
      <c r="AR119" s="1336"/>
      <c r="AS119" s="1336"/>
    </row>
    <row r="120" spans="1:45" x14ac:dyDescent="0.25">
      <c r="A120" s="2371">
        <v>5</v>
      </c>
      <c r="B120" s="2374" t="s">
        <v>404</v>
      </c>
      <c r="C120" s="2374"/>
      <c r="D120" s="2374"/>
      <c r="E120" s="2374"/>
      <c r="F120" s="2374"/>
      <c r="G120" s="2373"/>
      <c r="H120" s="2375"/>
      <c r="I120" s="90"/>
      <c r="J120" s="90"/>
      <c r="K120" s="90"/>
      <c r="L120" s="1804"/>
      <c r="M120" s="1014"/>
      <c r="N120" s="1042"/>
      <c r="O120" s="1042"/>
      <c r="P120" s="249"/>
      <c r="Q120" s="249"/>
      <c r="R120" s="249"/>
      <c r="S120" s="249"/>
      <c r="T120" s="249"/>
      <c r="U120" s="249"/>
      <c r="V120" s="249"/>
      <c r="W120" s="249"/>
      <c r="X120" s="1756"/>
      <c r="Y120" s="2081"/>
      <c r="Z120" s="2083"/>
      <c r="AA120" s="1526"/>
      <c r="AC120" s="970"/>
      <c r="AD120" s="970"/>
      <c r="AE120" s="970"/>
      <c r="AF120" s="249"/>
      <c r="AG120" s="249"/>
      <c r="AH120" s="249"/>
      <c r="AI120" s="249"/>
      <c r="AJ120" s="249"/>
      <c r="AK120" s="249"/>
      <c r="AL120" s="1336"/>
      <c r="AM120" s="1336"/>
      <c r="AN120" s="1336"/>
      <c r="AO120" s="1336"/>
      <c r="AP120" s="1336"/>
      <c r="AQ120" s="1336"/>
      <c r="AR120" s="1336"/>
      <c r="AS120" s="1336"/>
    </row>
    <row r="121" spans="1:45" x14ac:dyDescent="0.25">
      <c r="A121" s="2371">
        <v>5</v>
      </c>
      <c r="B121" s="2374" t="s">
        <v>404</v>
      </c>
      <c r="C121" s="2374" t="s">
        <v>256</v>
      </c>
      <c r="D121" s="2374"/>
      <c r="E121" s="2374"/>
      <c r="F121" s="2374"/>
      <c r="G121" s="2373" t="str">
        <f>IF(N121&gt;0,"P","")</f>
        <v/>
      </c>
      <c r="H121" s="2375" t="s">
        <v>3972</v>
      </c>
      <c r="I121" s="90"/>
      <c r="J121" s="91" t="s">
        <v>256</v>
      </c>
      <c r="K121" s="102"/>
      <c r="L121" s="1754" t="s">
        <v>406</v>
      </c>
      <c r="M121" s="1758">
        <v>7</v>
      </c>
      <c r="N121" s="1927">
        <f>'Ch5'!O122</f>
        <v>0</v>
      </c>
      <c r="O121" s="1927">
        <f>M121*W121</f>
        <v>0</v>
      </c>
      <c r="P121" s="249" t="b">
        <v>1</v>
      </c>
      <c r="Q121" s="249" t="b">
        <v>0</v>
      </c>
      <c r="R121" s="249" t="b">
        <v>0</v>
      </c>
      <c r="S121" s="249" t="b">
        <v>1</v>
      </c>
      <c r="T121" s="249" t="b">
        <v>0</v>
      </c>
      <c r="U121" s="249"/>
      <c r="V121" s="249"/>
      <c r="W121" s="25"/>
      <c r="X121" s="1757"/>
      <c r="Y121" s="2081" t="str">
        <f>IF(LEN('Ch5'!X122)=0,"None",'Ch5'!X122)</f>
        <v>None</v>
      </c>
      <c r="Z121" s="2083"/>
      <c r="AA121" s="1526"/>
      <c r="AC121" s="970"/>
      <c r="AD121" s="970"/>
      <c r="AE121" s="970"/>
      <c r="AF121" s="249"/>
      <c r="AG121" s="249"/>
      <c r="AH121" s="249"/>
      <c r="AI121" s="249"/>
      <c r="AJ121" s="249"/>
      <c r="AK121" s="249"/>
      <c r="AL121" s="1336" t="str">
        <f>SUBSTITUTE(SUBSTITUTE(SUBSTITUTE("vpa"&amp;$B121&amp;$C121&amp;$D121&amp;$E121,".","_"),"(","_"),")","")</f>
        <v>vpa503_4_1</v>
      </c>
      <c r="AM121" s="254">
        <f>M121</f>
        <v>7</v>
      </c>
      <c r="AN121" s="1336" t="str">
        <f>SUBSTITUTE(SUBSTITUTE(SUBSTITUTE("vpc"&amp;$B121&amp;$C121&amp;$D121&amp;$E121,".","_"),"(","_"),")","")</f>
        <v>vpc503_4_1</v>
      </c>
      <c r="AO121" s="254">
        <f>O121</f>
        <v>0</v>
      </c>
      <c r="AP121" s="1336" t="str">
        <f>SUBSTITUTE(SUBSTITUTE(SUBSTITUTE("vch"&amp;$B121&amp;$C121&amp;$D121&amp;$E121,".","_"),"(","_"),")","")</f>
        <v>vch503_4_1</v>
      </c>
      <c r="AQ121" s="254" t="str">
        <f>IF(LEN(W121)=0,"",W121)</f>
        <v/>
      </c>
      <c r="AR121" s="1336" t="str">
        <f>SUBSTITUTE(SUBSTITUTE(SUBSTITUTE("vnt"&amp;$B121&amp;$C121&amp;$D121&amp;$E121,".","_"),"(","_"),")","")</f>
        <v>vnt503_4_1</v>
      </c>
      <c r="AS121" s="254" t="str">
        <f>IF(LEN(X121)=0,"",X121)</f>
        <v/>
      </c>
    </row>
    <row r="122" spans="1:45" x14ac:dyDescent="0.25">
      <c r="A122" s="2371">
        <v>5</v>
      </c>
      <c r="B122" s="2374" t="s">
        <v>404</v>
      </c>
      <c r="C122" s="2374" t="s">
        <v>256</v>
      </c>
      <c r="D122" s="2374"/>
      <c r="E122" s="2374"/>
      <c r="F122" s="2374"/>
      <c r="G122" s="2373" t="str">
        <f>G121</f>
        <v/>
      </c>
      <c r="H122" s="2375" t="s">
        <v>3972</v>
      </c>
      <c r="I122" s="90"/>
      <c r="J122" s="91"/>
      <c r="K122" s="102"/>
      <c r="L122" s="1754"/>
      <c r="M122" s="1758"/>
      <c r="N122" s="1927"/>
      <c r="O122" s="1927"/>
      <c r="P122" s="249"/>
      <c r="Q122" s="249"/>
      <c r="R122" s="249"/>
      <c r="S122" s="249"/>
      <c r="T122" s="249"/>
      <c r="U122" s="249"/>
      <c r="V122" s="249"/>
      <c r="W122" s="249"/>
      <c r="X122" s="1757"/>
      <c r="Y122" s="2081"/>
      <c r="Z122" s="2083"/>
      <c r="AA122" s="1526"/>
      <c r="AC122" s="970"/>
      <c r="AD122" s="970"/>
      <c r="AE122" s="970"/>
      <c r="AF122" s="249"/>
      <c r="AG122" s="249"/>
      <c r="AH122" s="249"/>
      <c r="AI122" s="249"/>
      <c r="AJ122" s="249"/>
      <c r="AK122" s="249"/>
      <c r="AL122" s="1336"/>
      <c r="AM122" s="1336"/>
      <c r="AN122" s="1336"/>
      <c r="AO122" s="1336"/>
      <c r="AP122" s="1336"/>
      <c r="AQ122" s="1336"/>
      <c r="AR122" s="1336"/>
      <c r="AS122" s="1336"/>
    </row>
    <row r="123" spans="1:45" x14ac:dyDescent="0.25">
      <c r="A123" s="2371">
        <v>5</v>
      </c>
      <c r="B123" s="2374" t="s">
        <v>404</v>
      </c>
      <c r="C123" s="2374" t="s">
        <v>256</v>
      </c>
      <c r="D123" s="2374"/>
      <c r="E123" s="2374"/>
      <c r="F123" s="2374"/>
      <c r="G123" s="2373" t="str">
        <f>G122</f>
        <v/>
      </c>
      <c r="H123" s="2375" t="s">
        <v>3972</v>
      </c>
      <c r="I123" s="90"/>
      <c r="J123" s="177"/>
      <c r="K123" s="177"/>
      <c r="L123" s="1755"/>
      <c r="M123" s="1759"/>
      <c r="N123" s="2076"/>
      <c r="O123" s="2076"/>
      <c r="P123" s="249"/>
      <c r="Q123" s="249"/>
      <c r="R123" s="249"/>
      <c r="S123" s="249"/>
      <c r="T123" s="249"/>
      <c r="U123" s="249"/>
      <c r="V123" s="249"/>
      <c r="W123" s="249"/>
      <c r="X123" s="1757"/>
      <c r="Y123" s="2081"/>
      <c r="Z123" s="2083"/>
      <c r="AA123" s="1526"/>
      <c r="AC123" s="970"/>
      <c r="AD123" s="970"/>
      <c r="AE123" s="970"/>
      <c r="AF123" s="249"/>
      <c r="AG123" s="249"/>
      <c r="AH123" s="249"/>
      <c r="AI123" s="249"/>
      <c r="AJ123" s="249"/>
      <c r="AK123" s="249"/>
      <c r="AL123" s="1336"/>
      <c r="AM123" s="1336"/>
      <c r="AN123" s="1336"/>
      <c r="AO123" s="1336"/>
      <c r="AP123" s="1336"/>
      <c r="AQ123" s="1336"/>
      <c r="AR123" s="1336"/>
      <c r="AS123" s="1336"/>
    </row>
    <row r="124" spans="1:45" x14ac:dyDescent="0.25">
      <c r="A124" s="2371">
        <v>5</v>
      </c>
      <c r="B124" s="2374" t="s">
        <v>404</v>
      </c>
      <c r="C124" s="2374" t="s">
        <v>258</v>
      </c>
      <c r="D124" s="2374"/>
      <c r="E124" s="2374"/>
      <c r="F124" s="2374"/>
      <c r="G124" s="2373" t="str">
        <f>IF(N124&gt;0,"P","")</f>
        <v/>
      </c>
      <c r="H124" s="2375" t="s">
        <v>3972</v>
      </c>
      <c r="I124" s="90"/>
      <c r="J124" s="91" t="s">
        <v>258</v>
      </c>
      <c r="K124" s="102"/>
      <c r="L124" s="1754" t="s">
        <v>407</v>
      </c>
      <c r="M124" s="1758">
        <v>10</v>
      </c>
      <c r="N124" s="1927">
        <f>'Ch5'!O125</f>
        <v>0</v>
      </c>
      <c r="O124" s="1927">
        <f>M124*W124</f>
        <v>0</v>
      </c>
      <c r="P124" s="249" t="b">
        <v>1</v>
      </c>
      <c r="Q124" s="249" t="b">
        <v>0</v>
      </c>
      <c r="R124" s="249" t="b">
        <v>0</v>
      </c>
      <c r="S124" s="249" t="b">
        <v>1</v>
      </c>
      <c r="T124" s="249" t="b">
        <v>0</v>
      </c>
      <c r="U124" s="249"/>
      <c r="V124" s="249"/>
      <c r="W124" s="25"/>
      <c r="X124" s="1757"/>
      <c r="Y124" s="2081" t="str">
        <f>IF(LEN('Ch5'!X125)=0,"None",'Ch5'!X125)</f>
        <v>None</v>
      </c>
      <c r="Z124" s="2083"/>
      <c r="AA124" s="1526"/>
      <c r="AC124" s="970"/>
      <c r="AD124" s="970"/>
      <c r="AE124" s="970"/>
      <c r="AF124" s="249"/>
      <c r="AG124" s="249"/>
      <c r="AH124" s="249"/>
      <c r="AI124" s="249"/>
      <c r="AJ124" s="249"/>
      <c r="AK124" s="249"/>
      <c r="AL124" s="1336" t="str">
        <f>SUBSTITUTE(SUBSTITUTE(SUBSTITUTE("vpa"&amp;$B124&amp;$C124&amp;$D124&amp;$E124,".","_"),"(","_"),")","")</f>
        <v>vpa503_4_2</v>
      </c>
      <c r="AM124" s="254">
        <f>M124</f>
        <v>10</v>
      </c>
      <c r="AN124" s="1336" t="str">
        <f>SUBSTITUTE(SUBSTITUTE(SUBSTITUTE("vpc"&amp;$B124&amp;$C124&amp;$D124&amp;$E124,".","_"),"(","_"),")","")</f>
        <v>vpc503_4_2</v>
      </c>
      <c r="AO124" s="254">
        <f>O124</f>
        <v>0</v>
      </c>
      <c r="AP124" s="1336" t="str">
        <f>SUBSTITUTE(SUBSTITUTE(SUBSTITUTE("vch"&amp;$B124&amp;$C124&amp;$D124&amp;$E124,".","_"),"(","_"),")","")</f>
        <v>vch503_4_2</v>
      </c>
      <c r="AQ124" s="254" t="str">
        <f>IF(LEN(W124)=0,"",W124)</f>
        <v/>
      </c>
      <c r="AR124" s="1336" t="str">
        <f>SUBSTITUTE(SUBSTITUTE(SUBSTITUTE("vnt"&amp;$B124&amp;$C124&amp;$D124&amp;$E124,".","_"),"(","_"),")","")</f>
        <v>vnt503_4_2</v>
      </c>
      <c r="AS124" s="254" t="str">
        <f>IF(LEN(X124)=0,"",X124)</f>
        <v/>
      </c>
    </row>
    <row r="125" spans="1:45" x14ac:dyDescent="0.25">
      <c r="A125" s="2371">
        <v>5</v>
      </c>
      <c r="B125" s="2374" t="s">
        <v>404</v>
      </c>
      <c r="C125" s="2374" t="s">
        <v>258</v>
      </c>
      <c r="D125" s="2374"/>
      <c r="E125" s="2374"/>
      <c r="F125" s="2374"/>
      <c r="G125" s="2373" t="str">
        <f>G124</f>
        <v/>
      </c>
      <c r="H125" s="2375" t="s">
        <v>3972</v>
      </c>
      <c r="I125" s="90"/>
      <c r="J125" s="102"/>
      <c r="K125" s="102"/>
      <c r="L125" s="1754"/>
      <c r="M125" s="1758"/>
      <c r="N125" s="1927"/>
      <c r="O125" s="1927"/>
      <c r="P125" s="249"/>
      <c r="Q125" s="249"/>
      <c r="R125" s="249"/>
      <c r="S125" s="249"/>
      <c r="T125" s="249"/>
      <c r="U125" s="249"/>
      <c r="V125" s="249"/>
      <c r="W125" s="249"/>
      <c r="X125" s="1757"/>
      <c r="Y125" s="2081"/>
      <c r="Z125" s="2083"/>
      <c r="AA125" s="1526"/>
      <c r="AC125" s="970"/>
      <c r="AD125" s="970"/>
      <c r="AE125" s="970"/>
      <c r="AF125" s="249"/>
      <c r="AG125" s="249"/>
      <c r="AH125" s="249"/>
      <c r="AI125" s="249"/>
      <c r="AJ125" s="249"/>
      <c r="AK125" s="249"/>
      <c r="AL125" s="1336"/>
      <c r="AM125" s="1336"/>
      <c r="AN125" s="1336"/>
      <c r="AO125" s="1336"/>
      <c r="AP125" s="1336"/>
      <c r="AQ125" s="1336"/>
      <c r="AR125" s="1336"/>
      <c r="AS125" s="1336"/>
    </row>
    <row r="126" spans="1:45" x14ac:dyDescent="0.25">
      <c r="A126" s="2371">
        <v>5</v>
      </c>
      <c r="B126" s="2374" t="s">
        <v>404</v>
      </c>
      <c r="C126" s="2374" t="s">
        <v>258</v>
      </c>
      <c r="D126" s="2374"/>
      <c r="E126" s="2374"/>
      <c r="F126" s="2374"/>
      <c r="G126" s="2373" t="str">
        <f>G125</f>
        <v/>
      </c>
      <c r="H126" s="2375" t="s">
        <v>3972</v>
      </c>
      <c r="I126" s="90"/>
      <c r="J126" s="102"/>
      <c r="K126" s="102"/>
      <c r="L126" s="1754"/>
      <c r="M126" s="1758"/>
      <c r="N126" s="1927"/>
      <c r="O126" s="1927"/>
      <c r="P126" s="249"/>
      <c r="Q126" s="249"/>
      <c r="R126" s="249"/>
      <c r="S126" s="249"/>
      <c r="T126" s="249"/>
      <c r="U126" s="249"/>
      <c r="V126" s="249"/>
      <c r="W126" s="249"/>
      <c r="X126" s="1757"/>
      <c r="Y126" s="2081"/>
      <c r="Z126" s="2083"/>
      <c r="AA126" s="1526"/>
      <c r="AC126" s="970"/>
      <c r="AD126" s="970"/>
      <c r="AE126" s="970"/>
      <c r="AF126" s="249"/>
      <c r="AG126" s="249"/>
      <c r="AH126" s="249"/>
      <c r="AI126" s="249"/>
      <c r="AJ126" s="249"/>
      <c r="AK126" s="249"/>
      <c r="AL126" s="1336"/>
      <c r="AM126" s="1336"/>
      <c r="AN126" s="1336"/>
      <c r="AO126" s="1336"/>
      <c r="AP126" s="1336"/>
      <c r="AQ126" s="1336"/>
      <c r="AR126" s="1336"/>
      <c r="AS126" s="1336"/>
    </row>
    <row r="127" spans="1:45" x14ac:dyDescent="0.25">
      <c r="A127" s="2371">
        <v>5</v>
      </c>
      <c r="B127" s="2374" t="s">
        <v>404</v>
      </c>
      <c r="C127" s="2374" t="s">
        <v>258</v>
      </c>
      <c r="D127" s="2374"/>
      <c r="E127" s="2374"/>
      <c r="F127" s="2374"/>
      <c r="G127" s="2373" t="str">
        <f>G126</f>
        <v/>
      </c>
      <c r="H127" s="2375" t="s">
        <v>3972</v>
      </c>
      <c r="I127" s="90"/>
      <c r="J127" s="177"/>
      <c r="K127" s="177"/>
      <c r="L127" s="1755"/>
      <c r="M127" s="1759"/>
      <c r="N127" s="2076"/>
      <c r="O127" s="2076"/>
      <c r="P127" s="249"/>
      <c r="Q127" s="249"/>
      <c r="R127" s="249"/>
      <c r="S127" s="249"/>
      <c r="T127" s="249"/>
      <c r="U127" s="249"/>
      <c r="V127" s="249"/>
      <c r="W127" s="249"/>
      <c r="X127" s="1757"/>
      <c r="Y127" s="2081"/>
      <c r="Z127" s="2083"/>
      <c r="AA127" s="1526"/>
      <c r="AC127" s="970"/>
      <c r="AD127" s="970"/>
      <c r="AE127" s="970"/>
      <c r="AF127" s="249"/>
      <c r="AG127" s="249"/>
      <c r="AH127" s="249"/>
      <c r="AI127" s="249"/>
      <c r="AJ127" s="249"/>
      <c r="AK127" s="249"/>
      <c r="AL127" s="1336"/>
      <c r="AM127" s="1336"/>
      <c r="AN127" s="1336"/>
      <c r="AO127" s="1336"/>
      <c r="AP127" s="1336"/>
      <c r="AQ127" s="1336"/>
      <c r="AR127" s="1336"/>
      <c r="AS127" s="1336"/>
    </row>
    <row r="128" spans="1:45" x14ac:dyDescent="0.25">
      <c r="A128" s="2371">
        <v>5</v>
      </c>
      <c r="B128" s="2374" t="s">
        <v>404</v>
      </c>
      <c r="C128" s="2374" t="s">
        <v>260</v>
      </c>
      <c r="D128" s="2374"/>
      <c r="E128" s="2374"/>
      <c r="F128" s="2374"/>
      <c r="G128" s="2373" t="str">
        <f ca="1">IF(N128&gt;0,"P","")</f>
        <v/>
      </c>
      <c r="H128" s="2375" t="s">
        <v>3972</v>
      </c>
      <c r="I128" s="90"/>
      <c r="J128" s="87" t="s">
        <v>260</v>
      </c>
      <c r="K128" s="90"/>
      <c r="L128" s="1779" t="s">
        <v>408</v>
      </c>
      <c r="M128" s="1014"/>
      <c r="N128" s="2075">
        <f ca="1">'Ch5'!O129</f>
        <v>0</v>
      </c>
      <c r="O128" s="2075">
        <f ca="1">S128*IFERROR(INDEX({5,8,10},MATCH(W128,INDIRECT(U128))),0)</f>
        <v>0</v>
      </c>
      <c r="P128" s="249" t="b">
        <v>1</v>
      </c>
      <c r="Q128" s="249" t="b">
        <v>0</v>
      </c>
      <c r="R128" s="249" t="b">
        <v>0</v>
      </c>
      <c r="S128" s="249" t="b">
        <v>1</v>
      </c>
      <c r="T128" s="249" t="b">
        <v>0</v>
      </c>
      <c r="U128" s="249" t="str">
        <f>SUBSTITUTE(SUBSTITUTE(SUBSTITUTE("dd"&amp;B128&amp;C128&amp;D128&amp;E128&amp;F128,".","_"),"(","_"),")","")</f>
        <v>dd503_4_3</v>
      </c>
      <c r="V128" s="249"/>
      <c r="W128" s="12"/>
      <c r="X128" s="1757"/>
      <c r="Y128" s="2081" t="str">
        <f>IF(LEN('Ch5'!X129)=0,"None",'Ch5'!X129)</f>
        <v>None</v>
      </c>
      <c r="Z128" s="2083"/>
      <c r="AA128" s="1526"/>
      <c r="AC128" s="970"/>
      <c r="AD128" s="970"/>
      <c r="AE128" s="970"/>
      <c r="AF128" s="249"/>
      <c r="AG128" s="249"/>
      <c r="AH128" s="249"/>
      <c r="AI128" s="249"/>
      <c r="AJ128" s="249"/>
      <c r="AK128" s="249"/>
      <c r="AL128" s="1336"/>
      <c r="AM128" s="1336"/>
      <c r="AN128" s="1336" t="str">
        <f>SUBSTITUTE(SUBSTITUTE(SUBSTITUTE("vpc"&amp;$B128&amp;$C128&amp;$D128&amp;$E128,".","_"),"(","_"),")","")</f>
        <v>vpc503_4_3</v>
      </c>
      <c r="AO128" s="254">
        <f ca="1">O128</f>
        <v>0</v>
      </c>
      <c r="AP128" s="1336" t="str">
        <f>SUBSTITUTE(SUBSTITUTE(SUBSTITUTE("vch"&amp;$B128&amp;$C128&amp;$D128&amp;$E128,".","_"),"(","_"),")","")</f>
        <v>vch503_4_3</v>
      </c>
      <c r="AQ128" s="254" t="str">
        <f>IF(LEN(W128)=0,"",W128)</f>
        <v/>
      </c>
      <c r="AR128" s="1336" t="str">
        <f>SUBSTITUTE(SUBSTITUTE(SUBSTITUTE("vnt"&amp;$B128&amp;$C128&amp;$D128&amp;$E128,".","_"),"(","_"),")","")</f>
        <v>vnt503_4_3</v>
      </c>
      <c r="AS128" s="254" t="str">
        <f>IF(LEN(X128)=0,"",X128)</f>
        <v/>
      </c>
    </row>
    <row r="129" spans="1:46" x14ac:dyDescent="0.25">
      <c r="A129" s="2371">
        <v>5</v>
      </c>
      <c r="B129" s="2374" t="s">
        <v>404</v>
      </c>
      <c r="C129" s="2374" t="s">
        <v>260</v>
      </c>
      <c r="D129" s="2374"/>
      <c r="E129" s="2374"/>
      <c r="F129" s="2374"/>
      <c r="G129" s="2373" t="str">
        <f t="shared" ref="G129:G134" ca="1" si="2">G128</f>
        <v/>
      </c>
      <c r="H129" s="2375" t="s">
        <v>3972</v>
      </c>
      <c r="I129" s="90"/>
      <c r="J129" s="90"/>
      <c r="K129" s="90"/>
      <c r="L129" s="1779"/>
      <c r="M129" s="1014"/>
      <c r="N129" s="2075"/>
      <c r="O129" s="2075"/>
      <c r="P129" s="249"/>
      <c r="Q129" s="249"/>
      <c r="R129" s="249"/>
      <c r="S129" s="249"/>
      <c r="T129" s="249"/>
      <c r="U129" s="249"/>
      <c r="V129" s="249"/>
      <c r="W129" s="249"/>
      <c r="X129" s="1757"/>
      <c r="Y129" s="2081"/>
      <c r="Z129" s="2083"/>
      <c r="AA129" s="1526"/>
      <c r="AC129" s="970"/>
      <c r="AD129" s="970"/>
      <c r="AE129" s="970"/>
      <c r="AF129" s="249"/>
      <c r="AG129" s="249"/>
      <c r="AH129" s="249"/>
      <c r="AI129" s="249"/>
      <c r="AJ129" s="249"/>
      <c r="AK129" s="249"/>
      <c r="AL129" s="1336"/>
      <c r="AM129" s="1336"/>
      <c r="AN129" s="1336"/>
      <c r="AO129" s="1336"/>
      <c r="AP129" s="1336"/>
      <c r="AQ129" s="1336"/>
      <c r="AR129" s="1336"/>
      <c r="AS129" s="1336"/>
    </row>
    <row r="130" spans="1:46" x14ac:dyDescent="0.25">
      <c r="A130" s="2371">
        <v>5</v>
      </c>
      <c r="B130" s="2374" t="s">
        <v>404</v>
      </c>
      <c r="C130" s="2374" t="s">
        <v>260</v>
      </c>
      <c r="D130" s="2374"/>
      <c r="E130" s="2374"/>
      <c r="F130" s="2374"/>
      <c r="G130" s="2373" t="str">
        <f t="shared" ca="1" si="2"/>
        <v/>
      </c>
      <c r="H130" s="2375" t="s">
        <v>3972</v>
      </c>
      <c r="I130" s="90"/>
      <c r="J130" s="90"/>
      <c r="K130" s="90"/>
      <c r="L130" s="1779"/>
      <c r="M130" s="1014"/>
      <c r="N130" s="2075"/>
      <c r="O130" s="2075"/>
      <c r="P130" s="249"/>
      <c r="Q130" s="249"/>
      <c r="R130" s="249"/>
      <c r="S130" s="249"/>
      <c r="T130" s="249"/>
      <c r="U130" s="249"/>
      <c r="V130" s="249"/>
      <c r="W130" s="249"/>
      <c r="X130" s="1757"/>
      <c r="Y130" s="2081"/>
      <c r="Z130" s="2083"/>
      <c r="AA130" s="1526"/>
      <c r="AC130" s="970"/>
      <c r="AD130" s="970"/>
      <c r="AE130" s="970"/>
      <c r="AF130" s="249"/>
      <c r="AG130" s="249"/>
      <c r="AH130" s="249"/>
      <c r="AI130" s="249"/>
      <c r="AJ130" s="249"/>
      <c r="AK130" s="249"/>
      <c r="AL130" s="1336"/>
      <c r="AM130" s="1336"/>
      <c r="AN130" s="1336"/>
      <c r="AO130" s="1336"/>
      <c r="AP130" s="1336"/>
      <c r="AQ130" s="1336"/>
      <c r="AR130" s="1336"/>
      <c r="AS130" s="1336"/>
    </row>
    <row r="131" spans="1:46" x14ac:dyDescent="0.25">
      <c r="A131" s="2371">
        <v>5</v>
      </c>
      <c r="B131" s="2374" t="s">
        <v>404</v>
      </c>
      <c r="C131" s="2374" t="s">
        <v>260</v>
      </c>
      <c r="D131" s="2374"/>
      <c r="E131" s="2374"/>
      <c r="F131" s="2374"/>
      <c r="G131" s="2373" t="str">
        <f t="shared" ca="1" si="2"/>
        <v/>
      </c>
      <c r="H131" s="2375" t="s">
        <v>3972</v>
      </c>
      <c r="I131" s="90"/>
      <c r="J131" s="90"/>
      <c r="K131" s="90"/>
      <c r="L131" s="1779"/>
      <c r="M131" s="1014"/>
      <c r="N131" s="2075"/>
      <c r="O131" s="2075"/>
      <c r="P131" s="249"/>
      <c r="Q131" s="249"/>
      <c r="R131" s="249"/>
      <c r="S131" s="249"/>
      <c r="T131" s="249"/>
      <c r="U131" s="249"/>
      <c r="V131" s="249"/>
      <c r="W131" s="249"/>
      <c r="X131" s="1757"/>
      <c r="Y131" s="2081"/>
      <c r="Z131" s="2083"/>
      <c r="AA131" s="1526"/>
      <c r="AC131" s="970"/>
      <c r="AD131" s="970"/>
      <c r="AE131" s="970"/>
      <c r="AF131" s="249"/>
      <c r="AG131" s="249"/>
      <c r="AH131" s="249"/>
      <c r="AI131" s="249"/>
      <c r="AJ131" s="249"/>
      <c r="AK131" s="249"/>
      <c r="AL131" s="1336"/>
      <c r="AM131" s="1336"/>
      <c r="AN131" s="1336"/>
      <c r="AO131" s="1336"/>
      <c r="AP131" s="1336"/>
      <c r="AQ131" s="1336"/>
      <c r="AR131" s="1336"/>
      <c r="AS131" s="1336"/>
    </row>
    <row r="132" spans="1:46" x14ac:dyDescent="0.25">
      <c r="A132" s="2371">
        <v>5</v>
      </c>
      <c r="B132" s="2374" t="s">
        <v>404</v>
      </c>
      <c r="C132" s="2374" t="s">
        <v>260</v>
      </c>
      <c r="D132" s="2374" t="s">
        <v>121</v>
      </c>
      <c r="E132" s="2374"/>
      <c r="F132" s="2374"/>
      <c r="G132" s="2373" t="str">
        <f t="shared" ca="1" si="2"/>
        <v/>
      </c>
      <c r="H132" s="2375" t="s">
        <v>3972</v>
      </c>
      <c r="I132" s="90"/>
      <c r="J132" s="90"/>
      <c r="K132" s="87" t="s">
        <v>121</v>
      </c>
      <c r="L132" s="1170" t="s">
        <v>409</v>
      </c>
      <c r="M132" s="1014">
        <v>5</v>
      </c>
      <c r="N132" s="1042"/>
      <c r="O132" s="1042"/>
      <c r="P132" s="249"/>
      <c r="Q132" s="249"/>
      <c r="R132" s="249"/>
      <c r="S132" s="249"/>
      <c r="T132" s="249"/>
      <c r="U132" s="249"/>
      <c r="V132" s="249"/>
      <c r="W132" s="249"/>
      <c r="X132" s="1757"/>
      <c r="Y132" s="2081"/>
      <c r="Z132" s="2083"/>
      <c r="AA132" s="1526"/>
      <c r="AC132" s="970"/>
      <c r="AD132" s="970"/>
      <c r="AE132" s="970"/>
      <c r="AF132" s="249"/>
      <c r="AG132" s="249"/>
      <c r="AH132" s="249"/>
      <c r="AI132" s="249"/>
      <c r="AJ132" s="249"/>
      <c r="AK132" s="249"/>
      <c r="AL132" s="1336" t="str">
        <f>SUBSTITUTE(SUBSTITUTE(SUBSTITUTE("vpa"&amp;$B132&amp;$C132&amp;$D132&amp;$E132,".","_"),"(","_"),")","")</f>
        <v>vpa503_4_3_a</v>
      </c>
      <c r="AM132" s="254">
        <f>M132</f>
        <v>5</v>
      </c>
      <c r="AN132" s="1336"/>
      <c r="AO132" s="1336"/>
      <c r="AP132" s="1336"/>
      <c r="AQ132" s="1336"/>
      <c r="AR132" s="1336"/>
      <c r="AS132" s="1336"/>
    </row>
    <row r="133" spans="1:46" x14ac:dyDescent="0.25">
      <c r="A133" s="2371">
        <v>5</v>
      </c>
      <c r="B133" s="2374" t="s">
        <v>404</v>
      </c>
      <c r="C133" s="2374" t="s">
        <v>260</v>
      </c>
      <c r="D133" s="2374" t="s">
        <v>122</v>
      </c>
      <c r="E133" s="2374"/>
      <c r="F133" s="2374"/>
      <c r="G133" s="2373" t="str">
        <f t="shared" ca="1" si="2"/>
        <v/>
      </c>
      <c r="H133" s="2375" t="s">
        <v>3972</v>
      </c>
      <c r="I133" s="90"/>
      <c r="J133" s="90"/>
      <c r="K133" s="87" t="s">
        <v>122</v>
      </c>
      <c r="L133" s="1170" t="s">
        <v>410</v>
      </c>
      <c r="M133" s="1014">
        <v>8</v>
      </c>
      <c r="N133" s="1042"/>
      <c r="O133" s="1042"/>
      <c r="P133" s="249"/>
      <c r="Q133" s="249"/>
      <c r="R133" s="249"/>
      <c r="S133" s="249"/>
      <c r="T133" s="249"/>
      <c r="U133" s="249"/>
      <c r="V133" s="249"/>
      <c r="W133" s="249"/>
      <c r="X133" s="1757"/>
      <c r="Y133" s="2081"/>
      <c r="Z133" s="2083"/>
      <c r="AA133" s="1526"/>
      <c r="AC133" s="970"/>
      <c r="AD133" s="970"/>
      <c r="AE133" s="970"/>
      <c r="AF133" s="249"/>
      <c r="AG133" s="249"/>
      <c r="AH133" s="249"/>
      <c r="AI133" s="249"/>
      <c r="AJ133" s="249"/>
      <c r="AK133" s="249"/>
      <c r="AL133" s="1336" t="str">
        <f>SUBSTITUTE(SUBSTITUTE(SUBSTITUTE("vpa"&amp;$B133&amp;$C133&amp;$D133&amp;$E133,".","_"),"(","_"),")","")</f>
        <v>vpa503_4_3_b</v>
      </c>
      <c r="AM133" s="254">
        <f>M133</f>
        <v>8</v>
      </c>
      <c r="AN133" s="1336"/>
      <c r="AO133" s="1336"/>
      <c r="AP133" s="1336"/>
      <c r="AQ133" s="1336"/>
      <c r="AR133" s="1336"/>
      <c r="AS133" s="1336"/>
    </row>
    <row r="134" spans="1:46" x14ac:dyDescent="0.25">
      <c r="A134" s="2371">
        <v>5</v>
      </c>
      <c r="B134" s="2374" t="s">
        <v>404</v>
      </c>
      <c r="C134" s="2374" t="s">
        <v>260</v>
      </c>
      <c r="D134" s="2374" t="s">
        <v>123</v>
      </c>
      <c r="E134" s="2374"/>
      <c r="F134" s="2374"/>
      <c r="G134" s="2373" t="str">
        <f t="shared" ca="1" si="2"/>
        <v/>
      </c>
      <c r="H134" s="2375" t="s">
        <v>3972</v>
      </c>
      <c r="I134" s="90"/>
      <c r="J134" s="177"/>
      <c r="K134" s="179" t="s">
        <v>123</v>
      </c>
      <c r="L134" s="1163" t="s">
        <v>411</v>
      </c>
      <c r="M134" s="1015">
        <v>10</v>
      </c>
      <c r="N134" s="1047"/>
      <c r="O134" s="1047"/>
      <c r="P134" s="249"/>
      <c r="Q134" s="249"/>
      <c r="R134" s="249"/>
      <c r="S134" s="249"/>
      <c r="T134" s="249"/>
      <c r="U134" s="249"/>
      <c r="V134" s="249"/>
      <c r="W134" s="249"/>
      <c r="X134" s="1757"/>
      <c r="Y134" s="2081"/>
      <c r="Z134" s="2083"/>
      <c r="AA134" s="1526"/>
      <c r="AC134" s="970"/>
      <c r="AD134" s="970"/>
      <c r="AE134" s="970"/>
      <c r="AF134" s="249"/>
      <c r="AG134" s="249"/>
      <c r="AH134" s="249"/>
      <c r="AI134" s="249"/>
      <c r="AJ134" s="249"/>
      <c r="AK134" s="249"/>
      <c r="AL134" s="1336" t="str">
        <f>SUBSTITUTE(SUBSTITUTE(SUBSTITUTE("vpa"&amp;$B134&amp;$C134&amp;$D134&amp;$E134,".","_"),"(","_"),")","")</f>
        <v>vpa503_4_3_c</v>
      </c>
      <c r="AM134" s="254">
        <f>M134</f>
        <v>10</v>
      </c>
      <c r="AN134" s="1336"/>
      <c r="AO134" s="1336"/>
      <c r="AP134" s="1336"/>
      <c r="AQ134" s="1336"/>
      <c r="AR134" s="1336"/>
      <c r="AS134" s="1336"/>
    </row>
    <row r="135" spans="1:46" x14ac:dyDescent="0.25">
      <c r="A135" s="2371">
        <v>5</v>
      </c>
      <c r="B135" s="2374" t="s">
        <v>404</v>
      </c>
      <c r="C135" s="2374" t="s">
        <v>269</v>
      </c>
      <c r="D135" s="2374"/>
      <c r="E135" s="2374"/>
      <c r="F135" s="2374"/>
      <c r="G135" s="2373" t="str">
        <f ca="1">IF(N135&gt;0,"P","")</f>
        <v/>
      </c>
      <c r="H135" s="2375" t="s">
        <v>3971</v>
      </c>
      <c r="I135" s="102"/>
      <c r="J135" s="91" t="s">
        <v>269</v>
      </c>
      <c r="K135" s="110"/>
      <c r="L135" s="1754" t="s">
        <v>412</v>
      </c>
      <c r="M135" s="1010"/>
      <c r="N135" s="2075">
        <f ca="1">'Ch5'!O136</f>
        <v>0</v>
      </c>
      <c r="O135" s="2075">
        <f ca="1">S135*IFERROR(INDEX({5,8,10},MATCH(W135,INDIRECT(U135))),0)</f>
        <v>0</v>
      </c>
      <c r="P135" s="94" t="b">
        <v>1</v>
      </c>
      <c r="Q135" s="94" t="b">
        <v>1</v>
      </c>
      <c r="R135" s="94" t="b">
        <v>0</v>
      </c>
      <c r="S135" s="94" t="b">
        <v>1</v>
      </c>
      <c r="T135" s="94" t="b">
        <v>0</v>
      </c>
      <c r="U135" s="94" t="str">
        <f>SUBSTITUTE(SUBSTITUTE(SUBSTITUTE("dd"&amp;B135&amp;C135&amp;D135&amp;E135&amp;F135,".","_"),"(","_"),")","")</f>
        <v>dd503_4_4</v>
      </c>
      <c r="V135" s="94"/>
      <c r="W135" s="109"/>
      <c r="X135" s="1757"/>
      <c r="Y135" s="2081" t="str">
        <f>IF(LEN('Ch5'!X136)=0,"None",'Ch5'!X136)</f>
        <v>None</v>
      </c>
      <c r="Z135" s="2084"/>
      <c r="AA135" s="1526"/>
      <c r="AC135" s="970"/>
      <c r="AD135" s="970"/>
      <c r="AE135" s="970"/>
      <c r="AF135" s="249"/>
      <c r="AG135" s="249"/>
      <c r="AH135" s="249"/>
      <c r="AI135" s="249"/>
      <c r="AJ135" s="249"/>
      <c r="AK135" s="249"/>
      <c r="AL135" s="1336"/>
      <c r="AM135" s="1336"/>
      <c r="AN135" s="1336" t="str">
        <f>SUBSTITUTE(SUBSTITUTE(SUBSTITUTE("vpc"&amp;$B135&amp;$C135&amp;$D135&amp;$E135,".","_"),"(","_"),")","")</f>
        <v>vpc503_4_4</v>
      </c>
      <c r="AO135" s="254">
        <f ca="1">O135</f>
        <v>0</v>
      </c>
      <c r="AP135" s="1336" t="str">
        <f>SUBSTITUTE(SUBSTITUTE(SUBSTITUTE("vch"&amp;$B135&amp;$C135&amp;$D135&amp;$E135,".","_"),"(","_"),")","")</f>
        <v>vch503_4_4</v>
      </c>
      <c r="AQ135" s="254" t="str">
        <f>IF(LEN(W135)=0,"",W135)</f>
        <v/>
      </c>
      <c r="AR135" s="1336" t="str">
        <f>SUBSTITUTE(SUBSTITUTE(SUBSTITUTE("vnt"&amp;$B135&amp;$C135&amp;$D135&amp;$E135,".","_"),"(","_"),")","")</f>
        <v>vnt503_4_4</v>
      </c>
      <c r="AS135" s="254" t="str">
        <f>IF(LEN(X135)=0,"",X135)</f>
        <v/>
      </c>
    </row>
    <row r="136" spans="1:46" x14ac:dyDescent="0.25">
      <c r="A136" s="2371">
        <v>5</v>
      </c>
      <c r="B136" s="2374" t="s">
        <v>404</v>
      </c>
      <c r="C136" s="2374" t="s">
        <v>269</v>
      </c>
      <c r="D136" s="2374"/>
      <c r="E136" s="2374"/>
      <c r="F136" s="2374"/>
      <c r="G136" s="2373" t="str">
        <f ca="1">G135</f>
        <v/>
      </c>
      <c r="H136" s="2375" t="s">
        <v>3971</v>
      </c>
      <c r="I136" s="102"/>
      <c r="J136" s="102"/>
      <c r="K136" s="102"/>
      <c r="L136" s="1754"/>
      <c r="M136" s="1010"/>
      <c r="N136" s="2075"/>
      <c r="O136" s="2075"/>
      <c r="P136" s="94"/>
      <c r="Q136" s="94"/>
      <c r="R136" s="94"/>
      <c r="S136" s="94"/>
      <c r="T136" s="94"/>
      <c r="U136" s="94"/>
      <c r="V136" s="94"/>
      <c r="W136" s="94"/>
      <c r="X136" s="1757"/>
      <c r="Y136" s="2081"/>
      <c r="Z136" s="2084"/>
      <c r="AA136" s="1526"/>
      <c r="AC136" s="970"/>
      <c r="AD136" s="970"/>
      <c r="AE136" s="970"/>
      <c r="AF136" s="249"/>
      <c r="AG136" s="249"/>
      <c r="AH136" s="249"/>
      <c r="AI136" s="249"/>
      <c r="AJ136" s="249"/>
      <c r="AK136" s="249"/>
      <c r="AL136" s="1336"/>
      <c r="AM136" s="1336"/>
      <c r="AN136" s="1336"/>
      <c r="AO136" s="1336"/>
      <c r="AP136" s="1336"/>
      <c r="AQ136" s="1336"/>
      <c r="AR136" s="1336"/>
      <c r="AS136" s="1336"/>
    </row>
    <row r="137" spans="1:46" x14ac:dyDescent="0.25">
      <c r="A137" s="2371">
        <v>5</v>
      </c>
      <c r="B137" s="2374" t="s">
        <v>404</v>
      </c>
      <c r="C137" s="2374" t="s">
        <v>269</v>
      </c>
      <c r="D137" s="2374" t="s">
        <v>121</v>
      </c>
      <c r="E137" s="2374"/>
      <c r="F137" s="2374"/>
      <c r="G137" s="2373" t="str">
        <f ca="1">G136</f>
        <v/>
      </c>
      <c r="H137" s="2375" t="s">
        <v>3971</v>
      </c>
      <c r="I137" s="102"/>
      <c r="J137" s="90"/>
      <c r="K137" s="87" t="s">
        <v>121</v>
      </c>
      <c r="L137" s="1170" t="s">
        <v>4127</v>
      </c>
      <c r="M137" s="1010">
        <v>5</v>
      </c>
      <c r="N137" s="1042"/>
      <c r="O137" s="1042"/>
      <c r="P137" s="868"/>
      <c r="Q137" s="868"/>
      <c r="R137" s="868"/>
      <c r="S137" s="868"/>
      <c r="T137" s="868"/>
      <c r="U137" s="94"/>
      <c r="V137" s="94"/>
      <c r="W137" s="94"/>
      <c r="X137" s="1757"/>
      <c r="Y137" s="2081"/>
      <c r="Z137" s="2084"/>
      <c r="AA137" s="1526"/>
      <c r="AC137" s="970"/>
      <c r="AD137" s="970"/>
      <c r="AE137" s="970"/>
      <c r="AF137" s="249"/>
      <c r="AG137" s="249"/>
      <c r="AH137" s="249"/>
      <c r="AI137" s="249"/>
      <c r="AJ137" s="249"/>
      <c r="AK137" s="249"/>
      <c r="AL137" s="1336" t="str">
        <f>SUBSTITUTE(SUBSTITUTE(SUBSTITUTE("vpa"&amp;$B137&amp;$C137&amp;$D137&amp;$E137,".","_"),"(","_"),")","")</f>
        <v>vpa503_4_4_a</v>
      </c>
      <c r="AM137" s="254">
        <f>M137</f>
        <v>5</v>
      </c>
      <c r="AN137" s="1336"/>
      <c r="AO137" s="1336"/>
      <c r="AP137" s="1336"/>
      <c r="AQ137" s="1336"/>
      <c r="AR137" s="1336"/>
      <c r="AS137" s="1336"/>
    </row>
    <row r="138" spans="1:46" x14ac:dyDescent="0.25">
      <c r="A138" s="2371">
        <v>5</v>
      </c>
      <c r="B138" s="2374" t="s">
        <v>404</v>
      </c>
      <c r="C138" s="2374" t="s">
        <v>269</v>
      </c>
      <c r="D138" s="2374" t="s">
        <v>122</v>
      </c>
      <c r="E138" s="2374"/>
      <c r="F138" s="2374"/>
      <c r="G138" s="2373" t="str">
        <f ca="1">G137</f>
        <v/>
      </c>
      <c r="H138" s="2375" t="s">
        <v>3971</v>
      </c>
      <c r="I138" s="102"/>
      <c r="J138" s="90"/>
      <c r="K138" s="87" t="s">
        <v>122</v>
      </c>
      <c r="L138" s="1170" t="s">
        <v>4128</v>
      </c>
      <c r="M138" s="1010">
        <v>8</v>
      </c>
      <c r="N138" s="1042"/>
      <c r="O138" s="1042"/>
      <c r="P138" s="868"/>
      <c r="Q138" s="868"/>
      <c r="R138" s="868"/>
      <c r="S138" s="868"/>
      <c r="T138" s="868"/>
      <c r="U138" s="94"/>
      <c r="V138" s="94"/>
      <c r="W138" s="94"/>
      <c r="X138" s="1757"/>
      <c r="Y138" s="2081"/>
      <c r="Z138" s="2084"/>
      <c r="AA138" s="1526"/>
      <c r="AC138" s="970"/>
      <c r="AD138" s="970"/>
      <c r="AE138" s="970"/>
      <c r="AF138" s="249"/>
      <c r="AG138" s="249"/>
      <c r="AH138" s="249"/>
      <c r="AI138" s="249"/>
      <c r="AJ138" s="249"/>
      <c r="AK138" s="249"/>
      <c r="AL138" s="1336" t="str">
        <f>SUBSTITUTE(SUBSTITUTE(SUBSTITUTE("vpa"&amp;$B138&amp;$C138&amp;$D138&amp;$E138,".","_"),"(","_"),")","")</f>
        <v>vpa503_4_4_b</v>
      </c>
      <c r="AM138" s="254">
        <f>M138</f>
        <v>8</v>
      </c>
      <c r="AN138" s="1336"/>
      <c r="AO138" s="1336"/>
      <c r="AP138" s="1336"/>
      <c r="AQ138" s="1336"/>
      <c r="AR138" s="1336"/>
      <c r="AS138" s="1336"/>
    </row>
    <row r="139" spans="1:46" x14ac:dyDescent="0.25">
      <c r="A139" s="2371">
        <v>5</v>
      </c>
      <c r="B139" s="2374" t="s">
        <v>404</v>
      </c>
      <c r="C139" s="2374" t="s">
        <v>269</v>
      </c>
      <c r="D139" s="2374" t="s">
        <v>123</v>
      </c>
      <c r="E139" s="2374"/>
      <c r="F139" s="2374"/>
      <c r="G139" s="2373" t="str">
        <f ca="1">G138</f>
        <v/>
      </c>
      <c r="H139" s="2375" t="s">
        <v>3971</v>
      </c>
      <c r="I139" s="102"/>
      <c r="J139" s="90"/>
      <c r="K139" s="89" t="s">
        <v>123</v>
      </c>
      <c r="L139" s="1170" t="s">
        <v>4129</v>
      </c>
      <c r="M139" s="1010">
        <v>10</v>
      </c>
      <c r="N139" s="1042"/>
      <c r="O139" s="1044"/>
      <c r="P139" s="868"/>
      <c r="Q139" s="868"/>
      <c r="R139" s="868"/>
      <c r="S139" s="868"/>
      <c r="T139" s="868"/>
      <c r="U139" s="94"/>
      <c r="V139" s="94"/>
      <c r="W139" s="94"/>
      <c r="X139" s="1757"/>
      <c r="Y139" s="2099"/>
      <c r="Z139" s="2087"/>
      <c r="AA139" s="1526"/>
      <c r="AC139" s="970"/>
      <c r="AD139" s="970"/>
      <c r="AE139" s="970"/>
      <c r="AF139" s="249"/>
      <c r="AG139" s="249"/>
      <c r="AH139" s="249"/>
      <c r="AI139" s="249"/>
      <c r="AJ139" s="249"/>
      <c r="AK139" s="249"/>
      <c r="AL139" s="1336" t="str">
        <f>SUBSTITUTE(SUBSTITUTE(SUBSTITUTE("vpa"&amp;$B139&amp;$C139&amp;$D139&amp;$E139,".","_"),"(","_"),")","")</f>
        <v>vpa503_4_4_c</v>
      </c>
      <c r="AM139" s="254">
        <f>M139</f>
        <v>10</v>
      </c>
      <c r="AN139" s="1336"/>
      <c r="AO139" s="1336"/>
      <c r="AP139" s="1336"/>
      <c r="AQ139" s="1336"/>
      <c r="AR139" s="1336"/>
      <c r="AS139" s="1336"/>
    </row>
    <row r="140" spans="1:46" x14ac:dyDescent="0.25">
      <c r="A140" s="2371">
        <v>5</v>
      </c>
      <c r="B140" s="2374" t="s">
        <v>404</v>
      </c>
      <c r="C140" s="2374" t="s">
        <v>269</v>
      </c>
      <c r="D140" s="2374" t="s">
        <v>123</v>
      </c>
      <c r="E140" s="2374" t="s">
        <v>4860</v>
      </c>
      <c r="F140" s="2374"/>
      <c r="G140" s="2373" t="str">
        <f ca="1">IF(N140&gt;0,"P","")</f>
        <v/>
      </c>
      <c r="H140" s="2375" t="s">
        <v>3971</v>
      </c>
      <c r="I140"/>
      <c r="J140" s="868"/>
      <c r="K140" s="868"/>
      <c r="L140" s="1841" t="s">
        <v>4130</v>
      </c>
      <c r="M140" s="1758">
        <f ca="1">S135*IFERROR(INDEX({2,4,6},MATCH(W135,INDIRECT(U135))),0)</f>
        <v>0</v>
      </c>
      <c r="N140" s="2075">
        <f ca="1">'Ch5'!O141</f>
        <v>0</v>
      </c>
      <c r="O140" s="1927">
        <f ca="1">M140*S140*W140</f>
        <v>0</v>
      </c>
      <c r="P140" s="868" t="b">
        <v>1</v>
      </c>
      <c r="Q140" s="868" t="b">
        <v>1</v>
      </c>
      <c r="R140" s="868" t="b">
        <v>0</v>
      </c>
      <c r="S140" s="868" t="b">
        <f>LEN(W135)&gt;0</f>
        <v>0</v>
      </c>
      <c r="T140" s="868" t="b">
        <f>AND(W140=TRUE,LEN(W135)=0)</f>
        <v>0</v>
      </c>
      <c r="U140"/>
      <c r="V140"/>
      <c r="W140" s="25"/>
      <c r="X140" s="1757"/>
      <c r="Y140" s="2081" t="str">
        <f>IF(LEN('Ch5'!X141)=0,"None",'Ch5'!X141)</f>
        <v>None</v>
      </c>
      <c r="Z140" s="2083"/>
      <c r="AA140" s="1526"/>
      <c r="AC140" s="970" t="b">
        <f>OR(AD140:AE140)</f>
        <v>0</v>
      </c>
      <c r="AD140" s="970" t="b">
        <f>T140</f>
        <v>0</v>
      </c>
      <c r="AE140" s="970"/>
      <c r="AF140"/>
      <c r="AG140"/>
      <c r="AH140"/>
      <c r="AI140"/>
      <c r="AJ140"/>
      <c r="AK140"/>
      <c r="AL140" s="1336" t="str">
        <f>SUBSTITUTE(SUBSTITUTE(SUBSTITUTE("vpa"&amp;$B140&amp;$C140&amp;$D140&amp;$E140,".","_"),"(","_"),")","")</f>
        <v>vpa503_4_4_c_1</v>
      </c>
      <c r="AM140" s="254">
        <f ca="1">M140</f>
        <v>0</v>
      </c>
      <c r="AN140" s="1336" t="str">
        <f>SUBSTITUTE(SUBSTITUTE(SUBSTITUTE("vpc"&amp;$B140&amp;$C140&amp;$D140&amp;$E140,".","_"),"(","_"),")","")</f>
        <v>vpc503_4_4_c_1</v>
      </c>
      <c r="AO140" s="254">
        <f ca="1">O140</f>
        <v>0</v>
      </c>
      <c r="AP140" s="1336" t="str">
        <f>SUBSTITUTE(SUBSTITUTE(SUBSTITUTE("vch"&amp;$B140&amp;$C140&amp;$D140&amp;$E140,".","_"),"(","_"),")","")</f>
        <v>vch503_4_4_c_1</v>
      </c>
      <c r="AQ140" s="254" t="str">
        <f>IF(LEN(W140)=0,"",W140)</f>
        <v/>
      </c>
      <c r="AR140" s="1336" t="str">
        <f>SUBSTITUTE(SUBSTITUTE(SUBSTITUTE("vnt"&amp;$B140&amp;$C140&amp;$D140&amp;$E140,".","_"),"(","_"),")","")</f>
        <v>vnt503_4_4_c_1</v>
      </c>
      <c r="AS140" s="254" t="str">
        <f>IF(LEN(X140)=0,"",X140)</f>
        <v/>
      </c>
      <c r="AT140"/>
    </row>
    <row r="141" spans="1:46" x14ac:dyDescent="0.25">
      <c r="A141" s="2371">
        <v>5</v>
      </c>
      <c r="B141" s="2374" t="s">
        <v>404</v>
      </c>
      <c r="C141" s="2374" t="s">
        <v>269</v>
      </c>
      <c r="D141" s="2374" t="s">
        <v>123</v>
      </c>
      <c r="E141" s="2374"/>
      <c r="F141" s="2374"/>
      <c r="G141" s="2373" t="str">
        <f ca="1">G140</f>
        <v/>
      </c>
      <c r="H141" s="2375" t="s">
        <v>3971</v>
      </c>
      <c r="I141"/>
      <c r="J141" s="178"/>
      <c r="K141" s="178"/>
      <c r="L141" s="1761"/>
      <c r="M141" s="1759"/>
      <c r="N141" s="2076"/>
      <c r="O141" s="2076"/>
      <c r="P141" s="868"/>
      <c r="Q141" s="868"/>
      <c r="R141" s="868"/>
      <c r="S141" s="868"/>
      <c r="T141" s="868"/>
      <c r="U141"/>
      <c r="V141"/>
      <c r="W141"/>
      <c r="X141" s="1757"/>
      <c r="Y141" s="2081"/>
      <c r="Z141" s="2083"/>
      <c r="AA141" s="1526"/>
      <c r="AC141" s="970"/>
      <c r="AD141" s="970"/>
      <c r="AE141" s="970"/>
      <c r="AF141"/>
      <c r="AG141"/>
      <c r="AH141"/>
      <c r="AI141"/>
      <c r="AJ141"/>
      <c r="AK141"/>
      <c r="AL141" s="1336"/>
      <c r="AM141" s="254"/>
      <c r="AN141" s="1336"/>
      <c r="AO141" s="1336"/>
      <c r="AP141" s="1336"/>
      <c r="AQ141" s="1336"/>
      <c r="AR141" s="1336"/>
      <c r="AS141" s="1336"/>
      <c r="AT141"/>
    </row>
    <row r="142" spans="1:46" x14ac:dyDescent="0.25">
      <c r="A142" s="2371">
        <v>5</v>
      </c>
      <c r="B142" s="2374" t="s">
        <v>404</v>
      </c>
      <c r="C142" s="2374" t="s">
        <v>275</v>
      </c>
      <c r="D142" s="2374"/>
      <c r="E142" s="2374"/>
      <c r="F142" s="2374"/>
      <c r="G142" s="2373" t="str">
        <f>IF(N142&gt;0,"P","")</f>
        <v/>
      </c>
      <c r="H142" s="2375" t="s">
        <v>3971</v>
      </c>
      <c r="I142"/>
      <c r="J142" s="87" t="s">
        <v>275</v>
      </c>
      <c r="K142" s="845"/>
      <c r="L142" s="1787" t="s">
        <v>4131</v>
      </c>
      <c r="M142" s="1767">
        <v>3</v>
      </c>
      <c r="N142" s="2075">
        <f>'Ch5'!O143</f>
        <v>0</v>
      </c>
      <c r="O142" s="2075">
        <f>M142*S142*W142</f>
        <v>0</v>
      </c>
      <c r="P142" s="868" t="b">
        <v>1</v>
      </c>
      <c r="Q142" s="868" t="b">
        <v>1</v>
      </c>
      <c r="R142" s="868" t="b">
        <v>0</v>
      </c>
      <c r="S142" s="868" t="b">
        <v>1</v>
      </c>
      <c r="T142" s="868" t="b">
        <v>0</v>
      </c>
      <c r="U142"/>
      <c r="V142"/>
      <c r="W142" s="25"/>
      <c r="X142" s="1757"/>
      <c r="Y142" s="2099" t="str">
        <f>IF(LEN('Ch5'!X143)=0,"None",'Ch5'!X143)</f>
        <v>None</v>
      </c>
      <c r="Z142" s="2087"/>
      <c r="AA142" s="1551" t="str">
        <f>IF(LEN('Photo Review'!I141)&gt;0,'Photo Review'!I141,"")</f>
        <v/>
      </c>
      <c r="AC142" s="970"/>
      <c r="AD142" s="970"/>
      <c r="AE142" s="970"/>
      <c r="AF142"/>
      <c r="AG142"/>
      <c r="AH142"/>
      <c r="AI142"/>
      <c r="AJ142"/>
      <c r="AK142"/>
      <c r="AL142" s="1336" t="str">
        <f>SUBSTITUTE(SUBSTITUTE(SUBSTITUTE("vpa"&amp;$B142&amp;$C142&amp;$D142&amp;$E142,".","_"),"(","_"),")","")</f>
        <v>vpa503_4_5</v>
      </c>
      <c r="AM142" s="254">
        <f>M142</f>
        <v>3</v>
      </c>
      <c r="AN142" s="1336" t="str">
        <f>SUBSTITUTE(SUBSTITUTE(SUBSTITUTE("vpc"&amp;$B142&amp;$C142&amp;$D142&amp;$E142,".","_"),"(","_"),")","")</f>
        <v>vpc503_4_5</v>
      </c>
      <c r="AO142" s="254">
        <f>O142</f>
        <v>0</v>
      </c>
      <c r="AP142" s="1336" t="str">
        <f>SUBSTITUTE(SUBSTITUTE(SUBSTITUTE("vch"&amp;$B142&amp;$C142&amp;$D142&amp;$E142,".","_"),"(","_"),")","")</f>
        <v>vch503_4_5</v>
      </c>
      <c r="AQ142" s="254" t="str">
        <f>IF(LEN(W142)=0,"",W142)</f>
        <v/>
      </c>
      <c r="AR142" s="1336" t="str">
        <f>SUBSTITUTE(SUBSTITUTE(SUBSTITUTE("vnt"&amp;$B142&amp;$C142&amp;$D142&amp;$E142,".","_"),"(","_"),")","")</f>
        <v>vnt503_4_5</v>
      </c>
      <c r="AS142" s="254" t="str">
        <f>IF(LEN(X142)=0,"",X142)</f>
        <v/>
      </c>
      <c r="AT142"/>
    </row>
    <row r="143" spans="1:46" x14ac:dyDescent="0.25">
      <c r="A143" s="2371">
        <v>5</v>
      </c>
      <c r="B143" s="2374" t="s">
        <v>404</v>
      </c>
      <c r="C143" s="2374" t="s">
        <v>275</v>
      </c>
      <c r="D143" s="2374"/>
      <c r="E143" s="2374"/>
      <c r="F143" s="2374"/>
      <c r="G143" s="2373" t="str">
        <f>G142</f>
        <v/>
      </c>
      <c r="H143" s="2375" t="s">
        <v>3971</v>
      </c>
      <c r="I143"/>
      <c r="J143" s="845"/>
      <c r="K143" s="845"/>
      <c r="L143" s="1787"/>
      <c r="M143" s="1767"/>
      <c r="N143" s="2075"/>
      <c r="O143" s="2075"/>
      <c r="P143" s="868"/>
      <c r="Q143" s="868"/>
      <c r="R143" s="868"/>
      <c r="S143" s="868"/>
      <c r="T143" s="868"/>
      <c r="U143"/>
      <c r="V143"/>
      <c r="W143"/>
      <c r="X143" s="1757"/>
      <c r="Y143" s="2100"/>
      <c r="Z143" s="2091"/>
      <c r="AA143" s="1526"/>
      <c r="AC143" s="970"/>
      <c r="AD143" s="970"/>
      <c r="AE143" s="970"/>
      <c r="AF143"/>
      <c r="AG143"/>
      <c r="AH143"/>
      <c r="AI143"/>
      <c r="AJ143"/>
      <c r="AK143"/>
      <c r="AL143" s="1336"/>
      <c r="AM143" s="254"/>
      <c r="AN143" s="1336"/>
      <c r="AO143" s="1336"/>
      <c r="AP143" s="1336"/>
      <c r="AQ143" s="1336"/>
      <c r="AR143" s="1336"/>
      <c r="AS143" s="1336"/>
      <c r="AT143"/>
    </row>
    <row r="144" spans="1:46" ht="15.75" thickBot="1" x14ac:dyDescent="0.3">
      <c r="A144" s="2371">
        <v>5</v>
      </c>
      <c r="B144" s="2374" t="s">
        <v>404</v>
      </c>
      <c r="C144" s="2374" t="s">
        <v>275</v>
      </c>
      <c r="D144" s="2374"/>
      <c r="E144" s="2374"/>
      <c r="F144" s="2374"/>
      <c r="G144" s="2373" t="str">
        <f>G143</f>
        <v/>
      </c>
      <c r="H144" s="2375" t="s">
        <v>3971</v>
      </c>
      <c r="I144"/>
      <c r="J144" s="852"/>
      <c r="K144" s="852"/>
      <c r="L144" s="1766"/>
      <c r="M144" s="1768"/>
      <c r="N144" s="1928"/>
      <c r="O144" s="1928"/>
      <c r="P144" s="99"/>
      <c r="Q144" s="99"/>
      <c r="R144" s="99"/>
      <c r="S144" s="99"/>
      <c r="T144" s="99"/>
      <c r="U144" s="99"/>
      <c r="V144" s="99"/>
      <c r="W144" s="112"/>
      <c r="X144" s="1771"/>
      <c r="Y144" s="2102"/>
      <c r="Z144" s="2090"/>
      <c r="AA144" s="1526"/>
      <c r="AC144" s="970"/>
      <c r="AD144" s="970"/>
      <c r="AE144" s="970"/>
      <c r="AF144"/>
      <c r="AG144"/>
      <c r="AH144"/>
      <c r="AI144"/>
      <c r="AJ144"/>
      <c r="AK144"/>
      <c r="AL144" s="1336"/>
      <c r="AM144" s="254"/>
      <c r="AN144" s="1336"/>
      <c r="AO144" s="1336"/>
      <c r="AP144" s="1336"/>
      <c r="AQ144" s="1336"/>
      <c r="AR144" s="1336"/>
      <c r="AS144" s="1336"/>
      <c r="AT144"/>
    </row>
    <row r="145" spans="1:45" ht="15.75" thickTop="1" x14ac:dyDescent="0.25">
      <c r="A145" s="2371">
        <v>5</v>
      </c>
      <c r="B145" s="2374" t="s">
        <v>413</v>
      </c>
      <c r="C145" s="2374"/>
      <c r="D145" s="2374"/>
      <c r="E145" s="2374"/>
      <c r="F145" s="2374"/>
      <c r="G145" s="2363" t="str">
        <f ca="1">IF(COUNTIF(G149:G185,"P")&gt;0,"P","")</f>
        <v/>
      </c>
      <c r="H145" s="2375" t="s">
        <v>3973</v>
      </c>
      <c r="I145" s="139">
        <v>503.5</v>
      </c>
      <c r="J145" s="90"/>
      <c r="K145" s="90"/>
      <c r="L145" s="1796" t="s">
        <v>414</v>
      </c>
      <c r="M145" s="1014"/>
      <c r="N145" s="664"/>
      <c r="O145" s="664"/>
      <c r="P145" s="249"/>
      <c r="Q145" s="249"/>
      <c r="R145" s="249"/>
      <c r="S145" s="249"/>
      <c r="T145" s="249"/>
      <c r="U145" s="249"/>
      <c r="V145" s="249"/>
      <c r="W145" s="249"/>
      <c r="X145" s="1756"/>
      <c r="Y145" s="2097" t="str">
        <f>IF(LEN('Ch5'!X146)=0,"None",'Ch5'!X146)</f>
        <v>None</v>
      </c>
      <c r="Z145" s="2085"/>
      <c r="AA145" s="1526"/>
      <c r="AC145" s="970"/>
      <c r="AD145" s="970"/>
      <c r="AE145" s="970"/>
      <c r="AF145" s="249"/>
      <c r="AG145" s="249"/>
      <c r="AH145" s="249"/>
      <c r="AI145" s="249"/>
      <c r="AJ145" s="249"/>
      <c r="AK145" s="249"/>
      <c r="AL145" s="1336"/>
      <c r="AM145" s="1336"/>
      <c r="AN145" s="1336"/>
      <c r="AO145" s="1336"/>
      <c r="AP145" s="1336"/>
      <c r="AQ145" s="1336"/>
      <c r="AR145" s="1336" t="str">
        <f>SUBSTITUTE(SUBSTITUTE(SUBSTITUTE("vnt"&amp;$B145&amp;$C145&amp;$D145&amp;$E145,".","_"),"(","_"),")","")</f>
        <v>vnt503_5</v>
      </c>
      <c r="AS145" s="254" t="str">
        <f>IF(LEN(X145)=0,"",X145)</f>
        <v/>
      </c>
    </row>
    <row r="146" spans="1:45" x14ac:dyDescent="0.25">
      <c r="A146" s="2371">
        <v>5</v>
      </c>
      <c r="B146" s="2374" t="s">
        <v>413</v>
      </c>
      <c r="C146" s="2374"/>
      <c r="D146" s="2374"/>
      <c r="E146" s="2374"/>
      <c r="F146" s="2374"/>
      <c r="G146" s="2373" t="str">
        <f ca="1">G145</f>
        <v/>
      </c>
      <c r="H146" s="2375" t="s">
        <v>3973</v>
      </c>
      <c r="I146" s="90"/>
      <c r="J146" s="90"/>
      <c r="K146" s="90"/>
      <c r="L146" s="1796"/>
      <c r="M146" s="1014"/>
      <c r="N146" s="664"/>
      <c r="O146" s="664"/>
      <c r="P146" s="249"/>
      <c r="Q146" s="249"/>
      <c r="R146" s="249"/>
      <c r="S146" s="249"/>
      <c r="T146" s="249"/>
      <c r="U146" s="249"/>
      <c r="V146" s="249"/>
      <c r="W146" s="249"/>
      <c r="X146" s="1757"/>
      <c r="Y146" s="2081"/>
      <c r="Z146" s="2083"/>
      <c r="AA146" s="1526"/>
      <c r="AC146" s="970"/>
      <c r="AD146" s="970"/>
      <c r="AE146" s="970"/>
      <c r="AF146" s="249"/>
      <c r="AG146" s="249"/>
      <c r="AH146" s="249"/>
      <c r="AI146" s="249"/>
      <c r="AJ146" s="249"/>
      <c r="AK146" s="249"/>
      <c r="AL146" s="1336"/>
      <c r="AM146" s="1336"/>
      <c r="AN146" s="1336"/>
      <c r="AO146" s="1336"/>
      <c r="AP146" s="1336"/>
      <c r="AQ146" s="1336"/>
      <c r="AR146" s="1336"/>
      <c r="AS146" s="1336"/>
    </row>
    <row r="147" spans="1:45" ht="15" customHeight="1" x14ac:dyDescent="0.25">
      <c r="A147" s="2371">
        <v>5</v>
      </c>
      <c r="B147" s="2374" t="s">
        <v>413</v>
      </c>
      <c r="C147" s="2374"/>
      <c r="D147" s="2374"/>
      <c r="E147" s="2374"/>
      <c r="F147" s="2374"/>
      <c r="G147" s="2375"/>
      <c r="H147" s="2375"/>
      <c r="I147" s="90"/>
      <c r="J147" s="90"/>
      <c r="K147" s="90"/>
      <c r="L147" s="1804" t="s">
        <v>4132</v>
      </c>
      <c r="M147" s="1014"/>
      <c r="N147" s="664"/>
      <c r="O147" s="664"/>
      <c r="P147" s="94" t="b">
        <v>0</v>
      </c>
      <c r="Q147" s="94" t="b">
        <v>1</v>
      </c>
      <c r="R147" s="249" t="b">
        <v>0</v>
      </c>
      <c r="S147" s="249" t="b">
        <v>1</v>
      </c>
      <c r="T147" s="249" t="b">
        <v>0</v>
      </c>
      <c r="U147" s="249" t="str">
        <f>SUBSTITUTE(SUBSTITUTE(SUBSTITUTE("dd"&amp;B147&amp;C147&amp;D147&amp;E147&amp;F147,".","_"),"(","_"),")","")</f>
        <v>dd503_5</v>
      </c>
      <c r="V147" s="249"/>
      <c r="W147" s="12"/>
      <c r="X147" s="1757"/>
      <c r="Y147" s="2081"/>
      <c r="Z147" s="2083"/>
      <c r="AA147" s="1526"/>
      <c r="AC147" s="970"/>
      <c r="AD147" s="970"/>
      <c r="AE147" s="970"/>
      <c r="AF147" s="249"/>
      <c r="AG147" s="249"/>
      <c r="AH147" s="249"/>
      <c r="AI147" s="249"/>
      <c r="AJ147" s="249"/>
      <c r="AK147" s="249"/>
      <c r="AL147" s="1336"/>
      <c r="AM147" s="1336"/>
      <c r="AN147" s="1336"/>
      <c r="AO147" s="1336"/>
      <c r="AP147" s="1336" t="str">
        <f>SUBSTITUTE(SUBSTITUTE(SUBSTITUTE("vch"&amp;$B147&amp;$C147&amp;$D147&amp;$E147,".","_"),"(","_"),")","")</f>
        <v>vch503_5</v>
      </c>
      <c r="AQ147" s="254" t="str">
        <f>IF(LEN(W147)=0,"",W147)</f>
        <v/>
      </c>
      <c r="AR147" s="1336"/>
      <c r="AS147" s="1336"/>
    </row>
    <row r="148" spans="1:45" x14ac:dyDescent="0.25">
      <c r="A148" s="2371">
        <v>5</v>
      </c>
      <c r="B148" s="2374" t="s">
        <v>413</v>
      </c>
      <c r="C148" s="2374"/>
      <c r="D148" s="2374"/>
      <c r="E148" s="2374"/>
      <c r="F148" s="2374"/>
      <c r="G148" s="2375"/>
      <c r="H148" s="2375"/>
      <c r="I148" s="90"/>
      <c r="J148" s="90"/>
      <c r="K148" s="90"/>
      <c r="L148" s="1804"/>
      <c r="M148" s="1014"/>
      <c r="N148" s="664"/>
      <c r="O148" s="664"/>
      <c r="P148" s="249"/>
      <c r="Q148" s="249"/>
      <c r="R148" s="249"/>
      <c r="S148" s="249"/>
      <c r="T148" s="249"/>
      <c r="U148" s="249"/>
      <c r="V148" s="249"/>
      <c r="W148" s="249"/>
      <c r="X148" s="1757"/>
      <c r="Y148" s="2081"/>
      <c r="Z148" s="2083"/>
      <c r="AA148" s="1526"/>
      <c r="AC148" s="970"/>
      <c r="AD148" s="970"/>
      <c r="AE148" s="970"/>
      <c r="AF148" s="249"/>
      <c r="AG148" s="249"/>
      <c r="AH148" s="249"/>
      <c r="AI148" s="249"/>
      <c r="AJ148" s="249"/>
      <c r="AK148" s="249"/>
      <c r="AL148" s="1336"/>
      <c r="AM148" s="1336"/>
      <c r="AN148" s="1336"/>
      <c r="AO148" s="1336"/>
      <c r="AP148" s="1336"/>
      <c r="AQ148" s="1336"/>
      <c r="AR148" s="1336"/>
      <c r="AS148" s="1336"/>
    </row>
    <row r="149" spans="1:45" x14ac:dyDescent="0.25">
      <c r="A149" s="2371">
        <v>5</v>
      </c>
      <c r="B149" s="2374" t="s">
        <v>413</v>
      </c>
      <c r="C149" s="2374" t="s">
        <v>256</v>
      </c>
      <c r="D149" s="2374"/>
      <c r="E149" s="2374"/>
      <c r="F149" s="2374"/>
      <c r="G149" s="2373" t="str">
        <f ca="1">IF(N149&gt;0,"P","")</f>
        <v/>
      </c>
      <c r="H149" s="2375" t="s">
        <v>3973</v>
      </c>
      <c r="I149" s="90"/>
      <c r="J149" s="87" t="s">
        <v>256</v>
      </c>
      <c r="K149" s="90"/>
      <c r="L149" s="1779" t="s">
        <v>415</v>
      </c>
      <c r="M149" s="1014"/>
      <c r="N149" s="2075">
        <f ca="1">'Ch5'!O150</f>
        <v>0</v>
      </c>
      <c r="O149" s="2075">
        <f ca="1">S149*IFERROR(INDEX(M151:M154,MATCH(W149,INDIRECT(U149))),0)</f>
        <v>0</v>
      </c>
      <c r="P149" s="94" t="b">
        <v>0</v>
      </c>
      <c r="Q149" s="94" t="b">
        <v>1</v>
      </c>
      <c r="R149" s="249" t="b">
        <v>0</v>
      </c>
      <c r="S149" s="249" t="b">
        <f>NOT(ISBLANK(W147))</f>
        <v>0</v>
      </c>
      <c r="T149" s="94" t="b">
        <f>IF(AND(NOT(S149),LEN(W149)&gt;0),TRUE,FALSE)</f>
        <v>0</v>
      </c>
      <c r="U149" s="249" t="str">
        <f>SUBSTITUTE(SUBSTITUTE(SUBSTITUTE("dd"&amp;B149&amp;C149&amp;D149&amp;E149&amp;F149,".","_"),"(","_"),")","")</f>
        <v>dd503_5_1</v>
      </c>
      <c r="V149" s="249"/>
      <c r="W149" s="12"/>
      <c r="X149" s="1757"/>
      <c r="Y149" s="2081" t="str">
        <f>IF(LEN('Ch5'!X150)=0,"None",'Ch5'!X150)</f>
        <v>None</v>
      </c>
      <c r="Z149" s="2083"/>
      <c r="AA149" s="1526"/>
      <c r="AC149" s="970" t="b">
        <f>OR(AD149:AE149)</f>
        <v>0</v>
      </c>
      <c r="AD149" s="970" t="b">
        <f>T149</f>
        <v>0</v>
      </c>
      <c r="AE149" s="970"/>
      <c r="AF149" s="249"/>
      <c r="AG149" s="249"/>
      <c r="AH149" s="249"/>
      <c r="AI149" s="249"/>
      <c r="AJ149" s="249"/>
      <c r="AK149" s="249"/>
      <c r="AL149" s="1336"/>
      <c r="AM149" s="1336"/>
      <c r="AN149" s="1336" t="str">
        <f>SUBSTITUTE(SUBSTITUTE(SUBSTITUTE("vpc"&amp;$B149&amp;$C149&amp;$D149&amp;$E149,".","_"),"(","_"),")","")</f>
        <v>vpc503_5_1</v>
      </c>
      <c r="AO149" s="254">
        <f ca="1">O149</f>
        <v>0</v>
      </c>
      <c r="AP149" s="1336" t="str">
        <f>SUBSTITUTE(SUBSTITUTE(SUBSTITUTE("vch"&amp;$B149&amp;$C149&amp;$D149&amp;$E149,".","_"),"(","_"),")","")</f>
        <v>vch503_5_1</v>
      </c>
      <c r="AQ149" s="254" t="str">
        <f>IF(LEN(W149)=0,"",W149)</f>
        <v/>
      </c>
      <c r="AR149" s="1336" t="str">
        <f>SUBSTITUTE(SUBSTITUTE(SUBSTITUTE("vnt"&amp;$B149&amp;$C149&amp;$D149&amp;$E149,".","_"),"(","_"),")","")</f>
        <v>vnt503_5_1</v>
      </c>
      <c r="AS149" s="254" t="str">
        <f>IF(LEN(X149)=0,"",X149)</f>
        <v/>
      </c>
    </row>
    <row r="150" spans="1:45" x14ac:dyDescent="0.25">
      <c r="A150" s="2371">
        <v>5</v>
      </c>
      <c r="B150" s="2374" t="s">
        <v>413</v>
      </c>
      <c r="C150" s="2374" t="s">
        <v>256</v>
      </c>
      <c r="D150" s="2374"/>
      <c r="E150" s="2374"/>
      <c r="F150" s="2374"/>
      <c r="G150" s="2373" t="str">
        <f ca="1">G149</f>
        <v/>
      </c>
      <c r="H150" s="2375" t="s">
        <v>3973</v>
      </c>
      <c r="I150" s="90"/>
      <c r="J150" s="87"/>
      <c r="K150" s="90"/>
      <c r="L150" s="1779"/>
      <c r="M150" s="1014"/>
      <c r="N150" s="2075"/>
      <c r="O150" s="2075"/>
      <c r="P150" s="249"/>
      <c r="Q150" s="249"/>
      <c r="R150" s="249"/>
      <c r="S150" s="249"/>
      <c r="T150" s="249"/>
      <c r="U150" s="249"/>
      <c r="V150" s="249"/>
      <c r="W150" s="249"/>
      <c r="X150" s="1757"/>
      <c r="Y150" s="2081"/>
      <c r="Z150" s="2083"/>
      <c r="AA150" s="1526"/>
      <c r="AC150" s="970"/>
      <c r="AD150" s="970"/>
      <c r="AE150" s="970"/>
      <c r="AF150" s="249"/>
      <c r="AG150" s="249"/>
      <c r="AH150" s="249"/>
      <c r="AI150" s="249"/>
      <c r="AJ150" s="249"/>
      <c r="AK150" s="249"/>
      <c r="AL150" s="1336"/>
      <c r="AM150" s="1336"/>
      <c r="AN150" s="1336"/>
      <c r="AO150" s="1336"/>
      <c r="AP150" s="1336"/>
      <c r="AQ150" s="1336"/>
      <c r="AR150" s="1336"/>
      <c r="AS150" s="1336"/>
    </row>
    <row r="151" spans="1:45" x14ac:dyDescent="0.25">
      <c r="A151" s="2371">
        <v>5</v>
      </c>
      <c r="B151" s="2374" t="s">
        <v>413</v>
      </c>
      <c r="C151" s="2374" t="s">
        <v>256</v>
      </c>
      <c r="D151" s="2374" t="s">
        <v>121</v>
      </c>
      <c r="E151" s="2374"/>
      <c r="F151" s="2374"/>
      <c r="G151" s="2373" t="str">
        <f ca="1">G150</f>
        <v/>
      </c>
      <c r="H151" s="2375" t="s">
        <v>3973</v>
      </c>
      <c r="I151" s="90"/>
      <c r="J151" s="90"/>
      <c r="K151" s="87" t="s">
        <v>121</v>
      </c>
      <c r="L151" s="1170" t="s">
        <v>416</v>
      </c>
      <c r="M151" s="494">
        <f ca="1">4*IFERROR(INDEX({0.5,0.5,1},MATCH(W147,INDIRECT(U147),0)),0)</f>
        <v>0</v>
      </c>
      <c r="N151" s="1042"/>
      <c r="O151" s="1042"/>
      <c r="P151" s="249"/>
      <c r="Q151" s="249"/>
      <c r="R151" s="249"/>
      <c r="S151" s="249"/>
      <c r="T151" s="249"/>
      <c r="U151" s="249"/>
      <c r="V151" s="249"/>
      <c r="W151" s="249"/>
      <c r="X151" s="1757"/>
      <c r="Y151" s="2081"/>
      <c r="Z151" s="2083"/>
      <c r="AA151" s="1526"/>
      <c r="AC151" s="970"/>
      <c r="AD151" s="970"/>
      <c r="AE151" s="970"/>
      <c r="AF151" s="249"/>
      <c r="AG151" s="249"/>
      <c r="AH151" s="249"/>
      <c r="AI151" s="249"/>
      <c r="AJ151" s="249"/>
      <c r="AK151" s="249"/>
      <c r="AL151" s="1336" t="str">
        <f>SUBSTITUTE(SUBSTITUTE(SUBSTITUTE("vpa"&amp;$B151&amp;$C151&amp;$D151&amp;$E151,".","_"),"(","_"),")","")</f>
        <v>vpa503_5_1_a</v>
      </c>
      <c r="AM151" s="254">
        <f ca="1">M151</f>
        <v>0</v>
      </c>
      <c r="AN151" s="1336"/>
      <c r="AO151" s="1336"/>
      <c r="AP151" s="1336"/>
      <c r="AQ151" s="1336"/>
      <c r="AR151" s="1336"/>
      <c r="AS151" s="1336"/>
    </row>
    <row r="152" spans="1:45" x14ac:dyDescent="0.25">
      <c r="A152" s="2371">
        <v>5</v>
      </c>
      <c r="B152" s="2374" t="s">
        <v>413</v>
      </c>
      <c r="C152" s="2374" t="s">
        <v>256</v>
      </c>
      <c r="D152" s="2374" t="s">
        <v>122</v>
      </c>
      <c r="E152" s="2374"/>
      <c r="F152" s="2374"/>
      <c r="G152" s="2373" t="str">
        <f ca="1">G151</f>
        <v/>
      </c>
      <c r="H152" s="2375" t="s">
        <v>3973</v>
      </c>
      <c r="I152" s="90"/>
      <c r="J152" s="90"/>
      <c r="K152" s="87" t="s">
        <v>122</v>
      </c>
      <c r="L152" s="1170" t="s">
        <v>417</v>
      </c>
      <c r="M152" s="494">
        <f ca="1">3*IFERROR(INDEX({0.5,0.5,1},MATCH(W147,INDIRECT(U147),0)),0)</f>
        <v>0</v>
      </c>
      <c r="N152" s="1042"/>
      <c r="O152" s="1042"/>
      <c r="P152" s="249"/>
      <c r="Q152" s="249"/>
      <c r="R152" s="249"/>
      <c r="S152" s="249"/>
      <c r="T152" s="249"/>
      <c r="U152" s="249"/>
      <c r="V152" s="249"/>
      <c r="W152" s="249"/>
      <c r="X152" s="1757"/>
      <c r="Y152" s="2081"/>
      <c r="Z152" s="2083"/>
      <c r="AA152" s="1526"/>
      <c r="AC152" s="970"/>
      <c r="AD152" s="970"/>
      <c r="AE152" s="970"/>
      <c r="AF152" s="249"/>
      <c r="AG152" s="249"/>
      <c r="AH152" s="249"/>
      <c r="AI152" s="249"/>
      <c r="AJ152" s="249"/>
      <c r="AK152" s="249"/>
      <c r="AL152" s="1336" t="str">
        <f>SUBSTITUTE(SUBSTITUTE(SUBSTITUTE("vpa"&amp;$B152&amp;$C152&amp;$D152&amp;$E152,".","_"),"(","_"),")","")</f>
        <v>vpa503_5_1_b</v>
      </c>
      <c r="AM152" s="254">
        <f ca="1">M152</f>
        <v>0</v>
      </c>
      <c r="AN152" s="1336"/>
      <c r="AO152" s="1336"/>
      <c r="AP152" s="1336"/>
      <c r="AQ152" s="1336"/>
      <c r="AR152" s="1336"/>
      <c r="AS152" s="1336"/>
    </row>
    <row r="153" spans="1:45" x14ac:dyDescent="0.25">
      <c r="A153" s="2371">
        <v>5</v>
      </c>
      <c r="B153" s="2374" t="s">
        <v>413</v>
      </c>
      <c r="C153" s="2374" t="s">
        <v>256</v>
      </c>
      <c r="D153" s="2374" t="s">
        <v>123</v>
      </c>
      <c r="E153" s="2374"/>
      <c r="F153" s="2374"/>
      <c r="G153" s="2373" t="str">
        <f ca="1">G152</f>
        <v/>
      </c>
      <c r="H153" s="2375" t="s">
        <v>3973</v>
      </c>
      <c r="I153" s="90"/>
      <c r="J153" s="90"/>
      <c r="K153" s="89" t="s">
        <v>123</v>
      </c>
      <c r="L153" s="1170" t="s">
        <v>418</v>
      </c>
      <c r="M153" s="494">
        <f ca="1">2*IFERROR(INDEX({0.5,0.5,1},MATCH(W147,INDIRECT(U147),0)),0)</f>
        <v>0</v>
      </c>
      <c r="N153" s="1042"/>
      <c r="O153" s="1042"/>
      <c r="P153" s="249"/>
      <c r="Q153" s="249"/>
      <c r="R153" s="249"/>
      <c r="S153" s="249"/>
      <c r="T153" s="249"/>
      <c r="U153" s="249"/>
      <c r="V153" s="249"/>
      <c r="W153" s="249"/>
      <c r="X153" s="1757"/>
      <c r="Y153" s="2081"/>
      <c r="Z153" s="2083"/>
      <c r="AA153" s="1526"/>
      <c r="AC153" s="970"/>
      <c r="AD153" s="970"/>
      <c r="AE153" s="970"/>
      <c r="AF153" s="249"/>
      <c r="AG153" s="249"/>
      <c r="AH153" s="249"/>
      <c r="AI153" s="249"/>
      <c r="AJ153" s="249"/>
      <c r="AK153" s="249"/>
      <c r="AL153" s="1336" t="str">
        <f>SUBSTITUTE(SUBSTITUTE(SUBSTITUTE("vpa"&amp;$B153&amp;$C153&amp;$D153&amp;$E153,".","_"),"(","_"),")","")</f>
        <v>vpa503_5_1_c</v>
      </c>
      <c r="AM153" s="254">
        <f ca="1">M153</f>
        <v>0</v>
      </c>
      <c r="AN153" s="1336"/>
      <c r="AO153" s="1336"/>
      <c r="AP153" s="1336"/>
      <c r="AQ153" s="1336"/>
      <c r="AR153" s="1336"/>
      <c r="AS153" s="1336"/>
    </row>
    <row r="154" spans="1:45" x14ac:dyDescent="0.25">
      <c r="A154" s="2371">
        <v>5</v>
      </c>
      <c r="B154" s="2374" t="s">
        <v>413</v>
      </c>
      <c r="C154" s="2374" t="s">
        <v>256</v>
      </c>
      <c r="D154" s="2374" t="s">
        <v>401</v>
      </c>
      <c r="E154" s="2374"/>
      <c r="F154" s="2374"/>
      <c r="G154" s="2373" t="str">
        <f ca="1">G153</f>
        <v/>
      </c>
      <c r="H154" s="2375" t="s">
        <v>3973</v>
      </c>
      <c r="I154" s="90"/>
      <c r="J154" s="177"/>
      <c r="K154" s="179" t="s">
        <v>401</v>
      </c>
      <c r="L154" s="1163" t="s">
        <v>419</v>
      </c>
      <c r="M154" s="1487">
        <f ca="1">1*IFERROR(INDEX({0.5,0.5,1},MATCH(W147,INDIRECT(U147),0)),0)</f>
        <v>0</v>
      </c>
      <c r="N154" s="1047"/>
      <c r="O154" s="1047"/>
      <c r="P154" s="249"/>
      <c r="Q154" s="249"/>
      <c r="R154" s="249"/>
      <c r="S154" s="249"/>
      <c r="T154" s="249"/>
      <c r="U154" s="249"/>
      <c r="V154" s="249"/>
      <c r="W154" s="249"/>
      <c r="X154" s="1757"/>
      <c r="Y154" s="2081"/>
      <c r="Z154" s="2083"/>
      <c r="AA154" s="1526"/>
      <c r="AC154" s="970"/>
      <c r="AD154" s="970"/>
      <c r="AE154" s="970"/>
      <c r="AF154" s="249"/>
      <c r="AG154" s="249"/>
      <c r="AH154" s="249"/>
      <c r="AI154" s="249"/>
      <c r="AJ154" s="249"/>
      <c r="AK154" s="249"/>
      <c r="AL154" s="1336" t="str">
        <f>SUBSTITUTE(SUBSTITUTE(SUBSTITUTE("vpa"&amp;$B154&amp;$C154&amp;$D154&amp;$E154,".","_"),"(","_"),")","")</f>
        <v>vpa503_5_1_d</v>
      </c>
      <c r="AM154" s="254">
        <f ca="1">M154</f>
        <v>0</v>
      </c>
      <c r="AN154" s="1336"/>
      <c r="AO154" s="1336"/>
      <c r="AP154" s="1336"/>
      <c r="AQ154" s="1336"/>
      <c r="AR154" s="1336"/>
      <c r="AS154" s="1336"/>
    </row>
    <row r="155" spans="1:45" ht="15" customHeight="1" x14ac:dyDescent="0.25">
      <c r="A155" s="2371">
        <v>5</v>
      </c>
      <c r="B155" s="2374" t="s">
        <v>413</v>
      </c>
      <c r="C155" s="2374" t="s">
        <v>258</v>
      </c>
      <c r="D155" s="2374"/>
      <c r="E155" s="2374"/>
      <c r="F155" s="2374"/>
      <c r="G155" s="2373" t="str">
        <f ca="1">IF(N155&gt;0,"P","")</f>
        <v/>
      </c>
      <c r="H155" s="2375" t="s">
        <v>3973</v>
      </c>
      <c r="I155" s="90"/>
      <c r="J155" s="87" t="s">
        <v>258</v>
      </c>
      <c r="K155" s="90"/>
      <c r="L155" s="1779" t="s">
        <v>420</v>
      </c>
      <c r="M155" s="1794">
        <f ca="1">7*IFERROR(INDEX({0.5,0.5,1},MATCH(W147,INDIRECT(U147),0)),0)</f>
        <v>0</v>
      </c>
      <c r="N155" s="1927">
        <f ca="1">'Ch5'!O156</f>
        <v>0</v>
      </c>
      <c r="O155" s="1927">
        <f ca="1">M155*S155*W155</f>
        <v>0</v>
      </c>
      <c r="P155" s="249" t="b">
        <v>0</v>
      </c>
      <c r="Q155" s="249" t="b">
        <v>1</v>
      </c>
      <c r="R155" s="249" t="b">
        <v>0</v>
      </c>
      <c r="S155" s="249" t="b">
        <f>NOT(ISBLANK(W147))</f>
        <v>0</v>
      </c>
      <c r="T155" s="94" t="b">
        <f>IF(AND(NOT(S155),W155=TRUE),TRUE,FALSE)</f>
        <v>0</v>
      </c>
      <c r="U155" s="249"/>
      <c r="V155" s="249"/>
      <c r="W155" s="25"/>
      <c r="X155" s="1757"/>
      <c r="Y155" s="2081" t="str">
        <f>IF(LEN('Ch5'!X156)=0,"None",'Ch5'!X156)</f>
        <v>None</v>
      </c>
      <c r="Z155" s="2083"/>
      <c r="AA155" s="1551" t="str">
        <f>IF(LEN('Photo Review'!I154)&gt;0,'Photo Review'!I154,"")</f>
        <v/>
      </c>
      <c r="AC155" s="970" t="b">
        <f>OR(AD155:AE155)</f>
        <v>0</v>
      </c>
      <c r="AD155" s="970" t="b">
        <f>T155</f>
        <v>0</v>
      </c>
      <c r="AE155" s="970"/>
      <c r="AF155" s="249"/>
      <c r="AG155" s="249"/>
      <c r="AH155" s="249"/>
      <c r="AI155" s="249"/>
      <c r="AJ155" s="249"/>
      <c r="AK155" s="249"/>
      <c r="AL155" s="1336" t="str">
        <f>SUBSTITUTE(SUBSTITUTE(SUBSTITUTE("vpa"&amp;$B155&amp;$C155&amp;$D155&amp;$E155,".","_"),"(","_"),")","")</f>
        <v>vpa503_5_2</v>
      </c>
      <c r="AM155" s="254">
        <f ca="1">M155</f>
        <v>0</v>
      </c>
      <c r="AN155" s="1336" t="str">
        <f>SUBSTITUTE(SUBSTITUTE(SUBSTITUTE("vpc"&amp;$B155&amp;$C155&amp;$D155&amp;$E155,".","_"),"(","_"),")","")</f>
        <v>vpc503_5_2</v>
      </c>
      <c r="AO155" s="254">
        <f ca="1">O155</f>
        <v>0</v>
      </c>
      <c r="AP155" s="1336" t="str">
        <f>SUBSTITUTE(SUBSTITUTE(SUBSTITUTE("vch"&amp;$B155&amp;$C155&amp;$D155&amp;$E155,".","_"),"(","_"),")","")</f>
        <v>vch503_5_2</v>
      </c>
      <c r="AQ155" s="254" t="str">
        <f>IF(LEN(W155)=0,"",W155)</f>
        <v/>
      </c>
      <c r="AR155" s="1336" t="str">
        <f>SUBSTITUTE(SUBSTITUTE(SUBSTITUTE("vnt"&amp;$B155&amp;$C155&amp;$D155&amp;$E155,".","_"),"(","_"),")","")</f>
        <v>vnt503_5_2</v>
      </c>
      <c r="AS155" s="254" t="str">
        <f>IF(LEN(X155)=0,"",X155)</f>
        <v/>
      </c>
    </row>
    <row r="156" spans="1:45" x14ac:dyDescent="0.25">
      <c r="A156" s="2371">
        <v>5</v>
      </c>
      <c r="B156" s="2374" t="s">
        <v>413</v>
      </c>
      <c r="C156" s="2374" t="s">
        <v>258</v>
      </c>
      <c r="D156" s="2374"/>
      <c r="E156" s="2374"/>
      <c r="F156" s="2374"/>
      <c r="G156" s="2373" t="str">
        <f ca="1">G155</f>
        <v/>
      </c>
      <c r="H156" s="2375" t="s">
        <v>3973</v>
      </c>
      <c r="I156" s="90"/>
      <c r="J156" s="177"/>
      <c r="K156" s="177"/>
      <c r="L156" s="1755"/>
      <c r="M156" s="1795"/>
      <c r="N156" s="2076"/>
      <c r="O156" s="2076"/>
      <c r="P156" s="249"/>
      <c r="Q156" s="249"/>
      <c r="R156" s="249"/>
      <c r="S156" s="249"/>
      <c r="T156" s="249"/>
      <c r="U156" s="249"/>
      <c r="V156" s="249"/>
      <c r="W156" s="249"/>
      <c r="X156" s="1757"/>
      <c r="Y156" s="2081"/>
      <c r="Z156" s="2083"/>
      <c r="AA156" s="1526"/>
      <c r="AC156" s="970"/>
      <c r="AD156" s="970"/>
      <c r="AE156" s="970"/>
      <c r="AF156" s="249"/>
      <c r="AG156" s="249"/>
      <c r="AH156" s="249"/>
      <c r="AI156" s="249"/>
      <c r="AJ156" s="249"/>
      <c r="AK156" s="249"/>
      <c r="AL156" s="1336"/>
      <c r="AM156" s="1336"/>
      <c r="AN156" s="1336"/>
      <c r="AO156" s="1336"/>
      <c r="AP156" s="1336"/>
      <c r="AQ156" s="1336"/>
      <c r="AR156" s="1336"/>
      <c r="AS156" s="1336"/>
    </row>
    <row r="157" spans="1:45" ht="15" customHeight="1" x14ac:dyDescent="0.25">
      <c r="A157" s="2371">
        <v>5</v>
      </c>
      <c r="B157" s="2374" t="s">
        <v>413</v>
      </c>
      <c r="C157" s="2374" t="s">
        <v>260</v>
      </c>
      <c r="D157" s="2374"/>
      <c r="E157" s="2374"/>
      <c r="F157" s="2374"/>
      <c r="G157" s="2373" t="str">
        <f ca="1">IF(N157&gt;0,"P","")</f>
        <v/>
      </c>
      <c r="H157" s="2375" t="s">
        <v>3973</v>
      </c>
      <c r="I157" s="90"/>
      <c r="J157" s="87" t="s">
        <v>260</v>
      </c>
      <c r="K157" s="90"/>
      <c r="L157" s="1779" t="s">
        <v>4133</v>
      </c>
      <c r="M157" s="1794">
        <f ca="1">3*IFERROR(INDEX({0.5,0.5,1},MATCH(W147,INDIRECT(U147),0)),0)</f>
        <v>0</v>
      </c>
      <c r="N157" s="1927">
        <f ca="1">'Ch5'!O158</f>
        <v>0</v>
      </c>
      <c r="O157" s="1927">
        <f ca="1">M157*S157*W157</f>
        <v>0</v>
      </c>
      <c r="P157" s="249" t="b">
        <v>0</v>
      </c>
      <c r="Q157" s="249" t="b">
        <v>1</v>
      </c>
      <c r="R157" s="249" t="b">
        <v>0</v>
      </c>
      <c r="S157" s="249" t="b">
        <f>NOT(ISBLANK(W147))</f>
        <v>0</v>
      </c>
      <c r="T157" s="94" t="b">
        <f>IF(AND(NOT(S157),W157=TRUE),TRUE,FALSE)</f>
        <v>0</v>
      </c>
      <c r="U157" s="249"/>
      <c r="V157" s="249"/>
      <c r="W157" s="25"/>
      <c r="X157" s="1757"/>
      <c r="Y157" s="2081" t="str">
        <f>IF(LEN('Ch5'!X158)=0,"None",'Ch5'!X158)</f>
        <v>None</v>
      </c>
      <c r="Z157" s="2083"/>
      <c r="AA157" s="1551" t="str">
        <f>IF(LEN('Photo Review'!I156)&gt;0,'Photo Review'!I156,"")</f>
        <v/>
      </c>
      <c r="AC157" s="970" t="b">
        <f>OR(AD157:AE157)</f>
        <v>0</v>
      </c>
      <c r="AD157" s="970" t="b">
        <f>T157</f>
        <v>0</v>
      </c>
      <c r="AE157" s="970"/>
      <c r="AF157" s="249"/>
      <c r="AG157" s="249"/>
      <c r="AH157" s="249"/>
      <c r="AI157" s="249"/>
      <c r="AJ157" s="249"/>
      <c r="AK157" s="249"/>
      <c r="AL157" s="1336" t="str">
        <f>SUBSTITUTE(SUBSTITUTE(SUBSTITUTE("vpa"&amp;$B157&amp;$C157&amp;$D157&amp;$E157,".","_"),"(","_"),")","")</f>
        <v>vpa503_5_3</v>
      </c>
      <c r="AM157" s="254">
        <f ca="1">M157</f>
        <v>0</v>
      </c>
      <c r="AN157" s="1336" t="str">
        <f>SUBSTITUTE(SUBSTITUTE(SUBSTITUTE("vpc"&amp;$B157&amp;$C157&amp;$D157&amp;$E157,".","_"),"(","_"),")","")</f>
        <v>vpc503_5_3</v>
      </c>
      <c r="AO157" s="254">
        <f ca="1">O157</f>
        <v>0</v>
      </c>
      <c r="AP157" s="1336" t="str">
        <f>SUBSTITUTE(SUBSTITUTE(SUBSTITUTE("vch"&amp;$B157&amp;$C157&amp;$D157&amp;$E157,".","_"),"(","_"),")","")</f>
        <v>vch503_5_3</v>
      </c>
      <c r="AQ157" s="254" t="str">
        <f>IF(LEN(W157)=0,"",W157)</f>
        <v/>
      </c>
      <c r="AR157" s="1336" t="str">
        <f>SUBSTITUTE(SUBSTITUTE(SUBSTITUTE("vnt"&amp;$B157&amp;$C157&amp;$D157&amp;$E157,".","_"),"(","_"),")","")</f>
        <v>vnt503_5_3</v>
      </c>
      <c r="AS157" s="254" t="str">
        <f>IF(LEN(X157)=0,"",X157)</f>
        <v/>
      </c>
    </row>
    <row r="158" spans="1:45" s="868" customFormat="1" x14ac:dyDescent="0.25">
      <c r="A158" s="2371">
        <v>5</v>
      </c>
      <c r="B158" s="2374" t="s">
        <v>413</v>
      </c>
      <c r="C158" s="2374" t="s">
        <v>260</v>
      </c>
      <c r="D158" s="2374"/>
      <c r="E158" s="2374"/>
      <c r="F158" s="2374"/>
      <c r="G158" s="2373" t="str">
        <f ca="1">G157</f>
        <v/>
      </c>
      <c r="H158" s="2375" t="s">
        <v>3973</v>
      </c>
      <c r="I158" s="90"/>
      <c r="J158" s="87"/>
      <c r="K158" s="90"/>
      <c r="L158" s="1779"/>
      <c r="M158" s="1794"/>
      <c r="N158" s="1927"/>
      <c r="O158" s="1927"/>
      <c r="T158" s="94"/>
      <c r="W158"/>
      <c r="X158" s="1757"/>
      <c r="Y158" s="2081"/>
      <c r="Z158" s="2083"/>
      <c r="AA158" s="1526"/>
      <c r="AC158" s="970"/>
      <c r="AD158" s="970"/>
      <c r="AE158" s="970"/>
      <c r="AL158" s="1336"/>
      <c r="AM158" s="254"/>
      <c r="AN158" s="1336"/>
      <c r="AO158" s="254"/>
      <c r="AP158" s="1336"/>
      <c r="AQ158" s="254"/>
      <c r="AR158" s="1336"/>
      <c r="AS158" s="254"/>
    </row>
    <row r="159" spans="1:45" x14ac:dyDescent="0.25">
      <c r="A159" s="2371">
        <v>5</v>
      </c>
      <c r="B159" s="2374" t="s">
        <v>413</v>
      </c>
      <c r="C159" s="2374" t="s">
        <v>260</v>
      </c>
      <c r="D159" s="2374"/>
      <c r="E159" s="2374"/>
      <c r="F159" s="2374"/>
      <c r="G159" s="2373" t="str">
        <f ca="1">G158</f>
        <v/>
      </c>
      <c r="H159" s="2375" t="s">
        <v>3973</v>
      </c>
      <c r="I159" s="90"/>
      <c r="J159" s="177"/>
      <c r="K159" s="177"/>
      <c r="L159" s="1755"/>
      <c r="M159" s="1795"/>
      <c r="N159" s="2076"/>
      <c r="O159" s="2076"/>
      <c r="P159" s="249"/>
      <c r="Q159" s="249"/>
      <c r="R159" s="249"/>
      <c r="S159" s="249"/>
      <c r="T159" s="249"/>
      <c r="U159" s="249"/>
      <c r="V159" s="249"/>
      <c r="W159" s="249"/>
      <c r="X159" s="1757"/>
      <c r="Y159" s="2081"/>
      <c r="Z159" s="2083"/>
      <c r="AA159" s="1526"/>
      <c r="AC159" s="970"/>
      <c r="AD159" s="970"/>
      <c r="AE159" s="970"/>
      <c r="AF159" s="249"/>
      <c r="AG159" s="249"/>
      <c r="AH159" s="249"/>
      <c r="AI159" s="249"/>
      <c r="AJ159" s="249"/>
      <c r="AK159" s="249"/>
      <c r="AL159" s="1336"/>
      <c r="AM159" s="1336"/>
      <c r="AN159" s="1336"/>
      <c r="AO159" s="1336"/>
      <c r="AP159" s="1336"/>
      <c r="AQ159" s="1336"/>
      <c r="AR159" s="1336"/>
      <c r="AS159" s="1336"/>
    </row>
    <row r="160" spans="1:45" ht="15" customHeight="1" x14ac:dyDescent="0.25">
      <c r="A160" s="2371">
        <v>5</v>
      </c>
      <c r="B160" s="2374" t="s">
        <v>413</v>
      </c>
      <c r="C160" s="2374" t="s">
        <v>269</v>
      </c>
      <c r="D160" s="2374"/>
      <c r="E160" s="2374"/>
      <c r="F160" s="2374"/>
      <c r="G160" s="2373" t="str">
        <f ca="1">IF(N160&gt;0,"P","")</f>
        <v/>
      </c>
      <c r="H160" s="2375" t="s">
        <v>3973</v>
      </c>
      <c r="I160" s="90"/>
      <c r="J160" s="87" t="s">
        <v>269</v>
      </c>
      <c r="K160" s="90"/>
      <c r="L160" s="1779" t="s">
        <v>4134</v>
      </c>
      <c r="M160" s="1794">
        <f ca="1">5*IFERROR(INDEX({0.5,0.5,1},MATCH(W147,INDIRECT(U147),0)),0)</f>
        <v>0</v>
      </c>
      <c r="N160" s="1927">
        <f ca="1">'Ch5'!O161</f>
        <v>0</v>
      </c>
      <c r="O160" s="1927">
        <f ca="1">M160*S160*W160</f>
        <v>0</v>
      </c>
      <c r="P160" s="249" t="b">
        <v>0</v>
      </c>
      <c r="Q160" s="249" t="b">
        <v>1</v>
      </c>
      <c r="R160" s="249" t="b">
        <v>0</v>
      </c>
      <c r="S160" s="249" t="b">
        <f>NOT(ISBLANK(W147))</f>
        <v>0</v>
      </c>
      <c r="T160" s="94" t="b">
        <f>IF(AND(NOT(S160),W160=TRUE),TRUE,FALSE)</f>
        <v>0</v>
      </c>
      <c r="U160" s="249"/>
      <c r="V160" s="249"/>
      <c r="W160" s="25"/>
      <c r="X160" s="1757"/>
      <c r="Y160" s="2081" t="str">
        <f>IF(LEN('Ch5'!X161)=0,"None",'Ch5'!X161)</f>
        <v>None</v>
      </c>
      <c r="Z160" s="2083"/>
      <c r="AA160" s="1551" t="str">
        <f>IF(LEN('Photo Review'!I159)&gt;0,'Photo Review'!I159,"")</f>
        <v/>
      </c>
      <c r="AC160" s="970" t="b">
        <f>OR(AD160:AE160)</f>
        <v>0</v>
      </c>
      <c r="AD160" s="970" t="b">
        <f>T160</f>
        <v>0</v>
      </c>
      <c r="AE160" s="970"/>
      <c r="AF160" s="249"/>
      <c r="AG160" s="249"/>
      <c r="AH160" s="249"/>
      <c r="AI160" s="249"/>
      <c r="AJ160" s="249"/>
      <c r="AK160" s="249"/>
      <c r="AL160" s="1336" t="str">
        <f>SUBSTITUTE(SUBSTITUTE(SUBSTITUTE("vpa"&amp;$B160&amp;$C160&amp;$D160&amp;$E160,".","_"),"(","_"),")","")</f>
        <v>vpa503_5_4</v>
      </c>
      <c r="AM160" s="254">
        <f ca="1">M160</f>
        <v>0</v>
      </c>
      <c r="AN160" s="1336" t="str">
        <f>SUBSTITUTE(SUBSTITUTE(SUBSTITUTE("vpc"&amp;$B160&amp;$C160&amp;$D160&amp;$E160,".","_"),"(","_"),")","")</f>
        <v>vpc503_5_4</v>
      </c>
      <c r="AO160" s="254">
        <f ca="1">O160</f>
        <v>0</v>
      </c>
      <c r="AP160" s="1336" t="str">
        <f>SUBSTITUTE(SUBSTITUTE(SUBSTITUTE("vch"&amp;$B160&amp;$C160&amp;$D160&amp;$E160,".","_"),"(","_"),")","")</f>
        <v>vch503_5_4</v>
      </c>
      <c r="AQ160" s="254" t="str">
        <f>IF(LEN(W160)=0,"",W160)</f>
        <v/>
      </c>
      <c r="AR160" s="1336" t="str">
        <f>SUBSTITUTE(SUBSTITUTE(SUBSTITUTE("vnt"&amp;$B160&amp;$C160&amp;$D160&amp;$E160,".","_"),"(","_"),")","")</f>
        <v>vnt503_5_4</v>
      </c>
      <c r="AS160" s="254" t="str">
        <f>IF(LEN(X160)=0,"",X160)</f>
        <v/>
      </c>
    </row>
    <row r="161" spans="1:46" x14ac:dyDescent="0.25">
      <c r="A161" s="2371">
        <v>5</v>
      </c>
      <c r="B161" s="2374" t="s">
        <v>413</v>
      </c>
      <c r="C161" s="2374" t="s">
        <v>269</v>
      </c>
      <c r="D161" s="2374"/>
      <c r="E161" s="2374"/>
      <c r="F161" s="2374"/>
      <c r="G161" s="2373" t="str">
        <f ca="1">G160</f>
        <v/>
      </c>
      <c r="H161" s="2375" t="s">
        <v>3973</v>
      </c>
      <c r="I161" s="90"/>
      <c r="J161" s="177"/>
      <c r="K161" s="177"/>
      <c r="L161" s="1755"/>
      <c r="M161" s="1795"/>
      <c r="N161" s="2076"/>
      <c r="O161" s="2076"/>
      <c r="P161" s="249"/>
      <c r="Q161" s="249"/>
      <c r="R161" s="249"/>
      <c r="S161" s="249"/>
      <c r="T161" s="249"/>
      <c r="U161" s="249"/>
      <c r="V161" s="249"/>
      <c r="W161" s="249"/>
      <c r="X161" s="1757"/>
      <c r="Y161" s="2081"/>
      <c r="Z161" s="2083"/>
      <c r="AA161" s="1526"/>
      <c r="AC161" s="970"/>
      <c r="AD161" s="970"/>
      <c r="AE161" s="970"/>
      <c r="AF161" s="249"/>
      <c r="AG161" s="249"/>
      <c r="AH161" s="249"/>
      <c r="AI161" s="249"/>
      <c r="AJ161" s="249"/>
      <c r="AK161" s="249"/>
      <c r="AL161" s="1336"/>
      <c r="AM161" s="1336"/>
      <c r="AN161" s="1336"/>
      <c r="AO161" s="1336"/>
      <c r="AP161" s="1336"/>
      <c r="AQ161" s="1336"/>
      <c r="AR161" s="1336"/>
      <c r="AS161" s="1336"/>
    </row>
    <row r="162" spans="1:46" x14ac:dyDescent="0.25">
      <c r="A162" s="2371">
        <v>5</v>
      </c>
      <c r="B162" s="2374" t="s">
        <v>413</v>
      </c>
      <c r="C162" s="2374" t="s">
        <v>275</v>
      </c>
      <c r="G162" s="2373" t="str">
        <f ca="1">IF(N162&gt;0,"P","")</f>
        <v/>
      </c>
      <c r="H162" s="2375" t="s">
        <v>3973</v>
      </c>
      <c r="I162"/>
      <c r="J162" s="846" t="s">
        <v>275</v>
      </c>
      <c r="K162" s="195"/>
      <c r="L162" s="1760" t="s">
        <v>4135</v>
      </c>
      <c r="M162" s="1794">
        <f ca="1">3*IFERROR(INDEX({0.5,0.5,1},MATCH(W147,INDIRECT(U147),0)),0)</f>
        <v>0</v>
      </c>
      <c r="N162" s="2079">
        <f ca="1">'Ch5'!O163</f>
        <v>0</v>
      </c>
      <c r="O162" s="2079">
        <f ca="1">M162*S162*W162</f>
        <v>0</v>
      </c>
      <c r="P162" s="868" t="b">
        <v>0</v>
      </c>
      <c r="Q162" s="868" t="b">
        <v>1</v>
      </c>
      <c r="R162" s="868" t="b">
        <v>0</v>
      </c>
      <c r="S162" s="868" t="b">
        <f>NOT(ISBLANK(W147))</f>
        <v>0</v>
      </c>
      <c r="T162" s="868" t="b">
        <f>AND(NOT(S162),W162=TRUE)</f>
        <v>0</v>
      </c>
      <c r="U162"/>
      <c r="V162"/>
      <c r="W162" s="25"/>
      <c r="X162" s="1757"/>
      <c r="Y162" s="2099" t="str">
        <f>IF(LEN('Ch5'!X163)=0,"None",'Ch5'!X163)</f>
        <v>None</v>
      </c>
      <c r="Z162" s="2087"/>
      <c r="AA162" s="1551" t="str">
        <f>IF(LEN('Photo Review'!I161)&gt;0,'Photo Review'!I161,"")</f>
        <v/>
      </c>
      <c r="AC162" s="970" t="b">
        <f>OR(AD162:AE162)</f>
        <v>0</v>
      </c>
      <c r="AD162" s="970" t="b">
        <f>T162</f>
        <v>0</v>
      </c>
      <c r="AE162" s="970"/>
      <c r="AF162"/>
      <c r="AG162"/>
      <c r="AH162"/>
      <c r="AI162"/>
      <c r="AJ162"/>
      <c r="AK162"/>
      <c r="AL162" s="1336" t="str">
        <f>SUBSTITUTE(SUBSTITUTE(SUBSTITUTE("vpa"&amp;$B162&amp;$C162&amp;$D162&amp;$E162,".","_"),"(","_"),")","")</f>
        <v>vpa503_5_5</v>
      </c>
      <c r="AM162" s="254">
        <f ca="1">M162</f>
        <v>0</v>
      </c>
      <c r="AN162" s="1336" t="str">
        <f>SUBSTITUTE(SUBSTITUTE(SUBSTITUTE("vpc"&amp;$B162&amp;$C162&amp;$D162&amp;$E162,".","_"),"(","_"),")","")</f>
        <v>vpc503_5_5</v>
      </c>
      <c r="AO162" s="254">
        <f ca="1">O162</f>
        <v>0</v>
      </c>
      <c r="AP162" s="1336" t="str">
        <f>SUBSTITUTE(SUBSTITUTE(SUBSTITUTE("vch"&amp;$B162&amp;$C162&amp;$D162&amp;$E162,".","_"),"(","_"),")","")</f>
        <v>vch503_5_5</v>
      </c>
      <c r="AQ162" s="254" t="str">
        <f>IF(LEN(W162)=0,"",W162)</f>
        <v/>
      </c>
      <c r="AR162" s="1336" t="str">
        <f>SUBSTITUTE(SUBSTITUTE(SUBSTITUTE("vnt"&amp;$B162&amp;$C162&amp;$D162&amp;$E162,".","_"),"(","_"),")","")</f>
        <v>vnt503_5_5</v>
      </c>
      <c r="AS162" s="254" t="str">
        <f>IF(LEN(X162)=0,"",X162)</f>
        <v/>
      </c>
      <c r="AT162"/>
    </row>
    <row r="163" spans="1:46" x14ac:dyDescent="0.25">
      <c r="A163" s="2371">
        <v>5</v>
      </c>
      <c r="B163" s="2374" t="s">
        <v>413</v>
      </c>
      <c r="C163" s="2374" t="s">
        <v>275</v>
      </c>
      <c r="G163" s="2373" t="str">
        <f ca="1">G162</f>
        <v/>
      </c>
      <c r="H163" s="2375" t="s">
        <v>3973</v>
      </c>
      <c r="I163"/>
      <c r="J163" s="868"/>
      <c r="K163" s="868"/>
      <c r="L163" s="1841"/>
      <c r="M163" s="1794"/>
      <c r="N163" s="2075"/>
      <c r="O163" s="1927"/>
      <c r="P163" s="868"/>
      <c r="Q163" s="868"/>
      <c r="R163" s="868"/>
      <c r="S163" s="868"/>
      <c r="T163" s="868"/>
      <c r="U163"/>
      <c r="V163"/>
      <c r="W163"/>
      <c r="X163" s="1757"/>
      <c r="Y163" s="2100"/>
      <c r="Z163" s="2091"/>
      <c r="AA163" s="1526"/>
      <c r="AC163" s="970"/>
      <c r="AD163" s="970"/>
      <c r="AE163" s="970"/>
      <c r="AF163"/>
      <c r="AG163"/>
      <c r="AH163"/>
      <c r="AI163"/>
      <c r="AJ163"/>
      <c r="AK163"/>
      <c r="AL163" s="1336"/>
      <c r="AM163" s="1336"/>
      <c r="AN163" s="1336"/>
      <c r="AO163" s="1336"/>
      <c r="AP163" s="1336"/>
      <c r="AQ163" s="1336"/>
      <c r="AR163" s="1336"/>
      <c r="AS163" s="1336"/>
      <c r="AT163"/>
    </row>
    <row r="164" spans="1:46" x14ac:dyDescent="0.25">
      <c r="A164" s="2371">
        <v>5</v>
      </c>
      <c r="B164" s="2374" t="s">
        <v>413</v>
      </c>
      <c r="C164" s="2374" t="s">
        <v>275</v>
      </c>
      <c r="G164" s="2373" t="str">
        <f ca="1">G163</f>
        <v/>
      </c>
      <c r="H164" s="2375" t="s">
        <v>3973</v>
      </c>
      <c r="I164"/>
      <c r="J164" s="178"/>
      <c r="K164" s="178"/>
      <c r="L164" s="1761"/>
      <c r="M164" s="1795"/>
      <c r="N164" s="2076"/>
      <c r="O164" s="2076"/>
      <c r="P164" s="868"/>
      <c r="Q164" s="868"/>
      <c r="R164" s="868"/>
      <c r="S164" s="868"/>
      <c r="T164" s="868"/>
      <c r="U164"/>
      <c r="V164"/>
      <c r="W164"/>
      <c r="X164" s="1757"/>
      <c r="Y164" s="2097"/>
      <c r="Z164" s="2085"/>
      <c r="AA164" s="1526"/>
      <c r="AC164" s="970"/>
      <c r="AD164" s="970"/>
      <c r="AE164" s="970"/>
      <c r="AF164"/>
      <c r="AG164"/>
      <c r="AH164"/>
      <c r="AI164"/>
      <c r="AJ164"/>
      <c r="AK164"/>
      <c r="AL164" s="1336"/>
      <c r="AM164" s="1336"/>
      <c r="AN164" s="1336"/>
      <c r="AO164" s="1336"/>
      <c r="AP164" s="1336"/>
      <c r="AQ164" s="1336"/>
      <c r="AR164" s="1336"/>
      <c r="AS164" s="1336"/>
      <c r="AT164"/>
    </row>
    <row r="165" spans="1:46" x14ac:dyDescent="0.25">
      <c r="A165" s="2371">
        <v>5</v>
      </c>
      <c r="B165" s="2374" t="s">
        <v>413</v>
      </c>
      <c r="C165" s="2374" t="s">
        <v>277</v>
      </c>
      <c r="D165" s="2374"/>
      <c r="E165" s="2374"/>
      <c r="F165" s="2374"/>
      <c r="G165" s="2373" t="str">
        <f ca="1">IF(N165&gt;0,"P","")</f>
        <v/>
      </c>
      <c r="H165" s="2375" t="s">
        <v>3973</v>
      </c>
      <c r="I165" s="90"/>
      <c r="J165" s="87" t="s">
        <v>277</v>
      </c>
      <c r="K165" s="90"/>
      <c r="L165" s="1170" t="s">
        <v>421</v>
      </c>
      <c r="M165" s="494"/>
      <c r="N165" s="1042">
        <f ca="1">'Ch5'!O166</f>
        <v>0</v>
      </c>
      <c r="O165" s="1042">
        <f ca="1">S165*IFERROR(INDEX(M166:M169,MATCH(W165,INDIRECT(U165))),0)</f>
        <v>0</v>
      </c>
      <c r="P165" s="249" t="b">
        <v>0</v>
      </c>
      <c r="Q165" s="249" t="b">
        <v>1</v>
      </c>
      <c r="R165" s="249" t="b">
        <v>0</v>
      </c>
      <c r="S165" s="249" t="b">
        <f>NOT(ISBLANK(W147))</f>
        <v>0</v>
      </c>
      <c r="T165" s="94" t="b">
        <f>IF(AND(NOT(S165),LEN(W165)&gt;0),TRUE,FALSE)</f>
        <v>0</v>
      </c>
      <c r="U165" s="249" t="str">
        <f>SUBSTITUTE(SUBSTITUTE(SUBSTITUTE("dd"&amp;B165&amp;C165&amp;D165&amp;E165&amp;F165,".","_"),"(","_"),")","")</f>
        <v>dd503_5_6</v>
      </c>
      <c r="V165" s="249"/>
      <c r="W165" s="12"/>
      <c r="X165" s="1757"/>
      <c r="Y165" s="2099" t="str">
        <f>IF(LEN('Ch5'!X166)=0,"None",'Ch5'!X166)</f>
        <v>None</v>
      </c>
      <c r="Z165" s="2087"/>
      <c r="AA165" s="1551" t="str">
        <f>IF(LEN('Photo Review'!I164)&gt;0,'Photo Review'!I164,"")</f>
        <v/>
      </c>
      <c r="AC165" s="970" t="b">
        <f>OR(AD165:AE165)</f>
        <v>0</v>
      </c>
      <c r="AD165" s="970" t="b">
        <f>T165</f>
        <v>0</v>
      </c>
      <c r="AE165" s="970"/>
      <c r="AF165" s="249"/>
      <c r="AG165" s="249"/>
      <c r="AH165" s="249"/>
      <c r="AI165" s="249"/>
      <c r="AJ165" s="249"/>
      <c r="AK165" s="249"/>
      <c r="AL165" s="1336"/>
      <c r="AM165" s="1336"/>
      <c r="AN165" s="1336" t="str">
        <f>SUBSTITUTE(SUBSTITUTE(SUBSTITUTE("vpc"&amp;$B165&amp;$C165&amp;$D165&amp;$E165,".","_"),"(","_"),")","")</f>
        <v>vpc503_5_6</v>
      </c>
      <c r="AO165" s="254">
        <f ca="1">O165</f>
        <v>0</v>
      </c>
      <c r="AP165" s="1336" t="str">
        <f>SUBSTITUTE(SUBSTITUTE(SUBSTITUTE("vch"&amp;$B165&amp;$C165&amp;$D165&amp;$E165,".","_"),"(","_"),")","")</f>
        <v>vch503_5_6</v>
      </c>
      <c r="AQ165" s="254" t="str">
        <f>IF(LEN(W165)=0,"",W165)</f>
        <v/>
      </c>
      <c r="AR165" s="1336" t="str">
        <f>SUBSTITUTE(SUBSTITUTE(SUBSTITUTE("vnt"&amp;$B165&amp;$C165&amp;$D165&amp;$E165,".","_"),"(","_"),")","")</f>
        <v>vnt503_5_6</v>
      </c>
      <c r="AS165" s="254" t="str">
        <f>IF(LEN(X165)=0,"",X165)</f>
        <v/>
      </c>
    </row>
    <row r="166" spans="1:46" x14ac:dyDescent="0.25">
      <c r="A166" s="2371">
        <v>5</v>
      </c>
      <c r="B166" s="2374" t="s">
        <v>413</v>
      </c>
      <c r="C166" s="2374" t="s">
        <v>277</v>
      </c>
      <c r="D166" s="2374" t="s">
        <v>121</v>
      </c>
      <c r="E166" s="2374"/>
      <c r="F166" s="2374"/>
      <c r="G166" s="2373" t="str">
        <f ca="1">G165</f>
        <v/>
      </c>
      <c r="H166" s="2375" t="s">
        <v>3973</v>
      </c>
      <c r="I166" s="90"/>
      <c r="J166" s="90"/>
      <c r="K166" s="87" t="s">
        <v>121</v>
      </c>
      <c r="L166" s="1170" t="s">
        <v>422</v>
      </c>
      <c r="M166" s="494">
        <f ca="1">5*IFERROR(INDEX({0.5,0.5,1},MATCH(W147,INDIRECT(U147),0)),0)</f>
        <v>0</v>
      </c>
      <c r="N166" s="1042"/>
      <c r="O166" s="1042"/>
      <c r="P166" s="249"/>
      <c r="Q166" s="249"/>
      <c r="R166" s="249"/>
      <c r="S166" s="249"/>
      <c r="T166" s="249"/>
      <c r="U166" s="249"/>
      <c r="V166" s="249"/>
      <c r="W166" s="249"/>
      <c r="X166" s="1757"/>
      <c r="Y166" s="2100"/>
      <c r="Z166" s="2091"/>
      <c r="AA166" s="1526"/>
      <c r="AC166" s="970"/>
      <c r="AD166" s="970"/>
      <c r="AE166" s="970"/>
      <c r="AF166" s="249"/>
      <c r="AG166" s="249"/>
      <c r="AH166" s="249"/>
      <c r="AI166" s="249"/>
      <c r="AJ166" s="249"/>
      <c r="AK166" s="249"/>
      <c r="AL166" s="1336" t="str">
        <f t="shared" ref="AL166:AL171" si="3">SUBSTITUTE(SUBSTITUTE(SUBSTITUTE("vpa"&amp;$B166&amp;$C166&amp;$D166&amp;$E166,".","_"),"(","_"),")","")</f>
        <v>vpa503_5_6_a</v>
      </c>
      <c r="AM166" s="254">
        <f t="shared" ref="AM166:AM171" ca="1" si="4">M166</f>
        <v>0</v>
      </c>
      <c r="AN166" s="1336"/>
      <c r="AO166" s="1336"/>
      <c r="AP166" s="1336"/>
      <c r="AQ166" s="1336"/>
      <c r="AR166" s="1336"/>
      <c r="AS166" s="1336"/>
    </row>
    <row r="167" spans="1:46" x14ac:dyDescent="0.25">
      <c r="A167" s="2371">
        <v>5</v>
      </c>
      <c r="B167" s="2374" t="s">
        <v>413</v>
      </c>
      <c r="C167" s="2374" t="s">
        <v>277</v>
      </c>
      <c r="D167" s="2374" t="s">
        <v>122</v>
      </c>
      <c r="E167" s="2374"/>
      <c r="F167" s="2374"/>
      <c r="G167" s="2373" t="str">
        <f ca="1">G166</f>
        <v/>
      </c>
      <c r="H167" s="2375" t="s">
        <v>3973</v>
      </c>
      <c r="I167" s="90"/>
      <c r="J167" s="90"/>
      <c r="K167" s="87" t="s">
        <v>122</v>
      </c>
      <c r="L167" s="1170" t="s">
        <v>423</v>
      </c>
      <c r="M167" s="494">
        <f ca="1">4*IFERROR(INDEX({0.5,0.5,1},MATCH(W147,INDIRECT(U147),0)),0)</f>
        <v>0</v>
      </c>
      <c r="N167" s="1042"/>
      <c r="O167" s="1042"/>
      <c r="P167" s="249"/>
      <c r="Q167" s="249"/>
      <c r="R167" s="249"/>
      <c r="S167" s="249"/>
      <c r="T167" s="249"/>
      <c r="U167" s="249"/>
      <c r="V167" s="249"/>
      <c r="W167" s="249"/>
      <c r="X167" s="1757"/>
      <c r="Y167" s="2100"/>
      <c r="Z167" s="2091"/>
      <c r="AA167" s="1526"/>
      <c r="AC167" s="970"/>
      <c r="AD167" s="970"/>
      <c r="AE167" s="970"/>
      <c r="AF167" s="249"/>
      <c r="AG167" s="249"/>
      <c r="AH167" s="249"/>
      <c r="AI167" s="249"/>
      <c r="AJ167" s="249"/>
      <c r="AK167" s="249"/>
      <c r="AL167" s="1336" t="str">
        <f t="shared" si="3"/>
        <v>vpa503_5_6_b</v>
      </c>
      <c r="AM167" s="254">
        <f t="shared" ca="1" si="4"/>
        <v>0</v>
      </c>
      <c r="AN167" s="1336"/>
      <c r="AO167" s="1336"/>
      <c r="AP167" s="1336"/>
      <c r="AQ167" s="1336"/>
      <c r="AR167" s="1336"/>
      <c r="AS167" s="1336"/>
    </row>
    <row r="168" spans="1:46" x14ac:dyDescent="0.25">
      <c r="A168" s="2371">
        <v>5</v>
      </c>
      <c r="B168" s="2374" t="s">
        <v>413</v>
      </c>
      <c r="C168" s="2374" t="s">
        <v>277</v>
      </c>
      <c r="D168" s="2374" t="s">
        <v>123</v>
      </c>
      <c r="E168" s="2374"/>
      <c r="F168" s="2374"/>
      <c r="G168" s="2373" t="str">
        <f ca="1">G167</f>
        <v/>
      </c>
      <c r="H168" s="2375" t="s">
        <v>3973</v>
      </c>
      <c r="I168" s="90"/>
      <c r="J168" s="90"/>
      <c r="K168" s="89" t="s">
        <v>123</v>
      </c>
      <c r="L168" s="1170" t="s">
        <v>424</v>
      </c>
      <c r="M168" s="494">
        <f ca="1">3*IFERROR(INDEX({0.5,0.5,1},MATCH(W147,INDIRECT(U147),0)),0)</f>
        <v>0</v>
      </c>
      <c r="N168" s="1042"/>
      <c r="O168" s="1042"/>
      <c r="P168" s="249"/>
      <c r="Q168" s="249"/>
      <c r="R168" s="249"/>
      <c r="S168" s="249"/>
      <c r="T168" s="249"/>
      <c r="U168" s="249"/>
      <c r="V168" s="249"/>
      <c r="W168" s="249"/>
      <c r="X168" s="1757"/>
      <c r="Y168" s="2100"/>
      <c r="Z168" s="2091"/>
      <c r="AA168" s="1526"/>
      <c r="AC168" s="970"/>
      <c r="AD168" s="970"/>
      <c r="AE168" s="970"/>
      <c r="AF168" s="249"/>
      <c r="AG168" s="249"/>
      <c r="AH168" s="249"/>
      <c r="AI168" s="249"/>
      <c r="AJ168" s="249"/>
      <c r="AK168" s="249"/>
      <c r="AL168" s="1336" t="str">
        <f t="shared" si="3"/>
        <v>vpa503_5_6_c</v>
      </c>
      <c r="AM168" s="254">
        <f t="shared" ca="1" si="4"/>
        <v>0</v>
      </c>
      <c r="AN168" s="1336"/>
      <c r="AO168" s="1336"/>
      <c r="AP168" s="1336"/>
      <c r="AQ168" s="1336"/>
      <c r="AR168" s="1336"/>
      <c r="AS168" s="1336"/>
    </row>
    <row r="169" spans="1:46" x14ac:dyDescent="0.25">
      <c r="A169" s="2371">
        <v>5</v>
      </c>
      <c r="B169" s="2374" t="s">
        <v>413</v>
      </c>
      <c r="C169" s="2374" t="s">
        <v>277</v>
      </c>
      <c r="D169" s="2374" t="s">
        <v>401</v>
      </c>
      <c r="E169" s="2374"/>
      <c r="F169" s="2374"/>
      <c r="G169" s="2373" t="str">
        <f ca="1">G168</f>
        <v/>
      </c>
      <c r="H169" s="2375" t="s">
        <v>3973</v>
      </c>
      <c r="I169" s="90"/>
      <c r="J169" s="177"/>
      <c r="K169" s="179" t="s">
        <v>401</v>
      </c>
      <c r="L169" s="1163" t="s">
        <v>425</v>
      </c>
      <c r="M169" s="1487">
        <f ca="1">2*IFERROR(INDEX({0.5,0.5,1},MATCH(W147,INDIRECT(U147),0)),0)</f>
        <v>0</v>
      </c>
      <c r="N169" s="1047"/>
      <c r="O169" s="1047"/>
      <c r="P169" s="249"/>
      <c r="Q169" s="249"/>
      <c r="R169" s="249"/>
      <c r="S169" s="249"/>
      <c r="T169" s="249"/>
      <c r="U169" s="249"/>
      <c r="V169" s="249"/>
      <c r="W169" s="249"/>
      <c r="X169" s="1757"/>
      <c r="Y169" s="2097"/>
      <c r="Z169" s="2085"/>
      <c r="AA169" s="1526"/>
      <c r="AC169" s="970"/>
      <c r="AD169" s="970"/>
      <c r="AE169" s="970"/>
      <c r="AF169" s="249"/>
      <c r="AG169" s="249"/>
      <c r="AH169" s="249"/>
      <c r="AI169" s="249"/>
      <c r="AJ169" s="249"/>
      <c r="AK169" s="249"/>
      <c r="AL169" s="1336" t="str">
        <f t="shared" si="3"/>
        <v>vpa503_5_6_d</v>
      </c>
      <c r="AM169" s="254">
        <f t="shared" ca="1" si="4"/>
        <v>0</v>
      </c>
      <c r="AN169" s="1336"/>
      <c r="AO169" s="1336"/>
      <c r="AP169" s="1336"/>
      <c r="AQ169" s="1336"/>
      <c r="AR169" s="1336"/>
      <c r="AS169" s="1336"/>
    </row>
    <row r="170" spans="1:46" ht="15" customHeight="1" x14ac:dyDescent="0.25">
      <c r="A170" s="2371">
        <v>5</v>
      </c>
      <c r="B170" s="2374" t="s">
        <v>413</v>
      </c>
      <c r="C170" s="2374" t="s">
        <v>383</v>
      </c>
      <c r="D170" s="2374"/>
      <c r="E170" s="2374"/>
      <c r="F170" s="2374"/>
      <c r="G170" s="2373" t="str">
        <f ca="1">IF(N170&gt;0,"P","")</f>
        <v/>
      </c>
      <c r="H170" s="2375" t="s">
        <v>3973</v>
      </c>
      <c r="I170" s="90"/>
      <c r="J170" s="174" t="s">
        <v>383</v>
      </c>
      <c r="K170" s="177"/>
      <c r="L170" s="1163" t="s">
        <v>426</v>
      </c>
      <c r="M170" s="1487">
        <f ca="1">5*IFERROR(INDEX({0.5,0.5,1},MATCH(W147,INDIRECT(U147),0)),0)</f>
        <v>0</v>
      </c>
      <c r="N170" s="1047">
        <f ca="1">'Ch5'!O171</f>
        <v>0</v>
      </c>
      <c r="O170" s="1047">
        <f ca="1">M170*S170*W170</f>
        <v>0</v>
      </c>
      <c r="P170" s="249" t="b">
        <v>0</v>
      </c>
      <c r="Q170" s="249" t="b">
        <v>1</v>
      </c>
      <c r="R170" s="249" t="b">
        <v>0</v>
      </c>
      <c r="S170" s="249" t="b">
        <f>NOT(ISBLANK(W147))</f>
        <v>0</v>
      </c>
      <c r="T170" s="94" t="b">
        <f>IF(AND(NOT(S170),W170=TRUE),TRUE,FALSE)</f>
        <v>0</v>
      </c>
      <c r="U170" s="249"/>
      <c r="V170" s="249"/>
      <c r="W170" s="25"/>
      <c r="X170" s="918"/>
      <c r="Y170" s="988" t="str">
        <f>IF(LEN('Ch5'!X171)=0,"None",'Ch5'!X171)</f>
        <v>None</v>
      </c>
      <c r="Z170" s="1587"/>
      <c r="AA170" s="1551" t="str">
        <f>IF(LEN('Photo Review'!I169)&gt;0,'Photo Review'!I169,"")</f>
        <v/>
      </c>
      <c r="AC170" s="970" t="b">
        <f>OR(AD170:AE170)</f>
        <v>0</v>
      </c>
      <c r="AD170" s="970" t="b">
        <f>T170</f>
        <v>0</v>
      </c>
      <c r="AE170" s="970"/>
      <c r="AF170" s="249"/>
      <c r="AG170" s="249"/>
      <c r="AH170" s="249"/>
      <c r="AI170" s="249"/>
      <c r="AJ170" s="249"/>
      <c r="AK170" s="249"/>
      <c r="AL170" s="1336" t="str">
        <f t="shared" si="3"/>
        <v>vpa503_5_7</v>
      </c>
      <c r="AM170" s="254">
        <f t="shared" ca="1" si="4"/>
        <v>0</v>
      </c>
      <c r="AN170" s="1336" t="str">
        <f>SUBSTITUTE(SUBSTITUTE(SUBSTITUTE("vpc"&amp;$B170&amp;$C170&amp;$D170&amp;$E170,".","_"),"(","_"),")","")</f>
        <v>vpc503_5_7</v>
      </c>
      <c r="AO170" s="254">
        <f ca="1">O170</f>
        <v>0</v>
      </c>
      <c r="AP170" s="1336" t="str">
        <f>SUBSTITUTE(SUBSTITUTE(SUBSTITUTE("vch"&amp;$B170&amp;$C170&amp;$D170&amp;$E170,".","_"),"(","_"),")","")</f>
        <v>vch503_5_7</v>
      </c>
      <c r="AQ170" s="254" t="str">
        <f>IF(LEN(W170)=0,"",W170)</f>
        <v/>
      </c>
      <c r="AR170" s="1336" t="str">
        <f>SUBSTITUTE(SUBSTITUTE(SUBSTITUTE("vnt"&amp;$B170&amp;$C170&amp;$D170&amp;$E170,".","_"),"(","_"),")","")</f>
        <v>vnt503_5_7</v>
      </c>
      <c r="AS170" s="254" t="str">
        <f>IF(LEN(X170)=0,"",X170)</f>
        <v/>
      </c>
    </row>
    <row r="171" spans="1:46" x14ac:dyDescent="0.25">
      <c r="A171" s="2371">
        <v>5</v>
      </c>
      <c r="B171" s="2374" t="s">
        <v>413</v>
      </c>
      <c r="C171" s="2374" t="s">
        <v>428</v>
      </c>
      <c r="D171" s="2374"/>
      <c r="E171" s="2374"/>
      <c r="F171" s="2374"/>
      <c r="G171" s="2373" t="str">
        <f ca="1">IF(N171&gt;0,"P","")</f>
        <v/>
      </c>
      <c r="H171" s="2375" t="s">
        <v>3973</v>
      </c>
      <c r="I171" s="90"/>
      <c r="J171" s="87" t="s">
        <v>428</v>
      </c>
      <c r="K171" s="90"/>
      <c r="L171" s="1754" t="s">
        <v>427</v>
      </c>
      <c r="M171" s="1794">
        <f ca="1">5*IFERROR(INDEX({0.5,0.5,1},MATCH(W147,INDIRECT(U147),0)),0)</f>
        <v>0</v>
      </c>
      <c r="N171" s="1927">
        <f ca="1">'Ch5'!O172</f>
        <v>0</v>
      </c>
      <c r="O171" s="1927">
        <f ca="1">M171*S171*W171</f>
        <v>0</v>
      </c>
      <c r="P171" s="249" t="b">
        <v>0</v>
      </c>
      <c r="Q171" s="249" t="b">
        <v>1</v>
      </c>
      <c r="R171" s="249" t="b">
        <v>0</v>
      </c>
      <c r="S171" s="249" t="b">
        <f>NOT(ISBLANK(W147))</f>
        <v>0</v>
      </c>
      <c r="T171" s="94" t="b">
        <f>IF(AND(NOT(S171),W171=TRUE),TRUE,FALSE)</f>
        <v>0</v>
      </c>
      <c r="U171" s="249"/>
      <c r="V171" s="249"/>
      <c r="W171" s="25"/>
      <c r="X171" s="1757"/>
      <c r="Y171" s="2081" t="str">
        <f>IF(LEN('Ch5'!X172)=0,"None",'Ch5'!X172)</f>
        <v>None</v>
      </c>
      <c r="Z171" s="2083"/>
      <c r="AA171" s="1551" t="str">
        <f>IF(LEN('Photo Review'!I170)&gt;0,'Photo Review'!I170,"")</f>
        <v/>
      </c>
      <c r="AC171" s="970" t="b">
        <f>OR(AD171:AE171)</f>
        <v>0</v>
      </c>
      <c r="AD171" s="970" t="b">
        <f>T171</f>
        <v>0</v>
      </c>
      <c r="AE171" s="970"/>
      <c r="AF171" s="249"/>
      <c r="AG171" s="249"/>
      <c r="AH171" s="249"/>
      <c r="AI171" s="249"/>
      <c r="AJ171" s="249"/>
      <c r="AK171" s="249"/>
      <c r="AL171" s="1336" t="str">
        <f t="shared" si="3"/>
        <v>vpa503_5_8</v>
      </c>
      <c r="AM171" s="254">
        <f t="shared" ca="1" si="4"/>
        <v>0</v>
      </c>
      <c r="AN171" s="1336" t="str">
        <f>SUBSTITUTE(SUBSTITUTE(SUBSTITUTE("vpc"&amp;$B171&amp;$C171&amp;$D171&amp;$E171,".","_"),"(","_"),")","")</f>
        <v>vpc503_5_8</v>
      </c>
      <c r="AO171" s="254">
        <f ca="1">O171</f>
        <v>0</v>
      </c>
      <c r="AP171" s="1336" t="str">
        <f>SUBSTITUTE(SUBSTITUTE(SUBSTITUTE("vch"&amp;$B171&amp;$C171&amp;$D171&amp;$E171,".","_"),"(","_"),")","")</f>
        <v>vch503_5_8</v>
      </c>
      <c r="AQ171" s="254" t="str">
        <f>IF(LEN(W171)=0,"",W171)</f>
        <v/>
      </c>
      <c r="AR171" s="1336" t="str">
        <f>SUBSTITUTE(SUBSTITUTE(SUBSTITUTE("vnt"&amp;$B171&amp;$C171&amp;$D171&amp;$E171,".","_"),"(","_"),")","")</f>
        <v>vnt503_5_8</v>
      </c>
      <c r="AS171" s="254" t="str">
        <f>IF(LEN(X171)=0,"",X171)</f>
        <v/>
      </c>
    </row>
    <row r="172" spans="1:46" x14ac:dyDescent="0.25">
      <c r="A172" s="2371">
        <v>5</v>
      </c>
      <c r="B172" s="2374" t="s">
        <v>413</v>
      </c>
      <c r="C172" s="2374" t="s">
        <v>428</v>
      </c>
      <c r="D172" s="2374"/>
      <c r="E172" s="2374"/>
      <c r="F172" s="2374"/>
      <c r="G172" s="2373" t="str">
        <f ca="1">G171</f>
        <v/>
      </c>
      <c r="H172" s="2375" t="s">
        <v>3973</v>
      </c>
      <c r="I172" s="90"/>
      <c r="J172" s="90"/>
      <c r="K172" s="90"/>
      <c r="L172" s="1754"/>
      <c r="M172" s="1794"/>
      <c r="N172" s="1927"/>
      <c r="O172" s="1927"/>
      <c r="P172" s="249"/>
      <c r="Q172" s="249"/>
      <c r="R172" s="249"/>
      <c r="S172" s="249"/>
      <c r="T172" s="249"/>
      <c r="U172" s="249"/>
      <c r="V172" s="249"/>
      <c r="W172" s="249"/>
      <c r="X172" s="1757"/>
      <c r="Y172" s="2081"/>
      <c r="Z172" s="2083"/>
      <c r="AA172" s="1526"/>
      <c r="AC172" s="970"/>
      <c r="AD172" s="970"/>
      <c r="AE172" s="970"/>
      <c r="AF172" s="249"/>
      <c r="AG172" s="249"/>
      <c r="AH172" s="249"/>
      <c r="AI172" s="249"/>
      <c r="AJ172" s="249"/>
      <c r="AK172" s="249"/>
      <c r="AL172" s="1336"/>
      <c r="AM172" s="1336"/>
      <c r="AN172" s="1336"/>
      <c r="AO172" s="1336"/>
      <c r="AP172" s="1336"/>
      <c r="AQ172" s="1336"/>
      <c r="AR172" s="1336"/>
      <c r="AS172" s="1336"/>
    </row>
    <row r="173" spans="1:46" x14ac:dyDescent="0.25">
      <c r="A173" s="2371">
        <v>5</v>
      </c>
      <c r="B173" s="2374" t="s">
        <v>413</v>
      </c>
      <c r="C173" s="2374" t="s">
        <v>428</v>
      </c>
      <c r="D173" s="2374"/>
      <c r="E173" s="2374"/>
      <c r="F173" s="2374"/>
      <c r="G173" s="2373" t="str">
        <f ca="1">G172</f>
        <v/>
      </c>
      <c r="H173" s="2375" t="s">
        <v>3973</v>
      </c>
      <c r="I173" s="90"/>
      <c r="J173" s="90"/>
      <c r="K173" s="90"/>
      <c r="L173" s="1754"/>
      <c r="M173" s="1794"/>
      <c r="N173" s="1927"/>
      <c r="O173" s="1927"/>
      <c r="P173" s="249"/>
      <c r="Q173" s="249"/>
      <c r="R173" s="249"/>
      <c r="S173" s="249"/>
      <c r="T173" s="249"/>
      <c r="U173" s="249"/>
      <c r="V173" s="249"/>
      <c r="W173" s="249"/>
      <c r="X173" s="1757"/>
      <c r="Y173" s="2081"/>
      <c r="Z173" s="2083"/>
      <c r="AA173" s="1526"/>
      <c r="AC173" s="970"/>
      <c r="AD173" s="970"/>
      <c r="AE173" s="970"/>
      <c r="AF173" s="249"/>
      <c r="AG173" s="249"/>
      <c r="AH173" s="249"/>
      <c r="AI173" s="249"/>
      <c r="AJ173" s="249"/>
      <c r="AK173" s="249"/>
      <c r="AL173" s="1336"/>
      <c r="AM173" s="1336"/>
      <c r="AN173" s="1336"/>
      <c r="AO173" s="1336"/>
      <c r="AP173" s="1336"/>
      <c r="AQ173" s="1336"/>
      <c r="AR173" s="1336"/>
      <c r="AS173" s="1336"/>
    </row>
    <row r="174" spans="1:46" x14ac:dyDescent="0.25">
      <c r="A174" s="2371">
        <v>5</v>
      </c>
      <c r="B174" s="2374" t="s">
        <v>413</v>
      </c>
      <c r="C174" s="2374" t="s">
        <v>428</v>
      </c>
      <c r="D174" s="2374"/>
      <c r="E174" s="2374"/>
      <c r="F174" s="2374"/>
      <c r="G174" s="2373" t="str">
        <f ca="1">G173</f>
        <v/>
      </c>
      <c r="H174" s="2375" t="s">
        <v>3973</v>
      </c>
      <c r="I174" s="90"/>
      <c r="J174" s="90"/>
      <c r="K174" s="90"/>
      <c r="L174" s="1754"/>
      <c r="M174" s="1794"/>
      <c r="N174" s="1927"/>
      <c r="O174" s="1927"/>
      <c r="P174" s="249"/>
      <c r="Q174" s="249"/>
      <c r="R174" s="249"/>
      <c r="S174" s="249"/>
      <c r="T174" s="249"/>
      <c r="U174" s="249"/>
      <c r="V174" s="249"/>
      <c r="W174" s="249"/>
      <c r="X174" s="1757"/>
      <c r="Y174" s="2081"/>
      <c r="Z174" s="2083"/>
      <c r="AA174" s="1526"/>
      <c r="AC174" s="970"/>
      <c r="AD174" s="970"/>
      <c r="AE174" s="970"/>
      <c r="AF174" s="249"/>
      <c r="AG174" s="249"/>
      <c r="AH174" s="249"/>
      <c r="AI174" s="249"/>
      <c r="AJ174" s="249"/>
      <c r="AK174" s="249"/>
      <c r="AL174" s="1336"/>
      <c r="AM174" s="1336"/>
      <c r="AN174" s="1336"/>
      <c r="AO174" s="1336"/>
      <c r="AP174" s="1336"/>
      <c r="AQ174" s="1336"/>
      <c r="AR174" s="1336"/>
      <c r="AS174" s="1336"/>
    </row>
    <row r="175" spans="1:46" x14ac:dyDescent="0.25">
      <c r="A175" s="2371">
        <v>5</v>
      </c>
      <c r="B175" s="2374" t="s">
        <v>413</v>
      </c>
      <c r="C175" s="2374" t="s">
        <v>428</v>
      </c>
      <c r="D175" s="2374"/>
      <c r="E175" s="2374"/>
      <c r="F175" s="2374"/>
      <c r="G175" s="2373" t="str">
        <f ca="1">G174</f>
        <v/>
      </c>
      <c r="H175" s="2375" t="s">
        <v>3973</v>
      </c>
      <c r="I175" s="90"/>
      <c r="J175" s="177"/>
      <c r="K175" s="177"/>
      <c r="L175" s="1755"/>
      <c r="M175" s="1795"/>
      <c r="N175" s="2076"/>
      <c r="O175" s="2076"/>
      <c r="P175" s="249"/>
      <c r="Q175" s="249"/>
      <c r="R175" s="249"/>
      <c r="S175" s="249"/>
      <c r="T175" s="249"/>
      <c r="U175" s="249"/>
      <c r="V175" s="249"/>
      <c r="W175" s="249"/>
      <c r="X175" s="1757"/>
      <c r="Y175" s="2081"/>
      <c r="Z175" s="2083"/>
      <c r="AA175" s="1526"/>
      <c r="AC175" s="970"/>
      <c r="AD175" s="970"/>
      <c r="AE175" s="970"/>
      <c r="AF175" s="249"/>
      <c r="AG175" s="249"/>
      <c r="AH175" s="249"/>
      <c r="AI175" s="249"/>
      <c r="AJ175" s="249"/>
      <c r="AK175" s="249"/>
      <c r="AL175" s="1336"/>
      <c r="AM175" s="1336"/>
      <c r="AN175" s="1336"/>
      <c r="AO175" s="1336"/>
      <c r="AP175" s="1336"/>
      <c r="AQ175" s="1336"/>
      <c r="AR175" s="1336"/>
      <c r="AS175" s="1336"/>
    </row>
    <row r="176" spans="1:46" x14ac:dyDescent="0.25">
      <c r="A176" s="2371">
        <v>5</v>
      </c>
      <c r="B176" s="2374" t="s">
        <v>413</v>
      </c>
      <c r="C176" s="2374" t="s">
        <v>430</v>
      </c>
      <c r="D176" s="2374"/>
      <c r="E176" s="2374"/>
      <c r="F176" s="2374"/>
      <c r="G176" s="2373" t="str">
        <f ca="1">IF(N176&gt;0,"P","")</f>
        <v/>
      </c>
      <c r="H176" s="2375" t="s">
        <v>3973</v>
      </c>
      <c r="I176" s="90"/>
      <c r="J176" s="87" t="s">
        <v>430</v>
      </c>
      <c r="K176" s="90"/>
      <c r="L176" s="1754" t="s">
        <v>429</v>
      </c>
      <c r="M176" s="1794">
        <f ca="1">5*IFERROR(INDEX({0.5,0.5,1},MATCH(W147,INDIRECT(U147),0)),0)</f>
        <v>0</v>
      </c>
      <c r="N176" s="1927">
        <f ca="1">'Ch5'!O177</f>
        <v>0</v>
      </c>
      <c r="O176" s="1927">
        <f ca="1">M176*S176*W176</f>
        <v>0</v>
      </c>
      <c r="P176" s="94" t="b">
        <v>0</v>
      </c>
      <c r="Q176" s="94" t="b">
        <v>1</v>
      </c>
      <c r="R176" s="249" t="b">
        <v>0</v>
      </c>
      <c r="S176" s="249" t="b">
        <f>NOT(ISBLANK(W147))</f>
        <v>0</v>
      </c>
      <c r="T176" s="94" t="b">
        <f>IF(AND(NOT(S176),W176=TRUE),TRUE,FALSE)</f>
        <v>0</v>
      </c>
      <c r="U176" s="249"/>
      <c r="V176" s="249"/>
      <c r="W176" s="25"/>
      <c r="X176" s="1757"/>
      <c r="Y176" s="2081" t="str">
        <f>IF(LEN('Ch5'!X177)=0,"None",'Ch5'!X177)</f>
        <v>None</v>
      </c>
      <c r="Z176" s="2083"/>
      <c r="AA176" s="1551" t="str">
        <f>IF(LEN('Photo Review'!I175)&gt;0,'Photo Review'!I175,"")</f>
        <v/>
      </c>
      <c r="AC176" s="970" t="b">
        <f>OR(AD176:AE176)</f>
        <v>0</v>
      </c>
      <c r="AD176" s="970" t="b">
        <f>T176</f>
        <v>0</v>
      </c>
      <c r="AE176" s="970"/>
      <c r="AF176" s="249"/>
      <c r="AG176" s="249"/>
      <c r="AH176" s="249"/>
      <c r="AI176" s="249"/>
      <c r="AJ176" s="249"/>
      <c r="AK176" s="249"/>
      <c r="AL176" s="1336" t="str">
        <f>SUBSTITUTE(SUBSTITUTE(SUBSTITUTE("vpa"&amp;$B176&amp;$C176&amp;$D176&amp;$E176,".","_"),"(","_"),")","")</f>
        <v>vpa503_5_9</v>
      </c>
      <c r="AM176" s="254">
        <f ca="1">M176</f>
        <v>0</v>
      </c>
      <c r="AN176" s="1336" t="str">
        <f>SUBSTITUTE(SUBSTITUTE(SUBSTITUTE("vpc"&amp;$B176&amp;$C176&amp;$D176&amp;$E176,".","_"),"(","_"),")","")</f>
        <v>vpc503_5_9</v>
      </c>
      <c r="AO176" s="254">
        <f ca="1">O176</f>
        <v>0</v>
      </c>
      <c r="AP176" s="1336" t="str">
        <f>SUBSTITUTE(SUBSTITUTE(SUBSTITUTE("vch"&amp;$B176&amp;$C176&amp;$D176&amp;$E176,".","_"),"(","_"),")","")</f>
        <v>vch503_5_9</v>
      </c>
      <c r="AQ176" s="254" t="str">
        <f>IF(LEN(W176)=0,"",W176)</f>
        <v/>
      </c>
      <c r="AR176" s="1336" t="str">
        <f>SUBSTITUTE(SUBSTITUTE(SUBSTITUTE("vnt"&amp;$B176&amp;$C176&amp;$D176&amp;$E176,".","_"),"(","_"),")","")</f>
        <v>vnt503_5_9</v>
      </c>
      <c r="AS176" s="254" t="str">
        <f>IF(LEN(X176)=0,"",X176)</f>
        <v/>
      </c>
    </row>
    <row r="177" spans="1:45" x14ac:dyDescent="0.25">
      <c r="A177" s="2371">
        <v>5</v>
      </c>
      <c r="B177" s="2374" t="s">
        <v>413</v>
      </c>
      <c r="C177" s="2374" t="s">
        <v>430</v>
      </c>
      <c r="D177" s="2374"/>
      <c r="E177" s="2374"/>
      <c r="F177" s="2374"/>
      <c r="G177" s="2373" t="str">
        <f ca="1">G176</f>
        <v/>
      </c>
      <c r="H177" s="2375" t="s">
        <v>3973</v>
      </c>
      <c r="I177" s="90"/>
      <c r="J177" s="177"/>
      <c r="K177" s="177"/>
      <c r="L177" s="1755"/>
      <c r="M177" s="1795"/>
      <c r="N177" s="2076"/>
      <c r="O177" s="2076"/>
      <c r="P177" s="249"/>
      <c r="Q177" s="249"/>
      <c r="R177" s="249"/>
      <c r="S177" s="249"/>
      <c r="T177" s="249"/>
      <c r="U177" s="249"/>
      <c r="V177" s="249"/>
      <c r="W177" s="249"/>
      <c r="X177" s="1757"/>
      <c r="Y177" s="2081"/>
      <c r="Z177" s="2083"/>
      <c r="AA177" s="1526"/>
      <c r="AC177" s="970"/>
      <c r="AD177" s="970"/>
      <c r="AE177" s="970"/>
      <c r="AF177" s="249"/>
      <c r="AG177" s="249"/>
      <c r="AH177" s="249"/>
      <c r="AI177" s="249"/>
      <c r="AJ177" s="249"/>
      <c r="AK177" s="249"/>
      <c r="AL177" s="1336"/>
      <c r="AM177" s="1336"/>
      <c r="AN177" s="1336"/>
      <c r="AO177" s="1336"/>
      <c r="AP177" s="1336"/>
      <c r="AQ177" s="1336"/>
      <c r="AR177" s="1336"/>
      <c r="AS177" s="1336"/>
    </row>
    <row r="178" spans="1:45" x14ac:dyDescent="0.25">
      <c r="A178" s="2371">
        <v>5</v>
      </c>
      <c r="B178" s="2374" t="s">
        <v>413</v>
      </c>
      <c r="C178" s="2374" t="s">
        <v>432</v>
      </c>
      <c r="D178" s="2374"/>
      <c r="E178" s="2374"/>
      <c r="F178" s="2374"/>
      <c r="G178" s="2373" t="str">
        <f>IF(N178&gt;0,"P","")</f>
        <v/>
      </c>
      <c r="H178" s="2375" t="s">
        <v>3973</v>
      </c>
      <c r="I178" s="90"/>
      <c r="J178" s="87" t="s">
        <v>432</v>
      </c>
      <c r="K178" s="90"/>
      <c r="L178" s="1754" t="s">
        <v>431</v>
      </c>
      <c r="M178" s="1762">
        <v>3</v>
      </c>
      <c r="N178" s="2079">
        <f>'Ch5'!O179</f>
        <v>0</v>
      </c>
      <c r="O178" s="2079">
        <f>M178*S178*W178</f>
        <v>0</v>
      </c>
      <c r="P178" s="94" t="b">
        <v>0</v>
      </c>
      <c r="Q178" s="94" t="b">
        <v>1</v>
      </c>
      <c r="R178" s="249" t="b">
        <v>0</v>
      </c>
      <c r="S178" s="249" t="b">
        <f>NOT(ISBLANK(W147))</f>
        <v>0</v>
      </c>
      <c r="T178" s="94" t="b">
        <f>IF(AND(NOT(S178),W178=TRUE),TRUE,FALSE)</f>
        <v>0</v>
      </c>
      <c r="U178" s="249"/>
      <c r="V178" s="249"/>
      <c r="W178" s="25"/>
      <c r="X178" s="1798"/>
      <c r="Y178" s="2081" t="str">
        <f>IF(LEN('Ch5'!X179)=0,"None",'Ch5'!X179)</f>
        <v>None</v>
      </c>
      <c r="Z178" s="2083"/>
      <c r="AA178" s="1551" t="str">
        <f>IF(LEN('Photo Review'!I177)&gt;0,'Photo Review'!I177,"")</f>
        <v/>
      </c>
      <c r="AC178" s="970" t="b">
        <f>OR(AD178:AE178)</f>
        <v>0</v>
      </c>
      <c r="AD178" s="970" t="b">
        <f>T178</f>
        <v>0</v>
      </c>
      <c r="AE178" s="970"/>
      <c r="AF178" s="249"/>
      <c r="AG178" s="249"/>
      <c r="AH178" s="249"/>
      <c r="AI178" s="249"/>
      <c r="AJ178" s="249"/>
      <c r="AK178" s="249"/>
      <c r="AL178" s="1336" t="str">
        <f>SUBSTITUTE(SUBSTITUTE(SUBSTITUTE("vpa"&amp;$B178&amp;$C178&amp;$D178&amp;$E178,".","_"),"(","_"),")","")</f>
        <v>vpa503_5_10</v>
      </c>
      <c r="AM178" s="254">
        <f>M178</f>
        <v>3</v>
      </c>
      <c r="AN178" s="1336" t="str">
        <f>SUBSTITUTE(SUBSTITUTE(SUBSTITUTE("vpc"&amp;$B178&amp;$C178&amp;$D178&amp;$E178,".","_"),"(","_"),")","")</f>
        <v>vpc503_5_10</v>
      </c>
      <c r="AO178" s="254">
        <f>O178</f>
        <v>0</v>
      </c>
      <c r="AP178" s="1336" t="str">
        <f>SUBSTITUTE(SUBSTITUTE(SUBSTITUTE("vch"&amp;$B178&amp;$C178&amp;$D178&amp;$E178,".","_"),"(","_"),")","")</f>
        <v>vch503_5_10</v>
      </c>
      <c r="AQ178" s="254" t="str">
        <f>IF(LEN(W178)=0,"",W178)</f>
        <v/>
      </c>
      <c r="AR178" s="1336" t="str">
        <f>SUBSTITUTE(SUBSTITUTE(SUBSTITUTE("vnt"&amp;$B178&amp;$C178&amp;$D178&amp;$E178,".","_"),"(","_"),")","")</f>
        <v>vnt503_5_10</v>
      </c>
      <c r="AS178" s="254" t="str">
        <f>IF(LEN(X178)=0,"",X178)</f>
        <v/>
      </c>
    </row>
    <row r="179" spans="1:45" x14ac:dyDescent="0.25">
      <c r="A179" s="2371">
        <v>5</v>
      </c>
      <c r="B179" s="2374" t="s">
        <v>413</v>
      </c>
      <c r="C179" s="2374" t="s">
        <v>432</v>
      </c>
      <c r="D179" s="2374"/>
      <c r="E179" s="2374"/>
      <c r="F179" s="2374"/>
      <c r="G179" s="2373" t="str">
        <f>G178</f>
        <v/>
      </c>
      <c r="H179" s="2375" t="s">
        <v>3973</v>
      </c>
      <c r="I179" s="90"/>
      <c r="J179" s="90"/>
      <c r="K179" s="90"/>
      <c r="L179" s="1754"/>
      <c r="M179" s="1758"/>
      <c r="N179" s="1927"/>
      <c r="O179" s="1927"/>
      <c r="P179" s="249"/>
      <c r="Q179" s="249"/>
      <c r="R179" s="249"/>
      <c r="S179" s="249"/>
      <c r="T179" s="249"/>
      <c r="U179" s="249"/>
      <c r="V179" s="249"/>
      <c r="W179" s="249"/>
      <c r="X179" s="1799"/>
      <c r="Y179" s="2081"/>
      <c r="Z179" s="2083"/>
      <c r="AA179" s="1526"/>
      <c r="AC179" s="970"/>
      <c r="AD179" s="970"/>
      <c r="AE179" s="970"/>
      <c r="AF179" s="249"/>
      <c r="AG179" s="249"/>
      <c r="AH179" s="249"/>
      <c r="AI179" s="249"/>
      <c r="AJ179" s="249"/>
      <c r="AK179" s="249"/>
      <c r="AL179" s="1336"/>
      <c r="AM179" s="1336"/>
      <c r="AN179" s="1336"/>
      <c r="AO179" s="1336"/>
      <c r="AP179" s="1336"/>
      <c r="AQ179" s="1336"/>
      <c r="AR179" s="1336"/>
      <c r="AS179" s="1336"/>
    </row>
    <row r="180" spans="1:45" x14ac:dyDescent="0.25">
      <c r="A180" s="2371">
        <v>5</v>
      </c>
      <c r="B180" s="2374" t="s">
        <v>413</v>
      </c>
      <c r="C180" s="2374" t="s">
        <v>432</v>
      </c>
      <c r="D180" s="2374"/>
      <c r="E180" s="2374"/>
      <c r="F180" s="2374"/>
      <c r="G180" s="2373" t="str">
        <f>G179</f>
        <v/>
      </c>
      <c r="H180" s="2375" t="s">
        <v>3973</v>
      </c>
      <c r="I180" s="90"/>
      <c r="J180" s="177"/>
      <c r="K180" s="177"/>
      <c r="L180" s="1755"/>
      <c r="M180" s="1759"/>
      <c r="N180" s="2076"/>
      <c r="O180" s="2076"/>
      <c r="P180" s="249"/>
      <c r="Q180" s="249"/>
      <c r="R180" s="249"/>
      <c r="S180" s="249"/>
      <c r="T180" s="249"/>
      <c r="U180" s="249"/>
      <c r="V180" s="249"/>
      <c r="W180" s="249"/>
      <c r="X180" s="1756"/>
      <c r="Y180" s="2081"/>
      <c r="Z180" s="2083"/>
      <c r="AA180" s="1526"/>
      <c r="AC180" s="970"/>
      <c r="AD180" s="970"/>
      <c r="AE180" s="970"/>
      <c r="AF180" s="249"/>
      <c r="AG180" s="249"/>
      <c r="AH180" s="249"/>
      <c r="AI180" s="249"/>
      <c r="AJ180" s="249"/>
      <c r="AK180" s="249"/>
      <c r="AL180" s="1336"/>
      <c r="AM180" s="1336"/>
      <c r="AN180" s="1336"/>
      <c r="AO180" s="1336"/>
      <c r="AP180" s="1336"/>
      <c r="AQ180" s="1336"/>
      <c r="AR180" s="1336"/>
      <c r="AS180" s="1336"/>
    </row>
    <row r="181" spans="1:45" x14ac:dyDescent="0.25">
      <c r="A181" s="2371">
        <v>5</v>
      </c>
      <c r="B181" s="2374" t="s">
        <v>413</v>
      </c>
      <c r="C181" s="2374" t="s">
        <v>434</v>
      </c>
      <c r="D181" s="2374"/>
      <c r="E181" s="2374"/>
      <c r="F181" s="2374"/>
      <c r="G181" s="2373" t="str">
        <f>IF(N181&gt;0,"P","")</f>
        <v/>
      </c>
      <c r="H181" s="2375" t="s">
        <v>3973</v>
      </c>
      <c r="I181" s="90"/>
      <c r="J181" s="87" t="s">
        <v>434</v>
      </c>
      <c r="K181" s="90"/>
      <c r="L181" s="1754" t="s">
        <v>433</v>
      </c>
      <c r="M181" s="1758">
        <v>4</v>
      </c>
      <c r="N181" s="1927">
        <f>'Ch5'!O182</f>
        <v>0</v>
      </c>
      <c r="O181" s="1927">
        <f>M181*S181*W181</f>
        <v>0</v>
      </c>
      <c r="P181" s="94" t="b">
        <v>0</v>
      </c>
      <c r="Q181" s="94" t="b">
        <v>1</v>
      </c>
      <c r="R181" s="249" t="b">
        <v>0</v>
      </c>
      <c r="S181" s="249" t="b">
        <f>NOT(ISBLANK(W147))</f>
        <v>0</v>
      </c>
      <c r="T181" s="94" t="b">
        <f>IF(AND(NOT(S181),W181=TRUE),TRUE,FALSE)</f>
        <v>0</v>
      </c>
      <c r="U181" s="249"/>
      <c r="V181" s="249"/>
      <c r="W181" s="25"/>
      <c r="X181" s="1757"/>
      <c r="Y181" s="2081" t="str">
        <f>IF(LEN('Ch5'!X182)=0,"None",'Ch5'!X182)</f>
        <v>None</v>
      </c>
      <c r="Z181" s="2083"/>
      <c r="AA181" s="1526"/>
      <c r="AC181" s="970" t="b">
        <f>OR(AD181:AE181)</f>
        <v>0</v>
      </c>
      <c r="AD181" s="970" t="b">
        <f>T181</f>
        <v>0</v>
      </c>
      <c r="AE181" s="970"/>
      <c r="AF181" s="249"/>
      <c r="AG181" s="249"/>
      <c r="AH181" s="249"/>
      <c r="AI181" s="249"/>
      <c r="AJ181" s="249"/>
      <c r="AK181" s="249"/>
      <c r="AL181" s="1336" t="str">
        <f>SUBSTITUTE(SUBSTITUTE(SUBSTITUTE("vpa"&amp;$B181&amp;$C181&amp;$D181&amp;$E181,".","_"),"(","_"),")","")</f>
        <v>vpa503_5_11</v>
      </c>
      <c r="AM181" s="254">
        <f>M181</f>
        <v>4</v>
      </c>
      <c r="AN181" s="1336" t="str">
        <f>SUBSTITUTE(SUBSTITUTE(SUBSTITUTE("vpc"&amp;$B181&amp;$C181&amp;$D181&amp;$E181,".","_"),"(","_"),")","")</f>
        <v>vpc503_5_11</v>
      </c>
      <c r="AO181" s="254">
        <f>O181</f>
        <v>0</v>
      </c>
      <c r="AP181" s="1336" t="str">
        <f>SUBSTITUTE(SUBSTITUTE(SUBSTITUTE("vch"&amp;$B181&amp;$C181&amp;$D181&amp;$E181,".","_"),"(","_"),")","")</f>
        <v>vch503_5_11</v>
      </c>
      <c r="AQ181" s="254" t="str">
        <f>IF(LEN(W181)=0,"",W181)</f>
        <v/>
      </c>
      <c r="AR181" s="1336" t="str">
        <f>SUBSTITUTE(SUBSTITUTE(SUBSTITUTE("vnt"&amp;$B181&amp;$C181&amp;$D181&amp;$E181,".","_"),"(","_"),")","")</f>
        <v>vnt503_5_11</v>
      </c>
      <c r="AS181" s="254" t="str">
        <f>IF(LEN(X181)=0,"",X181)</f>
        <v/>
      </c>
    </row>
    <row r="182" spans="1:45" x14ac:dyDescent="0.25">
      <c r="A182" s="2371">
        <v>5</v>
      </c>
      <c r="B182" s="2374" t="s">
        <v>413</v>
      </c>
      <c r="C182" s="2374" t="s">
        <v>434</v>
      </c>
      <c r="D182" s="2374"/>
      <c r="E182" s="2374"/>
      <c r="F182" s="2374"/>
      <c r="G182" s="2373" t="str">
        <f>G181</f>
        <v/>
      </c>
      <c r="H182" s="2375" t="s">
        <v>3973</v>
      </c>
      <c r="I182" s="90"/>
      <c r="J182" s="177"/>
      <c r="K182" s="177"/>
      <c r="L182" s="1755"/>
      <c r="M182" s="1759"/>
      <c r="N182" s="2076"/>
      <c r="O182" s="2076"/>
      <c r="P182" s="249"/>
      <c r="Q182" s="249"/>
      <c r="R182" s="249"/>
      <c r="S182" s="249"/>
      <c r="T182" s="249"/>
      <c r="U182" s="249"/>
      <c r="V182" s="249"/>
      <c r="W182" s="249"/>
      <c r="X182" s="1757"/>
      <c r="Y182" s="2081"/>
      <c r="Z182" s="2083"/>
      <c r="AA182" s="1526"/>
      <c r="AC182" s="970"/>
      <c r="AD182" s="970"/>
      <c r="AE182" s="970"/>
      <c r="AF182" s="249"/>
      <c r="AG182" s="249"/>
      <c r="AH182" s="249"/>
      <c r="AI182" s="249"/>
      <c r="AJ182" s="249"/>
      <c r="AK182" s="249"/>
      <c r="AL182" s="1336"/>
      <c r="AM182" s="1336"/>
      <c r="AN182" s="1336"/>
      <c r="AO182" s="1336"/>
      <c r="AP182" s="1336"/>
      <c r="AQ182" s="1336"/>
      <c r="AR182" s="1336"/>
      <c r="AS182" s="1336"/>
    </row>
    <row r="183" spans="1:45" x14ac:dyDescent="0.25">
      <c r="A183" s="2371">
        <v>5</v>
      </c>
      <c r="B183" s="2374" t="s">
        <v>413</v>
      </c>
      <c r="C183" s="2374" t="s">
        <v>436</v>
      </c>
      <c r="D183" s="2374"/>
      <c r="E183" s="2374"/>
      <c r="F183" s="2374"/>
      <c r="G183" s="2373" t="str">
        <f>IF(N183&gt;0,"P","")</f>
        <v/>
      </c>
      <c r="H183" s="2375" t="s">
        <v>3973</v>
      </c>
      <c r="I183" s="90"/>
      <c r="J183" s="87" t="s">
        <v>436</v>
      </c>
      <c r="K183" s="90"/>
      <c r="L183" s="1754" t="s">
        <v>435</v>
      </c>
      <c r="M183" s="1758">
        <v>3</v>
      </c>
      <c r="N183" s="1927">
        <f>'Ch5'!O184</f>
        <v>0</v>
      </c>
      <c r="O183" s="1927">
        <f>M183*S183*W183</f>
        <v>0</v>
      </c>
      <c r="P183" s="94" t="b">
        <v>0</v>
      </c>
      <c r="Q183" s="94" t="b">
        <v>1</v>
      </c>
      <c r="R183" s="249" t="b">
        <v>0</v>
      </c>
      <c r="S183" s="249" t="b">
        <f>NOT(ISBLANK(W147))</f>
        <v>0</v>
      </c>
      <c r="T183" s="94" t="b">
        <f>IF(AND(NOT(S183),W183=TRUE),TRUE,FALSE)</f>
        <v>0</v>
      </c>
      <c r="U183" s="249"/>
      <c r="V183" s="249"/>
      <c r="W183" s="25"/>
      <c r="X183" s="1757"/>
      <c r="Y183" s="2081" t="str">
        <f>IF(LEN('Ch5'!X184)=0,"None",'Ch5'!X184)</f>
        <v>None</v>
      </c>
      <c r="Z183" s="2083"/>
      <c r="AA183" s="1526"/>
      <c r="AC183" s="970" t="b">
        <f>OR(AD183:AE183)</f>
        <v>0</v>
      </c>
      <c r="AD183" s="970" t="b">
        <f>T183</f>
        <v>0</v>
      </c>
      <c r="AE183" s="970"/>
      <c r="AF183" s="249"/>
      <c r="AG183" s="249"/>
      <c r="AH183" s="249"/>
      <c r="AI183" s="249"/>
      <c r="AJ183" s="249"/>
      <c r="AK183" s="249"/>
      <c r="AL183" s="1336" t="str">
        <f>SUBSTITUTE(SUBSTITUTE(SUBSTITUTE("vpa"&amp;$B183&amp;$C183&amp;$D183&amp;$E183,".","_"),"(","_"),")","")</f>
        <v>vpa503_5_12</v>
      </c>
      <c r="AM183" s="254">
        <f>M183</f>
        <v>3</v>
      </c>
      <c r="AN183" s="1336" t="str">
        <f>SUBSTITUTE(SUBSTITUTE(SUBSTITUTE("vpc"&amp;$B183&amp;$C183&amp;$D183&amp;$E183,".","_"),"(","_"),")","")</f>
        <v>vpc503_5_12</v>
      </c>
      <c r="AO183" s="254">
        <f>O183</f>
        <v>0</v>
      </c>
      <c r="AP183" s="1336" t="str">
        <f>SUBSTITUTE(SUBSTITUTE(SUBSTITUTE("vch"&amp;$B183&amp;$C183&amp;$D183&amp;$E183,".","_"),"(","_"),")","")</f>
        <v>vch503_5_12</v>
      </c>
      <c r="AQ183" s="254" t="str">
        <f>IF(LEN(W183)=0,"",W183)</f>
        <v/>
      </c>
      <c r="AR183" s="1336" t="str">
        <f>SUBSTITUTE(SUBSTITUTE(SUBSTITUTE("vnt"&amp;$B183&amp;$C183&amp;$D183&amp;$E183,".","_"),"(","_"),")","")</f>
        <v>vnt503_5_12</v>
      </c>
      <c r="AS183" s="254" t="str">
        <f>IF(LEN(X183)=0,"",X183)</f>
        <v/>
      </c>
    </row>
    <row r="184" spans="1:45" x14ac:dyDescent="0.25">
      <c r="A184" s="2371">
        <v>5</v>
      </c>
      <c r="B184" s="2374" t="s">
        <v>413</v>
      </c>
      <c r="C184" s="2374" t="s">
        <v>436</v>
      </c>
      <c r="D184" s="2374"/>
      <c r="E184" s="2374"/>
      <c r="F184" s="2374"/>
      <c r="G184" s="2373" t="str">
        <f>G183</f>
        <v/>
      </c>
      <c r="H184" s="2375" t="s">
        <v>3973</v>
      </c>
      <c r="I184" s="90"/>
      <c r="J184" s="177"/>
      <c r="K184" s="177"/>
      <c r="L184" s="1755"/>
      <c r="M184" s="1759"/>
      <c r="N184" s="2076"/>
      <c r="O184" s="2076"/>
      <c r="P184" s="249"/>
      <c r="Q184" s="249"/>
      <c r="R184" s="249"/>
      <c r="S184" s="249"/>
      <c r="T184" s="249"/>
      <c r="U184" s="249"/>
      <c r="V184" s="249"/>
      <c r="W184" s="249"/>
      <c r="X184" s="1757"/>
      <c r="Y184" s="2081"/>
      <c r="Z184" s="2083"/>
      <c r="AA184" s="1526"/>
      <c r="AC184" s="970"/>
      <c r="AD184" s="970"/>
      <c r="AE184" s="970"/>
      <c r="AF184" s="249"/>
      <c r="AG184" s="249"/>
      <c r="AH184" s="249"/>
      <c r="AI184" s="249"/>
      <c r="AJ184" s="249"/>
      <c r="AK184" s="249"/>
      <c r="AL184" s="1336"/>
      <c r="AM184" s="1336"/>
      <c r="AN184" s="1336"/>
      <c r="AO184" s="1336"/>
      <c r="AP184" s="1336"/>
      <c r="AQ184" s="1336"/>
      <c r="AR184" s="1336"/>
      <c r="AS184" s="1336"/>
    </row>
    <row r="185" spans="1:45" x14ac:dyDescent="0.25">
      <c r="A185" s="2371">
        <v>5</v>
      </c>
      <c r="B185" s="2374" t="s">
        <v>413</v>
      </c>
      <c r="C185" s="2374" t="s">
        <v>3295</v>
      </c>
      <c r="D185" s="2374"/>
      <c r="E185" s="2374"/>
      <c r="F185" s="2374"/>
      <c r="G185" s="2373" t="str">
        <f>IF(N185&gt;0,"P","")</f>
        <v/>
      </c>
      <c r="H185" s="2375" t="s">
        <v>3973</v>
      </c>
      <c r="I185" s="102"/>
      <c r="J185" s="87" t="s">
        <v>3295</v>
      </c>
      <c r="K185" s="90"/>
      <c r="L185" s="1754" t="s">
        <v>437</v>
      </c>
      <c r="M185" s="1758">
        <v>6</v>
      </c>
      <c r="N185" s="2075">
        <f>'Ch5'!O186</f>
        <v>0</v>
      </c>
      <c r="O185" s="2075">
        <f>M185*S185*W185</f>
        <v>0</v>
      </c>
      <c r="P185" s="94" t="b">
        <v>0</v>
      </c>
      <c r="Q185" s="94" t="b">
        <v>1</v>
      </c>
      <c r="R185" s="94" t="b">
        <v>0</v>
      </c>
      <c r="S185" s="249" t="b">
        <f>NOT(ISBLANK(W147))</f>
        <v>0</v>
      </c>
      <c r="T185" s="94" t="b">
        <f>IF(AND(NOT(S185),W185=TRUE),TRUE,FALSE)</f>
        <v>0</v>
      </c>
      <c r="U185" s="94"/>
      <c r="V185" s="94"/>
      <c r="W185" s="25"/>
      <c r="X185" s="1757"/>
      <c r="Y185" s="2081" t="str">
        <f>IF(LEN('Ch5'!X186)=0,"None",'Ch5'!X186)</f>
        <v>None</v>
      </c>
      <c r="Z185" s="2084"/>
      <c r="AA185" s="1526"/>
      <c r="AC185" s="970" t="b">
        <f>OR(AD185:AE185)</f>
        <v>0</v>
      </c>
      <c r="AD185" s="970" t="b">
        <f>T185</f>
        <v>0</v>
      </c>
      <c r="AE185" s="970"/>
      <c r="AF185" s="249"/>
      <c r="AG185" s="249"/>
      <c r="AH185" s="249"/>
      <c r="AI185" s="249"/>
      <c r="AJ185" s="249"/>
      <c r="AK185" s="249"/>
      <c r="AL185" s="1336" t="str">
        <f>SUBSTITUTE(SUBSTITUTE(SUBSTITUTE("vpa"&amp;$B185&amp;$C185&amp;$D185&amp;$E185,".","_"),"(","_"),")","")</f>
        <v>vpa503_5_13</v>
      </c>
      <c r="AM185" s="254">
        <f>M185</f>
        <v>6</v>
      </c>
      <c r="AN185" s="1336" t="str">
        <f>SUBSTITUTE(SUBSTITUTE(SUBSTITUTE("vpc"&amp;$B185&amp;$C185&amp;$D185&amp;$E185,".","_"),"(","_"),")","")</f>
        <v>vpc503_5_13</v>
      </c>
      <c r="AO185" s="254">
        <f>O185</f>
        <v>0</v>
      </c>
      <c r="AP185" s="1336" t="str">
        <f>SUBSTITUTE(SUBSTITUTE(SUBSTITUTE("vch"&amp;$B185&amp;$C185&amp;$D185&amp;$E185,".","_"),"(","_"),")","")</f>
        <v>vch503_5_13</v>
      </c>
      <c r="AQ185" s="254" t="str">
        <f>IF(LEN(W185)=0,"",W185)</f>
        <v/>
      </c>
      <c r="AR185" s="1336" t="str">
        <f>SUBSTITUTE(SUBSTITUTE(SUBSTITUTE("vnt"&amp;$B185&amp;$C185&amp;$D185&amp;$E185,".","_"),"(","_"),")","")</f>
        <v>vnt503_5_13</v>
      </c>
      <c r="AS185" s="254" t="str">
        <f>IF(LEN(X185)=0,"",X185)</f>
        <v/>
      </c>
    </row>
    <row r="186" spans="1:45" ht="15.75" thickBot="1" x14ac:dyDescent="0.3">
      <c r="A186" s="2371">
        <v>5</v>
      </c>
      <c r="B186" s="2374" t="s">
        <v>413</v>
      </c>
      <c r="C186" s="2374" t="s">
        <v>3295</v>
      </c>
      <c r="D186" s="2374"/>
      <c r="E186" s="2374"/>
      <c r="F186" s="2374"/>
      <c r="G186" s="2373" t="str">
        <f>G185</f>
        <v/>
      </c>
      <c r="H186" s="2375" t="s">
        <v>3973</v>
      </c>
      <c r="I186" s="103"/>
      <c r="J186" s="103"/>
      <c r="K186" s="103"/>
      <c r="L186" s="1783"/>
      <c r="M186" s="1768"/>
      <c r="N186" s="1928"/>
      <c r="O186" s="1928"/>
      <c r="P186" s="99"/>
      <c r="Q186" s="99"/>
      <c r="R186" s="99"/>
      <c r="S186" s="99"/>
      <c r="T186" s="99"/>
      <c r="U186" s="99"/>
      <c r="V186" s="99"/>
      <c r="W186" s="99"/>
      <c r="X186" s="1771"/>
      <c r="Y186" s="2082"/>
      <c r="Z186" s="2086"/>
      <c r="AA186" s="1526"/>
      <c r="AC186" s="970"/>
      <c r="AD186" s="970"/>
      <c r="AE186" s="970"/>
      <c r="AF186" s="249"/>
      <c r="AG186" s="249"/>
      <c r="AH186" s="249"/>
      <c r="AI186" s="249"/>
      <c r="AJ186" s="249"/>
      <c r="AK186" s="249"/>
      <c r="AL186" s="1336"/>
      <c r="AM186" s="1336"/>
      <c r="AN186" s="1336"/>
      <c r="AO186" s="1336"/>
      <c r="AP186" s="1336"/>
      <c r="AQ186" s="1336"/>
      <c r="AR186" s="1336"/>
      <c r="AS186" s="1336"/>
    </row>
    <row r="187" spans="1:45" ht="15.75" thickTop="1" x14ac:dyDescent="0.25">
      <c r="A187" s="2371">
        <v>5</v>
      </c>
      <c r="B187" s="2374" t="s">
        <v>438</v>
      </c>
      <c r="C187" s="2374"/>
      <c r="D187" s="2374"/>
      <c r="E187" s="2374"/>
      <c r="F187" s="2374"/>
      <c r="G187" s="2373" t="str">
        <f>IF(N187&gt;0,"P","")</f>
        <v/>
      </c>
      <c r="H187" s="2375" t="s">
        <v>3973</v>
      </c>
      <c r="I187" s="139">
        <v>503.6</v>
      </c>
      <c r="J187" s="90"/>
      <c r="K187" s="90"/>
      <c r="L187" s="1796" t="s">
        <v>439</v>
      </c>
      <c r="M187" s="1014"/>
      <c r="N187" s="2080">
        <f>'Ch5'!O188</f>
        <v>0</v>
      </c>
      <c r="O187" s="2080">
        <f>IF((M189*W189+M190*W190+M191*W191+M193*W193)&gt;=6,(M189*W189+M190*W190+M191*W191+M193*W193),0)</f>
        <v>0</v>
      </c>
      <c r="P187" s="249"/>
      <c r="Q187" s="249"/>
      <c r="R187" s="249"/>
      <c r="S187" s="249"/>
      <c r="T187" s="249"/>
      <c r="U187" s="249"/>
      <c r="V187" s="249"/>
      <c r="W187" s="249"/>
      <c r="X187" s="1784"/>
      <c r="Y187" s="2097" t="str">
        <f>IF(LEN('Ch5'!X188)=0,"None",'Ch5'!X188)</f>
        <v>None</v>
      </c>
      <c r="Z187" s="2085"/>
      <c r="AA187" s="1551" t="str">
        <f>IF(LEN('Photo Review'!I186)&gt;0,'Photo Review'!I186,"")</f>
        <v/>
      </c>
      <c r="AC187" s="970"/>
      <c r="AD187" s="970"/>
      <c r="AE187" s="970"/>
      <c r="AF187" s="249"/>
      <c r="AG187" s="249"/>
      <c r="AH187" s="249"/>
      <c r="AI187" s="249"/>
      <c r="AJ187" s="249"/>
      <c r="AK187" s="249"/>
      <c r="AL187" s="1336"/>
      <c r="AM187" s="1336"/>
      <c r="AN187" s="1336" t="str">
        <f>SUBSTITUTE(SUBSTITUTE(SUBSTITUTE("vpc"&amp;$B187&amp;$C187&amp;$D187&amp;$E187,".","_"),"(","_"),")","")</f>
        <v>vpc503_6</v>
      </c>
      <c r="AO187" s="254">
        <f>O187</f>
        <v>0</v>
      </c>
      <c r="AP187" s="1336"/>
      <c r="AQ187" s="1336"/>
      <c r="AR187" s="1336" t="str">
        <f>SUBSTITUTE(SUBSTITUTE(SUBSTITUTE("vnt"&amp;$B187&amp;$C187&amp;$D187&amp;$E187,".","_"),"(","_"),")","")</f>
        <v>vnt503_6</v>
      </c>
      <c r="AS187" s="254" t="str">
        <f>IF(LEN(X187)=0,"",X187)</f>
        <v/>
      </c>
    </row>
    <row r="188" spans="1:45" x14ac:dyDescent="0.25">
      <c r="A188" s="2371">
        <v>5</v>
      </c>
      <c r="B188" s="2374" t="s">
        <v>438</v>
      </c>
      <c r="C188" s="2374"/>
      <c r="D188" s="2374"/>
      <c r="E188" s="2374"/>
      <c r="F188" s="2374"/>
      <c r="G188" s="2373" t="str">
        <f t="shared" ref="G188:G193" si="5">G187</f>
        <v/>
      </c>
      <c r="H188" s="2375" t="s">
        <v>3973</v>
      </c>
      <c r="I188" s="90"/>
      <c r="J188" s="90"/>
      <c r="K188" s="90"/>
      <c r="L188" s="1796"/>
      <c r="M188" s="1014"/>
      <c r="N188" s="2075"/>
      <c r="O188" s="2075"/>
      <c r="P188" s="249"/>
      <c r="Q188" s="249"/>
      <c r="R188" s="249"/>
      <c r="S188" s="249"/>
      <c r="T188" s="249"/>
      <c r="U188" s="249"/>
      <c r="V188" s="249"/>
      <c r="W188" s="249"/>
      <c r="X188" s="1757"/>
      <c r="Y188" s="2081"/>
      <c r="Z188" s="2084"/>
      <c r="AA188" s="1526"/>
      <c r="AC188" s="970"/>
      <c r="AD188" s="970"/>
      <c r="AE188" s="970"/>
      <c r="AF188" s="249"/>
      <c r="AG188" s="249"/>
      <c r="AH188" s="249"/>
      <c r="AI188" s="249"/>
      <c r="AJ188" s="249"/>
      <c r="AK188" s="249"/>
      <c r="AL188" s="1336"/>
      <c r="AM188" s="1336"/>
      <c r="AN188" s="1336"/>
      <c r="AO188" s="1336"/>
      <c r="AP188" s="1336"/>
      <c r="AQ188" s="1336"/>
      <c r="AR188" s="1336"/>
      <c r="AS188" s="1336"/>
    </row>
    <row r="189" spans="1:45" x14ac:dyDescent="0.25">
      <c r="A189" s="2371">
        <v>5</v>
      </c>
      <c r="B189" s="2374" t="s">
        <v>438</v>
      </c>
      <c r="C189" s="2374" t="s">
        <v>256</v>
      </c>
      <c r="D189" s="2374"/>
      <c r="E189" s="2374"/>
      <c r="F189" s="2374"/>
      <c r="G189" s="2373" t="str">
        <f t="shared" si="5"/>
        <v/>
      </c>
      <c r="H189" s="2375" t="s">
        <v>3973</v>
      </c>
      <c r="I189" s="90"/>
      <c r="J189" s="174" t="s">
        <v>256</v>
      </c>
      <c r="K189" s="177"/>
      <c r="L189" s="1163" t="s">
        <v>440</v>
      </c>
      <c r="M189" s="1015">
        <v>3</v>
      </c>
      <c r="N189" s="1047"/>
      <c r="O189" s="1047"/>
      <c r="P189" s="249" t="b">
        <v>0</v>
      </c>
      <c r="Q189" s="249" t="b">
        <v>1</v>
      </c>
      <c r="R189" s="249" t="b">
        <v>0</v>
      </c>
      <c r="S189" s="249" t="b">
        <v>1</v>
      </c>
      <c r="T189" s="249" t="b">
        <v>0</v>
      </c>
      <c r="U189" s="249"/>
      <c r="V189" s="249"/>
      <c r="W189" s="25"/>
      <c r="X189" s="1757"/>
      <c r="Y189" s="2081"/>
      <c r="Z189" s="2084"/>
      <c r="AA189" s="1526"/>
      <c r="AC189" s="970"/>
      <c r="AD189" s="970"/>
      <c r="AE189" s="970"/>
      <c r="AF189" s="249"/>
      <c r="AG189" s="249"/>
      <c r="AH189" s="249"/>
      <c r="AI189" s="249"/>
      <c r="AJ189" s="249"/>
      <c r="AK189" s="249"/>
      <c r="AL189" s="1336" t="str">
        <f>SUBSTITUTE(SUBSTITUTE(SUBSTITUTE("vpa"&amp;$B189&amp;$C189&amp;$D189&amp;$E189,".","_"),"(","_"),")","")</f>
        <v>vpa503_6_1</v>
      </c>
      <c r="AM189" s="254">
        <f>M189</f>
        <v>3</v>
      </c>
      <c r="AN189" s="1336"/>
      <c r="AO189" s="254"/>
      <c r="AP189" s="1336" t="str">
        <f>SUBSTITUTE(SUBSTITUTE(SUBSTITUTE("vch"&amp;$B189&amp;$C189&amp;$D189&amp;$E189,".","_"),"(","_"),")","")</f>
        <v>vch503_6_1</v>
      </c>
      <c r="AQ189" s="254" t="str">
        <f>IF(LEN(W189)=0,"",W189)</f>
        <v/>
      </c>
      <c r="AR189" s="1336"/>
      <c r="AS189" s="1336"/>
    </row>
    <row r="190" spans="1:45" x14ac:dyDescent="0.25">
      <c r="A190" s="2371">
        <v>5</v>
      </c>
      <c r="B190" s="2374" t="s">
        <v>438</v>
      </c>
      <c r="C190" s="2374" t="s">
        <v>258</v>
      </c>
      <c r="D190" s="2374"/>
      <c r="E190" s="2374"/>
      <c r="F190" s="2374"/>
      <c r="G190" s="2373" t="str">
        <f t="shared" si="5"/>
        <v/>
      </c>
      <c r="H190" s="2375" t="s">
        <v>3973</v>
      </c>
      <c r="I190" s="90"/>
      <c r="J190" s="174" t="s">
        <v>258</v>
      </c>
      <c r="K190" s="177"/>
      <c r="L190" s="1163" t="s">
        <v>441</v>
      </c>
      <c r="M190" s="1015">
        <v>3</v>
      </c>
      <c r="N190" s="1047"/>
      <c r="O190" s="1047"/>
      <c r="P190" s="249" t="b">
        <v>0</v>
      </c>
      <c r="Q190" s="249" t="b">
        <v>1</v>
      </c>
      <c r="R190" s="249" t="b">
        <v>0</v>
      </c>
      <c r="S190" s="249" t="b">
        <v>1</v>
      </c>
      <c r="T190" s="249" t="b">
        <v>0</v>
      </c>
      <c r="U190" s="249"/>
      <c r="V190" s="249"/>
      <c r="W190" s="25"/>
      <c r="X190" s="1757"/>
      <c r="Y190" s="2081"/>
      <c r="Z190" s="2084"/>
      <c r="AA190" s="1526"/>
      <c r="AC190" s="970"/>
      <c r="AD190" s="970"/>
      <c r="AE190" s="970"/>
      <c r="AF190" s="249"/>
      <c r="AG190" s="249"/>
      <c r="AH190" s="249"/>
      <c r="AI190" s="249"/>
      <c r="AJ190" s="249"/>
      <c r="AK190" s="249"/>
      <c r="AL190" s="1336" t="str">
        <f>SUBSTITUTE(SUBSTITUTE(SUBSTITUTE("vpa"&amp;$B190&amp;$C190&amp;$D190&amp;$E190,".","_"),"(","_"),")","")</f>
        <v>vpa503_6_2</v>
      </c>
      <c r="AM190" s="254">
        <f>M190</f>
        <v>3</v>
      </c>
      <c r="AN190" s="1336"/>
      <c r="AO190" s="254"/>
      <c r="AP190" s="1336" t="str">
        <f>SUBSTITUTE(SUBSTITUTE(SUBSTITUTE("vch"&amp;$B190&amp;$C190&amp;$D190&amp;$E190,".","_"),"(","_"),")","")</f>
        <v>vch503_6_2</v>
      </c>
      <c r="AQ190" s="254" t="str">
        <f>IF(LEN(W190)=0,"",W190)</f>
        <v/>
      </c>
      <c r="AR190" s="1336"/>
      <c r="AS190" s="1336"/>
    </row>
    <row r="191" spans="1:45" x14ac:dyDescent="0.25">
      <c r="A191" s="2371">
        <v>5</v>
      </c>
      <c r="B191" s="2374" t="s">
        <v>438</v>
      </c>
      <c r="C191" s="2374" t="s">
        <v>260</v>
      </c>
      <c r="D191" s="2374"/>
      <c r="E191" s="2374"/>
      <c r="F191" s="2374"/>
      <c r="G191" s="2373" t="str">
        <f t="shared" si="5"/>
        <v/>
      </c>
      <c r="H191" s="2375" t="s">
        <v>3973</v>
      </c>
      <c r="I191" s="90"/>
      <c r="J191" s="91" t="s">
        <v>260</v>
      </c>
      <c r="K191" s="102"/>
      <c r="L191" s="1754" t="s">
        <v>442</v>
      </c>
      <c r="M191" s="1758">
        <v>3</v>
      </c>
      <c r="N191" s="1044"/>
      <c r="O191" s="1044"/>
      <c r="P191" s="249" t="b">
        <v>0</v>
      </c>
      <c r="Q191" s="249" t="b">
        <v>1</v>
      </c>
      <c r="R191" s="249" t="b">
        <v>0</v>
      </c>
      <c r="S191" s="249" t="b">
        <v>1</v>
      </c>
      <c r="T191" s="249" t="b">
        <v>0</v>
      </c>
      <c r="U191" s="249"/>
      <c r="V191" s="249"/>
      <c r="W191" s="25"/>
      <c r="X191" s="1757"/>
      <c r="Y191" s="2081"/>
      <c r="Z191" s="2084"/>
      <c r="AA191" s="1526"/>
      <c r="AC191" s="970"/>
      <c r="AD191" s="970"/>
      <c r="AE191" s="970"/>
      <c r="AF191" s="249"/>
      <c r="AG191" s="249"/>
      <c r="AH191" s="249"/>
      <c r="AI191" s="249"/>
      <c r="AJ191" s="249"/>
      <c r="AK191" s="249"/>
      <c r="AL191" s="1336" t="str">
        <f>SUBSTITUTE(SUBSTITUTE(SUBSTITUTE("vpa"&amp;$B191&amp;$C191&amp;$D191&amp;$E191,".","_"),"(","_"),")","")</f>
        <v>vpa503_6_3</v>
      </c>
      <c r="AM191" s="254">
        <f>M191</f>
        <v>3</v>
      </c>
      <c r="AN191" s="1336"/>
      <c r="AO191" s="254"/>
      <c r="AP191" s="1336" t="str">
        <f>SUBSTITUTE(SUBSTITUTE(SUBSTITUTE("vch"&amp;$B191&amp;$C191&amp;$D191&amp;$E191,".","_"),"(","_"),")","")</f>
        <v>vch503_6_3</v>
      </c>
      <c r="AQ191" s="254" t="str">
        <f>IF(LEN(W191)=0,"",W191)</f>
        <v/>
      </c>
      <c r="AR191" s="1336"/>
      <c r="AS191" s="1336"/>
    </row>
    <row r="192" spans="1:45" x14ac:dyDescent="0.25">
      <c r="A192" s="2371">
        <v>5</v>
      </c>
      <c r="B192" s="2374" t="s">
        <v>438</v>
      </c>
      <c r="C192" s="2374" t="s">
        <v>260</v>
      </c>
      <c r="D192" s="2374"/>
      <c r="E192" s="2374"/>
      <c r="F192" s="2374"/>
      <c r="G192" s="2373" t="str">
        <f t="shared" si="5"/>
        <v/>
      </c>
      <c r="H192" s="2375" t="s">
        <v>3973</v>
      </c>
      <c r="I192" s="90"/>
      <c r="J192" s="177"/>
      <c r="K192" s="177"/>
      <c r="L192" s="1755"/>
      <c r="M192" s="1759"/>
      <c r="N192" s="1047"/>
      <c r="O192" s="1047"/>
      <c r="P192" s="249"/>
      <c r="Q192" s="249"/>
      <c r="R192" s="249"/>
      <c r="S192" s="249"/>
      <c r="T192" s="249"/>
      <c r="U192" s="249"/>
      <c r="V192" s="249"/>
      <c r="W192" s="249"/>
      <c r="X192" s="1757"/>
      <c r="Y192" s="2081"/>
      <c r="Z192" s="2084"/>
      <c r="AA192" s="1526"/>
      <c r="AC192" s="970"/>
      <c r="AD192" s="970"/>
      <c r="AE192" s="970"/>
      <c r="AF192" s="249"/>
      <c r="AG192" s="249"/>
      <c r="AH192" s="249"/>
      <c r="AI192" s="249"/>
      <c r="AJ192" s="249"/>
      <c r="AK192" s="249"/>
      <c r="AL192" s="1336"/>
      <c r="AM192" s="1336"/>
      <c r="AN192" s="1336"/>
      <c r="AO192" s="1336"/>
      <c r="AP192" s="1336"/>
      <c r="AQ192" s="1336"/>
      <c r="AR192" s="1336"/>
      <c r="AS192" s="1336"/>
    </row>
    <row r="193" spans="1:56" ht="15.75" thickBot="1" x14ac:dyDescent="0.3">
      <c r="A193" s="2371">
        <v>5</v>
      </c>
      <c r="B193" s="2374" t="s">
        <v>438</v>
      </c>
      <c r="C193" s="2374" t="s">
        <v>269</v>
      </c>
      <c r="D193" s="2374"/>
      <c r="E193" s="2374"/>
      <c r="F193" s="2374"/>
      <c r="G193" s="2373" t="str">
        <f t="shared" si="5"/>
        <v/>
      </c>
      <c r="H193" s="2375" t="s">
        <v>3973</v>
      </c>
      <c r="I193" s="103"/>
      <c r="J193" s="96" t="s">
        <v>269</v>
      </c>
      <c r="K193" s="103"/>
      <c r="L193" s="1171" t="s">
        <v>443</v>
      </c>
      <c r="M193" s="1011">
        <v>3</v>
      </c>
      <c r="N193" s="1045"/>
      <c r="O193" s="1045"/>
      <c r="P193" s="249" t="b">
        <v>0</v>
      </c>
      <c r="Q193" s="249" t="b">
        <v>1</v>
      </c>
      <c r="R193" s="99" t="b">
        <v>0</v>
      </c>
      <c r="S193" s="99" t="b">
        <v>1</v>
      </c>
      <c r="T193" s="99" t="b">
        <v>0</v>
      </c>
      <c r="U193" s="99"/>
      <c r="V193" s="99"/>
      <c r="W193" s="186"/>
      <c r="X193" s="1771"/>
      <c r="Y193" s="2082"/>
      <c r="Z193" s="2086"/>
      <c r="AA193" s="1526"/>
      <c r="AC193" s="970"/>
      <c r="AD193" s="970"/>
      <c r="AE193" s="970"/>
      <c r="AF193" s="249"/>
      <c r="AG193" s="249"/>
      <c r="AH193" s="249"/>
      <c r="AI193" s="249"/>
      <c r="AJ193" s="249"/>
      <c r="AK193" s="249"/>
      <c r="AL193" s="1336" t="str">
        <f>SUBSTITUTE(SUBSTITUTE(SUBSTITUTE("vpa"&amp;$B193&amp;$C193&amp;$D193&amp;$E193,".","_"),"(","_"),")","")</f>
        <v>vpa503_6_4</v>
      </c>
      <c r="AM193" s="254">
        <f>M193</f>
        <v>3</v>
      </c>
      <c r="AN193" s="1336"/>
      <c r="AO193" s="254"/>
      <c r="AP193" s="1336" t="str">
        <f>SUBSTITUTE(SUBSTITUTE(SUBSTITUTE("vch"&amp;$B193&amp;$C193&amp;$D193&amp;$E193,".","_"),"(","_"),")","")</f>
        <v>vch503_6_4</v>
      </c>
      <c r="AQ193" s="254" t="str">
        <f>IF(LEN(W193)=0,"",W193)</f>
        <v/>
      </c>
      <c r="AR193" s="1336"/>
      <c r="AS193" s="1336"/>
    </row>
    <row r="194" spans="1:56" ht="15.75" thickTop="1" x14ac:dyDescent="0.25">
      <c r="A194" s="2371">
        <v>5</v>
      </c>
      <c r="B194" s="2374" t="s">
        <v>444</v>
      </c>
      <c r="C194" s="2374"/>
      <c r="D194" s="2374"/>
      <c r="E194" s="2374"/>
      <c r="F194" s="2374"/>
      <c r="G194" s="2363" t="str">
        <f>IF(COUNTIF(G196:G198,"P")&gt;0,"P","")</f>
        <v/>
      </c>
      <c r="H194" s="2375" t="s">
        <v>3971</v>
      </c>
      <c r="I194" s="139">
        <v>503.7</v>
      </c>
      <c r="J194" s="90"/>
      <c r="K194" s="90"/>
      <c r="L194" s="1796" t="s">
        <v>445</v>
      </c>
      <c r="M194" s="1014"/>
      <c r="N194" s="2080">
        <f>'Ch5'!O195</f>
        <v>0</v>
      </c>
      <c r="O194" s="2080">
        <f>IF(LEN(W194)&gt;0,4,0)*S194</f>
        <v>0</v>
      </c>
      <c r="P194" s="1489" t="b">
        <v>1</v>
      </c>
      <c r="Q194" s="1489" t="b">
        <v>1</v>
      </c>
      <c r="R194" s="1489" t="b">
        <v>0</v>
      </c>
      <c r="S194" s="1489" t="b">
        <v>1</v>
      </c>
      <c r="T194" s="1489" t="b">
        <v>0</v>
      </c>
      <c r="U194" s="1489" t="str">
        <f>SUBSTITUTE(SUBSTITUTE(SUBSTITUTE("dd"&amp;B194&amp;C194&amp;D194&amp;E194&amp;F194,".","_"),"(","_"),")","")</f>
        <v>dd503_7</v>
      </c>
      <c r="V194" s="249"/>
      <c r="W194" s="1484"/>
      <c r="X194" s="1756"/>
      <c r="Y194" s="2097" t="str">
        <f>IF(LEN('Ch5'!X195)=0,"None",'Ch5'!X195)</f>
        <v>None</v>
      </c>
      <c r="Z194" s="2085"/>
      <c r="AA194" s="1551" t="str">
        <f>IF(LEN('Photo Review'!I193)&gt;0,'Photo Review'!I193,"")</f>
        <v/>
      </c>
      <c r="AC194" s="970"/>
      <c r="AD194" s="970"/>
      <c r="AE194" s="970"/>
      <c r="AF194" s="249"/>
      <c r="AG194" s="249"/>
      <c r="AH194" s="249"/>
      <c r="AI194" s="249"/>
      <c r="AJ194" s="249"/>
      <c r="AK194" s="249"/>
      <c r="AL194" s="1489" t="str">
        <f>SUBSTITUTE(SUBSTITUTE(SUBSTITUTE("vpa"&amp;$B194&amp;$C194&amp;$D194&amp;$E194,".","_"),"(","_"),")","")</f>
        <v>vpa503_7</v>
      </c>
      <c r="AM194" s="254">
        <f>M194</f>
        <v>0</v>
      </c>
      <c r="AN194" s="1489" t="str">
        <f>SUBSTITUTE(SUBSTITUTE(SUBSTITUTE("vpc"&amp;$B194&amp;$C194&amp;$D194&amp;$E194,".","_"),"(","_"),")","")</f>
        <v>vpc503_7</v>
      </c>
      <c r="AO194" s="254">
        <f>O194</f>
        <v>0</v>
      </c>
      <c r="AP194" s="1489" t="str">
        <f>SUBSTITUTE(SUBSTITUTE(SUBSTITUTE("vch"&amp;$B194&amp;$C194&amp;$D194&amp;$E194,".","_"),"(","_"),")","")</f>
        <v>vch503_7</v>
      </c>
      <c r="AQ194" s="254" t="str">
        <f>IF(LEN(W194)=0,"",W194)</f>
        <v/>
      </c>
      <c r="AR194" s="1336" t="str">
        <f>SUBSTITUTE(SUBSTITUTE(SUBSTITUTE("vnt"&amp;$B194&amp;$C194&amp;$D194&amp;$E194,".","_"),"(","_"),")","")</f>
        <v>vnt503_7</v>
      </c>
      <c r="AS194" s="254" t="str">
        <f>IF(LEN(X194)=0,"",X194)</f>
        <v/>
      </c>
    </row>
    <row r="195" spans="1:56" x14ac:dyDescent="0.25">
      <c r="A195" s="2371">
        <v>5</v>
      </c>
      <c r="B195" s="2374" t="s">
        <v>444</v>
      </c>
      <c r="C195" s="2374"/>
      <c r="D195" s="2374"/>
      <c r="E195" s="2374"/>
      <c r="F195" s="2374"/>
      <c r="G195" s="2373" t="str">
        <f>G194</f>
        <v/>
      </c>
      <c r="H195" s="2375" t="s">
        <v>3971</v>
      </c>
      <c r="I195" s="90"/>
      <c r="J195" s="90"/>
      <c r="K195" s="90"/>
      <c r="L195" s="1796"/>
      <c r="M195" s="1014"/>
      <c r="N195" s="1927"/>
      <c r="O195" s="2075"/>
      <c r="P195" s="1489"/>
      <c r="Q195" s="1489"/>
      <c r="R195" s="1489"/>
      <c r="S195" s="1489"/>
      <c r="T195" s="1489"/>
      <c r="U195" s="1489"/>
      <c r="V195" s="249"/>
      <c r="W195" s="249"/>
      <c r="X195" s="1757"/>
      <c r="Y195" s="2081"/>
      <c r="Z195" s="2084"/>
      <c r="AA195" s="1526"/>
      <c r="AC195" s="970"/>
      <c r="AD195" s="970"/>
      <c r="AE195" s="970"/>
      <c r="AF195" s="249"/>
      <c r="AG195" s="249"/>
      <c r="AH195" s="249"/>
      <c r="AI195" s="249"/>
      <c r="AJ195" s="249"/>
      <c r="AK195" s="249"/>
      <c r="AL195" s="1336"/>
      <c r="AM195" s="1336"/>
      <c r="AO195"/>
      <c r="AP195"/>
      <c r="AQ195"/>
      <c r="AR195"/>
      <c r="AS195"/>
      <c r="AT195"/>
      <c r="BD195" s="785" t="s">
        <v>4108</v>
      </c>
    </row>
    <row r="196" spans="1:56" x14ac:dyDescent="0.25">
      <c r="A196" s="2371">
        <v>5</v>
      </c>
      <c r="B196" s="2374" t="s">
        <v>444</v>
      </c>
      <c r="C196" s="2374" t="s">
        <v>256</v>
      </c>
      <c r="D196" s="2374"/>
      <c r="E196" s="2374"/>
      <c r="F196" s="2374"/>
      <c r="G196" s="2373" t="str">
        <f>IF(N196&gt;0,"P","")</f>
        <v/>
      </c>
      <c r="H196" s="2375" t="s">
        <v>3971</v>
      </c>
      <c r="I196" s="90"/>
      <c r="J196" s="91" t="s">
        <v>256</v>
      </c>
      <c r="K196" s="102"/>
      <c r="L196" s="1754" t="s">
        <v>446</v>
      </c>
      <c r="M196" s="1758">
        <v>4</v>
      </c>
      <c r="N196"/>
      <c r="O196"/>
      <c r="P196"/>
      <c r="Q196"/>
      <c r="R196"/>
      <c r="S196"/>
      <c r="T196"/>
      <c r="U196"/>
      <c r="V196"/>
      <c r="W196"/>
      <c r="X196" s="1757"/>
      <c r="Y196" s="2081"/>
      <c r="Z196" s="2084"/>
      <c r="AA196" s="1526"/>
      <c r="AC196" s="970"/>
      <c r="AD196" s="970"/>
      <c r="AE196" s="970"/>
      <c r="AF196" s="249"/>
      <c r="AG196" s="249"/>
      <c r="AH196" s="249"/>
      <c r="AI196" s="249"/>
      <c r="AJ196" s="249"/>
      <c r="AK196" s="249"/>
      <c r="AL196" s="1336"/>
      <c r="AM196" s="1336"/>
      <c r="AO196"/>
      <c r="AP196"/>
      <c r="AQ196"/>
      <c r="AR196"/>
      <c r="AS196"/>
      <c r="AT196"/>
      <c r="BD196" s="785" t="s">
        <v>4108</v>
      </c>
    </row>
    <row r="197" spans="1:56" x14ac:dyDescent="0.25">
      <c r="A197" s="2371">
        <v>5</v>
      </c>
      <c r="B197" s="2374" t="s">
        <v>444</v>
      </c>
      <c r="C197" s="2374" t="s">
        <v>256</v>
      </c>
      <c r="D197" s="2374"/>
      <c r="E197" s="2374"/>
      <c r="F197" s="2374"/>
      <c r="G197" s="2373" t="str">
        <f>G196</f>
        <v/>
      </c>
      <c r="H197" s="2375" t="s">
        <v>3971</v>
      </c>
      <c r="I197" s="90"/>
      <c r="J197" s="174"/>
      <c r="K197" s="177"/>
      <c r="L197" s="1755"/>
      <c r="M197" s="1759"/>
      <c r="N197"/>
      <c r="O197"/>
      <c r="P197"/>
      <c r="Q197"/>
      <c r="R197"/>
      <c r="S197"/>
      <c r="T197"/>
      <c r="U197"/>
      <c r="V197"/>
      <c r="W197"/>
      <c r="X197" s="1757"/>
      <c r="Y197" s="2081"/>
      <c r="Z197" s="2084"/>
      <c r="AA197" s="1526"/>
      <c r="AC197" s="970"/>
      <c r="AD197" s="970"/>
      <c r="AE197" s="970"/>
      <c r="AF197" s="249"/>
      <c r="AG197" s="249"/>
      <c r="AH197" s="249"/>
      <c r="AI197" s="249"/>
      <c r="AJ197" s="249"/>
      <c r="AK197" s="249"/>
      <c r="AL197" s="1336"/>
      <c r="AM197" s="1336"/>
      <c r="AO197"/>
      <c r="AP197"/>
      <c r="AQ197"/>
      <c r="AR197"/>
      <c r="AS197"/>
      <c r="AT197"/>
      <c r="BD197" s="785" t="s">
        <v>4108</v>
      </c>
    </row>
    <row r="198" spans="1:56" x14ac:dyDescent="0.25">
      <c r="A198" s="2371">
        <v>5</v>
      </c>
      <c r="B198" s="2374" t="s">
        <v>444</v>
      </c>
      <c r="C198" s="2374" t="s">
        <v>258</v>
      </c>
      <c r="D198" s="2374"/>
      <c r="E198" s="2374"/>
      <c r="F198" s="2374"/>
      <c r="G198" s="2373" t="str">
        <f>IF(N198&gt;0,"P","")</f>
        <v/>
      </c>
      <c r="H198" s="2375" t="s">
        <v>3971</v>
      </c>
      <c r="I198" s="102"/>
      <c r="J198" s="91" t="s">
        <v>258</v>
      </c>
      <c r="K198" s="102"/>
      <c r="L198" s="1754" t="s">
        <v>447</v>
      </c>
      <c r="M198" s="1758">
        <v>4</v>
      </c>
      <c r="N198"/>
      <c r="O198"/>
      <c r="P198"/>
      <c r="Q198"/>
      <c r="R198"/>
      <c r="S198"/>
      <c r="T198"/>
      <c r="U198"/>
      <c r="V198"/>
      <c r="W198"/>
      <c r="X198" s="1757"/>
      <c r="Y198" s="2081"/>
      <c r="Z198" s="2084"/>
      <c r="AA198" s="1526"/>
      <c r="AC198" s="970"/>
      <c r="AD198" s="970"/>
      <c r="AE198" s="970"/>
      <c r="AF198" s="249"/>
      <c r="AG198" s="249"/>
      <c r="AH198" s="249"/>
      <c r="AI198" s="249"/>
      <c r="AJ198" s="249"/>
      <c r="AK198" s="249"/>
      <c r="AL198" s="1336"/>
      <c r="AM198" s="1336"/>
      <c r="AO198"/>
      <c r="AP198"/>
      <c r="AQ198"/>
      <c r="AR198"/>
      <c r="AS198"/>
      <c r="AT198"/>
      <c r="BD198" s="785" t="s">
        <v>4108</v>
      </c>
    </row>
    <row r="199" spans="1:56" ht="15.75" thickBot="1" x14ac:dyDescent="0.3">
      <c r="A199" s="2371">
        <v>5</v>
      </c>
      <c r="B199" s="2374" t="s">
        <v>444</v>
      </c>
      <c r="C199" s="2374" t="s">
        <v>258</v>
      </c>
      <c r="D199" s="2374"/>
      <c r="E199" s="2374"/>
      <c r="F199" s="2374"/>
      <c r="G199" s="2373" t="str">
        <f>G198</f>
        <v/>
      </c>
      <c r="H199" s="2375" t="s">
        <v>3971</v>
      </c>
      <c r="I199" s="103"/>
      <c r="J199" s="103"/>
      <c r="K199" s="103"/>
      <c r="L199" s="1783"/>
      <c r="M199" s="1768"/>
      <c r="N199"/>
      <c r="O199"/>
      <c r="P199" s="99"/>
      <c r="Q199" s="99"/>
      <c r="R199" s="99"/>
      <c r="S199" s="99"/>
      <c r="T199" s="99"/>
      <c r="U199" s="99"/>
      <c r="V199" s="99"/>
      <c r="W199" s="99"/>
      <c r="X199" s="1771"/>
      <c r="Y199" s="2082"/>
      <c r="Z199" s="2086"/>
      <c r="AA199" s="1526"/>
      <c r="AC199" s="970"/>
      <c r="AD199" s="970"/>
      <c r="AE199" s="970"/>
      <c r="AF199" s="249"/>
      <c r="AG199" s="249"/>
      <c r="AH199" s="249"/>
      <c r="AI199" s="249"/>
      <c r="AJ199" s="249"/>
      <c r="AK199" s="249"/>
      <c r="AL199" s="1336"/>
      <c r="AM199" s="1336"/>
      <c r="AN199" s="1336"/>
      <c r="AO199" s="1336"/>
      <c r="AP199" s="1336"/>
      <c r="AQ199" s="1336"/>
      <c r="AR199" s="1336"/>
      <c r="AS199" s="1336"/>
    </row>
    <row r="200" spans="1:56" ht="15.75" thickTop="1" x14ac:dyDescent="0.25">
      <c r="A200" s="2371">
        <v>5</v>
      </c>
      <c r="B200" s="2374" t="s">
        <v>448</v>
      </c>
      <c r="C200" s="2374"/>
      <c r="D200" s="2374"/>
      <c r="E200" s="2374"/>
      <c r="F200" s="2374"/>
      <c r="G200" s="2373" t="str">
        <f ca="1">IF(N200&gt;0,"P","")</f>
        <v/>
      </c>
      <c r="H200" s="2375" t="s">
        <v>3972</v>
      </c>
      <c r="I200" s="139">
        <v>503.8</v>
      </c>
      <c r="J200" s="90"/>
      <c r="K200" s="90"/>
      <c r="L200" s="1796" t="s">
        <v>449</v>
      </c>
      <c r="M200" s="1767">
        <v>5</v>
      </c>
      <c r="N200" s="2080">
        <f ca="1">'Ch5'!O201</f>
        <v>0</v>
      </c>
      <c r="O200" s="2080">
        <f ca="1">IFERROR(INDEX({5,6,7,8,9,10},MATCH(W201,INDIRECT(U201),0)),0)</f>
        <v>0</v>
      </c>
      <c r="P200" s="249"/>
      <c r="Q200" s="249"/>
      <c r="R200" s="249"/>
      <c r="S200" s="249"/>
      <c r="T200" s="249"/>
      <c r="U200" s="249"/>
      <c r="V200" s="249"/>
      <c r="W200" s="249"/>
      <c r="X200" s="1756"/>
      <c r="Y200" s="2097" t="str">
        <f>IF(LEN('Ch5'!X201)=0,"None",'Ch5'!X201)</f>
        <v>None</v>
      </c>
      <c r="Z200" s="2085"/>
      <c r="AA200" s="1526"/>
      <c r="AC200" s="970"/>
      <c r="AD200" s="970"/>
      <c r="AE200" s="970"/>
      <c r="AF200" s="249"/>
      <c r="AG200" s="249"/>
      <c r="AH200" s="249"/>
      <c r="AI200" s="249"/>
      <c r="AJ200" s="249"/>
      <c r="AK200" s="249"/>
      <c r="AL200" s="1336" t="str">
        <f>SUBSTITUTE(SUBSTITUTE(SUBSTITUTE("vpa"&amp;$B200&amp;$C200&amp;$D200&amp;$E200,".","_"),"(","_"),")","")</f>
        <v>vpa503_8</v>
      </c>
      <c r="AM200" s="254">
        <f>M200</f>
        <v>5</v>
      </c>
      <c r="AN200" s="1336" t="str">
        <f>SUBSTITUTE(SUBSTITUTE(SUBSTITUTE("vpc"&amp;$B200&amp;$C200&amp;$D200&amp;$E200,".","_"),"(","_"),")","")</f>
        <v>vpc503_8</v>
      </c>
      <c r="AO200" s="254">
        <f ca="1">O200</f>
        <v>0</v>
      </c>
      <c r="AP200" s="1336"/>
      <c r="AQ200" s="254"/>
      <c r="AR200" s="1336" t="str">
        <f>SUBSTITUTE(SUBSTITUTE(SUBSTITUTE("vnt"&amp;$B200&amp;$C200&amp;$D200&amp;$E200,".","_"),"(","_"),")","")</f>
        <v>vnt503_8</v>
      </c>
      <c r="AS200" s="254" t="str">
        <f>IF(LEN(X200)=0,"",X200)</f>
        <v/>
      </c>
    </row>
    <row r="201" spans="1:56" x14ac:dyDescent="0.25">
      <c r="A201" s="2371">
        <v>5</v>
      </c>
      <c r="B201" s="2374" t="s">
        <v>448</v>
      </c>
      <c r="C201" s="2374"/>
      <c r="D201" s="2374"/>
      <c r="E201" s="2374"/>
      <c r="F201" s="2374"/>
      <c r="G201" s="2373" t="str">
        <f ca="1">G200</f>
        <v/>
      </c>
      <c r="H201" s="2375" t="s">
        <v>3972</v>
      </c>
      <c r="I201" s="90"/>
      <c r="J201" s="90"/>
      <c r="K201" s="90"/>
      <c r="L201" s="1796"/>
      <c r="M201" s="1767"/>
      <c r="N201" s="1927"/>
      <c r="O201" s="1927"/>
      <c r="P201" s="249" t="b">
        <v>1</v>
      </c>
      <c r="Q201" s="249" t="b">
        <v>0</v>
      </c>
      <c r="R201" s="249" t="b">
        <v>0</v>
      </c>
      <c r="S201" s="249" t="b">
        <v>1</v>
      </c>
      <c r="T201" s="249" t="b">
        <v>0</v>
      </c>
      <c r="U201" s="249" t="str">
        <f>SUBSTITUTE(SUBSTITUTE(SUBSTITUTE("dd"&amp;B201&amp;C201&amp;D201&amp;E201&amp;F201,".","_"),"(","_"),")","")</f>
        <v>dd503_8</v>
      </c>
      <c r="V201" s="249"/>
      <c r="W201" s="12"/>
      <c r="X201" s="1757"/>
      <c r="Y201" s="2081"/>
      <c r="Z201" s="2083"/>
      <c r="AA201" s="1526"/>
      <c r="AC201" s="970"/>
      <c r="AD201" s="970"/>
      <c r="AE201" s="970"/>
      <c r="AF201" s="249"/>
      <c r="AG201" s="249"/>
      <c r="AH201" s="249"/>
      <c r="AI201" s="249"/>
      <c r="AJ201" s="249"/>
      <c r="AK201" s="249"/>
      <c r="AL201" s="1336"/>
      <c r="AM201" s="1336"/>
      <c r="AN201" s="1336"/>
      <c r="AO201" s="1336"/>
      <c r="AP201" s="1336" t="str">
        <f>SUBSTITUTE(SUBSTITUTE(SUBSTITUTE("vch"&amp;$B201&amp;$C201&amp;$D201&amp;$E201,".","_"),"(","_"),")","")</f>
        <v>vch503_8</v>
      </c>
      <c r="AQ201" s="254" t="str">
        <f>IF(LEN(W201)=0,"",W201)</f>
        <v/>
      </c>
      <c r="AR201" s="1336"/>
      <c r="AS201" s="1336"/>
    </row>
    <row r="202" spans="1:56" x14ac:dyDescent="0.25">
      <c r="A202" s="2371">
        <v>5</v>
      </c>
      <c r="B202" s="2374" t="s">
        <v>448</v>
      </c>
      <c r="C202" s="2374"/>
      <c r="D202" s="2374"/>
      <c r="E202" s="2374"/>
      <c r="F202" s="2374"/>
      <c r="G202" s="2373" t="str">
        <f ca="1">G201</f>
        <v/>
      </c>
      <c r="H202" s="2375" t="s">
        <v>3972</v>
      </c>
      <c r="I202" s="90"/>
      <c r="J202" s="90"/>
      <c r="K202" s="90"/>
      <c r="L202" s="1796"/>
      <c r="M202" s="1767"/>
      <c r="N202" s="1927"/>
      <c r="O202" s="1927"/>
      <c r="P202" s="249"/>
      <c r="Q202" s="249"/>
      <c r="R202" s="249"/>
      <c r="S202" s="249"/>
      <c r="T202" s="249"/>
      <c r="U202" s="249"/>
      <c r="V202" s="249"/>
      <c r="W202" s="249"/>
      <c r="X202" s="1757"/>
      <c r="Y202" s="2081"/>
      <c r="Z202" s="2083"/>
      <c r="AA202" s="1526"/>
      <c r="AC202" s="970"/>
      <c r="AD202" s="970"/>
      <c r="AE202" s="970"/>
      <c r="AF202" s="249"/>
      <c r="AG202" s="249"/>
      <c r="AH202" s="249"/>
      <c r="AI202" s="249"/>
      <c r="AJ202" s="249"/>
      <c r="AK202" s="249"/>
      <c r="AL202" s="1336"/>
      <c r="AM202" s="1336"/>
      <c r="AN202" s="1336"/>
      <c r="AO202" s="1336"/>
      <c r="AP202" s="1336"/>
      <c r="AQ202" s="1336"/>
      <c r="AR202" s="1336"/>
      <c r="AS202" s="1336"/>
    </row>
    <row r="203" spans="1:56" x14ac:dyDescent="0.25">
      <c r="A203" s="2371">
        <v>5</v>
      </c>
      <c r="B203" s="2374" t="s">
        <v>448</v>
      </c>
      <c r="C203" s="2374" t="s">
        <v>4860</v>
      </c>
      <c r="D203" s="2374"/>
      <c r="E203" s="2374"/>
      <c r="F203" s="2374"/>
      <c r="G203" s="2373" t="str">
        <f ca="1">G202</f>
        <v/>
      </c>
      <c r="H203" s="2375" t="s">
        <v>3972</v>
      </c>
      <c r="I203" s="90"/>
      <c r="J203" s="90"/>
      <c r="K203" s="90"/>
      <c r="L203" s="1779" t="s">
        <v>450</v>
      </c>
      <c r="M203" s="1767" t="s">
        <v>762</v>
      </c>
      <c r="N203" s="1042"/>
      <c r="O203" s="1042"/>
      <c r="P203" s="249"/>
      <c r="Q203" s="249"/>
      <c r="R203" s="249"/>
      <c r="S203" s="249"/>
      <c r="T203" s="249"/>
      <c r="U203" s="249"/>
      <c r="V203" s="249"/>
      <c r="W203" s="249"/>
      <c r="X203" s="1757"/>
      <c r="Y203" s="2081"/>
      <c r="Z203" s="2083"/>
      <c r="AA203" s="1526"/>
      <c r="AC203" s="970"/>
      <c r="AD203" s="970"/>
      <c r="AE203" s="970"/>
      <c r="AF203" s="249"/>
      <c r="AG203" s="249"/>
      <c r="AH203" s="249"/>
      <c r="AI203" s="249"/>
      <c r="AJ203" s="249"/>
      <c r="AK203" s="249"/>
      <c r="AL203" s="1336" t="str">
        <f>SUBSTITUTE(SUBSTITUTE(SUBSTITUTE("vpa"&amp;$B203&amp;$C203&amp;$D203&amp;$E203,".","_"),"(","_"),")","")</f>
        <v>vpa503_8_1</v>
      </c>
      <c r="AM203" s="254" t="str">
        <f>M203</f>
        <v>1 additional</v>
      </c>
      <c r="AN203" s="1336"/>
      <c r="AO203" s="1336"/>
      <c r="AP203" s="1336"/>
      <c r="AQ203" s="1336"/>
      <c r="AR203" s="1336"/>
      <c r="AS203" s="1336"/>
    </row>
    <row r="204" spans="1:56" x14ac:dyDescent="0.25">
      <c r="A204" s="2371">
        <v>5</v>
      </c>
      <c r="B204" s="2374" t="s">
        <v>448</v>
      </c>
      <c r="C204" s="2374"/>
      <c r="D204" s="2374"/>
      <c r="E204" s="2374"/>
      <c r="F204" s="2374"/>
      <c r="G204" s="2373" t="str">
        <f ca="1">G203</f>
        <v/>
      </c>
      <c r="H204" s="2375" t="s">
        <v>3972</v>
      </c>
      <c r="I204" s="90"/>
      <c r="J204" s="90"/>
      <c r="K204" s="90"/>
      <c r="L204" s="1779"/>
      <c r="M204" s="1767"/>
      <c r="N204" s="1042"/>
      <c r="O204" s="1042"/>
      <c r="P204" s="249"/>
      <c r="Q204" s="249"/>
      <c r="R204" s="249"/>
      <c r="S204" s="249"/>
      <c r="T204" s="249"/>
      <c r="U204" s="249"/>
      <c r="V204" s="249"/>
      <c r="W204" s="249"/>
      <c r="X204" s="1757"/>
      <c r="Y204" s="2081"/>
      <c r="Z204" s="2083"/>
      <c r="AA204" s="1526"/>
      <c r="AC204" s="970"/>
      <c r="AD204" s="970"/>
      <c r="AE204" s="970"/>
      <c r="AF204" s="249"/>
      <c r="AG204" s="249"/>
      <c r="AH204" s="249"/>
      <c r="AI204" s="249"/>
      <c r="AJ204" s="249"/>
      <c r="AK204" s="249"/>
      <c r="AL204" s="1336"/>
      <c r="AM204" s="1336"/>
      <c r="AN204" s="1336"/>
      <c r="AO204" s="1336"/>
      <c r="AP204" s="1336"/>
      <c r="AQ204" s="1336"/>
      <c r="AR204" s="1336"/>
      <c r="AS204" s="1336"/>
    </row>
    <row r="205" spans="1:56" ht="18.75" x14ac:dyDescent="0.3">
      <c r="A205" s="2371">
        <v>5</v>
      </c>
      <c r="B205" s="2374" t="s">
        <v>4584</v>
      </c>
      <c r="C205" s="2374"/>
      <c r="D205" s="2374"/>
      <c r="E205" s="2374"/>
      <c r="F205" s="2374"/>
      <c r="G205" s="2373" t="s">
        <v>3974</v>
      </c>
      <c r="H205" s="2371" t="s">
        <v>3971</v>
      </c>
      <c r="I205" s="88" t="s">
        <v>452</v>
      </c>
      <c r="J205" s="88"/>
      <c r="K205" s="88"/>
      <c r="L205" s="84"/>
      <c r="M205" s="390"/>
      <c r="N205" s="1043"/>
      <c r="O205" s="1043"/>
      <c r="P205" s="23"/>
      <c r="Q205" s="23"/>
      <c r="R205" s="23"/>
      <c r="S205" s="23"/>
      <c r="T205" s="23"/>
      <c r="U205" s="23"/>
      <c r="V205" s="23"/>
      <c r="W205" s="23"/>
      <c r="X205" s="23"/>
      <c r="Y205" s="23"/>
      <c r="Z205" s="1586"/>
      <c r="AA205" s="1526"/>
      <c r="AC205" s="970"/>
      <c r="AD205" s="970"/>
      <c r="AE205" s="970"/>
      <c r="AF205" s="249"/>
      <c r="AG205" s="249"/>
      <c r="AH205" s="249"/>
      <c r="AI205" s="249"/>
      <c r="AJ205" s="249"/>
      <c r="AK205" s="249"/>
      <c r="AL205" s="1336"/>
      <c r="AM205" s="1336"/>
      <c r="AN205" s="1336"/>
      <c r="AO205" s="1336"/>
      <c r="AP205" s="1336"/>
      <c r="AQ205" s="1336"/>
      <c r="AR205" s="1336"/>
      <c r="AS205" s="1336"/>
    </row>
    <row r="206" spans="1:56" x14ac:dyDescent="0.25">
      <c r="A206" s="2371">
        <v>5</v>
      </c>
      <c r="B206" s="2374" t="s">
        <v>451</v>
      </c>
      <c r="C206" s="2374"/>
      <c r="D206" s="2374"/>
      <c r="E206" s="2374"/>
      <c r="F206" s="2374"/>
      <c r="G206" s="2375"/>
      <c r="H206" s="2375"/>
      <c r="I206" s="91" t="s">
        <v>451</v>
      </c>
      <c r="J206" s="102"/>
      <c r="K206" s="102"/>
      <c r="L206" s="1782" t="s">
        <v>453</v>
      </c>
      <c r="M206" s="1010"/>
      <c r="N206" s="1044"/>
      <c r="O206" s="1044"/>
      <c r="P206" s="94"/>
      <c r="Q206" s="94"/>
      <c r="R206" s="94"/>
      <c r="S206" s="94"/>
      <c r="T206" s="94"/>
      <c r="U206" s="94"/>
      <c r="V206" s="94"/>
      <c r="W206" s="94"/>
      <c r="X206" s="94"/>
      <c r="Y206" s="94"/>
      <c r="Z206" s="1588"/>
      <c r="AA206" s="1526"/>
      <c r="AC206" s="970"/>
      <c r="AD206" s="970"/>
      <c r="AE206" s="970"/>
      <c r="AF206" s="249"/>
      <c r="AG206" s="249"/>
      <c r="AH206" s="249"/>
      <c r="AI206" s="249"/>
      <c r="AJ206" s="249"/>
      <c r="AK206" s="249"/>
      <c r="AL206" s="1336"/>
      <c r="AM206" s="1336"/>
      <c r="AN206" s="1336"/>
      <c r="AO206" s="1336"/>
      <c r="AP206" s="1336"/>
      <c r="AQ206" s="1336"/>
      <c r="AR206" s="1336"/>
      <c r="AS206" s="1336"/>
    </row>
    <row r="207" spans="1:56" ht="15.75" thickBot="1" x14ac:dyDescent="0.3">
      <c r="A207" s="2371">
        <v>5</v>
      </c>
      <c r="B207" s="2374" t="s">
        <v>451</v>
      </c>
      <c r="C207" s="2374"/>
      <c r="D207" s="2374"/>
      <c r="E207" s="2374"/>
      <c r="F207" s="2374"/>
      <c r="G207" s="2375"/>
      <c r="H207" s="2375"/>
      <c r="I207" s="103"/>
      <c r="J207" s="103"/>
      <c r="K207" s="103"/>
      <c r="L207" s="1797"/>
      <c r="M207" s="1011"/>
      <c r="N207" s="1045"/>
      <c r="O207" s="1045"/>
      <c r="P207" s="99"/>
      <c r="Q207" s="99"/>
      <c r="R207" s="99"/>
      <c r="S207" s="99"/>
      <c r="T207" s="99"/>
      <c r="U207" s="99"/>
      <c r="V207" s="99"/>
      <c r="W207" s="99"/>
      <c r="X207" s="99"/>
      <c r="Y207" s="99"/>
      <c r="Z207" s="1589"/>
      <c r="AA207" s="1526"/>
      <c r="AC207" s="970"/>
      <c r="AD207" s="970"/>
      <c r="AE207" s="970"/>
      <c r="AF207" s="249"/>
      <c r="AG207" s="249"/>
      <c r="AH207" s="249"/>
      <c r="AI207" s="249"/>
      <c r="AJ207" s="249"/>
      <c r="AK207" s="249"/>
      <c r="AL207" s="1336"/>
      <c r="AM207" s="1336"/>
      <c r="AN207" s="1336"/>
      <c r="AO207" s="1336"/>
      <c r="AP207" s="1336"/>
      <c r="AQ207" s="1336"/>
      <c r="AR207" s="1336"/>
      <c r="AS207" s="1336"/>
    </row>
    <row r="208" spans="1:56" ht="15.75" thickTop="1" x14ac:dyDescent="0.25">
      <c r="A208" s="2371">
        <v>5</v>
      </c>
      <c r="B208" s="2374" t="s">
        <v>454</v>
      </c>
      <c r="C208" s="2374"/>
      <c r="D208" s="2374"/>
      <c r="E208" s="2374"/>
      <c r="F208" s="2374"/>
      <c r="G208" s="2373" t="str">
        <f>IF(N208&gt;0,"P","")</f>
        <v/>
      </c>
      <c r="H208" s="2375" t="s">
        <v>3971</v>
      </c>
      <c r="I208" s="114" t="s">
        <v>454</v>
      </c>
      <c r="J208" s="107"/>
      <c r="K208" s="107"/>
      <c r="L208" s="1781" t="s">
        <v>455</v>
      </c>
      <c r="M208" s="1772">
        <v>4</v>
      </c>
      <c r="N208" s="2080">
        <f>'Ch5'!O209</f>
        <v>0</v>
      </c>
      <c r="O208" s="2080">
        <f>M208*W208*S208</f>
        <v>0</v>
      </c>
      <c r="P208" s="249" t="b">
        <v>1</v>
      </c>
      <c r="Q208" s="249" t="b">
        <v>1</v>
      </c>
      <c r="R208" s="105" t="b">
        <v>0</v>
      </c>
      <c r="S208" s="105" t="b">
        <f>IF((O104+O106+O113)&gt;0,TRUE,FALSE)</f>
        <v>0</v>
      </c>
      <c r="T208" s="94" t="b">
        <f>IF(AND(NOT(S208),W208=TRUE),TRUE,FALSE)</f>
        <v>0</v>
      </c>
      <c r="U208" s="105"/>
      <c r="V208" s="105"/>
      <c r="W208" s="25"/>
      <c r="X208" s="1784"/>
      <c r="Y208" s="2098" t="str">
        <f>IF(LEN('Ch5'!X209)=0,"None",'Ch5'!X209)</f>
        <v>None</v>
      </c>
      <c r="Z208" s="2085"/>
      <c r="AA208" s="1526"/>
      <c r="AC208" s="970" t="b">
        <f>OR(AD208:AE208)</f>
        <v>0</v>
      </c>
      <c r="AD208" s="970" t="b">
        <f>T208</f>
        <v>0</v>
      </c>
      <c r="AE208" s="970"/>
      <c r="AF208" s="249"/>
      <c r="AG208" s="249"/>
      <c r="AH208" s="249"/>
      <c r="AI208" s="249"/>
      <c r="AJ208" s="249"/>
      <c r="AK208" s="249"/>
      <c r="AL208" s="1336" t="str">
        <f>SUBSTITUTE(SUBSTITUTE(SUBSTITUTE("vpa"&amp;$B208&amp;$C208&amp;$D208&amp;$E208,".","_"),"(","_"),")","")</f>
        <v>vpa504_1</v>
      </c>
      <c r="AM208" s="254">
        <f>M208</f>
        <v>4</v>
      </c>
      <c r="AN208" s="1336" t="str">
        <f>SUBSTITUTE(SUBSTITUTE(SUBSTITUTE("vpc"&amp;$B208&amp;$C208&amp;$D208&amp;$E208,".","_"),"(","_"),")","")</f>
        <v>vpc504_1</v>
      </c>
      <c r="AO208" s="254">
        <f>O208</f>
        <v>0</v>
      </c>
      <c r="AP208" s="1336" t="str">
        <f>SUBSTITUTE(SUBSTITUTE(SUBSTITUTE("vch"&amp;$B208&amp;$C208&amp;$D208&amp;$E208,".","_"),"(","_"),")","")</f>
        <v>vch504_1</v>
      </c>
      <c r="AQ208" s="254" t="str">
        <f>IF(LEN(W208)=0,"",W208)</f>
        <v/>
      </c>
      <c r="AR208" s="1336" t="str">
        <f>SUBSTITUTE(SUBSTITUTE(SUBSTITUTE("vnt"&amp;$B208&amp;$C208&amp;$D208&amp;$E208,".","_"),"(","_"),")","")</f>
        <v>vnt504_1</v>
      </c>
      <c r="AS208" s="254" t="str">
        <f>IF(LEN(X208)=0,"",X208)</f>
        <v/>
      </c>
    </row>
    <row r="209" spans="1:45" x14ac:dyDescent="0.25">
      <c r="A209" s="2371">
        <v>5</v>
      </c>
      <c r="B209" s="2374" t="s">
        <v>454</v>
      </c>
      <c r="C209" s="2374"/>
      <c r="D209" s="2374"/>
      <c r="E209" s="2374"/>
      <c r="F209" s="2374"/>
      <c r="G209" s="2373" t="str">
        <f>G208</f>
        <v/>
      </c>
      <c r="H209" s="2375" t="s">
        <v>3971</v>
      </c>
      <c r="I209" s="102"/>
      <c r="J209" s="102"/>
      <c r="K209" s="102"/>
      <c r="L209" s="1782"/>
      <c r="M209" s="1758"/>
      <c r="N209" s="1927"/>
      <c r="O209" s="1927"/>
      <c r="P209" s="94"/>
      <c r="Q209" s="94"/>
      <c r="R209" s="94"/>
      <c r="S209" s="94"/>
      <c r="T209" s="94"/>
      <c r="U209" s="94"/>
      <c r="V209" s="94"/>
      <c r="W209" s="94"/>
      <c r="X209" s="1757"/>
      <c r="Y209" s="2081"/>
      <c r="Z209" s="2084"/>
      <c r="AA209" s="1526"/>
      <c r="AC209" s="970"/>
      <c r="AD209" s="970"/>
      <c r="AE209" s="970"/>
      <c r="AF209" s="249"/>
      <c r="AG209" s="249"/>
      <c r="AH209" s="249"/>
      <c r="AI209" s="249"/>
      <c r="AJ209" s="249"/>
      <c r="AK209" s="249"/>
      <c r="AL209" s="1336"/>
      <c r="AM209" s="1336"/>
      <c r="AN209" s="1336"/>
      <c r="AO209" s="1336"/>
      <c r="AP209" s="1336"/>
      <c r="AQ209" s="1336"/>
      <c r="AR209" s="1336"/>
      <c r="AS209" s="1336"/>
    </row>
    <row r="210" spans="1:45" x14ac:dyDescent="0.25">
      <c r="A210" s="2371">
        <v>5</v>
      </c>
      <c r="B210" s="2374" t="s">
        <v>454</v>
      </c>
      <c r="C210" s="2374"/>
      <c r="D210" s="2374"/>
      <c r="E210" s="2374"/>
      <c r="F210" s="2374"/>
      <c r="G210" s="2373" t="str">
        <f>G209</f>
        <v/>
      </c>
      <c r="H210" s="2375" t="s">
        <v>3971</v>
      </c>
      <c r="I210" s="102"/>
      <c r="J210" s="102"/>
      <c r="K210" s="102"/>
      <c r="L210" s="1782"/>
      <c r="M210" s="1758"/>
      <c r="N210" s="1927"/>
      <c r="O210" s="1927"/>
      <c r="P210" s="94"/>
      <c r="Q210" s="94"/>
      <c r="R210" s="94"/>
      <c r="S210" s="94"/>
      <c r="T210" s="94"/>
      <c r="U210" s="94"/>
      <c r="V210" s="94"/>
      <c r="W210" s="94"/>
      <c r="X210" s="1757"/>
      <c r="Y210" s="2081"/>
      <c r="Z210" s="2084"/>
      <c r="AA210" s="1526"/>
      <c r="AC210" s="970"/>
      <c r="AD210" s="970"/>
      <c r="AE210" s="970"/>
      <c r="AF210" s="249"/>
      <c r="AG210" s="249"/>
      <c r="AH210" s="249"/>
      <c r="AI210" s="249"/>
      <c r="AJ210" s="249"/>
      <c r="AK210" s="249"/>
      <c r="AL210" s="1336"/>
      <c r="AM210" s="1336"/>
      <c r="AN210" s="1336"/>
      <c r="AO210" s="1336"/>
      <c r="AP210" s="1336"/>
      <c r="AQ210" s="1336"/>
      <c r="AR210" s="1336"/>
      <c r="AS210" s="1336"/>
    </row>
    <row r="211" spans="1:45" x14ac:dyDescent="0.25">
      <c r="A211" s="2371">
        <v>5</v>
      </c>
      <c r="B211" s="2374" t="s">
        <v>454</v>
      </c>
      <c r="C211" s="2374"/>
      <c r="D211" s="2374"/>
      <c r="E211" s="2374"/>
      <c r="F211" s="2374"/>
      <c r="G211" s="2373" t="str">
        <f>G210</f>
        <v/>
      </c>
      <c r="H211" s="2375" t="s">
        <v>3971</v>
      </c>
      <c r="I211" s="102"/>
      <c r="J211" s="102"/>
      <c r="K211" s="102"/>
      <c r="L211" s="1782"/>
      <c r="M211" s="1758"/>
      <c r="N211" s="1927"/>
      <c r="O211" s="1927"/>
      <c r="P211" s="94"/>
      <c r="Q211" s="94"/>
      <c r="R211" s="94"/>
      <c r="S211" s="94"/>
      <c r="T211" s="94"/>
      <c r="U211" s="94"/>
      <c r="V211" s="94"/>
      <c r="W211" s="94"/>
      <c r="X211" s="1757"/>
      <c r="Y211" s="2081"/>
      <c r="Z211" s="2084"/>
      <c r="AA211" s="1526"/>
      <c r="AC211" s="970"/>
      <c r="AD211" s="970"/>
      <c r="AE211" s="970"/>
      <c r="AF211" s="249"/>
      <c r="AG211" s="249"/>
      <c r="AH211" s="249"/>
      <c r="AI211" s="249"/>
      <c r="AJ211" s="249"/>
      <c r="AK211" s="249"/>
      <c r="AL211" s="1336"/>
      <c r="AM211" s="1336"/>
      <c r="AN211" s="1336"/>
      <c r="AO211" s="1336"/>
      <c r="AP211" s="1336"/>
      <c r="AQ211" s="1336"/>
      <c r="AR211" s="1336"/>
      <c r="AS211" s="1336"/>
    </row>
    <row r="212" spans="1:45" ht="15.75" thickBot="1" x14ac:dyDescent="0.3">
      <c r="A212" s="2371">
        <v>5</v>
      </c>
      <c r="B212" s="2374" t="s">
        <v>454</v>
      </c>
      <c r="C212" s="2374"/>
      <c r="D212" s="2374"/>
      <c r="E212" s="2374"/>
      <c r="F212" s="2374"/>
      <c r="G212" s="2373" t="str">
        <f>G211</f>
        <v/>
      </c>
      <c r="H212" s="2375" t="s">
        <v>3971</v>
      </c>
      <c r="I212" s="103"/>
      <c r="J212" s="103"/>
      <c r="K212" s="103"/>
      <c r="L212" s="283" t="s">
        <v>769</v>
      </c>
      <c r="M212" s="1768"/>
      <c r="N212" s="1928"/>
      <c r="O212" s="1928"/>
      <c r="P212" s="99"/>
      <c r="Q212" s="99"/>
      <c r="R212" s="99"/>
      <c r="S212" s="99"/>
      <c r="T212" s="99"/>
      <c r="U212" s="99"/>
      <c r="V212" s="99"/>
      <c r="W212" s="99"/>
      <c r="X212" s="1771"/>
      <c r="Y212" s="2082"/>
      <c r="Z212" s="2086"/>
      <c r="AA212" s="1526"/>
      <c r="AC212" s="970"/>
      <c r="AD212" s="970"/>
      <c r="AE212" s="970"/>
      <c r="AF212" s="249"/>
      <c r="AG212" s="249"/>
      <c r="AH212" s="249"/>
      <c r="AI212" s="249"/>
      <c r="AJ212" s="249"/>
      <c r="AK212" s="249"/>
      <c r="AL212" s="1336"/>
      <c r="AM212" s="1336"/>
      <c r="AN212" s="1336"/>
      <c r="AO212" s="1336"/>
      <c r="AP212" s="1336"/>
      <c r="AQ212" s="1336"/>
      <c r="AR212" s="1336"/>
      <c r="AS212" s="1336"/>
    </row>
    <row r="213" spans="1:45" ht="15.75" thickTop="1" x14ac:dyDescent="0.25">
      <c r="A213" s="2371">
        <v>5</v>
      </c>
      <c r="B213" s="2374" t="s">
        <v>456</v>
      </c>
      <c r="C213" s="2374"/>
      <c r="D213" s="2374"/>
      <c r="E213" s="2374"/>
      <c r="F213" s="2374"/>
      <c r="G213" s="2363" t="str">
        <f>IF(COUNTIF(G215:G218,"P")&gt;0,"P","")</f>
        <v/>
      </c>
      <c r="H213" s="2375" t="s">
        <v>3972</v>
      </c>
      <c r="I213" s="87" t="s">
        <v>456</v>
      </c>
      <c r="J213" s="90"/>
      <c r="K213" s="90"/>
      <c r="L213" s="1796" t="s">
        <v>457</v>
      </c>
      <c r="M213" s="1014"/>
      <c r="N213" s="1042"/>
      <c r="O213" s="1042"/>
      <c r="P213" s="249"/>
      <c r="Q213" s="249"/>
      <c r="R213" s="249"/>
      <c r="S213" s="249"/>
      <c r="T213" s="249"/>
      <c r="U213" s="249"/>
      <c r="V213" s="249"/>
      <c r="W213" s="249"/>
      <c r="X213" s="1756"/>
      <c r="Y213" s="2097" t="str">
        <f>IF(LEN('Ch5'!X214)=0,"None",'Ch5'!X214)</f>
        <v>None</v>
      </c>
      <c r="Z213" s="2085"/>
      <c r="AA213" s="1526"/>
      <c r="AC213" s="970"/>
      <c r="AD213" s="970"/>
      <c r="AE213" s="970"/>
      <c r="AF213" s="249"/>
      <c r="AG213" s="249"/>
      <c r="AH213" s="249"/>
      <c r="AI213" s="249"/>
      <c r="AJ213" s="249"/>
      <c r="AK213" s="249"/>
      <c r="AL213" s="1336"/>
      <c r="AM213" s="1336"/>
      <c r="AN213" s="1336"/>
      <c r="AO213" s="1336"/>
      <c r="AP213" s="1336"/>
      <c r="AQ213" s="1336"/>
      <c r="AR213" s="1336" t="str">
        <f>SUBSTITUTE(SUBSTITUTE(SUBSTITUTE("vnt"&amp;$B213&amp;$C213&amp;$D213&amp;$E213,".","_"),"(","_"),")","")</f>
        <v>vnt504_2</v>
      </c>
      <c r="AS213" s="254" t="str">
        <f>IF(LEN(X213)=0,"",X213)</f>
        <v/>
      </c>
    </row>
    <row r="214" spans="1:45" x14ac:dyDescent="0.25">
      <c r="A214" s="2371">
        <v>5</v>
      </c>
      <c r="B214" s="2374" t="s">
        <v>456</v>
      </c>
      <c r="C214" s="2374"/>
      <c r="D214" s="2374"/>
      <c r="E214" s="2374"/>
      <c r="F214" s="2374"/>
      <c r="G214" s="2373" t="str">
        <f>G213</f>
        <v/>
      </c>
      <c r="H214" s="2375" t="s">
        <v>3972</v>
      </c>
      <c r="I214" s="90"/>
      <c r="J214" s="90"/>
      <c r="K214" s="90"/>
      <c r="L214" s="1796"/>
      <c r="M214" s="1014"/>
      <c r="N214" s="1042"/>
      <c r="O214" s="1042"/>
      <c r="P214" s="249"/>
      <c r="Q214" s="249"/>
      <c r="R214" s="249"/>
      <c r="S214" s="249"/>
      <c r="T214" s="249"/>
      <c r="U214" s="249"/>
      <c r="V214" s="249"/>
      <c r="W214" s="249"/>
      <c r="X214" s="1757"/>
      <c r="Y214" s="2081"/>
      <c r="Z214" s="2084"/>
      <c r="AA214" s="1551" t="str">
        <f>IF(LEN('Photo Review'!I213)&gt;0,'Photo Review'!I213,"")</f>
        <v/>
      </c>
      <c r="AC214" s="970"/>
      <c r="AD214" s="970"/>
      <c r="AE214" s="970"/>
      <c r="AF214" s="249"/>
      <c r="AG214" s="249"/>
      <c r="AH214" s="249"/>
      <c r="AI214" s="249"/>
      <c r="AJ214" s="249"/>
      <c r="AK214" s="249"/>
      <c r="AL214" s="1336"/>
      <c r="AM214" s="1336"/>
      <c r="AN214" s="1336"/>
      <c r="AO214" s="1336"/>
      <c r="AP214" s="1336"/>
      <c r="AQ214" s="1336"/>
      <c r="AR214" s="1336"/>
      <c r="AS214" s="1336"/>
    </row>
    <row r="215" spans="1:45" x14ac:dyDescent="0.25">
      <c r="A215" s="2371">
        <v>5</v>
      </c>
      <c r="B215" s="2374" t="s">
        <v>456</v>
      </c>
      <c r="C215" s="2374" t="s">
        <v>256</v>
      </c>
      <c r="D215" s="2374"/>
      <c r="E215" s="2374"/>
      <c r="F215" s="2374"/>
      <c r="G215" s="2373" t="str">
        <f>IF(N215&gt;0,"P","")</f>
        <v/>
      </c>
      <c r="H215" s="2375" t="s">
        <v>3972</v>
      </c>
      <c r="I215" s="90"/>
      <c r="J215" s="174" t="s">
        <v>256</v>
      </c>
      <c r="K215" s="177"/>
      <c r="L215" s="1163" t="s">
        <v>458</v>
      </c>
      <c r="M215" s="1015">
        <v>3</v>
      </c>
      <c r="N215" s="1047">
        <f>'Ch5'!O216</f>
        <v>0</v>
      </c>
      <c r="O215" s="1047">
        <f>M215*W215</f>
        <v>0</v>
      </c>
      <c r="P215" s="249" t="b">
        <v>1</v>
      </c>
      <c r="Q215" s="249" t="b">
        <v>0</v>
      </c>
      <c r="R215" s="249" t="b">
        <v>0</v>
      </c>
      <c r="S215" s="249" t="b">
        <v>1</v>
      </c>
      <c r="T215" s="249" t="b">
        <v>0</v>
      </c>
      <c r="U215" s="249"/>
      <c r="V215" s="249"/>
      <c r="W215" s="25"/>
      <c r="X215" s="1757"/>
      <c r="Y215" s="2081"/>
      <c r="Z215" s="2084"/>
      <c r="AA215" s="1526"/>
      <c r="AC215" s="970"/>
      <c r="AD215" s="970"/>
      <c r="AE215" s="970"/>
      <c r="AF215" s="249"/>
      <c r="AG215" s="249"/>
      <c r="AH215" s="249"/>
      <c r="AI215" s="249"/>
      <c r="AJ215" s="249"/>
      <c r="AK215" s="249"/>
      <c r="AL215" s="1336" t="str">
        <f>SUBSTITUTE(SUBSTITUTE(SUBSTITUTE("vpa"&amp;$B215&amp;$C215&amp;$D215&amp;$E215,".","_"),"(","_"),")","")</f>
        <v>vpa504_2_1</v>
      </c>
      <c r="AM215" s="254">
        <f>M215</f>
        <v>3</v>
      </c>
      <c r="AN215" s="1336" t="str">
        <f>SUBSTITUTE(SUBSTITUTE(SUBSTITUTE("vpc"&amp;$B215&amp;$C215&amp;$D215&amp;$E215,".","_"),"(","_"),")","")</f>
        <v>vpc504_2_1</v>
      </c>
      <c r="AO215" s="254">
        <f>O215</f>
        <v>0</v>
      </c>
      <c r="AP215" s="1336" t="str">
        <f>SUBSTITUTE(SUBSTITUTE(SUBSTITUTE("vch"&amp;$B215&amp;$C215&amp;$D215&amp;$E215,".","_"),"(","_"),")","")</f>
        <v>vch504_2_1</v>
      </c>
      <c r="AQ215" s="254" t="str">
        <f>IF(LEN(W215)=0,"",W215)</f>
        <v/>
      </c>
      <c r="AR215" s="1336"/>
      <c r="AS215" s="1336"/>
    </row>
    <row r="216" spans="1:45" x14ac:dyDescent="0.25">
      <c r="A216" s="2371">
        <v>5</v>
      </c>
      <c r="B216" s="2374" t="s">
        <v>456</v>
      </c>
      <c r="C216" s="2374" t="s">
        <v>258</v>
      </c>
      <c r="D216" s="2374"/>
      <c r="E216" s="2374"/>
      <c r="F216" s="2374"/>
      <c r="G216" s="2373" t="str">
        <f>IF(N216&gt;0,"P","")</f>
        <v/>
      </c>
      <c r="H216" s="2375" t="s">
        <v>3972</v>
      </c>
      <c r="I216" s="90"/>
      <c r="J216" s="91" t="s">
        <v>258</v>
      </c>
      <c r="K216" s="102"/>
      <c r="L216" s="1754" t="s">
        <v>459</v>
      </c>
      <c r="M216" s="1758">
        <v>5</v>
      </c>
      <c r="N216" s="1927">
        <f>'Ch5'!O217</f>
        <v>0</v>
      </c>
      <c r="O216" s="1927">
        <f>M216*W216</f>
        <v>0</v>
      </c>
      <c r="P216" s="249" t="b">
        <v>1</v>
      </c>
      <c r="Q216" s="249" t="b">
        <v>0</v>
      </c>
      <c r="R216" s="249" t="b">
        <v>0</v>
      </c>
      <c r="S216" s="249" t="b">
        <v>1</v>
      </c>
      <c r="T216" s="249" t="b">
        <v>0</v>
      </c>
      <c r="U216" s="249"/>
      <c r="V216" s="249"/>
      <c r="W216" s="25"/>
      <c r="X216" s="1757"/>
      <c r="Y216" s="2081"/>
      <c r="Z216" s="2084"/>
      <c r="AA216" s="1526"/>
      <c r="AC216" s="970"/>
      <c r="AD216" s="970"/>
      <c r="AE216" s="970"/>
      <c r="AF216" s="249"/>
      <c r="AG216" s="249"/>
      <c r="AH216" s="249"/>
      <c r="AI216" s="249"/>
      <c r="AJ216" s="249"/>
      <c r="AK216" s="249"/>
      <c r="AL216" s="1336" t="str">
        <f>SUBSTITUTE(SUBSTITUTE(SUBSTITUTE("vpa"&amp;$B216&amp;$C216&amp;$D216&amp;$E216,".","_"),"(","_"),")","")</f>
        <v>vpa504_2_2</v>
      </c>
      <c r="AM216" s="254">
        <f>M216</f>
        <v>5</v>
      </c>
      <c r="AN216" s="1336" t="str">
        <f>SUBSTITUTE(SUBSTITUTE(SUBSTITUTE("vpc"&amp;$B216&amp;$C216&amp;$D216&amp;$E216,".","_"),"(","_"),")","")</f>
        <v>vpc504_2_2</v>
      </c>
      <c r="AO216" s="254">
        <f>O216</f>
        <v>0</v>
      </c>
      <c r="AP216" s="1336" t="str">
        <f>SUBSTITUTE(SUBSTITUTE(SUBSTITUTE("vch"&amp;$B216&amp;$C216&amp;$D216&amp;$E216,".","_"),"(","_"),")","")</f>
        <v>vch504_2_2</v>
      </c>
      <c r="AQ216" s="254" t="str">
        <f>IF(LEN(W216)=0,"",W216)</f>
        <v/>
      </c>
      <c r="AR216" s="1336"/>
      <c r="AS216" s="1336"/>
    </row>
    <row r="217" spans="1:45" x14ac:dyDescent="0.25">
      <c r="A217" s="2371">
        <v>5</v>
      </c>
      <c r="B217" s="2374" t="s">
        <v>456</v>
      </c>
      <c r="C217" s="2374" t="s">
        <v>258</v>
      </c>
      <c r="D217" s="2374"/>
      <c r="E217" s="2374"/>
      <c r="F217" s="2374"/>
      <c r="G217" s="2373" t="str">
        <f>G216</f>
        <v/>
      </c>
      <c r="H217" s="2375" t="s">
        <v>3972</v>
      </c>
      <c r="I217" s="90"/>
      <c r="J217" s="174"/>
      <c r="K217" s="177"/>
      <c r="L217" s="1755"/>
      <c r="M217" s="1759"/>
      <c r="N217" s="2076"/>
      <c r="O217" s="2076"/>
      <c r="P217" s="249"/>
      <c r="Q217" s="249"/>
      <c r="R217" s="249"/>
      <c r="S217" s="249"/>
      <c r="T217" s="249"/>
      <c r="U217" s="249"/>
      <c r="V217" s="249"/>
      <c r="W217" s="249"/>
      <c r="X217" s="1757"/>
      <c r="Y217" s="2081"/>
      <c r="Z217" s="2084"/>
      <c r="AA217" s="1526"/>
      <c r="AC217" s="970"/>
      <c r="AD217" s="970"/>
      <c r="AE217" s="970"/>
      <c r="AF217" s="249"/>
      <c r="AG217" s="249"/>
      <c r="AH217" s="249"/>
      <c r="AI217" s="249"/>
      <c r="AJ217" s="249"/>
      <c r="AK217" s="249"/>
      <c r="AL217" s="1336"/>
      <c r="AM217" s="1336"/>
      <c r="AN217" s="1336"/>
      <c r="AO217" s="1336"/>
      <c r="AP217" s="1336"/>
      <c r="AQ217" s="1336"/>
      <c r="AR217" s="1336"/>
      <c r="AS217" s="1336"/>
    </row>
    <row r="218" spans="1:45" x14ac:dyDescent="0.25">
      <c r="A218" s="2371">
        <v>5</v>
      </c>
      <c r="B218" s="2374" t="s">
        <v>456</v>
      </c>
      <c r="C218" s="2374" t="s">
        <v>260</v>
      </c>
      <c r="D218" s="2374"/>
      <c r="E218" s="2374"/>
      <c r="F218" s="2374"/>
      <c r="G218" s="2373" t="str">
        <f>IF(N218&gt;0,"P","")</f>
        <v/>
      </c>
      <c r="H218" s="2375" t="s">
        <v>3972</v>
      </c>
      <c r="I218" s="102"/>
      <c r="J218" s="91" t="s">
        <v>260</v>
      </c>
      <c r="K218" s="102"/>
      <c r="L218" s="1754" t="s">
        <v>460</v>
      </c>
      <c r="M218" s="1758">
        <v>4</v>
      </c>
      <c r="N218" s="2075">
        <f>'Ch5'!O219</f>
        <v>0</v>
      </c>
      <c r="O218" s="2075">
        <f>M218*W218</f>
        <v>0</v>
      </c>
      <c r="P218" s="249" t="b">
        <v>1</v>
      </c>
      <c r="Q218" s="249" t="b">
        <v>0</v>
      </c>
      <c r="R218" s="94" t="b">
        <v>0</v>
      </c>
      <c r="S218" s="94" t="b">
        <v>1</v>
      </c>
      <c r="T218" s="94" t="b">
        <v>0</v>
      </c>
      <c r="U218" s="94"/>
      <c r="V218" s="94"/>
      <c r="W218" s="25"/>
      <c r="X218" s="1757"/>
      <c r="Y218" s="2081"/>
      <c r="Z218" s="2084"/>
      <c r="AA218" s="1526"/>
      <c r="AC218" s="970"/>
      <c r="AD218" s="970"/>
      <c r="AE218" s="970"/>
      <c r="AF218" s="249"/>
      <c r="AG218" s="249"/>
      <c r="AH218" s="249"/>
      <c r="AI218" s="249"/>
      <c r="AJ218" s="249"/>
      <c r="AK218" s="249"/>
      <c r="AL218" s="1336" t="str">
        <f>SUBSTITUTE(SUBSTITUTE(SUBSTITUTE("vpa"&amp;$B218&amp;$C218&amp;$D218&amp;$E218,".","_"),"(","_"),")","")</f>
        <v>vpa504_2_3</v>
      </c>
      <c r="AM218" s="254">
        <f>M218</f>
        <v>4</v>
      </c>
      <c r="AN218" s="1336" t="str">
        <f>SUBSTITUTE(SUBSTITUTE(SUBSTITUTE("vpc"&amp;$B218&amp;$C218&amp;$D218&amp;$E218,".","_"),"(","_"),")","")</f>
        <v>vpc504_2_3</v>
      </c>
      <c r="AO218" s="254">
        <f>O218</f>
        <v>0</v>
      </c>
      <c r="AP218" s="1336" t="str">
        <f>SUBSTITUTE(SUBSTITUTE(SUBSTITUTE("vch"&amp;$B218&amp;$C218&amp;$D218&amp;$E218,".","_"),"(","_"),")","")</f>
        <v>vch504_2_3</v>
      </c>
      <c r="AQ218" s="254" t="str">
        <f>IF(LEN(W218)=0,"",W218)</f>
        <v/>
      </c>
      <c r="AR218" s="1336"/>
      <c r="AS218" s="1336"/>
    </row>
    <row r="219" spans="1:45" ht="15.75" thickBot="1" x14ac:dyDescent="0.3">
      <c r="A219" s="2371">
        <v>5</v>
      </c>
      <c r="B219" s="2374" t="s">
        <v>456</v>
      </c>
      <c r="C219" s="2374" t="s">
        <v>260</v>
      </c>
      <c r="D219" s="2374"/>
      <c r="E219" s="2374"/>
      <c r="F219" s="2374"/>
      <c r="G219" s="2373" t="str">
        <f>G218</f>
        <v/>
      </c>
      <c r="H219" s="2375" t="s">
        <v>3972</v>
      </c>
      <c r="I219" s="103"/>
      <c r="J219" s="103"/>
      <c r="K219" s="103"/>
      <c r="L219" s="1783"/>
      <c r="M219" s="1768"/>
      <c r="N219" s="1928"/>
      <c r="O219" s="1928"/>
      <c r="P219" s="99"/>
      <c r="Q219" s="99"/>
      <c r="R219" s="99"/>
      <c r="S219" s="99"/>
      <c r="T219" s="99"/>
      <c r="U219" s="99"/>
      <c r="V219" s="99"/>
      <c r="W219" s="99"/>
      <c r="X219" s="1771"/>
      <c r="Y219" s="2082"/>
      <c r="Z219" s="2086"/>
      <c r="AA219" s="1526"/>
      <c r="AC219" s="970"/>
      <c r="AD219" s="970"/>
      <c r="AE219" s="970"/>
      <c r="AF219" s="249"/>
      <c r="AG219" s="249"/>
      <c r="AH219" s="249"/>
      <c r="AI219" s="249"/>
      <c r="AJ219" s="249"/>
      <c r="AK219" s="249"/>
      <c r="AL219" s="1336"/>
      <c r="AM219" s="1336"/>
      <c r="AN219" s="1336"/>
      <c r="AO219" s="1336"/>
      <c r="AP219" s="1336"/>
      <c r="AQ219" s="1336"/>
      <c r="AR219" s="1336"/>
      <c r="AS219" s="1336"/>
    </row>
    <row r="220" spans="1:45" ht="15.75" thickTop="1" x14ac:dyDescent="0.25">
      <c r="A220" s="2371">
        <v>5</v>
      </c>
      <c r="B220" s="2374" t="s">
        <v>461</v>
      </c>
      <c r="C220" s="2374"/>
      <c r="D220" s="2374"/>
      <c r="E220" s="2374"/>
      <c r="F220" s="2374"/>
      <c r="G220" s="2363" t="str">
        <f>IF(COUNTIF(G223:G246,"P")&gt;0,"P","")</f>
        <v/>
      </c>
      <c r="H220" s="2375" t="s">
        <v>3971</v>
      </c>
      <c r="I220" s="87" t="s">
        <v>461</v>
      </c>
      <c r="J220" s="90"/>
      <c r="K220" s="90"/>
      <c r="L220" s="1796" t="s">
        <v>462</v>
      </c>
      <c r="M220" s="1014"/>
      <c r="N220" s="1042"/>
      <c r="O220" s="1042"/>
      <c r="P220" s="249"/>
      <c r="Q220" s="249"/>
      <c r="R220" s="249"/>
      <c r="S220" s="249"/>
      <c r="T220" s="249"/>
      <c r="U220" s="249"/>
      <c r="V220" s="249"/>
      <c r="W220" s="249"/>
      <c r="X220" s="1756"/>
      <c r="Y220" s="2097" t="str">
        <f>IF(LEN('Ch5'!X221)=0,"None",'Ch5'!X221)</f>
        <v>None</v>
      </c>
      <c r="Z220" s="2085"/>
      <c r="AA220" s="1526"/>
      <c r="AC220" s="970"/>
      <c r="AD220" s="970"/>
      <c r="AE220" s="970"/>
      <c r="AF220" s="249"/>
      <c r="AG220" s="249"/>
      <c r="AH220" s="249"/>
      <c r="AI220" s="249"/>
      <c r="AJ220" s="249"/>
      <c r="AK220" s="249"/>
      <c r="AL220" s="1336"/>
      <c r="AM220" s="1336"/>
      <c r="AN220" s="1336"/>
      <c r="AO220" s="1336"/>
      <c r="AP220" s="1336"/>
      <c r="AQ220" s="1336"/>
      <c r="AR220" s="1336" t="str">
        <f>SUBSTITUTE(SUBSTITUTE(SUBSTITUTE("vnt"&amp;$B220&amp;$C220&amp;$D220&amp;$E220,".","_"),"(","_"),")","")</f>
        <v>vnt504_3</v>
      </c>
      <c r="AS220" s="254" t="str">
        <f>IF(LEN(X220)=0,"",X220)</f>
        <v/>
      </c>
    </row>
    <row r="221" spans="1:45" x14ac:dyDescent="0.25">
      <c r="A221" s="2371">
        <v>5</v>
      </c>
      <c r="B221" s="2374" t="s">
        <v>461</v>
      </c>
      <c r="C221" s="2374"/>
      <c r="D221" s="2374"/>
      <c r="E221" s="2374"/>
      <c r="F221" s="2374"/>
      <c r="G221" s="2373" t="str">
        <f>G220</f>
        <v/>
      </c>
      <c r="H221" s="2375" t="s">
        <v>3971</v>
      </c>
      <c r="I221" s="90"/>
      <c r="J221" s="90"/>
      <c r="K221" s="90"/>
      <c r="L221" s="1796"/>
      <c r="M221" s="1014"/>
      <c r="N221" s="1042"/>
      <c r="O221" s="1042"/>
      <c r="P221" s="249"/>
      <c r="Q221" s="249"/>
      <c r="R221" s="249"/>
      <c r="S221" s="249"/>
      <c r="T221" s="249"/>
      <c r="U221" s="249"/>
      <c r="V221" s="249"/>
      <c r="W221" s="249"/>
      <c r="X221" s="1757"/>
      <c r="Y221" s="2081"/>
      <c r="Z221" s="2083"/>
      <c r="AA221" s="1526"/>
      <c r="AC221" s="970"/>
      <c r="AD221" s="970"/>
      <c r="AE221" s="970"/>
      <c r="AF221" s="249"/>
      <c r="AG221" s="249"/>
      <c r="AH221" s="249"/>
      <c r="AI221" s="249"/>
      <c r="AJ221" s="249"/>
      <c r="AK221" s="249"/>
      <c r="AL221" s="1336"/>
      <c r="AM221" s="1336"/>
      <c r="AN221" s="1336"/>
      <c r="AO221" s="1336"/>
      <c r="AP221" s="1336"/>
      <c r="AQ221" s="1336"/>
      <c r="AR221" s="1336"/>
      <c r="AS221" s="1336"/>
    </row>
    <row r="222" spans="1:45" x14ac:dyDescent="0.25">
      <c r="A222" s="2371">
        <v>5</v>
      </c>
      <c r="B222" s="2374" t="s">
        <v>461</v>
      </c>
      <c r="C222" s="2374"/>
      <c r="D222" s="2374"/>
      <c r="E222" s="2374"/>
      <c r="F222" s="2374"/>
      <c r="G222" s="2373" t="str">
        <f>G221</f>
        <v/>
      </c>
      <c r="H222" s="2375" t="s">
        <v>3971</v>
      </c>
      <c r="I222" s="90"/>
      <c r="J222" s="90"/>
      <c r="K222" s="90"/>
      <c r="L222" s="1796"/>
      <c r="M222" s="1014"/>
      <c r="N222" s="1042"/>
      <c r="O222" s="1042"/>
      <c r="P222" s="249"/>
      <c r="Q222" s="249"/>
      <c r="R222" s="249"/>
      <c r="S222" s="249"/>
      <c r="T222" s="249"/>
      <c r="U222" s="249"/>
      <c r="V222" s="249"/>
      <c r="W222" s="249"/>
      <c r="X222" s="1757"/>
      <c r="Y222" s="2081"/>
      <c r="Z222" s="2083"/>
      <c r="AA222" s="1526"/>
      <c r="AC222" s="970"/>
      <c r="AD222" s="970"/>
      <c r="AE222" s="970"/>
      <c r="AF222" s="249"/>
      <c r="AG222" s="249"/>
      <c r="AH222" s="249"/>
      <c r="AI222" s="249"/>
      <c r="AJ222" s="249"/>
      <c r="AK222" s="249"/>
      <c r="AL222" s="1336"/>
      <c r="AM222" s="1336"/>
      <c r="AN222" s="1336"/>
      <c r="AO222" s="1336"/>
      <c r="AP222" s="1336"/>
      <c r="AQ222" s="1336"/>
      <c r="AR222" s="1336"/>
      <c r="AS222" s="1336"/>
    </row>
    <row r="223" spans="1:45" x14ac:dyDescent="0.25">
      <c r="A223" s="2371">
        <v>5</v>
      </c>
      <c r="B223" s="2374" t="s">
        <v>461</v>
      </c>
      <c r="C223" s="2374" t="s">
        <v>256</v>
      </c>
      <c r="D223" s="2374"/>
      <c r="E223" s="2374"/>
      <c r="F223" s="2374"/>
      <c r="G223" s="2373" t="str">
        <f>IF(N223&gt;0,"P","")</f>
        <v/>
      </c>
      <c r="H223" s="2375" t="s">
        <v>3972</v>
      </c>
      <c r="I223" s="90"/>
      <c r="J223" s="91" t="s">
        <v>256</v>
      </c>
      <c r="K223" s="102"/>
      <c r="L223" s="1754" t="s">
        <v>463</v>
      </c>
      <c r="M223" s="1758">
        <v>5</v>
      </c>
      <c r="N223" s="1927">
        <f>'Ch5'!O224</f>
        <v>0</v>
      </c>
      <c r="O223" s="1927">
        <f>M223*W223</f>
        <v>0</v>
      </c>
      <c r="P223" s="249" t="b">
        <v>1</v>
      </c>
      <c r="Q223" s="249" t="b">
        <v>0</v>
      </c>
      <c r="R223" s="249" t="b">
        <v>0</v>
      </c>
      <c r="S223" s="249" t="b">
        <v>1</v>
      </c>
      <c r="T223" s="249" t="b">
        <v>0</v>
      </c>
      <c r="U223" s="249"/>
      <c r="V223" s="249"/>
      <c r="W223" s="25"/>
      <c r="X223" s="1757"/>
      <c r="Y223" s="2081" t="str">
        <f>IF(LEN('Ch5'!X224)=0,"None",'Ch5'!X224)</f>
        <v>None</v>
      </c>
      <c r="Z223" s="2083"/>
      <c r="AA223" s="1551" t="str">
        <f>IF(LEN('Photo Review'!I222)&gt;0,'Photo Review'!I222,"")</f>
        <v/>
      </c>
      <c r="AC223" s="970"/>
      <c r="AD223" s="970"/>
      <c r="AE223" s="970"/>
      <c r="AF223" s="249"/>
      <c r="AG223" s="249"/>
      <c r="AH223" s="249"/>
      <c r="AI223" s="249"/>
      <c r="AJ223" s="249"/>
      <c r="AK223" s="249"/>
      <c r="AL223" s="1336" t="str">
        <f>SUBSTITUTE(SUBSTITUTE(SUBSTITUTE("vpa"&amp;$B223&amp;$C223&amp;$D223&amp;$E223,".","_"),"(","_"),")","")</f>
        <v>vpa504_3_1</v>
      </c>
      <c r="AM223" s="254">
        <f>M223</f>
        <v>5</v>
      </c>
      <c r="AN223" s="1336" t="str">
        <f>SUBSTITUTE(SUBSTITUTE(SUBSTITUTE("vpc"&amp;$B223&amp;$C223&amp;$D223&amp;$E223,".","_"),"(","_"),")","")</f>
        <v>vpc504_3_1</v>
      </c>
      <c r="AO223" s="254">
        <f>O223</f>
        <v>0</v>
      </c>
      <c r="AP223" s="1336" t="str">
        <f>SUBSTITUTE(SUBSTITUTE(SUBSTITUTE("vch"&amp;$B223&amp;$C223&amp;$D223&amp;$E223,".","_"),"(","_"),")","")</f>
        <v>vch504_3_1</v>
      </c>
      <c r="AQ223" s="254" t="str">
        <f>IF(LEN(W223)=0,"",W223)</f>
        <v/>
      </c>
      <c r="AR223" s="1336" t="str">
        <f>SUBSTITUTE(SUBSTITUTE(SUBSTITUTE("vnt"&amp;$B223&amp;$C223&amp;$D223&amp;$E223,".","_"),"(","_"),")","")</f>
        <v>vnt504_3_1</v>
      </c>
      <c r="AS223" s="254" t="str">
        <f>IF(LEN(X223)=0,"",X223)</f>
        <v/>
      </c>
    </row>
    <row r="224" spans="1:45" x14ac:dyDescent="0.25">
      <c r="A224" s="2371">
        <v>5</v>
      </c>
      <c r="B224" s="2374" t="s">
        <v>461</v>
      </c>
      <c r="C224" s="2374" t="s">
        <v>256</v>
      </c>
      <c r="D224" s="2374"/>
      <c r="E224" s="2374"/>
      <c r="F224" s="2374"/>
      <c r="G224" s="2373" t="str">
        <f>G223</f>
        <v/>
      </c>
      <c r="H224" s="2375" t="s">
        <v>3972</v>
      </c>
      <c r="I224" s="90"/>
      <c r="J224" s="174"/>
      <c r="K224" s="177"/>
      <c r="L224" s="1755"/>
      <c r="M224" s="1759"/>
      <c r="N224" s="2076"/>
      <c r="O224" s="2076"/>
      <c r="P224" s="249"/>
      <c r="Q224" s="249"/>
      <c r="R224" s="249"/>
      <c r="S224" s="249"/>
      <c r="T224" s="249"/>
      <c r="U224" s="249"/>
      <c r="V224" s="249"/>
      <c r="W224" s="249"/>
      <c r="X224" s="1757"/>
      <c r="Y224" s="2081"/>
      <c r="Z224" s="2083"/>
      <c r="AA224" s="1526"/>
      <c r="AC224" s="970"/>
      <c r="AD224" s="970"/>
      <c r="AE224" s="970"/>
      <c r="AF224" s="249"/>
      <c r="AG224" s="249"/>
      <c r="AH224" s="249"/>
      <c r="AI224" s="249"/>
      <c r="AJ224" s="249"/>
      <c r="AK224" s="249"/>
      <c r="AL224" s="1336"/>
      <c r="AM224" s="1336"/>
      <c r="AN224" s="1336"/>
      <c r="AO224" s="1336"/>
      <c r="AP224" s="1336"/>
      <c r="AQ224" s="1336"/>
      <c r="AR224" s="1336"/>
      <c r="AS224" s="1336"/>
    </row>
    <row r="225" spans="1:45" x14ac:dyDescent="0.25">
      <c r="A225" s="2371">
        <v>5</v>
      </c>
      <c r="B225" s="2374" t="s">
        <v>461</v>
      </c>
      <c r="C225" s="2374" t="s">
        <v>258</v>
      </c>
      <c r="D225" s="2374"/>
      <c r="E225" s="2374"/>
      <c r="F225" s="2374"/>
      <c r="G225" s="2373" t="str">
        <f>IF(N225&gt;0,"P","")</f>
        <v/>
      </c>
      <c r="H225" s="2375" t="s">
        <v>3972</v>
      </c>
      <c r="I225" s="90"/>
      <c r="J225" s="174" t="s">
        <v>258</v>
      </c>
      <c r="K225" s="177"/>
      <c r="L225" s="1163" t="s">
        <v>464</v>
      </c>
      <c r="M225" s="1015">
        <v>5</v>
      </c>
      <c r="N225" s="1047">
        <f>'Ch5'!O226</f>
        <v>0</v>
      </c>
      <c r="O225" s="1047">
        <f>M225*W225</f>
        <v>0</v>
      </c>
      <c r="P225" s="249" t="b">
        <v>1</v>
      </c>
      <c r="Q225" s="249" t="b">
        <v>0</v>
      </c>
      <c r="R225" s="249" t="b">
        <v>0</v>
      </c>
      <c r="S225" s="249" t="b">
        <v>1</v>
      </c>
      <c r="T225" s="249" t="b">
        <v>0</v>
      </c>
      <c r="U225" s="249"/>
      <c r="V225" s="249"/>
      <c r="W225" s="25"/>
      <c r="X225" s="918"/>
      <c r="Y225" s="988" t="str">
        <f>IF(LEN('Ch5'!X226)=0,"None",'Ch5'!X226)</f>
        <v>None</v>
      </c>
      <c r="Z225" s="1587"/>
      <c r="AA225" s="1551" t="str">
        <f>IF(LEN('Photo Review'!I224)&gt;0,'Photo Review'!I224,"")</f>
        <v/>
      </c>
      <c r="AC225" s="970"/>
      <c r="AD225" s="970"/>
      <c r="AE225" s="970"/>
      <c r="AF225" s="249"/>
      <c r="AG225" s="249"/>
      <c r="AH225" s="249"/>
      <c r="AI225" s="249"/>
      <c r="AJ225" s="249"/>
      <c r="AK225" s="249"/>
      <c r="AL225" s="1336" t="str">
        <f>SUBSTITUTE(SUBSTITUTE(SUBSTITUTE("vpa"&amp;$B225&amp;$C225&amp;$D225&amp;$E225,".","_"),"(","_"),")","")</f>
        <v>vpa504_3_2</v>
      </c>
      <c r="AM225" s="254">
        <f>M225</f>
        <v>5</v>
      </c>
      <c r="AN225" s="1336" t="str">
        <f>SUBSTITUTE(SUBSTITUTE(SUBSTITUTE("vpc"&amp;$B225&amp;$C225&amp;$D225&amp;$E225,".","_"),"(","_"),")","")</f>
        <v>vpc504_3_2</v>
      </c>
      <c r="AO225" s="254">
        <f>O225</f>
        <v>0</v>
      </c>
      <c r="AP225" s="1336" t="str">
        <f>SUBSTITUTE(SUBSTITUTE(SUBSTITUTE("vch"&amp;$B225&amp;$C225&amp;$D225&amp;$E225,".","_"),"(","_"),")","")</f>
        <v>vch504_3_2</v>
      </c>
      <c r="AQ225" s="254" t="str">
        <f>IF(LEN(W225)=0,"",W225)</f>
        <v/>
      </c>
      <c r="AR225" s="1336" t="str">
        <f>SUBSTITUTE(SUBSTITUTE(SUBSTITUTE("vnt"&amp;$B225&amp;$C225&amp;$D225&amp;$E225,".","_"),"(","_"),")","")</f>
        <v>vnt504_3_2</v>
      </c>
      <c r="AS225" s="254" t="str">
        <f>IF(LEN(X225)=0,"",X225)</f>
        <v/>
      </c>
    </row>
    <row r="226" spans="1:45" x14ac:dyDescent="0.25">
      <c r="A226" s="2371">
        <v>5</v>
      </c>
      <c r="B226" s="2374" t="s">
        <v>461</v>
      </c>
      <c r="C226" s="2374" t="s">
        <v>260</v>
      </c>
      <c r="D226" s="2374"/>
      <c r="E226" s="2374"/>
      <c r="F226" s="2374"/>
      <c r="G226" s="2373" t="str">
        <f>IF(N226&gt;0,"P","")</f>
        <v/>
      </c>
      <c r="H226" s="2375" t="s">
        <v>3972</v>
      </c>
      <c r="I226" s="90"/>
      <c r="J226" s="91" t="s">
        <v>260</v>
      </c>
      <c r="K226" s="102"/>
      <c r="L226" s="1754" t="s">
        <v>465</v>
      </c>
      <c r="M226" s="1758">
        <v>5</v>
      </c>
      <c r="N226" s="1927">
        <f>'Ch5'!O227</f>
        <v>0</v>
      </c>
      <c r="O226" s="1927">
        <f>M226*W226</f>
        <v>0</v>
      </c>
      <c r="P226" s="249" t="b">
        <v>1</v>
      </c>
      <c r="Q226" s="249" t="b">
        <v>0</v>
      </c>
      <c r="R226" s="249" t="b">
        <v>0</v>
      </c>
      <c r="S226" s="249" t="b">
        <v>1</v>
      </c>
      <c r="T226" s="249" t="b">
        <v>0</v>
      </c>
      <c r="U226" s="249"/>
      <c r="V226" s="249"/>
      <c r="W226" s="25"/>
      <c r="X226" s="1757"/>
      <c r="Y226" s="2081" t="str">
        <f>IF(LEN('Ch5'!X227)=0,"None",'Ch5'!X227)</f>
        <v>None</v>
      </c>
      <c r="Z226" s="2083"/>
      <c r="AA226" s="1551" t="str">
        <f>IF(LEN('Photo Review'!I225)&gt;0,'Photo Review'!I225,"")</f>
        <v/>
      </c>
      <c r="AC226" s="970"/>
      <c r="AD226" s="970"/>
      <c r="AE226" s="970"/>
      <c r="AF226" s="249"/>
      <c r="AG226" s="249"/>
      <c r="AH226" s="249"/>
      <c r="AI226" s="249"/>
      <c r="AJ226" s="249"/>
      <c r="AK226" s="249"/>
      <c r="AL226" s="1336" t="str">
        <f>SUBSTITUTE(SUBSTITUTE(SUBSTITUTE("vpa"&amp;$B226&amp;$C226&amp;$D226&amp;$E226,".","_"),"(","_"),")","")</f>
        <v>vpa504_3_3</v>
      </c>
      <c r="AM226" s="254">
        <f>M226</f>
        <v>5</v>
      </c>
      <c r="AN226" s="1336" t="str">
        <f>SUBSTITUTE(SUBSTITUTE(SUBSTITUTE("vpc"&amp;$B226&amp;$C226&amp;$D226&amp;$E226,".","_"),"(","_"),")","")</f>
        <v>vpc504_3_3</v>
      </c>
      <c r="AO226" s="254">
        <f>O226</f>
        <v>0</v>
      </c>
      <c r="AP226" s="1336" t="str">
        <f>SUBSTITUTE(SUBSTITUTE(SUBSTITUTE("vch"&amp;$B226&amp;$C226&amp;$D226&amp;$E226,".","_"),"(","_"),")","")</f>
        <v>vch504_3_3</v>
      </c>
      <c r="AQ226" s="254" t="str">
        <f>IF(LEN(W226)=0,"",W226)</f>
        <v/>
      </c>
      <c r="AR226" s="1336" t="str">
        <f>SUBSTITUTE(SUBSTITUTE(SUBSTITUTE("vnt"&amp;$B226&amp;$C226&amp;$D226&amp;$E226,".","_"),"(","_"),")","")</f>
        <v>vnt504_3_3</v>
      </c>
      <c r="AS226" s="254" t="str">
        <f>IF(LEN(X226)=0,"",X226)</f>
        <v/>
      </c>
    </row>
    <row r="227" spans="1:45" x14ac:dyDescent="0.25">
      <c r="A227" s="2371">
        <v>5</v>
      </c>
      <c r="B227" s="2374" t="s">
        <v>461</v>
      </c>
      <c r="C227" s="2374" t="s">
        <v>260</v>
      </c>
      <c r="D227" s="2374"/>
      <c r="E227" s="2374"/>
      <c r="F227" s="2374"/>
      <c r="G227" s="2373" t="str">
        <f>G226</f>
        <v/>
      </c>
      <c r="H227" s="2375" t="s">
        <v>3972</v>
      </c>
      <c r="I227" s="90"/>
      <c r="J227" s="177"/>
      <c r="K227" s="177"/>
      <c r="L227" s="1755"/>
      <c r="M227" s="1759"/>
      <c r="N227" s="2076"/>
      <c r="O227" s="2076"/>
      <c r="P227" s="249"/>
      <c r="Q227" s="249"/>
      <c r="R227" s="249"/>
      <c r="S227" s="249"/>
      <c r="T227" s="249"/>
      <c r="U227" s="249"/>
      <c r="V227" s="249"/>
      <c r="W227" s="249"/>
      <c r="X227" s="1757"/>
      <c r="Y227" s="2081"/>
      <c r="Z227" s="2083"/>
      <c r="AA227" s="1526"/>
      <c r="AC227" s="970"/>
      <c r="AD227" s="970"/>
      <c r="AE227" s="970"/>
      <c r="AF227" s="249"/>
      <c r="AG227" s="249"/>
      <c r="AH227" s="249"/>
      <c r="AI227" s="249"/>
      <c r="AJ227" s="249"/>
      <c r="AK227" s="249"/>
      <c r="AL227" s="1336"/>
      <c r="AM227" s="1336"/>
      <c r="AN227" s="1336"/>
      <c r="AO227" s="1336"/>
      <c r="AP227" s="1336"/>
      <c r="AQ227" s="1336"/>
      <c r="AR227" s="1336"/>
      <c r="AS227" s="1336"/>
    </row>
    <row r="228" spans="1:45" x14ac:dyDescent="0.25">
      <c r="A228" s="2371">
        <v>5</v>
      </c>
      <c r="B228" s="2374" t="s">
        <v>461</v>
      </c>
      <c r="C228" s="2374" t="s">
        <v>269</v>
      </c>
      <c r="D228" s="2374"/>
      <c r="E228" s="2374"/>
      <c r="F228" s="2374"/>
      <c r="G228" s="2373" t="str">
        <f>IF(N228&gt;0,"P","")</f>
        <v/>
      </c>
      <c r="H228" s="2375" t="s">
        <v>3972</v>
      </c>
      <c r="I228" s="90"/>
      <c r="J228" s="91" t="s">
        <v>269</v>
      </c>
      <c r="K228" s="102"/>
      <c r="L228" s="1754" t="s">
        <v>466</v>
      </c>
      <c r="M228" s="1758">
        <v>5</v>
      </c>
      <c r="N228" s="1927">
        <f>'Ch5'!O229</f>
        <v>0</v>
      </c>
      <c r="O228" s="1927">
        <f>M228*W228</f>
        <v>0</v>
      </c>
      <c r="P228" s="249" t="b">
        <v>1</v>
      </c>
      <c r="Q228" s="249" t="b">
        <v>0</v>
      </c>
      <c r="R228" s="249" t="b">
        <v>0</v>
      </c>
      <c r="S228" s="249" t="b">
        <v>1</v>
      </c>
      <c r="T228" s="249" t="b">
        <v>0</v>
      </c>
      <c r="U228" s="249"/>
      <c r="V228" s="249"/>
      <c r="W228" s="25"/>
      <c r="X228" s="1757"/>
      <c r="Y228" s="2081" t="str">
        <f>IF(LEN('Ch5'!X229)=0,"None",'Ch5'!X229)</f>
        <v>None</v>
      </c>
      <c r="Z228" s="2083"/>
      <c r="AA228" s="1551" t="str">
        <f>IF(LEN('Photo Review'!I227)&gt;0,'Photo Review'!I227,"")</f>
        <v/>
      </c>
      <c r="AC228" s="970"/>
      <c r="AD228" s="970"/>
      <c r="AE228" s="970"/>
      <c r="AF228" s="249"/>
      <c r="AG228" s="249"/>
      <c r="AH228" s="249"/>
      <c r="AI228" s="249"/>
      <c r="AJ228" s="249"/>
      <c r="AK228" s="249"/>
      <c r="AL228" s="1336" t="str">
        <f>SUBSTITUTE(SUBSTITUTE(SUBSTITUTE("vpa"&amp;$B228&amp;$C228&amp;$D228&amp;$E228,".","_"),"(","_"),")","")</f>
        <v>vpa504_3_4</v>
      </c>
      <c r="AM228" s="254">
        <f>M228</f>
        <v>5</v>
      </c>
      <c r="AN228" s="1336" t="str">
        <f>SUBSTITUTE(SUBSTITUTE(SUBSTITUTE("vpc"&amp;$B228&amp;$C228&amp;$D228&amp;$E228,".","_"),"(","_"),")","")</f>
        <v>vpc504_3_4</v>
      </c>
      <c r="AO228" s="254">
        <f>O228</f>
        <v>0</v>
      </c>
      <c r="AP228" s="1336" t="str">
        <f>SUBSTITUTE(SUBSTITUTE(SUBSTITUTE("vch"&amp;$B228&amp;$C228&amp;$D228&amp;$E228,".","_"),"(","_"),")","")</f>
        <v>vch504_3_4</v>
      </c>
      <c r="AQ228" s="254" t="str">
        <f>IF(LEN(W228)=0,"",W228)</f>
        <v/>
      </c>
      <c r="AR228" s="1336" t="str">
        <f>SUBSTITUTE(SUBSTITUTE(SUBSTITUTE("vnt"&amp;$B228&amp;$C228&amp;$D228&amp;$E228,".","_"),"(","_"),")","")</f>
        <v>vnt504_3_4</v>
      </c>
      <c r="AS228" s="254" t="str">
        <f>IF(LEN(X228)=0,"",X228)</f>
        <v/>
      </c>
    </row>
    <row r="229" spans="1:45" x14ac:dyDescent="0.25">
      <c r="A229" s="2371">
        <v>5</v>
      </c>
      <c r="B229" s="2374" t="s">
        <v>461</v>
      </c>
      <c r="C229" s="2374" t="s">
        <v>269</v>
      </c>
      <c r="D229" s="2374"/>
      <c r="E229" s="2374"/>
      <c r="F229" s="2374"/>
      <c r="G229" s="2373" t="str">
        <f>G228</f>
        <v/>
      </c>
      <c r="H229" s="2375" t="s">
        <v>3972</v>
      </c>
      <c r="I229" s="90"/>
      <c r="J229" s="177"/>
      <c r="K229" s="177"/>
      <c r="L229" s="1755"/>
      <c r="M229" s="1759"/>
      <c r="N229" s="2076"/>
      <c r="O229" s="2076"/>
      <c r="P229" s="249"/>
      <c r="Q229" s="249"/>
      <c r="R229" s="249"/>
      <c r="S229" s="249"/>
      <c r="T229" s="249"/>
      <c r="U229" s="249"/>
      <c r="V229" s="249"/>
      <c r="W229" s="249"/>
      <c r="X229" s="1757"/>
      <c r="Y229" s="2081"/>
      <c r="Z229" s="2083"/>
      <c r="AA229" s="1526"/>
      <c r="AC229" s="970"/>
      <c r="AD229" s="970"/>
      <c r="AE229" s="970"/>
      <c r="AF229" s="249"/>
      <c r="AG229" s="249"/>
      <c r="AH229" s="249"/>
      <c r="AI229" s="249"/>
      <c r="AJ229" s="249"/>
      <c r="AK229" s="249"/>
      <c r="AL229" s="1336"/>
      <c r="AM229" s="1336"/>
      <c r="AN229" s="1336"/>
      <c r="AO229" s="1336"/>
      <c r="AP229" s="1336"/>
      <c r="AQ229" s="1336"/>
      <c r="AR229" s="1336"/>
      <c r="AS229" s="1336"/>
    </row>
    <row r="230" spans="1:45" x14ac:dyDescent="0.25">
      <c r="A230" s="2371">
        <v>5</v>
      </c>
      <c r="B230" s="2374" t="s">
        <v>461</v>
      </c>
      <c r="C230" s="2374" t="s">
        <v>275</v>
      </c>
      <c r="D230" s="2374"/>
      <c r="E230" s="2374"/>
      <c r="F230" s="2374"/>
      <c r="G230" s="2373" t="str">
        <f>IF(N230&gt;0,"P","")</f>
        <v/>
      </c>
      <c r="H230" s="2375" t="s">
        <v>3972</v>
      </c>
      <c r="I230" s="90"/>
      <c r="J230" s="91" t="s">
        <v>275</v>
      </c>
      <c r="K230" s="102"/>
      <c r="L230" s="1754" t="s">
        <v>467</v>
      </c>
      <c r="M230" s="1758">
        <v>4</v>
      </c>
      <c r="N230" s="1927">
        <f>'Ch5'!O231</f>
        <v>0</v>
      </c>
      <c r="O230" s="1927">
        <f>M230*W230</f>
        <v>0</v>
      </c>
      <c r="P230" s="249" t="b">
        <v>1</v>
      </c>
      <c r="Q230" s="249" t="b">
        <v>0</v>
      </c>
      <c r="R230" s="249" t="b">
        <v>0</v>
      </c>
      <c r="S230" s="249" t="b">
        <v>1</v>
      </c>
      <c r="T230" s="249" t="b">
        <v>0</v>
      </c>
      <c r="U230" s="249"/>
      <c r="V230" s="249"/>
      <c r="W230" s="25"/>
      <c r="X230" s="1757"/>
      <c r="Y230" s="2081" t="str">
        <f>IF(LEN('Ch5'!X231)=0,"None",'Ch5'!X231)</f>
        <v>None</v>
      </c>
      <c r="Z230" s="2083"/>
      <c r="AA230" s="1526"/>
      <c r="AC230" s="970"/>
      <c r="AD230" s="970"/>
      <c r="AE230" s="970"/>
      <c r="AF230" s="249"/>
      <c r="AG230" s="249"/>
      <c r="AH230" s="249"/>
      <c r="AI230" s="249"/>
      <c r="AJ230" s="249"/>
      <c r="AK230" s="249"/>
      <c r="AL230" s="1336" t="str">
        <f>SUBSTITUTE(SUBSTITUTE(SUBSTITUTE("vpa"&amp;$B230&amp;$C230&amp;$D230&amp;$E230,".","_"),"(","_"),")","")</f>
        <v>vpa504_3_5</v>
      </c>
      <c r="AM230" s="254">
        <f>M230</f>
        <v>4</v>
      </c>
      <c r="AN230" s="1336" t="str">
        <f>SUBSTITUTE(SUBSTITUTE(SUBSTITUTE("vpc"&amp;$B230&amp;$C230&amp;$D230&amp;$E230,".","_"),"(","_"),")","")</f>
        <v>vpc504_3_5</v>
      </c>
      <c r="AO230" s="254">
        <f>O230</f>
        <v>0</v>
      </c>
      <c r="AP230" s="1336" t="str">
        <f>SUBSTITUTE(SUBSTITUTE(SUBSTITUTE("vch"&amp;$B230&amp;$C230&amp;$D230&amp;$E230,".","_"),"(","_"),")","")</f>
        <v>vch504_3_5</v>
      </c>
      <c r="AQ230" s="254" t="str">
        <f>IF(LEN(W230)=0,"",W230)</f>
        <v/>
      </c>
      <c r="AR230" s="1336" t="str">
        <f>SUBSTITUTE(SUBSTITUTE(SUBSTITUTE("vnt"&amp;$B230&amp;$C230&amp;$D230&amp;$E230,".","_"),"(","_"),")","")</f>
        <v>vnt504_3_5</v>
      </c>
      <c r="AS230" s="254" t="str">
        <f>IF(LEN(X230)=0,"",X230)</f>
        <v/>
      </c>
    </row>
    <row r="231" spans="1:45" x14ac:dyDescent="0.25">
      <c r="A231" s="2371">
        <v>5</v>
      </c>
      <c r="B231" s="2374" t="s">
        <v>461</v>
      </c>
      <c r="C231" s="2374" t="s">
        <v>275</v>
      </c>
      <c r="D231" s="2374"/>
      <c r="E231" s="2374"/>
      <c r="F231" s="2374"/>
      <c r="G231" s="2373" t="str">
        <f>G230</f>
        <v/>
      </c>
      <c r="H231" s="2375" t="s">
        <v>3972</v>
      </c>
      <c r="I231" s="90"/>
      <c r="J231" s="102"/>
      <c r="K231" s="102"/>
      <c r="L231" s="1754"/>
      <c r="M231" s="1758"/>
      <c r="N231" s="1927"/>
      <c r="O231" s="1927"/>
      <c r="P231" s="249"/>
      <c r="Q231" s="249"/>
      <c r="R231" s="249"/>
      <c r="S231" s="249"/>
      <c r="T231" s="249"/>
      <c r="U231" s="249"/>
      <c r="V231" s="249"/>
      <c r="W231" s="249"/>
      <c r="X231" s="1757"/>
      <c r="Y231" s="2081"/>
      <c r="Z231" s="2083"/>
      <c r="AA231" s="1526"/>
      <c r="AC231" s="970"/>
      <c r="AD231" s="970"/>
      <c r="AE231" s="970"/>
      <c r="AF231" s="249"/>
      <c r="AG231" s="249"/>
      <c r="AH231" s="249"/>
      <c r="AI231" s="249"/>
      <c r="AJ231" s="249"/>
      <c r="AK231" s="249"/>
      <c r="AL231" s="1336"/>
      <c r="AM231" s="1336"/>
      <c r="AN231" s="1336"/>
      <c r="AO231" s="1336"/>
      <c r="AP231" s="1336"/>
      <c r="AQ231" s="1336"/>
      <c r="AR231" s="1336"/>
      <c r="AS231" s="1336"/>
    </row>
    <row r="232" spans="1:45" x14ac:dyDescent="0.25">
      <c r="A232" s="2371">
        <v>5</v>
      </c>
      <c r="B232" s="2374" t="s">
        <v>461</v>
      </c>
      <c r="C232" s="2374" t="s">
        <v>275</v>
      </c>
      <c r="D232" s="2374"/>
      <c r="E232" s="2374"/>
      <c r="F232" s="2374"/>
      <c r="G232" s="2373" t="str">
        <f>G231</f>
        <v/>
      </c>
      <c r="H232" s="2375" t="s">
        <v>3972</v>
      </c>
      <c r="I232" s="90"/>
      <c r="J232" s="102"/>
      <c r="K232" s="102"/>
      <c r="L232" s="1754"/>
      <c r="M232" s="1758"/>
      <c r="N232" s="1927"/>
      <c r="O232" s="1927"/>
      <c r="P232" s="249"/>
      <c r="Q232" s="249"/>
      <c r="R232" s="249"/>
      <c r="S232" s="249"/>
      <c r="T232" s="249"/>
      <c r="U232" s="249"/>
      <c r="V232" s="249"/>
      <c r="W232" s="249"/>
      <c r="X232" s="1757"/>
      <c r="Y232" s="2081"/>
      <c r="Z232" s="2083"/>
      <c r="AA232" s="1526"/>
      <c r="AC232" s="970"/>
      <c r="AD232" s="970"/>
      <c r="AE232" s="970"/>
      <c r="AF232" s="249"/>
      <c r="AG232" s="249"/>
      <c r="AH232" s="249"/>
      <c r="AI232" s="249"/>
      <c r="AJ232" s="249"/>
      <c r="AK232" s="249"/>
      <c r="AL232" s="1336"/>
      <c r="AM232" s="1336"/>
      <c r="AN232" s="1336"/>
      <c r="AO232" s="1336"/>
      <c r="AP232" s="1336"/>
      <c r="AQ232" s="1336"/>
      <c r="AR232" s="1336"/>
      <c r="AS232" s="1336"/>
    </row>
    <row r="233" spans="1:45" x14ac:dyDescent="0.25">
      <c r="A233" s="2371">
        <v>5</v>
      </c>
      <c r="B233" s="2374" t="s">
        <v>461</v>
      </c>
      <c r="C233" s="2374" t="s">
        <v>275</v>
      </c>
      <c r="D233" s="2374"/>
      <c r="E233" s="2374"/>
      <c r="F233" s="2374"/>
      <c r="G233" s="2373" t="str">
        <f>G232</f>
        <v/>
      </c>
      <c r="H233" s="2375" t="s">
        <v>3972</v>
      </c>
      <c r="I233" s="90"/>
      <c r="J233" s="177"/>
      <c r="K233" s="177"/>
      <c r="L233" s="1755"/>
      <c r="M233" s="1759"/>
      <c r="N233" s="2076"/>
      <c r="O233" s="2076"/>
      <c r="P233" s="249"/>
      <c r="Q233" s="249"/>
      <c r="R233" s="249"/>
      <c r="S233" s="249"/>
      <c r="T233" s="249"/>
      <c r="U233" s="249"/>
      <c r="V233" s="249"/>
      <c r="W233" s="249"/>
      <c r="X233" s="1757"/>
      <c r="Y233" s="2081"/>
      <c r="Z233" s="2083"/>
      <c r="AA233" s="1526"/>
      <c r="AC233" s="970"/>
      <c r="AD233" s="970"/>
      <c r="AE233" s="970"/>
      <c r="AF233" s="249"/>
      <c r="AG233" s="249"/>
      <c r="AH233" s="249"/>
      <c r="AI233" s="249"/>
      <c r="AJ233" s="249"/>
      <c r="AK233" s="249"/>
      <c r="AL233" s="1336"/>
      <c r="AM233" s="1336"/>
      <c r="AN233" s="1336"/>
      <c r="AO233" s="1336"/>
      <c r="AP233" s="1336"/>
      <c r="AQ233" s="1336"/>
      <c r="AR233" s="1336"/>
      <c r="AS233" s="1336"/>
    </row>
    <row r="234" spans="1:45" x14ac:dyDescent="0.25">
      <c r="A234" s="2371">
        <v>5</v>
      </c>
      <c r="B234" s="2374" t="s">
        <v>461</v>
      </c>
      <c r="C234" s="2374" t="s">
        <v>277</v>
      </c>
      <c r="D234" s="2374"/>
      <c r="E234" s="2374"/>
      <c r="F234" s="2374"/>
      <c r="G234" s="2373" t="str">
        <f>IF(N234&gt;0,"P","")</f>
        <v/>
      </c>
      <c r="H234" s="2375" t="s">
        <v>3972</v>
      </c>
      <c r="I234" s="90"/>
      <c r="J234" s="91" t="s">
        <v>277</v>
      </c>
      <c r="K234" s="102"/>
      <c r="L234" s="1754" t="s">
        <v>468</v>
      </c>
      <c r="M234" s="1758">
        <v>3</v>
      </c>
      <c r="N234" s="1927">
        <f>'Ch5'!O235</f>
        <v>0</v>
      </c>
      <c r="O234" s="1927">
        <f>M234*W234</f>
        <v>0</v>
      </c>
      <c r="P234" s="249" t="b">
        <v>1</v>
      </c>
      <c r="Q234" s="249" t="b">
        <v>0</v>
      </c>
      <c r="R234" s="249" t="b">
        <v>0</v>
      </c>
      <c r="S234" s="249" t="b">
        <v>1</v>
      </c>
      <c r="T234" s="249" t="b">
        <v>0</v>
      </c>
      <c r="U234" s="249"/>
      <c r="V234" s="249"/>
      <c r="W234" s="25"/>
      <c r="X234" s="1757"/>
      <c r="Y234" s="2081" t="str">
        <f>IF(LEN('Ch5'!X235)=0,"None",'Ch5'!X235)</f>
        <v>None</v>
      </c>
      <c r="Z234" s="2083"/>
      <c r="AA234" s="1526"/>
      <c r="AC234" s="970"/>
      <c r="AD234" s="970"/>
      <c r="AE234" s="970"/>
      <c r="AF234" s="249"/>
      <c r="AG234" s="249"/>
      <c r="AH234" s="249"/>
      <c r="AI234" s="249"/>
      <c r="AJ234" s="249"/>
      <c r="AK234" s="249"/>
      <c r="AL234" s="1336" t="str">
        <f>SUBSTITUTE(SUBSTITUTE(SUBSTITUTE("vpa"&amp;$B234&amp;$C234&amp;$D234&amp;$E234,".","_"),"(","_"),")","")</f>
        <v>vpa504_3_6</v>
      </c>
      <c r="AM234" s="254">
        <f>M234</f>
        <v>3</v>
      </c>
      <c r="AN234" s="1336" t="str">
        <f>SUBSTITUTE(SUBSTITUTE(SUBSTITUTE("vpc"&amp;$B234&amp;$C234&amp;$D234&amp;$E234,".","_"),"(","_"),")","")</f>
        <v>vpc504_3_6</v>
      </c>
      <c r="AO234" s="254">
        <f>O234</f>
        <v>0</v>
      </c>
      <c r="AP234" s="1336" t="str">
        <f>SUBSTITUTE(SUBSTITUTE(SUBSTITUTE("vch"&amp;$B234&amp;$C234&amp;$D234&amp;$E234,".","_"),"(","_"),")","")</f>
        <v>vch504_3_6</v>
      </c>
      <c r="AQ234" s="254" t="str">
        <f>IF(LEN(W234)=0,"",W234)</f>
        <v/>
      </c>
      <c r="AR234" s="1336" t="str">
        <f>SUBSTITUTE(SUBSTITUTE(SUBSTITUTE("vnt"&amp;$B234&amp;$C234&amp;$D234&amp;$E234,".","_"),"(","_"),")","")</f>
        <v>vnt504_3_6</v>
      </c>
      <c r="AS234" s="254" t="str">
        <f>IF(LEN(X234)=0,"",X234)</f>
        <v/>
      </c>
    </row>
    <row r="235" spans="1:45" x14ac:dyDescent="0.25">
      <c r="A235" s="2371">
        <v>5</v>
      </c>
      <c r="B235" s="2374" t="s">
        <v>461</v>
      </c>
      <c r="C235" s="2374" t="s">
        <v>277</v>
      </c>
      <c r="D235" s="2374"/>
      <c r="E235" s="2374"/>
      <c r="F235" s="2374"/>
      <c r="G235" s="2373" t="str">
        <f>G234</f>
        <v/>
      </c>
      <c r="H235" s="2375" t="s">
        <v>3972</v>
      </c>
      <c r="I235" s="90"/>
      <c r="J235" s="102"/>
      <c r="K235" s="102"/>
      <c r="L235" s="1754"/>
      <c r="M235" s="1758"/>
      <c r="N235" s="1927"/>
      <c r="O235" s="1927"/>
      <c r="P235" s="249"/>
      <c r="Q235" s="249"/>
      <c r="R235" s="249"/>
      <c r="S235" s="249"/>
      <c r="T235" s="249"/>
      <c r="U235" s="249"/>
      <c r="V235" s="249"/>
      <c r="W235" s="249"/>
      <c r="X235" s="1757"/>
      <c r="Y235" s="2081"/>
      <c r="Z235" s="2083"/>
      <c r="AA235" s="1526"/>
      <c r="AC235" s="970"/>
      <c r="AD235" s="970"/>
      <c r="AE235" s="970"/>
      <c r="AF235" s="249"/>
      <c r="AG235" s="249"/>
      <c r="AH235" s="249"/>
      <c r="AI235" s="249"/>
      <c r="AJ235" s="249"/>
      <c r="AK235" s="249"/>
      <c r="AL235" s="1336"/>
      <c r="AM235" s="1336"/>
      <c r="AN235" s="1336"/>
      <c r="AO235" s="1336"/>
      <c r="AP235" s="1336"/>
      <c r="AQ235" s="1336"/>
      <c r="AR235" s="1336"/>
      <c r="AS235" s="1336"/>
    </row>
    <row r="236" spans="1:45" x14ac:dyDescent="0.25">
      <c r="A236" s="2371">
        <v>5</v>
      </c>
      <c r="B236" s="2374" t="s">
        <v>461</v>
      </c>
      <c r="C236" s="2374" t="s">
        <v>277</v>
      </c>
      <c r="D236" s="2374"/>
      <c r="E236" s="2374"/>
      <c r="F236" s="2374"/>
      <c r="G236" s="2373" t="str">
        <f>G235</f>
        <v/>
      </c>
      <c r="H236" s="2375" t="s">
        <v>3972</v>
      </c>
      <c r="I236" s="90"/>
      <c r="J236" s="177"/>
      <c r="K236" s="177"/>
      <c r="L236" s="1755"/>
      <c r="M236" s="1759"/>
      <c r="N236" s="2076"/>
      <c r="O236" s="2076"/>
      <c r="P236" s="249"/>
      <c r="Q236" s="249"/>
      <c r="R236" s="249"/>
      <c r="S236" s="249"/>
      <c r="T236" s="249"/>
      <c r="U236" s="249"/>
      <c r="V236" s="249"/>
      <c r="W236" s="249"/>
      <c r="X236" s="1757"/>
      <c r="Y236" s="2081"/>
      <c r="Z236" s="2083"/>
      <c r="AA236" s="1526"/>
      <c r="AC236" s="970"/>
      <c r="AD236" s="970"/>
      <c r="AE236" s="970"/>
      <c r="AF236" s="249"/>
      <c r="AG236" s="249"/>
      <c r="AH236" s="249"/>
      <c r="AI236" s="249"/>
      <c r="AJ236" s="249"/>
      <c r="AK236" s="249"/>
      <c r="AL236" s="1336"/>
      <c r="AM236" s="1336"/>
      <c r="AN236" s="1336"/>
      <c r="AO236" s="1336"/>
      <c r="AP236" s="1336"/>
      <c r="AQ236" s="1336"/>
      <c r="AR236" s="1336"/>
      <c r="AS236" s="1336"/>
    </row>
    <row r="237" spans="1:45" x14ac:dyDescent="0.25">
      <c r="A237" s="2371">
        <v>5</v>
      </c>
      <c r="B237" s="2374" t="s">
        <v>461</v>
      </c>
      <c r="C237" s="2374" t="s">
        <v>383</v>
      </c>
      <c r="D237" s="2374"/>
      <c r="E237" s="2374"/>
      <c r="F237" s="2374"/>
      <c r="G237" s="2373" t="str">
        <f>IF(N237&gt;0,"P","")</f>
        <v/>
      </c>
      <c r="H237" s="2375" t="s">
        <v>3971</v>
      </c>
      <c r="I237" s="90"/>
      <c r="J237" s="174" t="s">
        <v>383</v>
      </c>
      <c r="K237" s="177"/>
      <c r="L237" s="1163" t="s">
        <v>469</v>
      </c>
      <c r="M237" s="1015">
        <v>3</v>
      </c>
      <c r="N237" s="1047">
        <f>'Ch5'!O238</f>
        <v>0</v>
      </c>
      <c r="O237" s="1047">
        <f>M237*W237</f>
        <v>0</v>
      </c>
      <c r="P237" s="249" t="b">
        <v>1</v>
      </c>
      <c r="Q237" s="249" t="b">
        <v>1</v>
      </c>
      <c r="R237" s="249" t="b">
        <v>0</v>
      </c>
      <c r="S237" s="249" t="b">
        <v>1</v>
      </c>
      <c r="T237" s="249" t="b">
        <v>0</v>
      </c>
      <c r="U237" s="249"/>
      <c r="V237" s="249"/>
      <c r="W237" s="25"/>
      <c r="X237" s="918"/>
      <c r="Y237" s="988" t="str">
        <f>IF(LEN('Ch5'!X238)=0,"None",'Ch5'!X238)</f>
        <v>None</v>
      </c>
      <c r="Z237" s="1587"/>
      <c r="AA237" s="1526"/>
      <c r="AC237" s="970"/>
      <c r="AD237" s="970"/>
      <c r="AE237" s="970"/>
      <c r="AF237" s="249"/>
      <c r="AG237" s="249"/>
      <c r="AH237" s="249"/>
      <c r="AI237" s="249"/>
      <c r="AJ237" s="249"/>
      <c r="AK237" s="249"/>
      <c r="AL237" s="1336" t="str">
        <f>SUBSTITUTE(SUBSTITUTE(SUBSTITUTE("vpa"&amp;$B237&amp;$C237&amp;$D237&amp;$E237,".","_"),"(","_"),")","")</f>
        <v>vpa504_3_7</v>
      </c>
      <c r="AM237" s="254">
        <f>M237</f>
        <v>3</v>
      </c>
      <c r="AN237" s="1336" t="str">
        <f>SUBSTITUTE(SUBSTITUTE(SUBSTITUTE("vpc"&amp;$B237&amp;$C237&amp;$D237&amp;$E237,".","_"),"(","_"),")","")</f>
        <v>vpc504_3_7</v>
      </c>
      <c r="AO237" s="254">
        <f>O237</f>
        <v>0</v>
      </c>
      <c r="AP237" s="1336" t="str">
        <f>SUBSTITUTE(SUBSTITUTE(SUBSTITUTE("vch"&amp;$B237&amp;$C237&amp;$D237&amp;$E237,".","_"),"(","_"),")","")</f>
        <v>vch504_3_7</v>
      </c>
      <c r="AQ237" s="254" t="str">
        <f>IF(LEN(W237)=0,"",W237)</f>
        <v/>
      </c>
      <c r="AR237" s="1336" t="str">
        <f>SUBSTITUTE(SUBSTITUTE(SUBSTITUTE("vnt"&amp;$B237&amp;$C237&amp;$D237&amp;$E237,".","_"),"(","_"),")","")</f>
        <v>vnt504_3_7</v>
      </c>
      <c r="AS237" s="254" t="str">
        <f>IF(LEN(X237)=0,"",X237)</f>
        <v/>
      </c>
    </row>
    <row r="238" spans="1:45" x14ac:dyDescent="0.25">
      <c r="A238" s="2371">
        <v>5</v>
      </c>
      <c r="B238" s="2374" t="s">
        <v>461</v>
      </c>
      <c r="C238" s="2374" t="s">
        <v>428</v>
      </c>
      <c r="D238" s="2374"/>
      <c r="E238" s="2374"/>
      <c r="F238" s="2374"/>
      <c r="G238" s="2373" t="str">
        <f>IF(N238&gt;0,"P","")</f>
        <v/>
      </c>
      <c r="H238" s="2375" t="s">
        <v>3971</v>
      </c>
      <c r="I238" s="90"/>
      <c r="J238" s="91" t="s">
        <v>428</v>
      </c>
      <c r="K238" s="102"/>
      <c r="L238" s="1160" t="s">
        <v>2978</v>
      </c>
      <c r="M238" s="1758">
        <v>5</v>
      </c>
      <c r="N238" s="1927">
        <f>'Ch5'!O239</f>
        <v>0</v>
      </c>
      <c r="O238" s="1927">
        <f>M238*MIN(1,(W239+W240+W241+W242+W243+W244))</f>
        <v>0</v>
      </c>
      <c r="P238" s="249"/>
      <c r="Q238" s="249"/>
      <c r="R238" s="249"/>
      <c r="S238" s="249"/>
      <c r="T238" s="249"/>
      <c r="U238" s="249"/>
      <c r="V238" s="249"/>
      <c r="W238" s="249"/>
      <c r="X238" s="1757"/>
      <c r="Y238" s="2081" t="str">
        <f>IF(LEN('Ch5'!X239)=0,"None",'Ch5'!X239)</f>
        <v>None</v>
      </c>
      <c r="Z238" s="2083"/>
      <c r="AA238" s="1526"/>
      <c r="AC238" s="970"/>
      <c r="AD238" s="970"/>
      <c r="AE238" s="970"/>
      <c r="AF238" s="784"/>
      <c r="AG238" s="249"/>
      <c r="AH238" s="249"/>
      <c r="AI238" s="249"/>
      <c r="AJ238" s="249"/>
      <c r="AK238" s="249"/>
      <c r="AL238" s="1336" t="str">
        <f>SUBSTITUTE(SUBSTITUTE(SUBSTITUTE("vpa"&amp;$B238&amp;$C238&amp;$D238&amp;$E238,".","_"),"(","_"),")","")</f>
        <v>vpa504_3_8</v>
      </c>
      <c r="AM238" s="254">
        <f>M238</f>
        <v>5</v>
      </c>
      <c r="AN238" s="1336" t="str">
        <f>SUBSTITUTE(SUBSTITUTE(SUBSTITUTE("vpc"&amp;$B238&amp;$C238&amp;$D238&amp;$E238,".","_"),"(","_"),")","")</f>
        <v>vpc504_3_8</v>
      </c>
      <c r="AO238" s="254">
        <f>O238</f>
        <v>0</v>
      </c>
      <c r="AP238" s="254"/>
      <c r="AQ238" s="254"/>
      <c r="AR238" s="1336" t="str">
        <f>SUBSTITUTE(SUBSTITUTE(SUBSTITUTE("vnt"&amp;$B238&amp;$C238&amp;$D238&amp;$E238,".","_"),"(","_"),")","")</f>
        <v>vnt504_3_8</v>
      </c>
      <c r="AS238" s="254" t="str">
        <f>IF(LEN(X238)=0,"",X238)</f>
        <v/>
      </c>
    </row>
    <row r="239" spans="1:45" x14ac:dyDescent="0.25">
      <c r="A239" s="2371">
        <v>5</v>
      </c>
      <c r="B239" s="2374" t="s">
        <v>461</v>
      </c>
      <c r="C239" s="2374" t="s">
        <v>428</v>
      </c>
      <c r="D239" s="2374" t="s">
        <v>2971</v>
      </c>
      <c r="E239" s="2374"/>
      <c r="F239" s="2374"/>
      <c r="G239" s="2373" t="str">
        <f t="shared" ref="G239:G245" si="6">G238</f>
        <v/>
      </c>
      <c r="H239" s="2375" t="s">
        <v>3971</v>
      </c>
      <c r="I239" s="90"/>
      <c r="J239" s="102"/>
      <c r="K239" s="102"/>
      <c r="L239" s="1160" t="s">
        <v>2984</v>
      </c>
      <c r="M239" s="1758"/>
      <c r="N239" s="1927"/>
      <c r="O239" s="1927"/>
      <c r="P239" s="249" t="b">
        <v>1</v>
      </c>
      <c r="Q239" s="352" t="b">
        <v>1</v>
      </c>
      <c r="R239" s="249" t="b">
        <v>0</v>
      </c>
      <c r="S239" s="249" t="b">
        <v>1</v>
      </c>
      <c r="T239" s="249" t="b">
        <v>0</v>
      </c>
      <c r="U239" s="249"/>
      <c r="V239" s="249"/>
      <c r="W239" s="25"/>
      <c r="X239" s="1757"/>
      <c r="Y239" s="2081"/>
      <c r="Z239" s="2083"/>
      <c r="AA239" s="1526"/>
      <c r="AC239" s="970"/>
      <c r="AD239" s="970"/>
      <c r="AE239" s="970"/>
      <c r="AF239" s="249"/>
      <c r="AG239" s="249"/>
      <c r="AH239" s="249"/>
      <c r="AI239" s="249"/>
      <c r="AJ239" s="249"/>
      <c r="AK239" s="249"/>
      <c r="AL239" s="1336"/>
      <c r="AM239" s="1336"/>
      <c r="AN239" s="1336"/>
      <c r="AO239" s="1336"/>
      <c r="AP239" s="1336" t="str">
        <f t="shared" ref="AP239:AP244" si="7">SUBSTITUTE(SUBSTITUTE(SUBSTITUTE("vch"&amp;$B239&amp;$C239&amp;$D239&amp;$E239,".","_"),"(","_"),")","")</f>
        <v>vch504_3_8a</v>
      </c>
      <c r="AQ239" s="254" t="str">
        <f t="shared" ref="AQ239:AQ244" si="8">IF(LEN(W239)=0,"",W239)</f>
        <v/>
      </c>
      <c r="AR239" s="1336"/>
      <c r="AS239" s="1336"/>
    </row>
    <row r="240" spans="1:45" x14ac:dyDescent="0.25">
      <c r="A240" s="2371">
        <v>5</v>
      </c>
      <c r="B240" s="2374" t="s">
        <v>461</v>
      </c>
      <c r="C240" s="2374" t="s">
        <v>428</v>
      </c>
      <c r="D240" s="2374" t="s">
        <v>2972</v>
      </c>
      <c r="E240" s="2374"/>
      <c r="F240" s="2374"/>
      <c r="G240" s="2373" t="str">
        <f t="shared" si="6"/>
        <v/>
      </c>
      <c r="H240" s="2375" t="s">
        <v>3971</v>
      </c>
      <c r="I240" s="90"/>
      <c r="J240" s="102"/>
      <c r="K240" s="102"/>
      <c r="L240" s="1160" t="s">
        <v>2983</v>
      </c>
      <c r="M240" s="1758"/>
      <c r="N240" s="1927"/>
      <c r="O240" s="1927"/>
      <c r="P240" s="249" t="b">
        <v>1</v>
      </c>
      <c r="Q240" s="352" t="b">
        <v>1</v>
      </c>
      <c r="R240" s="249" t="b">
        <v>0</v>
      </c>
      <c r="S240" s="249" t="b">
        <v>1</v>
      </c>
      <c r="T240" s="249" t="b">
        <v>0</v>
      </c>
      <c r="U240" s="249"/>
      <c r="V240" s="249"/>
      <c r="W240" s="25"/>
      <c r="X240" s="1757"/>
      <c r="Y240" s="2081"/>
      <c r="Z240" s="2083"/>
      <c r="AA240" s="1526"/>
      <c r="AC240" s="970"/>
      <c r="AD240" s="970"/>
      <c r="AE240" s="970"/>
      <c r="AF240" s="249"/>
      <c r="AG240" s="249"/>
      <c r="AH240" s="249"/>
      <c r="AI240" s="249"/>
      <c r="AJ240" s="249"/>
      <c r="AK240" s="249"/>
      <c r="AL240" s="1336"/>
      <c r="AM240" s="1336"/>
      <c r="AN240" s="1336"/>
      <c r="AO240" s="1336"/>
      <c r="AP240" s="1336" t="str">
        <f t="shared" si="7"/>
        <v>vch504_3_8b</v>
      </c>
      <c r="AQ240" s="254" t="str">
        <f t="shared" si="8"/>
        <v/>
      </c>
      <c r="AR240" s="1336"/>
      <c r="AS240" s="1336"/>
    </row>
    <row r="241" spans="1:46" x14ac:dyDescent="0.25">
      <c r="A241" s="2371">
        <v>5</v>
      </c>
      <c r="B241" s="2374" t="s">
        <v>461</v>
      </c>
      <c r="C241" s="2374" t="s">
        <v>428</v>
      </c>
      <c r="D241" s="2374" t="s">
        <v>2973</v>
      </c>
      <c r="E241" s="2374"/>
      <c r="F241" s="2374"/>
      <c r="G241" s="2373" t="str">
        <f t="shared" si="6"/>
        <v/>
      </c>
      <c r="H241" s="2375" t="s">
        <v>3971</v>
      </c>
      <c r="I241" s="90"/>
      <c r="J241" s="102"/>
      <c r="K241" s="102"/>
      <c r="L241" s="1160" t="s">
        <v>2982</v>
      </c>
      <c r="M241" s="1758"/>
      <c r="N241" s="1927"/>
      <c r="O241" s="1927"/>
      <c r="P241" s="249" t="b">
        <v>1</v>
      </c>
      <c r="Q241" s="352" t="b">
        <v>1</v>
      </c>
      <c r="R241" s="249" t="b">
        <v>0</v>
      </c>
      <c r="S241" s="249" t="b">
        <v>1</v>
      </c>
      <c r="T241" s="249" t="b">
        <v>0</v>
      </c>
      <c r="U241" s="249"/>
      <c r="V241" s="249"/>
      <c r="W241" s="25"/>
      <c r="X241" s="1757"/>
      <c r="Y241" s="2081"/>
      <c r="Z241" s="2083"/>
      <c r="AA241" s="1526"/>
      <c r="AC241" s="970"/>
      <c r="AD241" s="970"/>
      <c r="AE241" s="970"/>
      <c r="AF241" s="249"/>
      <c r="AG241" s="249"/>
      <c r="AH241" s="249"/>
      <c r="AI241" s="249"/>
      <c r="AJ241" s="249"/>
      <c r="AK241" s="249"/>
      <c r="AL241" s="1336"/>
      <c r="AM241" s="1336"/>
      <c r="AN241" s="1336"/>
      <c r="AO241" s="1336"/>
      <c r="AP241" s="1336" t="str">
        <f t="shared" si="7"/>
        <v>vch504_3_8c</v>
      </c>
      <c r="AQ241" s="254" t="str">
        <f t="shared" si="8"/>
        <v/>
      </c>
      <c r="AR241" s="1336"/>
      <c r="AS241" s="1336"/>
    </row>
    <row r="242" spans="1:46" x14ac:dyDescent="0.25">
      <c r="A242" s="2371">
        <v>5</v>
      </c>
      <c r="B242" s="2374" t="s">
        <v>461</v>
      </c>
      <c r="C242" s="2374" t="s">
        <v>428</v>
      </c>
      <c r="D242" s="2374" t="s">
        <v>2974</v>
      </c>
      <c r="E242" s="2374"/>
      <c r="F242" s="2374"/>
      <c r="G242" s="2373" t="str">
        <f t="shared" si="6"/>
        <v/>
      </c>
      <c r="H242" s="2375" t="s">
        <v>3971</v>
      </c>
      <c r="I242" s="90"/>
      <c r="J242" s="102"/>
      <c r="K242" s="102"/>
      <c r="L242" s="1160" t="s">
        <v>2981</v>
      </c>
      <c r="M242" s="1758"/>
      <c r="N242" s="1927"/>
      <c r="O242" s="1927"/>
      <c r="P242" s="249" t="b">
        <v>1</v>
      </c>
      <c r="Q242" s="352" t="b">
        <v>1</v>
      </c>
      <c r="R242" s="249" t="b">
        <v>0</v>
      </c>
      <c r="S242" s="249" t="b">
        <v>1</v>
      </c>
      <c r="T242" s="249" t="b">
        <v>0</v>
      </c>
      <c r="U242" s="249"/>
      <c r="V242" s="249"/>
      <c r="W242" s="25"/>
      <c r="X242" s="1757"/>
      <c r="Y242" s="2081"/>
      <c r="Z242" s="2083"/>
      <c r="AA242" s="1526"/>
      <c r="AC242" s="970"/>
      <c r="AD242" s="970"/>
      <c r="AE242" s="970"/>
      <c r="AF242" s="249"/>
      <c r="AG242" s="249"/>
      <c r="AH242" s="249"/>
      <c r="AI242" s="249"/>
      <c r="AJ242" s="249"/>
      <c r="AK242" s="249"/>
      <c r="AL242" s="1336"/>
      <c r="AM242" s="1336"/>
      <c r="AN242" s="1336"/>
      <c r="AO242" s="1336"/>
      <c r="AP242" s="1336" t="str">
        <f t="shared" si="7"/>
        <v>vch504_3_8d</v>
      </c>
      <c r="AQ242" s="254" t="str">
        <f t="shared" si="8"/>
        <v/>
      </c>
      <c r="AR242" s="1336"/>
      <c r="AS242" s="1336"/>
    </row>
    <row r="243" spans="1:46" x14ac:dyDescent="0.25">
      <c r="A243" s="2371">
        <v>5</v>
      </c>
      <c r="B243" s="2374" t="s">
        <v>461</v>
      </c>
      <c r="C243" s="2374" t="s">
        <v>428</v>
      </c>
      <c r="D243" s="2374" t="s">
        <v>2975</v>
      </c>
      <c r="E243" s="2374"/>
      <c r="F243" s="2374"/>
      <c r="G243" s="2373" t="str">
        <f t="shared" si="6"/>
        <v/>
      </c>
      <c r="H243" s="2375" t="s">
        <v>3971</v>
      </c>
      <c r="I243" s="90"/>
      <c r="J243" s="102"/>
      <c r="K243" s="102"/>
      <c r="L243" s="1160" t="s">
        <v>2980</v>
      </c>
      <c r="M243" s="1758"/>
      <c r="N243" s="1927"/>
      <c r="O243" s="1927"/>
      <c r="P243" s="249" t="b">
        <v>1</v>
      </c>
      <c r="Q243" s="352" t="b">
        <v>1</v>
      </c>
      <c r="R243" s="249" t="b">
        <v>0</v>
      </c>
      <c r="S243" s="249" t="b">
        <v>1</v>
      </c>
      <c r="T243" s="249" t="b">
        <v>0</v>
      </c>
      <c r="U243" s="249"/>
      <c r="V243" s="249"/>
      <c r="W243" s="25"/>
      <c r="X243" s="1757"/>
      <c r="Y243" s="2081"/>
      <c r="Z243" s="2083"/>
      <c r="AA243" s="1526"/>
      <c r="AC243" s="970"/>
      <c r="AD243" s="970"/>
      <c r="AE243" s="970"/>
      <c r="AF243" s="249"/>
      <c r="AG243" s="249"/>
      <c r="AH243" s="249"/>
      <c r="AI243" s="249"/>
      <c r="AJ243" s="249"/>
      <c r="AK243" s="249"/>
      <c r="AL243" s="1336"/>
      <c r="AM243" s="1336"/>
      <c r="AN243" s="1336"/>
      <c r="AO243" s="1336"/>
      <c r="AP243" s="1336" t="str">
        <f t="shared" si="7"/>
        <v>vch504_3_8e</v>
      </c>
      <c r="AQ243" s="254" t="str">
        <f t="shared" si="8"/>
        <v/>
      </c>
      <c r="AR243" s="1336"/>
      <c r="AS243" s="1336"/>
    </row>
    <row r="244" spans="1:46" x14ac:dyDescent="0.25">
      <c r="A244" s="2371">
        <v>5</v>
      </c>
      <c r="B244" s="2374" t="s">
        <v>461</v>
      </c>
      <c r="C244" s="2374" t="s">
        <v>428</v>
      </c>
      <c r="D244" s="2374" t="s">
        <v>2976</v>
      </c>
      <c r="E244" s="2374"/>
      <c r="F244" s="2374"/>
      <c r="G244" s="2373" t="str">
        <f t="shared" si="6"/>
        <v/>
      </c>
      <c r="H244" s="2375" t="s">
        <v>3971</v>
      </c>
      <c r="I244" s="90"/>
      <c r="J244" s="102"/>
      <c r="K244" s="102"/>
      <c r="L244" s="1160" t="s">
        <v>2979</v>
      </c>
      <c r="M244" s="1758"/>
      <c r="N244" s="1927"/>
      <c r="O244" s="1927"/>
      <c r="P244" s="249" t="b">
        <v>1</v>
      </c>
      <c r="Q244" s="352" t="b">
        <v>1</v>
      </c>
      <c r="R244" s="249" t="b">
        <v>0</v>
      </c>
      <c r="S244" s="249" t="b">
        <v>1</v>
      </c>
      <c r="T244" s="249" t="b">
        <v>0</v>
      </c>
      <c r="U244" s="249"/>
      <c r="V244" s="249"/>
      <c r="W244" s="25"/>
      <c r="X244" s="1757"/>
      <c r="Y244" s="2081"/>
      <c r="Z244" s="2083"/>
      <c r="AA244" s="1526"/>
      <c r="AC244" s="970" t="b">
        <f>OR(AD244:AE244)</f>
        <v>0</v>
      </c>
      <c r="AD244" s="970" t="b">
        <v>0</v>
      </c>
      <c r="AE244" s="970" t="b">
        <f>AND(W244=TRUE,LEN(X238)=0)</f>
        <v>0</v>
      </c>
      <c r="AF244" s="784"/>
      <c r="AG244" s="249"/>
      <c r="AH244" s="249"/>
      <c r="AI244" s="249"/>
      <c r="AJ244" s="249"/>
      <c r="AK244" s="249"/>
      <c r="AL244" s="1336"/>
      <c r="AM244" s="1336"/>
      <c r="AN244" s="1336"/>
      <c r="AO244" s="1336"/>
      <c r="AP244" s="1336" t="str">
        <f t="shared" si="7"/>
        <v>vch504_3_8f</v>
      </c>
      <c r="AQ244" s="254" t="str">
        <f t="shared" si="8"/>
        <v/>
      </c>
      <c r="AR244" s="1336"/>
      <c r="AS244" s="1336"/>
    </row>
    <row r="245" spans="1:46" x14ac:dyDescent="0.25">
      <c r="A245" s="2371">
        <v>5</v>
      </c>
      <c r="B245" s="2374" t="s">
        <v>461</v>
      </c>
      <c r="C245" s="2374" t="s">
        <v>428</v>
      </c>
      <c r="D245" s="2374"/>
      <c r="E245" s="2374"/>
      <c r="F245" s="2374"/>
      <c r="G245" s="2373" t="str">
        <f t="shared" si="6"/>
        <v/>
      </c>
      <c r="H245" s="2375" t="s">
        <v>3971</v>
      </c>
      <c r="I245" s="90"/>
      <c r="J245" s="177"/>
      <c r="K245" s="177"/>
      <c r="L245" s="1177" t="s">
        <v>2977</v>
      </c>
      <c r="M245" s="1759"/>
      <c r="N245" s="2076"/>
      <c r="O245" s="2076"/>
      <c r="P245" s="249"/>
      <c r="Q245" s="249"/>
      <c r="R245" s="249"/>
      <c r="S245" s="249"/>
      <c r="T245" s="249"/>
      <c r="U245" s="249"/>
      <c r="V245" s="249"/>
      <c r="W245" s="249"/>
      <c r="X245" s="1757"/>
      <c r="Y245" s="2081"/>
      <c r="Z245" s="2083"/>
      <c r="AA245" s="1526"/>
      <c r="AC245" s="970"/>
      <c r="AD245" s="970"/>
      <c r="AE245" s="970"/>
      <c r="AF245" s="249"/>
      <c r="AG245" s="249"/>
      <c r="AH245" s="249"/>
      <c r="AI245" s="249"/>
      <c r="AJ245" s="249"/>
      <c r="AK245" s="249"/>
      <c r="AL245" s="1336"/>
      <c r="AM245" s="1336"/>
      <c r="AN245" s="1336"/>
      <c r="AO245" s="1336"/>
      <c r="AP245" s="1336"/>
      <c r="AQ245" s="1336"/>
      <c r="AR245" s="1336"/>
      <c r="AS245" s="1336"/>
    </row>
    <row r="246" spans="1:46" x14ac:dyDescent="0.25">
      <c r="A246" s="2371">
        <v>5</v>
      </c>
      <c r="B246" s="2374" t="s">
        <v>461</v>
      </c>
      <c r="C246" s="2374" t="s">
        <v>430</v>
      </c>
      <c r="D246" s="2374"/>
      <c r="E246" s="2374"/>
      <c r="F246" s="2374"/>
      <c r="G246" s="2373" t="str">
        <f>IF(N246&gt;0,"P","")</f>
        <v/>
      </c>
      <c r="H246" s="2375" t="s">
        <v>3971</v>
      </c>
      <c r="I246" s="90"/>
      <c r="J246" s="87" t="s">
        <v>430</v>
      </c>
      <c r="K246" s="90"/>
      <c r="L246" s="1170" t="s">
        <v>470</v>
      </c>
      <c r="M246" s="1014">
        <v>3</v>
      </c>
      <c r="N246" s="1042">
        <f>'Ch5'!O247</f>
        <v>0</v>
      </c>
      <c r="O246" s="1042">
        <f>M246*W246</f>
        <v>0</v>
      </c>
      <c r="P246" s="249" t="b">
        <v>1</v>
      </c>
      <c r="Q246" s="249" t="b">
        <v>1</v>
      </c>
      <c r="R246" s="249" t="b">
        <v>0</v>
      </c>
      <c r="S246" s="249" t="b">
        <v>1</v>
      </c>
      <c r="T246" s="249" t="b">
        <v>0</v>
      </c>
      <c r="U246" s="249"/>
      <c r="V246" s="249"/>
      <c r="W246" s="25"/>
      <c r="X246" s="918"/>
      <c r="Y246" s="988" t="str">
        <f>IF(LEN('Ch5'!X247)=0,"None",'Ch5'!X247)</f>
        <v>None</v>
      </c>
      <c r="Z246" s="1587"/>
      <c r="AA246" s="1526"/>
      <c r="AC246" s="970"/>
      <c r="AD246" s="970"/>
      <c r="AE246" s="970"/>
      <c r="AF246" s="249"/>
      <c r="AG246" s="249"/>
      <c r="AH246" s="249"/>
      <c r="AI246" s="249"/>
      <c r="AJ246" s="249"/>
      <c r="AK246" s="249"/>
      <c r="AL246" s="1336" t="str">
        <f>SUBSTITUTE(SUBSTITUTE(SUBSTITUTE("vpa"&amp;$B246&amp;$C246&amp;$D246&amp;$E246,".","_"),"(","_"),")","")</f>
        <v>vpa504_3_9</v>
      </c>
      <c r="AM246" s="254">
        <f>M246</f>
        <v>3</v>
      </c>
      <c r="AN246" s="1336" t="str">
        <f>SUBSTITUTE(SUBSTITUTE(SUBSTITUTE("vpc"&amp;$B246&amp;$C246&amp;$D246&amp;$E246,".","_"),"(","_"),")","")</f>
        <v>vpc504_3_9</v>
      </c>
      <c r="AO246" s="254">
        <f>O246</f>
        <v>0</v>
      </c>
      <c r="AP246" s="1336" t="str">
        <f>SUBSTITUTE(SUBSTITUTE(SUBSTITUTE("vch"&amp;$B246&amp;$C246&amp;$D246&amp;$E246,".","_"),"(","_"),")","")</f>
        <v>vch504_3_9</v>
      </c>
      <c r="AQ246" s="254" t="str">
        <f>IF(LEN(W246)=0,"",W246)</f>
        <v/>
      </c>
      <c r="AR246" s="1336" t="str">
        <f>SUBSTITUTE(SUBSTITUTE(SUBSTITUTE("vnt"&amp;$B246&amp;$C246&amp;$D246&amp;$E246,".","_"),"(","_"),")","")</f>
        <v>vnt504_3_9</v>
      </c>
      <c r="AS246" s="254" t="str">
        <f>IF(LEN(X246)=0,"",X246)</f>
        <v/>
      </c>
    </row>
    <row r="247" spans="1:46" ht="18.75" x14ac:dyDescent="0.3">
      <c r="A247" s="2371">
        <v>5</v>
      </c>
      <c r="B247" s="2374" t="s">
        <v>471</v>
      </c>
      <c r="C247" s="2374"/>
      <c r="D247" s="2374"/>
      <c r="E247" s="2374"/>
      <c r="F247" s="2374"/>
      <c r="G247" s="2373" t="s">
        <v>3974</v>
      </c>
      <c r="H247" s="2371" t="s">
        <v>3971</v>
      </c>
      <c r="I247" s="69" t="s">
        <v>472</v>
      </c>
      <c r="J247" s="69"/>
      <c r="K247" s="69"/>
      <c r="L247" s="84"/>
      <c r="M247" s="390"/>
      <c r="N247" s="1043"/>
      <c r="O247" s="1043"/>
      <c r="P247" s="23"/>
      <c r="Q247" s="23"/>
      <c r="R247" s="23"/>
      <c r="S247" s="23"/>
      <c r="T247" s="23"/>
      <c r="U247" s="23"/>
      <c r="V247" s="23"/>
      <c r="W247" s="23"/>
      <c r="X247" s="23"/>
      <c r="Y247" s="23"/>
      <c r="Z247" s="1586"/>
      <c r="AA247" s="1526"/>
      <c r="AC247" s="970"/>
      <c r="AD247" s="970"/>
      <c r="AE247" s="970"/>
      <c r="AF247" s="249"/>
      <c r="AG247" s="249"/>
      <c r="AH247" s="249"/>
      <c r="AI247" s="249"/>
      <c r="AJ247" s="249"/>
      <c r="AK247" s="249"/>
      <c r="AL247" s="1336"/>
      <c r="AM247" s="1336"/>
      <c r="AN247" s="1336"/>
      <c r="AO247" s="1336"/>
      <c r="AP247" s="1336"/>
      <c r="AQ247" s="1336"/>
      <c r="AR247" s="1336"/>
      <c r="AS247" s="1336"/>
    </row>
    <row r="248" spans="1:46" x14ac:dyDescent="0.25">
      <c r="A248" s="2371">
        <v>5</v>
      </c>
      <c r="B248" s="2374" t="s">
        <v>3984</v>
      </c>
      <c r="C248" s="2374"/>
      <c r="D248" s="2374"/>
      <c r="E248" s="2374"/>
      <c r="F248" s="2374"/>
      <c r="G248" s="2375"/>
      <c r="H248" s="2375"/>
      <c r="I248" s="91" t="s">
        <v>3984</v>
      </c>
      <c r="J248" s="102"/>
      <c r="K248" s="102"/>
      <c r="L248" s="1782" t="s">
        <v>473</v>
      </c>
      <c r="M248" s="1010"/>
      <c r="N248" s="1044"/>
      <c r="O248" s="1044"/>
      <c r="P248" s="94"/>
      <c r="Q248" s="94"/>
      <c r="R248" s="94"/>
      <c r="S248" s="94"/>
      <c r="T248" s="94"/>
      <c r="U248" s="94"/>
      <c r="V248" s="94"/>
      <c r="W248" s="94"/>
      <c r="X248" s="94"/>
      <c r="Y248" s="94"/>
      <c r="Z248" s="1588"/>
      <c r="AA248" s="1526"/>
      <c r="AC248" s="970"/>
      <c r="AD248" s="970"/>
      <c r="AE248" s="970"/>
      <c r="AF248" s="249"/>
      <c r="AG248" s="249"/>
      <c r="AH248" s="249"/>
      <c r="AI248" s="249"/>
      <c r="AJ248" s="249"/>
      <c r="AK248" s="249"/>
      <c r="AL248" s="1336"/>
      <c r="AM248" s="1336"/>
      <c r="AN248" s="1336"/>
      <c r="AO248" s="1336"/>
      <c r="AP248" s="1336"/>
      <c r="AQ248" s="1336"/>
      <c r="AR248" s="1336"/>
      <c r="AS248" s="1336"/>
    </row>
    <row r="249" spans="1:46" x14ac:dyDescent="0.25">
      <c r="A249" s="2371">
        <v>5</v>
      </c>
      <c r="B249" s="2374" t="s">
        <v>3984</v>
      </c>
      <c r="C249" s="2374"/>
      <c r="D249" s="2374"/>
      <c r="E249" s="2374"/>
      <c r="F249" s="2374"/>
      <c r="G249" s="2375"/>
      <c r="H249" s="2375"/>
      <c r="I249" s="102"/>
      <c r="J249" s="102"/>
      <c r="K249" s="102"/>
      <c r="L249" s="1782"/>
      <c r="M249" s="1010"/>
      <c r="N249" s="1044"/>
      <c r="O249" s="1044"/>
      <c r="P249" s="94"/>
      <c r="Q249" s="94"/>
      <c r="R249" s="94"/>
      <c r="S249" s="94"/>
      <c r="T249" s="94"/>
      <c r="U249" s="94"/>
      <c r="V249" s="94"/>
      <c r="W249" s="94"/>
      <c r="X249" s="94"/>
      <c r="Y249" s="94"/>
      <c r="Z249" s="1588"/>
      <c r="AA249" s="1526"/>
      <c r="AC249" s="970"/>
      <c r="AD249" s="970"/>
      <c r="AE249" s="970"/>
      <c r="AF249" s="249"/>
      <c r="AG249" s="249"/>
      <c r="AH249" s="249"/>
      <c r="AI249" s="249"/>
      <c r="AJ249" s="249"/>
      <c r="AK249" s="249"/>
      <c r="AL249" s="1336"/>
      <c r="AM249" s="1336"/>
      <c r="AN249" s="1336"/>
      <c r="AO249" s="1336"/>
      <c r="AP249" s="1336"/>
      <c r="AQ249" s="1336"/>
      <c r="AR249" s="1336"/>
      <c r="AS249" s="1336"/>
    </row>
    <row r="250" spans="1:46" ht="15.75" thickBot="1" x14ac:dyDescent="0.3">
      <c r="A250" s="2371">
        <v>5</v>
      </c>
      <c r="B250" s="2374" t="s">
        <v>3984</v>
      </c>
      <c r="C250" s="2374"/>
      <c r="D250" s="2374"/>
      <c r="E250" s="2374"/>
      <c r="F250" s="2374"/>
      <c r="G250" s="2375"/>
      <c r="H250" s="2375"/>
      <c r="I250" s="103"/>
      <c r="J250" s="103"/>
      <c r="K250" s="103"/>
      <c r="L250" s="1797"/>
      <c r="M250" s="1011"/>
      <c r="N250" s="1045"/>
      <c r="O250" s="1045"/>
      <c r="P250" s="99"/>
      <c r="Q250" s="99"/>
      <c r="R250" s="99"/>
      <c r="S250" s="99"/>
      <c r="T250" s="99"/>
      <c r="U250" s="99"/>
      <c r="V250" s="99"/>
      <c r="W250" s="99"/>
      <c r="X250" s="99"/>
      <c r="Y250" s="99"/>
      <c r="Z250" s="1589"/>
      <c r="AA250" s="1526"/>
      <c r="AC250" s="970"/>
      <c r="AD250" s="970"/>
      <c r="AE250" s="970"/>
      <c r="AF250" s="249"/>
      <c r="AG250" s="249"/>
      <c r="AH250" s="249"/>
      <c r="AI250" s="249"/>
      <c r="AJ250" s="249"/>
      <c r="AK250" s="249"/>
      <c r="AL250" s="1336"/>
      <c r="AM250" s="1336"/>
      <c r="AN250" s="1336"/>
      <c r="AO250" s="1336"/>
      <c r="AP250" s="1336"/>
      <c r="AQ250" s="1336"/>
      <c r="AR250" s="1336"/>
      <c r="AS250" s="1336"/>
    </row>
    <row r="251" spans="1:46" ht="15.75" thickTop="1" x14ac:dyDescent="0.25">
      <c r="A251" s="2371">
        <v>5</v>
      </c>
      <c r="B251" s="2374" t="s">
        <v>474</v>
      </c>
      <c r="C251" s="2374"/>
      <c r="D251" s="2374"/>
      <c r="E251" s="2374"/>
      <c r="F251" s="2374"/>
      <c r="G251" s="2363" t="str">
        <f ca="1">IF(COUNTIF(G253:G260,"P")&gt;0,"P","")</f>
        <v/>
      </c>
      <c r="H251" s="2375" t="s">
        <v>3973</v>
      </c>
      <c r="I251" s="87" t="s">
        <v>474</v>
      </c>
      <c r="J251" s="90"/>
      <c r="K251" s="90"/>
      <c r="L251" s="1796" t="s">
        <v>475</v>
      </c>
      <c r="M251" s="1014"/>
      <c r="N251" s="1042"/>
      <c r="O251" s="1042"/>
      <c r="P251" s="249"/>
      <c r="Q251" s="249"/>
      <c r="R251" s="249"/>
      <c r="S251" s="249"/>
      <c r="T251" s="249"/>
      <c r="U251" s="249"/>
      <c r="V251" s="249"/>
      <c r="W251" s="249"/>
      <c r="X251" s="911"/>
      <c r="Y251"/>
      <c r="AA251" s="1526"/>
      <c r="AC251" s="970"/>
      <c r="AD251" s="970"/>
      <c r="AE251" s="970"/>
      <c r="AF251" s="249"/>
      <c r="AG251" s="249"/>
      <c r="AH251" s="249"/>
      <c r="AI251" s="249"/>
      <c r="AJ251" s="249"/>
      <c r="AK251" s="249"/>
      <c r="AL251" s="1336"/>
      <c r="AM251" s="1336"/>
      <c r="AN251" s="1336"/>
      <c r="AO251" s="1336"/>
      <c r="AP251" s="1336"/>
      <c r="AQ251" s="1336"/>
      <c r="AR251" s="254"/>
      <c r="AS251" s="254"/>
    </row>
    <row r="252" spans="1:46" x14ac:dyDescent="0.25">
      <c r="A252" s="2371">
        <v>5</v>
      </c>
      <c r="B252" s="2374" t="s">
        <v>474</v>
      </c>
      <c r="C252" s="2374"/>
      <c r="D252" s="2374"/>
      <c r="E252" s="2374"/>
      <c r="F252" s="2374"/>
      <c r="G252" s="2373" t="str">
        <f ca="1">G251</f>
        <v/>
      </c>
      <c r="H252" s="2375" t="s">
        <v>3973</v>
      </c>
      <c r="I252" s="90"/>
      <c r="J252" s="90"/>
      <c r="K252" s="90"/>
      <c r="L252" s="1796"/>
      <c r="M252" s="1014"/>
      <c r="N252" s="1042"/>
      <c r="O252" s="1042"/>
      <c r="P252" s="249"/>
      <c r="Q252" s="249"/>
      <c r="R252" s="249"/>
      <c r="S252" s="249"/>
      <c r="T252" s="249"/>
      <c r="U252" s="249"/>
      <c r="V252" s="249"/>
      <c r="W252" s="249"/>
      <c r="X252" s="911"/>
      <c r="Y252"/>
      <c r="AA252" s="1526"/>
      <c r="AC252" s="970"/>
      <c r="AD252" s="970"/>
      <c r="AE252" s="970"/>
      <c r="AF252" s="249"/>
      <c r="AG252" s="249"/>
      <c r="AH252" s="249"/>
      <c r="AI252" s="249"/>
      <c r="AJ252" s="249"/>
      <c r="AK252" s="249"/>
      <c r="AL252" s="1336"/>
      <c r="AM252" s="1336"/>
      <c r="AN252" s="1336"/>
      <c r="AO252" s="1336"/>
      <c r="AP252" s="1336"/>
      <c r="AQ252" s="1336"/>
      <c r="AR252" s="1336"/>
      <c r="AS252" s="1336"/>
    </row>
    <row r="253" spans="1:46" x14ac:dyDescent="0.25">
      <c r="A253" s="2371">
        <v>5</v>
      </c>
      <c r="B253" s="2374" t="s">
        <v>474</v>
      </c>
      <c r="C253" s="2374" t="s">
        <v>256</v>
      </c>
      <c r="D253" s="2374"/>
      <c r="E253" s="2374"/>
      <c r="F253" s="2374"/>
      <c r="G253" s="2373" t="str">
        <f>IF(N253&gt;0,"P","")</f>
        <v/>
      </c>
      <c r="H253" s="2375" t="s">
        <v>3973</v>
      </c>
      <c r="I253" s="90"/>
      <c r="J253" s="91" t="s">
        <v>256</v>
      </c>
      <c r="K253" s="102"/>
      <c r="L253" s="1754" t="s">
        <v>476</v>
      </c>
      <c r="M253" s="1758">
        <v>5</v>
      </c>
      <c r="N253" s="1927">
        <f>'Ch5'!O254</f>
        <v>0</v>
      </c>
      <c r="O253" s="1927">
        <f>M253*S253*W253</f>
        <v>0</v>
      </c>
      <c r="P253" s="249" t="b">
        <v>0</v>
      </c>
      <c r="Q253" s="249" t="b">
        <v>1</v>
      </c>
      <c r="R253" s="249" t="b">
        <v>0</v>
      </c>
      <c r="S253" s="249" t="b">
        <v>1</v>
      </c>
      <c r="T253" s="249" t="b">
        <v>0</v>
      </c>
      <c r="U253" s="249"/>
      <c r="V253" s="249"/>
      <c r="W253" s="25"/>
      <c r="X253" s="1798"/>
      <c r="Y253" s="2099" t="str">
        <f>IF(LEN('Ch5'!X254)=0,"None",'Ch5'!X254)</f>
        <v>None</v>
      </c>
      <c r="Z253" s="2087"/>
      <c r="AA253" s="1551" t="str">
        <f>IF(LEN('Photo Review'!I252)&gt;0,'Photo Review'!I252,"")</f>
        <v/>
      </c>
      <c r="AC253" s="970"/>
      <c r="AD253" s="970"/>
      <c r="AE253" s="970"/>
      <c r="AF253" s="249"/>
      <c r="AG253" s="249"/>
      <c r="AH253" s="249"/>
      <c r="AI253" s="249"/>
      <c r="AJ253" s="249"/>
      <c r="AK253" s="249"/>
      <c r="AL253" s="1336" t="str">
        <f>SUBSTITUTE(SUBSTITUTE(SUBSTITUTE("vpa"&amp;$B253&amp;$C253&amp;$D253&amp;$E253,".","_"),"(","_"),")","")</f>
        <v>vpa505_1_1</v>
      </c>
      <c r="AM253" s="254">
        <f>M253</f>
        <v>5</v>
      </c>
      <c r="AN253" s="1336" t="str">
        <f>SUBSTITUTE(SUBSTITUTE(SUBSTITUTE("vpc"&amp;$B253&amp;$C253&amp;$D253&amp;$E253,".","_"),"(","_"),")","")</f>
        <v>vpc505_1_1</v>
      </c>
      <c r="AO253" s="254">
        <f>O253</f>
        <v>0</v>
      </c>
      <c r="AP253" s="1336" t="str">
        <f>SUBSTITUTE(SUBSTITUTE(SUBSTITUTE("vch"&amp;$B253&amp;$C253&amp;$D253&amp;$E253,".","_"),"(","_"),")","")</f>
        <v>vch505_1_1</v>
      </c>
      <c r="AQ253" s="254" t="str">
        <f>IF(LEN(W253)=0,"",W253)</f>
        <v/>
      </c>
      <c r="AR253" s="1336" t="str">
        <f>SUBSTITUTE(SUBSTITUTE(SUBSTITUTE("vnt"&amp;$B253&amp;$C253&amp;$D253&amp;$E253,".","_"),"(","_"),")","")</f>
        <v>vnt505_1_1</v>
      </c>
      <c r="AS253" s="254" t="str">
        <f>IF(LEN(X253)=0,"",X253)</f>
        <v/>
      </c>
    </row>
    <row r="254" spans="1:46" x14ac:dyDescent="0.25">
      <c r="A254" s="2371">
        <v>5</v>
      </c>
      <c r="B254" s="2374" t="s">
        <v>474</v>
      </c>
      <c r="C254" s="2374" t="s">
        <v>256</v>
      </c>
      <c r="D254" s="2374"/>
      <c r="E254" s="2374"/>
      <c r="F254" s="2374"/>
      <c r="G254" s="2373" t="str">
        <f>G253</f>
        <v/>
      </c>
      <c r="H254" s="2375" t="s">
        <v>3973</v>
      </c>
      <c r="I254" s="90"/>
      <c r="J254" s="174"/>
      <c r="K254" s="177"/>
      <c r="L254" s="1755"/>
      <c r="M254" s="1759"/>
      <c r="N254" s="2076"/>
      <c r="O254" s="2076"/>
      <c r="P254" s="249"/>
      <c r="Q254" s="249"/>
      <c r="R254" s="249"/>
      <c r="S254" s="249"/>
      <c r="T254" s="249"/>
      <c r="U254" s="249"/>
      <c r="V254" s="249"/>
      <c r="W254" s="249"/>
      <c r="X254" s="1756"/>
      <c r="Y254" s="2097"/>
      <c r="Z254" s="2085"/>
      <c r="AA254" s="1526"/>
      <c r="AC254" s="970"/>
      <c r="AD254" s="970"/>
      <c r="AE254" s="970"/>
      <c r="AF254" s="249"/>
      <c r="AG254" s="249"/>
      <c r="AH254" s="249"/>
      <c r="AI254" s="249"/>
      <c r="AJ254" s="249"/>
      <c r="AK254" s="249"/>
      <c r="AL254" s="1336"/>
      <c r="AM254" s="1336"/>
      <c r="AN254" s="1336"/>
      <c r="AO254" s="1336"/>
      <c r="AP254" s="1336"/>
      <c r="AQ254" s="1336"/>
      <c r="AR254" s="1336"/>
      <c r="AS254" s="1336"/>
    </row>
    <row r="255" spans="1:46" x14ac:dyDescent="0.25">
      <c r="A255" s="2371">
        <v>5</v>
      </c>
      <c r="B255" s="2374" t="s">
        <v>474</v>
      </c>
      <c r="C255" s="2374" t="s">
        <v>258</v>
      </c>
      <c r="D255" s="2374"/>
      <c r="E255" s="2374"/>
      <c r="F255" s="2374"/>
      <c r="G255" s="2373" t="str">
        <f ca="1">IF(N255&gt;0,"P","")</f>
        <v/>
      </c>
      <c r="H255" s="2375" t="s">
        <v>3973</v>
      </c>
      <c r="I255" s="90"/>
      <c r="J255" s="846" t="s">
        <v>258</v>
      </c>
      <c r="K255" s="1211"/>
      <c r="L255" s="1760" t="s">
        <v>477</v>
      </c>
      <c r="M255" s="1762">
        <v>5</v>
      </c>
      <c r="N255" s="2079">
        <f ca="1">'Ch5'!O256</f>
        <v>0</v>
      </c>
      <c r="O255" s="2079">
        <f ca="1">M255*S255*W255</f>
        <v>0</v>
      </c>
      <c r="P255" s="352" t="b">
        <v>0</v>
      </c>
      <c r="Q255" s="352" t="b">
        <v>1</v>
      </c>
      <c r="R255" s="249" t="b">
        <v>0</v>
      </c>
      <c r="S255" s="249" t="b">
        <f ca="1">IF(AY18=INDEX(INDIRECT("ddSingleOrMulti"),2),TRUE,FALSE)</f>
        <v>0</v>
      </c>
      <c r="T255" s="94" t="b">
        <f ca="1">IF(AND(NOT(S255),W255=TRUE),TRUE,FALSE)</f>
        <v>0</v>
      </c>
      <c r="U255" s="249"/>
      <c r="V255" s="249"/>
      <c r="W255" s="25"/>
      <c r="X255" s="1757"/>
      <c r="Y255" s="988" t="str">
        <f>IF(LEN('Ch5'!X256)=0,"None",'Ch5'!X256)</f>
        <v>None</v>
      </c>
      <c r="Z255" s="1587"/>
      <c r="AA255" s="1526"/>
      <c r="AC255" s="970" t="b">
        <f ca="1">OR(AD255:AE255)</f>
        <v>0</v>
      </c>
      <c r="AD255" s="970" t="b">
        <f ca="1">T255</f>
        <v>0</v>
      </c>
      <c r="AE255" s="970"/>
      <c r="AF255" s="249"/>
      <c r="AG255" s="249"/>
      <c r="AH255" s="249"/>
      <c r="AI255" s="249"/>
      <c r="AJ255" s="249"/>
      <c r="AK255" s="249"/>
      <c r="AL255" s="1336" t="str">
        <f>SUBSTITUTE(SUBSTITUTE(SUBSTITUTE("vpa"&amp;$B255&amp;$C255&amp;$D255&amp;$E255,".","_"),"(","_"),")","")</f>
        <v>vpa505_1_2</v>
      </c>
      <c r="AM255" s="254">
        <f>M255</f>
        <v>5</v>
      </c>
      <c r="AN255" s="1336" t="str">
        <f>SUBSTITUTE(SUBSTITUTE(SUBSTITUTE("vpc"&amp;$B255&amp;$C255&amp;$D255&amp;$E255,".","_"),"(","_"),")","")</f>
        <v>vpc505_1_2</v>
      </c>
      <c r="AO255" s="254">
        <f ca="1">O255</f>
        <v>0</v>
      </c>
      <c r="AP255" s="1336" t="str">
        <f>SUBSTITUTE(SUBSTITUTE(SUBSTITUTE("vch"&amp;$B255&amp;$C255&amp;$D255&amp;$E255,".","_"),"(","_"),")","")</f>
        <v>vch505_1_2</v>
      </c>
      <c r="AQ255" s="254" t="str">
        <f>IF(LEN(W255)=0,"",W255)</f>
        <v/>
      </c>
      <c r="AR255" s="1336" t="str">
        <f>SUBSTITUTE(SUBSTITUTE(SUBSTITUTE("vnt"&amp;$B255&amp;$C255&amp;$D255&amp;$E255,".","_"),"(","_"),")","")</f>
        <v>vnt505_1_2</v>
      </c>
      <c r="AS255" s="254" t="str">
        <f>IF(LEN(X255)=0,"",X255)</f>
        <v/>
      </c>
    </row>
    <row r="256" spans="1:46" x14ac:dyDescent="0.25">
      <c r="A256" s="2371">
        <v>5</v>
      </c>
      <c r="B256" s="2374" t="s">
        <v>474</v>
      </c>
      <c r="C256" s="2374" t="s">
        <v>258</v>
      </c>
      <c r="D256" s="2374"/>
      <c r="E256" s="2374"/>
      <c r="F256" s="2374"/>
      <c r="G256" s="2373" t="str">
        <f ca="1">G255</f>
        <v/>
      </c>
      <c r="H256" s="2375" t="s">
        <v>3973</v>
      </c>
      <c r="I256"/>
      <c r="J256" s="178"/>
      <c r="K256" s="178"/>
      <c r="L256" s="1761"/>
      <c r="M256" s="1759"/>
      <c r="N256" s="2076"/>
      <c r="O256" s="2076"/>
      <c r="P256"/>
      <c r="Q256"/>
      <c r="R256"/>
      <c r="S256"/>
      <c r="T256"/>
      <c r="U256"/>
      <c r="V256"/>
      <c r="W256"/>
      <c r="X256" s="1757"/>
      <c r="Y256"/>
      <c r="AA256" s="1526"/>
      <c r="AC256"/>
      <c r="AD256"/>
      <c r="AE256"/>
      <c r="AF256"/>
      <c r="AG256"/>
      <c r="AH256"/>
      <c r="AI256"/>
      <c r="AJ256"/>
      <c r="AK256"/>
      <c r="AL256" s="1336"/>
      <c r="AM256" s="254"/>
      <c r="AN256" s="1336"/>
      <c r="AO256" s="254"/>
      <c r="AP256" s="1336"/>
      <c r="AQ256" s="254"/>
      <c r="AR256" s="1336"/>
      <c r="AS256" s="254"/>
      <c r="AT256"/>
    </row>
    <row r="257" spans="1:45" x14ac:dyDescent="0.25">
      <c r="A257" s="2371">
        <v>5</v>
      </c>
      <c r="B257" s="2374" t="s">
        <v>474</v>
      </c>
      <c r="C257" s="2374" t="s">
        <v>260</v>
      </c>
      <c r="D257" s="2374"/>
      <c r="E257" s="2374"/>
      <c r="F257" s="2374"/>
      <c r="G257" s="2373" t="str">
        <f ca="1">IF(N257&gt;0,"P","")</f>
        <v/>
      </c>
      <c r="H257" s="2375" t="s">
        <v>3973</v>
      </c>
      <c r="I257" s="102"/>
      <c r="J257" s="91" t="s">
        <v>260</v>
      </c>
      <c r="K257" s="102"/>
      <c r="L257" s="1162" t="s">
        <v>478</v>
      </c>
      <c r="M257" s="1010"/>
      <c r="N257" s="1044">
        <f ca="1">'Ch5'!O258</f>
        <v>0</v>
      </c>
      <c r="O257" s="1044">
        <f ca="1">S257*IFERROR(INDEX({4,5,6},MATCH(W257,INDIRECT(U257),0)),0)</f>
        <v>0</v>
      </c>
      <c r="P257" s="94" t="b">
        <v>0</v>
      </c>
      <c r="Q257" s="94" t="b">
        <v>1</v>
      </c>
      <c r="R257" s="94" t="b">
        <v>0</v>
      </c>
      <c r="S257" s="94" t="b">
        <v>1</v>
      </c>
      <c r="T257" s="94" t="b">
        <v>0</v>
      </c>
      <c r="U257" s="94" t="str">
        <f>SUBSTITUTE(SUBSTITUTE(SUBSTITUTE("dd"&amp;B257&amp;C257&amp;D257&amp;E257&amp;F257,".","_"),"(","_"),")","")</f>
        <v>dd505_1_3</v>
      </c>
      <c r="V257" s="94"/>
      <c r="W257" s="109"/>
      <c r="X257" s="1798"/>
      <c r="Y257" s="2099" t="str">
        <f>IF(LEN('Ch5'!X258)=0,"None",'Ch5'!X258)</f>
        <v>None</v>
      </c>
      <c r="Z257" s="2087"/>
      <c r="AA257" s="1551" t="str">
        <f>IF(LEN('Photo Review'!I256)&gt;0,'Photo Review'!I256,"")</f>
        <v/>
      </c>
      <c r="AC257" s="970"/>
      <c r="AD257" s="970"/>
      <c r="AE257" s="970"/>
      <c r="AF257" s="249"/>
      <c r="AG257" s="249"/>
      <c r="AH257" s="249"/>
      <c r="AI257" s="249"/>
      <c r="AJ257" s="249"/>
      <c r="AK257" s="249"/>
      <c r="AL257" s="1336"/>
      <c r="AM257" s="1336"/>
      <c r="AN257" s="1336" t="str">
        <f>SUBSTITUTE(SUBSTITUTE(SUBSTITUTE("vpc"&amp;$B257&amp;$C257&amp;$D257&amp;$E257,".","_"),"(","_"),")","")</f>
        <v>vpc505_1_3</v>
      </c>
      <c r="AO257" s="254">
        <f ca="1">O257</f>
        <v>0</v>
      </c>
      <c r="AP257" s="1336" t="str">
        <f>SUBSTITUTE(SUBSTITUTE(SUBSTITUTE("vch"&amp;$B257&amp;$C257&amp;$D257&amp;$E257,".","_"),"(","_"),")","")</f>
        <v>vch505_1_3</v>
      </c>
      <c r="AQ257" s="254" t="str">
        <f>IF(LEN(W257)=0,"",W257)</f>
        <v/>
      </c>
      <c r="AR257" s="1336" t="str">
        <f>SUBSTITUTE(SUBSTITUTE(SUBSTITUTE("vnt"&amp;$B257&amp;$C257&amp;$D257&amp;$E257,".","_"),"(","_"),")","")</f>
        <v>vnt505_1_3</v>
      </c>
      <c r="AS257" s="254" t="str">
        <f>IF(LEN(X257)=0,"",X257)</f>
        <v/>
      </c>
    </row>
    <row r="258" spans="1:45" x14ac:dyDescent="0.25">
      <c r="A258" s="2371">
        <v>5</v>
      </c>
      <c r="B258" s="2374" t="s">
        <v>474</v>
      </c>
      <c r="C258" s="2374" t="s">
        <v>260</v>
      </c>
      <c r="D258" s="2374" t="s">
        <v>121</v>
      </c>
      <c r="E258" s="2380"/>
      <c r="F258" s="2374"/>
      <c r="G258" s="2373" t="str">
        <f ca="1">G257</f>
        <v/>
      </c>
      <c r="H258" s="2371" t="s">
        <v>3973</v>
      </c>
      <c r="I258" s="854"/>
      <c r="J258" s="102"/>
      <c r="K258" s="91" t="s">
        <v>121</v>
      </c>
      <c r="L258" s="1162" t="s">
        <v>479</v>
      </c>
      <c r="M258" s="1010">
        <v>4</v>
      </c>
      <c r="N258" s="1044"/>
      <c r="O258" s="1044"/>
      <c r="P258" s="94"/>
      <c r="Q258" s="94"/>
      <c r="R258" s="94" t="b">
        <v>0</v>
      </c>
      <c r="S258" s="94" t="b">
        <v>1</v>
      </c>
      <c r="T258" s="94" t="b">
        <v>0</v>
      </c>
      <c r="U258" s="94"/>
      <c r="V258" s="94"/>
      <c r="W258" s="94"/>
      <c r="X258" s="1799"/>
      <c r="Y258" s="2100"/>
      <c r="Z258" s="2091"/>
      <c r="AA258" s="1526"/>
      <c r="AC258" s="970"/>
      <c r="AD258" s="970"/>
      <c r="AE258" s="970"/>
      <c r="AF258" s="249"/>
      <c r="AG258" s="249"/>
      <c r="AH258" s="249"/>
      <c r="AI258" s="249"/>
      <c r="AJ258" s="249"/>
      <c r="AK258" s="249"/>
      <c r="AL258" s="1336" t="str">
        <f>SUBSTITUTE(SUBSTITUTE(SUBSTITUTE("vpa"&amp;$B258&amp;$C258&amp;$D258&amp;$E258,".","_"),"(","_"),")","")</f>
        <v>vpa505_1_3_a</v>
      </c>
      <c r="AM258" s="254">
        <f>M258</f>
        <v>4</v>
      </c>
      <c r="AN258" s="1336"/>
      <c r="AO258" s="1336"/>
      <c r="AP258" s="1336"/>
      <c r="AQ258" s="1336"/>
      <c r="AR258" s="1336"/>
      <c r="AS258" s="1336"/>
    </row>
    <row r="259" spans="1:45" x14ac:dyDescent="0.25">
      <c r="A259" s="2371">
        <v>5</v>
      </c>
      <c r="B259" s="2374" t="s">
        <v>474</v>
      </c>
      <c r="C259" s="2374" t="s">
        <v>260</v>
      </c>
      <c r="D259" s="2374" t="s">
        <v>122</v>
      </c>
      <c r="E259" s="2380"/>
      <c r="F259" s="2374"/>
      <c r="G259" s="2373" t="str">
        <f ca="1">G258</f>
        <v/>
      </c>
      <c r="H259" s="2371" t="s">
        <v>3973</v>
      </c>
      <c r="I259" s="854"/>
      <c r="J259" s="102"/>
      <c r="K259" s="91" t="s">
        <v>122</v>
      </c>
      <c r="L259" s="1162" t="s">
        <v>480</v>
      </c>
      <c r="M259" s="1010">
        <v>5</v>
      </c>
      <c r="N259" s="1044"/>
      <c r="O259" s="1044"/>
      <c r="P259" s="94"/>
      <c r="Q259" s="94"/>
      <c r="R259" s="94" t="b">
        <v>0</v>
      </c>
      <c r="S259" s="94" t="b">
        <v>1</v>
      </c>
      <c r="T259" s="94" t="b">
        <v>0</v>
      </c>
      <c r="U259" s="94"/>
      <c r="V259" s="94"/>
      <c r="W259" s="94"/>
      <c r="X259" s="1799"/>
      <c r="Y259" s="2100"/>
      <c r="Z259" s="2091"/>
      <c r="AA259" s="1526"/>
      <c r="AC259" s="970"/>
      <c r="AD259" s="970"/>
      <c r="AE259" s="970"/>
      <c r="AF259" s="249"/>
      <c r="AG259" s="249"/>
      <c r="AH259" s="249"/>
      <c r="AI259" s="249"/>
      <c r="AJ259" s="249"/>
      <c r="AK259" s="249"/>
      <c r="AL259" s="1336" t="str">
        <f>SUBSTITUTE(SUBSTITUTE(SUBSTITUTE("vpa"&amp;$B259&amp;$C259&amp;$D259&amp;$E259,".","_"),"(","_"),")","")</f>
        <v>vpa505_1_3_b</v>
      </c>
      <c r="AM259" s="254">
        <f>M259</f>
        <v>5</v>
      </c>
      <c r="AN259" s="1336"/>
      <c r="AO259" s="1336"/>
      <c r="AP259" s="1336"/>
      <c r="AQ259" s="1336"/>
      <c r="AR259" s="1336"/>
      <c r="AS259" s="1336"/>
    </row>
    <row r="260" spans="1:45" ht="15.75" thickBot="1" x14ac:dyDescent="0.3">
      <c r="A260" s="2371">
        <v>5</v>
      </c>
      <c r="B260" s="2374" t="s">
        <v>474</v>
      </c>
      <c r="C260" s="2374" t="s">
        <v>260</v>
      </c>
      <c r="D260" s="2374" t="s">
        <v>123</v>
      </c>
      <c r="E260" s="2380"/>
      <c r="F260" s="2374"/>
      <c r="G260" s="2373" t="str">
        <f ca="1">G259</f>
        <v/>
      </c>
      <c r="H260" s="2371" t="s">
        <v>3973</v>
      </c>
      <c r="I260" s="115"/>
      <c r="J260" s="103"/>
      <c r="K260" s="111" t="s">
        <v>123</v>
      </c>
      <c r="L260" s="1171" t="s">
        <v>391</v>
      </c>
      <c r="M260" s="1011">
        <v>6</v>
      </c>
      <c r="N260" s="1045"/>
      <c r="O260" s="1045"/>
      <c r="P260" s="99"/>
      <c r="Q260" s="99"/>
      <c r="R260" s="99" t="b">
        <v>0</v>
      </c>
      <c r="S260" s="99" t="b">
        <v>1</v>
      </c>
      <c r="T260" s="99" t="b">
        <v>0</v>
      </c>
      <c r="U260" s="99"/>
      <c r="V260" s="99"/>
      <c r="W260" s="99"/>
      <c r="X260" s="1800"/>
      <c r="Y260" s="2102"/>
      <c r="Z260" s="2090"/>
      <c r="AA260" s="1526"/>
      <c r="AC260" s="970"/>
      <c r="AD260" s="970"/>
      <c r="AE260" s="970"/>
      <c r="AF260" s="249"/>
      <c r="AG260" s="249"/>
      <c r="AH260" s="249"/>
      <c r="AI260" s="249"/>
      <c r="AJ260" s="249"/>
      <c r="AK260" s="249"/>
      <c r="AL260" s="1336" t="str">
        <f>SUBSTITUTE(SUBSTITUTE(SUBSTITUTE("vpa"&amp;$B260&amp;$C260&amp;$D260&amp;$E260,".","_"),"(","_"),")","")</f>
        <v>vpa505_1_3_c</v>
      </c>
      <c r="AM260" s="254">
        <f>M260</f>
        <v>6</v>
      </c>
      <c r="AN260" s="1336"/>
      <c r="AO260" s="1336"/>
      <c r="AP260" s="1336"/>
      <c r="AQ260" s="1336"/>
      <c r="AR260" s="1336"/>
      <c r="AS260" s="1336"/>
    </row>
    <row r="261" spans="1:45" ht="15.75" thickTop="1" x14ac:dyDescent="0.25">
      <c r="A261" s="2371">
        <v>5</v>
      </c>
      <c r="B261" s="2374" t="s">
        <v>481</v>
      </c>
      <c r="C261" s="2374"/>
      <c r="D261" s="2374"/>
      <c r="E261" s="2374"/>
      <c r="F261" s="2374"/>
      <c r="G261" s="2363" t="str">
        <f>IF(COUNTIF(G262:G272,"P")&gt;0,"P","")</f>
        <v/>
      </c>
      <c r="H261" s="2375" t="s">
        <v>3973</v>
      </c>
      <c r="I261" s="87" t="s">
        <v>482</v>
      </c>
      <c r="J261" s="90"/>
      <c r="K261" s="90"/>
      <c r="L261" s="1180" t="s">
        <v>483</v>
      </c>
      <c r="M261" s="1014"/>
      <c r="N261" s="1042"/>
      <c r="O261" s="1042"/>
      <c r="P261" s="249"/>
      <c r="Q261" s="249"/>
      <c r="R261" s="249"/>
      <c r="S261" s="249"/>
      <c r="T261" s="249"/>
      <c r="U261" s="249"/>
      <c r="V261" s="249"/>
      <c r="W261" s="249"/>
      <c r="X261" s="911"/>
      <c r="Y261"/>
      <c r="AA261" s="1526"/>
      <c r="AC261" s="970"/>
      <c r="AD261" s="970"/>
      <c r="AE261" s="970"/>
      <c r="AF261" s="249"/>
      <c r="AG261" s="249"/>
      <c r="AH261" s="249"/>
      <c r="AI261" s="249"/>
      <c r="AJ261" s="249"/>
      <c r="AK261" s="249"/>
      <c r="AL261" s="1336"/>
      <c r="AM261" s="1336"/>
      <c r="AN261" s="1336"/>
      <c r="AO261" s="1336"/>
      <c r="AP261" s="1336"/>
      <c r="AQ261" s="1336"/>
      <c r="AR261" s="254"/>
      <c r="AS261" s="254"/>
    </row>
    <row r="262" spans="1:45" x14ac:dyDescent="0.25">
      <c r="A262" s="2371">
        <v>5</v>
      </c>
      <c r="B262" s="2374" t="s">
        <v>481</v>
      </c>
      <c r="C262" s="2374" t="s">
        <v>256</v>
      </c>
      <c r="D262" s="2374"/>
      <c r="E262" s="2374"/>
      <c r="F262" s="2374"/>
      <c r="G262" s="2373" t="str">
        <f>IF(N262&gt;0,"P","")</f>
        <v/>
      </c>
      <c r="H262" s="2375" t="s">
        <v>3973</v>
      </c>
      <c r="I262" s="90"/>
      <c r="J262" s="87" t="s">
        <v>256</v>
      </c>
      <c r="K262" s="90"/>
      <c r="L262" s="1779" t="s">
        <v>484</v>
      </c>
      <c r="M262" s="1767">
        <v>5</v>
      </c>
      <c r="N262" s="2075">
        <f>'Ch5'!O263</f>
        <v>0</v>
      </c>
      <c r="O262" s="2075">
        <f>M262*MIN(1,W264+W267+W271)</f>
        <v>0</v>
      </c>
      <c r="P262" s="249"/>
      <c r="Q262" s="249"/>
      <c r="R262" s="249" t="b">
        <v>0</v>
      </c>
      <c r="S262" s="249" t="b">
        <v>1</v>
      </c>
      <c r="T262" s="249" t="b">
        <v>0</v>
      </c>
      <c r="U262" s="249"/>
      <c r="V262" s="249"/>
      <c r="W262" s="249"/>
      <c r="X262" s="1798"/>
      <c r="Y262" s="2099" t="str">
        <f>IF(LEN('Ch5'!X263)=0,"None",'Ch5'!X263)</f>
        <v>None</v>
      </c>
      <c r="Z262" s="2087"/>
      <c r="AA262" s="1526"/>
      <c r="AC262" s="970"/>
      <c r="AD262" s="970"/>
      <c r="AE262" s="970"/>
      <c r="AF262" s="249"/>
      <c r="AG262" s="249"/>
      <c r="AH262" s="249"/>
      <c r="AI262" s="249"/>
      <c r="AJ262" s="249"/>
      <c r="AK262" s="249"/>
      <c r="AL262" s="1336" t="str">
        <f>SUBSTITUTE(SUBSTITUTE(SUBSTITUTE("vpa"&amp;$B262&amp;$C262&amp;$D262&amp;$E262,".","_"),"(","_"),")","")</f>
        <v>vpa505_2_1</v>
      </c>
      <c r="AM262" s="254">
        <f>M262</f>
        <v>5</v>
      </c>
      <c r="AN262" s="1336" t="str">
        <f>SUBSTITUTE(SUBSTITUTE(SUBSTITUTE("vpc"&amp;$B262&amp;$C262&amp;$D262&amp;$E262,".","_"),"(","_"),")","")</f>
        <v>vpc505_2_1</v>
      </c>
      <c r="AO262" s="254">
        <f>O262</f>
        <v>0</v>
      </c>
      <c r="AP262" s="1336"/>
      <c r="AQ262" s="1336"/>
      <c r="AR262" s="1336" t="str">
        <f>SUBSTITUTE(SUBSTITUTE(SUBSTITUTE("vnt"&amp;$B262&amp;$C262&amp;$D262&amp;$E262,".","_"),"(","_"),")","")</f>
        <v>vnt505_2_1</v>
      </c>
      <c r="AS262" s="254" t="str">
        <f>IF(LEN(X262)=0,"",X262)</f>
        <v/>
      </c>
    </row>
    <row r="263" spans="1:45" x14ac:dyDescent="0.25">
      <c r="A263" s="2371">
        <v>5</v>
      </c>
      <c r="B263" s="2374" t="s">
        <v>481</v>
      </c>
      <c r="C263" s="2374" t="s">
        <v>256</v>
      </c>
      <c r="D263" s="2374"/>
      <c r="E263" s="2374"/>
      <c r="F263" s="2374"/>
      <c r="G263" s="2373" t="str">
        <f t="shared" ref="G263:G271" si="9">G262</f>
        <v/>
      </c>
      <c r="H263" s="2375" t="s">
        <v>3973</v>
      </c>
      <c r="I263" s="90"/>
      <c r="J263" s="90"/>
      <c r="K263" s="90"/>
      <c r="L263" s="1779"/>
      <c r="M263" s="1767"/>
      <c r="N263" s="2075"/>
      <c r="O263" s="2075"/>
      <c r="P263" s="249"/>
      <c r="Q263" s="249"/>
      <c r="R263" s="249"/>
      <c r="S263" s="249"/>
      <c r="T263" s="249"/>
      <c r="U263" s="249"/>
      <c r="V263" s="249"/>
      <c r="W263" s="249"/>
      <c r="X263" s="1799"/>
      <c r="Y263" s="2100"/>
      <c r="Z263" s="2091"/>
      <c r="AA263" s="1526"/>
      <c r="AC263" s="970"/>
      <c r="AD263" s="970"/>
      <c r="AE263" s="970"/>
      <c r="AF263" s="249"/>
      <c r="AG263" s="249"/>
      <c r="AH263" s="249"/>
      <c r="AI263" s="249"/>
      <c r="AJ263" s="249"/>
      <c r="AK263" s="249"/>
      <c r="AL263" s="1336"/>
      <c r="AM263" s="1336"/>
      <c r="AN263" s="1336"/>
      <c r="AO263" s="1336"/>
      <c r="AP263" s="1336"/>
      <c r="AQ263" s="1336"/>
      <c r="AR263" s="1336"/>
      <c r="AS263" s="1336"/>
    </row>
    <row r="264" spans="1:45" x14ac:dyDescent="0.25">
      <c r="A264" s="2371">
        <v>5</v>
      </c>
      <c r="B264" s="2374" t="s">
        <v>481</v>
      </c>
      <c r="C264" s="2374" t="s">
        <v>256</v>
      </c>
      <c r="D264" s="2374" t="s">
        <v>121</v>
      </c>
      <c r="E264" s="2380"/>
      <c r="F264" s="2374"/>
      <c r="G264" s="2373" t="str">
        <f t="shared" si="9"/>
        <v/>
      </c>
      <c r="H264" s="2371" t="s">
        <v>3973</v>
      </c>
      <c r="I264" s="86"/>
      <c r="J264" s="90"/>
      <c r="K264" s="87" t="s">
        <v>121</v>
      </c>
      <c r="L264" s="1779" t="s">
        <v>485</v>
      </c>
      <c r="M264" s="1014"/>
      <c r="N264" s="1042"/>
      <c r="O264" s="1042"/>
      <c r="P264" s="249" t="b">
        <v>0</v>
      </c>
      <c r="Q264" s="249" t="b">
        <v>1</v>
      </c>
      <c r="R264" s="249" t="b">
        <v>0</v>
      </c>
      <c r="S264" s="249" t="b">
        <v>1</v>
      </c>
      <c r="T264" s="249" t="b">
        <v>0</v>
      </c>
      <c r="U264" s="249"/>
      <c r="V264" s="249"/>
      <c r="W264" s="25"/>
      <c r="X264" s="1799"/>
      <c r="Y264" s="2100"/>
      <c r="Z264" s="2091"/>
      <c r="AA264" s="1551" t="str">
        <f>IF(LEN('Photo Review'!I263)&gt;0,'Photo Review'!I263,"")</f>
        <v/>
      </c>
      <c r="AC264" s="970"/>
      <c r="AD264" s="970"/>
      <c r="AE264" s="970"/>
      <c r="AF264" s="249"/>
      <c r="AG264" s="249"/>
      <c r="AH264" s="249"/>
      <c r="AI264" s="249"/>
      <c r="AJ264" s="249"/>
      <c r="AK264" s="249"/>
      <c r="AL264" s="1336"/>
      <c r="AM264" s="1336"/>
      <c r="AN264" s="1336"/>
      <c r="AO264" s="1336"/>
      <c r="AP264" s="1336" t="str">
        <f>SUBSTITUTE(SUBSTITUTE(SUBSTITUTE("vch"&amp;$B264&amp;$C264&amp;$D264&amp;$E264,".","_"),"(","_"),")","")</f>
        <v>vch505_2_1_a</v>
      </c>
      <c r="AQ264" s="254" t="str">
        <f>IF(LEN(W264)=0,"",W264)</f>
        <v/>
      </c>
      <c r="AR264" s="1336"/>
      <c r="AS264" s="1336"/>
    </row>
    <row r="265" spans="1:45" x14ac:dyDescent="0.25">
      <c r="A265" s="2371">
        <v>5</v>
      </c>
      <c r="B265" s="2374" t="s">
        <v>481</v>
      </c>
      <c r="C265" s="2374" t="s">
        <v>256</v>
      </c>
      <c r="D265" s="2374" t="s">
        <v>121</v>
      </c>
      <c r="E265" s="2380"/>
      <c r="F265" s="2374"/>
      <c r="G265" s="2373" t="str">
        <f t="shared" si="9"/>
        <v/>
      </c>
      <c r="H265" s="2371" t="s">
        <v>3973</v>
      </c>
      <c r="I265" s="86"/>
      <c r="J265" s="90"/>
      <c r="K265" s="90"/>
      <c r="L265" s="1779"/>
      <c r="M265" s="1014"/>
      <c r="N265" s="1042"/>
      <c r="O265" s="1042"/>
      <c r="P265" s="249"/>
      <c r="Q265" s="249"/>
      <c r="R265" s="249"/>
      <c r="S265" s="249"/>
      <c r="T265" s="249"/>
      <c r="U265" s="249"/>
      <c r="V265" s="249"/>
      <c r="W265" s="249"/>
      <c r="X265" s="1799"/>
      <c r="Y265" s="2100"/>
      <c r="Z265" s="2091"/>
      <c r="AA265" s="1526"/>
      <c r="AC265" s="970"/>
      <c r="AD265" s="970"/>
      <c r="AE265" s="970"/>
      <c r="AF265" s="249"/>
      <c r="AG265" s="249"/>
      <c r="AH265" s="249"/>
      <c r="AI265" s="249"/>
      <c r="AJ265" s="249"/>
      <c r="AK265" s="249"/>
      <c r="AL265" s="1336"/>
      <c r="AM265" s="1336"/>
      <c r="AN265" s="1336"/>
      <c r="AO265" s="1336"/>
      <c r="AP265" s="1336"/>
      <c r="AQ265" s="1336"/>
      <c r="AR265" s="1336"/>
      <c r="AS265" s="1336"/>
    </row>
    <row r="266" spans="1:45" x14ac:dyDescent="0.25">
      <c r="A266" s="2371">
        <v>5</v>
      </c>
      <c r="B266" s="2374" t="s">
        <v>481</v>
      </c>
      <c r="C266" s="2374" t="s">
        <v>256</v>
      </c>
      <c r="D266" s="2374" t="s">
        <v>121</v>
      </c>
      <c r="E266" s="2380"/>
      <c r="F266" s="2374"/>
      <c r="G266" s="2373" t="str">
        <f t="shared" si="9"/>
        <v/>
      </c>
      <c r="H266" s="2371" t="s">
        <v>3973</v>
      </c>
      <c r="I266" s="86"/>
      <c r="J266" s="90"/>
      <c r="K266" s="90"/>
      <c r="L266" s="1779"/>
      <c r="M266" s="1014"/>
      <c r="N266" s="1042"/>
      <c r="O266" s="1042"/>
      <c r="P266" s="249"/>
      <c r="Q266" s="249"/>
      <c r="R266" s="249"/>
      <c r="S266" s="249"/>
      <c r="T266" s="249"/>
      <c r="U266" s="249"/>
      <c r="V266" s="249"/>
      <c r="W266" s="249"/>
      <c r="X266" s="1799"/>
      <c r="Y266" s="2100"/>
      <c r="Z266" s="2091"/>
      <c r="AA266" s="1526"/>
      <c r="AC266" s="970"/>
      <c r="AD266" s="970"/>
      <c r="AE266" s="970"/>
      <c r="AF266" s="249"/>
      <c r="AG266" s="249"/>
      <c r="AH266" s="249"/>
      <c r="AI266" s="249"/>
      <c r="AJ266" s="249"/>
      <c r="AK266" s="249"/>
      <c r="AL266" s="1336"/>
      <c r="AM266" s="1336"/>
      <c r="AN266" s="1336"/>
      <c r="AO266" s="1336"/>
      <c r="AP266" s="1336"/>
      <c r="AQ266" s="1336"/>
      <c r="AR266" s="1336"/>
      <c r="AS266" s="1336"/>
    </row>
    <row r="267" spans="1:45" x14ac:dyDescent="0.25">
      <c r="A267" s="2371">
        <v>5</v>
      </c>
      <c r="B267" s="2374" t="s">
        <v>481</v>
      </c>
      <c r="C267" s="2374" t="s">
        <v>256</v>
      </c>
      <c r="D267" s="2374" t="s">
        <v>122</v>
      </c>
      <c r="E267" s="2380"/>
      <c r="F267" s="2374"/>
      <c r="G267" s="2373" t="str">
        <f t="shared" si="9"/>
        <v/>
      </c>
      <c r="H267" s="2371" t="s">
        <v>3973</v>
      </c>
      <c r="I267" s="86"/>
      <c r="J267" s="90"/>
      <c r="K267" s="87" t="s">
        <v>122</v>
      </c>
      <c r="L267" s="1779" t="s">
        <v>486</v>
      </c>
      <c r="M267" s="1014"/>
      <c r="N267" s="1042"/>
      <c r="O267" s="1042"/>
      <c r="P267" s="249" t="b">
        <v>0</v>
      </c>
      <c r="Q267" s="249" t="b">
        <v>1</v>
      </c>
      <c r="R267" s="249" t="b">
        <v>0</v>
      </c>
      <c r="S267" s="249" t="b">
        <v>1</v>
      </c>
      <c r="T267" s="249" t="b">
        <v>0</v>
      </c>
      <c r="U267" s="249"/>
      <c r="V267" s="249"/>
      <c r="W267" s="25"/>
      <c r="X267" s="1799"/>
      <c r="Y267" s="2100"/>
      <c r="Z267" s="2091"/>
      <c r="AA267" s="1551" t="str">
        <f>IF(LEN('Photo Review'!I266)&gt;0,'Photo Review'!I266,"")</f>
        <v/>
      </c>
      <c r="AC267" s="970"/>
      <c r="AD267" s="970"/>
      <c r="AE267" s="970"/>
      <c r="AF267" s="249"/>
      <c r="AG267" s="249"/>
      <c r="AH267" s="249"/>
      <c r="AI267" s="249"/>
      <c r="AJ267" s="249"/>
      <c r="AK267" s="249"/>
      <c r="AL267" s="1336"/>
      <c r="AM267" s="1336"/>
      <c r="AN267" s="1336"/>
      <c r="AO267" s="1336"/>
      <c r="AP267" s="1336" t="str">
        <f>SUBSTITUTE(SUBSTITUTE(SUBSTITUTE("vch"&amp;$B267&amp;$C267&amp;$D267&amp;$E267,".","_"),"(","_"),")","")</f>
        <v>vch505_2_1_b</v>
      </c>
      <c r="AQ267" s="254" t="str">
        <f>IF(LEN(W267)=0,"",W267)</f>
        <v/>
      </c>
      <c r="AR267" s="1336"/>
      <c r="AS267" s="1336"/>
    </row>
    <row r="268" spans="1:45" x14ac:dyDescent="0.25">
      <c r="A268" s="2371">
        <v>5</v>
      </c>
      <c r="B268" s="2374" t="s">
        <v>481</v>
      </c>
      <c r="C268" s="2374" t="s">
        <v>256</v>
      </c>
      <c r="D268" s="2374" t="s">
        <v>122</v>
      </c>
      <c r="E268" s="2380"/>
      <c r="F268" s="2374"/>
      <c r="G268" s="2373" t="str">
        <f t="shared" si="9"/>
        <v/>
      </c>
      <c r="H268" s="2371" t="s">
        <v>3973</v>
      </c>
      <c r="I268" s="86"/>
      <c r="J268" s="90"/>
      <c r="K268" s="90"/>
      <c r="L268" s="1779"/>
      <c r="M268" s="1014"/>
      <c r="N268" s="1042"/>
      <c r="O268" s="1042"/>
      <c r="P268" s="249"/>
      <c r="Q268" s="249"/>
      <c r="R268" s="249"/>
      <c r="S268" s="249"/>
      <c r="T268" s="249"/>
      <c r="U268" s="249"/>
      <c r="V268" s="249"/>
      <c r="W268" s="249"/>
      <c r="X268" s="1799"/>
      <c r="Y268" s="2100"/>
      <c r="Z268" s="2091"/>
      <c r="AA268" s="1526"/>
      <c r="AC268" s="970"/>
      <c r="AD268" s="970"/>
      <c r="AE268" s="970"/>
      <c r="AF268" s="249"/>
      <c r="AG268" s="249"/>
      <c r="AH268" s="249"/>
      <c r="AI268" s="249"/>
      <c r="AJ268" s="249"/>
      <c r="AK268" s="249"/>
      <c r="AL268" s="1336"/>
      <c r="AM268" s="1336"/>
      <c r="AN268" s="1336"/>
      <c r="AO268" s="1336"/>
      <c r="AP268" s="1336"/>
      <c r="AQ268" s="1336"/>
      <c r="AR268" s="1336"/>
      <c r="AS268" s="1336"/>
    </row>
    <row r="269" spans="1:45" x14ac:dyDescent="0.25">
      <c r="A269" s="2371">
        <v>5</v>
      </c>
      <c r="B269" s="2374" t="s">
        <v>481</v>
      </c>
      <c r="C269" s="2374" t="s">
        <v>256</v>
      </c>
      <c r="D269" s="2374" t="s">
        <v>122</v>
      </c>
      <c r="E269" s="2380"/>
      <c r="F269" s="2374"/>
      <c r="G269" s="2373" t="str">
        <f t="shared" si="9"/>
        <v/>
      </c>
      <c r="H269" s="2371" t="s">
        <v>3973</v>
      </c>
      <c r="I269" s="86"/>
      <c r="J269" s="90"/>
      <c r="K269" s="90"/>
      <c r="L269" s="1779"/>
      <c r="M269" s="1014"/>
      <c r="N269" s="1042"/>
      <c r="O269" s="1042"/>
      <c r="P269" s="249"/>
      <c r="Q269" s="249"/>
      <c r="R269" s="249"/>
      <c r="S269" s="249"/>
      <c r="T269" s="249"/>
      <c r="U269" s="249"/>
      <c r="V269" s="249"/>
      <c r="W269" s="249"/>
      <c r="X269" s="1799"/>
      <c r="Y269" s="2100"/>
      <c r="Z269" s="2091"/>
      <c r="AA269" s="1526"/>
      <c r="AC269" s="970"/>
      <c r="AD269" s="970"/>
      <c r="AE269" s="970"/>
      <c r="AF269" s="249"/>
      <c r="AG269" s="249"/>
      <c r="AH269" s="249"/>
      <c r="AI269" s="249"/>
      <c r="AJ269" s="249"/>
      <c r="AK269" s="249"/>
      <c r="AL269" s="1336"/>
      <c r="AM269" s="1336"/>
      <c r="AN269" s="1336"/>
      <c r="AO269" s="1336"/>
      <c r="AP269" s="1336"/>
      <c r="AQ269" s="1336"/>
      <c r="AR269" s="1336"/>
      <c r="AS269" s="1336"/>
    </row>
    <row r="270" spans="1:45" x14ac:dyDescent="0.25">
      <c r="A270" s="2371">
        <v>5</v>
      </c>
      <c r="B270" s="2374" t="s">
        <v>481</v>
      </c>
      <c r="C270" s="2374" t="s">
        <v>256</v>
      </c>
      <c r="D270" s="2374" t="s">
        <v>122</v>
      </c>
      <c r="E270" s="2380"/>
      <c r="F270" s="2374"/>
      <c r="G270" s="2373" t="str">
        <f t="shared" si="9"/>
        <v/>
      </c>
      <c r="H270" s="2371" t="s">
        <v>3973</v>
      </c>
      <c r="I270" s="86"/>
      <c r="J270" s="90"/>
      <c r="K270" s="90"/>
      <c r="L270" s="1779"/>
      <c r="M270" s="1014"/>
      <c r="N270" s="1042"/>
      <c r="O270" s="1042"/>
      <c r="P270" s="249"/>
      <c r="Q270" s="249"/>
      <c r="R270" s="249"/>
      <c r="S270" s="249"/>
      <c r="T270" s="249"/>
      <c r="U270" s="249"/>
      <c r="V270" s="249"/>
      <c r="W270" s="249"/>
      <c r="X270" s="1799"/>
      <c r="Y270" s="2100"/>
      <c r="Z270" s="2091"/>
      <c r="AA270" s="1526"/>
      <c r="AC270" s="970"/>
      <c r="AD270" s="970"/>
      <c r="AE270" s="970"/>
      <c r="AF270" s="249"/>
      <c r="AG270" s="249"/>
      <c r="AH270" s="249"/>
      <c r="AI270" s="249"/>
      <c r="AJ270" s="249"/>
      <c r="AK270" s="249"/>
      <c r="AL270" s="1336"/>
      <c r="AM270" s="1336"/>
      <c r="AN270" s="1336"/>
      <c r="AO270" s="1336"/>
      <c r="AP270" s="1336"/>
      <c r="AQ270" s="1336"/>
      <c r="AR270" s="1336"/>
      <c r="AS270" s="1336"/>
    </row>
    <row r="271" spans="1:45" x14ac:dyDescent="0.25">
      <c r="A271" s="2371">
        <v>5</v>
      </c>
      <c r="B271" s="2374" t="s">
        <v>481</v>
      </c>
      <c r="C271" s="2374" t="s">
        <v>256</v>
      </c>
      <c r="D271" s="2374" t="s">
        <v>123</v>
      </c>
      <c r="E271" s="2380"/>
      <c r="F271" s="2374"/>
      <c r="G271" s="2373" t="str">
        <f t="shared" si="9"/>
        <v/>
      </c>
      <c r="H271" s="2371" t="s">
        <v>3973</v>
      </c>
      <c r="I271" s="86"/>
      <c r="J271" s="177"/>
      <c r="K271" s="179" t="s">
        <v>123</v>
      </c>
      <c r="L271" s="1163" t="s">
        <v>487</v>
      </c>
      <c r="M271" s="1015"/>
      <c r="N271" s="1047"/>
      <c r="O271" s="1047"/>
      <c r="P271" s="249" t="b">
        <v>0</v>
      </c>
      <c r="Q271" s="249" t="b">
        <v>1</v>
      </c>
      <c r="R271" s="249" t="b">
        <v>0</v>
      </c>
      <c r="S271" s="249" t="b">
        <v>1</v>
      </c>
      <c r="T271" s="249" t="b">
        <v>0</v>
      </c>
      <c r="U271" s="249"/>
      <c r="V271" s="249"/>
      <c r="W271" s="25"/>
      <c r="X271" s="1756"/>
      <c r="Y271" s="2097"/>
      <c r="Z271" s="2085"/>
      <c r="AA271" s="1526"/>
      <c r="AC271" s="970"/>
      <c r="AD271" s="970"/>
      <c r="AE271" s="970"/>
      <c r="AF271" s="249"/>
      <c r="AG271" s="249"/>
      <c r="AH271" s="249"/>
      <c r="AI271" s="249"/>
      <c r="AJ271" s="249"/>
      <c r="AK271" s="249"/>
      <c r="AL271" s="1336"/>
      <c r="AM271" s="1336"/>
      <c r="AN271" s="1336"/>
      <c r="AO271" s="1336"/>
      <c r="AP271" s="1336" t="str">
        <f>SUBSTITUTE(SUBSTITUTE(SUBSTITUTE("vch"&amp;$B271&amp;$C271&amp;$D271&amp;$E271,".","_"),"(","_"),")","")</f>
        <v>vch505_2_1_c</v>
      </c>
      <c r="AQ271" s="254" t="str">
        <f>IF(LEN(W271)=0,"",W271)</f>
        <v/>
      </c>
      <c r="AR271" s="1336"/>
      <c r="AS271" s="1336"/>
    </row>
    <row r="272" spans="1:45" x14ac:dyDescent="0.25">
      <c r="A272" s="2371">
        <v>5</v>
      </c>
      <c r="B272" s="2374" t="s">
        <v>481</v>
      </c>
      <c r="C272" s="2374" t="s">
        <v>258</v>
      </c>
      <c r="D272" s="2374"/>
      <c r="E272" s="2374"/>
      <c r="F272" s="2374"/>
      <c r="G272" s="2373" t="str">
        <f>IF(N272&gt;0,"P","")</f>
        <v/>
      </c>
      <c r="H272" s="2375" t="s">
        <v>3973</v>
      </c>
      <c r="I272" s="102"/>
      <c r="J272" s="91" t="s">
        <v>258</v>
      </c>
      <c r="K272" s="102"/>
      <c r="L272" s="1754" t="s">
        <v>488</v>
      </c>
      <c r="M272" s="1758">
        <v>5</v>
      </c>
      <c r="N272" s="1927">
        <f>'Ch5'!O273</f>
        <v>0</v>
      </c>
      <c r="O272" s="1927">
        <f>M272*W272</f>
        <v>0</v>
      </c>
      <c r="P272" s="249" t="b">
        <v>0</v>
      </c>
      <c r="Q272" s="249" t="b">
        <v>1</v>
      </c>
      <c r="R272" s="94" t="b">
        <v>0</v>
      </c>
      <c r="S272" s="94" t="b">
        <v>1</v>
      </c>
      <c r="T272" s="94" t="b">
        <v>0</v>
      </c>
      <c r="U272" s="94"/>
      <c r="V272" s="94"/>
      <c r="W272" s="25"/>
      <c r="X272" s="1798"/>
      <c r="Y272" s="2099" t="str">
        <f>IF(LEN('Ch5'!X273)=0,"None",'Ch5'!X273)</f>
        <v>None</v>
      </c>
      <c r="Z272" s="2087"/>
      <c r="AA272" s="1551" t="str">
        <f>IF(LEN('Photo Review'!I271)&gt;0,'Photo Review'!I271,"")</f>
        <v/>
      </c>
      <c r="AC272" s="970"/>
      <c r="AD272" s="970"/>
      <c r="AE272" s="970"/>
      <c r="AF272" s="249"/>
      <c r="AG272" s="249"/>
      <c r="AH272" s="249"/>
      <c r="AI272" s="249"/>
      <c r="AJ272" s="249"/>
      <c r="AK272" s="249"/>
      <c r="AL272" s="1336" t="str">
        <f>SUBSTITUTE(SUBSTITUTE(SUBSTITUTE("vpa"&amp;$B272&amp;$C272&amp;$D272&amp;$E272,".","_"),"(","_"),")","")</f>
        <v>vpa505_2_2</v>
      </c>
      <c r="AM272" s="254">
        <f>M272</f>
        <v>5</v>
      </c>
      <c r="AN272" s="1336" t="str">
        <f>SUBSTITUTE(SUBSTITUTE(SUBSTITUTE("vpc"&amp;$B272&amp;$C272&amp;$D272&amp;$E272,".","_"),"(","_"),")","")</f>
        <v>vpc505_2_2</v>
      </c>
      <c r="AO272" s="254">
        <f>O272</f>
        <v>0</v>
      </c>
      <c r="AP272" s="1336" t="str">
        <f>SUBSTITUTE(SUBSTITUTE(SUBSTITUTE("vch"&amp;$B272&amp;$C272&amp;$D272&amp;$E272,".","_"),"(","_"),")","")</f>
        <v>vch505_2_2</v>
      </c>
      <c r="AQ272" s="254" t="str">
        <f>IF(LEN(W272)=0,"",W272)</f>
        <v/>
      </c>
      <c r="AR272" s="1336" t="str">
        <f>SUBSTITUTE(SUBSTITUTE(SUBSTITUTE("vnt"&amp;$B272&amp;$C272&amp;$D272&amp;$E272,".","_"),"(","_"),")","")</f>
        <v>vnt505_2_2</v>
      </c>
      <c r="AS272" s="254" t="str">
        <f>IF(LEN(X272)=0,"",X272)</f>
        <v/>
      </c>
    </row>
    <row r="273" spans="1:45" x14ac:dyDescent="0.25">
      <c r="A273" s="2371">
        <v>5</v>
      </c>
      <c r="B273" s="2374" t="s">
        <v>481</v>
      </c>
      <c r="C273" s="2374" t="s">
        <v>258</v>
      </c>
      <c r="D273" s="2374"/>
      <c r="E273" s="2374"/>
      <c r="F273" s="2374"/>
      <c r="G273" s="2373" t="str">
        <f>G272</f>
        <v/>
      </c>
      <c r="H273" s="2375" t="s">
        <v>3973</v>
      </c>
      <c r="I273" s="102"/>
      <c r="J273" s="102"/>
      <c r="K273" s="102"/>
      <c r="L273" s="1754"/>
      <c r="M273" s="1758"/>
      <c r="N273" s="1927"/>
      <c r="O273" s="1927"/>
      <c r="P273" s="94"/>
      <c r="Q273" s="94"/>
      <c r="R273" s="94"/>
      <c r="S273" s="94"/>
      <c r="T273" s="94"/>
      <c r="U273" s="94"/>
      <c r="V273" s="94"/>
      <c r="W273" s="94"/>
      <c r="X273" s="1799"/>
      <c r="Y273" s="2100"/>
      <c r="Z273" s="2091"/>
      <c r="AA273" s="1526"/>
      <c r="AC273" s="970"/>
      <c r="AD273" s="970"/>
      <c r="AE273" s="970"/>
      <c r="AF273" s="249"/>
      <c r="AG273" s="249"/>
      <c r="AH273" s="249"/>
      <c r="AI273" s="249"/>
      <c r="AJ273" s="249"/>
      <c r="AK273" s="249"/>
      <c r="AL273" s="1336"/>
      <c r="AM273" s="1336"/>
      <c r="AN273" s="1336"/>
      <c r="AO273" s="1336"/>
      <c r="AP273" s="1336"/>
      <c r="AQ273" s="1336"/>
      <c r="AR273" s="1336"/>
      <c r="AS273" s="1336"/>
    </row>
    <row r="274" spans="1:45" ht="15.75" thickBot="1" x14ac:dyDescent="0.3">
      <c r="A274" s="2371">
        <v>5</v>
      </c>
      <c r="B274" s="2374" t="s">
        <v>481</v>
      </c>
      <c r="C274" s="2374" t="s">
        <v>258</v>
      </c>
      <c r="D274" s="2374"/>
      <c r="E274" s="2374"/>
      <c r="F274" s="2374"/>
      <c r="G274" s="2373" t="str">
        <f>G273</f>
        <v/>
      </c>
      <c r="H274" s="2375" t="s">
        <v>3973</v>
      </c>
      <c r="I274" s="103"/>
      <c r="J274" s="103"/>
      <c r="K274" s="103"/>
      <c r="L274" s="1783"/>
      <c r="M274" s="1768"/>
      <c r="N274" s="1928"/>
      <c r="O274" s="1928"/>
      <c r="P274" s="99"/>
      <c r="Q274" s="99"/>
      <c r="R274" s="99"/>
      <c r="S274" s="99"/>
      <c r="T274" s="99"/>
      <c r="U274" s="99"/>
      <c r="V274" s="99"/>
      <c r="W274" s="99"/>
      <c r="X274" s="1800"/>
      <c r="Y274" s="2102"/>
      <c r="Z274" s="2090"/>
      <c r="AA274" s="1526"/>
      <c r="AC274" s="970"/>
      <c r="AD274" s="970"/>
      <c r="AE274" s="970"/>
      <c r="AF274" s="249"/>
      <c r="AG274" s="249"/>
      <c r="AH274" s="249"/>
      <c r="AI274" s="249"/>
      <c r="AJ274" s="249"/>
      <c r="AK274" s="249"/>
      <c r="AL274" s="1336"/>
      <c r="AM274" s="1336"/>
      <c r="AN274" s="1336"/>
      <c r="AO274" s="1336"/>
      <c r="AP274" s="1336"/>
      <c r="AQ274" s="1336"/>
      <c r="AR274" s="1336"/>
      <c r="AS274" s="1336"/>
    </row>
    <row r="275" spans="1:45" ht="15.75" thickTop="1" x14ac:dyDescent="0.25">
      <c r="A275" s="2371">
        <v>5</v>
      </c>
      <c r="B275" s="2374" t="s">
        <v>489</v>
      </c>
      <c r="C275" s="2374"/>
      <c r="D275" s="2374"/>
      <c r="E275" s="2374"/>
      <c r="F275" s="2374"/>
      <c r="G275" s="2373" t="str">
        <f ca="1">IF(N275&gt;0,"P","")</f>
        <v/>
      </c>
      <c r="H275" s="2375" t="s">
        <v>3971</v>
      </c>
      <c r="I275" s="87" t="s">
        <v>489</v>
      </c>
      <c r="J275" s="90"/>
      <c r="K275" s="90"/>
      <c r="L275" s="1180" t="s">
        <v>490</v>
      </c>
      <c r="M275" s="1014"/>
      <c r="N275" s="1042">
        <f ca="1">'Ch5'!O276</f>
        <v>0</v>
      </c>
      <c r="O275" s="1691">
        <f ca="1">S275*IFERROR(INDEX({4,5,6,7,8},MATCH(W275,INDIRECT(U275),0)),0)</f>
        <v>0</v>
      </c>
      <c r="P275" s="1690" t="b">
        <v>1</v>
      </c>
      <c r="Q275" s="1690" t="b">
        <v>1</v>
      </c>
      <c r="R275" s="1690" t="b">
        <v>0</v>
      </c>
      <c r="S275" s="1690" t="b">
        <v>1</v>
      </c>
      <c r="T275" s="1690" t="b">
        <v>0</v>
      </c>
      <c r="U275" s="94" t="str">
        <f>SUBSTITUTE(SUBSTITUTE(SUBSTITUTE("dd"&amp;B275&amp;C275&amp;D275&amp;E275&amp;F275,".","_"),"(","_"),")","")</f>
        <v>dd505_3</v>
      </c>
      <c r="V275" s="1690"/>
      <c r="W275" s="1484"/>
      <c r="X275" s="1784"/>
      <c r="Y275" s="2097" t="str">
        <f>IF(LEN('Ch5'!X276)=0,"None",'Ch5'!X276)</f>
        <v>None</v>
      </c>
      <c r="Z275" s="2085"/>
      <c r="AA275" s="1551" t="str">
        <f>IF(LEN('Photo Review'!I274)&gt;0,'Photo Review'!I274,"")</f>
        <v/>
      </c>
      <c r="AC275" s="970"/>
      <c r="AD275" s="970"/>
      <c r="AE275" s="970"/>
      <c r="AF275" s="249"/>
      <c r="AG275" s="249"/>
      <c r="AH275" s="249"/>
      <c r="AI275" s="249"/>
      <c r="AJ275" s="249"/>
      <c r="AK275" s="249"/>
      <c r="AL275" s="1336"/>
      <c r="AM275" s="1336"/>
      <c r="AN275" s="1336" t="str">
        <f>SUBSTITUTE(SUBSTITUTE(SUBSTITUTE("vpc"&amp;$B275&amp;$C275&amp;$D275&amp;$E275,".","_"),"(","_"),")","")</f>
        <v>vpc505_3</v>
      </c>
      <c r="AO275" s="254">
        <f ca="1">O275</f>
        <v>0</v>
      </c>
      <c r="AP275" s="1336"/>
      <c r="AQ275" s="254"/>
      <c r="AR275" s="1336" t="str">
        <f>SUBSTITUTE(SUBSTITUTE(SUBSTITUTE("vnt"&amp;$B275&amp;$C275&amp;$D275&amp;$E275,".","_"),"(","_"),")","")</f>
        <v>vnt505_3</v>
      </c>
      <c r="AS275" s="254" t="str">
        <f>IF(LEN(X275)=0,"",X275)</f>
        <v/>
      </c>
    </row>
    <row r="276" spans="1:45" x14ac:dyDescent="0.25">
      <c r="A276" s="2371">
        <v>5</v>
      </c>
      <c r="B276" s="2374" t="s">
        <v>489</v>
      </c>
      <c r="C276" s="2374" t="s">
        <v>256</v>
      </c>
      <c r="D276" s="2374"/>
      <c r="E276" s="2374"/>
      <c r="F276" s="2374"/>
      <c r="G276" s="2373" t="str">
        <f ca="1">G275</f>
        <v/>
      </c>
      <c r="H276" s="2375" t="s">
        <v>3971</v>
      </c>
      <c r="I276" s="90"/>
      <c r="J276" s="174" t="s">
        <v>256</v>
      </c>
      <c r="K276" s="177"/>
      <c r="L276" s="1163" t="s">
        <v>4136</v>
      </c>
      <c r="M276" s="1015">
        <v>4</v>
      </c>
      <c r="N276" s="1042"/>
      <c r="O276" s="1693"/>
      <c r="P276" s="1690"/>
      <c r="Q276" s="1690"/>
      <c r="R276" s="1690"/>
      <c r="S276" s="1690"/>
      <c r="T276" s="1690"/>
      <c r="U276" s="94"/>
      <c r="V276" s="1690"/>
      <c r="W276" s="1690"/>
      <c r="X276" s="1757"/>
      <c r="Y276" s="2081"/>
      <c r="Z276" s="2084"/>
      <c r="AA276" s="1526"/>
      <c r="AC276" s="970"/>
      <c r="AD276" s="970"/>
      <c r="AE276" s="970"/>
      <c r="AF276" s="249"/>
      <c r="AG276" s="249"/>
      <c r="AH276" s="249"/>
      <c r="AI276" s="249"/>
      <c r="AJ276" s="249"/>
      <c r="AK276" s="249"/>
      <c r="AL276" s="1336" t="str">
        <f>SUBSTITUTE(SUBSTITUTE(SUBSTITUTE("vpa"&amp;$B276&amp;$C276&amp;$D276&amp;$E276,".","_"),"(","_"),")","")</f>
        <v>vpa505_3_1</v>
      </c>
      <c r="AM276" s="254">
        <f t="shared" ref="AM276:AM282" si="10">M276</f>
        <v>4</v>
      </c>
      <c r="AN276" s="1336"/>
      <c r="AO276" s="1336"/>
      <c r="AP276" s="1336" t="str">
        <f>SUBSTITUTE(SUBSTITUTE(SUBSTITUTE("vch"&amp;$B276&amp;$C276&amp;$D276&amp;$E276,".","_"),"(","_"),")","")</f>
        <v>vch505_3_1</v>
      </c>
      <c r="AQ276" s="254" t="str">
        <f>IF(LEN(W276)=0,"",W276)</f>
        <v/>
      </c>
      <c r="AR276" s="1336"/>
      <c r="AS276" s="1336"/>
    </row>
    <row r="277" spans="1:45" x14ac:dyDescent="0.25">
      <c r="A277" s="2371">
        <v>5</v>
      </c>
      <c r="B277" s="2374" t="s">
        <v>489</v>
      </c>
      <c r="C277" s="2374" t="s">
        <v>258</v>
      </c>
      <c r="D277" s="2374"/>
      <c r="E277" s="2374"/>
      <c r="F277" s="2374"/>
      <c r="G277" s="2373" t="str">
        <f ca="1">G276</f>
        <v/>
      </c>
      <c r="H277" s="2375" t="s">
        <v>3971</v>
      </c>
      <c r="I277" s="90"/>
      <c r="J277" s="174" t="s">
        <v>258</v>
      </c>
      <c r="K277" s="177"/>
      <c r="L277" s="1163" t="s">
        <v>4137</v>
      </c>
      <c r="M277" s="1015">
        <v>5</v>
      </c>
      <c r="N277" s="1042"/>
      <c r="O277" s="1693"/>
      <c r="P277" s="1690"/>
      <c r="Q277" s="1690"/>
      <c r="R277" s="1690"/>
      <c r="S277" s="1690"/>
      <c r="T277" s="1690"/>
      <c r="U277" s="1690"/>
      <c r="V277" s="1690"/>
      <c r="W277" s="1690"/>
      <c r="X277" s="1757"/>
      <c r="Y277" s="2081"/>
      <c r="Z277" s="2084"/>
      <c r="AA277" s="1526"/>
      <c r="AC277" s="970"/>
      <c r="AD277" s="970"/>
      <c r="AE277" s="970"/>
      <c r="AF277" s="249"/>
      <c r="AG277" s="249"/>
      <c r="AH277" s="249"/>
      <c r="AI277" s="249"/>
      <c r="AJ277" s="249"/>
      <c r="AK277" s="249"/>
      <c r="AL277" s="1336" t="str">
        <f>SUBSTITUTE(SUBSTITUTE(SUBSTITUTE("vpa"&amp;$B277&amp;$C277&amp;$D277&amp;$E277,".","_"),"(","_"),")","")</f>
        <v>vpa505_3_2</v>
      </c>
      <c r="AM277" s="254">
        <f t="shared" si="10"/>
        <v>5</v>
      </c>
      <c r="AN277" s="1336"/>
      <c r="AO277" s="1336"/>
      <c r="AP277" s="1336"/>
      <c r="AQ277" s="1336"/>
      <c r="AR277" s="1336"/>
      <c r="AS277" s="1336"/>
    </row>
    <row r="278" spans="1:45" x14ac:dyDescent="0.25">
      <c r="A278" s="2371">
        <v>5</v>
      </c>
      <c r="B278" s="2374" t="s">
        <v>489</v>
      </c>
      <c r="C278" s="2374" t="s">
        <v>260</v>
      </c>
      <c r="D278" s="2374"/>
      <c r="E278" s="2374"/>
      <c r="F278" s="2374"/>
      <c r="G278" s="2373" t="str">
        <f ca="1">G277</f>
        <v/>
      </c>
      <c r="H278" s="2375" t="s">
        <v>3971</v>
      </c>
      <c r="I278" s="90"/>
      <c r="J278" s="174" t="s">
        <v>260</v>
      </c>
      <c r="K278" s="177"/>
      <c r="L278" s="1163" t="s">
        <v>4138</v>
      </c>
      <c r="M278" s="1015">
        <v>6</v>
      </c>
      <c r="N278" s="1042"/>
      <c r="O278" s="1693"/>
      <c r="P278" s="1690"/>
      <c r="Q278" s="1690"/>
      <c r="R278" s="1690"/>
      <c r="S278" s="1690"/>
      <c r="T278" s="1690"/>
      <c r="U278" s="1690"/>
      <c r="V278" s="1690"/>
      <c r="W278" s="1690"/>
      <c r="X278" s="1757"/>
      <c r="Y278" s="2081"/>
      <c r="Z278" s="2084"/>
      <c r="AA278" s="1526"/>
      <c r="AC278" s="970"/>
      <c r="AD278" s="970"/>
      <c r="AE278" s="970"/>
      <c r="AF278" s="249"/>
      <c r="AG278" s="249"/>
      <c r="AH278" s="249"/>
      <c r="AI278" s="249"/>
      <c r="AJ278" s="249"/>
      <c r="AK278" s="249"/>
      <c r="AL278" s="1336" t="str">
        <f>SUBSTITUTE(SUBSTITUTE(SUBSTITUTE("vpa"&amp;$B278&amp;$C278&amp;$D278&amp;$E278,".","_"),"(","_"),")","")</f>
        <v>vpa505_3_3</v>
      </c>
      <c r="AM278" s="254">
        <f t="shared" si="10"/>
        <v>6</v>
      </c>
      <c r="AN278" s="1336"/>
      <c r="AO278" s="1336"/>
      <c r="AP278" s="1336"/>
      <c r="AQ278" s="1336"/>
      <c r="AR278" s="1336"/>
      <c r="AS278" s="1336"/>
    </row>
    <row r="279" spans="1:45" x14ac:dyDescent="0.25">
      <c r="A279" s="2371">
        <v>5</v>
      </c>
      <c r="B279" s="2374" t="s">
        <v>489</v>
      </c>
      <c r="C279" s="2374" t="s">
        <v>269</v>
      </c>
      <c r="D279" s="2374"/>
      <c r="E279" s="2374"/>
      <c r="F279" s="2374"/>
      <c r="G279" s="2373" t="str">
        <f ca="1">G278</f>
        <v/>
      </c>
      <c r="H279" s="2375" t="s">
        <v>3971</v>
      </c>
      <c r="I279" s="90"/>
      <c r="J279" s="174" t="s">
        <v>269</v>
      </c>
      <c r="K279" s="177"/>
      <c r="L279" s="1163" t="s">
        <v>4139</v>
      </c>
      <c r="M279" s="1015">
        <v>7</v>
      </c>
      <c r="N279" s="1042"/>
      <c r="O279" s="1693"/>
      <c r="P279" s="1690"/>
      <c r="Q279" s="1690"/>
      <c r="R279" s="1690"/>
      <c r="S279" s="1690"/>
      <c r="T279" s="1690"/>
      <c r="U279" s="1690"/>
      <c r="V279" s="1690"/>
      <c r="W279" s="1690"/>
      <c r="X279" s="1757"/>
      <c r="Y279" s="2081"/>
      <c r="Z279" s="2084"/>
      <c r="AA279" s="1526"/>
      <c r="AC279" s="970"/>
      <c r="AD279" s="970"/>
      <c r="AE279" s="970"/>
      <c r="AF279" s="249"/>
      <c r="AG279" s="249"/>
      <c r="AH279" s="249"/>
      <c r="AI279" s="249"/>
      <c r="AJ279" s="249"/>
      <c r="AK279" s="249"/>
      <c r="AL279" s="1336" t="str">
        <f>SUBSTITUTE(SUBSTITUTE(SUBSTITUTE("vpa"&amp;$B279&amp;$C279&amp;$D279&amp;$E279,".","_"),"(","_"),")","")</f>
        <v>vpa505_3_4</v>
      </c>
      <c r="AM279" s="254">
        <f t="shared" si="10"/>
        <v>7</v>
      </c>
      <c r="AN279" s="1336"/>
      <c r="AO279" s="1336"/>
      <c r="AP279" s="1336"/>
      <c r="AQ279" s="1336"/>
      <c r="AR279" s="1336"/>
      <c r="AS279" s="1336"/>
    </row>
    <row r="280" spans="1:45" ht="15.75" thickBot="1" x14ac:dyDescent="0.3">
      <c r="A280" s="2371">
        <v>5</v>
      </c>
      <c r="B280" s="2374" t="s">
        <v>489</v>
      </c>
      <c r="C280" s="2374" t="s">
        <v>275</v>
      </c>
      <c r="D280" s="2374"/>
      <c r="E280" s="2374"/>
      <c r="F280" s="2374"/>
      <c r="G280" s="2373" t="str">
        <f ca="1">G279</f>
        <v/>
      </c>
      <c r="H280" s="2375" t="s">
        <v>3971</v>
      </c>
      <c r="I280" s="103"/>
      <c r="J280" s="96" t="s">
        <v>275</v>
      </c>
      <c r="K280" s="103"/>
      <c r="L280" s="1171" t="s">
        <v>4140</v>
      </c>
      <c r="M280" s="1011">
        <v>8</v>
      </c>
      <c r="N280" s="1045"/>
      <c r="O280" s="1692"/>
      <c r="P280" s="99"/>
      <c r="Q280" s="99"/>
      <c r="R280" s="99"/>
      <c r="S280" s="99"/>
      <c r="T280" s="99"/>
      <c r="U280" s="99"/>
      <c r="V280" s="99"/>
      <c r="W280" s="99"/>
      <c r="X280" s="1771"/>
      <c r="Y280" s="2082"/>
      <c r="Z280" s="2086"/>
      <c r="AA280" s="1526"/>
      <c r="AC280" s="970"/>
      <c r="AD280" s="970"/>
      <c r="AE280" s="970"/>
      <c r="AF280" s="249"/>
      <c r="AG280" s="249"/>
      <c r="AH280" s="249"/>
      <c r="AI280" s="249"/>
      <c r="AJ280" s="249"/>
      <c r="AK280" s="249"/>
      <c r="AL280" s="1336" t="str">
        <f>SUBSTITUTE(SUBSTITUTE(SUBSTITUTE("vpa"&amp;$B280&amp;$C280&amp;$D280&amp;$E280,".","_"),"(","_"),")","")</f>
        <v>vpa505_3_5</v>
      </c>
      <c r="AM280" s="254">
        <f t="shared" si="10"/>
        <v>8</v>
      </c>
      <c r="AN280" s="1336"/>
      <c r="AO280" s="1336"/>
      <c r="AP280" s="1336"/>
      <c r="AQ280" s="1336"/>
      <c r="AR280" s="1336"/>
      <c r="AS280" s="1336"/>
    </row>
    <row r="281" spans="1:45" s="868" customFormat="1" ht="15.75" thickTop="1" x14ac:dyDescent="0.25">
      <c r="A281" s="2371">
        <v>5</v>
      </c>
      <c r="B281" s="2374" t="s">
        <v>491</v>
      </c>
      <c r="C281" s="2374"/>
      <c r="D281" s="2374"/>
      <c r="E281" s="2374"/>
      <c r="F281" s="2374"/>
      <c r="G281" s="2373" t="str">
        <f ca="1">G282</f>
        <v/>
      </c>
      <c r="H281" s="2375" t="s">
        <v>3971</v>
      </c>
      <c r="I281" s="114" t="s">
        <v>491</v>
      </c>
      <c r="J281" s="107"/>
      <c r="K281" s="107"/>
      <c r="L281" s="1189" t="s">
        <v>4141</v>
      </c>
      <c r="M281" s="1010"/>
      <c r="N281" s="1048"/>
      <c r="O281" s="1044"/>
      <c r="P281" s="105"/>
      <c r="Q281" s="105"/>
      <c r="R281" s="105"/>
      <c r="S281" s="105"/>
      <c r="T281" s="105"/>
      <c r="U281" s="105"/>
      <c r="V281" s="105"/>
      <c r="W281" s="265"/>
      <c r="X281" s="265"/>
      <c r="Y281" s="265"/>
      <c r="Z281" s="1590"/>
      <c r="AA281" s="1551" t="str">
        <f>IF(LEN('Photo Review'!I280)&gt;0,'Photo Review'!I280,"")</f>
        <v/>
      </c>
      <c r="AC281" s="970"/>
      <c r="AD281" s="970"/>
      <c r="AE281" s="970"/>
      <c r="AL281" s="1336"/>
      <c r="AM281" s="254"/>
      <c r="AN281" s="1336"/>
      <c r="AO281" s="1336"/>
      <c r="AP281" s="1336"/>
      <c r="AQ281" s="1336"/>
      <c r="AR281" s="1336"/>
      <c r="AS281" s="1336"/>
    </row>
    <row r="282" spans="1:45" ht="15.75" thickBot="1" x14ac:dyDescent="0.3">
      <c r="A282" s="2371">
        <v>5</v>
      </c>
      <c r="B282" s="2374" t="s">
        <v>491</v>
      </c>
      <c r="C282" s="2374" t="s">
        <v>256</v>
      </c>
      <c r="D282" s="2374"/>
      <c r="E282" s="2374"/>
      <c r="F282" s="2374"/>
      <c r="G282" s="2373" t="str">
        <f ca="1">IF(N282&gt;0,"P","")</f>
        <v/>
      </c>
      <c r="H282" s="2375" t="s">
        <v>3971</v>
      </c>
      <c r="I282" s="99"/>
      <c r="J282" s="96" t="s">
        <v>256</v>
      </c>
      <c r="K282" s="103"/>
      <c r="L282" s="1171" t="s">
        <v>4142</v>
      </c>
      <c r="M282" s="1011">
        <v>8</v>
      </c>
      <c r="N282" s="1045">
        <f ca="1">'Ch5'!O283</f>
        <v>0</v>
      </c>
      <c r="O282" s="1045">
        <f ca="1">M282*S282*W282</f>
        <v>0</v>
      </c>
      <c r="P282" s="99" t="b">
        <v>1</v>
      </c>
      <c r="Q282" s="99" t="b">
        <v>1</v>
      </c>
      <c r="R282" s="99" t="b">
        <v>0</v>
      </c>
      <c r="S282" s="249" t="b">
        <f ca="1">IF(AY18=INDEX(INDIRECT("ddSingleOrMulti"),2),TRUE,FALSE)</f>
        <v>0</v>
      </c>
      <c r="T282" s="94" t="b">
        <f ca="1">IF(AND(NOT(S282),W282=TRUE),TRUE,FALSE)</f>
        <v>0</v>
      </c>
      <c r="U282" s="99"/>
      <c r="V282" s="99"/>
      <c r="W282" s="526"/>
      <c r="X282" s="923"/>
      <c r="Y282" s="989" t="str">
        <f>IF(LEN('Ch5'!X283)=0,"None",'Ch5'!X283)</f>
        <v>None</v>
      </c>
      <c r="Z282" s="1591"/>
      <c r="AA282" s="1526"/>
      <c r="AC282" s="970" t="b">
        <f ca="1">OR(AD282:AE282)</f>
        <v>0</v>
      </c>
      <c r="AD282" s="970" t="b">
        <f ca="1">T282</f>
        <v>0</v>
      </c>
      <c r="AE282" s="970"/>
      <c r="AF282" s="249"/>
      <c r="AG282" s="249"/>
      <c r="AH282" s="249"/>
      <c r="AI282" s="249"/>
      <c r="AJ282" s="249"/>
      <c r="AK282" s="249"/>
      <c r="AL282" s="1336" t="str">
        <f>SUBSTITUTE(SUBSTITUTE(SUBSTITUTE("vpa"&amp;$B282&amp;$C282&amp;$D282&amp;$E282,".","_"),"(","_"),")","")</f>
        <v>vpa505_4_1</v>
      </c>
      <c r="AM282" s="254">
        <f t="shared" si="10"/>
        <v>8</v>
      </c>
      <c r="AN282" s="1336" t="str">
        <f>SUBSTITUTE(SUBSTITUTE(SUBSTITUTE("vpc"&amp;$B282&amp;$C282&amp;$D282&amp;$E282,".","_"),"(","_"),")","")</f>
        <v>vpc505_4_1</v>
      </c>
      <c r="AO282" s="254">
        <f ca="1">O282</f>
        <v>0</v>
      </c>
      <c r="AP282" s="1336" t="str">
        <f>SUBSTITUTE(SUBSTITUTE(SUBSTITUTE("vch"&amp;$B282&amp;$C282&amp;$D282&amp;$E282,".","_"),"(","_"),")","")</f>
        <v>vch505_4_1</v>
      </c>
      <c r="AQ282" s="254" t="str">
        <f>IF(LEN(W282)=0,"",W282)</f>
        <v/>
      </c>
      <c r="AR282" s="1336" t="str">
        <f>SUBSTITUTE(SUBSTITUTE(SUBSTITUTE("vnt"&amp;$B282&amp;$C282&amp;$D282&amp;$E282,".","_"),"(","_"),")","")</f>
        <v>vnt505_4_1</v>
      </c>
      <c r="AS282" s="254" t="str">
        <f>IF(LEN(X282)=0,"",X282)</f>
        <v/>
      </c>
    </row>
    <row r="283" spans="1:45" ht="15.75" customHeight="1" thickTop="1" x14ac:dyDescent="0.25">
      <c r="A283" s="2371">
        <v>5</v>
      </c>
      <c r="B283" s="2374" t="s">
        <v>492</v>
      </c>
      <c r="C283" s="2374"/>
      <c r="D283" s="2374"/>
      <c r="E283" s="2374"/>
      <c r="F283" s="2374"/>
      <c r="G283" s="2363" t="str">
        <f ca="1">IF(COUNTIF(G286:G292,"P")&gt;0,"P","")</f>
        <v/>
      </c>
      <c r="H283" s="2375" t="s">
        <v>3971</v>
      </c>
      <c r="I283" s="114" t="s">
        <v>492</v>
      </c>
      <c r="J283" s="107"/>
      <c r="K283" s="107"/>
      <c r="L283" s="1781" t="s">
        <v>4852</v>
      </c>
      <c r="M283" s="66"/>
      <c r="N283" s="664"/>
      <c r="O283" s="664"/>
      <c r="P283" s="868"/>
      <c r="Q283" s="868"/>
      <c r="R283" s="868"/>
      <c r="S283" s="868"/>
      <c r="T283" s="868"/>
      <c r="U283" s="105"/>
      <c r="V283" s="105"/>
      <c r="W283" s="105"/>
      <c r="X283"/>
      <c r="Y283" s="105"/>
      <c r="Z283" s="1592"/>
      <c r="AA283" s="1526"/>
      <c r="AC283" s="970"/>
      <c r="AD283" s="970"/>
      <c r="AE283" s="970"/>
      <c r="AF283" s="249"/>
      <c r="AG283" s="249"/>
      <c r="AH283" s="249"/>
      <c r="AI283" s="249"/>
      <c r="AJ283" s="249"/>
      <c r="AK283" s="249"/>
      <c r="AL283" s="1336"/>
      <c r="AM283" s="254"/>
      <c r="AN283" s="1336"/>
      <c r="AO283" s="254"/>
      <c r="AP283" s="1336"/>
      <c r="AQ283" s="254"/>
      <c r="AR283" s="1336"/>
      <c r="AS283" s="254"/>
    </row>
    <row r="284" spans="1:45" s="1101" customFormat="1" ht="15.75" customHeight="1" x14ac:dyDescent="0.25">
      <c r="A284" s="2371">
        <v>5</v>
      </c>
      <c r="B284" s="2374" t="s">
        <v>492</v>
      </c>
      <c r="C284" s="2374"/>
      <c r="D284" s="2374"/>
      <c r="E284" s="2374"/>
      <c r="F284" s="2374"/>
      <c r="G284" s="2373" t="str">
        <f t="shared" ref="G284:G290" ca="1" si="11">G283</f>
        <v/>
      </c>
      <c r="H284" s="2375" t="s">
        <v>3971</v>
      </c>
      <c r="I284" s="91"/>
      <c r="J284" s="102"/>
      <c r="K284" s="102"/>
      <c r="L284" s="1782"/>
      <c r="M284" s="66"/>
      <c r="N284" s="664"/>
      <c r="O284" s="664"/>
      <c r="U284" s="94"/>
      <c r="V284" s="94"/>
      <c r="W284" s="94"/>
      <c r="Y284" s="94"/>
      <c r="Z284" s="1588"/>
      <c r="AA284" s="1526"/>
      <c r="AL284" s="1336"/>
      <c r="AM284" s="254"/>
      <c r="AN284" s="1336"/>
      <c r="AO284" s="254"/>
      <c r="AP284" s="1336"/>
      <c r="AQ284" s="254"/>
      <c r="AR284" s="1336"/>
      <c r="AS284" s="254"/>
    </row>
    <row r="285" spans="1:45" x14ac:dyDescent="0.25">
      <c r="A285" s="2371">
        <v>5</v>
      </c>
      <c r="B285" s="2374" t="s">
        <v>492</v>
      </c>
      <c r="C285" s="2374"/>
      <c r="D285" s="2374"/>
      <c r="E285" s="2374"/>
      <c r="F285" s="2374"/>
      <c r="G285" s="2373" t="str">
        <f t="shared" ca="1" si="11"/>
        <v/>
      </c>
      <c r="H285" s="2375" t="s">
        <v>3971</v>
      </c>
      <c r="I285" s="90"/>
      <c r="J285" s="90"/>
      <c r="K285" s="90"/>
      <c r="L285" s="1796"/>
      <c r="M285" s="66"/>
      <c r="N285" s="664"/>
      <c r="O285" s="664"/>
      <c r="P285" s="868"/>
      <c r="Q285" s="868"/>
      <c r="R285" s="868"/>
      <c r="S285" s="868"/>
      <c r="T285" s="868"/>
      <c r="U285" s="94"/>
      <c r="V285" s="94"/>
      <c r="W285" s="588" t="s">
        <v>4148</v>
      </c>
      <c r="X285"/>
      <c r="Y285" s="178"/>
      <c r="Z285" s="1593"/>
      <c r="AA285" s="1526"/>
      <c r="AC285" s="970"/>
      <c r="AD285" s="970"/>
      <c r="AE285" s="970"/>
      <c r="AF285" s="249"/>
      <c r="AG285" s="249"/>
      <c r="AH285" s="249"/>
      <c r="AI285" s="249"/>
      <c r="AJ285" s="249"/>
      <c r="AK285" s="249"/>
      <c r="AL285" s="1336"/>
      <c r="AM285" s="1336"/>
      <c r="AN285" s="1336"/>
      <c r="AO285" s="1336"/>
      <c r="AP285" s="1336"/>
      <c r="AQ285" s="1336"/>
      <c r="AR285" s="1336"/>
      <c r="AS285" s="1336"/>
    </row>
    <row r="286" spans="1:45" s="868" customFormat="1" x14ac:dyDescent="0.25">
      <c r="A286" s="2371">
        <v>5</v>
      </c>
      <c r="B286" s="2374" t="s">
        <v>492</v>
      </c>
      <c r="C286" s="585"/>
      <c r="D286" s="2374" t="s">
        <v>121</v>
      </c>
      <c r="E286" s="585"/>
      <c r="F286" s="2374"/>
      <c r="G286" s="2373" t="str">
        <f ca="1">IF(N286&gt;0,"P","")</f>
        <v/>
      </c>
      <c r="H286" s="2375" t="s">
        <v>3971</v>
      </c>
      <c r="K286" s="66" t="s">
        <v>121</v>
      </c>
      <c r="L286" s="1779" t="s">
        <v>4143</v>
      </c>
      <c r="M286" s="1767" t="s">
        <v>4144</v>
      </c>
      <c r="N286" s="2075">
        <f ca="1">'Ch5'!O287</f>
        <v>0</v>
      </c>
      <c r="O286" s="2075">
        <f ca="1">IFERROR(INDEX({0,3,6,9},MATCH(W286,{0,250,500,750},1)),0)*S286</f>
        <v>0</v>
      </c>
      <c r="P286" s="868" t="b">
        <v>1</v>
      </c>
      <c r="Q286" s="868" t="b">
        <v>1</v>
      </c>
      <c r="R286" s="868" t="b">
        <v>0</v>
      </c>
      <c r="S286" s="868" t="b">
        <f ca="1">IF(AY18=INDEX(INDIRECT("ddSingleOrMulti"),2),TRUE,FALSE)</f>
        <v>0</v>
      </c>
      <c r="T286" s="868" t="b">
        <f ca="1">AND(LEN(W286)&gt;0,NOT(S286))</f>
        <v>0</v>
      </c>
      <c r="U286" s="94"/>
      <c r="V286" s="94"/>
      <c r="W286" s="856"/>
      <c r="X286" s="1757"/>
      <c r="Y286" s="2081" t="str">
        <f>IF(LEN('Ch5'!X287)=0,"None",'Ch5'!X287)</f>
        <v>None</v>
      </c>
      <c r="Z286" s="2083"/>
      <c r="AA286" s="1526"/>
      <c r="AC286" s="970" t="b">
        <f ca="1">OR(AD286:AE286)</f>
        <v>0</v>
      </c>
      <c r="AD286" s="970" t="b">
        <f ca="1">T286</f>
        <v>0</v>
      </c>
      <c r="AE286" s="970"/>
      <c r="AL286" s="1336" t="str">
        <f>SUBSTITUTE(SUBSTITUTE(SUBSTITUTE("vpa"&amp;$B286&amp;$C286&amp;$D286&amp;$E286,".","_"),"(","_"),")","")</f>
        <v>vpa505_5_a</v>
      </c>
      <c r="AM286" s="254" t="str">
        <f>M286</f>
        <v>9 max</v>
      </c>
      <c r="AN286" s="1336" t="str">
        <f>SUBSTITUTE(SUBSTITUTE(SUBSTITUTE("vpc"&amp;$B286&amp;$C286&amp;$D286&amp;$E286,".","_"),"(","_"),")","")</f>
        <v>vpc505_5_a</v>
      </c>
      <c r="AO286" s="254">
        <f ca="1">O286</f>
        <v>0</v>
      </c>
      <c r="AP286" s="1336" t="str">
        <f>SUBSTITUTE(SUBSTITUTE(SUBSTITUTE("vch"&amp;$B286&amp;$C286&amp;$D286&amp;$E286,".","_"),"(","_"),")","")</f>
        <v>vch505_5_a</v>
      </c>
      <c r="AQ286" s="254" t="str">
        <f>IF(LEN(W286)=0,"",W286)</f>
        <v/>
      </c>
      <c r="AR286" s="1336" t="str">
        <f>SUBSTITUTE(SUBSTITUTE(SUBSTITUTE("vnt"&amp;$B286&amp;$C286&amp;$D286&amp;$E286,".","_"),"(","_"),")","")</f>
        <v>vnt505_5_a</v>
      </c>
      <c r="AS286" s="254" t="str">
        <f>IF(LEN(X286)=0,"",X286)</f>
        <v/>
      </c>
    </row>
    <row r="287" spans="1:45" s="868" customFormat="1" x14ac:dyDescent="0.25">
      <c r="A287" s="2371">
        <v>5</v>
      </c>
      <c r="B287" s="2374" t="s">
        <v>492</v>
      </c>
      <c r="C287" s="585"/>
      <c r="D287" s="2374" t="s">
        <v>121</v>
      </c>
      <c r="E287" s="585"/>
      <c r="F287" s="2374"/>
      <c r="G287" s="2373" t="str">
        <f t="shared" ca="1" si="11"/>
        <v/>
      </c>
      <c r="H287" s="2375" t="s">
        <v>3971</v>
      </c>
      <c r="K287" s="534"/>
      <c r="L287" s="1755"/>
      <c r="M287" s="1759"/>
      <c r="N287" s="2076"/>
      <c r="O287" s="2076"/>
      <c r="U287" s="94"/>
      <c r="V287" s="94"/>
      <c r="W287" s="94"/>
      <c r="X287" s="1757"/>
      <c r="Y287" s="2081"/>
      <c r="Z287" s="2083"/>
      <c r="AA287" s="1526"/>
      <c r="AC287" s="970"/>
      <c r="AD287" s="970"/>
      <c r="AE287" s="970"/>
      <c r="AL287" s="1336"/>
      <c r="AM287" s="1336"/>
      <c r="AN287" s="1336"/>
      <c r="AO287" s="1336"/>
      <c r="AP287" s="1336"/>
      <c r="AQ287" s="1336"/>
      <c r="AR287" s="1336"/>
      <c r="AS287" s="1336"/>
    </row>
    <row r="288" spans="1:45" s="868" customFormat="1" x14ac:dyDescent="0.25">
      <c r="A288" s="2371">
        <v>5</v>
      </c>
      <c r="B288" s="2374" t="s">
        <v>492</v>
      </c>
      <c r="C288" s="585"/>
      <c r="D288" s="2374" t="s">
        <v>122</v>
      </c>
      <c r="E288" s="585"/>
      <c r="F288" s="2374"/>
      <c r="G288" s="2373" t="str">
        <f ca="1">IF(N288&gt;0,"P","")</f>
        <v/>
      </c>
      <c r="H288" s="2375" t="s">
        <v>3971</v>
      </c>
      <c r="K288" s="533" t="s">
        <v>122</v>
      </c>
      <c r="L288" s="1778" t="s">
        <v>4145</v>
      </c>
      <c r="M288" s="1762">
        <v>3</v>
      </c>
      <c r="N288" s="2079">
        <f ca="1">'Ch5'!O289</f>
        <v>0</v>
      </c>
      <c r="O288" s="2079">
        <f ca="1">M288*S288*W288</f>
        <v>0</v>
      </c>
      <c r="P288" s="868" t="b">
        <v>1</v>
      </c>
      <c r="Q288" s="868" t="b">
        <v>1</v>
      </c>
      <c r="R288" s="868" t="b">
        <v>0</v>
      </c>
      <c r="S288" s="868" t="b">
        <f ca="1">IF(AY18=INDEX(INDIRECT("ddSingleOrMulti"),2),TRUE,FALSE)</f>
        <v>0</v>
      </c>
      <c r="T288" s="868" t="b">
        <f ca="1">AND(W288=TRUE,NOT(S288))</f>
        <v>0</v>
      </c>
      <c r="U288" s="94"/>
      <c r="V288" s="94"/>
      <c r="W288" s="25"/>
      <c r="X288" s="1757"/>
      <c r="Y288" s="2081" t="str">
        <f>IF(LEN('Ch5'!X289)=0,"None",'Ch5'!X289)</f>
        <v>None</v>
      </c>
      <c r="Z288" s="2083"/>
      <c r="AA288" s="1526"/>
      <c r="AC288" s="970" t="b">
        <f ca="1">OR(AD288:AE288)</f>
        <v>0</v>
      </c>
      <c r="AD288" s="970" t="b">
        <f ca="1">T288</f>
        <v>0</v>
      </c>
      <c r="AE288" s="970"/>
      <c r="AL288" s="1336" t="str">
        <f>SUBSTITUTE(SUBSTITUTE(SUBSTITUTE("vpa"&amp;$B288&amp;$C288&amp;$D288&amp;$E288,".","_"),"(","_"),")","")</f>
        <v>vpa505_5_b</v>
      </c>
      <c r="AM288" s="254">
        <f>M288</f>
        <v>3</v>
      </c>
      <c r="AN288" s="1336" t="str">
        <f>SUBSTITUTE(SUBSTITUTE(SUBSTITUTE("vpc"&amp;$B288&amp;$C288&amp;$D288&amp;$E288,".","_"),"(","_"),")","")</f>
        <v>vpc505_5_b</v>
      </c>
      <c r="AO288" s="254">
        <f ca="1">O288</f>
        <v>0</v>
      </c>
      <c r="AP288" s="1336" t="str">
        <f>SUBSTITUTE(SUBSTITUTE(SUBSTITUTE("vch"&amp;$B288&amp;$C288&amp;$D288&amp;$E288,".","_"),"(","_"),")","")</f>
        <v>vch505_5_b</v>
      </c>
      <c r="AQ288" s="254" t="str">
        <f>IF(LEN(W288)=0,"",W288)</f>
        <v/>
      </c>
      <c r="AR288" s="1336" t="str">
        <f>SUBSTITUTE(SUBSTITUTE(SUBSTITUTE("vnt"&amp;$B288&amp;$C288&amp;$D288&amp;$E288,".","_"),"(","_"),")","")</f>
        <v>vnt505_5_b</v>
      </c>
      <c r="AS288" s="254" t="str">
        <f>IF(LEN(X288)=0,"",X288)</f>
        <v/>
      </c>
    </row>
    <row r="289" spans="1:45" s="868" customFormat="1" x14ac:dyDescent="0.25">
      <c r="A289" s="2371">
        <v>5</v>
      </c>
      <c r="B289" s="2374" t="s">
        <v>492</v>
      </c>
      <c r="C289" s="585"/>
      <c r="D289" s="2374" t="s">
        <v>122</v>
      </c>
      <c r="E289" s="585"/>
      <c r="F289" s="2374"/>
      <c r="G289" s="2373" t="str">
        <f t="shared" ca="1" si="11"/>
        <v/>
      </c>
      <c r="H289" s="2375" t="s">
        <v>3971</v>
      </c>
      <c r="K289" s="66"/>
      <c r="L289" s="1779"/>
      <c r="M289" s="1767"/>
      <c r="N289" s="2075"/>
      <c r="O289" s="2075"/>
      <c r="U289" s="94"/>
      <c r="V289" s="94"/>
      <c r="W289" s="94"/>
      <c r="X289" s="1757"/>
      <c r="Y289" s="2081"/>
      <c r="Z289" s="2083"/>
      <c r="AA289" s="1526"/>
      <c r="AC289" s="970"/>
      <c r="AD289" s="970"/>
      <c r="AE289" s="970"/>
      <c r="AL289" s="1336"/>
      <c r="AM289" s="1336"/>
      <c r="AN289" s="1336"/>
      <c r="AO289" s="1336"/>
      <c r="AP289" s="1336"/>
      <c r="AQ289" s="1336"/>
      <c r="AR289" s="1336"/>
      <c r="AS289" s="1336"/>
    </row>
    <row r="290" spans="1:45" s="868" customFormat="1" x14ac:dyDescent="0.25">
      <c r="A290" s="2371">
        <v>5</v>
      </c>
      <c r="B290" s="2374" t="s">
        <v>492</v>
      </c>
      <c r="C290" s="585"/>
      <c r="D290" s="2374" t="s">
        <v>122</v>
      </c>
      <c r="E290" s="585"/>
      <c r="F290" s="2374"/>
      <c r="G290" s="2373" t="str">
        <f t="shared" ca="1" si="11"/>
        <v/>
      </c>
      <c r="H290" s="2375" t="s">
        <v>3971</v>
      </c>
      <c r="K290" s="534"/>
      <c r="L290" s="1755"/>
      <c r="M290" s="1759"/>
      <c r="N290" s="2076"/>
      <c r="O290" s="2076"/>
      <c r="U290" s="94"/>
      <c r="V290" s="94"/>
      <c r="W290" s="94"/>
      <c r="X290" s="1757"/>
      <c r="Y290" s="2081"/>
      <c r="Z290" s="2083"/>
      <c r="AA290" s="1526"/>
      <c r="AC290" s="970"/>
      <c r="AD290" s="970"/>
      <c r="AE290" s="970"/>
      <c r="AL290" s="1336"/>
      <c r="AM290" s="1336"/>
      <c r="AN290" s="1336"/>
      <c r="AO290" s="1336"/>
      <c r="AP290" s="1336"/>
      <c r="AQ290" s="1336"/>
      <c r="AR290" s="1336"/>
      <c r="AS290" s="1336"/>
    </row>
    <row r="291" spans="1:45" s="868" customFormat="1" x14ac:dyDescent="0.25">
      <c r="A291" s="2371">
        <v>5</v>
      </c>
      <c r="B291" s="2374" t="s">
        <v>492</v>
      </c>
      <c r="C291" s="585"/>
      <c r="D291" s="2374" t="s">
        <v>123</v>
      </c>
      <c r="E291" s="585"/>
      <c r="F291" s="2374"/>
      <c r="G291" s="2373" t="str">
        <f ca="1">IF(N291&gt;0,"P","")</f>
        <v/>
      </c>
      <c r="H291" s="2375" t="s">
        <v>3971</v>
      </c>
      <c r="K291" s="535" t="s">
        <v>123</v>
      </c>
      <c r="L291" s="279" t="s">
        <v>4146</v>
      </c>
      <c r="M291" s="1036">
        <v>1</v>
      </c>
      <c r="N291" s="1049">
        <f ca="1">'Ch5'!O292</f>
        <v>0</v>
      </c>
      <c r="O291" s="1049">
        <f ca="1">M291*S291*W291</f>
        <v>0</v>
      </c>
      <c r="P291" s="868" t="b">
        <v>1</v>
      </c>
      <c r="Q291" s="868" t="b">
        <v>1</v>
      </c>
      <c r="R291" s="868" t="b">
        <v>0</v>
      </c>
      <c r="S291" s="868" t="b">
        <f ca="1">IF(AY18=INDEX(INDIRECT("ddSingleOrMulti"),2),TRUE,FALSE)</f>
        <v>0</v>
      </c>
      <c r="T291" s="868" t="b">
        <f ca="1">AND(W291=TRUE,NOT(S291))</f>
        <v>0</v>
      </c>
      <c r="U291" s="94"/>
      <c r="V291" s="94"/>
      <c r="W291" s="25"/>
      <c r="X291" s="918"/>
      <c r="Y291" s="988" t="str">
        <f>IF(LEN('Ch5'!X292)=0,"None",'Ch5'!X292)</f>
        <v>None</v>
      </c>
      <c r="Z291" s="1594"/>
      <c r="AA291" s="1526"/>
      <c r="AC291" s="970" t="b">
        <f ca="1">OR(AD291:AE291)</f>
        <v>0</v>
      </c>
      <c r="AD291" s="970" t="b">
        <f ca="1">T291</f>
        <v>0</v>
      </c>
      <c r="AE291" s="970"/>
      <c r="AL291" s="1336" t="str">
        <f>SUBSTITUTE(SUBSTITUTE(SUBSTITUTE("vpa"&amp;$B291&amp;$C291&amp;$D291&amp;$E291,".","_"),"(","_"),")","")</f>
        <v>vpa505_5_c</v>
      </c>
      <c r="AM291" s="254">
        <f>M291</f>
        <v>1</v>
      </c>
      <c r="AN291" s="1336" t="str">
        <f>SUBSTITUTE(SUBSTITUTE(SUBSTITUTE("vpc"&amp;$B291&amp;$C291&amp;$D291&amp;$E291,".","_"),"(","_"),")","")</f>
        <v>vpc505_5_c</v>
      </c>
      <c r="AO291" s="254">
        <f ca="1">O291</f>
        <v>0</v>
      </c>
      <c r="AP291" s="1336" t="str">
        <f>SUBSTITUTE(SUBSTITUTE(SUBSTITUTE("vch"&amp;$B291&amp;$C291&amp;$D291&amp;$E291,".","_"),"(","_"),")","")</f>
        <v>vch505_5_c</v>
      </c>
      <c r="AQ291" s="254" t="str">
        <f>IF(LEN(W291)=0,"",W291)</f>
        <v/>
      </c>
      <c r="AR291" s="1336" t="str">
        <f>SUBSTITUTE(SUBSTITUTE(SUBSTITUTE("vnt"&amp;$B291&amp;$C291&amp;$D291&amp;$E291,".","_"),"(","_"),")","")</f>
        <v>vnt505_5_c</v>
      </c>
      <c r="AS291" s="254" t="str">
        <f>IF(LEN(X291)=0,"",X291)</f>
        <v/>
      </c>
    </row>
    <row r="292" spans="1:45" s="868" customFormat="1" ht="15.75" thickBot="1" x14ac:dyDescent="0.3">
      <c r="A292" s="2371">
        <v>5</v>
      </c>
      <c r="B292" s="2374" t="s">
        <v>492</v>
      </c>
      <c r="C292" s="585"/>
      <c r="D292" s="2374" t="s">
        <v>401</v>
      </c>
      <c r="E292" s="585"/>
      <c r="F292" s="2374"/>
      <c r="G292" s="2373" t="str">
        <f ca="1">IF(N292&gt;0,"P","")</f>
        <v/>
      </c>
      <c r="H292" s="2375" t="s">
        <v>3971</v>
      </c>
      <c r="K292" s="855" t="s">
        <v>401</v>
      </c>
      <c r="L292" s="1161" t="s">
        <v>4147</v>
      </c>
      <c r="M292" s="1011">
        <v>1</v>
      </c>
      <c r="N292" s="1045">
        <f ca="1">'Ch5'!O293</f>
        <v>0</v>
      </c>
      <c r="O292" s="1045">
        <f ca="1">M292*S292*W292</f>
        <v>0</v>
      </c>
      <c r="P292" s="99" t="b">
        <v>1</v>
      </c>
      <c r="Q292" s="99" t="b">
        <v>1</v>
      </c>
      <c r="R292" s="99" t="b">
        <v>0</v>
      </c>
      <c r="S292" s="99" t="b">
        <f ca="1">IF(AY18=INDEX(INDIRECT("ddSingleOrMulti"),2),TRUE,FALSE)</f>
        <v>0</v>
      </c>
      <c r="T292" s="99" t="b">
        <f ca="1">AND(W292=TRUE,NOT(S292))</f>
        <v>0</v>
      </c>
      <c r="U292" s="94"/>
      <c r="V292" s="94"/>
      <c r="W292" s="100"/>
      <c r="X292" s="918"/>
      <c r="Y292" s="990" t="str">
        <f>IF(LEN('Ch5'!X293)=0,"None",'Ch5'!X293)</f>
        <v>None</v>
      </c>
      <c r="Z292" s="1591"/>
      <c r="AA292" s="1526"/>
      <c r="AC292" s="970" t="b">
        <f ca="1">OR(AD292:AE292)</f>
        <v>0</v>
      </c>
      <c r="AD292" s="970" t="b">
        <f ca="1">T292</f>
        <v>0</v>
      </c>
      <c r="AE292" s="970"/>
      <c r="AL292" s="1336" t="str">
        <f>SUBSTITUTE(SUBSTITUTE(SUBSTITUTE("vpa"&amp;$B292&amp;$C292&amp;$D292&amp;$E292,".","_"),"(","_"),")","")</f>
        <v>vpa505_5_d</v>
      </c>
      <c r="AM292" s="254">
        <f>M292</f>
        <v>1</v>
      </c>
      <c r="AN292" s="1336" t="str">
        <f>SUBSTITUTE(SUBSTITUTE(SUBSTITUTE("vpc"&amp;$B292&amp;$C292&amp;$D292&amp;$E292,".","_"),"(","_"),")","")</f>
        <v>vpc505_5_d</v>
      </c>
      <c r="AO292" s="254">
        <f ca="1">O292</f>
        <v>0</v>
      </c>
      <c r="AP292" s="1336" t="str">
        <f>SUBSTITUTE(SUBSTITUTE(SUBSTITUTE("vch"&amp;$B292&amp;$C292&amp;$D292&amp;$E292,".","_"),"(","_"),")","")</f>
        <v>vch505_5_d</v>
      </c>
      <c r="AQ292" s="254" t="str">
        <f>IF(LEN(W292)=0,"",W292)</f>
        <v/>
      </c>
      <c r="AR292" s="1336" t="str">
        <f>SUBSTITUTE(SUBSTITUTE(SUBSTITUTE("vnt"&amp;$B292&amp;$C292&amp;$D292&amp;$E292,".","_"),"(","_"),")","")</f>
        <v>vnt505_5_d</v>
      </c>
      <c r="AS292" s="254" t="str">
        <f>IF(LEN(X292)=0,"",X292)</f>
        <v/>
      </c>
    </row>
    <row r="293" spans="1:45" ht="15.75" customHeight="1" thickTop="1" x14ac:dyDescent="0.25">
      <c r="A293" s="2371">
        <v>5</v>
      </c>
      <c r="B293" s="2374" t="s">
        <v>493</v>
      </c>
      <c r="C293" s="2374"/>
      <c r="D293" s="2374"/>
      <c r="E293" s="2374"/>
      <c r="F293" s="2374"/>
      <c r="G293" s="2373" t="str">
        <f>IF(N293&gt;0,"P","")</f>
        <v/>
      </c>
      <c r="H293" s="2375" t="s">
        <v>3973</v>
      </c>
      <c r="I293" s="114" t="s">
        <v>493</v>
      </c>
      <c r="J293" s="107"/>
      <c r="K293" s="107"/>
      <c r="L293" s="1781" t="s">
        <v>4149</v>
      </c>
      <c r="M293" s="1772" t="s">
        <v>4151</v>
      </c>
      <c r="N293" s="1048"/>
      <c r="O293" s="1048"/>
      <c r="P293" s="105"/>
      <c r="Q293" s="105"/>
      <c r="R293" s="105"/>
      <c r="S293" s="105"/>
      <c r="T293" s="105"/>
      <c r="U293" s="105"/>
      <c r="V293" s="105"/>
      <c r="W293"/>
      <c r="X293" s="1784"/>
      <c r="Y293" s="2098" t="str">
        <f>IF(LEN('Ch5'!X294)=0,"None",'Ch5'!X294)</f>
        <v>None</v>
      </c>
      <c r="Z293" s="2088"/>
      <c r="AA293" s="1526"/>
      <c r="AC293" s="970"/>
      <c r="AD293" s="970"/>
      <c r="AE293" s="970"/>
      <c r="AF293" s="249"/>
      <c r="AG293" s="249"/>
      <c r="AH293" s="249"/>
      <c r="AI293" s="249"/>
      <c r="AJ293" s="249"/>
      <c r="AK293" s="249"/>
      <c r="AL293" s="1336" t="str">
        <f>SUBSTITUTE(SUBSTITUTE(SUBSTITUTE("vpa"&amp;$B293&amp;$C293&amp;$D293&amp;$E293,".","_"),"(","_"),")","")</f>
        <v>vpa505_6</v>
      </c>
      <c r="AM293" s="254" t="str">
        <f>M293</f>
        <v>4 (10 max)</v>
      </c>
      <c r="AN293" s="1336" t="str">
        <f>SUBSTITUTE(SUBSTITUTE(SUBSTITUTE("vpc"&amp;$B293&amp;$C293&amp;$D293&amp;$E293,".","_"),"(","_"),")","")</f>
        <v>vpc505_6</v>
      </c>
      <c r="AO293" s="254">
        <f>O293</f>
        <v>0</v>
      </c>
      <c r="AP293" s="1336"/>
      <c r="AQ293" s="254"/>
      <c r="AR293" s="1336" t="str">
        <f>SUBSTITUTE(SUBSTITUTE(SUBSTITUTE("vnt"&amp;$B293&amp;$C293&amp;$D293&amp;$E293,".","_"),"(","_"),")","")</f>
        <v>vnt505_6</v>
      </c>
      <c r="AS293" s="254" t="str">
        <f>IF(LEN(X293)=0,"",X293)</f>
        <v/>
      </c>
    </row>
    <row r="294" spans="1:45" x14ac:dyDescent="0.25">
      <c r="A294" s="2371">
        <v>5</v>
      </c>
      <c r="B294" s="2374" t="s">
        <v>493</v>
      </c>
      <c r="C294" s="2374"/>
      <c r="D294" s="2374"/>
      <c r="E294" s="2374"/>
      <c r="F294" s="2374"/>
      <c r="G294" s="2373" t="str">
        <f>G293</f>
        <v/>
      </c>
      <c r="H294" s="2375" t="s">
        <v>3973</v>
      </c>
      <c r="I294" s="90"/>
      <c r="J294" s="90"/>
      <c r="K294" s="90"/>
      <c r="L294" s="1796"/>
      <c r="M294" s="1767"/>
      <c r="N294" s="1042">
        <f ca="1">'Ch5'!O295</f>
        <v>0</v>
      </c>
      <c r="O294" s="1042">
        <f ca="1">IFERROR(INDEX({0,4,6,8,10},MATCH(W294,{0,0.02,0.03,0.04,0.05},1)),0)*S294</f>
        <v>0</v>
      </c>
      <c r="P294" s="868" t="b">
        <v>0</v>
      </c>
      <c r="Q294" s="868" t="b">
        <v>1</v>
      </c>
      <c r="R294" s="868" t="b">
        <v>0</v>
      </c>
      <c r="S294" s="1493" t="b">
        <f ca="1">IF(AY18=INDEX(INDIRECT("ddSingleOrMulti"),2),TRUE,FALSE)</f>
        <v>0</v>
      </c>
      <c r="T294" s="868" t="b">
        <v>0</v>
      </c>
      <c r="U294" s="94"/>
      <c r="V294" s="94"/>
      <c r="W294" s="168"/>
      <c r="X294" s="1757"/>
      <c r="Y294" s="2081"/>
      <c r="Z294" s="2084"/>
      <c r="AA294" s="1526"/>
      <c r="AC294" s="970"/>
      <c r="AD294" s="970"/>
      <c r="AE294" s="970"/>
      <c r="AL294" s="1336"/>
      <c r="AM294" s="1336"/>
      <c r="AN294" s="1336"/>
      <c r="AO294" s="1336"/>
      <c r="AP294" s="1336" t="str">
        <f>SUBSTITUTE(SUBSTITUTE(SUBSTITUTE("vch"&amp;$B294&amp;$C294&amp;$D294&amp;$E294,".","_"),"(","_"),")","")</f>
        <v>vch505_6</v>
      </c>
      <c r="AQ294" s="254" t="str">
        <f>IF(LEN(W294)=0,"",W294)</f>
        <v/>
      </c>
      <c r="AR294" s="1336"/>
      <c r="AS294" s="1336"/>
    </row>
    <row r="295" spans="1:45" s="868" customFormat="1" x14ac:dyDescent="0.25">
      <c r="A295" s="2371">
        <v>5</v>
      </c>
      <c r="B295" s="2374" t="s">
        <v>493</v>
      </c>
      <c r="C295" s="2374"/>
      <c r="D295" s="2374"/>
      <c r="E295" s="2374"/>
      <c r="F295" s="2374"/>
      <c r="G295" s="2373" t="str">
        <f t="shared" ref="G295:G304" si="12">G294</f>
        <v/>
      </c>
      <c r="H295" s="2375" t="s">
        <v>3973</v>
      </c>
      <c r="I295" s="90"/>
      <c r="J295" s="90"/>
      <c r="K295" s="90"/>
      <c r="L295" s="1796"/>
      <c r="M295" s="1767"/>
      <c r="N295" s="1042"/>
      <c r="O295" s="1042"/>
      <c r="U295" s="94"/>
      <c r="V295" s="94"/>
      <c r="W295" s="94"/>
      <c r="X295" s="1757"/>
      <c r="Y295" s="2081"/>
      <c r="Z295" s="2084"/>
      <c r="AA295" s="1526"/>
      <c r="AC295" s="970"/>
      <c r="AD295" s="970"/>
      <c r="AE295" s="970"/>
      <c r="AL295" s="1336"/>
      <c r="AM295" s="1336"/>
      <c r="AN295" s="1336"/>
      <c r="AO295" s="1336"/>
      <c r="AP295" s="1336"/>
      <c r="AQ295" s="1336"/>
      <c r="AR295" s="1336"/>
      <c r="AS295" s="1336"/>
    </row>
    <row r="296" spans="1:45" s="868" customFormat="1" x14ac:dyDescent="0.25">
      <c r="A296" s="2371">
        <v>5</v>
      </c>
      <c r="B296" s="2374" t="s">
        <v>493</v>
      </c>
      <c r="C296" s="2374"/>
      <c r="D296" s="2374"/>
      <c r="E296" s="2374"/>
      <c r="F296" s="2374"/>
      <c r="G296" s="2373" t="str">
        <f t="shared" si="12"/>
        <v/>
      </c>
      <c r="H296" s="2375" t="s">
        <v>3973</v>
      </c>
      <c r="I296" s="90"/>
      <c r="J296" s="90"/>
      <c r="K296" s="90"/>
      <c r="L296" s="1796"/>
      <c r="M296" s="66"/>
      <c r="N296" s="1042"/>
      <c r="O296" s="1044"/>
      <c r="U296" s="94"/>
      <c r="V296" s="94"/>
      <c r="W296" s="94"/>
      <c r="X296" s="1757"/>
      <c r="Y296" s="2081"/>
      <c r="Z296" s="2084"/>
      <c r="AA296" s="1526"/>
      <c r="AC296" s="970"/>
      <c r="AD296" s="970"/>
      <c r="AE296" s="970"/>
      <c r="AL296" s="1336"/>
      <c r="AM296" s="1336"/>
      <c r="AN296" s="1336"/>
      <c r="AO296" s="1336"/>
      <c r="AP296" s="1336"/>
      <c r="AQ296" s="1336"/>
      <c r="AR296" s="1336"/>
      <c r="AS296" s="1336"/>
    </row>
    <row r="297" spans="1:45" s="868" customFormat="1" x14ac:dyDescent="0.25">
      <c r="A297" s="2371">
        <v>5</v>
      </c>
      <c r="B297" s="2374" t="s">
        <v>493</v>
      </c>
      <c r="C297" s="2374"/>
      <c r="D297" s="2374"/>
      <c r="E297" s="2374"/>
      <c r="F297" s="2374"/>
      <c r="G297" s="2373" t="str">
        <f t="shared" si="12"/>
        <v/>
      </c>
      <c r="H297" s="2375" t="s">
        <v>3973</v>
      </c>
      <c r="I297" s="90"/>
      <c r="J297" s="90"/>
      <c r="K297" s="90"/>
      <c r="L297" s="1779" t="s">
        <v>4150</v>
      </c>
      <c r="M297" s="66"/>
      <c r="N297" s="1042"/>
      <c r="O297" s="1044"/>
      <c r="U297" s="94"/>
      <c r="V297" s="94"/>
      <c r="W297" s="94"/>
      <c r="X297" s="1757"/>
      <c r="Y297" s="2081"/>
      <c r="Z297" s="2084"/>
      <c r="AA297" s="1526"/>
      <c r="AC297" s="970"/>
      <c r="AD297" s="970"/>
      <c r="AE297" s="970"/>
      <c r="AL297" s="1336"/>
      <c r="AM297" s="1336"/>
      <c r="AN297" s="1336"/>
      <c r="AO297" s="1336"/>
      <c r="AP297" s="1336"/>
      <c r="AQ297" s="1336"/>
      <c r="AR297" s="1336"/>
      <c r="AS297" s="1336"/>
    </row>
    <row r="298" spans="1:45" s="868" customFormat="1" x14ac:dyDescent="0.25">
      <c r="A298" s="2371">
        <v>5</v>
      </c>
      <c r="B298" s="2374" t="s">
        <v>493</v>
      </c>
      <c r="C298" s="2374"/>
      <c r="D298" s="2374"/>
      <c r="E298" s="2374"/>
      <c r="F298" s="2374"/>
      <c r="G298" s="2373" t="str">
        <f t="shared" si="12"/>
        <v/>
      </c>
      <c r="H298" s="2375" t="s">
        <v>3973</v>
      </c>
      <c r="I298" s="90"/>
      <c r="J298" s="90"/>
      <c r="K298" s="90"/>
      <c r="L298" s="1779"/>
      <c r="M298" s="66"/>
      <c r="N298" s="1042"/>
      <c r="O298" s="1044"/>
      <c r="U298" s="94"/>
      <c r="V298" s="94"/>
      <c r="W298" s="94"/>
      <c r="X298" s="1757"/>
      <c r="Y298" s="2081"/>
      <c r="Z298" s="2084"/>
      <c r="AA298" s="1526"/>
      <c r="AC298" s="970"/>
      <c r="AD298" s="970"/>
      <c r="AE298" s="970"/>
      <c r="AL298" s="1336"/>
      <c r="AM298" s="1336"/>
      <c r="AN298" s="1336"/>
      <c r="AO298" s="1336"/>
      <c r="AP298" s="1336"/>
      <c r="AQ298" s="1336"/>
      <c r="AR298" s="1336"/>
      <c r="AS298" s="1336"/>
    </row>
    <row r="299" spans="1:45" s="868" customFormat="1" x14ac:dyDescent="0.25">
      <c r="A299" s="2371">
        <v>5</v>
      </c>
      <c r="B299" s="2374" t="s">
        <v>493</v>
      </c>
      <c r="C299" s="2374"/>
      <c r="D299" s="2374"/>
      <c r="E299" s="2374"/>
      <c r="F299" s="2374"/>
      <c r="G299" s="2373" t="str">
        <f t="shared" si="12"/>
        <v/>
      </c>
      <c r="H299" s="2375" t="s">
        <v>3973</v>
      </c>
      <c r="I299" s="90"/>
      <c r="J299" s="90"/>
      <c r="K299" s="90"/>
      <c r="L299" s="1779"/>
      <c r="M299" s="66"/>
      <c r="N299" s="1042"/>
      <c r="O299" s="1044"/>
      <c r="U299" s="94"/>
      <c r="V299" s="94"/>
      <c r="W299" s="94"/>
      <c r="X299" s="1757"/>
      <c r="Y299" s="2081"/>
      <c r="Z299" s="2084"/>
      <c r="AA299" s="1526"/>
      <c r="AC299" s="970"/>
      <c r="AD299" s="970"/>
      <c r="AE299" s="970"/>
      <c r="AL299" s="1336"/>
      <c r="AM299" s="1336"/>
      <c r="AN299" s="1336"/>
      <c r="AO299" s="1336"/>
      <c r="AP299" s="1336"/>
      <c r="AQ299" s="1336"/>
      <c r="AR299" s="1336"/>
      <c r="AS299" s="1336"/>
    </row>
    <row r="300" spans="1:45" s="1066" customFormat="1" x14ac:dyDescent="0.25">
      <c r="A300" s="2371">
        <v>5</v>
      </c>
      <c r="B300" s="2374" t="s">
        <v>493</v>
      </c>
      <c r="C300" s="2374"/>
      <c r="D300" s="2374"/>
      <c r="E300" s="2374"/>
      <c r="F300" s="2374"/>
      <c r="G300" s="2373" t="str">
        <f t="shared" si="12"/>
        <v/>
      </c>
      <c r="H300" s="2375" t="s">
        <v>3973</v>
      </c>
      <c r="I300" s="90"/>
      <c r="J300" s="90"/>
      <c r="K300" s="90"/>
      <c r="L300" s="1779"/>
      <c r="M300" s="66"/>
      <c r="N300" s="1077"/>
      <c r="O300" s="1076"/>
      <c r="U300" s="94"/>
      <c r="V300" s="94"/>
      <c r="W300" s="94"/>
      <c r="X300" s="1757"/>
      <c r="Y300" s="2081"/>
      <c r="Z300" s="2084"/>
      <c r="AA300" s="1526"/>
      <c r="AL300" s="1336"/>
      <c r="AM300" s="1336"/>
      <c r="AN300" s="1336"/>
      <c r="AO300" s="1336"/>
      <c r="AP300" s="1336"/>
      <c r="AQ300" s="1336"/>
      <c r="AR300" s="1336"/>
      <c r="AS300" s="1336"/>
    </row>
    <row r="301" spans="1:45" x14ac:dyDescent="0.25">
      <c r="A301" s="2371">
        <v>5</v>
      </c>
      <c r="B301" s="2374" t="s">
        <v>493</v>
      </c>
      <c r="C301" s="2374"/>
      <c r="D301" s="2374"/>
      <c r="E301" s="2374"/>
      <c r="F301" s="2374"/>
      <c r="G301" s="2373" t="str">
        <f t="shared" si="12"/>
        <v/>
      </c>
      <c r="H301" s="2375" t="s">
        <v>3973</v>
      </c>
      <c r="I301" s="90"/>
      <c r="J301" s="90"/>
      <c r="K301" s="90"/>
      <c r="L301" s="1779"/>
      <c r="M301" s="66"/>
      <c r="N301" s="1042"/>
      <c r="O301" s="1044"/>
      <c r="P301" s="868"/>
      <c r="Q301" s="868"/>
      <c r="R301" s="868"/>
      <c r="S301" s="868"/>
      <c r="T301" s="868"/>
      <c r="U301" s="94"/>
      <c r="V301" s="94"/>
      <c r="W301" s="94"/>
      <c r="X301" s="1757"/>
      <c r="Y301" s="2081"/>
      <c r="Z301" s="2084"/>
      <c r="AA301" s="1526"/>
      <c r="AC301" s="970"/>
      <c r="AD301" s="970"/>
      <c r="AE301" s="970"/>
      <c r="AL301" s="1336"/>
      <c r="AM301" s="1336"/>
      <c r="AN301" s="1336"/>
      <c r="AO301" s="1336"/>
      <c r="AP301" s="1336"/>
      <c r="AQ301" s="1336"/>
      <c r="AR301" s="1336"/>
      <c r="AS301" s="1336"/>
    </row>
    <row r="302" spans="1:45" x14ac:dyDescent="0.25">
      <c r="A302" s="2371">
        <v>5</v>
      </c>
      <c r="B302" s="2374" t="s">
        <v>493</v>
      </c>
      <c r="C302" s="2374"/>
      <c r="D302" s="2374"/>
      <c r="E302" s="2374"/>
      <c r="F302" s="2374"/>
      <c r="G302" s="2373" t="str">
        <f t="shared" si="12"/>
        <v/>
      </c>
      <c r="H302" s="2375" t="s">
        <v>3973</v>
      </c>
      <c r="I302" s="90"/>
      <c r="J302" s="90"/>
      <c r="K302" s="90"/>
      <c r="L302" s="1779"/>
      <c r="M302" s="66"/>
      <c r="N302" s="1042"/>
      <c r="O302" s="1044"/>
      <c r="P302" s="868"/>
      <c r="Q302" s="868"/>
      <c r="R302" s="868"/>
      <c r="S302" s="868"/>
      <c r="T302" s="868"/>
      <c r="U302" s="94"/>
      <c r="V302" s="94"/>
      <c r="W302" s="94"/>
      <c r="X302" s="1757"/>
      <c r="Y302" s="2081"/>
      <c r="Z302" s="2084"/>
      <c r="AA302" s="1526"/>
      <c r="AC302" s="970"/>
      <c r="AD302" s="970"/>
      <c r="AE302" s="970"/>
      <c r="AL302" s="1336"/>
      <c r="AM302" s="1336"/>
      <c r="AN302" s="1336"/>
      <c r="AO302" s="1336"/>
      <c r="AP302" s="1336"/>
      <c r="AQ302" s="1336"/>
      <c r="AR302" s="1336"/>
      <c r="AS302" s="1336"/>
    </row>
    <row r="303" spans="1:45" x14ac:dyDescent="0.25">
      <c r="A303" s="2371">
        <v>5</v>
      </c>
      <c r="B303" s="2374" t="s">
        <v>493</v>
      </c>
      <c r="C303" s="2374"/>
      <c r="D303" s="2374"/>
      <c r="E303" s="2374"/>
      <c r="F303" s="2374"/>
      <c r="G303" s="2373" t="str">
        <f t="shared" si="12"/>
        <v/>
      </c>
      <c r="H303" s="2375" t="s">
        <v>3973</v>
      </c>
      <c r="I303" s="90"/>
      <c r="J303" s="90"/>
      <c r="K303" s="90"/>
      <c r="L303" s="1779"/>
      <c r="M303" s="66"/>
      <c r="N303" s="1042"/>
      <c r="O303" s="1044"/>
      <c r="P303" s="868"/>
      <c r="Q303" s="868"/>
      <c r="R303" s="868"/>
      <c r="S303" s="868"/>
      <c r="T303" s="868"/>
      <c r="U303" s="94"/>
      <c r="V303" s="94"/>
      <c r="W303" s="94"/>
      <c r="X303" s="1757"/>
      <c r="Y303" s="2081"/>
      <c r="Z303" s="2084"/>
      <c r="AA303" s="1526"/>
      <c r="AC303" s="970"/>
      <c r="AD303" s="970"/>
      <c r="AE303" s="970"/>
      <c r="AL303" s="1336"/>
      <c r="AM303" s="1336"/>
      <c r="AN303" s="1336"/>
      <c r="AO303" s="1336"/>
      <c r="AP303" s="1336"/>
      <c r="AQ303" s="1336"/>
      <c r="AR303" s="1336"/>
      <c r="AS303" s="1336"/>
    </row>
    <row r="304" spans="1:45" ht="15.75" thickBot="1" x14ac:dyDescent="0.3">
      <c r="A304" s="2371">
        <v>5</v>
      </c>
      <c r="B304" s="2374" t="s">
        <v>493</v>
      </c>
      <c r="C304" s="2374"/>
      <c r="D304" s="2374"/>
      <c r="E304" s="2374"/>
      <c r="F304" s="2374"/>
      <c r="G304" s="2373" t="str">
        <f t="shared" si="12"/>
        <v/>
      </c>
      <c r="H304" s="2375" t="s">
        <v>3973</v>
      </c>
      <c r="I304" s="103"/>
      <c r="J304" s="103"/>
      <c r="K304" s="103"/>
      <c r="L304" s="1783"/>
      <c r="M304" s="66"/>
      <c r="N304" s="1045"/>
      <c r="O304" s="1045"/>
      <c r="P304" s="99"/>
      <c r="Q304" s="99"/>
      <c r="R304" s="99"/>
      <c r="S304" s="99"/>
      <c r="T304" s="99"/>
      <c r="U304" s="99"/>
      <c r="V304" s="99"/>
      <c r="W304" s="99"/>
      <c r="X304" s="1771"/>
      <c r="Y304" s="2082"/>
      <c r="Z304" s="2086"/>
      <c r="AA304" s="1526"/>
      <c r="AC304" s="970"/>
      <c r="AD304" s="970"/>
      <c r="AE304" s="970"/>
      <c r="AL304" s="1336"/>
      <c r="AM304" s="1336"/>
      <c r="AN304" s="1336"/>
      <c r="AO304" s="1336"/>
      <c r="AP304" s="1336"/>
      <c r="AQ304" s="1336"/>
      <c r="AR304" s="1336"/>
      <c r="AS304" s="1336"/>
    </row>
    <row r="305" spans="1:46" ht="15.75" thickTop="1" x14ac:dyDescent="0.25">
      <c r="A305" s="2371">
        <v>5</v>
      </c>
      <c r="B305" s="2381" t="s">
        <v>4152</v>
      </c>
      <c r="G305" s="2373" t="str">
        <f ca="1">IF(N305&gt;0,"P","")</f>
        <v/>
      </c>
      <c r="H305" s="2371" t="s">
        <v>3973</v>
      </c>
      <c r="I305" s="509" t="s">
        <v>4152</v>
      </c>
      <c r="J305" s="509"/>
      <c r="K305" s="105"/>
      <c r="L305" s="1801" t="s">
        <v>4156</v>
      </c>
      <c r="M305" s="1772">
        <v>4</v>
      </c>
      <c r="N305" s="2080">
        <f ca="1">'Ch5'!O306</f>
        <v>0</v>
      </c>
      <c r="O305" s="2080">
        <f ca="1">M305*S305*W305</f>
        <v>0</v>
      </c>
      <c r="P305" s="105" t="b">
        <v>0</v>
      </c>
      <c r="Q305" s="105" t="b">
        <v>1</v>
      </c>
      <c r="R305" s="105" t="b">
        <v>0</v>
      </c>
      <c r="S305" s="105" t="b">
        <f ca="1">IF(AY18=INDEX(INDIRECT("ddSingleOrMulti"),2),TRUE,FALSE)</f>
        <v>0</v>
      </c>
      <c r="T305" s="105" t="b">
        <f ca="1">AND(W305=TRUE,NOT(S305))</f>
        <v>0</v>
      </c>
      <c r="U305"/>
      <c r="V305"/>
      <c r="W305" s="367"/>
      <c r="X305" s="1784"/>
      <c r="Y305" s="2129" t="str">
        <f>IF(LEN('Ch5'!X306)=0,"None",'Ch5'!X306)</f>
        <v>None</v>
      </c>
      <c r="Z305" s="2089"/>
      <c r="AA305" s="1526"/>
      <c r="AC305" s="970" t="b">
        <f ca="1">OR(AD305:AE305)</f>
        <v>0</v>
      </c>
      <c r="AD305" s="970" t="b">
        <f ca="1">T305</f>
        <v>0</v>
      </c>
      <c r="AE305" s="970"/>
      <c r="AF305"/>
      <c r="AG305"/>
      <c r="AH305"/>
      <c r="AI305"/>
      <c r="AJ305"/>
      <c r="AK305"/>
      <c r="AL305" s="1336" t="str">
        <f>SUBSTITUTE(SUBSTITUTE(SUBSTITUTE("vpa"&amp;$B305&amp;$C305&amp;$D305&amp;$E305,".","_"),"(","_"),")","")</f>
        <v>vpa505_7</v>
      </c>
      <c r="AM305" s="254">
        <f>M305</f>
        <v>4</v>
      </c>
      <c r="AN305" s="1336" t="str">
        <f>SUBSTITUTE(SUBSTITUTE(SUBSTITUTE("vpc"&amp;$B305&amp;$C305&amp;$D305&amp;$E305,".","_"),"(","_"),")","")</f>
        <v>vpc505_7</v>
      </c>
      <c r="AO305" s="254">
        <f ca="1">O305</f>
        <v>0</v>
      </c>
      <c r="AP305" s="1336" t="str">
        <f>SUBSTITUTE(SUBSTITUTE(SUBSTITUTE("vch"&amp;$B305&amp;$C305&amp;$D305&amp;$E305,".","_"),"(","_"),")","")</f>
        <v>vch505_7</v>
      </c>
      <c r="AQ305" s="254" t="str">
        <f>IF(LEN(W305)=0,"",W305)</f>
        <v/>
      </c>
      <c r="AR305" s="1336" t="str">
        <f>SUBSTITUTE(SUBSTITUTE(SUBSTITUTE("vnt"&amp;$B305&amp;$C305&amp;$D305&amp;$E305,".","_"),"(","_"),")","")</f>
        <v>vnt505_7</v>
      </c>
      <c r="AS305" s="254" t="str">
        <f>IF(LEN(X305)=0,"",X305)</f>
        <v/>
      </c>
      <c r="AT305"/>
    </row>
    <row r="306" spans="1:46" x14ac:dyDescent="0.25">
      <c r="A306" s="2371">
        <v>5</v>
      </c>
      <c r="B306" s="2381" t="s">
        <v>4152</v>
      </c>
      <c r="G306" s="2373" t="str">
        <f ca="1">G305</f>
        <v/>
      </c>
      <c r="H306" s="2371" t="s">
        <v>3973</v>
      </c>
      <c r="I306" s="66"/>
      <c r="J306" s="66"/>
      <c r="K306" s="868"/>
      <c r="L306" s="1785"/>
      <c r="M306" s="1758"/>
      <c r="N306" s="1927"/>
      <c r="O306" s="1927"/>
      <c r="P306" s="868"/>
      <c r="Q306" s="868"/>
      <c r="R306" s="868"/>
      <c r="S306" s="868"/>
      <c r="T306" s="868"/>
      <c r="U306"/>
      <c r="V306"/>
      <c r="W306" s="94"/>
      <c r="X306" s="1770"/>
      <c r="Y306" s="2100"/>
      <c r="Z306" s="2091"/>
      <c r="AA306" s="1526"/>
      <c r="AC306" s="970"/>
      <c r="AD306" s="970"/>
      <c r="AE306" s="970"/>
      <c r="AF306"/>
      <c r="AG306"/>
      <c r="AH306"/>
      <c r="AI306"/>
      <c r="AJ306"/>
      <c r="AK306"/>
      <c r="AL306" s="1336"/>
      <c r="AM306" s="1336"/>
      <c r="AN306" s="1336"/>
      <c r="AO306" s="1336"/>
      <c r="AP306" s="1336"/>
      <c r="AQ306" s="1336"/>
      <c r="AR306" s="1336"/>
      <c r="AS306" s="1336"/>
      <c r="AT306"/>
    </row>
    <row r="307" spans="1:46" x14ac:dyDescent="0.25">
      <c r="A307" s="2371">
        <v>5</v>
      </c>
      <c r="B307" s="2381" t="s">
        <v>4152</v>
      </c>
      <c r="G307" s="2373" t="str">
        <f ca="1">G306</f>
        <v/>
      </c>
      <c r="H307" s="2371" t="s">
        <v>3973</v>
      </c>
      <c r="I307" s="66"/>
      <c r="J307" s="66"/>
      <c r="K307" s="868"/>
      <c r="L307" s="1785"/>
      <c r="M307" s="1758"/>
      <c r="N307" s="1927"/>
      <c r="O307" s="1927"/>
      <c r="P307" s="868"/>
      <c r="Q307" s="868"/>
      <c r="R307" s="868"/>
      <c r="S307" s="868"/>
      <c r="T307" s="868"/>
      <c r="U307"/>
      <c r="V307"/>
      <c r="W307" s="94"/>
      <c r="X307" s="1770"/>
      <c r="Y307" s="2100"/>
      <c r="Z307" s="2091"/>
      <c r="AA307" s="1526"/>
      <c r="AC307" s="970"/>
      <c r="AD307" s="970"/>
      <c r="AE307" s="970"/>
      <c r="AF307"/>
      <c r="AG307"/>
      <c r="AH307"/>
      <c r="AI307"/>
      <c r="AJ307"/>
      <c r="AK307"/>
      <c r="AL307" s="1336"/>
      <c r="AM307" s="1336"/>
      <c r="AN307" s="1336"/>
      <c r="AO307" s="1336"/>
      <c r="AP307" s="1336"/>
      <c r="AQ307" s="1336"/>
      <c r="AR307" s="1336"/>
      <c r="AS307" s="1336"/>
      <c r="AT307"/>
    </row>
    <row r="308" spans="1:46" ht="15.75" thickBot="1" x14ac:dyDescent="0.3">
      <c r="A308" s="2371">
        <v>5</v>
      </c>
      <c r="B308" s="2381" t="s">
        <v>4152</v>
      </c>
      <c r="G308" s="2373" t="str">
        <f ca="1">G307</f>
        <v/>
      </c>
      <c r="H308" s="2371" t="s">
        <v>3973</v>
      </c>
      <c r="I308" s="855"/>
      <c r="J308" s="855"/>
      <c r="K308" s="99"/>
      <c r="L308" s="1803"/>
      <c r="M308" s="1768"/>
      <c r="N308" s="1928"/>
      <c r="O308" s="1928"/>
      <c r="P308" s="99"/>
      <c r="Q308" s="99"/>
      <c r="R308" s="99"/>
      <c r="S308" s="99"/>
      <c r="T308" s="99"/>
      <c r="U308"/>
      <c r="V308"/>
      <c r="W308" s="99"/>
      <c r="X308" s="1771"/>
      <c r="Y308" s="2102"/>
      <c r="Z308" s="2085"/>
      <c r="AA308" s="1526"/>
      <c r="AC308" s="970"/>
      <c r="AD308" s="970"/>
      <c r="AE308" s="970"/>
      <c r="AF308"/>
      <c r="AG308"/>
      <c r="AH308"/>
      <c r="AI308"/>
      <c r="AJ308"/>
      <c r="AK308"/>
      <c r="AL308" s="1336"/>
      <c r="AM308" s="1336"/>
      <c r="AN308" s="1336"/>
      <c r="AO308" s="1336"/>
      <c r="AP308" s="1336"/>
      <c r="AQ308" s="1336"/>
      <c r="AR308" s="1336"/>
      <c r="AS308" s="1336"/>
      <c r="AT308"/>
    </row>
    <row r="309" spans="1:46" ht="16.5" thickTop="1" thickBot="1" x14ac:dyDescent="0.3">
      <c r="A309" s="2371">
        <v>5</v>
      </c>
      <c r="B309" s="2381" t="s">
        <v>4153</v>
      </c>
      <c r="G309" s="2373" t="str">
        <f>IF(N309&gt;0,"P","")</f>
        <v/>
      </c>
      <c r="H309" s="2371" t="s">
        <v>3971</v>
      </c>
      <c r="I309" s="855" t="s">
        <v>4153</v>
      </c>
      <c r="J309" s="855"/>
      <c r="K309" s="99"/>
      <c r="L309" s="1167" t="s">
        <v>4157</v>
      </c>
      <c r="M309" s="366">
        <v>5</v>
      </c>
      <c r="N309" s="1050">
        <f>'Ch5'!O310</f>
        <v>0</v>
      </c>
      <c r="O309" s="1050">
        <f>M309*S309*W309</f>
        <v>0</v>
      </c>
      <c r="P309" s="116" t="b">
        <v>1</v>
      </c>
      <c r="Q309" s="116" t="b">
        <v>1</v>
      </c>
      <c r="R309" s="116" t="b">
        <v>0</v>
      </c>
      <c r="S309" s="116" t="b">
        <v>1</v>
      </c>
      <c r="T309" s="116" t="b">
        <v>0</v>
      </c>
      <c r="U309"/>
      <c r="V309"/>
      <c r="W309" s="118"/>
      <c r="X309" s="128"/>
      <c r="Y309" s="1005" t="str">
        <f>IF(LEN('Ch5'!X310)=0,"None",'Ch5'!X310)</f>
        <v>None</v>
      </c>
      <c r="Z309" s="1594"/>
      <c r="AA309" s="1526"/>
      <c r="AC309" s="970"/>
      <c r="AD309" s="970"/>
      <c r="AE309" s="970"/>
      <c r="AF309"/>
      <c r="AG309"/>
      <c r="AH309"/>
      <c r="AI309"/>
      <c r="AJ309"/>
      <c r="AK309"/>
      <c r="AL309" s="1336" t="str">
        <f>SUBSTITUTE(SUBSTITUTE(SUBSTITUTE("vpa"&amp;$B309&amp;$C309&amp;$D309&amp;$E309,".","_"),"(","_"),")","")</f>
        <v>vpa505_8</v>
      </c>
      <c r="AM309" s="254">
        <f>M309</f>
        <v>5</v>
      </c>
      <c r="AN309" s="1336" t="str">
        <f>SUBSTITUTE(SUBSTITUTE(SUBSTITUTE("vpc"&amp;$B309&amp;$C309&amp;$D309&amp;$E309,".","_"),"(","_"),")","")</f>
        <v>vpc505_8</v>
      </c>
      <c r="AO309" s="254">
        <f>O309</f>
        <v>0</v>
      </c>
      <c r="AP309" s="1336" t="str">
        <f>SUBSTITUTE(SUBSTITUTE(SUBSTITUTE("vch"&amp;$B309&amp;$C309&amp;$D309&amp;$E309,".","_"),"(","_"),")","")</f>
        <v>vch505_8</v>
      </c>
      <c r="AQ309" s="254" t="str">
        <f>IF(LEN(W309)=0,"",W309)</f>
        <v/>
      </c>
      <c r="AR309" s="1336" t="str">
        <f>SUBSTITUTE(SUBSTITUTE(SUBSTITUTE("vnt"&amp;$B309&amp;$C309&amp;$D309&amp;$E309,".","_"),"(","_"),")","")</f>
        <v>vnt505_8</v>
      </c>
      <c r="AS309" s="254" t="str">
        <f>IF(LEN(X309)=0,"",X309)</f>
        <v/>
      </c>
      <c r="AT309"/>
    </row>
    <row r="310" spans="1:46" ht="15.75" thickTop="1" x14ac:dyDescent="0.25">
      <c r="A310" s="2371">
        <v>5</v>
      </c>
      <c r="B310" s="2381" t="s">
        <v>4154</v>
      </c>
      <c r="G310" s="2363" t="str">
        <f ca="1">IF(COUNTIF(G312:G316,"P")&gt;0,"P","")</f>
        <v/>
      </c>
      <c r="H310" s="2371" t="s">
        <v>3973</v>
      </c>
      <c r="I310" s="66" t="s">
        <v>4154</v>
      </c>
      <c r="J310" s="66"/>
      <c r="K310" s="868"/>
      <c r="L310" s="1785" t="s">
        <v>4158</v>
      </c>
      <c r="M310" s="1014"/>
      <c r="N310" s="1042"/>
      <c r="O310" s="1042"/>
      <c r="P310" s="868"/>
      <c r="Q310" s="868"/>
      <c r="R310" s="868"/>
      <c r="S310" s="868"/>
      <c r="T310" s="868"/>
      <c r="U310"/>
      <c r="V310"/>
      <c r="W310"/>
      <c r="X310" s="911"/>
      <c r="Y310"/>
      <c r="AA310" s="1526"/>
      <c r="AC310" s="970"/>
      <c r="AD310" s="970"/>
      <c r="AE310" s="970"/>
      <c r="AF310"/>
      <c r="AG310"/>
      <c r="AH310"/>
      <c r="AI310"/>
      <c r="AJ310"/>
      <c r="AK310"/>
      <c r="AL310" s="1336"/>
      <c r="AM310" s="1336"/>
      <c r="AN310" s="1336"/>
      <c r="AO310" s="1336"/>
      <c r="AP310" s="1336"/>
      <c r="AQ310" s="1336"/>
      <c r="AR310" s="1336"/>
      <c r="AS310" s="1336"/>
      <c r="AT310"/>
    </row>
    <row r="311" spans="1:46" x14ac:dyDescent="0.25">
      <c r="A311" s="2371">
        <v>5</v>
      </c>
      <c r="B311" s="2381" t="s">
        <v>4154</v>
      </c>
      <c r="G311" s="2373" t="str">
        <f ca="1">G310</f>
        <v/>
      </c>
      <c r="H311" s="2371" t="s">
        <v>3973</v>
      </c>
      <c r="I311" s="66"/>
      <c r="J311" s="66"/>
      <c r="K311" s="868"/>
      <c r="L311" s="1785"/>
      <c r="M311" s="1014"/>
      <c r="N311" s="1042"/>
      <c r="O311" s="1042"/>
      <c r="P311" s="868"/>
      <c r="Q311" s="868"/>
      <c r="R311" s="868"/>
      <c r="S311" s="868"/>
      <c r="T311" s="868"/>
      <c r="U311"/>
      <c r="V311"/>
      <c r="W311"/>
      <c r="X311" s="911"/>
      <c r="Y311"/>
      <c r="AA311" s="1526"/>
      <c r="AC311" s="970"/>
      <c r="AD311" s="970"/>
      <c r="AE311" s="970"/>
      <c r="AF311"/>
      <c r="AG311"/>
      <c r="AH311"/>
      <c r="AI311"/>
      <c r="AJ311"/>
      <c r="AK311"/>
      <c r="AL311" s="1336"/>
      <c r="AM311" s="1336"/>
      <c r="AN311" s="1336"/>
      <c r="AO311" s="1336"/>
      <c r="AP311" s="1336"/>
      <c r="AQ311" s="1336"/>
      <c r="AR311" s="1336"/>
      <c r="AS311" s="1336"/>
      <c r="AT311"/>
    </row>
    <row r="312" spans="1:46" x14ac:dyDescent="0.25">
      <c r="A312" s="2371">
        <v>5</v>
      </c>
      <c r="B312" s="2381" t="s">
        <v>4154</v>
      </c>
      <c r="D312" s="2382" t="s">
        <v>121</v>
      </c>
      <c r="F312" s="2382"/>
      <c r="G312" s="2373" t="str">
        <f ca="1">IF(N312&gt;0,"P","")</f>
        <v/>
      </c>
      <c r="H312" s="2371" t="s">
        <v>3973</v>
      </c>
      <c r="I312" s="66"/>
      <c r="J312" s="66" t="s">
        <v>121</v>
      </c>
      <c r="K312" s="868"/>
      <c r="L312" s="1787" t="s">
        <v>4159</v>
      </c>
      <c r="M312" s="1767">
        <v>3</v>
      </c>
      <c r="N312" s="2075">
        <f ca="1">'Ch5'!O313</f>
        <v>0</v>
      </c>
      <c r="O312" s="2075">
        <f ca="1">M312*S312*W312</f>
        <v>0</v>
      </c>
      <c r="P312" s="868" t="b">
        <v>0</v>
      </c>
      <c r="Q312" s="868" t="b">
        <v>1</v>
      </c>
      <c r="R312" s="868" t="b">
        <v>0</v>
      </c>
      <c r="S312" s="868" t="b">
        <f ca="1">IF(AY18=INDEX(INDIRECT("ddSingleOrMulti"),2),TRUE,FALSE)</f>
        <v>0</v>
      </c>
      <c r="T312" s="868" t="b">
        <f ca="1">AND(W312=TRUE,NOT(S312))</f>
        <v>0</v>
      </c>
      <c r="U312"/>
      <c r="V312"/>
      <c r="W312" s="25"/>
      <c r="X312" s="1757"/>
      <c r="Y312" s="2081" t="str">
        <f>IF(LEN('Ch5'!X313)=0,"None",'Ch5'!X313)</f>
        <v>None</v>
      </c>
      <c r="Z312" s="2083"/>
      <c r="AA312" s="1526"/>
      <c r="AC312" s="970" t="b">
        <f ca="1">OR(AD312:AE312)</f>
        <v>0</v>
      </c>
      <c r="AD312" s="970" t="b">
        <f ca="1">T312</f>
        <v>0</v>
      </c>
      <c r="AE312" s="970"/>
      <c r="AF312"/>
      <c r="AG312"/>
      <c r="AH312"/>
      <c r="AI312"/>
      <c r="AJ312"/>
      <c r="AK312"/>
      <c r="AL312" s="1336" t="str">
        <f>SUBSTITUTE(SUBSTITUTE(SUBSTITUTE("vpa"&amp;$B312&amp;$C312&amp;$D312&amp;$E312,".","_"),"(","_"),")","")</f>
        <v>vpa505_9_a</v>
      </c>
      <c r="AM312" s="254">
        <f>M312</f>
        <v>3</v>
      </c>
      <c r="AN312" s="1336" t="str">
        <f>SUBSTITUTE(SUBSTITUTE(SUBSTITUTE("vpc"&amp;$B312&amp;$C312&amp;$D312&amp;$E312,".","_"),"(","_"),")","")</f>
        <v>vpc505_9_a</v>
      </c>
      <c r="AO312" s="254">
        <f ca="1">O312</f>
        <v>0</v>
      </c>
      <c r="AP312" s="1336" t="str">
        <f>SUBSTITUTE(SUBSTITUTE(SUBSTITUTE("vch"&amp;$B312&amp;$C312&amp;$D312&amp;$E312,".","_"),"(","_"),")","")</f>
        <v>vch505_9_a</v>
      </c>
      <c r="AQ312" s="254" t="str">
        <f>IF(LEN(W312)=0,"",W312)</f>
        <v/>
      </c>
      <c r="AR312" s="1336" t="str">
        <f>SUBSTITUTE(SUBSTITUTE(SUBSTITUTE("vnt"&amp;$B312&amp;$C312&amp;$D312&amp;$E312,".","_"),"(","_"),")","")</f>
        <v>vnt505_9_a</v>
      </c>
      <c r="AS312" s="254" t="str">
        <f>IF(LEN(X312)=0,"",X312)</f>
        <v/>
      </c>
      <c r="AT312"/>
    </row>
    <row r="313" spans="1:46" x14ac:dyDescent="0.25">
      <c r="A313" s="2371">
        <v>5</v>
      </c>
      <c r="B313" s="2381" t="s">
        <v>4154</v>
      </c>
      <c r="D313" s="2382" t="s">
        <v>121</v>
      </c>
      <c r="F313" s="2382"/>
      <c r="G313" s="2373" t="str">
        <f ca="1">G312</f>
        <v/>
      </c>
      <c r="H313" s="2371" t="s">
        <v>3973</v>
      </c>
      <c r="I313" s="66"/>
      <c r="J313" s="66"/>
      <c r="K313" s="868"/>
      <c r="L313" s="1787"/>
      <c r="M313" s="1767"/>
      <c r="N313" s="2075"/>
      <c r="O313" s="2075"/>
      <c r="P313" s="868"/>
      <c r="Q313" s="868"/>
      <c r="R313" s="868"/>
      <c r="S313" s="868"/>
      <c r="T313" s="868"/>
      <c r="U313"/>
      <c r="V313"/>
      <c r="W313"/>
      <c r="X313" s="1757"/>
      <c r="Y313" s="2081"/>
      <c r="Z313" s="2083"/>
      <c r="AA313" s="1526"/>
      <c r="AC313" s="970"/>
      <c r="AD313" s="970"/>
      <c r="AE313" s="970"/>
      <c r="AF313"/>
      <c r="AG313"/>
      <c r="AH313"/>
      <c r="AI313"/>
      <c r="AJ313"/>
      <c r="AK313"/>
      <c r="AL313" s="1336"/>
      <c r="AM313" s="1336"/>
      <c r="AN313" s="1336"/>
      <c r="AO313" s="1336"/>
      <c r="AP313" s="1336"/>
      <c r="AQ313" s="1336"/>
      <c r="AR313" s="1336"/>
      <c r="AS313" s="1336"/>
      <c r="AT313"/>
    </row>
    <row r="314" spans="1:46" x14ac:dyDescent="0.25">
      <c r="A314" s="2371">
        <v>5</v>
      </c>
      <c r="B314" s="2381" t="s">
        <v>4154</v>
      </c>
      <c r="D314" s="2382" t="s">
        <v>121</v>
      </c>
      <c r="F314" s="2382"/>
      <c r="G314" s="2373" t="str">
        <f ca="1">G313</f>
        <v/>
      </c>
      <c r="H314" s="2371" t="s">
        <v>3973</v>
      </c>
      <c r="I314" s="66"/>
      <c r="J314" s="534"/>
      <c r="K314" s="178"/>
      <c r="L314" s="1786"/>
      <c r="M314" s="1759"/>
      <c r="N314" s="2076"/>
      <c r="O314" s="2076"/>
      <c r="P314" s="868"/>
      <c r="Q314" s="868"/>
      <c r="R314" s="868"/>
      <c r="S314" s="868"/>
      <c r="T314" s="868"/>
      <c r="U314"/>
      <c r="V314"/>
      <c r="W314"/>
      <c r="X314" s="1757"/>
      <c r="Y314" s="2081"/>
      <c r="Z314" s="2083"/>
      <c r="AA314" s="1526"/>
      <c r="AC314" s="970"/>
      <c r="AD314" s="970"/>
      <c r="AE314" s="970"/>
      <c r="AF314"/>
      <c r="AG314"/>
      <c r="AH314"/>
      <c r="AI314"/>
      <c r="AJ314"/>
      <c r="AK314"/>
      <c r="AL314" s="1336"/>
      <c r="AM314" s="1336"/>
      <c r="AN314" s="1336"/>
      <c r="AO314" s="1336"/>
      <c r="AP314" s="1336"/>
      <c r="AQ314" s="1336"/>
      <c r="AR314" s="1336"/>
      <c r="AS314" s="1336"/>
      <c r="AT314"/>
    </row>
    <row r="315" spans="1:46" x14ac:dyDescent="0.25">
      <c r="A315" s="2371">
        <v>5</v>
      </c>
      <c r="B315" s="2381" t="s">
        <v>4154</v>
      </c>
      <c r="D315" s="2382" t="s">
        <v>122</v>
      </c>
      <c r="F315" s="2382"/>
      <c r="G315" s="2373" t="str">
        <f ca="1">IF(N315&gt;0,"P","")</f>
        <v/>
      </c>
      <c r="H315" s="2371" t="s">
        <v>3973</v>
      </c>
      <c r="I315" s="66"/>
      <c r="J315" s="535" t="s">
        <v>122</v>
      </c>
      <c r="K315" s="211"/>
      <c r="L315" s="858" t="s">
        <v>4160</v>
      </c>
      <c r="M315" s="1036">
        <v>3</v>
      </c>
      <c r="N315" s="1049">
        <f ca="1">'Ch5'!O316</f>
        <v>0</v>
      </c>
      <c r="O315" s="1049">
        <f ca="1">M315*S315*W315</f>
        <v>0</v>
      </c>
      <c r="P315" s="868" t="b">
        <v>0</v>
      </c>
      <c r="Q315" s="868" t="b">
        <v>1</v>
      </c>
      <c r="R315" s="868" t="b">
        <v>0</v>
      </c>
      <c r="S315" s="868" t="b">
        <f ca="1">IF(AY18=INDEX(INDIRECT("ddSingleOrMulti"),2),TRUE,FALSE)</f>
        <v>0</v>
      </c>
      <c r="T315" s="868" t="b">
        <f ca="1">AND(W315=TRUE,NOT(S315))</f>
        <v>0</v>
      </c>
      <c r="U315"/>
      <c r="V315"/>
      <c r="W315" s="25"/>
      <c r="X315" s="918"/>
      <c r="Y315" s="988" t="str">
        <f>IF(LEN('Ch5'!X316)=0,"None",'Ch5'!X316)</f>
        <v>None</v>
      </c>
      <c r="Z315" s="1587"/>
      <c r="AA315" s="1526"/>
      <c r="AC315" s="970" t="b">
        <f ca="1">OR(AD315:AE315)</f>
        <v>0</v>
      </c>
      <c r="AD315" s="970" t="b">
        <f ca="1">T315</f>
        <v>0</v>
      </c>
      <c r="AE315" s="970"/>
      <c r="AF315"/>
      <c r="AG315"/>
      <c r="AH315"/>
      <c r="AI315"/>
      <c r="AJ315"/>
      <c r="AK315"/>
      <c r="AL315" s="1336" t="str">
        <f>SUBSTITUTE(SUBSTITUTE(SUBSTITUTE("vpa"&amp;$B315&amp;$C315&amp;$D315&amp;$E315,".","_"),"(","_"),")","")</f>
        <v>vpa505_9_b</v>
      </c>
      <c r="AM315" s="254">
        <f>M315</f>
        <v>3</v>
      </c>
      <c r="AN315" s="1336" t="str">
        <f>SUBSTITUTE(SUBSTITUTE(SUBSTITUTE("vpc"&amp;$B315&amp;$C315&amp;$D315&amp;$E315,".","_"),"(","_"),")","")</f>
        <v>vpc505_9_b</v>
      </c>
      <c r="AO315" s="254">
        <f ca="1">O315</f>
        <v>0</v>
      </c>
      <c r="AP315" s="1336" t="str">
        <f>SUBSTITUTE(SUBSTITUTE(SUBSTITUTE("vch"&amp;$B315&amp;$C315&amp;$D315&amp;$E315,".","_"),"(","_"),")","")</f>
        <v>vch505_9_b</v>
      </c>
      <c r="AQ315" s="254" t="str">
        <f>IF(LEN(W315)=0,"",W315)</f>
        <v/>
      </c>
      <c r="AR315" s="1336" t="str">
        <f>SUBSTITUTE(SUBSTITUTE(SUBSTITUTE("vnt"&amp;$B315&amp;$C315&amp;$D315&amp;$E315,".","_"),"(","_"),")","")</f>
        <v>vnt505_9_b</v>
      </c>
      <c r="AS315" s="254" t="str">
        <f>IF(LEN(X315)=0,"",X315)</f>
        <v/>
      </c>
      <c r="AT315"/>
    </row>
    <row r="316" spans="1:46" x14ac:dyDescent="0.25">
      <c r="A316" s="2371">
        <v>5</v>
      </c>
      <c r="B316" s="2381" t="s">
        <v>4154</v>
      </c>
      <c r="D316" s="2382" t="s">
        <v>123</v>
      </c>
      <c r="F316" s="2382"/>
      <c r="G316" s="2373" t="str">
        <f ca="1">IF(N316&gt;0,"P","")</f>
        <v/>
      </c>
      <c r="H316" s="2371" t="s">
        <v>3973</v>
      </c>
      <c r="I316" s="66"/>
      <c r="J316" s="66" t="s">
        <v>123</v>
      </c>
      <c r="K316" s="868"/>
      <c r="L316" s="1787" t="s">
        <v>4161</v>
      </c>
      <c r="M316" s="1767">
        <v>3</v>
      </c>
      <c r="N316" s="2075">
        <f ca="1">'Ch5'!O317</f>
        <v>0</v>
      </c>
      <c r="O316" s="2075">
        <f ca="1">M316*S316*W316</f>
        <v>0</v>
      </c>
      <c r="P316" s="868" t="b">
        <v>0</v>
      </c>
      <c r="Q316" s="868" t="b">
        <v>1</v>
      </c>
      <c r="R316" s="868" t="b">
        <v>0</v>
      </c>
      <c r="S316" s="868" t="b">
        <f ca="1">IF(AY18=INDEX(INDIRECT("ddSingleOrMulti"),2),TRUE,FALSE)</f>
        <v>0</v>
      </c>
      <c r="T316" s="868" t="b">
        <f ca="1">AND(W316=TRUE,NOT(S316))</f>
        <v>0</v>
      </c>
      <c r="U316"/>
      <c r="V316"/>
      <c r="W316" s="360"/>
      <c r="X316" s="1770"/>
      <c r="Y316" s="2081" t="str">
        <f>IF(LEN('Ch5'!X317)=0,"None",'Ch5'!X317)</f>
        <v>None</v>
      </c>
      <c r="Z316" s="2083"/>
      <c r="AA316" s="1526"/>
      <c r="AC316" s="970" t="b">
        <f ca="1">OR(AD316:AE316)</f>
        <v>0</v>
      </c>
      <c r="AD316" s="970" t="b">
        <f ca="1">T316</f>
        <v>0</v>
      </c>
      <c r="AE316" s="970"/>
      <c r="AF316"/>
      <c r="AG316"/>
      <c r="AH316"/>
      <c r="AI316"/>
      <c r="AJ316"/>
      <c r="AK316"/>
      <c r="AL316" s="1336" t="str">
        <f>SUBSTITUTE(SUBSTITUTE(SUBSTITUTE("vpa"&amp;$B316&amp;$C316&amp;$D316&amp;$E316,".","_"),"(","_"),")","")</f>
        <v>vpa505_9_c</v>
      </c>
      <c r="AM316" s="254">
        <f>M316</f>
        <v>3</v>
      </c>
      <c r="AN316" s="1336" t="str">
        <f>SUBSTITUTE(SUBSTITUTE(SUBSTITUTE("vpc"&amp;$B316&amp;$C316&amp;$D316&amp;$E316,".","_"),"(","_"),")","")</f>
        <v>vpc505_9_c</v>
      </c>
      <c r="AO316" s="254">
        <f ca="1">O316</f>
        <v>0</v>
      </c>
      <c r="AP316" s="1336" t="str">
        <f>SUBSTITUTE(SUBSTITUTE(SUBSTITUTE("vch"&amp;$B316&amp;$C316&amp;$D316&amp;$E316,".","_"),"(","_"),")","")</f>
        <v>vch505_9_c</v>
      </c>
      <c r="AQ316" s="254" t="str">
        <f>IF(LEN(W316)=0,"",W316)</f>
        <v/>
      </c>
      <c r="AR316" s="1336" t="str">
        <f>SUBSTITUTE(SUBSTITUTE(SUBSTITUTE("vnt"&amp;$B316&amp;$C316&amp;$D316&amp;$E316,".","_"),"(","_"),")","")</f>
        <v>vnt505_9_c</v>
      </c>
      <c r="AS316" s="254" t="str">
        <f>IF(LEN(X316)=0,"",X316)</f>
        <v/>
      </c>
      <c r="AT316"/>
    </row>
    <row r="317" spans="1:46" ht="15.75" thickBot="1" x14ac:dyDescent="0.3">
      <c r="A317" s="2371">
        <v>5</v>
      </c>
      <c r="B317" s="2381" t="s">
        <v>4154</v>
      </c>
      <c r="D317" s="2382" t="s">
        <v>123</v>
      </c>
      <c r="F317" s="2382"/>
      <c r="G317" s="2373" t="str">
        <f ca="1">G316</f>
        <v/>
      </c>
      <c r="H317" s="2371" t="s">
        <v>3973</v>
      </c>
      <c r="I317" s="855"/>
      <c r="J317" s="855"/>
      <c r="K317" s="99"/>
      <c r="L317" s="1766"/>
      <c r="M317" s="1768"/>
      <c r="N317" s="1928"/>
      <c r="O317" s="1928"/>
      <c r="P317" s="99"/>
      <c r="Q317" s="99"/>
      <c r="R317" s="99"/>
      <c r="S317" s="99"/>
      <c r="T317" s="99"/>
      <c r="U317"/>
      <c r="V317"/>
      <c r="W317" s="99"/>
      <c r="X317" s="1771"/>
      <c r="Y317" s="2082"/>
      <c r="Z317" s="2083"/>
      <c r="AA317" s="1526"/>
      <c r="AC317" s="970"/>
      <c r="AD317" s="970"/>
      <c r="AE317" s="970"/>
      <c r="AF317"/>
      <c r="AG317"/>
      <c r="AH317"/>
      <c r="AI317"/>
      <c r="AJ317"/>
      <c r="AK317"/>
      <c r="AL317" s="1336"/>
      <c r="AM317" s="1336"/>
      <c r="AN317" s="1336"/>
      <c r="AO317" s="1336"/>
      <c r="AP317" s="1336"/>
      <c r="AQ317" s="1336"/>
      <c r="AR317" s="1336"/>
      <c r="AS317" s="1336"/>
      <c r="AT317"/>
    </row>
    <row r="318" spans="1:46" ht="15.75" thickTop="1" x14ac:dyDescent="0.25">
      <c r="A318" s="2371">
        <v>5</v>
      </c>
      <c r="B318" s="2381" t="s">
        <v>4155</v>
      </c>
      <c r="D318" s="2382"/>
      <c r="F318" s="2382"/>
      <c r="G318" s="2363" t="str">
        <f ca="1">IF(COUNTIF(G321:G325,"P")&gt;0,"P","")</f>
        <v/>
      </c>
      <c r="H318" s="2371" t="s">
        <v>3973</v>
      </c>
      <c r="I318" s="66" t="s">
        <v>4155</v>
      </c>
      <c r="J318" s="66"/>
      <c r="K318" s="868"/>
      <c r="L318" s="1785" t="s">
        <v>4165</v>
      </c>
      <c r="M318" s="1014"/>
      <c r="N318" s="1042"/>
      <c r="O318" s="1042"/>
      <c r="P318" s="868"/>
      <c r="Q318" s="868"/>
      <c r="R318" s="868"/>
      <c r="S318" s="868"/>
      <c r="T318" s="868"/>
      <c r="U318"/>
      <c r="V318"/>
      <c r="W318"/>
      <c r="X318" s="911"/>
      <c r="Y318"/>
      <c r="AA318" s="1526"/>
      <c r="AC318" s="970"/>
      <c r="AD318" s="970"/>
      <c r="AE318" s="970"/>
      <c r="AF318"/>
      <c r="AG318"/>
      <c r="AH318"/>
      <c r="AI318"/>
      <c r="AJ318"/>
      <c r="AK318"/>
      <c r="AL318" s="1336"/>
      <c r="AM318" s="1336"/>
      <c r="AN318" s="1336"/>
      <c r="AO318" s="1336"/>
      <c r="AP318" s="1336"/>
      <c r="AQ318" s="1336"/>
      <c r="AR318" s="1336"/>
      <c r="AS318" s="1336"/>
      <c r="AT318"/>
    </row>
    <row r="319" spans="1:46" x14ac:dyDescent="0.25">
      <c r="A319" s="2371">
        <v>5</v>
      </c>
      <c r="B319" s="2381" t="s">
        <v>4155</v>
      </c>
      <c r="D319" s="2382"/>
      <c r="F319" s="2382"/>
      <c r="G319" s="2373" t="str">
        <f ca="1">G318</f>
        <v/>
      </c>
      <c r="H319" s="2371" t="s">
        <v>3973</v>
      </c>
      <c r="I319" s="66"/>
      <c r="J319" s="66"/>
      <c r="K319" s="868"/>
      <c r="L319" s="1785"/>
      <c r="M319" s="1014"/>
      <c r="N319" s="1042"/>
      <c r="O319" s="1042"/>
      <c r="P319" s="868"/>
      <c r="Q319" s="868"/>
      <c r="R319" s="868"/>
      <c r="S319" s="868"/>
      <c r="T319" s="868"/>
      <c r="U319"/>
      <c r="V319"/>
      <c r="W319"/>
      <c r="X319" s="911"/>
      <c r="Y319"/>
      <c r="AA319" s="1526"/>
      <c r="AC319" s="970"/>
      <c r="AD319" s="970"/>
      <c r="AE319" s="970"/>
      <c r="AF319"/>
      <c r="AG319"/>
      <c r="AH319"/>
      <c r="AI319"/>
      <c r="AJ319"/>
      <c r="AK319"/>
      <c r="AL319" s="1336"/>
      <c r="AM319" s="1336"/>
      <c r="AN319" s="1336"/>
      <c r="AO319" s="1336"/>
      <c r="AP319" s="1336"/>
      <c r="AQ319" s="1336"/>
      <c r="AR319" s="1336"/>
      <c r="AS319" s="1336"/>
      <c r="AT319"/>
    </row>
    <row r="320" spans="1:46" x14ac:dyDescent="0.25">
      <c r="A320" s="2371">
        <v>5</v>
      </c>
      <c r="B320" s="2381" t="s">
        <v>4155</v>
      </c>
      <c r="D320" s="2382"/>
      <c r="F320" s="2382"/>
      <c r="G320" s="2373" t="str">
        <f ca="1">G319</f>
        <v/>
      </c>
      <c r="H320" s="2371" t="s">
        <v>3973</v>
      </c>
      <c r="I320" s="66"/>
      <c r="J320" s="66"/>
      <c r="K320" s="868"/>
      <c r="L320" s="1785"/>
      <c r="M320" s="1014"/>
      <c r="N320" s="1042"/>
      <c r="O320" s="1042"/>
      <c r="P320" s="868"/>
      <c r="Q320" s="868"/>
      <c r="R320" s="868"/>
      <c r="S320" s="868"/>
      <c r="T320" s="868"/>
      <c r="U320"/>
      <c r="V320"/>
      <c r="W320"/>
      <c r="X320" s="911"/>
      <c r="Y320"/>
      <c r="AA320" s="1526"/>
      <c r="AC320" s="970"/>
      <c r="AD320" s="970"/>
      <c r="AE320" s="970"/>
      <c r="AF320"/>
      <c r="AG320"/>
      <c r="AH320"/>
      <c r="AI320"/>
      <c r="AJ320"/>
      <c r="AK320"/>
      <c r="AL320" s="1336"/>
      <c r="AM320" s="1336"/>
      <c r="AN320" s="1336"/>
      <c r="AO320" s="1336"/>
      <c r="AP320" s="1336"/>
      <c r="AQ320" s="1336"/>
      <c r="AR320" s="1336"/>
      <c r="AS320" s="1336"/>
      <c r="AT320"/>
    </row>
    <row r="321" spans="1:61" x14ac:dyDescent="0.25">
      <c r="A321" s="2371">
        <v>5</v>
      </c>
      <c r="B321" s="2381" t="s">
        <v>4155</v>
      </c>
      <c r="D321" s="2382" t="s">
        <v>121</v>
      </c>
      <c r="F321" s="2382"/>
      <c r="G321" s="2373" t="str">
        <f ca="1">IF(N321&gt;0,"P","")</f>
        <v/>
      </c>
      <c r="H321" s="2371" t="s">
        <v>3973</v>
      </c>
      <c r="I321" s="66"/>
      <c r="J321" s="66" t="s">
        <v>121</v>
      </c>
      <c r="K321" s="868"/>
      <c r="L321" s="1787" t="s">
        <v>4162</v>
      </c>
      <c r="M321" s="1767">
        <v>3</v>
      </c>
      <c r="N321" s="2075">
        <f ca="1">'Ch5'!O322</f>
        <v>0</v>
      </c>
      <c r="O321" s="2075">
        <f ca="1">M321*S321*W321</f>
        <v>0</v>
      </c>
      <c r="P321" s="868" t="b">
        <v>0</v>
      </c>
      <c r="Q321" s="868" t="b">
        <v>1</v>
      </c>
      <c r="R321" s="868" t="b">
        <v>0</v>
      </c>
      <c r="S321" s="868" t="b">
        <f ca="1">IF(AY18=INDEX(INDIRECT("ddSingleOrMulti"),2),TRUE,FALSE)</f>
        <v>0</v>
      </c>
      <c r="T321" s="868" t="b">
        <f ca="1">AND(W321=TRUE,NOT(S321))</f>
        <v>0</v>
      </c>
      <c r="U321"/>
      <c r="V321"/>
      <c r="W321" s="25"/>
      <c r="X321" s="1757"/>
      <c r="Y321" s="2081" t="str">
        <f>IF(LEN('Ch5'!X322)=0,"None",'Ch5'!X322)</f>
        <v>None</v>
      </c>
      <c r="Z321" s="2083"/>
      <c r="AA321" s="1526"/>
      <c r="AC321" s="970" t="b">
        <f ca="1">OR(AD321:AE321)</f>
        <v>0</v>
      </c>
      <c r="AD321" s="970" t="b">
        <f ca="1">T321</f>
        <v>0</v>
      </c>
      <c r="AE321" s="970"/>
      <c r="AF321"/>
      <c r="AG321"/>
      <c r="AH321"/>
      <c r="AI321"/>
      <c r="AJ321"/>
      <c r="AK321"/>
      <c r="AL321" s="1336" t="str">
        <f>SUBSTITUTE(SUBSTITUTE(SUBSTITUTE("vpa"&amp;$B321&amp;$C321&amp;$D321&amp;$E321,".","_"),"(","_"),")","")</f>
        <v>vpa505_10_a</v>
      </c>
      <c r="AM321" s="254">
        <f>M321</f>
        <v>3</v>
      </c>
      <c r="AN321" s="1336" t="str">
        <f>SUBSTITUTE(SUBSTITUTE(SUBSTITUTE("vpc"&amp;$B321&amp;$C321&amp;$D321&amp;$E321,".","_"),"(","_"),")","")</f>
        <v>vpc505_10_a</v>
      </c>
      <c r="AO321" s="254">
        <f ca="1">O321</f>
        <v>0</v>
      </c>
      <c r="AP321" s="1336" t="str">
        <f>SUBSTITUTE(SUBSTITUTE(SUBSTITUTE("vch"&amp;$B321&amp;$C321&amp;$D321&amp;$E321,".","_"),"(","_"),")","")</f>
        <v>vch505_10_a</v>
      </c>
      <c r="AQ321" s="254" t="str">
        <f>IF(LEN(W321)=0,"",W321)</f>
        <v/>
      </c>
      <c r="AR321" s="1336" t="str">
        <f>SUBSTITUTE(SUBSTITUTE(SUBSTITUTE("vnt"&amp;$B321&amp;$C321&amp;$D321&amp;$E321,".","_"),"(","_"),")","")</f>
        <v>vnt505_10_a</v>
      </c>
      <c r="AS321" s="254" t="str">
        <f>IF(LEN(X321)=0,"",X321)</f>
        <v/>
      </c>
      <c r="AT321"/>
    </row>
    <row r="322" spans="1:61" x14ac:dyDescent="0.25">
      <c r="A322" s="2371">
        <v>5</v>
      </c>
      <c r="B322" s="2381" t="s">
        <v>4155</v>
      </c>
      <c r="D322" s="2382" t="s">
        <v>121</v>
      </c>
      <c r="F322" s="2382"/>
      <c r="G322" s="2373" t="str">
        <f ca="1">G321</f>
        <v/>
      </c>
      <c r="H322" s="2371" t="s">
        <v>3973</v>
      </c>
      <c r="I322" s="66"/>
      <c r="J322" s="534"/>
      <c r="K322" s="178"/>
      <c r="L322" s="1786"/>
      <c r="M322" s="1759"/>
      <c r="N322" s="2076"/>
      <c r="O322" s="2076"/>
      <c r="P322" s="868"/>
      <c r="Q322" s="868"/>
      <c r="R322" s="868"/>
      <c r="S322" s="868"/>
      <c r="T322" s="868"/>
      <c r="U322"/>
      <c r="V322"/>
      <c r="W322"/>
      <c r="X322" s="1757"/>
      <c r="Y322" s="2081"/>
      <c r="Z322" s="2083"/>
      <c r="AA322" s="1526"/>
      <c r="AC322" s="970"/>
      <c r="AD322" s="970"/>
      <c r="AE322" s="970"/>
      <c r="AF322"/>
      <c r="AG322"/>
      <c r="AH322"/>
      <c r="AI322"/>
      <c r="AJ322"/>
      <c r="AK322"/>
      <c r="AL322" s="1336"/>
      <c r="AM322" s="1336"/>
      <c r="AN322" s="1336"/>
      <c r="AO322" s="1336"/>
      <c r="AP322" s="1336"/>
      <c r="AQ322" s="1336"/>
      <c r="AR322" s="1336"/>
      <c r="AS322" s="1336"/>
      <c r="AT322"/>
    </row>
    <row r="323" spans="1:61" x14ac:dyDescent="0.25">
      <c r="A323" s="2371">
        <v>5</v>
      </c>
      <c r="B323" s="2381" t="s">
        <v>4155</v>
      </c>
      <c r="D323" s="2382" t="s">
        <v>122</v>
      </c>
      <c r="F323" s="2382"/>
      <c r="G323" s="2373" t="str">
        <f ca="1">IF(N323&gt;0,"P","")</f>
        <v/>
      </c>
      <c r="H323" s="2371" t="s">
        <v>3973</v>
      </c>
      <c r="I323" s="66"/>
      <c r="J323" s="533" t="s">
        <v>122</v>
      </c>
      <c r="K323" s="195"/>
      <c r="L323" s="1769" t="s">
        <v>4163</v>
      </c>
      <c r="M323" s="1762">
        <v>3</v>
      </c>
      <c r="N323" s="2079">
        <f ca="1">'Ch5'!O324</f>
        <v>0</v>
      </c>
      <c r="O323" s="2079">
        <f ca="1">M323*S323*W323</f>
        <v>0</v>
      </c>
      <c r="P323" s="868" t="b">
        <v>0</v>
      </c>
      <c r="Q323" s="868" t="b">
        <v>1</v>
      </c>
      <c r="R323" s="868" t="b">
        <v>0</v>
      </c>
      <c r="S323" s="868" t="b">
        <f ca="1">IF(AY18=INDEX(INDIRECT("ddSingleOrMulti"),2),TRUE,FALSE)</f>
        <v>0</v>
      </c>
      <c r="T323" s="868" t="b">
        <f ca="1">AND(W323=TRUE,NOT(S323))</f>
        <v>0</v>
      </c>
      <c r="U323"/>
      <c r="V323"/>
      <c r="W323" s="25"/>
      <c r="X323" s="1757"/>
      <c r="Y323" s="2081" t="str">
        <f>IF(LEN('Ch5'!X324)=0,"None",'Ch5'!X324)</f>
        <v>None</v>
      </c>
      <c r="Z323" s="2083"/>
      <c r="AA323" s="1526"/>
      <c r="AC323" s="970" t="b">
        <f ca="1">OR(AD323:AE323)</f>
        <v>0</v>
      </c>
      <c r="AD323" s="970" t="b">
        <f ca="1">T323</f>
        <v>0</v>
      </c>
      <c r="AE323" s="970"/>
      <c r="AF323"/>
      <c r="AG323"/>
      <c r="AH323"/>
      <c r="AI323"/>
      <c r="AJ323"/>
      <c r="AK323"/>
      <c r="AL323" s="1336" t="str">
        <f>SUBSTITUTE(SUBSTITUTE(SUBSTITUTE("vpa"&amp;$B323&amp;$C323&amp;$D323&amp;$E323,".","_"),"(","_"),")","")</f>
        <v>vpa505_10_b</v>
      </c>
      <c r="AM323" s="254">
        <f>M323</f>
        <v>3</v>
      </c>
      <c r="AN323" s="1336" t="str">
        <f>SUBSTITUTE(SUBSTITUTE(SUBSTITUTE("vpc"&amp;$B323&amp;$C323&amp;$D323&amp;$E323,".","_"),"(","_"),")","")</f>
        <v>vpc505_10_b</v>
      </c>
      <c r="AO323" s="254">
        <f ca="1">O323</f>
        <v>0</v>
      </c>
      <c r="AP323" s="1336" t="str">
        <f>SUBSTITUTE(SUBSTITUTE(SUBSTITUTE("vch"&amp;$B323&amp;$C323&amp;$D323&amp;$E323,".","_"),"(","_"),")","")</f>
        <v>vch505_10_b</v>
      </c>
      <c r="AQ323" s="254" t="str">
        <f>IF(LEN(W323)=0,"",W323)</f>
        <v/>
      </c>
      <c r="AR323" s="1336" t="str">
        <f>SUBSTITUTE(SUBSTITUTE(SUBSTITUTE("vnt"&amp;$B323&amp;$C323&amp;$D323&amp;$E323,".","_"),"(","_"),")","")</f>
        <v>vnt505_10_b</v>
      </c>
      <c r="AS323" s="254" t="str">
        <f>IF(LEN(X323)=0,"",X323)</f>
        <v/>
      </c>
      <c r="AT323"/>
    </row>
    <row r="324" spans="1:61" x14ac:dyDescent="0.25">
      <c r="A324" s="2371">
        <v>5</v>
      </c>
      <c r="B324" s="2381" t="s">
        <v>4155</v>
      </c>
      <c r="D324" s="2382" t="s">
        <v>122</v>
      </c>
      <c r="F324" s="2382"/>
      <c r="G324" s="2373" t="str">
        <f ca="1">G323</f>
        <v/>
      </c>
      <c r="H324" s="2371" t="s">
        <v>3973</v>
      </c>
      <c r="I324" s="66"/>
      <c r="J324" s="534"/>
      <c r="K324" s="178"/>
      <c r="L324" s="1786"/>
      <c r="M324" s="1759"/>
      <c r="N324" s="2076"/>
      <c r="O324" s="2076"/>
      <c r="P324" s="868"/>
      <c r="Q324" s="868"/>
      <c r="R324" s="868"/>
      <c r="S324" s="868"/>
      <c r="T324" s="868"/>
      <c r="U324"/>
      <c r="V324"/>
      <c r="W324"/>
      <c r="X324" s="1757"/>
      <c r="Y324" s="2081"/>
      <c r="Z324" s="2083"/>
      <c r="AA324" s="1526"/>
      <c r="AC324" s="970"/>
      <c r="AD324" s="970"/>
      <c r="AE324" s="970"/>
      <c r="AF324"/>
      <c r="AG324"/>
      <c r="AH324"/>
      <c r="AI324"/>
      <c r="AJ324"/>
      <c r="AK324"/>
      <c r="AL324" s="1336"/>
      <c r="AM324" s="1336"/>
      <c r="AN324" s="1336"/>
      <c r="AO324" s="1336"/>
      <c r="AP324" s="1336"/>
      <c r="AQ324" s="1336"/>
      <c r="AR324" s="1336"/>
      <c r="AS324" s="1336"/>
      <c r="AT324"/>
    </row>
    <row r="325" spans="1:61" x14ac:dyDescent="0.25">
      <c r="A325" s="2371">
        <v>5</v>
      </c>
      <c r="B325" s="2381" t="s">
        <v>4155</v>
      </c>
      <c r="D325" s="2382" t="s">
        <v>123</v>
      </c>
      <c r="F325" s="2382"/>
      <c r="G325" s="2373" t="str">
        <f ca="1">IF(N325&gt;0,"P","")</f>
        <v/>
      </c>
      <c r="H325" s="2371" t="s">
        <v>3973</v>
      </c>
      <c r="I325" s="510"/>
      <c r="J325" s="510" t="s">
        <v>123</v>
      </c>
      <c r="K325" s="94"/>
      <c r="L325" s="1765" t="s">
        <v>4164</v>
      </c>
      <c r="M325" s="1758">
        <v>3</v>
      </c>
      <c r="N325" s="1927">
        <f ca="1">'Ch5'!O326</f>
        <v>0</v>
      </c>
      <c r="O325" s="1927">
        <f ca="1">M325*S325*W325</f>
        <v>0</v>
      </c>
      <c r="P325" s="94" t="b">
        <v>0</v>
      </c>
      <c r="Q325" s="94" t="b">
        <v>1</v>
      </c>
      <c r="R325" s="94" t="b">
        <v>0</v>
      </c>
      <c r="S325" s="94" t="b">
        <f ca="1">IF(AY18=INDEX(INDIRECT("ddSingleOrMulti"),2),TRUE,FALSE)</f>
        <v>0</v>
      </c>
      <c r="T325" s="94" t="b">
        <f ca="1">AND(W325=TRUE,NOT(S325))</f>
        <v>0</v>
      </c>
      <c r="U325"/>
      <c r="V325"/>
      <c r="W325" s="25"/>
      <c r="X325" s="1757"/>
      <c r="Y325" s="2081" t="str">
        <f>IF(LEN('Ch5'!X326)=0,"None",'Ch5'!X326)</f>
        <v>None</v>
      </c>
      <c r="Z325" s="2083"/>
      <c r="AA325" s="1526"/>
      <c r="AC325" s="970" t="b">
        <f ca="1">OR(AD325:AE325)</f>
        <v>0</v>
      </c>
      <c r="AD325" s="970" t="b">
        <f ca="1">T325</f>
        <v>0</v>
      </c>
      <c r="AE325" s="970"/>
      <c r="AF325"/>
      <c r="AG325"/>
      <c r="AH325"/>
      <c r="AI325"/>
      <c r="AJ325"/>
      <c r="AK325"/>
      <c r="AL325" s="1336" t="str">
        <f>SUBSTITUTE(SUBSTITUTE(SUBSTITUTE("vpa"&amp;$B325&amp;$C325&amp;$D325&amp;$E325,".","_"),"(","_"),")","")</f>
        <v>vpa505_10_c</v>
      </c>
      <c r="AM325" s="254">
        <f>M325</f>
        <v>3</v>
      </c>
      <c r="AN325" s="1336" t="str">
        <f>SUBSTITUTE(SUBSTITUTE(SUBSTITUTE("vpc"&amp;$B325&amp;$C325&amp;$D325&amp;$E325,".","_"),"(","_"),")","")</f>
        <v>vpc505_10_c</v>
      </c>
      <c r="AO325" s="254">
        <f ca="1">O325</f>
        <v>0</v>
      </c>
      <c r="AP325" s="1336" t="str">
        <f>SUBSTITUTE(SUBSTITUTE(SUBSTITUTE("vch"&amp;$B325&amp;$C325&amp;$D325&amp;$E325,".","_"),"(","_"),")","")</f>
        <v>vch505_10_c</v>
      </c>
      <c r="AQ325" s="254" t="str">
        <f>IF(LEN(W325)=0,"",W325)</f>
        <v/>
      </c>
      <c r="AR325" s="1336" t="str">
        <f>SUBSTITUTE(SUBSTITUTE(SUBSTITUTE("vnt"&amp;$B325&amp;$C325&amp;$D325&amp;$E325,".","_"),"(","_"),")","")</f>
        <v>vnt505_10_c</v>
      </c>
      <c r="AS325" s="254" t="str">
        <f>IF(LEN(X325)=0,"",X325)</f>
        <v/>
      </c>
      <c r="AT325"/>
    </row>
    <row r="326" spans="1:61" x14ac:dyDescent="0.25">
      <c r="A326" s="2371">
        <v>5</v>
      </c>
      <c r="B326" s="2381" t="s">
        <v>4155</v>
      </c>
      <c r="D326" s="2382" t="s">
        <v>123</v>
      </c>
      <c r="F326" s="2382"/>
      <c r="G326" s="2373" t="str">
        <f ca="1">G325</f>
        <v/>
      </c>
      <c r="H326" s="2371" t="s">
        <v>3973</v>
      </c>
      <c r="I326" s="210"/>
      <c r="J326" s="210"/>
      <c r="K326" s="178"/>
      <c r="L326" s="1786"/>
      <c r="M326" s="1758"/>
      <c r="N326" s="1927"/>
      <c r="O326" s="1927"/>
      <c r="P326" s="94"/>
      <c r="Q326" s="94"/>
      <c r="R326" s="94"/>
      <c r="S326" s="94"/>
      <c r="T326" s="94"/>
      <c r="U326"/>
      <c r="V326"/>
      <c r="W326"/>
      <c r="X326" s="1757"/>
      <c r="Y326" s="2081"/>
      <c r="Z326" s="2083"/>
      <c r="AA326" s="1526"/>
      <c r="AC326" s="970"/>
      <c r="AD326" s="970"/>
      <c r="AE326" s="970"/>
      <c r="AF326"/>
      <c r="AG326"/>
      <c r="AH326"/>
      <c r="AI326"/>
      <c r="AJ326"/>
      <c r="AK326"/>
      <c r="AL326"/>
      <c r="AM326"/>
      <c r="AN326"/>
      <c r="AO326"/>
      <c r="AP326"/>
      <c r="AQ326"/>
      <c r="AR326"/>
      <c r="AS326"/>
      <c r="AT326"/>
    </row>
    <row r="327" spans="1:61" ht="18.75" x14ac:dyDescent="0.3">
      <c r="A327" s="2371">
        <v>6</v>
      </c>
      <c r="B327" s="2383" t="s">
        <v>4084</v>
      </c>
      <c r="C327" s="2371"/>
      <c r="D327" s="2371"/>
      <c r="E327" s="2371"/>
      <c r="F327" s="2371"/>
      <c r="G327" s="2373" t="s">
        <v>3974</v>
      </c>
      <c r="H327" s="2371" t="s">
        <v>3971</v>
      </c>
      <c r="I327" s="22" t="s">
        <v>498</v>
      </c>
      <c r="J327" s="22"/>
      <c r="K327" s="22"/>
      <c r="L327" s="1208"/>
      <c r="M327" s="1059"/>
      <c r="N327" s="1051"/>
      <c r="O327" s="1051"/>
      <c r="P327" s="249" t="s">
        <v>247</v>
      </c>
      <c r="Q327" s="249" t="s">
        <v>247</v>
      </c>
      <c r="R327" s="249" t="s">
        <v>247</v>
      </c>
      <c r="S327" s="249" t="s">
        <v>247</v>
      </c>
      <c r="T327" s="249" t="s">
        <v>247</v>
      </c>
      <c r="U327" s="249" t="s">
        <v>247</v>
      </c>
      <c r="V327" s="249" t="s">
        <v>247</v>
      </c>
      <c r="W327" s="23"/>
      <c r="X327" s="23"/>
      <c r="Y327" s="23"/>
      <c r="Z327" s="1586"/>
      <c r="AA327" s="1526"/>
      <c r="AB327" s="866" t="s">
        <v>247</v>
      </c>
      <c r="AC327" s="866" t="s">
        <v>247</v>
      </c>
      <c r="AD327" s="866" t="s">
        <v>247</v>
      </c>
      <c r="AE327" s="866" t="s">
        <v>247</v>
      </c>
      <c r="AF327" s="866" t="s">
        <v>247</v>
      </c>
      <c r="AG327" s="866" t="s">
        <v>247</v>
      </c>
      <c r="AH327" s="866" t="s">
        <v>247</v>
      </c>
      <c r="AI327" s="866" t="s">
        <v>247</v>
      </c>
      <c r="AJ327" s="866" t="s">
        <v>247</v>
      </c>
      <c r="AK327" s="866" t="s">
        <v>247</v>
      </c>
      <c r="AL327" s="1334"/>
      <c r="AM327" s="1334"/>
      <c r="AN327" s="1334"/>
      <c r="AO327" s="1334"/>
      <c r="AP327" s="1334"/>
      <c r="AQ327" s="1334"/>
      <c r="AR327" s="1334"/>
      <c r="AS327" s="1334"/>
      <c r="AT327" s="866" t="s">
        <v>247</v>
      </c>
      <c r="AU327" s="866" t="s">
        <v>247</v>
      </c>
      <c r="AV327" s="866" t="s">
        <v>247</v>
      </c>
      <c r="AW327" s="866" t="s">
        <v>247</v>
      </c>
      <c r="AX327" s="866" t="s">
        <v>247</v>
      </c>
      <c r="AY327" s="866" t="s">
        <v>247</v>
      </c>
      <c r="AZ327" s="866" t="s">
        <v>247</v>
      </c>
      <c r="BA327" s="866" t="s">
        <v>247</v>
      </c>
      <c r="BB327" s="866" t="s">
        <v>247</v>
      </c>
      <c r="BC327" s="866" t="s">
        <v>247</v>
      </c>
      <c r="BD327" s="866" t="s">
        <v>247</v>
      </c>
      <c r="BE327" s="866" t="s">
        <v>247</v>
      </c>
      <c r="BF327" s="866" t="s">
        <v>247</v>
      </c>
      <c r="BG327" s="866" t="s">
        <v>247</v>
      </c>
      <c r="BH327" s="866" t="s">
        <v>247</v>
      </c>
      <c r="BI327" s="866" t="s">
        <v>247</v>
      </c>
    </row>
    <row r="328" spans="1:61" x14ac:dyDescent="0.25">
      <c r="A328" s="2371">
        <v>6</v>
      </c>
      <c r="B328" s="2383" t="s">
        <v>499</v>
      </c>
      <c r="C328" s="2374"/>
      <c r="D328" s="2374"/>
      <c r="E328" s="2374"/>
      <c r="F328" s="2374"/>
      <c r="G328" s="2375"/>
      <c r="H328" s="2375"/>
      <c r="I328" s="78" t="s">
        <v>499</v>
      </c>
      <c r="J328" s="27"/>
      <c r="K328" s="87"/>
      <c r="L328" s="1796" t="s">
        <v>500</v>
      </c>
      <c r="M328" s="1014"/>
      <c r="N328" s="1042"/>
      <c r="O328" s="1042"/>
      <c r="P328" s="249"/>
      <c r="Q328" s="249"/>
      <c r="R328" s="249"/>
      <c r="S328" s="249"/>
      <c r="T328" s="249"/>
      <c r="U328" s="249"/>
      <c r="V328" s="249"/>
      <c r="W328" s="249"/>
      <c r="X328" s="911"/>
      <c r="AA328" s="1526"/>
      <c r="AC328" s="970"/>
      <c r="AD328" s="970"/>
      <c r="AE328" s="970"/>
      <c r="AL328" s="1336"/>
      <c r="AM328" s="1336"/>
      <c r="AN328" s="1336"/>
      <c r="AO328" s="1336"/>
      <c r="AP328" s="1336"/>
      <c r="AQ328" s="1336"/>
      <c r="AR328" s="1336"/>
      <c r="AS328" s="1336"/>
    </row>
    <row r="329" spans="1:61" x14ac:dyDescent="0.25">
      <c r="A329" s="2371">
        <v>6</v>
      </c>
      <c r="B329" s="2383" t="s">
        <v>499</v>
      </c>
      <c r="C329" s="2374"/>
      <c r="D329" s="2374"/>
      <c r="E329" s="2374"/>
      <c r="F329" s="2374"/>
      <c r="G329" s="2371"/>
      <c r="H329" s="2371"/>
      <c r="I329" s="64"/>
      <c r="J329" s="4"/>
      <c r="K329" s="83"/>
      <c r="L329" s="1796"/>
      <c r="M329" s="1014"/>
      <c r="N329" s="1042"/>
      <c r="O329" s="1042"/>
      <c r="P329" s="249"/>
      <c r="Q329" s="249"/>
      <c r="R329" s="249"/>
      <c r="S329" s="249"/>
      <c r="T329" s="249"/>
      <c r="U329" s="249"/>
      <c r="V329" s="249"/>
      <c r="W329" s="249"/>
      <c r="X329" s="911"/>
      <c r="AA329" s="1526"/>
      <c r="AC329" s="970"/>
      <c r="AD329" s="970"/>
      <c r="AE329" s="970"/>
      <c r="AL329" s="1336"/>
      <c r="AM329" s="1336"/>
      <c r="AN329" s="1336"/>
      <c r="AO329" s="1336"/>
      <c r="AP329" s="1336"/>
      <c r="AQ329" s="1336"/>
      <c r="AR329" s="1336"/>
      <c r="AS329" s="1336"/>
      <c r="AX329" s="248" t="str">
        <f>'Overview (Verification)'!A10</f>
        <v>Builder Name:</v>
      </c>
      <c r="AY329" s="258">
        <f>IF(LEN('Overview (Verification)'!P10)=0,0,'Overview (Verification)'!P10)</f>
        <v>0</v>
      </c>
    </row>
    <row r="330" spans="1:61" ht="15.75" thickBot="1" x14ac:dyDescent="0.3">
      <c r="A330" s="2371">
        <v>6</v>
      </c>
      <c r="B330" s="2383" t="s">
        <v>499</v>
      </c>
      <c r="C330" s="2374"/>
      <c r="D330" s="2374"/>
      <c r="E330" s="2374"/>
      <c r="F330" s="2374"/>
      <c r="G330" s="2371"/>
      <c r="H330" s="2371"/>
      <c r="I330" s="64"/>
      <c r="J330" s="4"/>
      <c r="K330" s="83"/>
      <c r="L330" s="1796"/>
      <c r="M330" s="1014"/>
      <c r="N330" s="1042"/>
      <c r="O330" s="1042"/>
      <c r="P330" s="249"/>
      <c r="Q330" s="249"/>
      <c r="R330" s="249"/>
      <c r="S330" s="249"/>
      <c r="T330" s="249"/>
      <c r="U330" s="249"/>
      <c r="V330" s="249"/>
      <c r="W330" s="249"/>
      <c r="X330" s="911"/>
      <c r="Y330" s="99"/>
      <c r="Z330" s="1589"/>
      <c r="AA330" s="1526"/>
      <c r="AC330" s="970"/>
      <c r="AD330" s="970"/>
      <c r="AE330" s="970"/>
      <c r="AL330" s="1336"/>
      <c r="AM330" s="1336"/>
      <c r="AN330" s="1336"/>
      <c r="AO330" s="1336"/>
      <c r="AP330" s="1336"/>
      <c r="AQ330" s="1336"/>
      <c r="AR330" s="1336"/>
      <c r="AS330" s="1336"/>
      <c r="AX330" s="248" t="str">
        <f>'Overview (Verification)'!A11</f>
        <v>Physical Address of Home:</v>
      </c>
      <c r="AY330" s="258">
        <f>IF(LEN('Overview (Verification)'!P11)=0,0,'Overview (Verification)'!P11)</f>
        <v>0</v>
      </c>
    </row>
    <row r="331" spans="1:61" ht="15.75" customHeight="1" thickTop="1" x14ac:dyDescent="0.25">
      <c r="A331" s="2371">
        <v>6</v>
      </c>
      <c r="B331" s="2383">
        <v>601.1</v>
      </c>
      <c r="C331" s="2374"/>
      <c r="D331" s="2374"/>
      <c r="E331" s="2374"/>
      <c r="F331" s="2374"/>
      <c r="G331" s="2373" t="str">
        <f>IF(N331&gt;0,"P","")</f>
        <v/>
      </c>
      <c r="H331" s="2371" t="s">
        <v>3972</v>
      </c>
      <c r="I331" s="180">
        <v>601.1</v>
      </c>
      <c r="J331" s="181"/>
      <c r="K331" s="182"/>
      <c r="L331" s="1781" t="s">
        <v>4166</v>
      </c>
      <c r="M331" s="1009"/>
      <c r="N331" s="2080">
        <f>'Ch6'!O13</f>
        <v>0</v>
      </c>
      <c r="O331" s="2080">
        <f>IFERROR(INDEX({14,12,9,6,3,0},MATCH(AY344,{1,701,1001,1501,2001,2501,100000},1)),0)</f>
        <v>0</v>
      </c>
      <c r="P331" s="105"/>
      <c r="Q331" s="105"/>
      <c r="R331" s="105"/>
      <c r="S331" s="105"/>
      <c r="T331" s="105"/>
      <c r="U331" s="105"/>
      <c r="V331" s="105"/>
      <c r="W331" s="105"/>
      <c r="X331" s="1784"/>
      <c r="Y331" s="2098" t="str">
        <f>IF(LEN('Ch6'!X13)=0,"None",'Ch6'!X13)</f>
        <v>None</v>
      </c>
      <c r="Z331" s="2085"/>
      <c r="AA331" s="1551" t="str">
        <f>IF(LEN('Photo Review'!I330)&gt;0,'Photo Review'!I330,"")</f>
        <v/>
      </c>
      <c r="AC331" s="970"/>
      <c r="AD331" s="970"/>
      <c r="AE331" s="970"/>
      <c r="AF331" s="249"/>
      <c r="AG331" s="249"/>
      <c r="AH331" s="249"/>
      <c r="AI331" s="249"/>
      <c r="AJ331" s="249"/>
      <c r="AK331" s="249"/>
      <c r="AL331" s="1336"/>
      <c r="AM331" s="1336"/>
      <c r="AN331" s="254" t="str">
        <f>SUBSTITUTE(SUBSTITUTE(SUBSTITUTE("vpc"&amp;$B331&amp;$C331&amp;$D331&amp;$E331,".","_"),"(","_"),")","")</f>
        <v>vpc601_1</v>
      </c>
      <c r="AO331" s="254">
        <f>O331</f>
        <v>0</v>
      </c>
      <c r="AP331" s="1336"/>
      <c r="AQ331" s="1336"/>
      <c r="AR331" s="1336" t="str">
        <f>SUBSTITUTE(SUBSTITUTE(SUBSTITUTE("vnt"&amp;$B331&amp;$C331&amp;$D331&amp;$E331,".","_"),"(","_"),")","")</f>
        <v>vnt601_1</v>
      </c>
      <c r="AS331" s="254" t="str">
        <f>IF(LEN(X331)=0,"",X331)</f>
        <v/>
      </c>
      <c r="AX331" s="248" t="str">
        <f>'Overview (Verification)'!A12</f>
        <v>Community/Lot #:</v>
      </c>
      <c r="AY331" s="258">
        <f>IF(LEN('Overview (Verification)'!P12)=0,0,'Overview (Verification)'!P12)</f>
        <v>0</v>
      </c>
    </row>
    <row r="332" spans="1:61" x14ac:dyDescent="0.25">
      <c r="A332" s="2371">
        <v>6</v>
      </c>
      <c r="B332" s="2383">
        <v>601.1</v>
      </c>
      <c r="C332" s="2374"/>
      <c r="D332" s="2374"/>
      <c r="E332" s="2374"/>
      <c r="F332" s="2374"/>
      <c r="G332" s="2373" t="str">
        <f t="shared" ref="G332:G344" si="13">G331</f>
        <v/>
      </c>
      <c r="H332" s="2371" t="s">
        <v>3972</v>
      </c>
      <c r="I332" s="130"/>
      <c r="J332" s="129"/>
      <c r="K332" s="95"/>
      <c r="L332" s="1796"/>
      <c r="M332" s="1010"/>
      <c r="N332" s="1927"/>
      <c r="O332" s="1927"/>
      <c r="P332" s="94"/>
      <c r="Q332" s="94"/>
      <c r="R332" s="94"/>
      <c r="S332" s="94"/>
      <c r="T332" s="94"/>
      <c r="U332" s="94"/>
      <c r="V332" s="94"/>
      <c r="W332" s="94"/>
      <c r="X332" s="1757"/>
      <c r="Y332" s="2081"/>
      <c r="Z332" s="2084"/>
      <c r="AA332" s="1526"/>
      <c r="AC332" s="970"/>
      <c r="AD332" s="970"/>
      <c r="AE332" s="970"/>
      <c r="AF332" s="249"/>
      <c r="AG332" s="249"/>
      <c r="AH332" s="249"/>
      <c r="AI332" s="249"/>
      <c r="AJ332" s="249"/>
      <c r="AK332" s="249"/>
      <c r="AL332" s="1336"/>
      <c r="AM332" s="1336"/>
      <c r="AN332" s="1336"/>
      <c r="AO332" s="1336"/>
      <c r="AP332" s="1336"/>
      <c r="AQ332" s="1336"/>
      <c r="AR332" s="1336"/>
      <c r="AS332" s="1336"/>
      <c r="AX332" s="248" t="str">
        <f>'Overview (Verification)'!A13</f>
        <v>City:</v>
      </c>
      <c r="AY332" s="258">
        <f>IF(LEN('Overview (Verification)'!P13)=0,0,'Overview (Verification)'!P13)</f>
        <v>0</v>
      </c>
    </row>
    <row r="333" spans="1:61" s="868" customFormat="1" x14ac:dyDescent="0.25">
      <c r="A333" s="2371">
        <v>6</v>
      </c>
      <c r="B333" s="2383">
        <v>601.1</v>
      </c>
      <c r="C333" s="2374"/>
      <c r="D333" s="2374"/>
      <c r="E333" s="2374"/>
      <c r="F333" s="2374"/>
      <c r="G333" s="2373" t="str">
        <f t="shared" si="13"/>
        <v/>
      </c>
      <c r="H333" s="2371" t="s">
        <v>3972</v>
      </c>
      <c r="I333" s="130"/>
      <c r="J333" s="129"/>
      <c r="K333" s="890"/>
      <c r="L333" s="1796"/>
      <c r="M333" s="1010"/>
      <c r="N333" s="1927"/>
      <c r="O333" s="1927"/>
      <c r="P333" s="94"/>
      <c r="Q333" s="94"/>
      <c r="R333" s="94"/>
      <c r="S333" s="94"/>
      <c r="T333" s="94"/>
      <c r="U333" s="94"/>
      <c r="V333" s="94"/>
      <c r="W333" s="94"/>
      <c r="X333" s="1757"/>
      <c r="Y333" s="2081"/>
      <c r="Z333" s="2084"/>
      <c r="AA333" s="1526"/>
      <c r="AC333" s="970"/>
      <c r="AD333" s="970"/>
      <c r="AE333" s="970"/>
      <c r="AL333" s="1336"/>
      <c r="AM333" s="1336"/>
      <c r="AN333" s="1336"/>
      <c r="AO333" s="1336"/>
      <c r="AP333" s="1336"/>
      <c r="AQ333" s="1336"/>
      <c r="AR333" s="1336"/>
      <c r="AS333" s="1336"/>
      <c r="AX333" s="248" t="str">
        <f>'Overview (Verification)'!A14</f>
        <v>State:</v>
      </c>
      <c r="AY333" s="258">
        <f>IF(LEN('Overview (Verification)'!P14)=0,0,'Overview (Verification)'!P14)</f>
        <v>0</v>
      </c>
      <c r="AZ333"/>
      <c r="BA333"/>
      <c r="BB333"/>
      <c r="BC333" s="249" t="str">
        <f>'Overview (Verification)'!T14</f>
        <v>State</v>
      </c>
      <c r="BD333" s="249" t="str">
        <f>'Overview (Verification)'!U14</f>
        <v>County</v>
      </c>
      <c r="BE333" s="249" t="str">
        <f>'Overview (Verification)'!V14</f>
        <v>Radon</v>
      </c>
      <c r="BF333" s="249" t="str">
        <f>'Overview (Verification)'!W14</f>
        <v>Climate</v>
      </c>
      <c r="BG333" s="249" t="str">
        <f>'Overview (Verification)'!X14</f>
        <v>Moist</v>
      </c>
      <c r="BH333" s="249" t="str">
        <f>'Overview (Verification)'!Y14</f>
        <v>WarmHumid</v>
      </c>
    </row>
    <row r="334" spans="1:61" s="868" customFormat="1" x14ac:dyDescent="0.25">
      <c r="A334" s="2371">
        <v>6</v>
      </c>
      <c r="B334" s="2383">
        <v>601.1</v>
      </c>
      <c r="C334" s="2374"/>
      <c r="D334" s="2374"/>
      <c r="E334" s="2374"/>
      <c r="F334" s="2374"/>
      <c r="G334" s="2373" t="str">
        <f t="shared" si="13"/>
        <v/>
      </c>
      <c r="H334" s="2371" t="s">
        <v>3972</v>
      </c>
      <c r="I334" s="130"/>
      <c r="J334" s="129"/>
      <c r="K334" s="890"/>
      <c r="L334" s="1796"/>
      <c r="M334" s="1010"/>
      <c r="N334" s="1927"/>
      <c r="O334" s="1927"/>
      <c r="P334" s="94"/>
      <c r="Q334" s="94"/>
      <c r="R334" s="94"/>
      <c r="S334" s="94"/>
      <c r="T334" s="94"/>
      <c r="U334" s="94"/>
      <c r="V334" s="94"/>
      <c r="W334" s="94"/>
      <c r="X334" s="1757"/>
      <c r="Y334" s="2081"/>
      <c r="Z334" s="2084"/>
      <c r="AA334" s="1526"/>
      <c r="AC334" s="970"/>
      <c r="AD334" s="970"/>
      <c r="AE334" s="970"/>
      <c r="AL334" s="1336"/>
      <c r="AM334" s="1336"/>
      <c r="AN334" s="1336"/>
      <c r="AO334" s="1336"/>
      <c r="AP334" s="1336"/>
      <c r="AQ334" s="1336"/>
      <c r="AR334" s="1336"/>
      <c r="AS334" s="1336"/>
      <c r="AX334" s="248" t="str">
        <f>'Overview (Verification)'!A15</f>
        <v>County:</v>
      </c>
      <c r="AY334" s="258">
        <f>IF(LEN('Overview (Verification)'!P15)=0,0,'Overview (Verification)'!P15)</f>
        <v>0</v>
      </c>
      <c r="AZ334" s="249"/>
      <c r="BA334" s="249"/>
      <c r="BB334" s="249"/>
      <c r="BC334" s="249" t="str">
        <f>'Overview (Verification)'!T15</f>
        <v/>
      </c>
      <c r="BD334" s="249" t="str">
        <f>'Overview (Verification)'!U15</f>
        <v/>
      </c>
      <c r="BE334" s="249" t="str">
        <f>'Overview (Verification)'!V15</f>
        <v>!!</v>
      </c>
      <c r="BF334" s="249" t="str">
        <f>'Overview (Verification)'!W15</f>
        <v>!!</v>
      </c>
      <c r="BG334" s="249" t="str">
        <f>'Overview (Verification)'!X15</f>
        <v>!!</v>
      </c>
      <c r="BH334" s="249" t="str">
        <f>'Overview (Verification)'!Y15</f>
        <v>!!</v>
      </c>
    </row>
    <row r="335" spans="1:61" x14ac:dyDescent="0.25">
      <c r="A335" s="2371">
        <v>6</v>
      </c>
      <c r="B335" s="2383">
        <v>601.1</v>
      </c>
      <c r="C335" s="2374"/>
      <c r="D335" s="2374"/>
      <c r="E335" s="2374"/>
      <c r="F335" s="2374"/>
      <c r="G335" s="2373" t="str">
        <f t="shared" si="13"/>
        <v/>
      </c>
      <c r="H335" s="2371" t="s">
        <v>3972</v>
      </c>
      <c r="I335" s="130"/>
      <c r="J335" s="129"/>
      <c r="K335" s="95"/>
      <c r="L335" s="1796"/>
      <c r="M335" s="1010"/>
      <c r="N335" s="1927"/>
      <c r="O335" s="1927"/>
      <c r="P335" s="94"/>
      <c r="Q335" s="94"/>
      <c r="R335" s="94"/>
      <c r="S335" s="94"/>
      <c r="T335" s="94"/>
      <c r="U335" s="94"/>
      <c r="V335" s="94"/>
      <c r="W335" s="94"/>
      <c r="X335" s="1757"/>
      <c r="Y335" s="2081"/>
      <c r="Z335" s="2084"/>
      <c r="AA335" s="1526"/>
      <c r="AC335" s="970"/>
      <c r="AD335" s="970"/>
      <c r="AE335" s="970"/>
      <c r="AF335" s="249"/>
      <c r="AG335" s="249"/>
      <c r="AH335" s="249"/>
      <c r="AI335" s="249"/>
      <c r="AJ335" s="249"/>
      <c r="AK335" s="249"/>
      <c r="AL335" s="1336"/>
      <c r="AM335" s="1336"/>
      <c r="AN335" s="1336"/>
      <c r="AO335" s="1336"/>
      <c r="AP335" s="1336"/>
      <c r="AQ335" s="1336"/>
      <c r="AR335" s="1336"/>
      <c r="AS335" s="1336"/>
      <c r="AX335" s="248" t="str">
        <f>'Overview (Verification)'!A16</f>
        <v>Zip:</v>
      </c>
      <c r="AY335" s="258">
        <f>IF(LEN('Overview (Verification)'!P16)=0,0,'Overview (Verification)'!P16)</f>
        <v>0</v>
      </c>
      <c r="AZ335" s="249"/>
      <c r="BA335" s="249"/>
      <c r="BB335" s="249"/>
      <c r="BC335" s="249"/>
      <c r="BD335" s="249"/>
      <c r="BE335" s="249"/>
      <c r="BF335" s="249"/>
      <c r="BG335" s="249"/>
      <c r="BH335" s="249"/>
    </row>
    <row r="336" spans="1:61" x14ac:dyDescent="0.25">
      <c r="A336" s="2371">
        <v>6</v>
      </c>
      <c r="B336" s="2383">
        <v>601.1</v>
      </c>
      <c r="C336" s="2374"/>
      <c r="D336" s="2374"/>
      <c r="E336" s="2374"/>
      <c r="F336" s="2374"/>
      <c r="G336" s="2373" t="str">
        <f t="shared" si="13"/>
        <v/>
      </c>
      <c r="H336" s="2371" t="s">
        <v>3972</v>
      </c>
      <c r="I336" s="130"/>
      <c r="J336" s="129"/>
      <c r="K336" s="95"/>
      <c r="L336" s="1796"/>
      <c r="M336" s="1010"/>
      <c r="N336" s="1927"/>
      <c r="O336" s="1927"/>
      <c r="P336" s="94"/>
      <c r="Q336" s="94"/>
      <c r="R336" s="94"/>
      <c r="S336" s="94"/>
      <c r="T336" s="94"/>
      <c r="U336" s="94"/>
      <c r="V336" s="94"/>
      <c r="W336" s="94"/>
      <c r="X336" s="1757"/>
      <c r="Y336" s="2081"/>
      <c r="Z336" s="2084"/>
      <c r="AA336" s="1526"/>
      <c r="AC336" s="970"/>
      <c r="AD336" s="970"/>
      <c r="AE336" s="970"/>
      <c r="AF336" s="784"/>
      <c r="AG336" s="249"/>
      <c r="AH336" s="249"/>
      <c r="AI336" s="249"/>
      <c r="AJ336" s="249"/>
      <c r="AK336" s="249"/>
      <c r="AL336" s="1336"/>
      <c r="AM336" s="1336"/>
      <c r="AN336" s="1336"/>
      <c r="AO336" s="1336"/>
      <c r="AP336" s="1336"/>
      <c r="AQ336" s="1336"/>
      <c r="AR336" s="1336"/>
      <c r="AS336" s="1336"/>
      <c r="AX336" s="248"/>
      <c r="AY336" s="249"/>
      <c r="BI336" s="249"/>
    </row>
    <row r="337" spans="1:61" x14ac:dyDescent="0.25">
      <c r="A337" s="2371">
        <v>6</v>
      </c>
      <c r="B337" s="2383">
        <v>601.1</v>
      </c>
      <c r="C337" s="2374" t="s">
        <v>256</v>
      </c>
      <c r="D337" s="2374"/>
      <c r="E337" s="2374"/>
      <c r="F337" s="2374"/>
      <c r="G337" s="2373" t="str">
        <f t="shared" si="13"/>
        <v/>
      </c>
      <c r="H337" s="2371" t="s">
        <v>3972</v>
      </c>
      <c r="I337" s="130"/>
      <c r="J337" s="206" t="s">
        <v>256</v>
      </c>
      <c r="K337" s="175"/>
      <c r="L337" s="1158" t="s">
        <v>501</v>
      </c>
      <c r="M337" s="1015">
        <v>14</v>
      </c>
      <c r="N337" s="1044"/>
      <c r="O337" s="1044"/>
      <c r="P337" s="94"/>
      <c r="Q337" s="94"/>
      <c r="R337" s="94"/>
      <c r="S337" s="94"/>
      <c r="T337" s="94"/>
      <c r="U337" s="94"/>
      <c r="V337" s="94"/>
      <c r="W337" s="94"/>
      <c r="X337" s="1757"/>
      <c r="Y337" s="2081"/>
      <c r="Z337" s="2084"/>
      <c r="AA337" s="1526"/>
      <c r="AC337" s="970"/>
      <c r="AD337" s="970"/>
      <c r="AE337" s="970"/>
      <c r="AF337" s="249"/>
      <c r="AG337" s="249"/>
      <c r="AH337" s="249"/>
      <c r="AI337" s="249"/>
      <c r="AJ337" s="249"/>
      <c r="AK337" s="249"/>
      <c r="AL337" s="254" t="str">
        <f>SUBSTITUTE(SUBSTITUTE(SUBSTITUTE("vpa"&amp;$B337&amp;$C337&amp;$D337&amp;$E337,".","_"),"(","_"),")","")</f>
        <v>vpa601_1_1</v>
      </c>
      <c r="AM337" s="254">
        <f>M337</f>
        <v>14</v>
      </c>
      <c r="AN337" s="1336"/>
      <c r="AO337" s="1336"/>
      <c r="AP337" s="1336"/>
      <c r="AQ337" s="1336"/>
      <c r="AR337" s="1336"/>
      <c r="AS337" s="1336"/>
      <c r="AX337" s="248" t="str">
        <f>'Overview (Verification)'!A18</f>
        <v>Single-Family or Multifamily:</v>
      </c>
      <c r="AY337" s="258" t="str">
        <f>IF(LEN('Overview (Verification)'!P18)=0,0,'Overview (Verification)'!P18)</f>
        <v>Single-Family</v>
      </c>
      <c r="BI337" s="249"/>
    </row>
    <row r="338" spans="1:61" x14ac:dyDescent="0.25">
      <c r="A338" s="2371">
        <v>6</v>
      </c>
      <c r="B338" s="2383">
        <v>601.1</v>
      </c>
      <c r="C338" s="2374" t="s">
        <v>258</v>
      </c>
      <c r="D338" s="2374"/>
      <c r="E338" s="2374"/>
      <c r="F338" s="2374"/>
      <c r="G338" s="2373" t="str">
        <f t="shared" si="13"/>
        <v/>
      </c>
      <c r="H338" s="2371" t="s">
        <v>3972</v>
      </c>
      <c r="I338" s="130"/>
      <c r="J338" s="207" t="s">
        <v>258</v>
      </c>
      <c r="K338" s="208"/>
      <c r="L338" s="279" t="s">
        <v>502</v>
      </c>
      <c r="M338" s="1036">
        <v>12</v>
      </c>
      <c r="N338" s="1044"/>
      <c r="O338" s="1044"/>
      <c r="P338" s="94"/>
      <c r="Q338" s="94"/>
      <c r="R338" s="94"/>
      <c r="S338" s="94"/>
      <c r="T338" s="94"/>
      <c r="U338" s="94"/>
      <c r="V338" s="94"/>
      <c r="W338" s="94"/>
      <c r="X338" s="1757"/>
      <c r="Y338" s="2081"/>
      <c r="Z338" s="2084"/>
      <c r="AA338" s="1526"/>
      <c r="AC338" s="970"/>
      <c r="AD338" s="970"/>
      <c r="AE338" s="970"/>
      <c r="AF338" s="249"/>
      <c r="AG338" s="249"/>
      <c r="AH338" s="249"/>
      <c r="AI338" s="249"/>
      <c r="AJ338" s="249"/>
      <c r="AK338" s="249"/>
      <c r="AL338" s="254" t="str">
        <f>SUBSTITUTE(SUBSTITUTE(SUBSTITUTE("vpa"&amp;$B338&amp;$C338&amp;$D338&amp;$E338,".","_"),"(","_"),")","")</f>
        <v>vpa601_1_2</v>
      </c>
      <c r="AM338" s="254">
        <f>M338</f>
        <v>12</v>
      </c>
      <c r="AN338" s="1336"/>
      <c r="AO338" s="1336"/>
      <c r="AP338" s="1336"/>
      <c r="AQ338" s="1336"/>
      <c r="AR338" s="1336"/>
      <c r="AS338" s="1336"/>
      <c r="AX338" s="248" t="str">
        <f>'Overview (Verification)'!A19</f>
        <v>Number of Units:</v>
      </c>
      <c r="AY338" s="258">
        <f>IF(LEN('Overview (Verification)'!P19)=0,0,'Overview (Verification)'!P19)</f>
        <v>0</v>
      </c>
    </row>
    <row r="339" spans="1:61" x14ac:dyDescent="0.25">
      <c r="A339" s="2371">
        <v>6</v>
      </c>
      <c r="B339" s="2383">
        <v>601.1</v>
      </c>
      <c r="C339" s="2374" t="s">
        <v>260</v>
      </c>
      <c r="D339" s="2374"/>
      <c r="E339" s="2374"/>
      <c r="F339" s="2374"/>
      <c r="G339" s="2373" t="str">
        <f t="shared" si="13"/>
        <v/>
      </c>
      <c r="H339" s="2371" t="s">
        <v>3972</v>
      </c>
      <c r="I339" s="130"/>
      <c r="J339" s="207" t="s">
        <v>260</v>
      </c>
      <c r="K339" s="208"/>
      <c r="L339" s="279" t="s">
        <v>503</v>
      </c>
      <c r="M339" s="1036">
        <v>9</v>
      </c>
      <c r="N339" s="1044"/>
      <c r="O339" s="1044"/>
      <c r="P339" s="94"/>
      <c r="Q339" s="94"/>
      <c r="R339" s="94"/>
      <c r="S339" s="94"/>
      <c r="T339" s="94"/>
      <c r="U339" s="94"/>
      <c r="V339" s="94"/>
      <c r="W339" s="94"/>
      <c r="X339" s="1757"/>
      <c r="Y339" s="2081"/>
      <c r="Z339" s="2084"/>
      <c r="AA339" s="1526"/>
      <c r="AC339" s="970"/>
      <c r="AD339" s="970"/>
      <c r="AE339" s="970"/>
      <c r="AF339" s="249"/>
      <c r="AG339" s="249"/>
      <c r="AH339" s="249"/>
      <c r="AI339" s="249"/>
      <c r="AJ339" s="249"/>
      <c r="AK339" s="249"/>
      <c r="AL339" s="254" t="str">
        <f>SUBSTITUTE(SUBSTITUTE(SUBSTITUTE("vpa"&amp;$B339&amp;$C339&amp;$D339&amp;$E339,".","_"),"(","_"),")","")</f>
        <v>vpa601_1_3</v>
      </c>
      <c r="AM339" s="254">
        <f>M339</f>
        <v>9</v>
      </c>
      <c r="AN339" s="1336"/>
      <c r="AO339" s="1336"/>
      <c r="AP339" s="1336"/>
      <c r="AQ339" s="1336"/>
      <c r="AR339" s="1336"/>
      <c r="AS339" s="1336"/>
      <c r="AX339" s="1100" t="str">
        <f>'Overview (Verification)'!A20</f>
        <v>Building includes commercial space pursuing Commercial Space certification?</v>
      </c>
      <c r="AY339" s="1101">
        <f>IF(LEN('Overview (Verification)'!P20)=0,0,'Overview (Verification)'!P20)</f>
        <v>0</v>
      </c>
    </row>
    <row r="340" spans="1:61" x14ac:dyDescent="0.25">
      <c r="A340" s="2371">
        <v>6</v>
      </c>
      <c r="B340" s="2383">
        <v>601.1</v>
      </c>
      <c r="C340" s="2374" t="s">
        <v>269</v>
      </c>
      <c r="D340" s="2374"/>
      <c r="E340" s="2374"/>
      <c r="F340" s="2374"/>
      <c r="G340" s="2373" t="str">
        <f t="shared" si="13"/>
        <v/>
      </c>
      <c r="H340" s="2371" t="s">
        <v>3972</v>
      </c>
      <c r="I340" s="130"/>
      <c r="J340" s="207" t="s">
        <v>269</v>
      </c>
      <c r="K340" s="208"/>
      <c r="L340" s="279" t="s">
        <v>504</v>
      </c>
      <c r="M340" s="1036">
        <v>6</v>
      </c>
      <c r="N340" s="1044"/>
      <c r="O340" s="1044"/>
      <c r="P340" s="94"/>
      <c r="Q340" s="94"/>
      <c r="R340" s="94"/>
      <c r="S340" s="94"/>
      <c r="T340" s="94"/>
      <c r="U340" s="94"/>
      <c r="V340" s="94"/>
      <c r="W340" s="94"/>
      <c r="X340" s="1757"/>
      <c r="Y340" s="2081"/>
      <c r="Z340" s="2084"/>
      <c r="AA340" s="1526"/>
      <c r="AC340" s="970"/>
      <c r="AD340" s="970"/>
      <c r="AE340" s="970"/>
      <c r="AF340" s="249"/>
      <c r="AG340" s="249"/>
      <c r="AH340" s="249"/>
      <c r="AI340" s="249"/>
      <c r="AJ340" s="249"/>
      <c r="AK340" s="249"/>
      <c r="AL340" s="254" t="str">
        <f>SUBSTITUTE(SUBSTITUTE(SUBSTITUTE("vpa"&amp;$B340&amp;$C340&amp;$D340&amp;$E340,".","_"),"(","_"),")","")</f>
        <v>vpa601_1_4</v>
      </c>
      <c r="AM340" s="254">
        <f>M340</f>
        <v>6</v>
      </c>
      <c r="AN340" s="1336"/>
      <c r="AO340" s="1336"/>
      <c r="AP340" s="1336"/>
      <c r="AQ340" s="1336"/>
      <c r="AR340" s="1336"/>
      <c r="AS340" s="1336"/>
    </row>
    <row r="341" spans="1:61" x14ac:dyDescent="0.25">
      <c r="A341" s="2371">
        <v>6</v>
      </c>
      <c r="B341" s="2383">
        <v>601.1</v>
      </c>
      <c r="C341" s="2374" t="s">
        <v>275</v>
      </c>
      <c r="D341" s="2374"/>
      <c r="E341" s="2374"/>
      <c r="F341" s="2374"/>
      <c r="G341" s="2373" t="str">
        <f t="shared" si="13"/>
        <v/>
      </c>
      <c r="H341" s="2371" t="s">
        <v>3972</v>
      </c>
      <c r="I341" s="130"/>
      <c r="J341" s="207" t="s">
        <v>275</v>
      </c>
      <c r="K341" s="208"/>
      <c r="L341" s="279" t="s">
        <v>505</v>
      </c>
      <c r="M341" s="1036">
        <v>3</v>
      </c>
      <c r="N341" s="1044"/>
      <c r="O341" s="1044"/>
      <c r="P341" s="94"/>
      <c r="Q341" s="94"/>
      <c r="R341" s="94"/>
      <c r="S341" s="94"/>
      <c r="T341" s="94"/>
      <c r="U341" s="94"/>
      <c r="V341" s="94"/>
      <c r="W341" s="94"/>
      <c r="X341" s="1757"/>
      <c r="Y341" s="2081"/>
      <c r="Z341" s="2084"/>
      <c r="AA341" s="1526"/>
      <c r="AC341" s="970"/>
      <c r="AD341" s="970"/>
      <c r="AE341" s="970"/>
      <c r="AF341" s="249"/>
      <c r="AG341" s="249"/>
      <c r="AH341" s="249"/>
      <c r="AI341" s="249"/>
      <c r="AJ341" s="249"/>
      <c r="AK341" s="249"/>
      <c r="AL341" s="254" t="str">
        <f>SUBSTITUTE(SUBSTITUTE(SUBSTITUTE("vpa"&amp;$B341&amp;$C341&amp;$D341&amp;$E341,".","_"),"(","_"),")","")</f>
        <v>vpa601_1_5</v>
      </c>
      <c r="AM341" s="254">
        <f>M341</f>
        <v>3</v>
      </c>
      <c r="AN341" s="1336"/>
      <c r="AO341" s="1336"/>
      <c r="AP341" s="1336"/>
      <c r="AQ341" s="1336"/>
      <c r="AR341" s="1336"/>
      <c r="AS341" s="1336"/>
    </row>
    <row r="342" spans="1:61" x14ac:dyDescent="0.25">
      <c r="A342" s="2371">
        <v>6</v>
      </c>
      <c r="B342" s="2383">
        <v>601.1</v>
      </c>
      <c r="C342" s="2374" t="s">
        <v>277</v>
      </c>
      <c r="D342" s="2374"/>
      <c r="E342" s="2374"/>
      <c r="F342" s="2374"/>
      <c r="G342" s="2373" t="str">
        <f t="shared" si="13"/>
        <v/>
      </c>
      <c r="H342" s="2371" t="s">
        <v>3972</v>
      </c>
      <c r="I342" s="130"/>
      <c r="J342" s="183" t="s">
        <v>277</v>
      </c>
      <c r="K342" s="95"/>
      <c r="L342" s="1160" t="s">
        <v>506</v>
      </c>
      <c r="M342" s="1022" t="str">
        <f>IF(AY344&gt;4000,"Mandatory","N/A")</f>
        <v>N/A</v>
      </c>
      <c r="N342" s="1044"/>
      <c r="O342" s="1044"/>
      <c r="P342" s="94"/>
      <c r="Q342" s="94"/>
      <c r="R342" s="94"/>
      <c r="S342" s="94"/>
      <c r="T342" s="94"/>
      <c r="U342" s="94"/>
      <c r="V342" s="94"/>
      <c r="W342" s="94"/>
      <c r="X342" s="1757"/>
      <c r="Y342" s="2081"/>
      <c r="Z342" s="2084"/>
      <c r="AA342" s="1526"/>
      <c r="AC342" s="970"/>
      <c r="AD342" s="970"/>
      <c r="AE342" s="970"/>
      <c r="AF342" s="249"/>
      <c r="AG342" s="249"/>
      <c r="AH342" s="249"/>
      <c r="AI342" s="249"/>
      <c r="AJ342" s="249"/>
      <c r="AK342" s="249"/>
      <c r="AL342" s="1336"/>
      <c r="AM342" s="1336"/>
      <c r="AN342" s="1336"/>
      <c r="AO342" s="1336"/>
      <c r="AP342" s="1336"/>
      <c r="AQ342" s="1336"/>
      <c r="AR342" s="1336"/>
      <c r="AS342" s="1336"/>
      <c r="AX342" s="248" t="str">
        <f>'Overview (Verification)'!A23</f>
        <v>Project Name:</v>
      </c>
      <c r="AY342" s="258">
        <f>IF(LEN('Overview (Verification)'!P23)=0,0,'Overview (Verification)'!P23)</f>
        <v>0</v>
      </c>
    </row>
    <row r="343" spans="1:61" x14ac:dyDescent="0.25">
      <c r="A343" s="2371">
        <v>6</v>
      </c>
      <c r="B343" s="2383">
        <v>601.1</v>
      </c>
      <c r="C343" s="2374" t="s">
        <v>277</v>
      </c>
      <c r="D343" s="2374"/>
      <c r="E343" s="2374"/>
      <c r="F343" s="2374"/>
      <c r="G343" s="2373" t="str">
        <f t="shared" si="13"/>
        <v/>
      </c>
      <c r="H343" s="2371" t="s">
        <v>3972</v>
      </c>
      <c r="I343" s="130"/>
      <c r="J343" s="129"/>
      <c r="K343" s="95"/>
      <c r="L343" s="1782" t="s">
        <v>507</v>
      </c>
      <c r="M343" s="184" t="s">
        <v>1102</v>
      </c>
      <c r="N343" s="1044"/>
      <c r="O343" s="1044"/>
      <c r="P343" s="94"/>
      <c r="Q343" s="94"/>
      <c r="R343" s="94"/>
      <c r="S343" s="94"/>
      <c r="T343" s="94"/>
      <c r="U343" s="94"/>
      <c r="V343" s="94"/>
      <c r="W343" s="94"/>
      <c r="X343" s="1757"/>
      <c r="Y343" s="2081"/>
      <c r="Z343" s="2084"/>
      <c r="AA343" s="1526"/>
      <c r="AC343" s="970"/>
      <c r="AD343" s="970"/>
      <c r="AE343" s="970"/>
      <c r="AF343" s="249"/>
      <c r="AG343" s="249"/>
      <c r="AH343" s="249"/>
      <c r="AI343" s="249"/>
      <c r="AJ343" s="249"/>
      <c r="AK343" s="249"/>
      <c r="AL343" s="1336"/>
      <c r="AM343" s="1336"/>
      <c r="AN343" s="1336"/>
      <c r="AO343" s="1336"/>
      <c r="AP343" s="1336"/>
      <c r="AQ343" s="1336"/>
      <c r="AR343" s="1336"/>
      <c r="AS343" s="1336"/>
      <c r="AX343" s="248"/>
      <c r="AY343" s="249"/>
    </row>
    <row r="344" spans="1:61" x14ac:dyDescent="0.25">
      <c r="A344" s="2371">
        <v>6</v>
      </c>
      <c r="B344" s="2383">
        <v>601.1</v>
      </c>
      <c r="C344" s="2374" t="s">
        <v>277</v>
      </c>
      <c r="D344" s="2374"/>
      <c r="E344" s="2374"/>
      <c r="F344" s="2374"/>
      <c r="G344" s="2373" t="str">
        <f t="shared" si="13"/>
        <v/>
      </c>
      <c r="H344" s="2371" t="s">
        <v>3972</v>
      </c>
      <c r="I344" s="130"/>
      <c r="J344" s="129"/>
      <c r="K344" s="95"/>
      <c r="L344" s="1782"/>
      <c r="M344" s="184">
        <f>MAX(0,ROUNDDOWN((AY344-4000)/100,0))</f>
        <v>0</v>
      </c>
      <c r="N344" s="1044"/>
      <c r="O344" s="1044"/>
      <c r="P344" s="94"/>
      <c r="Q344" s="94"/>
      <c r="R344" s="94"/>
      <c r="S344" s="94"/>
      <c r="T344" s="94"/>
      <c r="U344" s="94"/>
      <c r="V344" s="94"/>
      <c r="W344" s="94"/>
      <c r="X344" s="1757"/>
      <c r="Y344" s="2081"/>
      <c r="Z344" s="2084"/>
      <c r="AA344" s="1526"/>
      <c r="AC344" s="970"/>
      <c r="AD344" s="970"/>
      <c r="AE344" s="970"/>
      <c r="AF344" s="249"/>
      <c r="AG344" s="249"/>
      <c r="AH344" s="249"/>
      <c r="AI344" s="249"/>
      <c r="AJ344" s="249"/>
      <c r="AK344" s="249"/>
      <c r="AL344" s="1336"/>
      <c r="AM344" s="1336"/>
      <c r="AN344" s="1336"/>
      <c r="AO344" s="1336"/>
      <c r="AP344" s="1336"/>
      <c r="AQ344" s="1336"/>
      <c r="AR344" s="1336"/>
      <c r="AS344" s="1336"/>
      <c r="AX344" s="248" t="str">
        <f>'Overview (Verification)'!A25</f>
        <v>Above grade plane finished floor area:</v>
      </c>
      <c r="AY344" s="258">
        <f>IF(LEN('Overview (Verification)'!P25)=0,0,'Overview (Verification)'!P25)</f>
        <v>0</v>
      </c>
    </row>
    <row r="345" spans="1:61" x14ac:dyDescent="0.25">
      <c r="A345" s="2371">
        <v>6</v>
      </c>
      <c r="B345" s="2383">
        <v>601.1</v>
      </c>
      <c r="C345" s="2374" t="s">
        <v>277</v>
      </c>
      <c r="D345" s="2374"/>
      <c r="E345" s="2374"/>
      <c r="F345" s="2374"/>
      <c r="G345" s="2375"/>
      <c r="H345" s="2375"/>
      <c r="I345" s="130"/>
      <c r="J345" s="129"/>
      <c r="K345" s="249"/>
      <c r="L345" s="1804" t="s">
        <v>3833</v>
      </c>
      <c r="M345" s="1010"/>
      <c r="N345" s="1044"/>
      <c r="O345" s="1044"/>
      <c r="P345" s="94"/>
      <c r="Q345" s="94"/>
      <c r="R345" s="94"/>
      <c r="S345" s="94"/>
      <c r="T345" s="94"/>
      <c r="U345" s="94"/>
      <c r="V345" s="94"/>
      <c r="W345" s="94"/>
      <c r="X345" s="1757"/>
      <c r="Y345" s="2081"/>
      <c r="Z345" s="2084"/>
      <c r="AA345" s="1526"/>
      <c r="AC345" s="970"/>
      <c r="AD345" s="970"/>
      <c r="AE345" s="970"/>
      <c r="AF345" s="249"/>
      <c r="AG345" s="249"/>
      <c r="AH345" s="249"/>
      <c r="AI345" s="249"/>
      <c r="AJ345" s="249"/>
      <c r="AK345" s="249"/>
      <c r="AL345" s="1336"/>
      <c r="AM345" s="1336"/>
      <c r="AN345" s="1336"/>
      <c r="AO345" s="1336"/>
      <c r="AP345" s="1336"/>
      <c r="AQ345" s="1336"/>
      <c r="AR345" s="1336"/>
      <c r="AS345" s="1336"/>
      <c r="AX345" s="248" t="str">
        <f>'Overview (Verification)'!A26</f>
        <v>Total conditioned floor area:</v>
      </c>
      <c r="AY345" s="258">
        <f>IF(LEN('Overview (Verification)'!P26)=0,0,'Overview (Verification)'!P26)</f>
        <v>0</v>
      </c>
    </row>
    <row r="346" spans="1:61" ht="15.75" thickBot="1" x14ac:dyDescent="0.3">
      <c r="A346" s="2371">
        <v>6</v>
      </c>
      <c r="B346" s="2383">
        <v>601.1</v>
      </c>
      <c r="C346" s="2374" t="s">
        <v>277</v>
      </c>
      <c r="D346" s="2374"/>
      <c r="E346" s="2374"/>
      <c r="F346" s="2374"/>
      <c r="G346" s="2375"/>
      <c r="H346" s="2375"/>
      <c r="I346" s="130"/>
      <c r="J346" s="129"/>
      <c r="K346" s="252"/>
      <c r="L346" s="1804"/>
      <c r="M346" s="1010"/>
      <c r="N346" s="1044"/>
      <c r="O346" s="1044"/>
      <c r="P346" s="94"/>
      <c r="Q346" s="94"/>
      <c r="R346" s="94"/>
      <c r="S346" s="94"/>
      <c r="T346" s="94"/>
      <c r="U346" s="94"/>
      <c r="V346" s="94"/>
      <c r="W346" s="94"/>
      <c r="X346" s="1798"/>
      <c r="Y346" s="2082"/>
      <c r="Z346" s="2086"/>
      <c r="AA346" s="1526"/>
      <c r="AC346" s="970"/>
      <c r="AD346" s="970"/>
      <c r="AE346" s="970"/>
      <c r="AF346" s="249"/>
      <c r="AG346" s="249"/>
      <c r="AH346" s="249"/>
      <c r="AI346" s="249"/>
      <c r="AJ346" s="249"/>
      <c r="AK346" s="249"/>
      <c r="AL346" s="1336"/>
      <c r="AM346" s="1336"/>
      <c r="AN346" s="1336"/>
      <c r="AO346" s="1336"/>
      <c r="AP346" s="1336"/>
      <c r="AQ346" s="1336"/>
      <c r="AR346" s="1336"/>
      <c r="AS346" s="1336"/>
      <c r="AX346" s="867" t="str">
        <f>'Overview (Verification)'!A27</f>
        <v>Stories above grade:</v>
      </c>
      <c r="AY346" s="868">
        <f>IF(LEN('Overview (Verification)'!P27)=0,0,'Overview (Verification)'!P27)</f>
        <v>0</v>
      </c>
    </row>
    <row r="347" spans="1:61" ht="15.75" thickTop="1" x14ac:dyDescent="0.25">
      <c r="A347" s="2371">
        <v>6</v>
      </c>
      <c r="B347" s="2383">
        <v>601.20000000000005</v>
      </c>
      <c r="C347" s="2374"/>
      <c r="D347" s="2374"/>
      <c r="E347" s="2374"/>
      <c r="F347" s="2374"/>
      <c r="G347" s="2363" t="str">
        <f>IF(COUNTIF(G349:G355,"P")&gt;0,"P","")</f>
        <v/>
      </c>
      <c r="H347" s="2371" t="s">
        <v>3972</v>
      </c>
      <c r="I347" s="180">
        <v>601.20000000000005</v>
      </c>
      <c r="J347" s="181"/>
      <c r="K347" s="182"/>
      <c r="L347" s="1781" t="s">
        <v>508</v>
      </c>
      <c r="M347" s="1009"/>
      <c r="N347" s="1046"/>
      <c r="O347" s="1046"/>
      <c r="P347" s="105"/>
      <c r="Q347" s="105"/>
      <c r="R347" s="105"/>
      <c r="S347" s="105"/>
      <c r="T347" s="105"/>
      <c r="U347" s="105"/>
      <c r="V347" s="105"/>
      <c r="W347" s="105"/>
      <c r="X347" s="185"/>
      <c r="Y347"/>
      <c r="AA347" s="1526"/>
      <c r="AC347" s="970"/>
      <c r="AD347" s="970"/>
      <c r="AE347" s="970"/>
      <c r="AF347" s="249"/>
      <c r="AG347" s="249"/>
      <c r="AH347" s="249"/>
      <c r="AI347" s="249"/>
      <c r="AJ347" s="249"/>
      <c r="AK347" s="249"/>
      <c r="AL347" s="1336"/>
      <c r="AM347" s="1336"/>
      <c r="AN347" s="1336"/>
      <c r="AO347" s="1336"/>
      <c r="AP347" s="1336"/>
      <c r="AQ347" s="1336"/>
      <c r="AR347" s="1336"/>
      <c r="AS347" s="1336"/>
      <c r="AX347" s="1605" t="str">
        <f>'Overview (Verification)'!A28</f>
        <v>Project Elevation (ft. above sea level):</v>
      </c>
      <c r="AY347" s="1606">
        <f>IF(LEN('Overview (Verification)'!P28)=0,0,'Overview (Verification)'!P28)</f>
        <v>0</v>
      </c>
    </row>
    <row r="348" spans="1:61" x14ac:dyDescent="0.25">
      <c r="A348" s="2371">
        <v>6</v>
      </c>
      <c r="B348" s="2383">
        <v>601.20000000000005</v>
      </c>
      <c r="C348" s="2374"/>
      <c r="D348" s="2374"/>
      <c r="E348" s="2374"/>
      <c r="F348" s="2374"/>
      <c r="G348" s="2373" t="str">
        <f>G347</f>
        <v/>
      </c>
      <c r="H348" s="2371" t="s">
        <v>3972</v>
      </c>
      <c r="I348" s="130"/>
      <c r="J348" s="129"/>
      <c r="K348" s="95"/>
      <c r="L348" s="1782"/>
      <c r="M348" s="1010"/>
      <c r="N348" s="1044"/>
      <c r="O348" s="1044"/>
      <c r="P348" s="94"/>
      <c r="Q348" s="94"/>
      <c r="R348" s="94"/>
      <c r="S348" s="94"/>
      <c r="T348" s="94"/>
      <c r="U348" s="94"/>
      <c r="V348" s="94"/>
      <c r="W348" s="94"/>
      <c r="X348" s="113"/>
      <c r="Y348"/>
      <c r="AA348" s="1526"/>
      <c r="AC348" s="970"/>
      <c r="AD348" s="970"/>
      <c r="AE348" s="970"/>
      <c r="AF348" s="249"/>
      <c r="AG348" s="249"/>
      <c r="AH348" s="249"/>
      <c r="AI348" s="249"/>
      <c r="AJ348" s="249"/>
      <c r="AK348" s="249"/>
      <c r="AL348" s="1336"/>
      <c r="AM348" s="1336"/>
      <c r="AN348" s="1336"/>
      <c r="AO348" s="1336"/>
      <c r="AP348" s="1336"/>
      <c r="AQ348" s="1336"/>
      <c r="AR348" s="1336"/>
      <c r="AS348" s="1336"/>
      <c r="AX348" s="867"/>
      <c r="AY348" s="868"/>
    </row>
    <row r="349" spans="1:61" x14ac:dyDescent="0.25">
      <c r="A349" s="2371">
        <v>6</v>
      </c>
      <c r="B349" s="2383">
        <v>601.20000000000005</v>
      </c>
      <c r="C349" s="2374" t="s">
        <v>256</v>
      </c>
      <c r="D349" s="2374"/>
      <c r="E349" s="2374"/>
      <c r="F349" s="2374"/>
      <c r="G349" s="2373" t="str">
        <f>IF(N349&gt;0,"P","")</f>
        <v/>
      </c>
      <c r="H349" s="2371" t="s">
        <v>3972</v>
      </c>
      <c r="I349" s="64"/>
      <c r="J349" s="183" t="s">
        <v>256</v>
      </c>
      <c r="K349" s="95"/>
      <c r="L349" s="1754" t="s">
        <v>510</v>
      </c>
      <c r="M349" s="1758">
        <v>3</v>
      </c>
      <c r="N349" s="1927">
        <f>'Ch6'!O31</f>
        <v>0</v>
      </c>
      <c r="O349" s="1927">
        <f>M349*S349*W349</f>
        <v>0</v>
      </c>
      <c r="P349" s="249" t="b">
        <v>1</v>
      </c>
      <c r="Q349" s="249" t="b">
        <v>0</v>
      </c>
      <c r="R349" s="249" t="b">
        <v>0</v>
      </c>
      <c r="S349" s="249" t="b">
        <v>1</v>
      </c>
      <c r="T349" s="249" t="b">
        <v>0</v>
      </c>
      <c r="U349" s="249"/>
      <c r="V349" s="249"/>
      <c r="W349" s="25"/>
      <c r="X349" s="1757"/>
      <c r="Y349" s="2081" t="str">
        <f>IF(LEN('Ch6'!X31)=0,"None",'Ch6'!X31)</f>
        <v>None</v>
      </c>
      <c r="Z349" s="2083"/>
      <c r="AA349" s="1526"/>
      <c r="AC349" s="970"/>
      <c r="AD349" s="970"/>
      <c r="AE349" s="970"/>
      <c r="AF349" s="249"/>
      <c r="AG349" s="249"/>
      <c r="AH349" s="249"/>
      <c r="AI349" s="249"/>
      <c r="AJ349" s="249"/>
      <c r="AK349" s="249"/>
      <c r="AL349" s="254" t="str">
        <f>SUBSTITUTE(SUBSTITUTE(SUBSTITUTE("vpa"&amp;$B349&amp;$C349&amp;$D349&amp;$E349,".","_"),"(","_"),")","")</f>
        <v>vpa601_2_1</v>
      </c>
      <c r="AM349" s="254">
        <f>M349</f>
        <v>3</v>
      </c>
      <c r="AN349" s="254" t="str">
        <f>SUBSTITUTE(SUBSTITUTE(SUBSTITUTE("vpc"&amp;$B349&amp;$C349&amp;$D349&amp;$E349,".","_"),"(","_"),")","")</f>
        <v>vpc601_2_1</v>
      </c>
      <c r="AO349" s="254">
        <f>O349</f>
        <v>0</v>
      </c>
      <c r="AP349" s="1336" t="str">
        <f>SUBSTITUTE(SUBSTITUTE(SUBSTITUTE("vch"&amp;$B349&amp;$C349&amp;$D349&amp;$E349,".","_"),"(","_"),")","")</f>
        <v>vch601_2_1</v>
      </c>
      <c r="AQ349" s="254" t="str">
        <f>IF(LEN(W349)=0,"",W349)</f>
        <v/>
      </c>
      <c r="AR349" s="1336" t="str">
        <f>SUBSTITUTE(SUBSTITUTE(SUBSTITUTE("vnt"&amp;$B349&amp;$C349&amp;$D349&amp;$E349,".","_"),"(","_"),")","")</f>
        <v>vnt601_2_1</v>
      </c>
      <c r="AS349" s="254" t="str">
        <f>IF(LEN(X349)=0,"",X349)</f>
        <v/>
      </c>
      <c r="AX349" s="248" t="str">
        <f>'Overview (Verification)'!A30</f>
        <v xml:space="preserve">Project Description (optional): </v>
      </c>
      <c r="AY349" s="258">
        <f>IF(LEN('Overview (Verification)'!P30)=0,0,'Overview (Verification)'!P30)</f>
        <v>0</v>
      </c>
    </row>
    <row r="350" spans="1:61" x14ac:dyDescent="0.25">
      <c r="A350" s="2371">
        <v>6</v>
      </c>
      <c r="B350" s="2383">
        <v>601.20000000000005</v>
      </c>
      <c r="C350" s="2374" t="s">
        <v>256</v>
      </c>
      <c r="D350" s="2374"/>
      <c r="E350" s="2374"/>
      <c r="F350" s="2374"/>
      <c r="G350" s="2373" t="str">
        <f>G349</f>
        <v/>
      </c>
      <c r="H350" s="2371" t="s">
        <v>3972</v>
      </c>
      <c r="I350" s="64"/>
      <c r="J350" s="129"/>
      <c r="K350" s="95"/>
      <c r="L350" s="1754"/>
      <c r="M350" s="1758"/>
      <c r="N350" s="1927"/>
      <c r="O350" s="1927"/>
      <c r="P350" s="249"/>
      <c r="Q350" s="249"/>
      <c r="R350" s="249"/>
      <c r="S350" s="249"/>
      <c r="T350" s="249"/>
      <c r="U350" s="249"/>
      <c r="V350" s="249"/>
      <c r="W350" s="249"/>
      <c r="X350" s="1757"/>
      <c r="Y350" s="2081"/>
      <c r="Z350" s="2083"/>
      <c r="AA350" s="1526"/>
      <c r="AC350" s="970"/>
      <c r="AD350" s="970"/>
      <c r="AE350" s="970"/>
      <c r="AF350" s="249"/>
      <c r="AG350" s="249"/>
      <c r="AH350" s="249"/>
      <c r="AI350" s="249"/>
      <c r="AJ350" s="249"/>
      <c r="AK350" s="249"/>
      <c r="AL350" s="1336"/>
      <c r="AM350" s="1336"/>
      <c r="AN350" s="1336"/>
      <c r="AO350" s="1336"/>
      <c r="AP350" s="1336"/>
      <c r="AQ350" s="1336"/>
      <c r="AR350" s="1336"/>
      <c r="AS350" s="1336"/>
    </row>
    <row r="351" spans="1:61" x14ac:dyDescent="0.25">
      <c r="A351" s="2371">
        <v>6</v>
      </c>
      <c r="B351" s="2383">
        <v>601.20000000000005</v>
      </c>
      <c r="C351" s="2374" t="s">
        <v>256</v>
      </c>
      <c r="D351" s="2374"/>
      <c r="E351" s="2374"/>
      <c r="F351" s="2374"/>
      <c r="G351" s="2373" t="str">
        <f>G350</f>
        <v/>
      </c>
      <c r="H351" s="2371" t="s">
        <v>3972</v>
      </c>
      <c r="I351" s="64"/>
      <c r="J351" s="210"/>
      <c r="K351" s="175"/>
      <c r="L351" s="1755"/>
      <c r="M351" s="1759"/>
      <c r="N351" s="2076"/>
      <c r="O351" s="2076"/>
      <c r="P351" s="249"/>
      <c r="Q351" s="249"/>
      <c r="R351" s="249"/>
      <c r="S351" s="249"/>
      <c r="T351" s="249"/>
      <c r="U351" s="249"/>
      <c r="V351" s="249"/>
      <c r="W351" s="249"/>
      <c r="X351" s="1757"/>
      <c r="Y351" s="2081"/>
      <c r="Z351" s="2083"/>
      <c r="AA351" s="1526"/>
      <c r="AC351" s="970"/>
      <c r="AD351" s="970"/>
      <c r="AE351" s="970"/>
      <c r="AF351" s="249"/>
      <c r="AG351" s="249"/>
      <c r="AH351" s="249"/>
      <c r="AI351" s="249"/>
      <c r="AJ351" s="249"/>
      <c r="AK351" s="249"/>
      <c r="AL351" s="1336"/>
      <c r="AM351" s="1336"/>
      <c r="AN351" s="1336"/>
      <c r="AO351" s="1336"/>
      <c r="AP351" s="1336"/>
      <c r="AQ351" s="1336"/>
      <c r="AR351" s="1336"/>
      <c r="AS351" s="1336"/>
      <c r="AX351" s="259" t="str">
        <f>'Overview (Verification)'!A32</f>
        <v>Foundation Type:</v>
      </c>
      <c r="AY351" s="260">
        <f>IF(LEN('Overview (Verification)'!P32)=0,0,'Overview (Verification)'!P32)</f>
        <v>0</v>
      </c>
      <c r="AZ351" s="1">
        <f>IFERROR(MATCH(AY351,ddFoundation,0),0)</f>
        <v>0</v>
      </c>
    </row>
    <row r="352" spans="1:61" x14ac:dyDescent="0.25">
      <c r="A352" s="2371">
        <v>6</v>
      </c>
      <c r="B352" s="2383">
        <v>601.20000000000005</v>
      </c>
      <c r="C352" s="2374" t="s">
        <v>258</v>
      </c>
      <c r="D352" s="2374"/>
      <c r="E352" s="2374"/>
      <c r="F352" s="2374"/>
      <c r="G352" s="2373" t="str">
        <f>IF(N352&gt;0,"P","")</f>
        <v/>
      </c>
      <c r="H352" s="2371" t="s">
        <v>3972</v>
      </c>
      <c r="I352" s="64"/>
      <c r="J352" s="183" t="s">
        <v>258</v>
      </c>
      <c r="K352" s="95"/>
      <c r="L352" s="1754" t="s">
        <v>511</v>
      </c>
      <c r="M352" s="1758">
        <v>3</v>
      </c>
      <c r="N352" s="2079">
        <f>'Ch6'!O34</f>
        <v>0</v>
      </c>
      <c r="O352" s="1927">
        <f>M352*S352*W352</f>
        <v>0</v>
      </c>
      <c r="P352" s="249" t="b">
        <v>1</v>
      </c>
      <c r="Q352" s="249" t="b">
        <v>0</v>
      </c>
      <c r="R352" s="249" t="b">
        <v>0</v>
      </c>
      <c r="S352" s="249" t="b">
        <v>1</v>
      </c>
      <c r="T352" s="249" t="b">
        <v>0</v>
      </c>
      <c r="U352" s="249"/>
      <c r="V352" s="249"/>
      <c r="W352" s="25"/>
      <c r="X352" s="1757"/>
      <c r="Y352" s="2081" t="str">
        <f>IF(LEN('Ch6'!X34)=0,"None",'Ch6'!X34)</f>
        <v>None</v>
      </c>
      <c r="Z352" s="2083"/>
      <c r="AA352" s="1526"/>
      <c r="AC352" s="970"/>
      <c r="AD352" s="970"/>
      <c r="AE352" s="970"/>
      <c r="AF352" s="249"/>
      <c r="AG352" s="249"/>
      <c r="AH352" s="249"/>
      <c r="AI352" s="249"/>
      <c r="AJ352" s="249"/>
      <c r="AK352" s="249"/>
      <c r="AL352" s="254" t="str">
        <f>SUBSTITUTE(SUBSTITUTE(SUBSTITUTE("vpa"&amp;$B352&amp;$C352&amp;$D352&amp;$E352,".","_"),"(","_"),")","")</f>
        <v>vpa601_2_2</v>
      </c>
      <c r="AM352" s="254">
        <f>M352</f>
        <v>3</v>
      </c>
      <c r="AN352" s="254" t="str">
        <f>SUBSTITUTE(SUBSTITUTE(SUBSTITUTE("vpc"&amp;$B352&amp;$C352&amp;$D352&amp;$E352,".","_"),"(","_"),")","")</f>
        <v>vpc601_2_2</v>
      </c>
      <c r="AO352" s="254">
        <f>O352</f>
        <v>0</v>
      </c>
      <c r="AP352" s="1336" t="str">
        <f>SUBSTITUTE(SUBSTITUTE(SUBSTITUTE("vch"&amp;$B352&amp;$C352&amp;$D352&amp;$E352,".","_"),"(","_"),")","")</f>
        <v>vch601_2_2</v>
      </c>
      <c r="AQ352" s="254" t="str">
        <f>IF(LEN(W352)=0,"",W352)</f>
        <v/>
      </c>
      <c r="AR352" s="1336" t="str">
        <f>SUBSTITUTE(SUBSTITUTE(SUBSTITUTE("vnt"&amp;$B352&amp;$C352&amp;$D352&amp;$E352,".","_"),"(","_"),")","")</f>
        <v>vnt601_2_2</v>
      </c>
      <c r="AS352" s="254" t="str">
        <f>IF(LEN(X352)=0,"",X352)</f>
        <v/>
      </c>
      <c r="AX352" s="867"/>
      <c r="AY352" s="868"/>
    </row>
    <row r="353" spans="1:51" x14ac:dyDescent="0.25">
      <c r="A353" s="2371">
        <v>6</v>
      </c>
      <c r="B353" s="2383">
        <v>601.20000000000005</v>
      </c>
      <c r="C353" s="2374" t="s">
        <v>258</v>
      </c>
      <c r="D353" s="2374"/>
      <c r="E353" s="2374"/>
      <c r="F353" s="2374"/>
      <c r="G353" s="2373" t="str">
        <f>G352</f>
        <v/>
      </c>
      <c r="H353" s="2371" t="s">
        <v>3972</v>
      </c>
      <c r="I353" s="64"/>
      <c r="J353" s="129"/>
      <c r="K353" s="95"/>
      <c r="L353" s="1754"/>
      <c r="M353" s="1758"/>
      <c r="N353" s="1927"/>
      <c r="O353" s="1927"/>
      <c r="P353" s="249"/>
      <c r="Q353" s="249"/>
      <c r="R353" s="249"/>
      <c r="S353" s="249"/>
      <c r="T353" s="249"/>
      <c r="U353" s="249"/>
      <c r="V353" s="249"/>
      <c r="W353" s="249"/>
      <c r="X353" s="1757"/>
      <c r="Y353" s="2081"/>
      <c r="Z353" s="2083"/>
      <c r="AA353" s="1526"/>
      <c r="AC353" s="970"/>
      <c r="AD353" s="970"/>
      <c r="AE353" s="970"/>
      <c r="AF353" s="249"/>
      <c r="AG353" s="249"/>
      <c r="AH353" s="249"/>
      <c r="AI353" s="249"/>
      <c r="AJ353" s="249"/>
      <c r="AK353" s="249"/>
      <c r="AL353" s="1336"/>
      <c r="AM353" s="1336"/>
      <c r="AN353" s="1336"/>
      <c r="AO353" s="1336"/>
      <c r="AP353" s="1336"/>
      <c r="AQ353" s="1336"/>
      <c r="AR353" s="1336"/>
      <c r="AS353" s="1336"/>
      <c r="AX353" s="259" t="str">
        <f>'Overview (Verification)'!A34</f>
        <v>Type of Heating System (main system):</v>
      </c>
      <c r="AY353" s="260">
        <f>IF(LEN('Overview (Verification)'!P34)=0,0,'Overview (Verification)'!P34)</f>
        <v>0</v>
      </c>
    </row>
    <row r="354" spans="1:51" x14ac:dyDescent="0.25">
      <c r="A354" s="2371">
        <v>6</v>
      </c>
      <c r="B354" s="2383">
        <v>601.20000000000005</v>
      </c>
      <c r="C354" s="2374" t="s">
        <v>258</v>
      </c>
      <c r="D354" s="2374"/>
      <c r="E354" s="2374"/>
      <c r="F354" s="2374"/>
      <c r="G354" s="2373" t="str">
        <f>G353</f>
        <v/>
      </c>
      <c r="H354" s="2371" t="s">
        <v>3972</v>
      </c>
      <c r="I354" s="64"/>
      <c r="J354" s="210"/>
      <c r="K354" s="175"/>
      <c r="L354" s="1755"/>
      <c r="M354" s="1759"/>
      <c r="N354" s="2076"/>
      <c r="O354" s="2076"/>
      <c r="P354" s="249"/>
      <c r="Q354" s="249"/>
      <c r="R354" s="249"/>
      <c r="S354" s="249"/>
      <c r="T354" s="249"/>
      <c r="U354" s="249"/>
      <c r="V354" s="249"/>
      <c r="W354" s="249"/>
      <c r="X354" s="1757"/>
      <c r="Y354" s="2081"/>
      <c r="Z354" s="2083"/>
      <c r="AA354" s="1526"/>
      <c r="AC354" s="970"/>
      <c r="AD354" s="970"/>
      <c r="AE354" s="970"/>
      <c r="AF354" s="249"/>
      <c r="AG354" s="249"/>
      <c r="AH354" s="249"/>
      <c r="AI354" s="249"/>
      <c r="AJ354" s="249"/>
      <c r="AK354" s="249"/>
      <c r="AL354" s="1336"/>
      <c r="AM354" s="1336"/>
      <c r="AN354" s="1336"/>
      <c r="AO354" s="1336"/>
      <c r="AP354" s="1336"/>
      <c r="AQ354" s="1336"/>
      <c r="AR354" s="1336"/>
      <c r="AS354" s="1336"/>
      <c r="AX354" s="259" t="str">
        <f>'Overview (Verification)'!A35</f>
        <v>Type of Heating System (system 2):</v>
      </c>
      <c r="AY354" s="260">
        <f>IF(LEN('Overview (Verification)'!P35)=0,0,'Overview (Verification)'!P35)</f>
        <v>0</v>
      </c>
    </row>
    <row r="355" spans="1:51" ht="15" customHeight="1" thickBot="1" x14ac:dyDescent="0.3">
      <c r="A355" s="2371">
        <v>6</v>
      </c>
      <c r="B355" s="2383">
        <v>601.20000000000005</v>
      </c>
      <c r="C355" s="2374" t="s">
        <v>260</v>
      </c>
      <c r="D355" s="2374"/>
      <c r="E355" s="2374"/>
      <c r="F355" s="2374"/>
      <c r="G355" s="2373" t="str">
        <f>IF(N355&gt;0,"P","")</f>
        <v/>
      </c>
      <c r="H355" s="2371" t="s">
        <v>3972</v>
      </c>
      <c r="I355" s="64"/>
      <c r="J355" s="27" t="s">
        <v>260</v>
      </c>
      <c r="K355" s="83"/>
      <c r="L355" s="1170" t="s">
        <v>512</v>
      </c>
      <c r="M355" s="1014">
        <v>3</v>
      </c>
      <c r="N355" s="1042">
        <f>'Ch6'!O37</f>
        <v>0</v>
      </c>
      <c r="O355" s="1042">
        <f>M355*S355*W355</f>
        <v>0</v>
      </c>
      <c r="P355" s="249" t="b">
        <v>1</v>
      </c>
      <c r="Q355" s="249" t="b">
        <v>0</v>
      </c>
      <c r="R355" s="249" t="b">
        <v>0</v>
      </c>
      <c r="S355" s="249" t="b">
        <v>1</v>
      </c>
      <c r="T355" s="249" t="b">
        <v>0</v>
      </c>
      <c r="U355" s="249"/>
      <c r="V355" s="249"/>
      <c r="W355" s="25"/>
      <c r="X355" s="919"/>
      <c r="Y355" s="989" t="str">
        <f>IF(LEN('Ch6'!X37)=0,"None",'Ch6'!X37)</f>
        <v>None</v>
      </c>
      <c r="Z355" s="1595"/>
      <c r="AA355" s="1526"/>
      <c r="AC355" s="970"/>
      <c r="AD355" s="970"/>
      <c r="AE355" s="970"/>
      <c r="AF355" s="249"/>
      <c r="AG355" s="249"/>
      <c r="AH355" s="249"/>
      <c r="AI355" s="249"/>
      <c r="AJ355" s="249"/>
      <c r="AK355" s="249"/>
      <c r="AL355" s="254" t="str">
        <f>SUBSTITUTE(SUBSTITUTE(SUBSTITUTE("vpa"&amp;$B355&amp;$C355&amp;$D355&amp;$E355,".","_"),"(","_"),")","")</f>
        <v>vpa601_2_3</v>
      </c>
      <c r="AM355" s="254">
        <f>M355</f>
        <v>3</v>
      </c>
      <c r="AN355" s="254" t="str">
        <f>SUBSTITUTE(SUBSTITUTE(SUBSTITUTE("vpc"&amp;$B355&amp;$C355&amp;$D355&amp;$E355,".","_"),"(","_"),")","")</f>
        <v>vpc601_2_3</v>
      </c>
      <c r="AO355" s="254">
        <f>O355</f>
        <v>0</v>
      </c>
      <c r="AP355" s="1336" t="str">
        <f>SUBSTITUTE(SUBSTITUTE(SUBSTITUTE("vch"&amp;$B355&amp;$C355&amp;$D355&amp;$E355,".","_"),"(","_"),")","")</f>
        <v>vch601_2_3</v>
      </c>
      <c r="AQ355" s="254" t="str">
        <f>IF(LEN(W355)=0,"",W355)</f>
        <v/>
      </c>
      <c r="AR355" s="1336" t="str">
        <f>SUBSTITUTE(SUBSTITUTE(SUBSTITUTE("vnt"&amp;$B355&amp;$C355&amp;$D355&amp;$E355,".","_"),"(","_"),")","")</f>
        <v>vnt601_2_3</v>
      </c>
      <c r="AS355" s="254" t="str">
        <f>IF(LEN(X355)=0,"",X355)</f>
        <v/>
      </c>
      <c r="AX355" s="259" t="str">
        <f>'Overview (Verification)'!A36</f>
        <v>Type of Heating System (system 3):</v>
      </c>
      <c r="AY355" s="260">
        <f>IF(LEN('Overview (Verification)'!P36)=0,0,'Overview (Verification)'!P36)</f>
        <v>0</v>
      </c>
    </row>
    <row r="356" spans="1:51" ht="15.75" thickTop="1" x14ac:dyDescent="0.25">
      <c r="A356" s="2371">
        <v>6</v>
      </c>
      <c r="B356" s="2383">
        <v>601.29999999999995</v>
      </c>
      <c r="C356" s="2374"/>
      <c r="D356" s="2374"/>
      <c r="E356" s="2374"/>
      <c r="F356" s="2374"/>
      <c r="G356" s="2363" t="str">
        <f>IF(COUNTIF(G359:G363,"P")&gt;0,"P","")</f>
        <v/>
      </c>
      <c r="H356" s="2371" t="s">
        <v>3972</v>
      </c>
      <c r="I356" s="180">
        <v>601.29999999999995</v>
      </c>
      <c r="J356" s="181"/>
      <c r="K356" s="182"/>
      <c r="L356" s="1781" t="s">
        <v>513</v>
      </c>
      <c r="M356" s="1009"/>
      <c r="N356" s="1046"/>
      <c r="O356" s="1046"/>
      <c r="P356" s="105"/>
      <c r="Q356" s="105"/>
      <c r="R356" s="105"/>
      <c r="S356" s="105"/>
      <c r="T356" s="105"/>
      <c r="U356" s="105"/>
      <c r="V356" s="105"/>
      <c r="W356" s="105"/>
      <c r="X356" s="185"/>
      <c r="Y356"/>
      <c r="AA356" s="1526"/>
      <c r="AC356" s="970"/>
      <c r="AD356" s="970"/>
      <c r="AE356" s="970"/>
      <c r="AF356" s="249"/>
      <c r="AG356" s="249"/>
      <c r="AH356" s="249"/>
      <c r="AI356" s="249"/>
      <c r="AJ356" s="249"/>
      <c r="AK356" s="249"/>
      <c r="AL356" s="1336"/>
      <c r="AM356" s="1336"/>
      <c r="AN356" s="1336"/>
      <c r="AO356" s="1336"/>
      <c r="AP356" s="1336"/>
      <c r="AQ356" s="1336"/>
      <c r="AR356" s="1336"/>
      <c r="AS356" s="1336"/>
      <c r="AX356" s="259" t="str">
        <f>'Overview (Verification)'!A37</f>
        <v>Primary Heating Fuel:</v>
      </c>
      <c r="AY356" s="260">
        <f>IF(LEN('Overview (Verification)'!P37)=0,0,'Overview (Verification)'!P37)</f>
        <v>0</v>
      </c>
    </row>
    <row r="357" spans="1:51" x14ac:dyDescent="0.25">
      <c r="A357" s="2371">
        <v>6</v>
      </c>
      <c r="B357" s="2383">
        <v>601.29999999999995</v>
      </c>
      <c r="C357" s="2374"/>
      <c r="D357" s="2374"/>
      <c r="E357" s="2374"/>
      <c r="F357" s="2374"/>
      <c r="G357" s="2373" t="str">
        <f>G356</f>
        <v/>
      </c>
      <c r="H357" s="2371" t="s">
        <v>3972</v>
      </c>
      <c r="I357" s="130"/>
      <c r="J357" s="129"/>
      <c r="K357" s="95"/>
      <c r="L357" s="1782"/>
      <c r="M357" s="1010"/>
      <c r="N357" s="1044"/>
      <c r="O357" s="1044"/>
      <c r="P357" s="94"/>
      <c r="Q357" s="94"/>
      <c r="R357" s="94"/>
      <c r="S357" s="94"/>
      <c r="T357" s="94"/>
      <c r="U357" s="94"/>
      <c r="V357" s="94"/>
      <c r="W357" s="94"/>
      <c r="X357" s="113"/>
      <c r="Y357"/>
      <c r="AA357" s="1526"/>
      <c r="AC357" s="970"/>
      <c r="AD357" s="970"/>
      <c r="AE357" s="970"/>
      <c r="AF357" s="249"/>
      <c r="AG357" s="249"/>
      <c r="AH357" s="249"/>
      <c r="AI357" s="249"/>
      <c r="AJ357" s="249"/>
      <c r="AK357" s="249"/>
      <c r="AL357" s="1336"/>
      <c r="AM357" s="1336"/>
      <c r="AN357" s="1336"/>
      <c r="AO357" s="1336"/>
      <c r="AP357" s="1336"/>
      <c r="AQ357" s="1336"/>
      <c r="AR357" s="1336"/>
      <c r="AS357" s="1336"/>
      <c r="AX357" s="867" t="str">
        <f>'Overview (Verification)'!A38</f>
        <v>Heating Ducts:</v>
      </c>
      <c r="AY357" s="868">
        <f>IF(LEN('Overview (Verification)'!P38)=0,0,'Overview (Verification)'!P38)</f>
        <v>0</v>
      </c>
    </row>
    <row r="358" spans="1:51" x14ac:dyDescent="0.25">
      <c r="A358" s="2371">
        <v>6</v>
      </c>
      <c r="B358" s="2383">
        <v>601.29999999999995</v>
      </c>
      <c r="C358" s="2374"/>
      <c r="D358" s="2374"/>
      <c r="E358" s="2374"/>
      <c r="F358" s="2374"/>
      <c r="G358" s="2373" t="str">
        <f>G357</f>
        <v/>
      </c>
      <c r="H358" s="2371" t="s">
        <v>3972</v>
      </c>
      <c r="I358" s="130"/>
      <c r="J358" s="129"/>
      <c r="K358" s="95"/>
      <c r="L358" s="1782"/>
      <c r="M358" s="1010"/>
      <c r="N358" s="1044"/>
      <c r="O358" s="1044"/>
      <c r="P358" s="94"/>
      <c r="Q358" s="94"/>
      <c r="R358" s="94"/>
      <c r="S358" s="94"/>
      <c r="T358" s="94"/>
      <c r="U358" s="94"/>
      <c r="V358" s="94"/>
      <c r="W358" s="94"/>
      <c r="X358" s="113"/>
      <c r="Y358"/>
      <c r="AA358" s="1526"/>
      <c r="AC358" s="970"/>
      <c r="AD358" s="970"/>
      <c r="AE358" s="970"/>
      <c r="AF358" s="249"/>
      <c r="AG358" s="249"/>
      <c r="AH358" s="249"/>
      <c r="AI358" s="249"/>
      <c r="AJ358" s="249"/>
      <c r="AK358" s="249"/>
      <c r="AL358" s="1336"/>
      <c r="AM358" s="1336"/>
      <c r="AN358" s="1336"/>
      <c r="AO358" s="1336"/>
      <c r="AP358" s="1336"/>
      <c r="AQ358" s="1336"/>
      <c r="AR358" s="1336"/>
      <c r="AS358" s="1336"/>
      <c r="AX358" s="867" t="str">
        <f>'Overview (Verification)'!A39</f>
        <v>Type of Cooling System (main system):</v>
      </c>
      <c r="AY358" s="868">
        <f>IF(LEN('Overview (Verification)'!P39)=0,0,'Overview (Verification)'!P39)</f>
        <v>0</v>
      </c>
    </row>
    <row r="359" spans="1:51" x14ac:dyDescent="0.25">
      <c r="A359" s="2371">
        <v>6</v>
      </c>
      <c r="B359" s="2383">
        <v>601.29999999999995</v>
      </c>
      <c r="C359" s="2374" t="s">
        <v>256</v>
      </c>
      <c r="D359" s="2374"/>
      <c r="E359" s="2374"/>
      <c r="F359" s="2374"/>
      <c r="G359" s="2373" t="str">
        <f>IF(N359&gt;0,"P","")</f>
        <v/>
      </c>
      <c r="H359" s="2371" t="s">
        <v>3972</v>
      </c>
      <c r="I359" s="64"/>
      <c r="J359" s="206" t="s">
        <v>256</v>
      </c>
      <c r="K359" s="175"/>
      <c r="L359" s="1163" t="s">
        <v>514</v>
      </c>
      <c r="M359" s="1015">
        <v>3</v>
      </c>
      <c r="N359" s="1047">
        <f>'Ch6'!O41</f>
        <v>0</v>
      </c>
      <c r="O359" s="1047">
        <f t="shared" ref="O359:O364" si="14">M359*S359*W359</f>
        <v>0</v>
      </c>
      <c r="P359" s="249" t="b">
        <v>1</v>
      </c>
      <c r="Q359" s="249" t="b">
        <v>0</v>
      </c>
      <c r="R359" s="249" t="b">
        <v>0</v>
      </c>
      <c r="S359" s="249" t="b">
        <v>1</v>
      </c>
      <c r="T359" s="249" t="b">
        <v>0</v>
      </c>
      <c r="U359" s="249"/>
      <c r="V359" s="249"/>
      <c r="W359" s="25"/>
      <c r="X359" s="918"/>
      <c r="Y359" s="988" t="str">
        <f>IF(LEN('Ch6'!X41)=0,"None",'Ch6'!X41)</f>
        <v>None</v>
      </c>
      <c r="Z359" s="1587"/>
      <c r="AA359" s="1526"/>
      <c r="AC359" s="970"/>
      <c r="AD359" s="970"/>
      <c r="AE359" s="970"/>
      <c r="AF359" s="249"/>
      <c r="AG359" s="249"/>
      <c r="AH359" s="249"/>
      <c r="AI359" s="249"/>
      <c r="AJ359" s="249"/>
      <c r="AK359" s="249"/>
      <c r="AL359" s="254" t="str">
        <f t="shared" ref="AL359:AL364" si="15">SUBSTITUTE(SUBSTITUTE(SUBSTITUTE("vpa"&amp;$B359&amp;$C359&amp;$D359&amp;$E359,".","_"),"(","_"),")","")</f>
        <v>vpa601_3_1</v>
      </c>
      <c r="AM359" s="254">
        <f t="shared" ref="AM359:AM364" si="16">M359</f>
        <v>3</v>
      </c>
      <c r="AN359" s="254" t="str">
        <f t="shared" ref="AN359:AN364" si="17">SUBSTITUTE(SUBSTITUTE(SUBSTITUTE("vpc"&amp;$B359&amp;$C359&amp;$D359&amp;$E359,".","_"),"(","_"),")","")</f>
        <v>vpc601_3_1</v>
      </c>
      <c r="AO359" s="254">
        <f t="shared" ref="AO359:AO364" si="18">O359</f>
        <v>0</v>
      </c>
      <c r="AP359" s="1336" t="str">
        <f t="shared" ref="AP359:AP364" si="19">SUBSTITUTE(SUBSTITUTE(SUBSTITUTE("vch"&amp;$B359&amp;$C359&amp;$D359&amp;$E359,".","_"),"(","_"),")","")</f>
        <v>vch601_3_1</v>
      </c>
      <c r="AQ359" s="254" t="str">
        <f t="shared" ref="AQ359:AQ364" si="20">IF(LEN(W359)=0,"",W359)</f>
        <v/>
      </c>
      <c r="AR359" s="1336" t="str">
        <f t="shared" ref="AR359:AR364" si="21">SUBSTITUTE(SUBSTITUTE(SUBSTITUTE("vnt"&amp;$B359&amp;$C359&amp;$D359&amp;$E359,".","_"),"(","_"),")","")</f>
        <v>vnt601_3_1</v>
      </c>
      <c r="AS359" s="254" t="str">
        <f t="shared" ref="AS359:AS364" si="22">IF(LEN(X359)=0,"",X359)</f>
        <v/>
      </c>
      <c r="AX359" s="867" t="str">
        <f>'Overview (Verification)'!A40</f>
        <v>Type of Cooling System (system 2):</v>
      </c>
      <c r="AY359" s="868">
        <f>IF(LEN('Overview (Verification)'!P40)=0,0,'Overview (Verification)'!P40)</f>
        <v>0</v>
      </c>
    </row>
    <row r="360" spans="1:51" x14ac:dyDescent="0.25">
      <c r="A360" s="2371">
        <v>6</v>
      </c>
      <c r="B360" s="2383">
        <v>601.29999999999995</v>
      </c>
      <c r="C360" s="2374" t="s">
        <v>258</v>
      </c>
      <c r="D360" s="2374"/>
      <c r="E360" s="2374"/>
      <c r="F360" s="2374"/>
      <c r="G360" s="2373" t="str">
        <f>IF(N360&gt;0,"P","")</f>
        <v/>
      </c>
      <c r="H360" s="2371" t="s">
        <v>3972</v>
      </c>
      <c r="I360" s="64"/>
      <c r="J360" s="207" t="s">
        <v>258</v>
      </c>
      <c r="K360" s="208"/>
      <c r="L360" s="280" t="s">
        <v>515</v>
      </c>
      <c r="M360" s="1036">
        <v>3</v>
      </c>
      <c r="N360" s="1049">
        <f>'Ch6'!O42</f>
        <v>0</v>
      </c>
      <c r="O360" s="1049">
        <f t="shared" si="14"/>
        <v>0</v>
      </c>
      <c r="P360" s="249" t="b">
        <v>1</v>
      </c>
      <c r="Q360" s="249" t="b">
        <v>0</v>
      </c>
      <c r="R360" s="249" t="b">
        <v>0</v>
      </c>
      <c r="S360" s="249" t="b">
        <v>1</v>
      </c>
      <c r="T360" s="249" t="b">
        <v>0</v>
      </c>
      <c r="U360" s="249"/>
      <c r="V360" s="249"/>
      <c r="W360" s="25"/>
      <c r="X360" s="918"/>
      <c r="Y360" s="988" t="str">
        <f>IF(LEN('Ch6'!X42)=0,"None",'Ch6'!X42)</f>
        <v>None</v>
      </c>
      <c r="Z360" s="1587"/>
      <c r="AA360" s="1526"/>
      <c r="AC360" s="970"/>
      <c r="AD360" s="970"/>
      <c r="AE360" s="970"/>
      <c r="AF360" s="249"/>
      <c r="AG360" s="249"/>
      <c r="AH360" s="249"/>
      <c r="AI360" s="249"/>
      <c r="AJ360" s="249"/>
      <c r="AK360" s="249"/>
      <c r="AL360" s="254" t="str">
        <f t="shared" si="15"/>
        <v>vpa601_3_2</v>
      </c>
      <c r="AM360" s="254">
        <f t="shared" si="16"/>
        <v>3</v>
      </c>
      <c r="AN360" s="254" t="str">
        <f t="shared" si="17"/>
        <v>vpc601_3_2</v>
      </c>
      <c r="AO360" s="254">
        <f t="shared" si="18"/>
        <v>0</v>
      </c>
      <c r="AP360" s="1336" t="str">
        <f t="shared" si="19"/>
        <v>vch601_3_2</v>
      </c>
      <c r="AQ360" s="254" t="str">
        <f t="shared" si="20"/>
        <v/>
      </c>
      <c r="AR360" s="1336" t="str">
        <f t="shared" si="21"/>
        <v>vnt601_3_2</v>
      </c>
      <c r="AS360" s="254" t="str">
        <f t="shared" si="22"/>
        <v/>
      </c>
      <c r="AX360" s="867" t="str">
        <f>'Overview (Verification)'!A41</f>
        <v>Type of Cooling System (system 3):</v>
      </c>
      <c r="AY360" s="868">
        <f>IF(LEN('Overview (Verification)'!P41)=0,0,'Overview (Verification)'!P41)</f>
        <v>0</v>
      </c>
    </row>
    <row r="361" spans="1:51" x14ac:dyDescent="0.25">
      <c r="A361" s="2371">
        <v>6</v>
      </c>
      <c r="B361" s="2383">
        <v>601.29999999999995</v>
      </c>
      <c r="C361" s="2374" t="s">
        <v>260</v>
      </c>
      <c r="D361" s="2374"/>
      <c r="E361" s="2374"/>
      <c r="F361" s="2374"/>
      <c r="G361" s="2373" t="str">
        <f>IF(N361&gt;0,"P","")</f>
        <v/>
      </c>
      <c r="H361" s="2371" t="s">
        <v>3972</v>
      </c>
      <c r="I361" s="64"/>
      <c r="J361" s="207" t="s">
        <v>260</v>
      </c>
      <c r="K361" s="208"/>
      <c r="L361" s="280" t="s">
        <v>516</v>
      </c>
      <c r="M361" s="1036">
        <v>3</v>
      </c>
      <c r="N361" s="1049">
        <f>'Ch6'!O43</f>
        <v>0</v>
      </c>
      <c r="O361" s="1049">
        <f t="shared" si="14"/>
        <v>0</v>
      </c>
      <c r="P361" s="249" t="b">
        <v>1</v>
      </c>
      <c r="Q361" s="249" t="b">
        <v>0</v>
      </c>
      <c r="R361" s="249" t="b">
        <v>0</v>
      </c>
      <c r="S361" s="249" t="b">
        <v>1</v>
      </c>
      <c r="T361" s="249" t="b">
        <v>0</v>
      </c>
      <c r="U361" s="249"/>
      <c r="V361" s="249"/>
      <c r="W361" s="25"/>
      <c r="X361" s="918"/>
      <c r="Y361" s="988" t="str">
        <f>IF(LEN('Ch6'!X43)=0,"None",'Ch6'!X43)</f>
        <v>None</v>
      </c>
      <c r="Z361" s="1587"/>
      <c r="AA361" s="1526"/>
      <c r="AC361" s="970"/>
      <c r="AD361" s="970"/>
      <c r="AE361" s="970"/>
      <c r="AF361" s="249"/>
      <c r="AG361" s="249"/>
      <c r="AH361" s="249"/>
      <c r="AI361" s="249"/>
      <c r="AJ361" s="249"/>
      <c r="AK361" s="249"/>
      <c r="AL361" s="254" t="str">
        <f t="shared" si="15"/>
        <v>vpa601_3_3</v>
      </c>
      <c r="AM361" s="254">
        <f t="shared" si="16"/>
        <v>3</v>
      </c>
      <c r="AN361" s="254" t="str">
        <f t="shared" si="17"/>
        <v>vpc601_3_3</v>
      </c>
      <c r="AO361" s="254">
        <f t="shared" si="18"/>
        <v>0</v>
      </c>
      <c r="AP361" s="1336" t="str">
        <f t="shared" si="19"/>
        <v>vch601_3_3</v>
      </c>
      <c r="AQ361" s="254" t="str">
        <f t="shared" si="20"/>
        <v/>
      </c>
      <c r="AR361" s="1336" t="str">
        <f t="shared" si="21"/>
        <v>vnt601_3_3</v>
      </c>
      <c r="AS361" s="254" t="str">
        <f t="shared" si="22"/>
        <v/>
      </c>
      <c r="AX361" s="867" t="str">
        <f>'Overview (Verification)'!A42</f>
        <v>Cooling Ducts:</v>
      </c>
      <c r="AY361" s="868">
        <f>IF(LEN('Overview (Verification)'!P42)=0,0,'Overview (Verification)'!P42)</f>
        <v>0</v>
      </c>
    </row>
    <row r="362" spans="1:51" x14ac:dyDescent="0.25">
      <c r="A362" s="2371">
        <v>6</v>
      </c>
      <c r="B362" s="2383">
        <v>601.29999999999995</v>
      </c>
      <c r="C362" s="2374" t="s">
        <v>269</v>
      </c>
      <c r="D362" s="2374"/>
      <c r="E362" s="2374"/>
      <c r="F362" s="2374"/>
      <c r="G362" s="2373" t="str">
        <f>IF(N362&gt;0,"P","")</f>
        <v/>
      </c>
      <c r="H362" s="2371" t="s">
        <v>3972</v>
      </c>
      <c r="I362" s="64"/>
      <c r="J362" s="207" t="s">
        <v>269</v>
      </c>
      <c r="K362" s="208"/>
      <c r="L362" s="280" t="s">
        <v>517</v>
      </c>
      <c r="M362" s="1036">
        <v>3</v>
      </c>
      <c r="N362" s="1049">
        <f>'Ch6'!O44</f>
        <v>0</v>
      </c>
      <c r="O362" s="1049">
        <f t="shared" si="14"/>
        <v>0</v>
      </c>
      <c r="P362" s="249" t="b">
        <v>1</v>
      </c>
      <c r="Q362" s="249" t="b">
        <v>0</v>
      </c>
      <c r="R362" s="249" t="b">
        <v>0</v>
      </c>
      <c r="S362" s="249" t="b">
        <v>1</v>
      </c>
      <c r="T362" s="249" t="b">
        <v>0</v>
      </c>
      <c r="U362" s="249"/>
      <c r="V362" s="249"/>
      <c r="W362" s="25"/>
      <c r="X362" s="918"/>
      <c r="Y362" s="988" t="str">
        <f>IF(LEN('Ch6'!X44)=0,"None",'Ch6'!X44)</f>
        <v>None</v>
      </c>
      <c r="Z362" s="1587"/>
      <c r="AA362" s="1526"/>
      <c r="AC362" s="970"/>
      <c r="AD362" s="970"/>
      <c r="AE362" s="970"/>
      <c r="AF362" s="249"/>
      <c r="AG362" s="249"/>
      <c r="AH362" s="249"/>
      <c r="AI362" s="249"/>
      <c r="AJ362" s="249"/>
      <c r="AK362" s="249"/>
      <c r="AL362" s="254" t="str">
        <f t="shared" si="15"/>
        <v>vpa601_3_4</v>
      </c>
      <c r="AM362" s="254">
        <f t="shared" si="16"/>
        <v>3</v>
      </c>
      <c r="AN362" s="254" t="str">
        <f t="shared" si="17"/>
        <v>vpc601_3_4</v>
      </c>
      <c r="AO362" s="254">
        <f t="shared" si="18"/>
        <v>0</v>
      </c>
      <c r="AP362" s="1336" t="str">
        <f t="shared" si="19"/>
        <v>vch601_3_4</v>
      </c>
      <c r="AQ362" s="254" t="str">
        <f t="shared" si="20"/>
        <v/>
      </c>
      <c r="AR362" s="1336" t="str">
        <f t="shared" si="21"/>
        <v>vnt601_3_4</v>
      </c>
      <c r="AS362" s="254" t="str">
        <f t="shared" si="22"/>
        <v/>
      </c>
      <c r="AX362" s="867"/>
      <c r="AY362" s="868"/>
    </row>
    <row r="363" spans="1:51" ht="15.75" thickBot="1" x14ac:dyDescent="0.3">
      <c r="A363" s="2371">
        <v>6</v>
      </c>
      <c r="B363" s="2383">
        <v>601.29999999999995</v>
      </c>
      <c r="C363" s="2374" t="s">
        <v>275</v>
      </c>
      <c r="D363" s="2374"/>
      <c r="E363" s="2374"/>
      <c r="F363" s="2374"/>
      <c r="G363" s="2373" t="str">
        <f>IF(N363&gt;0,"P","")</f>
        <v/>
      </c>
      <c r="H363" s="2371" t="s">
        <v>3972</v>
      </c>
      <c r="I363" s="64"/>
      <c r="J363" s="27" t="s">
        <v>275</v>
      </c>
      <c r="K363" s="83"/>
      <c r="L363" s="1170" t="s">
        <v>518</v>
      </c>
      <c r="M363" s="1014">
        <v>1</v>
      </c>
      <c r="N363" s="1042">
        <f>'Ch6'!O45</f>
        <v>0</v>
      </c>
      <c r="O363" s="1042">
        <f t="shared" si="14"/>
        <v>0</v>
      </c>
      <c r="P363" s="249" t="b">
        <v>1</v>
      </c>
      <c r="Q363" s="249" t="b">
        <v>0</v>
      </c>
      <c r="R363" s="249" t="b">
        <v>0</v>
      </c>
      <c r="S363" s="249" t="b">
        <v>1</v>
      </c>
      <c r="T363" s="249" t="b">
        <v>0</v>
      </c>
      <c r="U363" s="249"/>
      <c r="V363" s="249"/>
      <c r="W363" s="100"/>
      <c r="X363" s="919"/>
      <c r="Y363" s="989" t="str">
        <f>IF(LEN('Ch6'!X45)=0,"None",'Ch6'!X45)</f>
        <v>None</v>
      </c>
      <c r="Z363" s="1595"/>
      <c r="AA363" s="1526"/>
      <c r="AC363" s="970"/>
      <c r="AD363" s="970"/>
      <c r="AE363" s="970"/>
      <c r="AF363" s="249"/>
      <c r="AG363" s="249"/>
      <c r="AH363" s="249"/>
      <c r="AI363" s="249"/>
      <c r="AJ363" s="249"/>
      <c r="AK363" s="249"/>
      <c r="AL363" s="254" t="str">
        <f t="shared" si="15"/>
        <v>vpa601_3_5</v>
      </c>
      <c r="AM363" s="254">
        <f t="shared" si="16"/>
        <v>1</v>
      </c>
      <c r="AN363" s="254" t="str">
        <f t="shared" si="17"/>
        <v>vpc601_3_5</v>
      </c>
      <c r="AO363" s="254">
        <f t="shared" si="18"/>
        <v>0</v>
      </c>
      <c r="AP363" s="1336" t="str">
        <f t="shared" si="19"/>
        <v>vch601_3_5</v>
      </c>
      <c r="AQ363" s="254" t="str">
        <f t="shared" si="20"/>
        <v/>
      </c>
      <c r="AR363" s="1336" t="str">
        <f t="shared" si="21"/>
        <v>vnt601_3_5</v>
      </c>
      <c r="AS363" s="254" t="str">
        <f t="shared" si="22"/>
        <v/>
      </c>
      <c r="AX363" s="867" t="str">
        <f>'Overview (Verification)'!A44</f>
        <v>Maximum window and door SHGC:</v>
      </c>
      <c r="AY363" s="868">
        <f>IF(LEN('Overview (Verification)'!P44)=0,0,'Overview (Verification)'!P44)</f>
        <v>0</v>
      </c>
    </row>
    <row r="364" spans="1:51" ht="15.75" thickTop="1" x14ac:dyDescent="0.25">
      <c r="A364" s="2371">
        <v>6</v>
      </c>
      <c r="B364" s="2383">
        <v>601.4</v>
      </c>
      <c r="C364" s="2374"/>
      <c r="D364" s="2374"/>
      <c r="E364" s="2374"/>
      <c r="F364" s="2374"/>
      <c r="G364" s="2373" t="str">
        <f>IF(N364&gt;0,"P","")</f>
        <v/>
      </c>
      <c r="H364" s="2371" t="s">
        <v>3972</v>
      </c>
      <c r="I364" s="180">
        <v>601.4</v>
      </c>
      <c r="J364" s="181"/>
      <c r="K364" s="182"/>
      <c r="L364" s="1781" t="s">
        <v>519</v>
      </c>
      <c r="M364" s="1772">
        <v>4</v>
      </c>
      <c r="N364" s="2080">
        <f>'Ch6'!O46</f>
        <v>0</v>
      </c>
      <c r="O364" s="2080">
        <f t="shared" si="14"/>
        <v>0</v>
      </c>
      <c r="P364" s="249" t="b">
        <v>1</v>
      </c>
      <c r="Q364" s="249" t="b">
        <v>0</v>
      </c>
      <c r="R364" s="105" t="b">
        <v>0</v>
      </c>
      <c r="S364" s="105" t="b">
        <v>1</v>
      </c>
      <c r="T364" s="105" t="b">
        <v>0</v>
      </c>
      <c r="U364" s="105"/>
      <c r="V364" s="105"/>
      <c r="W364" s="117"/>
      <c r="X364" s="1784"/>
      <c r="Y364" s="2097" t="str">
        <f>IF(LEN('Ch6'!X46)=0,"None",'Ch6'!X46)</f>
        <v>None</v>
      </c>
      <c r="Z364" s="2085"/>
      <c r="AA364" s="1526"/>
      <c r="AC364" s="970"/>
      <c r="AD364" s="970"/>
      <c r="AE364" s="970"/>
      <c r="AF364" s="249"/>
      <c r="AG364" s="249"/>
      <c r="AH364" s="249"/>
      <c r="AI364" s="249"/>
      <c r="AJ364" s="249"/>
      <c r="AK364" s="249"/>
      <c r="AL364" s="254" t="str">
        <f t="shared" si="15"/>
        <v>vpa601_4</v>
      </c>
      <c r="AM364" s="254">
        <f t="shared" si="16"/>
        <v>4</v>
      </c>
      <c r="AN364" s="254" t="str">
        <f t="shared" si="17"/>
        <v>vpc601_4</v>
      </c>
      <c r="AO364" s="254">
        <f t="shared" si="18"/>
        <v>0</v>
      </c>
      <c r="AP364" s="1336" t="str">
        <f t="shared" si="19"/>
        <v>vch601_4</v>
      </c>
      <c r="AQ364" s="254" t="str">
        <f t="shared" si="20"/>
        <v/>
      </c>
      <c r="AR364" s="1336" t="str">
        <f t="shared" si="21"/>
        <v>vnt601_4</v>
      </c>
      <c r="AS364" s="254" t="str">
        <f t="shared" si="22"/>
        <v/>
      </c>
      <c r="AX364" s="867" t="str">
        <f>'Overview (Verification)'!A45</f>
        <v>Maximum skylight SHGC:</v>
      </c>
      <c r="AY364" s="868">
        <f>IF(LEN('Overview (Verification)'!P45)=0,0,'Overview (Verification)'!P45)</f>
        <v>0</v>
      </c>
    </row>
    <row r="365" spans="1:51" x14ac:dyDescent="0.25">
      <c r="A365" s="2371">
        <v>6</v>
      </c>
      <c r="B365" s="2383">
        <v>601.4</v>
      </c>
      <c r="C365" s="2374"/>
      <c r="D365" s="2374"/>
      <c r="E365" s="2374"/>
      <c r="F365" s="2374"/>
      <c r="G365" s="2373" t="str">
        <f>G364</f>
        <v/>
      </c>
      <c r="H365" s="2371" t="s">
        <v>3972</v>
      </c>
      <c r="I365" s="130"/>
      <c r="J365" s="129"/>
      <c r="K365" s="95"/>
      <c r="L365" s="1782"/>
      <c r="M365" s="1758"/>
      <c r="N365" s="1927"/>
      <c r="O365" s="1927"/>
      <c r="P365" s="94"/>
      <c r="Q365" s="94"/>
      <c r="R365" s="94"/>
      <c r="S365" s="94"/>
      <c r="T365" s="94"/>
      <c r="U365" s="94"/>
      <c r="V365" s="94"/>
      <c r="W365" s="94"/>
      <c r="X365" s="1757"/>
      <c r="Y365" s="2081"/>
      <c r="Z365" s="2084"/>
      <c r="AA365" s="1526"/>
      <c r="AC365" s="970"/>
      <c r="AD365" s="970"/>
      <c r="AE365" s="970"/>
      <c r="AF365" s="249"/>
      <c r="AG365" s="249"/>
      <c r="AH365" s="249"/>
      <c r="AI365" s="249"/>
      <c r="AJ365" s="249"/>
      <c r="AK365" s="249"/>
      <c r="AL365" s="1336"/>
      <c r="AM365" s="1336"/>
      <c r="AN365" s="1336"/>
      <c r="AO365" s="1336"/>
      <c r="AP365" s="1336"/>
      <c r="AQ365" s="1336"/>
      <c r="AR365" s="1336"/>
      <c r="AS365" s="1336"/>
      <c r="AX365" s="867" t="str">
        <f>'Overview (Verification)'!A46</f>
        <v>Maximum window and door U-value:</v>
      </c>
      <c r="AY365" s="868">
        <f>IF(LEN('Overview (Verification)'!P46)=0,0,'Overview (Verification)'!P46)</f>
        <v>0</v>
      </c>
    </row>
    <row r="366" spans="1:51" ht="15.75" thickBot="1" x14ac:dyDescent="0.3">
      <c r="A366" s="2371">
        <v>6</v>
      </c>
      <c r="B366" s="2383">
        <v>601.4</v>
      </c>
      <c r="C366" s="2374"/>
      <c r="D366" s="2374"/>
      <c r="E366" s="2374"/>
      <c r="F366" s="2374"/>
      <c r="G366" s="2373" t="str">
        <f>G365</f>
        <v/>
      </c>
      <c r="H366" s="2371" t="s">
        <v>3972</v>
      </c>
      <c r="I366" s="130"/>
      <c r="J366" s="129"/>
      <c r="K366" s="95"/>
      <c r="L366" s="1782"/>
      <c r="M366" s="1758"/>
      <c r="N366" s="1928"/>
      <c r="O366" s="1927"/>
      <c r="P366" s="94"/>
      <c r="Q366" s="94"/>
      <c r="R366" s="94"/>
      <c r="S366" s="94"/>
      <c r="T366" s="94"/>
      <c r="U366" s="94"/>
      <c r="V366" s="94"/>
      <c r="W366" s="94"/>
      <c r="X366" s="1798"/>
      <c r="Y366" s="2082"/>
      <c r="Z366" s="2086"/>
      <c r="AA366" s="1526"/>
      <c r="AC366" s="970"/>
      <c r="AD366" s="970"/>
      <c r="AE366" s="970"/>
      <c r="AF366" s="249"/>
      <c r="AG366" s="249"/>
      <c r="AH366" s="249"/>
      <c r="AI366" s="249"/>
      <c r="AJ366" s="249"/>
      <c r="AK366" s="249"/>
      <c r="AL366" s="1336"/>
      <c r="AM366" s="1336"/>
      <c r="AN366" s="1336"/>
      <c r="AO366" s="1336"/>
      <c r="AP366" s="1336"/>
      <c r="AQ366" s="1336"/>
      <c r="AR366" s="1336"/>
      <c r="AS366" s="1336"/>
      <c r="AX366" s="867" t="str">
        <f>'Overview (Verification)'!A47</f>
        <v>Maximum skylight U-value:</v>
      </c>
      <c r="AY366" s="868">
        <f>IF(LEN('Overview (Verification)'!P47)=0,0,'Overview (Verification)'!P47)</f>
        <v>0</v>
      </c>
    </row>
    <row r="367" spans="1:51" ht="15.75" thickTop="1" x14ac:dyDescent="0.25">
      <c r="A367" s="2371">
        <v>6</v>
      </c>
      <c r="B367" s="2383">
        <v>601.5</v>
      </c>
      <c r="C367" s="2374"/>
      <c r="D367" s="2374"/>
      <c r="E367" s="2374"/>
      <c r="F367" s="2374"/>
      <c r="G367" s="2363" t="str">
        <f>IF(COUNTIF(G370:G374,"P")&gt;0,"P","")</f>
        <v/>
      </c>
      <c r="H367" s="2371" t="s">
        <v>3972</v>
      </c>
      <c r="I367" s="106">
        <v>601.5</v>
      </c>
      <c r="J367" s="181"/>
      <c r="K367" s="182"/>
      <c r="L367" s="1781" t="s">
        <v>520</v>
      </c>
      <c r="M367" s="1772" t="s">
        <v>521</v>
      </c>
      <c r="N367" s="1046"/>
      <c r="O367" s="1046"/>
      <c r="P367" s="105"/>
      <c r="Q367" s="105"/>
      <c r="R367" s="105"/>
      <c r="S367" s="105"/>
      <c r="T367" s="105"/>
      <c r="U367" s="105"/>
      <c r="V367" s="105"/>
      <c r="W367" s="105"/>
      <c r="X367" s="185"/>
      <c r="Y367"/>
      <c r="AA367" s="1526"/>
      <c r="AC367" s="970"/>
      <c r="AD367" s="970"/>
      <c r="AE367" s="970"/>
      <c r="AF367" s="249"/>
      <c r="AG367" s="249"/>
      <c r="AH367" s="249"/>
      <c r="AI367" s="249"/>
      <c r="AJ367" s="249"/>
      <c r="AK367" s="249"/>
      <c r="AL367" s="254" t="str">
        <f>SUBSTITUTE(SUBSTITUTE(SUBSTITUTE("vpa"&amp;$B367&amp;$C367&amp;$D367&amp;$E367,".","_"),"(","_"),")","")</f>
        <v>vpa601_5</v>
      </c>
      <c r="AM367" s="254" t="str">
        <f>M367</f>
        <v>13 Max</v>
      </c>
      <c r="AN367" s="1336"/>
      <c r="AO367" s="1336"/>
      <c r="AP367" s="1336"/>
      <c r="AQ367" s="1336"/>
      <c r="AR367" s="1336"/>
      <c r="AS367" s="1336"/>
      <c r="AX367" s="259" t="str">
        <f>'Overview (Verification)'!A48</f>
        <v>Renewable Energy:</v>
      </c>
      <c r="AY367" s="260">
        <f>IF(LEN('Overview (Verification)'!P48)=0,0,'Overview (Verification)'!P48)</f>
        <v>0</v>
      </c>
    </row>
    <row r="368" spans="1:51" x14ac:dyDescent="0.25">
      <c r="A368" s="2371">
        <v>6</v>
      </c>
      <c r="B368" s="2383">
        <v>601.5</v>
      </c>
      <c r="C368" s="2374"/>
      <c r="D368" s="2374"/>
      <c r="E368" s="2374"/>
      <c r="F368" s="2374"/>
      <c r="G368" s="2373" t="str">
        <f>G367</f>
        <v/>
      </c>
      <c r="H368" s="2371" t="s">
        <v>3972</v>
      </c>
      <c r="I368" s="130"/>
      <c r="J368" s="129"/>
      <c r="K368" s="95"/>
      <c r="L368" s="1782"/>
      <c r="M368" s="1758"/>
      <c r="N368" s="1044"/>
      <c r="O368" s="1044"/>
      <c r="P368" s="94"/>
      <c r="Q368" s="94"/>
      <c r="R368" s="94"/>
      <c r="S368" s="94"/>
      <c r="T368" s="94"/>
      <c r="U368" s="94"/>
      <c r="V368" s="94"/>
      <c r="W368" s="94"/>
      <c r="X368" s="113"/>
      <c r="Y368"/>
      <c r="AA368" s="1526"/>
      <c r="AC368" s="970"/>
      <c r="AD368" s="970"/>
      <c r="AE368" s="970"/>
      <c r="AF368" s="249"/>
      <c r="AG368" s="249"/>
      <c r="AH368" s="249"/>
      <c r="AI368" s="249"/>
      <c r="AJ368" s="249"/>
      <c r="AK368" s="249"/>
      <c r="AL368" s="1336"/>
      <c r="AM368" s="1336"/>
      <c r="AN368" s="1336"/>
      <c r="AO368" s="1336"/>
      <c r="AP368" s="1336"/>
      <c r="AQ368" s="1336"/>
      <c r="AR368" s="1336"/>
      <c r="AS368" s="1336"/>
      <c r="AX368" s="259" t="str">
        <f>'Overview (Verification)'!A49</f>
        <v>Thermal Envelope Insulation:</v>
      </c>
      <c r="AY368" s="260">
        <f>IF(LEN('Overview (Verification)'!P49)=0,0,'Overview (Verification)'!P49)</f>
        <v>0</v>
      </c>
    </row>
    <row r="369" spans="1:51" x14ac:dyDescent="0.25">
      <c r="A369" s="2371">
        <v>6</v>
      </c>
      <c r="B369" s="2383">
        <v>601.5</v>
      </c>
      <c r="C369" s="2374"/>
      <c r="D369" s="2374"/>
      <c r="E369" s="2374"/>
      <c r="F369" s="2374"/>
      <c r="G369" s="2373" t="str">
        <f>G368</f>
        <v/>
      </c>
      <c r="H369" s="2371" t="s">
        <v>3972</v>
      </c>
      <c r="I369" s="130"/>
      <c r="J369" s="129"/>
      <c r="K369" s="95"/>
      <c r="L369" s="1782"/>
      <c r="M369" s="1758"/>
      <c r="N369" s="1044"/>
      <c r="O369" s="1044"/>
      <c r="P369" s="94"/>
      <c r="Q369" s="94"/>
      <c r="R369" s="94"/>
      <c r="S369" s="94"/>
      <c r="T369" s="94"/>
      <c r="U369" s="94"/>
      <c r="V369" s="94"/>
      <c r="W369" s="94"/>
      <c r="X369" s="113"/>
      <c r="Y369"/>
      <c r="AA369" s="1526"/>
      <c r="AC369" s="970"/>
      <c r="AD369" s="970"/>
      <c r="AE369" s="970"/>
      <c r="AF369" s="249"/>
      <c r="AG369" s="249"/>
      <c r="AH369" s="249"/>
      <c r="AI369" s="249"/>
      <c r="AJ369" s="249"/>
      <c r="AK369" s="249"/>
      <c r="AL369" s="1336"/>
      <c r="AM369" s="1336"/>
      <c r="AN369" s="1336"/>
      <c r="AO369" s="1336"/>
      <c r="AP369" s="254"/>
      <c r="AQ369" s="254"/>
      <c r="AR369" s="1336"/>
      <c r="AS369" s="1336"/>
      <c r="AX369" s="259" t="str">
        <f>'Overview (Verification)'!A50</f>
        <v>Attic Type:</v>
      </c>
      <c r="AY369" s="260">
        <f>IF(LEN('Overview (Verification)'!P50)=0,0,'Overview (Verification)'!P50)</f>
        <v>0</v>
      </c>
    </row>
    <row r="370" spans="1:51" x14ac:dyDescent="0.25">
      <c r="A370" s="2371">
        <v>6</v>
      </c>
      <c r="B370" s="2383">
        <v>601.5</v>
      </c>
      <c r="C370" s="2374" t="s">
        <v>256</v>
      </c>
      <c r="D370" s="2374"/>
      <c r="E370" s="2374"/>
      <c r="F370" s="2374"/>
      <c r="G370" s="2373" t="str">
        <f>IF(N370&gt;0,"P","")</f>
        <v/>
      </c>
      <c r="H370" s="2371" t="s">
        <v>3972</v>
      </c>
      <c r="I370" s="64"/>
      <c r="J370" s="206" t="s">
        <v>256</v>
      </c>
      <c r="K370" s="175"/>
      <c r="L370" s="1163" t="s">
        <v>522</v>
      </c>
      <c r="M370" s="1015">
        <v>4</v>
      </c>
      <c r="N370" s="1047">
        <f>'Ch6'!O52</f>
        <v>0</v>
      </c>
      <c r="O370" s="1047">
        <f>M370*S370*W370</f>
        <v>0</v>
      </c>
      <c r="P370" s="249" t="b">
        <v>1</v>
      </c>
      <c r="Q370" s="249" t="b">
        <v>0</v>
      </c>
      <c r="R370" s="249" t="b">
        <v>0</v>
      </c>
      <c r="S370" s="249" t="b">
        <f>AND(NOT(W373=TRUE),NOT(W374=TRUE))</f>
        <v>1</v>
      </c>
      <c r="T370" s="94" t="b">
        <f>IF(AND(NOT(S370),W370=TRUE),TRUE,FALSE)</f>
        <v>0</v>
      </c>
      <c r="U370" s="249"/>
      <c r="V370" s="249"/>
      <c r="W370" s="25"/>
      <c r="X370" s="918"/>
      <c r="Y370" s="988" t="str">
        <f>IF(LEN('Ch6'!X52)=0,"None",'Ch6'!X52)</f>
        <v>None</v>
      </c>
      <c r="Z370" s="1587"/>
      <c r="AA370" s="1526"/>
      <c r="AC370" s="970" t="b">
        <f>OR(AD370:AE370)</f>
        <v>0</v>
      </c>
      <c r="AD370" s="970" t="b">
        <f>T370</f>
        <v>0</v>
      </c>
      <c r="AE370" s="970" t="b">
        <v>0</v>
      </c>
      <c r="AF370" s="784" t="b">
        <f>AND(AE370,NOT(Q370))</f>
        <v>0</v>
      </c>
      <c r="AG370" s="249"/>
      <c r="AH370" s="249"/>
      <c r="AI370" s="249"/>
      <c r="AJ370" s="249"/>
      <c r="AK370" s="249"/>
      <c r="AL370" s="254" t="str">
        <f t="shared" ref="AL370:AL375" si="23">SUBSTITUTE(SUBSTITUTE(SUBSTITUTE("vpa"&amp;$B370&amp;$C370&amp;$D370&amp;$E370,".","_"),"(","_"),")","")</f>
        <v>vpa601_5_1</v>
      </c>
      <c r="AM370" s="254">
        <f t="shared" ref="AM370:AM375" si="24">M370</f>
        <v>4</v>
      </c>
      <c r="AN370" s="254" t="str">
        <f t="shared" ref="AN370:AN375" si="25">SUBSTITUTE(SUBSTITUTE(SUBSTITUTE("vpc"&amp;$B370&amp;$C370&amp;$D370&amp;$E370,".","_"),"(","_"),")","")</f>
        <v>vpc601_5_1</v>
      </c>
      <c r="AO370" s="254">
        <f t="shared" ref="AO370:AO375" si="26">O370</f>
        <v>0</v>
      </c>
      <c r="AP370" s="1336" t="str">
        <f>SUBSTITUTE(SUBSTITUTE(SUBSTITUTE("vch"&amp;$B370&amp;$C370&amp;$D370&amp;$E370,".","_"),"(","_"),")","")</f>
        <v>vch601_5_1</v>
      </c>
      <c r="AQ370" s="254" t="str">
        <f>IF(LEN(W370)=0,"",W370)</f>
        <v/>
      </c>
      <c r="AR370" s="1336" t="str">
        <f t="shared" ref="AR370:AR375" si="27">SUBSTITUTE(SUBSTITUTE(SUBSTITUTE("vnt"&amp;$B370&amp;$C370&amp;$D370&amp;$E370,".","_"),"(","_"),")","")</f>
        <v>vnt601_5_1</v>
      </c>
      <c r="AS370" s="254" t="str">
        <f t="shared" ref="AS370:AS375" si="28">IF(LEN(X370)=0,"",X370)</f>
        <v/>
      </c>
      <c r="AX370" s="259" t="str">
        <f>'Overview (Verification)'!A51</f>
        <v>Attached Garage:</v>
      </c>
      <c r="AY370" s="260">
        <f>IF(LEN('Overview (Verification)'!P51)=0,0,'Overview (Verification)'!P51)</f>
        <v>0</v>
      </c>
    </row>
    <row r="371" spans="1:51" x14ac:dyDescent="0.25">
      <c r="A371" s="2371">
        <v>6</v>
      </c>
      <c r="B371" s="2383">
        <v>601.5</v>
      </c>
      <c r="C371" s="2374" t="s">
        <v>258</v>
      </c>
      <c r="D371" s="2374"/>
      <c r="E371" s="2374"/>
      <c r="F371" s="2374"/>
      <c r="G371" s="2373" t="str">
        <f>IF(N371&gt;0,"P","")</f>
        <v/>
      </c>
      <c r="H371" s="2371" t="s">
        <v>3972</v>
      </c>
      <c r="I371" s="64"/>
      <c r="J371" s="207" t="s">
        <v>258</v>
      </c>
      <c r="K371" s="208"/>
      <c r="L371" s="280" t="s">
        <v>523</v>
      </c>
      <c r="M371" s="1036">
        <v>4</v>
      </c>
      <c r="N371" s="1049">
        <f>'Ch6'!O53</f>
        <v>0</v>
      </c>
      <c r="O371" s="1049">
        <f>M371*S371*W371</f>
        <v>0</v>
      </c>
      <c r="P371" s="249" t="b">
        <v>1</v>
      </c>
      <c r="Q371" s="249" t="b">
        <v>0</v>
      </c>
      <c r="R371" s="249" t="b">
        <v>0</v>
      </c>
      <c r="S371" s="249" t="b">
        <f>AND(NOT(W373=TRUE),NOT(W374=TRUE))</f>
        <v>1</v>
      </c>
      <c r="T371" s="94" t="b">
        <f>IF(AND(NOT(S371),W371=TRUE),TRUE,FALSE)</f>
        <v>0</v>
      </c>
      <c r="U371" s="249"/>
      <c r="V371" s="249"/>
      <c r="W371" s="25"/>
      <c r="X371" s="918"/>
      <c r="Y371" s="988" t="str">
        <f>IF(LEN('Ch6'!X53)=0,"None",'Ch6'!X53)</f>
        <v>None</v>
      </c>
      <c r="Z371" s="1587"/>
      <c r="AA371" s="1526"/>
      <c r="AC371" s="970" t="b">
        <f>OR(AD371:AE371)</f>
        <v>0</v>
      </c>
      <c r="AD371" s="970" t="b">
        <f>T371</f>
        <v>0</v>
      </c>
      <c r="AE371" s="970" t="b">
        <v>0</v>
      </c>
      <c r="AF371" s="784" t="b">
        <f>AND(AE371,NOT(Q371))</f>
        <v>0</v>
      </c>
      <c r="AG371" s="249"/>
      <c r="AH371" s="249"/>
      <c r="AI371" s="249"/>
      <c r="AJ371" s="249"/>
      <c r="AK371" s="249"/>
      <c r="AL371" s="254" t="str">
        <f t="shared" si="23"/>
        <v>vpa601_5_2</v>
      </c>
      <c r="AM371" s="254">
        <f t="shared" si="24"/>
        <v>4</v>
      </c>
      <c r="AN371" s="254" t="str">
        <f t="shared" si="25"/>
        <v>vpc601_5_2</v>
      </c>
      <c r="AO371" s="254">
        <f t="shared" si="26"/>
        <v>0</v>
      </c>
      <c r="AP371" s="1336" t="str">
        <f>SUBSTITUTE(SUBSTITUTE(SUBSTITUTE("vch"&amp;$B371&amp;$C371&amp;$D371&amp;$E371,".","_"),"(","_"),")","")</f>
        <v>vch601_5_2</v>
      </c>
      <c r="AQ371" s="254" t="str">
        <f>IF(LEN(W371)=0,"",W371)</f>
        <v/>
      </c>
      <c r="AR371" s="1336" t="str">
        <f t="shared" si="27"/>
        <v>vnt601_5_2</v>
      </c>
      <c r="AS371" s="254" t="str">
        <f t="shared" si="28"/>
        <v/>
      </c>
      <c r="AX371" s="259" t="str">
        <f>'Overview (Verification)'!A52</f>
        <v>Recessed Lighting:</v>
      </c>
      <c r="AY371" s="260">
        <f>IF(LEN('Overview (Verification)'!P52)=0,0,'Overview (Verification)'!P52)</f>
        <v>0</v>
      </c>
    </row>
    <row r="372" spans="1:51" x14ac:dyDescent="0.25">
      <c r="A372" s="2371">
        <v>6</v>
      </c>
      <c r="B372" s="2383">
        <v>601.5</v>
      </c>
      <c r="C372" s="2374" t="s">
        <v>260</v>
      </c>
      <c r="D372" s="2374"/>
      <c r="E372" s="2374"/>
      <c r="F372" s="2374"/>
      <c r="G372" s="2373" t="str">
        <f>IF(N372&gt;0,"P","")</f>
        <v/>
      </c>
      <c r="H372" s="2371" t="s">
        <v>3972</v>
      </c>
      <c r="I372" s="64"/>
      <c r="J372" s="207" t="s">
        <v>260</v>
      </c>
      <c r="K372" s="208"/>
      <c r="L372" s="280" t="s">
        <v>524</v>
      </c>
      <c r="M372" s="1036">
        <v>4</v>
      </c>
      <c r="N372" s="1049">
        <f>'Ch6'!O54</f>
        <v>0</v>
      </c>
      <c r="O372" s="1049">
        <f>M372*S372*W372</f>
        <v>0</v>
      </c>
      <c r="P372" s="249" t="b">
        <v>1</v>
      </c>
      <c r="Q372" s="249" t="b">
        <v>0</v>
      </c>
      <c r="R372" s="249" t="b">
        <v>0</v>
      </c>
      <c r="S372" s="249" t="b">
        <f>AND(NOT(W373=TRUE),NOT(W374=TRUE))</f>
        <v>1</v>
      </c>
      <c r="T372" s="94" t="b">
        <f>IF(AND(NOT(S372),W372=TRUE),TRUE,FALSE)</f>
        <v>0</v>
      </c>
      <c r="U372" s="249"/>
      <c r="V372" s="249"/>
      <c r="W372" s="25"/>
      <c r="X372" s="918"/>
      <c r="Y372" s="988" t="str">
        <f>IF(LEN('Ch6'!X54)=0,"None",'Ch6'!X54)</f>
        <v>None</v>
      </c>
      <c r="Z372" s="1587"/>
      <c r="AA372" s="1526"/>
      <c r="AC372" s="970" t="b">
        <f>OR(AD372:AE372)</f>
        <v>0</v>
      </c>
      <c r="AD372" s="970" t="b">
        <f>T372</f>
        <v>0</v>
      </c>
      <c r="AE372" s="970" t="b">
        <v>0</v>
      </c>
      <c r="AF372" s="784" t="b">
        <f>AND(AE372,NOT(Q372))</f>
        <v>0</v>
      </c>
      <c r="AG372" s="249"/>
      <c r="AH372" s="249"/>
      <c r="AI372" s="249"/>
      <c r="AJ372" s="249"/>
      <c r="AK372" s="249"/>
      <c r="AL372" s="254" t="str">
        <f t="shared" si="23"/>
        <v>vpa601_5_3</v>
      </c>
      <c r="AM372" s="254">
        <f t="shared" si="24"/>
        <v>4</v>
      </c>
      <c r="AN372" s="254" t="str">
        <f t="shared" si="25"/>
        <v>vpc601_5_3</v>
      </c>
      <c r="AO372" s="254">
        <f t="shared" si="26"/>
        <v>0</v>
      </c>
      <c r="AP372" s="1336" t="str">
        <f>SUBSTITUTE(SUBSTITUTE(SUBSTITUTE("vch"&amp;$B372&amp;$C372&amp;$D372&amp;$E372,".","_"),"(","_"),")","")</f>
        <v>vch601_5_3</v>
      </c>
      <c r="AQ372" s="254" t="str">
        <f>IF(LEN(W372)=0,"",W372)</f>
        <v/>
      </c>
      <c r="AR372" s="1336" t="str">
        <f t="shared" si="27"/>
        <v>vnt601_5_3</v>
      </c>
      <c r="AS372" s="254" t="str">
        <f t="shared" si="28"/>
        <v/>
      </c>
      <c r="AX372" s="259"/>
      <c r="AY372" s="260"/>
    </row>
    <row r="373" spans="1:51" x14ac:dyDescent="0.25">
      <c r="A373" s="2371">
        <v>6</v>
      </c>
      <c r="B373" s="2383">
        <v>601.5</v>
      </c>
      <c r="C373" s="2374" t="s">
        <v>269</v>
      </c>
      <c r="D373" s="2374"/>
      <c r="E373" s="2374"/>
      <c r="F373" s="2374"/>
      <c r="G373" s="2373" t="str">
        <f>IF(N373&gt;0,"P","")</f>
        <v/>
      </c>
      <c r="H373" s="2371" t="s">
        <v>3972</v>
      </c>
      <c r="I373" s="64"/>
      <c r="J373" s="207" t="s">
        <v>269</v>
      </c>
      <c r="K373" s="208"/>
      <c r="L373" s="280" t="s">
        <v>525</v>
      </c>
      <c r="M373" s="1036">
        <v>13</v>
      </c>
      <c r="N373" s="1049">
        <f>'Ch6'!O55</f>
        <v>0</v>
      </c>
      <c r="O373" s="1049">
        <f>M373*S373*W373</f>
        <v>0</v>
      </c>
      <c r="P373" s="249" t="b">
        <v>1</v>
      </c>
      <c r="Q373" s="249" t="b">
        <v>0</v>
      </c>
      <c r="R373" s="249" t="b">
        <v>0</v>
      </c>
      <c r="S373" s="249" t="b">
        <f>NOT(OR(W370=TRUE,W371=TRUE,W372=TRUE,W374=TRUE))</f>
        <v>1</v>
      </c>
      <c r="T373" s="94" t="b">
        <f>IF(AND(NOT(S373),W373=TRUE),TRUE,FALSE)</f>
        <v>0</v>
      </c>
      <c r="U373" s="249"/>
      <c r="V373" s="249"/>
      <c r="W373" s="25"/>
      <c r="X373" s="918"/>
      <c r="Y373" s="988" t="str">
        <f>IF(LEN('Ch6'!X55)=0,"None",'Ch6'!X55)</f>
        <v>None</v>
      </c>
      <c r="Z373" s="1587"/>
      <c r="AA373" s="1526"/>
      <c r="AC373" s="970" t="b">
        <f>OR(AD373:AE373)</f>
        <v>0</v>
      </c>
      <c r="AD373" s="970" t="b">
        <f>T373</f>
        <v>0</v>
      </c>
      <c r="AE373" s="970" t="b">
        <v>0</v>
      </c>
      <c r="AF373" s="784" t="b">
        <f>AND(AE373,NOT(Q373))</f>
        <v>0</v>
      </c>
      <c r="AG373" s="249"/>
      <c r="AH373" s="249"/>
      <c r="AI373" s="249"/>
      <c r="AJ373" s="249"/>
      <c r="AK373" s="249"/>
      <c r="AL373" s="254" t="str">
        <f t="shared" si="23"/>
        <v>vpa601_5_4</v>
      </c>
      <c r="AM373" s="254">
        <f t="shared" si="24"/>
        <v>13</v>
      </c>
      <c r="AN373" s="254" t="str">
        <f t="shared" si="25"/>
        <v>vpc601_5_4</v>
      </c>
      <c r="AO373" s="254">
        <f t="shared" si="26"/>
        <v>0</v>
      </c>
      <c r="AP373" s="1336" t="str">
        <f>SUBSTITUTE(SUBSTITUTE(SUBSTITUTE("vch"&amp;$B373&amp;$C373&amp;$D373&amp;$E373,".","_"),"(","_"),")","")</f>
        <v>vch601_5_4</v>
      </c>
      <c r="AQ373" s="254" t="str">
        <f>IF(LEN(W373)=0,"",W373)</f>
        <v/>
      </c>
      <c r="AR373" s="1336" t="str">
        <f t="shared" si="27"/>
        <v>vnt601_5_4</v>
      </c>
      <c r="AS373" s="254" t="str">
        <f t="shared" si="28"/>
        <v/>
      </c>
      <c r="AX373" s="259" t="str">
        <f>'Overview (Verification)'!A54</f>
        <v>Special Design Features:</v>
      </c>
      <c r="AY373" s="260"/>
    </row>
    <row r="374" spans="1:51" ht="15.75" thickBot="1" x14ac:dyDescent="0.3">
      <c r="A374" s="2371">
        <v>6</v>
      </c>
      <c r="B374" s="2383">
        <v>601.5</v>
      </c>
      <c r="C374" s="2374" t="s">
        <v>275</v>
      </c>
      <c r="D374" s="2374"/>
      <c r="E374" s="2374"/>
      <c r="F374" s="2374"/>
      <c r="G374" s="2373" t="str">
        <f>IF(N374&gt;0,"P","")</f>
        <v/>
      </c>
      <c r="H374" s="2371" t="s">
        <v>3972</v>
      </c>
      <c r="I374" s="64"/>
      <c r="J374" s="27" t="s">
        <v>275</v>
      </c>
      <c r="K374" s="83"/>
      <c r="L374" s="1170" t="s">
        <v>526</v>
      </c>
      <c r="M374" s="1014">
        <v>13</v>
      </c>
      <c r="N374" s="1042">
        <f>'Ch6'!O56</f>
        <v>0</v>
      </c>
      <c r="O374" s="1042">
        <f>M374*S374*W374</f>
        <v>0</v>
      </c>
      <c r="P374" s="249" t="b">
        <v>1</v>
      </c>
      <c r="Q374" s="249" t="b">
        <v>0</v>
      </c>
      <c r="R374" s="249" t="b">
        <v>0</v>
      </c>
      <c r="S374" s="249" t="b">
        <f>NOT(OR(W370=TRUE,W371=TRUE,W372=TRUE,W373=TRUE))</f>
        <v>1</v>
      </c>
      <c r="T374" s="94" t="b">
        <f>IF(AND(NOT(S374),W374=TRUE),TRUE,FALSE)</f>
        <v>0</v>
      </c>
      <c r="U374" s="249"/>
      <c r="V374" s="249"/>
      <c r="W374" s="25"/>
      <c r="X374" s="919"/>
      <c r="Y374" s="989" t="str">
        <f>IF(LEN('Ch6'!X56)=0,"None",'Ch6'!X56)</f>
        <v>None</v>
      </c>
      <c r="Z374" s="1595"/>
      <c r="AA374" s="1526"/>
      <c r="AC374" s="970" t="b">
        <f>OR(AD374:AE374)</f>
        <v>0</v>
      </c>
      <c r="AD374" s="970" t="b">
        <f>T374</f>
        <v>0</v>
      </c>
      <c r="AE374" s="970" t="b">
        <v>0</v>
      </c>
      <c r="AF374" s="784" t="b">
        <f>AND(AE374,NOT(Q374))</f>
        <v>0</v>
      </c>
      <c r="AG374" s="249"/>
      <c r="AH374" s="249"/>
      <c r="AI374" s="249"/>
      <c r="AJ374" s="249"/>
      <c r="AK374" s="249"/>
      <c r="AL374" s="254" t="str">
        <f t="shared" si="23"/>
        <v>vpa601_5_5</v>
      </c>
      <c r="AM374" s="254">
        <f t="shared" si="24"/>
        <v>13</v>
      </c>
      <c r="AN374" s="254" t="str">
        <f t="shared" si="25"/>
        <v>vpc601_5_5</v>
      </c>
      <c r="AO374" s="254">
        <f t="shared" si="26"/>
        <v>0</v>
      </c>
      <c r="AP374" s="1336" t="str">
        <f>SUBSTITUTE(SUBSTITUTE(SUBSTITUTE("vch"&amp;$B374&amp;$C374&amp;$D374&amp;$E374,".","_"),"(","_"),")","")</f>
        <v>vch601_5_5</v>
      </c>
      <c r="AQ374" s="254" t="str">
        <f>IF(LEN(W374)=0,"",W374)</f>
        <v/>
      </c>
      <c r="AR374" s="1336" t="str">
        <f t="shared" si="27"/>
        <v>vnt601_5_5</v>
      </c>
      <c r="AS374" s="254" t="str">
        <f t="shared" si="28"/>
        <v/>
      </c>
      <c r="AX374" s="259" t="str">
        <f>'Overview (Verification)'!A55</f>
        <v>Passive Solar:</v>
      </c>
      <c r="AY374" s="260">
        <f>IF(LEN('Overview (Verification)'!P55)=0,0,'Overview (Verification)'!P55)</f>
        <v>0</v>
      </c>
    </row>
    <row r="375" spans="1:51" ht="15.75" thickTop="1" x14ac:dyDescent="0.25">
      <c r="A375" s="2371">
        <v>6</v>
      </c>
      <c r="B375" s="2383">
        <v>601.6</v>
      </c>
      <c r="C375" s="2374"/>
      <c r="D375" s="2374"/>
      <c r="E375" s="2374"/>
      <c r="F375" s="2374"/>
      <c r="G375" s="2373" t="str">
        <f ca="1">IF(N375&gt;0,"P","")</f>
        <v/>
      </c>
      <c r="H375" s="2371" t="s">
        <v>3972</v>
      </c>
      <c r="I375" s="180">
        <v>601.6</v>
      </c>
      <c r="J375" s="181"/>
      <c r="K375" s="182"/>
      <c r="L375" s="1781" t="s">
        <v>527</v>
      </c>
      <c r="M375" s="1772" t="s">
        <v>528</v>
      </c>
      <c r="N375" s="2080">
        <f ca="1">'Ch6'!O57</f>
        <v>0</v>
      </c>
      <c r="O375" s="1773">
        <f ca="1">IFERROR(INDEX({4,6,8},MATCH(W376,INDIRECT(U376),0)),0)</f>
        <v>0</v>
      </c>
      <c r="P375" s="105"/>
      <c r="Q375" s="105"/>
      <c r="R375" s="105"/>
      <c r="S375" s="105"/>
      <c r="T375" s="105"/>
      <c r="U375" s="105"/>
      <c r="V375" s="105"/>
      <c r="W375" s="105" t="s">
        <v>4592</v>
      </c>
      <c r="X375" s="1784"/>
      <c r="Y375" s="2097" t="str">
        <f>IF(LEN('Ch6'!X57)=0,"None",'Ch6'!X57)</f>
        <v>None</v>
      </c>
      <c r="Z375" s="2085"/>
      <c r="AA375" s="1551" t="str">
        <f>IF(LEN('Photo Review'!I374)&gt;0,'Photo Review'!I374,"")</f>
        <v/>
      </c>
      <c r="AC375" s="970"/>
      <c r="AD375" s="970"/>
      <c r="AE375" s="970"/>
      <c r="AF375" s="249"/>
      <c r="AG375" s="249"/>
      <c r="AH375" s="249"/>
      <c r="AI375" s="249"/>
      <c r="AJ375" s="249"/>
      <c r="AK375" s="249"/>
      <c r="AL375" s="254" t="str">
        <f t="shared" si="23"/>
        <v>vpa601_6</v>
      </c>
      <c r="AM375" s="254" t="str">
        <f t="shared" si="24"/>
        <v>8 Max</v>
      </c>
      <c r="AN375" s="254" t="str">
        <f t="shared" si="25"/>
        <v>vpc601_6</v>
      </c>
      <c r="AO375" s="254">
        <f t="shared" ca="1" si="26"/>
        <v>0</v>
      </c>
      <c r="AP375" s="1336"/>
      <c r="AQ375" s="1336"/>
      <c r="AR375" s="1336" t="str">
        <f t="shared" si="27"/>
        <v>vnt601_6</v>
      </c>
      <c r="AS375" s="254" t="str">
        <f t="shared" si="28"/>
        <v/>
      </c>
      <c r="AX375" s="259" t="str">
        <f>'Overview (Verification)'!A56</f>
        <v>Mass Walls:</v>
      </c>
      <c r="AY375" s="260">
        <f>IF(LEN('Overview (Verification)'!P56)=0,0,'Overview (Verification)'!P56)</f>
        <v>0</v>
      </c>
    </row>
    <row r="376" spans="1:51" x14ac:dyDescent="0.25">
      <c r="A376" s="2371">
        <v>6</v>
      </c>
      <c r="B376" s="2383">
        <v>601.6</v>
      </c>
      <c r="C376" s="2374"/>
      <c r="D376" s="2374"/>
      <c r="E376" s="2374"/>
      <c r="F376" s="2374"/>
      <c r="G376" s="2373" t="str">
        <f ca="1">G375</f>
        <v/>
      </c>
      <c r="H376" s="2371" t="s">
        <v>3972</v>
      </c>
      <c r="I376" s="130"/>
      <c r="J376" s="129"/>
      <c r="K376" s="95"/>
      <c r="L376" s="1782"/>
      <c r="M376" s="1758"/>
      <c r="N376" s="1927"/>
      <c r="O376" s="1774"/>
      <c r="P376" s="1084" t="b">
        <v>1</v>
      </c>
      <c r="Q376" s="1084" t="b">
        <v>0</v>
      </c>
      <c r="R376" s="94" t="b">
        <v>0</v>
      </c>
      <c r="S376" s="94" t="b">
        <v>1</v>
      </c>
      <c r="T376" s="94" t="b">
        <v>0</v>
      </c>
      <c r="U376" s="94" t="str">
        <f>SUBSTITUTE(SUBSTITUTE(SUBSTITUTE("dd"&amp;B376&amp;C376&amp;D376&amp;E376&amp;F376,".","_"),"(","_"),")","")</f>
        <v>dd601_6</v>
      </c>
      <c r="V376" s="94"/>
      <c r="W376" s="1086" t="str">
        <f ca="1">IFERROR(INDEX(INDIRECT(U376),MIN(S378-1,3)),"no stacked stories")</f>
        <v>no stacked stories</v>
      </c>
      <c r="X376" s="1757"/>
      <c r="Y376" s="2081"/>
      <c r="Z376" s="2084"/>
      <c r="AA376" s="1526"/>
      <c r="AC376" s="970"/>
      <c r="AD376" s="970"/>
      <c r="AE376" s="970"/>
      <c r="AF376" s="249"/>
      <c r="AG376" s="249"/>
      <c r="AH376" s="249"/>
      <c r="AI376" s="249"/>
      <c r="AJ376" s="249"/>
      <c r="AK376" s="249"/>
      <c r="AL376" s="1336"/>
      <c r="AM376" s="1336"/>
      <c r="AN376" s="1336"/>
      <c r="AO376" s="1336"/>
      <c r="AP376" s="1336"/>
      <c r="AQ376" s="254"/>
      <c r="AR376" s="1336"/>
      <c r="AS376" s="1336"/>
      <c r="AX376" s="259" t="str">
        <f>'Overview (Verification)'!A57</f>
        <v>Radiant/Hydronic:</v>
      </c>
      <c r="AY376" s="260">
        <f>IF(LEN('Overview (Verification)'!P57)=0,0,'Overview (Verification)'!P57)</f>
        <v>0</v>
      </c>
    </row>
    <row r="377" spans="1:51" x14ac:dyDescent="0.25">
      <c r="A377" s="2371">
        <v>6</v>
      </c>
      <c r="B377" s="2383">
        <v>601.6</v>
      </c>
      <c r="C377" s="2374"/>
      <c r="D377" s="2374"/>
      <c r="E377" s="2374"/>
      <c r="F377" s="2374"/>
      <c r="G377" s="2373" t="str">
        <f ca="1">G376</f>
        <v/>
      </c>
      <c r="H377" s="2371" t="s">
        <v>3972</v>
      </c>
      <c r="I377" s="130"/>
      <c r="J377" s="129"/>
      <c r="K377" s="95"/>
      <c r="L377" s="1782"/>
      <c r="M377" s="1758"/>
      <c r="N377" s="1927"/>
      <c r="O377" s="1774"/>
      <c r="P377" s="94"/>
      <c r="Q377" s="94"/>
      <c r="R377" s="94"/>
      <c r="S377" s="197" t="s">
        <v>4591</v>
      </c>
      <c r="T377" s="94"/>
      <c r="U377" s="94"/>
      <c r="V377" s="94"/>
      <c r="W377" s="94"/>
      <c r="X377" s="1757"/>
      <c r="Y377" s="2081"/>
      <c r="Z377" s="2084"/>
      <c r="AA377" s="1526"/>
      <c r="AC377" s="970"/>
      <c r="AD377" s="970"/>
      <c r="AE377" s="970"/>
      <c r="AF377" s="249"/>
      <c r="AG377" s="249"/>
      <c r="AH377" s="249"/>
      <c r="AI377" s="249"/>
      <c r="AJ377" s="249"/>
      <c r="AK377" s="249"/>
      <c r="AL377" s="1336"/>
      <c r="AM377" s="1336"/>
      <c r="AN377" s="1336"/>
      <c r="AO377" s="1336"/>
      <c r="AP377" s="1336"/>
      <c r="AQ377" s="1336"/>
      <c r="AR377" s="1336"/>
      <c r="AS377" s="1336"/>
      <c r="AX377" s="259" t="str">
        <f>'Overview (Verification)'!A58</f>
        <v>Tankless Water Heater:</v>
      </c>
      <c r="AY377" s="260">
        <f>IF(LEN('Overview (Verification)'!P58)=0,0,'Overview (Verification)'!P58)</f>
        <v>0</v>
      </c>
    </row>
    <row r="378" spans="1:51" x14ac:dyDescent="0.25">
      <c r="A378" s="2371">
        <v>6</v>
      </c>
      <c r="B378" s="2383">
        <v>601.6</v>
      </c>
      <c r="C378" s="2374" t="s">
        <v>256</v>
      </c>
      <c r="D378" s="2374"/>
      <c r="E378" s="2374"/>
      <c r="F378" s="2374"/>
      <c r="G378" s="2373" t="str">
        <f ca="1">G377</f>
        <v/>
      </c>
      <c r="H378" s="2371" t="s">
        <v>3972</v>
      </c>
      <c r="I378" s="130"/>
      <c r="J378" s="206" t="s">
        <v>256</v>
      </c>
      <c r="K378" s="175"/>
      <c r="L378" s="1163" t="s">
        <v>529</v>
      </c>
      <c r="M378" s="1015">
        <v>4</v>
      </c>
      <c r="N378" s="1044"/>
      <c r="O378" s="1085"/>
      <c r="P378" s="94"/>
      <c r="Q378" s="94"/>
      <c r="R378" s="94"/>
      <c r="S378" s="197">
        <f>AY346</f>
        <v>0</v>
      </c>
      <c r="T378" s="94"/>
      <c r="U378" s="94"/>
      <c r="V378" s="94"/>
      <c r="W378" s="94"/>
      <c r="X378" s="1757"/>
      <c r="Y378" s="2081"/>
      <c r="Z378" s="2084"/>
      <c r="AA378" s="1526"/>
      <c r="AC378" s="970"/>
      <c r="AD378" s="970"/>
      <c r="AE378" s="970"/>
      <c r="AF378" s="249"/>
      <c r="AG378" s="249"/>
      <c r="AH378" s="249"/>
      <c r="AI378" s="249"/>
      <c r="AJ378" s="249"/>
      <c r="AK378" s="249"/>
      <c r="AL378" s="254" t="str">
        <f>SUBSTITUTE(SUBSTITUTE(SUBSTITUTE("vpa"&amp;$B378&amp;$C378&amp;$D378&amp;$E378,".","_"),"(","_"),")","")</f>
        <v>vpa601_6_1</v>
      </c>
      <c r="AM378" s="254">
        <f>M378</f>
        <v>4</v>
      </c>
      <c r="AN378" s="1336"/>
      <c r="AO378" s="1336"/>
      <c r="AP378" s="1336"/>
      <c r="AQ378" s="1336"/>
      <c r="AR378" s="1336"/>
      <c r="AS378" s="1336"/>
      <c r="AX378" s="259" t="str">
        <f>'Overview (Verification)'!A59</f>
        <v>Composting Toilet:</v>
      </c>
      <c r="AY378" s="260">
        <f>IF(LEN('Overview (Verification)'!P59)=0,0,'Overview (Verification)'!P59)</f>
        <v>0</v>
      </c>
    </row>
    <row r="379" spans="1:51" ht="15.75" thickBot="1" x14ac:dyDescent="0.3">
      <c r="A379" s="2371">
        <v>6</v>
      </c>
      <c r="B379" s="2383">
        <v>601.6</v>
      </c>
      <c r="C379" s="2374" t="s">
        <v>258</v>
      </c>
      <c r="D379" s="2374"/>
      <c r="E379" s="2374"/>
      <c r="F379" s="2374"/>
      <c r="G379" s="2373" t="str">
        <f ca="1">G378</f>
        <v/>
      </c>
      <c r="H379" s="2371" t="s">
        <v>3972</v>
      </c>
      <c r="I379" s="130"/>
      <c r="J379" s="183" t="s">
        <v>258</v>
      </c>
      <c r="K379" s="95"/>
      <c r="L379" s="1162" t="s">
        <v>530</v>
      </c>
      <c r="M379" s="1010">
        <v>2</v>
      </c>
      <c r="N379" s="1044"/>
      <c r="O379" s="1044"/>
      <c r="P379" s="94"/>
      <c r="Q379" s="94"/>
      <c r="R379" s="94"/>
      <c r="S379" s="94"/>
      <c r="T379" s="94"/>
      <c r="U379" s="94"/>
      <c r="V379" s="94"/>
      <c r="W379" s="94"/>
      <c r="X379" s="1798"/>
      <c r="Y379" s="2082"/>
      <c r="Z379" s="2086"/>
      <c r="AA379" s="1526"/>
      <c r="AC379" s="970"/>
      <c r="AD379" s="970"/>
      <c r="AE379" s="970"/>
      <c r="AF379" s="249"/>
      <c r="AG379" s="249"/>
      <c r="AH379" s="249"/>
      <c r="AI379" s="249"/>
      <c r="AJ379" s="249"/>
      <c r="AK379" s="249"/>
      <c r="AL379" s="254" t="str">
        <f>SUBSTITUTE(SUBSTITUTE(SUBSTITUTE("vpa"&amp;$B379&amp;$C379&amp;$D379&amp;$E379,".","_"),"(","_"),")","")</f>
        <v>vpa601_6_2</v>
      </c>
      <c r="AM379" s="254">
        <f>M379</f>
        <v>2</v>
      </c>
      <c r="AN379" s="1336"/>
      <c r="AO379" s="1336"/>
      <c r="AP379" s="1336"/>
      <c r="AQ379" s="1336"/>
      <c r="AR379" s="1336"/>
      <c r="AS379" s="1336"/>
      <c r="AX379" s="259"/>
      <c r="AY379" s="260"/>
    </row>
    <row r="380" spans="1:51" ht="15.75" thickTop="1" x14ac:dyDescent="0.25">
      <c r="A380" s="2371">
        <v>6</v>
      </c>
      <c r="B380" s="2383">
        <v>601.70000000000005</v>
      </c>
      <c r="C380" s="2374"/>
      <c r="D380" s="2374"/>
      <c r="E380" s="2374"/>
      <c r="F380" s="2374"/>
      <c r="G380" s="2373" t="str">
        <f ca="1">IF(N380&gt;0,"P","")</f>
        <v/>
      </c>
      <c r="H380" s="2371" t="s">
        <v>3971</v>
      </c>
      <c r="I380" s="180">
        <v>601.70000000000005</v>
      </c>
      <c r="J380" s="181"/>
      <c r="K380" s="182"/>
      <c r="L380" s="1781" t="s">
        <v>531</v>
      </c>
      <c r="M380" s="1772" t="s">
        <v>532</v>
      </c>
      <c r="N380" s="2080">
        <f ca="1">'Ch6'!O62</f>
        <v>0</v>
      </c>
      <c r="O380" s="2080">
        <f ca="1">MIN(12,IFERROR(INDEX({1,2,5},MATCH(W383,INDIRECT(U383),0)),0)+IFERROR(INDEX({1,2,5},MATCH(W384,INDIRECT(U384),0)),0)+IFERROR(INDEX({1,2,5},MATCH(W385,INDIRECT(U385),0)),0)+IFERROR(INDEX({1,2,5},MATCH(W389,INDIRECT(U389),0)),0)+IFERROR(INDEX({1,2,5},MATCH(W391,INDIRECT(U391),0)),0))</f>
        <v>0</v>
      </c>
      <c r="P380" s="105"/>
      <c r="Q380" s="105"/>
      <c r="R380" s="105"/>
      <c r="S380" s="105"/>
      <c r="T380" s="105"/>
      <c r="U380" s="105"/>
      <c r="V380" s="105"/>
      <c r="W380" s="105"/>
      <c r="X380" s="1815"/>
      <c r="Y380" s="2129" t="str">
        <f>IF(LEN('Ch6'!X62)=0,"None",'Ch6'!X62)</f>
        <v>None</v>
      </c>
      <c r="Z380" s="2089"/>
      <c r="AA380" s="1526"/>
      <c r="AC380" s="970"/>
      <c r="AD380" s="970"/>
      <c r="AE380" s="970"/>
      <c r="AF380" s="249"/>
      <c r="AG380" s="249"/>
      <c r="AH380" s="249"/>
      <c r="AI380" s="249"/>
      <c r="AJ380" s="249"/>
      <c r="AK380" s="249"/>
      <c r="AL380" s="254" t="str">
        <f>SUBSTITUTE(SUBSTITUTE(SUBSTITUTE("vpa"&amp;$B380&amp;$C380&amp;$D380&amp;$E380,".","_"),"(","_"),")","")</f>
        <v>vpa601_7</v>
      </c>
      <c r="AM380" s="254" t="str">
        <f>M380</f>
        <v>12 Max</v>
      </c>
      <c r="AN380" s="254" t="str">
        <f>SUBSTITUTE(SUBSTITUTE(SUBSTITUTE("vpc"&amp;$B380&amp;$C380&amp;$D380&amp;$E380,".","_"),"(","_"),")","")</f>
        <v>vpc601_7</v>
      </c>
      <c r="AO380" s="254">
        <f ca="1">O380</f>
        <v>0</v>
      </c>
      <c r="AP380" s="1336"/>
      <c r="AQ380" s="1336"/>
      <c r="AR380" s="1336" t="str">
        <f>SUBSTITUTE(SUBSTITUTE(SUBSTITUTE("vnt"&amp;$B380&amp;$C380&amp;$D380&amp;$E380,".","_"),"(","_"),")","")</f>
        <v>vnt601_7</v>
      </c>
      <c r="AS380" s="254" t="str">
        <f>IF(LEN(X380)=0,"",X380)</f>
        <v/>
      </c>
      <c r="AX380" s="259" t="str">
        <f>'Overview (Verification)'!A61</f>
        <v>Local Energy Code:</v>
      </c>
      <c r="AY380" s="260">
        <f>IF(LEN('Overview (Verification)'!P61)=0,0,'Overview (Verification)'!P61)</f>
        <v>0</v>
      </c>
    </row>
    <row r="381" spans="1:51" x14ac:dyDescent="0.25">
      <c r="A381" s="2371">
        <v>6</v>
      </c>
      <c r="B381" s="2383">
        <v>601.70000000000005</v>
      </c>
      <c r="C381" s="2374"/>
      <c r="D381" s="2374"/>
      <c r="E381" s="2374"/>
      <c r="F381" s="2374"/>
      <c r="G381" s="2373" t="str">
        <f t="shared" ref="G381:G397" ca="1" si="29">G380</f>
        <v/>
      </c>
      <c r="H381" s="2371" t="s">
        <v>3971</v>
      </c>
      <c r="I381" s="130"/>
      <c r="J381" s="129"/>
      <c r="K381" s="95"/>
      <c r="L381" s="1782"/>
      <c r="M381" s="1758"/>
      <c r="N381" s="1927"/>
      <c r="O381" s="1927"/>
      <c r="P381" s="94"/>
      <c r="Q381" s="94"/>
      <c r="R381" s="94"/>
      <c r="S381" s="94"/>
      <c r="T381" s="94"/>
      <c r="U381" s="94"/>
      <c r="V381" s="94"/>
      <c r="W381" s="94"/>
      <c r="X381" s="1799"/>
      <c r="Y381" s="2100"/>
      <c r="Z381" s="2091"/>
      <c r="AA381" s="1526"/>
      <c r="AC381" s="970"/>
      <c r="AD381" s="970"/>
      <c r="AE381" s="970"/>
      <c r="AF381" s="249"/>
      <c r="AG381" s="249"/>
      <c r="AH381" s="249"/>
      <c r="AI381" s="249"/>
      <c r="AJ381" s="249"/>
      <c r="AK381" s="249"/>
      <c r="AL381" s="1336"/>
      <c r="AM381" s="1336"/>
      <c r="AN381" s="1336"/>
      <c r="AO381" s="1336"/>
      <c r="AP381" s="1336"/>
      <c r="AQ381" s="1336"/>
      <c r="AR381" s="1336"/>
      <c r="AS381" s="1336"/>
      <c r="AX381" s="259" t="str">
        <f>'Overview (Verification)'!A62</f>
        <v>Local Building Code:</v>
      </c>
      <c r="AY381" s="260">
        <f>IF(LEN('Overview (Verification)'!P62)=0,0,'Overview (Verification)'!P62)</f>
        <v>0</v>
      </c>
    </row>
    <row r="382" spans="1:51" x14ac:dyDescent="0.25">
      <c r="A382" s="2371">
        <v>6</v>
      </c>
      <c r="B382" s="2383">
        <v>601.70000000000005</v>
      </c>
      <c r="C382" s="2374"/>
      <c r="D382" s="2374"/>
      <c r="E382" s="2374"/>
      <c r="F382" s="2374"/>
      <c r="G382" s="2373" t="str">
        <f t="shared" ca="1" si="29"/>
        <v/>
      </c>
      <c r="H382" s="2371" t="s">
        <v>3971</v>
      </c>
      <c r="I382" s="130"/>
      <c r="J382" s="129"/>
      <c r="K382" s="95"/>
      <c r="L382" s="1175" t="s">
        <v>542</v>
      </c>
      <c r="M382" s="1010"/>
      <c r="N382" s="1044"/>
      <c r="O382" s="1044"/>
      <c r="P382" s="94"/>
      <c r="Q382" s="94"/>
      <c r="R382" s="94"/>
      <c r="S382" s="94"/>
      <c r="T382" s="94"/>
      <c r="U382" s="94"/>
      <c r="V382" s="94"/>
      <c r="W382" s="94"/>
      <c r="X382" s="1799"/>
      <c r="Y382" s="2100"/>
      <c r="Z382" s="2091"/>
      <c r="AA382" s="1526"/>
      <c r="AC382" s="970"/>
      <c r="AD382" s="970"/>
      <c r="AE382" s="970"/>
      <c r="AF382" s="249"/>
      <c r="AG382" s="249"/>
      <c r="AH382" s="249"/>
      <c r="AI382" s="249"/>
      <c r="AJ382" s="249"/>
      <c r="AK382" s="249"/>
      <c r="AL382" s="1336"/>
      <c r="AM382" s="1336"/>
      <c r="AN382" s="1336"/>
      <c r="AO382" s="1336"/>
      <c r="AP382" s="1336"/>
      <c r="AQ382" s="1336"/>
      <c r="AR382" s="1336"/>
      <c r="AS382" s="1336"/>
    </row>
    <row r="383" spans="1:51" x14ac:dyDescent="0.25">
      <c r="A383" s="2371">
        <v>6</v>
      </c>
      <c r="B383" s="2383">
        <v>601.70000000000005</v>
      </c>
      <c r="C383" s="2374"/>
      <c r="D383" s="2374" t="s">
        <v>121</v>
      </c>
      <c r="E383" s="2374"/>
      <c r="F383" s="2374"/>
      <c r="G383" s="2373" t="str">
        <f t="shared" ca="1" si="29"/>
        <v/>
      </c>
      <c r="H383" s="2375" t="s">
        <v>3971</v>
      </c>
      <c r="I383" s="130"/>
      <c r="J383" s="129"/>
      <c r="K383" s="174" t="s">
        <v>121</v>
      </c>
      <c r="L383" s="1163" t="s">
        <v>533</v>
      </c>
      <c r="M383" s="1010"/>
      <c r="N383" s="1044"/>
      <c r="O383" s="1044"/>
      <c r="P383" s="94" t="b">
        <v>1</v>
      </c>
      <c r="Q383" s="94" t="b">
        <v>1</v>
      </c>
      <c r="R383" s="94" t="b">
        <v>0</v>
      </c>
      <c r="S383" s="94" t="b">
        <v>1</v>
      </c>
      <c r="T383" s="94" t="b">
        <v>0</v>
      </c>
      <c r="U383" s="94" t="str">
        <f>SUBSTITUTE(SUBSTITUTE(SUBSTITUTE("dd"&amp;B383&amp;C383&amp;D383&amp;E383&amp;F383,".","_"),"(","_"),")","")</f>
        <v>dd601_7_a</v>
      </c>
      <c r="V383" s="94"/>
      <c r="W383" s="12"/>
      <c r="X383" s="1799"/>
      <c r="Y383" s="2100"/>
      <c r="Z383" s="2091"/>
      <c r="AA383" s="1526"/>
      <c r="AC383" s="970"/>
      <c r="AD383" s="970"/>
      <c r="AE383" s="970"/>
      <c r="AF383" s="249"/>
      <c r="AG383" s="249"/>
      <c r="AH383" s="249"/>
      <c r="AI383" s="249"/>
      <c r="AJ383" s="249"/>
      <c r="AK383" s="249"/>
      <c r="AL383" s="1336"/>
      <c r="AM383" s="1336"/>
      <c r="AN383" s="1336"/>
      <c r="AO383" s="1336"/>
      <c r="AP383" s="1336" t="str">
        <f>SUBSTITUTE(SUBSTITUTE(SUBSTITUTE("vch"&amp;$B383&amp;$C383&amp;$D383&amp;$E383,".","_"),"(","_"),")","")</f>
        <v>vch601_7_a</v>
      </c>
      <c r="AQ383" s="254" t="str">
        <f>IF(LEN(W383)=0,"",W383)</f>
        <v/>
      </c>
      <c r="AR383" s="1336"/>
      <c r="AS383" s="1336"/>
    </row>
    <row r="384" spans="1:51" x14ac:dyDescent="0.25">
      <c r="A384" s="2371">
        <v>6</v>
      </c>
      <c r="B384" s="2383">
        <v>601.70000000000005</v>
      </c>
      <c r="C384" s="2374"/>
      <c r="D384" s="2374" t="s">
        <v>122</v>
      </c>
      <c r="E384" s="2374"/>
      <c r="F384" s="2374"/>
      <c r="G384" s="2373" t="str">
        <f t="shared" ca="1" si="29"/>
        <v/>
      </c>
      <c r="H384" s="2375" t="s">
        <v>3971</v>
      </c>
      <c r="I384" s="130"/>
      <c r="J384" s="129"/>
      <c r="K384" s="212" t="s">
        <v>122</v>
      </c>
      <c r="L384" s="280" t="s">
        <v>534</v>
      </c>
      <c r="M384" s="1010"/>
      <c r="N384" s="1044"/>
      <c r="O384" s="1044"/>
      <c r="P384" s="94" t="b">
        <v>1</v>
      </c>
      <c r="Q384" s="94" t="b">
        <v>1</v>
      </c>
      <c r="R384" s="94" t="b">
        <v>0</v>
      </c>
      <c r="S384" s="94" t="b">
        <v>1</v>
      </c>
      <c r="T384" s="94" t="b">
        <v>0</v>
      </c>
      <c r="U384" s="94" t="str">
        <f>SUBSTITUTE(SUBSTITUTE(SUBSTITUTE("dd"&amp;B384&amp;C384&amp;D384&amp;E384&amp;F384,".","_"),"(","_"),")","")</f>
        <v>dd601_7_b</v>
      </c>
      <c r="V384" s="94"/>
      <c r="W384" s="12"/>
      <c r="X384" s="1799"/>
      <c r="Y384" s="2100"/>
      <c r="Z384" s="2091"/>
      <c r="AA384" s="1526"/>
      <c r="AC384" s="970"/>
      <c r="AD384" s="970"/>
      <c r="AE384" s="970"/>
      <c r="AF384" s="249"/>
      <c r="AG384" s="249"/>
      <c r="AH384" s="249"/>
      <c r="AI384" s="249"/>
      <c r="AJ384" s="249"/>
      <c r="AK384" s="249"/>
      <c r="AL384" s="1336"/>
      <c r="AM384" s="1336"/>
      <c r="AN384" s="1336"/>
      <c r="AO384" s="1336"/>
      <c r="AP384" s="1336" t="str">
        <f>SUBSTITUTE(SUBSTITUTE(SUBSTITUTE("vch"&amp;$B384&amp;$C384&amp;$D384&amp;$E384,".","_"),"(","_"),")","")</f>
        <v>vch601_7_b</v>
      </c>
      <c r="AQ384" s="254" t="str">
        <f>IF(LEN(W384)=0,"",W384)</f>
        <v/>
      </c>
      <c r="AR384" s="1336"/>
      <c r="AS384" s="1336"/>
    </row>
    <row r="385" spans="1:45" x14ac:dyDescent="0.25">
      <c r="A385" s="2371">
        <v>6</v>
      </c>
      <c r="B385" s="2383">
        <v>601.70000000000005</v>
      </c>
      <c r="C385" s="2374"/>
      <c r="D385" s="2376" t="s">
        <v>123</v>
      </c>
      <c r="E385" s="2374"/>
      <c r="F385" s="2376"/>
      <c r="G385" s="2373" t="str">
        <f t="shared" ca="1" si="29"/>
        <v/>
      </c>
      <c r="H385" s="2379" t="s">
        <v>3971</v>
      </c>
      <c r="I385" s="130"/>
      <c r="J385" s="129"/>
      <c r="K385" s="213" t="s">
        <v>123</v>
      </c>
      <c r="L385" s="1853" t="s">
        <v>535</v>
      </c>
      <c r="M385" s="1010"/>
      <c r="N385" s="1044"/>
      <c r="O385" s="1044"/>
      <c r="P385" s="94" t="b">
        <v>1</v>
      </c>
      <c r="Q385" s="94" t="b">
        <v>1</v>
      </c>
      <c r="R385" s="94" t="b">
        <v>0</v>
      </c>
      <c r="S385" s="94" t="b">
        <v>1</v>
      </c>
      <c r="T385" s="94" t="b">
        <v>0</v>
      </c>
      <c r="U385" s="94" t="str">
        <f>SUBSTITUTE(SUBSTITUTE(SUBSTITUTE("dd"&amp;B385&amp;C385&amp;D385&amp;E385&amp;F385,".","_"),"(","_"),")","")</f>
        <v>dd601_7_c</v>
      </c>
      <c r="V385" s="94"/>
      <c r="W385" s="12"/>
      <c r="X385" s="1799"/>
      <c r="Y385" s="2100"/>
      <c r="Z385" s="2091"/>
      <c r="AA385" s="1526"/>
      <c r="AC385" s="970"/>
      <c r="AD385" s="970"/>
      <c r="AE385" s="970"/>
      <c r="AF385" s="249"/>
      <c r="AG385" s="249"/>
      <c r="AH385" s="249"/>
      <c r="AI385" s="249"/>
      <c r="AJ385" s="249"/>
      <c r="AK385" s="249"/>
      <c r="AL385" s="1336"/>
      <c r="AM385" s="1336"/>
      <c r="AN385" s="1336"/>
      <c r="AO385" s="1336"/>
      <c r="AP385" s="1336" t="str">
        <f>SUBSTITUTE(SUBSTITUTE(SUBSTITUTE("vch"&amp;$B385&amp;$C385&amp;$D385&amp;$E385,".","_"),"(","_"),")","")</f>
        <v>vch601_7_c</v>
      </c>
      <c r="AQ385" s="254" t="str">
        <f>IF(LEN(W385)=0,"",W385)</f>
        <v/>
      </c>
      <c r="AR385" s="1336"/>
      <c r="AS385" s="1336"/>
    </row>
    <row r="386" spans="1:45" x14ac:dyDescent="0.25">
      <c r="A386" s="2371">
        <v>6</v>
      </c>
      <c r="B386" s="2383">
        <v>601.70000000000005</v>
      </c>
      <c r="C386" s="2374"/>
      <c r="D386" s="2376" t="s">
        <v>123</v>
      </c>
      <c r="E386" s="2374"/>
      <c r="F386" s="2376"/>
      <c r="G386" s="2373" t="str">
        <f t="shared" ca="1" si="29"/>
        <v/>
      </c>
      <c r="H386" s="2379" t="s">
        <v>3971</v>
      </c>
      <c r="I386" s="130"/>
      <c r="J386" s="129"/>
      <c r="K386" s="95"/>
      <c r="L386" s="1854"/>
      <c r="M386" s="1010"/>
      <c r="N386" s="1044"/>
      <c r="O386" s="1044"/>
      <c r="P386" s="94"/>
      <c r="Q386" s="94"/>
      <c r="R386" s="94"/>
      <c r="S386" s="94"/>
      <c r="T386" s="94"/>
      <c r="U386" s="94"/>
      <c r="V386" s="94"/>
      <c r="W386" s="94"/>
      <c r="X386" s="1799"/>
      <c r="Y386" s="2100"/>
      <c r="Z386" s="2091"/>
      <c r="AA386" s="1526"/>
      <c r="AC386" s="970"/>
      <c r="AD386" s="970"/>
      <c r="AE386" s="970"/>
      <c r="AF386" s="249"/>
      <c r="AG386" s="249"/>
      <c r="AH386" s="249"/>
      <c r="AI386" s="249"/>
      <c r="AJ386" s="249"/>
      <c r="AK386" s="249"/>
      <c r="AL386" s="1336"/>
      <c r="AM386" s="1336"/>
      <c r="AN386" s="1336"/>
      <c r="AO386" s="1336"/>
      <c r="AP386" s="1336"/>
      <c r="AQ386" s="1336"/>
      <c r="AR386" s="1336"/>
      <c r="AS386" s="1336"/>
    </row>
    <row r="387" spans="1:45" x14ac:dyDescent="0.25">
      <c r="A387" s="2371">
        <v>6</v>
      </c>
      <c r="B387" s="2383">
        <v>601.70000000000005</v>
      </c>
      <c r="C387" s="2374"/>
      <c r="D387" s="2376" t="s">
        <v>123</v>
      </c>
      <c r="E387" s="2374"/>
      <c r="F387" s="2376"/>
      <c r="G387" s="2373" t="str">
        <f t="shared" ca="1" si="29"/>
        <v/>
      </c>
      <c r="H387" s="2379" t="s">
        <v>3971</v>
      </c>
      <c r="I387" s="130"/>
      <c r="J387" s="129"/>
      <c r="K387" s="95"/>
      <c r="L387" s="281" t="s">
        <v>536</v>
      </c>
      <c r="M387" s="1010"/>
      <c r="N387" s="1044"/>
      <c r="O387" s="1044"/>
      <c r="P387" s="94"/>
      <c r="Q387" s="94"/>
      <c r="R387" s="94"/>
      <c r="S387" s="94"/>
      <c r="T387" s="94"/>
      <c r="U387" s="94"/>
      <c r="V387" s="94"/>
      <c r="W387" s="94"/>
      <c r="X387" s="1799"/>
      <c r="Y387" s="2100"/>
      <c r="Z387" s="2091"/>
      <c r="AA387" s="1526"/>
      <c r="AC387" s="970"/>
      <c r="AD387" s="970"/>
      <c r="AE387" s="970"/>
      <c r="AF387" s="249"/>
      <c r="AG387" s="249"/>
      <c r="AH387" s="249"/>
      <c r="AI387" s="249"/>
      <c r="AJ387" s="249"/>
      <c r="AK387" s="249"/>
      <c r="AL387" s="1336"/>
      <c r="AM387" s="1336"/>
      <c r="AN387" s="1336"/>
      <c r="AO387" s="1336"/>
      <c r="AP387" s="1336"/>
      <c r="AQ387" s="1336"/>
      <c r="AR387" s="1336"/>
      <c r="AS387" s="1336"/>
    </row>
    <row r="388" spans="1:45" x14ac:dyDescent="0.25">
      <c r="A388" s="2371">
        <v>6</v>
      </c>
      <c r="B388" s="2383">
        <v>601.70000000000005</v>
      </c>
      <c r="C388" s="2374"/>
      <c r="D388" s="2376" t="s">
        <v>123</v>
      </c>
      <c r="E388" s="2374"/>
      <c r="F388" s="2376"/>
      <c r="G388" s="2373" t="str">
        <f t="shared" ca="1" si="29"/>
        <v/>
      </c>
      <c r="H388" s="2379" t="s">
        <v>3971</v>
      </c>
      <c r="I388" s="130"/>
      <c r="J388" s="129"/>
      <c r="K388" s="175"/>
      <c r="L388" s="1158" t="s">
        <v>537</v>
      </c>
      <c r="M388" s="1010"/>
      <c r="N388" s="1044"/>
      <c r="O388" s="1044"/>
      <c r="P388" s="94"/>
      <c r="Q388" s="94"/>
      <c r="R388" s="94"/>
      <c r="S388" s="94"/>
      <c r="T388" s="94"/>
      <c r="U388" s="94"/>
      <c r="V388" s="94"/>
      <c r="W388" s="94"/>
      <c r="X388" s="1799"/>
      <c r="Y388" s="2100"/>
      <c r="Z388" s="2091"/>
      <c r="AA388" s="1526"/>
      <c r="AC388" s="970"/>
      <c r="AD388" s="970"/>
      <c r="AE388" s="970"/>
      <c r="AF388" s="249"/>
      <c r="AG388" s="249"/>
      <c r="AH388" s="249"/>
      <c r="AI388" s="249"/>
      <c r="AJ388" s="249"/>
      <c r="AK388" s="249"/>
      <c r="AL388" s="1336"/>
      <c r="AM388" s="1336"/>
      <c r="AN388" s="1336"/>
      <c r="AO388" s="1336"/>
      <c r="AP388" s="1336"/>
      <c r="AQ388" s="1336"/>
      <c r="AR388" s="1336"/>
      <c r="AS388" s="1336"/>
    </row>
    <row r="389" spans="1:45" x14ac:dyDescent="0.25">
      <c r="A389" s="2371">
        <v>6</v>
      </c>
      <c r="B389" s="2383">
        <v>601.70000000000005</v>
      </c>
      <c r="C389" s="2374"/>
      <c r="D389" s="2374" t="s">
        <v>401</v>
      </c>
      <c r="E389" s="2374"/>
      <c r="F389" s="2374"/>
      <c r="G389" s="2373" t="str">
        <f t="shared" ca="1" si="29"/>
        <v/>
      </c>
      <c r="H389" s="2371" t="s">
        <v>3971</v>
      </c>
      <c r="I389" s="130"/>
      <c r="J389" s="129"/>
      <c r="K389" s="214" t="s">
        <v>401</v>
      </c>
      <c r="L389" s="1778" t="s">
        <v>538</v>
      </c>
      <c r="M389" s="1010"/>
      <c r="N389" s="1044"/>
      <c r="O389" s="1044"/>
      <c r="P389" s="94" t="b">
        <v>1</v>
      </c>
      <c r="Q389" s="94" t="b">
        <v>1</v>
      </c>
      <c r="R389" s="94" t="b">
        <v>0</v>
      </c>
      <c r="S389" s="94" t="b">
        <v>1</v>
      </c>
      <c r="T389" s="94" t="b">
        <v>0</v>
      </c>
      <c r="U389" s="94" t="str">
        <f>SUBSTITUTE(SUBSTITUTE(SUBSTITUTE("dd"&amp;B389&amp;C389&amp;D389&amp;E389&amp;F389,".","_"),"(","_"),")","")</f>
        <v>dd601_7_d</v>
      </c>
      <c r="V389" s="94"/>
      <c r="W389" s="12"/>
      <c r="X389" s="1799"/>
      <c r="Y389" s="2100"/>
      <c r="Z389" s="2091"/>
      <c r="AA389" s="1526"/>
      <c r="AC389" s="970"/>
      <c r="AD389" s="970"/>
      <c r="AE389" s="970"/>
      <c r="AF389" s="249"/>
      <c r="AG389" s="249"/>
      <c r="AH389" s="249"/>
      <c r="AI389" s="249"/>
      <c r="AJ389" s="249"/>
      <c r="AK389" s="249"/>
      <c r="AL389" s="1336"/>
      <c r="AM389" s="1336"/>
      <c r="AN389" s="1336"/>
      <c r="AO389" s="1336"/>
      <c r="AP389" s="1336" t="str">
        <f>SUBSTITUTE(SUBSTITUTE(SUBSTITUTE("vch"&amp;$B389&amp;$C389&amp;$D389&amp;$E389,".","_"),"(","_"),")","")</f>
        <v>vch601_7_d</v>
      </c>
      <c r="AQ389" s="254" t="str">
        <f>IF(LEN(W389)=0,"",W389)</f>
        <v/>
      </c>
      <c r="AR389" s="1336"/>
      <c r="AS389" s="1336"/>
    </row>
    <row r="390" spans="1:45" x14ac:dyDescent="0.25">
      <c r="A390" s="2371">
        <v>6</v>
      </c>
      <c r="B390" s="2383">
        <v>601.70000000000005</v>
      </c>
      <c r="C390" s="2374"/>
      <c r="D390" s="2374" t="s">
        <v>401</v>
      </c>
      <c r="E390" s="2374"/>
      <c r="F390" s="2374"/>
      <c r="G390" s="2373" t="str">
        <f t="shared" ca="1" si="29"/>
        <v/>
      </c>
      <c r="H390" s="2371" t="s">
        <v>3971</v>
      </c>
      <c r="I390" s="130"/>
      <c r="J390" s="129"/>
      <c r="K390" s="175"/>
      <c r="L390" s="1755"/>
      <c r="M390" s="1010"/>
      <c r="N390" s="1044"/>
      <c r="O390" s="1044"/>
      <c r="P390" s="94"/>
      <c r="Q390" s="94"/>
      <c r="R390" s="94"/>
      <c r="S390" s="94"/>
      <c r="T390" s="94"/>
      <c r="U390" s="94"/>
      <c r="V390" s="94"/>
      <c r="W390" s="94"/>
      <c r="X390" s="1799"/>
      <c r="Y390" s="2100"/>
      <c r="Z390" s="2091"/>
      <c r="AA390" s="1526"/>
      <c r="AC390" s="970"/>
      <c r="AD390" s="970"/>
      <c r="AE390" s="970"/>
      <c r="AF390" s="249"/>
      <c r="AG390" s="249"/>
      <c r="AH390" s="249"/>
      <c r="AI390" s="249"/>
      <c r="AJ390" s="249"/>
      <c r="AK390" s="249"/>
      <c r="AL390" s="1336"/>
      <c r="AM390" s="1336"/>
      <c r="AN390" s="1336"/>
      <c r="AO390" s="1336"/>
      <c r="AP390" s="1336"/>
      <c r="AQ390" s="1336"/>
      <c r="AR390" s="1336"/>
      <c r="AS390" s="1336"/>
    </row>
    <row r="391" spans="1:45" x14ac:dyDescent="0.25">
      <c r="A391" s="2371">
        <v>6</v>
      </c>
      <c r="B391" s="2383">
        <v>601.70000000000005</v>
      </c>
      <c r="C391" s="2374"/>
      <c r="D391" s="2374" t="s">
        <v>539</v>
      </c>
      <c r="E391" s="2374"/>
      <c r="F391" s="2374"/>
      <c r="G391" s="2373" t="str">
        <f t="shared" ca="1" si="29"/>
        <v/>
      </c>
      <c r="H391" s="2371" t="s">
        <v>3971</v>
      </c>
      <c r="I391" s="130"/>
      <c r="J391" s="129"/>
      <c r="K391" s="214" t="s">
        <v>539</v>
      </c>
      <c r="L391" s="1778" t="s">
        <v>540</v>
      </c>
      <c r="M391" s="1010"/>
      <c r="N391" s="1044"/>
      <c r="O391" s="1044"/>
      <c r="P391" s="94" t="b">
        <v>1</v>
      </c>
      <c r="Q391" s="94" t="b">
        <v>1</v>
      </c>
      <c r="R391" s="94" t="b">
        <v>0</v>
      </c>
      <c r="S391" s="94" t="b">
        <v>1</v>
      </c>
      <c r="T391" s="94" t="b">
        <v>0</v>
      </c>
      <c r="U391" s="94" t="str">
        <f>SUBSTITUTE(SUBSTITUTE(SUBSTITUTE("dd"&amp;B391&amp;C391&amp;D391&amp;E391&amp;F391,".","_"),"(","_"),")","")</f>
        <v>dd601_7_e</v>
      </c>
      <c r="V391" s="94"/>
      <c r="W391" s="12"/>
      <c r="X391" s="1799"/>
      <c r="Y391" s="2100"/>
      <c r="Z391" s="2091"/>
      <c r="AA391" s="1526"/>
      <c r="AC391" s="970"/>
      <c r="AD391" s="970"/>
      <c r="AE391" s="970"/>
      <c r="AF391" s="249"/>
      <c r="AG391" s="249"/>
      <c r="AH391" s="249"/>
      <c r="AI391" s="249"/>
      <c r="AJ391" s="249"/>
      <c r="AK391" s="249"/>
      <c r="AL391" s="1336"/>
      <c r="AM391" s="1336"/>
      <c r="AN391" s="1336"/>
      <c r="AO391" s="1336"/>
      <c r="AP391" s="1336" t="str">
        <f>SUBSTITUTE(SUBSTITUTE(SUBSTITUTE("vch"&amp;$B391&amp;$C391&amp;$D391&amp;$E391,".","_"),"(","_"),")","")</f>
        <v>vch601_7_e</v>
      </c>
      <c r="AQ391" s="254" t="str">
        <f>IF(LEN(W391)=0,"",W391)</f>
        <v/>
      </c>
      <c r="AR391" s="1336"/>
      <c r="AS391" s="1336"/>
    </row>
    <row r="392" spans="1:45" x14ac:dyDescent="0.25">
      <c r="A392" s="2371">
        <v>6</v>
      </c>
      <c r="B392" s="2383">
        <v>601.70000000000005</v>
      </c>
      <c r="C392" s="2374"/>
      <c r="D392" s="2374" t="s">
        <v>539</v>
      </c>
      <c r="E392" s="2374"/>
      <c r="F392" s="2374"/>
      <c r="G392" s="2373" t="str">
        <f t="shared" ca="1" si="29"/>
        <v/>
      </c>
      <c r="H392" s="2371" t="s">
        <v>3971</v>
      </c>
      <c r="I392" s="130"/>
      <c r="J392" s="129"/>
      <c r="K392" s="175"/>
      <c r="L392" s="1755"/>
      <c r="M392" s="1010"/>
      <c r="N392" s="1044"/>
      <c r="O392" s="1044"/>
      <c r="P392" s="94"/>
      <c r="Q392" s="94"/>
      <c r="R392" s="94"/>
      <c r="S392" s="94"/>
      <c r="T392" s="94"/>
      <c r="U392" s="94"/>
      <c r="V392" s="94"/>
      <c r="W392" s="94"/>
      <c r="X392" s="1799"/>
      <c r="Y392" s="2100"/>
      <c r="Z392" s="2091"/>
      <c r="AA392" s="1526"/>
      <c r="AC392" s="970"/>
      <c r="AD392" s="970"/>
      <c r="AE392" s="970"/>
      <c r="AF392" s="249"/>
      <c r="AG392" s="249"/>
      <c r="AH392" s="249"/>
      <c r="AI392" s="249"/>
      <c r="AJ392" s="249"/>
      <c r="AK392" s="249"/>
      <c r="AL392" s="1336"/>
      <c r="AM392" s="1336"/>
      <c r="AN392" s="1336"/>
      <c r="AO392" s="1336"/>
      <c r="AP392" s="1336"/>
      <c r="AQ392" s="1336"/>
      <c r="AR392" s="1336"/>
      <c r="AS392" s="1336"/>
    </row>
    <row r="393" spans="1:45" x14ac:dyDescent="0.25">
      <c r="A393" s="2371">
        <v>6</v>
      </c>
      <c r="B393" s="2383">
        <v>601.70000000000005</v>
      </c>
      <c r="C393" s="2374" t="s">
        <v>256</v>
      </c>
      <c r="D393" s="2374"/>
      <c r="E393" s="2374"/>
      <c r="F393" s="2374"/>
      <c r="G393" s="2373" t="str">
        <f t="shared" ca="1" si="29"/>
        <v/>
      </c>
      <c r="H393" s="2371" t="s">
        <v>3971</v>
      </c>
      <c r="I393" s="130"/>
      <c r="J393" s="206" t="s">
        <v>256</v>
      </c>
      <c r="K393" s="95"/>
      <c r="L393" s="1163" t="s">
        <v>541</v>
      </c>
      <c r="M393" s="1015">
        <v>5</v>
      </c>
      <c r="N393" s="1044"/>
      <c r="O393" s="1044"/>
      <c r="P393" s="94"/>
      <c r="Q393" s="94"/>
      <c r="R393" s="94"/>
      <c r="S393" s="94"/>
      <c r="T393" s="94"/>
      <c r="U393" s="94"/>
      <c r="V393" s="94"/>
      <c r="W393" s="94"/>
      <c r="X393" s="1799"/>
      <c r="Y393" s="2100"/>
      <c r="Z393" s="2091"/>
      <c r="AA393" s="1526"/>
      <c r="AC393" s="970"/>
      <c r="AD393" s="970"/>
      <c r="AE393" s="970"/>
      <c r="AF393" s="249"/>
      <c r="AG393" s="249"/>
      <c r="AH393" s="249"/>
      <c r="AI393" s="249"/>
      <c r="AJ393" s="249"/>
      <c r="AK393" s="249"/>
      <c r="AL393" s="254" t="str">
        <f>SUBSTITUTE(SUBSTITUTE(SUBSTITUTE("vpa"&amp;$B393&amp;$C393&amp;$D393&amp;$E393,".","_"),"(","_"),")","")</f>
        <v>vpa601_7_1</v>
      </c>
      <c r="AM393" s="254">
        <f>M393</f>
        <v>5</v>
      </c>
      <c r="AN393" s="1336"/>
      <c r="AO393" s="1336"/>
      <c r="AP393" s="1336"/>
      <c r="AQ393" s="1336"/>
      <c r="AR393" s="1336"/>
      <c r="AS393" s="1336"/>
    </row>
    <row r="394" spans="1:45" x14ac:dyDescent="0.25">
      <c r="A394" s="2371">
        <v>6</v>
      </c>
      <c r="B394" s="2383">
        <v>601.70000000000005</v>
      </c>
      <c r="C394" s="2374" t="s">
        <v>258</v>
      </c>
      <c r="D394" s="2374"/>
      <c r="E394" s="2374"/>
      <c r="F394" s="2374"/>
      <c r="G394" s="2373" t="str">
        <f t="shared" ca="1" si="29"/>
        <v/>
      </c>
      <c r="H394" s="2371" t="s">
        <v>3971</v>
      </c>
      <c r="I394" s="130"/>
      <c r="J394" s="183" t="s">
        <v>258</v>
      </c>
      <c r="K394" s="195"/>
      <c r="L394" s="1760" t="s">
        <v>543</v>
      </c>
      <c r="M394" s="1762">
        <v>2</v>
      </c>
      <c r="N394" s="1044"/>
      <c r="O394" s="1044"/>
      <c r="P394" s="94"/>
      <c r="Q394" s="94"/>
      <c r="R394" s="94"/>
      <c r="S394" s="94"/>
      <c r="T394" s="94"/>
      <c r="U394" s="94"/>
      <c r="V394" s="94"/>
      <c r="W394" s="94"/>
      <c r="X394" s="1799"/>
      <c r="Y394" s="2100"/>
      <c r="Z394" s="2091"/>
      <c r="AA394" s="1526"/>
      <c r="AC394" s="970"/>
      <c r="AD394" s="970"/>
      <c r="AE394" s="970"/>
      <c r="AF394" s="249"/>
      <c r="AG394" s="249"/>
      <c r="AH394" s="249"/>
      <c r="AI394" s="249"/>
      <c r="AJ394" s="249"/>
      <c r="AK394" s="249"/>
      <c r="AL394" s="254" t="str">
        <f>SUBSTITUTE(SUBSTITUTE(SUBSTITUTE("vpa"&amp;$B394&amp;$C394&amp;$D394&amp;$E394,".","_"),"(","_"),")","")</f>
        <v>vpa601_7_2</v>
      </c>
      <c r="AM394" s="254">
        <f>M394</f>
        <v>2</v>
      </c>
      <c r="AN394" s="1336"/>
      <c r="AO394" s="1336"/>
      <c r="AP394" s="1336"/>
      <c r="AQ394" s="1336"/>
      <c r="AR394" s="1336"/>
      <c r="AS394" s="1336"/>
    </row>
    <row r="395" spans="1:45" s="271" customFormat="1" x14ac:dyDescent="0.25">
      <c r="A395" s="2371">
        <v>6</v>
      </c>
      <c r="B395" s="2383">
        <v>601.70000000000005</v>
      </c>
      <c r="C395" s="2374" t="s">
        <v>258</v>
      </c>
      <c r="D395" s="2374"/>
      <c r="E395" s="2374"/>
      <c r="F395" s="2374"/>
      <c r="G395" s="2373" t="str">
        <f t="shared" ca="1" si="29"/>
        <v/>
      </c>
      <c r="H395" s="2371" t="s">
        <v>3971</v>
      </c>
      <c r="I395" s="130"/>
      <c r="J395" s="178"/>
      <c r="K395" s="175"/>
      <c r="L395" s="1761"/>
      <c r="M395" s="1759"/>
      <c r="N395" s="1044"/>
      <c r="O395" s="1044"/>
      <c r="P395" s="94"/>
      <c r="Q395" s="94"/>
      <c r="R395" s="94"/>
      <c r="S395" s="94"/>
      <c r="T395" s="94"/>
      <c r="U395" s="94"/>
      <c r="V395" s="94"/>
      <c r="W395" s="94"/>
      <c r="X395" s="1799"/>
      <c r="Y395" s="2100"/>
      <c r="Z395" s="2091"/>
      <c r="AA395" s="1526"/>
      <c r="AC395" s="970"/>
      <c r="AD395" s="970"/>
      <c r="AE395" s="970"/>
      <c r="AL395" s="254"/>
      <c r="AM395" s="254"/>
      <c r="AN395" s="1336"/>
      <c r="AO395" s="1336"/>
      <c r="AP395" s="1336"/>
      <c r="AQ395" s="1336"/>
      <c r="AR395" s="1336"/>
      <c r="AS395" s="1336"/>
    </row>
    <row r="396" spans="1:45" x14ac:dyDescent="0.25">
      <c r="A396" s="2371">
        <v>6</v>
      </c>
      <c r="B396" s="2383">
        <v>601.70000000000005</v>
      </c>
      <c r="C396" s="2374" t="s">
        <v>260</v>
      </c>
      <c r="D396" s="2374"/>
      <c r="E396" s="2374"/>
      <c r="F396" s="2374"/>
      <c r="G396" s="2373" t="str">
        <f t="shared" ca="1" si="29"/>
        <v/>
      </c>
      <c r="H396" s="2371" t="s">
        <v>3971</v>
      </c>
      <c r="I396" s="130"/>
      <c r="J396" s="183" t="s">
        <v>260</v>
      </c>
      <c r="K396" s="95"/>
      <c r="L396" s="1793" t="s">
        <v>544</v>
      </c>
      <c r="M396" s="1010">
        <v>1</v>
      </c>
      <c r="N396" s="1044"/>
      <c r="O396" s="1044"/>
      <c r="P396" s="94"/>
      <c r="Q396" s="94"/>
      <c r="R396" s="94"/>
      <c r="S396" s="94"/>
      <c r="T396" s="94"/>
      <c r="U396" s="94"/>
      <c r="V396" s="94"/>
      <c r="X396" s="1799"/>
      <c r="Y396" s="2100"/>
      <c r="Z396" s="2091"/>
      <c r="AA396" s="1526"/>
      <c r="AC396" s="970"/>
      <c r="AD396" s="970"/>
      <c r="AE396" s="970"/>
      <c r="AF396" s="249"/>
      <c r="AG396" s="249"/>
      <c r="AH396" s="249"/>
      <c r="AI396" s="249"/>
      <c r="AJ396" s="249"/>
      <c r="AK396" s="249"/>
      <c r="AL396" s="254" t="str">
        <f>SUBSTITUTE(SUBSTITUTE(SUBSTITUTE("vpa"&amp;$B396&amp;$C396&amp;$D396&amp;$E396,".","_"),"(","_"),")","")</f>
        <v>vpa601_7_3</v>
      </c>
      <c r="AM396" s="254">
        <f>M396</f>
        <v>1</v>
      </c>
      <c r="AN396" s="1336"/>
      <c r="AO396" s="1336"/>
      <c r="AP396" s="1336"/>
      <c r="AQ396" s="1336"/>
      <c r="AR396" s="1336"/>
      <c r="AS396" s="1336"/>
    </row>
    <row r="397" spans="1:45" s="271" customFormat="1" ht="15.75" thickBot="1" x14ac:dyDescent="0.3">
      <c r="A397" s="2371">
        <v>6</v>
      </c>
      <c r="B397" s="2383">
        <v>601.70000000000005</v>
      </c>
      <c r="C397" s="2374" t="s">
        <v>260</v>
      </c>
      <c r="D397" s="2374"/>
      <c r="E397" s="2374"/>
      <c r="F397" s="2374"/>
      <c r="G397" s="2373" t="str">
        <f t="shared" ca="1" si="29"/>
        <v/>
      </c>
      <c r="H397" s="2371" t="s">
        <v>3971</v>
      </c>
      <c r="I397" s="130"/>
      <c r="J397" s="183"/>
      <c r="K397" s="95"/>
      <c r="L397" s="1842"/>
      <c r="M397" s="1010"/>
      <c r="N397" s="1044"/>
      <c r="O397" s="1044"/>
      <c r="P397" s="94"/>
      <c r="Q397" s="94"/>
      <c r="R397" s="94"/>
      <c r="S397" s="94"/>
      <c r="T397" s="94"/>
      <c r="U397" s="94"/>
      <c r="V397" s="94"/>
      <c r="W397" s="112"/>
      <c r="X397" s="1800"/>
      <c r="Y397" s="2102"/>
      <c r="Z397" s="2090"/>
      <c r="AA397" s="1526"/>
      <c r="AC397" s="970"/>
      <c r="AD397" s="970"/>
      <c r="AE397" s="970"/>
      <c r="AL397" s="254"/>
      <c r="AM397" s="254"/>
      <c r="AN397" s="1336"/>
      <c r="AO397" s="1336"/>
      <c r="AP397" s="1336"/>
      <c r="AQ397" s="1336"/>
      <c r="AR397" s="1336"/>
      <c r="AS397" s="1336"/>
    </row>
    <row r="398" spans="1:45" ht="15.75" thickTop="1" x14ac:dyDescent="0.25">
      <c r="A398" s="2371">
        <v>6</v>
      </c>
      <c r="B398" s="2383">
        <v>601.79999999999995</v>
      </c>
      <c r="C398" s="2374"/>
      <c r="D398" s="2374"/>
      <c r="E398" s="2374"/>
      <c r="F398" s="2374"/>
      <c r="G398" s="2373" t="str">
        <f>IF(N398&gt;0,"P","")</f>
        <v/>
      </c>
      <c r="H398" s="2371" t="s">
        <v>3972</v>
      </c>
      <c r="I398" s="180">
        <v>601.79999999999995</v>
      </c>
      <c r="J398" s="181"/>
      <c r="K398" s="182"/>
      <c r="L398" s="1781" t="s">
        <v>545</v>
      </c>
      <c r="M398" s="1772">
        <v>3</v>
      </c>
      <c r="N398" s="2080">
        <f>'Ch6'!O80</f>
        <v>0</v>
      </c>
      <c r="O398" s="2080">
        <f>M398*S398*W398</f>
        <v>0</v>
      </c>
      <c r="P398" s="249" t="b">
        <v>1</v>
      </c>
      <c r="Q398" s="249" t="b">
        <v>0</v>
      </c>
      <c r="R398" s="105" t="b">
        <v>0</v>
      </c>
      <c r="S398" s="105" t="b">
        <f>NOT(AZ351=1)</f>
        <v>1</v>
      </c>
      <c r="T398" s="105" t="b">
        <f>IF(AND(NOT(S398),W398=TRUE),TRUE,FALSE)</f>
        <v>0</v>
      </c>
      <c r="U398" s="105"/>
      <c r="V398" s="105"/>
      <c r="W398" s="367"/>
      <c r="X398" s="1784"/>
      <c r="Y398" s="2098" t="str">
        <f>IF(LEN('Ch6'!X80)=0,"None",'Ch6'!X80)</f>
        <v>None</v>
      </c>
      <c r="Z398" s="2088"/>
      <c r="AA398" s="1526"/>
      <c r="AC398" s="970" t="b">
        <f>OR(AD398:AE398)</f>
        <v>0</v>
      </c>
      <c r="AD398" s="970" t="b">
        <v>0</v>
      </c>
      <c r="AE398" s="970" t="b">
        <f>AND(W398=TRUE,LEN(X398)=0)</f>
        <v>0</v>
      </c>
      <c r="AF398" s="784" t="b">
        <f>AND(AE398,NOT(Q398))</f>
        <v>0</v>
      </c>
      <c r="AG398" s="249"/>
      <c r="AH398" s="249"/>
      <c r="AI398" s="249"/>
      <c r="AJ398" s="249"/>
      <c r="AK398" s="249"/>
      <c r="AL398" s="254" t="str">
        <f>SUBSTITUTE(SUBSTITUTE(SUBSTITUTE("vpa"&amp;$B398&amp;$C398&amp;$D398&amp;$E398,".","_"),"(","_"),")","")</f>
        <v>vpa601_8</v>
      </c>
      <c r="AM398" s="254">
        <f>M398</f>
        <v>3</v>
      </c>
      <c r="AN398" s="254" t="str">
        <f>SUBSTITUTE(SUBSTITUTE(SUBSTITUTE("vpc"&amp;$B398&amp;$C398&amp;$D398&amp;$E398,".","_"),"(","_"),")","")</f>
        <v>vpc601_8</v>
      </c>
      <c r="AO398" s="254">
        <f>O398</f>
        <v>0</v>
      </c>
      <c r="AP398" s="1336" t="str">
        <f>SUBSTITUTE(SUBSTITUTE(SUBSTITUTE("vch"&amp;$B398&amp;$C398&amp;$D398&amp;$E398,".","_"),"(","_"),")","")</f>
        <v>vch601_8</v>
      </c>
      <c r="AQ398" s="254" t="str">
        <f>IF(LEN(W398)=0,"",W398)</f>
        <v/>
      </c>
      <c r="AR398" s="1336" t="str">
        <f>SUBSTITUTE(SUBSTITUTE(SUBSTITUTE("vnt"&amp;$B398&amp;$C398&amp;$D398&amp;$E398,".","_"),"(","_"),")","")</f>
        <v>vnt601_8</v>
      </c>
      <c r="AS398" s="254" t="str">
        <f>IF(LEN(X398)=0,"",X398)</f>
        <v/>
      </c>
    </row>
    <row r="399" spans="1:45" x14ac:dyDescent="0.25">
      <c r="A399" s="2371">
        <v>6</v>
      </c>
      <c r="B399" s="2383">
        <v>601.79999999999995</v>
      </c>
      <c r="C399" s="2374"/>
      <c r="D399" s="2374"/>
      <c r="E399" s="2374"/>
      <c r="F399" s="2374"/>
      <c r="G399" s="2373" t="str">
        <f t="shared" ref="G399:G405" si="30">G398</f>
        <v/>
      </c>
      <c r="H399" s="2371" t="s">
        <v>3972</v>
      </c>
      <c r="I399" s="130"/>
      <c r="J399" s="129"/>
      <c r="K399" s="95"/>
      <c r="L399" s="1782"/>
      <c r="M399" s="1758"/>
      <c r="N399" s="1927"/>
      <c r="O399" s="1927"/>
      <c r="P399" s="94"/>
      <c r="Q399" s="94"/>
      <c r="R399" s="94"/>
      <c r="S399" s="94"/>
      <c r="T399" s="94"/>
      <c r="U399" s="94"/>
      <c r="V399" s="94"/>
      <c r="W399" s="94"/>
      <c r="X399" s="1757"/>
      <c r="Y399" s="2081"/>
      <c r="Z399" s="2084"/>
      <c r="AA399" s="1526"/>
      <c r="AC399" s="970"/>
      <c r="AD399" s="970"/>
      <c r="AE399" s="970"/>
      <c r="AF399" s="249"/>
      <c r="AG399" s="249"/>
      <c r="AH399" s="249"/>
      <c r="AI399" s="249"/>
      <c r="AJ399" s="249"/>
      <c r="AK399" s="249"/>
      <c r="AL399" s="1336"/>
      <c r="AM399" s="1336"/>
      <c r="AN399" s="1336"/>
      <c r="AO399" s="1336"/>
      <c r="AP399" s="1336"/>
      <c r="AQ399" s="1336"/>
      <c r="AR399" s="1336"/>
      <c r="AS399" s="1336"/>
    </row>
    <row r="400" spans="1:45" x14ac:dyDescent="0.25">
      <c r="A400" s="2371">
        <v>6</v>
      </c>
      <c r="B400" s="2383">
        <v>601.79999999999995</v>
      </c>
      <c r="C400" s="2374"/>
      <c r="D400" s="2374"/>
      <c r="E400" s="2374"/>
      <c r="F400" s="2374"/>
      <c r="G400" s="2373" t="str">
        <f t="shared" si="30"/>
        <v/>
      </c>
      <c r="H400" s="2371" t="s">
        <v>3972</v>
      </c>
      <c r="I400" s="130"/>
      <c r="J400" s="129"/>
      <c r="K400" s="95"/>
      <c r="L400" s="1782"/>
      <c r="M400" s="1758"/>
      <c r="N400" s="1927"/>
      <c r="O400" s="1927"/>
      <c r="P400" s="94"/>
      <c r="Q400" s="94"/>
      <c r="R400" s="94"/>
      <c r="S400" s="94"/>
      <c r="T400" s="94"/>
      <c r="U400" s="94"/>
      <c r="V400" s="94"/>
      <c r="W400" s="94"/>
      <c r="X400" s="1757"/>
      <c r="Y400" s="2081"/>
      <c r="Z400" s="2084"/>
      <c r="AA400" s="1526"/>
      <c r="AC400" s="970"/>
      <c r="AD400" s="970"/>
      <c r="AE400" s="970"/>
      <c r="AF400" s="249"/>
      <c r="AG400" s="249"/>
      <c r="AH400" s="249"/>
      <c r="AI400" s="249"/>
      <c r="AJ400" s="249"/>
      <c r="AK400" s="249"/>
      <c r="AL400" s="1336"/>
      <c r="AM400" s="1336"/>
      <c r="AN400" s="1336"/>
      <c r="AO400" s="1336"/>
      <c r="AP400" s="1336"/>
      <c r="AQ400" s="1336"/>
      <c r="AR400" s="1336"/>
      <c r="AS400" s="1336"/>
    </row>
    <row r="401" spans="1:45" x14ac:dyDescent="0.25">
      <c r="A401" s="2371">
        <v>6</v>
      </c>
      <c r="B401" s="2383">
        <v>601.79999999999995</v>
      </c>
      <c r="C401" s="2374"/>
      <c r="D401" s="2374"/>
      <c r="E401" s="2374"/>
      <c r="F401" s="2374"/>
      <c r="G401" s="2373" t="str">
        <f t="shared" si="30"/>
        <v/>
      </c>
      <c r="H401" s="2371" t="s">
        <v>3972</v>
      </c>
      <c r="I401" s="130"/>
      <c r="J401" s="129"/>
      <c r="K401" s="95"/>
      <c r="L401" s="1782"/>
      <c r="M401" s="1758"/>
      <c r="N401" s="1927"/>
      <c r="O401" s="1927"/>
      <c r="P401" s="94"/>
      <c r="Q401" s="94"/>
      <c r="R401" s="94"/>
      <c r="S401" s="94"/>
      <c r="T401" s="94"/>
      <c r="U401" s="94"/>
      <c r="V401" s="94"/>
      <c r="W401" s="94"/>
      <c r="X401" s="1757"/>
      <c r="Y401" s="2081"/>
      <c r="Z401" s="2084"/>
      <c r="AA401" s="1526"/>
      <c r="AC401" s="970"/>
      <c r="AD401" s="970"/>
      <c r="AE401" s="970"/>
      <c r="AF401" s="249"/>
      <c r="AG401" s="249"/>
      <c r="AH401" s="249"/>
      <c r="AI401" s="249"/>
      <c r="AJ401" s="249"/>
      <c r="AK401" s="249"/>
      <c r="AL401" s="1336"/>
      <c r="AM401" s="1336"/>
      <c r="AN401" s="1336"/>
      <c r="AO401" s="1336"/>
      <c r="AP401" s="1336"/>
      <c r="AQ401" s="1336"/>
      <c r="AR401" s="1336"/>
      <c r="AS401" s="1336"/>
    </row>
    <row r="402" spans="1:45" x14ac:dyDescent="0.25">
      <c r="A402" s="2371">
        <v>6</v>
      </c>
      <c r="B402" s="2383">
        <v>601.79999999999995</v>
      </c>
      <c r="C402" s="2374"/>
      <c r="D402" s="2374"/>
      <c r="E402" s="2374"/>
      <c r="F402" s="2374"/>
      <c r="G402" s="2373" t="str">
        <f t="shared" si="30"/>
        <v/>
      </c>
      <c r="H402" s="2371" t="s">
        <v>3972</v>
      </c>
      <c r="I402" s="130"/>
      <c r="J402" s="129"/>
      <c r="K402" s="95"/>
      <c r="L402" s="1782"/>
      <c r="M402" s="1758"/>
      <c r="N402" s="1927"/>
      <c r="O402" s="1927"/>
      <c r="P402" s="94"/>
      <c r="Q402" s="94"/>
      <c r="R402" s="94"/>
      <c r="S402" s="94"/>
      <c r="T402" s="94"/>
      <c r="U402" s="94"/>
      <c r="V402" s="94"/>
      <c r="W402" s="94"/>
      <c r="X402" s="1757"/>
      <c r="Y402" s="2081"/>
      <c r="Z402" s="2084"/>
      <c r="AA402" s="1526"/>
      <c r="AC402" s="970"/>
      <c r="AD402" s="970"/>
      <c r="AE402" s="970"/>
      <c r="AF402" s="249"/>
      <c r="AG402" s="249"/>
      <c r="AH402" s="249"/>
      <c r="AI402" s="249"/>
      <c r="AJ402" s="249"/>
      <c r="AK402" s="249"/>
      <c r="AL402" s="1336"/>
      <c r="AM402" s="1336"/>
      <c r="AN402" s="1336"/>
      <c r="AO402" s="1336"/>
      <c r="AP402" s="1336"/>
      <c r="AQ402" s="1336"/>
      <c r="AR402" s="1336"/>
      <c r="AS402" s="1336"/>
    </row>
    <row r="403" spans="1:45" x14ac:dyDescent="0.25">
      <c r="A403" s="2371">
        <v>6</v>
      </c>
      <c r="B403" s="2383">
        <v>601.79999999999995</v>
      </c>
      <c r="C403" s="2374"/>
      <c r="D403" s="2374"/>
      <c r="E403" s="2374"/>
      <c r="F403" s="2374"/>
      <c r="G403" s="2373" t="str">
        <f t="shared" si="30"/>
        <v/>
      </c>
      <c r="H403" s="2371" t="s">
        <v>3972</v>
      </c>
      <c r="I403" s="130"/>
      <c r="J403" s="129"/>
      <c r="K403" s="95"/>
      <c r="L403" s="1855" t="s">
        <v>1103</v>
      </c>
      <c r="M403" s="1758"/>
      <c r="N403" s="1927"/>
      <c r="O403" s="1927"/>
      <c r="P403" s="94"/>
      <c r="Q403" s="94"/>
      <c r="R403" s="94"/>
      <c r="S403" s="94"/>
      <c r="T403" s="94"/>
      <c r="U403" s="94"/>
      <c r="V403" s="94"/>
      <c r="W403" s="94"/>
      <c r="X403" s="1757"/>
      <c r="Y403" s="2081"/>
      <c r="Z403" s="2084"/>
      <c r="AA403" s="1526"/>
      <c r="AC403" s="970"/>
      <c r="AD403" s="970"/>
      <c r="AE403" s="970"/>
      <c r="AF403" s="249"/>
      <c r="AG403" s="249"/>
      <c r="AH403" s="249"/>
      <c r="AI403" s="249"/>
      <c r="AJ403" s="249"/>
      <c r="AK403" s="249"/>
      <c r="AL403" s="1336"/>
      <c r="AM403" s="1336"/>
      <c r="AN403" s="1336"/>
      <c r="AO403" s="1336"/>
      <c r="AP403" s="1336"/>
      <c r="AQ403" s="1336"/>
      <c r="AR403" s="1336"/>
      <c r="AS403" s="1336"/>
    </row>
    <row r="404" spans="1:45" x14ac:dyDescent="0.25">
      <c r="A404" s="2371">
        <v>6</v>
      </c>
      <c r="B404" s="2383">
        <v>601.79999999999995</v>
      </c>
      <c r="C404" s="2374"/>
      <c r="D404" s="2374"/>
      <c r="E404" s="2374"/>
      <c r="F404" s="2374"/>
      <c r="G404" s="2373" t="str">
        <f t="shared" si="30"/>
        <v/>
      </c>
      <c r="H404" s="2371" t="s">
        <v>3972</v>
      </c>
      <c r="I404" s="130"/>
      <c r="J404" s="129"/>
      <c r="K404" s="95"/>
      <c r="L404" s="1855"/>
      <c r="M404" s="1758"/>
      <c r="N404" s="1927"/>
      <c r="O404" s="1927"/>
      <c r="P404" s="94"/>
      <c r="Q404" s="94"/>
      <c r="R404" s="94"/>
      <c r="S404" s="94"/>
      <c r="T404" s="94"/>
      <c r="U404" s="94"/>
      <c r="V404" s="94"/>
      <c r="W404" s="94"/>
      <c r="X404" s="1757"/>
      <c r="Y404" s="2081"/>
      <c r="Z404" s="2084"/>
      <c r="AA404" s="1526"/>
      <c r="AC404" s="970"/>
      <c r="AD404" s="970"/>
      <c r="AE404" s="970"/>
      <c r="AF404" s="249"/>
      <c r="AG404" s="249"/>
      <c r="AH404" s="249"/>
      <c r="AI404" s="249"/>
      <c r="AJ404" s="249"/>
      <c r="AK404" s="249"/>
      <c r="AL404" s="1336"/>
      <c r="AM404" s="1336"/>
      <c r="AN404" s="1336"/>
      <c r="AO404" s="1336"/>
      <c r="AP404" s="1336"/>
      <c r="AQ404" s="1336"/>
      <c r="AR404" s="1336"/>
      <c r="AS404" s="1336"/>
    </row>
    <row r="405" spans="1:45" x14ac:dyDescent="0.25">
      <c r="A405" s="2371">
        <v>6</v>
      </c>
      <c r="B405" s="2383">
        <v>601.79999999999995</v>
      </c>
      <c r="C405" s="2374"/>
      <c r="D405" s="2374"/>
      <c r="E405" s="2374"/>
      <c r="F405" s="2374"/>
      <c r="G405" s="2373" t="str">
        <f t="shared" si="30"/>
        <v/>
      </c>
      <c r="H405" s="2371" t="s">
        <v>3972</v>
      </c>
      <c r="I405" s="130"/>
      <c r="J405" s="129"/>
      <c r="K405" s="95"/>
      <c r="L405" s="1849"/>
      <c r="M405" s="1758"/>
      <c r="N405" s="1927"/>
      <c r="O405" s="1927"/>
      <c r="P405" s="94"/>
      <c r="Q405" s="94"/>
      <c r="R405" s="94"/>
      <c r="S405" s="94"/>
      <c r="T405" s="94"/>
      <c r="U405" s="94"/>
      <c r="V405" s="94"/>
      <c r="W405" s="113"/>
      <c r="X405" s="1798"/>
      <c r="Y405" s="2099"/>
      <c r="Z405" s="2087"/>
      <c r="AA405" s="1526"/>
      <c r="AC405" s="970"/>
      <c r="AD405" s="970"/>
      <c r="AE405" s="970"/>
      <c r="AF405" s="249"/>
      <c r="AG405" s="249"/>
      <c r="AH405" s="249"/>
      <c r="AI405" s="249"/>
      <c r="AJ405" s="249"/>
      <c r="AK405" s="249"/>
      <c r="AL405" s="1336"/>
      <c r="AM405" s="1336"/>
      <c r="AN405" s="1336"/>
      <c r="AO405" s="1336"/>
      <c r="AP405" s="1336"/>
      <c r="AQ405" s="1336"/>
      <c r="AR405" s="1336"/>
      <c r="AS405" s="1336"/>
    </row>
    <row r="406" spans="1:45" ht="18.75" x14ac:dyDescent="0.3">
      <c r="A406" s="2371">
        <v>6</v>
      </c>
      <c r="B406" s="2383">
        <v>602</v>
      </c>
      <c r="C406" s="2374"/>
      <c r="D406" s="2374"/>
      <c r="E406" s="2374"/>
      <c r="F406" s="2374"/>
      <c r="G406" s="2373" t="s">
        <v>3974</v>
      </c>
      <c r="H406" s="2371" t="s">
        <v>3971</v>
      </c>
      <c r="I406" s="69" t="s">
        <v>546</v>
      </c>
      <c r="J406" s="69"/>
      <c r="K406" s="69"/>
      <c r="L406" s="229"/>
      <c r="M406" s="390"/>
      <c r="N406" s="1043"/>
      <c r="O406" s="1043"/>
      <c r="P406" s="23"/>
      <c r="Q406" s="23"/>
      <c r="R406" s="23"/>
      <c r="S406" s="23"/>
      <c r="T406" s="23"/>
      <c r="U406" s="23"/>
      <c r="V406" s="23"/>
      <c r="W406" s="23"/>
      <c r="X406" s="23"/>
      <c r="Y406" s="23"/>
      <c r="Z406" s="1586"/>
      <c r="AA406" s="1526"/>
      <c r="AC406" s="970"/>
      <c r="AD406" s="970"/>
      <c r="AE406" s="970"/>
      <c r="AF406" s="249"/>
      <c r="AG406" s="249"/>
      <c r="AH406" s="249"/>
      <c r="AI406" s="249"/>
      <c r="AJ406" s="249"/>
      <c r="AK406" s="249"/>
      <c r="AL406" s="1336"/>
      <c r="AM406" s="1336"/>
      <c r="AN406" s="1336"/>
      <c r="AO406" s="1336"/>
      <c r="AP406" s="1336"/>
      <c r="AQ406" s="1336"/>
      <c r="AR406" s="1336"/>
      <c r="AS406" s="1336"/>
    </row>
    <row r="407" spans="1:45" x14ac:dyDescent="0.25">
      <c r="A407" s="2371">
        <v>6</v>
      </c>
      <c r="B407" s="2383" t="s">
        <v>3141</v>
      </c>
      <c r="C407" s="2374"/>
      <c r="D407" s="2374"/>
      <c r="E407" s="2374"/>
      <c r="F407" s="2374"/>
      <c r="G407" s="2375"/>
      <c r="H407" s="2371"/>
      <c r="I407" s="78" t="s">
        <v>3141</v>
      </c>
      <c r="J407" s="4"/>
      <c r="K407" s="83"/>
      <c r="L407" s="1796" t="s">
        <v>547</v>
      </c>
      <c r="M407" s="1014"/>
      <c r="N407" s="1042"/>
      <c r="O407" s="1042"/>
      <c r="P407" s="249"/>
      <c r="Q407" s="249"/>
      <c r="R407" s="249"/>
      <c r="S407" s="249"/>
      <c r="T407" s="249"/>
      <c r="U407" s="249"/>
      <c r="V407" s="249"/>
      <c r="W407" s="249"/>
      <c r="X407" s="911"/>
      <c r="Y407"/>
      <c r="AA407" s="1526"/>
      <c r="AC407" s="970"/>
      <c r="AD407" s="970"/>
      <c r="AE407" s="970"/>
      <c r="AF407" s="249"/>
      <c r="AG407" s="249"/>
      <c r="AH407" s="249"/>
      <c r="AI407" s="249"/>
      <c r="AJ407" s="249"/>
      <c r="AK407" s="249"/>
      <c r="AL407" s="1336"/>
      <c r="AM407" s="1336"/>
      <c r="AN407" s="1336"/>
      <c r="AO407" s="1336"/>
      <c r="AP407" s="1336"/>
      <c r="AQ407" s="1336"/>
      <c r="AR407" s="1336"/>
      <c r="AS407" s="1336"/>
    </row>
    <row r="408" spans="1:45" ht="15.75" thickBot="1" x14ac:dyDescent="0.3">
      <c r="A408" s="2371">
        <v>6</v>
      </c>
      <c r="B408" s="2383" t="s">
        <v>3141</v>
      </c>
      <c r="C408" s="2374"/>
      <c r="D408" s="2374"/>
      <c r="E408" s="2374"/>
      <c r="F408" s="2374"/>
      <c r="G408" s="2375"/>
      <c r="H408" s="2371"/>
      <c r="I408" s="64"/>
      <c r="J408" s="4"/>
      <c r="K408" s="83"/>
      <c r="L408" s="1796"/>
      <c r="M408" s="1014"/>
      <c r="N408" s="1042"/>
      <c r="O408" s="1042"/>
      <c r="P408" s="249"/>
      <c r="Q408" s="249"/>
      <c r="R408" s="249"/>
      <c r="S408" s="249"/>
      <c r="T408" s="249"/>
      <c r="U408" s="249"/>
      <c r="V408" s="249"/>
      <c r="W408" s="249"/>
      <c r="X408" s="911"/>
      <c r="Y408" s="99"/>
      <c r="Z408" s="1589"/>
      <c r="AA408" s="1526"/>
      <c r="AC408" s="970"/>
      <c r="AD408" s="970"/>
      <c r="AE408" s="970"/>
      <c r="AF408" s="249"/>
      <c r="AG408" s="249"/>
      <c r="AH408" s="249"/>
      <c r="AI408" s="249"/>
      <c r="AJ408" s="249"/>
      <c r="AK408" s="249"/>
      <c r="AL408" s="1336"/>
      <c r="AM408" s="1336"/>
      <c r="AN408" s="1336"/>
      <c r="AO408" s="1336"/>
      <c r="AP408" s="1336"/>
      <c r="AQ408" s="1336"/>
      <c r="AR408" s="1336"/>
      <c r="AS408" s="1336"/>
    </row>
    <row r="409" spans="1:45" ht="16.5" thickTop="1" thickBot="1" x14ac:dyDescent="0.3">
      <c r="A409" s="2371">
        <v>6</v>
      </c>
      <c r="B409" s="2383">
        <v>602.1</v>
      </c>
      <c r="C409" s="2374"/>
      <c r="D409" s="2374"/>
      <c r="E409" s="2374"/>
      <c r="F409" s="2374"/>
      <c r="G409" s="2373" t="s">
        <v>3974</v>
      </c>
      <c r="H409" s="2371" t="s">
        <v>3971</v>
      </c>
      <c r="I409" s="180">
        <v>602.1</v>
      </c>
      <c r="J409" s="181"/>
      <c r="K409" s="182"/>
      <c r="L409" s="1189" t="s">
        <v>548</v>
      </c>
      <c r="M409" s="1009"/>
      <c r="N409" s="1046"/>
      <c r="O409" s="1046"/>
      <c r="P409" s="105"/>
      <c r="Q409" s="105"/>
      <c r="R409" s="105"/>
      <c r="S409" s="105"/>
      <c r="T409" s="105"/>
      <c r="U409" s="105"/>
      <c r="V409" s="105"/>
      <c r="W409" s="105"/>
      <c r="X409" s="105"/>
      <c r="Y409" s="99"/>
      <c r="Z409" s="1589"/>
      <c r="AA409" s="1526"/>
      <c r="AC409" s="970"/>
      <c r="AD409" s="970"/>
      <c r="AE409" s="970"/>
      <c r="AF409" s="249"/>
      <c r="AG409" s="249"/>
      <c r="AH409" s="249"/>
      <c r="AI409" s="249"/>
      <c r="AJ409" s="249"/>
      <c r="AK409" s="249"/>
      <c r="AL409" s="1336"/>
      <c r="AM409" s="1336"/>
      <c r="AN409" s="1336"/>
      <c r="AO409" s="1336"/>
      <c r="AP409" s="1336"/>
      <c r="AQ409" s="1336"/>
      <c r="AR409" s="1336"/>
      <c r="AS409" s="1336"/>
    </row>
    <row r="410" spans="1:45" ht="15.75" thickTop="1" x14ac:dyDescent="0.25">
      <c r="A410" s="2371">
        <v>6</v>
      </c>
      <c r="B410" s="2383" t="s">
        <v>549</v>
      </c>
      <c r="C410" s="2374"/>
      <c r="D410" s="2374"/>
      <c r="E410" s="2374"/>
      <c r="F410" s="2374"/>
      <c r="G410" s="2373" t="s">
        <v>3974</v>
      </c>
      <c r="H410" s="2371" t="s">
        <v>3972</v>
      </c>
      <c r="I410" s="180" t="s">
        <v>549</v>
      </c>
      <c r="J410" s="181"/>
      <c r="K410" s="182"/>
      <c r="L410" s="1189" t="s">
        <v>550</v>
      </c>
      <c r="M410" s="1009"/>
      <c r="N410" s="1046"/>
      <c r="O410" s="1046"/>
      <c r="P410" s="105"/>
      <c r="Q410" s="105"/>
      <c r="R410" s="105"/>
      <c r="S410" s="105"/>
      <c r="T410" s="105"/>
      <c r="U410" s="105"/>
      <c r="V410" s="105"/>
      <c r="W410" s="105"/>
      <c r="X410" s="105"/>
      <c r="Y410"/>
      <c r="AA410" s="1526"/>
      <c r="AC410" s="970"/>
      <c r="AD410" s="970"/>
      <c r="AE410" s="970"/>
      <c r="AF410" s="249"/>
      <c r="AG410" s="249"/>
      <c r="AH410" s="249"/>
      <c r="AI410" s="249"/>
      <c r="AJ410" s="249"/>
      <c r="AK410" s="249"/>
      <c r="AL410" s="1336"/>
      <c r="AM410" s="1336"/>
      <c r="AN410" s="1336"/>
      <c r="AO410" s="1336"/>
      <c r="AP410" s="1336"/>
      <c r="AQ410" s="1336"/>
      <c r="AR410" s="1336"/>
      <c r="AS410" s="1336"/>
    </row>
    <row r="411" spans="1:45" x14ac:dyDescent="0.25">
      <c r="A411" s="2371">
        <v>6</v>
      </c>
      <c r="B411" s="2383" t="s">
        <v>551</v>
      </c>
      <c r="C411" s="2383"/>
      <c r="D411" s="2374"/>
      <c r="E411" s="2374"/>
      <c r="F411" s="2374"/>
      <c r="G411" s="2373" t="s">
        <v>3974</v>
      </c>
      <c r="H411" s="2371" t="s">
        <v>3972</v>
      </c>
      <c r="I411" s="130" t="s">
        <v>551</v>
      </c>
      <c r="J411" s="129"/>
      <c r="K411" s="95"/>
      <c r="L411" s="1782" t="s">
        <v>4853</v>
      </c>
      <c r="M411" s="1837" t="str">
        <f>IF(R411,"Mandatory","N/A")</f>
        <v>Mandatory</v>
      </c>
      <c r="N411" s="1042"/>
      <c r="O411" s="1042"/>
      <c r="P411" s="249" t="b">
        <v>1</v>
      </c>
      <c r="Q411" s="249" t="b">
        <v>0</v>
      </c>
      <c r="R411" s="249" t="b">
        <f>S411</f>
        <v>1</v>
      </c>
      <c r="S411" s="249" t="b">
        <f>IF(OR(AZ351=2,AZ351=3),FALSE,TRUE)</f>
        <v>1</v>
      </c>
      <c r="T411" s="94" t="b">
        <f>IF(AND(NOT(S411),W411=TRUE),TRUE,FALSE)</f>
        <v>0</v>
      </c>
      <c r="U411" s="94" t="str">
        <f>SUBSTITUTE(SUBSTITUTE(SUBSTITUTE("dd"&amp;B411&amp;C411&amp;D411&amp;E411&amp;F411,".","_"),"(","_"),")","")</f>
        <v>dd602_1_1_1</v>
      </c>
      <c r="V411" s="249"/>
      <c r="W411" s="1484"/>
      <c r="X411" s="1757"/>
      <c r="Y411" s="2081" t="str">
        <f>IF(LEN('Ch6'!X93)=0,"None",'Ch6'!X93)</f>
        <v>None</v>
      </c>
      <c r="Z411" s="2083"/>
      <c r="AA411" s="1526"/>
      <c r="AC411" s="970" t="b">
        <f>OR(AD411:AE411)</f>
        <v>1</v>
      </c>
      <c r="AD411" s="970" t="b">
        <f>T411</f>
        <v>0</v>
      </c>
      <c r="AE411" s="1657" t="b">
        <f>OR(AND(R411,NOT(W411="Met"),NOT(W411="N/A")),AND(W411="N/A",ISBLANK(X411)))</f>
        <v>1</v>
      </c>
      <c r="AF411" s="784" t="b">
        <f>AND(AE411,NOT(Q411))</f>
        <v>1</v>
      </c>
      <c r="AG411" s="249"/>
      <c r="AH411" s="249"/>
      <c r="AI411" s="249"/>
      <c r="AJ411" s="249"/>
      <c r="AK411" s="249"/>
      <c r="AL411" s="254" t="str">
        <f>SUBSTITUTE(SUBSTITUTE(SUBSTITUTE("vpa"&amp;$B411&amp;$C411&amp;$D411&amp;$E411,".","_"),"(","_"),")","")</f>
        <v>vpa602_1_1_1</v>
      </c>
      <c r="AM411" s="254" t="str">
        <f>M411</f>
        <v>Mandatory</v>
      </c>
      <c r="AN411" s="1336"/>
      <c r="AO411" s="1336"/>
      <c r="AP411" s="1336" t="str">
        <f>SUBSTITUTE(SUBSTITUTE(SUBSTITUTE("vch"&amp;$B411&amp;$C411&amp;$D411&amp;$E411,".","_"),"(","_"),")","")</f>
        <v>vch602_1_1_1</v>
      </c>
      <c r="AQ411" s="254" t="str">
        <f>IF(LEN(W411)=0,"",W411)</f>
        <v/>
      </c>
      <c r="AR411" s="1336" t="str">
        <f>SUBSTITUTE(SUBSTITUTE(SUBSTITUTE("vnt"&amp;$B411&amp;$C411&amp;$D411&amp;$E411,".","_"),"(","_"),")","")</f>
        <v>vnt602_1_1_1</v>
      </c>
      <c r="AS411" s="254" t="str">
        <f>IF(LEN(X411)=0,"",X411)</f>
        <v/>
      </c>
    </row>
    <row r="412" spans="1:45" x14ac:dyDescent="0.25">
      <c r="A412" s="2371">
        <v>6</v>
      </c>
      <c r="B412" s="2383" t="s">
        <v>551</v>
      </c>
      <c r="C412" s="2383"/>
      <c r="D412" s="2374"/>
      <c r="E412" s="2374"/>
      <c r="F412" s="2374"/>
      <c r="G412" s="2373" t="s">
        <v>3974</v>
      </c>
      <c r="H412" s="2371" t="s">
        <v>3972</v>
      </c>
      <c r="I412" s="130"/>
      <c r="J412" s="129"/>
      <c r="K412" s="95"/>
      <c r="L412" s="1782"/>
      <c r="M412" s="1837"/>
      <c r="N412" s="1042"/>
      <c r="O412" s="1042"/>
      <c r="P412" s="249"/>
      <c r="Q412" s="249"/>
      <c r="R412" s="249"/>
      <c r="S412" s="249"/>
      <c r="T412" s="249"/>
      <c r="U412" s="249"/>
      <c r="V412" s="249"/>
      <c r="W412" s="249"/>
      <c r="X412" s="1757"/>
      <c r="Y412" s="2081"/>
      <c r="Z412" s="2083"/>
      <c r="AA412" s="1526"/>
      <c r="AC412" s="970"/>
      <c r="AD412" s="970"/>
      <c r="AE412" s="970"/>
      <c r="AF412" s="249"/>
      <c r="AG412" s="249"/>
      <c r="AH412" s="249"/>
      <c r="AI412" s="249"/>
      <c r="AJ412" s="249"/>
      <c r="AK412" s="249"/>
      <c r="AL412" s="1336"/>
      <c r="AM412" s="1336"/>
      <c r="AN412" s="1336"/>
      <c r="AO412" s="1336"/>
      <c r="AP412" s="1336"/>
      <c r="AQ412" s="1336"/>
      <c r="AR412" s="1336"/>
      <c r="AS412" s="1336"/>
    </row>
    <row r="413" spans="1:45" x14ac:dyDescent="0.25">
      <c r="A413" s="2371">
        <v>6</v>
      </c>
      <c r="B413" s="2383" t="s">
        <v>551</v>
      </c>
      <c r="C413" s="2383"/>
      <c r="D413" s="2374"/>
      <c r="E413" s="2374"/>
      <c r="F413" s="2374"/>
      <c r="G413" s="2373" t="s">
        <v>3974</v>
      </c>
      <c r="H413" s="2371" t="s">
        <v>3972</v>
      </c>
      <c r="I413" s="215"/>
      <c r="J413" s="210"/>
      <c r="K413" s="175"/>
      <c r="L413" s="1843"/>
      <c r="M413" s="1844"/>
      <c r="N413" s="1042"/>
      <c r="O413" s="1042"/>
      <c r="P413" s="249"/>
      <c r="Q413" s="249"/>
      <c r="R413" s="249"/>
      <c r="S413" s="249"/>
      <c r="T413" s="249"/>
      <c r="U413" s="249"/>
      <c r="V413" s="249"/>
      <c r="W413" s="249"/>
      <c r="X413" s="1757"/>
      <c r="Y413" s="2081"/>
      <c r="Z413" s="2083"/>
      <c r="AA413" s="1526"/>
      <c r="AC413" s="970"/>
      <c r="AD413" s="970"/>
      <c r="AE413" s="970"/>
      <c r="AF413" s="249"/>
      <c r="AG413" s="249"/>
      <c r="AH413" s="249"/>
      <c r="AI413" s="249"/>
      <c r="AJ413" s="249"/>
      <c r="AK413" s="249"/>
      <c r="AL413" s="1336"/>
      <c r="AM413" s="1336"/>
      <c r="AN413" s="1336"/>
      <c r="AO413" s="1336"/>
      <c r="AP413" s="1336"/>
      <c r="AQ413" s="1336"/>
      <c r="AR413" s="1336"/>
      <c r="AS413" s="1336"/>
    </row>
    <row r="414" spans="1:45" x14ac:dyDescent="0.25">
      <c r="A414" s="2371">
        <v>6</v>
      </c>
      <c r="B414" s="2383" t="s">
        <v>552</v>
      </c>
      <c r="C414" s="2383"/>
      <c r="D414" s="2374"/>
      <c r="E414" s="2374"/>
      <c r="F414" s="2374"/>
      <c r="G414" s="2373" t="str">
        <f>IF(N414&gt;0,"P","")</f>
        <v/>
      </c>
      <c r="H414" s="2371" t="s">
        <v>3972</v>
      </c>
      <c r="I414" s="64" t="s">
        <v>552</v>
      </c>
      <c r="J414" s="4"/>
      <c r="K414" s="83"/>
      <c r="L414" s="1796" t="s">
        <v>553</v>
      </c>
      <c r="M414" s="1767">
        <v>3</v>
      </c>
      <c r="N414" s="2075">
        <f>'Ch6'!O96</f>
        <v>0</v>
      </c>
      <c r="O414" s="2075">
        <f>M414*S414*W414</f>
        <v>0</v>
      </c>
      <c r="P414" s="249" t="b">
        <v>1</v>
      </c>
      <c r="Q414" s="249" t="b">
        <v>0</v>
      </c>
      <c r="R414" s="249" t="b">
        <v>0</v>
      </c>
      <c r="S414" s="249" t="b">
        <v>1</v>
      </c>
      <c r="T414" s="249" t="b">
        <v>0</v>
      </c>
      <c r="U414" s="249"/>
      <c r="V414" s="249"/>
      <c r="W414" s="25"/>
      <c r="X414" s="1757"/>
      <c r="Y414" s="2081" t="str">
        <f>IF(LEN('Ch6'!X96)=0,"None",'Ch6'!X96)</f>
        <v>None</v>
      </c>
      <c r="Z414" s="2084"/>
      <c r="AA414" s="1526"/>
      <c r="AC414" s="970"/>
      <c r="AD414" s="970"/>
      <c r="AE414" s="970"/>
      <c r="AF414" s="249"/>
      <c r="AG414" s="249"/>
      <c r="AH414" s="249"/>
      <c r="AI414" s="249"/>
      <c r="AJ414" s="249"/>
      <c r="AK414" s="249"/>
      <c r="AL414" s="254" t="str">
        <f>SUBSTITUTE(SUBSTITUTE(SUBSTITUTE("vpa"&amp;$B414&amp;$C414&amp;$D414&amp;$E414,".","_"),"(","_"),")","")</f>
        <v xml:space="preserve">vpa602_1_1_2 </v>
      </c>
      <c r="AM414" s="254">
        <f>M414</f>
        <v>3</v>
      </c>
      <c r="AN414" s="254" t="str">
        <f>SUBSTITUTE(SUBSTITUTE(SUBSTITUTE("vpc"&amp;$B414&amp;$C414&amp;$D414&amp;$E414,".","_"),"(","_"),")","")</f>
        <v xml:space="preserve">vpc602_1_1_2 </v>
      </c>
      <c r="AO414" s="254">
        <f>O414</f>
        <v>0</v>
      </c>
      <c r="AP414" s="1336" t="str">
        <f>SUBSTITUTE(SUBSTITUTE(SUBSTITUTE("vch"&amp;$B414&amp;$C414&amp;$D414&amp;$E414,".","_"),"(","_"),")","")</f>
        <v xml:space="preserve">vch602_1_1_2 </v>
      </c>
      <c r="AQ414" s="254" t="str">
        <f>IF(LEN(W414)=0,"",W414)</f>
        <v/>
      </c>
      <c r="AR414" s="1336" t="str">
        <f>SUBSTITUTE(SUBSTITUTE(SUBSTITUTE("vnt"&amp;$B414&amp;$C414&amp;$D414&amp;$E414,".","_"),"(","_"),")","")</f>
        <v xml:space="preserve">vnt602_1_1_2 </v>
      </c>
      <c r="AS414" s="254" t="str">
        <f>IF(LEN(X414)=0,"",X414)</f>
        <v/>
      </c>
    </row>
    <row r="415" spans="1:45" ht="15.75" thickBot="1" x14ac:dyDescent="0.3">
      <c r="A415" s="2371">
        <v>6</v>
      </c>
      <c r="B415" s="2383" t="s">
        <v>552</v>
      </c>
      <c r="C415" s="2383"/>
      <c r="D415" s="2374"/>
      <c r="E415" s="2374"/>
      <c r="F415" s="2374"/>
      <c r="G415" s="2373" t="str">
        <f>G414</f>
        <v/>
      </c>
      <c r="H415" s="2371" t="s">
        <v>3972</v>
      </c>
      <c r="I415" s="64"/>
      <c r="J415" s="4"/>
      <c r="K415" s="83"/>
      <c r="L415" s="1796"/>
      <c r="M415" s="1767"/>
      <c r="N415" s="1928"/>
      <c r="O415" s="2075"/>
      <c r="P415" s="249"/>
      <c r="Q415" s="249"/>
      <c r="R415" s="249"/>
      <c r="S415" s="249"/>
      <c r="T415" s="249"/>
      <c r="U415" s="249"/>
      <c r="V415" s="249"/>
      <c r="W415" s="249"/>
      <c r="X415" s="1798"/>
      <c r="Y415" s="2082"/>
      <c r="Z415" s="2086"/>
      <c r="AA415" s="1526"/>
      <c r="AC415" s="970"/>
      <c r="AD415" s="970"/>
      <c r="AE415" s="970"/>
      <c r="AF415" s="249"/>
      <c r="AG415" s="249"/>
      <c r="AH415" s="249"/>
      <c r="AI415" s="249"/>
      <c r="AJ415" s="249"/>
      <c r="AK415" s="249"/>
      <c r="AL415" s="1336"/>
      <c r="AM415" s="1336"/>
      <c r="AN415" s="1336"/>
      <c r="AO415" s="1336"/>
      <c r="AP415" s="1336"/>
      <c r="AQ415" s="1336"/>
      <c r="AR415" s="1336"/>
      <c r="AS415" s="1336"/>
    </row>
    <row r="416" spans="1:45" ht="15.75" thickTop="1" x14ac:dyDescent="0.25">
      <c r="A416" s="2371">
        <v>6</v>
      </c>
      <c r="B416" s="2384" t="s">
        <v>554</v>
      </c>
      <c r="C416" s="2374"/>
      <c r="D416" s="2374"/>
      <c r="E416" s="2374"/>
      <c r="F416" s="2374"/>
      <c r="G416" s="2373" t="str">
        <f>IF(N416&gt;0,"P","")</f>
        <v/>
      </c>
      <c r="H416" s="2371" t="s">
        <v>3972</v>
      </c>
      <c r="I416" s="180" t="s">
        <v>3142</v>
      </c>
      <c r="J416" s="181"/>
      <c r="K416" s="182"/>
      <c r="L416" s="1781" t="s">
        <v>555</v>
      </c>
      <c r="M416" s="1772">
        <v>4</v>
      </c>
      <c r="N416" s="2080">
        <f>'Ch6'!O98</f>
        <v>0</v>
      </c>
      <c r="O416" s="2080">
        <f>M416*OR(S418*W418,S419*W419)</f>
        <v>0</v>
      </c>
      <c r="P416" s="105"/>
      <c r="Q416" s="105"/>
      <c r="R416" s="105"/>
      <c r="S416" s="105"/>
      <c r="T416" s="105"/>
      <c r="U416" s="105"/>
      <c r="V416" s="105"/>
      <c r="W416" s="105"/>
      <c r="X416" s="1784"/>
      <c r="Y416" s="2097" t="str">
        <f>IF(LEN('Ch6'!X98)=0,"None",'Ch6'!X98)</f>
        <v>None</v>
      </c>
      <c r="Z416" s="2085"/>
      <c r="AA416" s="1526"/>
      <c r="AC416" s="970"/>
      <c r="AD416" s="970"/>
      <c r="AE416" s="970"/>
      <c r="AF416" s="249"/>
      <c r="AG416" s="249"/>
      <c r="AH416" s="249"/>
      <c r="AI416" s="249"/>
      <c r="AJ416" s="249"/>
      <c r="AK416" s="249"/>
      <c r="AL416" s="254" t="str">
        <f>SUBSTITUTE(SUBSTITUTE(SUBSTITUTE("vpa"&amp;$B416&amp;$C416&amp;$D416&amp;$E416,".","_"),"(","_"),")","")</f>
        <v xml:space="preserve">vpa602_1_2 </v>
      </c>
      <c r="AM416" s="254">
        <f>M416</f>
        <v>4</v>
      </c>
      <c r="AN416" s="254" t="str">
        <f>SUBSTITUTE(SUBSTITUTE(SUBSTITUTE("vpc"&amp;$B416&amp;$C416&amp;$D416&amp;$E416,".","_"),"(","_"),")","")</f>
        <v xml:space="preserve">vpc602_1_2 </v>
      </c>
      <c r="AO416" s="254">
        <f>O416</f>
        <v>0</v>
      </c>
      <c r="AP416" s="1336"/>
      <c r="AQ416" s="1336"/>
      <c r="AR416" s="1336" t="str">
        <f>SUBSTITUTE(SUBSTITUTE(SUBSTITUTE("vnt"&amp;$B416&amp;$C416&amp;$D416&amp;$E416,".","_"),"(","_"),")","")</f>
        <v xml:space="preserve">vnt602_1_2 </v>
      </c>
      <c r="AS416" s="254" t="str">
        <f>IF(LEN(X416)=0,"",X416)</f>
        <v/>
      </c>
    </row>
    <row r="417" spans="1:45" x14ac:dyDescent="0.25">
      <c r="A417" s="2371">
        <v>6</v>
      </c>
      <c r="B417" s="2384" t="s">
        <v>554</v>
      </c>
      <c r="C417" s="2374"/>
      <c r="D417" s="2374"/>
      <c r="E417" s="2374"/>
      <c r="F417" s="2374"/>
      <c r="G417" s="2373" t="str">
        <f>G416</f>
        <v/>
      </c>
      <c r="H417" s="2371" t="s">
        <v>3972</v>
      </c>
      <c r="I417" s="130"/>
      <c r="J417" s="129"/>
      <c r="K417" s="95"/>
      <c r="L417" s="1782"/>
      <c r="M417" s="1758"/>
      <c r="N417" s="1927"/>
      <c r="O417" s="1927"/>
      <c r="P417" s="94"/>
      <c r="Q417" s="94"/>
      <c r="R417" s="94"/>
      <c r="S417" s="94"/>
      <c r="T417" s="94"/>
      <c r="U417" s="94"/>
      <c r="V417" s="94"/>
      <c r="W417" s="94"/>
      <c r="X417" s="1757"/>
      <c r="Y417" s="2081"/>
      <c r="Z417" s="2084"/>
      <c r="AA417" s="1526"/>
      <c r="AC417" s="970"/>
      <c r="AD417" s="970"/>
      <c r="AE417" s="970"/>
      <c r="AF417" s="249"/>
      <c r="AG417" s="249"/>
      <c r="AH417" s="249"/>
      <c r="AI417" s="249"/>
      <c r="AJ417" s="249"/>
      <c r="AK417" s="249"/>
      <c r="AL417" s="1336"/>
      <c r="AM417" s="1336"/>
      <c r="AN417" s="1336"/>
      <c r="AO417" s="1336"/>
      <c r="AP417" s="1336"/>
      <c r="AQ417" s="1336"/>
      <c r="AR417" s="1336"/>
      <c r="AS417" s="1336"/>
    </row>
    <row r="418" spans="1:45" x14ac:dyDescent="0.25">
      <c r="A418" s="2371">
        <v>6</v>
      </c>
      <c r="B418" s="2384" t="s">
        <v>554</v>
      </c>
      <c r="C418" s="2374" t="s">
        <v>256</v>
      </c>
      <c r="D418" s="2374"/>
      <c r="E418" s="2374"/>
      <c r="F418" s="2374"/>
      <c r="G418" s="2373" t="str">
        <f>G417</f>
        <v/>
      </c>
      <c r="H418" s="2371" t="s">
        <v>3972</v>
      </c>
      <c r="I418" s="130"/>
      <c r="J418" s="206" t="s">
        <v>256</v>
      </c>
      <c r="K418" s="175"/>
      <c r="L418" s="1163" t="s">
        <v>556</v>
      </c>
      <c r="M418" s="1758"/>
      <c r="N418" s="1927"/>
      <c r="O418" s="1927"/>
      <c r="P418" s="249" t="b">
        <v>1</v>
      </c>
      <c r="Q418" s="249" t="b">
        <v>0</v>
      </c>
      <c r="R418" s="94" t="b">
        <v>0</v>
      </c>
      <c r="S418" s="94" t="b">
        <f>NOT(AZ351=4)</f>
        <v>1</v>
      </c>
      <c r="T418" s="94" t="b">
        <f>IF(AND(NOT(S418),W418=TRUE),TRUE,FALSE)</f>
        <v>0</v>
      </c>
      <c r="U418" s="94"/>
      <c r="V418" s="94"/>
      <c r="W418" s="25"/>
      <c r="X418" s="1757"/>
      <c r="Y418" s="2081"/>
      <c r="Z418" s="2084"/>
      <c r="AA418" s="1526"/>
      <c r="AC418" s="970" t="b">
        <f>OR(AD418:AE418)</f>
        <v>0</v>
      </c>
      <c r="AD418" s="970" t="b">
        <f>T418</f>
        <v>0</v>
      </c>
      <c r="AE418" s="970"/>
      <c r="AF418" s="249"/>
      <c r="AG418" s="249"/>
      <c r="AH418" s="249"/>
      <c r="AI418" s="249"/>
      <c r="AJ418" s="249"/>
      <c r="AK418" s="249"/>
      <c r="AL418" s="1336"/>
      <c r="AM418" s="1336"/>
      <c r="AN418" s="1336"/>
      <c r="AO418" s="1336"/>
      <c r="AP418" s="1336" t="str">
        <f>SUBSTITUTE(SUBSTITUTE(SUBSTITUTE("vch"&amp;$B418&amp;$C418&amp;$D418&amp;$E418,".","_"),"(","_"),")","")</f>
        <v>vch602_1_2 _1</v>
      </c>
      <c r="AQ418" s="254" t="str">
        <f>IF(LEN(W418)=0,"",W418)</f>
        <v/>
      </c>
      <c r="AR418" s="1336"/>
      <c r="AS418" s="1336"/>
    </row>
    <row r="419" spans="1:45" ht="15.75" thickBot="1" x14ac:dyDescent="0.3">
      <c r="A419" s="2371">
        <v>6</v>
      </c>
      <c r="B419" s="2384" t="s">
        <v>554</v>
      </c>
      <c r="C419" s="2374" t="s">
        <v>258</v>
      </c>
      <c r="D419" s="2374"/>
      <c r="E419" s="2374"/>
      <c r="F419" s="2374"/>
      <c r="G419" s="2373" t="str">
        <f>G418</f>
        <v/>
      </c>
      <c r="H419" s="2371" t="s">
        <v>3972</v>
      </c>
      <c r="I419" s="189"/>
      <c r="J419" s="190" t="s">
        <v>258</v>
      </c>
      <c r="K419" s="97"/>
      <c r="L419" s="1171" t="s">
        <v>557</v>
      </c>
      <c r="M419" s="1768"/>
      <c r="N419" s="1928"/>
      <c r="O419" s="1928"/>
      <c r="P419" s="99"/>
      <c r="Q419" s="99"/>
      <c r="R419" s="99" t="b">
        <v>0</v>
      </c>
      <c r="S419" s="99" t="b">
        <f>NOT(AZ351=4)</f>
        <v>1</v>
      </c>
      <c r="T419" s="99" t="b">
        <f>IF(AND(NOT(S419),W419=TRUE),TRUE,FALSE)</f>
        <v>0</v>
      </c>
      <c r="U419" s="99"/>
      <c r="V419" s="99"/>
      <c r="W419" s="25"/>
      <c r="X419" s="1771"/>
      <c r="Y419" s="2082"/>
      <c r="Z419" s="2086"/>
      <c r="AA419" s="1526"/>
      <c r="AC419" s="970" t="b">
        <f>OR(AD419:AE419)</f>
        <v>0</v>
      </c>
      <c r="AD419" s="970" t="b">
        <f>T419</f>
        <v>0</v>
      </c>
      <c r="AE419" s="970"/>
      <c r="AF419" s="249"/>
      <c r="AG419" s="249"/>
      <c r="AH419" s="249"/>
      <c r="AI419" s="249"/>
      <c r="AJ419" s="249"/>
      <c r="AK419" s="249"/>
      <c r="AL419" s="1336"/>
      <c r="AM419" s="1336"/>
      <c r="AN419" s="1336"/>
      <c r="AO419" s="1336"/>
      <c r="AP419" s="1336" t="str">
        <f>SUBSTITUTE(SUBSTITUTE(SUBSTITUTE("vch"&amp;$B419&amp;$C419&amp;$D419&amp;$E419,".","_"),"(","_"),")","")</f>
        <v>vch602_1_2 _2</v>
      </c>
      <c r="AQ419" s="254" t="str">
        <f>IF(LEN(W419)=0,"",W419)</f>
        <v/>
      </c>
      <c r="AR419" s="1336"/>
      <c r="AS419" s="1336"/>
    </row>
    <row r="420" spans="1:45" ht="15.75" thickTop="1" x14ac:dyDescent="0.25">
      <c r="A420" s="2371">
        <v>6</v>
      </c>
      <c r="B420" s="2383" t="s">
        <v>558</v>
      </c>
      <c r="C420" s="2374"/>
      <c r="D420" s="2374"/>
      <c r="E420" s="2374"/>
      <c r="F420" s="2374"/>
      <c r="G420" s="2373" t="s">
        <v>3974</v>
      </c>
      <c r="H420" s="2371" t="s">
        <v>3972</v>
      </c>
      <c r="I420" s="180" t="s">
        <v>558</v>
      </c>
      <c r="J420" s="181"/>
      <c r="K420" s="182"/>
      <c r="L420" s="1189" t="s">
        <v>559</v>
      </c>
      <c r="M420" s="1009"/>
      <c r="N420" s="1046"/>
      <c r="O420" s="1046"/>
      <c r="P420" s="105"/>
      <c r="Q420" s="105"/>
      <c r="R420" s="105"/>
      <c r="S420" s="105"/>
      <c r="T420" s="105"/>
      <c r="U420" s="105"/>
      <c r="V420" s="105"/>
      <c r="W420" s="105"/>
      <c r="X420" s="105"/>
      <c r="Y420"/>
      <c r="AA420" s="1526"/>
      <c r="AC420" s="970"/>
      <c r="AD420" s="970"/>
      <c r="AE420" s="970"/>
      <c r="AF420" s="249"/>
      <c r="AG420" s="249"/>
      <c r="AH420" s="249"/>
      <c r="AI420" s="249"/>
      <c r="AJ420" s="249"/>
      <c r="AK420" s="249"/>
      <c r="AL420" s="1336"/>
      <c r="AM420" s="1336"/>
      <c r="AN420" s="1336"/>
      <c r="AO420" s="1336"/>
      <c r="AP420" s="1336"/>
      <c r="AQ420" s="1336"/>
      <c r="AR420" s="1336"/>
      <c r="AS420" s="1336"/>
    </row>
    <row r="421" spans="1:45" x14ac:dyDescent="0.25">
      <c r="A421" s="2371">
        <v>6</v>
      </c>
      <c r="B421" s="2383" t="s">
        <v>560</v>
      </c>
      <c r="C421" s="2383"/>
      <c r="D421" s="2374"/>
      <c r="E421" s="2374"/>
      <c r="F421" s="2374"/>
      <c r="G421" s="2373" t="s">
        <v>3974</v>
      </c>
      <c r="H421" s="2371" t="s">
        <v>3972</v>
      </c>
      <c r="I421" s="130" t="s">
        <v>560</v>
      </c>
      <c r="J421" s="129"/>
      <c r="K421" s="95"/>
      <c r="L421" s="1782" t="s">
        <v>561</v>
      </c>
      <c r="M421" s="1837" t="str">
        <f>IF(R421,"Mandatory","N/A")</f>
        <v>N/A</v>
      </c>
      <c r="N421" s="1042"/>
      <c r="O421" s="1042"/>
      <c r="P421" s="249" t="b">
        <v>1</v>
      </c>
      <c r="Q421" s="249" t="b">
        <v>0</v>
      </c>
      <c r="R421" s="249" t="b">
        <f>S421</f>
        <v>0</v>
      </c>
      <c r="S421" s="249" t="b">
        <f>OR(AZ351=1,AZ351=5,AZ351=6)</f>
        <v>0</v>
      </c>
      <c r="T421" s="94" t="b">
        <f>IF(AND(NOT(S421),W421=TRUE),TRUE,FALSE)</f>
        <v>0</v>
      </c>
      <c r="U421" s="249"/>
      <c r="V421" s="249"/>
      <c r="W421" s="25"/>
      <c r="X421" s="1757"/>
      <c r="Y421" s="2081" t="str">
        <f>IF(LEN('Ch6'!X103)=0,"None",'Ch6'!X103)</f>
        <v>None</v>
      </c>
      <c r="Z421" s="2083"/>
      <c r="AA421" s="1526"/>
      <c r="AC421" s="970" t="b">
        <f>OR(AD421:AE421)</f>
        <v>0</v>
      </c>
      <c r="AD421" s="970" t="b">
        <f>T421</f>
        <v>0</v>
      </c>
      <c r="AE421" s="970" t="b">
        <f>AND(R421,NOT(W421))</f>
        <v>0</v>
      </c>
      <c r="AF421" s="784" t="b">
        <f>AND(AE421,NOT(Q421))</f>
        <v>0</v>
      </c>
      <c r="AG421" s="249"/>
      <c r="AH421" s="249"/>
      <c r="AI421" s="249"/>
      <c r="AJ421" s="249"/>
      <c r="AK421" s="249"/>
      <c r="AL421" s="254" t="str">
        <f>SUBSTITUTE(SUBSTITUTE(SUBSTITUTE("vpa"&amp;$B421&amp;$C421&amp;$D421&amp;$E421,".","_"),"(","_"),")","")</f>
        <v>vpa602_1_3_1</v>
      </c>
      <c r="AM421" s="254" t="str">
        <f>M421</f>
        <v>N/A</v>
      </c>
      <c r="AN421" s="1336"/>
      <c r="AO421" s="1336"/>
      <c r="AP421" s="1336" t="str">
        <f>SUBSTITUTE(SUBSTITUTE(SUBSTITUTE("vch"&amp;$B421&amp;$C421&amp;$D421&amp;$E421,".","_"),"(","_"),")","")</f>
        <v>vch602_1_3_1</v>
      </c>
      <c r="AQ421" s="254" t="str">
        <f>IF(LEN(W421)=0,"",W421)</f>
        <v/>
      </c>
      <c r="AR421" s="1336" t="str">
        <f>SUBSTITUTE(SUBSTITUTE(SUBSTITUTE("vnt"&amp;$B421&amp;$C421&amp;$D421&amp;$E421,".","_"),"(","_"),")","")</f>
        <v>vnt602_1_3_1</v>
      </c>
      <c r="AS421" s="254" t="str">
        <f>IF(LEN(X421)=0,"",X421)</f>
        <v/>
      </c>
    </row>
    <row r="422" spans="1:45" x14ac:dyDescent="0.25">
      <c r="A422" s="2371">
        <v>6</v>
      </c>
      <c r="B422" s="2383" t="s">
        <v>560</v>
      </c>
      <c r="C422" s="2383"/>
      <c r="D422" s="2374"/>
      <c r="E422" s="2374"/>
      <c r="F422" s="2374"/>
      <c r="G422" s="2373" t="s">
        <v>3974</v>
      </c>
      <c r="H422" s="2371" t="s">
        <v>3972</v>
      </c>
      <c r="I422" s="215"/>
      <c r="J422" s="210"/>
      <c r="K422" s="175"/>
      <c r="L422" s="1843"/>
      <c r="M422" s="1844"/>
      <c r="N422" s="1042"/>
      <c r="O422" s="1042"/>
      <c r="P422" s="249"/>
      <c r="Q422" s="249"/>
      <c r="R422" s="249"/>
      <c r="S422" s="249"/>
      <c r="T422" s="249"/>
      <c r="U422" s="249"/>
      <c r="V422" s="249"/>
      <c r="W422" s="249"/>
      <c r="X422" s="1757"/>
      <c r="Y422" s="2081"/>
      <c r="Z422" s="2083"/>
      <c r="AA422" s="1526"/>
      <c r="AC422" s="970"/>
      <c r="AD422" s="970"/>
      <c r="AE422" s="970"/>
      <c r="AF422" s="249"/>
      <c r="AG422" s="249"/>
      <c r="AH422" s="249"/>
      <c r="AI422" s="249"/>
      <c r="AJ422" s="249"/>
      <c r="AK422" s="249"/>
      <c r="AL422" s="1336"/>
      <c r="AM422" s="1336"/>
      <c r="AN422" s="1336"/>
      <c r="AO422" s="1336"/>
      <c r="AP422" s="1336"/>
      <c r="AQ422" s="1336"/>
      <c r="AR422" s="1336"/>
      <c r="AS422" s="1336"/>
    </row>
    <row r="423" spans="1:45" x14ac:dyDescent="0.25">
      <c r="A423" s="2371">
        <v>6</v>
      </c>
      <c r="B423" s="2385" t="s">
        <v>562</v>
      </c>
      <c r="C423" s="2385"/>
      <c r="D423" s="2374"/>
      <c r="E423" s="2374"/>
      <c r="F423" s="2374"/>
      <c r="G423" s="2373" t="str">
        <f>IF(N423&gt;0,"P","")</f>
        <v/>
      </c>
      <c r="H423" s="2371" t="s">
        <v>3972</v>
      </c>
      <c r="I423" s="64" t="s">
        <v>562</v>
      </c>
      <c r="J423" s="4"/>
      <c r="K423" s="83"/>
      <c r="L423" s="1796" t="s">
        <v>563</v>
      </c>
      <c r="M423" s="1767">
        <v>4</v>
      </c>
      <c r="N423" s="2075">
        <f>'Ch6'!O105</f>
        <v>0</v>
      </c>
      <c r="O423" s="2075">
        <f>M423*S423*W423</f>
        <v>0</v>
      </c>
      <c r="P423" s="249" t="b">
        <v>1</v>
      </c>
      <c r="Q423" s="249" t="b">
        <v>0</v>
      </c>
      <c r="R423" s="249" t="b">
        <v>0</v>
      </c>
      <c r="S423" s="249" t="b">
        <v>1</v>
      </c>
      <c r="T423" s="249" t="b">
        <v>0</v>
      </c>
      <c r="U423" s="249"/>
      <c r="V423" s="249"/>
      <c r="W423" s="25"/>
      <c r="X423" s="1757"/>
      <c r="Y423" s="2081" t="str">
        <f>IF(LEN('Ch6'!X105)=0,"None",'Ch6'!X105)</f>
        <v>None</v>
      </c>
      <c r="Z423" s="2084"/>
      <c r="AA423" s="1526"/>
      <c r="AC423" s="970"/>
      <c r="AD423" s="970"/>
      <c r="AE423" s="970"/>
      <c r="AF423" s="249"/>
      <c r="AG423" s="249"/>
      <c r="AH423" s="249"/>
      <c r="AI423" s="249"/>
      <c r="AJ423" s="249"/>
      <c r="AK423" s="249"/>
      <c r="AL423" s="254" t="str">
        <f>SUBSTITUTE(SUBSTITUTE(SUBSTITUTE("vpa"&amp;$B423&amp;$C423&amp;$D423&amp;$E423,".","_"),"(","_"),")","")</f>
        <v>vpa602_1_3_2</v>
      </c>
      <c r="AM423" s="254">
        <f>M423</f>
        <v>4</v>
      </c>
      <c r="AN423" s="254" t="str">
        <f>SUBSTITUTE(SUBSTITUTE(SUBSTITUTE("vpc"&amp;$B423&amp;$C423&amp;$D423&amp;$E423,".","_"),"(","_"),")","")</f>
        <v>vpc602_1_3_2</v>
      </c>
      <c r="AO423" s="254">
        <f>O423</f>
        <v>0</v>
      </c>
      <c r="AP423" s="1336" t="str">
        <f>SUBSTITUTE(SUBSTITUTE(SUBSTITUTE("vch"&amp;$B423&amp;$C423&amp;$D423&amp;$E423,".","_"),"(","_"),")","")</f>
        <v>vch602_1_3_2</v>
      </c>
      <c r="AQ423" s="254" t="str">
        <f>IF(LEN(W423)=0,"",W423)</f>
        <v/>
      </c>
      <c r="AR423" s="1336" t="str">
        <f>SUBSTITUTE(SUBSTITUTE(SUBSTITUTE("vnt"&amp;$B423&amp;$C423&amp;$D423&amp;$E423,".","_"),"(","_"),")","")</f>
        <v>vnt602_1_3_2</v>
      </c>
      <c r="AS423" s="254" t="str">
        <f>IF(LEN(X423)=0,"",X423)</f>
        <v/>
      </c>
    </row>
    <row r="424" spans="1:45" ht="15.75" thickBot="1" x14ac:dyDescent="0.3">
      <c r="A424" s="2371">
        <v>6</v>
      </c>
      <c r="B424" s="2385" t="s">
        <v>562</v>
      </c>
      <c r="C424" s="2385"/>
      <c r="D424" s="2374"/>
      <c r="E424" s="2374"/>
      <c r="F424" s="2374"/>
      <c r="G424" s="2373" t="str">
        <f>G423</f>
        <v/>
      </c>
      <c r="H424" s="2371" t="s">
        <v>3972</v>
      </c>
      <c r="I424" s="64"/>
      <c r="J424" s="4"/>
      <c r="K424" s="83"/>
      <c r="L424" s="1796"/>
      <c r="M424" s="1767"/>
      <c r="N424" s="1928"/>
      <c r="O424" s="2075"/>
      <c r="P424" s="249"/>
      <c r="Q424" s="249"/>
      <c r="R424" s="249"/>
      <c r="S424" s="249"/>
      <c r="T424" s="249"/>
      <c r="U424" s="249"/>
      <c r="V424" s="249"/>
      <c r="W424" s="249"/>
      <c r="X424" s="1798"/>
      <c r="Y424" s="2082"/>
      <c r="Z424" s="2086"/>
      <c r="AA424" s="1526"/>
      <c r="AC424" s="970"/>
      <c r="AD424" s="970"/>
      <c r="AE424" s="970"/>
      <c r="AF424" s="249"/>
      <c r="AG424" s="249"/>
      <c r="AH424" s="249"/>
      <c r="AI424" s="249"/>
      <c r="AJ424" s="249"/>
      <c r="AK424" s="249"/>
      <c r="AL424" s="1336"/>
      <c r="AM424" s="1336"/>
      <c r="AN424" s="1336"/>
      <c r="AO424" s="1336"/>
      <c r="AP424" s="1336"/>
      <c r="AQ424" s="1336"/>
      <c r="AR424" s="1336"/>
      <c r="AS424" s="1336"/>
    </row>
    <row r="425" spans="1:45" ht="15.75" thickTop="1" x14ac:dyDescent="0.25">
      <c r="A425" s="2371">
        <v>6</v>
      </c>
      <c r="B425" s="2383" t="s">
        <v>564</v>
      </c>
      <c r="C425" s="2374"/>
      <c r="D425" s="2374"/>
      <c r="E425" s="2374"/>
      <c r="F425" s="2374"/>
      <c r="G425" s="2373" t="s">
        <v>3974</v>
      </c>
      <c r="H425" s="2371" t="s">
        <v>3972</v>
      </c>
      <c r="I425" s="180" t="s">
        <v>564</v>
      </c>
      <c r="J425" s="181"/>
      <c r="K425" s="182"/>
      <c r="L425" s="1189" t="s">
        <v>565</v>
      </c>
      <c r="M425" s="1009"/>
      <c r="N425" s="1046"/>
      <c r="O425" s="1046"/>
      <c r="P425" s="105"/>
      <c r="Q425" s="105"/>
      <c r="R425" s="105"/>
      <c r="S425" s="105"/>
      <c r="T425" s="105"/>
      <c r="U425" s="105"/>
      <c r="V425" s="105"/>
      <c r="W425" s="105"/>
      <c r="X425" s="105"/>
      <c r="Y425"/>
      <c r="AA425" s="1526"/>
      <c r="AC425" s="970"/>
      <c r="AD425" s="970"/>
      <c r="AE425" s="970"/>
      <c r="AF425" s="249"/>
      <c r="AG425" s="249"/>
      <c r="AH425" s="249"/>
      <c r="AI425" s="249"/>
      <c r="AJ425" s="249"/>
      <c r="AK425" s="249"/>
      <c r="AL425" s="1336"/>
      <c r="AM425" s="1336"/>
      <c r="AN425" s="1336"/>
      <c r="AO425" s="1336"/>
      <c r="AP425" s="1336"/>
      <c r="AQ425" s="1336"/>
      <c r="AR425" s="1336"/>
      <c r="AS425" s="1336"/>
    </row>
    <row r="426" spans="1:45" x14ac:dyDescent="0.25">
      <c r="A426" s="2371">
        <v>6</v>
      </c>
      <c r="B426" s="2385" t="s">
        <v>566</v>
      </c>
      <c r="C426" s="2385"/>
      <c r="D426" s="2374"/>
      <c r="E426" s="2374"/>
      <c r="F426" s="2374"/>
      <c r="G426" s="2373" t="s">
        <v>3974</v>
      </c>
      <c r="H426" s="2371" t="s">
        <v>3972</v>
      </c>
      <c r="I426" s="64" t="s">
        <v>566</v>
      </c>
      <c r="J426" s="4"/>
      <c r="K426" s="83"/>
      <c r="L426" s="1796" t="s">
        <v>567</v>
      </c>
      <c r="M426" s="1014"/>
      <c r="N426" s="1042"/>
      <c r="O426" s="1042"/>
      <c r="P426" s="249"/>
      <c r="Q426" s="249"/>
      <c r="R426" s="249"/>
      <c r="S426" s="249"/>
      <c r="T426" s="249"/>
      <c r="U426" s="249"/>
      <c r="V426" s="249"/>
      <c r="W426" s="249"/>
      <c r="X426" s="911"/>
      <c r="Y426"/>
      <c r="AA426" s="1526"/>
      <c r="AC426" s="970"/>
      <c r="AD426" s="970"/>
      <c r="AE426" s="970"/>
      <c r="AF426" s="249"/>
      <c r="AG426" s="249"/>
      <c r="AH426" s="249"/>
      <c r="AI426" s="249"/>
      <c r="AJ426" s="249"/>
      <c r="AK426" s="249"/>
      <c r="AL426" s="1336"/>
      <c r="AM426" s="1336"/>
      <c r="AN426" s="1336"/>
      <c r="AO426" s="1336"/>
      <c r="AP426" s="1336"/>
      <c r="AQ426" s="1336"/>
      <c r="AR426" s="1336"/>
      <c r="AS426" s="1336"/>
    </row>
    <row r="427" spans="1:45" x14ac:dyDescent="0.25">
      <c r="A427" s="2371">
        <v>6</v>
      </c>
      <c r="B427" s="2385" t="s">
        <v>566</v>
      </c>
      <c r="C427" s="2385"/>
      <c r="D427" s="2374"/>
      <c r="E427" s="2374"/>
      <c r="F427" s="2374"/>
      <c r="G427" s="2373" t="s">
        <v>3974</v>
      </c>
      <c r="H427" s="2371" t="s">
        <v>3972</v>
      </c>
      <c r="I427" s="64"/>
      <c r="J427" s="4"/>
      <c r="K427" s="83"/>
      <c r="L427" s="1796"/>
      <c r="M427" s="1014"/>
      <c r="N427" s="1042"/>
      <c r="O427" s="1042"/>
      <c r="P427" s="249"/>
      <c r="Q427" s="249"/>
      <c r="R427" s="249"/>
      <c r="S427" s="249"/>
      <c r="T427" s="249"/>
      <c r="U427" s="249"/>
      <c r="V427" s="249"/>
      <c r="W427" s="249"/>
      <c r="X427" s="911"/>
      <c r="Y427"/>
      <c r="AA427" s="1526"/>
      <c r="AC427" s="970"/>
      <c r="AD427" s="970"/>
      <c r="AE427" s="970"/>
      <c r="AF427" s="249"/>
      <c r="AG427" s="249"/>
      <c r="AH427" s="249"/>
      <c r="AI427" s="249"/>
      <c r="AJ427" s="249"/>
      <c r="AK427" s="249"/>
      <c r="AL427" s="1336"/>
      <c r="AM427" s="1336"/>
      <c r="AN427" s="1336"/>
      <c r="AO427" s="1336"/>
      <c r="AP427" s="1336"/>
      <c r="AQ427" s="1336"/>
      <c r="AR427" s="1336"/>
      <c r="AS427" s="1336"/>
    </row>
    <row r="428" spans="1:45" x14ac:dyDescent="0.25">
      <c r="A428" s="2371">
        <v>6</v>
      </c>
      <c r="B428" s="2385" t="s">
        <v>566</v>
      </c>
      <c r="C428" s="2385"/>
      <c r="D428" s="2374"/>
      <c r="E428" s="2374"/>
      <c r="F428" s="2374"/>
      <c r="G428" s="2373" t="s">
        <v>3974</v>
      </c>
      <c r="H428" s="2371" t="s">
        <v>3972</v>
      </c>
      <c r="I428" s="64"/>
      <c r="J428" s="4"/>
      <c r="K428" s="83"/>
      <c r="L428" s="1796"/>
      <c r="M428" s="1014"/>
      <c r="N428" s="1042"/>
      <c r="O428" s="1042"/>
      <c r="P428" s="249"/>
      <c r="Q428" s="249"/>
      <c r="R428" s="249"/>
      <c r="S428" s="249"/>
      <c r="T428" s="249"/>
      <c r="U428" s="249"/>
      <c r="V428" s="249"/>
      <c r="W428" s="249"/>
      <c r="X428" s="911"/>
      <c r="Y428"/>
      <c r="AA428" s="1526"/>
      <c r="AC428" s="970"/>
      <c r="AD428" s="970"/>
      <c r="AE428" s="970"/>
      <c r="AF428" s="249"/>
      <c r="AG428" s="249"/>
      <c r="AH428" s="249"/>
      <c r="AI428" s="249"/>
      <c r="AJ428" s="249"/>
      <c r="AK428" s="249"/>
      <c r="AL428" s="1336"/>
      <c r="AM428" s="1336"/>
      <c r="AN428" s="1336"/>
      <c r="AO428" s="1336"/>
      <c r="AP428" s="1336"/>
      <c r="AQ428" s="1336"/>
      <c r="AR428" s="1336"/>
      <c r="AS428" s="1336"/>
    </row>
    <row r="429" spans="1:45" x14ac:dyDescent="0.25">
      <c r="A429" s="2371">
        <v>6</v>
      </c>
      <c r="B429" s="2385" t="s">
        <v>566</v>
      </c>
      <c r="C429" s="2374" t="s">
        <v>256</v>
      </c>
      <c r="D429" s="2374"/>
      <c r="E429" s="2374"/>
      <c r="F429" s="2374"/>
      <c r="G429" s="2373" t="str">
        <f>IF(N429&gt;0,"P","")</f>
        <v/>
      </c>
      <c r="H429" s="2371" t="s">
        <v>3972</v>
      </c>
      <c r="I429" s="64"/>
      <c r="J429" s="183" t="s">
        <v>256</v>
      </c>
      <c r="K429" s="95"/>
      <c r="L429" s="1754" t="s">
        <v>568</v>
      </c>
      <c r="M429" s="1758">
        <v>6</v>
      </c>
      <c r="N429" s="1927">
        <f>'Ch6'!O111</f>
        <v>0</v>
      </c>
      <c r="O429" s="1927">
        <f>M429*S429*W429</f>
        <v>0</v>
      </c>
      <c r="P429" s="249" t="b">
        <v>1</v>
      </c>
      <c r="Q429" s="249" t="b">
        <v>0</v>
      </c>
      <c r="R429" s="249" t="b">
        <v>0</v>
      </c>
      <c r="S429" s="249" t="b">
        <f>OR(AZ351=2,AZ351=7)</f>
        <v>0</v>
      </c>
      <c r="T429" s="94" t="b">
        <f>IF(AND(NOT(S429),W429=TRUE),TRUE,FALSE)</f>
        <v>0</v>
      </c>
      <c r="U429" s="249"/>
      <c r="V429" s="249"/>
      <c r="W429" s="25"/>
      <c r="X429" s="1757"/>
      <c r="Y429" s="2081" t="str">
        <f>IF(LEN('Ch6'!X111)=0,"None",'Ch6'!X111)</f>
        <v>None</v>
      </c>
      <c r="Z429" s="2083"/>
      <c r="AA429" s="1526"/>
      <c r="AC429" s="970" t="b">
        <f>OR(AD429:AE429)</f>
        <v>0</v>
      </c>
      <c r="AD429" s="970" t="b">
        <f>T429</f>
        <v>0</v>
      </c>
      <c r="AE429" s="970"/>
      <c r="AF429" s="249"/>
      <c r="AG429" s="249"/>
      <c r="AH429" s="249"/>
      <c r="AI429" s="249"/>
      <c r="AJ429" s="249"/>
      <c r="AK429" s="249"/>
      <c r="AL429" s="254" t="str">
        <f>SUBSTITUTE(SUBSTITUTE(SUBSTITUTE("vpa"&amp;$B429&amp;$C429&amp;$D429&amp;$E429,".","_"),"(","_"),")","")</f>
        <v>vpa602_1_4_1_1</v>
      </c>
      <c r="AM429" s="254">
        <f>M429</f>
        <v>6</v>
      </c>
      <c r="AN429" s="254" t="str">
        <f>SUBSTITUTE(SUBSTITUTE(SUBSTITUTE("vpc"&amp;$B429&amp;$C429&amp;$D429&amp;$E429,".","_"),"(","_"),")","")</f>
        <v>vpc602_1_4_1_1</v>
      </c>
      <c r="AO429" s="254">
        <f>O429</f>
        <v>0</v>
      </c>
      <c r="AP429" s="1336" t="str">
        <f>SUBSTITUTE(SUBSTITUTE(SUBSTITUTE("vch"&amp;$B429&amp;$C429&amp;$D429&amp;$E429,".","_"),"(","_"),")","")</f>
        <v>vch602_1_4_1_1</v>
      </c>
      <c r="AQ429" s="254" t="str">
        <f>IF(LEN(W429)=0,"",W429)</f>
        <v/>
      </c>
      <c r="AR429" s="1336" t="str">
        <f>SUBSTITUTE(SUBSTITUTE(SUBSTITUTE("vnt"&amp;$B429&amp;$C429&amp;$D429&amp;$E429,".","_"),"(","_"),")","")</f>
        <v>vnt602_1_4_1_1</v>
      </c>
      <c r="AS429" s="254" t="str">
        <f>IF(LEN(X429)=0,"",X429)</f>
        <v/>
      </c>
    </row>
    <row r="430" spans="1:45" x14ac:dyDescent="0.25">
      <c r="A430" s="2371">
        <v>6</v>
      </c>
      <c r="B430" s="2385" t="s">
        <v>566</v>
      </c>
      <c r="C430" s="2374" t="s">
        <v>256</v>
      </c>
      <c r="D430" s="2374"/>
      <c r="E430" s="2374"/>
      <c r="F430" s="2374"/>
      <c r="G430" s="2373" t="str">
        <f>G429</f>
        <v/>
      </c>
      <c r="H430" s="2371" t="s">
        <v>3972</v>
      </c>
      <c r="I430" s="64"/>
      <c r="J430" s="210"/>
      <c r="K430" s="175"/>
      <c r="L430" s="1755"/>
      <c r="M430" s="1759"/>
      <c r="N430" s="2076"/>
      <c r="O430" s="2076"/>
      <c r="P430" s="249"/>
      <c r="Q430" s="249"/>
      <c r="R430" s="249"/>
      <c r="S430" s="249"/>
      <c r="T430" s="249"/>
      <c r="U430" s="249"/>
      <c r="V430" s="249"/>
      <c r="W430" s="249"/>
      <c r="X430" s="1757"/>
      <c r="Y430" s="2081"/>
      <c r="Z430" s="2083"/>
      <c r="AA430" s="1526"/>
      <c r="AC430" s="970"/>
      <c r="AD430" s="970"/>
      <c r="AE430" s="970"/>
      <c r="AF430" s="249"/>
      <c r="AG430" s="249"/>
      <c r="AH430" s="249"/>
      <c r="AI430" s="249"/>
      <c r="AJ430" s="249"/>
      <c r="AK430" s="249"/>
      <c r="AL430" s="1336"/>
      <c r="AM430" s="1336"/>
      <c r="AN430" s="1336"/>
      <c r="AO430" s="1336"/>
      <c r="AP430" s="1336"/>
      <c r="AQ430" s="1336"/>
      <c r="AR430" s="1336"/>
      <c r="AS430" s="1336"/>
    </row>
    <row r="431" spans="1:45" x14ac:dyDescent="0.25">
      <c r="A431" s="2371">
        <v>6</v>
      </c>
      <c r="B431" s="2385" t="s">
        <v>566</v>
      </c>
      <c r="C431" s="2374" t="s">
        <v>258</v>
      </c>
      <c r="D431" s="2374"/>
      <c r="E431" s="2374"/>
      <c r="F431" s="2374"/>
      <c r="G431" s="2373" t="s">
        <v>3974</v>
      </c>
      <c r="H431" s="2371" t="s">
        <v>3972</v>
      </c>
      <c r="I431" s="215"/>
      <c r="J431" s="206" t="s">
        <v>258</v>
      </c>
      <c r="K431" s="175"/>
      <c r="L431" s="1163" t="s">
        <v>569</v>
      </c>
      <c r="M431" s="1024" t="str">
        <f>IF(R431,"Mandatory","N/A")</f>
        <v>N/A</v>
      </c>
      <c r="N431" s="1042"/>
      <c r="O431" s="1042"/>
      <c r="P431" s="249" t="b">
        <v>1</v>
      </c>
      <c r="Q431" s="249" t="b">
        <v>0</v>
      </c>
      <c r="R431" s="249" t="b">
        <f>S431</f>
        <v>0</v>
      </c>
      <c r="S431" s="249" t="b">
        <f>OR(AZ351=2,AZ351=7)</f>
        <v>0</v>
      </c>
      <c r="T431" s="94" t="b">
        <f>IF(AND(NOT(S431),LEN(W431)&gt;0),TRUE,FALSE)</f>
        <v>0</v>
      </c>
      <c r="U431" s="94" t="str">
        <f>SUBSTITUTE(SUBSTITUTE(SUBSTITUTE("dd"&amp;B431&amp;C431&amp;D431&amp;E431&amp;F431,".","_"),"(","_"),")","")</f>
        <v>dd602_1_4_1_2</v>
      </c>
      <c r="V431" s="249"/>
      <c r="W431" s="12"/>
      <c r="X431" s="918"/>
      <c r="Y431" s="988" t="str">
        <f>IF(LEN('Ch6'!X113)=0,"None",'Ch6'!X113)</f>
        <v>None</v>
      </c>
      <c r="Z431" s="1587"/>
      <c r="AA431" s="1526"/>
      <c r="AC431" s="970" t="b">
        <f>OR(AD431:AE431)</f>
        <v>0</v>
      </c>
      <c r="AD431" s="970" t="b">
        <f>T431</f>
        <v>0</v>
      </c>
      <c r="AE431" s="970" t="b">
        <f>AND(R431,NOT(W431="Met"),NOT(W431="N/A"))</f>
        <v>0</v>
      </c>
      <c r="AF431" s="784" t="b">
        <f>AND(AE431,NOT(Q431))</f>
        <v>0</v>
      </c>
      <c r="AG431" s="249"/>
      <c r="AH431" s="249"/>
      <c r="AI431" s="249"/>
      <c r="AJ431" s="249"/>
      <c r="AK431" s="249"/>
      <c r="AL431" s="254" t="str">
        <f>SUBSTITUTE(SUBSTITUTE(SUBSTITUTE("vpa"&amp;$B431&amp;$C431&amp;$D431&amp;$E431,".","_"),"(","_"),")","")</f>
        <v>vpa602_1_4_1_2</v>
      </c>
      <c r="AM431" s="254" t="str">
        <f>M431</f>
        <v>N/A</v>
      </c>
      <c r="AN431" s="1336"/>
      <c r="AO431" s="1336"/>
      <c r="AP431" s="1336" t="str">
        <f>SUBSTITUTE(SUBSTITUTE(SUBSTITUTE("vch"&amp;$B431&amp;$C431&amp;$D431&amp;$E431,".","_"),"(","_"),")","")</f>
        <v>vch602_1_4_1_2</v>
      </c>
      <c r="AQ431" s="254" t="str">
        <f>IF(LEN(W431)=0,"",W431)</f>
        <v/>
      </c>
      <c r="AR431" s="1336" t="str">
        <f>SUBSTITUTE(SUBSTITUTE(SUBSTITUTE("vnt"&amp;$B431&amp;$C431&amp;$D431&amp;$E431,".","_"),"(","_"),")","")</f>
        <v>vnt602_1_4_1_2</v>
      </c>
      <c r="AS431" s="254" t="str">
        <f>IF(LEN(X431)=0,"",X431)</f>
        <v/>
      </c>
    </row>
    <row r="432" spans="1:45" x14ac:dyDescent="0.25">
      <c r="A432" s="2371">
        <v>6</v>
      </c>
      <c r="B432" s="2383" t="s">
        <v>570</v>
      </c>
      <c r="C432" s="2374"/>
      <c r="D432" s="2374"/>
      <c r="E432" s="2374"/>
      <c r="F432" s="2374"/>
      <c r="G432" s="2373" t="s">
        <v>3974</v>
      </c>
      <c r="H432" s="2371" t="s">
        <v>3972</v>
      </c>
      <c r="I432" s="64" t="s">
        <v>570</v>
      </c>
      <c r="J432" s="4"/>
      <c r="K432" s="83"/>
      <c r="L432" s="1796" t="s">
        <v>571</v>
      </c>
      <c r="M432" s="1014"/>
      <c r="N432" s="250"/>
      <c r="O432" s="971"/>
      <c r="P432" s="249"/>
      <c r="Q432" s="249"/>
      <c r="R432" s="249"/>
      <c r="S432" s="249"/>
      <c r="T432" s="249"/>
      <c r="U432" s="249"/>
      <c r="V432" s="249"/>
      <c r="W432" s="249"/>
      <c r="X432" s="911"/>
      <c r="Y432"/>
      <c r="AA432" s="1526"/>
      <c r="AC432" s="970"/>
      <c r="AD432" s="970"/>
      <c r="AE432" s="970"/>
      <c r="AF432" s="249"/>
      <c r="AG432" s="249"/>
      <c r="AH432" s="249"/>
      <c r="AI432" s="249"/>
      <c r="AJ432" s="249"/>
      <c r="AK432" s="249"/>
      <c r="AL432" s="1336"/>
      <c r="AM432" s="1336"/>
      <c r="AN432" s="1336"/>
      <c r="AO432" s="1336"/>
      <c r="AP432" s="1336"/>
      <c r="AQ432" s="1336"/>
      <c r="AR432" s="1336"/>
      <c r="AS432" s="1336"/>
    </row>
    <row r="433" spans="1:45" x14ac:dyDescent="0.25">
      <c r="A433" s="2371">
        <v>6</v>
      </c>
      <c r="B433" s="2383" t="s">
        <v>570</v>
      </c>
      <c r="C433" s="2374"/>
      <c r="D433" s="2374"/>
      <c r="E433" s="2374"/>
      <c r="F433" s="2374"/>
      <c r="G433" s="2373" t="s">
        <v>3974</v>
      </c>
      <c r="H433" s="2371" t="s">
        <v>3972</v>
      </c>
      <c r="I433" s="64"/>
      <c r="J433" s="4"/>
      <c r="K433" s="83"/>
      <c r="L433" s="1796"/>
      <c r="M433" s="1014"/>
      <c r="N433" s="250"/>
      <c r="O433" s="971"/>
      <c r="P433" s="249"/>
      <c r="Q433" s="249"/>
      <c r="R433" s="249"/>
      <c r="S433" s="249"/>
      <c r="T433" s="249"/>
      <c r="U433" s="249"/>
      <c r="V433" s="249"/>
      <c r="W433" s="249"/>
      <c r="X433" s="911"/>
      <c r="Y433"/>
      <c r="AA433" s="1526"/>
      <c r="AC433" s="970"/>
      <c r="AD433" s="970"/>
      <c r="AE433" s="970"/>
      <c r="AF433" s="249"/>
      <c r="AG433" s="249"/>
      <c r="AH433" s="249"/>
      <c r="AI433" s="249"/>
      <c r="AJ433" s="249"/>
      <c r="AK433" s="249"/>
      <c r="AL433" s="1336"/>
      <c r="AM433" s="1336"/>
      <c r="AN433" s="1336"/>
      <c r="AO433" s="1336"/>
      <c r="AP433" s="1336"/>
      <c r="AQ433" s="1336"/>
      <c r="AR433" s="1336"/>
      <c r="AS433" s="1336"/>
    </row>
    <row r="434" spans="1:45" x14ac:dyDescent="0.25">
      <c r="A434" s="2371">
        <v>6</v>
      </c>
      <c r="B434" s="2383" t="s">
        <v>570</v>
      </c>
      <c r="C434" s="2374"/>
      <c r="D434" s="2374"/>
      <c r="E434" s="2374"/>
      <c r="F434" s="2374"/>
      <c r="G434" s="2373" t="s">
        <v>3974</v>
      </c>
      <c r="H434" s="2371" t="s">
        <v>3972</v>
      </c>
      <c r="I434" s="64"/>
      <c r="J434" s="4"/>
      <c r="K434" s="83"/>
      <c r="L434" s="1796"/>
      <c r="M434" s="1014"/>
      <c r="N434" s="250"/>
      <c r="O434" s="971"/>
      <c r="P434" s="249"/>
      <c r="Q434" s="249"/>
      <c r="R434" s="249"/>
      <c r="S434" s="249"/>
      <c r="T434" s="249"/>
      <c r="U434" s="249"/>
      <c r="V434" s="249"/>
      <c r="W434" s="249"/>
      <c r="X434" s="911"/>
      <c r="Y434"/>
      <c r="AA434" s="1526"/>
      <c r="AC434" s="970"/>
      <c r="AD434" s="970"/>
      <c r="AE434" s="970"/>
      <c r="AF434" s="249"/>
      <c r="AG434" s="249"/>
      <c r="AH434" s="249"/>
      <c r="AI434" s="249"/>
      <c r="AJ434" s="249"/>
      <c r="AK434" s="249"/>
      <c r="AL434" s="1336"/>
      <c r="AM434" s="1336"/>
      <c r="AN434" s="1336"/>
      <c r="AO434" s="1336"/>
      <c r="AP434" s="1336"/>
      <c r="AQ434" s="1336"/>
      <c r="AR434" s="1336"/>
      <c r="AS434" s="1336"/>
    </row>
    <row r="435" spans="1:45" x14ac:dyDescent="0.25">
      <c r="A435" s="2371">
        <v>6</v>
      </c>
      <c r="B435" s="2383" t="s">
        <v>570</v>
      </c>
      <c r="C435" s="2374" t="s">
        <v>256</v>
      </c>
      <c r="D435" s="2374"/>
      <c r="E435" s="2374"/>
      <c r="F435" s="2374"/>
      <c r="G435" s="2373" t="str">
        <f>IF(N435&gt;0,"P","")</f>
        <v/>
      </c>
      <c r="H435" s="2371" t="s">
        <v>3972</v>
      </c>
      <c r="I435" s="64"/>
      <c r="J435" s="183" t="s">
        <v>256</v>
      </c>
      <c r="K435" s="95"/>
      <c r="L435" s="1754" t="s">
        <v>3042</v>
      </c>
      <c r="M435" s="1758">
        <v>8</v>
      </c>
      <c r="N435" s="1927">
        <f>'Ch6'!O117</f>
        <v>0</v>
      </c>
      <c r="O435" s="1927">
        <f>M435*S435*W435</f>
        <v>0</v>
      </c>
      <c r="P435" s="249" t="b">
        <v>1</v>
      </c>
      <c r="Q435" s="249" t="b">
        <v>0</v>
      </c>
      <c r="R435" s="249" t="b">
        <v>0</v>
      </c>
      <c r="S435" s="249" t="b">
        <f>OR(AZ351=3,AZ351=7)</f>
        <v>0</v>
      </c>
      <c r="T435" s="94" t="b">
        <f>IF(AND(NOT(S435),W435=TRUE),TRUE,FALSE)</f>
        <v>0</v>
      </c>
      <c r="U435" s="249"/>
      <c r="V435" s="249"/>
      <c r="W435" s="25"/>
      <c r="X435" s="1757"/>
      <c r="Y435" s="2081" t="str">
        <f>IF(LEN('Ch6'!X117)=0,"None",'Ch6'!X117)</f>
        <v>None</v>
      </c>
      <c r="Z435" s="2083"/>
      <c r="AA435" s="1526"/>
      <c r="AC435" s="970" t="b">
        <f>OR(AD435:AE435)</f>
        <v>0</v>
      </c>
      <c r="AD435" s="970" t="b">
        <f>T435</f>
        <v>0</v>
      </c>
      <c r="AE435" s="970"/>
      <c r="AF435" s="249"/>
      <c r="AG435" s="249"/>
      <c r="AH435" s="249"/>
      <c r="AI435" s="249"/>
      <c r="AJ435" s="249"/>
      <c r="AK435" s="249"/>
      <c r="AL435" s="254" t="str">
        <f>SUBSTITUTE(SUBSTITUTE(SUBSTITUTE("vpa"&amp;$B435&amp;$C435&amp;$D435&amp;$E435,".","_"),"(","_"),")","")</f>
        <v>vpa602_1_4_2_1</v>
      </c>
      <c r="AM435" s="254">
        <f>M435</f>
        <v>8</v>
      </c>
      <c r="AN435" s="254" t="str">
        <f>SUBSTITUTE(SUBSTITUTE(SUBSTITUTE("vpc"&amp;$B435&amp;$C435&amp;$D435&amp;$E435,".","_"),"(","_"),")","")</f>
        <v>vpc602_1_4_2_1</v>
      </c>
      <c r="AO435" s="254">
        <f>O435</f>
        <v>0</v>
      </c>
      <c r="AP435" s="1336" t="str">
        <f>SUBSTITUTE(SUBSTITUTE(SUBSTITUTE("vch"&amp;$B435&amp;$C435&amp;$D435&amp;$E435,".","_"),"(","_"),")","")</f>
        <v>vch602_1_4_2_1</v>
      </c>
      <c r="AQ435" s="254" t="str">
        <f>IF(LEN(W435)=0,"",W435)</f>
        <v/>
      </c>
      <c r="AR435" s="1336" t="str">
        <f>SUBSTITUTE(SUBSTITUTE(SUBSTITUTE("vnt"&amp;$B435&amp;$C435&amp;$D435&amp;$E435,".","_"),"(","_"),")","")</f>
        <v>vnt602_1_4_2_1</v>
      </c>
      <c r="AS435" s="254" t="str">
        <f>IF(LEN(X435)=0,"",X435)</f>
        <v/>
      </c>
    </row>
    <row r="436" spans="1:45" x14ac:dyDescent="0.25">
      <c r="A436" s="2371">
        <v>6</v>
      </c>
      <c r="B436" s="2383" t="s">
        <v>570</v>
      </c>
      <c r="C436" s="2374" t="s">
        <v>256</v>
      </c>
      <c r="D436" s="2374"/>
      <c r="E436" s="2374"/>
      <c r="F436" s="2374"/>
      <c r="G436" s="2373" t="str">
        <f>G435</f>
        <v/>
      </c>
      <c r="H436" s="2371" t="s">
        <v>3972</v>
      </c>
      <c r="I436" s="64"/>
      <c r="J436" s="210"/>
      <c r="K436" s="175"/>
      <c r="L436" s="1755"/>
      <c r="M436" s="1759"/>
      <c r="N436" s="2076"/>
      <c r="O436" s="2076"/>
      <c r="P436" s="249"/>
      <c r="Q436" s="249"/>
      <c r="R436" s="249"/>
      <c r="S436" s="249"/>
      <c r="T436" s="249"/>
      <c r="U436" s="249"/>
      <c r="V436" s="249"/>
      <c r="W436" s="249"/>
      <c r="X436" s="1757"/>
      <c r="Y436" s="2081"/>
      <c r="Z436" s="2083"/>
      <c r="AA436" s="1526"/>
      <c r="AC436" s="970"/>
      <c r="AD436" s="970"/>
      <c r="AE436" s="970"/>
      <c r="AF436" s="249"/>
      <c r="AG436" s="249"/>
      <c r="AH436" s="249"/>
      <c r="AI436" s="249"/>
      <c r="AJ436" s="249"/>
      <c r="AK436" s="249"/>
      <c r="AL436" s="1336"/>
      <c r="AM436" s="1336"/>
      <c r="AN436" s="1336"/>
      <c r="AO436" s="1336"/>
      <c r="AP436" s="1336"/>
      <c r="AQ436" s="1336"/>
      <c r="AR436" s="1336"/>
      <c r="AS436" s="1336"/>
    </row>
    <row r="437" spans="1:45" x14ac:dyDescent="0.25">
      <c r="A437" s="2371">
        <v>6</v>
      </c>
      <c r="B437" s="2383" t="s">
        <v>570</v>
      </c>
      <c r="C437" s="2374" t="s">
        <v>258</v>
      </c>
      <c r="D437" s="2374"/>
      <c r="E437" s="2374"/>
      <c r="F437" s="2374"/>
      <c r="G437" s="2373" t="s">
        <v>3974</v>
      </c>
      <c r="H437" s="2371" t="s">
        <v>3972</v>
      </c>
      <c r="I437" s="64"/>
      <c r="J437" s="27" t="s">
        <v>258</v>
      </c>
      <c r="K437" s="83"/>
      <c r="L437" s="1779" t="s">
        <v>3043</v>
      </c>
      <c r="M437" s="1838" t="str">
        <f>IF(R437,"Mandatory","N/A")</f>
        <v>N/A</v>
      </c>
      <c r="N437" s="1042"/>
      <c r="O437" s="1042"/>
      <c r="P437" s="249" t="b">
        <v>1</v>
      </c>
      <c r="Q437" s="249" t="b">
        <v>0</v>
      </c>
      <c r="R437" s="249" t="b">
        <f>S437</f>
        <v>0</v>
      </c>
      <c r="S437" s="249" t="b">
        <f>OR(AZ351=3,AZ351=7)</f>
        <v>0</v>
      </c>
      <c r="T437" s="94" t="b">
        <f>IF(AND(NOT(S437),LEN(W437)&gt;0),TRUE,FALSE)</f>
        <v>0</v>
      </c>
      <c r="U437" s="94" t="str">
        <f>SUBSTITUTE(SUBSTITUTE(SUBSTITUTE("dd"&amp;B437&amp;C437&amp;D437&amp;E437&amp;F437,".","_"),"(","_"),")","")</f>
        <v>dd602_1_4_2_2</v>
      </c>
      <c r="V437" s="249"/>
      <c r="W437" s="12"/>
      <c r="X437" s="1757"/>
      <c r="Y437" s="2081" t="str">
        <f>IF(LEN('Ch6'!X119)=0,"None",'Ch6'!X119)</f>
        <v>None</v>
      </c>
      <c r="Z437" s="2084"/>
      <c r="AA437" s="1526"/>
      <c r="AC437" s="970" t="b">
        <f>OR(AD437:AE437)</f>
        <v>0</v>
      </c>
      <c r="AD437" s="970" t="b">
        <f>T437</f>
        <v>0</v>
      </c>
      <c r="AE437" s="970" t="b">
        <f>AND(R437,NOT(W437="Met"),NOT(W437="N/A"))</f>
        <v>0</v>
      </c>
      <c r="AF437" s="784" t="b">
        <f>AND(AE437,NOT(Q437))</f>
        <v>0</v>
      </c>
      <c r="AG437" s="249"/>
      <c r="AH437" s="249"/>
      <c r="AI437" s="249"/>
      <c r="AJ437" s="249"/>
      <c r="AK437" s="249"/>
      <c r="AL437" s="254" t="str">
        <f>SUBSTITUTE(SUBSTITUTE(SUBSTITUTE("vpa"&amp;$B437&amp;$C437&amp;$D437&amp;$E437,".","_"),"(","_"),")","")</f>
        <v>vpa602_1_4_2_2</v>
      </c>
      <c r="AM437" s="254" t="str">
        <f>M437</f>
        <v>N/A</v>
      </c>
      <c r="AN437" s="1336"/>
      <c r="AO437" s="1336"/>
      <c r="AP437" s="1336" t="str">
        <f>SUBSTITUTE(SUBSTITUTE(SUBSTITUTE("vch"&amp;$B437&amp;$C437&amp;$D437&amp;$E437,".","_"),"(","_"),")","")</f>
        <v>vch602_1_4_2_2</v>
      </c>
      <c r="AQ437" s="254" t="str">
        <f>IF(LEN(W437)=0,"",W437)</f>
        <v/>
      </c>
      <c r="AR437" s="1336" t="str">
        <f>SUBSTITUTE(SUBSTITUTE(SUBSTITUTE("vnt"&amp;$B437&amp;$C437&amp;$D437&amp;$E437,".","_"),"(","_"),")","")</f>
        <v>vnt602_1_4_2_2</v>
      </c>
      <c r="AS437" s="254" t="str">
        <f>IF(LEN(X437)=0,"",X437)</f>
        <v/>
      </c>
    </row>
    <row r="438" spans="1:45" ht="15.75" thickBot="1" x14ac:dyDescent="0.3">
      <c r="A438" s="2371">
        <v>6</v>
      </c>
      <c r="B438" s="2383" t="s">
        <v>570</v>
      </c>
      <c r="C438" s="2374" t="s">
        <v>258</v>
      </c>
      <c r="D438" s="2374"/>
      <c r="E438" s="2374"/>
      <c r="F438" s="2374"/>
      <c r="G438" s="2373" t="s">
        <v>3974</v>
      </c>
      <c r="H438" s="2371" t="s">
        <v>3972</v>
      </c>
      <c r="I438" s="64"/>
      <c r="J438" s="4"/>
      <c r="K438" s="83"/>
      <c r="L438" s="1779"/>
      <c r="M438" s="1838"/>
      <c r="N438" s="1042"/>
      <c r="O438" s="1042"/>
      <c r="P438" s="249"/>
      <c r="Q438" s="249"/>
      <c r="R438" s="249"/>
      <c r="S438" s="249"/>
      <c r="T438" s="249"/>
      <c r="U438" s="249"/>
      <c r="V438" s="249"/>
      <c r="W438" s="249"/>
      <c r="X438" s="1798"/>
      <c r="Y438" s="2082"/>
      <c r="Z438" s="2086"/>
      <c r="AA438" s="1526"/>
      <c r="AC438" s="970"/>
      <c r="AD438" s="970"/>
      <c r="AE438" s="970"/>
      <c r="AF438" s="249"/>
      <c r="AG438" s="249"/>
      <c r="AH438" s="249"/>
      <c r="AI438" s="249"/>
      <c r="AJ438" s="249"/>
      <c r="AK438" s="249"/>
      <c r="AL438" s="1336"/>
      <c r="AM438" s="1336"/>
      <c r="AN438" s="1336"/>
      <c r="AO438" s="1336"/>
      <c r="AP438" s="1336"/>
      <c r="AQ438" s="1336"/>
      <c r="AR438" s="1336"/>
      <c r="AS438" s="1336"/>
    </row>
    <row r="439" spans="1:45" ht="15.75" thickTop="1" x14ac:dyDescent="0.25">
      <c r="A439" s="2371">
        <v>6</v>
      </c>
      <c r="B439" s="2383" t="s">
        <v>572</v>
      </c>
      <c r="C439" s="2374"/>
      <c r="D439" s="2374"/>
      <c r="E439" s="2374"/>
      <c r="F439" s="2374"/>
      <c r="G439" s="2363" t="str">
        <f ca="1">IF(COUNTIF(G441:G443,"P")&gt;0,"P","")</f>
        <v/>
      </c>
      <c r="H439" s="2371" t="s">
        <v>3972</v>
      </c>
      <c r="I439" s="180" t="s">
        <v>572</v>
      </c>
      <c r="J439" s="181"/>
      <c r="K439" s="182"/>
      <c r="L439" s="1159" t="s">
        <v>573</v>
      </c>
      <c r="M439" s="1009"/>
      <c r="N439" s="1046"/>
      <c r="O439" s="1046"/>
      <c r="P439" s="105"/>
      <c r="Q439" s="105"/>
      <c r="R439" s="105"/>
      <c r="S439" s="105"/>
      <c r="T439" s="105"/>
      <c r="U439" s="105"/>
      <c r="V439" s="105"/>
      <c r="W439" s="105" t="s">
        <v>1104</v>
      </c>
      <c r="X439" s="105"/>
      <c r="Y439"/>
      <c r="AA439" s="1526"/>
      <c r="AC439" s="970"/>
      <c r="AD439" s="970"/>
      <c r="AE439" s="970"/>
      <c r="AF439" s="249"/>
      <c r="AG439" s="249"/>
      <c r="AH439" s="249"/>
      <c r="AI439" s="249"/>
      <c r="AJ439" s="249"/>
      <c r="AK439" s="249"/>
      <c r="AL439" s="1336"/>
      <c r="AM439" s="1336"/>
      <c r="AN439" s="1336"/>
      <c r="AO439" s="1336"/>
      <c r="AP439" s="1336"/>
      <c r="AQ439" s="1336"/>
      <c r="AR439" s="1336"/>
      <c r="AS439" s="1336"/>
    </row>
    <row r="440" spans="1:45" x14ac:dyDescent="0.25">
      <c r="A440" s="2371">
        <v>6</v>
      </c>
      <c r="B440" s="2383" t="s">
        <v>572</v>
      </c>
      <c r="C440" s="2374"/>
      <c r="D440" s="2374"/>
      <c r="E440" s="2374"/>
      <c r="F440" s="2374"/>
      <c r="G440" s="2373" t="str">
        <f ca="1">G439</f>
        <v/>
      </c>
      <c r="H440" s="2371" t="s">
        <v>3972</v>
      </c>
      <c r="I440" s="64"/>
      <c r="J440" s="4"/>
      <c r="K440" s="83"/>
      <c r="L440" s="1202" t="s">
        <v>3034</v>
      </c>
      <c r="M440" s="1014"/>
      <c r="N440" s="1042"/>
      <c r="O440" s="1042"/>
      <c r="P440" s="249" t="b">
        <v>1</v>
      </c>
      <c r="Q440" s="249" t="b">
        <v>0</v>
      </c>
      <c r="R440" s="249" t="b">
        <v>0</v>
      </c>
      <c r="S440" s="249" t="b">
        <v>1</v>
      </c>
      <c r="T440" s="249" t="b">
        <v>0</v>
      </c>
      <c r="U440" s="94" t="str">
        <f>SUBSTITUTE(SUBSTITUTE(SUBSTITUTE("dd"&amp;B440&amp;C440&amp;D440&amp;E440&amp;F440,".","_"),"(","_"),")","")</f>
        <v>dd602_1_5</v>
      </c>
      <c r="V440" s="249"/>
      <c r="W440" s="12"/>
      <c r="X440" s="1757"/>
      <c r="Y440" s="2081" t="str">
        <f>IF(LEN('Ch6'!X122)=0,"None",'Ch6'!X122)</f>
        <v>None</v>
      </c>
      <c r="Z440" s="2084"/>
      <c r="AA440" s="1526"/>
      <c r="AC440" s="970"/>
      <c r="AD440" s="970"/>
      <c r="AE440" s="970"/>
      <c r="AF440" s="249"/>
      <c r="AG440" s="249"/>
      <c r="AH440" s="249"/>
      <c r="AI440" s="249"/>
      <c r="AJ440" s="249"/>
      <c r="AK440" s="249"/>
      <c r="AL440" s="1336"/>
      <c r="AM440" s="1336"/>
      <c r="AN440" s="1336"/>
      <c r="AO440" s="1336"/>
      <c r="AP440" s="1336" t="str">
        <f>SUBSTITUTE(SUBSTITUTE(SUBSTITUTE("vch"&amp;$B440&amp;$C440&amp;$D440&amp;$E440,".","_"),"(","_"),")","")</f>
        <v>vch602_1_5</v>
      </c>
      <c r="AQ440" s="254" t="str">
        <f>IF(LEN(W440)=0,"",W440)</f>
        <v/>
      </c>
      <c r="AR440" s="1336" t="str">
        <f>SUBSTITUTE(SUBSTITUTE(SUBSTITUTE("vnt"&amp;$B440&amp;$C440&amp;$D440&amp;$E440,".","_"),"(","_"),")","")</f>
        <v>vnt602_1_5</v>
      </c>
      <c r="AS440" s="254" t="str">
        <f>IF(LEN(X440)=0,"",X440)</f>
        <v/>
      </c>
    </row>
    <row r="441" spans="1:45" x14ac:dyDescent="0.25">
      <c r="A441" s="2371">
        <v>6</v>
      </c>
      <c r="B441" s="2383" t="s">
        <v>572</v>
      </c>
      <c r="C441" s="2374" t="s">
        <v>256</v>
      </c>
      <c r="D441" s="2374"/>
      <c r="E441" s="2374"/>
      <c r="F441" s="2374"/>
      <c r="G441" s="2373" t="str">
        <f ca="1">IF(N441&gt;0,"P","")</f>
        <v/>
      </c>
      <c r="H441" s="2371" t="s">
        <v>3972</v>
      </c>
      <c r="I441" s="64"/>
      <c r="J441" s="183" t="s">
        <v>256</v>
      </c>
      <c r="K441" s="95"/>
      <c r="L441" s="1754" t="s">
        <v>574</v>
      </c>
      <c r="M441" s="1758">
        <v>4</v>
      </c>
      <c r="N441" s="1927">
        <f ca="1">'Ch6'!O123</f>
        <v>0</v>
      </c>
      <c r="O441" s="1927">
        <f ca="1">M441*S441*W441</f>
        <v>0</v>
      </c>
      <c r="P441" s="249" t="b">
        <v>1</v>
      </c>
      <c r="Q441" s="249" t="b">
        <v>0</v>
      </c>
      <c r="R441" s="249" t="b">
        <v>0</v>
      </c>
      <c r="S441" s="249" t="b">
        <f ca="1">IF(IFERROR(MATCH(W440,INDIRECT(U440),0),0)=3,TRUE,FALSE)</f>
        <v>0</v>
      </c>
      <c r="T441" s="94" t="b">
        <f ca="1">IF(AND(NOT(S441),W441=TRUE),TRUE,FALSE)</f>
        <v>0</v>
      </c>
      <c r="U441" s="249"/>
      <c r="V441" s="249"/>
      <c r="W441" s="25"/>
      <c r="X441" s="1757"/>
      <c r="Y441" s="2081"/>
      <c r="Z441" s="2084"/>
      <c r="AA441" s="1526"/>
      <c r="AC441" s="970" t="b">
        <f ca="1">OR(AD441:AE441)</f>
        <v>0</v>
      </c>
      <c r="AD441" s="970" t="b">
        <f ca="1">T441</f>
        <v>0</v>
      </c>
      <c r="AE441" s="970" t="b">
        <v>0</v>
      </c>
      <c r="AF441" s="784" t="b">
        <f>AND(AE441,NOT(Q441))</f>
        <v>0</v>
      </c>
      <c r="AG441" s="249"/>
      <c r="AH441" s="249"/>
      <c r="AI441" s="249"/>
      <c r="AJ441" s="249"/>
      <c r="AK441" s="249"/>
      <c r="AL441" s="254" t="str">
        <f>SUBSTITUTE(SUBSTITUTE(SUBSTITUTE("vpa"&amp;$B441&amp;$C441&amp;$D441&amp;$E441,".","_"),"(","_"),")","")</f>
        <v>vpa602_1_5_1</v>
      </c>
      <c r="AM441" s="254">
        <f>M441</f>
        <v>4</v>
      </c>
      <c r="AN441" s="254" t="str">
        <f>SUBSTITUTE(SUBSTITUTE(SUBSTITUTE("vpc"&amp;$B441&amp;$C441&amp;$D441&amp;$E441,".","_"),"(","_"),")","")</f>
        <v>vpc602_1_5_1</v>
      </c>
      <c r="AO441" s="254">
        <f ca="1">O441</f>
        <v>0</v>
      </c>
      <c r="AP441" s="1336" t="str">
        <f>SUBSTITUTE(SUBSTITUTE(SUBSTITUTE("vch"&amp;$B441&amp;$C441&amp;$D441&amp;$E441,".","_"),"(","_"),")","")</f>
        <v>vch602_1_5_1</v>
      </c>
      <c r="AQ441" s="254" t="str">
        <f>IF(LEN(W441)=0,"",W441)</f>
        <v/>
      </c>
      <c r="AR441" s="1336"/>
      <c r="AS441" s="1336"/>
    </row>
    <row r="442" spans="1:45" x14ac:dyDescent="0.25">
      <c r="A442" s="2371">
        <v>6</v>
      </c>
      <c r="B442" s="2383" t="s">
        <v>572</v>
      </c>
      <c r="C442" s="2374" t="s">
        <v>256</v>
      </c>
      <c r="D442" s="2374"/>
      <c r="E442" s="2374"/>
      <c r="F442" s="2374"/>
      <c r="G442" s="2373" t="str">
        <f ca="1">G441</f>
        <v/>
      </c>
      <c r="H442" s="2371" t="s">
        <v>3972</v>
      </c>
      <c r="I442" s="64"/>
      <c r="J442" s="210"/>
      <c r="K442" s="175"/>
      <c r="L442" s="1755"/>
      <c r="M442" s="1759"/>
      <c r="N442" s="2076"/>
      <c r="O442" s="2076"/>
      <c r="P442" s="249"/>
      <c r="Q442" s="249"/>
      <c r="R442" s="249"/>
      <c r="S442" s="249"/>
      <c r="T442" s="249"/>
      <c r="U442" s="249"/>
      <c r="V442" s="249"/>
      <c r="W442" s="249"/>
      <c r="X442" s="1757"/>
      <c r="Y442" s="2081"/>
      <c r="Z442" s="2084"/>
      <c r="AA442" s="1526"/>
      <c r="AC442" s="970"/>
      <c r="AD442" s="970"/>
      <c r="AE442" s="970"/>
      <c r="AF442" s="249"/>
      <c r="AG442" s="249"/>
      <c r="AH442" s="249"/>
      <c r="AI442" s="249"/>
      <c r="AJ442" s="249"/>
      <c r="AK442" s="249"/>
      <c r="AL442" s="1336"/>
      <c r="AM442" s="1336"/>
      <c r="AN442" s="1336"/>
      <c r="AO442" s="1336"/>
      <c r="AP442" s="1336"/>
      <c r="AQ442" s="1336"/>
      <c r="AR442" s="1336"/>
      <c r="AS442" s="1336"/>
    </row>
    <row r="443" spans="1:45" x14ac:dyDescent="0.25">
      <c r="A443" s="2371">
        <v>6</v>
      </c>
      <c r="B443" s="2383" t="s">
        <v>572</v>
      </c>
      <c r="C443" s="2374" t="s">
        <v>258</v>
      </c>
      <c r="D443" s="2374"/>
      <c r="E443" s="2374"/>
      <c r="F443" s="2374"/>
      <c r="G443" s="2373" t="str">
        <f ca="1">IF(N443&gt;0,"P","")</f>
        <v/>
      </c>
      <c r="H443" s="2371" t="s">
        <v>3972</v>
      </c>
      <c r="I443" s="64"/>
      <c r="J443" s="27" t="s">
        <v>258</v>
      </c>
      <c r="K443" s="83"/>
      <c r="L443" s="1779" t="s">
        <v>575</v>
      </c>
      <c r="M443" s="1767">
        <v>4</v>
      </c>
      <c r="N443" s="2079">
        <f ca="1">'Ch6'!O125</f>
        <v>0</v>
      </c>
      <c r="O443" s="2075">
        <f ca="1">M443*S443*W443</f>
        <v>0</v>
      </c>
      <c r="P443" s="249" t="b">
        <v>1</v>
      </c>
      <c r="Q443" s="249" t="b">
        <v>0</v>
      </c>
      <c r="R443" s="249" t="b">
        <v>0</v>
      </c>
      <c r="S443" s="249" t="b">
        <f ca="1">IF(IFERROR(MATCH(W440,INDIRECT(U440),0),0)=4,TRUE,FALSE)</f>
        <v>0</v>
      </c>
      <c r="T443" s="94" t="b">
        <f ca="1">IF(AND(NOT(S443),W443=TRUE),TRUE,FALSE)</f>
        <v>0</v>
      </c>
      <c r="U443" s="249"/>
      <c r="V443" s="249"/>
      <c r="W443" s="25"/>
      <c r="X443" s="1757"/>
      <c r="Y443" s="2081"/>
      <c r="Z443" s="2084"/>
      <c r="AA443" s="1526"/>
      <c r="AC443" s="970" t="b">
        <f ca="1">OR(AD443:AE443)</f>
        <v>0</v>
      </c>
      <c r="AD443" s="970" t="b">
        <f ca="1">T443</f>
        <v>0</v>
      </c>
      <c r="AE443" s="970" t="b">
        <v>0</v>
      </c>
      <c r="AF443" s="784" t="b">
        <f>AND(AE443,NOT(Q443))</f>
        <v>0</v>
      </c>
      <c r="AG443" s="249"/>
      <c r="AH443" s="249"/>
      <c r="AI443" s="249"/>
      <c r="AJ443" s="249"/>
      <c r="AK443" s="249"/>
      <c r="AL443" s="254" t="str">
        <f>SUBSTITUTE(SUBSTITUTE(SUBSTITUTE("vpa"&amp;$B443&amp;$C443&amp;$D443&amp;$E443,".","_"),"(","_"),")","")</f>
        <v>vpa602_1_5_2</v>
      </c>
      <c r="AM443" s="254">
        <f>M443</f>
        <v>4</v>
      </c>
      <c r="AN443" s="254" t="str">
        <f>SUBSTITUTE(SUBSTITUTE(SUBSTITUTE("vpc"&amp;$B443&amp;$C443&amp;$D443&amp;$E443,".","_"),"(","_"),")","")</f>
        <v>vpc602_1_5_2</v>
      </c>
      <c r="AO443" s="254">
        <f ca="1">O443</f>
        <v>0</v>
      </c>
      <c r="AP443" s="1336" t="str">
        <f>SUBSTITUTE(SUBSTITUTE(SUBSTITUTE("vch"&amp;$B443&amp;$C443&amp;$D443&amp;$E443,".","_"),"(","_"),")","")</f>
        <v>vch602_1_5_2</v>
      </c>
      <c r="AQ443" s="254" t="str">
        <f>IF(LEN(W443)=0,"",W443)</f>
        <v/>
      </c>
      <c r="AR443" s="1336"/>
      <c r="AS443" s="1336"/>
    </row>
    <row r="444" spans="1:45" x14ac:dyDescent="0.25">
      <c r="A444" s="2371">
        <v>6</v>
      </c>
      <c r="B444" s="2383" t="s">
        <v>572</v>
      </c>
      <c r="C444" s="2374" t="s">
        <v>258</v>
      </c>
      <c r="D444" s="2374"/>
      <c r="E444" s="2374"/>
      <c r="F444" s="2374"/>
      <c r="G444" s="2373" t="str">
        <f ca="1">G443</f>
        <v/>
      </c>
      <c r="H444" s="2371" t="s">
        <v>3972</v>
      </c>
      <c r="I444" s="64"/>
      <c r="J444" s="4"/>
      <c r="K444" s="83"/>
      <c r="L444" s="1779"/>
      <c r="M444" s="1767"/>
      <c r="N444" s="2075"/>
      <c r="O444" s="2075"/>
      <c r="P444" s="249"/>
      <c r="Q444" s="249"/>
      <c r="R444" s="249"/>
      <c r="S444" s="249"/>
      <c r="T444" s="249"/>
      <c r="U444" s="249"/>
      <c r="V444" s="249"/>
      <c r="W444" s="249"/>
      <c r="X444" s="1757"/>
      <c r="Y444" s="2081"/>
      <c r="Z444" s="2084"/>
      <c r="AA444" s="1526"/>
      <c r="AC444" s="970"/>
      <c r="AD444" s="970"/>
      <c r="AE444" s="970"/>
      <c r="AF444" s="249"/>
      <c r="AG444" s="249"/>
      <c r="AH444" s="249"/>
      <c r="AI444" s="249"/>
      <c r="AJ444" s="249"/>
      <c r="AK444" s="249"/>
      <c r="AL444" s="1336"/>
      <c r="AM444" s="1336"/>
      <c r="AN444" s="1336"/>
      <c r="AO444" s="1336"/>
      <c r="AP444" s="1336"/>
      <c r="AQ444" s="1336"/>
      <c r="AR444" s="1336"/>
      <c r="AS444" s="1336"/>
    </row>
    <row r="445" spans="1:45" ht="15.75" customHeight="1" thickBot="1" x14ac:dyDescent="0.3">
      <c r="A445" s="2371">
        <v>6</v>
      </c>
      <c r="B445" s="2383" t="s">
        <v>572</v>
      </c>
      <c r="C445" s="2374" t="s">
        <v>258</v>
      </c>
      <c r="D445" s="2374"/>
      <c r="E445" s="2374"/>
      <c r="F445" s="2374"/>
      <c r="G445" s="2373" t="str">
        <f ca="1">G444</f>
        <v/>
      </c>
      <c r="H445" s="2371" t="s">
        <v>3972</v>
      </c>
      <c r="I445" s="64"/>
      <c r="J445" s="4"/>
      <c r="K445" s="83"/>
      <c r="L445" s="1779"/>
      <c r="M445" s="1767"/>
      <c r="N445" s="1928"/>
      <c r="O445" s="2075"/>
      <c r="P445" s="249"/>
      <c r="Q445" s="249"/>
      <c r="R445" s="249"/>
      <c r="S445" s="249"/>
      <c r="T445" s="249"/>
      <c r="U445" s="249"/>
      <c r="V445" s="249"/>
      <c r="W445" s="249"/>
      <c r="X445" s="1757"/>
      <c r="Y445" s="2082"/>
      <c r="Z445" s="2086"/>
      <c r="AA445" s="1526"/>
      <c r="AC445" s="970"/>
      <c r="AD445" s="970"/>
      <c r="AE445" s="970"/>
      <c r="AF445" s="249"/>
      <c r="AG445" s="249"/>
      <c r="AH445" s="249"/>
      <c r="AI445" s="249"/>
      <c r="AJ445" s="249"/>
      <c r="AK445" s="249"/>
      <c r="AL445" s="1336"/>
      <c r="AM445" s="1336"/>
      <c r="AN445" s="1336"/>
      <c r="AO445" s="1336"/>
      <c r="AP445" s="1336"/>
      <c r="AQ445" s="1336"/>
      <c r="AR445" s="1336"/>
      <c r="AS445" s="1336"/>
    </row>
    <row r="446" spans="1:45" ht="15.75" customHeight="1" thickTop="1" x14ac:dyDescent="0.25">
      <c r="A446" s="2371">
        <v>6</v>
      </c>
      <c r="B446" s="2383" t="s">
        <v>576</v>
      </c>
      <c r="C446" s="2374"/>
      <c r="D446" s="2374"/>
      <c r="E446" s="2374"/>
      <c r="F446" s="2374"/>
      <c r="G446" s="2363" t="str">
        <f ca="1">IF(COUNTIF(G449:G457,"P")&gt;0,"P","")</f>
        <v/>
      </c>
      <c r="H446" s="2371" t="s">
        <v>3971</v>
      </c>
      <c r="I446" s="180" t="s">
        <v>576</v>
      </c>
      <c r="J446" s="181"/>
      <c r="K446" s="182"/>
      <c r="L446" s="1781" t="s">
        <v>577</v>
      </c>
      <c r="M446" s="1009"/>
      <c r="N446" s="1046"/>
      <c r="O446" s="1046"/>
      <c r="P446" s="105"/>
      <c r="Q446" s="105"/>
      <c r="R446" s="105"/>
      <c r="S446" s="105"/>
      <c r="T446" s="105"/>
      <c r="U446" s="105"/>
      <c r="V446" s="105"/>
      <c r="W446" s="105"/>
      <c r="X446" s="105"/>
      <c r="Y446"/>
      <c r="AA446" s="1526"/>
      <c r="AC446" s="970"/>
      <c r="AD446" s="970"/>
      <c r="AE446" s="970"/>
      <c r="AF446" s="249"/>
      <c r="AG446" s="249"/>
      <c r="AH446" s="249"/>
      <c r="AI446" s="249"/>
      <c r="AJ446" s="249"/>
      <c r="AK446" s="249"/>
      <c r="AL446" s="1336"/>
      <c r="AM446" s="1336"/>
      <c r="AN446" s="1336"/>
      <c r="AO446" s="1336"/>
      <c r="AP446" s="1336"/>
      <c r="AQ446" s="1336"/>
      <c r="AR446" s="1336"/>
      <c r="AS446" s="1336"/>
    </row>
    <row r="447" spans="1:45" x14ac:dyDescent="0.25">
      <c r="A447" s="2371">
        <v>6</v>
      </c>
      <c r="B447" s="2383" t="s">
        <v>576</v>
      </c>
      <c r="C447" s="2374"/>
      <c r="D447" s="2374"/>
      <c r="E447" s="2374"/>
      <c r="F447" s="2374"/>
      <c r="G447" s="2373" t="str">
        <f ca="1">G446</f>
        <v/>
      </c>
      <c r="H447" s="2371" t="s">
        <v>3971</v>
      </c>
      <c r="I447" s="130"/>
      <c r="J447" s="129"/>
      <c r="K447" s="95"/>
      <c r="L447" s="1782"/>
      <c r="M447" s="1010"/>
      <c r="N447" s="1044"/>
      <c r="O447" s="1044"/>
      <c r="P447" s="94"/>
      <c r="Q447" s="94"/>
      <c r="R447" s="94"/>
      <c r="S447" s="94"/>
      <c r="T447" s="94"/>
      <c r="U447" s="94"/>
      <c r="V447" s="94"/>
      <c r="W447" s="94"/>
      <c r="X447" s="911"/>
      <c r="Y447"/>
      <c r="AA447" s="1526"/>
      <c r="AC447" s="970"/>
      <c r="AD447" s="970"/>
      <c r="AE447" s="970"/>
      <c r="AF447" s="249"/>
      <c r="AG447" s="249"/>
      <c r="AH447" s="249"/>
      <c r="AI447" s="249"/>
      <c r="AJ447" s="249"/>
      <c r="AK447" s="249"/>
      <c r="AL447" s="1336"/>
      <c r="AM447" s="1336"/>
      <c r="AN447" s="1336"/>
      <c r="AO447" s="1336"/>
      <c r="AP447" s="1336"/>
      <c r="AQ447" s="1336"/>
      <c r="AR447" s="1336"/>
      <c r="AS447" s="1336"/>
    </row>
    <row r="448" spans="1:45" x14ac:dyDescent="0.25">
      <c r="A448" s="2371">
        <v>6</v>
      </c>
      <c r="B448" s="2383" t="s">
        <v>576</v>
      </c>
      <c r="C448" s="2374"/>
      <c r="D448" s="2374"/>
      <c r="E448" s="2374"/>
      <c r="F448" s="2374"/>
      <c r="G448" s="2373" t="str">
        <f ca="1">G447</f>
        <v/>
      </c>
      <c r="H448" s="2371" t="s">
        <v>3971</v>
      </c>
      <c r="I448" s="64"/>
      <c r="J448" s="4"/>
      <c r="K448" s="83"/>
      <c r="L448" s="1202" t="s">
        <v>3034</v>
      </c>
      <c r="M448" s="1014"/>
      <c r="N448" s="1042"/>
      <c r="O448" s="1042"/>
      <c r="P448" s="249"/>
      <c r="Q448" s="249"/>
      <c r="R448" s="249"/>
      <c r="S448" s="249"/>
      <c r="T448" s="249"/>
      <c r="U448" s="94"/>
      <c r="V448" s="249"/>
      <c r="W448" s="249"/>
      <c r="X448" s="911"/>
      <c r="Y448"/>
      <c r="AA448" s="1526"/>
      <c r="AC448" s="970"/>
      <c r="AD448" s="970"/>
      <c r="AE448" s="970"/>
      <c r="AF448" s="249"/>
      <c r="AG448" s="249"/>
      <c r="AH448" s="249"/>
      <c r="AI448" s="249"/>
      <c r="AJ448" s="249"/>
      <c r="AK448" s="249"/>
      <c r="AL448" s="1336"/>
      <c r="AM448" s="1336"/>
      <c r="AN448" s="1336"/>
      <c r="AO448" s="1336"/>
      <c r="AP448" s="1336"/>
      <c r="AQ448" s="1336"/>
      <c r="AR448" s="1336"/>
      <c r="AS448" s="1336"/>
    </row>
    <row r="449" spans="1:45" x14ac:dyDescent="0.25">
      <c r="A449" s="2371">
        <v>6</v>
      </c>
      <c r="B449" s="2383" t="s">
        <v>576</v>
      </c>
      <c r="C449" s="2374" t="s">
        <v>256</v>
      </c>
      <c r="D449" s="2374"/>
      <c r="E449" s="2374"/>
      <c r="F449" s="2374"/>
      <c r="G449" s="2373" t="str">
        <f ca="1">IF(N449&gt;0,"P","")</f>
        <v/>
      </c>
      <c r="H449" s="2371" t="s">
        <v>3971</v>
      </c>
      <c r="I449" s="64"/>
      <c r="J449" s="183" t="s">
        <v>256</v>
      </c>
      <c r="K449" s="95"/>
      <c r="L449" s="1754" t="s">
        <v>578</v>
      </c>
      <c r="M449" s="1758">
        <v>2</v>
      </c>
      <c r="N449" s="1927">
        <f ca="1">'Ch6'!O131</f>
        <v>0</v>
      </c>
      <c r="O449" s="1927">
        <f ca="1">M449*S449*W449</f>
        <v>0</v>
      </c>
      <c r="P449" s="249" t="b">
        <v>1</v>
      </c>
      <c r="Q449" s="352" t="b">
        <v>1</v>
      </c>
      <c r="R449" s="249" t="b">
        <v>0</v>
      </c>
      <c r="S449" s="249" t="b">
        <f ca="1">IF(IFERROR(MATCH(W440,INDIRECT(U440),0),0)=2,TRUE,FALSE)</f>
        <v>0</v>
      </c>
      <c r="T449" s="94" t="b">
        <f ca="1">IF(AND(NOT(S449),W449=TRUE),TRUE,FALSE)</f>
        <v>0</v>
      </c>
      <c r="U449" s="249"/>
      <c r="V449" s="249"/>
      <c r="W449" s="25"/>
      <c r="X449" s="1757"/>
      <c r="Y449" s="2081" t="str">
        <f>IF(LEN('Ch6'!X131)=0,"None",'Ch6'!X131)</f>
        <v>None</v>
      </c>
      <c r="Z449" s="2084"/>
      <c r="AA449" s="1526"/>
      <c r="AC449" s="970" t="b">
        <f ca="1">OR(AD449:AE449)</f>
        <v>0</v>
      </c>
      <c r="AD449" s="970" t="b">
        <f ca="1">T449</f>
        <v>0</v>
      </c>
      <c r="AE449" s="970" t="b">
        <v>0</v>
      </c>
      <c r="AF449" s="784"/>
      <c r="AG449" s="249"/>
      <c r="AH449" s="249"/>
      <c r="AI449" s="249"/>
      <c r="AJ449" s="249"/>
      <c r="AK449" s="249"/>
      <c r="AL449" s="254" t="str">
        <f>SUBSTITUTE(SUBSTITUTE(SUBSTITUTE("vpa"&amp;$B449&amp;$C449&amp;$D449&amp;$E449,".","_"),"(","_"),")","")</f>
        <v>vpa602_1_6_1</v>
      </c>
      <c r="AM449" s="254">
        <f>M449</f>
        <v>2</v>
      </c>
      <c r="AN449" s="254" t="str">
        <f>SUBSTITUTE(SUBSTITUTE(SUBSTITUTE("vpc"&amp;$B449&amp;$C449&amp;$D449&amp;$E449,".","_"),"(","_"),")","")</f>
        <v>vpc602_1_6_1</v>
      </c>
      <c r="AO449" s="254">
        <f ca="1">O449</f>
        <v>0</v>
      </c>
      <c r="AP449" s="1336" t="str">
        <f>SUBSTITUTE(SUBSTITUTE(SUBSTITUTE("vch"&amp;$B449&amp;$C449&amp;$D449&amp;$E449,".","_"),"(","_"),")","")</f>
        <v>vch602_1_6_1</v>
      </c>
      <c r="AQ449" s="254" t="str">
        <f>IF(LEN(W449)=0,"",W449)</f>
        <v/>
      </c>
      <c r="AR449" s="1336" t="str">
        <f>SUBSTITUTE(SUBSTITUTE(SUBSTITUTE("vnt"&amp;$B449&amp;$C449&amp;$D449&amp;$E449,".","_"),"(","_"),")","")</f>
        <v>vnt602_1_6_1</v>
      </c>
      <c r="AS449" s="254" t="str">
        <f>IF(LEN(X449)=0,"",X449)</f>
        <v/>
      </c>
    </row>
    <row r="450" spans="1:45" x14ac:dyDescent="0.25">
      <c r="A450" s="2371">
        <v>6</v>
      </c>
      <c r="B450" s="2383" t="s">
        <v>576</v>
      </c>
      <c r="C450" s="2374" t="s">
        <v>256</v>
      </c>
      <c r="D450" s="2374"/>
      <c r="E450" s="2374"/>
      <c r="F450" s="2374"/>
      <c r="G450" s="2373" t="str">
        <f ca="1">G449</f>
        <v/>
      </c>
      <c r="H450" s="2371" t="s">
        <v>3971</v>
      </c>
      <c r="I450" s="64"/>
      <c r="J450" s="129"/>
      <c r="K450" s="95"/>
      <c r="L450" s="1754"/>
      <c r="M450" s="1758"/>
      <c r="N450" s="1927"/>
      <c r="O450" s="1927"/>
      <c r="P450" s="249"/>
      <c r="Q450" s="249"/>
      <c r="R450" s="249"/>
      <c r="S450" s="249"/>
      <c r="T450" s="249"/>
      <c r="U450" s="249"/>
      <c r="V450" s="249"/>
      <c r="W450" s="249"/>
      <c r="X450" s="1757"/>
      <c r="Y450" s="2081"/>
      <c r="Z450" s="2084"/>
      <c r="AA450" s="1526"/>
      <c r="AC450" s="970"/>
      <c r="AD450" s="970"/>
      <c r="AE450" s="970"/>
      <c r="AF450" s="249"/>
      <c r="AG450" s="249"/>
      <c r="AH450" s="249"/>
      <c r="AI450" s="249"/>
      <c r="AJ450" s="249"/>
      <c r="AK450" s="249"/>
      <c r="AL450" s="1336"/>
      <c r="AM450" s="1336"/>
      <c r="AN450" s="1336"/>
      <c r="AO450" s="1336"/>
      <c r="AP450" s="1336"/>
      <c r="AQ450" s="1336"/>
      <c r="AR450" s="1336"/>
      <c r="AS450" s="1336"/>
    </row>
    <row r="451" spans="1:45" x14ac:dyDescent="0.25">
      <c r="A451" s="2371">
        <v>6</v>
      </c>
      <c r="B451" s="2383" t="s">
        <v>576</v>
      </c>
      <c r="C451" s="2374" t="s">
        <v>256</v>
      </c>
      <c r="D451" s="2374"/>
      <c r="E451" s="2374"/>
      <c r="F451" s="2374"/>
      <c r="G451" s="2373" t="str">
        <f ca="1">G450</f>
        <v/>
      </c>
      <c r="H451" s="2371" t="s">
        <v>3971</v>
      </c>
      <c r="I451" s="64"/>
      <c r="J451" s="129"/>
      <c r="K451" s="95"/>
      <c r="L451" s="1754"/>
      <c r="M451" s="1758"/>
      <c r="N451" s="1927"/>
      <c r="O451" s="1927"/>
      <c r="P451" s="249"/>
      <c r="Q451" s="249"/>
      <c r="R451" s="249"/>
      <c r="S451" s="249"/>
      <c r="T451" s="249"/>
      <c r="U451" s="249"/>
      <c r="V451" s="249"/>
      <c r="W451" s="249"/>
      <c r="X451" s="1757"/>
      <c r="Y451" s="2081"/>
      <c r="Z451" s="2084"/>
      <c r="AA451" s="1526"/>
      <c r="AC451" s="970"/>
      <c r="AD451" s="970"/>
      <c r="AE451" s="970"/>
      <c r="AF451" s="249"/>
      <c r="AG451" s="249"/>
      <c r="AH451" s="249"/>
      <c r="AI451" s="249"/>
      <c r="AJ451" s="249"/>
      <c r="AK451" s="249"/>
      <c r="AL451" s="1336"/>
      <c r="AM451" s="1336"/>
      <c r="AN451" s="1336"/>
      <c r="AO451" s="1336"/>
      <c r="AP451" s="1336"/>
      <c r="AQ451" s="1336"/>
      <c r="AR451" s="1336"/>
      <c r="AS451" s="1336"/>
    </row>
    <row r="452" spans="1:45" x14ac:dyDescent="0.25">
      <c r="A452" s="2371">
        <v>6</v>
      </c>
      <c r="B452" s="2383" t="s">
        <v>576</v>
      </c>
      <c r="C452" s="2374" t="s">
        <v>256</v>
      </c>
      <c r="D452" s="2374"/>
      <c r="E452" s="2374"/>
      <c r="F452" s="2374"/>
      <c r="G452" s="2373" t="str">
        <f ca="1">G451</f>
        <v/>
      </c>
      <c r="H452" s="2371" t="s">
        <v>3971</v>
      </c>
      <c r="I452" s="64"/>
      <c r="J452" s="210"/>
      <c r="K452" s="175"/>
      <c r="L452" s="1755"/>
      <c r="M452" s="1759"/>
      <c r="N452" s="2076"/>
      <c r="O452" s="2076"/>
      <c r="P452" s="249"/>
      <c r="Q452" s="249"/>
      <c r="R452" s="249"/>
      <c r="S452" s="249"/>
      <c r="T452" s="249"/>
      <c r="U452" s="249"/>
      <c r="V452" s="249"/>
      <c r="W452" s="249"/>
      <c r="X452" s="1757"/>
      <c r="Y452" s="2081"/>
      <c r="Z452" s="2084"/>
      <c r="AA452" s="1526"/>
      <c r="AC452" s="970"/>
      <c r="AD452" s="970"/>
      <c r="AE452" s="970"/>
      <c r="AF452" s="249"/>
      <c r="AG452" s="249"/>
      <c r="AH452" s="249"/>
      <c r="AI452" s="249"/>
      <c r="AJ452" s="249"/>
      <c r="AK452" s="249"/>
      <c r="AL452" s="1336"/>
      <c r="AM452" s="1336"/>
      <c r="AN452" s="1336"/>
      <c r="AO452" s="1336"/>
      <c r="AP452" s="1336"/>
      <c r="AQ452" s="1336"/>
      <c r="AR452" s="1336"/>
      <c r="AS452" s="1336"/>
    </row>
    <row r="453" spans="1:45" x14ac:dyDescent="0.25">
      <c r="A453" s="2371">
        <v>6</v>
      </c>
      <c r="B453" s="2383" t="s">
        <v>576</v>
      </c>
      <c r="C453" s="2374" t="s">
        <v>258</v>
      </c>
      <c r="D453" s="2374"/>
      <c r="E453" s="2374"/>
      <c r="F453" s="2374"/>
      <c r="G453" s="2373" t="str">
        <f ca="1">IF(N453&gt;0,"P","")</f>
        <v/>
      </c>
      <c r="H453" s="2371" t="s">
        <v>3971</v>
      </c>
      <c r="I453" s="64"/>
      <c r="J453" s="209" t="s">
        <v>258</v>
      </c>
      <c r="K453" s="194"/>
      <c r="L453" s="1778" t="s">
        <v>579</v>
      </c>
      <c r="M453" s="1762">
        <v>4</v>
      </c>
      <c r="N453" s="2079">
        <f ca="1">'Ch6'!O135</f>
        <v>0</v>
      </c>
      <c r="O453" s="2079">
        <f ca="1">M453*S453*W453</f>
        <v>0</v>
      </c>
      <c r="P453" s="249" t="b">
        <v>1</v>
      </c>
      <c r="Q453" s="352" t="b">
        <v>1</v>
      </c>
      <c r="R453" s="249" t="b">
        <v>0</v>
      </c>
      <c r="S453" s="249" t="b">
        <f ca="1">IF(IFERROR(MATCH(W440,INDIRECT(U440),0),0)=3,TRUE,FALSE)</f>
        <v>0</v>
      </c>
      <c r="T453" s="94" t="b">
        <f ca="1">IF(AND(NOT(S453),W453=TRUE),TRUE,FALSE)</f>
        <v>0</v>
      </c>
      <c r="U453" s="249"/>
      <c r="V453" s="249"/>
      <c r="W453" s="25"/>
      <c r="X453" s="1757"/>
      <c r="Y453" s="2081"/>
      <c r="Z453" s="2084"/>
      <c r="AA453" s="1526"/>
      <c r="AC453" s="970" t="b">
        <f ca="1">OR(AD453:AE453)</f>
        <v>0</v>
      </c>
      <c r="AD453" s="970" t="b">
        <f ca="1">T453</f>
        <v>0</v>
      </c>
      <c r="AE453" s="970" t="b">
        <v>0</v>
      </c>
      <c r="AF453" s="784"/>
      <c r="AG453" s="249"/>
      <c r="AH453" s="249"/>
      <c r="AI453" s="249"/>
      <c r="AJ453" s="249"/>
      <c r="AK453" s="249"/>
      <c r="AL453" s="254" t="str">
        <f>SUBSTITUTE(SUBSTITUTE(SUBSTITUTE("vpa"&amp;$B453&amp;$C453&amp;$D453&amp;$E453,".","_"),"(","_"),")","")</f>
        <v>vpa602_1_6_2</v>
      </c>
      <c r="AM453" s="254">
        <f>M453</f>
        <v>4</v>
      </c>
      <c r="AN453" s="254" t="str">
        <f>SUBSTITUTE(SUBSTITUTE(SUBSTITUTE("vpc"&amp;$B453&amp;$C453&amp;$D453&amp;$E453,".","_"),"(","_"),")","")</f>
        <v>vpc602_1_6_2</v>
      </c>
      <c r="AO453" s="254">
        <f ca="1">O453</f>
        <v>0</v>
      </c>
      <c r="AP453" s="1336" t="str">
        <f>SUBSTITUTE(SUBSTITUTE(SUBSTITUTE("vch"&amp;$B453&amp;$C453&amp;$D453&amp;$E453,".","_"),"(","_"),")","")</f>
        <v>vch602_1_6_2</v>
      </c>
      <c r="AQ453" s="254" t="str">
        <f>IF(LEN(W453)=0,"",W453)</f>
        <v/>
      </c>
      <c r="AR453" s="1336"/>
      <c r="AS453" s="1336"/>
    </row>
    <row r="454" spans="1:45" x14ac:dyDescent="0.25">
      <c r="A454" s="2371">
        <v>6</v>
      </c>
      <c r="B454" s="2383" t="s">
        <v>576</v>
      </c>
      <c r="C454" s="2374" t="s">
        <v>258</v>
      </c>
      <c r="D454" s="2374"/>
      <c r="E454" s="2374"/>
      <c r="F454" s="2374"/>
      <c r="G454" s="2373" t="str">
        <f ca="1">G453</f>
        <v/>
      </c>
      <c r="H454" s="2371" t="s">
        <v>3971</v>
      </c>
      <c r="I454" s="64"/>
      <c r="J454" s="129"/>
      <c r="K454" s="95"/>
      <c r="L454" s="1754"/>
      <c r="M454" s="1758"/>
      <c r="N454" s="1927"/>
      <c r="O454" s="1927"/>
      <c r="P454" s="249"/>
      <c r="Q454" s="249"/>
      <c r="R454" s="249"/>
      <c r="S454" s="249"/>
      <c r="T454" s="249"/>
      <c r="U454" s="249"/>
      <c r="V454" s="249"/>
      <c r="W454" s="249"/>
      <c r="X454" s="1757"/>
      <c r="Y454" s="2081"/>
      <c r="Z454" s="2084"/>
      <c r="AA454" s="1526"/>
      <c r="AC454" s="970"/>
      <c r="AD454" s="970"/>
      <c r="AE454" s="970"/>
      <c r="AF454" s="249"/>
      <c r="AG454" s="249"/>
      <c r="AH454" s="249"/>
      <c r="AI454" s="249"/>
      <c r="AJ454" s="249"/>
      <c r="AK454" s="249"/>
      <c r="AL454" s="1336"/>
      <c r="AM454" s="1336"/>
      <c r="AN454" s="1336"/>
      <c r="AO454" s="1336"/>
      <c r="AP454" s="1336"/>
      <c r="AQ454" s="1336"/>
      <c r="AR454" s="1336"/>
      <c r="AS454" s="1336"/>
    </row>
    <row r="455" spans="1:45" x14ac:dyDescent="0.25">
      <c r="A455" s="2371">
        <v>6</v>
      </c>
      <c r="B455" s="2383" t="s">
        <v>576</v>
      </c>
      <c r="C455" s="2374" t="s">
        <v>258</v>
      </c>
      <c r="D455" s="2374"/>
      <c r="E455" s="2374"/>
      <c r="F455" s="2374"/>
      <c r="G455" s="2373" t="str">
        <f ca="1">G454</f>
        <v/>
      </c>
      <c r="H455" s="2371" t="s">
        <v>3971</v>
      </c>
      <c r="I455" s="64"/>
      <c r="J455" s="129"/>
      <c r="K455" s="95"/>
      <c r="L455" s="1754"/>
      <c r="M455" s="1758"/>
      <c r="N455" s="1927"/>
      <c r="O455" s="1927"/>
      <c r="P455" s="249"/>
      <c r="Q455" s="249"/>
      <c r="R455" s="249"/>
      <c r="S455" s="249"/>
      <c r="T455" s="249"/>
      <c r="U455" s="249"/>
      <c r="V455" s="249"/>
      <c r="W455" s="249"/>
      <c r="X455" s="1757"/>
      <c r="Y455" s="2081"/>
      <c r="Z455" s="2084"/>
      <c r="AA455" s="1526"/>
      <c r="AC455" s="970"/>
      <c r="AD455" s="970"/>
      <c r="AE455" s="970"/>
      <c r="AF455" s="249"/>
      <c r="AG455" s="249"/>
      <c r="AH455" s="249"/>
      <c r="AI455" s="249"/>
      <c r="AJ455" s="249"/>
      <c r="AK455" s="249"/>
      <c r="AL455" s="1336"/>
      <c r="AM455" s="1336"/>
      <c r="AN455" s="1336"/>
      <c r="AO455" s="1336"/>
      <c r="AP455" s="1336"/>
      <c r="AQ455" s="1336"/>
      <c r="AR455" s="1336"/>
      <c r="AS455" s="1336"/>
    </row>
    <row r="456" spans="1:45" x14ac:dyDescent="0.25">
      <c r="A456" s="2371">
        <v>6</v>
      </c>
      <c r="B456" s="2383" t="s">
        <v>576</v>
      </c>
      <c r="C456" s="2374" t="s">
        <v>258</v>
      </c>
      <c r="D456" s="2374"/>
      <c r="E456" s="2374"/>
      <c r="F456" s="2374"/>
      <c r="G456" s="2373" t="str">
        <f ca="1">G455</f>
        <v/>
      </c>
      <c r="H456" s="2371" t="s">
        <v>3971</v>
      </c>
      <c r="I456" s="64"/>
      <c r="J456" s="210"/>
      <c r="K456" s="175"/>
      <c r="L456" s="1755"/>
      <c r="M456" s="1759"/>
      <c r="N456" s="2076"/>
      <c r="O456" s="2076"/>
      <c r="P456" s="249"/>
      <c r="Q456" s="249"/>
      <c r="R456" s="249"/>
      <c r="S456" s="249"/>
      <c r="T456" s="249"/>
      <c r="U456" s="249"/>
      <c r="V456" s="249"/>
      <c r="W456" s="249"/>
      <c r="X456" s="1757"/>
      <c r="Y456" s="2081"/>
      <c r="Z456" s="2084"/>
      <c r="AA456" s="1526"/>
      <c r="AC456" s="970"/>
      <c r="AD456" s="970"/>
      <c r="AE456" s="970"/>
      <c r="AF456" s="249"/>
      <c r="AG456" s="249"/>
      <c r="AH456" s="249"/>
      <c r="AI456" s="249"/>
      <c r="AJ456" s="249"/>
      <c r="AK456" s="249"/>
      <c r="AL456" s="1336"/>
      <c r="AM456" s="1336"/>
      <c r="AN456" s="1336"/>
      <c r="AO456" s="1336"/>
      <c r="AP456" s="1336"/>
      <c r="AQ456" s="1336"/>
      <c r="AR456" s="1336"/>
      <c r="AS456" s="1336"/>
    </row>
    <row r="457" spans="1:45" x14ac:dyDescent="0.25">
      <c r="A457" s="2371">
        <v>6</v>
      </c>
      <c r="B457" s="2383" t="s">
        <v>576</v>
      </c>
      <c r="C457" s="2374" t="s">
        <v>260</v>
      </c>
      <c r="D457" s="2374"/>
      <c r="E457" s="2374"/>
      <c r="F457" s="2374"/>
      <c r="G457" s="2373" t="str">
        <f ca="1">IF(N457&gt;0,"P","")</f>
        <v/>
      </c>
      <c r="H457" s="2371" t="s">
        <v>3971</v>
      </c>
      <c r="I457" s="64"/>
      <c r="J457" s="27" t="s">
        <v>260</v>
      </c>
      <c r="K457" s="83"/>
      <c r="L457" s="1779" t="s">
        <v>580</v>
      </c>
      <c r="M457" s="1767">
        <v>6</v>
      </c>
      <c r="N457" s="2079">
        <f ca="1">'Ch6'!O139</f>
        <v>0</v>
      </c>
      <c r="O457" s="2075">
        <f ca="1">M457*S457*W457</f>
        <v>0</v>
      </c>
      <c r="P457" s="249" t="b">
        <v>1</v>
      </c>
      <c r="Q457" s="352" t="b">
        <v>1</v>
      </c>
      <c r="R457" s="249" t="b">
        <v>0</v>
      </c>
      <c r="S457" s="249" t="b">
        <f ca="1">IF(IFERROR(MATCH(W440,INDIRECT(U440),0),0)=4,TRUE,FALSE)</f>
        <v>0</v>
      </c>
      <c r="T457" s="94" t="b">
        <f ca="1">IF(AND(NOT(S457),W457=TRUE),TRUE,FALSE)</f>
        <v>0</v>
      </c>
      <c r="U457" s="249"/>
      <c r="V457" s="249"/>
      <c r="W457" s="25"/>
      <c r="X457" s="1757"/>
      <c r="Y457" s="2081"/>
      <c r="Z457" s="2084"/>
      <c r="AA457" s="1526"/>
      <c r="AC457" s="970" t="b">
        <f ca="1">OR(AD457:AE457)</f>
        <v>0</v>
      </c>
      <c r="AD457" s="970" t="b">
        <f ca="1">T457</f>
        <v>0</v>
      </c>
      <c r="AE457" s="970" t="b">
        <v>0</v>
      </c>
      <c r="AF457" s="784"/>
      <c r="AG457" s="249"/>
      <c r="AH457" s="249"/>
      <c r="AI457" s="249"/>
      <c r="AJ457" s="249"/>
      <c r="AK457" s="249"/>
      <c r="AL457" s="254" t="str">
        <f>SUBSTITUTE(SUBSTITUTE(SUBSTITUTE("vpa"&amp;$B457&amp;$C457&amp;$D457&amp;$E457,".","_"),"(","_"),")","")</f>
        <v>vpa602_1_6_3</v>
      </c>
      <c r="AM457" s="254">
        <f>M457</f>
        <v>6</v>
      </c>
      <c r="AN457" s="254" t="str">
        <f>SUBSTITUTE(SUBSTITUTE(SUBSTITUTE("vpc"&amp;$B457&amp;$C457&amp;$D457&amp;$E457,".","_"),"(","_"),")","")</f>
        <v>vpc602_1_6_3</v>
      </c>
      <c r="AO457" s="254">
        <f ca="1">O457</f>
        <v>0</v>
      </c>
      <c r="AP457" s="1336" t="str">
        <f>SUBSTITUTE(SUBSTITUTE(SUBSTITUTE("vch"&amp;$B457&amp;$C457&amp;$D457&amp;$E457,".","_"),"(","_"),")","")</f>
        <v>vch602_1_6_3</v>
      </c>
      <c r="AQ457" s="254" t="str">
        <f>IF(LEN(W457)=0,"",W457)</f>
        <v/>
      </c>
      <c r="AR457" s="1336"/>
      <c r="AS457" s="1336"/>
    </row>
    <row r="458" spans="1:45" x14ac:dyDescent="0.25">
      <c r="A458" s="2371">
        <v>6</v>
      </c>
      <c r="B458" s="2383" t="s">
        <v>576</v>
      </c>
      <c r="C458" s="2374" t="s">
        <v>260</v>
      </c>
      <c r="D458" s="2374"/>
      <c r="E458" s="2374"/>
      <c r="F458" s="2374"/>
      <c r="G458" s="2373" t="str">
        <f ca="1">G457</f>
        <v/>
      </c>
      <c r="H458" s="2371" t="s">
        <v>3971</v>
      </c>
      <c r="I458" s="64"/>
      <c r="J458" s="4"/>
      <c r="K458" s="83"/>
      <c r="L458" s="1779"/>
      <c r="M458" s="1767"/>
      <c r="N458" s="2075"/>
      <c r="O458" s="2075"/>
      <c r="P458" s="249"/>
      <c r="Q458" s="249"/>
      <c r="R458" s="249"/>
      <c r="S458" s="249"/>
      <c r="T458" s="249"/>
      <c r="U458" s="249"/>
      <c r="V458" s="249"/>
      <c r="W458" s="249"/>
      <c r="X458" s="1757"/>
      <c r="Y458" s="2081"/>
      <c r="Z458" s="2084"/>
      <c r="AA458" s="1526"/>
      <c r="AC458" s="970"/>
      <c r="AD458" s="970"/>
      <c r="AE458" s="970"/>
      <c r="AF458" s="249"/>
      <c r="AG458" s="249"/>
      <c r="AH458" s="249"/>
      <c r="AI458" s="249"/>
      <c r="AJ458" s="249"/>
      <c r="AK458" s="249"/>
      <c r="AL458" s="1336"/>
      <c r="AM458" s="1336"/>
      <c r="AN458" s="1336"/>
      <c r="AO458" s="1336"/>
      <c r="AP458" s="1336"/>
      <c r="AQ458" s="1336"/>
      <c r="AR458" s="1336"/>
      <c r="AS458" s="1336"/>
    </row>
    <row r="459" spans="1:45" ht="15.75" thickBot="1" x14ac:dyDescent="0.3">
      <c r="A459" s="2371">
        <v>6</v>
      </c>
      <c r="B459" s="2383" t="s">
        <v>576</v>
      </c>
      <c r="C459" s="2374" t="s">
        <v>260</v>
      </c>
      <c r="D459" s="2374"/>
      <c r="E459" s="2374"/>
      <c r="F459" s="2374"/>
      <c r="G459" s="2373" t="str">
        <f ca="1">G458</f>
        <v/>
      </c>
      <c r="H459" s="2371" t="s">
        <v>3971</v>
      </c>
      <c r="I459" s="64"/>
      <c r="J459" s="4"/>
      <c r="K459" s="83"/>
      <c r="L459" s="1779"/>
      <c r="M459" s="1767"/>
      <c r="N459" s="1928"/>
      <c r="O459" s="2075"/>
      <c r="P459" s="249"/>
      <c r="Q459" s="249"/>
      <c r="R459" s="249"/>
      <c r="S459" s="249"/>
      <c r="T459" s="249"/>
      <c r="U459" s="249"/>
      <c r="V459" s="249"/>
      <c r="W459" s="249"/>
      <c r="X459" s="1798"/>
      <c r="Y459" s="2082"/>
      <c r="Z459" s="2086"/>
      <c r="AA459" s="1526"/>
      <c r="AC459" s="970"/>
      <c r="AD459" s="970"/>
      <c r="AE459" s="970"/>
      <c r="AF459" s="249"/>
      <c r="AG459" s="249"/>
      <c r="AH459" s="249"/>
      <c r="AI459" s="249"/>
      <c r="AJ459" s="249"/>
      <c r="AK459" s="249"/>
      <c r="AL459" s="1336"/>
      <c r="AM459" s="1336"/>
      <c r="AN459" s="1336"/>
      <c r="AO459" s="1336"/>
      <c r="AP459" s="1336"/>
      <c r="AQ459" s="1336"/>
      <c r="AR459" s="1336"/>
      <c r="AS459" s="1336"/>
    </row>
    <row r="460" spans="1:45" ht="15.75" thickTop="1" x14ac:dyDescent="0.25">
      <c r="A460" s="2371">
        <v>6</v>
      </c>
      <c r="B460" s="2383" t="s">
        <v>581</v>
      </c>
      <c r="C460" s="2374"/>
      <c r="D460" s="2374"/>
      <c r="E460" s="2374"/>
      <c r="F460" s="2374"/>
      <c r="G460" s="2373" t="s">
        <v>3974</v>
      </c>
      <c r="H460" s="2371" t="s">
        <v>3971</v>
      </c>
      <c r="I460" s="180" t="s">
        <v>581</v>
      </c>
      <c r="J460" s="181"/>
      <c r="K460" s="182"/>
      <c r="L460" s="1189" t="s">
        <v>582</v>
      </c>
      <c r="M460" s="1009"/>
      <c r="N460" s="1046"/>
      <c r="O460" s="1046"/>
      <c r="P460" s="105"/>
      <c r="Q460" s="105"/>
      <c r="R460" s="105"/>
      <c r="S460" s="105"/>
      <c r="T460" s="105"/>
      <c r="U460" s="105"/>
      <c r="V460" s="105"/>
      <c r="W460" s="105"/>
      <c r="X460" s="105"/>
      <c r="Y460"/>
      <c r="AA460" s="1526"/>
      <c r="AC460" s="970"/>
      <c r="AD460" s="970"/>
      <c r="AE460" s="970"/>
      <c r="AF460" s="249"/>
      <c r="AG460" s="249"/>
      <c r="AH460" s="249"/>
      <c r="AI460" s="249"/>
      <c r="AJ460" s="249"/>
      <c r="AK460" s="249"/>
      <c r="AL460" s="1336"/>
      <c r="AM460" s="1336"/>
      <c r="AN460" s="1336"/>
      <c r="AO460" s="1336"/>
      <c r="AP460" s="1336"/>
      <c r="AQ460" s="1336"/>
      <c r="AR460" s="1336"/>
      <c r="AS460" s="1336"/>
    </row>
    <row r="461" spans="1:45" x14ac:dyDescent="0.25">
      <c r="A461" s="2371">
        <v>6</v>
      </c>
      <c r="B461" s="2385" t="s">
        <v>583</v>
      </c>
      <c r="C461" s="2385"/>
      <c r="D461" s="2374"/>
      <c r="E461" s="2374"/>
      <c r="F461" s="2374"/>
      <c r="G461" s="2373" t="s">
        <v>3974</v>
      </c>
      <c r="H461" s="2371" t="s">
        <v>3972</v>
      </c>
      <c r="I461" s="64" t="s">
        <v>583</v>
      </c>
      <c r="J461" s="4"/>
      <c r="K461" s="83"/>
      <c r="L461" s="1180" t="s">
        <v>584</v>
      </c>
      <c r="M461" s="1014"/>
      <c r="N461" s="1042"/>
      <c r="O461" s="1042"/>
      <c r="P461" s="249"/>
      <c r="Q461" s="249"/>
      <c r="R461" s="249"/>
      <c r="S461" s="249"/>
      <c r="T461" s="249"/>
      <c r="U461" s="249"/>
      <c r="V461" s="249"/>
      <c r="W461" s="249"/>
      <c r="X461" s="911"/>
      <c r="Y461"/>
      <c r="AA461" s="1526"/>
      <c r="AC461" s="970"/>
      <c r="AD461" s="970"/>
      <c r="AE461" s="970"/>
      <c r="AF461" s="249"/>
      <c r="AG461" s="249"/>
      <c r="AH461" s="249"/>
      <c r="AI461" s="249"/>
      <c r="AJ461" s="249"/>
      <c r="AK461" s="249"/>
      <c r="AL461" s="1336"/>
      <c r="AM461" s="1336"/>
      <c r="AN461" s="1336"/>
      <c r="AO461" s="1336"/>
      <c r="AP461" s="1336"/>
      <c r="AQ461" s="1336"/>
      <c r="AR461" s="1336"/>
      <c r="AS461" s="1336"/>
    </row>
    <row r="462" spans="1:45" x14ac:dyDescent="0.25">
      <c r="A462" s="2371">
        <v>6</v>
      </c>
      <c r="B462" s="2385" t="s">
        <v>583</v>
      </c>
      <c r="C462" s="2374" t="s">
        <v>256</v>
      </c>
      <c r="D462" s="2374"/>
      <c r="E462" s="2374"/>
      <c r="F462" s="2374"/>
      <c r="G462" s="2373" t="str">
        <f>IF(N462&gt;0,"P","")</f>
        <v/>
      </c>
      <c r="H462" s="2371" t="s">
        <v>3972</v>
      </c>
      <c r="I462" s="64"/>
      <c r="J462" s="183" t="s">
        <v>256</v>
      </c>
      <c r="K462" s="95"/>
      <c r="L462" s="1754" t="s">
        <v>585</v>
      </c>
      <c r="M462" s="1758">
        <v>2</v>
      </c>
      <c r="N462" s="1927">
        <f>'Ch6'!O144</f>
        <v>0</v>
      </c>
      <c r="O462" s="1927">
        <f>M462*S462*W462</f>
        <v>0</v>
      </c>
      <c r="P462" s="249" t="b">
        <v>1</v>
      </c>
      <c r="Q462" s="249" t="b">
        <v>0</v>
      </c>
      <c r="R462" s="249" t="b">
        <v>0</v>
      </c>
      <c r="S462" s="249" t="b">
        <v>1</v>
      </c>
      <c r="T462" s="249" t="b">
        <v>0</v>
      </c>
      <c r="U462" s="249"/>
      <c r="V462" s="249"/>
      <c r="W462" s="25"/>
      <c r="X462" s="1757"/>
      <c r="Y462" s="2081" t="str">
        <f>IF(LEN('Ch6'!X144)=0,"None",'Ch6'!X144)</f>
        <v>None</v>
      </c>
      <c r="Z462" s="2083"/>
      <c r="AA462" s="1526"/>
      <c r="AC462" s="970"/>
      <c r="AD462" s="970"/>
      <c r="AE462" s="970"/>
      <c r="AF462" s="249"/>
      <c r="AG462" s="249"/>
      <c r="AH462" s="249"/>
      <c r="AI462" s="249"/>
      <c r="AJ462" s="249"/>
      <c r="AK462" s="249"/>
      <c r="AL462" s="254" t="str">
        <f>SUBSTITUTE(SUBSTITUTE(SUBSTITUTE("vpa"&amp;$B462&amp;$C462&amp;$D462&amp;$E462,".","_"),"(","_"),")","")</f>
        <v>vpa602_1_7_1_1</v>
      </c>
      <c r="AM462" s="254">
        <f>M462</f>
        <v>2</v>
      </c>
      <c r="AN462" s="254" t="str">
        <f>SUBSTITUTE(SUBSTITUTE(SUBSTITUTE("vpc"&amp;$B462&amp;$C462&amp;$D462&amp;$E462,".","_"),"(","_"),")","")</f>
        <v>vpc602_1_7_1_1</v>
      </c>
      <c r="AO462" s="254">
        <f>O462</f>
        <v>0</v>
      </c>
      <c r="AP462" s="1336" t="str">
        <f>SUBSTITUTE(SUBSTITUTE(SUBSTITUTE("vch"&amp;$B462&amp;$C462&amp;$D462&amp;$E462,".","_"),"(","_"),")","")</f>
        <v>vch602_1_7_1_1</v>
      </c>
      <c r="AQ462" s="254" t="str">
        <f>IF(LEN(W462)=0,"",W462)</f>
        <v/>
      </c>
      <c r="AR462" s="1336" t="str">
        <f>SUBSTITUTE(SUBSTITUTE(SUBSTITUTE("vnt"&amp;$B462&amp;$C462&amp;$D462&amp;$E462,".","_"),"(","_"),")","")</f>
        <v>vnt602_1_7_1_1</v>
      </c>
      <c r="AS462" s="254" t="str">
        <f>IF(LEN(X462)=0,"",X462)</f>
        <v/>
      </c>
    </row>
    <row r="463" spans="1:45" x14ac:dyDescent="0.25">
      <c r="A463" s="2371">
        <v>6</v>
      </c>
      <c r="B463" s="2385" t="s">
        <v>583</v>
      </c>
      <c r="C463" s="2374" t="s">
        <v>256</v>
      </c>
      <c r="D463" s="2374"/>
      <c r="E463" s="2374"/>
      <c r="F463" s="2374"/>
      <c r="G463" s="2373" t="str">
        <f>G462</f>
        <v/>
      </c>
      <c r="H463" s="2371" t="s">
        <v>3972</v>
      </c>
      <c r="I463" s="64"/>
      <c r="J463" s="210"/>
      <c r="K463" s="175"/>
      <c r="L463" s="1755"/>
      <c r="M463" s="1759"/>
      <c r="N463" s="2076"/>
      <c r="O463" s="2076"/>
      <c r="P463" s="249"/>
      <c r="Q463" s="249"/>
      <c r="R463" s="249"/>
      <c r="S463" s="249"/>
      <c r="T463" s="249"/>
      <c r="U463" s="249"/>
      <c r="V463" s="249"/>
      <c r="W463" s="249"/>
      <c r="X463" s="1757"/>
      <c r="Y463" s="2081"/>
      <c r="Z463" s="2083"/>
      <c r="AA463" s="1526"/>
      <c r="AC463" s="970"/>
      <c r="AD463" s="970"/>
      <c r="AE463" s="970"/>
      <c r="AF463" s="249"/>
      <c r="AG463" s="249"/>
      <c r="AH463" s="249"/>
      <c r="AI463" s="249"/>
      <c r="AJ463" s="249"/>
      <c r="AK463" s="249"/>
      <c r="AL463" s="1336"/>
      <c r="AM463" s="1336"/>
      <c r="AN463" s="1336"/>
      <c r="AO463" s="1336"/>
      <c r="AP463" s="1336"/>
      <c r="AQ463" s="1336"/>
      <c r="AR463" s="1336"/>
      <c r="AS463" s="1336"/>
    </row>
    <row r="464" spans="1:45" ht="15" customHeight="1" x14ac:dyDescent="0.25">
      <c r="A464" s="2371">
        <v>6</v>
      </c>
      <c r="B464" s="2385" t="s">
        <v>583</v>
      </c>
      <c r="C464" s="2374" t="s">
        <v>258</v>
      </c>
      <c r="D464" s="2374"/>
      <c r="E464" s="2374"/>
      <c r="F464" s="2374"/>
      <c r="G464" s="2373" t="s">
        <v>3974</v>
      </c>
      <c r="H464" s="2371" t="s">
        <v>3972</v>
      </c>
      <c r="I464" s="64"/>
      <c r="J464" s="183" t="s">
        <v>258</v>
      </c>
      <c r="K464" s="95"/>
      <c r="L464" s="1754" t="s">
        <v>586</v>
      </c>
      <c r="M464" s="1857" t="str">
        <f>IF(R464,"Mandatory
2","N/A")</f>
        <v>Mandatory
2</v>
      </c>
      <c r="N464" s="2079">
        <f>'Ch6'!O146</f>
        <v>0</v>
      </c>
      <c r="O464" s="1927">
        <f>IF(AND(S464,W464="Met"),2,0)</f>
        <v>0</v>
      </c>
      <c r="P464" s="249" t="b">
        <v>1</v>
      </c>
      <c r="Q464" s="249" t="b">
        <v>0</v>
      </c>
      <c r="R464" s="249" t="b">
        <f>S464</f>
        <v>1</v>
      </c>
      <c r="S464" s="249" t="b">
        <v>1</v>
      </c>
      <c r="T464" s="249" t="b">
        <v>0</v>
      </c>
      <c r="U464" s="94" t="str">
        <f>SUBSTITUTE(SUBSTITUTE(SUBSTITUTE("dd"&amp;B464&amp;C464&amp;D464&amp;E464&amp;F464,".","_"),"(","_"),")","")</f>
        <v>dd602_1_7_1_2</v>
      </c>
      <c r="V464" s="249"/>
      <c r="W464" s="12"/>
      <c r="X464" s="1757"/>
      <c r="Y464" s="2081" t="str">
        <f>IF(LEN('Ch6'!X146)=0,"None",'Ch6'!X146)</f>
        <v>None</v>
      </c>
      <c r="Z464" s="2083"/>
      <c r="AA464" s="1526"/>
      <c r="AC464" s="970" t="b">
        <f>OR(AD464:AE464)</f>
        <v>1</v>
      </c>
      <c r="AD464" s="970" t="b">
        <v>0</v>
      </c>
      <c r="AE464" s="970" t="b">
        <f>OR(AND(R464,NOT(W464="Met"),NOT(W464="N/A")),AND(W464="N/A",ISBLANK(X464)))</f>
        <v>1</v>
      </c>
      <c r="AF464" s="784" t="b">
        <f>AND(AE464,NOT(Q464))</f>
        <v>1</v>
      </c>
      <c r="AG464" s="249"/>
      <c r="AH464" s="249"/>
      <c r="AI464" s="249"/>
      <c r="AJ464" s="249"/>
      <c r="AK464" s="249"/>
      <c r="AL464" s="254" t="str">
        <f>SUBSTITUTE(SUBSTITUTE(SUBSTITUTE("vpa"&amp;$B464&amp;$C464&amp;$D464&amp;$E464,".","_"),"(","_"),")","")</f>
        <v>vpa602_1_7_1_2</v>
      </c>
      <c r="AM464" s="254" t="str">
        <f>M464</f>
        <v>Mandatory
2</v>
      </c>
      <c r="AN464" s="254" t="str">
        <f>SUBSTITUTE(SUBSTITUTE(SUBSTITUTE("vpc"&amp;$B464&amp;$C464&amp;$D464&amp;$E464,".","_"),"(","_"),")","")</f>
        <v>vpc602_1_7_1_2</v>
      </c>
      <c r="AO464" s="254">
        <f>O464</f>
        <v>0</v>
      </c>
      <c r="AP464" s="1336" t="str">
        <f>SUBSTITUTE(SUBSTITUTE(SUBSTITUTE("vch"&amp;$B464&amp;$C464&amp;$D464&amp;$E464,".","_"),"(","_"),")","")</f>
        <v>vch602_1_7_1_2</v>
      </c>
      <c r="AQ464" s="254" t="str">
        <f>IF(LEN(W464)=0,"",W464)</f>
        <v/>
      </c>
      <c r="AR464" s="1336" t="str">
        <f>SUBSTITUTE(SUBSTITUTE(SUBSTITUTE("vnt"&amp;$B464&amp;$C464&amp;$D464&amp;$E464,".","_"),"(","_"),")","")</f>
        <v>vnt602_1_7_1_2</v>
      </c>
      <c r="AS464" s="254" t="str">
        <f>IF(LEN(X464)=0,"",X464)</f>
        <v/>
      </c>
    </row>
    <row r="465" spans="1:45" x14ac:dyDescent="0.25">
      <c r="A465" s="2371">
        <v>6</v>
      </c>
      <c r="B465" s="2385" t="s">
        <v>583</v>
      </c>
      <c r="C465" s="2374" t="s">
        <v>258</v>
      </c>
      <c r="D465" s="2374"/>
      <c r="E465" s="2374"/>
      <c r="F465" s="2374"/>
      <c r="G465" s="2373" t="s">
        <v>3974</v>
      </c>
      <c r="H465" s="2371" t="s">
        <v>3972</v>
      </c>
      <c r="I465" s="64"/>
      <c r="J465" s="129"/>
      <c r="K465" s="95"/>
      <c r="L465" s="1754"/>
      <c r="M465" s="1857"/>
      <c r="N465" s="1927"/>
      <c r="O465" s="1927"/>
      <c r="P465" s="249"/>
      <c r="Q465" s="249"/>
      <c r="R465" s="249"/>
      <c r="S465" s="249"/>
      <c r="T465" s="249"/>
      <c r="U465" s="249"/>
      <c r="V465" s="249"/>
      <c r="W465" s="249"/>
      <c r="X465" s="1757"/>
      <c r="Y465" s="2081"/>
      <c r="Z465" s="2083"/>
      <c r="AA465" s="1526"/>
      <c r="AC465" s="970"/>
      <c r="AD465" s="970"/>
      <c r="AE465" s="970"/>
      <c r="AF465" s="249"/>
      <c r="AG465" s="249"/>
      <c r="AH465" s="249"/>
      <c r="AI465" s="249"/>
      <c r="AJ465" s="249"/>
      <c r="AK465" s="249"/>
      <c r="AL465" s="1336"/>
      <c r="AM465" s="1336"/>
      <c r="AN465" s="1336"/>
      <c r="AO465" s="1336"/>
      <c r="AP465" s="1336"/>
      <c r="AQ465" s="1336"/>
      <c r="AR465" s="1336"/>
      <c r="AS465" s="1336"/>
    </row>
    <row r="466" spans="1:45" x14ac:dyDescent="0.25">
      <c r="A466" s="2371">
        <v>6</v>
      </c>
      <c r="B466" s="2385" t="s">
        <v>583</v>
      </c>
      <c r="C466" s="2374" t="s">
        <v>258</v>
      </c>
      <c r="D466" s="2374"/>
      <c r="E466" s="2374"/>
      <c r="F466" s="2374"/>
      <c r="G466" s="2373" t="s">
        <v>3974</v>
      </c>
      <c r="H466" s="2371" t="s">
        <v>3972</v>
      </c>
      <c r="I466" s="64"/>
      <c r="J466" s="210"/>
      <c r="K466" s="175"/>
      <c r="L466" s="1177" t="s">
        <v>1105</v>
      </c>
      <c r="M466" s="1858"/>
      <c r="N466" s="2076"/>
      <c r="O466" s="2076"/>
      <c r="P466" s="249"/>
      <c r="Q466" s="249"/>
      <c r="R466" s="249"/>
      <c r="S466" s="249"/>
      <c r="T466" s="249"/>
      <c r="U466" s="249"/>
      <c r="V466" s="249"/>
      <c r="W466" s="249"/>
      <c r="X466" s="1757"/>
      <c r="Y466" s="2081"/>
      <c r="Z466" s="2083"/>
      <c r="AA466" s="1526"/>
      <c r="AC466" s="970"/>
      <c r="AD466" s="970"/>
      <c r="AE466" s="970"/>
      <c r="AF466" s="249"/>
      <c r="AG466" s="249"/>
      <c r="AH466" s="249"/>
      <c r="AI466" s="249"/>
      <c r="AJ466" s="249"/>
      <c r="AK466" s="249"/>
      <c r="AL466" s="1336"/>
      <c r="AM466" s="1336"/>
      <c r="AN466" s="1336"/>
      <c r="AO466" s="1336"/>
      <c r="AP466" s="1336"/>
      <c r="AQ466" s="1336"/>
      <c r="AR466" s="1336"/>
      <c r="AS466" s="1336"/>
    </row>
    <row r="467" spans="1:45" x14ac:dyDescent="0.25">
      <c r="A467" s="2371">
        <v>6</v>
      </c>
      <c r="B467" s="2385" t="s">
        <v>583</v>
      </c>
      <c r="C467" s="2374" t="s">
        <v>260</v>
      </c>
      <c r="D467" s="2374"/>
      <c r="E467" s="2374"/>
      <c r="F467" s="2374"/>
      <c r="G467" s="2373" t="str">
        <f>IF(N467&gt;0,"P","")</f>
        <v/>
      </c>
      <c r="H467" s="2371" t="s">
        <v>3972</v>
      </c>
      <c r="I467" s="130"/>
      <c r="J467" s="183" t="s">
        <v>260</v>
      </c>
      <c r="K467" s="95"/>
      <c r="L467" s="1754" t="s">
        <v>587</v>
      </c>
      <c r="M467" s="1788">
        <v>4</v>
      </c>
      <c r="N467" s="2079">
        <f>'Ch6'!O149</f>
        <v>0</v>
      </c>
      <c r="O467" s="1927">
        <f>M467*S467*W467</f>
        <v>0</v>
      </c>
      <c r="P467" s="249" t="b">
        <v>1</v>
      </c>
      <c r="Q467" s="249" t="b">
        <v>0</v>
      </c>
      <c r="R467" s="249" t="b">
        <v>0</v>
      </c>
      <c r="S467" s="249" t="b">
        <v>1</v>
      </c>
      <c r="T467" s="249" t="b">
        <v>0</v>
      </c>
      <c r="U467" s="249"/>
      <c r="V467" s="249"/>
      <c r="W467" s="25"/>
      <c r="X467" s="1757"/>
      <c r="Y467" s="2081" t="str">
        <f>IF(LEN('Ch6'!X149)=0,"None",'Ch6'!X149)</f>
        <v>None</v>
      </c>
      <c r="Z467" s="2083"/>
      <c r="AA467" s="1526"/>
      <c r="AC467" s="970"/>
      <c r="AD467" s="970"/>
      <c r="AE467" s="970"/>
      <c r="AF467" s="249"/>
      <c r="AG467" s="249"/>
      <c r="AH467" s="249"/>
      <c r="AI467" s="249"/>
      <c r="AJ467" s="249"/>
      <c r="AK467" s="249"/>
      <c r="AL467" s="254" t="str">
        <f>SUBSTITUTE(SUBSTITUTE(SUBSTITUTE("vpa"&amp;$B467&amp;$C467&amp;$D467&amp;$E467,".","_"),"(","_"),")","")</f>
        <v>vpa602_1_7_1_3</v>
      </c>
      <c r="AM467" s="254">
        <f>M467</f>
        <v>4</v>
      </c>
      <c r="AN467" s="254" t="str">
        <f>SUBSTITUTE(SUBSTITUTE(SUBSTITUTE("vpc"&amp;$B467&amp;$C467&amp;$D467&amp;$E467,".","_"),"(","_"),")","")</f>
        <v>vpc602_1_7_1_3</v>
      </c>
      <c r="AO467" s="254">
        <f>O467</f>
        <v>0</v>
      </c>
      <c r="AP467" s="1336" t="str">
        <f>SUBSTITUTE(SUBSTITUTE(SUBSTITUTE("vch"&amp;$B467&amp;$C467&amp;$D467&amp;$E467,".","_"),"(","_"),")","")</f>
        <v>vch602_1_7_1_3</v>
      </c>
      <c r="AQ467" s="254" t="str">
        <f>IF(LEN(W467)=0,"",W467)</f>
        <v/>
      </c>
      <c r="AR467" s="1336" t="str">
        <f>SUBSTITUTE(SUBSTITUTE(SUBSTITUTE("vnt"&amp;$B467&amp;$C467&amp;$D467&amp;$E467,".","_"),"(","_"),")","")</f>
        <v>vnt602_1_7_1_3</v>
      </c>
      <c r="AS467" s="254" t="str">
        <f>IF(LEN(X467)=0,"",X467)</f>
        <v/>
      </c>
    </row>
    <row r="468" spans="1:45" x14ac:dyDescent="0.25">
      <c r="A468" s="2371">
        <v>6</v>
      </c>
      <c r="B468" s="2385" t="s">
        <v>583</v>
      </c>
      <c r="C468" s="2374" t="s">
        <v>260</v>
      </c>
      <c r="D468" s="2374"/>
      <c r="E468" s="2374"/>
      <c r="F468" s="2374"/>
      <c r="G468" s="2373" t="str">
        <f>G467</f>
        <v/>
      </c>
      <c r="H468" s="2371" t="s">
        <v>3972</v>
      </c>
      <c r="I468" s="215"/>
      <c r="J468" s="210"/>
      <c r="K468" s="175"/>
      <c r="L468" s="1755"/>
      <c r="M468" s="1865"/>
      <c r="N468" s="2076"/>
      <c r="O468" s="2076"/>
      <c r="P468" s="249"/>
      <c r="Q468" s="249"/>
      <c r="R468" s="249"/>
      <c r="S468" s="249"/>
      <c r="T468" s="249"/>
      <c r="U468" s="249"/>
      <c r="V468" s="249"/>
      <c r="W468" s="249"/>
      <c r="X468" s="1757"/>
      <c r="Y468" s="2081"/>
      <c r="Z468" s="2083"/>
      <c r="AA468" s="1526"/>
      <c r="AC468" s="970"/>
      <c r="AD468" s="970"/>
      <c r="AE468" s="970"/>
      <c r="AF468" s="249"/>
      <c r="AG468" s="249"/>
      <c r="AH468" s="249"/>
      <c r="AI468" s="249"/>
      <c r="AJ468" s="249"/>
      <c r="AK468" s="249"/>
      <c r="AL468" s="1336"/>
      <c r="AM468" s="1336"/>
      <c r="AN468" s="1336"/>
      <c r="AO468" s="1336"/>
      <c r="AP468" s="1336"/>
      <c r="AQ468" s="1336"/>
      <c r="AR468" s="1336"/>
      <c r="AS468" s="1336"/>
    </row>
    <row r="469" spans="1:45" ht="15" customHeight="1" x14ac:dyDescent="0.25">
      <c r="A469" s="2371">
        <v>6</v>
      </c>
      <c r="B469" s="2385" t="s">
        <v>588</v>
      </c>
      <c r="C469" s="2385"/>
      <c r="D469" s="2374"/>
      <c r="E469" s="2374"/>
      <c r="F469" s="2374"/>
      <c r="G469" s="2373" t="str">
        <f>IF(N469&gt;0,"P","")</f>
        <v/>
      </c>
      <c r="H469" s="2371" t="s">
        <v>3971</v>
      </c>
      <c r="I469" s="192" t="s">
        <v>589</v>
      </c>
      <c r="J469" s="193"/>
      <c r="K469" s="194"/>
      <c r="L469" s="1864" t="s">
        <v>590</v>
      </c>
      <c r="M469" s="1762">
        <v>2</v>
      </c>
      <c r="N469" s="2079">
        <f>'Ch6'!O151</f>
        <v>0</v>
      </c>
      <c r="O469" s="2079">
        <f>M469*S469*W469</f>
        <v>0</v>
      </c>
      <c r="P469" s="249" t="b">
        <v>1</v>
      </c>
      <c r="Q469" s="249" t="b">
        <v>1</v>
      </c>
      <c r="R469" s="249" t="b">
        <v>0</v>
      </c>
      <c r="S469" s="249" t="b">
        <v>1</v>
      </c>
      <c r="T469" s="249" t="b">
        <v>0</v>
      </c>
      <c r="U469" s="249"/>
      <c r="V469" s="249"/>
      <c r="W469" s="25"/>
      <c r="X469" s="1757"/>
      <c r="Y469" s="2081" t="str">
        <f>IF(LEN('Ch6'!X151)=0,"None",'Ch6'!X151)</f>
        <v>None</v>
      </c>
      <c r="Z469" s="2083"/>
      <c r="AA469" s="1526"/>
      <c r="AC469" s="970"/>
      <c r="AD469" s="970"/>
      <c r="AE469" s="970"/>
      <c r="AF469" s="249"/>
      <c r="AG469" s="249"/>
      <c r="AH469" s="249"/>
      <c r="AI469" s="249"/>
      <c r="AJ469" s="249"/>
      <c r="AK469" s="249"/>
      <c r="AL469" s="254" t="str">
        <f>SUBSTITUTE(SUBSTITUTE(SUBSTITUTE("vpa"&amp;$B469&amp;$C469&amp;$D469&amp;$E469,".","_"),"(","_"),")","")</f>
        <v>vpa602_1_7_2</v>
      </c>
      <c r="AM469" s="254">
        <f>M469</f>
        <v>2</v>
      </c>
      <c r="AN469" s="254" t="str">
        <f>SUBSTITUTE(SUBSTITUTE(SUBSTITUTE("vpc"&amp;$B469&amp;$C469&amp;$D469&amp;$E469,".","_"),"(","_"),")","")</f>
        <v>vpc602_1_7_2</v>
      </c>
      <c r="AO469" s="254">
        <f>O469</f>
        <v>0</v>
      </c>
      <c r="AP469" s="1336" t="str">
        <f>SUBSTITUTE(SUBSTITUTE(SUBSTITUTE("vch"&amp;$B469&amp;$C469&amp;$D469&amp;$E469,".","_"),"(","_"),")","")</f>
        <v>vch602_1_7_2</v>
      </c>
      <c r="AQ469" s="254" t="str">
        <f>IF(LEN(W469)=0,"",W469)</f>
        <v/>
      </c>
      <c r="AR469" s="1336" t="str">
        <f>SUBSTITUTE(SUBSTITUTE(SUBSTITUTE("vnt"&amp;$B469&amp;$C469&amp;$D469&amp;$E469,".","_"),"(","_"),")","")</f>
        <v>vnt602_1_7_2</v>
      </c>
      <c r="AS469" s="254" t="str">
        <f>IF(LEN(X469)=0,"",X469)</f>
        <v/>
      </c>
    </row>
    <row r="470" spans="1:45" x14ac:dyDescent="0.25">
      <c r="A470" s="2371">
        <v>6</v>
      </c>
      <c r="B470" s="2383" t="s">
        <v>588</v>
      </c>
      <c r="C470" s="2383"/>
      <c r="D470" s="2374"/>
      <c r="E470" s="2374"/>
      <c r="F470" s="2374"/>
      <c r="G470" s="2373" t="str">
        <f>G469</f>
        <v/>
      </c>
      <c r="H470" s="2371" t="s">
        <v>3971</v>
      </c>
      <c r="I470" s="215"/>
      <c r="J470" s="210"/>
      <c r="K470" s="175"/>
      <c r="L470" s="1843"/>
      <c r="M470" s="1759"/>
      <c r="N470" s="2076"/>
      <c r="O470" s="2076"/>
      <c r="P470" s="249"/>
      <c r="Q470" s="249"/>
      <c r="R470" s="249"/>
      <c r="S470" s="249"/>
      <c r="T470" s="249"/>
      <c r="U470" s="249"/>
      <c r="V470" s="249"/>
      <c r="W470" s="249"/>
      <c r="X470" s="1757"/>
      <c r="Y470" s="2081"/>
      <c r="Z470" s="2083"/>
      <c r="AA470" s="1526"/>
      <c r="AC470" s="970"/>
      <c r="AD470" s="970"/>
      <c r="AE470" s="970"/>
      <c r="AF470" s="249"/>
      <c r="AG470" s="249"/>
      <c r="AH470" s="249"/>
      <c r="AI470" s="249"/>
      <c r="AJ470" s="249"/>
      <c r="AK470" s="249"/>
      <c r="AL470" s="1336"/>
      <c r="AM470" s="1336"/>
      <c r="AN470" s="1336"/>
      <c r="AO470" s="1336"/>
      <c r="AP470" s="1336"/>
      <c r="AQ470" s="1336"/>
      <c r="AR470" s="1336"/>
      <c r="AS470" s="1336"/>
    </row>
    <row r="471" spans="1:45" x14ac:dyDescent="0.25">
      <c r="A471" s="2371">
        <v>6</v>
      </c>
      <c r="B471" s="2383" t="s">
        <v>591</v>
      </c>
      <c r="C471" s="2383"/>
      <c r="D471" s="2374"/>
      <c r="E471" s="2374"/>
      <c r="F471" s="2374"/>
      <c r="G471" s="2373" t="str">
        <f>IF(N471&gt;0,"P","")</f>
        <v/>
      </c>
      <c r="H471" s="2371" t="s">
        <v>3972</v>
      </c>
      <c r="I471" s="64" t="s">
        <v>592</v>
      </c>
      <c r="J471" s="4"/>
      <c r="K471" s="83"/>
      <c r="L471" s="1796" t="s">
        <v>593</v>
      </c>
      <c r="M471" s="1767">
        <v>4</v>
      </c>
      <c r="N471" s="2079">
        <f>'Ch6'!O153</f>
        <v>0</v>
      </c>
      <c r="O471" s="2075">
        <f>M471*S471*W471</f>
        <v>0</v>
      </c>
      <c r="P471" s="249" t="b">
        <v>1</v>
      </c>
      <c r="Q471" s="249" t="b">
        <v>0</v>
      </c>
      <c r="R471" s="249" t="b">
        <v>0</v>
      </c>
      <c r="S471" s="249" t="b">
        <v>1</v>
      </c>
      <c r="T471" s="249" t="b">
        <v>0</v>
      </c>
      <c r="U471" s="249"/>
      <c r="V471" s="249"/>
      <c r="W471" s="25"/>
      <c r="X471" s="1757"/>
      <c r="Y471" s="2081" t="str">
        <f>IF(LEN('Ch6'!X153)=0,"None",'Ch6'!X153)</f>
        <v>None</v>
      </c>
      <c r="Z471" s="2084"/>
      <c r="AA471" s="1526"/>
      <c r="AC471" s="970"/>
      <c r="AD471" s="970"/>
      <c r="AE471" s="970"/>
      <c r="AF471" s="249"/>
      <c r="AG471" s="249"/>
      <c r="AH471" s="249"/>
      <c r="AI471" s="249"/>
      <c r="AJ471" s="249"/>
      <c r="AK471" s="249"/>
      <c r="AL471" s="254" t="str">
        <f>SUBSTITUTE(SUBSTITUTE(SUBSTITUTE("vpa"&amp;$B471&amp;$C471&amp;$D471&amp;$E471,".","_"),"(","_"),")","")</f>
        <v>vpa602_1_7_3</v>
      </c>
      <c r="AM471" s="254">
        <f>M471</f>
        <v>4</v>
      </c>
      <c r="AN471" s="254" t="str">
        <f>SUBSTITUTE(SUBSTITUTE(SUBSTITUTE("vpc"&amp;$B471&amp;$C471&amp;$D471&amp;$E471,".","_"),"(","_"),")","")</f>
        <v>vpc602_1_7_3</v>
      </c>
      <c r="AO471" s="254">
        <f>O471</f>
        <v>0</v>
      </c>
      <c r="AP471" s="1336" t="str">
        <f>SUBSTITUTE(SUBSTITUTE(SUBSTITUTE("vch"&amp;$B471&amp;$C471&amp;$D471&amp;$E471,".","_"),"(","_"),")","")</f>
        <v>vch602_1_7_3</v>
      </c>
      <c r="AQ471" s="254" t="str">
        <f>IF(LEN(W471)=0,"",W471)</f>
        <v/>
      </c>
      <c r="AR471" s="1336" t="str">
        <f>SUBSTITUTE(SUBSTITUTE(SUBSTITUTE("vnt"&amp;$B471&amp;$C471&amp;$D471&amp;$E471,".","_"),"(","_"),")","")</f>
        <v>vnt602_1_7_3</v>
      </c>
      <c r="AS471" s="254" t="str">
        <f>IF(LEN(X471)=0,"",X471)</f>
        <v/>
      </c>
    </row>
    <row r="472" spans="1:45" x14ac:dyDescent="0.25">
      <c r="A472" s="2371">
        <v>6</v>
      </c>
      <c r="B472" s="2383" t="s">
        <v>591</v>
      </c>
      <c r="C472" s="2383"/>
      <c r="D472" s="2374"/>
      <c r="E472" s="2374"/>
      <c r="F472" s="2374"/>
      <c r="G472" s="2373" t="str">
        <f>G471</f>
        <v/>
      </c>
      <c r="H472" s="2371" t="s">
        <v>3972</v>
      </c>
      <c r="I472" s="64"/>
      <c r="J472" s="4"/>
      <c r="K472" s="83"/>
      <c r="L472" s="1796"/>
      <c r="M472" s="1767"/>
      <c r="N472" s="2075"/>
      <c r="O472" s="2075"/>
      <c r="P472" s="249"/>
      <c r="Q472" s="249"/>
      <c r="R472" s="249"/>
      <c r="S472" s="249"/>
      <c r="T472" s="249"/>
      <c r="U472" s="249"/>
      <c r="V472" s="249"/>
      <c r="W472" s="249"/>
      <c r="X472" s="1757"/>
      <c r="Y472" s="2081"/>
      <c r="Z472" s="2084"/>
      <c r="AA472" s="1526"/>
      <c r="AC472" s="970"/>
      <c r="AD472" s="970"/>
      <c r="AE472" s="970"/>
      <c r="AF472" s="249"/>
      <c r="AG472" s="249"/>
      <c r="AH472" s="249"/>
      <c r="AI472" s="249"/>
      <c r="AJ472" s="249"/>
      <c r="AK472" s="249"/>
      <c r="AL472" s="1336"/>
      <c r="AM472" s="1336"/>
      <c r="AN472" s="1336"/>
      <c r="AO472" s="1336"/>
      <c r="AP472" s="1336"/>
      <c r="AQ472" s="1336"/>
      <c r="AR472" s="1336"/>
      <c r="AS472" s="1336"/>
    </row>
    <row r="473" spans="1:45" x14ac:dyDescent="0.25">
      <c r="A473" s="2371">
        <v>6</v>
      </c>
      <c r="B473" s="2383" t="s">
        <v>591</v>
      </c>
      <c r="C473" s="2383"/>
      <c r="D473" s="2374"/>
      <c r="E473" s="2374"/>
      <c r="F473" s="2374"/>
      <c r="G473" s="2373" t="str">
        <f>G472</f>
        <v/>
      </c>
      <c r="H473" s="2371" t="s">
        <v>3972</v>
      </c>
      <c r="I473" s="64"/>
      <c r="J473" s="4"/>
      <c r="K473" s="83"/>
      <c r="L473" s="1796"/>
      <c r="M473" s="1767"/>
      <c r="N473" s="2075"/>
      <c r="O473" s="2075"/>
      <c r="P473" s="249"/>
      <c r="Q473" s="249"/>
      <c r="R473" s="249"/>
      <c r="S473" s="249"/>
      <c r="T473" s="249"/>
      <c r="U473" s="249"/>
      <c r="V473" s="249"/>
      <c r="W473" s="249"/>
      <c r="X473" s="1757"/>
      <c r="Y473" s="2081"/>
      <c r="Z473" s="2084"/>
      <c r="AA473" s="1526"/>
      <c r="AC473" s="970"/>
      <c r="AD473" s="970"/>
      <c r="AE473" s="970"/>
      <c r="AF473" s="249"/>
      <c r="AG473" s="249"/>
      <c r="AH473" s="249"/>
      <c r="AI473" s="249"/>
      <c r="AJ473" s="249"/>
      <c r="AK473" s="249"/>
      <c r="AL473" s="1336"/>
      <c r="AM473" s="1336"/>
      <c r="AN473" s="1336"/>
      <c r="AO473" s="1336"/>
      <c r="AP473" s="1336"/>
      <c r="AQ473" s="1336"/>
      <c r="AR473" s="1336"/>
      <c r="AS473" s="1336"/>
    </row>
    <row r="474" spans="1:45" ht="15.75" thickBot="1" x14ac:dyDescent="0.3">
      <c r="A474" s="2371">
        <v>6</v>
      </c>
      <c r="B474" s="2383" t="s">
        <v>591</v>
      </c>
      <c r="C474" s="2383"/>
      <c r="D474" s="2374"/>
      <c r="E474" s="2374"/>
      <c r="F474" s="2374"/>
      <c r="G474" s="2373" t="str">
        <f>G473</f>
        <v/>
      </c>
      <c r="H474" s="2371" t="s">
        <v>3972</v>
      </c>
      <c r="I474" s="64"/>
      <c r="J474" s="4"/>
      <c r="K474" s="83"/>
      <c r="L474" s="1796"/>
      <c r="M474" s="1767"/>
      <c r="N474" s="1928"/>
      <c r="O474" s="2075"/>
      <c r="P474" s="249"/>
      <c r="Q474" s="249"/>
      <c r="R474" s="249"/>
      <c r="S474" s="249"/>
      <c r="T474" s="249"/>
      <c r="U474" s="249"/>
      <c r="V474" s="249"/>
      <c r="W474" s="112"/>
      <c r="X474" s="1798"/>
      <c r="Y474" s="2082"/>
      <c r="Z474" s="2086"/>
      <c r="AA474" s="1526"/>
      <c r="AC474" s="970"/>
      <c r="AD474" s="970"/>
      <c r="AE474" s="970"/>
      <c r="AF474" s="249"/>
      <c r="AG474" s="249"/>
      <c r="AH474" s="249"/>
      <c r="AI474" s="249"/>
      <c r="AJ474" s="249"/>
      <c r="AK474" s="249"/>
      <c r="AL474" s="1336"/>
      <c r="AM474" s="1336"/>
      <c r="AN474" s="1336"/>
      <c r="AO474" s="1336"/>
      <c r="AP474" s="1336"/>
      <c r="AQ474" s="1336"/>
      <c r="AR474" s="1336"/>
      <c r="AS474" s="1336"/>
    </row>
    <row r="475" spans="1:45" ht="15.75" thickTop="1" x14ac:dyDescent="0.25">
      <c r="A475" s="2371">
        <v>6</v>
      </c>
      <c r="B475" s="2383" t="s">
        <v>594</v>
      </c>
      <c r="C475" s="2374"/>
      <c r="D475" s="2374"/>
      <c r="E475" s="2374"/>
      <c r="F475" s="2374"/>
      <c r="G475" s="2373" t="s">
        <v>3974</v>
      </c>
      <c r="H475" s="2371" t="s">
        <v>3972</v>
      </c>
      <c r="I475" s="180" t="s">
        <v>594</v>
      </c>
      <c r="J475" s="181"/>
      <c r="K475" s="182"/>
      <c r="L475" s="1781" t="s">
        <v>595</v>
      </c>
      <c r="M475" s="1856" t="str">
        <f>IF(R475,"Mandatory","N/A")</f>
        <v>Mandatory</v>
      </c>
      <c r="N475" s="1046"/>
      <c r="O475" s="1046"/>
      <c r="P475" s="249" t="b">
        <v>1</v>
      </c>
      <c r="Q475" s="249" t="b">
        <v>0</v>
      </c>
      <c r="R475" s="105" t="b">
        <f>S475</f>
        <v>1</v>
      </c>
      <c r="S475" s="105" t="b">
        <v>1</v>
      </c>
      <c r="T475" s="105" t="b">
        <v>0</v>
      </c>
      <c r="U475" s="105" t="str">
        <f>SUBSTITUTE(SUBSTITUTE(SUBSTITUTE("dd"&amp;B475&amp;C475&amp;D475&amp;E475&amp;F475,".","_"),"(","_"),")","")</f>
        <v>dd602_1_8</v>
      </c>
      <c r="V475" s="105"/>
      <c r="W475" s="12"/>
      <c r="X475" s="1784"/>
      <c r="Y475" s="2097" t="str">
        <f>IF(LEN('Ch6'!X157)=0,"None",'Ch6'!X157)</f>
        <v>None</v>
      </c>
      <c r="Z475" s="2085"/>
      <c r="AA475" s="1551" t="str">
        <f>IF(LEN('Photo Review'!I474)&gt;0,'Photo Review'!I474,"")</f>
        <v/>
      </c>
      <c r="AC475" s="970" t="b">
        <f>OR(AD475:AE475)</f>
        <v>1</v>
      </c>
      <c r="AD475" s="970" t="b">
        <v>0</v>
      </c>
      <c r="AE475" s="970" t="b">
        <f>OR(AND(R475,NOT(W475="Met"),NOT(W475="N/A")),AND(W475="N/A",ISBLANK(X475)))</f>
        <v>1</v>
      </c>
      <c r="AF475" s="784" t="b">
        <f>AND(AE475,NOT(Q475))</f>
        <v>1</v>
      </c>
      <c r="AG475" s="249"/>
      <c r="AH475" s="249"/>
      <c r="AI475" s="249"/>
      <c r="AJ475" s="249"/>
      <c r="AK475" s="249"/>
      <c r="AL475" s="254" t="str">
        <f>SUBSTITUTE(SUBSTITUTE(SUBSTITUTE("vpa"&amp;$B475&amp;$C475&amp;$D475&amp;$E475,".","_"),"(","_"),")","")</f>
        <v>vpa602_1_8</v>
      </c>
      <c r="AM475" s="254" t="str">
        <f>M475</f>
        <v>Mandatory</v>
      </c>
      <c r="AN475" s="1336"/>
      <c r="AO475" s="1336"/>
      <c r="AP475" s="1336" t="str">
        <f>SUBSTITUTE(SUBSTITUTE(SUBSTITUTE("vch"&amp;$B475&amp;$C475&amp;$D475&amp;$E475,".","_"),"(","_"),")","")</f>
        <v>vch602_1_8</v>
      </c>
      <c r="AQ475" s="254" t="str">
        <f>IF(LEN(W475)=0,"",W475)</f>
        <v/>
      </c>
      <c r="AR475" s="1336" t="str">
        <f>SUBSTITUTE(SUBSTITUTE(SUBSTITUTE("vnt"&amp;$B475&amp;$C475&amp;$D475&amp;$E475,".","_"),"(","_"),")","")</f>
        <v>vnt602_1_8</v>
      </c>
      <c r="AS475" s="254" t="str">
        <f>IF(LEN(X475)=0,"",X475)</f>
        <v/>
      </c>
    </row>
    <row r="476" spans="1:45" x14ac:dyDescent="0.25">
      <c r="A476" s="2371">
        <v>6</v>
      </c>
      <c r="B476" s="2383" t="s">
        <v>594</v>
      </c>
      <c r="C476" s="2374"/>
      <c r="D476" s="2374"/>
      <c r="E476" s="2374"/>
      <c r="F476" s="2374"/>
      <c r="G476" s="2373" t="s">
        <v>3974</v>
      </c>
      <c r="H476" s="2371" t="s">
        <v>3972</v>
      </c>
      <c r="I476" s="130"/>
      <c r="J476" s="129"/>
      <c r="K476" s="95"/>
      <c r="L476" s="1782"/>
      <c r="M476" s="1837"/>
      <c r="N476" s="1044"/>
      <c r="O476" s="1044"/>
      <c r="P476" s="94"/>
      <c r="Q476" s="94"/>
      <c r="R476" s="94"/>
      <c r="S476" s="94"/>
      <c r="T476" s="94"/>
      <c r="U476" s="94"/>
      <c r="V476" s="94"/>
      <c r="W476" s="94"/>
      <c r="X476" s="1757"/>
      <c r="Y476" s="2081"/>
      <c r="Z476" s="2084"/>
      <c r="AA476" s="1526"/>
      <c r="AC476" s="970"/>
      <c r="AD476" s="970"/>
      <c r="AE476" s="970"/>
      <c r="AF476" s="249"/>
      <c r="AG476" s="249"/>
      <c r="AH476" s="249"/>
      <c r="AI476" s="249"/>
      <c r="AJ476" s="249"/>
      <c r="AK476" s="249"/>
      <c r="AL476" s="1336"/>
      <c r="AM476" s="1336"/>
      <c r="AN476" s="1336"/>
      <c r="AO476" s="1336"/>
      <c r="AP476" s="1336"/>
      <c r="AQ476" s="1336"/>
      <c r="AR476" s="1336"/>
      <c r="AS476" s="1336"/>
    </row>
    <row r="477" spans="1:45" ht="15.75" thickBot="1" x14ac:dyDescent="0.3">
      <c r="A477" s="2371">
        <v>6</v>
      </c>
      <c r="B477" s="2383" t="s">
        <v>594</v>
      </c>
      <c r="C477" s="2374"/>
      <c r="D477" s="2374"/>
      <c r="E477" s="2374"/>
      <c r="F477" s="2374"/>
      <c r="G477" s="2373" t="s">
        <v>3974</v>
      </c>
      <c r="H477" s="2371" t="s">
        <v>3972</v>
      </c>
      <c r="I477" s="130"/>
      <c r="J477" s="129"/>
      <c r="K477" s="95"/>
      <c r="L477" s="1172" t="s">
        <v>1105</v>
      </c>
      <c r="M477" s="1837"/>
      <c r="N477" s="1044"/>
      <c r="O477" s="1044"/>
      <c r="P477" s="94"/>
      <c r="Q477" s="94"/>
      <c r="R477" s="94"/>
      <c r="S477" s="94"/>
      <c r="T477" s="94"/>
      <c r="U477" s="94"/>
      <c r="V477" s="94"/>
      <c r="W477" s="94"/>
      <c r="X477" s="1798"/>
      <c r="Y477" s="2082"/>
      <c r="Z477" s="2086"/>
      <c r="AA477" s="1526"/>
      <c r="AC477" s="970"/>
      <c r="AD477" s="970"/>
      <c r="AE477" s="970"/>
      <c r="AF477" s="249"/>
      <c r="AG477" s="249"/>
      <c r="AH477" s="249"/>
      <c r="AI477" s="249"/>
      <c r="AJ477" s="249"/>
      <c r="AK477" s="249"/>
      <c r="AL477" s="1336"/>
      <c r="AM477" s="1336"/>
      <c r="AN477" s="1336"/>
      <c r="AO477" s="1336"/>
      <c r="AP477" s="1336"/>
      <c r="AQ477" s="1336"/>
      <c r="AR477" s="1336"/>
      <c r="AS477" s="1336"/>
    </row>
    <row r="478" spans="1:45" ht="15.75" thickTop="1" x14ac:dyDescent="0.25">
      <c r="A478" s="2371">
        <v>6</v>
      </c>
      <c r="B478" s="2383" t="s">
        <v>596</v>
      </c>
      <c r="C478" s="2374"/>
      <c r="D478" s="2374"/>
      <c r="E478" s="2374"/>
      <c r="F478" s="2374"/>
      <c r="G478" s="2373" t="s">
        <v>3974</v>
      </c>
      <c r="H478" s="2371" t="s">
        <v>3972</v>
      </c>
      <c r="I478" s="180" t="s">
        <v>596</v>
      </c>
      <c r="J478" s="181"/>
      <c r="K478" s="182"/>
      <c r="L478" s="1781" t="s">
        <v>597</v>
      </c>
      <c r="M478" s="1009"/>
      <c r="N478" s="1046"/>
      <c r="O478" s="1046"/>
      <c r="P478" s="105"/>
      <c r="Q478" s="105"/>
      <c r="R478" s="105"/>
      <c r="S478" s="105"/>
      <c r="T478" s="105"/>
      <c r="U478" s="105"/>
      <c r="V478" s="105"/>
      <c r="W478" s="105"/>
      <c r="X478" s="105"/>
      <c r="Y478"/>
      <c r="AA478" s="1551" t="str">
        <f>IF(LEN('Photo Review'!I477)&gt;0,'Photo Review'!I477,"")</f>
        <v/>
      </c>
      <c r="AC478" s="970"/>
      <c r="AD478" s="970"/>
      <c r="AE478" s="970"/>
      <c r="AF478" s="249"/>
      <c r="AG478" s="249"/>
      <c r="AH478" s="249"/>
      <c r="AI478" s="249"/>
      <c r="AJ478" s="249"/>
      <c r="AK478" s="249"/>
      <c r="AL478" s="1336"/>
      <c r="AM478" s="1336"/>
      <c r="AN478" s="1336"/>
      <c r="AO478" s="1336"/>
      <c r="AP478" s="1336"/>
      <c r="AQ478" s="1336"/>
      <c r="AR478" s="1336"/>
      <c r="AS478" s="1336"/>
    </row>
    <row r="479" spans="1:45" x14ac:dyDescent="0.25">
      <c r="A479" s="2371">
        <v>6</v>
      </c>
      <c r="B479" s="2383" t="s">
        <v>596</v>
      </c>
      <c r="C479" s="2374"/>
      <c r="D479" s="2374"/>
      <c r="E479" s="2374"/>
      <c r="F479" s="2374"/>
      <c r="G479" s="2373" t="s">
        <v>3974</v>
      </c>
      <c r="H479" s="2371" t="s">
        <v>3972</v>
      </c>
      <c r="I479" s="130"/>
      <c r="J479" s="129"/>
      <c r="K479" s="95"/>
      <c r="L479" s="1782"/>
      <c r="M479" s="1010"/>
      <c r="N479" s="1044"/>
      <c r="O479" s="1044"/>
      <c r="P479" s="94"/>
      <c r="Q479" s="94"/>
      <c r="R479" s="94"/>
      <c r="S479" s="94"/>
      <c r="T479" s="94"/>
      <c r="U479" s="94"/>
      <c r="V479" s="94"/>
      <c r="W479" s="94"/>
      <c r="X479" s="911"/>
      <c r="Y479"/>
      <c r="AA479" s="1526"/>
      <c r="AC479" s="970"/>
      <c r="AD479" s="970"/>
      <c r="AE479" s="970"/>
      <c r="AF479" s="249"/>
      <c r="AG479" s="249"/>
      <c r="AH479" s="249"/>
      <c r="AI479" s="249"/>
      <c r="AJ479" s="249"/>
      <c r="AK479" s="249"/>
      <c r="AL479" s="1336"/>
      <c r="AM479" s="1336"/>
      <c r="AN479" s="1336"/>
      <c r="AO479" s="1336"/>
      <c r="AP479" s="1336"/>
      <c r="AQ479" s="1336"/>
      <c r="AR479" s="1336"/>
      <c r="AS479" s="1336"/>
    </row>
    <row r="480" spans="1:45" x14ac:dyDescent="0.25">
      <c r="A480" s="2371">
        <v>6</v>
      </c>
      <c r="B480" s="2383" t="s">
        <v>596</v>
      </c>
      <c r="C480" s="2374"/>
      <c r="D480" s="2374"/>
      <c r="E480" s="2374"/>
      <c r="F480" s="2374"/>
      <c r="G480" s="2373" t="s">
        <v>3974</v>
      </c>
      <c r="H480" s="2371" t="s">
        <v>3972</v>
      </c>
      <c r="I480" s="130"/>
      <c r="J480" s="129"/>
      <c r="K480" s="95"/>
      <c r="L480" s="1782"/>
      <c r="M480" s="1010"/>
      <c r="N480" s="1044"/>
      <c r="O480" s="1044"/>
      <c r="P480" s="94"/>
      <c r="Q480" s="94"/>
      <c r="R480" s="94"/>
      <c r="S480" s="94"/>
      <c r="T480" s="94"/>
      <c r="U480" s="94"/>
      <c r="V480" s="94"/>
      <c r="W480" s="94"/>
      <c r="X480" s="911"/>
      <c r="Y480"/>
      <c r="AA480" s="1526"/>
      <c r="AC480" s="970"/>
      <c r="AD480" s="970"/>
      <c r="AE480" s="970"/>
      <c r="AF480" s="249"/>
      <c r="AG480" s="249"/>
      <c r="AH480" s="249"/>
      <c r="AI480" s="249"/>
      <c r="AJ480" s="249"/>
      <c r="AK480" s="249"/>
      <c r="AL480" s="1336"/>
      <c r="AM480" s="1336"/>
      <c r="AN480" s="1336"/>
      <c r="AO480" s="1336"/>
      <c r="AP480" s="1336"/>
      <c r="AQ480" s="1336"/>
      <c r="AR480" s="1336"/>
      <c r="AS480" s="1336"/>
    </row>
    <row r="481" spans="1:45" x14ac:dyDescent="0.25">
      <c r="A481" s="2371">
        <v>6</v>
      </c>
      <c r="B481" s="2383" t="s">
        <v>596</v>
      </c>
      <c r="C481" s="2374"/>
      <c r="D481" s="2374"/>
      <c r="E481" s="2374"/>
      <c r="F481" s="2374"/>
      <c r="G481" s="2373" t="s">
        <v>3974</v>
      </c>
      <c r="H481" s="2371" t="s">
        <v>3972</v>
      </c>
      <c r="I481" s="130"/>
      <c r="J481" s="129"/>
      <c r="K481" s="95"/>
      <c r="L481" s="1782"/>
      <c r="M481" s="1010"/>
      <c r="N481" s="1044"/>
      <c r="O481" s="1044"/>
      <c r="P481" s="94"/>
      <c r="Q481" s="94"/>
      <c r="R481" s="94"/>
      <c r="S481" s="94"/>
      <c r="T481" s="94"/>
      <c r="U481" s="94"/>
      <c r="V481" s="94"/>
      <c r="W481" s="94"/>
      <c r="X481" s="911"/>
      <c r="Y481"/>
      <c r="AA481" s="1526"/>
      <c r="AC481" s="970"/>
      <c r="AD481" s="970"/>
      <c r="AE481" s="970"/>
      <c r="AF481" s="249"/>
      <c r="AG481" s="249"/>
      <c r="AH481" s="249"/>
      <c r="AI481" s="249"/>
      <c r="AJ481" s="249"/>
      <c r="AK481" s="249"/>
      <c r="AL481" s="1336"/>
      <c r="AM481" s="1336"/>
      <c r="AN481" s="1336"/>
      <c r="AO481" s="1336"/>
      <c r="AP481" s="1336"/>
      <c r="AQ481" s="1336"/>
      <c r="AR481" s="1336"/>
      <c r="AS481" s="1336"/>
    </row>
    <row r="482" spans="1:45" x14ac:dyDescent="0.25">
      <c r="A482" s="2371">
        <v>6</v>
      </c>
      <c r="B482" s="2383" t="s">
        <v>596</v>
      </c>
      <c r="C482" s="2374"/>
      <c r="D482" s="2374"/>
      <c r="E482" s="2374"/>
      <c r="F482" s="2374"/>
      <c r="G482" s="2373" t="s">
        <v>3974</v>
      </c>
      <c r="H482" s="2371" t="s">
        <v>3972</v>
      </c>
      <c r="I482" s="130"/>
      <c r="J482" s="129"/>
      <c r="K482" s="95"/>
      <c r="L482" s="1782"/>
      <c r="M482" s="1010"/>
      <c r="N482" s="1044"/>
      <c r="O482" s="1044"/>
      <c r="P482" s="94"/>
      <c r="Q482" s="94"/>
      <c r="R482" s="94"/>
      <c r="S482" s="94"/>
      <c r="T482" s="94"/>
      <c r="U482" s="94"/>
      <c r="V482" s="94"/>
      <c r="W482" s="94"/>
      <c r="X482" s="911"/>
      <c r="Y482"/>
      <c r="AA482" s="1526"/>
      <c r="AC482" s="970"/>
      <c r="AD482" s="970"/>
      <c r="AE482" s="970"/>
      <c r="AF482" s="249"/>
      <c r="AG482" s="249"/>
      <c r="AH482" s="249"/>
      <c r="AI482" s="249"/>
      <c r="AJ482" s="249"/>
      <c r="AK482" s="249"/>
      <c r="AL482" s="1336"/>
      <c r="AM482" s="1336"/>
      <c r="AN482" s="1336"/>
      <c r="AO482" s="1336"/>
      <c r="AP482" s="1336"/>
      <c r="AQ482" s="1336"/>
      <c r="AR482" s="1336"/>
      <c r="AS482" s="1336"/>
    </row>
    <row r="483" spans="1:45" x14ac:dyDescent="0.25">
      <c r="A483" s="2371">
        <v>6</v>
      </c>
      <c r="B483" s="2383" t="s">
        <v>596</v>
      </c>
      <c r="C483" s="2374" t="s">
        <v>256</v>
      </c>
      <c r="D483" s="2374"/>
      <c r="E483" s="2374"/>
      <c r="F483" s="2374"/>
      <c r="G483" s="2373" t="s">
        <v>3974</v>
      </c>
      <c r="H483" s="2371" t="s">
        <v>3972</v>
      </c>
      <c r="I483" s="64"/>
      <c r="J483" s="183" t="s">
        <v>256</v>
      </c>
      <c r="K483" s="95"/>
      <c r="L483" s="1162" t="s">
        <v>598</v>
      </c>
      <c r="M483" s="1837" t="str">
        <f>IF(R483,"Mandatory","N/A")</f>
        <v>Mandatory</v>
      </c>
      <c r="N483" s="1042"/>
      <c r="O483" s="1042"/>
      <c r="P483" s="249" t="b">
        <v>1</v>
      </c>
      <c r="Q483" s="249" t="b">
        <v>0</v>
      </c>
      <c r="R483" s="249" t="b">
        <f>S483</f>
        <v>1</v>
      </c>
      <c r="S483" s="249" t="b">
        <v>1</v>
      </c>
      <c r="T483" s="249" t="b">
        <v>0</v>
      </c>
      <c r="U483" s="94"/>
      <c r="V483" s="249"/>
      <c r="W483" s="25"/>
      <c r="X483" s="1757"/>
      <c r="Y483" s="2081" t="str">
        <f>IF(LEN('Ch6'!X165)=0,"None",'Ch6'!X165)</f>
        <v>None</v>
      </c>
      <c r="Z483" s="2083"/>
      <c r="AA483" s="1526"/>
      <c r="AC483" s="970" t="b">
        <f>OR(AD483:AE483)</f>
        <v>1</v>
      </c>
      <c r="AD483" s="970" t="b">
        <v>0</v>
      </c>
      <c r="AE483" s="970" t="b">
        <f>AND(R483,NOT(W483))</f>
        <v>1</v>
      </c>
      <c r="AF483" s="784" t="b">
        <f>AND(AE483,NOT(Q483))</f>
        <v>1</v>
      </c>
      <c r="AG483" s="249"/>
      <c r="AH483" s="249"/>
      <c r="AI483" s="249"/>
      <c r="AJ483" s="249"/>
      <c r="AK483" s="249"/>
      <c r="AL483" s="254" t="str">
        <f>SUBSTITUTE(SUBSTITUTE(SUBSTITUTE("vpa"&amp;$B483&amp;$C483&amp;$D483&amp;$E483,".","_"),"(","_"),")","")</f>
        <v>vpa602_1_9_1</v>
      </c>
      <c r="AM483" s="254" t="str">
        <f>M483</f>
        <v>Mandatory</v>
      </c>
      <c r="AN483" s="1336"/>
      <c r="AO483" s="1336"/>
      <c r="AP483" s="1336" t="str">
        <f>SUBSTITUTE(SUBSTITUTE(SUBSTITUTE("vch"&amp;$B483&amp;$C483&amp;$D483&amp;$E483,".","_"),"(","_"),")","")</f>
        <v>vch602_1_9_1</v>
      </c>
      <c r="AQ483" s="254" t="str">
        <f>IF(LEN(W483)=0,"",W483)</f>
        <v/>
      </c>
      <c r="AR483" s="1336" t="str">
        <f>SUBSTITUTE(SUBSTITUTE(SUBSTITUTE("vnt"&amp;$B483&amp;$C483&amp;$D483&amp;$E483,".","_"),"(","_"),")","")</f>
        <v>vnt602_1_9_1</v>
      </c>
      <c r="AS483" s="254" t="str">
        <f>IF(LEN(X483)=0,"",X483)</f>
        <v/>
      </c>
    </row>
    <row r="484" spans="1:45" x14ac:dyDescent="0.25">
      <c r="A484" s="2371">
        <v>6</v>
      </c>
      <c r="B484" s="2383" t="s">
        <v>596</v>
      </c>
      <c r="C484" s="2374" t="s">
        <v>256</v>
      </c>
      <c r="D484" s="2374" t="s">
        <v>121</v>
      </c>
      <c r="E484" s="2374"/>
      <c r="F484" s="2374"/>
      <c r="G484" s="2373" t="s">
        <v>3974</v>
      </c>
      <c r="H484" s="2375" t="s">
        <v>3972</v>
      </c>
      <c r="I484" s="64"/>
      <c r="J484" s="129"/>
      <c r="K484" s="91" t="s">
        <v>121</v>
      </c>
      <c r="L484" s="1162" t="s">
        <v>599</v>
      </c>
      <c r="M484" s="1837"/>
      <c r="N484" s="1042"/>
      <c r="O484" s="1042"/>
      <c r="P484" s="249"/>
      <c r="Q484" s="249"/>
      <c r="R484" s="249"/>
      <c r="S484" s="249"/>
      <c r="T484" s="249"/>
      <c r="U484" s="249"/>
      <c r="V484" s="249"/>
      <c r="W484" s="249"/>
      <c r="X484" s="1757"/>
      <c r="Y484" s="2081"/>
      <c r="Z484" s="2083"/>
      <c r="AA484" s="1526"/>
      <c r="AC484" s="970"/>
      <c r="AD484" s="970"/>
      <c r="AE484" s="970"/>
      <c r="AF484" s="249"/>
      <c r="AG484" s="249"/>
      <c r="AH484" s="249"/>
      <c r="AI484" s="249"/>
      <c r="AJ484" s="249"/>
      <c r="AK484" s="249"/>
      <c r="AL484" s="1336"/>
      <c r="AM484" s="1336"/>
      <c r="AN484" s="1336"/>
      <c r="AO484" s="1336"/>
      <c r="AP484" s="1336"/>
      <c r="AQ484" s="1336"/>
      <c r="AR484" s="1336"/>
      <c r="AS484" s="1336"/>
    </row>
    <row r="485" spans="1:45" x14ac:dyDescent="0.25">
      <c r="A485" s="2371">
        <v>6</v>
      </c>
      <c r="B485" s="2383" t="s">
        <v>596</v>
      </c>
      <c r="C485" s="2374" t="s">
        <v>256</v>
      </c>
      <c r="D485" s="2374" t="s">
        <v>122</v>
      </c>
      <c r="E485" s="2374"/>
      <c r="F485" s="2374"/>
      <c r="G485" s="2373" t="s">
        <v>3974</v>
      </c>
      <c r="H485" s="2375" t="s">
        <v>3972</v>
      </c>
      <c r="I485" s="64"/>
      <c r="J485" s="129"/>
      <c r="K485" s="91" t="s">
        <v>122</v>
      </c>
      <c r="L485" s="1162" t="s">
        <v>600</v>
      </c>
      <c r="M485" s="1837"/>
      <c r="N485" s="1042"/>
      <c r="O485" s="1042"/>
      <c r="P485" s="249"/>
      <c r="Q485" s="249"/>
      <c r="R485" s="249"/>
      <c r="S485" s="249"/>
      <c r="T485" s="249"/>
      <c r="U485" s="249"/>
      <c r="V485" s="249"/>
      <c r="W485" s="249"/>
      <c r="X485" s="1757"/>
      <c r="Y485" s="2081"/>
      <c r="Z485" s="2083"/>
      <c r="AA485" s="1526"/>
      <c r="AC485" s="970"/>
      <c r="AD485" s="970"/>
      <c r="AE485" s="970"/>
      <c r="AF485" s="249"/>
      <c r="AG485" s="249"/>
      <c r="AH485" s="249"/>
      <c r="AI485" s="249"/>
      <c r="AJ485" s="249"/>
      <c r="AK485" s="249"/>
      <c r="AL485" s="1336"/>
      <c r="AM485" s="1336"/>
      <c r="AN485" s="1336"/>
      <c r="AO485" s="1336"/>
      <c r="AP485" s="1336"/>
      <c r="AQ485" s="1336"/>
      <c r="AR485" s="1336"/>
      <c r="AS485" s="1336"/>
    </row>
    <row r="486" spans="1:45" x14ac:dyDescent="0.25">
      <c r="A486" s="2371">
        <v>6</v>
      </c>
      <c r="B486" s="2383" t="s">
        <v>596</v>
      </c>
      <c r="C486" s="2374" t="s">
        <v>256</v>
      </c>
      <c r="D486" s="2376" t="s">
        <v>123</v>
      </c>
      <c r="E486" s="2374"/>
      <c r="F486" s="2376"/>
      <c r="G486" s="2373" t="s">
        <v>3974</v>
      </c>
      <c r="H486" s="2379" t="s">
        <v>3972</v>
      </c>
      <c r="I486" s="64"/>
      <c r="J486" s="129"/>
      <c r="K486" s="110" t="s">
        <v>123</v>
      </c>
      <c r="L486" s="1162" t="s">
        <v>601</v>
      </c>
      <c r="M486" s="1837"/>
      <c r="N486" s="1042"/>
      <c r="O486" s="1042"/>
      <c r="P486" s="249"/>
      <c r="Q486" s="249"/>
      <c r="R486" s="249"/>
      <c r="S486" s="249"/>
      <c r="T486" s="249"/>
      <c r="U486" s="249"/>
      <c r="V486" s="249"/>
      <c r="W486" s="249"/>
      <c r="X486" s="1757"/>
      <c r="Y486" s="2081"/>
      <c r="Z486" s="2083"/>
      <c r="AA486" s="1526"/>
      <c r="AC486" s="970"/>
      <c r="AD486" s="970"/>
      <c r="AE486" s="970"/>
      <c r="AF486" s="249"/>
      <c r="AG486" s="249"/>
      <c r="AH486" s="249"/>
      <c r="AI486" s="249"/>
      <c r="AJ486" s="249"/>
      <c r="AK486" s="249"/>
      <c r="AL486" s="1336"/>
      <c r="AM486" s="1336"/>
      <c r="AN486" s="1336"/>
      <c r="AO486" s="1336"/>
      <c r="AP486" s="1336"/>
      <c r="AQ486" s="1336"/>
      <c r="AR486" s="1336"/>
      <c r="AS486" s="1336"/>
    </row>
    <row r="487" spans="1:45" x14ac:dyDescent="0.25">
      <c r="A487" s="2371">
        <v>6</v>
      </c>
      <c r="B487" s="2383" t="s">
        <v>596</v>
      </c>
      <c r="C487" s="2374" t="s">
        <v>256</v>
      </c>
      <c r="D487" s="2374" t="s">
        <v>401</v>
      </c>
      <c r="E487" s="2374"/>
      <c r="F487" s="2374"/>
      <c r="G487" s="2373" t="s">
        <v>3974</v>
      </c>
      <c r="H487" s="2371" t="s">
        <v>3972</v>
      </c>
      <c r="I487" s="64"/>
      <c r="J487" s="129"/>
      <c r="K487" s="187" t="s">
        <v>401</v>
      </c>
      <c r="L487" s="1754" t="s">
        <v>602</v>
      </c>
      <c r="M487" s="1837"/>
      <c r="N487" s="1042"/>
      <c r="O487" s="1042"/>
      <c r="P487" s="249"/>
      <c r="Q487" s="249"/>
      <c r="R487" s="249"/>
      <c r="S487" s="249"/>
      <c r="T487" s="249"/>
      <c r="U487" s="249"/>
      <c r="V487" s="249"/>
      <c r="W487" s="249"/>
      <c r="X487" s="1757"/>
      <c r="Y487" s="2081"/>
      <c r="Z487" s="2083"/>
      <c r="AA487" s="1526"/>
      <c r="AC487" s="970"/>
      <c r="AD487" s="970"/>
      <c r="AE487" s="970"/>
      <c r="AF487" s="249"/>
      <c r="AG487" s="249"/>
      <c r="AH487" s="249"/>
      <c r="AI487" s="249"/>
      <c r="AJ487" s="249"/>
      <c r="AK487" s="249"/>
      <c r="AL487" s="1336"/>
      <c r="AM487" s="1336"/>
      <c r="AN487" s="1336"/>
      <c r="AO487" s="1336"/>
      <c r="AP487" s="1336"/>
      <c r="AQ487" s="1336"/>
      <c r="AR487" s="1336"/>
      <c r="AS487" s="1336"/>
    </row>
    <row r="488" spans="1:45" x14ac:dyDescent="0.25">
      <c r="A488" s="2371">
        <v>6</v>
      </c>
      <c r="B488" s="2383" t="s">
        <v>596</v>
      </c>
      <c r="C488" s="2374" t="s">
        <v>256</v>
      </c>
      <c r="D488" s="2374" t="s">
        <v>401</v>
      </c>
      <c r="E488" s="2374"/>
      <c r="F488" s="2374"/>
      <c r="G488" s="2373" t="s">
        <v>3974</v>
      </c>
      <c r="H488" s="2371" t="s">
        <v>3972</v>
      </c>
      <c r="I488" s="64"/>
      <c r="J488" s="129"/>
      <c r="K488" s="95"/>
      <c r="L488" s="1754"/>
      <c r="M488" s="1837"/>
      <c r="N488" s="1042"/>
      <c r="O488" s="1042"/>
      <c r="P488" s="249"/>
      <c r="Q488" s="249"/>
      <c r="R488" s="249"/>
      <c r="S488" s="249"/>
      <c r="T488" s="249"/>
      <c r="U488" s="249"/>
      <c r="V488" s="249"/>
      <c r="W488" s="249"/>
      <c r="X488" s="1757"/>
      <c r="Y488" s="2081"/>
      <c r="Z488" s="2083"/>
      <c r="AA488" s="1526"/>
      <c r="AC488" s="970"/>
      <c r="AD488" s="970"/>
      <c r="AE488" s="970"/>
      <c r="AF488" s="249"/>
      <c r="AG488" s="249"/>
      <c r="AH488" s="249"/>
      <c r="AI488" s="249"/>
      <c r="AJ488" s="249"/>
      <c r="AK488" s="249"/>
      <c r="AL488" s="1336"/>
      <c r="AM488" s="1336"/>
      <c r="AN488" s="1336"/>
      <c r="AO488" s="1336"/>
      <c r="AP488" s="1336"/>
      <c r="AQ488" s="1336"/>
      <c r="AR488" s="1336"/>
      <c r="AS488" s="1336"/>
    </row>
    <row r="489" spans="1:45" x14ac:dyDescent="0.25">
      <c r="A489" s="2371">
        <v>6</v>
      </c>
      <c r="B489" s="2383" t="s">
        <v>596</v>
      </c>
      <c r="C489" s="2374" t="s">
        <v>256</v>
      </c>
      <c r="D489" s="2374" t="s">
        <v>539</v>
      </c>
      <c r="E489" s="2374"/>
      <c r="F489" s="2374"/>
      <c r="G489" s="2373" t="s">
        <v>3974</v>
      </c>
      <c r="H489" s="2371" t="s">
        <v>3972</v>
      </c>
      <c r="I489" s="64"/>
      <c r="J489" s="129"/>
      <c r="K489" s="187" t="s">
        <v>539</v>
      </c>
      <c r="L489" s="1162" t="s">
        <v>603</v>
      </c>
      <c r="M489" s="1837"/>
      <c r="N489" s="1042"/>
      <c r="O489" s="1042"/>
      <c r="P489" s="249"/>
      <c r="Q489" s="249"/>
      <c r="R489" s="249"/>
      <c r="S489" s="249"/>
      <c r="T489" s="249"/>
      <c r="U489" s="249"/>
      <c r="V489" s="249"/>
      <c r="W489" s="249"/>
      <c r="X489" s="1757"/>
      <c r="Y489" s="2081"/>
      <c r="Z489" s="2083"/>
      <c r="AA489" s="1526"/>
      <c r="AC489" s="970"/>
      <c r="AD489" s="970"/>
      <c r="AE489" s="970"/>
      <c r="AF489" s="249"/>
      <c r="AG489" s="249"/>
      <c r="AH489" s="249"/>
      <c r="AI489" s="249"/>
      <c r="AJ489" s="249"/>
      <c r="AK489" s="249"/>
      <c r="AL489" s="1336"/>
      <c r="AM489" s="1336"/>
      <c r="AN489" s="1336"/>
      <c r="AO489" s="1336"/>
      <c r="AP489" s="1336"/>
      <c r="AQ489" s="1336"/>
      <c r="AR489" s="1336"/>
      <c r="AS489" s="1336"/>
    </row>
    <row r="490" spans="1:45" x14ac:dyDescent="0.25">
      <c r="A490" s="2371">
        <v>6</v>
      </c>
      <c r="B490" s="2383" t="s">
        <v>596</v>
      </c>
      <c r="C490" s="2374" t="s">
        <v>256</v>
      </c>
      <c r="D490" s="2376" t="s">
        <v>604</v>
      </c>
      <c r="E490" s="2374"/>
      <c r="F490" s="2376"/>
      <c r="G490" s="2373" t="s">
        <v>3974</v>
      </c>
      <c r="H490" s="2379" t="s">
        <v>3972</v>
      </c>
      <c r="I490" s="64"/>
      <c r="J490" s="129"/>
      <c r="K490" s="110" t="s">
        <v>604</v>
      </c>
      <c r="L490" s="1162" t="s">
        <v>605</v>
      </c>
      <c r="M490" s="1837"/>
      <c r="N490" s="1042"/>
      <c r="O490" s="1042"/>
      <c r="P490" s="249"/>
      <c r="Q490" s="249"/>
      <c r="R490" s="249"/>
      <c r="S490" s="249"/>
      <c r="T490" s="249"/>
      <c r="U490" s="249"/>
      <c r="V490" s="249"/>
      <c r="W490" s="249"/>
      <c r="X490" s="1757"/>
      <c r="Y490" s="2081"/>
      <c r="Z490" s="2083"/>
      <c r="AA490" s="1526"/>
      <c r="AC490" s="970"/>
      <c r="AD490" s="970"/>
      <c r="AE490" s="970"/>
      <c r="AF490" s="249"/>
      <c r="AG490" s="249"/>
      <c r="AH490" s="249"/>
      <c r="AI490" s="249"/>
      <c r="AJ490" s="249"/>
      <c r="AK490" s="249"/>
      <c r="AL490" s="1336"/>
      <c r="AM490" s="1336"/>
      <c r="AN490" s="1336"/>
      <c r="AO490" s="1336"/>
      <c r="AP490" s="1336"/>
      <c r="AQ490" s="1336"/>
      <c r="AR490" s="1336"/>
      <c r="AS490" s="1336"/>
    </row>
    <row r="491" spans="1:45" x14ac:dyDescent="0.25">
      <c r="A491" s="2371">
        <v>6</v>
      </c>
      <c r="B491" s="2383" t="s">
        <v>596</v>
      </c>
      <c r="C491" s="2374" t="s">
        <v>256</v>
      </c>
      <c r="D491" s="2374" t="s">
        <v>606</v>
      </c>
      <c r="E491" s="2374"/>
      <c r="F491" s="2374"/>
      <c r="G491" s="2373" t="s">
        <v>3974</v>
      </c>
      <c r="H491" s="2371" t="s">
        <v>3972</v>
      </c>
      <c r="I491" s="64"/>
      <c r="J491" s="129"/>
      <c r="K491" s="187" t="s">
        <v>606</v>
      </c>
      <c r="L491" s="1162" t="s">
        <v>607</v>
      </c>
      <c r="M491" s="1837"/>
      <c r="N491" s="1042"/>
      <c r="O491" s="1042"/>
      <c r="P491" s="249"/>
      <c r="Q491" s="249"/>
      <c r="R491" s="249"/>
      <c r="S491" s="249"/>
      <c r="T491" s="249"/>
      <c r="U491" s="249"/>
      <c r="V491" s="249"/>
      <c r="W491" s="249"/>
      <c r="X491" s="1757"/>
      <c r="Y491" s="2081"/>
      <c r="Z491" s="2083"/>
      <c r="AA491" s="1526"/>
      <c r="AC491" s="970"/>
      <c r="AD491" s="970"/>
      <c r="AE491" s="970"/>
      <c r="AF491" s="249"/>
      <c r="AG491" s="249"/>
      <c r="AH491" s="249"/>
      <c r="AI491" s="249"/>
      <c r="AJ491" s="249"/>
      <c r="AK491" s="249"/>
      <c r="AL491" s="1336"/>
      <c r="AM491" s="1336"/>
      <c r="AN491" s="1336"/>
      <c r="AO491" s="1336"/>
      <c r="AP491" s="1336"/>
      <c r="AQ491" s="1336"/>
      <c r="AR491" s="1336"/>
      <c r="AS491" s="1336"/>
    </row>
    <row r="492" spans="1:45" x14ac:dyDescent="0.25">
      <c r="A492" s="2371">
        <v>6</v>
      </c>
      <c r="B492" s="2383" t="s">
        <v>596</v>
      </c>
      <c r="C492" s="2374" t="s">
        <v>256</v>
      </c>
      <c r="D492" s="2374" t="s">
        <v>608</v>
      </c>
      <c r="E492" s="2374"/>
      <c r="F492" s="2374"/>
      <c r="G492" s="2373" t="s">
        <v>3974</v>
      </c>
      <c r="H492" s="2371" t="s">
        <v>3972</v>
      </c>
      <c r="I492" s="64"/>
      <c r="J492" s="210"/>
      <c r="K492" s="216" t="s">
        <v>608</v>
      </c>
      <c r="L492" s="1163" t="s">
        <v>609</v>
      </c>
      <c r="M492" s="1844"/>
      <c r="N492" s="1042"/>
      <c r="O492" s="1042"/>
      <c r="P492" s="249"/>
      <c r="Q492" s="249"/>
      <c r="R492" s="249"/>
      <c r="S492" s="249"/>
      <c r="T492" s="249"/>
      <c r="U492" s="249"/>
      <c r="V492" s="249"/>
      <c r="W492" s="249"/>
      <c r="X492" s="1757"/>
      <c r="Y492" s="2081"/>
      <c r="Z492" s="2083"/>
      <c r="AA492" s="1526"/>
      <c r="AC492" s="970"/>
      <c r="AD492" s="970"/>
      <c r="AE492" s="970"/>
      <c r="AF492" s="249"/>
      <c r="AG492" s="249"/>
      <c r="AH492" s="249"/>
      <c r="AI492" s="249"/>
      <c r="AJ492" s="249"/>
      <c r="AK492" s="249"/>
      <c r="AL492" s="1336"/>
      <c r="AM492" s="1336"/>
      <c r="AN492" s="1336"/>
      <c r="AO492" s="1336"/>
      <c r="AP492" s="1336"/>
      <c r="AQ492" s="1336"/>
      <c r="AR492" s="1336"/>
      <c r="AS492" s="1336"/>
    </row>
    <row r="493" spans="1:45" x14ac:dyDescent="0.25">
      <c r="A493" s="2371">
        <v>6</v>
      </c>
      <c r="B493" s="2383" t="s">
        <v>596</v>
      </c>
      <c r="C493" s="2374" t="s">
        <v>258</v>
      </c>
      <c r="D493" s="2383"/>
      <c r="E493" s="2374"/>
      <c r="F493" s="2383"/>
      <c r="G493" s="2373" t="str">
        <f>IF(N493&gt;0,"P","")</f>
        <v/>
      </c>
      <c r="H493" s="2386" t="s">
        <v>3972</v>
      </c>
      <c r="I493" s="64"/>
      <c r="J493" s="183" t="s">
        <v>258</v>
      </c>
      <c r="K493" s="95"/>
      <c r="L493" s="1754" t="s">
        <v>610</v>
      </c>
      <c r="M493" s="1758">
        <v>2</v>
      </c>
      <c r="N493" s="1927">
        <f>'Ch6'!O175</f>
        <v>0</v>
      </c>
      <c r="O493" s="1927">
        <f>M493*S493*W493</f>
        <v>0</v>
      </c>
      <c r="P493" s="249" t="b">
        <v>1</v>
      </c>
      <c r="Q493" s="249" t="b">
        <v>0</v>
      </c>
      <c r="R493" s="249" t="b">
        <v>0</v>
      </c>
      <c r="S493" s="249" t="b">
        <v>1</v>
      </c>
      <c r="T493" s="249" t="b">
        <v>0</v>
      </c>
      <c r="U493" s="249"/>
      <c r="V493" s="249"/>
      <c r="W493" s="25"/>
      <c r="X493" s="1757"/>
      <c r="Y493" s="2081" t="str">
        <f>IF(LEN('Ch6'!X175)=0,"None",'Ch6'!X175)</f>
        <v>None</v>
      </c>
      <c r="Z493" s="2083"/>
      <c r="AA493" s="1526"/>
      <c r="AC493" s="970"/>
      <c r="AD493" s="970"/>
      <c r="AE493" s="970"/>
      <c r="AF493" s="249"/>
      <c r="AG493" s="249"/>
      <c r="AH493" s="249"/>
      <c r="AI493" s="249"/>
      <c r="AJ493" s="249"/>
      <c r="AK493" s="249"/>
      <c r="AL493" s="254" t="str">
        <f>SUBSTITUTE(SUBSTITUTE(SUBSTITUTE("vpa"&amp;$B493&amp;$C493&amp;$D493&amp;$E493,".","_"),"(","_"),")","")</f>
        <v>vpa602_1_9_2</v>
      </c>
      <c r="AM493" s="254">
        <f>M493</f>
        <v>2</v>
      </c>
      <c r="AN493" s="254" t="str">
        <f>SUBSTITUTE(SUBSTITUTE(SUBSTITUTE("vpc"&amp;$B493&amp;$C493&amp;$D493&amp;$E493,".","_"),"(","_"),")","")</f>
        <v>vpc602_1_9_2</v>
      </c>
      <c r="AO493" s="254">
        <f>O493</f>
        <v>0</v>
      </c>
      <c r="AP493" s="1336" t="str">
        <f>SUBSTITUTE(SUBSTITUTE(SUBSTITUTE("vch"&amp;$B493&amp;$C493&amp;$D493&amp;$E493,".","_"),"(","_"),")","")</f>
        <v>vch602_1_9_2</v>
      </c>
      <c r="AQ493" s="254" t="str">
        <f>IF(LEN(W493)=0,"",W493)</f>
        <v/>
      </c>
      <c r="AR493" s="1336" t="str">
        <f>SUBSTITUTE(SUBSTITUTE(SUBSTITUTE("vnt"&amp;$B493&amp;$C493&amp;$D493&amp;$E493,".","_"),"(","_"),")","")</f>
        <v>vnt602_1_9_2</v>
      </c>
      <c r="AS493" s="254" t="str">
        <f>IF(LEN(X493)=0,"",X493)</f>
        <v/>
      </c>
    </row>
    <row r="494" spans="1:45" x14ac:dyDescent="0.25">
      <c r="A494" s="2371">
        <v>6</v>
      </c>
      <c r="B494" s="2383" t="s">
        <v>596</v>
      </c>
      <c r="C494" s="2374" t="s">
        <v>258</v>
      </c>
      <c r="D494" s="2383"/>
      <c r="E494" s="2374"/>
      <c r="F494" s="2383"/>
      <c r="G494" s="2373" t="str">
        <f>G493</f>
        <v/>
      </c>
      <c r="H494" s="2386" t="s">
        <v>3972</v>
      </c>
      <c r="I494" s="64"/>
      <c r="J494" s="129"/>
      <c r="K494" s="95"/>
      <c r="L494" s="1754"/>
      <c r="M494" s="1758"/>
      <c r="N494" s="1927"/>
      <c r="O494" s="1927"/>
      <c r="P494" s="249"/>
      <c r="Q494" s="249"/>
      <c r="R494" s="249"/>
      <c r="S494" s="249"/>
      <c r="T494" s="249"/>
      <c r="U494" s="249"/>
      <c r="V494" s="249"/>
      <c r="W494" s="249"/>
      <c r="X494" s="1757"/>
      <c r="Y494" s="2081"/>
      <c r="Z494" s="2083"/>
      <c r="AA494" s="1526"/>
      <c r="AC494" s="970"/>
      <c r="AD494" s="970"/>
      <c r="AE494" s="970"/>
      <c r="AF494" s="249"/>
      <c r="AG494" s="249"/>
      <c r="AH494" s="249"/>
      <c r="AI494" s="249"/>
      <c r="AJ494" s="249"/>
      <c r="AK494" s="249"/>
      <c r="AL494" s="1336"/>
      <c r="AM494" s="1336"/>
      <c r="AN494" s="1336"/>
      <c r="AO494" s="1336"/>
      <c r="AP494" s="1336"/>
      <c r="AQ494" s="1336"/>
      <c r="AR494" s="1336"/>
      <c r="AS494" s="1336"/>
    </row>
    <row r="495" spans="1:45" x14ac:dyDescent="0.25">
      <c r="A495" s="2371">
        <v>6</v>
      </c>
      <c r="B495" s="2383" t="s">
        <v>596</v>
      </c>
      <c r="C495" s="2374" t="s">
        <v>258</v>
      </c>
      <c r="D495" s="2383"/>
      <c r="E495" s="2374"/>
      <c r="F495" s="2383"/>
      <c r="G495" s="2373" t="str">
        <f>G494</f>
        <v/>
      </c>
      <c r="H495" s="2386" t="s">
        <v>3972</v>
      </c>
      <c r="I495" s="64"/>
      <c r="J495" s="210"/>
      <c r="K495" s="175"/>
      <c r="L495" s="1755"/>
      <c r="M495" s="1759"/>
      <c r="N495" s="2076"/>
      <c r="O495" s="2076"/>
      <c r="P495" s="249"/>
      <c r="Q495" s="249"/>
      <c r="R495" s="249"/>
      <c r="S495" s="249"/>
      <c r="T495" s="249"/>
      <c r="U495" s="249"/>
      <c r="V495" s="249"/>
      <c r="W495" s="249"/>
      <c r="X495" s="1757"/>
      <c r="Y495" s="2081"/>
      <c r="Z495" s="2083"/>
      <c r="AA495" s="1526"/>
      <c r="AC495" s="970"/>
      <c r="AD495" s="970"/>
      <c r="AE495" s="970"/>
      <c r="AF495" s="249"/>
      <c r="AG495" s="249"/>
      <c r="AH495" s="249"/>
      <c r="AI495" s="249"/>
      <c r="AJ495" s="249"/>
      <c r="AK495" s="249"/>
      <c r="AL495" s="1336"/>
      <c r="AM495" s="1336"/>
      <c r="AN495" s="1336"/>
      <c r="AO495" s="1336"/>
      <c r="AP495" s="1336"/>
      <c r="AQ495" s="1336"/>
      <c r="AR495" s="1336"/>
      <c r="AS495" s="1336"/>
    </row>
    <row r="496" spans="1:45" x14ac:dyDescent="0.25">
      <c r="A496" s="2371">
        <v>6</v>
      </c>
      <c r="B496" s="2383" t="s">
        <v>596</v>
      </c>
      <c r="C496" s="2374" t="s">
        <v>260</v>
      </c>
      <c r="D496" s="2383"/>
      <c r="E496" s="2374"/>
      <c r="F496" s="2383"/>
      <c r="G496" s="2373" t="str">
        <f>IF(N496&gt;0,"P","")</f>
        <v/>
      </c>
      <c r="H496" s="2386" t="s">
        <v>3972</v>
      </c>
      <c r="I496" s="64"/>
      <c r="J496" s="207" t="s">
        <v>260</v>
      </c>
      <c r="K496" s="208"/>
      <c r="L496" s="280" t="s">
        <v>611</v>
      </c>
      <c r="M496" s="1036">
        <v>3</v>
      </c>
      <c r="N496" s="1049">
        <f>'Ch6'!O178</f>
        <v>0</v>
      </c>
      <c r="O496" s="1049">
        <f>M496*S496*W496</f>
        <v>0</v>
      </c>
      <c r="P496" s="249" t="b">
        <v>1</v>
      </c>
      <c r="Q496" s="249" t="b">
        <v>0</v>
      </c>
      <c r="R496" s="249" t="b">
        <v>0</v>
      </c>
      <c r="S496" s="249" t="b">
        <v>1</v>
      </c>
      <c r="T496" s="249" t="b">
        <v>0</v>
      </c>
      <c r="U496" s="249"/>
      <c r="V496" s="249"/>
      <c r="W496" s="25"/>
      <c r="X496" s="918"/>
      <c r="Y496" s="988" t="str">
        <f>IF(LEN('Ch6'!X178)=0,"None",'Ch6'!X178)</f>
        <v>None</v>
      </c>
      <c r="Z496" s="1587"/>
      <c r="AA496" s="1526"/>
      <c r="AC496" s="970"/>
      <c r="AD496" s="970"/>
      <c r="AE496" s="970"/>
      <c r="AF496" s="249"/>
      <c r="AG496" s="249"/>
      <c r="AH496" s="249"/>
      <c r="AI496" s="249"/>
      <c r="AJ496" s="249"/>
      <c r="AK496" s="249"/>
      <c r="AL496" s="254" t="str">
        <f>SUBSTITUTE(SUBSTITUTE(SUBSTITUTE("vpa"&amp;$B496&amp;$C496&amp;$D496&amp;$E496,".","_"),"(","_"),")","")</f>
        <v>vpa602_1_9_3</v>
      </c>
      <c r="AM496" s="254">
        <f>M496</f>
        <v>3</v>
      </c>
      <c r="AN496" s="254" t="str">
        <f>SUBSTITUTE(SUBSTITUTE(SUBSTITUTE("vpc"&amp;$B496&amp;$C496&amp;$D496&amp;$E496,".","_"),"(","_"),")","")</f>
        <v>vpc602_1_9_3</v>
      </c>
      <c r="AO496" s="254">
        <f>O496</f>
        <v>0</v>
      </c>
      <c r="AP496" s="1336" t="str">
        <f>SUBSTITUTE(SUBSTITUTE(SUBSTITUTE("vch"&amp;$B496&amp;$C496&amp;$D496&amp;$E496,".","_"),"(","_"),")","")</f>
        <v>vch602_1_9_3</v>
      </c>
      <c r="AQ496" s="254" t="str">
        <f>IF(LEN(W496)=0,"",W496)</f>
        <v/>
      </c>
      <c r="AR496" s="1336" t="str">
        <f>SUBSTITUTE(SUBSTITUTE(SUBSTITUTE("vnt"&amp;$B496&amp;$C496&amp;$D496&amp;$E496,".","_"),"(","_"),")","")</f>
        <v>vnt602_1_9_3</v>
      </c>
      <c r="AS496" s="254" t="str">
        <f>IF(LEN(X496)=0,"",X496)</f>
        <v/>
      </c>
    </row>
    <row r="497" spans="1:45" x14ac:dyDescent="0.25">
      <c r="A497" s="2371">
        <v>6</v>
      </c>
      <c r="B497" s="2383" t="s">
        <v>596</v>
      </c>
      <c r="C497" s="2374" t="s">
        <v>269</v>
      </c>
      <c r="D497" s="2383"/>
      <c r="E497" s="2374"/>
      <c r="F497" s="2383"/>
      <c r="G497" s="2373" t="str">
        <f>IF(N497&gt;0,"P","")</f>
        <v/>
      </c>
      <c r="H497" s="2386" t="s">
        <v>3972</v>
      </c>
      <c r="I497" s="64"/>
      <c r="J497" s="209" t="s">
        <v>269</v>
      </c>
      <c r="K497" s="194"/>
      <c r="L497" s="1778" t="s">
        <v>612</v>
      </c>
      <c r="M497" s="1762">
        <v>3</v>
      </c>
      <c r="N497" s="2079">
        <f>'Ch6'!O179</f>
        <v>0</v>
      </c>
      <c r="O497" s="2079">
        <f>M497*S497*W497</f>
        <v>0</v>
      </c>
      <c r="P497" s="249" t="b">
        <v>1</v>
      </c>
      <c r="Q497" s="249" t="b">
        <v>0</v>
      </c>
      <c r="R497" s="249" t="b">
        <v>0</v>
      </c>
      <c r="S497" s="249" t="b">
        <v>1</v>
      </c>
      <c r="T497" s="249" t="b">
        <v>0</v>
      </c>
      <c r="U497" s="249"/>
      <c r="V497" s="249"/>
      <c r="W497" s="25"/>
      <c r="X497" s="1757"/>
      <c r="Y497" s="2081" t="str">
        <f>IF(LEN('Ch6'!X179)=0,"None",'Ch6'!X179)</f>
        <v>None</v>
      </c>
      <c r="Z497" s="2083"/>
      <c r="AA497" s="1526"/>
      <c r="AC497" s="970"/>
      <c r="AD497" s="970"/>
      <c r="AE497" s="970"/>
      <c r="AF497" s="249"/>
      <c r="AG497" s="249"/>
      <c r="AH497" s="249"/>
      <c r="AI497" s="249"/>
      <c r="AJ497" s="249"/>
      <c r="AK497" s="249"/>
      <c r="AL497" s="254" t="str">
        <f>SUBSTITUTE(SUBSTITUTE(SUBSTITUTE("vpa"&amp;$B497&amp;$C497&amp;$D497&amp;$E497,".","_"),"(","_"),")","")</f>
        <v>vpa602_1_9_4</v>
      </c>
      <c r="AM497" s="254">
        <f>M497</f>
        <v>3</v>
      </c>
      <c r="AN497" s="254" t="str">
        <f>SUBSTITUTE(SUBSTITUTE(SUBSTITUTE("vpc"&amp;$B497&amp;$C497&amp;$D497&amp;$E497,".","_"),"(","_"),")","")</f>
        <v>vpc602_1_9_4</v>
      </c>
      <c r="AO497" s="254">
        <f>O497</f>
        <v>0</v>
      </c>
      <c r="AP497" s="1336" t="str">
        <f>SUBSTITUTE(SUBSTITUTE(SUBSTITUTE("vch"&amp;$B497&amp;$C497&amp;$D497&amp;$E497,".","_"),"(","_"),")","")</f>
        <v>vch602_1_9_4</v>
      </c>
      <c r="AQ497" s="254" t="str">
        <f>IF(LEN(W497)=0,"",W497)</f>
        <v/>
      </c>
      <c r="AR497" s="1336" t="str">
        <f>SUBSTITUTE(SUBSTITUTE(SUBSTITUTE("vnt"&amp;$B497&amp;$C497&amp;$D497&amp;$E497,".","_"),"(","_"),")","")</f>
        <v>vnt602_1_9_4</v>
      </c>
      <c r="AS497" s="254" t="str">
        <f>IF(LEN(X497)=0,"",X497)</f>
        <v/>
      </c>
    </row>
    <row r="498" spans="1:45" x14ac:dyDescent="0.25">
      <c r="A498" s="2371">
        <v>6</v>
      </c>
      <c r="B498" s="2383" t="s">
        <v>596</v>
      </c>
      <c r="C498" s="2374" t="s">
        <v>269</v>
      </c>
      <c r="D498" s="2383"/>
      <c r="E498" s="2374"/>
      <c r="F498" s="2383"/>
      <c r="G498" s="2373" t="str">
        <f>G497</f>
        <v/>
      </c>
      <c r="H498" s="2386" t="s">
        <v>3972</v>
      </c>
      <c r="I498" s="64"/>
      <c r="J498" s="129"/>
      <c r="K498" s="95"/>
      <c r="L498" s="1754"/>
      <c r="M498" s="1758"/>
      <c r="N498" s="1927"/>
      <c r="O498" s="1927"/>
      <c r="P498" s="249"/>
      <c r="Q498" s="249"/>
      <c r="R498" s="249"/>
      <c r="S498" s="249"/>
      <c r="T498" s="249"/>
      <c r="U498" s="249"/>
      <c r="V498" s="249"/>
      <c r="W498" s="249"/>
      <c r="X498" s="1757"/>
      <c r="Y498" s="2081"/>
      <c r="Z498" s="2083"/>
      <c r="AA498" s="1526"/>
      <c r="AC498" s="970"/>
      <c r="AD498" s="970"/>
      <c r="AE498" s="970"/>
      <c r="AF498" s="249"/>
      <c r="AG498" s="249"/>
      <c r="AH498" s="249"/>
      <c r="AI498" s="249"/>
      <c r="AJ498" s="249"/>
      <c r="AK498" s="249"/>
      <c r="AL498" s="1336"/>
      <c r="AM498" s="1336"/>
      <c r="AN498" s="1336"/>
      <c r="AO498" s="1336"/>
      <c r="AP498" s="1336"/>
      <c r="AQ498" s="1336"/>
      <c r="AR498" s="1336"/>
      <c r="AS498" s="1336"/>
    </row>
    <row r="499" spans="1:45" x14ac:dyDescent="0.25">
      <c r="A499" s="2371">
        <v>6</v>
      </c>
      <c r="B499" s="2383" t="s">
        <v>596</v>
      </c>
      <c r="C499" s="2374" t="s">
        <v>269</v>
      </c>
      <c r="D499" s="2383"/>
      <c r="E499" s="2374"/>
      <c r="F499" s="2383"/>
      <c r="G499" s="2373" t="str">
        <f>G498</f>
        <v/>
      </c>
      <c r="H499" s="2386" t="s">
        <v>3972</v>
      </c>
      <c r="I499" s="64"/>
      <c r="J499" s="129"/>
      <c r="K499" s="95"/>
      <c r="L499" s="1754"/>
      <c r="M499" s="1758"/>
      <c r="N499" s="1927"/>
      <c r="O499" s="1927"/>
      <c r="P499" s="249"/>
      <c r="Q499" s="249"/>
      <c r="R499" s="249"/>
      <c r="S499" s="249"/>
      <c r="T499" s="249"/>
      <c r="U499" s="249"/>
      <c r="V499" s="249"/>
      <c r="W499" s="249"/>
      <c r="X499" s="1757"/>
      <c r="Y499" s="2081"/>
      <c r="Z499" s="2083"/>
      <c r="AA499" s="1526"/>
      <c r="AC499" s="970"/>
      <c r="AD499" s="970"/>
      <c r="AE499" s="970"/>
      <c r="AF499" s="249"/>
      <c r="AG499" s="249"/>
      <c r="AH499" s="249"/>
      <c r="AI499" s="249"/>
      <c r="AJ499" s="249"/>
      <c r="AK499" s="249"/>
      <c r="AL499" s="1336"/>
      <c r="AM499" s="1336"/>
      <c r="AN499" s="1336"/>
      <c r="AO499" s="1336"/>
      <c r="AP499" s="1336"/>
      <c r="AQ499" s="1336"/>
      <c r="AR499" s="1336"/>
      <c r="AS499" s="1336"/>
    </row>
    <row r="500" spans="1:45" x14ac:dyDescent="0.25">
      <c r="A500" s="2371">
        <v>6</v>
      </c>
      <c r="B500" s="2383" t="s">
        <v>596</v>
      </c>
      <c r="C500" s="2374" t="s">
        <v>269</v>
      </c>
      <c r="D500" s="2383"/>
      <c r="E500" s="2374"/>
      <c r="F500" s="2383"/>
      <c r="G500" s="2373" t="str">
        <f>G499</f>
        <v/>
      </c>
      <c r="H500" s="2386" t="s">
        <v>3972</v>
      </c>
      <c r="I500" s="64"/>
      <c r="J500" s="210"/>
      <c r="K500" s="175"/>
      <c r="L500" s="1755"/>
      <c r="M500" s="1759"/>
      <c r="N500" s="2076"/>
      <c r="O500" s="2076"/>
      <c r="P500" s="249"/>
      <c r="Q500" s="249"/>
      <c r="R500" s="249"/>
      <c r="S500" s="249"/>
      <c r="T500" s="249"/>
      <c r="U500" s="249"/>
      <c r="V500" s="249"/>
      <c r="W500" s="249"/>
      <c r="X500" s="1757"/>
      <c r="Y500" s="2081"/>
      <c r="Z500" s="2083"/>
      <c r="AA500" s="1526"/>
      <c r="AC500" s="970"/>
      <c r="AD500" s="970"/>
      <c r="AE500" s="970"/>
      <c r="AF500" s="249"/>
      <c r="AG500" s="249"/>
      <c r="AH500" s="249"/>
      <c r="AI500" s="249"/>
      <c r="AJ500" s="249"/>
      <c r="AK500" s="249"/>
      <c r="AL500" s="1336"/>
      <c r="AM500" s="1336"/>
      <c r="AN500" s="1336"/>
      <c r="AO500" s="1336"/>
      <c r="AP500" s="1336"/>
      <c r="AQ500" s="1336"/>
      <c r="AR500" s="1336"/>
      <c r="AS500" s="1336"/>
    </row>
    <row r="501" spans="1:45" x14ac:dyDescent="0.25">
      <c r="A501" s="2371">
        <v>6</v>
      </c>
      <c r="B501" s="2383" t="s">
        <v>596</v>
      </c>
      <c r="C501" s="2374" t="s">
        <v>275</v>
      </c>
      <c r="D501" s="2383"/>
      <c r="E501" s="2374"/>
      <c r="F501" s="2383"/>
      <c r="G501" s="2373" t="str">
        <f ca="1">IF(N501&gt;0,"P","")</f>
        <v/>
      </c>
      <c r="H501" s="2386" t="s">
        <v>3972</v>
      </c>
      <c r="I501" s="64"/>
      <c r="J501" s="27" t="s">
        <v>275</v>
      </c>
      <c r="K501" s="83"/>
      <c r="L501" s="1170" t="s">
        <v>613</v>
      </c>
      <c r="M501" s="1014"/>
      <c r="N501" s="1042">
        <f ca="1">'Ch6'!O183</f>
        <v>0</v>
      </c>
      <c r="O501" s="1042">
        <f ca="1">IFERROR(INDEX({4,2},MATCH(W501,INDIRECT(U501),0)),0)</f>
        <v>0</v>
      </c>
      <c r="P501" s="249" t="b">
        <v>1</v>
      </c>
      <c r="Q501" s="249" t="b">
        <v>0</v>
      </c>
      <c r="R501" s="249" t="b">
        <v>0</v>
      </c>
      <c r="S501" s="249" t="b">
        <v>1</v>
      </c>
      <c r="T501" s="249" t="b">
        <v>0</v>
      </c>
      <c r="U501" s="94" t="str">
        <f>SUBSTITUTE(SUBSTITUTE(SUBSTITUTE("dd"&amp;B501&amp;C501&amp;D501&amp;E501&amp;F501,".","_"),"(","_"),")","")</f>
        <v>dd602_1_9_5</v>
      </c>
      <c r="V501" s="249"/>
      <c r="W501" s="12"/>
      <c r="X501" s="1757"/>
      <c r="Y501" s="2081" t="str">
        <f>IF(LEN('Ch6'!X183)=0,"None",'Ch6'!X183)</f>
        <v>None</v>
      </c>
      <c r="Z501" s="2083"/>
      <c r="AA501" s="1526"/>
      <c r="AC501" s="970"/>
      <c r="AD501" s="970"/>
      <c r="AE501" s="970"/>
      <c r="AF501" s="249"/>
      <c r="AG501" s="249"/>
      <c r="AH501" s="249"/>
      <c r="AI501" s="249"/>
      <c r="AJ501" s="249"/>
      <c r="AK501" s="249"/>
      <c r="AL501" s="1336"/>
      <c r="AM501" s="1336"/>
      <c r="AN501" s="254" t="str">
        <f>SUBSTITUTE(SUBSTITUTE(SUBSTITUTE("vpc"&amp;$B501&amp;$C501&amp;$D501&amp;$E501,".","_"),"(","_"),")","")</f>
        <v>vpc602_1_9_5</v>
      </c>
      <c r="AO501" s="254">
        <f ca="1">O501</f>
        <v>0</v>
      </c>
      <c r="AP501" s="1336" t="str">
        <f>SUBSTITUTE(SUBSTITUTE(SUBSTITUTE("vch"&amp;$B501&amp;$C501&amp;$D501&amp;$E501,".","_"),"(","_"),")","")</f>
        <v>vch602_1_9_5</v>
      </c>
      <c r="AQ501" s="254" t="str">
        <f>IF(LEN(W501)=0,"",W501)</f>
        <v/>
      </c>
      <c r="AR501" s="1336" t="str">
        <f>SUBSTITUTE(SUBSTITUTE(SUBSTITUTE("vnt"&amp;$B501&amp;$C501&amp;$D501&amp;$E501,".","_"),"(","_"),")","")</f>
        <v>vnt602_1_9_5</v>
      </c>
      <c r="AS501" s="254" t="str">
        <f>IF(LEN(X501)=0,"",X501)</f>
        <v/>
      </c>
    </row>
    <row r="502" spans="1:45" x14ac:dyDescent="0.25">
      <c r="A502" s="2371">
        <v>6</v>
      </c>
      <c r="B502" s="2383" t="s">
        <v>596</v>
      </c>
      <c r="C502" s="2374" t="s">
        <v>275</v>
      </c>
      <c r="D502" s="2374" t="s">
        <v>121</v>
      </c>
      <c r="E502" s="2374"/>
      <c r="F502" s="2374"/>
      <c r="G502" s="2373" t="str">
        <f ca="1">G501</f>
        <v/>
      </c>
      <c r="H502" s="2375" t="s">
        <v>3972</v>
      </c>
      <c r="I502" s="64"/>
      <c r="J502" s="4"/>
      <c r="K502" s="91" t="s">
        <v>121</v>
      </c>
      <c r="L502" s="1754" t="s">
        <v>614</v>
      </c>
      <c r="M502" s="1758">
        <v>4</v>
      </c>
      <c r="N502" s="1042"/>
      <c r="O502" s="1042"/>
      <c r="P502" s="249"/>
      <c r="Q502" s="249"/>
      <c r="R502" s="249"/>
      <c r="S502" s="249"/>
      <c r="T502" s="249"/>
      <c r="U502" s="249"/>
      <c r="V502" s="249"/>
      <c r="W502" s="249"/>
      <c r="X502" s="1757"/>
      <c r="Y502" s="2081"/>
      <c r="Z502" s="2083"/>
      <c r="AA502" s="1526"/>
      <c r="AC502" s="970"/>
      <c r="AD502" s="970"/>
      <c r="AE502" s="970"/>
      <c r="AF502" s="249"/>
      <c r="AG502" s="249"/>
      <c r="AH502" s="249"/>
      <c r="AI502" s="249"/>
      <c r="AJ502" s="249"/>
      <c r="AK502" s="249"/>
      <c r="AL502" s="254" t="str">
        <f>SUBSTITUTE(SUBSTITUTE(SUBSTITUTE("vpa"&amp;$B502&amp;$C502&amp;$D502&amp;$E502,".","_"),"(","_"),")","")</f>
        <v>vpa602_1_9_5_a</v>
      </c>
      <c r="AM502" s="254">
        <f>M502</f>
        <v>4</v>
      </c>
      <c r="AN502" s="1336"/>
      <c r="AO502" s="1336"/>
      <c r="AP502" s="1336"/>
      <c r="AQ502" s="1336"/>
      <c r="AR502" s="1336"/>
      <c r="AS502" s="1336"/>
    </row>
    <row r="503" spans="1:45" x14ac:dyDescent="0.25">
      <c r="A503" s="2371">
        <v>6</v>
      </c>
      <c r="B503" s="2383" t="s">
        <v>596</v>
      </c>
      <c r="C503" s="2374" t="s">
        <v>275</v>
      </c>
      <c r="D503" s="2374" t="s">
        <v>121</v>
      </c>
      <c r="E503" s="2374"/>
      <c r="F503" s="2374"/>
      <c r="G503" s="2373" t="str">
        <f ca="1">G502</f>
        <v/>
      </c>
      <c r="H503" s="2375" t="s">
        <v>3972</v>
      </c>
      <c r="I503" s="64"/>
      <c r="J503" s="4"/>
      <c r="K503" s="91"/>
      <c r="L503" s="1754"/>
      <c r="M503" s="1758"/>
      <c r="N503" s="1042"/>
      <c r="O503" s="1042"/>
      <c r="P503" s="249"/>
      <c r="Q503" s="249"/>
      <c r="R503" s="249"/>
      <c r="S503" s="249"/>
      <c r="T503" s="249"/>
      <c r="U503" s="249"/>
      <c r="V503" s="249"/>
      <c r="W503" s="249"/>
      <c r="X503" s="1757"/>
      <c r="Y503" s="2081"/>
      <c r="Z503" s="2083"/>
      <c r="AA503" s="1526"/>
      <c r="AC503" s="970"/>
      <c r="AD503" s="970"/>
      <c r="AE503" s="970"/>
      <c r="AF503" s="249"/>
      <c r="AG503" s="249"/>
      <c r="AH503" s="249"/>
      <c r="AI503" s="249"/>
      <c r="AJ503" s="249"/>
      <c r="AK503" s="249"/>
      <c r="AL503" s="1336"/>
      <c r="AM503" s="1336"/>
      <c r="AN503" s="1336"/>
      <c r="AO503" s="1336"/>
      <c r="AP503" s="1336"/>
      <c r="AQ503" s="1336"/>
      <c r="AR503" s="1336"/>
      <c r="AS503" s="1336"/>
    </row>
    <row r="504" spans="1:45" x14ac:dyDescent="0.25">
      <c r="A504" s="2371">
        <v>6</v>
      </c>
      <c r="B504" s="2383" t="s">
        <v>596</v>
      </c>
      <c r="C504" s="2374" t="s">
        <v>275</v>
      </c>
      <c r="D504" s="2374" t="s">
        <v>121</v>
      </c>
      <c r="E504" s="2374"/>
      <c r="F504" s="2374"/>
      <c r="G504" s="2373" t="str">
        <f ca="1">G503</f>
        <v/>
      </c>
      <c r="H504" s="2375" t="s">
        <v>3972</v>
      </c>
      <c r="I504" s="64"/>
      <c r="J504" s="4"/>
      <c r="K504" s="174"/>
      <c r="L504" s="1755"/>
      <c r="M504" s="1759"/>
      <c r="N504" s="1042"/>
      <c r="O504" s="1042"/>
      <c r="P504" s="249"/>
      <c r="Q504" s="249"/>
      <c r="R504" s="249"/>
      <c r="S504" s="249"/>
      <c r="T504" s="249"/>
      <c r="U504" s="249"/>
      <c r="V504" s="249"/>
      <c r="W504" s="249"/>
      <c r="X504" s="1757"/>
      <c r="Y504" s="2081"/>
      <c r="Z504" s="2083"/>
      <c r="AA504" s="1526"/>
      <c r="AC504" s="970"/>
      <c r="AD504" s="970"/>
      <c r="AE504" s="970"/>
      <c r="AF504" s="249"/>
      <c r="AG504" s="249"/>
      <c r="AH504" s="249"/>
      <c r="AI504" s="249"/>
      <c r="AJ504" s="249"/>
      <c r="AK504" s="249"/>
      <c r="AL504" s="1336"/>
      <c r="AM504" s="1336"/>
      <c r="AN504" s="1336"/>
      <c r="AO504" s="1336"/>
      <c r="AP504" s="1336"/>
      <c r="AQ504" s="1336"/>
      <c r="AR504" s="1336"/>
      <c r="AS504" s="1336"/>
    </row>
    <row r="505" spans="1:45" x14ac:dyDescent="0.25">
      <c r="A505" s="2371">
        <v>6</v>
      </c>
      <c r="B505" s="2383" t="s">
        <v>596</v>
      </c>
      <c r="C505" s="2374" t="s">
        <v>275</v>
      </c>
      <c r="D505" s="2374" t="s">
        <v>122</v>
      </c>
      <c r="E505" s="2374"/>
      <c r="F505" s="2374"/>
      <c r="G505" s="2373" t="str">
        <f ca="1">G504</f>
        <v/>
      </c>
      <c r="H505" s="2375" t="s">
        <v>3972</v>
      </c>
      <c r="I505" s="64"/>
      <c r="J505" s="129"/>
      <c r="K505" s="91" t="s">
        <v>122</v>
      </c>
      <c r="L505" s="1754" t="s">
        <v>615</v>
      </c>
      <c r="M505" s="1758">
        <v>2</v>
      </c>
      <c r="N505" s="1044"/>
      <c r="O505" s="1044"/>
      <c r="P505" s="249"/>
      <c r="Q505" s="249"/>
      <c r="R505" s="249"/>
      <c r="S505" s="249"/>
      <c r="T505" s="249"/>
      <c r="U505" s="249"/>
      <c r="V505" s="249"/>
      <c r="W505" s="249"/>
      <c r="X505" s="1757"/>
      <c r="Y505" s="2081"/>
      <c r="Z505" s="2083"/>
      <c r="AA505" s="1526"/>
      <c r="AC505" s="970"/>
      <c r="AD505" s="970"/>
      <c r="AE505" s="970"/>
      <c r="AF505" s="249"/>
      <c r="AG505" s="249"/>
      <c r="AH505" s="249"/>
      <c r="AI505" s="249"/>
      <c r="AJ505" s="249"/>
      <c r="AK505" s="249"/>
      <c r="AL505" s="254" t="str">
        <f>SUBSTITUTE(SUBSTITUTE(SUBSTITUTE("vpa"&amp;$B505&amp;$C505&amp;$D505&amp;$E505,".","_"),"(","_"),")","")</f>
        <v>vpa602_1_9_5_b</v>
      </c>
      <c r="AM505" s="254">
        <f>M505</f>
        <v>2</v>
      </c>
      <c r="AN505" s="1336"/>
      <c r="AO505" s="1336"/>
      <c r="AP505" s="1336"/>
      <c r="AQ505" s="1336"/>
      <c r="AR505" s="1336"/>
      <c r="AS505" s="1336"/>
    </row>
    <row r="506" spans="1:45" x14ac:dyDescent="0.25">
      <c r="A506" s="2371">
        <v>6</v>
      </c>
      <c r="B506" s="2383" t="s">
        <v>596</v>
      </c>
      <c r="C506" s="2374" t="s">
        <v>275</v>
      </c>
      <c r="D506" s="2374" t="s">
        <v>122</v>
      </c>
      <c r="E506" s="2374"/>
      <c r="F506" s="2374"/>
      <c r="G506" s="2373" t="str">
        <f ca="1">G505</f>
        <v/>
      </c>
      <c r="H506" s="2375" t="s">
        <v>3972</v>
      </c>
      <c r="I506" s="64"/>
      <c r="J506" s="210"/>
      <c r="K506" s="175"/>
      <c r="L506" s="1755"/>
      <c r="M506" s="1759"/>
      <c r="N506" s="1047"/>
      <c r="O506" s="1047"/>
      <c r="P506" s="249"/>
      <c r="Q506" s="249"/>
      <c r="R506" s="249"/>
      <c r="S506" s="249"/>
      <c r="T506" s="249"/>
      <c r="U506" s="249"/>
      <c r="V506" s="249"/>
      <c r="W506" s="249"/>
      <c r="X506" s="1757"/>
      <c r="Y506" s="2081"/>
      <c r="Z506" s="2083"/>
      <c r="AA506" s="1526"/>
      <c r="AC506" s="970"/>
      <c r="AD506" s="970"/>
      <c r="AE506" s="970"/>
      <c r="AF506" s="249"/>
      <c r="AG506" s="249"/>
      <c r="AH506" s="249"/>
      <c r="AI506" s="249"/>
      <c r="AJ506" s="249"/>
      <c r="AK506" s="249"/>
      <c r="AL506" s="1336"/>
      <c r="AM506" s="1336"/>
      <c r="AN506" s="1336"/>
      <c r="AO506" s="1336"/>
      <c r="AP506" s="1336"/>
      <c r="AQ506" s="1336"/>
      <c r="AR506" s="1336"/>
      <c r="AS506" s="1336"/>
    </row>
    <row r="507" spans="1:45" x14ac:dyDescent="0.25">
      <c r="A507" s="2371">
        <v>6</v>
      </c>
      <c r="B507" s="2383" t="s">
        <v>596</v>
      </c>
      <c r="C507" s="2374" t="s">
        <v>277</v>
      </c>
      <c r="D507" s="2383"/>
      <c r="E507" s="2374"/>
      <c r="F507" s="2383"/>
      <c r="G507" s="2373" t="str">
        <f>IF(N507&gt;0,"P","")</f>
        <v/>
      </c>
      <c r="H507" s="2386" t="s">
        <v>3972</v>
      </c>
      <c r="I507" s="64"/>
      <c r="J507" s="209" t="s">
        <v>277</v>
      </c>
      <c r="K507" s="194"/>
      <c r="L507" s="1778" t="s">
        <v>616</v>
      </c>
      <c r="M507" s="1762">
        <v>2</v>
      </c>
      <c r="N507" s="2079">
        <f>'Ch6'!O189</f>
        <v>0</v>
      </c>
      <c r="O507" s="2079">
        <f>M507*S507*W507</f>
        <v>0</v>
      </c>
      <c r="P507" s="249" t="b">
        <v>1</v>
      </c>
      <c r="Q507" s="249" t="b">
        <v>0</v>
      </c>
      <c r="R507" s="249" t="b">
        <v>0</v>
      </c>
      <c r="S507" s="249" t="b">
        <v>1</v>
      </c>
      <c r="T507" s="249" t="b">
        <v>0</v>
      </c>
      <c r="U507" s="249"/>
      <c r="V507" s="249"/>
      <c r="W507" s="25"/>
      <c r="X507" s="1757"/>
      <c r="Y507" s="2081" t="str">
        <f>IF(LEN('Ch6'!X189)=0,"None",'Ch6'!X189)</f>
        <v>None</v>
      </c>
      <c r="Z507" s="2083"/>
      <c r="AA507" s="1526"/>
      <c r="AC507" s="970"/>
      <c r="AD507" s="970"/>
      <c r="AE507" s="970"/>
      <c r="AF507" s="249"/>
      <c r="AG507" s="249"/>
      <c r="AH507" s="249"/>
      <c r="AI507" s="249"/>
      <c r="AJ507" s="249"/>
      <c r="AK507" s="249"/>
      <c r="AL507" s="254" t="str">
        <f>SUBSTITUTE(SUBSTITUTE(SUBSTITUTE("vpa"&amp;$B507&amp;$C507&amp;$D507&amp;$E507,".","_"),"(","_"),")","")</f>
        <v>vpa602_1_9_6</v>
      </c>
      <c r="AM507" s="254">
        <f>M507</f>
        <v>2</v>
      </c>
      <c r="AN507" s="254" t="str">
        <f>SUBSTITUTE(SUBSTITUTE(SUBSTITUTE("vpc"&amp;$B507&amp;$C507&amp;$D507&amp;$E507,".","_"),"(","_"),")","")</f>
        <v>vpc602_1_9_6</v>
      </c>
      <c r="AO507" s="254">
        <f>O507</f>
        <v>0</v>
      </c>
      <c r="AP507" s="1336" t="str">
        <f>SUBSTITUTE(SUBSTITUTE(SUBSTITUTE("vch"&amp;$B507&amp;$C507&amp;$D507&amp;$E507,".","_"),"(","_"),")","")</f>
        <v>vch602_1_9_6</v>
      </c>
      <c r="AQ507" s="254" t="str">
        <f>IF(LEN(W507)=0,"",W507)</f>
        <v/>
      </c>
      <c r="AR507" s="1336" t="str">
        <f>SUBSTITUTE(SUBSTITUTE(SUBSTITUTE("vnt"&amp;$B507&amp;$C507&amp;$D507&amp;$E507,".","_"),"(","_"),")","")</f>
        <v>vnt602_1_9_6</v>
      </c>
      <c r="AS507" s="254" t="str">
        <f>IF(LEN(X507)=0,"",X507)</f>
        <v/>
      </c>
    </row>
    <row r="508" spans="1:45" x14ac:dyDescent="0.25">
      <c r="A508" s="2371">
        <v>6</v>
      </c>
      <c r="B508" s="2383" t="s">
        <v>596</v>
      </c>
      <c r="C508" s="2374" t="s">
        <v>277</v>
      </c>
      <c r="D508" s="2383"/>
      <c r="E508" s="2374"/>
      <c r="F508" s="2383"/>
      <c r="G508" s="2373" t="str">
        <f>G507</f>
        <v/>
      </c>
      <c r="H508" s="2386" t="s">
        <v>3972</v>
      </c>
      <c r="I508" s="64"/>
      <c r="J508" s="210"/>
      <c r="K508" s="175"/>
      <c r="L508" s="1755"/>
      <c r="M508" s="1759"/>
      <c r="N508" s="2076"/>
      <c r="O508" s="2076"/>
      <c r="P508" s="249"/>
      <c r="Q508" s="249"/>
      <c r="R508" s="249"/>
      <c r="S508" s="249"/>
      <c r="T508" s="249"/>
      <c r="U508" s="249"/>
      <c r="V508" s="249"/>
      <c r="W508" s="249"/>
      <c r="X508" s="1757"/>
      <c r="Y508" s="2081"/>
      <c r="Z508" s="2083"/>
      <c r="AA508" s="1526"/>
      <c r="AC508" s="970"/>
      <c r="AD508" s="970"/>
      <c r="AE508" s="970"/>
      <c r="AF508" s="249"/>
      <c r="AG508" s="249"/>
      <c r="AH508" s="249"/>
      <c r="AI508" s="249"/>
      <c r="AJ508" s="249"/>
      <c r="AK508" s="249"/>
      <c r="AL508" s="1336"/>
      <c r="AM508" s="1336"/>
      <c r="AN508" s="1336"/>
      <c r="AO508" s="1336"/>
      <c r="AP508" s="1336"/>
      <c r="AQ508" s="1336"/>
      <c r="AR508" s="1336"/>
      <c r="AS508" s="1336"/>
    </row>
    <row r="509" spans="1:45" ht="15.75" thickBot="1" x14ac:dyDescent="0.3">
      <c r="A509" s="2371">
        <v>6</v>
      </c>
      <c r="B509" s="2383" t="s">
        <v>596</v>
      </c>
      <c r="C509" s="2374" t="s">
        <v>383</v>
      </c>
      <c r="D509" s="2387"/>
      <c r="E509" s="2374"/>
      <c r="F509" s="2387"/>
      <c r="G509" s="2373" t="str">
        <f>IF(N509&gt;0,"P","")</f>
        <v/>
      </c>
      <c r="H509" s="2386" t="s">
        <v>3972</v>
      </c>
      <c r="I509" s="64"/>
      <c r="J509" s="27" t="s">
        <v>383</v>
      </c>
      <c r="K509" s="83"/>
      <c r="L509" s="1170" t="s">
        <v>617</v>
      </c>
      <c r="M509" s="1014">
        <v>2</v>
      </c>
      <c r="N509" s="1042">
        <f>'Ch6'!O191</f>
        <v>0</v>
      </c>
      <c r="O509" s="1042">
        <f>M509*S509*W509</f>
        <v>0</v>
      </c>
      <c r="P509" s="249" t="b">
        <v>1</v>
      </c>
      <c r="Q509" s="249" t="b">
        <v>0</v>
      </c>
      <c r="R509" s="249" t="b">
        <v>0</v>
      </c>
      <c r="S509" s="249" t="b">
        <v>1</v>
      </c>
      <c r="T509" s="249" t="b">
        <v>0</v>
      </c>
      <c r="U509" s="249"/>
      <c r="V509" s="249"/>
      <c r="W509" s="25"/>
      <c r="X509" s="919"/>
      <c r="Y509" s="989" t="str">
        <f>IF(LEN('Ch6'!X191)=0,"None",'Ch6'!X191)</f>
        <v>None</v>
      </c>
      <c r="Z509" s="1595"/>
      <c r="AA509" s="1526"/>
      <c r="AC509" s="970"/>
      <c r="AD509" s="970"/>
      <c r="AE509" s="970"/>
      <c r="AF509" s="249"/>
      <c r="AG509" s="249"/>
      <c r="AH509" s="249"/>
      <c r="AI509" s="249"/>
      <c r="AJ509" s="249"/>
      <c r="AK509" s="249"/>
      <c r="AL509" s="254" t="str">
        <f>SUBSTITUTE(SUBSTITUTE(SUBSTITUTE("vpa"&amp;$B509&amp;$C509&amp;$D509&amp;$E509,".","_"),"(","_"),")","")</f>
        <v>vpa602_1_9_7</v>
      </c>
      <c r="AM509" s="254">
        <f>M509</f>
        <v>2</v>
      </c>
      <c r="AN509" s="254" t="str">
        <f>SUBSTITUTE(SUBSTITUTE(SUBSTITUTE("vpc"&amp;$B509&amp;$C509&amp;$D509&amp;$E509,".","_"),"(","_"),")","")</f>
        <v>vpc602_1_9_7</v>
      </c>
      <c r="AO509" s="254">
        <f>O509</f>
        <v>0</v>
      </c>
      <c r="AP509" s="1336" t="str">
        <f>SUBSTITUTE(SUBSTITUTE(SUBSTITUTE("vch"&amp;$B509&amp;$C509&amp;$D509&amp;$E509,".","_"),"(","_"),")","")</f>
        <v>vch602_1_9_7</v>
      </c>
      <c r="AQ509" s="254" t="str">
        <f>IF(LEN(W509)=0,"",W509)</f>
        <v/>
      </c>
      <c r="AR509" s="1336" t="str">
        <f>SUBSTITUTE(SUBSTITUTE(SUBSTITUTE("vnt"&amp;$B509&amp;$C509&amp;$D509&amp;$E509,".","_"),"(","_"),")","")</f>
        <v>vnt602_1_9_7</v>
      </c>
      <c r="AS509" s="254" t="str">
        <f>IF(LEN(X509)=0,"",X509)</f>
        <v/>
      </c>
    </row>
    <row r="510" spans="1:45" ht="15.75" customHeight="1" thickTop="1" x14ac:dyDescent="0.25">
      <c r="A510" s="2371">
        <v>6</v>
      </c>
      <c r="B510" s="2385" t="s">
        <v>618</v>
      </c>
      <c r="C510" s="2388"/>
      <c r="D510" s="2374"/>
      <c r="E510" s="2374"/>
      <c r="F510" s="2374"/>
      <c r="G510" s="2373" t="str">
        <f ca="1">IF(N510&gt;0,"P","")</f>
        <v/>
      </c>
      <c r="H510" s="2371" t="s">
        <v>3971</v>
      </c>
      <c r="I510" s="180" t="s">
        <v>619</v>
      </c>
      <c r="J510" s="181"/>
      <c r="K510" s="182"/>
      <c r="L510" s="1781" t="s">
        <v>5588</v>
      </c>
      <c r="M510" s="1866" t="s">
        <v>738</v>
      </c>
      <c r="N510" s="2080">
        <f ca="1">'Ch6'!O192</f>
        <v>0</v>
      </c>
      <c r="O510" s="2080">
        <f ca="1">IFERROR(INDEX({2,4,6},MATCH(W511,INDIRECT(U511),0)),0)</f>
        <v>0</v>
      </c>
      <c r="P510" s="105"/>
      <c r="Q510" s="105"/>
      <c r="R510" s="105"/>
      <c r="S510" s="105"/>
      <c r="T510" s="105"/>
      <c r="U510" s="105"/>
      <c r="V510" s="105"/>
      <c r="W510" s="105"/>
      <c r="X510" s="105"/>
      <c r="Y510"/>
      <c r="AA510" s="1551" t="str">
        <f>IF(LEN('Photo Review'!I509)&gt;0,'Photo Review'!I509,"")</f>
        <v/>
      </c>
      <c r="AC510" s="970"/>
      <c r="AD510" s="970"/>
      <c r="AE510" s="970"/>
      <c r="AF510" s="249"/>
      <c r="AG510" s="249"/>
      <c r="AH510" s="249"/>
      <c r="AI510" s="249"/>
      <c r="AJ510" s="249"/>
      <c r="AK510" s="249"/>
      <c r="AL510" s="254" t="str">
        <f>SUBSTITUTE(SUBSTITUTE(SUBSTITUTE("vpa"&amp;$B510&amp;$C510&amp;$D510&amp;$E510,".","_"),"(","_"),")","")</f>
        <v>vpa602_1_10</v>
      </c>
      <c r="AM510" s="254" t="str">
        <f>M510</f>
        <v>2 per exterior door
6 Max</v>
      </c>
      <c r="AN510" s="254" t="str">
        <f>SUBSTITUTE(SUBSTITUTE(SUBSTITUTE("vpc"&amp;$B510&amp;$C510&amp;$D510&amp;$E510,".","_"),"(","_"),")","")</f>
        <v>vpc602_1_10</v>
      </c>
      <c r="AO510" s="254">
        <f ca="1">O510</f>
        <v>0</v>
      </c>
      <c r="AP510" s="1336"/>
      <c r="AQ510" s="1336"/>
      <c r="AR510" s="1336"/>
      <c r="AS510" s="1336"/>
    </row>
    <row r="511" spans="1:45" x14ac:dyDescent="0.25">
      <c r="A511" s="2371">
        <v>6</v>
      </c>
      <c r="B511" s="2385" t="s">
        <v>618</v>
      </c>
      <c r="C511" s="2388"/>
      <c r="D511" s="2374"/>
      <c r="E511" s="2374"/>
      <c r="F511" s="2374"/>
      <c r="G511" s="2373" t="str">
        <f t="shared" ref="G511:G522" ca="1" si="31">G510</f>
        <v/>
      </c>
      <c r="H511" s="2371" t="s">
        <v>3971</v>
      </c>
      <c r="I511" s="130"/>
      <c r="J511" s="129"/>
      <c r="K511" s="95"/>
      <c r="L511" s="1782"/>
      <c r="M511" s="1867"/>
      <c r="N511" s="1927"/>
      <c r="O511" s="1927"/>
      <c r="P511" s="94" t="b">
        <v>1</v>
      </c>
      <c r="Q511" s="94" t="b">
        <v>1</v>
      </c>
      <c r="R511" s="94" t="b">
        <v>0</v>
      </c>
      <c r="S511" s="94" t="b">
        <v>1</v>
      </c>
      <c r="T511" s="94" t="b">
        <v>0</v>
      </c>
      <c r="U511" s="94" t="str">
        <f>SUBSTITUTE(SUBSTITUTE(SUBSTITUTE("dd"&amp;B511&amp;C511&amp;D511&amp;E511&amp;F511,".","_"),"(","_"),")","")</f>
        <v>dd602_1_10</v>
      </c>
      <c r="V511" s="94"/>
      <c r="W511" s="12"/>
      <c r="X511" s="1757"/>
      <c r="Y511" s="2081" t="str">
        <f>IF(LEN('Ch6'!X193)=0,"None",'Ch6'!X193)</f>
        <v>None</v>
      </c>
      <c r="Z511" s="2084"/>
      <c r="AA511" s="1526"/>
      <c r="AC511" s="970"/>
      <c r="AD511" s="970"/>
      <c r="AE511" s="970"/>
      <c r="AF511" s="249"/>
      <c r="AG511" s="249"/>
      <c r="AH511" s="249"/>
      <c r="AI511" s="249"/>
      <c r="AJ511" s="249"/>
      <c r="AK511" s="249"/>
      <c r="AL511" s="254"/>
      <c r="AM511" s="254"/>
      <c r="AN511" s="1336"/>
      <c r="AO511" s="1336"/>
      <c r="AP511" s="1336" t="str">
        <f>SUBSTITUTE(SUBSTITUTE(SUBSTITUTE("vch"&amp;$B511&amp;$C511&amp;$D511&amp;$E511,".","_"),"(","_"),")","")</f>
        <v>vch602_1_10</v>
      </c>
      <c r="AQ511" s="254" t="str">
        <f>IF(LEN(W511)=0,"",W511)</f>
        <v/>
      </c>
      <c r="AR511" s="1336" t="str">
        <f>SUBSTITUTE(SUBSTITUTE(SUBSTITUTE("vnt"&amp;$B511&amp;$C511&amp;$D511&amp;$E511,".","_"),"(","_"),")","")</f>
        <v>vnt602_1_10</v>
      </c>
      <c r="AS511" s="254" t="str">
        <f>IF(LEN(X511)=0,"",X511)</f>
        <v/>
      </c>
    </row>
    <row r="512" spans="1:45" x14ac:dyDescent="0.25">
      <c r="A512" s="2371">
        <v>6</v>
      </c>
      <c r="B512" s="2385" t="s">
        <v>618</v>
      </c>
      <c r="C512" s="2388"/>
      <c r="D512" s="2374"/>
      <c r="E512" s="2374"/>
      <c r="F512" s="2374"/>
      <c r="G512" s="2373" t="str">
        <f t="shared" ca="1" si="31"/>
        <v/>
      </c>
      <c r="H512" s="2371" t="s">
        <v>3971</v>
      </c>
      <c r="I512" s="130"/>
      <c r="J512" s="129"/>
      <c r="K512" s="95"/>
      <c r="L512" s="1782"/>
      <c r="M512" s="1867"/>
      <c r="N512" s="1927"/>
      <c r="O512" s="1927"/>
      <c r="P512" s="94"/>
      <c r="Q512" s="94"/>
      <c r="R512" s="94"/>
      <c r="S512" s="94"/>
      <c r="T512" s="94"/>
      <c r="U512" s="94"/>
      <c r="V512" s="94"/>
      <c r="W512" s="94"/>
      <c r="X512" s="1757"/>
      <c r="Y512" s="2081"/>
      <c r="Z512" s="2084"/>
      <c r="AA512" s="1526"/>
      <c r="AC512" s="970"/>
      <c r="AD512" s="970"/>
      <c r="AE512" s="970"/>
      <c r="AF512" s="249"/>
      <c r="AG512" s="249"/>
      <c r="AH512" s="249"/>
      <c r="AI512" s="249"/>
      <c r="AJ512" s="249"/>
      <c r="AK512" s="249"/>
      <c r="AL512" s="1336"/>
      <c r="AM512" s="1336"/>
      <c r="AN512" s="1336"/>
      <c r="AO512" s="1336"/>
      <c r="AP512" s="1336"/>
      <c r="AQ512" s="1336"/>
      <c r="AR512" s="1336"/>
      <c r="AS512" s="1336"/>
    </row>
    <row r="513" spans="1:45" x14ac:dyDescent="0.25">
      <c r="A513" s="2371">
        <v>6</v>
      </c>
      <c r="B513" s="2385" t="s">
        <v>618</v>
      </c>
      <c r="C513" s="2388"/>
      <c r="D513" s="2374"/>
      <c r="E513" s="2374"/>
      <c r="F513" s="2374"/>
      <c r="G513" s="2373" t="str">
        <f t="shared" ca="1" si="31"/>
        <v/>
      </c>
      <c r="H513" s="2371" t="s">
        <v>3971</v>
      </c>
      <c r="I513" s="130"/>
      <c r="J513" s="129"/>
      <c r="K513" s="95"/>
      <c r="L513" s="1782"/>
      <c r="M513" s="1867"/>
      <c r="N513" s="1927"/>
      <c r="O513" s="1927"/>
      <c r="P513" s="94"/>
      <c r="Q513" s="94"/>
      <c r="R513" s="94"/>
      <c r="S513" s="94"/>
      <c r="T513" s="94"/>
      <c r="U513" s="94"/>
      <c r="V513" s="94"/>
      <c r="W513" s="94"/>
      <c r="X513" s="1757"/>
      <c r="Y513" s="2081"/>
      <c r="Z513" s="2084"/>
      <c r="AA513" s="1526"/>
      <c r="AC513" s="970"/>
      <c r="AD513" s="970"/>
      <c r="AE513" s="970"/>
      <c r="AF513" s="249"/>
      <c r="AG513" s="249"/>
      <c r="AH513" s="249"/>
      <c r="AI513" s="249"/>
      <c r="AJ513" s="249"/>
      <c r="AK513" s="249"/>
      <c r="AL513" s="1336"/>
      <c r="AM513" s="1336"/>
      <c r="AN513" s="1336"/>
      <c r="AO513" s="1336"/>
      <c r="AP513" s="1336"/>
      <c r="AQ513" s="1336"/>
      <c r="AR513" s="1336"/>
      <c r="AS513" s="1336"/>
    </row>
    <row r="514" spans="1:45" x14ac:dyDescent="0.25">
      <c r="A514" s="2371">
        <v>6</v>
      </c>
      <c r="B514" s="2385" t="s">
        <v>618</v>
      </c>
      <c r="C514" s="2388"/>
      <c r="D514" s="2374"/>
      <c r="E514" s="2374"/>
      <c r="F514" s="2374"/>
      <c r="G514" s="2373" t="str">
        <f t="shared" ca="1" si="31"/>
        <v/>
      </c>
      <c r="H514" s="2371" t="s">
        <v>3971</v>
      </c>
      <c r="I514" s="130"/>
      <c r="J514" s="129"/>
      <c r="K514" s="95"/>
      <c r="L514" s="1782"/>
      <c r="M514" s="1867"/>
      <c r="N514" s="1927"/>
      <c r="O514" s="1927"/>
      <c r="P514" s="94"/>
      <c r="Q514" s="94"/>
      <c r="R514" s="94"/>
      <c r="S514" s="94"/>
      <c r="T514" s="94"/>
      <c r="U514" s="94"/>
      <c r="V514" s="94"/>
      <c r="W514" s="94"/>
      <c r="X514" s="1757"/>
      <c r="Y514" s="2081"/>
      <c r="Z514" s="2084"/>
      <c r="AA514" s="1526"/>
      <c r="AC514" s="970"/>
      <c r="AD514" s="970"/>
      <c r="AE514" s="970"/>
      <c r="AF514" s="249"/>
      <c r="AG514" s="249"/>
      <c r="AH514" s="249"/>
      <c r="AI514" s="249"/>
      <c r="AJ514" s="249"/>
      <c r="AK514" s="249"/>
      <c r="AL514" s="1336"/>
      <c r="AM514" s="1336"/>
      <c r="AN514" s="1336"/>
      <c r="AO514" s="1336"/>
      <c r="AP514" s="1336"/>
      <c r="AQ514" s="1336"/>
      <c r="AR514" s="1336"/>
      <c r="AS514" s="1336"/>
    </row>
    <row r="515" spans="1:45" x14ac:dyDescent="0.25">
      <c r="A515" s="2371">
        <v>6</v>
      </c>
      <c r="B515" s="2385" t="s">
        <v>618</v>
      </c>
      <c r="C515" s="2388"/>
      <c r="D515" s="2374"/>
      <c r="E515" s="2374"/>
      <c r="F515" s="2374"/>
      <c r="G515" s="2373" t="str">
        <f t="shared" ca="1" si="31"/>
        <v/>
      </c>
      <c r="H515" s="2371" t="s">
        <v>3971</v>
      </c>
      <c r="I515" s="130"/>
      <c r="J515" s="129"/>
      <c r="K515" s="95"/>
      <c r="L515" s="1782"/>
      <c r="M515" s="1867"/>
      <c r="N515" s="1927"/>
      <c r="O515" s="1927"/>
      <c r="P515" s="94"/>
      <c r="Q515" s="94"/>
      <c r="R515" s="94"/>
      <c r="S515" s="94"/>
      <c r="T515" s="94"/>
      <c r="U515" s="94"/>
      <c r="V515" s="94"/>
      <c r="W515" s="94"/>
      <c r="X515" s="1757"/>
      <c r="Y515" s="2081"/>
      <c r="Z515" s="2084"/>
      <c r="AA515" s="1526"/>
      <c r="AC515" s="970"/>
      <c r="AD515" s="970"/>
      <c r="AE515" s="970"/>
      <c r="AF515" s="249"/>
      <c r="AG515" s="249"/>
      <c r="AH515" s="249"/>
      <c r="AI515" s="249"/>
      <c r="AJ515" s="249"/>
      <c r="AK515" s="249"/>
      <c r="AL515" s="1336"/>
      <c r="AM515" s="1336"/>
      <c r="AN515" s="1336"/>
      <c r="AO515" s="1336"/>
      <c r="AP515" s="1336"/>
      <c r="AQ515" s="1336"/>
      <c r="AR515" s="1336"/>
      <c r="AS515" s="1336"/>
    </row>
    <row r="516" spans="1:45" x14ac:dyDescent="0.25">
      <c r="A516" s="2371">
        <v>6</v>
      </c>
      <c r="B516" s="2385" t="s">
        <v>618</v>
      </c>
      <c r="C516" s="2388"/>
      <c r="D516" s="2374"/>
      <c r="E516" s="2374"/>
      <c r="F516" s="2374"/>
      <c r="G516" s="2373" t="str">
        <f t="shared" ca="1" si="31"/>
        <v/>
      </c>
      <c r="H516" s="2371" t="s">
        <v>3971</v>
      </c>
      <c r="I516" s="130"/>
      <c r="J516" s="129"/>
      <c r="K516" s="95"/>
      <c r="L516" s="1176" t="str">
        <f>"This Project's Climate Zone: "&amp;BF334</f>
        <v>This Project's Climate Zone: !!</v>
      </c>
      <c r="M516" s="1867"/>
      <c r="N516" s="1927"/>
      <c r="O516" s="1927"/>
      <c r="P516" s="94"/>
      <c r="Q516" s="94"/>
      <c r="R516" s="94"/>
      <c r="S516" s="94"/>
      <c r="T516" s="94"/>
      <c r="U516" s="94"/>
      <c r="V516" s="94"/>
      <c r="W516" s="94"/>
      <c r="X516" s="1757"/>
      <c r="Y516" s="2081"/>
      <c r="Z516" s="2084"/>
      <c r="AA516" s="1526"/>
      <c r="AC516" s="970"/>
      <c r="AD516" s="970"/>
      <c r="AE516" s="970"/>
      <c r="AF516" s="249"/>
      <c r="AG516" s="249"/>
      <c r="AH516" s="249"/>
      <c r="AI516" s="249"/>
      <c r="AJ516" s="249"/>
      <c r="AK516" s="249"/>
      <c r="AL516" s="1336"/>
      <c r="AM516" s="1336"/>
      <c r="AN516" s="1336"/>
      <c r="AO516" s="1336"/>
      <c r="AP516" s="1336"/>
      <c r="AQ516" s="1336"/>
      <c r="AR516" s="1336"/>
      <c r="AS516" s="1336"/>
    </row>
    <row r="517" spans="1:45" x14ac:dyDescent="0.25">
      <c r="A517" s="2371">
        <v>6</v>
      </c>
      <c r="B517" s="2385" t="s">
        <v>618</v>
      </c>
      <c r="C517" s="2388"/>
      <c r="D517" s="2374" t="s">
        <v>121</v>
      </c>
      <c r="E517" s="2374"/>
      <c r="F517" s="2374"/>
      <c r="G517" s="2373" t="str">
        <f t="shared" ca="1" si="31"/>
        <v/>
      </c>
      <c r="H517" s="2375" t="s">
        <v>3971</v>
      </c>
      <c r="I517" s="130"/>
      <c r="J517" s="129"/>
      <c r="K517" s="91" t="s">
        <v>121</v>
      </c>
      <c r="L517" s="1162" t="s">
        <v>620</v>
      </c>
      <c r="M517" s="1867"/>
      <c r="N517" s="1927"/>
      <c r="O517" s="1927"/>
      <c r="P517" s="94"/>
      <c r="Q517" s="94"/>
      <c r="R517" s="94"/>
      <c r="S517" s="94"/>
      <c r="T517" s="94"/>
      <c r="U517" s="94"/>
      <c r="V517" s="94"/>
      <c r="W517" s="94"/>
      <c r="X517" s="1757"/>
      <c r="Y517" s="2081"/>
      <c r="Z517" s="2084"/>
      <c r="AA517" s="1526"/>
      <c r="AC517" s="970"/>
      <c r="AD517" s="970"/>
      <c r="AE517" s="970"/>
      <c r="AF517" s="249"/>
      <c r="AG517" s="249"/>
      <c r="AH517" s="249"/>
      <c r="AI517" s="249"/>
      <c r="AJ517" s="249"/>
      <c r="AK517" s="249"/>
      <c r="AL517" s="1336"/>
      <c r="AM517" s="1336"/>
      <c r="AN517" s="1336"/>
      <c r="AO517" s="1336"/>
      <c r="AP517" s="1336"/>
      <c r="AQ517" s="1336"/>
      <c r="AR517" s="1336"/>
      <c r="AS517" s="1336"/>
    </row>
    <row r="518" spans="1:45" x14ac:dyDescent="0.25">
      <c r="A518" s="2371">
        <v>6</v>
      </c>
      <c r="B518" s="2385" t="s">
        <v>618</v>
      </c>
      <c r="C518" s="2388"/>
      <c r="D518" s="2374" t="s">
        <v>122</v>
      </c>
      <c r="E518" s="2374"/>
      <c r="F518" s="2374"/>
      <c r="G518" s="2373" t="str">
        <f t="shared" ca="1" si="31"/>
        <v/>
      </c>
      <c r="H518" s="2375" t="s">
        <v>3971</v>
      </c>
      <c r="I518" s="130"/>
      <c r="J518" s="129"/>
      <c r="K518" s="91" t="s">
        <v>122</v>
      </c>
      <c r="L518" s="1162" t="s">
        <v>621</v>
      </c>
      <c r="M518" s="1867"/>
      <c r="N518" s="1927"/>
      <c r="O518" s="1927"/>
      <c r="P518" s="94"/>
      <c r="Q518" s="94"/>
      <c r="R518" s="94"/>
      <c r="S518" s="94"/>
      <c r="T518" s="94"/>
      <c r="U518" s="94"/>
      <c r="V518" s="94"/>
      <c r="W518" s="94"/>
      <c r="X518" s="1757"/>
      <c r="Y518" s="2081"/>
      <c r="Z518" s="2084"/>
      <c r="AA518" s="1526"/>
      <c r="AC518" s="970"/>
      <c r="AD518" s="970"/>
      <c r="AE518" s="970"/>
      <c r="AF518" s="249"/>
      <c r="AG518" s="249"/>
      <c r="AH518" s="249"/>
      <c r="AI518" s="249"/>
      <c r="AJ518" s="249"/>
      <c r="AK518" s="249"/>
      <c r="AL518" s="1336"/>
      <c r="AM518" s="1336"/>
      <c r="AN518" s="1336"/>
      <c r="AO518" s="1336"/>
      <c r="AP518" s="1336"/>
      <c r="AQ518" s="1336"/>
      <c r="AR518" s="1336"/>
      <c r="AS518" s="1336"/>
    </row>
    <row r="519" spans="1:45" x14ac:dyDescent="0.25">
      <c r="A519" s="2371">
        <v>6</v>
      </c>
      <c r="B519" s="2385" t="s">
        <v>618</v>
      </c>
      <c r="C519" s="2388"/>
      <c r="D519" s="2374" t="s">
        <v>123</v>
      </c>
      <c r="E519" s="2374"/>
      <c r="F519" s="2374"/>
      <c r="G519" s="2373" t="str">
        <f t="shared" ca="1" si="31"/>
        <v/>
      </c>
      <c r="H519" s="2375" t="s">
        <v>3971</v>
      </c>
      <c r="I519" s="130"/>
      <c r="J519" s="129"/>
      <c r="K519" s="110" t="s">
        <v>123</v>
      </c>
      <c r="L519" s="1162" t="s">
        <v>622</v>
      </c>
      <c r="M519" s="1867"/>
      <c r="N519" s="1927"/>
      <c r="O519" s="1927"/>
      <c r="P519" s="94"/>
      <c r="Q519" s="94"/>
      <c r="R519" s="94"/>
      <c r="S519" s="94"/>
      <c r="T519" s="94"/>
      <c r="U519" s="94"/>
      <c r="V519" s="94"/>
      <c r="W519" s="94"/>
      <c r="X519" s="1757"/>
      <c r="Y519" s="2081"/>
      <c r="Z519" s="2084"/>
      <c r="AA519" s="1526"/>
      <c r="AC519" s="970"/>
      <c r="AD519" s="970"/>
      <c r="AE519" s="970"/>
      <c r="AF519" s="249"/>
      <c r="AG519" s="249"/>
      <c r="AH519" s="249"/>
      <c r="AI519" s="249"/>
      <c r="AJ519" s="249"/>
      <c r="AK519" s="249"/>
      <c r="AL519" s="1336"/>
      <c r="AM519" s="1336"/>
      <c r="AN519" s="1336"/>
      <c r="AO519" s="1336"/>
      <c r="AP519" s="1336"/>
      <c r="AQ519" s="1336"/>
      <c r="AR519" s="1336"/>
      <c r="AS519" s="1336"/>
    </row>
    <row r="520" spans="1:45" x14ac:dyDescent="0.25">
      <c r="A520" s="2371">
        <v>6</v>
      </c>
      <c r="B520" s="2385" t="s">
        <v>618</v>
      </c>
      <c r="C520" s="2388"/>
      <c r="D520" s="2374" t="s">
        <v>401</v>
      </c>
      <c r="E520" s="2374"/>
      <c r="F520" s="2374"/>
      <c r="G520" s="2373" t="str">
        <f t="shared" ca="1" si="31"/>
        <v/>
      </c>
      <c r="H520" s="2375" t="s">
        <v>3971</v>
      </c>
      <c r="I520" s="130"/>
      <c r="J520" s="129"/>
      <c r="K520" s="187" t="s">
        <v>401</v>
      </c>
      <c r="L520" s="1162" t="s">
        <v>623</v>
      </c>
      <c r="M520" s="1867"/>
      <c r="N520" s="1927"/>
      <c r="O520" s="1927"/>
      <c r="P520" s="94"/>
      <c r="Q520" s="94"/>
      <c r="R520" s="94"/>
      <c r="S520" s="94"/>
      <c r="T520" s="94"/>
      <c r="U520" s="94"/>
      <c r="V520" s="94"/>
      <c r="W520" s="94"/>
      <c r="X520" s="1757"/>
      <c r="Y520" s="2081"/>
      <c r="Z520" s="2084"/>
      <c r="AA520" s="1526"/>
      <c r="AC520" s="970"/>
      <c r="AD520" s="970"/>
      <c r="AE520" s="970"/>
      <c r="AF520" s="249"/>
      <c r="AG520" s="249"/>
      <c r="AH520" s="249"/>
      <c r="AI520" s="249"/>
      <c r="AJ520" s="249"/>
      <c r="AK520" s="249"/>
      <c r="AL520" s="1336"/>
      <c r="AM520" s="1336"/>
      <c r="AN520" s="1336"/>
      <c r="AO520" s="1336"/>
      <c r="AP520" s="1336"/>
      <c r="AQ520" s="1336"/>
      <c r="AR520" s="1336"/>
      <c r="AS520" s="1336"/>
    </row>
    <row r="521" spans="1:45" x14ac:dyDescent="0.25">
      <c r="A521" s="2371">
        <v>6</v>
      </c>
      <c r="B521" s="2385" t="s">
        <v>618</v>
      </c>
      <c r="C521" s="2388"/>
      <c r="D521" s="2374"/>
      <c r="E521" s="2374"/>
      <c r="F521" s="2374"/>
      <c r="G521" s="2373" t="str">
        <f t="shared" ca="1" si="31"/>
        <v/>
      </c>
      <c r="H521" s="2375" t="s">
        <v>3971</v>
      </c>
      <c r="I521" s="130"/>
      <c r="J521" s="129"/>
      <c r="K521" s="187"/>
      <c r="L521" s="1855" t="s">
        <v>3051</v>
      </c>
      <c r="M521" s="1867"/>
      <c r="N521" s="1927"/>
      <c r="O521" s="1927"/>
      <c r="P521" s="94"/>
      <c r="Q521" s="94"/>
      <c r="R521" s="94"/>
      <c r="S521" s="94"/>
      <c r="T521" s="94"/>
      <c r="U521" s="94"/>
      <c r="V521" s="94"/>
      <c r="W521" s="94"/>
      <c r="X521" s="1757"/>
      <c r="Y521" s="2081"/>
      <c r="Z521" s="2084"/>
      <c r="AA521" s="1526"/>
      <c r="AC521" s="970"/>
      <c r="AD521" s="970"/>
      <c r="AE521" s="970"/>
      <c r="AF521" s="249"/>
      <c r="AG521" s="249"/>
      <c r="AH521" s="249"/>
      <c r="AI521" s="249"/>
      <c r="AJ521" s="249"/>
      <c r="AK521" s="249"/>
      <c r="AL521" s="1336"/>
      <c r="AM521" s="1336"/>
      <c r="AN521" s="1336"/>
      <c r="AO521" s="1336"/>
      <c r="AP521" s="1336"/>
      <c r="AQ521" s="1336"/>
      <c r="AR521" s="1336"/>
      <c r="AS521" s="1336"/>
    </row>
    <row r="522" spans="1:45" ht="15.75" thickBot="1" x14ac:dyDescent="0.3">
      <c r="A522" s="2371">
        <v>6</v>
      </c>
      <c r="B522" s="2385" t="s">
        <v>618</v>
      </c>
      <c r="C522" s="2388"/>
      <c r="D522" s="2374"/>
      <c r="E522" s="2374"/>
      <c r="F522" s="2374"/>
      <c r="G522" s="2373" t="str">
        <f t="shared" ca="1" si="31"/>
        <v/>
      </c>
      <c r="H522" s="2375" t="s">
        <v>3971</v>
      </c>
      <c r="I522" s="130"/>
      <c r="J522" s="129"/>
      <c r="K522" s="187"/>
      <c r="L522" s="1849"/>
      <c r="M522" s="1867"/>
      <c r="N522" s="1928"/>
      <c r="O522" s="1927"/>
      <c r="P522" s="94"/>
      <c r="Q522" s="94"/>
      <c r="R522" s="94"/>
      <c r="S522" s="94"/>
      <c r="T522" s="94"/>
      <c r="U522" s="94"/>
      <c r="V522" s="94"/>
      <c r="W522" s="112"/>
      <c r="X522" s="1798"/>
      <c r="Y522" s="2082"/>
      <c r="Z522" s="2086"/>
      <c r="AA522" s="1526"/>
      <c r="AC522" s="970"/>
      <c r="AD522" s="970"/>
      <c r="AE522" s="970"/>
      <c r="AF522" s="249"/>
      <c r="AG522" s="249"/>
      <c r="AH522" s="249"/>
      <c r="AI522" s="249"/>
      <c r="AJ522" s="249"/>
      <c r="AK522" s="249"/>
      <c r="AL522" s="1336"/>
      <c r="AM522" s="1336"/>
      <c r="AN522" s="1336"/>
      <c r="AO522" s="1336"/>
      <c r="AP522" s="1336"/>
      <c r="AQ522" s="1336"/>
      <c r="AR522" s="1336"/>
      <c r="AS522" s="1336"/>
    </row>
    <row r="523" spans="1:45" ht="15.75" thickTop="1" x14ac:dyDescent="0.25">
      <c r="A523" s="2371">
        <v>6</v>
      </c>
      <c r="B523" s="2385" t="s">
        <v>624</v>
      </c>
      <c r="C523" s="2388"/>
      <c r="D523" s="2374"/>
      <c r="E523" s="2374"/>
      <c r="F523" s="2374"/>
      <c r="G523" s="2373" t="s">
        <v>3974</v>
      </c>
      <c r="H523" s="2371" t="s">
        <v>3971</v>
      </c>
      <c r="I523" s="180" t="s">
        <v>625</v>
      </c>
      <c r="J523" s="181"/>
      <c r="K523" s="182"/>
      <c r="L523" s="1781" t="s">
        <v>626</v>
      </c>
      <c r="M523" s="1856" t="str">
        <f>IF(R523,"Mandatory","N/A")</f>
        <v>Mandatory</v>
      </c>
      <c r="N523" s="1046"/>
      <c r="O523" s="1046"/>
      <c r="P523" s="105" t="b">
        <v>1</v>
      </c>
      <c r="Q523" s="105" t="b">
        <v>1</v>
      </c>
      <c r="R523" s="105" t="b">
        <f>S523</f>
        <v>1</v>
      </c>
      <c r="S523" s="105" t="b">
        <v>1</v>
      </c>
      <c r="T523" s="105" t="b">
        <v>0</v>
      </c>
      <c r="U523" s="105" t="str">
        <f>SUBSTITUTE(SUBSTITUTE(SUBSTITUTE("dd"&amp;B523&amp;C523&amp;D523&amp;E523&amp;F523,".","_"),"(","_"),")","")</f>
        <v>dd602_1_11</v>
      </c>
      <c r="V523" s="105"/>
      <c r="W523" s="12"/>
      <c r="X523" s="1784"/>
      <c r="Y523" s="2097" t="str">
        <f>IF(LEN('Ch6'!X205)=0,"None",'Ch6'!X205)</f>
        <v>None</v>
      </c>
      <c r="Z523" s="2085"/>
      <c r="AA523" s="1526"/>
      <c r="AC523" s="970" t="b">
        <f>OR(AD523:AE523)</f>
        <v>1</v>
      </c>
      <c r="AD523" s="970" t="b">
        <v>0</v>
      </c>
      <c r="AE523" s="970" t="b">
        <f>AND(R523,NOT(W523="Met"),NOT(W523="N/A"))</f>
        <v>1</v>
      </c>
      <c r="AF523" s="784"/>
      <c r="AG523" s="249"/>
      <c r="AH523" s="249"/>
      <c r="AI523" s="249"/>
      <c r="AJ523" s="249"/>
      <c r="AK523" s="249"/>
      <c r="AL523" s="254" t="str">
        <f>SUBSTITUTE(SUBSTITUTE(SUBSTITUTE("vpa"&amp;$B523&amp;$C523&amp;$D523&amp;$E523,".","_"),"(","_"),")","")</f>
        <v>vpa602_1_11</v>
      </c>
      <c r="AM523" s="254" t="str">
        <f>M523</f>
        <v>Mandatory</v>
      </c>
      <c r="AN523" s="1336"/>
      <c r="AO523" s="1336"/>
      <c r="AP523" s="1336" t="str">
        <f>SUBSTITUTE(SUBSTITUTE(SUBSTITUTE("vch"&amp;$B523&amp;$C523&amp;$D523&amp;$E523,".","_"),"(","_"),")","")</f>
        <v>vch602_1_11</v>
      </c>
      <c r="AQ523" s="254" t="str">
        <f>IF(LEN(W523)=0,"",W523)</f>
        <v/>
      </c>
      <c r="AR523" s="1336" t="str">
        <f>SUBSTITUTE(SUBSTITUTE(SUBSTITUTE("vnt"&amp;$B523&amp;$C523&amp;$D523&amp;$E523,".","_"),"(","_"),")","")</f>
        <v>vnt602_1_11</v>
      </c>
      <c r="AS523" s="254" t="str">
        <f>IF(LEN(X523)=0,"",X523)</f>
        <v/>
      </c>
    </row>
    <row r="524" spans="1:45" ht="15.75" thickBot="1" x14ac:dyDescent="0.3">
      <c r="A524" s="2371">
        <v>6</v>
      </c>
      <c r="B524" s="2385" t="s">
        <v>624</v>
      </c>
      <c r="C524" s="2388"/>
      <c r="D524" s="2374"/>
      <c r="E524" s="2374"/>
      <c r="F524" s="2374"/>
      <c r="G524" s="2373" t="s">
        <v>3974</v>
      </c>
      <c r="H524" s="2371" t="s">
        <v>3971</v>
      </c>
      <c r="I524" s="130"/>
      <c r="J524" s="129"/>
      <c r="K524" s="95"/>
      <c r="L524" s="1782"/>
      <c r="M524" s="1837"/>
      <c r="N524" s="1044"/>
      <c r="O524" s="1044"/>
      <c r="P524" s="94"/>
      <c r="Q524" s="94"/>
      <c r="R524" s="94"/>
      <c r="S524" s="94"/>
      <c r="T524" s="94"/>
      <c r="U524" s="94"/>
      <c r="V524" s="94"/>
      <c r="W524" s="256"/>
      <c r="X524" s="1798"/>
      <c r="Y524" s="2082"/>
      <c r="Z524" s="2086"/>
      <c r="AA524" s="1526"/>
      <c r="AC524" s="970"/>
      <c r="AD524" s="970"/>
      <c r="AE524" s="970"/>
      <c r="AF524" s="249"/>
      <c r="AG524" s="249"/>
      <c r="AH524" s="249"/>
      <c r="AI524" s="249"/>
      <c r="AJ524" s="249"/>
      <c r="AK524" s="249"/>
      <c r="AL524" s="1336"/>
      <c r="AM524" s="1336"/>
      <c r="AN524" s="1336"/>
      <c r="AO524" s="1336"/>
      <c r="AP524" s="1336"/>
      <c r="AQ524" s="1336"/>
      <c r="AR524" s="1336"/>
      <c r="AS524" s="1336"/>
    </row>
    <row r="525" spans="1:45" ht="15.75" thickTop="1" x14ac:dyDescent="0.25">
      <c r="A525" s="2371">
        <v>6</v>
      </c>
      <c r="B525" s="2385" t="s">
        <v>627</v>
      </c>
      <c r="C525" s="2388"/>
      <c r="D525" s="2374"/>
      <c r="E525" s="2374"/>
      <c r="F525" s="2374"/>
      <c r="G525" s="2373" t="str">
        <f ca="1">IF(N525&gt;0,"P","")</f>
        <v/>
      </c>
      <c r="H525" s="2371" t="s">
        <v>3972</v>
      </c>
      <c r="I525" s="180" t="s">
        <v>627</v>
      </c>
      <c r="J525" s="181"/>
      <c r="K525" s="182"/>
      <c r="L525" s="1781" t="s">
        <v>628</v>
      </c>
      <c r="M525" s="1772">
        <v>4</v>
      </c>
      <c r="N525" s="2080">
        <f ca="1">'Ch6'!O207</f>
        <v>0</v>
      </c>
      <c r="O525" s="2080">
        <f ca="1">M525*S525*hyptarg3</f>
        <v>0</v>
      </c>
      <c r="P525" s="249" t="b">
        <v>1</v>
      </c>
      <c r="Q525" s="249" t="b">
        <v>0</v>
      </c>
      <c r="R525" s="105" t="b">
        <v>0</v>
      </c>
      <c r="S525" s="105" t="b">
        <f ca="1">OR(W376="no stacked stories",W376=INDEX(INDIRECT(U376),1))</f>
        <v>1</v>
      </c>
      <c r="T525" s="105" t="b">
        <f ca="1">IF(AND(NOT(S525),W525=TRUE),TRUE,FALSE)</f>
        <v>0</v>
      </c>
      <c r="U525" s="105"/>
      <c r="V525" s="105"/>
      <c r="W525" s="25"/>
      <c r="X525" s="1784"/>
      <c r="Y525" s="2097" t="str">
        <f>IF(LEN('Ch6'!X207)=0,"None",'Ch6'!X207)</f>
        <v>None</v>
      </c>
      <c r="Z525" s="2085"/>
      <c r="AA525" s="1551" t="str">
        <f>IF(LEN('Photo Review'!I524)&gt;0,'Photo Review'!I524,"")</f>
        <v/>
      </c>
      <c r="AC525" s="970" t="b">
        <f ca="1">OR(AD525:AE525)</f>
        <v>0</v>
      </c>
      <c r="AD525" s="970" t="b">
        <f ca="1">T525</f>
        <v>0</v>
      </c>
      <c r="AE525" s="970"/>
      <c r="AF525" s="784"/>
      <c r="AG525" s="249"/>
      <c r="AH525" s="249"/>
      <c r="AI525" s="249"/>
      <c r="AJ525" s="249"/>
      <c r="AK525" s="249"/>
      <c r="AL525" s="254" t="str">
        <f>SUBSTITUTE(SUBSTITUTE(SUBSTITUTE("vpa"&amp;$B525&amp;$C525&amp;$D525&amp;$E525,".","_"),"(","_"),")","")</f>
        <v>vpa602_1_12</v>
      </c>
      <c r="AM525" s="254">
        <f>M525</f>
        <v>4</v>
      </c>
      <c r="AN525" s="254" t="str">
        <f>SUBSTITUTE(SUBSTITUTE(SUBSTITUTE("vpc"&amp;$B525&amp;$C525&amp;$D525&amp;$E525,".","_"),"(","_"),")","")</f>
        <v>vpc602_1_12</v>
      </c>
      <c r="AO525" s="254">
        <f ca="1">O525</f>
        <v>0</v>
      </c>
      <c r="AP525" s="1336" t="str">
        <f>SUBSTITUTE(SUBSTITUTE(SUBSTITUTE("vch"&amp;$B525&amp;$C525&amp;$D525&amp;$E525,".","_"),"(","_"),")","")</f>
        <v>vch602_1_12</v>
      </c>
      <c r="AQ525" s="254" t="str">
        <f>IF(LEN(W525)=0,"",W525)</f>
        <v/>
      </c>
      <c r="AR525" s="1336" t="str">
        <f>SUBSTITUTE(SUBSTITUTE(SUBSTITUTE("vnt"&amp;$B525&amp;$C525&amp;$D525&amp;$E525,".","_"),"(","_"),")","")</f>
        <v>vnt602_1_12</v>
      </c>
      <c r="AS525" s="254" t="str">
        <f>IF(LEN(X525)=0,"",X525)</f>
        <v/>
      </c>
    </row>
    <row r="526" spans="1:45" x14ac:dyDescent="0.25">
      <c r="A526" s="2371">
        <v>6</v>
      </c>
      <c r="B526" s="2385" t="s">
        <v>627</v>
      </c>
      <c r="C526" s="2388"/>
      <c r="D526" s="2374"/>
      <c r="E526" s="2374"/>
      <c r="F526" s="2374"/>
      <c r="G526" s="2373" t="str">
        <f ca="1">G525</f>
        <v/>
      </c>
      <c r="H526" s="2371" t="s">
        <v>3972</v>
      </c>
      <c r="I526" s="130"/>
      <c r="J526" s="129"/>
      <c r="K526" s="95"/>
      <c r="L526" s="1782"/>
      <c r="M526" s="1758"/>
      <c r="N526" s="1927"/>
      <c r="O526" s="1927"/>
      <c r="P526" s="94"/>
      <c r="Q526" s="94"/>
      <c r="R526" s="94"/>
      <c r="S526" s="94"/>
      <c r="T526" s="94"/>
      <c r="U526" s="94"/>
      <c r="V526" s="94"/>
      <c r="W526" s="94"/>
      <c r="X526" s="1757"/>
      <c r="Y526" s="2081"/>
      <c r="Z526" s="2084"/>
      <c r="AA526" s="1526"/>
      <c r="AC526" s="970"/>
      <c r="AD526" s="970"/>
      <c r="AE526" s="970"/>
      <c r="AF526" s="249"/>
      <c r="AG526" s="249"/>
      <c r="AH526" s="249"/>
      <c r="AI526" s="249"/>
      <c r="AJ526" s="249"/>
      <c r="AK526" s="249"/>
      <c r="AL526" s="1336"/>
      <c r="AM526" s="1336"/>
      <c r="AN526" s="1336"/>
      <c r="AO526" s="1336"/>
      <c r="AP526" s="1336"/>
      <c r="AQ526" s="1336"/>
      <c r="AR526" s="1336"/>
      <c r="AS526" s="1336"/>
    </row>
    <row r="527" spans="1:45" ht="15.75" thickBot="1" x14ac:dyDescent="0.3">
      <c r="A527" s="2371">
        <v>6</v>
      </c>
      <c r="B527" s="2385" t="s">
        <v>627</v>
      </c>
      <c r="C527" s="2388"/>
      <c r="D527" s="2374"/>
      <c r="E527" s="2374"/>
      <c r="F527" s="2374"/>
      <c r="G527" s="2373" t="str">
        <f ca="1">G526</f>
        <v/>
      </c>
      <c r="H527" s="2371" t="s">
        <v>3972</v>
      </c>
      <c r="I527" s="130"/>
      <c r="J527" s="129"/>
      <c r="K527" s="95"/>
      <c r="L527" s="1209" t="s">
        <v>3036</v>
      </c>
      <c r="M527" s="1758"/>
      <c r="N527" s="1928"/>
      <c r="O527" s="1927"/>
      <c r="P527" s="94"/>
      <c r="Q527" s="94"/>
      <c r="R527" s="94"/>
      <c r="S527" s="94"/>
      <c r="T527" s="94"/>
      <c r="U527" s="94"/>
      <c r="V527" s="94"/>
      <c r="W527" s="112"/>
      <c r="X527" s="1798"/>
      <c r="Y527" s="2082"/>
      <c r="Z527" s="2086"/>
      <c r="AA527" s="1526"/>
      <c r="AC527" s="970"/>
      <c r="AD527" s="970"/>
      <c r="AE527" s="970"/>
      <c r="AF527" s="249"/>
      <c r="AG527" s="249"/>
      <c r="AH527" s="249"/>
      <c r="AI527" s="249"/>
      <c r="AJ527" s="249"/>
      <c r="AK527" s="249"/>
      <c r="AL527" s="1336"/>
      <c r="AM527" s="1336"/>
      <c r="AN527" s="1336"/>
      <c r="AO527" s="1336"/>
      <c r="AP527" s="1336"/>
      <c r="AQ527" s="1336"/>
      <c r="AR527" s="1336"/>
      <c r="AS527" s="1336"/>
    </row>
    <row r="528" spans="1:45" ht="15.75" thickTop="1" x14ac:dyDescent="0.25">
      <c r="A528" s="2371">
        <v>6</v>
      </c>
      <c r="B528" s="2383" t="s">
        <v>629</v>
      </c>
      <c r="C528" s="2383"/>
      <c r="D528" s="2374"/>
      <c r="E528" s="2374"/>
      <c r="F528" s="2374"/>
      <c r="G528" s="2373" t="s">
        <v>3974</v>
      </c>
      <c r="H528" s="2371" t="s">
        <v>3972</v>
      </c>
      <c r="I528" s="180" t="s">
        <v>630</v>
      </c>
      <c r="J528" s="181"/>
      <c r="K528" s="182"/>
      <c r="L528" s="1781" t="s">
        <v>631</v>
      </c>
      <c r="M528" s="1856" t="str">
        <f>IF(R528,"Mandatory","N/A")</f>
        <v>Mandatory</v>
      </c>
      <c r="N528" s="1046"/>
      <c r="O528" s="1046"/>
      <c r="P528" s="105" t="b">
        <v>1</v>
      </c>
      <c r="Q528" s="105" t="b">
        <v>0</v>
      </c>
      <c r="R528" s="105" t="b">
        <f>S528</f>
        <v>1</v>
      </c>
      <c r="S528" s="105" t="b">
        <v>1</v>
      </c>
      <c r="T528" s="105" t="b">
        <v>0</v>
      </c>
      <c r="U528" s="105" t="str">
        <f>SUBSTITUTE(SUBSTITUTE(SUBSTITUTE("dd"&amp;B528&amp;C528&amp;D528&amp;E528&amp;F528,".","_"),"(","_"),")","")</f>
        <v>dd602_1_13</v>
      </c>
      <c r="V528" s="105"/>
      <c r="W528" s="12"/>
      <c r="X528" s="1784"/>
      <c r="Y528" s="2097" t="str">
        <f>IF(LEN('Ch6'!X210)=0,"None",'Ch6'!X210)</f>
        <v>None</v>
      </c>
      <c r="Z528" s="2085"/>
      <c r="AA528" s="1526"/>
      <c r="AC528" s="970" t="b">
        <f>OR(AD528:AE528)</f>
        <v>1</v>
      </c>
      <c r="AD528" s="970" t="b">
        <v>0</v>
      </c>
      <c r="AE528" s="970" t="b">
        <f>AND(R528,NOT(W528="Met"),NOT(W528="N/A"))</f>
        <v>1</v>
      </c>
      <c r="AF528" s="784" t="b">
        <f>AND(AE528,NOT(Q528))</f>
        <v>1</v>
      </c>
      <c r="AG528" s="249"/>
      <c r="AH528" s="249"/>
      <c r="AI528" s="249"/>
      <c r="AJ528" s="249"/>
      <c r="AK528" s="249"/>
      <c r="AL528" s="254" t="str">
        <f>SUBSTITUTE(SUBSTITUTE(SUBSTITUTE("vpa"&amp;$B528&amp;$C528&amp;$D528&amp;$E528,".","_"),"(","_"),")","")</f>
        <v>vpa602_1_13</v>
      </c>
      <c r="AM528" s="254" t="str">
        <f>M528</f>
        <v>Mandatory</v>
      </c>
      <c r="AN528" s="1336"/>
      <c r="AO528" s="1336"/>
      <c r="AP528" s="1336" t="str">
        <f>SUBSTITUTE(SUBSTITUTE(SUBSTITUTE("vch"&amp;$B528&amp;$C528&amp;$D528&amp;$E528,".","_"),"(","_"),")","")</f>
        <v>vch602_1_13</v>
      </c>
      <c r="AQ528" s="254" t="str">
        <f>IF(LEN(W528)=0,"",W528)</f>
        <v/>
      </c>
      <c r="AR528" s="1336" t="str">
        <f>SUBSTITUTE(SUBSTITUTE(SUBSTITUTE("vnt"&amp;$B528&amp;$C528&amp;$D528&amp;$E528,".","_"),"(","_"),")","")</f>
        <v>vnt602_1_13</v>
      </c>
      <c r="AS528" s="254" t="str">
        <f>IF(LEN(X528)=0,"",X528)</f>
        <v/>
      </c>
    </row>
    <row r="529" spans="1:46" x14ac:dyDescent="0.25">
      <c r="A529" s="2371">
        <v>6</v>
      </c>
      <c r="B529" s="2383" t="s">
        <v>629</v>
      </c>
      <c r="C529" s="2383"/>
      <c r="D529" s="2374"/>
      <c r="E529" s="2374"/>
      <c r="F529" s="2374"/>
      <c r="G529" s="2373" t="s">
        <v>3974</v>
      </c>
      <c r="H529" s="2371" t="s">
        <v>3972</v>
      </c>
      <c r="I529" s="130"/>
      <c r="J529" s="129"/>
      <c r="K529" s="95"/>
      <c r="L529" s="1782"/>
      <c r="M529" s="1837"/>
      <c r="N529" s="1044"/>
      <c r="O529" s="1044"/>
      <c r="P529" s="94"/>
      <c r="Q529" s="94"/>
      <c r="R529" s="94"/>
      <c r="S529" s="94"/>
      <c r="T529" s="94"/>
      <c r="U529" s="94"/>
      <c r="V529" s="94"/>
      <c r="W529" s="94"/>
      <c r="X529" s="1757"/>
      <c r="Y529" s="2081"/>
      <c r="Z529" s="2084"/>
      <c r="AA529" s="1526"/>
      <c r="AC529" s="970"/>
      <c r="AD529" s="970"/>
      <c r="AE529" s="970"/>
      <c r="AF529" s="249"/>
      <c r="AG529" s="249"/>
      <c r="AH529" s="249"/>
      <c r="AI529" s="249"/>
      <c r="AJ529" s="249"/>
      <c r="AK529" s="249"/>
      <c r="AL529" s="1336"/>
      <c r="AM529" s="1336"/>
      <c r="AN529" s="1336"/>
      <c r="AO529" s="1336"/>
      <c r="AP529" s="1336"/>
      <c r="AQ529" s="1336"/>
      <c r="AR529" s="1336"/>
      <c r="AS529" s="1336"/>
    </row>
    <row r="530" spans="1:46" x14ac:dyDescent="0.25">
      <c r="A530" s="2371">
        <v>6</v>
      </c>
      <c r="B530" s="2383" t="s">
        <v>629</v>
      </c>
      <c r="C530" s="2383"/>
      <c r="D530" s="2374"/>
      <c r="E530" s="2374"/>
      <c r="F530" s="2374"/>
      <c r="G530" s="2373" t="s">
        <v>3974</v>
      </c>
      <c r="H530" s="2371" t="s">
        <v>3972</v>
      </c>
      <c r="I530" s="130"/>
      <c r="J530" s="129"/>
      <c r="K530" s="95"/>
      <c r="L530" s="1782"/>
      <c r="M530" s="1837"/>
      <c r="N530" s="1044"/>
      <c r="O530" s="1044"/>
      <c r="P530" s="94"/>
      <c r="Q530" s="94"/>
      <c r="R530" s="94"/>
      <c r="S530" s="94"/>
      <c r="T530" s="94"/>
      <c r="U530" s="94"/>
      <c r="V530" s="94"/>
      <c r="W530" s="94"/>
      <c r="X530" s="1757"/>
      <c r="Y530" s="2081"/>
      <c r="Z530" s="2084"/>
      <c r="AA530" s="1526"/>
      <c r="AC530" s="970"/>
      <c r="AD530" s="970"/>
      <c r="AE530" s="970"/>
      <c r="AF530" s="249"/>
      <c r="AG530" s="249"/>
      <c r="AH530" s="249"/>
      <c r="AI530" s="249"/>
      <c r="AJ530" s="249"/>
      <c r="AK530" s="249"/>
      <c r="AL530" s="1336"/>
      <c r="AM530" s="1336"/>
      <c r="AN530" s="1336"/>
      <c r="AO530" s="1336"/>
      <c r="AP530" s="1336"/>
      <c r="AQ530" s="1336"/>
      <c r="AR530" s="1336"/>
      <c r="AS530" s="1336"/>
    </row>
    <row r="531" spans="1:46" ht="15.75" thickBot="1" x14ac:dyDescent="0.3">
      <c r="A531" s="2371">
        <v>6</v>
      </c>
      <c r="B531" s="2383" t="s">
        <v>629</v>
      </c>
      <c r="C531" s="2383"/>
      <c r="D531" s="2374"/>
      <c r="E531" s="2374"/>
      <c r="F531" s="2374"/>
      <c r="G531" s="2373" t="s">
        <v>3974</v>
      </c>
      <c r="H531" s="2371" t="s">
        <v>3972</v>
      </c>
      <c r="I531" s="130"/>
      <c r="J531" s="129"/>
      <c r="K531" s="95"/>
      <c r="L531" s="1782"/>
      <c r="M531" s="1837"/>
      <c r="N531" s="1044"/>
      <c r="O531" s="1044"/>
      <c r="P531" s="94"/>
      <c r="Q531" s="94"/>
      <c r="R531" s="94"/>
      <c r="S531" s="94"/>
      <c r="T531" s="94"/>
      <c r="U531" s="94"/>
      <c r="V531" s="94"/>
      <c r="W531" s="94"/>
      <c r="X531" s="1798"/>
      <c r="Y531" s="2082"/>
      <c r="Z531" s="2086"/>
      <c r="AA531" s="1526"/>
      <c r="AC531" s="970"/>
      <c r="AD531" s="970"/>
      <c r="AE531" s="970"/>
      <c r="AF531" s="249"/>
      <c r="AG531" s="249"/>
      <c r="AH531" s="249"/>
      <c r="AI531" s="249"/>
      <c r="AJ531" s="249"/>
      <c r="AK531" s="249"/>
      <c r="AL531" s="1336"/>
      <c r="AM531" s="1336"/>
      <c r="AN531" s="1336"/>
      <c r="AO531" s="1336"/>
      <c r="AP531" s="1336"/>
      <c r="AQ531" s="1336"/>
      <c r="AR531" s="1336"/>
      <c r="AS531" s="1336"/>
    </row>
    <row r="532" spans="1:46" ht="15.75" thickTop="1" x14ac:dyDescent="0.25">
      <c r="A532" s="2371">
        <v>6</v>
      </c>
      <c r="B532" s="2383" t="s">
        <v>632</v>
      </c>
      <c r="C532" s="2383"/>
      <c r="D532" s="2374"/>
      <c r="E532" s="2374"/>
      <c r="F532" s="2374"/>
      <c r="G532" s="2373" t="s">
        <v>3974</v>
      </c>
      <c r="H532" s="2371" t="s">
        <v>3971</v>
      </c>
      <c r="I532" s="180" t="s">
        <v>632</v>
      </c>
      <c r="J532" s="181"/>
      <c r="K532" s="182"/>
      <c r="L532" s="1781" t="s">
        <v>633</v>
      </c>
      <c r="M532" s="1009"/>
      <c r="N532" s="1046"/>
      <c r="O532" s="1046"/>
      <c r="P532" s="105"/>
      <c r="Q532" s="105"/>
      <c r="R532" s="105"/>
      <c r="S532" s="105"/>
      <c r="T532" s="105"/>
      <c r="U532" s="105"/>
      <c r="V532" s="105"/>
      <c r="W532" s="105"/>
      <c r="X532" s="105"/>
      <c r="Y532"/>
      <c r="AA532" s="1551" t="str">
        <f>IF(LEN('Photo Review'!I531)&gt;0,'Photo Review'!I531,"")</f>
        <v/>
      </c>
      <c r="AC532" s="970"/>
      <c r="AD532" s="970"/>
      <c r="AE532" s="970"/>
      <c r="AF532" s="249"/>
      <c r="AG532" s="249"/>
      <c r="AH532" s="249"/>
      <c r="AI532" s="249"/>
      <c r="AJ532" s="249"/>
      <c r="AK532" s="249"/>
      <c r="AL532" s="1336"/>
      <c r="AM532" s="1336"/>
      <c r="AN532" s="1336"/>
      <c r="AO532" s="1336"/>
      <c r="AP532" s="1336"/>
      <c r="AQ532" s="1336"/>
      <c r="AR532" s="1336"/>
      <c r="AS532" s="1336"/>
    </row>
    <row r="533" spans="1:46" x14ac:dyDescent="0.25">
      <c r="A533" s="2371">
        <v>6</v>
      </c>
      <c r="B533" s="2383" t="s">
        <v>632</v>
      </c>
      <c r="C533" s="2383"/>
      <c r="D533" s="2374"/>
      <c r="E533" s="2374"/>
      <c r="F533" s="2374"/>
      <c r="G533" s="2373" t="s">
        <v>3974</v>
      </c>
      <c r="H533" s="2371" t="s">
        <v>3971</v>
      </c>
      <c r="I533" s="130"/>
      <c r="J533" s="129"/>
      <c r="K533" s="95"/>
      <c r="L533" s="1782"/>
      <c r="M533" s="1010"/>
      <c r="N533" s="1044"/>
      <c r="O533" s="1044"/>
      <c r="P533" s="94"/>
      <c r="Q533" s="94"/>
      <c r="R533" s="94"/>
      <c r="S533" s="94"/>
      <c r="T533" s="94"/>
      <c r="U533" s="94"/>
      <c r="V533" s="94"/>
      <c r="W533" s="94"/>
      <c r="X533" s="911"/>
      <c r="Y533"/>
      <c r="AA533" s="1526"/>
      <c r="AC533" s="970"/>
      <c r="AD533" s="970"/>
      <c r="AE533" s="970"/>
      <c r="AF533" s="249"/>
      <c r="AG533" s="249"/>
      <c r="AH533" s="249"/>
      <c r="AI533" s="249"/>
      <c r="AJ533" s="249"/>
      <c r="AK533" s="249"/>
      <c r="AL533" s="1336"/>
      <c r="AM533" s="1336"/>
      <c r="AN533" s="1336"/>
      <c r="AO533" s="1336"/>
      <c r="AP533" s="1336"/>
      <c r="AQ533" s="1336"/>
      <c r="AR533" s="1336"/>
      <c r="AS533" s="1336"/>
    </row>
    <row r="534" spans="1:46" ht="15" customHeight="1" x14ac:dyDescent="0.25">
      <c r="A534" s="2371">
        <v>6</v>
      </c>
      <c r="B534" s="2383" t="s">
        <v>632</v>
      </c>
      <c r="C534" s="2374" t="s">
        <v>256</v>
      </c>
      <c r="D534" s="2374"/>
      <c r="E534" s="2374"/>
      <c r="F534" s="2374"/>
      <c r="G534" s="2373" t="s">
        <v>3974</v>
      </c>
      <c r="H534" s="2371" t="s">
        <v>3971</v>
      </c>
      <c r="I534" s="64"/>
      <c r="J534" s="183" t="s">
        <v>256</v>
      </c>
      <c r="K534" s="95"/>
      <c r="L534" s="1754" t="s">
        <v>634</v>
      </c>
      <c r="M534" s="1857" t="str">
        <f>IF(R534,"Mandatory
1","N/A")</f>
        <v>Mandatory
1</v>
      </c>
      <c r="N534" s="1927">
        <f>'Ch6'!O216</f>
        <v>0</v>
      </c>
      <c r="O534" s="1927">
        <f>IF(AND(S534,W534="Met"),1,0)</f>
        <v>0</v>
      </c>
      <c r="P534" s="249" t="b">
        <v>1</v>
      </c>
      <c r="Q534" s="249" t="b">
        <v>1</v>
      </c>
      <c r="R534" s="249" t="b">
        <f>S534</f>
        <v>1</v>
      </c>
      <c r="S534" s="249" t="b">
        <v>1</v>
      </c>
      <c r="T534" s="249" t="b">
        <v>0</v>
      </c>
      <c r="U534" s="94" t="str">
        <f>SUBSTITUTE(SUBSTITUTE(SUBSTITUTE("dd"&amp;B534&amp;C534&amp;D534&amp;E534&amp;F534,".","_"),"(","_"),")","")</f>
        <v>dd602_1_14_1</v>
      </c>
      <c r="V534" s="249"/>
      <c r="W534" s="12"/>
      <c r="X534" s="1757"/>
      <c r="Y534" s="2081" t="str">
        <f>IF(LEN('Ch6'!X216)=0,"None",'Ch6'!X216)</f>
        <v>None</v>
      </c>
      <c r="Z534" s="2083"/>
      <c r="AA534" s="1526"/>
      <c r="AC534" s="970" t="b">
        <f>OR(AD534:AE534)</f>
        <v>1</v>
      </c>
      <c r="AD534" s="970" t="b">
        <v>0</v>
      </c>
      <c r="AE534" s="970" t="b">
        <f>AND(R534,NOT(W534="Met"),NOT(W534="N/A"))</f>
        <v>1</v>
      </c>
      <c r="AF534" s="784"/>
      <c r="AG534" s="249"/>
      <c r="AH534" s="249"/>
      <c r="AI534" s="249"/>
      <c r="AJ534" s="249"/>
      <c r="AK534" s="249"/>
      <c r="AL534" s="254" t="str">
        <f>SUBSTITUTE(SUBSTITUTE(SUBSTITUTE("vpa"&amp;$B534&amp;$C534&amp;$D534&amp;$E534,".","_"),"(","_"),")","")</f>
        <v>vpa602_1_14_1</v>
      </c>
      <c r="AM534" s="254" t="str">
        <f>M534</f>
        <v>Mandatory
1</v>
      </c>
      <c r="AN534" s="254" t="str">
        <f>SUBSTITUTE(SUBSTITUTE(SUBSTITUTE("vpc"&amp;$B534&amp;$C534&amp;$D534&amp;$E534,".","_"),"(","_"),")","")</f>
        <v>vpc602_1_14_1</v>
      </c>
      <c r="AO534" s="254">
        <f>O534</f>
        <v>0</v>
      </c>
      <c r="AP534" s="1336" t="str">
        <f>SUBSTITUTE(SUBSTITUTE(SUBSTITUTE("vch"&amp;$B534&amp;$C534&amp;$D534&amp;$E534,".","_"),"(","_"),")","")</f>
        <v>vch602_1_14_1</v>
      </c>
      <c r="AQ534" s="254" t="str">
        <f>IF(LEN(W534)=0,"",W534)</f>
        <v/>
      </c>
      <c r="AR534" s="1336" t="str">
        <f>SUBSTITUTE(SUBSTITUTE(SUBSTITUTE("vnt"&amp;$B534&amp;$C534&amp;$D534&amp;$E534,".","_"),"(","_"),")","")</f>
        <v>vnt602_1_14_1</v>
      </c>
      <c r="AS534" s="254" t="str">
        <f>IF(LEN(X534)=0,"",X534)</f>
        <v/>
      </c>
    </row>
    <row r="535" spans="1:46" x14ac:dyDescent="0.25">
      <c r="A535" s="2371">
        <v>6</v>
      </c>
      <c r="B535" s="2383" t="s">
        <v>632</v>
      </c>
      <c r="C535" s="2374" t="s">
        <v>256</v>
      </c>
      <c r="D535" s="2374"/>
      <c r="E535" s="2374"/>
      <c r="F535" s="2374"/>
      <c r="G535" s="2373" t="s">
        <v>3974</v>
      </c>
      <c r="H535" s="2371" t="s">
        <v>3971</v>
      </c>
      <c r="I535" s="64"/>
      <c r="J535" s="210"/>
      <c r="K535" s="175"/>
      <c r="L535" s="1755"/>
      <c r="M535" s="1858"/>
      <c r="N535" s="2076"/>
      <c r="O535" s="2076"/>
      <c r="P535" s="249"/>
      <c r="Q535" s="249"/>
      <c r="R535" s="249"/>
      <c r="S535" s="249"/>
      <c r="T535" s="249"/>
      <c r="U535" s="249"/>
      <c r="V535" s="249"/>
      <c r="W535" s="249"/>
      <c r="X535" s="1757"/>
      <c r="Y535" s="2081"/>
      <c r="Z535" s="2083"/>
      <c r="AA535" s="1526"/>
      <c r="AC535" s="970"/>
      <c r="AD535" s="970"/>
      <c r="AE535" s="970"/>
      <c r="AF535" s="249"/>
      <c r="AG535" s="249"/>
      <c r="AH535" s="249"/>
      <c r="AI535" s="249"/>
      <c r="AJ535" s="249"/>
      <c r="AK535" s="249"/>
      <c r="AL535" s="1336"/>
      <c r="AM535" s="1336"/>
      <c r="AN535" s="1336"/>
      <c r="AO535" s="1336"/>
      <c r="AP535" s="1336"/>
      <c r="AQ535" s="1336"/>
      <c r="AR535" s="1336"/>
      <c r="AS535" s="1336"/>
    </row>
    <row r="536" spans="1:46" x14ac:dyDescent="0.25">
      <c r="A536" s="2371">
        <v>6</v>
      </c>
      <c r="B536" s="2383" t="s">
        <v>632</v>
      </c>
      <c r="C536" s="2374" t="s">
        <v>258</v>
      </c>
      <c r="D536" s="2374"/>
      <c r="E536" s="2374"/>
      <c r="F536" s="2374"/>
      <c r="G536" s="2373" t="str">
        <f>IF(N536&gt;0,"P","")</f>
        <v/>
      </c>
      <c r="H536" s="2371" t="s">
        <v>3971</v>
      </c>
      <c r="I536" s="64"/>
      <c r="J536" s="207" t="s">
        <v>258</v>
      </c>
      <c r="K536" s="208"/>
      <c r="L536" s="280" t="s">
        <v>635</v>
      </c>
      <c r="M536" s="1036">
        <v>2</v>
      </c>
      <c r="N536" s="1049">
        <f>'Ch6'!O218</f>
        <v>0</v>
      </c>
      <c r="O536" s="1049">
        <f>M536*S536*W536</f>
        <v>0</v>
      </c>
      <c r="P536" s="249" t="b">
        <v>1</v>
      </c>
      <c r="Q536" s="249" t="b">
        <v>1</v>
      </c>
      <c r="R536" s="249" t="b">
        <v>0</v>
      </c>
      <c r="S536" s="249" t="b">
        <v>1</v>
      </c>
      <c r="T536" s="249" t="b">
        <v>0</v>
      </c>
      <c r="U536" s="249"/>
      <c r="V536" s="249"/>
      <c r="W536" s="25"/>
      <c r="X536" s="918"/>
      <c r="Y536" s="988" t="str">
        <f>IF(LEN('Ch6'!X218)=0,"None",'Ch6'!X218)</f>
        <v>None</v>
      </c>
      <c r="Z536" s="1587"/>
      <c r="AA536" s="1526"/>
      <c r="AC536" s="970"/>
      <c r="AD536" s="970"/>
      <c r="AE536" s="970"/>
      <c r="AF536" s="249"/>
      <c r="AG536" s="249"/>
      <c r="AH536" s="249"/>
      <c r="AI536" s="249"/>
      <c r="AJ536" s="249"/>
      <c r="AK536" s="249"/>
      <c r="AL536" s="254" t="str">
        <f>SUBSTITUTE(SUBSTITUTE(SUBSTITUTE("vpa"&amp;$B536&amp;$C536&amp;$D536&amp;$E536,".","_"),"(","_"),")","")</f>
        <v>vpa602_1_14_2</v>
      </c>
      <c r="AM536" s="254">
        <f>M536</f>
        <v>2</v>
      </c>
      <c r="AN536" s="254" t="str">
        <f>SUBSTITUTE(SUBSTITUTE(SUBSTITUTE("vpc"&amp;$B536&amp;$C536&amp;$D536&amp;$E536,".","_"),"(","_"),")","")</f>
        <v>vpc602_1_14_2</v>
      </c>
      <c r="AO536" s="254">
        <f>O536</f>
        <v>0</v>
      </c>
      <c r="AP536" s="1336" t="str">
        <f>SUBSTITUTE(SUBSTITUTE(SUBSTITUTE("vch"&amp;$B536&amp;$C536&amp;$D536&amp;$E536,".","_"),"(","_"),")","")</f>
        <v>vch602_1_14_2</v>
      </c>
      <c r="AQ536" s="254" t="str">
        <f>IF(LEN(W536)=0,"",W536)</f>
        <v/>
      </c>
      <c r="AR536" s="1336" t="str">
        <f>SUBSTITUTE(SUBSTITUTE(SUBSTITUTE("vnt"&amp;$B536&amp;$C536&amp;$D536&amp;$E536,".","_"),"(","_"),")","")</f>
        <v>vnt602_1_14_2</v>
      </c>
      <c r="AS536" s="254" t="str">
        <f>IF(LEN(X536)=0,"",X536)</f>
        <v/>
      </c>
    </row>
    <row r="537" spans="1:46" ht="15.75" thickBot="1" x14ac:dyDescent="0.3">
      <c r="A537" s="2371">
        <v>6</v>
      </c>
      <c r="B537" s="2383" t="s">
        <v>632</v>
      </c>
      <c r="C537" s="2374" t="s">
        <v>260</v>
      </c>
      <c r="D537" s="2374"/>
      <c r="E537" s="2374"/>
      <c r="F537" s="2374"/>
      <c r="G537" s="2373" t="str">
        <f>IF(N537&gt;0,"P","")</f>
        <v/>
      </c>
      <c r="H537" s="2371" t="s">
        <v>3971</v>
      </c>
      <c r="I537" s="64"/>
      <c r="J537" s="190" t="s">
        <v>260</v>
      </c>
      <c r="K537" s="97"/>
      <c r="L537" s="1171" t="s">
        <v>636</v>
      </c>
      <c r="M537" s="1011">
        <v>2</v>
      </c>
      <c r="N537" s="1045">
        <f>'Ch6'!O219</f>
        <v>0</v>
      </c>
      <c r="O537" s="1045">
        <f>M537*S537*W537</f>
        <v>0</v>
      </c>
      <c r="P537" s="99" t="b">
        <v>1</v>
      </c>
      <c r="Q537" s="99" t="b">
        <v>1</v>
      </c>
      <c r="R537" s="99" t="b">
        <v>0</v>
      </c>
      <c r="S537" s="99" t="b">
        <v>1</v>
      </c>
      <c r="T537" s="99" t="b">
        <v>0</v>
      </c>
      <c r="U537" s="99"/>
      <c r="V537" s="99"/>
      <c r="W537" s="100"/>
      <c r="X537" s="914"/>
      <c r="Y537" s="989" t="str">
        <f>IF(LEN('Ch6'!X219)=0,"None",'Ch6'!X219)</f>
        <v>None</v>
      </c>
      <c r="Z537" s="1595"/>
      <c r="AA537" s="1526"/>
      <c r="AC537" s="970"/>
      <c r="AD537" s="970"/>
      <c r="AE537" s="970"/>
      <c r="AF537" s="249"/>
      <c r="AG537" s="249"/>
      <c r="AH537" s="249"/>
      <c r="AI537" s="249"/>
      <c r="AJ537" s="249"/>
      <c r="AK537" s="249"/>
      <c r="AL537" s="254" t="str">
        <f>SUBSTITUTE(SUBSTITUTE(SUBSTITUTE("vpa"&amp;$B537&amp;$C537&amp;$D537&amp;$E537,".","_"),"(","_"),")","")</f>
        <v>vpa602_1_14_3</v>
      </c>
      <c r="AM537" s="254">
        <f>M537</f>
        <v>2</v>
      </c>
      <c r="AN537" s="254" t="str">
        <f>SUBSTITUTE(SUBSTITUTE(SUBSTITUTE("vpc"&amp;$B537&amp;$C537&amp;$D537&amp;$E537,".","_"),"(","_"),")","")</f>
        <v>vpc602_1_14_3</v>
      </c>
      <c r="AO537" s="254">
        <f>O537</f>
        <v>0</v>
      </c>
      <c r="AP537" s="1336" t="str">
        <f>SUBSTITUTE(SUBSTITUTE(SUBSTITUTE("vch"&amp;$B537&amp;$C537&amp;$D537&amp;$E537,".","_"),"(","_"),")","")</f>
        <v>vch602_1_14_3</v>
      </c>
      <c r="AQ537" s="254" t="str">
        <f>IF(LEN(W537)=0,"",W537)</f>
        <v/>
      </c>
      <c r="AR537" s="1336" t="str">
        <f>SUBSTITUTE(SUBSTITUTE(SUBSTITUTE("vnt"&amp;$B537&amp;$C537&amp;$D537&amp;$E537,".","_"),"(","_"),")","")</f>
        <v>vnt602_1_14_3</v>
      </c>
      <c r="AS537" s="254" t="str">
        <f>IF(LEN(X537)=0,"",X537)</f>
        <v/>
      </c>
    </row>
    <row r="538" spans="1:46" ht="15.75" thickTop="1" x14ac:dyDescent="0.25">
      <c r="A538" s="2371">
        <v>6</v>
      </c>
      <c r="B538" s="2381" t="s">
        <v>4167</v>
      </c>
      <c r="G538" s="2373" t="str">
        <f>IF(N538&gt;0,"P","")</f>
        <v/>
      </c>
      <c r="H538" s="2371" t="s">
        <v>3973</v>
      </c>
      <c r="I538" s="180" t="s">
        <v>4167</v>
      </c>
      <c r="J538" s="868"/>
      <c r="K538" s="868"/>
      <c r="L538" s="1836" t="s">
        <v>4168</v>
      </c>
      <c r="M538" s="1758">
        <v>2</v>
      </c>
      <c r="N538" s="2075">
        <f>'Ch6'!O220</f>
        <v>0</v>
      </c>
      <c r="O538" s="1927">
        <f>M538*S538*W538</f>
        <v>0</v>
      </c>
      <c r="P538" s="868" t="b">
        <v>0</v>
      </c>
      <c r="Q538" s="868" t="b">
        <v>1</v>
      </c>
      <c r="R538" s="868" t="b">
        <v>0</v>
      </c>
      <c r="S538" s="868" t="b">
        <v>1</v>
      </c>
      <c r="T538" s="868" t="b">
        <v>0</v>
      </c>
      <c r="U538"/>
      <c r="V538"/>
      <c r="W538" s="25"/>
      <c r="X538" s="1799"/>
      <c r="Y538" s="2129" t="str">
        <f>IF(LEN('Ch6'!X220)=0,"None",'Ch6'!X220)</f>
        <v>None</v>
      </c>
      <c r="Z538" s="2089"/>
      <c r="AA538" s="1526"/>
      <c r="AC538" s="970" t="b">
        <f>OR(AD538:AE538)</f>
        <v>0</v>
      </c>
      <c r="AD538" s="970" t="b">
        <v>0</v>
      </c>
      <c r="AE538" s="970" t="b">
        <f>AND(W538=TRUE,LEN(X538)&lt;1)</f>
        <v>0</v>
      </c>
      <c r="AF538" s="911"/>
      <c r="AG538"/>
      <c r="AH538"/>
      <c r="AI538"/>
      <c r="AJ538"/>
      <c r="AK538"/>
      <c r="AL538" s="254" t="str">
        <f>SUBSTITUTE(SUBSTITUTE(SUBSTITUTE("vpa"&amp;$B538&amp;$C538&amp;$D538&amp;$E538,".","_"),"(","_"),")","")</f>
        <v>vpa602_1_15</v>
      </c>
      <c r="AM538" s="254">
        <f>M538</f>
        <v>2</v>
      </c>
      <c r="AN538" s="254" t="str">
        <f>SUBSTITUTE(SUBSTITUTE(SUBSTITUTE("vpc"&amp;$B538&amp;$C538&amp;$D538&amp;$E538,".","_"),"(","_"),")","")</f>
        <v>vpc602_1_15</v>
      </c>
      <c r="AO538" s="254">
        <f>O538</f>
        <v>0</v>
      </c>
      <c r="AP538" s="1336" t="str">
        <f>SUBSTITUTE(SUBSTITUTE(SUBSTITUTE("vch"&amp;$B538&amp;$C538&amp;$D538&amp;$E538,".","_"),"(","_"),")","")</f>
        <v>vch602_1_15</v>
      </c>
      <c r="AQ538" s="254" t="str">
        <f>IF(LEN(W538)=0,"",W538)</f>
        <v/>
      </c>
      <c r="AR538" s="1336" t="str">
        <f>SUBSTITUTE(SUBSTITUTE(SUBSTITUTE("vnt"&amp;$B538&amp;$C538&amp;$D538&amp;$E538,".","_"),"(","_"),")","")</f>
        <v>vnt602_1_15</v>
      </c>
      <c r="AS538" s="254" t="str">
        <f>IF(LEN(X538)=0,"",X538)</f>
        <v/>
      </c>
      <c r="AT538"/>
    </row>
    <row r="539" spans="1:46" x14ac:dyDescent="0.25">
      <c r="A539" s="2371">
        <v>6</v>
      </c>
      <c r="B539" s="2381" t="s">
        <v>4167</v>
      </c>
      <c r="G539" s="2373" t="str">
        <f>G538</f>
        <v/>
      </c>
      <c r="H539" s="2371" t="s">
        <v>3973</v>
      </c>
      <c r="I539" s="868"/>
      <c r="J539" s="868"/>
      <c r="K539" s="868"/>
      <c r="L539" s="1836"/>
      <c r="M539" s="1767"/>
      <c r="N539" s="2075"/>
      <c r="O539" s="2075"/>
      <c r="P539" s="868"/>
      <c r="Q539" s="868"/>
      <c r="R539" s="868"/>
      <c r="S539" s="868"/>
      <c r="T539" s="868"/>
      <c r="U539"/>
      <c r="V539"/>
      <c r="W539"/>
      <c r="X539" s="1799"/>
      <c r="Y539" s="2100"/>
      <c r="Z539" s="2091"/>
      <c r="AA539" s="1526"/>
      <c r="AC539" s="970"/>
      <c r="AD539" s="970"/>
      <c r="AE539" s="970"/>
      <c r="AF539"/>
      <c r="AG539"/>
      <c r="AH539"/>
      <c r="AI539"/>
      <c r="AJ539"/>
      <c r="AK539"/>
      <c r="AL539" s="1336"/>
      <c r="AM539" s="1336"/>
      <c r="AN539" s="1336"/>
      <c r="AO539" s="1336"/>
      <c r="AP539" s="1336"/>
      <c r="AQ539" s="1336"/>
      <c r="AR539" s="1336"/>
      <c r="AS539" s="1336"/>
      <c r="AT539"/>
    </row>
    <row r="540" spans="1:46" ht="15.75" thickBot="1" x14ac:dyDescent="0.3">
      <c r="A540" s="2371">
        <v>6</v>
      </c>
      <c r="B540" s="2381" t="s">
        <v>4167</v>
      </c>
      <c r="G540" s="2373" t="str">
        <f t="shared" ref="G540:G550" si="32">G539</f>
        <v/>
      </c>
      <c r="H540" s="2371" t="s">
        <v>3973</v>
      </c>
      <c r="I540" s="868"/>
      <c r="J540" s="868"/>
      <c r="K540" s="868"/>
      <c r="L540" s="1172" t="s">
        <v>4169</v>
      </c>
      <c r="M540" s="1768"/>
      <c r="N540" s="1928"/>
      <c r="O540" s="1928"/>
      <c r="P540" s="868"/>
      <c r="Q540" s="868"/>
      <c r="R540" s="868"/>
      <c r="S540" s="868"/>
      <c r="T540" s="868"/>
      <c r="U540"/>
      <c r="V540"/>
      <c r="W540"/>
      <c r="X540" s="1800"/>
      <c r="Y540" s="2102"/>
      <c r="Z540" s="2090"/>
      <c r="AA540" s="1526"/>
      <c r="AC540" s="970"/>
      <c r="AD540" s="970"/>
      <c r="AE540" s="970"/>
      <c r="AF540"/>
      <c r="AG540"/>
      <c r="AH540"/>
      <c r="AI540"/>
      <c r="AJ540"/>
      <c r="AK540"/>
      <c r="AL540" s="1336"/>
      <c r="AM540" s="1336"/>
      <c r="AN540" s="1336"/>
      <c r="AO540" s="1336"/>
      <c r="AP540" s="1336"/>
      <c r="AQ540" s="1336"/>
      <c r="AR540" s="1336"/>
      <c r="AS540" s="1336"/>
      <c r="AT540"/>
    </row>
    <row r="541" spans="1:46" ht="15.75" thickTop="1" x14ac:dyDescent="0.25">
      <c r="A541" s="2371">
        <v>6</v>
      </c>
      <c r="B541" s="2383">
        <v>602.20000000000005</v>
      </c>
      <c r="C541" s="2374"/>
      <c r="D541" s="2374"/>
      <c r="E541" s="2374"/>
      <c r="F541" s="2374"/>
      <c r="G541" s="2373" t="str">
        <f>IF(N541&gt;0,"P","")</f>
        <v/>
      </c>
      <c r="H541" s="2371" t="s">
        <v>3971</v>
      </c>
      <c r="I541" s="180">
        <v>602.20000000000005</v>
      </c>
      <c r="J541" s="181"/>
      <c r="K541" s="182"/>
      <c r="L541" s="1781" t="s">
        <v>637</v>
      </c>
      <c r="M541" s="1772">
        <v>3</v>
      </c>
      <c r="N541" s="2080">
        <f>'Ch6'!O223</f>
        <v>0</v>
      </c>
      <c r="O541" s="2080">
        <f>IFERROR(OR(W545,W547,W548),0)*M541</f>
        <v>0</v>
      </c>
      <c r="P541" s="105"/>
      <c r="Q541" s="105"/>
      <c r="R541" s="105"/>
      <c r="S541" s="105"/>
      <c r="T541" s="105"/>
      <c r="U541" s="105"/>
      <c r="V541" s="105"/>
      <c r="W541" s="105"/>
      <c r="X541" s="105"/>
      <c r="Y541"/>
      <c r="AA541" s="1526"/>
      <c r="AC541" s="970"/>
      <c r="AD541" s="970"/>
      <c r="AE541" s="970"/>
      <c r="AF541" s="249"/>
      <c r="AG541" s="249"/>
      <c r="AH541" s="249"/>
      <c r="AI541" s="249"/>
      <c r="AJ541" s="249"/>
      <c r="AK541" s="249"/>
      <c r="AL541" s="254" t="str">
        <f>SUBSTITUTE(SUBSTITUTE(SUBSTITUTE("vpa"&amp;$B541&amp;$C541&amp;$D541&amp;$E541,".","_"),"(","_"),")","")</f>
        <v>vpa602_2</v>
      </c>
      <c r="AM541" s="254">
        <f>M541</f>
        <v>3</v>
      </c>
      <c r="AN541" s="254" t="str">
        <f>SUBSTITUTE(SUBSTITUTE(SUBSTITUTE("vpc"&amp;$B541&amp;$C541&amp;$D541&amp;$E541,".","_"),"(","_"),")","")</f>
        <v>vpc602_2</v>
      </c>
      <c r="AO541" s="254">
        <f>O541</f>
        <v>0</v>
      </c>
      <c r="AP541" s="1336"/>
      <c r="AQ541" s="1336"/>
      <c r="AR541" s="1336"/>
      <c r="AS541" s="1336"/>
    </row>
    <row r="542" spans="1:46" x14ac:dyDescent="0.25">
      <c r="A542" s="2371">
        <v>6</v>
      </c>
      <c r="B542" s="2383">
        <v>602.20000000000005</v>
      </c>
      <c r="C542" s="2374"/>
      <c r="D542" s="2374"/>
      <c r="E542" s="2374"/>
      <c r="F542" s="2374"/>
      <c r="G542" s="2373" t="str">
        <f t="shared" si="32"/>
        <v/>
      </c>
      <c r="H542" s="2371" t="s">
        <v>3971</v>
      </c>
      <c r="I542" s="130"/>
      <c r="J542" s="129"/>
      <c r="K542" s="95"/>
      <c r="L542" s="1782"/>
      <c r="M542" s="1758"/>
      <c r="N542" s="1927"/>
      <c r="O542" s="1927"/>
      <c r="P542" s="94"/>
      <c r="Q542" s="94"/>
      <c r="R542" s="94"/>
      <c r="S542" s="94"/>
      <c r="T542" s="94"/>
      <c r="U542" s="94"/>
      <c r="V542" s="94"/>
      <c r="W542" s="94"/>
      <c r="X542" s="911"/>
      <c r="Y542"/>
      <c r="AA542" s="1526"/>
      <c r="AC542" s="970"/>
      <c r="AD542" s="970"/>
      <c r="AE542" s="970"/>
      <c r="AF542" s="249"/>
      <c r="AG542" s="249"/>
      <c r="AH542" s="249"/>
      <c r="AI542" s="249"/>
      <c r="AJ542" s="249"/>
      <c r="AK542" s="249"/>
      <c r="AL542" s="1336"/>
      <c r="AM542" s="1336"/>
      <c r="AN542" s="1336"/>
      <c r="AO542" s="1336"/>
      <c r="AP542" s="1336"/>
      <c r="AQ542" s="1336"/>
      <c r="AR542" s="1336"/>
      <c r="AS542" s="1336"/>
    </row>
    <row r="543" spans="1:46" x14ac:dyDescent="0.25">
      <c r="A543" s="2371">
        <v>6</v>
      </c>
      <c r="B543" s="2383">
        <v>602.20000000000005</v>
      </c>
      <c r="C543" s="2374"/>
      <c r="D543" s="2374"/>
      <c r="E543" s="2374"/>
      <c r="F543" s="2374"/>
      <c r="G543" s="2373" t="str">
        <f t="shared" si="32"/>
        <v/>
      </c>
      <c r="H543" s="2371" t="s">
        <v>3971</v>
      </c>
      <c r="I543" s="130"/>
      <c r="J543" s="129"/>
      <c r="K543" s="95"/>
      <c r="L543" s="1782"/>
      <c r="M543" s="1758"/>
      <c r="N543" s="1927"/>
      <c r="O543" s="1927"/>
      <c r="P543" s="94"/>
      <c r="Q543" s="94"/>
      <c r="R543" s="94"/>
      <c r="S543" s="94"/>
      <c r="T543" s="94"/>
      <c r="U543" s="94"/>
      <c r="V543" s="94"/>
      <c r="W543" s="94"/>
      <c r="X543" s="911"/>
      <c r="Y543"/>
      <c r="AA543" s="1526"/>
      <c r="AC543" s="970"/>
      <c r="AD543" s="970"/>
      <c r="AE543" s="970"/>
      <c r="AF543" s="249"/>
      <c r="AG543" s="249"/>
      <c r="AH543" s="249"/>
      <c r="AI543" s="249"/>
      <c r="AJ543" s="249"/>
      <c r="AK543" s="249"/>
      <c r="AL543" s="1336"/>
      <c r="AM543" s="1336"/>
      <c r="AN543" s="1336"/>
      <c r="AO543" s="1336"/>
      <c r="AP543" s="1336"/>
      <c r="AQ543" s="1336"/>
      <c r="AR543" s="1336"/>
      <c r="AS543" s="1336"/>
    </row>
    <row r="544" spans="1:46" x14ac:dyDescent="0.25">
      <c r="A544" s="2371">
        <v>6</v>
      </c>
      <c r="B544" s="2383">
        <v>602.20000000000005</v>
      </c>
      <c r="C544" s="2374"/>
      <c r="D544" s="2374"/>
      <c r="E544" s="2374"/>
      <c r="F544" s="2374"/>
      <c r="G544" s="2373" t="str">
        <f t="shared" si="32"/>
        <v/>
      </c>
      <c r="H544" s="2371" t="s">
        <v>3971</v>
      </c>
      <c r="I544" s="130"/>
      <c r="J544" s="129"/>
      <c r="K544" s="95"/>
      <c r="L544" s="1782"/>
      <c r="M544" s="1758"/>
      <c r="N544" s="1927"/>
      <c r="O544" s="1927"/>
      <c r="P544" s="94"/>
      <c r="Q544" s="94"/>
      <c r="R544" s="94"/>
      <c r="S544" s="94"/>
      <c r="T544" s="94"/>
      <c r="U544" s="94"/>
      <c r="V544" s="94"/>
      <c r="W544" s="94"/>
      <c r="X544" s="911"/>
      <c r="Y544"/>
      <c r="AA544" s="1526"/>
      <c r="AC544" s="970"/>
      <c r="AD544" s="970"/>
      <c r="AE544" s="970"/>
      <c r="AF544" s="249"/>
      <c r="AG544" s="249"/>
      <c r="AH544" s="249"/>
      <c r="AI544" s="249"/>
      <c r="AJ544" s="249"/>
      <c r="AK544" s="249"/>
      <c r="AL544" s="1336"/>
      <c r="AM544" s="1336"/>
      <c r="AN544" s="1336"/>
      <c r="AO544" s="1336"/>
      <c r="AP544" s="1336"/>
      <c r="AQ544" s="1336"/>
      <c r="AR544" s="1336"/>
      <c r="AS544" s="1336"/>
    </row>
    <row r="545" spans="1:45" x14ac:dyDescent="0.25">
      <c r="A545" s="2371">
        <v>6</v>
      </c>
      <c r="B545" s="2383">
        <v>602.20000000000005</v>
      </c>
      <c r="C545" s="2374" t="s">
        <v>256</v>
      </c>
      <c r="D545" s="2374"/>
      <c r="E545" s="2374"/>
      <c r="F545" s="2374"/>
      <c r="G545" s="2373" t="str">
        <f t="shared" si="32"/>
        <v/>
      </c>
      <c r="H545" s="2371" t="s">
        <v>3971</v>
      </c>
      <c r="I545" s="64"/>
      <c r="J545" s="183" t="s">
        <v>256</v>
      </c>
      <c r="K545" s="95"/>
      <c r="L545" s="1793" t="s">
        <v>638</v>
      </c>
      <c r="M545" s="1014"/>
      <c r="N545" s="1042"/>
      <c r="O545" s="1042"/>
      <c r="P545" s="249" t="b">
        <v>1</v>
      </c>
      <c r="Q545" s="249" t="b">
        <v>1</v>
      </c>
      <c r="R545" s="249" t="b">
        <v>0</v>
      </c>
      <c r="S545" s="249" t="b">
        <v>1</v>
      </c>
      <c r="T545" s="249" t="b">
        <v>0</v>
      </c>
      <c r="U545" s="249"/>
      <c r="V545" s="249"/>
      <c r="W545" s="25"/>
      <c r="X545" s="1757"/>
      <c r="Y545" s="2081" t="str">
        <f>IF(LEN('Ch6'!X227)=0,"None",'Ch6'!X227)</f>
        <v>None</v>
      </c>
      <c r="Z545" s="2094"/>
      <c r="AA545" s="1526"/>
      <c r="AC545" s="970"/>
      <c r="AD545" s="970"/>
      <c r="AE545" s="970"/>
      <c r="AF545" s="249"/>
      <c r="AG545" s="249"/>
      <c r="AH545" s="249"/>
      <c r="AI545" s="249"/>
      <c r="AJ545" s="249"/>
      <c r="AK545" s="249"/>
      <c r="AL545" s="1336"/>
      <c r="AM545" s="1336"/>
      <c r="AN545" s="1336"/>
      <c r="AO545" s="1336"/>
      <c r="AP545" s="1336" t="str">
        <f>SUBSTITUTE(SUBSTITUTE(SUBSTITUTE("vch"&amp;$B545&amp;$C545&amp;$D545&amp;$E545,".","_"),"(","_"),")","")</f>
        <v>vch602_2_1</v>
      </c>
      <c r="AQ545" s="254" t="str">
        <f>IF(LEN(W545)=0,"",W545)</f>
        <v/>
      </c>
      <c r="AR545" s="1336" t="str">
        <f>SUBSTITUTE(SUBSTITUTE(SUBSTITUTE("vnt"&amp;$B545&amp;$C545&amp;$D545&amp;$E545,".","_"),"(","_"),")","")</f>
        <v>vnt602_2_1</v>
      </c>
      <c r="AS545" s="254" t="str">
        <f>IF(LEN(X545)=0,"",X545)</f>
        <v/>
      </c>
    </row>
    <row r="546" spans="1:45" x14ac:dyDescent="0.25">
      <c r="A546" s="2371">
        <v>6</v>
      </c>
      <c r="B546" s="2383">
        <v>602.20000000000005</v>
      </c>
      <c r="C546" s="2374" t="s">
        <v>256</v>
      </c>
      <c r="D546" s="2374"/>
      <c r="E546" s="2374"/>
      <c r="F546" s="2374"/>
      <c r="G546" s="2373" t="str">
        <f t="shared" si="32"/>
        <v/>
      </c>
      <c r="H546" s="2371" t="s">
        <v>3971</v>
      </c>
      <c r="I546" s="64"/>
      <c r="J546" s="206"/>
      <c r="K546" s="175"/>
      <c r="L546" s="1761"/>
      <c r="M546" s="1014"/>
      <c r="N546" s="1042"/>
      <c r="O546" s="1042"/>
      <c r="P546" s="249"/>
      <c r="Q546" s="249"/>
      <c r="R546" s="249"/>
      <c r="S546" s="249"/>
      <c r="T546" s="249"/>
      <c r="U546" s="249"/>
      <c r="V546" s="249"/>
      <c r="W546" s="249"/>
      <c r="X546" s="1757"/>
      <c r="Y546" s="2081"/>
      <c r="Z546" s="2094"/>
      <c r="AA546" s="1526"/>
      <c r="AC546" s="970"/>
      <c r="AD546" s="970"/>
      <c r="AE546" s="970"/>
      <c r="AF546" s="249"/>
      <c r="AG546" s="249"/>
      <c r="AH546" s="249"/>
      <c r="AI546" s="249"/>
      <c r="AJ546" s="249"/>
      <c r="AK546" s="249"/>
      <c r="AL546" s="1336"/>
      <c r="AM546" s="1336"/>
      <c r="AN546" s="1336"/>
      <c r="AO546" s="1336"/>
      <c r="AP546" s="1336"/>
      <c r="AQ546" s="1336"/>
      <c r="AR546" s="1336"/>
      <c r="AS546" s="1336"/>
    </row>
    <row r="547" spans="1:45" x14ac:dyDescent="0.25">
      <c r="A547" s="2371">
        <v>6</v>
      </c>
      <c r="B547" s="2383">
        <v>602.20000000000005</v>
      </c>
      <c r="C547" s="2374" t="s">
        <v>258</v>
      </c>
      <c r="D547" s="2374"/>
      <c r="E547" s="2374"/>
      <c r="F547" s="2374"/>
      <c r="G547" s="2373" t="str">
        <f t="shared" si="32"/>
        <v/>
      </c>
      <c r="H547" s="2371" t="s">
        <v>3971</v>
      </c>
      <c r="I547" s="64"/>
      <c r="J547" s="207" t="s">
        <v>258</v>
      </c>
      <c r="K547" s="208"/>
      <c r="L547" s="280" t="s">
        <v>639</v>
      </c>
      <c r="M547" s="1014"/>
      <c r="N547" s="1042"/>
      <c r="O547" s="1042"/>
      <c r="P547" s="352" t="b">
        <v>1</v>
      </c>
      <c r="Q547" s="249" t="b">
        <v>1</v>
      </c>
      <c r="R547" s="249" t="b">
        <v>0</v>
      </c>
      <c r="S547" s="249" t="b">
        <v>1</v>
      </c>
      <c r="T547" s="249" t="b">
        <v>0</v>
      </c>
      <c r="U547" s="249"/>
      <c r="V547" s="249"/>
      <c r="W547" s="25"/>
      <c r="X547" s="918"/>
      <c r="Y547" s="988" t="str">
        <f>IF(LEN('Ch6'!X229)=0,"None",'Ch6'!X229)</f>
        <v>None</v>
      </c>
      <c r="Z547" s="1596"/>
      <c r="AA547" s="1551" t="str">
        <f>IF(LEN('Photo Review'!I546)&gt;0,'Photo Review'!I546,"")</f>
        <v/>
      </c>
      <c r="AC547" s="970"/>
      <c r="AD547" s="970"/>
      <c r="AE547" s="970"/>
      <c r="AF547" s="249"/>
      <c r="AG547" s="249"/>
      <c r="AH547" s="249"/>
      <c r="AI547" s="249"/>
      <c r="AJ547" s="249"/>
      <c r="AK547" s="249"/>
      <c r="AL547" s="1336"/>
      <c r="AM547" s="1336"/>
      <c r="AN547" s="1336"/>
      <c r="AO547" s="1336"/>
      <c r="AP547" s="1336" t="str">
        <f>SUBSTITUTE(SUBSTITUTE(SUBSTITUTE("vch"&amp;$B547&amp;$C547&amp;$D547&amp;$E547,".","_"),"(","_"),")","")</f>
        <v>vch602_2_2</v>
      </c>
      <c r="AQ547" s="254" t="str">
        <f>IF(LEN(W547)=0,"",W547)</f>
        <v/>
      </c>
      <c r="AR547" s="1336" t="str">
        <f>SUBSTITUTE(SUBSTITUTE(SUBSTITUTE("vnt"&amp;$B547&amp;$C547&amp;$D547&amp;$E547,".","_"),"(","_"),")","")</f>
        <v>vnt602_2_2</v>
      </c>
      <c r="AS547" s="254" t="str">
        <f>IF(LEN(X547)=0,"",X547)</f>
        <v/>
      </c>
    </row>
    <row r="548" spans="1:45" x14ac:dyDescent="0.25">
      <c r="A548" s="2371">
        <v>6</v>
      </c>
      <c r="B548" s="2383">
        <v>602.20000000000005</v>
      </c>
      <c r="C548" s="2374" t="s">
        <v>260</v>
      </c>
      <c r="D548" s="2374"/>
      <c r="E548" s="2374"/>
      <c r="F548" s="2374"/>
      <c r="G548" s="2373" t="str">
        <f t="shared" si="32"/>
        <v/>
      </c>
      <c r="H548" s="2371" t="s">
        <v>3971</v>
      </c>
      <c r="I548" s="64"/>
      <c r="J548" s="27" t="s">
        <v>260</v>
      </c>
      <c r="K548" s="83"/>
      <c r="L548" s="1779" t="s">
        <v>640</v>
      </c>
      <c r="M548" s="1014"/>
      <c r="N548" s="1042"/>
      <c r="O548" s="1042"/>
      <c r="P548" s="352" t="b">
        <v>1</v>
      </c>
      <c r="Q548" s="249" t="b">
        <v>1</v>
      </c>
      <c r="R548" s="249" t="b">
        <v>0</v>
      </c>
      <c r="S548" s="249" t="b">
        <v>1</v>
      </c>
      <c r="T548" s="249" t="b">
        <v>0</v>
      </c>
      <c r="U548" s="249"/>
      <c r="V548" s="249"/>
      <c r="W548" s="25"/>
      <c r="X548" s="1757"/>
      <c r="Y548" s="2081" t="str">
        <f>IF(LEN('Ch6'!X230)=0,"None",'Ch6'!X230)</f>
        <v>None</v>
      </c>
      <c r="Z548" s="2094"/>
      <c r="AA548" s="1526"/>
      <c r="AC548" s="970"/>
      <c r="AD548" s="970"/>
      <c r="AE548" s="970"/>
      <c r="AF548" s="249"/>
      <c r="AG548" s="249"/>
      <c r="AH548" s="249"/>
      <c r="AI548" s="249"/>
      <c r="AJ548" s="249"/>
      <c r="AK548" s="249"/>
      <c r="AL548" s="1336"/>
      <c r="AM548" s="1336"/>
      <c r="AN548" s="1336"/>
      <c r="AO548" s="1336"/>
      <c r="AP548" s="1336" t="str">
        <f>SUBSTITUTE(SUBSTITUTE(SUBSTITUTE("vch"&amp;$B548&amp;$C548&amp;$D548&amp;$E548,".","_"),"(","_"),")","")</f>
        <v>vch602_2_3</v>
      </c>
      <c r="AQ548" s="254" t="str">
        <f>IF(LEN(W548)=0,"",W548)</f>
        <v/>
      </c>
      <c r="AR548" s="1336" t="str">
        <f>SUBSTITUTE(SUBSTITUTE(SUBSTITUTE("vnt"&amp;$B548&amp;$C548&amp;$D548&amp;$E548,".","_"),"(","_"),")","")</f>
        <v>vnt602_2_3</v>
      </c>
      <c r="AS548" s="254" t="str">
        <f>IF(LEN(X548)=0,"",X548)</f>
        <v/>
      </c>
    </row>
    <row r="549" spans="1:45" x14ac:dyDescent="0.25">
      <c r="A549" s="2371">
        <v>6</v>
      </c>
      <c r="B549" s="2383">
        <v>602.20000000000005</v>
      </c>
      <c r="C549" s="2374" t="s">
        <v>260</v>
      </c>
      <c r="D549" s="2374"/>
      <c r="E549" s="2374"/>
      <c r="F549" s="2374"/>
      <c r="G549" s="2373" t="str">
        <f t="shared" si="32"/>
        <v/>
      </c>
      <c r="H549" s="2371" t="s">
        <v>3971</v>
      </c>
      <c r="I549" s="64"/>
      <c r="J549" s="4"/>
      <c r="K549" s="83"/>
      <c r="L549" s="1779"/>
      <c r="M549" s="1014"/>
      <c r="N549" s="1042"/>
      <c r="O549" s="1042"/>
      <c r="P549" s="249"/>
      <c r="Q549" s="249"/>
      <c r="R549" s="249"/>
      <c r="S549" s="249"/>
      <c r="T549" s="249"/>
      <c r="U549" s="249"/>
      <c r="V549" s="249"/>
      <c r="W549" s="249"/>
      <c r="X549" s="1757"/>
      <c r="Y549" s="2081"/>
      <c r="Z549" s="2094"/>
      <c r="AA549" s="1526"/>
      <c r="AC549" s="970"/>
      <c r="AD549" s="970"/>
      <c r="AE549" s="970"/>
      <c r="AF549" s="249"/>
      <c r="AG549" s="249"/>
      <c r="AH549" s="249"/>
      <c r="AI549" s="249"/>
      <c r="AJ549" s="249"/>
      <c r="AK549" s="249"/>
      <c r="AL549" s="1336"/>
      <c r="AM549" s="1336"/>
      <c r="AN549" s="1336"/>
      <c r="AO549" s="1336"/>
      <c r="AP549" s="1336"/>
      <c r="AQ549" s="1336"/>
      <c r="AR549" s="1336"/>
      <c r="AS549" s="1336"/>
    </row>
    <row r="550" spans="1:45" ht="15.75" thickBot="1" x14ac:dyDescent="0.3">
      <c r="A550" s="2371">
        <v>6</v>
      </c>
      <c r="B550" s="2383">
        <v>602.20000000000005</v>
      </c>
      <c r="C550" s="2374" t="s">
        <v>260</v>
      </c>
      <c r="D550" s="2374"/>
      <c r="E550" s="2374"/>
      <c r="F550" s="2374"/>
      <c r="G550" s="2373" t="str">
        <f t="shared" si="32"/>
        <v/>
      </c>
      <c r="H550" s="2371" t="s">
        <v>3971</v>
      </c>
      <c r="I550" s="64"/>
      <c r="J550" s="4"/>
      <c r="K550" s="83"/>
      <c r="L550" s="1779"/>
      <c r="M550" s="1014"/>
      <c r="N550" s="1042"/>
      <c r="O550" s="1042"/>
      <c r="P550" s="249"/>
      <c r="Q550" s="249"/>
      <c r="R550" s="249"/>
      <c r="S550" s="249"/>
      <c r="T550" s="249"/>
      <c r="U550" s="249"/>
      <c r="V550" s="249"/>
      <c r="W550" s="112"/>
      <c r="X550" s="1798"/>
      <c r="Y550" s="2082"/>
      <c r="Z550" s="2095"/>
      <c r="AA550" s="1526"/>
      <c r="AC550" s="970"/>
      <c r="AD550" s="970"/>
      <c r="AE550" s="970"/>
      <c r="AF550" s="249"/>
      <c r="AG550" s="249"/>
      <c r="AH550" s="249"/>
      <c r="AI550" s="249"/>
      <c r="AJ550" s="249"/>
      <c r="AK550" s="249"/>
      <c r="AL550" s="1336"/>
      <c r="AM550" s="1336"/>
      <c r="AN550" s="1336"/>
      <c r="AO550" s="1336"/>
      <c r="AP550" s="1336"/>
      <c r="AQ550" s="1336"/>
      <c r="AR550" s="1336"/>
      <c r="AS550" s="1336"/>
    </row>
    <row r="551" spans="1:45" ht="15.75" thickTop="1" x14ac:dyDescent="0.25">
      <c r="A551" s="2371">
        <v>6</v>
      </c>
      <c r="B551" s="2383">
        <v>602.29999999999995</v>
      </c>
      <c r="C551" s="2374"/>
      <c r="D551" s="2374"/>
      <c r="E551" s="2374"/>
      <c r="F551" s="2374"/>
      <c r="G551" s="2373" t="str">
        <f>IF(N551&gt;0,"P","")</f>
        <v/>
      </c>
      <c r="H551" s="2371" t="s">
        <v>3973</v>
      </c>
      <c r="I551" s="180">
        <v>602.29999999999995</v>
      </c>
      <c r="J551" s="181"/>
      <c r="K551" s="182"/>
      <c r="L551" s="1781" t="s">
        <v>641</v>
      </c>
      <c r="M551" s="1772">
        <v>4</v>
      </c>
      <c r="N551" s="2080">
        <f>'Ch6'!O233</f>
        <v>0</v>
      </c>
      <c r="O551" s="2080">
        <f>M551*S551*W551</f>
        <v>0</v>
      </c>
      <c r="P551" s="352" t="b">
        <v>0</v>
      </c>
      <c r="Q551" s="249" t="b">
        <v>1</v>
      </c>
      <c r="R551" s="105" t="b">
        <v>0</v>
      </c>
      <c r="S551" s="105" t="b">
        <v>1</v>
      </c>
      <c r="T551" s="105" t="b">
        <v>0</v>
      </c>
      <c r="U551" s="105"/>
      <c r="V551" s="105"/>
      <c r="W551" s="25"/>
      <c r="X551" s="1784"/>
      <c r="Y551" s="2097" t="str">
        <f>IF(LEN('Ch6'!X233)=0,"None",'Ch6'!X233)</f>
        <v>None</v>
      </c>
      <c r="Z551" s="2096"/>
      <c r="AA551" s="1526"/>
      <c r="AC551" s="970"/>
      <c r="AD551" s="970"/>
      <c r="AE551" s="970"/>
      <c r="AF551" s="249"/>
      <c r="AG551" s="249"/>
      <c r="AH551" s="249"/>
      <c r="AI551" s="249"/>
      <c r="AJ551" s="249"/>
      <c r="AK551" s="249"/>
      <c r="AL551" s="254" t="str">
        <f>SUBSTITUTE(SUBSTITUTE(SUBSTITUTE("vpa"&amp;$B551&amp;$C551&amp;$D551&amp;$E551,".","_"),"(","_"),")","")</f>
        <v>vpa602_3</v>
      </c>
      <c r="AM551" s="254">
        <f>M551</f>
        <v>4</v>
      </c>
      <c r="AN551" s="254" t="str">
        <f>SUBSTITUTE(SUBSTITUTE(SUBSTITUTE("vpc"&amp;$B551&amp;$C551&amp;$D551&amp;$E551,".","_"),"(","_"),")","")</f>
        <v>vpc602_3</v>
      </c>
      <c r="AO551" s="254">
        <f>O551</f>
        <v>0</v>
      </c>
      <c r="AP551" s="1336" t="str">
        <f>SUBSTITUTE(SUBSTITUTE(SUBSTITUTE("vch"&amp;$B551&amp;$C551&amp;$D551&amp;$E551,".","_"),"(","_"),")","")</f>
        <v>vch602_3</v>
      </c>
      <c r="AQ551" s="254" t="str">
        <f>IF(LEN(W551)=0,"",W551)</f>
        <v/>
      </c>
      <c r="AR551" s="1336" t="str">
        <f>SUBSTITUTE(SUBSTITUTE(SUBSTITUTE("vnt"&amp;$B551&amp;$C551&amp;$D551&amp;$E551,".","_"),"(","_"),")","")</f>
        <v>vnt602_3</v>
      </c>
      <c r="AS551" s="254" t="str">
        <f>IF(LEN(X551)=0,"",X551)</f>
        <v/>
      </c>
    </row>
    <row r="552" spans="1:45" x14ac:dyDescent="0.25">
      <c r="A552" s="2371">
        <v>6</v>
      </c>
      <c r="B552" s="2383">
        <v>602.29999999999995</v>
      </c>
      <c r="C552" s="2374"/>
      <c r="D552" s="2374"/>
      <c r="E552" s="2374"/>
      <c r="F552" s="2374"/>
      <c r="G552" s="2373" t="str">
        <f>G551</f>
        <v/>
      </c>
      <c r="H552" s="2371" t="s">
        <v>3973</v>
      </c>
      <c r="I552" s="130"/>
      <c r="J552" s="129"/>
      <c r="K552" s="95"/>
      <c r="L552" s="1782"/>
      <c r="M552" s="1758"/>
      <c r="N552" s="1927"/>
      <c r="O552" s="1927"/>
      <c r="P552" s="94"/>
      <c r="Q552" s="94"/>
      <c r="R552" s="94"/>
      <c r="S552" s="94"/>
      <c r="T552" s="94"/>
      <c r="U552" s="94"/>
      <c r="V552" s="94"/>
      <c r="W552" s="94"/>
      <c r="X552" s="1757"/>
      <c r="Y552" s="2081"/>
      <c r="Z552" s="2094"/>
      <c r="AA552" s="1551" t="str">
        <f>IF(LEN('Photo Review'!I551)&gt;0,'Photo Review'!I551,"")</f>
        <v/>
      </c>
      <c r="AC552" s="970"/>
      <c r="AD552" s="970"/>
      <c r="AE552" s="970"/>
      <c r="AF552" s="249"/>
      <c r="AG552" s="249"/>
      <c r="AH552" s="249"/>
      <c r="AI552" s="249"/>
      <c r="AJ552" s="249"/>
      <c r="AK552" s="249"/>
      <c r="AL552" s="1336"/>
      <c r="AM552" s="1336"/>
      <c r="AN552" s="1336"/>
      <c r="AO552" s="1336"/>
      <c r="AP552" s="1336"/>
      <c r="AQ552" s="1336"/>
      <c r="AR552" s="1336"/>
      <c r="AS552" s="1336"/>
    </row>
    <row r="553" spans="1:45" ht="15.75" thickBot="1" x14ac:dyDescent="0.3">
      <c r="A553" s="2371">
        <v>6</v>
      </c>
      <c r="B553" s="2383">
        <v>602.29999999999995</v>
      </c>
      <c r="C553" s="2374"/>
      <c r="D553" s="2374"/>
      <c r="E553" s="2374"/>
      <c r="F553" s="2374"/>
      <c r="G553" s="2373" t="str">
        <f>G552</f>
        <v/>
      </c>
      <c r="H553" s="2371" t="s">
        <v>3973</v>
      </c>
      <c r="I553" s="130"/>
      <c r="J553" s="129"/>
      <c r="K553" s="95"/>
      <c r="L553" s="1782"/>
      <c r="M553" s="1758"/>
      <c r="N553" s="1928"/>
      <c r="O553" s="1927"/>
      <c r="P553" s="94"/>
      <c r="Q553" s="94"/>
      <c r="R553" s="94"/>
      <c r="S553" s="94"/>
      <c r="T553" s="94"/>
      <c r="U553" s="94"/>
      <c r="V553" s="94"/>
      <c r="W553" s="94"/>
      <c r="X553" s="1798"/>
      <c r="Y553" s="2082"/>
      <c r="Z553" s="2095"/>
      <c r="AA553" s="1526"/>
      <c r="AC553" s="970"/>
      <c r="AD553" s="970"/>
      <c r="AE553" s="970"/>
      <c r="AF553" s="249"/>
      <c r="AG553" s="249"/>
      <c r="AH553" s="249"/>
      <c r="AI553" s="249"/>
      <c r="AJ553" s="249"/>
      <c r="AK553" s="249"/>
      <c r="AL553" s="1336"/>
      <c r="AM553" s="1336"/>
      <c r="AN553" s="1336"/>
      <c r="AO553" s="1336"/>
      <c r="AP553" s="1336"/>
      <c r="AQ553" s="1336"/>
      <c r="AR553" s="1336"/>
      <c r="AS553" s="1336"/>
    </row>
    <row r="554" spans="1:45" ht="15.75" thickTop="1" x14ac:dyDescent="0.25">
      <c r="A554" s="2371">
        <v>6</v>
      </c>
      <c r="B554" s="2383">
        <v>602.4</v>
      </c>
      <c r="C554" s="2374"/>
      <c r="D554" s="2374"/>
      <c r="E554" s="2374"/>
      <c r="F554" s="2374"/>
      <c r="G554" s="2373" t="s">
        <v>3974</v>
      </c>
      <c r="H554" s="2371" t="s">
        <v>3971</v>
      </c>
      <c r="I554" s="180">
        <v>602.4</v>
      </c>
      <c r="J554" s="181"/>
      <c r="K554" s="182"/>
      <c r="L554" s="1189" t="s">
        <v>642</v>
      </c>
      <c r="M554" s="1009"/>
      <c r="N554" s="1046"/>
      <c r="O554" s="1046"/>
      <c r="P554" s="105"/>
      <c r="Q554" s="105"/>
      <c r="R554" s="105"/>
      <c r="S554" s="105"/>
      <c r="T554" s="105"/>
      <c r="U554" s="105"/>
      <c r="V554" s="105"/>
      <c r="W554" s="105"/>
      <c r="X554" s="105"/>
      <c r="Y554" s="113"/>
      <c r="AA554" s="1526"/>
      <c r="AC554" s="970"/>
      <c r="AD554" s="970"/>
      <c r="AE554" s="970"/>
      <c r="AF554" s="249"/>
      <c r="AG554" s="249"/>
      <c r="AH554" s="249"/>
      <c r="AI554" s="249"/>
      <c r="AJ554" s="249"/>
      <c r="AK554" s="249"/>
      <c r="AL554" s="1336"/>
      <c r="AM554" s="1336"/>
      <c r="AN554" s="1336"/>
      <c r="AO554" s="1336"/>
      <c r="AP554" s="1336"/>
      <c r="AQ554" s="1336"/>
      <c r="AR554" s="1336"/>
      <c r="AS554" s="1336"/>
    </row>
    <row r="555" spans="1:45" x14ac:dyDescent="0.25">
      <c r="A555" s="2371">
        <v>6</v>
      </c>
      <c r="B555" s="2383" t="s">
        <v>643</v>
      </c>
      <c r="C555" s="2374"/>
      <c r="D555" s="2374"/>
      <c r="E555" s="2374"/>
      <c r="F555" s="2374"/>
      <c r="G555" s="2373" t="s">
        <v>3974</v>
      </c>
      <c r="H555" s="2371" t="s">
        <v>3971</v>
      </c>
      <c r="I555" s="130" t="s">
        <v>643</v>
      </c>
      <c r="J555" s="129"/>
      <c r="K555" s="95"/>
      <c r="L555" s="1782" t="s">
        <v>644</v>
      </c>
      <c r="M555" s="1837" t="str">
        <f>IF(R555,"Mandatory","N/A")</f>
        <v>Mandatory</v>
      </c>
      <c r="N555" s="1042"/>
      <c r="O555" s="1042"/>
      <c r="P555" s="249" t="b">
        <v>1</v>
      </c>
      <c r="Q555" s="249" t="b">
        <v>1</v>
      </c>
      <c r="R555" s="249" t="b">
        <f>S555</f>
        <v>1</v>
      </c>
      <c r="S555" s="249" t="b">
        <v>1</v>
      </c>
      <c r="T555" s="249" t="b">
        <v>0</v>
      </c>
      <c r="U555" s="249"/>
      <c r="V555" s="249"/>
      <c r="W555" s="25"/>
      <c r="X555" s="1757"/>
      <c r="Y555" s="2081" t="str">
        <f>IF(LEN('Ch6'!X237)=0,"None",'Ch6'!X237)</f>
        <v>None</v>
      </c>
      <c r="Z555" s="2094"/>
      <c r="AA555" s="1551" t="str">
        <f>IF(LEN('Photo Review'!I554)&gt;0,'Photo Review'!I554,"")</f>
        <v/>
      </c>
      <c r="AC555" s="970" t="b">
        <f>OR(AD555:AE555)</f>
        <v>1</v>
      </c>
      <c r="AD555" s="970" t="b">
        <f>T555</f>
        <v>0</v>
      </c>
      <c r="AE555" s="970" t="b">
        <f>AND(R555,NOT(W555))</f>
        <v>1</v>
      </c>
      <c r="AF555" s="784"/>
      <c r="AG555" s="249"/>
      <c r="AH555" s="249"/>
      <c r="AI555" s="249"/>
      <c r="AJ555" s="249"/>
      <c r="AK555" s="249"/>
      <c r="AL555" s="254" t="str">
        <f>SUBSTITUTE(SUBSTITUTE(SUBSTITUTE("vpa"&amp;$B555&amp;$C555&amp;$D555&amp;$E555,".","_"),"(","_"),")","")</f>
        <v>vpa602_4_1</v>
      </c>
      <c r="AM555" s="254" t="str">
        <f>M555</f>
        <v>Mandatory</v>
      </c>
      <c r="AN555" s="1336"/>
      <c r="AO555" s="1336"/>
      <c r="AP555" s="1336" t="str">
        <f>SUBSTITUTE(SUBSTITUTE(SUBSTITUTE("vch"&amp;$B555&amp;$C555&amp;$D555&amp;$E555,".","_"),"(","_"),")","")</f>
        <v>vch602_4_1</v>
      </c>
      <c r="AQ555" s="254" t="str">
        <f>IF(LEN(W555)=0,"",W555)</f>
        <v/>
      </c>
      <c r="AR555" s="1336" t="str">
        <f>SUBSTITUTE(SUBSTITUTE(SUBSTITUTE("vnt"&amp;$B555&amp;$C555&amp;$D555&amp;$E555,".","_"),"(","_"),")","")</f>
        <v>vnt602_4_1</v>
      </c>
      <c r="AS555" s="254" t="str">
        <f>IF(LEN(X555)=0,"",X555)</f>
        <v/>
      </c>
    </row>
    <row r="556" spans="1:45" x14ac:dyDescent="0.25">
      <c r="A556" s="2371">
        <v>6</v>
      </c>
      <c r="B556" s="2383" t="s">
        <v>643</v>
      </c>
      <c r="C556" s="2374"/>
      <c r="D556" s="2374"/>
      <c r="E556" s="2374"/>
      <c r="F556" s="2374"/>
      <c r="G556" s="2373" t="s">
        <v>3974</v>
      </c>
      <c r="H556" s="2371" t="s">
        <v>3971</v>
      </c>
      <c r="I556" s="130"/>
      <c r="J556" s="129"/>
      <c r="K556" s="95"/>
      <c r="L556" s="1782"/>
      <c r="M556" s="1837"/>
      <c r="N556" s="1042"/>
      <c r="O556" s="1042"/>
      <c r="P556" s="249"/>
      <c r="Q556" s="249"/>
      <c r="R556" s="249"/>
      <c r="S556" s="249"/>
      <c r="T556" s="249"/>
      <c r="U556" s="249"/>
      <c r="V556" s="249"/>
      <c r="W556" s="249"/>
      <c r="X556" s="1757"/>
      <c r="Y556" s="2081"/>
      <c r="Z556" s="2094"/>
      <c r="AA556" s="1526"/>
      <c r="AC556" s="970"/>
      <c r="AD556" s="970"/>
      <c r="AE556" s="970"/>
      <c r="AF556" s="249"/>
      <c r="AG556" s="249"/>
      <c r="AH556" s="249"/>
      <c r="AI556" s="249"/>
      <c r="AJ556" s="249"/>
      <c r="AK556" s="249"/>
      <c r="AL556" s="1336"/>
      <c r="AM556" s="1336"/>
      <c r="AN556" s="1336"/>
      <c r="AO556" s="1336"/>
      <c r="AP556" s="1336"/>
      <c r="AQ556" s="1336"/>
      <c r="AR556" s="1336"/>
      <c r="AS556" s="1336"/>
    </row>
    <row r="557" spans="1:45" x14ac:dyDescent="0.25">
      <c r="A557" s="2371">
        <v>6</v>
      </c>
      <c r="B557" s="2383" t="s">
        <v>643</v>
      </c>
      <c r="C557" s="2374"/>
      <c r="D557" s="2374"/>
      <c r="E557" s="2374"/>
      <c r="F557" s="2374"/>
      <c r="G557" s="2373" t="s">
        <v>3974</v>
      </c>
      <c r="H557" s="2371" t="s">
        <v>3971</v>
      </c>
      <c r="I557" s="130"/>
      <c r="J557" s="129"/>
      <c r="K557" s="95"/>
      <c r="L557" s="1782"/>
      <c r="M557" s="1837"/>
      <c r="N557" s="1042"/>
      <c r="O557" s="1042"/>
      <c r="P557" s="249"/>
      <c r="Q557" s="249"/>
      <c r="R557" s="249"/>
      <c r="S557" s="249"/>
      <c r="T557" s="249"/>
      <c r="U557" s="249"/>
      <c r="V557" s="249"/>
      <c r="W557" s="249"/>
      <c r="X557" s="1757"/>
      <c r="Y557" s="2081"/>
      <c r="Z557" s="2094"/>
      <c r="AA557" s="1526"/>
      <c r="AC557" s="970"/>
      <c r="AD557" s="970"/>
      <c r="AE557" s="970"/>
      <c r="AF557" s="249"/>
      <c r="AG557" s="249"/>
      <c r="AH557" s="249"/>
      <c r="AI557" s="249"/>
      <c r="AJ557" s="249"/>
      <c r="AK557" s="249"/>
      <c r="AL557" s="1336"/>
      <c r="AM557" s="1336"/>
      <c r="AN557" s="1336"/>
      <c r="AO557" s="1336"/>
      <c r="AP557" s="1336"/>
      <c r="AQ557" s="1336"/>
      <c r="AR557" s="1336"/>
      <c r="AS557" s="1336"/>
    </row>
    <row r="558" spans="1:45" x14ac:dyDescent="0.25">
      <c r="A558" s="2371">
        <v>6</v>
      </c>
      <c r="B558" s="2383" t="s">
        <v>643</v>
      </c>
      <c r="C558" s="2374"/>
      <c r="D558" s="2374"/>
      <c r="E558" s="2374"/>
      <c r="F558" s="2374"/>
      <c r="G558" s="2373" t="s">
        <v>3974</v>
      </c>
      <c r="H558" s="2371" t="s">
        <v>3971</v>
      </c>
      <c r="I558" s="130"/>
      <c r="J558" s="129"/>
      <c r="K558" s="95"/>
      <c r="L558" s="1782"/>
      <c r="M558" s="1837"/>
      <c r="N558" s="1042"/>
      <c r="O558" s="1042"/>
      <c r="P558" s="249"/>
      <c r="Q558" s="249"/>
      <c r="R558" s="249"/>
      <c r="S558" s="249"/>
      <c r="T558" s="249"/>
      <c r="U558" s="249"/>
      <c r="V558" s="249"/>
      <c r="W558" s="249"/>
      <c r="X558" s="1757"/>
      <c r="Y558" s="2081"/>
      <c r="Z558" s="2094"/>
      <c r="AA558" s="1526"/>
      <c r="AC558" s="970"/>
      <c r="AD558" s="970"/>
      <c r="AE558" s="970"/>
      <c r="AF558" s="249"/>
      <c r="AG558" s="249"/>
      <c r="AH558" s="249"/>
      <c r="AI558" s="249"/>
      <c r="AJ558" s="249"/>
      <c r="AK558" s="249"/>
      <c r="AL558" s="1336"/>
      <c r="AM558" s="1336"/>
      <c r="AN558" s="1336"/>
      <c r="AO558" s="1336"/>
      <c r="AP558" s="1336"/>
      <c r="AQ558" s="1336"/>
      <c r="AR558" s="1336"/>
      <c r="AS558" s="1336"/>
    </row>
    <row r="559" spans="1:45" x14ac:dyDescent="0.25">
      <c r="A559" s="2371">
        <v>6</v>
      </c>
      <c r="B559" s="2383" t="s">
        <v>643</v>
      </c>
      <c r="C559" s="2374"/>
      <c r="D559" s="2374"/>
      <c r="E559" s="2374"/>
      <c r="F559" s="2374"/>
      <c r="G559" s="2373" t="s">
        <v>3974</v>
      </c>
      <c r="H559" s="2371" t="s">
        <v>3971</v>
      </c>
      <c r="I559" s="215"/>
      <c r="J559" s="210"/>
      <c r="K559" s="175"/>
      <c r="L559" s="1843"/>
      <c r="M559" s="1844"/>
      <c r="N559" s="1042"/>
      <c r="O559" s="1042"/>
      <c r="P559" s="249"/>
      <c r="Q559" s="249"/>
      <c r="R559" s="249"/>
      <c r="S559" s="249"/>
      <c r="T559" s="249"/>
      <c r="U559" s="249"/>
      <c r="V559" s="249"/>
      <c r="W559" s="249"/>
      <c r="X559" s="1757"/>
      <c r="Y559" s="2081"/>
      <c r="Z559" s="2094"/>
      <c r="AA559" s="1526"/>
      <c r="AC559" s="970"/>
      <c r="AD559" s="970"/>
      <c r="AE559" s="970"/>
      <c r="AF559" s="249"/>
      <c r="AG559" s="249"/>
      <c r="AH559" s="249"/>
      <c r="AI559" s="249"/>
      <c r="AJ559" s="249"/>
      <c r="AK559" s="249"/>
      <c r="AL559" s="1336"/>
      <c r="AM559" s="1336"/>
      <c r="AN559" s="1336"/>
      <c r="AO559" s="1336"/>
      <c r="AP559" s="1336"/>
      <c r="AQ559" s="1336"/>
      <c r="AR559" s="1336"/>
      <c r="AS559" s="1336"/>
    </row>
    <row r="560" spans="1:45" x14ac:dyDescent="0.25">
      <c r="A560" s="2371">
        <v>6</v>
      </c>
      <c r="B560" s="2383" t="s">
        <v>645</v>
      </c>
      <c r="C560" s="2374"/>
      <c r="D560" s="2374"/>
      <c r="E560" s="2374"/>
      <c r="F560" s="2374"/>
      <c r="G560" s="2373" t="str">
        <f>IF(N560&gt;0,"P","")</f>
        <v/>
      </c>
      <c r="H560" s="2371" t="s">
        <v>3971</v>
      </c>
      <c r="I560" s="130" t="s">
        <v>645</v>
      </c>
      <c r="J560" s="129"/>
      <c r="K560" s="95"/>
      <c r="L560" s="1782" t="s">
        <v>646</v>
      </c>
      <c r="M560" s="1758">
        <v>1</v>
      </c>
      <c r="N560" s="1927">
        <f>'Ch6'!O242</f>
        <v>0</v>
      </c>
      <c r="O560" s="1927">
        <f>M560*S560*W560</f>
        <v>0</v>
      </c>
      <c r="P560" s="249" t="b">
        <v>1</v>
      </c>
      <c r="Q560" s="249" t="b">
        <v>1</v>
      </c>
      <c r="R560" s="249" t="b">
        <v>0</v>
      </c>
      <c r="S560" s="249" t="b">
        <v>1</v>
      </c>
      <c r="T560" s="249" t="b">
        <v>0</v>
      </c>
      <c r="U560" s="249"/>
      <c r="V560" s="249"/>
      <c r="W560" s="25"/>
      <c r="X560" s="1757"/>
      <c r="Y560" s="2081" t="str">
        <f>IF(LEN('Ch6'!X242)=0,"None",'Ch6'!X242)</f>
        <v>None</v>
      </c>
      <c r="Z560" s="2094"/>
      <c r="AA560" s="1551" t="str">
        <f>IF(LEN('Photo Review'!I559)&gt;0,'Photo Review'!I559,"")</f>
        <v/>
      </c>
      <c r="AC560" s="970"/>
      <c r="AD560" s="970"/>
      <c r="AE560" s="970"/>
      <c r="AF560" s="249"/>
      <c r="AG560" s="249"/>
      <c r="AH560" s="249"/>
      <c r="AI560" s="249"/>
      <c r="AJ560" s="249"/>
      <c r="AK560" s="249"/>
      <c r="AL560" s="254" t="str">
        <f>SUBSTITUTE(SUBSTITUTE(SUBSTITUTE("vpa"&amp;$B560&amp;$C560&amp;$D560&amp;$E560,".","_"),"(","_"),")","")</f>
        <v>vpa602_4_2</v>
      </c>
      <c r="AM560" s="254">
        <f>M560</f>
        <v>1</v>
      </c>
      <c r="AN560" s="254" t="str">
        <f>SUBSTITUTE(SUBSTITUTE(SUBSTITUTE("vpc"&amp;$B560&amp;$C560&amp;$D560&amp;$E560,".","_"),"(","_"),")","")</f>
        <v>vpc602_4_2</v>
      </c>
      <c r="AO560" s="254">
        <f>O560</f>
        <v>0</v>
      </c>
      <c r="AP560" s="1336" t="str">
        <f>SUBSTITUTE(SUBSTITUTE(SUBSTITUTE("vch"&amp;$B560&amp;$C560&amp;$D560&amp;$E560,".","_"),"(","_"),")","")</f>
        <v>vch602_4_2</v>
      </c>
      <c r="AQ560" s="254" t="str">
        <f>IF(LEN(W560)=0,"",W560)</f>
        <v/>
      </c>
      <c r="AR560" s="1336" t="str">
        <f>SUBSTITUTE(SUBSTITUTE(SUBSTITUTE("vnt"&amp;$B560&amp;$C560&amp;$D560&amp;$E560,".","_"),"(","_"),")","")</f>
        <v>vnt602_4_2</v>
      </c>
      <c r="AS560" s="254" t="str">
        <f>IF(LEN(X560)=0,"",X560)</f>
        <v/>
      </c>
    </row>
    <row r="561" spans="1:45" x14ac:dyDescent="0.25">
      <c r="A561" s="2371">
        <v>6</v>
      </c>
      <c r="B561" s="2383" t="s">
        <v>645</v>
      </c>
      <c r="C561" s="2374"/>
      <c r="D561" s="2374"/>
      <c r="E561" s="2374"/>
      <c r="F561" s="2374"/>
      <c r="G561" s="2373" t="str">
        <f>G560</f>
        <v/>
      </c>
      <c r="H561" s="2371" t="s">
        <v>3971</v>
      </c>
      <c r="I561" s="215"/>
      <c r="J561" s="210"/>
      <c r="K561" s="175"/>
      <c r="L561" s="1843"/>
      <c r="M561" s="1759"/>
      <c r="N561" s="2076"/>
      <c r="O561" s="2076"/>
      <c r="P561" s="249"/>
      <c r="Q561" s="249"/>
      <c r="R561" s="249"/>
      <c r="S561" s="249"/>
      <c r="T561" s="249"/>
      <c r="U561" s="249"/>
      <c r="V561" s="249"/>
      <c r="W561" s="249"/>
      <c r="X561" s="1757"/>
      <c r="Y561" s="2081"/>
      <c r="Z561" s="2094"/>
      <c r="AA561" s="1526"/>
      <c r="AC561" s="970"/>
      <c r="AD561" s="970"/>
      <c r="AE561" s="970"/>
      <c r="AF561" s="249"/>
      <c r="AG561" s="249"/>
      <c r="AH561" s="249"/>
      <c r="AI561" s="249"/>
      <c r="AJ561" s="249"/>
      <c r="AK561" s="249"/>
      <c r="AL561" s="1336"/>
      <c r="AM561" s="1336"/>
      <c r="AN561" s="1336"/>
      <c r="AO561" s="1336"/>
      <c r="AP561" s="1336"/>
      <c r="AQ561" s="1336"/>
      <c r="AR561" s="1336"/>
      <c r="AS561" s="1336"/>
    </row>
    <row r="562" spans="1:45" ht="15" customHeight="1" x14ac:dyDescent="0.25">
      <c r="A562" s="2371">
        <v>6</v>
      </c>
      <c r="B562" s="2383" t="s">
        <v>647</v>
      </c>
      <c r="C562" s="2374"/>
      <c r="D562" s="2374"/>
      <c r="E562" s="2374"/>
      <c r="F562" s="2374"/>
      <c r="G562" s="2373" t="str">
        <f>IF(N562&gt;0,"P","")</f>
        <v/>
      </c>
      <c r="H562" s="2371" t="s">
        <v>3971</v>
      </c>
      <c r="I562" s="64" t="s">
        <v>647</v>
      </c>
      <c r="J562" s="4"/>
      <c r="K562" s="83"/>
      <c r="L562" s="1180" t="s">
        <v>648</v>
      </c>
      <c r="M562" s="1014">
        <v>1</v>
      </c>
      <c r="N562" s="1042">
        <f>'Ch6'!O244</f>
        <v>0</v>
      </c>
      <c r="O562" s="1042">
        <f>M562*S562*W562</f>
        <v>0</v>
      </c>
      <c r="P562" s="249" t="b">
        <v>1</v>
      </c>
      <c r="Q562" s="249" t="b">
        <v>1</v>
      </c>
      <c r="R562" s="249" t="b">
        <v>0</v>
      </c>
      <c r="S562" s="249" t="b">
        <v>1</v>
      </c>
      <c r="T562" s="249" t="b">
        <v>0</v>
      </c>
      <c r="U562" s="249"/>
      <c r="V562" s="249"/>
      <c r="W562" s="25"/>
      <c r="X562" s="918"/>
      <c r="Y562" s="988" t="str">
        <f>IF(LEN('Ch6'!X244)=0,"None",'Ch6'!X244)</f>
        <v>None</v>
      </c>
      <c r="Z562" s="1596"/>
      <c r="AA562" s="1551" t="str">
        <f>IF(LEN('Photo Review'!I561)&gt;0,'Photo Review'!I561,"")</f>
        <v/>
      </c>
      <c r="AC562" s="970"/>
      <c r="AD562" s="970"/>
      <c r="AE562" s="970"/>
      <c r="AF562" s="249"/>
      <c r="AG562" s="249"/>
      <c r="AH562" s="249"/>
      <c r="AI562" s="249"/>
      <c r="AJ562" s="249"/>
      <c r="AK562" s="249"/>
      <c r="AL562" s="254" t="str">
        <f>SUBSTITUTE(SUBSTITUTE(SUBSTITUTE("vpa"&amp;$B562&amp;$C562&amp;$D562&amp;$E562,".","_"),"(","_"),")","")</f>
        <v>vpa602_4_3</v>
      </c>
      <c r="AM562" s="254">
        <f>M562</f>
        <v>1</v>
      </c>
      <c r="AN562" s="254" t="str">
        <f>SUBSTITUTE(SUBSTITUTE(SUBSTITUTE("vpc"&amp;$B562&amp;$C562&amp;$D562&amp;$E562,".","_"),"(","_"),")","")</f>
        <v>vpc602_4_3</v>
      </c>
      <c r="AO562" s="254">
        <f>O562</f>
        <v>0</v>
      </c>
      <c r="AP562" s="1336" t="str">
        <f>SUBSTITUTE(SUBSTITUTE(SUBSTITUTE("vch"&amp;$B562&amp;$C562&amp;$D562&amp;$E562,".","_"),"(","_"),")","")</f>
        <v>vch602_4_3</v>
      </c>
      <c r="AQ562" s="254" t="str">
        <f>IF(LEN(W562)=0,"",W562)</f>
        <v/>
      </c>
      <c r="AR562" s="1336" t="str">
        <f>SUBSTITUTE(SUBSTITUTE(SUBSTITUTE("vnt"&amp;$B562&amp;$C562&amp;$D562&amp;$E562,".","_"),"(","_"),")","")</f>
        <v>vnt602_4_3</v>
      </c>
      <c r="AS562" s="254" t="str">
        <f>IF(LEN(X562)=0,"",X562)</f>
        <v/>
      </c>
    </row>
    <row r="563" spans="1:45" ht="18.75" x14ac:dyDescent="0.3">
      <c r="A563" s="2371">
        <v>6</v>
      </c>
      <c r="B563" s="2383">
        <v>603</v>
      </c>
      <c r="C563" s="2374"/>
      <c r="D563" s="2374"/>
      <c r="E563" s="2374"/>
      <c r="F563" s="2374"/>
      <c r="G563" s="2373" t="s">
        <v>3974</v>
      </c>
      <c r="H563" s="2371" t="s">
        <v>3971</v>
      </c>
      <c r="I563" s="69" t="s">
        <v>649</v>
      </c>
      <c r="J563" s="23"/>
      <c r="K563" s="82"/>
      <c r="L563" s="229"/>
      <c r="M563" s="390"/>
      <c r="N563" s="1043"/>
      <c r="O563" s="1043"/>
      <c r="P563" s="23"/>
      <c r="Q563" s="23"/>
      <c r="R563" s="23"/>
      <c r="S563" s="23"/>
      <c r="T563" s="23"/>
      <c r="U563" s="23"/>
      <c r="V563" s="23"/>
      <c r="W563" s="23"/>
      <c r="X563" s="23"/>
      <c r="Y563" s="23"/>
      <c r="Z563" s="1586"/>
      <c r="AA563" s="1526"/>
      <c r="AC563" s="970"/>
      <c r="AD563" s="970"/>
      <c r="AE563" s="970"/>
      <c r="AF563" s="249"/>
      <c r="AG563" s="249"/>
      <c r="AH563" s="249"/>
      <c r="AI563" s="249"/>
      <c r="AJ563" s="249"/>
      <c r="AK563" s="249"/>
      <c r="AL563" s="1336"/>
      <c r="AM563" s="1336"/>
      <c r="AN563" s="1336"/>
      <c r="AO563" s="1336"/>
      <c r="AP563" s="1336"/>
      <c r="AQ563" s="1336"/>
      <c r="AR563" s="1336"/>
      <c r="AS563" s="1336"/>
    </row>
    <row r="564" spans="1:45" x14ac:dyDescent="0.25">
      <c r="A564" s="2371">
        <v>6</v>
      </c>
      <c r="B564" s="2383" t="s">
        <v>3983</v>
      </c>
      <c r="C564" s="2374"/>
      <c r="D564" s="2374"/>
      <c r="E564" s="2374"/>
      <c r="F564" s="2374"/>
      <c r="G564" s="2371"/>
      <c r="H564" s="2371"/>
      <c r="I564" s="667" t="s">
        <v>3983</v>
      </c>
      <c r="J564" s="4"/>
      <c r="K564" s="83"/>
      <c r="L564" s="1796" t="s">
        <v>650</v>
      </c>
      <c r="M564" s="1014"/>
      <c r="N564" s="1042"/>
      <c r="O564" s="1042"/>
      <c r="P564" s="249"/>
      <c r="Q564" s="249"/>
      <c r="R564" s="249"/>
      <c r="S564" s="249"/>
      <c r="T564" s="249"/>
      <c r="U564" s="249"/>
      <c r="V564" s="249"/>
      <c r="W564" s="249"/>
      <c r="X564" s="911"/>
      <c r="Y564"/>
      <c r="AA564" s="1526"/>
      <c r="AC564" s="970"/>
      <c r="AD564" s="970"/>
      <c r="AE564" s="970"/>
      <c r="AF564" s="249"/>
      <c r="AG564" s="249"/>
      <c r="AH564" s="249"/>
      <c r="AI564" s="249"/>
      <c r="AJ564" s="249"/>
      <c r="AK564" s="249"/>
      <c r="AL564" s="1336"/>
      <c r="AM564" s="1336"/>
      <c r="AN564" s="1336"/>
      <c r="AO564" s="1336"/>
      <c r="AP564" s="1336"/>
      <c r="AQ564" s="1336"/>
      <c r="AR564" s="1336"/>
      <c r="AS564" s="1336"/>
    </row>
    <row r="565" spans="1:45" ht="15.75" thickBot="1" x14ac:dyDescent="0.3">
      <c r="A565" s="2371">
        <v>6</v>
      </c>
      <c r="B565" s="2383" t="s">
        <v>3983</v>
      </c>
      <c r="C565" s="2374"/>
      <c r="D565" s="2374"/>
      <c r="E565" s="2374"/>
      <c r="F565" s="2374"/>
      <c r="G565" s="2371"/>
      <c r="H565" s="2371"/>
      <c r="I565" s="64"/>
      <c r="J565" s="4"/>
      <c r="K565" s="83"/>
      <c r="L565" s="1796"/>
      <c r="M565" s="1014"/>
      <c r="N565" s="1042"/>
      <c r="O565" s="1042"/>
      <c r="P565" s="249"/>
      <c r="Q565" s="249"/>
      <c r="R565" s="249"/>
      <c r="S565" s="249"/>
      <c r="T565" s="249"/>
      <c r="U565" s="249"/>
      <c r="V565" s="249"/>
      <c r="W565" s="99"/>
      <c r="X565" s="911"/>
      <c r="Y565" s="99"/>
      <c r="Z565" s="1589"/>
      <c r="AA565" s="1526"/>
      <c r="AC565" s="970"/>
      <c r="AD565" s="970"/>
      <c r="AE565" s="970"/>
      <c r="AF565" s="249"/>
      <c r="AG565" s="249"/>
      <c r="AH565" s="249"/>
      <c r="AI565" s="249"/>
      <c r="AJ565" s="249"/>
      <c r="AK565" s="249"/>
      <c r="AL565" s="1336"/>
      <c r="AM565" s="1336"/>
      <c r="AN565" s="1336"/>
      <c r="AO565" s="1336"/>
      <c r="AP565" s="1336"/>
      <c r="AQ565" s="1336"/>
      <c r="AR565" s="1336"/>
      <c r="AS565" s="1336"/>
    </row>
    <row r="566" spans="1:45" ht="15.75" customHeight="1" thickTop="1" x14ac:dyDescent="0.25">
      <c r="A566" s="2371">
        <v>6</v>
      </c>
      <c r="B566" s="2383">
        <v>603.1</v>
      </c>
      <c r="C566" s="2374"/>
      <c r="D566" s="2374"/>
      <c r="E566" s="2374"/>
      <c r="F566" s="2374"/>
      <c r="G566" s="2373" t="str">
        <f>IF(N566&gt;0,"P","")</f>
        <v/>
      </c>
      <c r="H566" s="2371" t="s">
        <v>3972</v>
      </c>
      <c r="I566" s="180">
        <v>603.1</v>
      </c>
      <c r="J566" s="181"/>
      <c r="K566" s="182"/>
      <c r="L566" s="1781" t="s">
        <v>651</v>
      </c>
      <c r="M566" s="1848" t="s">
        <v>3054</v>
      </c>
      <c r="N566" s="2080">
        <f>'Ch6'!O248</f>
        <v>0</v>
      </c>
      <c r="O566" s="2080">
        <f>MIN(ROUNDDOWN(W566/200,0),12)</f>
        <v>0</v>
      </c>
      <c r="P566" s="105" t="b">
        <v>1</v>
      </c>
      <c r="Q566" s="105" t="b">
        <v>0</v>
      </c>
      <c r="R566" s="105" t="b">
        <v>0</v>
      </c>
      <c r="S566" s="105" t="b">
        <v>1</v>
      </c>
      <c r="T566" s="105" t="b">
        <v>0</v>
      </c>
      <c r="U566" s="105"/>
      <c r="V566" s="105"/>
      <c r="W566" s="191"/>
      <c r="X566" s="1815"/>
      <c r="Y566" s="2098" t="str">
        <f>IF(LEN('Ch6'!X248)=0,"None",'Ch6'!X248)</f>
        <v>None</v>
      </c>
      <c r="Z566" s="2085"/>
      <c r="AA566" s="1526"/>
      <c r="AC566" s="970" t="b">
        <f>OR(AD566:AE566)</f>
        <v>0</v>
      </c>
      <c r="AD566" s="970" t="b">
        <v>0</v>
      </c>
      <c r="AE566" s="970" t="b">
        <f>AND(W566&gt;0,LEN(X566)=0)</f>
        <v>0</v>
      </c>
      <c r="AF566" s="784" t="b">
        <f>AND(AE566,NOT(Q566))</f>
        <v>0</v>
      </c>
      <c r="AG566" s="249"/>
      <c r="AH566" s="249"/>
      <c r="AI566" s="249"/>
      <c r="AJ566" s="249"/>
      <c r="AK566" s="249"/>
      <c r="AL566" s="254" t="str">
        <f>SUBSTITUTE(SUBSTITUTE(SUBSTITUTE("vpa"&amp;$B566&amp;$C566&amp;$D566&amp;$E566,".","_"),"(","_"),")","")</f>
        <v>vpa603_1</v>
      </c>
      <c r="AM566" s="254" t="str">
        <f>M566</f>
        <v>1
12 Max</v>
      </c>
      <c r="AN566" s="254" t="str">
        <f>SUBSTITUTE(SUBSTITUTE(SUBSTITUTE("vpc"&amp;$B566&amp;$C566&amp;$D566&amp;$E566,".","_"),"(","_"),")","")</f>
        <v>vpc603_1</v>
      </c>
      <c r="AO566" s="254">
        <f>O566</f>
        <v>0</v>
      </c>
      <c r="AP566" s="1336" t="str">
        <f>SUBSTITUTE(SUBSTITUTE(SUBSTITUTE("vch"&amp;$B566&amp;$C566&amp;$D566&amp;$E566,".","_"),"(","_"),")","")</f>
        <v>vch603_1</v>
      </c>
      <c r="AQ566" s="254" t="str">
        <f>IF(LEN(W566)=0,"",W566)</f>
        <v/>
      </c>
      <c r="AR566" s="1336" t="str">
        <f>SUBSTITUTE(SUBSTITUTE(SUBSTITUTE("vnt"&amp;$B566&amp;$C566&amp;$D566&amp;$E566,".","_"),"(","_"),")","")</f>
        <v>vnt603_1</v>
      </c>
      <c r="AS566" s="254" t="str">
        <f>IF(LEN(X566)=0,"",X566)</f>
        <v/>
      </c>
    </row>
    <row r="567" spans="1:45" x14ac:dyDescent="0.25">
      <c r="A567" s="2371">
        <v>6</v>
      </c>
      <c r="B567" s="2383">
        <v>603.1</v>
      </c>
      <c r="C567" s="2374"/>
      <c r="D567" s="2374"/>
      <c r="E567" s="2374"/>
      <c r="F567" s="2374"/>
      <c r="G567" s="2373" t="str">
        <f>G566</f>
        <v/>
      </c>
      <c r="H567" s="2371" t="s">
        <v>3972</v>
      </c>
      <c r="I567" s="130"/>
      <c r="J567" s="129"/>
      <c r="K567" s="95"/>
      <c r="L567" s="1782"/>
      <c r="M567" s="1788"/>
      <c r="N567" s="1927"/>
      <c r="O567" s="1927"/>
      <c r="P567" s="94"/>
      <c r="Q567" s="94"/>
      <c r="R567" s="94"/>
      <c r="S567" s="94"/>
      <c r="T567" s="94"/>
      <c r="U567" s="94"/>
      <c r="V567" s="94"/>
      <c r="W567" s="94"/>
      <c r="X567" s="1799"/>
      <c r="Y567" s="2081"/>
      <c r="Z567" s="2084"/>
      <c r="AA567" s="1526"/>
      <c r="AC567" s="970"/>
      <c r="AD567" s="970"/>
      <c r="AE567" s="970"/>
      <c r="AF567" s="249"/>
      <c r="AG567" s="249"/>
      <c r="AH567" s="249"/>
      <c r="AI567" s="249"/>
      <c r="AJ567" s="249"/>
      <c r="AK567" s="249"/>
      <c r="AL567" s="1336"/>
      <c r="AM567" s="1336"/>
      <c r="AN567" s="1336"/>
      <c r="AO567" s="1336"/>
      <c r="AP567" s="1336"/>
      <c r="AQ567" s="1336"/>
      <c r="AR567" s="1336"/>
      <c r="AS567" s="1336"/>
    </row>
    <row r="568" spans="1:45" x14ac:dyDescent="0.25">
      <c r="A568" s="2371">
        <v>6</v>
      </c>
      <c r="B568" s="2383">
        <v>603.1</v>
      </c>
      <c r="C568" s="2374"/>
      <c r="D568" s="2374"/>
      <c r="E568" s="2374"/>
      <c r="F568" s="2374"/>
      <c r="G568" s="2373" t="str">
        <f>G567</f>
        <v/>
      </c>
      <c r="H568" s="2371" t="s">
        <v>3972</v>
      </c>
      <c r="I568" s="130"/>
      <c r="J568" s="129"/>
      <c r="K568" s="95"/>
      <c r="L568" s="1175" t="s">
        <v>652</v>
      </c>
      <c r="M568" s="1788"/>
      <c r="N568" s="1927"/>
      <c r="O568" s="1927"/>
      <c r="P568" s="94"/>
      <c r="Q568" s="94"/>
      <c r="R568" s="94"/>
      <c r="S568" s="94"/>
      <c r="T568" s="94"/>
      <c r="U568" s="94"/>
      <c r="V568" s="94"/>
      <c r="W568" s="94"/>
      <c r="X568" s="1799"/>
      <c r="Y568" s="2081"/>
      <c r="Z568" s="2084"/>
      <c r="AA568" s="1526"/>
      <c r="AC568" s="970"/>
      <c r="AD568" s="970"/>
      <c r="AE568" s="970"/>
      <c r="AF568" s="249"/>
      <c r="AG568" s="249"/>
      <c r="AH568" s="249"/>
      <c r="AI568" s="249"/>
      <c r="AJ568" s="249"/>
      <c r="AK568" s="249"/>
      <c r="AL568" s="1336"/>
      <c r="AM568" s="1336"/>
      <c r="AN568" s="1336"/>
      <c r="AO568" s="1336"/>
      <c r="AP568" s="1336"/>
      <c r="AQ568" s="1336"/>
      <c r="AR568" s="1336"/>
      <c r="AS568" s="1336"/>
    </row>
    <row r="569" spans="1:45" x14ac:dyDescent="0.25">
      <c r="A569" s="2371">
        <v>6</v>
      </c>
      <c r="B569" s="2383">
        <v>603.1</v>
      </c>
      <c r="C569" s="2374"/>
      <c r="D569" s="2374"/>
      <c r="E569" s="2374"/>
      <c r="F569" s="2374"/>
      <c r="G569" s="2373" t="str">
        <f>G568</f>
        <v/>
      </c>
      <c r="H569" s="2371" t="s">
        <v>3972</v>
      </c>
      <c r="I569" s="130"/>
      <c r="J569" s="129"/>
      <c r="K569" s="95"/>
      <c r="L569" s="1849" t="s">
        <v>3055</v>
      </c>
      <c r="M569" s="1788"/>
      <c r="N569" s="1927"/>
      <c r="O569" s="1927"/>
      <c r="P569" s="94"/>
      <c r="Q569" s="94"/>
      <c r="R569" s="94"/>
      <c r="S569" s="94"/>
      <c r="T569" s="94"/>
      <c r="U569" s="94"/>
      <c r="V569" s="94"/>
      <c r="W569" s="94"/>
      <c r="X569" s="1799"/>
      <c r="Y569" s="2081"/>
      <c r="Z569" s="2084"/>
      <c r="AA569" s="1526"/>
      <c r="AC569" s="970"/>
      <c r="AD569" s="970"/>
      <c r="AE569" s="970"/>
      <c r="AF569" s="249"/>
      <c r="AG569" s="249"/>
      <c r="AH569" s="249"/>
      <c r="AI569" s="249"/>
      <c r="AJ569" s="249"/>
      <c r="AK569" s="249"/>
      <c r="AL569" s="1336"/>
      <c r="AM569" s="1336"/>
      <c r="AN569" s="1336"/>
      <c r="AO569" s="1336"/>
      <c r="AP569" s="1336"/>
      <c r="AQ569" s="1336"/>
      <c r="AR569" s="1336"/>
      <c r="AS569" s="1336"/>
    </row>
    <row r="570" spans="1:45" x14ac:dyDescent="0.25">
      <c r="A570" s="2371">
        <v>6</v>
      </c>
      <c r="B570" s="2383">
        <v>603.1</v>
      </c>
      <c r="C570" s="2374"/>
      <c r="D570" s="2374"/>
      <c r="E570" s="2374"/>
      <c r="F570" s="2374"/>
      <c r="G570" s="2373" t="str">
        <f>G569</f>
        <v/>
      </c>
      <c r="H570" s="2371" t="s">
        <v>3972</v>
      </c>
      <c r="I570" s="130"/>
      <c r="J570" s="129"/>
      <c r="K570" s="95"/>
      <c r="L570" s="1850"/>
      <c r="M570" s="1788"/>
      <c r="N570" s="1927"/>
      <c r="O570" s="1927"/>
      <c r="P570" s="94"/>
      <c r="Q570" s="94"/>
      <c r="R570" s="94"/>
      <c r="S570" s="94"/>
      <c r="T570" s="94"/>
      <c r="U570" s="94"/>
      <c r="V570" s="94"/>
      <c r="W570" s="94"/>
      <c r="X570" s="1799"/>
      <c r="Y570" s="2081"/>
      <c r="Z570" s="2084"/>
      <c r="AA570" s="1526"/>
      <c r="AC570" s="970"/>
      <c r="AD570" s="970"/>
      <c r="AE570" s="970"/>
      <c r="AF570" s="249"/>
      <c r="AG570" s="249"/>
      <c r="AH570" s="249"/>
      <c r="AI570" s="249"/>
      <c r="AJ570" s="249"/>
      <c r="AK570" s="249"/>
      <c r="AL570" s="1336"/>
      <c r="AM570" s="1336"/>
      <c r="AN570" s="1336"/>
      <c r="AO570" s="1336"/>
      <c r="AP570" s="1336"/>
      <c r="AQ570" s="1336"/>
      <c r="AR570" s="1336"/>
      <c r="AS570" s="1336"/>
    </row>
    <row r="571" spans="1:45" ht="15.75" thickBot="1" x14ac:dyDescent="0.3">
      <c r="A571" s="2371">
        <v>6</v>
      </c>
      <c r="B571" s="2383">
        <v>603.1</v>
      </c>
      <c r="C571" s="2374"/>
      <c r="D571" s="2374"/>
      <c r="E571" s="2374"/>
      <c r="F571" s="2374"/>
      <c r="G571" s="2373" t="str">
        <f>G570</f>
        <v/>
      </c>
      <c r="H571" s="2371" t="s">
        <v>3972</v>
      </c>
      <c r="I571" s="130"/>
      <c r="J571" s="129"/>
      <c r="K571" s="95"/>
      <c r="L571" s="1850"/>
      <c r="M571" s="1788"/>
      <c r="N571" s="1928"/>
      <c r="O571" s="1927"/>
      <c r="P571" s="94"/>
      <c r="Q571" s="94"/>
      <c r="R571" s="94"/>
      <c r="S571" s="94"/>
      <c r="T571" s="94"/>
      <c r="U571" s="94"/>
      <c r="V571" s="94"/>
      <c r="W571" s="112"/>
      <c r="X571" s="1799"/>
      <c r="Y571" s="2082"/>
      <c r="Z571" s="2086"/>
      <c r="AA571" s="1526"/>
      <c r="AC571" s="970"/>
      <c r="AD571" s="970"/>
      <c r="AE571" s="970"/>
      <c r="AF571" s="249"/>
      <c r="AG571" s="249"/>
      <c r="AH571" s="249"/>
      <c r="AI571" s="249"/>
      <c r="AJ571" s="249"/>
      <c r="AK571" s="249"/>
      <c r="AL571" s="1336"/>
      <c r="AM571" s="1336"/>
      <c r="AN571" s="1336"/>
      <c r="AO571" s="1336"/>
      <c r="AP571" s="1336"/>
      <c r="AQ571" s="1336"/>
      <c r="AR571" s="1336"/>
      <c r="AS571" s="1336"/>
    </row>
    <row r="572" spans="1:45" ht="15.75" customHeight="1" thickTop="1" x14ac:dyDescent="0.25">
      <c r="A572" s="2371">
        <v>6</v>
      </c>
      <c r="B572" s="2383">
        <v>603.20000000000005</v>
      </c>
      <c r="C572" s="2374"/>
      <c r="D572" s="2374"/>
      <c r="E572" s="2374"/>
      <c r="F572" s="2374"/>
      <c r="G572" s="2373" t="str">
        <f>IF(N572&gt;0,"P","")</f>
        <v/>
      </c>
      <c r="H572" s="2371" t="s">
        <v>3971</v>
      </c>
      <c r="I572" s="180">
        <v>603.20000000000005</v>
      </c>
      <c r="J572" s="181"/>
      <c r="K572" s="182"/>
      <c r="L572" s="1781" t="s">
        <v>653</v>
      </c>
      <c r="M572" s="1848" t="s">
        <v>3056</v>
      </c>
      <c r="N572" s="2080">
        <f>'Ch6'!O254</f>
        <v>0</v>
      </c>
      <c r="O572" s="2080">
        <f>MIN(9,ROUNDDOWN(W572/0.01,0))</f>
        <v>0</v>
      </c>
      <c r="P572" s="105" t="b">
        <v>1</v>
      </c>
      <c r="Q572" s="105" t="b">
        <v>1</v>
      </c>
      <c r="R572" s="105" t="b">
        <v>0</v>
      </c>
      <c r="S572" s="105" t="b">
        <v>1</v>
      </c>
      <c r="T572" s="105" t="b">
        <v>0</v>
      </c>
      <c r="U572" s="105"/>
      <c r="V572" s="105"/>
      <c r="W572" s="196"/>
      <c r="X572" s="1784"/>
      <c r="Y572" s="2097" t="str">
        <f>IF(LEN('Ch6'!X254)=0,"None",'Ch6'!X254)</f>
        <v>None</v>
      </c>
      <c r="Z572" s="2085"/>
      <c r="AA572" s="1526"/>
      <c r="AC572" s="970" t="b">
        <f>OR(AD572:AE572)</f>
        <v>0</v>
      </c>
      <c r="AD572" s="970" t="b">
        <v>0</v>
      </c>
      <c r="AE572" s="970" t="b">
        <f>AND(W572&gt;0,LEN(X572)=0)</f>
        <v>0</v>
      </c>
      <c r="AF572" s="784"/>
      <c r="AG572" s="249"/>
      <c r="AH572" s="249"/>
      <c r="AI572" s="249"/>
      <c r="AJ572" s="249"/>
      <c r="AK572" s="249"/>
      <c r="AL572" s="254" t="str">
        <f>SUBSTITUTE(SUBSTITUTE(SUBSTITUTE("vpa"&amp;$B572&amp;$C572&amp;$D572&amp;$E572,".","_"),"(","_"),")","")</f>
        <v>vpa603_2</v>
      </c>
      <c r="AM572" s="254" t="str">
        <f>M572</f>
        <v>1
9 Max</v>
      </c>
      <c r="AN572" s="254" t="str">
        <f>SUBSTITUTE(SUBSTITUTE(SUBSTITUTE("vpc"&amp;$B572&amp;$C572&amp;$D572&amp;$E572,".","_"),"(","_"),")","")</f>
        <v>vpc603_2</v>
      </c>
      <c r="AO572" s="254">
        <f>O572</f>
        <v>0</v>
      </c>
      <c r="AP572" s="1336" t="str">
        <f>SUBSTITUTE(SUBSTITUTE(SUBSTITUTE("vch"&amp;$B572&amp;$C572&amp;$D572&amp;$E572,".","_"),"(","_"),")","")</f>
        <v>vch603_2</v>
      </c>
      <c r="AQ572" s="254" t="str">
        <f>IF(LEN(W572)=0,"",W572)</f>
        <v/>
      </c>
      <c r="AR572" s="1336" t="str">
        <f>SUBSTITUTE(SUBSTITUTE(SUBSTITUTE("vnt"&amp;$B572&amp;$C572&amp;$D572&amp;$E572,".","_"),"(","_"),")","")</f>
        <v>vnt603_2</v>
      </c>
      <c r="AS572" s="254" t="str">
        <f>IF(LEN(X572)=0,"",X572)</f>
        <v/>
      </c>
    </row>
    <row r="573" spans="1:45" x14ac:dyDescent="0.25">
      <c r="A573" s="2371">
        <v>6</v>
      </c>
      <c r="B573" s="2383">
        <v>603.20000000000005</v>
      </c>
      <c r="C573" s="2374"/>
      <c r="D573" s="2374"/>
      <c r="E573" s="2374"/>
      <c r="F573" s="2374"/>
      <c r="G573" s="2373" t="str">
        <f t="shared" ref="G573:G578" si="33">G572</f>
        <v/>
      </c>
      <c r="H573" s="2371" t="s">
        <v>3971</v>
      </c>
      <c r="I573" s="130"/>
      <c r="J573" s="129"/>
      <c r="K573" s="95"/>
      <c r="L573" s="1782"/>
      <c r="M573" s="1788"/>
      <c r="N573" s="1927"/>
      <c r="O573" s="1927"/>
      <c r="P573" s="94"/>
      <c r="Q573" s="94"/>
      <c r="R573" s="94"/>
      <c r="S573" s="94"/>
      <c r="T573" s="94"/>
      <c r="U573" s="94"/>
      <c r="V573" s="94"/>
      <c r="W573" s="94"/>
      <c r="X573" s="1757"/>
      <c r="Y573" s="2081"/>
      <c r="Z573" s="2084"/>
      <c r="AA573" s="1526"/>
      <c r="AC573" s="970"/>
      <c r="AD573" s="970"/>
      <c r="AE573" s="970"/>
      <c r="AF573" s="249"/>
      <c r="AG573" s="249"/>
      <c r="AH573" s="249"/>
      <c r="AI573" s="249"/>
      <c r="AJ573" s="249"/>
      <c r="AK573" s="249"/>
      <c r="AL573" s="1336"/>
      <c r="AM573" s="1336"/>
      <c r="AN573" s="1336"/>
      <c r="AO573" s="1336"/>
      <c r="AP573" s="1336"/>
      <c r="AQ573" s="1336"/>
      <c r="AR573" s="1336"/>
      <c r="AS573" s="1336"/>
    </row>
    <row r="574" spans="1:45" x14ac:dyDescent="0.25">
      <c r="A574" s="2371">
        <v>6</v>
      </c>
      <c r="B574" s="2383">
        <v>603.20000000000005</v>
      </c>
      <c r="C574" s="2374"/>
      <c r="D574" s="2374"/>
      <c r="E574" s="2374"/>
      <c r="F574" s="2374"/>
      <c r="G574" s="2373" t="str">
        <f t="shared" si="33"/>
        <v/>
      </c>
      <c r="H574" s="2371" t="s">
        <v>3971</v>
      </c>
      <c r="I574" s="130"/>
      <c r="J574" s="129"/>
      <c r="K574" s="95"/>
      <c r="L574" s="1782"/>
      <c r="M574" s="1788"/>
      <c r="N574" s="1927"/>
      <c r="O574" s="1927"/>
      <c r="P574" s="94"/>
      <c r="Q574" s="94"/>
      <c r="R574" s="94"/>
      <c r="S574" s="94"/>
      <c r="T574" s="94"/>
      <c r="U574" s="94"/>
      <c r="V574" s="94"/>
      <c r="W574" s="94"/>
      <c r="X574" s="1757"/>
      <c r="Y574" s="2081"/>
      <c r="Z574" s="2084"/>
      <c r="AA574" s="1526"/>
      <c r="AC574" s="970"/>
      <c r="AD574" s="970"/>
      <c r="AE574" s="970"/>
      <c r="AF574" s="249"/>
      <c r="AG574" s="249"/>
      <c r="AH574" s="249"/>
      <c r="AI574" s="249"/>
      <c r="AJ574" s="249"/>
      <c r="AK574" s="249"/>
      <c r="AL574" s="1336"/>
      <c r="AM574" s="1336"/>
      <c r="AN574" s="1336"/>
      <c r="AO574" s="1336"/>
      <c r="AP574" s="1336"/>
      <c r="AQ574" s="1336"/>
      <c r="AR574" s="1336"/>
      <c r="AS574" s="1336"/>
    </row>
    <row r="575" spans="1:45" ht="15" customHeight="1" x14ac:dyDescent="0.25">
      <c r="A575" s="2371">
        <v>6</v>
      </c>
      <c r="B575" s="2383">
        <v>603.20000000000005</v>
      </c>
      <c r="C575" s="2374"/>
      <c r="D575" s="2374"/>
      <c r="E575" s="2374"/>
      <c r="F575" s="2374"/>
      <c r="G575" s="2373" t="str">
        <f t="shared" si="33"/>
        <v/>
      </c>
      <c r="H575" s="2371" t="s">
        <v>3971</v>
      </c>
      <c r="I575" s="130"/>
      <c r="J575" s="129"/>
      <c r="K575" s="95"/>
      <c r="L575" s="1193" t="s">
        <v>3057</v>
      </c>
      <c r="M575" s="1788"/>
      <c r="N575" s="1927"/>
      <c r="O575" s="1927"/>
      <c r="P575" s="94"/>
      <c r="Q575" s="94"/>
      <c r="R575" s="94"/>
      <c r="S575" s="94"/>
      <c r="T575" s="94"/>
      <c r="U575" s="94"/>
      <c r="V575" s="94"/>
      <c r="W575" s="94"/>
      <c r="X575" s="1757"/>
      <c r="Y575" s="2081"/>
      <c r="Z575" s="2084"/>
      <c r="AA575" s="1526"/>
      <c r="AC575" s="970"/>
      <c r="AD575" s="970"/>
      <c r="AE575" s="970"/>
      <c r="AF575" s="249"/>
      <c r="AG575" s="249"/>
      <c r="AH575" s="249"/>
      <c r="AI575" s="249"/>
      <c r="AJ575" s="249"/>
      <c r="AK575" s="249"/>
      <c r="AL575" s="1336"/>
      <c r="AM575" s="1336"/>
      <c r="AN575" s="1336"/>
      <c r="AO575" s="1336"/>
      <c r="AP575" s="1336"/>
      <c r="AQ575" s="1336"/>
      <c r="AR575" s="1336"/>
      <c r="AS575" s="1336"/>
    </row>
    <row r="576" spans="1:45" x14ac:dyDescent="0.25">
      <c r="A576" s="2371">
        <v>6</v>
      </c>
      <c r="B576" s="2383">
        <v>603.20000000000005</v>
      </c>
      <c r="C576" s="2374"/>
      <c r="D576" s="2374"/>
      <c r="E576" s="2374"/>
      <c r="F576" s="2374"/>
      <c r="G576" s="2373" t="str">
        <f t="shared" si="33"/>
        <v/>
      </c>
      <c r="H576" s="2371" t="s">
        <v>3971</v>
      </c>
      <c r="I576" s="130"/>
      <c r="J576" s="129"/>
      <c r="K576" s="95"/>
      <c r="L576" s="1849" t="s">
        <v>3055</v>
      </c>
      <c r="M576" s="1788"/>
      <c r="N576" s="1927"/>
      <c r="O576" s="1927"/>
      <c r="P576" s="94"/>
      <c r="Q576" s="94"/>
      <c r="R576" s="94"/>
      <c r="S576" s="94"/>
      <c r="T576" s="94"/>
      <c r="U576" s="94"/>
      <c r="V576" s="94"/>
      <c r="W576" s="94"/>
      <c r="X576" s="1757"/>
      <c r="Y576" s="2081"/>
      <c r="Z576" s="2084"/>
      <c r="AA576" s="1526"/>
      <c r="AC576" s="970"/>
      <c r="AD576" s="970"/>
      <c r="AE576" s="970"/>
      <c r="AF576" s="249"/>
      <c r="AG576" s="249"/>
      <c r="AH576" s="249"/>
      <c r="AI576" s="249"/>
      <c r="AJ576" s="249"/>
      <c r="AK576" s="249"/>
      <c r="AL576" s="1336"/>
      <c r="AM576" s="1336"/>
      <c r="AN576" s="1336"/>
      <c r="AO576" s="1336"/>
      <c r="AP576" s="1336"/>
      <c r="AQ576" s="1336"/>
      <c r="AR576" s="1336"/>
      <c r="AS576" s="1336"/>
    </row>
    <row r="577" spans="1:45" x14ac:dyDescent="0.25">
      <c r="A577" s="2371">
        <v>6</v>
      </c>
      <c r="B577" s="2383">
        <v>603.20000000000005</v>
      </c>
      <c r="C577" s="2374"/>
      <c r="D577" s="2374"/>
      <c r="E577" s="2374"/>
      <c r="F577" s="2374"/>
      <c r="G577" s="2373" t="str">
        <f t="shared" si="33"/>
        <v/>
      </c>
      <c r="H577" s="2371" t="s">
        <v>3971</v>
      </c>
      <c r="I577" s="130"/>
      <c r="J577" s="129"/>
      <c r="K577" s="95"/>
      <c r="L577" s="1850"/>
      <c r="M577" s="1788"/>
      <c r="N577" s="1927"/>
      <c r="O577" s="1927"/>
      <c r="P577" s="94"/>
      <c r="Q577" s="94"/>
      <c r="R577" s="94"/>
      <c r="S577" s="94"/>
      <c r="T577" s="94"/>
      <c r="U577" s="94"/>
      <c r="V577" s="94"/>
      <c r="W577" s="94"/>
      <c r="X577" s="1757"/>
      <c r="Y577" s="2081"/>
      <c r="Z577" s="2084"/>
      <c r="AA577" s="1526"/>
      <c r="AC577" s="970"/>
      <c r="AD577" s="970"/>
      <c r="AE577" s="970"/>
      <c r="AF577" s="249"/>
      <c r="AG577" s="249"/>
      <c r="AH577" s="249"/>
      <c r="AI577" s="249"/>
      <c r="AJ577" s="249"/>
      <c r="AK577" s="249"/>
      <c r="AL577" s="1336"/>
      <c r="AM577" s="1336"/>
      <c r="AN577" s="1336"/>
      <c r="AO577" s="1336"/>
      <c r="AP577" s="1336"/>
      <c r="AQ577" s="1336"/>
      <c r="AR577" s="1336"/>
      <c r="AS577" s="1336"/>
    </row>
    <row r="578" spans="1:45" ht="15.75" thickBot="1" x14ac:dyDescent="0.3">
      <c r="A578" s="2371">
        <v>6</v>
      </c>
      <c r="B578" s="2383">
        <v>603.20000000000005</v>
      </c>
      <c r="C578" s="2374"/>
      <c r="D578" s="2374"/>
      <c r="E578" s="2374"/>
      <c r="F578" s="2374"/>
      <c r="G578" s="2373" t="str">
        <f t="shared" si="33"/>
        <v/>
      </c>
      <c r="H578" s="2371" t="s">
        <v>3971</v>
      </c>
      <c r="I578" s="130"/>
      <c r="J578" s="129"/>
      <c r="K578" s="95"/>
      <c r="L578" s="1850"/>
      <c r="M578" s="1788"/>
      <c r="N578" s="1928"/>
      <c r="O578" s="1927"/>
      <c r="P578" s="94"/>
      <c r="Q578" s="94"/>
      <c r="R578" s="94"/>
      <c r="S578" s="94"/>
      <c r="T578" s="94"/>
      <c r="U578" s="94"/>
      <c r="V578" s="94"/>
      <c r="W578" s="112"/>
      <c r="X578" s="1798"/>
      <c r="Y578" s="2082"/>
      <c r="Z578" s="2086"/>
      <c r="AA578" s="1526"/>
      <c r="AC578" s="970"/>
      <c r="AD578" s="970"/>
      <c r="AE578" s="970"/>
      <c r="AF578" s="249"/>
      <c r="AG578" s="249"/>
      <c r="AH578" s="249"/>
      <c r="AI578" s="249"/>
      <c r="AJ578" s="249"/>
      <c r="AK578" s="249"/>
      <c r="AL578" s="1336"/>
      <c r="AM578" s="1336"/>
      <c r="AN578" s="1336"/>
      <c r="AO578" s="1336"/>
      <c r="AP578" s="1336"/>
      <c r="AQ578" s="1336"/>
      <c r="AR578" s="1336"/>
      <c r="AS578" s="1336"/>
    </row>
    <row r="579" spans="1:45" ht="15.75" thickTop="1" x14ac:dyDescent="0.25">
      <c r="A579" s="2371">
        <v>6</v>
      </c>
      <c r="B579" s="2383">
        <v>603.29999999999995</v>
      </c>
      <c r="C579" s="2374"/>
      <c r="D579" s="2374"/>
      <c r="E579" s="2374"/>
      <c r="F579" s="2374"/>
      <c r="G579" s="2373" t="str">
        <f>IF(N579&gt;0,"P","")</f>
        <v/>
      </c>
      <c r="H579" s="2371" t="s">
        <v>3971</v>
      </c>
      <c r="I579" s="180">
        <v>603.29999999999995</v>
      </c>
      <c r="J579" s="181"/>
      <c r="K579" s="182"/>
      <c r="L579" s="1781" t="s">
        <v>654</v>
      </c>
      <c r="M579" s="1772">
        <v>4</v>
      </c>
      <c r="N579" s="2080">
        <f>'Ch6'!O261</f>
        <v>0</v>
      </c>
      <c r="O579" s="2080">
        <f>M579*S579*W579</f>
        <v>0</v>
      </c>
      <c r="P579" s="105" t="b">
        <v>1</v>
      </c>
      <c r="Q579" s="105" t="b">
        <v>1</v>
      </c>
      <c r="R579" s="105" t="b">
        <v>0</v>
      </c>
      <c r="S579" s="105" t="b">
        <v>1</v>
      </c>
      <c r="T579" s="105" t="b">
        <v>0</v>
      </c>
      <c r="U579" s="105"/>
      <c r="V579" s="105"/>
      <c r="W579" s="25"/>
      <c r="X579" s="1784"/>
      <c r="Y579" s="2097" t="str">
        <f>IF(LEN('Ch6'!X261)=0,"None",'Ch6'!X261)</f>
        <v>None</v>
      </c>
      <c r="Z579" s="2085"/>
      <c r="AA579" s="1526"/>
      <c r="AC579" s="970" t="b">
        <f>OR(AD579:AE579)</f>
        <v>0</v>
      </c>
      <c r="AD579" s="970" t="b">
        <v>0</v>
      </c>
      <c r="AE579" s="970" t="b">
        <f>AND(W579=TRUE,LEN(X579)=0)</f>
        <v>0</v>
      </c>
      <c r="AF579" s="784"/>
      <c r="AG579" s="249"/>
      <c r="AH579" s="249"/>
      <c r="AI579" s="249"/>
      <c r="AJ579" s="249"/>
      <c r="AK579" s="249"/>
      <c r="AL579" s="254" t="str">
        <f>SUBSTITUTE(SUBSTITUTE(SUBSTITUTE("vpa"&amp;$B579&amp;$C579&amp;$D579&amp;$E579,".","_"),"(","_"),")","")</f>
        <v>vpa603_3</v>
      </c>
      <c r="AM579" s="254">
        <f>M579</f>
        <v>4</v>
      </c>
      <c r="AN579" s="254" t="str">
        <f>SUBSTITUTE(SUBSTITUTE(SUBSTITUTE("vpc"&amp;$B579&amp;$C579&amp;$D579&amp;$E579,".","_"),"(","_"),")","")</f>
        <v>vpc603_3</v>
      </c>
      <c r="AO579" s="254">
        <f>O579</f>
        <v>0</v>
      </c>
      <c r="AP579" s="1336" t="str">
        <f>SUBSTITUTE(SUBSTITUTE(SUBSTITUTE("vch"&amp;$B579&amp;$C579&amp;$D579&amp;$E579,".","_"),"(","_"),")","")</f>
        <v>vch603_3</v>
      </c>
      <c r="AQ579" s="254" t="str">
        <f>IF(LEN(W579)=0,"",W579)</f>
        <v/>
      </c>
      <c r="AR579" s="1336" t="str">
        <f>SUBSTITUTE(SUBSTITUTE(SUBSTITUTE("vnt"&amp;$B579&amp;$C579&amp;$D579&amp;$E579,".","_"),"(","_"),")","")</f>
        <v>vnt603_3</v>
      </c>
      <c r="AS579" s="254" t="str">
        <f>IF(LEN(X579)=0,"",X579)</f>
        <v/>
      </c>
    </row>
    <row r="580" spans="1:45" x14ac:dyDescent="0.25">
      <c r="A580" s="2371">
        <v>6</v>
      </c>
      <c r="B580" s="2383">
        <v>603.29999999999995</v>
      </c>
      <c r="C580" s="2374"/>
      <c r="D580" s="2374"/>
      <c r="E580" s="2374"/>
      <c r="F580" s="2374"/>
      <c r="G580" s="2373" t="str">
        <f>G579</f>
        <v/>
      </c>
      <c r="H580" s="2371" t="s">
        <v>3971</v>
      </c>
      <c r="I580" s="130"/>
      <c r="J580" s="129"/>
      <c r="K580" s="95"/>
      <c r="L580" s="1782"/>
      <c r="M580" s="1758"/>
      <c r="N580" s="1927"/>
      <c r="O580" s="1927"/>
      <c r="P580" s="94"/>
      <c r="Q580" s="94"/>
      <c r="R580" s="94"/>
      <c r="S580" s="94"/>
      <c r="T580" s="94"/>
      <c r="U580" s="94"/>
      <c r="V580" s="94"/>
      <c r="W580" s="94"/>
      <c r="X580" s="1757"/>
      <c r="Y580" s="2081"/>
      <c r="Z580" s="2083"/>
      <c r="AA580" s="1526"/>
      <c r="AC580" s="970"/>
      <c r="AD580" s="970"/>
      <c r="AE580" s="970"/>
      <c r="AF580" s="249"/>
      <c r="AG580" s="249"/>
      <c r="AH580" s="249"/>
      <c r="AI580" s="249"/>
      <c r="AJ580" s="249"/>
      <c r="AK580" s="249"/>
      <c r="AL580" s="1336"/>
      <c r="AM580" s="1336"/>
      <c r="AN580" s="1336"/>
      <c r="AO580" s="1336"/>
      <c r="AP580" s="1336"/>
      <c r="AQ580" s="1336"/>
      <c r="AR580" s="1336"/>
      <c r="AS580" s="1336"/>
    </row>
    <row r="581" spans="1:45" ht="15" customHeight="1" x14ac:dyDescent="0.25">
      <c r="A581" s="2371">
        <v>6</v>
      </c>
      <c r="B581" s="2383">
        <v>603.29999999999995</v>
      </c>
      <c r="C581" s="2374"/>
      <c r="D581" s="2374"/>
      <c r="E581" s="2374"/>
      <c r="F581" s="2374"/>
      <c r="G581" s="2373" t="str">
        <f>G580</f>
        <v/>
      </c>
      <c r="H581" s="2371" t="s">
        <v>3971</v>
      </c>
      <c r="I581" s="130"/>
      <c r="J581" s="129"/>
      <c r="K581" s="95"/>
      <c r="L581" s="1176" t="s">
        <v>3053</v>
      </c>
      <c r="M581" s="1758"/>
      <c r="N581" s="1927"/>
      <c r="O581" s="1927"/>
      <c r="P581" s="94"/>
      <c r="Q581" s="94"/>
      <c r="R581" s="94"/>
      <c r="S581" s="94"/>
      <c r="T581" s="94"/>
      <c r="U581" s="94"/>
      <c r="V581" s="94"/>
      <c r="W581" s="94"/>
      <c r="X581" s="1757"/>
      <c r="Y581" s="2081"/>
      <c r="Z581" s="2083"/>
      <c r="AA581" s="1526"/>
      <c r="AC581" s="970"/>
      <c r="AD581" s="970"/>
      <c r="AE581" s="970"/>
      <c r="AF581" s="249"/>
      <c r="AG581" s="249"/>
      <c r="AH581" s="249"/>
      <c r="AI581" s="249"/>
      <c r="AJ581" s="249"/>
      <c r="AK581" s="249"/>
      <c r="AL581" s="1336"/>
      <c r="AM581" s="1336"/>
      <c r="AN581" s="1336"/>
      <c r="AO581" s="1336"/>
      <c r="AP581" s="1336"/>
      <c r="AQ581" s="1336"/>
      <c r="AR581" s="1336"/>
      <c r="AS581" s="1336"/>
    </row>
    <row r="582" spans="1:45" ht="18.75" x14ac:dyDescent="0.3">
      <c r="A582" s="2371">
        <v>6</v>
      </c>
      <c r="B582" s="2383">
        <v>604</v>
      </c>
      <c r="C582" s="2374"/>
      <c r="D582" s="2374"/>
      <c r="E582" s="2374"/>
      <c r="F582" s="2374"/>
      <c r="G582" s="2373" t="s">
        <v>3974</v>
      </c>
      <c r="H582" s="2371" t="s">
        <v>3971</v>
      </c>
      <c r="I582" s="14" t="s">
        <v>655</v>
      </c>
      <c r="J582" s="23"/>
      <c r="K582" s="82"/>
      <c r="L582" s="229"/>
      <c r="M582" s="390"/>
      <c r="N582" s="1043"/>
      <c r="O582" s="1043"/>
      <c r="P582" s="23"/>
      <c r="Q582" s="23"/>
      <c r="R582" s="23"/>
      <c r="S582" s="23"/>
      <c r="T582" s="23"/>
      <c r="U582" s="23"/>
      <c r="V582" s="23"/>
      <c r="W582" s="23"/>
      <c r="X582" s="23"/>
      <c r="Y582" s="23"/>
      <c r="Z582" s="1586"/>
      <c r="AA582" s="1526"/>
      <c r="AC582" s="970"/>
      <c r="AD582" s="970"/>
      <c r="AE582" s="970"/>
      <c r="AF582" s="249"/>
      <c r="AG582" s="249"/>
      <c r="AH582" s="249"/>
      <c r="AI582" s="249"/>
      <c r="AJ582" s="249"/>
      <c r="AK582" s="249"/>
      <c r="AL582" s="1336"/>
      <c r="AM582" s="1336"/>
      <c r="AN582" s="1336"/>
      <c r="AO582" s="1336"/>
      <c r="AP582" s="1336"/>
      <c r="AQ582" s="1336"/>
      <c r="AR582" s="1336"/>
      <c r="AS582" s="1336"/>
    </row>
    <row r="583" spans="1:45" ht="15" customHeight="1" x14ac:dyDescent="0.25">
      <c r="A583" s="2371">
        <v>6</v>
      </c>
      <c r="B583" s="2383">
        <v>604.1</v>
      </c>
      <c r="C583" s="2374" t="s">
        <v>2971</v>
      </c>
      <c r="D583" s="2374"/>
      <c r="E583" s="2374"/>
      <c r="F583" s="2374"/>
      <c r="G583" s="2373" t="str">
        <f>IF(N583&gt;0,"P","")</f>
        <v/>
      </c>
      <c r="H583" s="2371" t="s">
        <v>3971</v>
      </c>
      <c r="I583" s="64">
        <v>604.1</v>
      </c>
      <c r="J583" s="4"/>
      <c r="K583" s="83"/>
      <c r="L583" s="1796" t="s">
        <v>656</v>
      </c>
      <c r="M583" s="1846" t="s">
        <v>3059</v>
      </c>
      <c r="N583" s="2075">
        <f>'Ch6'!O265</f>
        <v>0</v>
      </c>
      <c r="O583" s="2075">
        <f>IFERROR(INDEX({0,1,2,3},MATCH(MIN(W586+0,W584+0),{0,0.25,0.5,0.75},1)),0)+IFERROR(INDEX({0,2,4,6},MATCH(MIN(W588+0,W590+0),{0,0.25,0.5,0.75},1)),0)</f>
        <v>0</v>
      </c>
      <c r="P583" s="249"/>
      <c r="Q583" s="249"/>
      <c r="R583" s="249"/>
      <c r="S583" s="249"/>
      <c r="T583" s="249"/>
      <c r="U583" s="249"/>
      <c r="V583" s="249"/>
      <c r="W583" s="249" t="s">
        <v>3060</v>
      </c>
      <c r="X583" s="1798"/>
      <c r="Y583" s="2081" t="str">
        <f>IF(LEN('Ch6'!X265)=0,"None",'Ch6'!X265)</f>
        <v>None</v>
      </c>
      <c r="Z583" s="2083"/>
      <c r="AA583" s="1526"/>
      <c r="AC583" s="970"/>
      <c r="AD583" s="970"/>
      <c r="AE583" s="970"/>
      <c r="AF583" s="249"/>
      <c r="AG583" s="249"/>
      <c r="AH583" s="249"/>
      <c r="AI583" s="249"/>
      <c r="AJ583" s="249"/>
      <c r="AK583" s="249"/>
      <c r="AL583" s="254" t="str">
        <f>SUBSTITUTE(SUBSTITUTE(SUBSTITUTE("vpa"&amp;$B583&amp;$C583&amp;$D583&amp;$E583,".","_"),"(","_"),")","")</f>
        <v>vpa604_1a</v>
      </c>
      <c r="AM583" s="254" t="str">
        <f>M583</f>
        <v>per Table
604.1</v>
      </c>
      <c r="AN583" s="254" t="str">
        <f>SUBSTITUTE(SUBSTITUTE(SUBSTITUTE("vpc"&amp;$B583&amp;$C583&amp;$D583&amp;$E583,".","_"),"(","_"),")","")</f>
        <v>vpc604_1a</v>
      </c>
      <c r="AO583" s="254">
        <f>O583</f>
        <v>0</v>
      </c>
      <c r="AP583" s="1336"/>
      <c r="AQ583" s="1336"/>
      <c r="AR583" s="1336" t="str">
        <f>SUBSTITUTE(SUBSTITUTE(SUBSTITUTE("vnt"&amp;$B583&amp;$C583&amp;$D583&amp;$E583,".","_"),"(","_"),")","")</f>
        <v>vnt604_1a</v>
      </c>
      <c r="AS583" s="254" t="str">
        <f>IF(LEN(X583)=0,"",X583)</f>
        <v/>
      </c>
    </row>
    <row r="584" spans="1:45" x14ac:dyDescent="0.25">
      <c r="A584" s="2371">
        <v>6</v>
      </c>
      <c r="B584" s="2383">
        <v>604.1</v>
      </c>
      <c r="C584" s="2374" t="s">
        <v>2971</v>
      </c>
      <c r="D584" s="2374"/>
      <c r="E584" s="2374"/>
      <c r="F584" s="2374"/>
      <c r="G584" s="2373" t="str">
        <f t="shared" ref="G584:G590" si="34">G583</f>
        <v/>
      </c>
      <c r="H584" s="2371" t="s">
        <v>3971</v>
      </c>
      <c r="I584" s="64"/>
      <c r="J584" s="4"/>
      <c r="K584" s="83"/>
      <c r="L584" s="1796"/>
      <c r="M584" s="1846"/>
      <c r="N584" s="2075"/>
      <c r="O584" s="2075"/>
      <c r="P584" s="249" t="b">
        <v>1</v>
      </c>
      <c r="Q584" s="249" t="b">
        <v>1</v>
      </c>
      <c r="R584" s="249" t="b">
        <v>0</v>
      </c>
      <c r="S584" s="249" t="b">
        <v>1</v>
      </c>
      <c r="T584" s="249" t="b">
        <v>0</v>
      </c>
      <c r="U584" s="94"/>
      <c r="V584" s="249"/>
      <c r="W584" s="168"/>
      <c r="X584" s="1756"/>
      <c r="Y584" s="2081"/>
      <c r="Z584" s="2083"/>
      <c r="AA584" s="1526"/>
      <c r="AC584" s="970" t="b">
        <f>OR(AD584:AE584)</f>
        <v>0</v>
      </c>
      <c r="AD584" s="970" t="b">
        <v>0</v>
      </c>
      <c r="AE584" s="970" t="b">
        <f>AND(W584&gt;0,LEN(X583)=0)</f>
        <v>0</v>
      </c>
      <c r="AF584" s="784"/>
      <c r="AG584" s="249"/>
      <c r="AH584" s="249"/>
      <c r="AI584" s="249"/>
      <c r="AJ584" s="249"/>
      <c r="AK584" s="249"/>
      <c r="AL584" s="1336"/>
      <c r="AM584" s="1336"/>
      <c r="AN584" s="1336"/>
      <c r="AO584" s="1336"/>
      <c r="AP584" s="1336" t="str">
        <f>SUBSTITUTE(SUBSTITUTE(SUBSTITUTE("vch"&amp;$B584&amp;$C584&amp;$D584&amp;$E584,".","_"),"(","_"),")","")</f>
        <v>vch604_1a</v>
      </c>
      <c r="AQ584" s="254" t="str">
        <f>IF(LEN(W584)=0,"",W584)</f>
        <v/>
      </c>
      <c r="AR584" s="1336"/>
      <c r="AS584" s="1336"/>
    </row>
    <row r="585" spans="1:45" x14ac:dyDescent="0.25">
      <c r="A585" s="2371">
        <v>6</v>
      </c>
      <c r="B585" s="2383">
        <v>604.1</v>
      </c>
      <c r="C585" s="2374" t="s">
        <v>2972</v>
      </c>
      <c r="D585" s="2374"/>
      <c r="E585" s="2374"/>
      <c r="F585" s="2374"/>
      <c r="G585" s="2373" t="str">
        <f t="shared" si="34"/>
        <v/>
      </c>
      <c r="H585" s="2371" t="s">
        <v>3971</v>
      </c>
      <c r="I585" s="64"/>
      <c r="J585" s="4"/>
      <c r="K585" s="83"/>
      <c r="L585" s="1179" t="s">
        <v>3067</v>
      </c>
      <c r="M585" s="1846"/>
      <c r="N585" s="2075"/>
      <c r="O585" s="2075"/>
      <c r="P585" s="249"/>
      <c r="Q585" s="249"/>
      <c r="R585" s="249"/>
      <c r="S585" s="249"/>
      <c r="T585" s="249"/>
      <c r="U585" s="249"/>
      <c r="V585" s="249"/>
      <c r="W585" s="249" t="s">
        <v>3061</v>
      </c>
      <c r="X585" s="1757"/>
      <c r="Y585" s="2081" t="str">
        <f>IF(LEN('Ch6'!X267)=0,"None",'Ch6'!X267)</f>
        <v>None</v>
      </c>
      <c r="Z585" s="2083"/>
      <c r="AA585" s="1526"/>
      <c r="AC585" s="970"/>
      <c r="AD585" s="970"/>
      <c r="AE585" s="970"/>
      <c r="AF585" s="249"/>
      <c r="AG585" s="249"/>
      <c r="AH585" s="249"/>
      <c r="AI585" s="249"/>
      <c r="AJ585" s="249"/>
      <c r="AK585" s="249"/>
      <c r="AL585" s="1336"/>
      <c r="AM585" s="1336"/>
      <c r="AN585" s="1336"/>
      <c r="AO585" s="1336"/>
      <c r="AP585" s="1336"/>
      <c r="AQ585" s="1336"/>
      <c r="AR585" s="1336" t="str">
        <f>SUBSTITUTE(SUBSTITUTE(SUBSTITUTE("vnt"&amp;$B585&amp;$C585&amp;$D585&amp;$E585,".","_"),"(","_"),")","")</f>
        <v>vnt604_1b</v>
      </c>
      <c r="AS585" s="254" t="str">
        <f>IF(LEN(X585)=0,"",X585)</f>
        <v/>
      </c>
    </row>
    <row r="586" spans="1:45" x14ac:dyDescent="0.25">
      <c r="A586" s="2371">
        <v>6</v>
      </c>
      <c r="B586" s="2383">
        <v>604.1</v>
      </c>
      <c r="C586" s="2374" t="s">
        <v>2972</v>
      </c>
      <c r="D586" s="2374"/>
      <c r="E586" s="2374"/>
      <c r="F586" s="2374"/>
      <c r="G586" s="2373" t="str">
        <f t="shared" si="34"/>
        <v/>
      </c>
      <c r="H586" s="2371" t="s">
        <v>3971</v>
      </c>
      <c r="I586" s="64"/>
      <c r="J586" s="4"/>
      <c r="K586" s="83"/>
      <c r="L586" s="262" t="s">
        <v>3064</v>
      </c>
      <c r="M586" s="1846"/>
      <c r="N586" s="2075"/>
      <c r="O586" s="2075"/>
      <c r="P586" s="249" t="b">
        <v>1</v>
      </c>
      <c r="Q586" s="249" t="b">
        <v>1</v>
      </c>
      <c r="R586" s="249" t="b">
        <v>0</v>
      </c>
      <c r="S586" s="249" t="b">
        <v>1</v>
      </c>
      <c r="T586" s="249" t="b">
        <v>0</v>
      </c>
      <c r="U586" s="94"/>
      <c r="V586" s="249"/>
      <c r="W586" s="168"/>
      <c r="X586" s="1757"/>
      <c r="Y586" s="2081"/>
      <c r="Z586" s="2083"/>
      <c r="AA586" s="1526"/>
      <c r="AC586" s="970" t="b">
        <f>OR(AD586:AE586)</f>
        <v>0</v>
      </c>
      <c r="AD586" s="970" t="b">
        <v>0</v>
      </c>
      <c r="AE586" s="970" t="b">
        <f>AND(W586&gt;0,LEN(X585)=0)</f>
        <v>0</v>
      </c>
      <c r="AF586" s="784"/>
      <c r="AG586" s="249"/>
      <c r="AH586" s="249"/>
      <c r="AI586" s="249"/>
      <c r="AJ586" s="249"/>
      <c r="AK586" s="249"/>
      <c r="AL586" s="1336"/>
      <c r="AM586" s="1336"/>
      <c r="AN586" s="1336"/>
      <c r="AO586" s="1336"/>
      <c r="AP586" s="1336" t="str">
        <f>SUBSTITUTE(SUBSTITUTE(SUBSTITUTE("vch"&amp;$B586&amp;$C586&amp;$D586&amp;$E586,".","_"),"(","_"),")","")</f>
        <v>vch604_1b</v>
      </c>
      <c r="AQ586" s="254" t="str">
        <f>IF(LEN(W586)=0,"",W586)</f>
        <v/>
      </c>
      <c r="AR586" s="1336"/>
      <c r="AS586" s="1336"/>
    </row>
    <row r="587" spans="1:45" x14ac:dyDescent="0.25">
      <c r="A587" s="2371">
        <v>6</v>
      </c>
      <c r="B587" s="2383">
        <v>604.1</v>
      </c>
      <c r="C587" s="2374" t="s">
        <v>2973</v>
      </c>
      <c r="D587" s="2374"/>
      <c r="E587" s="2374"/>
      <c r="F587" s="2374"/>
      <c r="G587" s="2373" t="str">
        <f t="shared" si="34"/>
        <v/>
      </c>
      <c r="H587" s="2371" t="s">
        <v>3971</v>
      </c>
      <c r="I587" s="64"/>
      <c r="J587" s="4"/>
      <c r="K587" s="83"/>
      <c r="L587" s="1804" t="s">
        <v>3066</v>
      </c>
      <c r="M587" s="1846"/>
      <c r="N587" s="2075"/>
      <c r="O587" s="2075"/>
      <c r="P587" s="249"/>
      <c r="Q587" s="249"/>
      <c r="R587" s="249"/>
      <c r="S587" s="249"/>
      <c r="T587" s="249"/>
      <c r="U587" s="249"/>
      <c r="V587" s="249"/>
      <c r="W587" s="249" t="s">
        <v>3063</v>
      </c>
      <c r="X587" s="1757"/>
      <c r="Y587" s="2081" t="str">
        <f>IF(LEN('Ch6'!X269)=0,"None",'Ch6'!X269)</f>
        <v>None</v>
      </c>
      <c r="Z587" s="2083"/>
      <c r="AA587" s="1526"/>
      <c r="AC587" s="970"/>
      <c r="AD587" s="970"/>
      <c r="AE587" s="970"/>
      <c r="AF587" s="249"/>
      <c r="AG587" s="249"/>
      <c r="AH587" s="249"/>
      <c r="AI587" s="249"/>
      <c r="AJ587" s="249"/>
      <c r="AK587" s="249"/>
      <c r="AL587" s="1336"/>
      <c r="AM587" s="1336"/>
      <c r="AN587" s="1336"/>
      <c r="AO587" s="1336"/>
      <c r="AP587" s="1336"/>
      <c r="AQ587" s="1336"/>
      <c r="AR587" s="1336" t="str">
        <f>SUBSTITUTE(SUBSTITUTE(SUBSTITUTE("vnt"&amp;$B587&amp;$C587&amp;$D587&amp;$E587,".","_"),"(","_"),")","")</f>
        <v>vnt604_1c</v>
      </c>
      <c r="AS587" s="254" t="str">
        <f>IF(LEN(X587)=0,"",X587)</f>
        <v/>
      </c>
    </row>
    <row r="588" spans="1:45" x14ac:dyDescent="0.25">
      <c r="A588" s="2371">
        <v>6</v>
      </c>
      <c r="B588" s="2383">
        <v>604.1</v>
      </c>
      <c r="C588" s="2374" t="s">
        <v>2973</v>
      </c>
      <c r="D588" s="2374"/>
      <c r="E588" s="2374"/>
      <c r="F588" s="2374"/>
      <c r="G588" s="2373" t="str">
        <f t="shared" si="34"/>
        <v/>
      </c>
      <c r="H588" s="2371" t="s">
        <v>3971</v>
      </c>
      <c r="I588" s="64"/>
      <c r="J588" s="4"/>
      <c r="K588" s="83"/>
      <c r="L588" s="1804"/>
      <c r="M588" s="1846"/>
      <c r="N588" s="2075"/>
      <c r="O588" s="2075"/>
      <c r="P588" s="249" t="b">
        <v>1</v>
      </c>
      <c r="Q588" s="249" t="b">
        <v>1</v>
      </c>
      <c r="R588" s="249" t="b">
        <v>0</v>
      </c>
      <c r="S588" s="249" t="b">
        <v>1</v>
      </c>
      <c r="T588" s="249" t="b">
        <v>0</v>
      </c>
      <c r="U588" s="94"/>
      <c r="V588" s="249"/>
      <c r="W588" s="168"/>
      <c r="X588" s="1757"/>
      <c r="Y588" s="2081"/>
      <c r="Z588" s="2083"/>
      <c r="AA588" s="1526"/>
      <c r="AC588" s="970" t="b">
        <f>OR(AD588:AE588)</f>
        <v>0</v>
      </c>
      <c r="AD588" s="970" t="b">
        <v>0</v>
      </c>
      <c r="AE588" s="970" t="b">
        <f>AND(W588&gt;0,LEN(X587)=0)</f>
        <v>0</v>
      </c>
      <c r="AF588" s="784"/>
      <c r="AG588" s="249"/>
      <c r="AH588" s="249"/>
      <c r="AI588" s="249"/>
      <c r="AJ588" s="249"/>
      <c r="AK588" s="249"/>
      <c r="AL588" s="1336"/>
      <c r="AM588" s="1336"/>
      <c r="AN588" s="1336"/>
      <c r="AO588" s="1336"/>
      <c r="AP588" s="1336" t="str">
        <f>SUBSTITUTE(SUBSTITUTE(SUBSTITUTE("vch"&amp;$B588&amp;$C588&amp;$D588&amp;$E588,".","_"),"(","_"),")","")</f>
        <v>vch604_1c</v>
      </c>
      <c r="AQ588" s="254" t="str">
        <f>IF(LEN(W588)=0,"",W588)</f>
        <v/>
      </c>
      <c r="AR588" s="1336"/>
      <c r="AS588" s="1336"/>
    </row>
    <row r="589" spans="1:45" x14ac:dyDescent="0.25">
      <c r="A589" s="2371">
        <v>6</v>
      </c>
      <c r="B589" s="2383">
        <v>604.1</v>
      </c>
      <c r="C589" s="2374" t="s">
        <v>2974</v>
      </c>
      <c r="D589" s="2374"/>
      <c r="E589" s="2374"/>
      <c r="F589" s="2374"/>
      <c r="G589" s="2373" t="str">
        <f t="shared" si="34"/>
        <v/>
      </c>
      <c r="H589" s="2371" t="s">
        <v>3971</v>
      </c>
      <c r="I589" s="64"/>
      <c r="J589" s="4"/>
      <c r="K589" s="83"/>
      <c r="M589" s="1846"/>
      <c r="N589" s="2075"/>
      <c r="O589" s="2075"/>
      <c r="P589" s="249"/>
      <c r="Q589" s="249"/>
      <c r="R589" s="249"/>
      <c r="S589" s="249"/>
      <c r="T589" s="249"/>
      <c r="U589" s="249"/>
      <c r="V589" s="249"/>
      <c r="W589" s="249" t="s">
        <v>3062</v>
      </c>
      <c r="X589" s="1757"/>
      <c r="Y589" s="2081" t="str">
        <f>IF(LEN('Ch6'!X271)=0,"None",'Ch6'!X271)</f>
        <v>None</v>
      </c>
      <c r="Z589" s="2083"/>
      <c r="AA589" s="1526"/>
      <c r="AC589" s="970"/>
      <c r="AD589" s="970"/>
      <c r="AE589" s="970"/>
      <c r="AF589" s="249"/>
      <c r="AG589" s="249"/>
      <c r="AH589" s="249"/>
      <c r="AI589" s="249"/>
      <c r="AJ589" s="249"/>
      <c r="AK589" s="249"/>
      <c r="AL589" s="1336"/>
      <c r="AM589" s="1336"/>
      <c r="AN589" s="1336"/>
      <c r="AO589" s="1336"/>
      <c r="AP589" s="1336"/>
      <c r="AQ589" s="1336"/>
      <c r="AR589" s="1336" t="str">
        <f>SUBSTITUTE(SUBSTITUTE(SUBSTITUTE("vnt"&amp;$B589&amp;$C589&amp;$D589&amp;$E589,".","_"),"(","_"),")","")</f>
        <v>vnt604_1d</v>
      </c>
      <c r="AS589" s="254" t="str">
        <f>IF(LEN(X589)=0,"",X589)</f>
        <v/>
      </c>
    </row>
    <row r="590" spans="1:45" x14ac:dyDescent="0.25">
      <c r="A590" s="2371">
        <v>6</v>
      </c>
      <c r="B590" s="2383">
        <v>604.1</v>
      </c>
      <c r="C590" s="2374" t="s">
        <v>2974</v>
      </c>
      <c r="D590" s="2374"/>
      <c r="E590" s="2374"/>
      <c r="F590" s="2374"/>
      <c r="G590" s="2373" t="str">
        <f t="shared" si="34"/>
        <v/>
      </c>
      <c r="H590" s="2371" t="s">
        <v>3971</v>
      </c>
      <c r="I590" s="64"/>
      <c r="J590" s="4"/>
      <c r="K590" s="83"/>
      <c r="M590" s="1846"/>
      <c r="N590" s="2075"/>
      <c r="O590" s="2075"/>
      <c r="P590" s="249" t="b">
        <v>1</v>
      </c>
      <c r="Q590" s="249" t="b">
        <v>1</v>
      </c>
      <c r="R590" s="249" t="b">
        <v>0</v>
      </c>
      <c r="S590" s="249" t="b">
        <v>1</v>
      </c>
      <c r="T590" s="249" t="b">
        <v>0</v>
      </c>
      <c r="U590" s="94"/>
      <c r="V590" s="249"/>
      <c r="W590" s="168"/>
      <c r="X590" s="1757"/>
      <c r="Y590" s="2081"/>
      <c r="Z590" s="2083"/>
      <c r="AA590" s="1526"/>
      <c r="AC590" s="970" t="b">
        <f>OR(AD590:AE590)</f>
        <v>0</v>
      </c>
      <c r="AD590" s="970" t="b">
        <v>0</v>
      </c>
      <c r="AE590" s="970" t="b">
        <f>AND(W590&gt;0,LEN(X589)=0)</f>
        <v>0</v>
      </c>
      <c r="AF590" s="784"/>
      <c r="AG590" s="249"/>
      <c r="AH590" s="249"/>
      <c r="AI590" s="249"/>
      <c r="AJ590" s="249"/>
      <c r="AK590" s="249"/>
      <c r="AL590" s="1336"/>
      <c r="AM590" s="1336"/>
      <c r="AN590" s="1336"/>
      <c r="AO590" s="1336"/>
      <c r="AP590" s="1336" t="str">
        <f>SUBSTITUTE(SUBSTITUTE(SUBSTITUTE("vch"&amp;$B590&amp;$C590&amp;$D590&amp;$E590,".","_"),"(","_"),")","")</f>
        <v>vch604_1d</v>
      </c>
      <c r="AQ590" s="254" t="str">
        <f>IF(LEN(W590)=0,"",W590)</f>
        <v/>
      </c>
      <c r="AR590" s="1336"/>
      <c r="AS590" s="1336"/>
    </row>
    <row r="591" spans="1:45" ht="18.75" x14ac:dyDescent="0.3">
      <c r="A591" s="2371">
        <v>6</v>
      </c>
      <c r="B591" s="2383">
        <v>605</v>
      </c>
      <c r="C591" s="2374"/>
      <c r="D591" s="2374"/>
      <c r="E591" s="2374"/>
      <c r="F591" s="2374"/>
      <c r="G591" s="2373" t="s">
        <v>3974</v>
      </c>
      <c r="H591" s="2371" t="s">
        <v>3971</v>
      </c>
      <c r="I591" s="14" t="s">
        <v>657</v>
      </c>
      <c r="J591" s="23"/>
      <c r="K591" s="82"/>
      <c r="L591" s="228"/>
      <c r="M591" s="390"/>
      <c r="N591" s="1043"/>
      <c r="O591" s="1043"/>
      <c r="P591" s="23"/>
      <c r="Q591" s="23"/>
      <c r="R591" s="23"/>
      <c r="S591" s="23"/>
      <c r="T591" s="23"/>
      <c r="U591" s="23"/>
      <c r="V591" s="23"/>
      <c r="W591" s="23"/>
      <c r="X591" s="23"/>
      <c r="Y591" s="23"/>
      <c r="Z591" s="1586"/>
      <c r="AA591" s="1526"/>
      <c r="AC591" s="970"/>
      <c r="AD591" s="970"/>
      <c r="AE591" s="970"/>
      <c r="AF591" s="249"/>
      <c r="AG591" s="249"/>
      <c r="AH591" s="249"/>
      <c r="AI591" s="249"/>
      <c r="AJ591" s="249"/>
      <c r="AK591" s="249"/>
      <c r="AL591" s="1336"/>
      <c r="AM591" s="1336"/>
      <c r="AN591" s="1336"/>
      <c r="AO591" s="1336"/>
      <c r="AP591" s="1336"/>
      <c r="AQ591" s="1336"/>
      <c r="AR591" s="1336"/>
      <c r="AS591" s="1336"/>
    </row>
    <row r="592" spans="1:45" ht="15" customHeight="1" thickBot="1" x14ac:dyDescent="0.3">
      <c r="A592" s="2371">
        <v>6</v>
      </c>
      <c r="B592" s="2383" t="s">
        <v>3982</v>
      </c>
      <c r="C592" s="2374"/>
      <c r="D592" s="2374"/>
      <c r="E592" s="2374"/>
      <c r="F592" s="2374"/>
      <c r="G592" s="2371"/>
      <c r="H592" s="2371"/>
      <c r="I592" s="78" t="s">
        <v>3982</v>
      </c>
      <c r="J592" s="240"/>
      <c r="K592" s="97"/>
      <c r="L592" s="1166" t="s">
        <v>4170</v>
      </c>
      <c r="M592" s="1011"/>
      <c r="N592" s="1052"/>
      <c r="O592" s="1045"/>
      <c r="P592" s="99"/>
      <c r="Q592" s="99"/>
      <c r="R592" s="99"/>
      <c r="S592" s="99"/>
      <c r="T592" s="99"/>
      <c r="U592" s="249"/>
      <c r="V592" s="249"/>
      <c r="W592" s="99"/>
      <c r="X592" s="99"/>
      <c r="Y592" s="99"/>
      <c r="Z592" s="1589"/>
      <c r="AA592" s="1526"/>
      <c r="AC592" s="970"/>
      <c r="AD592" s="970"/>
      <c r="AE592" s="970"/>
      <c r="AF592" s="249"/>
      <c r="AG592" s="249"/>
      <c r="AH592" s="249"/>
      <c r="AI592" s="249"/>
      <c r="AJ592" s="249"/>
      <c r="AK592" s="249"/>
      <c r="AL592" s="1336"/>
      <c r="AM592" s="1336"/>
      <c r="AN592" s="1336"/>
      <c r="AO592" s="1336"/>
      <c r="AP592" s="1336"/>
      <c r="AQ592" s="1336"/>
      <c r="AR592" s="1336"/>
      <c r="AS592" s="1336"/>
    </row>
    <row r="593" spans="1:45" ht="15.75" thickTop="1" x14ac:dyDescent="0.25">
      <c r="A593" s="2371">
        <v>6</v>
      </c>
      <c r="B593" s="2383">
        <v>605.1</v>
      </c>
      <c r="C593" s="2374"/>
      <c r="D593" s="2374"/>
      <c r="E593" s="2374"/>
      <c r="F593" s="2374"/>
      <c r="G593" s="2371" t="s">
        <v>3974</v>
      </c>
      <c r="H593" s="2371" t="s">
        <v>3972</v>
      </c>
      <c r="I593" s="180">
        <v>605.1</v>
      </c>
      <c r="J593" s="4"/>
      <c r="K593" s="83"/>
      <c r="L593" s="1836" t="s">
        <v>4171</v>
      </c>
      <c r="M593" s="1837" t="str">
        <f>IF(R593,"Mandatory","N/A")</f>
        <v>Mandatory</v>
      </c>
      <c r="N593" s="664"/>
      <c r="O593" s="1044"/>
      <c r="P593" s="334" t="b">
        <v>1</v>
      </c>
      <c r="Q593" s="334" t="b">
        <v>0</v>
      </c>
      <c r="R593" s="334" t="b">
        <f>S593</f>
        <v>1</v>
      </c>
      <c r="S593" s="334" t="b">
        <v>1</v>
      </c>
      <c r="T593" s="334" t="b">
        <v>0</v>
      </c>
      <c r="U593" s="249"/>
      <c r="V593" s="249"/>
      <c r="W593" s="117"/>
      <c r="X593" s="1756"/>
      <c r="Y593" s="2129" t="str">
        <f>IF(LEN('Ch6'!X275)=0,"None",'Ch6'!X275)</f>
        <v>None</v>
      </c>
      <c r="Z593" s="2089"/>
      <c r="AA593" s="1526"/>
      <c r="AC593" s="334" t="b">
        <f>OR(AD593:AE593)</f>
        <v>1</v>
      </c>
      <c r="AD593" s="970" t="b">
        <v>0</v>
      </c>
      <c r="AE593" s="970" t="b">
        <f>AND(R593,NOT(W593))</f>
        <v>1</v>
      </c>
      <c r="AF593" s="911" t="b">
        <f>AND(AE593,NOT(Q593))</f>
        <v>1</v>
      </c>
      <c r="AG593" s="249"/>
      <c r="AH593" s="249"/>
      <c r="AI593" s="249"/>
      <c r="AJ593" s="249"/>
      <c r="AK593" s="249"/>
      <c r="AL593" s="254" t="str">
        <f>SUBSTITUTE(SUBSTITUTE(SUBSTITUTE("vpa"&amp;$B593&amp;$C593&amp;$D593&amp;$E593,".","_"),"(","_"),")","")</f>
        <v>vpa605_1</v>
      </c>
      <c r="AM593" s="254" t="str">
        <f>M593</f>
        <v>Mandatory</v>
      </c>
      <c r="AN593" s="1336"/>
      <c r="AO593" s="1336"/>
      <c r="AP593" s="1336" t="str">
        <f>SUBSTITUTE(SUBSTITUTE(SUBSTITUTE("vch"&amp;$B593&amp;$C593&amp;$D593&amp;$E593,".","_"),"(","_"),")","")</f>
        <v>vch605_1</v>
      </c>
      <c r="AQ593" s="254" t="str">
        <f>IF(LEN(W593)=0,"",W593)</f>
        <v/>
      </c>
      <c r="AR593" s="1336" t="str">
        <f>SUBSTITUTE(SUBSTITUTE(SUBSTITUTE("vnt"&amp;$B593&amp;$C593&amp;$D593&amp;$E593,".","_"),"(","_"),")","")</f>
        <v>vnt605_1</v>
      </c>
      <c r="AS593" s="254" t="str">
        <f>IF(LEN(X593)=0,"",X593)</f>
        <v/>
      </c>
    </row>
    <row r="594" spans="1:45" s="868" customFormat="1" x14ac:dyDescent="0.25">
      <c r="A594" s="2371">
        <v>6</v>
      </c>
      <c r="B594" s="2383">
        <v>605.1</v>
      </c>
      <c r="C594" s="2374"/>
      <c r="D594" s="2374"/>
      <c r="E594" s="2374"/>
      <c r="F594" s="2374"/>
      <c r="G594" s="2371" t="s">
        <v>3974</v>
      </c>
      <c r="H594" s="2371" t="s">
        <v>3972</v>
      </c>
      <c r="I594" s="78"/>
      <c r="J594" s="4"/>
      <c r="K594" s="83"/>
      <c r="L594" s="1836"/>
      <c r="M594" s="1838"/>
      <c r="N594" s="664"/>
      <c r="O594" s="1042"/>
      <c r="X594" s="1757"/>
      <c r="Y594" s="2100"/>
      <c r="Z594" s="2091"/>
      <c r="AA594" s="1526"/>
      <c r="AC594" s="970"/>
      <c r="AD594" s="970"/>
      <c r="AE594" s="970"/>
      <c r="AL594" s="1336"/>
      <c r="AM594" s="1336"/>
      <c r="AN594" s="1336"/>
      <c r="AO594" s="1336"/>
      <c r="AP594" s="1336"/>
      <c r="AQ594" s="1336"/>
      <c r="AR594" s="1336"/>
      <c r="AS594" s="1336"/>
    </row>
    <row r="595" spans="1:45" ht="15.75" thickBot="1" x14ac:dyDescent="0.3">
      <c r="A595" s="2371">
        <v>6</v>
      </c>
      <c r="B595" s="2383">
        <v>605.1</v>
      </c>
      <c r="C595" s="2374"/>
      <c r="D595" s="2374"/>
      <c r="E595" s="2374"/>
      <c r="F595" s="2374"/>
      <c r="G595" s="2371" t="s">
        <v>3974</v>
      </c>
      <c r="H595" s="2371" t="s">
        <v>3972</v>
      </c>
      <c r="I595" s="78"/>
      <c r="J595" s="4"/>
      <c r="K595" s="83"/>
      <c r="L595" s="1836"/>
      <c r="M595" s="1839"/>
      <c r="N595" s="664"/>
      <c r="O595" s="1042"/>
      <c r="P595" s="868"/>
      <c r="Q595" s="868"/>
      <c r="R595" s="868"/>
      <c r="S595" s="868"/>
      <c r="T595" s="868"/>
      <c r="U595" s="249"/>
      <c r="V595" s="249"/>
      <c r="W595" s="99"/>
      <c r="X595" s="1757"/>
      <c r="Y595" s="2102"/>
      <c r="Z595" s="2090"/>
      <c r="AA595" s="1526"/>
      <c r="AC595" s="970"/>
      <c r="AD595" s="970"/>
      <c r="AE595" s="970"/>
      <c r="AF595" s="249"/>
      <c r="AG595" s="249"/>
      <c r="AH595" s="249"/>
      <c r="AI595" s="249"/>
      <c r="AJ595" s="249"/>
      <c r="AK595" s="249"/>
      <c r="AL595" s="1336"/>
      <c r="AM595" s="1336"/>
      <c r="AN595" s="1336"/>
      <c r="AO595" s="1336"/>
      <c r="AP595" s="1336"/>
      <c r="AQ595" s="1336"/>
      <c r="AR595" s="1336"/>
      <c r="AS595" s="1336"/>
    </row>
    <row r="596" spans="1:45" ht="15.75" customHeight="1" thickTop="1" x14ac:dyDescent="0.25">
      <c r="A596" s="2371">
        <v>6</v>
      </c>
      <c r="B596" s="2383">
        <v>605.20000000000005</v>
      </c>
      <c r="C596" s="2374"/>
      <c r="D596" s="2374"/>
      <c r="E596" s="2374"/>
      <c r="F596" s="2374"/>
      <c r="G596" s="2373" t="str">
        <f>IF(N596&gt;0,"P","")</f>
        <v/>
      </c>
      <c r="H596" s="2371" t="s">
        <v>3971</v>
      </c>
      <c r="I596" s="180">
        <v>605.20000000000005</v>
      </c>
      <c r="J596" s="181"/>
      <c r="K596" s="182"/>
      <c r="L596" s="1781" t="s">
        <v>4172</v>
      </c>
      <c r="M596" s="1772">
        <v>6</v>
      </c>
      <c r="N596" s="2080">
        <f>'Ch6'!O278</f>
        <v>0</v>
      </c>
      <c r="O596" s="2080">
        <f>M596*S596*IFERROR(OR(W596,W609),0)</f>
        <v>0</v>
      </c>
      <c r="P596" s="94" t="b">
        <v>1</v>
      </c>
      <c r="Q596" s="94" t="b">
        <v>1</v>
      </c>
      <c r="R596" s="105" t="b">
        <v>0</v>
      </c>
      <c r="S596" s="105" t="b">
        <v>1</v>
      </c>
      <c r="T596" s="105" t="b">
        <v>0</v>
      </c>
      <c r="U596" s="105"/>
      <c r="V596" s="105"/>
      <c r="W596" s="25"/>
      <c r="X596" s="1784"/>
      <c r="Y596" s="2097" t="str">
        <f>IF(LEN('Ch6'!X278)=0,"None",'Ch6'!X278)</f>
        <v>None</v>
      </c>
      <c r="Z596" s="2085"/>
      <c r="AA596" s="1526"/>
      <c r="AC596" s="970"/>
      <c r="AD596" s="970"/>
      <c r="AE596" s="970"/>
      <c r="AF596" s="249"/>
      <c r="AG596" s="249"/>
      <c r="AH596" s="249"/>
      <c r="AI596" s="249"/>
      <c r="AJ596" s="249"/>
      <c r="AK596" s="249"/>
      <c r="AL596" s="254" t="str">
        <f>SUBSTITUTE(SUBSTITUTE(SUBSTITUTE("vpa"&amp;$B596&amp;$C596&amp;$D596&amp;$E596,".","_"),"(","_"),")","")</f>
        <v>vpa605_2</v>
      </c>
      <c r="AM596" s="254">
        <f>M596</f>
        <v>6</v>
      </c>
      <c r="AN596" s="254" t="str">
        <f>SUBSTITUTE(SUBSTITUTE(SUBSTITUTE("vpc"&amp;$B596&amp;$C596&amp;$D596&amp;$E596,".","_"),"(","_"),")","")</f>
        <v>vpc605_2</v>
      </c>
      <c r="AO596" s="254">
        <f>O596</f>
        <v>0</v>
      </c>
      <c r="AP596" s="1336" t="str">
        <f>SUBSTITUTE(SUBSTITUTE(SUBSTITUTE("vch"&amp;$B596&amp;$C596&amp;$D596&amp;$E596,".","_"),"(","_"),")","")</f>
        <v>vch605_2</v>
      </c>
      <c r="AQ596" s="254" t="str">
        <f>IF(LEN(W596)=0,"",W596)</f>
        <v/>
      </c>
      <c r="AR596" s="1336" t="str">
        <f>SUBSTITUTE(SUBSTITUTE(SUBSTITUTE("vnt"&amp;$B596&amp;$C596&amp;$D596&amp;$E596,".","_"),"(","_"),")","")</f>
        <v>vnt605_2</v>
      </c>
      <c r="AS596" s="254" t="str">
        <f>IF(LEN(X596)=0,"",X596)</f>
        <v/>
      </c>
    </row>
    <row r="597" spans="1:45" x14ac:dyDescent="0.25">
      <c r="A597" s="2371">
        <v>6</v>
      </c>
      <c r="B597" s="2383">
        <v>605.20000000000005</v>
      </c>
      <c r="C597" s="2374"/>
      <c r="D597" s="2374"/>
      <c r="E597" s="2374"/>
      <c r="F597" s="2374"/>
      <c r="G597" s="2373" t="str">
        <f t="shared" ref="G597:G610" si="35">G596</f>
        <v/>
      </c>
      <c r="H597" s="2371" t="s">
        <v>3971</v>
      </c>
      <c r="I597" s="64"/>
      <c r="J597" s="4"/>
      <c r="K597" s="83"/>
      <c r="L597" s="1796"/>
      <c r="M597" s="1758"/>
      <c r="N597" s="1927"/>
      <c r="O597" s="1927"/>
      <c r="P597" s="94"/>
      <c r="Q597" s="94"/>
      <c r="R597" s="94"/>
      <c r="S597" s="94"/>
      <c r="T597" s="94"/>
      <c r="U597" s="94"/>
      <c r="V597" s="94"/>
      <c r="W597" s="94"/>
      <c r="X597" s="1757"/>
      <c r="Y597" s="2081"/>
      <c r="Z597" s="2084"/>
      <c r="AA597" s="1526"/>
      <c r="AC597" s="970"/>
      <c r="AD597" s="970"/>
      <c r="AE597" s="970"/>
      <c r="AF597" s="249"/>
      <c r="AG597" s="249"/>
      <c r="AH597" s="249"/>
      <c r="AI597" s="249"/>
      <c r="AJ597" s="249"/>
      <c r="AK597" s="249"/>
      <c r="AL597" s="1336"/>
      <c r="AM597" s="1336"/>
      <c r="AN597" s="1336"/>
      <c r="AO597" s="1336"/>
      <c r="AP597" s="1336"/>
      <c r="AQ597" s="1336"/>
      <c r="AR597" s="1336"/>
      <c r="AS597" s="1336"/>
    </row>
    <row r="598" spans="1:45" x14ac:dyDescent="0.25">
      <c r="A598" s="2371">
        <v>6</v>
      </c>
      <c r="B598" s="2383">
        <v>605.20000000000005</v>
      </c>
      <c r="C598" s="2374"/>
      <c r="D598" s="2374"/>
      <c r="E598" s="2374"/>
      <c r="F598" s="2374"/>
      <c r="G598" s="2373" t="str">
        <f t="shared" si="35"/>
        <v/>
      </c>
      <c r="H598" s="2371" t="s">
        <v>3971</v>
      </c>
      <c r="I598" s="64"/>
      <c r="J598" s="4"/>
      <c r="K598" s="83"/>
      <c r="L598" s="1796"/>
      <c r="M598" s="1758"/>
      <c r="N598" s="1927"/>
      <c r="O598" s="1927"/>
      <c r="P598" s="94"/>
      <c r="Q598" s="94"/>
      <c r="R598" s="94"/>
      <c r="S598" s="94"/>
      <c r="T598" s="94"/>
      <c r="U598" s="94"/>
      <c r="V598" s="94"/>
      <c r="W598" s="94"/>
      <c r="X598" s="1757"/>
      <c r="Y598" s="2081"/>
      <c r="Z598" s="2084"/>
      <c r="AA598" s="1526"/>
      <c r="AC598" s="970"/>
      <c r="AD598" s="970"/>
      <c r="AE598" s="970"/>
      <c r="AF598" s="249"/>
      <c r="AG598" s="249"/>
      <c r="AH598" s="249"/>
      <c r="AI598" s="249"/>
      <c r="AJ598" s="249"/>
      <c r="AK598" s="249"/>
      <c r="AL598" s="1336"/>
      <c r="AM598" s="1336"/>
      <c r="AN598" s="1336"/>
      <c r="AO598" s="1336"/>
      <c r="AP598" s="1336"/>
      <c r="AQ598" s="1336"/>
      <c r="AR598" s="1336"/>
      <c r="AS598" s="1336"/>
    </row>
    <row r="599" spans="1:45" x14ac:dyDescent="0.25">
      <c r="A599" s="2371">
        <v>6</v>
      </c>
      <c r="B599" s="2383">
        <v>605.20000000000005</v>
      </c>
      <c r="C599" s="2374"/>
      <c r="D599" s="2374"/>
      <c r="E599" s="2374"/>
      <c r="F599" s="2374"/>
      <c r="G599" s="2373" t="str">
        <f t="shared" si="35"/>
        <v/>
      </c>
      <c r="H599" s="2371" t="s">
        <v>3971</v>
      </c>
      <c r="I599" s="64"/>
      <c r="J599" s="4"/>
      <c r="K599" s="83"/>
      <c r="L599" s="1796"/>
      <c r="M599" s="1758"/>
      <c r="N599" s="1927"/>
      <c r="O599" s="1927"/>
      <c r="P599" s="94"/>
      <c r="Q599" s="94"/>
      <c r="R599" s="94"/>
      <c r="S599" s="94"/>
      <c r="T599" s="94"/>
      <c r="U599" s="94"/>
      <c r="V599" s="94"/>
      <c r="W599" s="94"/>
      <c r="X599" s="1757"/>
      <c r="Y599" s="2081"/>
      <c r="Z599" s="2084"/>
      <c r="AA599" s="1526"/>
      <c r="AC599" s="970"/>
      <c r="AD599" s="970"/>
      <c r="AE599" s="970"/>
      <c r="AF599" s="249"/>
      <c r="AG599" s="249"/>
      <c r="AH599" s="249"/>
      <c r="AI599" s="249"/>
      <c r="AJ599" s="249"/>
      <c r="AK599" s="249"/>
      <c r="AL599" s="1336"/>
      <c r="AM599" s="1336"/>
      <c r="AN599" s="1336"/>
      <c r="AO599" s="1336"/>
      <c r="AP599" s="1336"/>
      <c r="AQ599" s="1336"/>
      <c r="AR599" s="1336"/>
      <c r="AS599" s="1336"/>
    </row>
    <row r="600" spans="1:45" x14ac:dyDescent="0.25">
      <c r="A600" s="2371">
        <v>6</v>
      </c>
      <c r="B600" s="2383">
        <v>605.20000000000005</v>
      </c>
      <c r="C600" s="2374"/>
      <c r="D600" s="2374"/>
      <c r="E600" s="2374"/>
      <c r="F600" s="2374"/>
      <c r="G600" s="2373" t="str">
        <f t="shared" si="35"/>
        <v/>
      </c>
      <c r="H600" s="2371" t="s">
        <v>3971</v>
      </c>
      <c r="I600" s="64"/>
      <c r="J600" s="4"/>
      <c r="K600" s="83"/>
      <c r="L600" s="1796"/>
      <c r="M600" s="1758"/>
      <c r="N600" s="1927"/>
      <c r="O600" s="1927"/>
      <c r="P600" s="94"/>
      <c r="Q600" s="94"/>
      <c r="R600" s="94"/>
      <c r="S600" s="94"/>
      <c r="T600" s="94"/>
      <c r="U600" s="94"/>
      <c r="V600" s="94"/>
      <c r="W600" s="94"/>
      <c r="X600" s="1757"/>
      <c r="Y600" s="2081"/>
      <c r="Z600" s="2084"/>
      <c r="AA600" s="1526"/>
      <c r="AC600" s="970"/>
      <c r="AD600" s="970"/>
      <c r="AE600" s="970"/>
      <c r="AF600" s="249"/>
      <c r="AG600" s="249"/>
      <c r="AH600" s="249"/>
      <c r="AI600" s="249"/>
      <c r="AJ600" s="249"/>
      <c r="AK600" s="249"/>
      <c r="AL600" s="1336"/>
      <c r="AM600" s="1336"/>
      <c r="AN600" s="1336"/>
      <c r="AO600" s="1336"/>
      <c r="AP600" s="1336"/>
      <c r="AQ600" s="1336"/>
      <c r="AR600" s="1336"/>
      <c r="AS600" s="1336"/>
    </row>
    <row r="601" spans="1:45" x14ac:dyDescent="0.25">
      <c r="A601" s="2371">
        <v>6</v>
      </c>
      <c r="B601" s="2383">
        <v>605.20000000000005</v>
      </c>
      <c r="C601" s="2374"/>
      <c r="D601" s="2374"/>
      <c r="E601" s="2374"/>
      <c r="F601" s="2374"/>
      <c r="G601" s="2373" t="str">
        <f t="shared" si="35"/>
        <v/>
      </c>
      <c r="H601" s="2371" t="s">
        <v>3971</v>
      </c>
      <c r="I601" s="64"/>
      <c r="J601" s="4"/>
      <c r="K601" s="83"/>
      <c r="L601" s="1796"/>
      <c r="M601" s="1758"/>
      <c r="N601" s="1927"/>
      <c r="O601" s="1927"/>
      <c r="P601" s="94"/>
      <c r="Q601" s="94"/>
      <c r="R601" s="94"/>
      <c r="S601" s="94"/>
      <c r="T601" s="94"/>
      <c r="U601" s="94"/>
      <c r="V601" s="94"/>
      <c r="W601" s="94"/>
      <c r="X601" s="1757"/>
      <c r="Y601" s="2081"/>
      <c r="Z601" s="2084"/>
      <c r="AA601" s="1526"/>
      <c r="AC601" s="970"/>
      <c r="AD601" s="970"/>
      <c r="AE601" s="970"/>
      <c r="AF601" s="249"/>
      <c r="AG601" s="249"/>
      <c r="AH601" s="249"/>
      <c r="AI601" s="249"/>
      <c r="AJ601" s="249"/>
      <c r="AK601" s="249"/>
      <c r="AL601" s="1336"/>
      <c r="AM601" s="1336"/>
      <c r="AN601" s="1336"/>
      <c r="AO601" s="1336"/>
      <c r="AP601" s="1336"/>
      <c r="AQ601" s="1336"/>
      <c r="AR601" s="1336"/>
      <c r="AS601" s="1336"/>
    </row>
    <row r="602" spans="1:45" ht="15" customHeight="1" x14ac:dyDescent="0.25">
      <c r="A602" s="2371">
        <v>6</v>
      </c>
      <c r="B602" s="2383">
        <v>605.20000000000005</v>
      </c>
      <c r="C602" s="2374"/>
      <c r="D602" s="2374"/>
      <c r="E602" s="2374"/>
      <c r="F602" s="2374"/>
      <c r="G602" s="2373" t="str">
        <f t="shared" si="35"/>
        <v/>
      </c>
      <c r="H602" s="2371" t="s">
        <v>3971</v>
      </c>
      <c r="I602" s="130"/>
      <c r="J602" s="129"/>
      <c r="K602" s="95"/>
      <c r="L602" s="1779" t="s">
        <v>4176</v>
      </c>
      <c r="M602" s="1758"/>
      <c r="N602" s="1927"/>
      <c r="O602" s="1927"/>
      <c r="P602" s="94"/>
      <c r="Q602" s="94"/>
      <c r="R602" s="94"/>
      <c r="S602" s="94"/>
      <c r="T602" s="94"/>
      <c r="U602" s="94"/>
      <c r="V602" s="94"/>
      <c r="W602" s="94"/>
      <c r="X602" s="1757"/>
      <c r="Y602" s="2081"/>
      <c r="Z602" s="2084"/>
      <c r="AA602" s="1526"/>
      <c r="AC602" s="970"/>
      <c r="AD602" s="970"/>
      <c r="AE602" s="970"/>
      <c r="AF602" s="249"/>
      <c r="AG602" s="249"/>
      <c r="AH602" s="249"/>
      <c r="AI602" s="249"/>
      <c r="AJ602" s="249"/>
      <c r="AK602" s="249"/>
      <c r="AL602" s="1336"/>
      <c r="AM602" s="1336"/>
      <c r="AN602" s="1336"/>
      <c r="AO602" s="1336"/>
      <c r="AP602" s="1336"/>
      <c r="AQ602" s="1336"/>
      <c r="AR602" s="1336"/>
      <c r="AS602" s="1336"/>
    </row>
    <row r="603" spans="1:45" x14ac:dyDescent="0.25">
      <c r="A603" s="2371">
        <v>6</v>
      </c>
      <c r="B603" s="2383">
        <v>605.20000000000005</v>
      </c>
      <c r="C603" s="2374"/>
      <c r="D603" s="2374"/>
      <c r="E603" s="2374"/>
      <c r="F603" s="2374"/>
      <c r="G603" s="2373" t="str">
        <f t="shared" si="35"/>
        <v/>
      </c>
      <c r="H603" s="2371" t="s">
        <v>3971</v>
      </c>
      <c r="I603" s="130"/>
      <c r="J603" s="129"/>
      <c r="K603" s="95"/>
      <c r="L603" s="1779"/>
      <c r="M603" s="1758"/>
      <c r="N603" s="1927"/>
      <c r="O603" s="1927"/>
      <c r="P603" s="94"/>
      <c r="Q603" s="94"/>
      <c r="R603" s="94"/>
      <c r="S603" s="94"/>
      <c r="T603" s="94"/>
      <c r="U603" s="94"/>
      <c r="V603" s="94"/>
      <c r="W603" s="94"/>
      <c r="X603" s="1757"/>
      <c r="Y603" s="2081"/>
      <c r="Z603" s="2084"/>
      <c r="AA603" s="1526"/>
      <c r="AC603" s="970"/>
      <c r="AD603" s="970"/>
      <c r="AE603" s="970"/>
      <c r="AF603" s="249"/>
      <c r="AG603" s="249"/>
      <c r="AH603" s="249"/>
      <c r="AI603" s="249"/>
      <c r="AJ603" s="249"/>
      <c r="AK603" s="249"/>
      <c r="AL603" s="1336"/>
      <c r="AM603" s="1336"/>
      <c r="AN603" s="1336"/>
      <c r="AO603" s="1336"/>
      <c r="AP603" s="1336"/>
      <c r="AQ603" s="1336"/>
      <c r="AR603" s="1336"/>
      <c r="AS603" s="1336"/>
    </row>
    <row r="604" spans="1:45" x14ac:dyDescent="0.25">
      <c r="A604" s="2371">
        <v>6</v>
      </c>
      <c r="B604" s="2383">
        <v>605.20000000000005</v>
      </c>
      <c r="C604" s="2374"/>
      <c r="D604" s="2374"/>
      <c r="E604" s="2374"/>
      <c r="F604" s="2374"/>
      <c r="G604" s="2373" t="str">
        <f t="shared" si="35"/>
        <v/>
      </c>
      <c r="H604" s="2371" t="s">
        <v>3971</v>
      </c>
      <c r="I604" s="130"/>
      <c r="J604" s="129"/>
      <c r="K604" s="95"/>
      <c r="L604" s="1779"/>
      <c r="M604" s="1758"/>
      <c r="N604" s="1927"/>
      <c r="O604" s="1927"/>
      <c r="P604" s="94"/>
      <c r="Q604" s="94"/>
      <c r="R604" s="94"/>
      <c r="S604" s="94"/>
      <c r="T604" s="94"/>
      <c r="U604" s="94"/>
      <c r="V604" s="94"/>
      <c r="W604" s="94"/>
      <c r="X604" s="1757"/>
      <c r="Y604" s="2081"/>
      <c r="Z604" s="2084"/>
      <c r="AA604" s="1526"/>
      <c r="AC604" s="970"/>
      <c r="AD604" s="970"/>
      <c r="AE604" s="970"/>
      <c r="AF604" s="249"/>
      <c r="AG604" s="249"/>
      <c r="AH604" s="249"/>
      <c r="AI604" s="249"/>
      <c r="AJ604" s="249"/>
      <c r="AK604" s="249"/>
      <c r="AL604" s="1336"/>
      <c r="AM604" s="1336"/>
      <c r="AN604" s="1336"/>
      <c r="AO604" s="1336"/>
      <c r="AP604" s="1336"/>
      <c r="AQ604" s="1336"/>
      <c r="AR604" s="1336"/>
      <c r="AS604" s="1336"/>
    </row>
    <row r="605" spans="1:45" x14ac:dyDescent="0.25">
      <c r="A605" s="2371">
        <v>6</v>
      </c>
      <c r="B605" s="2383">
        <v>605.20000000000005</v>
      </c>
      <c r="C605" s="2374"/>
      <c r="D605" s="2374"/>
      <c r="E605" s="2374"/>
      <c r="F605" s="2374"/>
      <c r="G605" s="2373" t="str">
        <f t="shared" si="35"/>
        <v/>
      </c>
      <c r="H605" s="2371" t="s">
        <v>3971</v>
      </c>
      <c r="I605" s="130"/>
      <c r="J605" s="129"/>
      <c r="K605" s="95"/>
      <c r="L605" s="1779"/>
      <c r="M605" s="1758"/>
      <c r="N605" s="1927"/>
      <c r="O605" s="1927"/>
      <c r="P605" s="94"/>
      <c r="Q605" s="94"/>
      <c r="R605" s="94"/>
      <c r="S605" s="94"/>
      <c r="T605" s="94"/>
      <c r="U605" s="94"/>
      <c r="V605" s="94"/>
      <c r="W605" s="94"/>
      <c r="X605" s="1757"/>
      <c r="Y605" s="2081"/>
      <c r="Z605" s="2084"/>
      <c r="AA605" s="1526"/>
      <c r="AC605" s="970"/>
      <c r="AD605" s="970"/>
      <c r="AE605" s="970"/>
      <c r="AF605" s="249"/>
      <c r="AG605" s="249"/>
      <c r="AH605" s="249"/>
      <c r="AI605" s="249"/>
      <c r="AJ605" s="249"/>
      <c r="AK605" s="249"/>
      <c r="AL605" s="1336"/>
      <c r="AM605" s="1336"/>
      <c r="AN605" s="1336"/>
      <c r="AO605" s="1336"/>
      <c r="AP605" s="1336"/>
      <c r="AQ605" s="1336"/>
      <c r="AR605" s="1336"/>
      <c r="AS605" s="1336"/>
    </row>
    <row r="606" spans="1:45" x14ac:dyDescent="0.25">
      <c r="A606" s="2371">
        <v>6</v>
      </c>
      <c r="B606" s="2383">
        <v>605.20000000000005</v>
      </c>
      <c r="C606" s="2374"/>
      <c r="D606" s="2374"/>
      <c r="E606" s="2374"/>
      <c r="F606" s="2374"/>
      <c r="G606" s="2373" t="str">
        <f t="shared" si="35"/>
        <v/>
      </c>
      <c r="H606" s="2371" t="s">
        <v>3971</v>
      </c>
      <c r="I606" s="130"/>
      <c r="J606" s="129"/>
      <c r="K606" s="95"/>
      <c r="L606" s="1181" t="s">
        <v>658</v>
      </c>
      <c r="M606" s="1758"/>
      <c r="N606" s="1927"/>
      <c r="O606" s="1927"/>
      <c r="P606" s="94"/>
      <c r="Q606" s="94"/>
      <c r="R606" s="94"/>
      <c r="S606" s="94"/>
      <c r="T606" s="94"/>
      <c r="U606" s="94"/>
      <c r="V606" s="94"/>
      <c r="W606" s="94"/>
      <c r="X606" s="1757"/>
      <c r="Y606" s="2081"/>
      <c r="Z606" s="2084"/>
      <c r="AA606" s="1526"/>
      <c r="AC606" s="970"/>
      <c r="AD606" s="970"/>
      <c r="AE606" s="970"/>
      <c r="AF606" s="249"/>
      <c r="AG606" s="249"/>
      <c r="AH606" s="249"/>
      <c r="AI606" s="249"/>
      <c r="AJ606" s="249"/>
      <c r="AK606" s="249"/>
      <c r="AL606" s="1336"/>
      <c r="AM606" s="1336"/>
      <c r="AN606" s="1336"/>
      <c r="AO606" s="1336"/>
      <c r="AP606" s="1336"/>
      <c r="AQ606" s="1336"/>
      <c r="AR606" s="1336"/>
      <c r="AS606" s="1336"/>
    </row>
    <row r="607" spans="1:45" ht="15" customHeight="1" x14ac:dyDescent="0.25">
      <c r="A607" s="2371">
        <v>6</v>
      </c>
      <c r="B607" s="2383">
        <v>605.20000000000005</v>
      </c>
      <c r="C607" s="2374" t="s">
        <v>256</v>
      </c>
      <c r="D607" s="2374"/>
      <c r="E607" s="2374"/>
      <c r="F607" s="2374"/>
      <c r="G607" s="2373" t="str">
        <f t="shared" si="35"/>
        <v/>
      </c>
      <c r="H607" s="2371" t="s">
        <v>3971</v>
      </c>
      <c r="I607" s="130"/>
      <c r="J607" s="183" t="s">
        <v>256</v>
      </c>
      <c r="K607" s="95"/>
      <c r="L607" s="1779" t="s">
        <v>4177</v>
      </c>
      <c r="M607" s="1758"/>
      <c r="N607" s="1927"/>
      <c r="O607" s="1927"/>
      <c r="P607" s="94"/>
      <c r="Q607" s="94"/>
      <c r="R607" s="94"/>
      <c r="S607" s="94"/>
      <c r="T607" s="94"/>
      <c r="U607" s="94"/>
      <c r="V607" s="94"/>
      <c r="W607" s="94"/>
      <c r="X607" s="1757"/>
      <c r="Y607" s="2081"/>
      <c r="Z607" s="2084"/>
      <c r="AA607" s="1526"/>
      <c r="AC607" s="970"/>
      <c r="AD607" s="970"/>
      <c r="AE607" s="970"/>
      <c r="AF607" s="249"/>
      <c r="AG607" s="249"/>
      <c r="AH607" s="249"/>
      <c r="AI607" s="249"/>
      <c r="AJ607" s="249"/>
      <c r="AK607" s="249"/>
      <c r="AL607" s="1336"/>
      <c r="AM607" s="1336"/>
      <c r="AN607" s="1336"/>
      <c r="AO607" s="1336"/>
      <c r="AP607" s="1336"/>
      <c r="AQ607" s="1336"/>
      <c r="AR607" s="1336"/>
      <c r="AS607" s="1336"/>
    </row>
    <row r="608" spans="1:45" x14ac:dyDescent="0.25">
      <c r="A608" s="2371">
        <v>6</v>
      </c>
      <c r="B608" s="2383">
        <v>605.20000000000005</v>
      </c>
      <c r="C608" s="2374" t="s">
        <v>256</v>
      </c>
      <c r="D608" s="2374"/>
      <c r="E608" s="2374"/>
      <c r="F608" s="2374"/>
      <c r="G608" s="2373" t="str">
        <f t="shared" si="35"/>
        <v/>
      </c>
      <c r="H608" s="2371" t="s">
        <v>3971</v>
      </c>
      <c r="I608" s="130"/>
      <c r="J608" s="129"/>
      <c r="K608" s="95"/>
      <c r="L608" s="1779"/>
      <c r="M608" s="1758"/>
      <c r="N608" s="1927"/>
      <c r="O608" s="1927"/>
      <c r="P608" s="94"/>
      <c r="Q608" s="94"/>
      <c r="R608" s="94"/>
      <c r="S608" s="94"/>
      <c r="T608" s="94"/>
      <c r="U608" s="94"/>
      <c r="V608" s="94"/>
      <c r="W608" s="94"/>
      <c r="X608" s="1757"/>
      <c r="Y608" s="2081"/>
      <c r="Z608" s="2084"/>
      <c r="AA608" s="1526"/>
      <c r="AC608" s="970"/>
      <c r="AD608" s="970"/>
      <c r="AE608" s="970"/>
      <c r="AF608" s="249"/>
      <c r="AG608" s="249"/>
      <c r="AH608" s="249"/>
      <c r="AI608" s="249"/>
      <c r="AJ608" s="249"/>
      <c r="AK608" s="249"/>
      <c r="AL608" s="1336"/>
      <c r="AM608" s="1336"/>
      <c r="AN608" s="1336"/>
      <c r="AO608" s="1336"/>
      <c r="AP608" s="1336"/>
      <c r="AQ608" s="1336"/>
      <c r="AR608" s="1336"/>
      <c r="AS608" s="1336"/>
    </row>
    <row r="609" spans="1:45" x14ac:dyDescent="0.25">
      <c r="A609" s="2371">
        <v>6</v>
      </c>
      <c r="B609" s="2383">
        <v>605.20000000000005</v>
      </c>
      <c r="C609" s="2374" t="s">
        <v>258</v>
      </c>
      <c r="D609" s="2374"/>
      <c r="E609" s="2374"/>
      <c r="F609" s="2374"/>
      <c r="G609" s="2373" t="str">
        <f t="shared" si="35"/>
        <v/>
      </c>
      <c r="H609" s="2371" t="s">
        <v>3971</v>
      </c>
      <c r="I609" s="130"/>
      <c r="J609" s="183" t="s">
        <v>258</v>
      </c>
      <c r="K609" s="95"/>
      <c r="L609" s="1754" t="s">
        <v>659</v>
      </c>
      <c r="M609" s="1758"/>
      <c r="N609" s="1927"/>
      <c r="O609" s="1927"/>
      <c r="P609" s="94" t="b">
        <v>1</v>
      </c>
      <c r="Q609" s="94" t="b">
        <v>1</v>
      </c>
      <c r="R609" s="94" t="b">
        <v>0</v>
      </c>
      <c r="S609" s="94" t="b">
        <v>1</v>
      </c>
      <c r="T609" s="94" t="b">
        <v>0</v>
      </c>
      <c r="U609" s="94"/>
      <c r="V609" s="94"/>
      <c r="W609" s="25"/>
      <c r="X609" s="1757"/>
      <c r="Y609" s="2081"/>
      <c r="Z609" s="2084"/>
      <c r="AA609" s="1526"/>
      <c r="AC609" s="970"/>
      <c r="AD609" s="970"/>
      <c r="AE609" s="970"/>
      <c r="AF609" s="249"/>
      <c r="AG609" s="249"/>
      <c r="AH609" s="249"/>
      <c r="AI609" s="249"/>
      <c r="AJ609" s="249"/>
      <c r="AK609" s="249"/>
      <c r="AL609" s="1336"/>
      <c r="AM609" s="1336"/>
      <c r="AN609" s="1336"/>
      <c r="AO609" s="1336"/>
      <c r="AP609" s="1336" t="str">
        <f>SUBSTITUTE(SUBSTITUTE(SUBSTITUTE("vch"&amp;$B609&amp;$C609&amp;$D609&amp;$E609,".","_"),"(","_"),")","")</f>
        <v>vch605_2_2</v>
      </c>
      <c r="AQ609" s="254" t="str">
        <f>IF(LEN(W609)=0,"",W609)</f>
        <v/>
      </c>
      <c r="AR609" s="1336"/>
      <c r="AS609" s="1336"/>
    </row>
    <row r="610" spans="1:45" ht="15.75" thickBot="1" x14ac:dyDescent="0.3">
      <c r="A610" s="2371">
        <v>6</v>
      </c>
      <c r="B610" s="2383">
        <v>605.20000000000005</v>
      </c>
      <c r="C610" s="2374" t="s">
        <v>258</v>
      </c>
      <c r="D610" s="2374"/>
      <c r="E610" s="2374"/>
      <c r="F610" s="2374"/>
      <c r="G610" s="2373" t="str">
        <f t="shared" si="35"/>
        <v/>
      </c>
      <c r="H610" s="2371" t="s">
        <v>3971</v>
      </c>
      <c r="I610" s="130"/>
      <c r="J610" s="129"/>
      <c r="K610" s="95"/>
      <c r="L610" s="1754"/>
      <c r="M610" s="1758"/>
      <c r="N610" s="1928"/>
      <c r="O610" s="1927"/>
      <c r="P610" s="94"/>
      <c r="Q610" s="94"/>
      <c r="R610" s="94"/>
      <c r="S610" s="94"/>
      <c r="T610" s="94"/>
      <c r="U610" s="94"/>
      <c r="V610" s="94"/>
      <c r="W610" s="256"/>
      <c r="X610" s="1798"/>
      <c r="Y610" s="2082"/>
      <c r="Z610" s="2086"/>
      <c r="AA610" s="1526"/>
      <c r="AC610" s="970"/>
      <c r="AD610" s="970"/>
      <c r="AE610" s="970"/>
      <c r="AF610" s="249"/>
      <c r="AG610" s="249"/>
      <c r="AH610" s="249"/>
      <c r="AI610" s="249"/>
      <c r="AJ610" s="249"/>
      <c r="AK610" s="249"/>
      <c r="AL610" s="1336"/>
      <c r="AM610" s="1336"/>
      <c r="AN610" s="1336"/>
      <c r="AO610" s="1336"/>
      <c r="AP610" s="1336"/>
      <c r="AQ610" s="1336"/>
      <c r="AR610" s="1336"/>
      <c r="AS610" s="1336"/>
    </row>
    <row r="611" spans="1:45" ht="15.75" customHeight="1" thickTop="1" x14ac:dyDescent="0.25">
      <c r="A611" s="2371">
        <v>6</v>
      </c>
      <c r="B611" s="2383">
        <v>605.29999999999995</v>
      </c>
      <c r="C611" s="2374"/>
      <c r="D611" s="2374"/>
      <c r="E611" s="2374"/>
      <c r="F611" s="2374"/>
      <c r="G611" s="2373" t="str">
        <f>IF(N611&gt;0,"P","")</f>
        <v/>
      </c>
      <c r="H611" s="2371" t="s">
        <v>3971</v>
      </c>
      <c r="I611" s="180">
        <v>605.29999999999995</v>
      </c>
      <c r="J611" s="181"/>
      <c r="K611" s="182"/>
      <c r="L611" s="1781" t="s">
        <v>4173</v>
      </c>
      <c r="M611" s="1772">
        <v>7</v>
      </c>
      <c r="N611" s="2080">
        <f>'Ch6'!O293</f>
        <v>0</v>
      </c>
      <c r="O611" s="2080">
        <f>M611*S611*W611</f>
        <v>0</v>
      </c>
      <c r="P611" s="94" t="b">
        <v>1</v>
      </c>
      <c r="Q611" s="94" t="b">
        <v>1</v>
      </c>
      <c r="R611" s="105" t="b">
        <v>0</v>
      </c>
      <c r="S611" s="105" t="b">
        <v>1</v>
      </c>
      <c r="T611" s="105" t="b">
        <v>0</v>
      </c>
      <c r="U611" s="105"/>
      <c r="V611" s="105"/>
      <c r="W611" s="25"/>
      <c r="X611" s="1784"/>
      <c r="Y611" s="2097" t="str">
        <f>IF(LEN('Ch6'!X293)=0,"None",'Ch6'!X293)</f>
        <v>None</v>
      </c>
      <c r="Z611" s="2085"/>
      <c r="AA611" s="1526"/>
      <c r="AC611" s="970"/>
      <c r="AD611" s="970"/>
      <c r="AE611" s="970"/>
      <c r="AF611" s="249"/>
      <c r="AG611" s="249"/>
      <c r="AH611" s="249"/>
      <c r="AI611" s="249"/>
      <c r="AJ611" s="249"/>
      <c r="AK611" s="249"/>
      <c r="AL611" s="254" t="str">
        <f>SUBSTITUTE(SUBSTITUTE(SUBSTITUTE("vpa"&amp;$B611&amp;$C611&amp;$D611&amp;$E611,".","_"),"(","_"),")","")</f>
        <v>vpa605_3</v>
      </c>
      <c r="AM611" s="254">
        <f>M611</f>
        <v>7</v>
      </c>
      <c r="AN611" s="254" t="str">
        <f>SUBSTITUTE(SUBSTITUTE(SUBSTITUTE("vpc"&amp;$B611&amp;$C611&amp;$D611&amp;$E611,".","_"),"(","_"),")","")</f>
        <v>vpc605_3</v>
      </c>
      <c r="AO611" s="254">
        <f>O611</f>
        <v>0</v>
      </c>
      <c r="AP611" s="1336" t="str">
        <f>SUBSTITUTE(SUBSTITUTE(SUBSTITUTE("vch"&amp;$B611&amp;$C611&amp;$D611&amp;$E611,".","_"),"(","_"),")","")</f>
        <v>vch605_3</v>
      </c>
      <c r="AQ611" s="254" t="str">
        <f>IF(LEN(W611)=0,"",W611)</f>
        <v/>
      </c>
      <c r="AR611" s="1336" t="str">
        <f>SUBSTITUTE(SUBSTITUTE(SUBSTITUTE("vnt"&amp;$B611&amp;$C611&amp;$D611&amp;$E611,".","_"),"(","_"),")","")</f>
        <v>vnt605_3</v>
      </c>
      <c r="AS611" s="254" t="str">
        <f>IF(LEN(X611)=0,"",X611)</f>
        <v/>
      </c>
    </row>
    <row r="612" spans="1:45" x14ac:dyDescent="0.25">
      <c r="A612" s="2371">
        <v>6</v>
      </c>
      <c r="B612" s="2383">
        <v>605.29999999999995</v>
      </c>
      <c r="C612" s="2374"/>
      <c r="D612" s="2374"/>
      <c r="E612" s="2374"/>
      <c r="F612" s="2374"/>
      <c r="G612" s="2373" t="str">
        <f t="shared" ref="G612:G619" si="36">G611</f>
        <v/>
      </c>
      <c r="H612" s="2371" t="s">
        <v>3971</v>
      </c>
      <c r="I612" s="64"/>
      <c r="J612" s="4"/>
      <c r="K612" s="83"/>
      <c r="L612" s="1796"/>
      <c r="M612" s="1758"/>
      <c r="N612" s="1927"/>
      <c r="O612" s="1927"/>
      <c r="P612" s="94"/>
      <c r="Q612" s="94"/>
      <c r="R612" s="94"/>
      <c r="S612" s="94"/>
      <c r="T612" s="94"/>
      <c r="U612" s="94"/>
      <c r="V612" s="94"/>
      <c r="W612" s="94"/>
      <c r="X612" s="1757"/>
      <c r="Y612" s="2081"/>
      <c r="Z612" s="2084"/>
      <c r="AA612" s="1526"/>
      <c r="AC612" s="970"/>
      <c r="AD612" s="970"/>
      <c r="AE612" s="970"/>
      <c r="AF612" s="249"/>
      <c r="AG612" s="249"/>
      <c r="AH612" s="249"/>
      <c r="AI612" s="249"/>
      <c r="AJ612" s="249"/>
      <c r="AK612" s="249"/>
      <c r="AL612" s="1336"/>
      <c r="AM612" s="1336"/>
      <c r="AN612" s="1336"/>
      <c r="AO612" s="1336"/>
      <c r="AP612" s="1336"/>
      <c r="AQ612" s="1336"/>
      <c r="AR612" s="1336"/>
      <c r="AS612" s="1336"/>
    </row>
    <row r="613" spans="1:45" x14ac:dyDescent="0.25">
      <c r="A613" s="2371">
        <v>6</v>
      </c>
      <c r="B613" s="2383">
        <v>605.29999999999995</v>
      </c>
      <c r="C613" s="2374"/>
      <c r="D613" s="2374" t="s">
        <v>121</v>
      </c>
      <c r="E613" s="2374"/>
      <c r="F613" s="2374"/>
      <c r="G613" s="2373" t="str">
        <f t="shared" si="36"/>
        <v/>
      </c>
      <c r="H613" s="2375" t="s">
        <v>3971</v>
      </c>
      <c r="I613" s="130"/>
      <c r="J613" s="129"/>
      <c r="K613" s="91" t="s">
        <v>121</v>
      </c>
      <c r="L613" s="1754" t="s">
        <v>660</v>
      </c>
      <c r="M613" s="1010"/>
      <c r="N613" s="1044"/>
      <c r="O613" s="1044"/>
      <c r="P613" s="94"/>
      <c r="Q613" s="94"/>
      <c r="R613" s="94"/>
      <c r="S613" s="94"/>
      <c r="T613" s="94"/>
      <c r="U613" s="94"/>
      <c r="V613" s="94"/>
      <c r="W613" s="94"/>
      <c r="X613" s="1757"/>
      <c r="Y613" s="2081"/>
      <c r="Z613" s="2084"/>
      <c r="AA613" s="1526"/>
      <c r="AC613" s="970"/>
      <c r="AD613" s="970"/>
      <c r="AE613" s="970"/>
      <c r="AF613" s="249"/>
      <c r="AG613" s="249"/>
      <c r="AH613" s="249"/>
      <c r="AI613" s="249"/>
      <c r="AJ613" s="249"/>
      <c r="AK613" s="249"/>
      <c r="AL613" s="1336"/>
      <c r="AM613" s="1336"/>
      <c r="AN613" s="1336"/>
      <c r="AO613" s="1336"/>
      <c r="AP613" s="1336"/>
      <c r="AQ613" s="1336"/>
      <c r="AR613" s="1336"/>
      <c r="AS613" s="1336"/>
    </row>
    <row r="614" spans="1:45" x14ac:dyDescent="0.25">
      <c r="A614" s="2371">
        <v>6</v>
      </c>
      <c r="B614" s="2383">
        <v>605.29999999999995</v>
      </c>
      <c r="C614" s="2374"/>
      <c r="D614" s="2374" t="s">
        <v>121</v>
      </c>
      <c r="E614" s="2374"/>
      <c r="F614" s="2374"/>
      <c r="G614" s="2373" t="str">
        <f t="shared" si="36"/>
        <v/>
      </c>
      <c r="H614" s="2375" t="s">
        <v>3971</v>
      </c>
      <c r="I614" s="130"/>
      <c r="J614" s="129"/>
      <c r="K614" s="95"/>
      <c r="L614" s="1754"/>
      <c r="M614" s="1010"/>
      <c r="N614" s="1044"/>
      <c r="O614" s="1044"/>
      <c r="P614" s="94"/>
      <c r="Q614" s="94"/>
      <c r="R614" s="94"/>
      <c r="S614" s="94"/>
      <c r="T614" s="94"/>
      <c r="U614" s="94"/>
      <c r="V614" s="94"/>
      <c r="W614" s="94"/>
      <c r="X614" s="1757"/>
      <c r="Y614" s="2081"/>
      <c r="Z614" s="2084"/>
      <c r="AA614" s="1526"/>
      <c r="AC614" s="970"/>
      <c r="AD614" s="970"/>
      <c r="AE614" s="970"/>
      <c r="AF614" s="249"/>
      <c r="AG614" s="249"/>
      <c r="AH614" s="249"/>
      <c r="AI614" s="249"/>
      <c r="AJ614" s="249"/>
      <c r="AK614" s="249"/>
      <c r="AL614" s="1336"/>
      <c r="AM614" s="1336"/>
      <c r="AN614" s="1336"/>
      <c r="AO614" s="1336"/>
      <c r="AP614" s="1336"/>
      <c r="AQ614" s="1336"/>
      <c r="AR614" s="1336"/>
      <c r="AS614" s="1336"/>
    </row>
    <row r="615" spans="1:45" x14ac:dyDescent="0.25">
      <c r="A615" s="2371">
        <v>6</v>
      </c>
      <c r="B615" s="2383">
        <v>605.29999999999995</v>
      </c>
      <c r="C615" s="2374"/>
      <c r="D615" s="2374" t="s">
        <v>121</v>
      </c>
      <c r="E615" s="2374"/>
      <c r="F615" s="2374"/>
      <c r="G615" s="2373" t="str">
        <f t="shared" si="36"/>
        <v/>
      </c>
      <c r="H615" s="2375" t="s">
        <v>3971</v>
      </c>
      <c r="I615" s="130"/>
      <c r="J615" s="129"/>
      <c r="K615" s="175"/>
      <c r="L615" s="1755"/>
      <c r="M615" s="1010"/>
      <c r="N615" s="1044"/>
      <c r="O615" s="1044"/>
      <c r="P615" s="94"/>
      <c r="Q615" s="94"/>
      <c r="R615" s="94"/>
      <c r="S615" s="94"/>
      <c r="T615" s="94"/>
      <c r="U615" s="94"/>
      <c r="V615" s="94"/>
      <c r="W615" s="94"/>
      <c r="X615" s="1757"/>
      <c r="Y615" s="2081"/>
      <c r="Z615" s="2084"/>
      <c r="AA615" s="1526"/>
      <c r="AC615" s="970"/>
      <c r="AD615" s="970"/>
      <c r="AE615" s="970"/>
      <c r="AF615" s="249"/>
      <c r="AG615" s="249"/>
      <c r="AH615" s="249"/>
      <c r="AI615" s="249"/>
      <c r="AJ615" s="249"/>
      <c r="AK615" s="249"/>
      <c r="AL615" s="1336"/>
      <c r="AM615" s="1336"/>
      <c r="AN615" s="1336"/>
      <c r="AO615" s="1336"/>
      <c r="AP615" s="1336"/>
      <c r="AQ615" s="1336"/>
      <c r="AR615" s="1336"/>
      <c r="AS615" s="1336"/>
    </row>
    <row r="616" spans="1:45" x14ac:dyDescent="0.25">
      <c r="A616" s="2371">
        <v>6</v>
      </c>
      <c r="B616" s="2383">
        <v>605.29999999999995</v>
      </c>
      <c r="C616" s="2374"/>
      <c r="D616" s="2374" t="s">
        <v>122</v>
      </c>
      <c r="E616" s="2374"/>
      <c r="F616" s="2374"/>
      <c r="G616" s="2373" t="str">
        <f t="shared" si="36"/>
        <v/>
      </c>
      <c r="H616" s="2375" t="s">
        <v>3971</v>
      </c>
      <c r="I616" s="130"/>
      <c r="J616" s="129"/>
      <c r="K616" s="212" t="s">
        <v>122</v>
      </c>
      <c r="L616" s="280" t="s">
        <v>661</v>
      </c>
      <c r="M616" s="1010"/>
      <c r="N616" s="1044"/>
      <c r="O616" s="1044"/>
      <c r="P616" s="94"/>
      <c r="Q616" s="94"/>
      <c r="R616" s="94"/>
      <c r="S616" s="94"/>
      <c r="T616" s="94"/>
      <c r="U616" s="94"/>
      <c r="V616" s="94"/>
      <c r="W616" s="94"/>
      <c r="X616" s="1757"/>
      <c r="Y616" s="2081"/>
      <c r="Z616" s="2084"/>
      <c r="AA616" s="1526"/>
      <c r="AC616" s="970"/>
      <c r="AD616" s="970"/>
      <c r="AE616" s="970"/>
      <c r="AF616" s="249"/>
      <c r="AG616" s="249"/>
      <c r="AH616" s="249"/>
      <c r="AI616" s="249"/>
      <c r="AJ616" s="249"/>
      <c r="AK616" s="249"/>
      <c r="AL616" s="1336"/>
      <c r="AM616" s="1336"/>
      <c r="AN616" s="1336"/>
      <c r="AO616" s="1336"/>
      <c r="AP616" s="1336"/>
      <c r="AQ616" s="1336"/>
      <c r="AR616" s="1336"/>
      <c r="AS616" s="1336"/>
    </row>
    <row r="617" spans="1:45" x14ac:dyDescent="0.25">
      <c r="A617" s="2371">
        <v>6</v>
      </c>
      <c r="B617" s="2383">
        <v>605.29999999999995</v>
      </c>
      <c r="C617" s="2374"/>
      <c r="D617" s="2374" t="s">
        <v>123</v>
      </c>
      <c r="E617" s="2374"/>
      <c r="F617" s="2374"/>
      <c r="G617" s="2373" t="str">
        <f t="shared" si="36"/>
        <v/>
      </c>
      <c r="H617" s="2375" t="s">
        <v>3971</v>
      </c>
      <c r="I617" s="130"/>
      <c r="J617" s="129"/>
      <c r="K617" s="110" t="s">
        <v>123</v>
      </c>
      <c r="L617" s="1754" t="s">
        <v>662</v>
      </c>
      <c r="M617" s="1010"/>
      <c r="N617" s="1044"/>
      <c r="O617" s="1044"/>
      <c r="P617" s="94"/>
      <c r="Q617" s="94"/>
      <c r="R617" s="94"/>
      <c r="S617" s="94"/>
      <c r="T617" s="94"/>
      <c r="U617" s="94"/>
      <c r="V617" s="94"/>
      <c r="W617" s="94"/>
      <c r="X617" s="1757"/>
      <c r="Y617" s="2081"/>
      <c r="Z617" s="2084"/>
      <c r="AA617" s="1526"/>
      <c r="AC617" s="970"/>
      <c r="AD617" s="970"/>
      <c r="AE617" s="970"/>
      <c r="AF617" s="249"/>
      <c r="AG617" s="249"/>
      <c r="AH617" s="249"/>
      <c r="AI617" s="249"/>
      <c r="AJ617" s="249"/>
      <c r="AK617" s="249"/>
      <c r="AL617" s="1336"/>
      <c r="AM617" s="1336"/>
      <c r="AN617" s="1336"/>
      <c r="AO617" s="1336"/>
      <c r="AP617" s="1336"/>
      <c r="AQ617" s="1336"/>
      <c r="AR617" s="1336"/>
      <c r="AS617" s="1336"/>
    </row>
    <row r="618" spans="1:45" x14ac:dyDescent="0.25">
      <c r="A618" s="2371">
        <v>6</v>
      </c>
      <c r="B618" s="2383">
        <v>605.29999999999995</v>
      </c>
      <c r="C618" s="2374"/>
      <c r="D618" s="2374" t="s">
        <v>123</v>
      </c>
      <c r="E618" s="2374"/>
      <c r="F618" s="2374"/>
      <c r="G618" s="2373" t="str">
        <f t="shared" si="36"/>
        <v/>
      </c>
      <c r="H618" s="2375" t="s">
        <v>3971</v>
      </c>
      <c r="I618" s="130"/>
      <c r="J618" s="129"/>
      <c r="K618" s="187"/>
      <c r="L618" s="1754"/>
      <c r="M618" s="1010"/>
      <c r="N618" s="1044"/>
      <c r="O618" s="1044"/>
      <c r="P618" s="94"/>
      <c r="Q618" s="94"/>
      <c r="R618" s="94"/>
      <c r="S618" s="94"/>
      <c r="T618" s="94"/>
      <c r="U618" s="94"/>
      <c r="V618" s="94"/>
      <c r="W618" s="94"/>
      <c r="X618" s="1757"/>
      <c r="Y618" s="2081"/>
      <c r="Z618" s="2084"/>
      <c r="AA618" s="1526"/>
      <c r="AC618" s="970"/>
      <c r="AD618" s="970"/>
      <c r="AE618" s="970"/>
      <c r="AF618" s="249"/>
      <c r="AG618" s="249"/>
      <c r="AH618" s="249"/>
      <c r="AI618" s="249"/>
      <c r="AJ618" s="249"/>
      <c r="AK618" s="249"/>
      <c r="AL618" s="1336"/>
      <c r="AM618" s="1336"/>
      <c r="AN618" s="1336"/>
      <c r="AO618" s="1336"/>
      <c r="AP618" s="1336"/>
      <c r="AQ618" s="1336"/>
      <c r="AR618" s="1336"/>
      <c r="AS618" s="1336"/>
    </row>
    <row r="619" spans="1:45" ht="15.75" thickBot="1" x14ac:dyDescent="0.3">
      <c r="A619" s="2371">
        <v>6</v>
      </c>
      <c r="B619" s="2383">
        <v>605.29999999999995</v>
      </c>
      <c r="C619" s="2374"/>
      <c r="D619" s="2374" t="s">
        <v>123</v>
      </c>
      <c r="E619" s="2374"/>
      <c r="F619" s="2374"/>
      <c r="G619" s="2373" t="str">
        <f t="shared" si="36"/>
        <v/>
      </c>
      <c r="H619" s="2375" t="s">
        <v>3971</v>
      </c>
      <c r="I619" s="130"/>
      <c r="J619" s="129"/>
      <c r="K619" s="95"/>
      <c r="L619" s="1754"/>
      <c r="M619" s="1010"/>
      <c r="N619" s="1044"/>
      <c r="O619" s="1044"/>
      <c r="P619" s="94"/>
      <c r="Q619" s="94"/>
      <c r="R619" s="94"/>
      <c r="S619" s="94"/>
      <c r="T619" s="94"/>
      <c r="U619" s="94"/>
      <c r="V619" s="94"/>
      <c r="W619" s="94"/>
      <c r="X619" s="1798"/>
      <c r="Y619" s="2082"/>
      <c r="Z619" s="2086"/>
      <c r="AA619" s="1526"/>
      <c r="AC619" s="970"/>
      <c r="AD619" s="970"/>
      <c r="AE619" s="970"/>
      <c r="AF619" s="249"/>
      <c r="AG619" s="249"/>
      <c r="AH619" s="249"/>
      <c r="AI619" s="249"/>
      <c r="AJ619" s="249"/>
      <c r="AK619" s="249"/>
      <c r="AL619" s="1336"/>
      <c r="AM619" s="1336"/>
      <c r="AN619" s="1336"/>
      <c r="AO619" s="1336"/>
      <c r="AP619" s="1336"/>
      <c r="AQ619" s="1336"/>
      <c r="AR619" s="1336"/>
      <c r="AS619" s="1336"/>
    </row>
    <row r="620" spans="1:45" ht="15.75" customHeight="1" thickTop="1" x14ac:dyDescent="0.25">
      <c r="A620" s="2371">
        <v>6</v>
      </c>
      <c r="B620" s="2383" t="s">
        <v>4175</v>
      </c>
      <c r="C620" s="2374"/>
      <c r="D620" s="2374"/>
      <c r="E620" s="2374"/>
      <c r="F620" s="2374"/>
      <c r="G620" s="2373" t="str">
        <f>IF(N620&gt;0,"P","")</f>
        <v/>
      </c>
      <c r="H620" s="2371" t="s">
        <v>3971</v>
      </c>
      <c r="I620" s="180">
        <v>605.4</v>
      </c>
      <c r="J620" s="181"/>
      <c r="K620" s="182"/>
      <c r="L620" s="1781" t="s">
        <v>4174</v>
      </c>
      <c r="M620" s="1772" t="s">
        <v>663</v>
      </c>
      <c r="N620" s="2080">
        <f>'Ch6'!O302</f>
        <v>0</v>
      </c>
      <c r="O620" s="2080">
        <f>IF(COUNTIF(W624:W632,TRUE)&lt;2,0,MIN(6,(COUNTIF(W624:W632,TRUE)+1)))</f>
        <v>0</v>
      </c>
      <c r="P620" s="94" t="b">
        <v>1</v>
      </c>
      <c r="Q620" s="94" t="b">
        <v>1</v>
      </c>
      <c r="R620" s="105" t="b">
        <v>0</v>
      </c>
      <c r="S620" s="105" t="b">
        <v>1</v>
      </c>
      <c r="T620" s="105" t="b">
        <v>0</v>
      </c>
      <c r="U620" s="105"/>
      <c r="V620" s="105"/>
      <c r="W620" s="105"/>
      <c r="X620" s="105"/>
      <c r="Y620"/>
      <c r="AA620" s="1526"/>
      <c r="AC620" s="970"/>
      <c r="AD620" s="970"/>
      <c r="AE620" s="970"/>
      <c r="AF620" s="249"/>
      <c r="AG620" s="249"/>
      <c r="AH620" s="249"/>
      <c r="AI620" s="249"/>
      <c r="AJ620" s="249"/>
      <c r="AK620" s="249"/>
      <c r="AL620" s="254" t="str">
        <f>SUBSTITUTE(SUBSTITUTE(SUBSTITUTE("vpa"&amp;$B620&amp;$C620&amp;$D620&amp;$E620,".","_"),"(","_"),")","")</f>
        <v>vpa605_4</v>
      </c>
      <c r="AM620" s="254" t="str">
        <f>M620</f>
        <v>6 Max</v>
      </c>
      <c r="AN620" s="254" t="str">
        <f>SUBSTITUTE(SUBSTITUTE(SUBSTITUTE("vpc"&amp;$B620&amp;$C620&amp;$D620&amp;$E620,".","_"),"(","_"),")","")</f>
        <v>vpc605_4</v>
      </c>
      <c r="AO620" s="254">
        <f>O620</f>
        <v>0</v>
      </c>
      <c r="AP620" s="254"/>
      <c r="AQ620" s="254"/>
      <c r="AR620" s="1336"/>
      <c r="AS620" s="1336"/>
    </row>
    <row r="621" spans="1:45" x14ac:dyDescent="0.25">
      <c r="A621" s="2371">
        <v>6</v>
      </c>
      <c r="B621" s="2383" t="s">
        <v>4175</v>
      </c>
      <c r="C621" s="2374"/>
      <c r="D621" s="2374"/>
      <c r="E621" s="2374"/>
      <c r="F621" s="2374"/>
      <c r="G621" s="2373" t="str">
        <f t="shared" ref="G621:G633" si="37">G620</f>
        <v/>
      </c>
      <c r="H621" s="2371" t="s">
        <v>3971</v>
      </c>
      <c r="I621" s="64"/>
      <c r="J621" s="4"/>
      <c r="K621" s="83"/>
      <c r="L621" s="1796"/>
      <c r="M621" s="1758"/>
      <c r="N621" s="1927"/>
      <c r="O621" s="1927"/>
      <c r="P621" s="94"/>
      <c r="Q621" s="94"/>
      <c r="R621" s="94"/>
      <c r="S621" s="94"/>
      <c r="T621" s="94"/>
      <c r="U621" s="94"/>
      <c r="V621" s="94"/>
      <c r="W621" s="94"/>
      <c r="X621" s="911"/>
      <c r="Y621"/>
      <c r="AA621" s="1526"/>
      <c r="AC621" s="970"/>
      <c r="AD621" s="970"/>
      <c r="AE621" s="970"/>
      <c r="AF621" s="249"/>
      <c r="AG621" s="249"/>
      <c r="AH621" s="249"/>
      <c r="AI621" s="249"/>
      <c r="AJ621" s="249"/>
      <c r="AK621" s="249"/>
      <c r="AL621" s="1336"/>
      <c r="AM621" s="1336"/>
      <c r="AN621" s="1336"/>
      <c r="AO621" s="1336"/>
      <c r="AP621" s="1336"/>
      <c r="AQ621" s="1336"/>
      <c r="AR621" s="1336"/>
      <c r="AS621" s="1336"/>
    </row>
    <row r="622" spans="1:45" x14ac:dyDescent="0.25">
      <c r="A622" s="2371">
        <v>6</v>
      </c>
      <c r="B622" s="2383" t="s">
        <v>4175</v>
      </c>
      <c r="C622" s="2374" t="s">
        <v>256</v>
      </c>
      <c r="D622" s="2374"/>
      <c r="E622" s="2374"/>
      <c r="F622" s="2374"/>
      <c r="G622" s="2373" t="str">
        <f t="shared" si="37"/>
        <v/>
      </c>
      <c r="H622" s="2371" t="s">
        <v>3971</v>
      </c>
      <c r="I622" s="64"/>
      <c r="J622" s="206" t="s">
        <v>256</v>
      </c>
      <c r="K622" s="175"/>
      <c r="L622" s="1163" t="s">
        <v>664</v>
      </c>
      <c r="M622" s="1015">
        <v>3</v>
      </c>
      <c r="N622" s="1042"/>
      <c r="O622" s="1042"/>
      <c r="P622" s="249"/>
      <c r="Q622" s="249"/>
      <c r="R622" s="249"/>
      <c r="S622" s="249"/>
      <c r="T622" s="249"/>
      <c r="U622" s="249"/>
      <c r="V622" s="249"/>
      <c r="W622" s="249"/>
      <c r="X622" s="911"/>
      <c r="Y622"/>
      <c r="AA622" s="1526"/>
      <c r="AC622" s="970"/>
      <c r="AD622" s="970"/>
      <c r="AE622" s="970"/>
      <c r="AF622" s="249"/>
      <c r="AG622" s="249"/>
      <c r="AH622" s="249"/>
      <c r="AI622" s="249"/>
      <c r="AJ622" s="249"/>
      <c r="AK622" s="249"/>
      <c r="AL622" s="254" t="str">
        <f>SUBSTITUTE(SUBSTITUTE(SUBSTITUTE("vpa"&amp;$B622&amp;$C622&amp;$D622&amp;$E622,".","_"),"(","_"),")","")</f>
        <v>vpa605_4_1</v>
      </c>
      <c r="AM622" s="254">
        <f>M622</f>
        <v>3</v>
      </c>
      <c r="AN622" s="1336"/>
      <c r="AO622" s="1336"/>
      <c r="AP622" s="1336"/>
      <c r="AQ622" s="1336"/>
      <c r="AR622" s="1336"/>
      <c r="AS622" s="1336"/>
    </row>
    <row r="623" spans="1:45" x14ac:dyDescent="0.25">
      <c r="A623" s="2371">
        <v>6</v>
      </c>
      <c r="B623" s="2383" t="s">
        <v>4175</v>
      </c>
      <c r="C623" s="2374" t="s">
        <v>258</v>
      </c>
      <c r="D623" s="2374"/>
      <c r="E623" s="2374"/>
      <c r="F623" s="2374"/>
      <c r="G623" s="2373" t="str">
        <f t="shared" si="37"/>
        <v/>
      </c>
      <c r="H623" s="2371" t="s">
        <v>3971</v>
      </c>
      <c r="I623" s="64"/>
      <c r="J623" s="27" t="s">
        <v>258</v>
      </c>
      <c r="K623" s="83"/>
      <c r="L623" s="1170" t="s">
        <v>665</v>
      </c>
      <c r="M623" s="1014">
        <v>1</v>
      </c>
      <c r="N623" s="1042"/>
      <c r="O623" s="1042"/>
      <c r="P623" s="249"/>
      <c r="Q623" s="249"/>
      <c r="R623" s="249"/>
      <c r="S623" s="249"/>
      <c r="T623" s="249"/>
      <c r="U623" s="249"/>
      <c r="V623" s="249"/>
      <c r="W623" s="249"/>
      <c r="X623" s="911"/>
      <c r="Y623"/>
      <c r="AA623" s="1526"/>
      <c r="AC623" s="970"/>
      <c r="AD623" s="970"/>
      <c r="AE623" s="970"/>
      <c r="AF623" s="249"/>
      <c r="AG623" s="249"/>
      <c r="AH623" s="249"/>
      <c r="AI623" s="249"/>
      <c r="AJ623" s="249"/>
      <c r="AK623" s="249"/>
      <c r="AL623" s="254" t="str">
        <f>SUBSTITUTE(SUBSTITUTE(SUBSTITUTE("vpa"&amp;$B623&amp;$C623&amp;$D623&amp;$E623,".","_"),"(","_"),")","")</f>
        <v>vpa605_4_2</v>
      </c>
      <c r="AM623" s="254">
        <f>M623</f>
        <v>1</v>
      </c>
      <c r="AN623" s="1336"/>
      <c r="AO623" s="1336"/>
      <c r="AP623" s="1336"/>
      <c r="AQ623" s="1336"/>
      <c r="AR623" s="1336"/>
      <c r="AS623" s="1336"/>
    </row>
    <row r="624" spans="1:45" x14ac:dyDescent="0.25">
      <c r="A624" s="2371">
        <v>6</v>
      </c>
      <c r="B624" s="2383" t="s">
        <v>4175</v>
      </c>
      <c r="C624" s="2374" t="s">
        <v>258</v>
      </c>
      <c r="D624" s="2374" t="s">
        <v>121</v>
      </c>
      <c r="E624" s="2374"/>
      <c r="F624" s="2374"/>
      <c r="G624" s="2373" t="str">
        <f t="shared" si="37"/>
        <v/>
      </c>
      <c r="H624" s="2371" t="s">
        <v>3971</v>
      </c>
      <c r="I624" s="64"/>
      <c r="J624" s="4"/>
      <c r="K624" s="174" t="s">
        <v>121</v>
      </c>
      <c r="L624" s="1163" t="s">
        <v>3068</v>
      </c>
      <c r="M624" s="1014"/>
      <c r="N624" s="1042"/>
      <c r="O624" s="1042"/>
      <c r="P624" s="94" t="b">
        <v>1</v>
      </c>
      <c r="Q624" s="94" t="b">
        <v>1</v>
      </c>
      <c r="R624" s="249" t="b">
        <v>0</v>
      </c>
      <c r="S624" s="249" t="b">
        <v>1</v>
      </c>
      <c r="T624" s="249" t="b">
        <v>0</v>
      </c>
      <c r="U624" s="249"/>
      <c r="V624" s="249"/>
      <c r="W624" s="25"/>
      <c r="X624" s="1757"/>
      <c r="Y624" s="2081" t="str">
        <f>IF(LEN('Ch6'!X306)=0,"None",'Ch6'!X306)</f>
        <v>None</v>
      </c>
      <c r="Z624" s="2083"/>
      <c r="AA624" s="1526"/>
      <c r="AC624" s="970"/>
      <c r="AD624" s="970"/>
      <c r="AE624" s="970"/>
      <c r="AF624" s="249"/>
      <c r="AG624" s="249"/>
      <c r="AH624" s="249"/>
      <c r="AI624" s="249"/>
      <c r="AJ624" s="249"/>
      <c r="AK624" s="249"/>
      <c r="AL624" s="1336"/>
      <c r="AM624" s="1336"/>
      <c r="AN624" s="1336"/>
      <c r="AO624" s="1336"/>
      <c r="AP624" s="1336" t="str">
        <f t="shared" ref="AP624:AP632" si="38">SUBSTITUTE(SUBSTITUTE(SUBSTITUTE("vch"&amp;$B624&amp;$C624&amp;$D624&amp;$E624,".","_"),"(","_"),")","")</f>
        <v>vch605_4_2_a</v>
      </c>
      <c r="AQ624" s="254" t="str">
        <f t="shared" ref="AQ624:AQ632" si="39">IF(LEN(W624)=0,"",W624)</f>
        <v/>
      </c>
      <c r="AR624" s="1336" t="str">
        <f>SUBSTITUTE(SUBSTITUTE(SUBSTITUTE("vnt"&amp;$B624&amp;$C624&amp;$D624&amp;$E624,".","_"),"(","_"),")","")</f>
        <v>vnt605_4_2_a</v>
      </c>
      <c r="AS624" s="254" t="str">
        <f>IF(LEN(X624)=0,"",X624)</f>
        <v/>
      </c>
    </row>
    <row r="625" spans="1:45" x14ac:dyDescent="0.25">
      <c r="A625" s="2371">
        <v>6</v>
      </c>
      <c r="B625" s="2383" t="s">
        <v>4175</v>
      </c>
      <c r="C625" s="2374" t="s">
        <v>258</v>
      </c>
      <c r="D625" s="2374" t="s">
        <v>122</v>
      </c>
      <c r="E625" s="2374"/>
      <c r="F625" s="2374"/>
      <c r="G625" s="2373" t="str">
        <f t="shared" si="37"/>
        <v/>
      </c>
      <c r="H625" s="2371" t="s">
        <v>3971</v>
      </c>
      <c r="I625" s="64"/>
      <c r="J625" s="4"/>
      <c r="K625" s="212" t="s">
        <v>122</v>
      </c>
      <c r="L625" s="280" t="s">
        <v>3069</v>
      </c>
      <c r="M625" s="1014"/>
      <c r="N625" s="1042"/>
      <c r="O625" s="1042"/>
      <c r="P625" s="94" t="b">
        <v>1</v>
      </c>
      <c r="Q625" s="94" t="b">
        <v>1</v>
      </c>
      <c r="R625" s="249" t="b">
        <v>0</v>
      </c>
      <c r="S625" s="249" t="b">
        <v>1</v>
      </c>
      <c r="T625" s="249" t="b">
        <v>0</v>
      </c>
      <c r="U625" s="249"/>
      <c r="V625" s="249"/>
      <c r="W625" s="25"/>
      <c r="X625" s="1757"/>
      <c r="Y625" s="2081"/>
      <c r="Z625" s="2083"/>
      <c r="AA625" s="1526"/>
      <c r="AC625" s="970"/>
      <c r="AD625" s="970"/>
      <c r="AE625" s="970"/>
      <c r="AF625" s="249"/>
      <c r="AG625" s="249"/>
      <c r="AH625" s="249"/>
      <c r="AI625" s="249"/>
      <c r="AJ625" s="249"/>
      <c r="AK625" s="249"/>
      <c r="AL625" s="1336"/>
      <c r="AM625" s="1336"/>
      <c r="AN625" s="1336"/>
      <c r="AO625" s="1336"/>
      <c r="AP625" s="1336" t="str">
        <f t="shared" si="38"/>
        <v>vch605_4_2_b</v>
      </c>
      <c r="AQ625" s="254" t="str">
        <f t="shared" si="39"/>
        <v/>
      </c>
      <c r="AR625" s="1336"/>
      <c r="AS625" s="1336"/>
    </row>
    <row r="626" spans="1:45" x14ac:dyDescent="0.25">
      <c r="A626" s="2371">
        <v>6</v>
      </c>
      <c r="B626" s="2383" t="s">
        <v>4175</v>
      </c>
      <c r="C626" s="2374" t="s">
        <v>258</v>
      </c>
      <c r="D626" s="2374" t="s">
        <v>123</v>
      </c>
      <c r="E626" s="2374"/>
      <c r="F626" s="2374"/>
      <c r="G626" s="2373" t="str">
        <f t="shared" si="37"/>
        <v/>
      </c>
      <c r="H626" s="2371" t="s">
        <v>3971</v>
      </c>
      <c r="I626" s="64"/>
      <c r="J626" s="4"/>
      <c r="K626" s="217" t="s">
        <v>123</v>
      </c>
      <c r="L626" s="280" t="s">
        <v>3070</v>
      </c>
      <c r="M626" s="1014"/>
      <c r="N626" s="1042"/>
      <c r="O626" s="1042"/>
      <c r="P626" s="94" t="b">
        <v>1</v>
      </c>
      <c r="Q626" s="94" t="b">
        <v>1</v>
      </c>
      <c r="R626" s="249" t="b">
        <v>0</v>
      </c>
      <c r="S626" s="249" t="b">
        <v>1</v>
      </c>
      <c r="T626" s="249" t="b">
        <v>0</v>
      </c>
      <c r="U626" s="249"/>
      <c r="V626" s="249"/>
      <c r="W626" s="25"/>
      <c r="X626" s="1757"/>
      <c r="Y626" s="2081"/>
      <c r="Z626" s="2083"/>
      <c r="AA626" s="1526"/>
      <c r="AC626" s="970"/>
      <c r="AD626" s="970"/>
      <c r="AE626" s="970"/>
      <c r="AF626" s="249"/>
      <c r="AG626" s="249"/>
      <c r="AH626" s="249"/>
      <c r="AI626" s="249"/>
      <c r="AJ626" s="249"/>
      <c r="AK626" s="249"/>
      <c r="AL626" s="1336"/>
      <c r="AM626" s="1336"/>
      <c r="AN626" s="1336"/>
      <c r="AO626" s="1336"/>
      <c r="AP626" s="1336" t="str">
        <f t="shared" si="38"/>
        <v>vch605_4_2_c</v>
      </c>
      <c r="AQ626" s="254" t="str">
        <f t="shared" si="39"/>
        <v/>
      </c>
      <c r="AR626" s="1336"/>
      <c r="AS626" s="1336"/>
    </row>
    <row r="627" spans="1:45" x14ac:dyDescent="0.25">
      <c r="A627" s="2371">
        <v>6</v>
      </c>
      <c r="B627" s="2383" t="s">
        <v>4175</v>
      </c>
      <c r="C627" s="2374" t="s">
        <v>258</v>
      </c>
      <c r="D627" s="2374" t="s">
        <v>401</v>
      </c>
      <c r="E627" s="2374"/>
      <c r="F627" s="2374"/>
      <c r="G627" s="2373" t="str">
        <f t="shared" si="37"/>
        <v/>
      </c>
      <c r="H627" s="2371" t="s">
        <v>3971</v>
      </c>
      <c r="I627" s="64"/>
      <c r="J627" s="4"/>
      <c r="K627" s="218" t="s">
        <v>401</v>
      </c>
      <c r="L627" s="280" t="s">
        <v>3071</v>
      </c>
      <c r="M627" s="1014"/>
      <c r="N627" s="1042"/>
      <c r="O627" s="1042"/>
      <c r="P627" s="94" t="b">
        <v>1</v>
      </c>
      <c r="Q627" s="94" t="b">
        <v>1</v>
      </c>
      <c r="R627" s="249" t="b">
        <v>0</v>
      </c>
      <c r="S627" s="249" t="b">
        <v>1</v>
      </c>
      <c r="T627" s="249" t="b">
        <v>0</v>
      </c>
      <c r="U627" s="249"/>
      <c r="V627" s="249"/>
      <c r="W627" s="25"/>
      <c r="X627" s="1757"/>
      <c r="Y627" s="2081"/>
      <c r="Z627" s="2083"/>
      <c r="AA627" s="1526"/>
      <c r="AC627" s="970"/>
      <c r="AD627" s="970"/>
      <c r="AE627" s="970"/>
      <c r="AF627" s="249"/>
      <c r="AG627" s="249"/>
      <c r="AH627" s="249"/>
      <c r="AI627" s="249"/>
      <c r="AJ627" s="249"/>
      <c r="AK627" s="249"/>
      <c r="AL627" s="1336"/>
      <c r="AM627" s="1336"/>
      <c r="AN627" s="1336"/>
      <c r="AO627" s="1336"/>
      <c r="AP627" s="1336" t="str">
        <f t="shared" si="38"/>
        <v>vch605_4_2_d</v>
      </c>
      <c r="AQ627" s="254" t="str">
        <f t="shared" si="39"/>
        <v/>
      </c>
      <c r="AR627" s="1336"/>
      <c r="AS627" s="1336"/>
    </row>
    <row r="628" spans="1:45" x14ac:dyDescent="0.25">
      <c r="A628" s="2371">
        <v>6</v>
      </c>
      <c r="B628" s="2383" t="s">
        <v>4175</v>
      </c>
      <c r="C628" s="2374" t="s">
        <v>258</v>
      </c>
      <c r="D628" s="2374" t="s">
        <v>539</v>
      </c>
      <c r="E628" s="2374"/>
      <c r="F628" s="2374"/>
      <c r="G628" s="2373" t="str">
        <f t="shared" si="37"/>
        <v/>
      </c>
      <c r="H628" s="2371" t="s">
        <v>3971</v>
      </c>
      <c r="I628" s="64"/>
      <c r="J628" s="4"/>
      <c r="K628" s="212" t="s">
        <v>539</v>
      </c>
      <c r="L628" s="280" t="s">
        <v>3072</v>
      </c>
      <c r="M628" s="1014"/>
      <c r="N628" s="1042"/>
      <c r="O628" s="1042"/>
      <c r="P628" s="94" t="b">
        <v>1</v>
      </c>
      <c r="Q628" s="94" t="b">
        <v>1</v>
      </c>
      <c r="R628" s="249" t="b">
        <v>0</v>
      </c>
      <c r="S628" s="249" t="b">
        <v>1</v>
      </c>
      <c r="T628" s="249" t="b">
        <v>0</v>
      </c>
      <c r="U628" s="249"/>
      <c r="V628" s="249"/>
      <c r="W628" s="25"/>
      <c r="X628" s="1757"/>
      <c r="Y628" s="2081"/>
      <c r="Z628" s="2083"/>
      <c r="AA628" s="1526"/>
      <c r="AC628" s="970"/>
      <c r="AD628" s="970"/>
      <c r="AE628" s="970"/>
      <c r="AF628" s="249"/>
      <c r="AG628" s="249"/>
      <c r="AH628" s="249"/>
      <c r="AI628" s="249"/>
      <c r="AJ628" s="249"/>
      <c r="AK628" s="249"/>
      <c r="AL628" s="1336"/>
      <c r="AM628" s="1336"/>
      <c r="AN628" s="1336"/>
      <c r="AO628" s="1336"/>
      <c r="AP628" s="1336" t="str">
        <f t="shared" si="38"/>
        <v>vch605_4_2_e</v>
      </c>
      <c r="AQ628" s="254" t="str">
        <f t="shared" si="39"/>
        <v/>
      </c>
      <c r="AR628" s="1336"/>
      <c r="AS628" s="1336"/>
    </row>
    <row r="629" spans="1:45" x14ac:dyDescent="0.25">
      <c r="A629" s="2371">
        <v>6</v>
      </c>
      <c r="B629" s="2383" t="s">
        <v>4175</v>
      </c>
      <c r="C629" s="2374" t="s">
        <v>258</v>
      </c>
      <c r="D629" s="2374" t="s">
        <v>604</v>
      </c>
      <c r="E629" s="2374"/>
      <c r="F629" s="2374"/>
      <c r="G629" s="2373" t="str">
        <f t="shared" si="37"/>
        <v/>
      </c>
      <c r="H629" s="2371" t="s">
        <v>3971</v>
      </c>
      <c r="I629" s="64"/>
      <c r="J629" s="4"/>
      <c r="K629" s="212" t="s">
        <v>604</v>
      </c>
      <c r="L629" s="280" t="s">
        <v>3073</v>
      </c>
      <c r="M629" s="1014"/>
      <c r="N629" s="1042"/>
      <c r="O629" s="1042"/>
      <c r="P629" s="94" t="b">
        <v>1</v>
      </c>
      <c r="Q629" s="94" t="b">
        <v>1</v>
      </c>
      <c r="R629" s="249" t="b">
        <v>0</v>
      </c>
      <c r="S629" s="249" t="b">
        <v>1</v>
      </c>
      <c r="T629" s="249" t="b">
        <v>0</v>
      </c>
      <c r="U629" s="249"/>
      <c r="V629" s="249"/>
      <c r="W629" s="25"/>
      <c r="X629" s="1757"/>
      <c r="Y629" s="2081"/>
      <c r="Z629" s="2083"/>
      <c r="AA629" s="1526"/>
      <c r="AC629" s="970"/>
      <c r="AD629" s="970"/>
      <c r="AE629" s="970"/>
      <c r="AF629" s="249"/>
      <c r="AG629" s="249"/>
      <c r="AH629" s="249"/>
      <c r="AI629" s="249"/>
      <c r="AJ629" s="249"/>
      <c r="AK629" s="249"/>
      <c r="AL629" s="1336"/>
      <c r="AM629" s="1336"/>
      <c r="AN629" s="1336"/>
      <c r="AO629" s="1336"/>
      <c r="AP629" s="1336" t="str">
        <f t="shared" si="38"/>
        <v>vch605_4_2_f</v>
      </c>
      <c r="AQ629" s="254" t="str">
        <f t="shared" si="39"/>
        <v/>
      </c>
      <c r="AR629" s="1336"/>
      <c r="AS629" s="1336"/>
    </row>
    <row r="630" spans="1:45" x14ac:dyDescent="0.25">
      <c r="A630" s="2371">
        <v>6</v>
      </c>
      <c r="B630" s="2383" t="s">
        <v>4175</v>
      </c>
      <c r="C630" s="2374" t="s">
        <v>258</v>
      </c>
      <c r="D630" s="2374" t="s">
        <v>606</v>
      </c>
      <c r="E630" s="2374"/>
      <c r="F630" s="2374"/>
      <c r="G630" s="2373" t="str">
        <f t="shared" si="37"/>
        <v/>
      </c>
      <c r="H630" s="2371" t="s">
        <v>3971</v>
      </c>
      <c r="I630" s="64"/>
      <c r="J630" s="4"/>
      <c r="K630" s="217" t="s">
        <v>606</v>
      </c>
      <c r="L630" s="280" t="s">
        <v>3074</v>
      </c>
      <c r="M630" s="1014"/>
      <c r="N630" s="1042"/>
      <c r="O630" s="1042"/>
      <c r="P630" s="94" t="b">
        <v>1</v>
      </c>
      <c r="Q630" s="94" t="b">
        <v>1</v>
      </c>
      <c r="R630" s="249" t="b">
        <v>0</v>
      </c>
      <c r="S630" s="249" t="b">
        <v>1</v>
      </c>
      <c r="T630" s="249" t="b">
        <v>0</v>
      </c>
      <c r="U630" s="249"/>
      <c r="V630" s="249"/>
      <c r="W630" s="25"/>
      <c r="X630" s="1757"/>
      <c r="Y630" s="2081"/>
      <c r="Z630" s="2083"/>
      <c r="AA630" s="1526"/>
      <c r="AC630" s="970"/>
      <c r="AD630" s="970"/>
      <c r="AE630" s="970"/>
      <c r="AF630" s="249"/>
      <c r="AG630" s="249"/>
      <c r="AH630" s="249"/>
      <c r="AI630" s="249"/>
      <c r="AJ630" s="249"/>
      <c r="AK630" s="249"/>
      <c r="AL630" s="1336"/>
      <c r="AM630" s="1336"/>
      <c r="AN630" s="1336"/>
      <c r="AO630" s="1336"/>
      <c r="AP630" s="1336" t="str">
        <f t="shared" si="38"/>
        <v>vch605_4_2_g</v>
      </c>
      <c r="AQ630" s="254" t="str">
        <f t="shared" si="39"/>
        <v/>
      </c>
      <c r="AR630" s="1336"/>
      <c r="AS630" s="1336"/>
    </row>
    <row r="631" spans="1:45" x14ac:dyDescent="0.25">
      <c r="A631" s="2371">
        <v>6</v>
      </c>
      <c r="B631" s="2383" t="s">
        <v>4175</v>
      </c>
      <c r="C631" s="2374" t="s">
        <v>258</v>
      </c>
      <c r="D631" s="2374" t="s">
        <v>608</v>
      </c>
      <c r="E631" s="2374"/>
      <c r="F631" s="2374"/>
      <c r="G631" s="2373" t="str">
        <f t="shared" si="37"/>
        <v/>
      </c>
      <c r="H631" s="2371" t="s">
        <v>3971</v>
      </c>
      <c r="I631" s="64"/>
      <c r="J631" s="249"/>
      <c r="K631" s="218" t="s">
        <v>608</v>
      </c>
      <c r="L631" s="280" t="s">
        <v>3075</v>
      </c>
      <c r="M631" s="66"/>
      <c r="N631" s="1042"/>
      <c r="O631" s="1042"/>
      <c r="P631" s="94" t="b">
        <v>1</v>
      </c>
      <c r="Q631" s="94" t="b">
        <v>1</v>
      </c>
      <c r="R631" s="249" t="b">
        <v>0</v>
      </c>
      <c r="S631" s="249" t="b">
        <v>1</v>
      </c>
      <c r="T631" s="249" t="b">
        <v>0</v>
      </c>
      <c r="U631" s="249"/>
      <c r="V631" s="249"/>
      <c r="W631" s="25"/>
      <c r="X631" s="918"/>
      <c r="Y631" s="988" t="str">
        <f>IF(LEN('Ch6'!X313)=0,"None",'Ch6'!X313)</f>
        <v>None</v>
      </c>
      <c r="Z631" s="1587"/>
      <c r="AA631" s="1526"/>
      <c r="AC631" s="970" t="b">
        <f>OR(AD631:AE631)</f>
        <v>0</v>
      </c>
      <c r="AD631" s="970" t="b">
        <v>0</v>
      </c>
      <c r="AE631" s="970" t="b">
        <f>AND(W631=TRUE,LEN(X631)=0)</f>
        <v>0</v>
      </c>
      <c r="AF631" s="784"/>
      <c r="AG631" s="249"/>
      <c r="AH631" s="249"/>
      <c r="AI631" s="249"/>
      <c r="AJ631" s="249"/>
      <c r="AK631" s="249"/>
      <c r="AL631" s="1336"/>
      <c r="AM631" s="1336"/>
      <c r="AN631" s="1336"/>
      <c r="AO631" s="1336"/>
      <c r="AP631" s="1336" t="str">
        <f t="shared" si="38"/>
        <v>vch605_4_2_h</v>
      </c>
      <c r="AQ631" s="254" t="str">
        <f t="shared" si="39"/>
        <v/>
      </c>
      <c r="AR631" s="1336" t="str">
        <f>SUBSTITUTE(SUBSTITUTE(SUBSTITUTE("vnt"&amp;$B631&amp;$C631&amp;$D631&amp;$E631,".","_"),"(","_"),")","")</f>
        <v>vnt605_4_2_h</v>
      </c>
      <c r="AS631" s="254" t="str">
        <f>IF(LEN(X631)=0,"",X631)</f>
        <v/>
      </c>
    </row>
    <row r="632" spans="1:45" x14ac:dyDescent="0.25">
      <c r="A632" s="2371">
        <v>6</v>
      </c>
      <c r="B632" s="2383" t="s">
        <v>4175</v>
      </c>
      <c r="C632" s="2374" t="s">
        <v>258</v>
      </c>
      <c r="D632" s="2374" t="s">
        <v>844</v>
      </c>
      <c r="E632" s="2374"/>
      <c r="F632" s="2374"/>
      <c r="G632" s="2373" t="str">
        <f t="shared" si="37"/>
        <v/>
      </c>
      <c r="H632" s="2371" t="s">
        <v>3971</v>
      </c>
      <c r="I632" s="64"/>
      <c r="J632" s="249"/>
      <c r="K632" s="85" t="s">
        <v>844</v>
      </c>
      <c r="L632" s="1170" t="s">
        <v>3075</v>
      </c>
      <c r="M632" s="66"/>
      <c r="N632" s="1042"/>
      <c r="O632" s="1042"/>
      <c r="P632" s="94" t="b">
        <v>1</v>
      </c>
      <c r="Q632" s="94" t="b">
        <v>1</v>
      </c>
      <c r="R632" s="249" t="b">
        <v>0</v>
      </c>
      <c r="S632" s="249" t="b">
        <v>1</v>
      </c>
      <c r="T632" s="249" t="b">
        <v>0</v>
      </c>
      <c r="U632" s="249"/>
      <c r="V632" s="249"/>
      <c r="W632" s="25"/>
      <c r="X632" s="918"/>
      <c r="Y632" s="988" t="str">
        <f>IF(LEN('Ch6'!X314)=0,"None",'Ch6'!X314)</f>
        <v>None</v>
      </c>
      <c r="Z632" s="1587"/>
      <c r="AA632" s="1526"/>
      <c r="AC632" s="970" t="b">
        <f>OR(AD632:AE632)</f>
        <v>0</v>
      </c>
      <c r="AD632" s="970" t="b">
        <v>0</v>
      </c>
      <c r="AE632" s="970" t="b">
        <f>AND(W632=TRUE,LEN(X632)=0)</f>
        <v>0</v>
      </c>
      <c r="AF632" s="784"/>
      <c r="AG632" s="249"/>
      <c r="AH632" s="249"/>
      <c r="AI632" s="249"/>
      <c r="AJ632" s="249"/>
      <c r="AK632" s="249"/>
      <c r="AL632" s="1336"/>
      <c r="AM632" s="1336"/>
      <c r="AN632" s="1336"/>
      <c r="AO632" s="1336"/>
      <c r="AP632" s="1336" t="str">
        <f t="shared" si="38"/>
        <v>vch605_4_2_i</v>
      </c>
      <c r="AQ632" s="254" t="str">
        <f t="shared" si="39"/>
        <v/>
      </c>
      <c r="AR632" s="1336" t="str">
        <f>SUBSTITUTE(SUBSTITUTE(SUBSTITUTE("vnt"&amp;$B632&amp;$C632&amp;$D632&amp;$E632,".","_"),"(","_"),")","")</f>
        <v>vnt605_4_2_i</v>
      </c>
      <c r="AS632" s="254" t="str">
        <f>IF(LEN(X632)=0,"",X632)</f>
        <v/>
      </c>
    </row>
    <row r="633" spans="1:45" x14ac:dyDescent="0.25">
      <c r="A633" s="2371">
        <v>6</v>
      </c>
      <c r="B633" s="2383" t="s">
        <v>4175</v>
      </c>
      <c r="C633" s="2374"/>
      <c r="D633" s="2374"/>
      <c r="E633" s="2374"/>
      <c r="F633" s="2374"/>
      <c r="G633" s="2373" t="str">
        <f t="shared" si="37"/>
        <v/>
      </c>
      <c r="H633" s="2371" t="s">
        <v>3971</v>
      </c>
      <c r="I633" s="64"/>
      <c r="J633" s="249"/>
      <c r="K633" s="85"/>
      <c r="L633" s="1179" t="s">
        <v>3076</v>
      </c>
      <c r="M633" s="66"/>
      <c r="N633" s="1042"/>
      <c r="O633" s="1042"/>
      <c r="P633" s="249"/>
      <c r="Q633" s="249"/>
      <c r="R633" s="249"/>
      <c r="S633" s="249"/>
      <c r="T633" s="249"/>
      <c r="U633" s="249"/>
      <c r="V633" s="249"/>
      <c r="W633" s="249"/>
      <c r="X633" s="911"/>
      <c r="AA633" s="1526"/>
      <c r="AC633" s="970"/>
      <c r="AD633" s="970"/>
      <c r="AE633" s="970"/>
      <c r="AF633" s="249"/>
      <c r="AG633" s="249"/>
      <c r="AH633" s="249"/>
      <c r="AI633" s="249"/>
      <c r="AJ633" s="249"/>
      <c r="AK633" s="249"/>
      <c r="AL633" s="1336"/>
      <c r="AM633" s="1336"/>
      <c r="AN633" s="1336"/>
      <c r="AO633" s="1336"/>
      <c r="AP633" s="1336"/>
      <c r="AQ633" s="1336"/>
      <c r="AR633" s="1336"/>
      <c r="AS633" s="1336"/>
    </row>
    <row r="634" spans="1:45" ht="18.75" x14ac:dyDescent="0.3">
      <c r="A634" s="2371">
        <v>6</v>
      </c>
      <c r="B634" s="2383">
        <v>606</v>
      </c>
      <c r="C634" s="2374"/>
      <c r="D634" s="2374"/>
      <c r="E634" s="2374"/>
      <c r="F634" s="2374"/>
      <c r="G634" s="2373" t="s">
        <v>3974</v>
      </c>
      <c r="H634" s="2371" t="s">
        <v>3971</v>
      </c>
      <c r="I634" s="14" t="s">
        <v>666</v>
      </c>
      <c r="J634" s="23"/>
      <c r="K634" s="82"/>
      <c r="L634" s="229"/>
      <c r="M634" s="390"/>
      <c r="N634" s="1043"/>
      <c r="O634" s="1043"/>
      <c r="P634" s="23"/>
      <c r="Q634" s="23"/>
      <c r="R634" s="23"/>
      <c r="S634" s="23"/>
      <c r="T634" s="23"/>
      <c r="U634" s="23"/>
      <c r="V634" s="23"/>
      <c r="W634" s="23"/>
      <c r="X634" s="23"/>
      <c r="Y634" s="23"/>
      <c r="Z634" s="1586"/>
      <c r="AA634" s="1526"/>
      <c r="AC634" s="970"/>
      <c r="AD634" s="970"/>
      <c r="AE634" s="970"/>
      <c r="AF634" s="249"/>
      <c r="AG634" s="249"/>
      <c r="AH634" s="249"/>
      <c r="AI634" s="249"/>
      <c r="AJ634" s="249"/>
      <c r="AK634" s="249"/>
      <c r="AL634" s="1336"/>
      <c r="AM634" s="1336"/>
      <c r="AN634" s="1336"/>
      <c r="AO634" s="1336"/>
      <c r="AP634" s="1336"/>
      <c r="AQ634" s="1336"/>
      <c r="AR634" s="1336"/>
      <c r="AS634" s="1336"/>
    </row>
    <row r="635" spans="1:45" ht="15.75" thickBot="1" x14ac:dyDescent="0.3">
      <c r="A635" s="2371">
        <v>6</v>
      </c>
      <c r="B635" s="2383" t="s">
        <v>3981</v>
      </c>
      <c r="C635" s="2374"/>
      <c r="D635" s="2374"/>
      <c r="E635" s="2374"/>
      <c r="F635" s="2374"/>
      <c r="G635" s="2371"/>
      <c r="H635" s="2371"/>
      <c r="I635" s="78" t="s">
        <v>3981</v>
      </c>
      <c r="J635" s="4"/>
      <c r="K635" s="83"/>
      <c r="L635" s="1180" t="s">
        <v>667</v>
      </c>
      <c r="M635" s="1014"/>
      <c r="N635" s="1042"/>
      <c r="O635" s="1042"/>
      <c r="P635" s="249"/>
      <c r="Q635" s="249"/>
      <c r="R635" s="249"/>
      <c r="S635" s="249"/>
      <c r="T635" s="249"/>
      <c r="U635" s="249"/>
      <c r="V635" s="249"/>
      <c r="W635" s="249"/>
      <c r="X635" s="911"/>
      <c r="Y635" s="99"/>
      <c r="Z635" s="1589"/>
      <c r="AA635" s="1526"/>
      <c r="AC635" s="970"/>
      <c r="AD635" s="970"/>
      <c r="AE635" s="970"/>
      <c r="AF635" s="249"/>
      <c r="AG635" s="249"/>
      <c r="AH635" s="249"/>
      <c r="AI635" s="249"/>
      <c r="AJ635" s="249"/>
      <c r="AK635" s="249"/>
      <c r="AL635" s="1336"/>
      <c r="AM635" s="1336"/>
      <c r="AN635" s="1336"/>
      <c r="AO635" s="1336"/>
      <c r="AP635" s="1336"/>
      <c r="AQ635" s="1336"/>
      <c r="AR635" s="1336"/>
      <c r="AS635" s="1336"/>
    </row>
    <row r="636" spans="1:45" ht="15.75" thickTop="1" x14ac:dyDescent="0.25">
      <c r="A636" s="2371">
        <v>6</v>
      </c>
      <c r="B636" s="2383">
        <v>606.1</v>
      </c>
      <c r="C636" s="2374"/>
      <c r="D636" s="2374"/>
      <c r="E636" s="2374"/>
      <c r="F636" s="2374"/>
      <c r="G636" s="2373" t="str">
        <f ca="1">IF(N636&gt;0,"P","")</f>
        <v/>
      </c>
      <c r="H636" s="2371" t="s">
        <v>3971</v>
      </c>
      <c r="I636" s="180">
        <v>606.1</v>
      </c>
      <c r="J636" s="181"/>
      <c r="K636" s="182"/>
      <c r="L636" s="1189" t="s">
        <v>668</v>
      </c>
      <c r="M636" s="1009"/>
      <c r="N636" s="2080">
        <f ca="1">'Ch6'!O318</f>
        <v>0</v>
      </c>
      <c r="O636" s="2080">
        <f ca="1">MIN(8,IF(R649&gt;1,6+R649+R647-2,IF(R649+R647&gt;1,3+MIN(2,R647+R649-2),0)))</f>
        <v>0</v>
      </c>
      <c r="P636" s="105"/>
      <c r="Q636" s="105"/>
      <c r="R636" s="105"/>
      <c r="S636" s="105"/>
      <c r="T636" s="105"/>
      <c r="U636" s="105"/>
      <c r="V636" s="105"/>
      <c r="W636" s="105"/>
      <c r="X636" s="105"/>
      <c r="AA636" s="1526"/>
      <c r="AC636" s="970"/>
      <c r="AD636" s="970"/>
      <c r="AE636" s="970"/>
      <c r="AF636" s="249"/>
      <c r="AG636" s="249"/>
      <c r="AH636" s="249"/>
      <c r="AI636" s="249"/>
      <c r="AJ636" s="249"/>
      <c r="AK636" s="249"/>
      <c r="AL636" s="1336"/>
      <c r="AM636" s="1336"/>
      <c r="AN636" s="254" t="str">
        <f>SUBSTITUTE(SUBSTITUTE(SUBSTITUTE("vpc"&amp;$B636&amp;$C636&amp;$D636&amp;$E636,".","_"),"(","_"),")","")</f>
        <v>vpc606_1</v>
      </c>
      <c r="AO636" s="254">
        <f ca="1">O636</f>
        <v>0</v>
      </c>
      <c r="AP636" s="1336"/>
      <c r="AQ636" s="1336"/>
      <c r="AR636" s="1336"/>
      <c r="AS636" s="1336"/>
    </row>
    <row r="637" spans="1:45" x14ac:dyDescent="0.25">
      <c r="A637" s="2371">
        <v>6</v>
      </c>
      <c r="B637" s="2383">
        <v>606.1</v>
      </c>
      <c r="C637" s="2374"/>
      <c r="D637" s="2374" t="s">
        <v>121</v>
      </c>
      <c r="E637" s="2374"/>
      <c r="F637" s="2374"/>
      <c r="G637" s="2373" t="str">
        <f t="shared" ref="G637:G652" ca="1" si="40">G636</f>
        <v/>
      </c>
      <c r="H637" s="2375" t="s">
        <v>3971</v>
      </c>
      <c r="I637" s="130"/>
      <c r="J637" s="129"/>
      <c r="K637" s="91" t="s">
        <v>121</v>
      </c>
      <c r="L637" s="1162" t="s">
        <v>669</v>
      </c>
      <c r="M637" s="1010"/>
      <c r="N637" s="1927"/>
      <c r="O637" s="1927"/>
      <c r="P637" s="94" t="b">
        <v>1</v>
      </c>
      <c r="Q637" s="94" t="b">
        <v>1</v>
      </c>
      <c r="R637" s="94" t="b">
        <v>0</v>
      </c>
      <c r="S637" s="94" t="b">
        <f>OR(NOT(ISBLANK(W668)),NOT(ISBLANK(W669)),NOT(ISBLANK(W671)),NOT(ISBLANK(W672)))</f>
        <v>0</v>
      </c>
      <c r="T637" s="94" t="b">
        <f>IF(AND(NOT(S637),LEN(W637)&gt;0),TRUE,FALSE)</f>
        <v>0</v>
      </c>
      <c r="U637" s="94" t="str">
        <f t="shared" ref="U637:U644" si="41">SUBSTITUTE(SUBSTITUTE(SUBSTITUTE("dd"&amp;B637&amp;C637&amp;D637&amp;E637&amp;F637,".","_"),"(","_"),")","")</f>
        <v>dd606_1_a</v>
      </c>
      <c r="V637" s="94"/>
      <c r="W637" s="12"/>
      <c r="X637" s="1757"/>
      <c r="Y637" s="2081" t="str">
        <f>IF(LEN('Ch6'!X319)=0,"None",'Ch6'!X319)</f>
        <v>None</v>
      </c>
      <c r="Z637" s="2084"/>
      <c r="AA637" s="1526"/>
      <c r="AC637" s="970" t="b">
        <f>OR(AD637:AE637)</f>
        <v>0</v>
      </c>
      <c r="AD637" s="970" t="b">
        <f>T637</f>
        <v>0</v>
      </c>
      <c r="AE637" s="970"/>
      <c r="AF637" s="249"/>
      <c r="AG637" s="249"/>
      <c r="AH637" s="249"/>
      <c r="AI637" s="249"/>
      <c r="AJ637" s="249"/>
      <c r="AK637" s="249"/>
      <c r="AL637" s="1336"/>
      <c r="AM637" s="1336"/>
      <c r="AN637" s="1336"/>
      <c r="AO637" s="1336"/>
      <c r="AP637" s="1336" t="str">
        <f t="shared" ref="AP637:AP644" si="42">SUBSTITUTE(SUBSTITUTE(SUBSTITUTE("vch"&amp;$B637&amp;$C637&amp;$D637&amp;$E637,".","_"),"(","_"),")","")</f>
        <v>vch606_1_a</v>
      </c>
      <c r="AQ637" s="254" t="str">
        <f t="shared" ref="AQ637:AQ644" si="43">IF(LEN(W637)=0,"",W637)</f>
        <v/>
      </c>
      <c r="AR637" s="1336" t="str">
        <f>SUBSTITUTE(SUBSTITUTE(SUBSTITUTE("vnt"&amp;$B637&amp;$C637&amp;$D637&amp;$E637,".","_"),"(","_"),")","")</f>
        <v>vnt606_1_a</v>
      </c>
      <c r="AS637" s="254" t="str">
        <f>IF(LEN(X637)=0,"",X637)</f>
        <v/>
      </c>
    </row>
    <row r="638" spans="1:45" x14ac:dyDescent="0.25">
      <c r="A638" s="2371">
        <v>6</v>
      </c>
      <c r="B638" s="2383">
        <v>606.1</v>
      </c>
      <c r="C638" s="2374"/>
      <c r="D638" s="2374" t="s">
        <v>122</v>
      </c>
      <c r="E638" s="2374"/>
      <c r="F638" s="2374"/>
      <c r="G638" s="2373" t="str">
        <f t="shared" ca="1" si="40"/>
        <v/>
      </c>
      <c r="H638" s="2375" t="s">
        <v>3971</v>
      </c>
      <c r="I638" s="130"/>
      <c r="J638" s="129"/>
      <c r="K638" s="91" t="s">
        <v>122</v>
      </c>
      <c r="L638" s="1162" t="s">
        <v>670</v>
      </c>
      <c r="M638" s="1010"/>
      <c r="N638" s="1927"/>
      <c r="O638" s="1927"/>
      <c r="P638" s="94" t="b">
        <v>1</v>
      </c>
      <c r="Q638" s="94" t="b">
        <v>1</v>
      </c>
      <c r="R638" s="94" t="b">
        <v>0</v>
      </c>
      <c r="S638" s="94" t="b">
        <v>1</v>
      </c>
      <c r="T638" s="94" t="b">
        <v>0</v>
      </c>
      <c r="U638" s="94" t="str">
        <f t="shared" si="41"/>
        <v>dd606_1_b</v>
      </c>
      <c r="V638" s="94"/>
      <c r="W638" s="12"/>
      <c r="X638" s="1757"/>
      <c r="Y638" s="2081"/>
      <c r="Z638" s="2084"/>
      <c r="AA638" s="1526"/>
      <c r="AC638" s="970"/>
      <c r="AD638" s="970"/>
      <c r="AE638" s="970"/>
      <c r="AF638" s="249"/>
      <c r="AG638" s="249"/>
      <c r="AH638" s="249"/>
      <c r="AI638" s="249"/>
      <c r="AJ638" s="249"/>
      <c r="AK638" s="249"/>
      <c r="AL638" s="1336"/>
      <c r="AM638" s="1336"/>
      <c r="AN638" s="1336"/>
      <c r="AO638" s="1336"/>
      <c r="AP638" s="1336" t="str">
        <f t="shared" si="42"/>
        <v>vch606_1_b</v>
      </c>
      <c r="AQ638" s="254" t="str">
        <f t="shared" si="43"/>
        <v/>
      </c>
      <c r="AR638" s="1336"/>
      <c r="AS638" s="1336"/>
    </row>
    <row r="639" spans="1:45" x14ac:dyDescent="0.25">
      <c r="A639" s="2371">
        <v>6</v>
      </c>
      <c r="B639" s="2383">
        <v>606.1</v>
      </c>
      <c r="C639" s="2374"/>
      <c r="D639" s="2376" t="s">
        <v>123</v>
      </c>
      <c r="E639" s="2374"/>
      <c r="F639" s="2376"/>
      <c r="G639" s="2373" t="str">
        <f t="shared" ca="1" si="40"/>
        <v/>
      </c>
      <c r="H639" s="2379" t="s">
        <v>3971</v>
      </c>
      <c r="I639" s="130"/>
      <c r="J639" s="129"/>
      <c r="K639" s="110" t="s">
        <v>123</v>
      </c>
      <c r="L639" s="1162" t="s">
        <v>671</v>
      </c>
      <c r="M639" s="1010"/>
      <c r="N639" s="1927"/>
      <c r="O639" s="1927"/>
      <c r="P639" s="94" t="b">
        <v>1</v>
      </c>
      <c r="Q639" s="94" t="b">
        <v>1</v>
      </c>
      <c r="R639" s="94" t="b">
        <v>0</v>
      </c>
      <c r="S639" s="94" t="b">
        <v>1</v>
      </c>
      <c r="T639" s="94" t="b">
        <v>0</v>
      </c>
      <c r="U639" s="94" t="str">
        <f t="shared" si="41"/>
        <v>dd606_1_c</v>
      </c>
      <c r="V639" s="94"/>
      <c r="W639" s="12"/>
      <c r="X639" s="1757"/>
      <c r="Y639" s="2081"/>
      <c r="Z639" s="2084"/>
      <c r="AA639" s="1526"/>
      <c r="AC639" s="970"/>
      <c r="AD639" s="970"/>
      <c r="AE639" s="970"/>
      <c r="AF639" s="249"/>
      <c r="AG639" s="249"/>
      <c r="AH639" s="249"/>
      <c r="AI639" s="249"/>
      <c r="AJ639" s="249"/>
      <c r="AK639" s="249"/>
      <c r="AL639" s="1336"/>
      <c r="AM639" s="1336"/>
      <c r="AN639" s="1336"/>
      <c r="AO639" s="1336"/>
      <c r="AP639" s="1336" t="str">
        <f t="shared" si="42"/>
        <v>vch606_1_c</v>
      </c>
      <c r="AQ639" s="254" t="str">
        <f t="shared" si="43"/>
        <v/>
      </c>
      <c r="AR639" s="1336"/>
      <c r="AS639" s="1336"/>
    </row>
    <row r="640" spans="1:45" x14ac:dyDescent="0.25">
      <c r="A640" s="2371">
        <v>6</v>
      </c>
      <c r="B640" s="2383">
        <v>606.1</v>
      </c>
      <c r="C640" s="2374"/>
      <c r="D640" s="2374" t="s">
        <v>401</v>
      </c>
      <c r="E640" s="2374"/>
      <c r="F640" s="2374"/>
      <c r="G640" s="2373" t="str">
        <f t="shared" ca="1" si="40"/>
        <v/>
      </c>
      <c r="H640" s="2371" t="s">
        <v>3971</v>
      </c>
      <c r="I640" s="130"/>
      <c r="J640" s="129"/>
      <c r="K640" s="187" t="s">
        <v>401</v>
      </c>
      <c r="L640" s="1162" t="s">
        <v>672</v>
      </c>
      <c r="M640" s="1010"/>
      <c r="N640" s="1927"/>
      <c r="O640" s="1927"/>
      <c r="P640" s="94" t="b">
        <v>1</v>
      </c>
      <c r="Q640" s="94" t="b">
        <v>1</v>
      </c>
      <c r="R640" s="94" t="b">
        <v>0</v>
      </c>
      <c r="S640" s="94" t="b">
        <v>1</v>
      </c>
      <c r="T640" s="94" t="b">
        <v>0</v>
      </c>
      <c r="U640" s="94" t="str">
        <f t="shared" si="41"/>
        <v>dd606_1_d</v>
      </c>
      <c r="V640" s="94"/>
      <c r="W640" s="12"/>
      <c r="X640" s="1757"/>
      <c r="Y640" s="2081"/>
      <c r="Z640" s="2084"/>
      <c r="AA640" s="1526"/>
      <c r="AC640" s="970"/>
      <c r="AD640" s="970"/>
      <c r="AE640" s="970"/>
      <c r="AF640" s="249"/>
      <c r="AG640" s="249"/>
      <c r="AH640" s="249"/>
      <c r="AI640" s="249"/>
      <c r="AJ640" s="249"/>
      <c r="AK640" s="249"/>
      <c r="AL640" s="1336"/>
      <c r="AM640" s="1336"/>
      <c r="AN640" s="1336"/>
      <c r="AO640" s="1336"/>
      <c r="AP640" s="1336" t="str">
        <f t="shared" si="42"/>
        <v>vch606_1_d</v>
      </c>
      <c r="AQ640" s="254" t="str">
        <f t="shared" si="43"/>
        <v/>
      </c>
      <c r="AR640" s="1336"/>
      <c r="AS640" s="1336"/>
    </row>
    <row r="641" spans="1:45" x14ac:dyDescent="0.25">
      <c r="A641" s="2371">
        <v>6</v>
      </c>
      <c r="B641" s="2383">
        <v>606.1</v>
      </c>
      <c r="C641" s="2374"/>
      <c r="D641" s="2374" t="s">
        <v>539</v>
      </c>
      <c r="E641" s="2374"/>
      <c r="F641" s="2374"/>
      <c r="G641" s="2373" t="str">
        <f t="shared" ca="1" si="40"/>
        <v/>
      </c>
      <c r="H641" s="2375" t="s">
        <v>3971</v>
      </c>
      <c r="I641" s="130"/>
      <c r="J641" s="129"/>
      <c r="K641" s="91" t="s">
        <v>539</v>
      </c>
      <c r="L641" s="1162" t="s">
        <v>673</v>
      </c>
      <c r="M641" s="1010"/>
      <c r="N641" s="1927"/>
      <c r="O641" s="1927"/>
      <c r="P641" s="94" t="b">
        <v>1</v>
      </c>
      <c r="Q641" s="94" t="b">
        <v>1</v>
      </c>
      <c r="R641" s="94" t="b">
        <v>0</v>
      </c>
      <c r="S641" s="94" t="b">
        <v>1</v>
      </c>
      <c r="T641" s="94" t="b">
        <v>0</v>
      </c>
      <c r="U641" s="94" t="str">
        <f t="shared" si="41"/>
        <v>dd606_1_e</v>
      </c>
      <c r="V641" s="94"/>
      <c r="W641" s="12"/>
      <c r="X641" s="1757"/>
      <c r="Y641" s="2081"/>
      <c r="Z641" s="2084"/>
      <c r="AA641" s="1526"/>
      <c r="AC641" s="970"/>
      <c r="AD641" s="970"/>
      <c r="AE641" s="970"/>
      <c r="AF641" s="249"/>
      <c r="AG641" s="249"/>
      <c r="AH641" s="249"/>
      <c r="AI641" s="249"/>
      <c r="AJ641" s="249"/>
      <c r="AK641" s="249"/>
      <c r="AL641" s="1336"/>
      <c r="AM641" s="1336"/>
      <c r="AN641" s="1336"/>
      <c r="AO641" s="1336"/>
      <c r="AP641" s="1336" t="str">
        <f t="shared" si="42"/>
        <v>vch606_1_e</v>
      </c>
      <c r="AQ641" s="254" t="str">
        <f t="shared" si="43"/>
        <v/>
      </c>
      <c r="AR641" s="1336"/>
      <c r="AS641" s="1336"/>
    </row>
    <row r="642" spans="1:45" x14ac:dyDescent="0.25">
      <c r="A642" s="2371">
        <v>6</v>
      </c>
      <c r="B642" s="2383">
        <v>606.1</v>
      </c>
      <c r="C642" s="2374"/>
      <c r="D642" s="2374" t="s">
        <v>604</v>
      </c>
      <c r="E642" s="2374"/>
      <c r="F642" s="2374"/>
      <c r="G642" s="2373" t="str">
        <f t="shared" ca="1" si="40"/>
        <v/>
      </c>
      <c r="H642" s="2375" t="s">
        <v>3971</v>
      </c>
      <c r="I642" s="130"/>
      <c r="J642" s="129"/>
      <c r="K642" s="91" t="s">
        <v>604</v>
      </c>
      <c r="L642" s="1162" t="s">
        <v>674</v>
      </c>
      <c r="M642" s="1010"/>
      <c r="N642" s="1927"/>
      <c r="O642" s="1927"/>
      <c r="P642" s="94" t="b">
        <v>1</v>
      </c>
      <c r="Q642" s="94" t="b">
        <v>1</v>
      </c>
      <c r="R642" s="94" t="b">
        <v>0</v>
      </c>
      <c r="S642" s="94" t="b">
        <v>1</v>
      </c>
      <c r="T642" s="94" t="b">
        <v>0</v>
      </c>
      <c r="U642" s="94" t="str">
        <f t="shared" si="41"/>
        <v>dd606_1_f</v>
      </c>
      <c r="V642" s="94"/>
      <c r="W642" s="12"/>
      <c r="X642" s="1757"/>
      <c r="Y642" s="2081"/>
      <c r="Z642" s="2084"/>
      <c r="AA642" s="1526"/>
      <c r="AC642" s="970"/>
      <c r="AD642" s="970"/>
      <c r="AE642" s="970"/>
      <c r="AF642" s="249"/>
      <c r="AG642" s="249"/>
      <c r="AH642" s="249"/>
      <c r="AI642" s="249"/>
      <c r="AJ642" s="249"/>
      <c r="AK642" s="249"/>
      <c r="AL642" s="1336"/>
      <c r="AM642" s="1336"/>
      <c r="AN642" s="1336"/>
      <c r="AO642" s="1336"/>
      <c r="AP642" s="1336" t="str">
        <f t="shared" si="42"/>
        <v>vch606_1_f</v>
      </c>
      <c r="AQ642" s="254" t="str">
        <f t="shared" si="43"/>
        <v/>
      </c>
      <c r="AR642" s="1336"/>
      <c r="AS642" s="1336"/>
    </row>
    <row r="643" spans="1:45" x14ac:dyDescent="0.25">
      <c r="A643" s="2371">
        <v>6</v>
      </c>
      <c r="B643" s="2383">
        <v>606.1</v>
      </c>
      <c r="C643" s="2374"/>
      <c r="D643" s="2376" t="s">
        <v>606</v>
      </c>
      <c r="E643" s="2374"/>
      <c r="F643" s="2376"/>
      <c r="G643" s="2373" t="str">
        <f t="shared" ca="1" si="40"/>
        <v/>
      </c>
      <c r="H643" s="2379" t="s">
        <v>3971</v>
      </c>
      <c r="I643" s="130"/>
      <c r="J643" s="129"/>
      <c r="K643" s="110" t="s">
        <v>606</v>
      </c>
      <c r="L643" s="1162" t="s">
        <v>675</v>
      </c>
      <c r="M643" s="1010"/>
      <c r="N643" s="1927"/>
      <c r="O643" s="1927"/>
      <c r="P643" s="94" t="b">
        <v>1</v>
      </c>
      <c r="Q643" s="94" t="b">
        <v>1</v>
      </c>
      <c r="R643" s="94" t="b">
        <v>0</v>
      </c>
      <c r="S643" s="94" t="b">
        <v>1</v>
      </c>
      <c r="T643" s="94" t="b">
        <v>0</v>
      </c>
      <c r="U643" s="94" t="str">
        <f t="shared" si="41"/>
        <v>dd606_1_g</v>
      </c>
      <c r="V643" s="94"/>
      <c r="W643" s="12"/>
      <c r="X643" s="1757"/>
      <c r="Y643" s="2081"/>
      <c r="Z643" s="2084"/>
      <c r="AA643" s="1526"/>
      <c r="AC643" s="970"/>
      <c r="AD643" s="970"/>
      <c r="AE643" s="970"/>
      <c r="AF643" s="249"/>
      <c r="AG643" s="249"/>
      <c r="AH643" s="249"/>
      <c r="AI643" s="249"/>
      <c r="AJ643" s="249"/>
      <c r="AK643" s="249"/>
      <c r="AL643" s="1336"/>
      <c r="AM643" s="1336"/>
      <c r="AN643" s="1336"/>
      <c r="AO643" s="1336"/>
      <c r="AP643" s="1336" t="str">
        <f t="shared" si="42"/>
        <v>vch606_1_g</v>
      </c>
      <c r="AQ643" s="254" t="str">
        <f t="shared" si="43"/>
        <v/>
      </c>
      <c r="AR643" s="1336"/>
      <c r="AS643" s="1336"/>
    </row>
    <row r="644" spans="1:45" x14ac:dyDescent="0.25">
      <c r="A644" s="2371">
        <v>6</v>
      </c>
      <c r="B644" s="2383">
        <v>606.1</v>
      </c>
      <c r="C644" s="2374"/>
      <c r="D644" s="2374" t="s">
        <v>608</v>
      </c>
      <c r="E644" s="2374"/>
      <c r="F644" s="2374"/>
      <c r="G644" s="2373" t="str">
        <f t="shared" ca="1" si="40"/>
        <v/>
      </c>
      <c r="H644" s="2371" t="s">
        <v>3971</v>
      </c>
      <c r="I644" s="130"/>
      <c r="J644" s="129"/>
      <c r="K644" s="187" t="s">
        <v>608</v>
      </c>
      <c r="L644" s="1754" t="s">
        <v>676</v>
      </c>
      <c r="M644" s="1010"/>
      <c r="N644" s="1927"/>
      <c r="O644" s="1927"/>
      <c r="P644" s="94" t="b">
        <v>1</v>
      </c>
      <c r="Q644" s="94" t="b">
        <v>1</v>
      </c>
      <c r="R644" s="94" t="b">
        <v>0</v>
      </c>
      <c r="S644" s="94" t="b">
        <v>1</v>
      </c>
      <c r="T644" s="94" t="b">
        <v>0</v>
      </c>
      <c r="U644" s="94" t="str">
        <f t="shared" si="41"/>
        <v>dd606_1_h</v>
      </c>
      <c r="V644" s="94"/>
      <c r="W644" s="12"/>
      <c r="X644" s="1757"/>
      <c r="Y644" s="2081"/>
      <c r="Z644" s="2084"/>
      <c r="AA644" s="1526"/>
      <c r="AC644" s="970" t="b">
        <f>OR(AD644:AE644)</f>
        <v>0</v>
      </c>
      <c r="AD644" s="970" t="b">
        <v>0</v>
      </c>
      <c r="AE644" s="970" t="b">
        <f>AND(NOT(ISBLANK(W644)),LEN(X637)=0)</f>
        <v>0</v>
      </c>
      <c r="AF644" s="784"/>
      <c r="AG644" s="249"/>
      <c r="AH644" s="249"/>
      <c r="AI644" s="249"/>
      <c r="AJ644" s="249"/>
      <c r="AK644" s="249"/>
      <c r="AL644" s="1336"/>
      <c r="AM644" s="1336"/>
      <c r="AN644" s="1336"/>
      <c r="AO644" s="1336"/>
      <c r="AP644" s="1336" t="str">
        <f t="shared" si="42"/>
        <v>vch606_1_h</v>
      </c>
      <c r="AQ644" s="254" t="str">
        <f t="shared" si="43"/>
        <v/>
      </c>
      <c r="AR644" s="1336"/>
      <c r="AS644" s="1336"/>
    </row>
    <row r="645" spans="1:45" x14ac:dyDescent="0.25">
      <c r="A645" s="2371">
        <v>6</v>
      </c>
      <c r="B645" s="2383">
        <v>606.1</v>
      </c>
      <c r="C645" s="2374"/>
      <c r="D645" s="2374" t="s">
        <v>608</v>
      </c>
      <c r="E645" s="2374"/>
      <c r="F645" s="2374"/>
      <c r="G645" s="2373" t="str">
        <f t="shared" ca="1" si="40"/>
        <v/>
      </c>
      <c r="H645" s="2375" t="s">
        <v>3971</v>
      </c>
      <c r="I645" s="130"/>
      <c r="J645" s="129"/>
      <c r="K645" s="187"/>
      <c r="L645" s="1754"/>
      <c r="M645" s="1010"/>
      <c r="N645" s="1927"/>
      <c r="O645" s="1927"/>
      <c r="P645" s="94"/>
      <c r="Q645" s="94"/>
      <c r="R645" s="94"/>
      <c r="S645" s="94"/>
      <c r="T645" s="94"/>
      <c r="U645" s="94"/>
      <c r="V645" s="94"/>
      <c r="W645" s="94"/>
      <c r="X645" s="1757"/>
      <c r="Y645" s="2081"/>
      <c r="Z645" s="2084"/>
      <c r="AA645" s="1526"/>
      <c r="AC645" s="970"/>
      <c r="AD645" s="970"/>
      <c r="AE645" s="970"/>
      <c r="AF645" s="249"/>
      <c r="AG645" s="249"/>
      <c r="AH645" s="249"/>
      <c r="AI645" s="249"/>
      <c r="AJ645" s="249"/>
      <c r="AK645" s="249"/>
      <c r="AL645" s="1336"/>
      <c r="AM645" s="1336"/>
      <c r="AN645" s="1336"/>
      <c r="AO645" s="1336"/>
      <c r="AP645" s="1336"/>
      <c r="AQ645" s="1336"/>
      <c r="AR645" s="1336"/>
      <c r="AS645" s="1336"/>
    </row>
    <row r="646" spans="1:45" x14ac:dyDescent="0.25">
      <c r="A646" s="2371">
        <v>6</v>
      </c>
      <c r="B646" s="2383">
        <v>606.1</v>
      </c>
      <c r="C646" s="2374"/>
      <c r="D646" s="2374"/>
      <c r="E646" s="2374"/>
      <c r="F646" s="2374"/>
      <c r="G646" s="2373" t="str">
        <f t="shared" ca="1" si="40"/>
        <v/>
      </c>
      <c r="H646" s="2375" t="s">
        <v>3971</v>
      </c>
      <c r="I646" s="130"/>
      <c r="J646" s="129"/>
      <c r="K646" s="187"/>
      <c r="L646" s="1176" t="s">
        <v>1106</v>
      </c>
      <c r="M646" s="1010"/>
      <c r="N646" s="1044"/>
      <c r="O646" s="1044"/>
      <c r="P646" s="94"/>
      <c r="Q646" s="94"/>
      <c r="R646" s="94"/>
      <c r="S646" s="94"/>
      <c r="T646" s="94"/>
      <c r="U646" s="94"/>
      <c r="V646" s="94"/>
      <c r="W646" s="94"/>
      <c r="X646" s="1757"/>
      <c r="Y646" s="2081"/>
      <c r="Z646" s="2084"/>
      <c r="AA646" s="1526"/>
      <c r="AC646" s="970"/>
      <c r="AD646" s="970"/>
      <c r="AE646" s="970"/>
      <c r="AF646" s="249"/>
      <c r="AG646" s="249"/>
      <c r="AH646" s="249"/>
      <c r="AI646" s="249"/>
      <c r="AJ646" s="249"/>
      <c r="AK646" s="249"/>
      <c r="AL646" s="1336"/>
      <c r="AM646" s="1336"/>
      <c r="AN646" s="1336"/>
      <c r="AO646" s="1336"/>
      <c r="AP646" s="1336"/>
      <c r="AQ646" s="1336"/>
      <c r="AR646" s="1336"/>
      <c r="AS646" s="1336"/>
    </row>
    <row r="647" spans="1:45" x14ac:dyDescent="0.25">
      <c r="A647" s="2371">
        <v>6</v>
      </c>
      <c r="B647" s="2383">
        <v>606.1</v>
      </c>
      <c r="C647" s="2374" t="s">
        <v>256</v>
      </c>
      <c r="D647" s="2374"/>
      <c r="E647" s="2374"/>
      <c r="F647" s="2374"/>
      <c r="G647" s="2373" t="str">
        <f t="shared" ca="1" si="40"/>
        <v/>
      </c>
      <c r="H647" s="2371" t="s">
        <v>3971</v>
      </c>
      <c r="I647" s="130"/>
      <c r="J647" s="183" t="s">
        <v>256</v>
      </c>
      <c r="K647" s="95"/>
      <c r="L647" s="1754" t="s">
        <v>677</v>
      </c>
      <c r="M647" s="1758">
        <v>3</v>
      </c>
      <c r="N647" s="1044"/>
      <c r="O647" s="1044"/>
      <c r="P647" s="94"/>
      <c r="Q647" s="94"/>
      <c r="R647" s="197">
        <f ca="1">COUNTIF(W638:W644,INDEX(INDIRECT(U637),1))+IF(AND(S637,W637=INDEX(INDIRECT(U637),1)),1,0)</f>
        <v>0</v>
      </c>
      <c r="S647" s="94"/>
      <c r="T647" s="94"/>
      <c r="U647" s="94"/>
      <c r="V647" s="94"/>
      <c r="W647" s="94"/>
      <c r="X647" s="1757"/>
      <c r="Y647" s="2081"/>
      <c r="Z647" s="2084"/>
      <c r="AA647" s="1526"/>
      <c r="AC647" s="970"/>
      <c r="AD647" s="970"/>
      <c r="AE647" s="970"/>
      <c r="AF647" s="249"/>
      <c r="AG647" s="249"/>
      <c r="AH647" s="249"/>
      <c r="AI647" s="249"/>
      <c r="AJ647" s="249"/>
      <c r="AK647" s="249"/>
      <c r="AL647" s="254" t="str">
        <f>SUBSTITUTE(SUBSTITUTE(SUBSTITUTE("vpa"&amp;$B647&amp;$C647&amp;$D647&amp;$E647,".","_"),"(","_"),")","")</f>
        <v>vpa606_1_1</v>
      </c>
      <c r="AM647" s="254">
        <f>M647</f>
        <v>3</v>
      </c>
      <c r="AN647" s="1336"/>
      <c r="AO647" s="1336"/>
      <c r="AP647" s="1336"/>
      <c r="AQ647" s="1336"/>
      <c r="AR647" s="1336"/>
      <c r="AS647" s="1336"/>
    </row>
    <row r="648" spans="1:45" x14ac:dyDescent="0.25">
      <c r="A648" s="2371">
        <v>6</v>
      </c>
      <c r="B648" s="2383">
        <v>606.1</v>
      </c>
      <c r="C648" s="2374" t="s">
        <v>256</v>
      </c>
      <c r="D648" s="2374"/>
      <c r="E648" s="2374"/>
      <c r="F648" s="2374"/>
      <c r="G648" s="2373" t="str">
        <f t="shared" ca="1" si="40"/>
        <v/>
      </c>
      <c r="H648" s="2371" t="s">
        <v>3971</v>
      </c>
      <c r="I648" s="130"/>
      <c r="J648" s="210"/>
      <c r="K648" s="175"/>
      <c r="L648" s="1755"/>
      <c r="M648" s="1759"/>
      <c r="N648" s="1044"/>
      <c r="O648" s="1044"/>
      <c r="P648" s="94"/>
      <c r="Q648" s="94"/>
      <c r="R648" s="94"/>
      <c r="S648" s="94"/>
      <c r="T648" s="94"/>
      <c r="U648" s="94"/>
      <c r="V648" s="94"/>
      <c r="W648" s="94"/>
      <c r="X648" s="1757"/>
      <c r="Y648" s="2081"/>
      <c r="Z648" s="2084"/>
      <c r="AA648" s="1526"/>
      <c r="AC648" s="970"/>
      <c r="AD648" s="970"/>
      <c r="AE648" s="970"/>
      <c r="AF648" s="249"/>
      <c r="AG648" s="249"/>
      <c r="AH648" s="249"/>
      <c r="AI648" s="249"/>
      <c r="AJ648" s="249"/>
      <c r="AK648" s="249"/>
      <c r="AL648" s="1336"/>
      <c r="AM648" s="1336"/>
      <c r="AN648" s="1336"/>
      <c r="AO648" s="1336"/>
      <c r="AP648" s="1336"/>
      <c r="AQ648" s="1336"/>
      <c r="AR648" s="1336"/>
      <c r="AS648" s="1336"/>
    </row>
    <row r="649" spans="1:45" x14ac:dyDescent="0.25">
      <c r="A649" s="2371">
        <v>6</v>
      </c>
      <c r="B649" s="2383">
        <v>606.1</v>
      </c>
      <c r="C649" s="2374" t="s">
        <v>258</v>
      </c>
      <c r="D649" s="2374"/>
      <c r="E649" s="2374"/>
      <c r="F649" s="2374"/>
      <c r="G649" s="2373" t="str">
        <f t="shared" ca="1" si="40"/>
        <v/>
      </c>
      <c r="H649" s="2371" t="s">
        <v>3971</v>
      </c>
      <c r="I649" s="130"/>
      <c r="J649" s="209" t="s">
        <v>258</v>
      </c>
      <c r="K649" s="194"/>
      <c r="L649" s="1778" t="s">
        <v>678</v>
      </c>
      <c r="M649" s="1762">
        <v>6</v>
      </c>
      <c r="N649" s="1044"/>
      <c r="O649" s="1044"/>
      <c r="P649" s="94"/>
      <c r="Q649" s="94"/>
      <c r="R649" s="197">
        <f ca="1">COUNTIF(W638:W644,INDEX(INDIRECT(U637),2))+IF(AND(S637,W637=INDEX(INDIRECT(U637),2)),1,0)</f>
        <v>0</v>
      </c>
      <c r="S649" s="94"/>
      <c r="T649" s="94"/>
      <c r="U649" s="94"/>
      <c r="V649" s="94"/>
      <c r="W649" s="94"/>
      <c r="X649" s="1757"/>
      <c r="Y649" s="2081"/>
      <c r="Z649" s="2084"/>
      <c r="AA649" s="1526"/>
      <c r="AC649" s="970"/>
      <c r="AD649" s="970"/>
      <c r="AE649" s="970"/>
      <c r="AF649" s="249"/>
      <c r="AG649" s="249"/>
      <c r="AH649" s="249"/>
      <c r="AI649" s="249"/>
      <c r="AJ649" s="249"/>
      <c r="AK649" s="249"/>
      <c r="AL649" s="254" t="str">
        <f>SUBSTITUTE(SUBSTITUTE(SUBSTITUTE("vpa"&amp;$B649&amp;$C649&amp;$D649&amp;$E649,".","_"),"(","_"),")","")</f>
        <v>vpa606_1_2</v>
      </c>
      <c r="AM649" s="254">
        <f>M649</f>
        <v>6</v>
      </c>
      <c r="AN649" s="1336"/>
      <c r="AO649" s="1336"/>
      <c r="AP649" s="1336"/>
      <c r="AQ649" s="1336"/>
      <c r="AR649" s="1336"/>
      <c r="AS649" s="1336"/>
    </row>
    <row r="650" spans="1:45" x14ac:dyDescent="0.25">
      <c r="A650" s="2371">
        <v>6</v>
      </c>
      <c r="B650" s="2383">
        <v>606.1</v>
      </c>
      <c r="C650" s="2374" t="s">
        <v>258</v>
      </c>
      <c r="D650" s="2374"/>
      <c r="E650" s="2374"/>
      <c r="F650" s="2374"/>
      <c r="G650" s="2373" t="str">
        <f t="shared" ca="1" si="40"/>
        <v/>
      </c>
      <c r="H650" s="2371" t="s">
        <v>3971</v>
      </c>
      <c r="I650" s="130"/>
      <c r="J650" s="210"/>
      <c r="K650" s="175"/>
      <c r="L650" s="1755"/>
      <c r="M650" s="1759"/>
      <c r="N650" s="1044"/>
      <c r="O650" s="1044"/>
      <c r="P650" s="94"/>
      <c r="Q650" s="94"/>
      <c r="R650" s="94"/>
      <c r="S650" s="94"/>
      <c r="T650" s="94"/>
      <c r="U650" s="94"/>
      <c r="V650" s="94"/>
      <c r="W650" s="94"/>
      <c r="X650" s="1757"/>
      <c r="Y650" s="2081"/>
      <c r="Z650" s="2084"/>
      <c r="AA650" s="1526"/>
      <c r="AC650" s="970"/>
      <c r="AD650" s="970"/>
      <c r="AE650" s="970"/>
      <c r="AF650" s="249"/>
      <c r="AG650" s="249"/>
      <c r="AH650" s="249"/>
      <c r="AI650" s="249"/>
      <c r="AJ650" s="249"/>
      <c r="AK650" s="249"/>
      <c r="AL650" s="1336"/>
      <c r="AM650" s="1336"/>
      <c r="AN650" s="1336"/>
      <c r="AO650" s="1336"/>
      <c r="AP650" s="1336"/>
      <c r="AQ650" s="1336"/>
      <c r="AR650" s="1336"/>
      <c r="AS650" s="1336"/>
    </row>
    <row r="651" spans="1:45" ht="15" customHeight="1" x14ac:dyDescent="0.25">
      <c r="A651" s="2371">
        <v>6</v>
      </c>
      <c r="B651" s="2383">
        <v>606.1</v>
      </c>
      <c r="C651" s="2374" t="s">
        <v>260</v>
      </c>
      <c r="D651" s="2374"/>
      <c r="E651" s="2374"/>
      <c r="F651" s="2374"/>
      <c r="G651" s="2373" t="str">
        <f t="shared" ca="1" si="40"/>
        <v/>
      </c>
      <c r="H651" s="2371" t="s">
        <v>3971</v>
      </c>
      <c r="I651" s="130"/>
      <c r="J651" s="183" t="s">
        <v>260</v>
      </c>
      <c r="K651" s="95"/>
      <c r="L651" s="1754" t="s">
        <v>679</v>
      </c>
      <c r="M651" s="1788" t="s">
        <v>3079</v>
      </c>
      <c r="N651" s="1044"/>
      <c r="O651" s="1044"/>
      <c r="P651" s="94"/>
      <c r="Q651" s="94"/>
      <c r="R651" s="94"/>
      <c r="S651" s="94"/>
      <c r="T651" s="94"/>
      <c r="U651" s="94"/>
      <c r="V651" s="94"/>
      <c r="W651" s="94"/>
      <c r="X651" s="1757"/>
      <c r="Y651" s="2081"/>
      <c r="Z651" s="2084"/>
      <c r="AA651" s="1526"/>
      <c r="AC651" s="970"/>
      <c r="AD651" s="970"/>
      <c r="AE651" s="970"/>
      <c r="AF651" s="249"/>
      <c r="AG651" s="249"/>
      <c r="AH651" s="249"/>
      <c r="AI651" s="249"/>
      <c r="AJ651" s="249"/>
      <c r="AK651" s="249"/>
      <c r="AL651" s="254" t="str">
        <f>SUBSTITUTE(SUBSTITUTE(SUBSTITUTE("vpa"&amp;$B651&amp;$C651&amp;$D651&amp;$E651,".","_"),"(","_"),")","")</f>
        <v>vpa606_1_3</v>
      </c>
      <c r="AM651" s="254" t="str">
        <f>M651</f>
        <v>1
2 Max</v>
      </c>
      <c r="AN651" s="1336"/>
      <c r="AO651" s="1336"/>
      <c r="AP651" s="1336"/>
      <c r="AQ651" s="1336"/>
      <c r="AR651" s="1336"/>
      <c r="AS651" s="1336"/>
    </row>
    <row r="652" spans="1:45" ht="15.75" thickBot="1" x14ac:dyDescent="0.3">
      <c r="A652" s="2371">
        <v>6</v>
      </c>
      <c r="B652" s="2383">
        <v>606.1</v>
      </c>
      <c r="C652" s="2374" t="s">
        <v>260</v>
      </c>
      <c r="D652" s="2374"/>
      <c r="E652" s="2374"/>
      <c r="F652" s="2374"/>
      <c r="G652" s="2373" t="str">
        <f t="shared" ca="1" si="40"/>
        <v/>
      </c>
      <c r="H652" s="2371" t="s">
        <v>3971</v>
      </c>
      <c r="I652" s="130"/>
      <c r="J652" s="129"/>
      <c r="K652" s="95"/>
      <c r="L652" s="1754"/>
      <c r="M652" s="1788"/>
      <c r="N652" s="1044"/>
      <c r="O652" s="1044"/>
      <c r="P652" s="94"/>
      <c r="Q652" s="94"/>
      <c r="R652" s="94"/>
      <c r="S652" s="94"/>
      <c r="T652" s="94"/>
      <c r="U652" s="94"/>
      <c r="V652" s="94"/>
      <c r="W652" s="94"/>
      <c r="X652" s="1798"/>
      <c r="Y652" s="2082"/>
      <c r="Z652" s="2086"/>
      <c r="AA652" s="1526"/>
      <c r="AC652" s="970"/>
      <c r="AD652" s="970"/>
      <c r="AE652" s="970"/>
      <c r="AF652" s="249"/>
      <c r="AG652" s="249"/>
      <c r="AH652" s="249"/>
      <c r="AI652" s="249"/>
      <c r="AJ652" s="249"/>
      <c r="AK652" s="249"/>
      <c r="AL652" s="1336"/>
      <c r="AM652" s="1336"/>
      <c r="AN652" s="1336"/>
      <c r="AO652" s="1336"/>
      <c r="AP652" s="1336"/>
      <c r="AQ652" s="1336"/>
      <c r="AR652" s="1336"/>
      <c r="AS652" s="1336"/>
    </row>
    <row r="653" spans="1:45" ht="15.75" customHeight="1" thickTop="1" x14ac:dyDescent="0.25">
      <c r="A653" s="2371">
        <v>6</v>
      </c>
      <c r="B653" s="2383">
        <v>606.20000000000005</v>
      </c>
      <c r="C653" s="2374"/>
      <c r="D653" s="2374"/>
      <c r="E653" s="2374"/>
      <c r="F653" s="2374"/>
      <c r="G653" s="2363" t="str">
        <f>IF(COUNTIF(G668:G671,"P")&gt;0,"P","")</f>
        <v/>
      </c>
      <c r="H653" s="2371" t="s">
        <v>3971</v>
      </c>
      <c r="I653" s="180">
        <v>606.20000000000005</v>
      </c>
      <c r="J653" s="181"/>
      <c r="K653" s="182"/>
      <c r="L653" s="1781" t="s">
        <v>4182</v>
      </c>
      <c r="M653" s="1009"/>
      <c r="N653" s="1046"/>
      <c r="O653" s="1046"/>
      <c r="P653" s="105"/>
      <c r="Q653" s="105"/>
      <c r="R653" s="105"/>
      <c r="S653" s="105"/>
      <c r="T653" s="105"/>
      <c r="U653" s="105"/>
      <c r="V653" s="105"/>
      <c r="W653" s="105"/>
      <c r="X653" s="105"/>
      <c r="AA653" s="1526"/>
      <c r="AC653" s="970"/>
      <c r="AD653" s="970"/>
      <c r="AE653" s="970"/>
      <c r="AF653" s="249"/>
      <c r="AG653" s="249"/>
      <c r="AH653" s="249"/>
      <c r="AI653" s="249"/>
      <c r="AJ653" s="249"/>
      <c r="AK653" s="249"/>
      <c r="AL653" s="1336"/>
      <c r="AM653" s="1336"/>
      <c r="AN653" s="1336"/>
      <c r="AO653" s="1336"/>
      <c r="AP653" s="1336"/>
      <c r="AQ653" s="1336"/>
      <c r="AR653" s="1336"/>
      <c r="AS653" s="1336"/>
    </row>
    <row r="654" spans="1:45" x14ac:dyDescent="0.25">
      <c r="A654" s="2371">
        <v>6</v>
      </c>
      <c r="B654" s="2383">
        <v>606.20000000000005</v>
      </c>
      <c r="C654" s="2374"/>
      <c r="D654" s="2374"/>
      <c r="E654" s="2374"/>
      <c r="F654" s="2374"/>
      <c r="G654" s="2373" t="str">
        <f t="shared" ref="G654:G667" si="44">G653</f>
        <v/>
      </c>
      <c r="H654" s="2371" t="s">
        <v>3971</v>
      </c>
      <c r="I654" s="130"/>
      <c r="J654" s="129"/>
      <c r="K654" s="83"/>
      <c r="L654" s="1796"/>
      <c r="M654" s="1010"/>
      <c r="N654" s="1044"/>
      <c r="O654" s="1044"/>
      <c r="P654" s="94"/>
      <c r="Q654" s="94"/>
      <c r="R654" s="94"/>
      <c r="S654" s="94"/>
      <c r="T654" s="94"/>
      <c r="U654" s="94"/>
      <c r="V654" s="94"/>
      <c r="W654" s="94"/>
      <c r="X654" s="911"/>
      <c r="AA654" s="1526"/>
      <c r="AC654" s="970"/>
      <c r="AD654" s="970"/>
      <c r="AE654" s="970"/>
      <c r="AF654" s="249"/>
      <c r="AG654" s="249"/>
      <c r="AH654" s="249"/>
      <c r="AI654" s="249"/>
      <c r="AJ654" s="249"/>
      <c r="AK654" s="249"/>
      <c r="AL654" s="1336"/>
      <c r="AM654" s="1336"/>
      <c r="AN654" s="1336"/>
      <c r="AO654" s="1336"/>
      <c r="AP654" s="1336"/>
      <c r="AQ654" s="1336"/>
      <c r="AR654" s="1336"/>
      <c r="AS654" s="1336"/>
    </row>
    <row r="655" spans="1:45" x14ac:dyDescent="0.25">
      <c r="A655" s="2371">
        <v>6</v>
      </c>
      <c r="B655" s="2383">
        <v>606.20000000000005</v>
      </c>
      <c r="C655" s="2374"/>
      <c r="D655" s="2374" t="s">
        <v>121</v>
      </c>
      <c r="E655" s="2374"/>
      <c r="F655" s="2374"/>
      <c r="G655" s="2373" t="str">
        <f t="shared" si="44"/>
        <v/>
      </c>
      <c r="H655" s="2375" t="s">
        <v>3971</v>
      </c>
      <c r="I655" s="64"/>
      <c r="J655" s="4"/>
      <c r="K655" s="87" t="s">
        <v>121</v>
      </c>
      <c r="L655" s="1170" t="s">
        <v>680</v>
      </c>
      <c r="M655" s="1014"/>
      <c r="N655" s="1042"/>
      <c r="O655" s="1042"/>
      <c r="P655" s="249"/>
      <c r="Q655" s="249"/>
      <c r="R655" s="249"/>
      <c r="S655" s="249"/>
      <c r="T655" s="249"/>
      <c r="U655" s="249"/>
      <c r="V655" s="249"/>
      <c r="W655" s="249"/>
      <c r="X655" s="911"/>
      <c r="AA655" s="1526"/>
      <c r="AC655" s="970"/>
      <c r="AD655" s="970"/>
      <c r="AE655" s="970"/>
      <c r="AF655" s="249"/>
      <c r="AG655" s="249"/>
      <c r="AH655" s="249"/>
      <c r="AI655" s="249"/>
      <c r="AJ655" s="249"/>
      <c r="AK655" s="249"/>
      <c r="AL655" s="1336"/>
      <c r="AM655" s="1336"/>
      <c r="AN655" s="1336"/>
      <c r="AO655" s="1336"/>
      <c r="AP655" s="1336"/>
      <c r="AQ655" s="1336"/>
      <c r="AR655" s="1336"/>
      <c r="AS655" s="1336"/>
    </row>
    <row r="656" spans="1:45" ht="15" customHeight="1" x14ac:dyDescent="0.25">
      <c r="A656" s="2371">
        <v>6</v>
      </c>
      <c r="B656" s="2383">
        <v>606.20000000000005</v>
      </c>
      <c r="C656" s="2374"/>
      <c r="D656" s="2374" t="s">
        <v>122</v>
      </c>
      <c r="E656" s="2374"/>
      <c r="F656" s="2374"/>
      <c r="G656" s="2373" t="str">
        <f t="shared" si="44"/>
        <v/>
      </c>
      <c r="H656" s="2375" t="s">
        <v>3971</v>
      </c>
      <c r="I656" s="64"/>
      <c r="J656" s="4"/>
      <c r="K656" s="87" t="s">
        <v>122</v>
      </c>
      <c r="L656" s="1779" t="s">
        <v>681</v>
      </c>
      <c r="M656" s="1014"/>
      <c r="N656" s="1042"/>
      <c r="O656" s="1042"/>
      <c r="P656" s="249"/>
      <c r="Q656" s="249"/>
      <c r="R656" s="249"/>
      <c r="S656" s="249"/>
      <c r="T656" s="249"/>
      <c r="U656" s="249"/>
      <c r="V656" s="249"/>
      <c r="W656" s="249"/>
      <c r="X656" s="911"/>
      <c r="AA656" s="1526"/>
      <c r="AC656" s="970"/>
      <c r="AD656" s="970"/>
      <c r="AE656" s="970"/>
      <c r="AF656" s="249"/>
      <c r="AG656" s="249"/>
      <c r="AH656" s="249"/>
      <c r="AI656" s="249"/>
      <c r="AJ656" s="249"/>
      <c r="AK656" s="249"/>
      <c r="AL656" s="1336"/>
      <c r="AM656" s="1336"/>
      <c r="AN656" s="1336"/>
      <c r="AO656" s="1336"/>
      <c r="AP656" s="1336"/>
      <c r="AQ656" s="1336"/>
      <c r="AR656" s="1336"/>
      <c r="AS656" s="1336"/>
    </row>
    <row r="657" spans="1:45" x14ac:dyDescent="0.25">
      <c r="A657" s="2371">
        <v>6</v>
      </c>
      <c r="B657" s="2383">
        <v>606.20000000000005</v>
      </c>
      <c r="C657" s="2374"/>
      <c r="D657" s="2374" t="s">
        <v>122</v>
      </c>
      <c r="E657" s="2374"/>
      <c r="F657" s="2374"/>
      <c r="G657" s="2373" t="str">
        <f t="shared" si="44"/>
        <v/>
      </c>
      <c r="H657" s="2375" t="s">
        <v>3971</v>
      </c>
      <c r="I657" s="64"/>
      <c r="J657" s="4"/>
      <c r="K657" s="87"/>
      <c r="L657" s="1779"/>
      <c r="M657" s="1014"/>
      <c r="N657" s="1042"/>
      <c r="O657" s="1042"/>
      <c r="P657" s="249"/>
      <c r="Q657" s="249"/>
      <c r="R657" s="249"/>
      <c r="S657" s="249"/>
      <c r="T657" s="249"/>
      <c r="U657" s="249"/>
      <c r="V657" s="249"/>
      <c r="W657" s="249"/>
      <c r="X657" s="911"/>
      <c r="AA657" s="1526"/>
      <c r="AC657" s="970"/>
      <c r="AD657" s="970"/>
      <c r="AE657" s="970"/>
      <c r="AF657" s="249"/>
      <c r="AG657" s="249"/>
      <c r="AH657" s="249"/>
      <c r="AI657" s="249"/>
      <c r="AJ657" s="249"/>
      <c r="AK657" s="249"/>
      <c r="AL657" s="1336"/>
      <c r="AM657" s="1336"/>
      <c r="AN657" s="1336"/>
      <c r="AO657" s="1336"/>
      <c r="AP657" s="1336"/>
      <c r="AQ657" s="1336"/>
      <c r="AR657" s="1336"/>
      <c r="AS657" s="1336"/>
    </row>
    <row r="658" spans="1:45" x14ac:dyDescent="0.25">
      <c r="A658" s="2371">
        <v>6</v>
      </c>
      <c r="B658" s="2383">
        <v>606.20000000000005</v>
      </c>
      <c r="C658" s="2374"/>
      <c r="D658" s="2374" t="s">
        <v>123</v>
      </c>
      <c r="E658" s="2374"/>
      <c r="F658" s="2374"/>
      <c r="G658" s="2373" t="str">
        <f t="shared" si="44"/>
        <v/>
      </c>
      <c r="H658" s="2375" t="s">
        <v>3971</v>
      </c>
      <c r="I658" s="64"/>
      <c r="J658" s="4"/>
      <c r="K658" s="87" t="s">
        <v>123</v>
      </c>
      <c r="L658" s="233" t="s">
        <v>682</v>
      </c>
      <c r="M658" s="1014"/>
      <c r="N658" s="1042"/>
      <c r="O658" s="1042"/>
      <c r="P658" s="249"/>
      <c r="Q658" s="249"/>
      <c r="R658" s="249"/>
      <c r="S658" s="249"/>
      <c r="T658" s="249"/>
      <c r="U658" s="249"/>
      <c r="V658" s="249"/>
      <c r="W658" s="249"/>
      <c r="X658" s="911"/>
      <c r="AA658" s="1526"/>
      <c r="AC658" s="970"/>
      <c r="AD658" s="970"/>
      <c r="AE658" s="970"/>
      <c r="AF658" s="249"/>
      <c r="AG658" s="249"/>
      <c r="AH658" s="249"/>
      <c r="AI658" s="249"/>
      <c r="AJ658" s="249"/>
      <c r="AK658" s="249"/>
      <c r="AL658" s="1336"/>
      <c r="AM658" s="1336"/>
      <c r="AN658" s="1336"/>
      <c r="AO658" s="1336"/>
      <c r="AP658" s="1336"/>
      <c r="AQ658" s="1336"/>
      <c r="AR658" s="1336"/>
      <c r="AS658" s="1336"/>
    </row>
    <row r="659" spans="1:45" x14ac:dyDescent="0.25">
      <c r="A659" s="2371">
        <v>6</v>
      </c>
      <c r="B659" s="2383">
        <v>606.20000000000005</v>
      </c>
      <c r="C659" s="2374"/>
      <c r="D659" s="2376" t="s">
        <v>401</v>
      </c>
      <c r="E659" s="2374"/>
      <c r="F659" s="2376"/>
      <c r="G659" s="2373" t="str">
        <f t="shared" si="44"/>
        <v/>
      </c>
      <c r="H659" s="2379" t="s">
        <v>3971</v>
      </c>
      <c r="I659" s="64"/>
      <c r="J659" s="4"/>
      <c r="K659" s="89" t="s">
        <v>401</v>
      </c>
      <c r="L659" s="233" t="s">
        <v>683</v>
      </c>
      <c r="M659" s="1014"/>
      <c r="N659" s="1042"/>
      <c r="O659" s="1042"/>
      <c r="P659" s="249"/>
      <c r="Q659" s="249"/>
      <c r="R659" s="249"/>
      <c r="S659" s="249"/>
      <c r="T659" s="249"/>
      <c r="U659" s="249"/>
      <c r="V659" s="249"/>
      <c r="W659" s="249"/>
      <c r="X659" s="911"/>
      <c r="AA659" s="1526"/>
      <c r="AC659" s="970"/>
      <c r="AD659" s="970"/>
      <c r="AE659" s="970"/>
      <c r="AF659" s="249"/>
      <c r="AG659" s="249"/>
      <c r="AH659" s="249"/>
      <c r="AI659" s="249"/>
      <c r="AJ659" s="249"/>
      <c r="AK659" s="249"/>
      <c r="AL659" s="1336"/>
      <c r="AM659" s="1336"/>
      <c r="AN659" s="1336"/>
      <c r="AO659" s="1336"/>
      <c r="AP659" s="1336"/>
      <c r="AQ659" s="1336"/>
      <c r="AR659" s="1336"/>
      <c r="AS659" s="1336"/>
    </row>
    <row r="660" spans="1:45" x14ac:dyDescent="0.25">
      <c r="A660" s="2371">
        <v>6</v>
      </c>
      <c r="B660" s="2383">
        <v>606.20000000000005</v>
      </c>
      <c r="C660" s="2374"/>
      <c r="D660" s="2374" t="s">
        <v>539</v>
      </c>
      <c r="E660" s="2374"/>
      <c r="F660" s="2374"/>
      <c r="G660" s="2373" t="str">
        <f t="shared" si="44"/>
        <v/>
      </c>
      <c r="H660" s="2371" t="s">
        <v>3971</v>
      </c>
      <c r="I660" s="64"/>
      <c r="J660" s="4"/>
      <c r="K660" s="85" t="s">
        <v>539</v>
      </c>
      <c r="L660" s="233" t="s">
        <v>684</v>
      </c>
      <c r="M660" s="1014"/>
      <c r="N660" s="1042"/>
      <c r="O660" s="1042"/>
      <c r="P660" s="249"/>
      <c r="Q660" s="249"/>
      <c r="R660" s="249"/>
      <c r="S660" s="249"/>
      <c r="T660" s="249"/>
      <c r="U660" s="249"/>
      <c r="V660" s="249"/>
      <c r="W660" s="249"/>
      <c r="X660" s="911"/>
      <c r="AA660" s="1526"/>
      <c r="AC660" s="970"/>
      <c r="AD660" s="970"/>
      <c r="AE660" s="970"/>
      <c r="AF660" s="249"/>
      <c r="AG660" s="249"/>
      <c r="AH660" s="249"/>
      <c r="AI660" s="249"/>
      <c r="AJ660" s="249"/>
      <c r="AK660" s="249"/>
      <c r="AL660" s="1336"/>
      <c r="AM660" s="1336"/>
      <c r="AN660" s="1336"/>
      <c r="AO660" s="1336"/>
      <c r="AP660" s="1336"/>
      <c r="AQ660" s="1336"/>
      <c r="AR660" s="1336"/>
      <c r="AS660" s="1336"/>
    </row>
    <row r="661" spans="1:45" x14ac:dyDescent="0.25">
      <c r="A661" s="2371">
        <v>6</v>
      </c>
      <c r="B661" s="2383">
        <v>606.20000000000005</v>
      </c>
      <c r="C661" s="2374"/>
      <c r="D661" s="2374" t="s">
        <v>604</v>
      </c>
      <c r="E661" s="2374"/>
      <c r="F661" s="2374"/>
      <c r="G661" s="2373" t="str">
        <f t="shared" si="44"/>
        <v/>
      </c>
      <c r="H661" s="2375" t="s">
        <v>3971</v>
      </c>
      <c r="I661" s="64"/>
      <c r="J661" s="4"/>
      <c r="K661" s="87" t="s">
        <v>604</v>
      </c>
      <c r="L661" s="1170" t="s">
        <v>685</v>
      </c>
      <c r="M661" s="1014"/>
      <c r="N661" s="1042"/>
      <c r="O661" s="1042"/>
      <c r="P661" s="249"/>
      <c r="Q661" s="249"/>
      <c r="R661" s="249"/>
      <c r="S661" s="249"/>
      <c r="T661" s="249"/>
      <c r="U661" s="249"/>
      <c r="V661" s="249"/>
      <c r="W661" s="249"/>
      <c r="X661" s="911"/>
      <c r="AA661" s="1526"/>
      <c r="AC661" s="970"/>
      <c r="AD661" s="970"/>
      <c r="AE661" s="970"/>
      <c r="AF661" s="249"/>
      <c r="AG661" s="249"/>
      <c r="AH661" s="249"/>
      <c r="AI661" s="249"/>
      <c r="AJ661" s="249"/>
      <c r="AK661" s="249"/>
      <c r="AL661" s="1336"/>
      <c r="AM661" s="1336"/>
      <c r="AN661" s="1336"/>
      <c r="AO661" s="1336"/>
      <c r="AP661" s="1336"/>
      <c r="AQ661" s="1336"/>
      <c r="AR661" s="1336"/>
      <c r="AS661" s="1336"/>
    </row>
    <row r="662" spans="1:45" x14ac:dyDescent="0.25">
      <c r="A662" s="2371">
        <v>6</v>
      </c>
      <c r="B662" s="2383">
        <v>606.20000000000005</v>
      </c>
      <c r="C662" s="2374"/>
      <c r="D662" s="2374" t="s">
        <v>606</v>
      </c>
      <c r="E662" s="2374"/>
      <c r="F662" s="2374"/>
      <c r="G662" s="2373" t="str">
        <f t="shared" si="44"/>
        <v/>
      </c>
      <c r="H662" s="2375" t="s">
        <v>3971</v>
      </c>
      <c r="I662" s="64"/>
      <c r="J662" s="4"/>
      <c r="K662" s="87" t="s">
        <v>606</v>
      </c>
      <c r="L662" s="1170" t="s">
        <v>686</v>
      </c>
      <c r="M662" s="1014"/>
      <c r="N662" s="1042"/>
      <c r="O662" s="1042"/>
      <c r="P662" s="249"/>
      <c r="Q662" s="249"/>
      <c r="R662" s="249"/>
      <c r="S662" s="249"/>
      <c r="T662" s="249"/>
      <c r="U662" s="249"/>
      <c r="V662" s="249"/>
      <c r="W662" s="249"/>
      <c r="X662" s="911"/>
      <c r="AA662" s="1526"/>
      <c r="AC662" s="970"/>
      <c r="AD662" s="970"/>
      <c r="AE662" s="970"/>
      <c r="AF662" s="249"/>
      <c r="AG662" s="249"/>
      <c r="AH662" s="249"/>
      <c r="AI662" s="249"/>
      <c r="AJ662" s="249"/>
      <c r="AK662" s="249"/>
      <c r="AL662" s="1336"/>
      <c r="AM662" s="1336"/>
      <c r="AN662" s="1336"/>
      <c r="AO662" s="1336"/>
      <c r="AP662" s="1336"/>
      <c r="AQ662" s="1336"/>
      <c r="AR662" s="1336"/>
      <c r="AS662" s="1336"/>
    </row>
    <row r="663" spans="1:45" s="868" customFormat="1" x14ac:dyDescent="0.25">
      <c r="A663" s="2371">
        <v>6</v>
      </c>
      <c r="B663" s="2383">
        <v>606.20000000000005</v>
      </c>
      <c r="C663" s="2374"/>
      <c r="D663" s="2374" t="s">
        <v>608</v>
      </c>
      <c r="E663" s="2374"/>
      <c r="F663" s="2374"/>
      <c r="G663" s="2373" t="str">
        <f t="shared" si="44"/>
        <v/>
      </c>
      <c r="H663" s="2375" t="s">
        <v>3971</v>
      </c>
      <c r="I663" s="64"/>
      <c r="J663" s="4"/>
      <c r="K663" s="87" t="s">
        <v>608</v>
      </c>
      <c r="L663" s="1840" t="s">
        <v>4178</v>
      </c>
      <c r="M663" s="1014"/>
      <c r="N663" s="1042"/>
      <c r="O663" s="1042"/>
      <c r="X663" s="911"/>
      <c r="Z663" s="731"/>
      <c r="AA663" s="1526"/>
      <c r="AC663" s="970"/>
      <c r="AD663" s="970"/>
      <c r="AE663" s="970"/>
      <c r="AL663" s="1336"/>
      <c r="AM663" s="1336"/>
      <c r="AN663" s="1336"/>
      <c r="AO663" s="1336"/>
      <c r="AP663" s="1336"/>
      <c r="AQ663" s="1336"/>
      <c r="AR663" s="1336"/>
      <c r="AS663" s="1336"/>
    </row>
    <row r="664" spans="1:45" s="868" customFormat="1" x14ac:dyDescent="0.25">
      <c r="A664" s="2371">
        <v>6</v>
      </c>
      <c r="B664" s="2383">
        <v>606.20000000000005</v>
      </c>
      <c r="C664" s="2374"/>
      <c r="D664" s="2374" t="s">
        <v>608</v>
      </c>
      <c r="E664" s="2374"/>
      <c r="F664" s="2374"/>
      <c r="G664" s="2373" t="str">
        <f t="shared" si="44"/>
        <v/>
      </c>
      <c r="H664" s="2375" t="s">
        <v>3971</v>
      </c>
      <c r="I664" s="64"/>
      <c r="J664" s="4"/>
      <c r="K664" s="87"/>
      <c r="L664" s="1840"/>
      <c r="M664" s="1014"/>
      <c r="N664" s="1042"/>
      <c r="O664" s="1042"/>
      <c r="X664" s="911"/>
      <c r="Z664" s="731"/>
      <c r="AA664" s="1526"/>
      <c r="AC664" s="970"/>
      <c r="AD664" s="970"/>
      <c r="AE664" s="970"/>
      <c r="AL664" s="1336"/>
      <c r="AM664" s="1336"/>
      <c r="AN664" s="1336"/>
      <c r="AO664" s="1336"/>
      <c r="AP664" s="1336"/>
      <c r="AQ664" s="1336"/>
      <c r="AR664" s="1336"/>
      <c r="AS664" s="1336"/>
    </row>
    <row r="665" spans="1:45" s="868" customFormat="1" x14ac:dyDescent="0.25">
      <c r="A665" s="2371">
        <v>6</v>
      </c>
      <c r="B665" s="2383">
        <v>606.20000000000005</v>
      </c>
      <c r="C665" s="2374"/>
      <c r="D665" s="2374" t="s">
        <v>608</v>
      </c>
      <c r="E665" s="2374"/>
      <c r="F665" s="2374"/>
      <c r="G665" s="2373" t="str">
        <f t="shared" si="44"/>
        <v/>
      </c>
      <c r="H665" s="2375" t="s">
        <v>3971</v>
      </c>
      <c r="I665" s="64"/>
      <c r="J665" s="4"/>
      <c r="K665" s="87"/>
      <c r="L665" s="1840"/>
      <c r="M665" s="1014"/>
      <c r="N665" s="1042"/>
      <c r="O665" s="1042"/>
      <c r="X665" s="911"/>
      <c r="Z665" s="731"/>
      <c r="AA665" s="1526"/>
      <c r="AC665" s="970"/>
      <c r="AD665" s="970"/>
      <c r="AE665" s="970"/>
      <c r="AL665" s="1336"/>
      <c r="AM665" s="1336"/>
      <c r="AN665" s="1336"/>
      <c r="AO665" s="1336"/>
      <c r="AP665" s="1336"/>
      <c r="AQ665" s="1336"/>
      <c r="AR665" s="1336"/>
      <c r="AS665" s="1336"/>
    </row>
    <row r="666" spans="1:45" s="868" customFormat="1" x14ac:dyDescent="0.25">
      <c r="A666" s="2371">
        <v>6</v>
      </c>
      <c r="B666" s="2383">
        <v>606.20000000000005</v>
      </c>
      <c r="C666" s="2374"/>
      <c r="D666" s="2374" t="s">
        <v>608</v>
      </c>
      <c r="E666" s="2374"/>
      <c r="F666" s="2374"/>
      <c r="G666" s="2373" t="str">
        <f t="shared" si="44"/>
        <v/>
      </c>
      <c r="H666" s="2375" t="s">
        <v>3971</v>
      </c>
      <c r="I666" s="64"/>
      <c r="J666" s="4"/>
      <c r="K666" s="87"/>
      <c r="L666" s="1840"/>
      <c r="M666" s="1014"/>
      <c r="N666" s="1042"/>
      <c r="O666" s="1042"/>
      <c r="X666" s="911"/>
      <c r="Z666" s="731"/>
      <c r="AA666" s="1526"/>
      <c r="AC666" s="970"/>
      <c r="AD666" s="970"/>
      <c r="AE666" s="970"/>
      <c r="AL666" s="1336"/>
      <c r="AM666" s="1336"/>
      <c r="AN666" s="1336"/>
      <c r="AO666" s="1336"/>
      <c r="AP666" s="1336"/>
      <c r="AQ666" s="1336"/>
      <c r="AR666" s="1336"/>
      <c r="AS666" s="1336"/>
    </row>
    <row r="667" spans="1:45" s="868" customFormat="1" x14ac:dyDescent="0.25">
      <c r="A667" s="2371">
        <v>6</v>
      </c>
      <c r="B667" s="2383">
        <v>606.20000000000005</v>
      </c>
      <c r="C667" s="2374"/>
      <c r="D667" s="2374" t="s">
        <v>608</v>
      </c>
      <c r="E667" s="2374"/>
      <c r="F667" s="2374"/>
      <c r="G667" s="2373" t="str">
        <f t="shared" si="44"/>
        <v/>
      </c>
      <c r="H667" s="2375" t="s">
        <v>3971</v>
      </c>
      <c r="I667" s="64"/>
      <c r="J667" s="4"/>
      <c r="K667" s="87"/>
      <c r="L667" s="1840"/>
      <c r="M667" s="1014"/>
      <c r="N667" s="1042"/>
      <c r="O667" s="1042"/>
      <c r="W667" s="249" t="s">
        <v>3080</v>
      </c>
      <c r="X667" s="911"/>
      <c r="Z667" s="731"/>
      <c r="AA667" s="1526"/>
      <c r="AC667" s="970"/>
      <c r="AD667" s="970"/>
      <c r="AE667" s="970"/>
      <c r="AL667" s="1336"/>
      <c r="AM667" s="1336"/>
      <c r="AN667" s="1336"/>
      <c r="AO667" s="1336"/>
      <c r="AP667" s="1336"/>
      <c r="AQ667" s="1336"/>
      <c r="AR667" s="1336"/>
      <c r="AS667" s="1336"/>
    </row>
    <row r="668" spans="1:45" ht="15" customHeight="1" x14ac:dyDescent="0.25">
      <c r="A668" s="2371">
        <v>6</v>
      </c>
      <c r="B668" s="2383">
        <v>606.20000000000005</v>
      </c>
      <c r="C668" s="2374" t="s">
        <v>256</v>
      </c>
      <c r="D668" s="2383" t="s">
        <v>2971</v>
      </c>
      <c r="E668" s="2374"/>
      <c r="F668" s="2383"/>
      <c r="G668" s="2373" t="str">
        <f>IF(N668&gt;0,"P","")</f>
        <v/>
      </c>
      <c r="H668" s="2386" t="s">
        <v>3971</v>
      </c>
      <c r="I668" s="64"/>
      <c r="J668" s="183" t="s">
        <v>256</v>
      </c>
      <c r="K668" s="95"/>
      <c r="L668" s="1779" t="s">
        <v>4180</v>
      </c>
      <c r="M668" s="1758">
        <v>3</v>
      </c>
      <c r="N668" s="1927">
        <f>'Ch6'!O350</f>
        <v>0</v>
      </c>
      <c r="O668" s="1927">
        <f>IF(AND(S668,NOT(ISBLANK(W668)),NOT(ISBLANK(W669))),M668,0)</f>
        <v>0</v>
      </c>
      <c r="P668" s="249" t="b">
        <v>1</v>
      </c>
      <c r="Q668" s="249" t="b">
        <v>1</v>
      </c>
      <c r="R668" s="249" t="b">
        <v>0</v>
      </c>
      <c r="S668" s="249" t="b">
        <v>1</v>
      </c>
      <c r="T668" s="249" t="b">
        <v>0</v>
      </c>
      <c r="U668" s="94" t="str">
        <f>SUBSTITUTE(SUBSTITUTE(SUBSTITUTE("dd"&amp;B668&amp;C668&amp;D668&amp;E668&amp;F668,".","_"),"(","_"),")","")</f>
        <v>dd606_2_1a</v>
      </c>
      <c r="V668" s="249"/>
      <c r="W668" s="12"/>
      <c r="X668" s="918"/>
      <c r="Y668" s="988" t="str">
        <f>IF(LEN('Ch6'!X350)=0,"None",'Ch6'!X350)</f>
        <v>None</v>
      </c>
      <c r="Z668" s="1587"/>
      <c r="AA668" s="1526"/>
      <c r="AC668" s="970" t="b">
        <f>OR(AD668:AE668)</f>
        <v>0</v>
      </c>
      <c r="AD668" s="970" t="b">
        <v>0</v>
      </c>
      <c r="AE668" s="970" t="b">
        <f>AND(NOT(ISBLANK(W668)),LEN(X668)=0)</f>
        <v>0</v>
      </c>
      <c r="AF668" s="784"/>
      <c r="AG668" s="249"/>
      <c r="AH668" s="249"/>
      <c r="AI668" s="249"/>
      <c r="AJ668" s="249"/>
      <c r="AK668" s="249"/>
      <c r="AL668" s="254" t="str">
        <f>SUBSTITUTE(SUBSTITUTE(SUBSTITUTE("vpa"&amp;$B668&amp;$C668&amp;$D668&amp;$E668,".","_"),"(","_"),")","")</f>
        <v>vpa606_2_1a</v>
      </c>
      <c r="AM668" s="254">
        <f>M668</f>
        <v>3</v>
      </c>
      <c r="AN668" s="254" t="str">
        <f>SUBSTITUTE(SUBSTITUTE(SUBSTITUTE("vpc"&amp;$B668&amp;$C668&amp;$D668&amp;$E668,".","_"),"(","_"),")","")</f>
        <v>vpc606_2_1a</v>
      </c>
      <c r="AO668" s="254">
        <f>O668</f>
        <v>0</v>
      </c>
      <c r="AP668" s="1336" t="str">
        <f>SUBSTITUTE(SUBSTITUTE(SUBSTITUTE("vch"&amp;$B668&amp;$C668&amp;$D668&amp;$E668,".","_"),"(","_"),")","")</f>
        <v>vch606_2_1a</v>
      </c>
      <c r="AQ668" s="254" t="str">
        <f>IF(LEN(W668)=0,"",W668)</f>
        <v/>
      </c>
      <c r="AR668" s="1336" t="str">
        <f>SUBSTITUTE(SUBSTITUTE(SUBSTITUTE("vnt"&amp;$B668&amp;$C668&amp;$D668&amp;$E668,".","_"),"(","_"),")","")</f>
        <v>vnt606_2_1a</v>
      </c>
      <c r="AS668" s="254" t="str">
        <f>IF(LEN(X668)=0,"",X668)</f>
        <v/>
      </c>
    </row>
    <row r="669" spans="1:45" x14ac:dyDescent="0.25">
      <c r="A669" s="2371">
        <v>6</v>
      </c>
      <c r="B669" s="2383">
        <v>606.20000000000005</v>
      </c>
      <c r="C669" s="2374" t="s">
        <v>256</v>
      </c>
      <c r="D669" s="2383" t="s">
        <v>2972</v>
      </c>
      <c r="E669" s="2374"/>
      <c r="F669" s="2383"/>
      <c r="G669" s="2373" t="str">
        <f>G668</f>
        <v/>
      </c>
      <c r="H669" s="2386" t="s">
        <v>3971</v>
      </c>
      <c r="I669" s="64"/>
      <c r="J669" s="183"/>
      <c r="K669" s="95"/>
      <c r="L669" s="1779"/>
      <c r="M669" s="1758"/>
      <c r="N669" s="1927"/>
      <c r="O669" s="1927"/>
      <c r="P669" s="249" t="b">
        <v>1</v>
      </c>
      <c r="Q669" s="352" t="b">
        <v>1</v>
      </c>
      <c r="R669" s="249" t="b">
        <v>0</v>
      </c>
      <c r="S669" s="249" t="b">
        <v>1</v>
      </c>
      <c r="T669" s="249" t="b">
        <v>0</v>
      </c>
      <c r="U669" s="94" t="str">
        <f>SUBSTITUTE(SUBSTITUTE(SUBSTITUTE("dd"&amp;B669&amp;C669&amp;D669&amp;E669&amp;F669,".","_"),"(","_"),")","")</f>
        <v>dd606_2_1b</v>
      </c>
      <c r="V669" s="249"/>
      <c r="W669" s="12"/>
      <c r="X669" s="1757"/>
      <c r="Y669" s="2081" t="str">
        <f>IF(LEN('Ch6'!X351)=0,"None",'Ch6'!X351)</f>
        <v>None</v>
      </c>
      <c r="Z669" s="2083"/>
      <c r="AA669" s="1526"/>
      <c r="AC669" s="970" t="b">
        <f>OR(AD669:AE669)</f>
        <v>0</v>
      </c>
      <c r="AD669" s="970" t="b">
        <v>0</v>
      </c>
      <c r="AE669" s="970" t="b">
        <f>AND(NOT(ISBLANK(W669)),LEN(X669)=0)</f>
        <v>0</v>
      </c>
      <c r="AF669" s="784"/>
      <c r="AG669" s="249"/>
      <c r="AH669" s="249"/>
      <c r="AI669" s="249"/>
      <c r="AJ669" s="249"/>
      <c r="AK669" s="249"/>
      <c r="AL669" s="1336"/>
      <c r="AM669" s="1336"/>
      <c r="AN669" s="1336"/>
      <c r="AO669" s="1336"/>
      <c r="AP669" s="1336" t="str">
        <f>SUBSTITUTE(SUBSTITUTE(SUBSTITUTE("vch"&amp;$B669&amp;$C669&amp;$D669&amp;$E669,".","_"),"(","_"),")","")</f>
        <v>vch606_2_1b</v>
      </c>
      <c r="AQ669" s="254" t="str">
        <f>IF(LEN(W669)=0,"",W669)</f>
        <v/>
      </c>
      <c r="AR669" s="1336" t="str">
        <f>SUBSTITUTE(SUBSTITUTE(SUBSTITUTE("vnt"&amp;$B669&amp;$C669&amp;$D669&amp;$E669,".","_"),"(","_"),")","")</f>
        <v>vnt606_2_1b</v>
      </c>
      <c r="AS669" s="254" t="str">
        <f>IF(LEN(X669)=0,"",X669)</f>
        <v/>
      </c>
    </row>
    <row r="670" spans="1:45" x14ac:dyDescent="0.25">
      <c r="A670" s="2371">
        <v>6</v>
      </c>
      <c r="B670" s="2383">
        <v>606.20000000000005</v>
      </c>
      <c r="C670" s="2374" t="s">
        <v>256</v>
      </c>
      <c r="D670" s="2383"/>
      <c r="E670" s="2374"/>
      <c r="F670" s="2383"/>
      <c r="G670" s="2373" t="str">
        <f>G669</f>
        <v/>
      </c>
      <c r="H670" s="2386" t="s">
        <v>3971</v>
      </c>
      <c r="I670" s="64"/>
      <c r="J670" s="206"/>
      <c r="K670" s="175"/>
      <c r="L670" s="1177" t="s">
        <v>3081</v>
      </c>
      <c r="M670" s="1759"/>
      <c r="N670" s="2076"/>
      <c r="O670" s="2076"/>
      <c r="P670" s="249"/>
      <c r="Q670" s="249"/>
      <c r="R670" s="249"/>
      <c r="S670" s="249"/>
      <c r="T670" s="249"/>
      <c r="U670" s="94"/>
      <c r="V670" s="249"/>
      <c r="W670" s="249"/>
      <c r="X670" s="1757"/>
      <c r="Y670" s="2081"/>
      <c r="Z670" s="2083"/>
      <c r="AA670" s="1526"/>
      <c r="AC670" s="970"/>
      <c r="AD670" s="970"/>
      <c r="AE670" s="970"/>
      <c r="AF670" s="249"/>
      <c r="AG670" s="249"/>
      <c r="AH670" s="249"/>
      <c r="AI670" s="249"/>
      <c r="AJ670" s="249"/>
      <c r="AK670" s="249"/>
      <c r="AL670" s="1336"/>
      <c r="AM670" s="1336"/>
      <c r="AN670" s="1336"/>
      <c r="AO670" s="1336"/>
      <c r="AP670" s="1336"/>
      <c r="AQ670" s="1336"/>
      <c r="AR670" s="1336"/>
      <c r="AS670" s="1336"/>
    </row>
    <row r="671" spans="1:45" ht="15" customHeight="1" x14ac:dyDescent="0.25">
      <c r="A671" s="2371">
        <v>6</v>
      </c>
      <c r="B671" s="2383">
        <v>606.20000000000005</v>
      </c>
      <c r="C671" s="2374" t="s">
        <v>258</v>
      </c>
      <c r="D671" s="2383" t="s">
        <v>2971</v>
      </c>
      <c r="E671" s="2374"/>
      <c r="F671" s="2383"/>
      <c r="G671" s="2373" t="str">
        <f>IF(N671&gt;0,"P","")</f>
        <v/>
      </c>
      <c r="H671" s="2386" t="s">
        <v>3971</v>
      </c>
      <c r="I671" s="64"/>
      <c r="J671" s="27" t="s">
        <v>258</v>
      </c>
      <c r="K671" s="83"/>
      <c r="L671" s="1779" t="s">
        <v>4181</v>
      </c>
      <c r="M671" s="1767">
        <v>4</v>
      </c>
      <c r="N671" s="2079">
        <f>'Ch6'!O353</f>
        <v>0</v>
      </c>
      <c r="O671" s="2075">
        <f>IF(AND(S671,NOT(ISBLANK(W671)),NOT(ISBLANK(W672))),M671,0)</f>
        <v>0</v>
      </c>
      <c r="P671" s="249" t="b">
        <v>1</v>
      </c>
      <c r="Q671" s="352" t="b">
        <v>1</v>
      </c>
      <c r="R671" s="249" t="b">
        <v>0</v>
      </c>
      <c r="S671" s="249" t="b">
        <v>1</v>
      </c>
      <c r="T671" s="249" t="b">
        <v>0</v>
      </c>
      <c r="U671" s="94" t="str">
        <f>SUBSTITUTE(SUBSTITUTE(SUBSTITUTE("dd"&amp;B671&amp;C671&amp;D671&amp;E671&amp;F671,".","_"),"(","_"),")","")</f>
        <v>dd606_2_2a</v>
      </c>
      <c r="V671" s="249"/>
      <c r="W671" s="12"/>
      <c r="X671" s="918"/>
      <c r="Y671" s="988" t="str">
        <f>IF(LEN('Ch6'!X353)=0,"None",'Ch6'!X353)</f>
        <v>None</v>
      </c>
      <c r="Z671" s="1587"/>
      <c r="AA671" s="1526"/>
      <c r="AC671" s="970" t="b">
        <f>OR(AD671:AE671)</f>
        <v>0</v>
      </c>
      <c r="AD671" s="970" t="b">
        <v>0</v>
      </c>
      <c r="AE671" s="970" t="b">
        <f>AND(NOT(ISBLANK(W671)),LEN(X671)=0)</f>
        <v>0</v>
      </c>
      <c r="AF671" s="784"/>
      <c r="AG671" s="249"/>
      <c r="AH671" s="249"/>
      <c r="AI671" s="249"/>
      <c r="AJ671" s="249"/>
      <c r="AK671" s="249"/>
      <c r="AL671" s="254" t="str">
        <f>SUBSTITUTE(SUBSTITUTE(SUBSTITUTE("vpa"&amp;$B671&amp;$C671&amp;$D671&amp;$E671,".","_"),"(","_"),")","")</f>
        <v>vpa606_2_2a</v>
      </c>
      <c r="AM671" s="254">
        <f>M671</f>
        <v>4</v>
      </c>
      <c r="AN671" s="254" t="str">
        <f>SUBSTITUTE(SUBSTITUTE(SUBSTITUTE("vpc"&amp;$B671&amp;$C671&amp;$D671&amp;$E671,".","_"),"(","_"),")","")</f>
        <v>vpc606_2_2a</v>
      </c>
      <c r="AO671" s="254">
        <f>O671</f>
        <v>0</v>
      </c>
      <c r="AP671" s="1336" t="str">
        <f>SUBSTITUTE(SUBSTITUTE(SUBSTITUTE("vch"&amp;$B671&amp;$C671&amp;$D671&amp;$E671,".","_"),"(","_"),")","")</f>
        <v>vch606_2_2a</v>
      </c>
      <c r="AQ671" s="254" t="str">
        <f>IF(LEN(W671)=0,"",W671)</f>
        <v/>
      </c>
      <c r="AR671" s="1336" t="str">
        <f>SUBSTITUTE(SUBSTITUTE(SUBSTITUTE("vnt"&amp;$B671&amp;$C671&amp;$D671&amp;$E671,".","_"),"(","_"),")","")</f>
        <v>vnt606_2_2a</v>
      </c>
      <c r="AS671" s="254" t="str">
        <f>IF(LEN(X671)=0,"",X671)</f>
        <v/>
      </c>
    </row>
    <row r="672" spans="1:45" x14ac:dyDescent="0.25">
      <c r="A672" s="2371">
        <v>6</v>
      </c>
      <c r="B672" s="2383">
        <v>606.20000000000005</v>
      </c>
      <c r="C672" s="2374" t="s">
        <v>258</v>
      </c>
      <c r="D672" s="2383" t="s">
        <v>2972</v>
      </c>
      <c r="E672" s="2374"/>
      <c r="F672" s="2383"/>
      <c r="G672" s="2373" t="str">
        <f t="shared" ref="G672:G679" si="45">G671</f>
        <v/>
      </c>
      <c r="H672" s="2386" t="s">
        <v>3971</v>
      </c>
      <c r="I672" s="64"/>
      <c r="J672" s="4"/>
      <c r="K672" s="83"/>
      <c r="L672" s="1779"/>
      <c r="M672" s="1767"/>
      <c r="N672" s="2075"/>
      <c r="O672" s="2075"/>
      <c r="P672" s="249" t="b">
        <v>1</v>
      </c>
      <c r="Q672" s="352" t="b">
        <v>1</v>
      </c>
      <c r="R672" s="249" t="b">
        <v>0</v>
      </c>
      <c r="S672" s="249" t="b">
        <v>1</v>
      </c>
      <c r="T672" s="249" t="b">
        <v>0</v>
      </c>
      <c r="U672" s="94" t="str">
        <f>SUBSTITUTE(SUBSTITUTE(SUBSTITUTE("dd"&amp;B672&amp;C672&amp;D672&amp;E672&amp;F672,".","_"),"(","_"),")","")</f>
        <v>dd606_2_2b</v>
      </c>
      <c r="V672" s="249"/>
      <c r="W672" s="12"/>
      <c r="X672" s="1757"/>
      <c r="Y672" s="2081" t="str">
        <f>IF(LEN('Ch6'!X354)=0,"None",'Ch6'!X354)</f>
        <v>None</v>
      </c>
      <c r="Z672" s="2084"/>
      <c r="AA672" s="1526"/>
      <c r="AC672" s="970" t="b">
        <f>OR(AD672:AE672)</f>
        <v>0</v>
      </c>
      <c r="AD672" s="970" t="b">
        <v>0</v>
      </c>
      <c r="AE672" s="970" t="b">
        <f>AND(NOT(ISBLANK(W672)),LEN(X672)=0)</f>
        <v>0</v>
      </c>
      <c r="AF672" s="784"/>
      <c r="AG672" s="249"/>
      <c r="AH672" s="249"/>
      <c r="AI672" s="249"/>
      <c r="AJ672" s="249"/>
      <c r="AK672" s="249"/>
      <c r="AL672" s="1336"/>
      <c r="AM672" s="1336"/>
      <c r="AN672" s="1336"/>
      <c r="AO672" s="1336"/>
      <c r="AP672" s="1336" t="str">
        <f>SUBSTITUTE(SUBSTITUTE(SUBSTITUTE("vch"&amp;$B672&amp;$C672&amp;$D672&amp;$E672,".","_"),"(","_"),")","")</f>
        <v>vch606_2_2b</v>
      </c>
      <c r="AQ672" s="254" t="str">
        <f>IF(LEN(W672)=0,"",W672)</f>
        <v/>
      </c>
      <c r="AR672" s="1336" t="str">
        <f>SUBSTITUTE(SUBSTITUTE(SUBSTITUTE("vnt"&amp;$B672&amp;$C672&amp;$D672&amp;$E672,".","_"),"(","_"),")","")</f>
        <v>vnt606_2_2b</v>
      </c>
      <c r="AS672" s="254" t="str">
        <f>IF(LEN(X672)=0,"",X672)</f>
        <v/>
      </c>
    </row>
    <row r="673" spans="1:45" ht="15.75" thickBot="1" x14ac:dyDescent="0.3">
      <c r="A673" s="2371">
        <v>6</v>
      </c>
      <c r="B673" s="2383">
        <v>606.20000000000005</v>
      </c>
      <c r="C673" s="2374" t="s">
        <v>258</v>
      </c>
      <c r="D673" s="2387"/>
      <c r="E673" s="2374"/>
      <c r="F673" s="2387"/>
      <c r="G673" s="2373" t="str">
        <f t="shared" si="45"/>
        <v/>
      </c>
      <c r="H673" s="2386" t="s">
        <v>3971</v>
      </c>
      <c r="I673" s="64"/>
      <c r="J673" s="4"/>
      <c r="K673" s="83"/>
      <c r="L673" s="1172" t="s">
        <v>3081</v>
      </c>
      <c r="M673" s="1767"/>
      <c r="N673" s="1928"/>
      <c r="O673" s="2075"/>
      <c r="P673" s="249"/>
      <c r="Q673" s="249"/>
      <c r="R673" s="249"/>
      <c r="S673" s="249"/>
      <c r="T673" s="249"/>
      <c r="U673" s="94"/>
      <c r="V673" s="249"/>
      <c r="W673" s="256"/>
      <c r="X673" s="1798"/>
      <c r="Y673" s="2082"/>
      <c r="Z673" s="2086"/>
      <c r="AA673" s="1526"/>
      <c r="AC673" s="970"/>
      <c r="AD673" s="970"/>
      <c r="AE673" s="970"/>
      <c r="AF673" s="249"/>
      <c r="AG673" s="249"/>
      <c r="AH673" s="249"/>
      <c r="AI673" s="249"/>
      <c r="AJ673" s="249"/>
      <c r="AK673" s="249"/>
      <c r="AL673" s="1336"/>
      <c r="AM673" s="1336"/>
      <c r="AN673" s="1336"/>
      <c r="AO673" s="1336"/>
      <c r="AP673" s="1336"/>
      <c r="AQ673" s="1336"/>
      <c r="AR673" s="1336"/>
      <c r="AS673" s="1336"/>
    </row>
    <row r="674" spans="1:45" ht="15.75" thickTop="1" x14ac:dyDescent="0.25">
      <c r="A674" s="2371">
        <v>6</v>
      </c>
      <c r="B674" s="2383">
        <v>606.29999999999995</v>
      </c>
      <c r="C674" s="2374"/>
      <c r="D674" s="2374"/>
      <c r="E674" s="2374"/>
      <c r="F674" s="2374"/>
      <c r="G674" s="2373" t="str">
        <f ca="1">IF(N674&gt;0,"P","")</f>
        <v/>
      </c>
      <c r="H674" s="2371" t="s">
        <v>3971</v>
      </c>
      <c r="I674" s="180">
        <v>606.29999999999995</v>
      </c>
      <c r="J674" s="181"/>
      <c r="K674" s="182"/>
      <c r="L674" s="1781" t="s">
        <v>687</v>
      </c>
      <c r="M674" s="1772" t="s">
        <v>663</v>
      </c>
      <c r="N674" s="2080">
        <f ca="1">'Ch6'!O356</f>
        <v>0</v>
      </c>
      <c r="O674" s="2080">
        <f ca="1">IFERROR(MATCH(W674,INDIRECT(U674),0),0)*2</f>
        <v>0</v>
      </c>
      <c r="P674" s="105" t="b">
        <v>1</v>
      </c>
      <c r="Q674" s="105" t="b">
        <v>1</v>
      </c>
      <c r="R674" s="105" t="b">
        <v>0</v>
      </c>
      <c r="S674" s="105" t="b">
        <v>1</v>
      </c>
      <c r="T674" s="105" t="b">
        <v>0</v>
      </c>
      <c r="U674" s="105" t="str">
        <f>SUBSTITUTE(SUBSTITUTE(SUBSTITUTE("dd"&amp;B674&amp;C674&amp;D674&amp;E674&amp;F674,".","_"),"(","_"),")","")</f>
        <v>dd606_3</v>
      </c>
      <c r="V674" s="105"/>
      <c r="W674" s="255"/>
      <c r="X674" s="1815"/>
      <c r="Y674" s="2097" t="str">
        <f>IF(LEN('Ch6'!X356)=0,"None",'Ch6'!X356)</f>
        <v>None</v>
      </c>
      <c r="Z674" s="2085"/>
      <c r="AA674" s="1526"/>
      <c r="AC674" s="970" t="b">
        <f>OR(AD674:AE674)</f>
        <v>0</v>
      </c>
      <c r="AD674" s="970" t="b">
        <v>0</v>
      </c>
      <c r="AE674" s="970" t="b">
        <f>AND(NOT(ISBLANK(W674)),LEN(X674)=0)</f>
        <v>0</v>
      </c>
      <c r="AF674" s="784"/>
      <c r="AG674" s="249"/>
      <c r="AH674" s="249"/>
      <c r="AI674" s="249"/>
      <c r="AJ674" s="249"/>
      <c r="AK674" s="249"/>
      <c r="AL674" s="254" t="str">
        <f>SUBSTITUTE(SUBSTITUTE(SUBSTITUTE("vpa"&amp;$B674&amp;$C674&amp;$D674&amp;$E674,".","_"),"(","_"),")","")</f>
        <v>vpa606_3</v>
      </c>
      <c r="AM674" s="254" t="str">
        <f>M674</f>
        <v>6 Max</v>
      </c>
      <c r="AN674" s="254" t="str">
        <f>SUBSTITUTE(SUBSTITUTE(SUBSTITUTE("vpc"&amp;$B674&amp;$C674&amp;$D674&amp;$E674,".","_"),"(","_"),")","")</f>
        <v>vpc606_3</v>
      </c>
      <c r="AO674" s="254">
        <f ca="1">O674</f>
        <v>0</v>
      </c>
      <c r="AP674" s="1336" t="str">
        <f>SUBSTITUTE(SUBSTITUTE(SUBSTITUTE("vch"&amp;$B674&amp;$C674&amp;$D674&amp;$E674,".","_"),"(","_"),")","")</f>
        <v>vch606_3</v>
      </c>
      <c r="AQ674" s="254" t="str">
        <f>IF(LEN(W674)=0,"",W674)</f>
        <v/>
      </c>
      <c r="AR674" s="1336" t="str">
        <f>SUBSTITUTE(SUBSTITUTE(SUBSTITUTE("vnt"&amp;$B674&amp;$C674&amp;$D674&amp;$E674,".","_"),"(","_"),")","")</f>
        <v>vnt606_3</v>
      </c>
      <c r="AS674" s="254" t="str">
        <f>IF(LEN(X674)=0,"",X674)</f>
        <v/>
      </c>
    </row>
    <row r="675" spans="1:45" x14ac:dyDescent="0.25">
      <c r="A675" s="2371">
        <v>6</v>
      </c>
      <c r="B675" s="2383">
        <v>606.29999999999995</v>
      </c>
      <c r="C675" s="2374"/>
      <c r="D675" s="2374"/>
      <c r="E675" s="2374"/>
      <c r="F675" s="2374"/>
      <c r="G675" s="2373" t="str">
        <f t="shared" ca="1" si="45"/>
        <v/>
      </c>
      <c r="H675" s="2371" t="s">
        <v>3971</v>
      </c>
      <c r="I675" s="130"/>
      <c r="J675" s="129"/>
      <c r="K675" s="95"/>
      <c r="L675" s="1782"/>
      <c r="M675" s="1758"/>
      <c r="N675" s="1927"/>
      <c r="O675" s="1927"/>
      <c r="P675" s="94"/>
      <c r="Q675" s="94"/>
      <c r="R675" s="94"/>
      <c r="S675" s="94"/>
      <c r="T675" s="94"/>
      <c r="U675" s="94"/>
      <c r="V675" s="94"/>
      <c r="W675" s="94"/>
      <c r="X675" s="1799"/>
      <c r="Y675" s="2081"/>
      <c r="Z675" s="2083"/>
      <c r="AA675" s="1526"/>
      <c r="AC675" s="970"/>
      <c r="AD675" s="970"/>
      <c r="AE675" s="970"/>
      <c r="AF675" s="249"/>
      <c r="AG675" s="249"/>
      <c r="AH675" s="249"/>
      <c r="AI675" s="249"/>
      <c r="AJ675" s="249"/>
      <c r="AK675" s="249"/>
      <c r="AL675" s="1336"/>
      <c r="AM675" s="1336"/>
      <c r="AN675" s="1336"/>
      <c r="AO675" s="1336"/>
      <c r="AP675" s="1336"/>
      <c r="AQ675" s="1336"/>
      <c r="AR675" s="1336"/>
      <c r="AS675" s="1336"/>
    </row>
    <row r="676" spans="1:45" x14ac:dyDescent="0.25">
      <c r="A676" s="2371">
        <v>6</v>
      </c>
      <c r="B676" s="2383">
        <v>606.29999999999995</v>
      </c>
      <c r="C676" s="2374"/>
      <c r="D676" s="2374"/>
      <c r="E676" s="2374"/>
      <c r="F676" s="2374"/>
      <c r="G676" s="2373" t="str">
        <f t="shared" ca="1" si="45"/>
        <v/>
      </c>
      <c r="H676" s="2371" t="s">
        <v>3971</v>
      </c>
      <c r="I676" s="130"/>
      <c r="J676" s="129"/>
      <c r="K676" s="95"/>
      <c r="L676" s="1782"/>
      <c r="M676" s="1758"/>
      <c r="N676" s="1927"/>
      <c r="O676" s="1927"/>
      <c r="P676" s="94"/>
      <c r="Q676" s="94"/>
      <c r="R676" s="94"/>
      <c r="S676" s="94"/>
      <c r="T676" s="94"/>
      <c r="U676" s="94"/>
      <c r="V676" s="94"/>
      <c r="W676" s="94"/>
      <c r="X676" s="1799"/>
      <c r="Y676" s="2081"/>
      <c r="Z676" s="2083"/>
      <c r="AA676" s="1526"/>
      <c r="AC676" s="970"/>
      <c r="AD676" s="970"/>
      <c r="AE676" s="970"/>
      <c r="AF676" s="249"/>
      <c r="AG676" s="249"/>
      <c r="AH676" s="249"/>
      <c r="AI676" s="249"/>
      <c r="AJ676" s="249"/>
      <c r="AK676" s="249"/>
      <c r="AL676" s="1336"/>
      <c r="AM676" s="1336"/>
      <c r="AN676" s="1336"/>
      <c r="AO676" s="1336"/>
      <c r="AP676" s="1336"/>
      <c r="AQ676" s="1336"/>
      <c r="AR676" s="1336"/>
      <c r="AS676" s="1336"/>
    </row>
    <row r="677" spans="1:45" x14ac:dyDescent="0.25">
      <c r="A677" s="2371">
        <v>6</v>
      </c>
      <c r="B677" s="2383">
        <v>606.29999999999995</v>
      </c>
      <c r="C677" s="2374"/>
      <c r="D677" s="2374"/>
      <c r="E677" s="2374"/>
      <c r="F677" s="2374"/>
      <c r="G677" s="2373" t="str">
        <f t="shared" ca="1" si="45"/>
        <v/>
      </c>
      <c r="H677" s="2371" t="s">
        <v>3971</v>
      </c>
      <c r="I677" s="130"/>
      <c r="J677" s="129"/>
      <c r="K677" s="95"/>
      <c r="L677" s="1782"/>
      <c r="M677" s="1758"/>
      <c r="N677" s="1927"/>
      <c r="O677" s="1927"/>
      <c r="P677" s="94"/>
      <c r="Q677" s="94"/>
      <c r="R677" s="94"/>
      <c r="S677" s="94"/>
      <c r="T677" s="94"/>
      <c r="U677" s="94"/>
      <c r="V677" s="94"/>
      <c r="W677" s="94"/>
      <c r="X677" s="1799"/>
      <c r="Y677" s="2081"/>
      <c r="Z677" s="2083"/>
      <c r="AA677" s="1526"/>
      <c r="AC677" s="970"/>
      <c r="AD677" s="970"/>
      <c r="AE677" s="970"/>
      <c r="AF677" s="249"/>
      <c r="AG677" s="249"/>
      <c r="AH677" s="249"/>
      <c r="AI677" s="249"/>
      <c r="AJ677" s="249"/>
      <c r="AK677" s="249"/>
      <c r="AL677" s="1336"/>
      <c r="AM677" s="1336"/>
      <c r="AN677" s="1336"/>
      <c r="AO677" s="1336"/>
      <c r="AP677" s="1336"/>
      <c r="AQ677" s="1336"/>
      <c r="AR677" s="1336"/>
      <c r="AS677" s="1336"/>
    </row>
    <row r="678" spans="1:45" x14ac:dyDescent="0.25">
      <c r="A678" s="2371">
        <v>6</v>
      </c>
      <c r="B678" s="2383">
        <v>606.29999999999995</v>
      </c>
      <c r="C678" s="2374"/>
      <c r="D678" s="2374"/>
      <c r="E678" s="2374"/>
      <c r="F678" s="2374"/>
      <c r="G678" s="2373" t="str">
        <f t="shared" ca="1" si="45"/>
        <v/>
      </c>
      <c r="H678" s="2371" t="s">
        <v>3971</v>
      </c>
      <c r="I678" s="130"/>
      <c r="J678" s="129"/>
      <c r="K678" s="95"/>
      <c r="L678" s="1175" t="s">
        <v>688</v>
      </c>
      <c r="M678" s="1758"/>
      <c r="N678" s="1927"/>
      <c r="O678" s="1927"/>
      <c r="P678" s="94"/>
      <c r="Q678" s="94"/>
      <c r="R678" s="94"/>
      <c r="S678" s="94"/>
      <c r="T678" s="94"/>
      <c r="U678" s="94"/>
      <c r="V678" s="94"/>
      <c r="W678" s="94"/>
      <c r="X678" s="1799"/>
      <c r="Y678" s="2081"/>
      <c r="Z678" s="2083"/>
      <c r="AA678" s="1526"/>
      <c r="AC678" s="970"/>
      <c r="AD678" s="970"/>
      <c r="AE678" s="970"/>
      <c r="AF678" s="249"/>
      <c r="AG678" s="249"/>
      <c r="AH678" s="249"/>
      <c r="AI678" s="249"/>
      <c r="AJ678" s="249"/>
      <c r="AK678" s="249"/>
      <c r="AL678" s="1336"/>
      <c r="AM678" s="1336"/>
      <c r="AN678" s="1336"/>
      <c r="AO678" s="1336"/>
      <c r="AP678" s="1336"/>
      <c r="AQ678" s="1336"/>
      <c r="AR678" s="1336"/>
      <c r="AS678" s="1336"/>
    </row>
    <row r="679" spans="1:45" x14ac:dyDescent="0.25">
      <c r="A679" s="2371">
        <v>6</v>
      </c>
      <c r="B679" s="2383">
        <v>606.29999999999995</v>
      </c>
      <c r="C679" s="2374"/>
      <c r="D679" s="2374"/>
      <c r="E679" s="2374"/>
      <c r="F679" s="2374"/>
      <c r="G679" s="2373" t="str">
        <f t="shared" ca="1" si="45"/>
        <v/>
      </c>
      <c r="H679" s="2371" t="s">
        <v>3971</v>
      </c>
      <c r="I679" s="130"/>
      <c r="J679" s="129"/>
      <c r="K679" s="95"/>
      <c r="L679" s="1176" t="s">
        <v>3085</v>
      </c>
      <c r="M679" s="1758"/>
      <c r="N679" s="1927"/>
      <c r="O679" s="1927"/>
      <c r="P679" s="94"/>
      <c r="Q679" s="94"/>
      <c r="R679" s="94"/>
      <c r="S679" s="94"/>
      <c r="T679" s="94"/>
      <c r="U679" s="94"/>
      <c r="V679" s="94"/>
      <c r="W679" s="94"/>
      <c r="X679" s="1756"/>
      <c r="Y679" s="2081"/>
      <c r="Z679" s="2083"/>
      <c r="AA679" s="1526"/>
      <c r="AC679" s="970"/>
      <c r="AD679" s="970"/>
      <c r="AE679" s="970"/>
      <c r="AF679" s="249"/>
      <c r="AG679" s="249"/>
      <c r="AH679" s="249"/>
      <c r="AI679" s="249"/>
      <c r="AJ679" s="249"/>
      <c r="AK679" s="249"/>
      <c r="AL679" s="1336"/>
      <c r="AM679" s="1336"/>
      <c r="AN679" s="1336"/>
      <c r="AO679" s="1336"/>
      <c r="AP679" s="1336"/>
      <c r="AQ679" s="1336"/>
      <c r="AR679" s="1336"/>
      <c r="AS679" s="1336"/>
    </row>
    <row r="680" spans="1:45" ht="18.75" x14ac:dyDescent="0.3">
      <c r="A680" s="2371">
        <v>6</v>
      </c>
      <c r="B680" s="2383">
        <v>607</v>
      </c>
      <c r="C680" s="2374"/>
      <c r="D680" s="2374"/>
      <c r="E680" s="2374"/>
      <c r="F680" s="2374"/>
      <c r="G680" s="2373" t="s">
        <v>3974</v>
      </c>
      <c r="H680" s="2371" t="s">
        <v>3971</v>
      </c>
      <c r="I680" s="14" t="s">
        <v>689</v>
      </c>
      <c r="J680" s="23"/>
      <c r="K680" s="82"/>
      <c r="L680" s="229"/>
      <c r="M680" s="390"/>
      <c r="N680" s="1043"/>
      <c r="O680" s="1043"/>
      <c r="P680" s="23"/>
      <c r="Q680" s="23"/>
      <c r="R680" s="23"/>
      <c r="S680" s="23"/>
      <c r="T680" s="23"/>
      <c r="U680" s="23"/>
      <c r="V680" s="23"/>
      <c r="W680" s="23"/>
      <c r="X680" s="23"/>
      <c r="Y680" s="23"/>
      <c r="Z680" s="1586"/>
      <c r="AA680" s="1526"/>
      <c r="AC680" s="970"/>
      <c r="AD680" s="970"/>
      <c r="AE680" s="970"/>
      <c r="AF680" s="249"/>
      <c r="AG680" s="249"/>
      <c r="AH680" s="249"/>
      <c r="AI680" s="249"/>
      <c r="AJ680" s="249"/>
      <c r="AK680" s="249"/>
      <c r="AL680" s="1336"/>
      <c r="AM680" s="1336"/>
      <c r="AN680" s="1336"/>
      <c r="AO680" s="1336"/>
      <c r="AP680" s="1336"/>
      <c r="AQ680" s="1336"/>
      <c r="AR680" s="1336"/>
      <c r="AS680" s="1336"/>
    </row>
    <row r="681" spans="1:45" x14ac:dyDescent="0.25">
      <c r="A681" s="2371">
        <v>6</v>
      </c>
      <c r="B681" s="2383">
        <v>607.1</v>
      </c>
      <c r="C681" s="2374"/>
      <c r="D681" s="2374"/>
      <c r="E681" s="2374"/>
      <c r="F681" s="2374"/>
      <c r="G681" s="2363" t="str">
        <f>IF(COUNTIF(G683:G688,"P")&gt;0,"P","")</f>
        <v/>
      </c>
      <c r="H681" s="2371" t="s">
        <v>3973</v>
      </c>
      <c r="I681" s="64">
        <v>607.1</v>
      </c>
      <c r="J681" s="4"/>
      <c r="K681" s="83"/>
      <c r="L681" s="1796" t="s">
        <v>690</v>
      </c>
      <c r="M681" s="1014"/>
      <c r="N681" s="1042"/>
      <c r="O681" s="1042"/>
      <c r="P681" s="249"/>
      <c r="Q681" s="249"/>
      <c r="R681" s="249"/>
      <c r="S681" s="249"/>
      <c r="T681" s="249"/>
      <c r="U681" s="249"/>
      <c r="V681" s="249"/>
      <c r="W681" s="249"/>
      <c r="X681" s="911"/>
      <c r="AA681" s="1526"/>
      <c r="AC681" s="970"/>
      <c r="AD681" s="970"/>
      <c r="AE681" s="970"/>
      <c r="AF681" s="249"/>
      <c r="AG681" s="249"/>
      <c r="AH681" s="249"/>
      <c r="AI681" s="249"/>
      <c r="AJ681" s="249"/>
      <c r="AK681" s="249"/>
      <c r="AL681" s="1336"/>
      <c r="AM681" s="1336"/>
      <c r="AN681" s="1336"/>
      <c r="AO681" s="1336"/>
      <c r="AP681" s="1336"/>
      <c r="AQ681" s="1336"/>
      <c r="AR681" s="1336"/>
      <c r="AS681" s="1336"/>
    </row>
    <row r="682" spans="1:45" x14ac:dyDescent="0.25">
      <c r="A682" s="2371">
        <v>6</v>
      </c>
      <c r="B682" s="2383">
        <v>607.1</v>
      </c>
      <c r="C682" s="2374"/>
      <c r="D682" s="2374"/>
      <c r="E682" s="2374"/>
      <c r="F682" s="2374"/>
      <c r="G682" s="2373" t="str">
        <f>G681</f>
        <v/>
      </c>
      <c r="H682" s="2371" t="s">
        <v>3973</v>
      </c>
      <c r="I682" s="64"/>
      <c r="J682" s="4"/>
      <c r="K682" s="83"/>
      <c r="L682" s="1796"/>
      <c r="M682" s="1014"/>
      <c r="N682" s="1042"/>
      <c r="O682" s="1042"/>
      <c r="P682" s="249"/>
      <c r="Q682" s="249"/>
      <c r="R682" s="249"/>
      <c r="S682" s="249"/>
      <c r="T682" s="249"/>
      <c r="U682" s="249"/>
      <c r="V682" s="249"/>
      <c r="W682" s="249"/>
      <c r="X682" s="911"/>
      <c r="AA682" s="1526"/>
      <c r="AC682" s="970"/>
      <c r="AD682" s="970"/>
      <c r="AE682" s="970"/>
      <c r="AF682" s="249"/>
      <c r="AG682" s="249"/>
      <c r="AH682" s="249"/>
      <c r="AI682" s="249"/>
      <c r="AJ682" s="249"/>
      <c r="AK682" s="249"/>
      <c r="AL682" s="1336"/>
      <c r="AM682" s="1336"/>
      <c r="AN682" s="1336"/>
      <c r="AO682" s="1336"/>
      <c r="AP682" s="1336"/>
      <c r="AQ682" s="1336"/>
      <c r="AR682" s="1336"/>
      <c r="AS682" s="1336"/>
    </row>
    <row r="683" spans="1:45" ht="15" customHeight="1" x14ac:dyDescent="0.25">
      <c r="A683" s="2371">
        <v>6</v>
      </c>
      <c r="B683" s="2383">
        <v>607.1</v>
      </c>
      <c r="C683" s="2374" t="s">
        <v>256</v>
      </c>
      <c r="D683" s="2374"/>
      <c r="E683" s="2374"/>
      <c r="F683" s="2374"/>
      <c r="G683" s="2373" t="str">
        <f>IF(N683&gt;0,"P","")</f>
        <v/>
      </c>
      <c r="H683" s="2371" t="s">
        <v>3973</v>
      </c>
      <c r="I683" s="64"/>
      <c r="J683" s="183" t="s">
        <v>256</v>
      </c>
      <c r="K683" s="95"/>
      <c r="L683" s="1779" t="s">
        <v>4183</v>
      </c>
      <c r="M683" s="1758">
        <v>2</v>
      </c>
      <c r="N683" s="1927">
        <f>'Ch6'!O365</f>
        <v>0</v>
      </c>
      <c r="O683" s="1927">
        <f>M683*S683*W683</f>
        <v>0</v>
      </c>
      <c r="P683" s="249" t="b">
        <v>0</v>
      </c>
      <c r="Q683" s="249" t="b">
        <v>1</v>
      </c>
      <c r="R683" s="249" t="b">
        <v>0</v>
      </c>
      <c r="S683" s="249" t="b">
        <v>1</v>
      </c>
      <c r="T683" s="249" t="b">
        <v>0</v>
      </c>
      <c r="U683" s="249"/>
      <c r="V683" s="249"/>
      <c r="W683" s="25"/>
      <c r="X683" s="1757"/>
      <c r="Y683" s="2081" t="str">
        <f>IF(LEN('Ch6'!X365)=0,"None",'Ch6'!X365)</f>
        <v>None</v>
      </c>
      <c r="Z683" s="2083"/>
      <c r="AA683" s="1526"/>
      <c r="AC683" s="970"/>
      <c r="AD683" s="970"/>
      <c r="AE683" s="970"/>
      <c r="AF683" s="249"/>
      <c r="AG683" s="249"/>
      <c r="AH683" s="249"/>
      <c r="AI683" s="249"/>
      <c r="AJ683" s="249"/>
      <c r="AK683" s="249"/>
      <c r="AL683" s="254" t="str">
        <f>SUBSTITUTE(SUBSTITUTE(SUBSTITUTE("vpa"&amp;$B683&amp;$C683&amp;$D683&amp;$E683,".","_"),"(","_"),")","")</f>
        <v>vpa607_1_1</v>
      </c>
      <c r="AM683" s="254">
        <f>M683</f>
        <v>2</v>
      </c>
      <c r="AN683" s="254" t="str">
        <f>SUBSTITUTE(SUBSTITUTE(SUBSTITUTE("vpc"&amp;$B683&amp;$C683&amp;$D683&amp;$E683,".","_"),"(","_"),")","")</f>
        <v>vpc607_1_1</v>
      </c>
      <c r="AO683" s="254">
        <f>O683</f>
        <v>0</v>
      </c>
      <c r="AP683" s="1336" t="str">
        <f>SUBSTITUTE(SUBSTITUTE(SUBSTITUTE("vch"&amp;$B683&amp;$C683&amp;$D683&amp;$E683,".","_"),"(","_"),")","")</f>
        <v>vch607_1_1</v>
      </c>
      <c r="AQ683" s="254" t="str">
        <f>IF(LEN(W683)=0,"",W683)</f>
        <v/>
      </c>
      <c r="AR683" s="1336" t="str">
        <f>SUBSTITUTE(SUBSTITUTE(SUBSTITUTE("vnt"&amp;$B683&amp;$C683&amp;$D683&amp;$E683,".","_"),"(","_"),")","")</f>
        <v>vnt607_1_1</v>
      </c>
      <c r="AS683" s="254" t="str">
        <f>IF(LEN(X683)=0,"",X683)</f>
        <v/>
      </c>
    </row>
    <row r="684" spans="1:45" s="868" customFormat="1" x14ac:dyDescent="0.25">
      <c r="A684" s="2371">
        <v>6</v>
      </c>
      <c r="B684" s="2383">
        <v>607.1</v>
      </c>
      <c r="C684" s="2374" t="s">
        <v>256</v>
      </c>
      <c r="D684" s="2374"/>
      <c r="E684" s="2374"/>
      <c r="F684" s="2374"/>
      <c r="G684" s="2373" t="str">
        <f>G683</f>
        <v/>
      </c>
      <c r="H684" s="2371" t="s">
        <v>3973</v>
      </c>
      <c r="I684" s="64"/>
      <c r="J684" s="183"/>
      <c r="K684" s="890"/>
      <c r="L684" s="1779"/>
      <c r="M684" s="1758"/>
      <c r="N684" s="1927"/>
      <c r="O684" s="1927"/>
      <c r="W684"/>
      <c r="X684" s="1757"/>
      <c r="Y684" s="2081"/>
      <c r="Z684" s="2083"/>
      <c r="AA684" s="1526"/>
      <c r="AC684" s="970"/>
      <c r="AD684" s="970"/>
      <c r="AE684" s="970"/>
      <c r="AL684" s="254"/>
      <c r="AM684" s="254"/>
      <c r="AN684" s="254"/>
      <c r="AO684" s="254"/>
      <c r="AP684" s="254"/>
      <c r="AQ684" s="254"/>
      <c r="AR684" s="1336"/>
      <c r="AS684" s="254"/>
    </row>
    <row r="685" spans="1:45" s="868" customFormat="1" x14ac:dyDescent="0.25">
      <c r="A685" s="2371">
        <v>6</v>
      </c>
      <c r="B685" s="2383">
        <v>607.1</v>
      </c>
      <c r="C685" s="2374" t="s">
        <v>256</v>
      </c>
      <c r="D685" s="2374"/>
      <c r="E685" s="2374"/>
      <c r="F685" s="2374"/>
      <c r="G685" s="2373" t="str">
        <f>G684</f>
        <v/>
      </c>
      <c r="H685" s="2371" t="s">
        <v>3973</v>
      </c>
      <c r="I685" s="64"/>
      <c r="J685" s="183"/>
      <c r="K685" s="890"/>
      <c r="L685" s="1779"/>
      <c r="M685" s="1758"/>
      <c r="N685" s="1927"/>
      <c r="O685" s="1927"/>
      <c r="W685"/>
      <c r="X685" s="1757"/>
      <c r="Y685" s="2081"/>
      <c r="Z685" s="2083"/>
      <c r="AA685" s="1526"/>
      <c r="AC685" s="970"/>
      <c r="AD685" s="970"/>
      <c r="AE685" s="970"/>
      <c r="AL685" s="254"/>
      <c r="AM685" s="254"/>
      <c r="AN685" s="254"/>
      <c r="AO685" s="254"/>
      <c r="AP685" s="254"/>
      <c r="AQ685" s="254"/>
      <c r="AR685" s="1336"/>
      <c r="AS685" s="254"/>
    </row>
    <row r="686" spans="1:45" s="868" customFormat="1" x14ac:dyDescent="0.25">
      <c r="A686" s="2371">
        <v>6</v>
      </c>
      <c r="B686" s="2383">
        <v>607.1</v>
      </c>
      <c r="C686" s="2374" t="s">
        <v>256</v>
      </c>
      <c r="D686" s="2374"/>
      <c r="E686" s="2374"/>
      <c r="F686" s="2374"/>
      <c r="G686" s="2373" t="str">
        <f>G685</f>
        <v/>
      </c>
      <c r="H686" s="2371" t="s">
        <v>3973</v>
      </c>
      <c r="I686" s="64"/>
      <c r="J686" s="183"/>
      <c r="K686" s="890"/>
      <c r="L686" s="1779"/>
      <c r="M686" s="1758"/>
      <c r="N686" s="1927"/>
      <c r="O686" s="1927"/>
      <c r="W686"/>
      <c r="X686" s="1757"/>
      <c r="Y686" s="2081"/>
      <c r="Z686" s="2083"/>
      <c r="AA686" s="1526"/>
      <c r="AC686" s="970"/>
      <c r="AD686" s="970"/>
      <c r="AE686" s="970"/>
      <c r="AL686" s="254"/>
      <c r="AM686" s="254"/>
      <c r="AN686" s="254"/>
      <c r="AO686" s="254"/>
      <c r="AP686" s="254"/>
      <c r="AQ686" s="254"/>
      <c r="AR686" s="1336"/>
      <c r="AS686" s="254"/>
    </row>
    <row r="687" spans="1:45" x14ac:dyDescent="0.25">
      <c r="A687" s="2371">
        <v>6</v>
      </c>
      <c r="B687" s="2383">
        <v>607.1</v>
      </c>
      <c r="C687" s="2374" t="s">
        <v>256</v>
      </c>
      <c r="D687" s="2374"/>
      <c r="E687" s="2374"/>
      <c r="F687" s="2374"/>
      <c r="G687" s="2373" t="str">
        <f>G683</f>
        <v/>
      </c>
      <c r="H687" s="2371" t="s">
        <v>3973</v>
      </c>
      <c r="I687" s="64"/>
      <c r="J687" s="206"/>
      <c r="K687" s="175"/>
      <c r="L687" s="1755"/>
      <c r="M687" s="1759"/>
      <c r="N687" s="2076"/>
      <c r="O687" s="2076"/>
      <c r="P687" s="249"/>
      <c r="Q687" s="249"/>
      <c r="R687" s="249"/>
      <c r="S687" s="249"/>
      <c r="T687" s="249"/>
      <c r="U687" s="249"/>
      <c r="V687" s="249"/>
      <c r="W687" s="249"/>
      <c r="X687" s="1757"/>
      <c r="Y687" s="2081"/>
      <c r="Z687" s="2083"/>
      <c r="AA687" s="1526"/>
      <c r="AC687" s="970"/>
      <c r="AD687" s="970"/>
      <c r="AE687" s="970"/>
      <c r="AF687" s="249"/>
      <c r="AG687" s="249"/>
      <c r="AH687" s="249"/>
      <c r="AI687" s="249"/>
      <c r="AJ687" s="249"/>
      <c r="AK687" s="249"/>
      <c r="AL687" s="1336"/>
      <c r="AM687" s="1336"/>
      <c r="AN687" s="1336"/>
      <c r="AO687" s="1336"/>
      <c r="AP687" s="1336"/>
      <c r="AQ687" s="1336"/>
      <c r="AR687" s="1336"/>
      <c r="AS687" s="1336"/>
    </row>
    <row r="688" spans="1:45" x14ac:dyDescent="0.25">
      <c r="A688" s="2371">
        <v>6</v>
      </c>
      <c r="B688" s="2383">
        <v>607.1</v>
      </c>
      <c r="C688" s="2374" t="s">
        <v>258</v>
      </c>
      <c r="D688" s="2374"/>
      <c r="E688" s="2374"/>
      <c r="F688" s="2374"/>
      <c r="G688" s="2373" t="str">
        <f>IF(N688&gt;0,"P","")</f>
        <v/>
      </c>
      <c r="H688" s="2371" t="s">
        <v>3973</v>
      </c>
      <c r="I688" s="64"/>
      <c r="J688" s="27" t="s">
        <v>258</v>
      </c>
      <c r="K688" s="83"/>
      <c r="L688" s="1760" t="s">
        <v>4184</v>
      </c>
      <c r="M688" s="1762">
        <v>4</v>
      </c>
      <c r="N688" s="2079">
        <f>'Ch6'!O370</f>
        <v>0</v>
      </c>
      <c r="O688" s="2079">
        <f>M688*S688*W688</f>
        <v>0</v>
      </c>
      <c r="P688" s="249" t="b">
        <v>0</v>
      </c>
      <c r="Q688" s="249" t="b">
        <v>1</v>
      </c>
      <c r="R688" s="249" t="b">
        <v>0</v>
      </c>
      <c r="S688" s="249" t="b">
        <v>1</v>
      </c>
      <c r="T688" s="249" t="b">
        <v>0</v>
      </c>
      <c r="U688" s="249"/>
      <c r="V688" s="249"/>
      <c r="W688" s="360"/>
      <c r="X688" s="1757"/>
      <c r="Y688" s="2099" t="str">
        <f>IF(LEN('Ch6'!X370)=0,"None",'Ch6'!X370)</f>
        <v>None</v>
      </c>
      <c r="Z688" s="2087"/>
      <c r="AA688" s="1526"/>
      <c r="AC688" s="970"/>
      <c r="AD688" s="970"/>
      <c r="AE688" s="970"/>
      <c r="AF688" s="249"/>
      <c r="AG688" s="249"/>
      <c r="AH688" s="249"/>
      <c r="AI688" s="249"/>
      <c r="AJ688" s="249"/>
      <c r="AK688" s="249"/>
      <c r="AL688" s="254" t="str">
        <f>SUBSTITUTE(SUBSTITUTE(SUBSTITUTE("vpa"&amp;$B688&amp;$C688&amp;$D688&amp;$E688,".","_"),"(","_"),")","")</f>
        <v>vpa607_1_2</v>
      </c>
      <c r="AM688" s="254">
        <f>M688</f>
        <v>4</v>
      </c>
      <c r="AN688" s="254" t="str">
        <f>SUBSTITUTE(SUBSTITUTE(SUBSTITUTE("vpc"&amp;$B688&amp;$C688&amp;$D688&amp;$E688,".","_"),"(","_"),")","")</f>
        <v>vpc607_1_2</v>
      </c>
      <c r="AO688" s="254">
        <f>O688</f>
        <v>0</v>
      </c>
      <c r="AP688" s="1336" t="str">
        <f>SUBSTITUTE(SUBSTITUTE(SUBSTITUTE("vch"&amp;$B688&amp;$C688&amp;$D688&amp;$E688,".","_"),"(","_"),")","")</f>
        <v>vch607_1_2</v>
      </c>
      <c r="AQ688" s="254" t="str">
        <f>IF(LEN(W688)=0,"",W688)</f>
        <v/>
      </c>
      <c r="AR688" s="1336" t="str">
        <f>SUBSTITUTE(SUBSTITUTE(SUBSTITUTE("vnt"&amp;$B688&amp;$C688&amp;$D688&amp;$E688,".","_"),"(","_"),")","")</f>
        <v>vnt607_1_2</v>
      </c>
      <c r="AS688" s="254" t="str">
        <f>IF(LEN(X688)=0,"",X688)</f>
        <v/>
      </c>
    </row>
    <row r="689" spans="1:46" x14ac:dyDescent="0.25">
      <c r="A689" s="2371">
        <v>6</v>
      </c>
      <c r="B689" s="2383">
        <v>607.1</v>
      </c>
      <c r="C689" s="2374" t="s">
        <v>258</v>
      </c>
      <c r="D689" s="2374"/>
      <c r="E689" s="2374"/>
      <c r="F689" s="2374"/>
      <c r="G689" s="2373" t="str">
        <f>G688</f>
        <v/>
      </c>
      <c r="H689" s="2371" t="s">
        <v>3973</v>
      </c>
      <c r="I689"/>
      <c r="J689"/>
      <c r="K689"/>
      <c r="L689" s="1841"/>
      <c r="M689" s="1767"/>
      <c r="N689" s="2075"/>
      <c r="O689" s="2075"/>
      <c r="P689"/>
      <c r="Q689"/>
      <c r="R689"/>
      <c r="S689"/>
      <c r="T689"/>
      <c r="U689"/>
      <c r="V689"/>
      <c r="W689"/>
      <c r="X689" s="1757"/>
      <c r="Y689" s="2100"/>
      <c r="Z689" s="2091"/>
      <c r="AA689" s="1526"/>
      <c r="AC689" s="970"/>
      <c r="AD689" s="970"/>
      <c r="AE689" s="970"/>
      <c r="AF689"/>
      <c r="AG689"/>
      <c r="AH689"/>
      <c r="AI689"/>
      <c r="AJ689"/>
      <c r="AK689"/>
      <c r="AL689" s="254"/>
      <c r="AM689" s="254"/>
      <c r="AN689" s="254"/>
      <c r="AO689" s="254"/>
      <c r="AP689" s="254"/>
      <c r="AQ689" s="254"/>
      <c r="AR689" s="1336"/>
      <c r="AS689" s="254"/>
      <c r="AT689"/>
    </row>
    <row r="690" spans="1:46" x14ac:dyDescent="0.25">
      <c r="A690" s="2371">
        <v>6</v>
      </c>
      <c r="B690" s="2383">
        <v>607.1</v>
      </c>
      <c r="C690" s="2374" t="s">
        <v>258</v>
      </c>
      <c r="D690" s="2374"/>
      <c r="E690" s="2374"/>
      <c r="F690" s="2374"/>
      <c r="G690" s="2373" t="str">
        <f>G689</f>
        <v/>
      </c>
      <c r="H690" s="2371" t="s">
        <v>3973</v>
      </c>
      <c r="I690"/>
      <c r="J690"/>
      <c r="K690"/>
      <c r="L690" s="1841"/>
      <c r="M690" s="1767"/>
      <c r="N690" s="2075"/>
      <c r="O690" s="2075"/>
      <c r="P690"/>
      <c r="Q690"/>
      <c r="R690"/>
      <c r="S690"/>
      <c r="T690"/>
      <c r="U690"/>
      <c r="V690"/>
      <c r="W690"/>
      <c r="X690" s="1757"/>
      <c r="Y690" s="2100"/>
      <c r="Z690" s="2091"/>
      <c r="AA690" s="1526"/>
      <c r="AC690" s="970"/>
      <c r="AD690" s="970"/>
      <c r="AE690" s="970"/>
      <c r="AF690"/>
      <c r="AG690"/>
      <c r="AH690"/>
      <c r="AI690"/>
      <c r="AJ690"/>
      <c r="AK690"/>
      <c r="AL690" s="254"/>
      <c r="AM690" s="254"/>
      <c r="AN690" s="254"/>
      <c r="AO690" s="254"/>
      <c r="AP690" s="254"/>
      <c r="AQ690" s="254"/>
      <c r="AR690" s="1336"/>
      <c r="AS690" s="254"/>
      <c r="AT690"/>
    </row>
    <row r="691" spans="1:46" x14ac:dyDescent="0.25">
      <c r="A691" s="2371">
        <v>6</v>
      </c>
      <c r="B691" s="2383">
        <v>607.1</v>
      </c>
      <c r="C691" s="2374" t="s">
        <v>258</v>
      </c>
      <c r="D691" s="2374"/>
      <c r="E691" s="2374"/>
      <c r="F691" s="2374"/>
      <c r="G691" s="2373" t="str">
        <f>G690</f>
        <v/>
      </c>
      <c r="H691" s="2371" t="s">
        <v>3973</v>
      </c>
      <c r="I691"/>
      <c r="J691"/>
      <c r="K691"/>
      <c r="L691" s="1841"/>
      <c r="M691" s="1767"/>
      <c r="N691" s="2075"/>
      <c r="O691" s="2075"/>
      <c r="P691"/>
      <c r="Q691"/>
      <c r="R691"/>
      <c r="S691"/>
      <c r="T691"/>
      <c r="U691"/>
      <c r="V691"/>
      <c r="W691"/>
      <c r="X691" s="1757"/>
      <c r="Y691" s="2100"/>
      <c r="Z691" s="2091"/>
      <c r="AA691" s="1526"/>
      <c r="AC691" s="970"/>
      <c r="AD691" s="970"/>
      <c r="AE691" s="970"/>
      <c r="AF691"/>
      <c r="AG691"/>
      <c r="AH691"/>
      <c r="AI691"/>
      <c r="AJ691"/>
      <c r="AK691"/>
      <c r="AL691" s="254"/>
      <c r="AM691" s="254"/>
      <c r="AN691" s="254"/>
      <c r="AO691" s="254"/>
      <c r="AP691" s="254"/>
      <c r="AQ691" s="254"/>
      <c r="AR691" s="1336"/>
      <c r="AS691" s="254"/>
      <c r="AT691"/>
    </row>
    <row r="692" spans="1:46" x14ac:dyDescent="0.25">
      <c r="A692" s="2371">
        <v>6</v>
      </c>
      <c r="B692" s="2383">
        <v>607.1</v>
      </c>
      <c r="C692" s="2374" t="s">
        <v>258</v>
      </c>
      <c r="D692" s="2374"/>
      <c r="E692" s="2374"/>
      <c r="F692" s="2374"/>
      <c r="G692" s="2373" t="str">
        <f>G691</f>
        <v/>
      </c>
      <c r="H692" s="2371" t="s">
        <v>3973</v>
      </c>
      <c r="I692"/>
      <c r="J692"/>
      <c r="K692"/>
      <c r="L692" s="1841"/>
      <c r="M692" s="1767"/>
      <c r="N692" s="2075"/>
      <c r="O692" s="2075"/>
      <c r="P692"/>
      <c r="Q692"/>
      <c r="R692"/>
      <c r="S692"/>
      <c r="T692"/>
      <c r="U692"/>
      <c r="V692"/>
      <c r="W692"/>
      <c r="X692" s="1757"/>
      <c r="Y692" s="2100"/>
      <c r="Z692" s="2091"/>
      <c r="AA692" s="1526"/>
      <c r="AC692" s="970"/>
      <c r="AD692" s="970"/>
      <c r="AE692" s="970"/>
      <c r="AF692"/>
      <c r="AG692"/>
      <c r="AH692"/>
      <c r="AI692"/>
      <c r="AJ692"/>
      <c r="AK692"/>
      <c r="AL692" s="254"/>
      <c r="AM692" s="254"/>
      <c r="AN692" s="254"/>
      <c r="AO692" s="254"/>
      <c r="AP692" s="254"/>
      <c r="AQ692" s="254"/>
      <c r="AR692" s="1336"/>
      <c r="AS692" s="254"/>
      <c r="AT692"/>
    </row>
    <row r="693" spans="1:46" ht="15.75" thickBot="1" x14ac:dyDescent="0.3">
      <c r="A693" s="2371">
        <v>6</v>
      </c>
      <c r="B693" s="2383">
        <v>607.1</v>
      </c>
      <c r="C693" s="2374" t="s">
        <v>258</v>
      </c>
      <c r="D693" s="2374"/>
      <c r="E693" s="2374"/>
      <c r="F693" s="2374"/>
      <c r="G693" s="2373" t="str">
        <f>G692</f>
        <v/>
      </c>
      <c r="H693" s="2371" t="s">
        <v>3973</v>
      </c>
      <c r="I693"/>
      <c r="J693"/>
      <c r="K693"/>
      <c r="L693" s="1842"/>
      <c r="M693" s="1768"/>
      <c r="N693" s="1928"/>
      <c r="O693" s="1928"/>
      <c r="P693"/>
      <c r="Q693"/>
      <c r="R693"/>
      <c r="S693"/>
      <c r="T693"/>
      <c r="U693"/>
      <c r="V693"/>
      <c r="W693" s="99"/>
      <c r="X693" s="1757"/>
      <c r="Y693" s="2102"/>
      <c r="Z693" s="2090"/>
      <c r="AA693" s="1526"/>
      <c r="AC693" s="970"/>
      <c r="AD693" s="970"/>
      <c r="AE693" s="970"/>
      <c r="AF693"/>
      <c r="AG693"/>
      <c r="AH693"/>
      <c r="AI693"/>
      <c r="AJ693"/>
      <c r="AK693"/>
      <c r="AL693" s="254"/>
      <c r="AM693" s="254"/>
      <c r="AN693" s="254"/>
      <c r="AO693" s="254"/>
      <c r="AP693" s="254"/>
      <c r="AQ693" s="254"/>
      <c r="AR693" s="1336"/>
      <c r="AS693" s="254"/>
      <c r="AT693"/>
    </row>
    <row r="694" spans="1:46" ht="15.75" thickTop="1" x14ac:dyDescent="0.25">
      <c r="A694" s="2371">
        <v>6</v>
      </c>
      <c r="B694" s="2383">
        <v>607.20000000000005</v>
      </c>
      <c r="C694" s="2374"/>
      <c r="D694" s="2374"/>
      <c r="E694" s="2374"/>
      <c r="F694" s="2374"/>
      <c r="G694" s="2373" t="str">
        <f>IF(N694&gt;0,"P","")</f>
        <v/>
      </c>
      <c r="H694" s="2371" t="s">
        <v>3973</v>
      </c>
      <c r="I694" s="180">
        <v>607.20000000000005</v>
      </c>
      <c r="J694" s="181"/>
      <c r="K694" s="182"/>
      <c r="L694" s="1781" t="s">
        <v>691</v>
      </c>
      <c r="M694" s="1772">
        <v>1</v>
      </c>
      <c r="N694" s="2080">
        <f>'Ch6'!O376</f>
        <v>0</v>
      </c>
      <c r="O694" s="2080">
        <f>M694*S694*W694</f>
        <v>0</v>
      </c>
      <c r="P694" s="249" t="b">
        <v>0</v>
      </c>
      <c r="Q694" s="249" t="b">
        <v>1</v>
      </c>
      <c r="R694" s="105" t="b">
        <v>0</v>
      </c>
      <c r="S694" s="105" t="b">
        <v>1</v>
      </c>
      <c r="T694" s="105" t="b">
        <v>0</v>
      </c>
      <c r="U694" s="105"/>
      <c r="V694" s="105"/>
      <c r="W694" s="117"/>
      <c r="X694" s="1784"/>
      <c r="Y694" s="2097" t="str">
        <f>IF(LEN('Ch6'!X376)=0,"None",'Ch6'!X376)</f>
        <v>None</v>
      </c>
      <c r="Z694" s="2085"/>
      <c r="AA694" s="1526"/>
      <c r="AC694" s="970"/>
      <c r="AD694" s="970"/>
      <c r="AE694" s="970"/>
      <c r="AF694" s="249"/>
      <c r="AG694" s="249"/>
      <c r="AH694" s="249"/>
      <c r="AI694" s="249"/>
      <c r="AJ694" s="249"/>
      <c r="AK694" s="249"/>
      <c r="AL694" s="254" t="str">
        <f>SUBSTITUTE(SUBSTITUTE(SUBSTITUTE("vpa"&amp;$B694&amp;$C694&amp;$D694&amp;$E694,".","_"),"(","_"),")","")</f>
        <v>vpa607_2</v>
      </c>
      <c r="AM694" s="254">
        <f>M694</f>
        <v>1</v>
      </c>
      <c r="AN694" s="254" t="str">
        <f>SUBSTITUTE(SUBSTITUTE(SUBSTITUTE("vpc"&amp;$B694&amp;$C694&amp;$D694&amp;$E694,".","_"),"(","_"),")","")</f>
        <v>vpc607_2</v>
      </c>
      <c r="AO694" s="254">
        <f>O694</f>
        <v>0</v>
      </c>
      <c r="AP694" s="1336" t="str">
        <f>SUBSTITUTE(SUBSTITUTE(SUBSTITUTE("vch"&amp;$B694&amp;$C694&amp;$D694&amp;$E694,".","_"),"(","_"),")","")</f>
        <v>vch607_2</v>
      </c>
      <c r="AQ694" s="254" t="str">
        <f>IF(LEN(W694)=0,"",W694)</f>
        <v/>
      </c>
      <c r="AR694" s="1336" t="str">
        <f>SUBSTITUTE(SUBSTITUTE(SUBSTITUTE("vnt"&amp;$B694&amp;$C694&amp;$D694&amp;$E694,".","_"),"(","_"),")","")</f>
        <v>vnt607_2</v>
      </c>
      <c r="AS694" s="254" t="str">
        <f>IF(LEN(X694)=0,"",X694)</f>
        <v/>
      </c>
    </row>
    <row r="695" spans="1:46" x14ac:dyDescent="0.25">
      <c r="A695" s="2371">
        <v>6</v>
      </c>
      <c r="B695" s="2383">
        <v>607.20000000000005</v>
      </c>
      <c r="C695" s="2374"/>
      <c r="D695" s="2374"/>
      <c r="E695" s="2374"/>
      <c r="F695" s="2374"/>
      <c r="G695" s="2373" t="str">
        <f>G694</f>
        <v/>
      </c>
      <c r="H695" s="2371" t="s">
        <v>3973</v>
      </c>
      <c r="I695" s="130"/>
      <c r="J695" s="129"/>
      <c r="K695" s="95"/>
      <c r="L695" s="1782"/>
      <c r="M695" s="1758"/>
      <c r="N695" s="1927"/>
      <c r="O695" s="1927"/>
      <c r="P695" s="94"/>
      <c r="Q695" s="94"/>
      <c r="R695" s="94"/>
      <c r="S695" s="94"/>
      <c r="T695" s="94"/>
      <c r="U695" s="94"/>
      <c r="V695" s="94"/>
      <c r="W695" s="94"/>
      <c r="X695" s="1757"/>
      <c r="Y695" s="2081"/>
      <c r="Z695" s="2083"/>
      <c r="AA695" s="1526"/>
      <c r="AC695" s="970"/>
      <c r="AD695" s="970"/>
      <c r="AE695" s="970"/>
      <c r="AF695" s="249"/>
      <c r="AG695" s="249"/>
      <c r="AH695" s="249"/>
      <c r="AI695" s="249"/>
      <c r="AJ695" s="249"/>
      <c r="AK695" s="249"/>
      <c r="AL695" s="1336"/>
      <c r="AM695" s="1336"/>
      <c r="AN695" s="1336"/>
      <c r="AO695" s="1336"/>
      <c r="AP695" s="1336"/>
      <c r="AQ695" s="1336"/>
      <c r="AR695" s="1336"/>
      <c r="AS695" s="1336"/>
    </row>
    <row r="696" spans="1:46" ht="18.75" x14ac:dyDescent="0.3">
      <c r="A696" s="2371">
        <v>6</v>
      </c>
      <c r="B696" s="2383">
        <v>608</v>
      </c>
      <c r="C696" s="2374"/>
      <c r="D696" s="2374"/>
      <c r="E696" s="2374"/>
      <c r="F696" s="2374"/>
      <c r="G696" s="2373" t="s">
        <v>3974</v>
      </c>
      <c r="H696" s="2371" t="s">
        <v>3971</v>
      </c>
      <c r="I696" s="14" t="s">
        <v>692</v>
      </c>
      <c r="J696" s="23"/>
      <c r="K696" s="82"/>
      <c r="L696" s="229"/>
      <c r="M696" s="390"/>
      <c r="N696" s="1043"/>
      <c r="O696" s="1043"/>
      <c r="P696" s="23"/>
      <c r="Q696" s="23"/>
      <c r="R696" s="23"/>
      <c r="S696" s="23"/>
      <c r="T696" s="23"/>
      <c r="U696" s="23"/>
      <c r="V696" s="23"/>
      <c r="W696" s="23"/>
      <c r="X696" s="23"/>
      <c r="Y696" s="23"/>
      <c r="Z696" s="1586"/>
      <c r="AA696" s="1526"/>
      <c r="AC696" s="970"/>
      <c r="AD696" s="970"/>
      <c r="AE696" s="970"/>
      <c r="AF696" s="249"/>
      <c r="AG696" s="249"/>
      <c r="AH696" s="249"/>
      <c r="AI696" s="249"/>
      <c r="AJ696" s="249"/>
      <c r="AK696" s="249"/>
      <c r="AL696" s="1336"/>
      <c r="AM696" s="1336"/>
      <c r="AN696" s="1336"/>
      <c r="AO696" s="1336"/>
      <c r="AP696" s="1336"/>
      <c r="AQ696" s="1336"/>
      <c r="AR696" s="1336"/>
      <c r="AS696" s="1336"/>
    </row>
    <row r="697" spans="1:46" ht="15" customHeight="1" x14ac:dyDescent="0.25">
      <c r="A697" s="2371">
        <v>6</v>
      </c>
      <c r="B697" s="2383">
        <v>608.1</v>
      </c>
      <c r="C697" s="2374"/>
      <c r="D697" s="2374"/>
      <c r="E697" s="2374"/>
      <c r="F697" s="2374"/>
      <c r="G697" s="2373" t="str">
        <f ca="1">IF(N697&gt;0,"P","")</f>
        <v/>
      </c>
      <c r="H697" s="2371" t="s">
        <v>3971</v>
      </c>
      <c r="I697" s="64">
        <v>608.1</v>
      </c>
      <c r="J697" s="4"/>
      <c r="K697" s="83"/>
      <c r="L697" s="1796" t="s">
        <v>693</v>
      </c>
      <c r="M697" s="1845" t="s">
        <v>3086</v>
      </c>
      <c r="N697" s="2075">
        <f ca="1">'Ch6'!O379</f>
        <v>0</v>
      </c>
      <c r="O697" s="2075">
        <f ca="1">IFERROR(MATCH(W697,INDIRECT(U697),0),0)*3</f>
        <v>0</v>
      </c>
      <c r="P697" s="249" t="b">
        <v>1</v>
      </c>
      <c r="Q697" s="249" t="b">
        <v>1</v>
      </c>
      <c r="R697" s="249" t="b">
        <v>0</v>
      </c>
      <c r="S697" s="249" t="b">
        <v>1</v>
      </c>
      <c r="T697" s="249" t="b">
        <v>0</v>
      </c>
      <c r="U697" s="94" t="str">
        <f>SUBSTITUTE(SUBSTITUTE(SUBSTITUTE("dd"&amp;B697&amp;C697&amp;D697&amp;E697&amp;F697,".","_"),"(","_"),")","")</f>
        <v>dd608_1</v>
      </c>
      <c r="V697" s="249"/>
      <c r="W697" s="12"/>
      <c r="X697" s="1798"/>
      <c r="Y697" s="2081" t="str">
        <f>IF(LEN('Ch6'!X379)=0,"None",'Ch6'!X379)</f>
        <v>None</v>
      </c>
      <c r="Z697" s="2083"/>
      <c r="AA697" s="1526"/>
      <c r="AC697" s="970" t="b">
        <f>OR(AD697:AE697)</f>
        <v>0</v>
      </c>
      <c r="AD697" s="970" t="b">
        <v>0</v>
      </c>
      <c r="AE697" s="970" t="b">
        <f>AND(NOT(ISBLANK(W697)),LEN(X697)=0)</f>
        <v>0</v>
      </c>
      <c r="AF697" s="784"/>
      <c r="AG697" s="249"/>
      <c r="AH697" s="249"/>
      <c r="AI697" s="249"/>
      <c r="AJ697" s="249"/>
      <c r="AK697" s="249"/>
      <c r="AL697" s="254" t="str">
        <f>SUBSTITUTE(SUBSTITUTE(SUBSTITUTE("vpa"&amp;$B697&amp;$C697&amp;$D697&amp;$E697,".","_"),"(","_"),")","")</f>
        <v>vpa608_1</v>
      </c>
      <c r="AM697" s="254" t="str">
        <f>M697</f>
        <v>9 Max
3 per material</v>
      </c>
      <c r="AN697" s="254" t="str">
        <f>SUBSTITUTE(SUBSTITUTE(SUBSTITUTE("vpc"&amp;$B697&amp;$C697&amp;$D697&amp;$E697,".","_"),"(","_"),")","")</f>
        <v>vpc608_1</v>
      </c>
      <c r="AO697" s="254">
        <f ca="1">O697</f>
        <v>0</v>
      </c>
      <c r="AP697" s="1336" t="str">
        <f>SUBSTITUTE(SUBSTITUTE(SUBSTITUTE("vch"&amp;$B697&amp;$C697&amp;$D697&amp;$E697,".","_"),"(","_"),")","")</f>
        <v>vch608_1</v>
      </c>
      <c r="AQ697" s="254" t="str">
        <f>IF(LEN(W697)=0,"",W697)</f>
        <v/>
      </c>
      <c r="AR697" s="1336" t="str">
        <f>SUBSTITUTE(SUBSTITUTE(SUBSTITUTE("vnt"&amp;$B697&amp;$C697&amp;$D697&amp;$E697,".","_"),"(","_"),")","")</f>
        <v>vnt608_1</v>
      </c>
      <c r="AS697" s="254" t="str">
        <f>IF(LEN(X697)=0,"",X697)</f>
        <v/>
      </c>
    </row>
    <row r="698" spans="1:46" x14ac:dyDescent="0.25">
      <c r="A698" s="2371">
        <v>6</v>
      </c>
      <c r="B698" s="2383">
        <v>608.1</v>
      </c>
      <c r="C698" s="2374"/>
      <c r="D698" s="2374"/>
      <c r="E698" s="2374"/>
      <c r="F698" s="2374"/>
      <c r="G698" s="2373" t="str">
        <f t="shared" ref="G698:G704" ca="1" si="46">G697</f>
        <v/>
      </c>
      <c r="H698" s="2371" t="s">
        <v>3971</v>
      </c>
      <c r="I698" s="64"/>
      <c r="J698" s="4"/>
      <c r="K698" s="83"/>
      <c r="L698" s="1796"/>
      <c r="M698" s="1845"/>
      <c r="N698" s="2075"/>
      <c r="O698" s="2075"/>
      <c r="P698" s="249"/>
      <c r="Q698" s="249"/>
      <c r="R698" s="249"/>
      <c r="S698" s="249"/>
      <c r="T698" s="249"/>
      <c r="U698" s="249"/>
      <c r="V698" s="249"/>
      <c r="W698" s="249"/>
      <c r="X698" s="1799"/>
      <c r="Y698" s="2081"/>
      <c r="Z698" s="2083"/>
      <c r="AA698" s="1526"/>
      <c r="AC698" s="970"/>
      <c r="AD698" s="970"/>
      <c r="AE698" s="970"/>
      <c r="AF698" s="249"/>
      <c r="AG698" s="249"/>
      <c r="AH698" s="249"/>
      <c r="AI698" s="249"/>
      <c r="AJ698" s="249"/>
      <c r="AK698" s="249"/>
      <c r="AL698" s="1336"/>
      <c r="AM698" s="1336"/>
      <c r="AN698" s="1336"/>
      <c r="AO698" s="1336"/>
      <c r="AP698" s="1336"/>
      <c r="AQ698" s="1336"/>
      <c r="AR698" s="1336"/>
      <c r="AS698" s="1336"/>
    </row>
    <row r="699" spans="1:46" x14ac:dyDescent="0.25">
      <c r="A699" s="2371">
        <v>6</v>
      </c>
      <c r="B699" s="2383">
        <v>608.1</v>
      </c>
      <c r="C699" s="2374"/>
      <c r="D699" s="2374"/>
      <c r="E699" s="2374"/>
      <c r="F699" s="2374"/>
      <c r="G699" s="2373" t="str">
        <f t="shared" ca="1" si="46"/>
        <v/>
      </c>
      <c r="H699" s="2371" t="s">
        <v>3971</v>
      </c>
      <c r="I699" s="64"/>
      <c r="J699" s="4"/>
      <c r="K699" s="83"/>
      <c r="L699" s="1796"/>
      <c r="M699" s="1845"/>
      <c r="N699" s="2075"/>
      <c r="O699" s="2075"/>
      <c r="P699" s="249"/>
      <c r="Q699" s="249"/>
      <c r="R699" s="249"/>
      <c r="S699" s="249"/>
      <c r="T699" s="249"/>
      <c r="U699" s="249"/>
      <c r="V699" s="249"/>
      <c r="W699" s="249"/>
      <c r="X699" s="1799"/>
      <c r="Y699" s="2081"/>
      <c r="Z699" s="2083"/>
      <c r="AA699" s="1526"/>
      <c r="AC699" s="970"/>
      <c r="AD699" s="970"/>
      <c r="AE699" s="970"/>
      <c r="AF699" s="249"/>
      <c r="AG699" s="249"/>
      <c r="AH699" s="249"/>
      <c r="AI699" s="249"/>
      <c r="AJ699" s="249"/>
      <c r="AK699" s="249"/>
      <c r="AL699" s="1336"/>
      <c r="AM699" s="1336"/>
      <c r="AN699" s="1336"/>
      <c r="AO699" s="1336"/>
      <c r="AP699" s="1336"/>
      <c r="AQ699" s="1336"/>
      <c r="AR699" s="1336"/>
      <c r="AS699" s="1336"/>
    </row>
    <row r="700" spans="1:46" x14ac:dyDescent="0.25">
      <c r="A700" s="2371">
        <v>6</v>
      </c>
      <c r="B700" s="2383">
        <v>608.1</v>
      </c>
      <c r="C700" s="2374" t="s">
        <v>256</v>
      </c>
      <c r="D700" s="2374"/>
      <c r="E700" s="2374"/>
      <c r="F700" s="2374"/>
      <c r="G700" s="2373" t="str">
        <f t="shared" ca="1" si="46"/>
        <v/>
      </c>
      <c r="H700" s="2371" t="s">
        <v>3971</v>
      </c>
      <c r="I700" s="64"/>
      <c r="J700" s="27" t="s">
        <v>256</v>
      </c>
      <c r="K700" s="83"/>
      <c r="L700" s="1779" t="s">
        <v>694</v>
      </c>
      <c r="M700" s="1845"/>
      <c r="N700" s="2075"/>
      <c r="O700" s="2075"/>
      <c r="P700" s="249"/>
      <c r="Q700" s="249"/>
      <c r="R700" s="249"/>
      <c r="S700" s="249"/>
      <c r="T700" s="249"/>
      <c r="U700" s="249"/>
      <c r="V700" s="249"/>
      <c r="W700" s="249"/>
      <c r="X700" s="1799"/>
      <c r="Y700" s="2081"/>
      <c r="Z700" s="2083"/>
      <c r="AA700" s="1526"/>
      <c r="AC700" s="970"/>
      <c r="AD700" s="970"/>
      <c r="AE700" s="970"/>
      <c r="AF700" s="249"/>
      <c r="AG700" s="249"/>
      <c r="AH700" s="249"/>
      <c r="AI700" s="249"/>
      <c r="AJ700" s="249"/>
      <c r="AK700" s="249"/>
      <c r="AL700" s="1336"/>
      <c r="AM700" s="1336"/>
      <c r="AN700" s="1336"/>
      <c r="AO700" s="1336"/>
      <c r="AP700" s="1336"/>
      <c r="AQ700" s="1336"/>
      <c r="AR700" s="1336"/>
      <c r="AS700" s="1336"/>
    </row>
    <row r="701" spans="1:46" x14ac:dyDescent="0.25">
      <c r="A701" s="2371">
        <v>6</v>
      </c>
      <c r="B701" s="2383">
        <v>608.1</v>
      </c>
      <c r="C701" s="2374" t="s">
        <v>256</v>
      </c>
      <c r="D701" s="2374"/>
      <c r="E701" s="2374"/>
      <c r="F701" s="2374"/>
      <c r="G701" s="2373" t="str">
        <f t="shared" ca="1" si="46"/>
        <v/>
      </c>
      <c r="H701" s="2371" t="s">
        <v>3971</v>
      </c>
      <c r="I701" s="64"/>
      <c r="J701" s="27"/>
      <c r="K701" s="83"/>
      <c r="L701" s="1779"/>
      <c r="M701" s="1845"/>
      <c r="N701" s="2075"/>
      <c r="O701" s="2075"/>
      <c r="P701" s="249"/>
      <c r="Q701" s="249"/>
      <c r="R701" s="249"/>
      <c r="S701" s="249"/>
      <c r="T701" s="249"/>
      <c r="U701" s="249"/>
      <c r="V701" s="249"/>
      <c r="W701" s="249"/>
      <c r="X701" s="1799"/>
      <c r="Y701" s="2081"/>
      <c r="Z701" s="2083"/>
      <c r="AA701" s="1526"/>
      <c r="AC701" s="970"/>
      <c r="AD701" s="970"/>
      <c r="AE701" s="970"/>
      <c r="AF701" s="249"/>
      <c r="AG701" s="249"/>
      <c r="AH701" s="249"/>
      <c r="AI701" s="249"/>
      <c r="AJ701" s="249"/>
      <c r="AK701" s="249"/>
      <c r="AL701" s="1336"/>
      <c r="AM701" s="1336"/>
      <c r="AN701" s="1336"/>
      <c r="AO701" s="1336"/>
      <c r="AP701" s="1336"/>
      <c r="AQ701" s="1336"/>
      <c r="AR701" s="1336"/>
      <c r="AS701" s="1336"/>
    </row>
    <row r="702" spans="1:46" x14ac:dyDescent="0.25">
      <c r="A702" s="2371">
        <v>6</v>
      </c>
      <c r="B702" s="2383">
        <v>608.1</v>
      </c>
      <c r="C702" s="2374" t="s">
        <v>258</v>
      </c>
      <c r="D702" s="2374"/>
      <c r="E702" s="2374"/>
      <c r="F702" s="2374"/>
      <c r="G702" s="2373" t="str">
        <f t="shared" ca="1" si="46"/>
        <v/>
      </c>
      <c r="H702" s="2371" t="s">
        <v>3971</v>
      </c>
      <c r="I702" s="64"/>
      <c r="J702" s="27" t="s">
        <v>258</v>
      </c>
      <c r="K702" s="83"/>
      <c r="L702" s="1170" t="s">
        <v>695</v>
      </c>
      <c r="M702" s="1845"/>
      <c r="N702" s="2075"/>
      <c r="O702" s="2075"/>
      <c r="P702" s="249"/>
      <c r="Q702" s="249"/>
      <c r="R702" s="249"/>
      <c r="S702" s="249"/>
      <c r="T702" s="249"/>
      <c r="U702" s="249"/>
      <c r="V702" s="249"/>
      <c r="W702" s="249"/>
      <c r="X702" s="1799"/>
      <c r="Y702" s="2081"/>
      <c r="Z702" s="2083"/>
      <c r="AA702" s="1526"/>
      <c r="AC702" s="970"/>
      <c r="AD702" s="970"/>
      <c r="AE702" s="970"/>
      <c r="AF702" s="249"/>
      <c r="AG702" s="249"/>
      <c r="AH702" s="249"/>
      <c r="AI702" s="249"/>
      <c r="AJ702" s="249"/>
      <c r="AK702" s="249"/>
      <c r="AL702" s="1336"/>
      <c r="AM702" s="1336"/>
      <c r="AN702" s="1336"/>
      <c r="AO702" s="1336"/>
      <c r="AP702" s="1336"/>
      <c r="AQ702" s="1336"/>
      <c r="AR702" s="1336"/>
      <c r="AS702" s="1336"/>
    </row>
    <row r="703" spans="1:46" x14ac:dyDescent="0.25">
      <c r="A703" s="2371">
        <v>6</v>
      </c>
      <c r="B703" s="2383">
        <v>608.1</v>
      </c>
      <c r="C703" s="2374" t="s">
        <v>260</v>
      </c>
      <c r="D703" s="2374"/>
      <c r="E703" s="2374"/>
      <c r="F703" s="2374"/>
      <c r="G703" s="2373" t="str">
        <f t="shared" ca="1" si="46"/>
        <v/>
      </c>
      <c r="H703" s="2371" t="s">
        <v>3971</v>
      </c>
      <c r="I703" s="64"/>
      <c r="J703" s="27" t="s">
        <v>260</v>
      </c>
      <c r="K703" s="83"/>
      <c r="L703" s="1170" t="s">
        <v>696</v>
      </c>
      <c r="M703" s="1845"/>
      <c r="N703" s="2075"/>
      <c r="O703" s="2075"/>
      <c r="P703" s="249"/>
      <c r="Q703" s="249"/>
      <c r="R703" s="249"/>
      <c r="S703" s="249"/>
      <c r="T703" s="249"/>
      <c r="U703" s="249"/>
      <c r="V703" s="249"/>
      <c r="W703" s="249"/>
      <c r="X703" s="1799"/>
      <c r="Y703" s="2081"/>
      <c r="Z703" s="2083"/>
      <c r="AA703" s="1526"/>
      <c r="AC703" s="970"/>
      <c r="AD703" s="970"/>
      <c r="AE703" s="970"/>
      <c r="AF703" s="249"/>
      <c r="AG703" s="249"/>
      <c r="AH703" s="249"/>
      <c r="AI703" s="249"/>
      <c r="AJ703" s="249"/>
      <c r="AK703" s="249"/>
      <c r="AL703" s="1336"/>
      <c r="AM703" s="1336"/>
      <c r="AN703" s="1336"/>
      <c r="AO703" s="1336"/>
      <c r="AP703" s="1336"/>
      <c r="AQ703" s="1336"/>
      <c r="AR703" s="1336"/>
      <c r="AS703" s="1336"/>
    </row>
    <row r="704" spans="1:46" ht="15" customHeight="1" x14ac:dyDescent="0.25">
      <c r="A704" s="2371">
        <v>6</v>
      </c>
      <c r="B704" s="2383">
        <v>608.1</v>
      </c>
      <c r="C704" s="2374"/>
      <c r="D704" s="2374"/>
      <c r="E704" s="2374"/>
      <c r="F704" s="2374"/>
      <c r="G704" s="2373" t="str">
        <f t="shared" ca="1" si="46"/>
        <v/>
      </c>
      <c r="H704" s="2371" t="s">
        <v>3971</v>
      </c>
      <c r="I704" s="64"/>
      <c r="J704" s="27"/>
      <c r="K704" s="83"/>
      <c r="L704" s="1179" t="s">
        <v>3090</v>
      </c>
      <c r="M704" s="1845"/>
      <c r="N704" s="2075"/>
      <c r="O704" s="2075"/>
      <c r="P704" s="249"/>
      <c r="Q704" s="249"/>
      <c r="R704" s="249"/>
      <c r="S704" s="249"/>
      <c r="T704" s="249"/>
      <c r="U704" s="249"/>
      <c r="V704" s="249"/>
      <c r="W704" s="249"/>
      <c r="X704" s="1756"/>
      <c r="Y704" s="2081"/>
      <c r="Z704" s="2083"/>
      <c r="AA704" s="1526"/>
      <c r="AC704" s="970"/>
      <c r="AD704" s="970"/>
      <c r="AE704" s="970"/>
      <c r="AF704" s="249"/>
      <c r="AG704" s="249"/>
      <c r="AH704" s="249"/>
      <c r="AI704" s="249"/>
      <c r="AJ704" s="249"/>
      <c r="AK704" s="249"/>
      <c r="AL704" s="1336"/>
      <c r="AM704" s="1336"/>
      <c r="AN704" s="1336"/>
      <c r="AO704" s="1336"/>
      <c r="AP704" s="1336"/>
      <c r="AQ704" s="1336"/>
      <c r="AR704" s="1336"/>
      <c r="AS704" s="1336"/>
    </row>
    <row r="705" spans="1:45" ht="18.75" x14ac:dyDescent="0.3">
      <c r="A705" s="2371">
        <v>6</v>
      </c>
      <c r="B705" s="2383">
        <v>609</v>
      </c>
      <c r="C705" s="2374"/>
      <c r="D705" s="2374"/>
      <c r="E705" s="2374"/>
      <c r="F705" s="2374"/>
      <c r="G705" s="2373" t="s">
        <v>3974</v>
      </c>
      <c r="H705" s="2371" t="s">
        <v>3971</v>
      </c>
      <c r="I705" s="14" t="s">
        <v>697</v>
      </c>
      <c r="J705" s="23"/>
      <c r="K705" s="82"/>
      <c r="L705" s="229"/>
      <c r="M705" s="390"/>
      <c r="N705" s="1043"/>
      <c r="O705" s="1043"/>
      <c r="P705" s="23"/>
      <c r="Q705" s="23"/>
      <c r="R705" s="23"/>
      <c r="S705" s="23"/>
      <c r="T705" s="23"/>
      <c r="U705" s="23"/>
      <c r="V705" s="23"/>
      <c r="W705" s="23"/>
      <c r="X705" s="23"/>
      <c r="Y705" s="23"/>
      <c r="Z705" s="1586"/>
      <c r="AA705" s="1526"/>
      <c r="AC705" s="970"/>
      <c r="AD705" s="970"/>
      <c r="AE705" s="970"/>
      <c r="AF705" s="249"/>
      <c r="AG705" s="249"/>
      <c r="AH705" s="249"/>
      <c r="AI705" s="249"/>
      <c r="AJ705" s="249"/>
      <c r="AK705" s="249"/>
      <c r="AL705" s="1336"/>
      <c r="AM705" s="1336"/>
      <c r="AN705" s="1336"/>
      <c r="AO705" s="1336"/>
      <c r="AP705" s="1336"/>
      <c r="AQ705" s="1336"/>
      <c r="AR705" s="1336"/>
      <c r="AS705" s="1336"/>
    </row>
    <row r="706" spans="1:45" ht="15" customHeight="1" x14ac:dyDescent="0.25">
      <c r="A706" s="2371">
        <v>6</v>
      </c>
      <c r="B706" s="2383">
        <v>609.1</v>
      </c>
      <c r="C706" s="2374"/>
      <c r="D706" s="2374"/>
      <c r="E706" s="2374"/>
      <c r="F706" s="2374"/>
      <c r="G706" s="2373" t="str">
        <f ca="1">IF(N706&gt;0,"P","")</f>
        <v/>
      </c>
      <c r="H706" s="2371" t="s">
        <v>3971</v>
      </c>
      <c r="I706" s="64">
        <v>609.1</v>
      </c>
      <c r="J706" s="4"/>
      <c r="K706" s="83"/>
      <c r="L706" s="1796" t="s">
        <v>698</v>
      </c>
      <c r="M706" s="1767" t="s">
        <v>699</v>
      </c>
      <c r="N706" s="2075">
        <f ca="1">'Ch6'!O388</f>
        <v>0</v>
      </c>
      <c r="O706" s="1780">
        <f ca="1">MIN(10,IFERROR(MATCH(W708,INDIRECT(U708),0),0)*2+IFERROR(MATCH(W710,INDIRECT(U710),0),0))</f>
        <v>0</v>
      </c>
      <c r="AA706" s="1526"/>
      <c r="AC706" s="970"/>
      <c r="AD706" s="970"/>
      <c r="AE706" s="970"/>
      <c r="AF706" s="249"/>
      <c r="AG706" s="249"/>
      <c r="AH706" s="249"/>
      <c r="AI706" s="249"/>
      <c r="AJ706" s="249"/>
      <c r="AK706" s="249"/>
      <c r="AL706" s="254" t="str">
        <f>SUBSTITUTE(SUBSTITUTE(SUBSTITUTE("vpa"&amp;$B706&amp;$C706&amp;$D706&amp;$E706,".","_"),"(","_"),")","")</f>
        <v>vpa609_1</v>
      </c>
      <c r="AM706" s="254" t="str">
        <f>M708</f>
        <v>2 per each component</v>
      </c>
      <c r="AN706" s="254" t="str">
        <f>SUBSTITUTE(SUBSTITUTE(SUBSTITUTE("vpc"&amp;$B706&amp;$C706&amp;$D706&amp;$E706,".","_"),"(","_"),")","")</f>
        <v>vpc609_1</v>
      </c>
      <c r="AO706" s="254">
        <f ca="1">O706</f>
        <v>0</v>
      </c>
      <c r="AP706" s="1336"/>
      <c r="AQ706" s="1336"/>
      <c r="AR706" s="1336"/>
      <c r="AS706" s="1336"/>
    </row>
    <row r="707" spans="1:45" x14ac:dyDescent="0.25">
      <c r="A707" s="2371">
        <v>6</v>
      </c>
      <c r="B707" s="2383">
        <v>609.1</v>
      </c>
      <c r="C707" s="2374"/>
      <c r="D707" s="2374"/>
      <c r="E707" s="2374"/>
      <c r="F707" s="2374"/>
      <c r="G707" s="2373" t="str">
        <f t="shared" ref="G707:G716" ca="1" si="47">G706</f>
        <v/>
      </c>
      <c r="H707" s="2371" t="s">
        <v>3971</v>
      </c>
      <c r="I707" s="64"/>
      <c r="J707" s="4"/>
      <c r="K707" s="83"/>
      <c r="L707" s="1796"/>
      <c r="M707" s="1767"/>
      <c r="N707" s="2075"/>
      <c r="O707" s="1780"/>
      <c r="P707" s="249"/>
      <c r="Q707" s="249"/>
      <c r="R707" s="249"/>
      <c r="S707" s="249"/>
      <c r="T707" s="249"/>
      <c r="U707" s="249"/>
      <c r="V707" s="249"/>
      <c r="W707" s="249" t="s">
        <v>3091</v>
      </c>
      <c r="X707"/>
      <c r="Y707"/>
      <c r="AA707" s="1526"/>
      <c r="AF707" s="784"/>
      <c r="AG707" s="249"/>
      <c r="AH707" s="249"/>
      <c r="AI707" s="249"/>
      <c r="AJ707" s="249"/>
      <c r="AK707" s="249"/>
      <c r="AL707" s="1336"/>
      <c r="AM707" s="1336"/>
      <c r="AN707" s="1336"/>
      <c r="AO707" s="1336"/>
      <c r="AP707" s="254"/>
      <c r="AQ707" s="1336"/>
      <c r="AR707" s="1336"/>
      <c r="AS707" s="1336"/>
    </row>
    <row r="708" spans="1:45" s="1124" customFormat="1" x14ac:dyDescent="0.25">
      <c r="A708" s="2371">
        <v>6</v>
      </c>
      <c r="B708" s="2383">
        <v>609.1</v>
      </c>
      <c r="C708" s="2374" t="s">
        <v>256</v>
      </c>
      <c r="D708" s="2374"/>
      <c r="E708" s="2374"/>
      <c r="F708" s="2374"/>
      <c r="G708" s="2373" t="str">
        <f t="shared" ca="1" si="47"/>
        <v/>
      </c>
      <c r="H708" s="2371" t="s">
        <v>3971</v>
      </c>
      <c r="I708" s="64"/>
      <c r="J708" s="27" t="s">
        <v>256</v>
      </c>
      <c r="K708" s="1128"/>
      <c r="L708" s="1198" t="s">
        <v>4880</v>
      </c>
      <c r="M708" s="1846" t="s">
        <v>4882</v>
      </c>
      <c r="N708" s="2075"/>
      <c r="O708" s="1780"/>
      <c r="P708" s="249" t="b">
        <v>1</v>
      </c>
      <c r="Q708" s="249" t="b">
        <v>1</v>
      </c>
      <c r="R708" s="249" t="b">
        <v>0</v>
      </c>
      <c r="S708" s="249" t="b">
        <v>1</v>
      </c>
      <c r="T708" s="249" t="b">
        <v>0</v>
      </c>
      <c r="U708" s="94" t="str">
        <f>SUBSTITUTE(SUBSTITUTE(SUBSTITUTE("dd"&amp;B708&amp;C708&amp;D708&amp;E708&amp;F708,".","_"),"(","_"),")","")</f>
        <v>dd609_1_1</v>
      </c>
      <c r="V708" s="249"/>
      <c r="W708" s="12"/>
      <c r="X708" s="1757"/>
      <c r="Y708" s="2077" t="str">
        <f>IF(LEN('Ch6'!X390)=0,"None",'Ch6'!X390)</f>
        <v>None</v>
      </c>
      <c r="Z708" s="2083"/>
      <c r="AA708" s="1526"/>
      <c r="AC708" s="970" t="b">
        <f>OR(AD708:AE708)</f>
        <v>0</v>
      </c>
      <c r="AD708" s="970" t="b">
        <v>0</v>
      </c>
      <c r="AE708" s="970" t="b">
        <f>AND(NOT(ISBLANK(W708)),LEN(X708)=0)</f>
        <v>0</v>
      </c>
      <c r="AL708" s="254" t="str">
        <f>SUBSTITUTE(SUBSTITUTE(SUBSTITUTE("vpa"&amp;$B708&amp;$C708&amp;$D708&amp;$E708,".","_"),"(","_"),")","")</f>
        <v>vpa609_1_1</v>
      </c>
      <c r="AM708" s="254" t="str">
        <f>M708</f>
        <v>2 per each component</v>
      </c>
      <c r="AN708" s="1336"/>
      <c r="AO708" s="1336"/>
      <c r="AP708" s="1336" t="str">
        <f>SUBSTITUTE(SUBSTITUTE(SUBSTITUTE("vch"&amp;$B708&amp;$C708&amp;$D708&amp;$E708,".","_"),"(","_"),")","")</f>
        <v>vch609_1_1</v>
      </c>
      <c r="AQ708" s="254" t="str">
        <f>IF(LEN(W708)=0,"",W708)</f>
        <v/>
      </c>
      <c r="AR708" s="1336" t="str">
        <f>SUBSTITUTE(SUBSTITUTE(SUBSTITUTE("vnt"&amp;$B708&amp;$C708&amp;$D708&amp;$E708,".","_"),"(","_"),")","")</f>
        <v>vnt609_1_1</v>
      </c>
      <c r="AS708" s="254" t="str">
        <f>IF(LEN(X708)=0,"",X708)</f>
        <v/>
      </c>
    </row>
    <row r="709" spans="1:45" s="1124" customFormat="1" x14ac:dyDescent="0.25">
      <c r="A709" s="2371">
        <v>6</v>
      </c>
      <c r="B709" s="2383">
        <v>609.1</v>
      </c>
      <c r="C709" s="2374" t="s">
        <v>256</v>
      </c>
      <c r="D709" s="2374"/>
      <c r="E709" s="2374"/>
      <c r="F709" s="2374"/>
      <c r="G709" s="2373" t="str">
        <f t="shared" ca="1" si="47"/>
        <v/>
      </c>
      <c r="H709" s="2371" t="s">
        <v>3971</v>
      </c>
      <c r="I709" s="64"/>
      <c r="J709" s="27"/>
      <c r="K709" s="1128"/>
      <c r="L709" s="1198"/>
      <c r="M709" s="1846"/>
      <c r="N709" s="2075"/>
      <c r="O709" s="1780"/>
      <c r="P709" s="249"/>
      <c r="Q709" s="249"/>
      <c r="R709" s="249"/>
      <c r="S709" s="249"/>
      <c r="T709" s="249"/>
      <c r="U709" s="249"/>
      <c r="V709" s="249"/>
      <c r="W709" s="249" t="s">
        <v>3092</v>
      </c>
      <c r="X709" s="1757"/>
      <c r="Y709" s="2077"/>
      <c r="Z709" s="2083"/>
      <c r="AA709" s="1526"/>
      <c r="AL709" s="1336"/>
      <c r="AM709" s="1336"/>
      <c r="AN709" s="1336"/>
      <c r="AO709" s="1336"/>
      <c r="AP709" s="1336"/>
      <c r="AQ709" s="1336"/>
      <c r="AR709" s="1336"/>
      <c r="AS709" s="1336"/>
    </row>
    <row r="710" spans="1:45" s="1124" customFormat="1" x14ac:dyDescent="0.25">
      <c r="A710" s="2371">
        <v>6</v>
      </c>
      <c r="B710" s="2383">
        <v>609.1</v>
      </c>
      <c r="C710" s="2374" t="s">
        <v>258</v>
      </c>
      <c r="D710" s="2374"/>
      <c r="E710" s="2374"/>
      <c r="F710" s="2374"/>
      <c r="G710" s="2373" t="str">
        <f t="shared" ca="1" si="47"/>
        <v/>
      </c>
      <c r="H710" s="2371" t="s">
        <v>3971</v>
      </c>
      <c r="I710" s="64"/>
      <c r="J710" s="27" t="s">
        <v>258</v>
      </c>
      <c r="K710" s="1128"/>
      <c r="L710" s="1198" t="s">
        <v>4881</v>
      </c>
      <c r="M710" s="1846" t="s">
        <v>4883</v>
      </c>
      <c r="N710" s="2075"/>
      <c r="O710" s="1780"/>
      <c r="P710" s="249" t="b">
        <v>1</v>
      </c>
      <c r="Q710" s="249" t="b">
        <v>1</v>
      </c>
      <c r="R710" s="249" t="b">
        <v>0</v>
      </c>
      <c r="S710" s="249" t="b">
        <v>1</v>
      </c>
      <c r="T710" s="249" t="b">
        <v>0</v>
      </c>
      <c r="U710" s="94" t="str">
        <f>SUBSTITUTE(SUBSTITUTE(SUBSTITUTE("dd"&amp;B710&amp;C710&amp;D710&amp;E710&amp;F710,".","_"),"(","_"),")","")</f>
        <v>dd609_1_2</v>
      </c>
      <c r="V710" s="249"/>
      <c r="W710" s="12"/>
      <c r="X710" s="1757"/>
      <c r="Y710" s="2077" t="str">
        <f>IF(LEN('Ch6'!X392)=0,"None",'Ch6'!X392)</f>
        <v>None</v>
      </c>
      <c r="Z710" s="2083"/>
      <c r="AA710" s="1526"/>
      <c r="AC710" s="970" t="b">
        <f>OR(AD710:AE710)</f>
        <v>0</v>
      </c>
      <c r="AD710" s="970" t="b">
        <v>0</v>
      </c>
      <c r="AE710" s="970" t="b">
        <f>AND(NOT(ISBLANK(W710)),LEN(X710)=0)</f>
        <v>0</v>
      </c>
      <c r="AL710" s="254" t="str">
        <f>SUBSTITUTE(SUBSTITUTE(SUBSTITUTE("vpa"&amp;$B710&amp;$C710&amp;$D710&amp;$E710,".","_"),"(","_"),")","")</f>
        <v>vpa609_1_2</v>
      </c>
      <c r="AM710" s="254" t="str">
        <f>M710</f>
        <v>1 per each component</v>
      </c>
      <c r="AN710" s="1336"/>
      <c r="AO710" s="1336"/>
      <c r="AP710" s="1336" t="str">
        <f>SUBSTITUTE(SUBSTITUTE(SUBSTITUTE("vch"&amp;$B710&amp;$C710&amp;$D710&amp;$E710,".","_"),"(","_"),")","")</f>
        <v>vch609_1_2</v>
      </c>
      <c r="AQ710" s="254" t="str">
        <f>IF(LEN(W710)=0,"",W710)</f>
        <v/>
      </c>
      <c r="AR710" s="1336" t="str">
        <f>SUBSTITUTE(SUBSTITUTE(SUBSTITUTE("vnt"&amp;$B710&amp;$C710&amp;$D710&amp;$E710,".","_"),"(","_"),")","")</f>
        <v>vnt609_1_2</v>
      </c>
      <c r="AS710" s="254" t="str">
        <f>IF(LEN(X710)=0,"",X710)</f>
        <v/>
      </c>
    </row>
    <row r="711" spans="1:45" s="1124" customFormat="1" x14ac:dyDescent="0.25">
      <c r="A711" s="2371">
        <v>6</v>
      </c>
      <c r="B711" s="2383">
        <v>609.1</v>
      </c>
      <c r="C711" s="2374" t="s">
        <v>258</v>
      </c>
      <c r="D711" s="2374"/>
      <c r="E711" s="2374"/>
      <c r="F711" s="2374"/>
      <c r="G711" s="2373" t="str">
        <f t="shared" ca="1" si="47"/>
        <v/>
      </c>
      <c r="H711" s="2371" t="s">
        <v>3971</v>
      </c>
      <c r="I711" s="64"/>
      <c r="J711" s="27"/>
      <c r="K711" s="1128"/>
      <c r="L711" s="1198"/>
      <c r="M711" s="1846"/>
      <c r="N711" s="2075"/>
      <c r="O711" s="1780"/>
      <c r="U711" s="94"/>
      <c r="W711"/>
      <c r="X711" s="1757"/>
      <c r="Y711" s="2077"/>
      <c r="Z711" s="2083"/>
      <c r="AA711" s="1526"/>
      <c r="AL711" s="1336"/>
      <c r="AM711" s="1336"/>
      <c r="AN711" s="1336"/>
      <c r="AO711" s="1336"/>
      <c r="AP711" s="254"/>
      <c r="AQ711" s="1336"/>
      <c r="AR711" s="1336"/>
      <c r="AS711" s="1336"/>
    </row>
    <row r="712" spans="1:45" x14ac:dyDescent="0.25">
      <c r="A712" s="2371">
        <v>6</v>
      </c>
      <c r="B712" s="2383">
        <v>609.1</v>
      </c>
      <c r="C712" s="2374"/>
      <c r="D712" s="2374"/>
      <c r="E712" s="2374"/>
      <c r="F712" s="2374"/>
      <c r="G712" s="2373" t="str">
        <f t="shared" ca="1" si="47"/>
        <v/>
      </c>
      <c r="H712" s="2371" t="s">
        <v>3971</v>
      </c>
      <c r="I712" s="64"/>
      <c r="J712" s="4"/>
      <c r="K712" s="83"/>
      <c r="L712" s="1851" t="s">
        <v>4879</v>
      </c>
      <c r="M712" s="1126"/>
      <c r="N712" s="1127"/>
      <c r="O712" s="1127"/>
      <c r="P712" s="249"/>
      <c r="Q712" s="249"/>
      <c r="R712" s="249"/>
      <c r="S712" s="249"/>
      <c r="T712" s="249"/>
      <c r="U712" s="249"/>
      <c r="V712" s="249"/>
      <c r="W712" s="249"/>
      <c r="X712"/>
      <c r="Y712"/>
      <c r="AA712" s="1526"/>
      <c r="AC712" s="970"/>
      <c r="AD712" s="970"/>
      <c r="AE712" s="970"/>
      <c r="AF712" s="249"/>
      <c r="AG712" s="249"/>
      <c r="AH712" s="249"/>
      <c r="AI712" s="249"/>
      <c r="AJ712" s="249"/>
      <c r="AK712" s="249"/>
      <c r="AL712" s="1336"/>
      <c r="AM712" s="1336"/>
      <c r="AN712" s="1336"/>
      <c r="AO712" s="1336"/>
      <c r="AP712" s="254"/>
      <c r="AQ712" s="1336"/>
      <c r="AR712" s="1336"/>
      <c r="AS712" s="1336"/>
    </row>
    <row r="713" spans="1:45" x14ac:dyDescent="0.25">
      <c r="A713" s="2371">
        <v>6</v>
      </c>
      <c r="B713" s="2383">
        <v>609.1</v>
      </c>
      <c r="C713" s="2374"/>
      <c r="D713" s="2374"/>
      <c r="E713" s="2374"/>
      <c r="F713" s="2374"/>
      <c r="G713" s="2373" t="str">
        <f t="shared" ca="1" si="47"/>
        <v/>
      </c>
      <c r="H713" s="2371" t="s">
        <v>3971</v>
      </c>
      <c r="I713" s="64"/>
      <c r="J713" s="4"/>
      <c r="K713" s="83"/>
      <c r="L713" s="1851"/>
      <c r="M713" s="1126"/>
      <c r="N713" s="1127"/>
      <c r="O713" s="1127"/>
      <c r="AA713" s="1526"/>
      <c r="AC713" s="970"/>
      <c r="AD713" s="970"/>
      <c r="AE713" s="970"/>
      <c r="AF713" s="249"/>
      <c r="AG713" s="249"/>
      <c r="AH713" s="249"/>
      <c r="AI713" s="249"/>
      <c r="AJ713" s="249"/>
      <c r="AK713" s="249"/>
      <c r="AL713" s="1336"/>
      <c r="AM713" s="1336"/>
      <c r="AN713" s="1336"/>
      <c r="AO713" s="1336"/>
      <c r="AP713" s="254"/>
      <c r="AQ713" s="1336"/>
      <c r="AR713" s="1336"/>
      <c r="AS713" s="1336"/>
    </row>
    <row r="714" spans="1:45" x14ac:dyDescent="0.25">
      <c r="A714" s="2371">
        <v>6</v>
      </c>
      <c r="B714" s="2383">
        <v>609.1</v>
      </c>
      <c r="C714" s="2374"/>
      <c r="D714" s="2374"/>
      <c r="E714" s="2374"/>
      <c r="F714" s="2374"/>
      <c r="G714" s="2373" t="str">
        <f t="shared" ca="1" si="47"/>
        <v/>
      </c>
      <c r="H714" s="2371" t="s">
        <v>3971</v>
      </c>
      <c r="I714" s="64"/>
      <c r="J714" s="4"/>
      <c r="K714" s="83"/>
      <c r="L714" s="1851"/>
      <c r="M714" s="1126"/>
      <c r="N714" s="1127"/>
      <c r="O714" s="1127"/>
      <c r="X714"/>
      <c r="Y714"/>
      <c r="AA714" s="1526"/>
      <c r="AF714" s="784"/>
      <c r="AG714" s="249"/>
      <c r="AH714" s="249"/>
      <c r="AI714" s="249"/>
      <c r="AJ714" s="249"/>
      <c r="AK714" s="249"/>
      <c r="AL714" s="1336"/>
      <c r="AM714" s="1336"/>
      <c r="AN714" s="1336"/>
      <c r="AO714" s="1336"/>
      <c r="AP714" s="254"/>
      <c r="AQ714" s="1336"/>
      <c r="AR714" s="1336"/>
      <c r="AS714" s="1336"/>
    </row>
    <row r="715" spans="1:45" x14ac:dyDescent="0.25">
      <c r="A715" s="2371">
        <v>6</v>
      </c>
      <c r="B715" s="2383">
        <v>609.1</v>
      </c>
      <c r="C715" s="2374"/>
      <c r="D715" s="2374"/>
      <c r="E715" s="2374"/>
      <c r="F715" s="2374"/>
      <c r="G715" s="2373" t="str">
        <f t="shared" ca="1" si="47"/>
        <v/>
      </c>
      <c r="H715" s="2371" t="s">
        <v>3971</v>
      </c>
      <c r="I715" s="64"/>
      <c r="J715" s="4"/>
      <c r="K715" s="83"/>
      <c r="L715" s="1849" t="s">
        <v>3104</v>
      </c>
      <c r="M715" s="1126"/>
      <c r="N715" s="1127"/>
      <c r="O715" s="1127"/>
      <c r="P715" s="249"/>
      <c r="Q715" s="249"/>
      <c r="R715" s="249"/>
      <c r="S715" s="249"/>
      <c r="T715" s="249"/>
      <c r="U715" s="249"/>
      <c r="V715" s="249"/>
      <c r="W715" s="249"/>
      <c r="X715"/>
      <c r="Y715"/>
      <c r="AA715" s="1526"/>
      <c r="AC715" s="970"/>
      <c r="AD715" s="970"/>
      <c r="AE715" s="970"/>
      <c r="AF715" s="249"/>
      <c r="AG715" s="249"/>
      <c r="AH715" s="249"/>
      <c r="AI715" s="249"/>
      <c r="AJ715" s="249"/>
      <c r="AK715" s="249"/>
      <c r="AL715" s="1336"/>
      <c r="AM715" s="1336"/>
      <c r="AN715" s="1336"/>
      <c r="AO715" s="1336"/>
      <c r="AP715" s="1336"/>
      <c r="AQ715" s="1336"/>
      <c r="AR715" s="1336"/>
      <c r="AS715" s="1336"/>
    </row>
    <row r="716" spans="1:45" x14ac:dyDescent="0.25">
      <c r="A716" s="2371">
        <v>6</v>
      </c>
      <c r="B716" s="2383">
        <v>609.1</v>
      </c>
      <c r="C716" s="2374"/>
      <c r="D716" s="2374"/>
      <c r="E716" s="2374"/>
      <c r="F716" s="2374"/>
      <c r="G716" s="2373" t="str">
        <f t="shared" ca="1" si="47"/>
        <v/>
      </c>
      <c r="H716" s="2371" t="s">
        <v>3971</v>
      </c>
      <c r="I716" s="64"/>
      <c r="J716" s="4"/>
      <c r="K716" s="83"/>
      <c r="L716" s="1859"/>
      <c r="M716" s="1126"/>
      <c r="N716" s="1127"/>
      <c r="O716" s="1127"/>
      <c r="P716" s="249"/>
      <c r="Q716" s="249"/>
      <c r="R716" s="249"/>
      <c r="S716" s="249"/>
      <c r="T716" s="249"/>
      <c r="U716" s="249"/>
      <c r="V716" s="249"/>
      <c r="W716" s="249"/>
      <c r="X716"/>
      <c r="Y716"/>
      <c r="AA716" s="1526"/>
      <c r="AC716" s="970"/>
      <c r="AD716" s="970"/>
      <c r="AE716" s="970"/>
      <c r="AF716" s="249"/>
      <c r="AG716" s="249"/>
      <c r="AH716" s="249"/>
      <c r="AI716" s="249"/>
      <c r="AJ716" s="249"/>
      <c r="AK716" s="249"/>
      <c r="AL716" s="1336"/>
      <c r="AM716" s="1336"/>
      <c r="AN716" s="1336"/>
      <c r="AO716" s="1336"/>
      <c r="AP716" s="1336"/>
      <c r="AQ716" s="1336"/>
      <c r="AR716" s="1336"/>
      <c r="AS716" s="1336"/>
    </row>
    <row r="717" spans="1:45" ht="18.75" x14ac:dyDescent="0.3">
      <c r="A717" s="2371">
        <v>6</v>
      </c>
      <c r="B717" s="2383">
        <v>610</v>
      </c>
      <c r="C717" s="2374"/>
      <c r="D717" s="2374"/>
      <c r="E717" s="2374"/>
      <c r="F717" s="2374"/>
      <c r="G717" s="2373" t="s">
        <v>3974</v>
      </c>
      <c r="H717" s="2371" t="s">
        <v>3971</v>
      </c>
      <c r="I717" s="14" t="s">
        <v>700</v>
      </c>
      <c r="J717" s="23"/>
      <c r="K717" s="82"/>
      <c r="L717" s="229"/>
      <c r="M717" s="390"/>
      <c r="N717" s="1043"/>
      <c r="O717" s="1043"/>
      <c r="P717" s="23"/>
      <c r="Q717" s="23"/>
      <c r="R717" s="23"/>
      <c r="S717" s="23"/>
      <c r="T717" s="23"/>
      <c r="U717" s="23"/>
      <c r="V717" s="23"/>
      <c r="W717" s="23"/>
      <c r="X717" s="23"/>
      <c r="Y717" s="23"/>
      <c r="Z717" s="1586"/>
      <c r="AA717" s="1526"/>
      <c r="AC717" s="970"/>
      <c r="AD717" s="970"/>
      <c r="AE717" s="970"/>
      <c r="AF717" s="249"/>
      <c r="AG717" s="249"/>
      <c r="AH717" s="249"/>
      <c r="AI717" s="249"/>
      <c r="AJ717" s="249"/>
      <c r="AK717" s="249"/>
      <c r="AL717" s="1336"/>
      <c r="AM717" s="1336"/>
      <c r="AN717" s="1336"/>
      <c r="AO717" s="1336"/>
      <c r="AP717" s="1336"/>
      <c r="AQ717" s="1336"/>
      <c r="AR717" s="1336"/>
      <c r="AS717" s="1336"/>
    </row>
    <row r="718" spans="1:45" ht="15" customHeight="1" x14ac:dyDescent="0.25">
      <c r="A718" s="2371">
        <v>6</v>
      </c>
      <c r="B718" s="2383">
        <v>610.1</v>
      </c>
      <c r="C718" s="2374"/>
      <c r="D718" s="2374"/>
      <c r="E718" s="2374"/>
      <c r="F718" s="2374"/>
      <c r="G718" s="2375"/>
      <c r="H718" s="2371"/>
      <c r="I718" s="64">
        <v>610.1</v>
      </c>
      <c r="J718" s="4"/>
      <c r="K718" s="83"/>
      <c r="L718" s="1796" t="s">
        <v>701</v>
      </c>
      <c r="M718" s="66"/>
      <c r="N718" s="1042"/>
      <c r="O718" s="1042"/>
      <c r="P718" s="249"/>
      <c r="Q718" s="249"/>
      <c r="R718" s="1132" t="b">
        <f ca="1">SUM(O727:O749)&gt;0</f>
        <v>0</v>
      </c>
      <c r="S718" s="1132"/>
      <c r="T718" s="1132"/>
      <c r="U718" s="1132"/>
      <c r="V718" s="1132"/>
      <c r="W718" s="1132"/>
      <c r="X718" s="1757"/>
      <c r="Y718" s="2081" t="str">
        <f>IF(LEN('Ch6'!X400)=0,"None",'Ch6'!X400)</f>
        <v>None</v>
      </c>
      <c r="Z718" s="2084"/>
      <c r="AA718" s="1526"/>
      <c r="AB718" s="1132"/>
      <c r="AC718" s="1132" t="b">
        <f ca="1">OR(AD718:AE718)</f>
        <v>0</v>
      </c>
      <c r="AD718" s="1132"/>
      <c r="AE718" s="1132" t="b">
        <f ca="1">AND(R718,LEN(X718)=0)</f>
        <v>0</v>
      </c>
      <c r="AF718" s="249"/>
      <c r="AG718" s="249"/>
      <c r="AH718" s="249"/>
      <c r="AI718" s="249"/>
      <c r="AJ718" s="249"/>
      <c r="AK718" s="249"/>
      <c r="AL718" s="1336"/>
      <c r="AM718" s="1336"/>
      <c r="AN718" s="1336"/>
      <c r="AO718" s="1336"/>
      <c r="AP718" s="1336"/>
      <c r="AQ718" s="1336"/>
      <c r="AR718" s="1336" t="str">
        <f>SUBSTITUTE(SUBSTITUTE(SUBSTITUTE("vnt"&amp;$B718&amp;$C718&amp;$D718&amp;$E718,".","_"),"(","_"),")","")</f>
        <v>vnt610_1</v>
      </c>
      <c r="AS718" s="254" t="str">
        <f>IF(LEN(X718)=0,"",X718)</f>
        <v/>
      </c>
    </row>
    <row r="719" spans="1:45" x14ac:dyDescent="0.25">
      <c r="A719" s="2371">
        <v>6</v>
      </c>
      <c r="B719" s="2383">
        <v>610.1</v>
      </c>
      <c r="C719" s="2374"/>
      <c r="D719" s="2374"/>
      <c r="E719" s="2374"/>
      <c r="F719" s="2374"/>
      <c r="G719" s="2375"/>
      <c r="H719" s="2371"/>
      <c r="I719" s="64"/>
      <c r="J719" s="4"/>
      <c r="K719" s="83"/>
      <c r="L719" s="1796"/>
      <c r="M719" s="66"/>
      <c r="N719" s="1042"/>
      <c r="O719" s="1042"/>
      <c r="P719" s="249"/>
      <c r="Q719" s="249"/>
      <c r="R719" s="1132"/>
      <c r="S719" s="1132"/>
      <c r="T719" s="1132"/>
      <c r="U719" s="1132"/>
      <c r="V719" s="1132"/>
      <c r="W719" s="1132"/>
      <c r="X719" s="1757"/>
      <c r="Y719" s="2081"/>
      <c r="Z719" s="2084"/>
      <c r="AA719" s="1526"/>
      <c r="AB719" s="1132"/>
      <c r="AC719" s="1132"/>
      <c r="AD719" s="1132"/>
      <c r="AE719" s="1132"/>
      <c r="AF719" s="249"/>
      <c r="AG719" s="249"/>
      <c r="AH719" s="249"/>
      <c r="AI719" s="249"/>
      <c r="AJ719" s="249"/>
      <c r="AK719" s="249"/>
      <c r="AL719" s="1336"/>
      <c r="AM719" s="1336"/>
      <c r="AN719" s="1336"/>
      <c r="AO719" s="1336"/>
      <c r="AP719" s="1336"/>
      <c r="AQ719" s="1336"/>
      <c r="AR719" s="1336"/>
      <c r="AS719" s="1336"/>
    </row>
    <row r="720" spans="1:45" x14ac:dyDescent="0.25">
      <c r="A720" s="2371">
        <v>6</v>
      </c>
      <c r="B720" s="2383">
        <v>610.1</v>
      </c>
      <c r="C720" s="2374"/>
      <c r="D720" s="2374"/>
      <c r="E720" s="2374"/>
      <c r="F720" s="2374"/>
      <c r="G720" s="2375"/>
      <c r="H720" s="2371"/>
      <c r="I720" s="64"/>
      <c r="J720" s="4"/>
      <c r="K720" s="83"/>
      <c r="L720" s="1796"/>
      <c r="M720" s="66"/>
      <c r="N720" s="1042"/>
      <c r="O720" s="1042"/>
      <c r="P720" s="249"/>
      <c r="Q720" s="249"/>
      <c r="R720" s="1132"/>
      <c r="S720" s="1132"/>
      <c r="T720" s="1132"/>
      <c r="U720" s="1132"/>
      <c r="V720" s="1132"/>
      <c r="W720" s="1132"/>
      <c r="X720" s="1757"/>
      <c r="Y720" s="2081"/>
      <c r="Z720" s="2084"/>
      <c r="AA720" s="1526"/>
      <c r="AB720" s="1132"/>
      <c r="AC720" s="1132"/>
      <c r="AD720" s="1132"/>
      <c r="AE720" s="1132"/>
      <c r="AF720" s="249"/>
      <c r="AG720" s="249"/>
      <c r="AH720" s="249"/>
      <c r="AI720" s="249"/>
      <c r="AJ720" s="249"/>
      <c r="AK720" s="249"/>
      <c r="AL720" s="1336"/>
      <c r="AM720" s="1336"/>
      <c r="AN720" s="1336"/>
      <c r="AO720" s="1336"/>
      <c r="AP720" s="1336"/>
      <c r="AQ720" s="1336"/>
      <c r="AR720" s="1336"/>
      <c r="AS720" s="1336"/>
    </row>
    <row r="721" spans="1:45" x14ac:dyDescent="0.25">
      <c r="A721" s="2371">
        <v>6</v>
      </c>
      <c r="B721" s="2383">
        <v>610.1</v>
      </c>
      <c r="C721" s="2374"/>
      <c r="D721" s="2374"/>
      <c r="E721" s="2374"/>
      <c r="F721" s="2374"/>
      <c r="G721" s="2375"/>
      <c r="H721" s="2371"/>
      <c r="I721" s="64"/>
      <c r="J721" s="4"/>
      <c r="K721" s="83"/>
      <c r="L721" s="1796"/>
      <c r="M721" s="66"/>
      <c r="N721" s="1042"/>
      <c r="O721" s="1042"/>
      <c r="P721" s="249"/>
      <c r="Q721" s="249"/>
      <c r="R721" s="1132"/>
      <c r="S721" s="1132"/>
      <c r="T721" s="1132"/>
      <c r="U721" s="1132"/>
      <c r="V721" s="1132"/>
      <c r="W721" s="1132"/>
      <c r="X721" s="1757"/>
      <c r="Y721" s="2081"/>
      <c r="Z721" s="2084"/>
      <c r="AA721" s="1526"/>
      <c r="AB721" s="1132"/>
      <c r="AC721" s="1132"/>
      <c r="AD721" s="1132"/>
      <c r="AE721" s="1132"/>
      <c r="AF721" s="249"/>
      <c r="AG721" s="249"/>
      <c r="AH721" s="249"/>
      <c r="AI721" s="249"/>
      <c r="AJ721" s="249"/>
      <c r="AK721" s="249"/>
      <c r="AL721" s="1336"/>
      <c r="AM721" s="1336"/>
      <c r="AN721" s="1336"/>
      <c r="AO721" s="1336"/>
      <c r="AP721" s="1336"/>
      <c r="AQ721" s="1336"/>
      <c r="AR721" s="1336"/>
      <c r="AS721" s="1336"/>
    </row>
    <row r="722" spans="1:45" s="1066" customFormat="1" x14ac:dyDescent="0.25">
      <c r="A722" s="2371">
        <v>6</v>
      </c>
      <c r="B722" s="2383">
        <v>610.1</v>
      </c>
      <c r="C722" s="2374"/>
      <c r="D722" s="2374"/>
      <c r="E722" s="2374"/>
      <c r="F722" s="2374"/>
      <c r="G722" s="2375"/>
      <c r="H722" s="2371"/>
      <c r="I722" s="64"/>
      <c r="J722" s="4"/>
      <c r="K722" s="1078"/>
      <c r="L722" s="1796"/>
      <c r="M722" s="66"/>
      <c r="N722" s="1077"/>
      <c r="O722" s="1077"/>
      <c r="R722" s="1132"/>
      <c r="S722" s="1132"/>
      <c r="T722" s="1132"/>
      <c r="U722" s="1132"/>
      <c r="V722" s="1132"/>
      <c r="W722" s="1132"/>
      <c r="X722" s="1757"/>
      <c r="Y722" s="2081"/>
      <c r="Z722" s="2084"/>
      <c r="AA722" s="1526"/>
      <c r="AB722" s="1132"/>
      <c r="AC722" s="1132"/>
      <c r="AD722" s="1132"/>
      <c r="AE722" s="1132"/>
      <c r="AL722" s="1336"/>
      <c r="AM722" s="1336"/>
      <c r="AN722" s="1336"/>
      <c r="AO722" s="1336"/>
      <c r="AP722" s="1336"/>
      <c r="AQ722" s="1336"/>
      <c r="AR722" s="1336"/>
      <c r="AS722" s="1336"/>
    </row>
    <row r="723" spans="1:45" x14ac:dyDescent="0.25">
      <c r="A723" s="2371">
        <v>6</v>
      </c>
      <c r="B723" s="2383">
        <v>610.1</v>
      </c>
      <c r="C723" s="2374"/>
      <c r="D723" s="2374"/>
      <c r="E723" s="2374"/>
      <c r="F723" s="2374"/>
      <c r="G723" s="2375"/>
      <c r="H723" s="2371"/>
      <c r="I723" s="64"/>
      <c r="J723" s="4"/>
      <c r="K723" s="83"/>
      <c r="L723" s="1796"/>
      <c r="M723" s="66"/>
      <c r="N723" s="1042"/>
      <c r="O723" s="1042"/>
      <c r="P723" s="249"/>
      <c r="Q723" s="249"/>
      <c r="R723" s="1132"/>
      <c r="S723" s="1132"/>
      <c r="T723" s="1132"/>
      <c r="U723" s="1132"/>
      <c r="V723" s="1132"/>
      <c r="W723" s="1132"/>
      <c r="X723" s="1757"/>
      <c r="Y723" s="2081"/>
      <c r="Z723" s="2084"/>
      <c r="AA723" s="1526"/>
      <c r="AB723" s="1132"/>
      <c r="AC723" s="1132"/>
      <c r="AD723" s="1132"/>
      <c r="AE723" s="1132"/>
      <c r="AF723" s="249"/>
      <c r="AG723" s="249"/>
      <c r="AH723" s="249"/>
      <c r="AI723" s="249"/>
      <c r="AJ723" s="249"/>
      <c r="AK723" s="249"/>
      <c r="AL723" s="1336"/>
      <c r="AM723" s="1336"/>
      <c r="AN723" s="1336"/>
      <c r="AO723" s="1336"/>
      <c r="AP723" s="1336"/>
      <c r="AQ723" s="1336"/>
      <c r="AR723" s="1336"/>
      <c r="AS723" s="1336"/>
    </row>
    <row r="724" spans="1:45" ht="15.75" thickBot="1" x14ac:dyDescent="0.3">
      <c r="A724" s="2371">
        <v>6</v>
      </c>
      <c r="B724" s="2383">
        <v>610.1</v>
      </c>
      <c r="C724" s="2374"/>
      <c r="D724" s="2374"/>
      <c r="E724" s="2374"/>
      <c r="F724" s="2374"/>
      <c r="G724" s="2375"/>
      <c r="H724" s="2371"/>
      <c r="I724" s="64"/>
      <c r="J724" s="4"/>
      <c r="K724" s="83"/>
      <c r="L724" s="1177" t="s">
        <v>4894</v>
      </c>
      <c r="M724" s="66"/>
      <c r="N724" s="1042"/>
      <c r="O724" s="1042"/>
      <c r="P724" s="249"/>
      <c r="Q724" s="249"/>
      <c r="R724" s="1132"/>
      <c r="S724" s="1132"/>
      <c r="T724" s="1132"/>
      <c r="U724" s="1132"/>
      <c r="V724" s="1132"/>
      <c r="W724" s="1132"/>
      <c r="X724" s="1757"/>
      <c r="Y724" s="2082"/>
      <c r="Z724" s="2086"/>
      <c r="AA724" s="1526"/>
      <c r="AB724" s="1132"/>
      <c r="AC724" s="1132"/>
      <c r="AD724" s="1132"/>
      <c r="AE724" s="1132"/>
      <c r="AF724" s="249"/>
      <c r="AG724" s="249"/>
      <c r="AH724" s="249"/>
      <c r="AI724" s="249"/>
      <c r="AJ724" s="249"/>
      <c r="AK724" s="249"/>
      <c r="AL724" s="1336"/>
      <c r="AM724" s="1336"/>
      <c r="AN724" s="1336"/>
      <c r="AO724" s="1336"/>
      <c r="AP724" s="1336"/>
      <c r="AQ724" s="1336"/>
      <c r="AR724" s="1336"/>
      <c r="AS724" s="1336"/>
    </row>
    <row r="725" spans="1:45" ht="15.75" thickTop="1" x14ac:dyDescent="0.25">
      <c r="A725" s="2371">
        <v>6</v>
      </c>
      <c r="B725" s="2383" t="s">
        <v>702</v>
      </c>
      <c r="C725" s="2374"/>
      <c r="D725" s="2374"/>
      <c r="E725" s="2374"/>
      <c r="F725" s="2374"/>
      <c r="G725" s="2363" t="str">
        <f>IF(COUNTIF(G727:G744,"P")&gt;0,"P","")</f>
        <v/>
      </c>
      <c r="H725" s="2371" t="s">
        <v>3972</v>
      </c>
      <c r="I725" s="180" t="s">
        <v>702</v>
      </c>
      <c r="J725" s="181"/>
      <c r="K725" s="182"/>
      <c r="L725" s="1781" t="s">
        <v>703</v>
      </c>
      <c r="M725" s="509"/>
      <c r="N725" s="1046"/>
      <c r="O725" s="1046"/>
      <c r="P725" s="105"/>
      <c r="Q725" s="105"/>
      <c r="R725" s="105"/>
      <c r="S725" s="105"/>
      <c r="T725" s="105"/>
      <c r="U725" s="105"/>
      <c r="V725" s="105"/>
      <c r="W725" s="105"/>
      <c r="X725" s="105"/>
      <c r="AA725" s="1526"/>
      <c r="AC725" s="970"/>
      <c r="AD725" s="970"/>
      <c r="AE725" s="970"/>
      <c r="AF725" s="249"/>
      <c r="AG725" s="249"/>
      <c r="AH725" s="249"/>
      <c r="AI725" s="249"/>
      <c r="AJ725" s="249"/>
      <c r="AK725" s="249"/>
      <c r="AL725" s="1336"/>
      <c r="AM725" s="1336"/>
      <c r="AN725" s="1336"/>
      <c r="AO725" s="1336"/>
      <c r="AP725" s="1336"/>
      <c r="AQ725" s="1336"/>
      <c r="AR725" s="1336"/>
      <c r="AS725" s="1336"/>
    </row>
    <row r="726" spans="1:45" x14ac:dyDescent="0.25">
      <c r="A726" s="2371">
        <v>6</v>
      </c>
      <c r="B726" s="2383" t="s">
        <v>702</v>
      </c>
      <c r="C726" s="2374"/>
      <c r="D726" s="2374"/>
      <c r="E726" s="2374"/>
      <c r="F726" s="2374"/>
      <c r="G726" s="2373" t="str">
        <f>G725</f>
        <v/>
      </c>
      <c r="H726" s="2371" t="s">
        <v>3972</v>
      </c>
      <c r="I726" s="130"/>
      <c r="J726" s="129"/>
      <c r="K726" s="95"/>
      <c r="L726" s="1782"/>
      <c r="M726" s="510"/>
      <c r="N726" s="1044"/>
      <c r="O726" s="1044"/>
      <c r="P726" s="94"/>
      <c r="Q726" s="94"/>
      <c r="R726" s="94"/>
      <c r="S726" s="94"/>
      <c r="T726" s="94"/>
      <c r="U726" s="94"/>
      <c r="V726" s="94"/>
      <c r="W726" s="94"/>
      <c r="X726" s="911"/>
      <c r="AA726" s="1526"/>
      <c r="AC726" s="970"/>
      <c r="AD726" s="970"/>
      <c r="AE726" s="970"/>
      <c r="AF726" s="249"/>
      <c r="AG726" s="249"/>
      <c r="AH726" s="249"/>
      <c r="AI726" s="249"/>
      <c r="AJ726" s="249"/>
      <c r="AK726" s="249"/>
      <c r="AL726" s="1336"/>
      <c r="AM726" s="1336"/>
      <c r="AN726" s="1336"/>
      <c r="AO726" s="1336"/>
      <c r="AP726" s="1336"/>
      <c r="AQ726" s="1336"/>
      <c r="AR726" s="1336"/>
      <c r="AS726" s="1336"/>
    </row>
    <row r="727" spans="1:45" x14ac:dyDescent="0.25">
      <c r="A727" s="2371">
        <v>6</v>
      </c>
      <c r="B727" s="2383" t="s">
        <v>702</v>
      </c>
      <c r="C727" s="2374" t="s">
        <v>256</v>
      </c>
      <c r="D727" s="2387"/>
      <c r="E727" s="2374"/>
      <c r="F727" s="2387"/>
      <c r="G727" s="2373" t="str">
        <f>IF(N727&gt;0,"P","")</f>
        <v/>
      </c>
      <c r="H727" s="2386" t="s">
        <v>3972</v>
      </c>
      <c r="I727" s="64"/>
      <c r="J727" s="183" t="s">
        <v>256</v>
      </c>
      <c r="K727" s="95"/>
      <c r="L727" s="1754" t="s">
        <v>704</v>
      </c>
      <c r="M727" s="1758">
        <v>8</v>
      </c>
      <c r="N727" s="1927">
        <f>'Ch6'!O409</f>
        <v>0</v>
      </c>
      <c r="O727" s="1927">
        <f>M727*S727*W727</f>
        <v>0</v>
      </c>
      <c r="P727" s="249" t="b">
        <v>1</v>
      </c>
      <c r="Q727" s="249" t="b">
        <v>0</v>
      </c>
      <c r="R727" s="249" t="b">
        <v>0</v>
      </c>
      <c r="S727" s="249" t="b">
        <f>NOT(OR(NOT(ISBLANK(W752)),NOT(ISBLANK(W759)),NOT(ISBLANK(W765)),NOT(ISBLANK(W772)),NOT(ISBLANK(W778)),NOT(ISBLANK(W784))))</f>
        <v>1</v>
      </c>
      <c r="T727" s="94" t="b">
        <f>IF(AND(NOT(S727),W727=TRUE),TRUE,FALSE)</f>
        <v>0</v>
      </c>
      <c r="U727" s="249"/>
      <c r="V727" s="249"/>
      <c r="W727" s="25"/>
      <c r="X727" s="1757"/>
      <c r="Y727" s="2081" t="str">
        <f>IF(LEN('Ch6'!X409)=0,"None",'Ch6'!X409)</f>
        <v>None</v>
      </c>
      <c r="Z727" s="2083"/>
      <c r="AA727" s="1526"/>
      <c r="AC727" s="970" t="b">
        <f>OR(AD727:AE727)</f>
        <v>0</v>
      </c>
      <c r="AD727" s="970" t="b">
        <f>T727</f>
        <v>0</v>
      </c>
      <c r="AE727" s="970"/>
      <c r="AF727" s="249"/>
      <c r="AG727" s="249"/>
      <c r="AH727" s="249"/>
      <c r="AI727" s="249"/>
      <c r="AJ727" s="249"/>
      <c r="AK727" s="249"/>
      <c r="AL727" s="254" t="str">
        <f>SUBSTITUTE(SUBSTITUTE(SUBSTITUTE("vpa"&amp;$B727&amp;$C727&amp;$D727&amp;$E727,".","_"),"(","_"),")","")</f>
        <v>vpa610_1_1_1</v>
      </c>
      <c r="AM727" s="254">
        <f>M727</f>
        <v>8</v>
      </c>
      <c r="AN727" s="254" t="str">
        <f>SUBSTITUTE(SUBSTITUTE(SUBSTITUTE("vpc"&amp;$B727&amp;$C727&amp;$D727&amp;$E727,".","_"),"(","_"),")","")</f>
        <v>vpc610_1_1_1</v>
      </c>
      <c r="AO727" s="254">
        <f>O727</f>
        <v>0</v>
      </c>
      <c r="AP727" s="1336" t="str">
        <f>SUBSTITUTE(SUBSTITUTE(SUBSTITUTE("vch"&amp;$B727&amp;$C727&amp;$D727&amp;$E727,".","_"),"(","_"),")","")</f>
        <v>vch610_1_1_1</v>
      </c>
      <c r="AQ727" s="254" t="str">
        <f>IF(LEN(W727)=0,"",W727)</f>
        <v/>
      </c>
      <c r="AR727" s="1336" t="str">
        <f>SUBSTITUTE(SUBSTITUTE(SUBSTITUTE("vnt"&amp;$B727&amp;$C727&amp;$D727&amp;$E727,".","_"),"(","_"),")","")</f>
        <v>vnt610_1_1_1</v>
      </c>
      <c r="AS727" s="254" t="str">
        <f>IF(LEN(X727)=0,"",X727)</f>
        <v/>
      </c>
    </row>
    <row r="728" spans="1:45" x14ac:dyDescent="0.25">
      <c r="A728" s="2371">
        <v>6</v>
      </c>
      <c r="B728" s="2383" t="s">
        <v>702</v>
      </c>
      <c r="C728" s="2374" t="s">
        <v>256</v>
      </c>
      <c r="D728" s="2387"/>
      <c r="E728" s="2374"/>
      <c r="F728" s="2387"/>
      <c r="G728" s="2373" t="str">
        <f t="shared" ref="G728:G735" si="48">G727</f>
        <v/>
      </c>
      <c r="H728" s="2386" t="s">
        <v>3972</v>
      </c>
      <c r="I728" s="64"/>
      <c r="J728" s="129"/>
      <c r="K728" s="95"/>
      <c r="L728" s="1754"/>
      <c r="M728" s="1758"/>
      <c r="N728" s="1927"/>
      <c r="O728" s="1927"/>
      <c r="P728" s="249"/>
      <c r="Q728" s="249"/>
      <c r="R728" s="249"/>
      <c r="S728" s="249"/>
      <c r="T728" s="249"/>
      <c r="U728" s="249"/>
      <c r="V728" s="249"/>
      <c r="W728" s="249"/>
      <c r="X728" s="1757"/>
      <c r="Y728" s="2081"/>
      <c r="Z728" s="2083"/>
      <c r="AA728" s="1526"/>
      <c r="AC728" s="970"/>
      <c r="AD728" s="970"/>
      <c r="AE728" s="970"/>
      <c r="AF728" s="249"/>
      <c r="AG728" s="249"/>
      <c r="AH728" s="249"/>
      <c r="AI728" s="249"/>
      <c r="AJ728" s="249"/>
      <c r="AK728" s="249"/>
      <c r="AL728" s="1336"/>
      <c r="AM728" s="1336"/>
      <c r="AN728" s="1336"/>
      <c r="AO728" s="1336"/>
      <c r="AP728" s="1336"/>
      <c r="AQ728" s="1336"/>
      <c r="AR728" s="1336"/>
      <c r="AS728" s="1336"/>
    </row>
    <row r="729" spans="1:45" x14ac:dyDescent="0.25">
      <c r="A729" s="2371">
        <v>6</v>
      </c>
      <c r="B729" s="2383" t="s">
        <v>702</v>
      </c>
      <c r="C729" s="2374" t="s">
        <v>256</v>
      </c>
      <c r="D729" s="2387"/>
      <c r="E729" s="2374"/>
      <c r="F729" s="2387"/>
      <c r="G729" s="2373" t="str">
        <f t="shared" si="48"/>
        <v/>
      </c>
      <c r="H729" s="2386" t="s">
        <v>3972</v>
      </c>
      <c r="I729" s="64"/>
      <c r="J729" s="129"/>
      <c r="K729" s="95"/>
      <c r="L729" s="1754"/>
      <c r="M729" s="1758"/>
      <c r="N729" s="1927"/>
      <c r="O729" s="1927"/>
      <c r="P729" s="249"/>
      <c r="Q729" s="249"/>
      <c r="R729" s="249"/>
      <c r="S729" s="249"/>
      <c r="T729" s="249"/>
      <c r="U729" s="249"/>
      <c r="V729" s="249"/>
      <c r="W729" s="249"/>
      <c r="X729" s="1757"/>
      <c r="Y729" s="2081"/>
      <c r="Z729" s="2083"/>
      <c r="AA729" s="1526"/>
      <c r="AC729" s="970"/>
      <c r="AD729" s="970"/>
      <c r="AE729" s="970"/>
      <c r="AF729" s="249"/>
      <c r="AG729" s="249"/>
      <c r="AH729" s="249"/>
      <c r="AI729" s="249"/>
      <c r="AJ729" s="249"/>
      <c r="AK729" s="249"/>
      <c r="AL729" s="1336"/>
      <c r="AM729" s="1336"/>
      <c r="AN729" s="1336"/>
      <c r="AO729" s="1336"/>
      <c r="AP729" s="1336"/>
      <c r="AQ729" s="1336"/>
      <c r="AR729" s="1336"/>
      <c r="AS729" s="1336"/>
    </row>
    <row r="730" spans="1:45" x14ac:dyDescent="0.25">
      <c r="A730" s="2371">
        <v>6</v>
      </c>
      <c r="B730" s="2383" t="s">
        <v>702</v>
      </c>
      <c r="C730" s="2374" t="s">
        <v>256</v>
      </c>
      <c r="D730" s="2374" t="s">
        <v>121</v>
      </c>
      <c r="E730" s="2374"/>
      <c r="F730" s="2374"/>
      <c r="G730" s="2373" t="str">
        <f t="shared" si="48"/>
        <v/>
      </c>
      <c r="H730" s="2375" t="s">
        <v>3972</v>
      </c>
      <c r="I730" s="64"/>
      <c r="J730" s="129"/>
      <c r="K730" s="91" t="s">
        <v>121</v>
      </c>
      <c r="L730" s="1162" t="s">
        <v>705</v>
      </c>
      <c r="M730" s="1758"/>
      <c r="N730" s="1927"/>
      <c r="O730" s="1927"/>
      <c r="P730" s="249"/>
      <c r="Q730" s="249"/>
      <c r="R730" s="249"/>
      <c r="S730" s="249"/>
      <c r="T730" s="249"/>
      <c r="U730" s="249"/>
      <c r="V730" s="249"/>
      <c r="W730" s="249"/>
      <c r="X730" s="1757"/>
      <c r="Y730" s="2081"/>
      <c r="Z730" s="2083"/>
      <c r="AA730" s="1526"/>
      <c r="AC730" s="970"/>
      <c r="AD730" s="970"/>
      <c r="AE730" s="970"/>
      <c r="AF730" s="249"/>
      <c r="AG730" s="249"/>
      <c r="AH730" s="249"/>
      <c r="AI730" s="249"/>
      <c r="AJ730" s="249"/>
      <c r="AK730" s="249"/>
      <c r="AL730" s="1336"/>
      <c r="AM730" s="1336"/>
      <c r="AN730" s="1336"/>
      <c r="AO730" s="1336"/>
      <c r="AP730" s="1336"/>
      <c r="AQ730" s="1336"/>
      <c r="AR730" s="1336"/>
      <c r="AS730" s="1336"/>
    </row>
    <row r="731" spans="1:45" x14ac:dyDescent="0.25">
      <c r="A731" s="2371">
        <v>6</v>
      </c>
      <c r="B731" s="2383" t="s">
        <v>702</v>
      </c>
      <c r="C731" s="2374" t="s">
        <v>256</v>
      </c>
      <c r="D731" s="2374" t="s">
        <v>122</v>
      </c>
      <c r="E731" s="2374"/>
      <c r="F731" s="2374"/>
      <c r="G731" s="2373" t="str">
        <f t="shared" si="48"/>
        <v/>
      </c>
      <c r="H731" s="2375" t="s">
        <v>3972</v>
      </c>
      <c r="I731" s="64"/>
      <c r="J731" s="129"/>
      <c r="K731" s="91" t="s">
        <v>122</v>
      </c>
      <c r="L731" s="1162" t="s">
        <v>706</v>
      </c>
      <c r="M731" s="1758"/>
      <c r="N731" s="1927"/>
      <c r="O731" s="1927"/>
      <c r="P731" s="249"/>
      <c r="Q731" s="249"/>
      <c r="R731" s="249"/>
      <c r="S731" s="249"/>
      <c r="T731" s="249"/>
      <c r="U731" s="249"/>
      <c r="V731" s="249"/>
      <c r="W731" s="249"/>
      <c r="X731" s="1757"/>
      <c r="Y731" s="2081"/>
      <c r="Z731" s="2083"/>
      <c r="AA731" s="1526"/>
      <c r="AC731" s="970"/>
      <c r="AD731" s="970"/>
      <c r="AE731" s="970"/>
      <c r="AF731" s="249"/>
      <c r="AG731" s="249"/>
      <c r="AH731" s="249"/>
      <c r="AI731" s="249"/>
      <c r="AJ731" s="249"/>
      <c r="AK731" s="249"/>
      <c r="AL731" s="1336"/>
      <c r="AM731" s="1336"/>
      <c r="AN731" s="1336"/>
      <c r="AO731" s="1336"/>
      <c r="AP731" s="1336"/>
      <c r="AQ731" s="1336"/>
      <c r="AR731" s="1336"/>
      <c r="AS731" s="1336"/>
    </row>
    <row r="732" spans="1:45" x14ac:dyDescent="0.25">
      <c r="A732" s="2371">
        <v>6</v>
      </c>
      <c r="B732" s="2383" t="s">
        <v>702</v>
      </c>
      <c r="C732" s="2374" t="s">
        <v>256</v>
      </c>
      <c r="D732" s="2374" t="s">
        <v>123</v>
      </c>
      <c r="E732" s="2374"/>
      <c r="F732" s="2374"/>
      <c r="G732" s="2373" t="str">
        <f t="shared" si="48"/>
        <v/>
      </c>
      <c r="H732" s="2375" t="s">
        <v>3972</v>
      </c>
      <c r="I732" s="64"/>
      <c r="J732" s="129"/>
      <c r="K732" s="91" t="s">
        <v>123</v>
      </c>
      <c r="L732" s="1162" t="s">
        <v>707</v>
      </c>
      <c r="M732" s="1758"/>
      <c r="N732" s="1927"/>
      <c r="O732" s="1927"/>
      <c r="P732" s="249"/>
      <c r="Q732" s="249"/>
      <c r="R732" s="249"/>
      <c r="S732" s="249"/>
      <c r="T732" s="249"/>
      <c r="U732" s="249"/>
      <c r="V732" s="249"/>
      <c r="W732" s="249"/>
      <c r="X732" s="1757"/>
      <c r="Y732" s="2081"/>
      <c r="Z732" s="2083"/>
      <c r="AA732" s="1526"/>
      <c r="AC732" s="970"/>
      <c r="AD732" s="970"/>
      <c r="AE732" s="970"/>
      <c r="AF732" s="249"/>
      <c r="AG732" s="249"/>
      <c r="AH732" s="249"/>
      <c r="AI732" s="249"/>
      <c r="AJ732" s="249"/>
      <c r="AK732" s="249"/>
      <c r="AL732" s="1336"/>
      <c r="AM732" s="1336"/>
      <c r="AN732" s="1336"/>
      <c r="AO732" s="1336"/>
      <c r="AP732" s="1336"/>
      <c r="AQ732" s="1336"/>
      <c r="AR732" s="1336"/>
      <c r="AS732" s="1336"/>
    </row>
    <row r="733" spans="1:45" x14ac:dyDescent="0.25">
      <c r="A733" s="2371">
        <v>6</v>
      </c>
      <c r="B733" s="2383" t="s">
        <v>702</v>
      </c>
      <c r="C733" s="2374" t="s">
        <v>256</v>
      </c>
      <c r="D733" s="2376" t="s">
        <v>401</v>
      </c>
      <c r="E733" s="2374"/>
      <c r="F733" s="2376"/>
      <c r="G733" s="2373" t="str">
        <f t="shared" si="48"/>
        <v/>
      </c>
      <c r="H733" s="2379" t="s">
        <v>3972</v>
      </c>
      <c r="I733" s="64"/>
      <c r="J733" s="129"/>
      <c r="K733" s="110" t="s">
        <v>401</v>
      </c>
      <c r="L733" s="1162" t="s">
        <v>708</v>
      </c>
      <c r="M733" s="1758"/>
      <c r="N733" s="1927"/>
      <c r="O733" s="1927"/>
      <c r="P733" s="249"/>
      <c r="Q733" s="249"/>
      <c r="R733" s="249"/>
      <c r="S733" s="249"/>
      <c r="T733" s="249"/>
      <c r="U733" s="249"/>
      <c r="V733" s="249"/>
      <c r="W733" s="249"/>
      <c r="X733" s="1757"/>
      <c r="Y733" s="2081"/>
      <c r="Z733" s="2083"/>
      <c r="AA733" s="1526"/>
      <c r="AC733" s="970"/>
      <c r="AD733" s="970"/>
      <c r="AE733" s="970"/>
      <c r="AF733" s="249"/>
      <c r="AG733" s="249"/>
      <c r="AH733" s="249"/>
      <c r="AI733" s="249"/>
      <c r="AJ733" s="249"/>
      <c r="AK733" s="249"/>
      <c r="AL733" s="1336"/>
      <c r="AM733" s="1336"/>
      <c r="AN733" s="1336"/>
      <c r="AO733" s="1336"/>
      <c r="AP733" s="1336"/>
      <c r="AQ733" s="1336"/>
      <c r="AR733" s="1336"/>
      <c r="AS733" s="1336"/>
    </row>
    <row r="734" spans="1:45" x14ac:dyDescent="0.25">
      <c r="A734" s="2371">
        <v>6</v>
      </c>
      <c r="B734" s="2383" t="s">
        <v>702</v>
      </c>
      <c r="C734" s="2374" t="s">
        <v>256</v>
      </c>
      <c r="D734" s="2374" t="s">
        <v>539</v>
      </c>
      <c r="E734" s="2374"/>
      <c r="F734" s="2374"/>
      <c r="G734" s="2373" t="str">
        <f t="shared" si="48"/>
        <v/>
      </c>
      <c r="H734" s="2371" t="s">
        <v>3972</v>
      </c>
      <c r="I734" s="64"/>
      <c r="J734" s="129"/>
      <c r="K734" s="187" t="s">
        <v>539</v>
      </c>
      <c r="L734" s="1162" t="s">
        <v>709</v>
      </c>
      <c r="M734" s="1758"/>
      <c r="N734" s="1927"/>
      <c r="O734" s="1927"/>
      <c r="P734" s="249"/>
      <c r="Q734" s="249"/>
      <c r="R734" s="249"/>
      <c r="S734" s="249"/>
      <c r="T734" s="249"/>
      <c r="U734" s="249"/>
      <c r="V734" s="249"/>
      <c r="W734" s="249"/>
      <c r="X734" s="1757"/>
      <c r="Y734" s="2081"/>
      <c r="Z734" s="2083"/>
      <c r="AA734" s="1526"/>
      <c r="AC734" s="970"/>
      <c r="AD734" s="970"/>
      <c r="AE734" s="970"/>
      <c r="AF734" s="249"/>
      <c r="AG734" s="249"/>
      <c r="AH734" s="249"/>
      <c r="AI734" s="249"/>
      <c r="AJ734" s="249"/>
      <c r="AK734" s="249"/>
      <c r="AL734" s="1336"/>
      <c r="AM734" s="1336"/>
      <c r="AN734" s="1336"/>
      <c r="AO734" s="1336"/>
      <c r="AP734" s="1336"/>
      <c r="AQ734" s="1336"/>
      <c r="AR734" s="1336"/>
      <c r="AS734" s="1336"/>
    </row>
    <row r="735" spans="1:45" x14ac:dyDescent="0.25">
      <c r="A735" s="2371">
        <v>6</v>
      </c>
      <c r="B735" s="2383" t="s">
        <v>702</v>
      </c>
      <c r="C735" s="2374" t="s">
        <v>256</v>
      </c>
      <c r="D735" s="2374" t="s">
        <v>604</v>
      </c>
      <c r="E735" s="2374"/>
      <c r="F735" s="2374"/>
      <c r="G735" s="2373" t="str">
        <f t="shared" si="48"/>
        <v/>
      </c>
      <c r="H735" s="2375" t="s">
        <v>3972</v>
      </c>
      <c r="I735" s="64"/>
      <c r="J735" s="210"/>
      <c r="K735" s="174" t="s">
        <v>604</v>
      </c>
      <c r="L735" s="1163" t="s">
        <v>710</v>
      </c>
      <c r="M735" s="1759"/>
      <c r="N735" s="2076"/>
      <c r="O735" s="2076"/>
      <c r="P735" s="249"/>
      <c r="Q735" s="249"/>
      <c r="R735" s="249"/>
      <c r="S735" s="249"/>
      <c r="T735" s="249"/>
      <c r="U735" s="249"/>
      <c r="V735" s="249"/>
      <c r="W735" s="249"/>
      <c r="X735" s="1757"/>
      <c r="Y735" s="2081"/>
      <c r="Z735" s="2083"/>
      <c r="AA735" s="1526"/>
      <c r="AC735" s="970"/>
      <c r="AD735" s="970"/>
      <c r="AE735" s="970"/>
      <c r="AF735" s="249"/>
      <c r="AG735" s="249"/>
      <c r="AH735" s="249"/>
      <c r="AI735" s="249"/>
      <c r="AJ735" s="249"/>
      <c r="AK735" s="249"/>
      <c r="AL735" s="1336"/>
      <c r="AM735" s="1336"/>
      <c r="AN735" s="1336"/>
      <c r="AO735" s="1336"/>
      <c r="AP735" s="1336"/>
      <c r="AQ735" s="1336"/>
      <c r="AR735" s="1336"/>
      <c r="AS735" s="1336"/>
    </row>
    <row r="736" spans="1:45" x14ac:dyDescent="0.25">
      <c r="A736" s="2371">
        <v>6</v>
      </c>
      <c r="B736" s="2383" t="s">
        <v>702</v>
      </c>
      <c r="C736" s="2374" t="s">
        <v>258</v>
      </c>
      <c r="D736" s="2387"/>
      <c r="E736" s="2374"/>
      <c r="F736" s="2387"/>
      <c r="G736" s="2373" t="str">
        <f>IF(N736&gt;0,"P","")</f>
        <v/>
      </c>
      <c r="H736" s="2386" t="s">
        <v>3972</v>
      </c>
      <c r="I736" s="64"/>
      <c r="J736" s="209" t="s">
        <v>258</v>
      </c>
      <c r="K736" s="194"/>
      <c r="L736" s="1778" t="s">
        <v>711</v>
      </c>
      <c r="M736" s="1762">
        <v>5</v>
      </c>
      <c r="N736" s="2079">
        <f>'Ch6'!O418</f>
        <v>0</v>
      </c>
      <c r="O736" s="2079">
        <f>M736*S736*W736</f>
        <v>0</v>
      </c>
      <c r="P736" s="249" t="b">
        <v>1</v>
      </c>
      <c r="Q736" s="249" t="b">
        <v>0</v>
      </c>
      <c r="R736" s="249" t="b">
        <v>0</v>
      </c>
      <c r="S736" s="249" t="b">
        <f>NOT(OR(NOT(ISBLANK(W752)),NOT(ISBLANK(W759)),NOT(ISBLANK(W765)),NOT(ISBLANK(W772)),NOT(ISBLANK(W778)),NOT(ISBLANK(W784))))</f>
        <v>1</v>
      </c>
      <c r="T736" s="94" t="b">
        <f>IF(AND(NOT(S736),W736=TRUE),TRUE,FALSE)</f>
        <v>0</v>
      </c>
      <c r="U736" s="249"/>
      <c r="V736" s="249"/>
      <c r="W736" s="25"/>
      <c r="X736" s="1757"/>
      <c r="Y736" s="2081" t="str">
        <f>IF(LEN('Ch6'!X418)=0,"None",'Ch6'!X418)</f>
        <v>None</v>
      </c>
      <c r="Z736" s="2083"/>
      <c r="AA736" s="1526"/>
      <c r="AC736" s="970" t="b">
        <f>OR(AD736:AE736)</f>
        <v>0</v>
      </c>
      <c r="AD736" s="970" t="b">
        <f>T736</f>
        <v>0</v>
      </c>
      <c r="AE736" s="970"/>
      <c r="AF736" s="249"/>
      <c r="AG736" s="249"/>
      <c r="AH736" s="249"/>
      <c r="AI736" s="249"/>
      <c r="AJ736" s="249"/>
      <c r="AK736" s="249"/>
      <c r="AL736" s="254" t="str">
        <f>SUBSTITUTE(SUBSTITUTE(SUBSTITUTE("vpa"&amp;$B736&amp;$C736&amp;$D736&amp;$E736,".","_"),"(","_"),")","")</f>
        <v>vpa610_1_1_2</v>
      </c>
      <c r="AM736" s="254">
        <f>M736</f>
        <v>5</v>
      </c>
      <c r="AN736" s="254" t="str">
        <f>SUBSTITUTE(SUBSTITUTE(SUBSTITUTE("vpc"&amp;$B736&amp;$C736&amp;$D736&amp;$E736,".","_"),"(","_"),")","")</f>
        <v>vpc610_1_1_2</v>
      </c>
      <c r="AO736" s="254">
        <f>O736</f>
        <v>0</v>
      </c>
      <c r="AP736" s="1336" t="str">
        <f>SUBSTITUTE(SUBSTITUTE(SUBSTITUTE("vch"&amp;$B736&amp;$C736&amp;$D736&amp;$E736,".","_"),"(","_"),")","")</f>
        <v>vch610_1_1_2</v>
      </c>
      <c r="AQ736" s="254" t="str">
        <f>IF(LEN(W736)=0,"",W736)</f>
        <v/>
      </c>
      <c r="AR736" s="1336" t="str">
        <f>SUBSTITUTE(SUBSTITUTE(SUBSTITUTE("vnt"&amp;$B736&amp;$C736&amp;$D736&amp;$E736,".","_"),"(","_"),")","")</f>
        <v>vnt610_1_1_2</v>
      </c>
      <c r="AS736" s="254" t="str">
        <f>IF(LEN(X736)=0,"",X736)</f>
        <v/>
      </c>
    </row>
    <row r="737" spans="1:45" x14ac:dyDescent="0.25">
      <c r="A737" s="2371">
        <v>6</v>
      </c>
      <c r="B737" s="2383" t="s">
        <v>702</v>
      </c>
      <c r="C737" s="2374" t="s">
        <v>258</v>
      </c>
      <c r="D737" s="2387"/>
      <c r="E737" s="2374"/>
      <c r="F737" s="2387"/>
      <c r="G737" s="2373" t="str">
        <f t="shared" ref="G737:G743" si="49">G736</f>
        <v/>
      </c>
      <c r="H737" s="2386" t="s">
        <v>3972</v>
      </c>
      <c r="I737" s="64"/>
      <c r="J737" s="129"/>
      <c r="K737" s="95"/>
      <c r="L737" s="1754"/>
      <c r="M737" s="1758"/>
      <c r="N737" s="1927"/>
      <c r="O737" s="1927"/>
      <c r="P737" s="249"/>
      <c r="Q737" s="249"/>
      <c r="R737" s="249"/>
      <c r="S737" s="249"/>
      <c r="T737" s="249"/>
      <c r="U737" s="249"/>
      <c r="V737" s="249"/>
      <c r="W737" s="249"/>
      <c r="X737" s="1757"/>
      <c r="Y737" s="2081"/>
      <c r="Z737" s="2083"/>
      <c r="AA737" s="1526"/>
      <c r="AC737" s="970"/>
      <c r="AD737" s="970"/>
      <c r="AE737" s="970"/>
      <c r="AF737" s="249"/>
      <c r="AG737" s="249"/>
      <c r="AH737" s="249"/>
      <c r="AI737" s="249"/>
      <c r="AJ737" s="249"/>
      <c r="AK737" s="249"/>
      <c r="AL737" s="1336"/>
      <c r="AM737" s="1336"/>
      <c r="AN737" s="1336"/>
      <c r="AO737" s="1336"/>
      <c r="AP737" s="1336"/>
      <c r="AQ737" s="1336"/>
      <c r="AR737" s="1336"/>
      <c r="AS737" s="1336"/>
    </row>
    <row r="738" spans="1:45" x14ac:dyDescent="0.25">
      <c r="A738" s="2371">
        <v>6</v>
      </c>
      <c r="B738" s="2383" t="s">
        <v>702</v>
      </c>
      <c r="C738" s="2374" t="s">
        <v>258</v>
      </c>
      <c r="D738" s="2387"/>
      <c r="E738" s="2374"/>
      <c r="F738" s="2387"/>
      <c r="G738" s="2373" t="str">
        <f t="shared" si="49"/>
        <v/>
      </c>
      <c r="H738" s="2386" t="s">
        <v>3972</v>
      </c>
      <c r="I738" s="64"/>
      <c r="J738" s="129"/>
      <c r="K738" s="95"/>
      <c r="L738" s="1754"/>
      <c r="M738" s="1758"/>
      <c r="N738" s="1927"/>
      <c r="O738" s="1927"/>
      <c r="P738" s="249"/>
      <c r="Q738" s="249"/>
      <c r="R738" s="249"/>
      <c r="S738" s="249"/>
      <c r="T738" s="249"/>
      <c r="U738" s="249"/>
      <c r="V738" s="249"/>
      <c r="W738" s="249"/>
      <c r="X738" s="1757"/>
      <c r="Y738" s="2081"/>
      <c r="Z738" s="2083"/>
      <c r="AA738" s="1526"/>
      <c r="AC738" s="970"/>
      <c r="AD738" s="970"/>
      <c r="AE738" s="970"/>
      <c r="AF738" s="249"/>
      <c r="AG738" s="249"/>
      <c r="AH738" s="249"/>
      <c r="AI738" s="249"/>
      <c r="AJ738" s="249"/>
      <c r="AK738" s="249"/>
      <c r="AL738" s="1336"/>
      <c r="AM738" s="1336"/>
      <c r="AN738" s="1336"/>
      <c r="AO738" s="1336"/>
      <c r="AP738" s="1336"/>
      <c r="AQ738" s="1336"/>
      <c r="AR738" s="1336"/>
      <c r="AS738" s="1336"/>
    </row>
    <row r="739" spans="1:45" s="1066" customFormat="1" x14ac:dyDescent="0.25">
      <c r="A739" s="2371">
        <v>6</v>
      </c>
      <c r="B739" s="2383" t="s">
        <v>702</v>
      </c>
      <c r="C739" s="2374" t="s">
        <v>258</v>
      </c>
      <c r="D739" s="2387"/>
      <c r="E739" s="2374"/>
      <c r="F739" s="2387"/>
      <c r="G739" s="2373" t="str">
        <f t="shared" si="49"/>
        <v/>
      </c>
      <c r="H739" s="2386" t="s">
        <v>3972</v>
      </c>
      <c r="I739" s="64"/>
      <c r="J739" s="129"/>
      <c r="K739" s="1072"/>
      <c r="L739" s="1754"/>
      <c r="M739" s="1758"/>
      <c r="N739" s="1927"/>
      <c r="O739" s="1927"/>
      <c r="X739" s="1757"/>
      <c r="Y739" s="2081"/>
      <c r="Z739" s="2083"/>
      <c r="AA739" s="1526"/>
      <c r="AL739" s="1336"/>
      <c r="AM739" s="1336"/>
      <c r="AN739" s="1336"/>
      <c r="AO739" s="1336"/>
      <c r="AP739" s="1336"/>
      <c r="AQ739" s="1336"/>
      <c r="AR739" s="1336"/>
      <c r="AS739" s="1336"/>
    </row>
    <row r="740" spans="1:45" x14ac:dyDescent="0.25">
      <c r="A740" s="2371">
        <v>6</v>
      </c>
      <c r="B740" s="2383" t="s">
        <v>702</v>
      </c>
      <c r="C740" s="2374" t="s">
        <v>258</v>
      </c>
      <c r="D740" s="2387"/>
      <c r="E740" s="2374"/>
      <c r="F740" s="2387"/>
      <c r="G740" s="2373" t="str">
        <f t="shared" si="49"/>
        <v/>
      </c>
      <c r="H740" s="2386" t="s">
        <v>3972</v>
      </c>
      <c r="I740" s="64"/>
      <c r="J740" s="129"/>
      <c r="K740" s="95"/>
      <c r="L740" s="1754"/>
      <c r="M740" s="1758"/>
      <c r="N740" s="1927"/>
      <c r="O740" s="1927"/>
      <c r="P740" s="249"/>
      <c r="Q740" s="249"/>
      <c r="R740" s="249"/>
      <c r="S740" s="249"/>
      <c r="T740" s="249"/>
      <c r="U740" s="249"/>
      <c r="V740" s="249"/>
      <c r="W740" s="249"/>
      <c r="X740" s="1757"/>
      <c r="Y740" s="2081"/>
      <c r="Z740" s="2083"/>
      <c r="AA740" s="1526"/>
      <c r="AC740" s="970"/>
      <c r="AD740" s="970"/>
      <c r="AE740" s="970"/>
      <c r="AF740" s="249"/>
      <c r="AG740" s="249"/>
      <c r="AH740" s="249"/>
      <c r="AI740" s="249"/>
      <c r="AJ740" s="249"/>
      <c r="AK740" s="249"/>
      <c r="AL740" s="1336"/>
      <c r="AM740" s="1336"/>
      <c r="AN740" s="1336"/>
      <c r="AO740" s="1336"/>
      <c r="AP740" s="1336"/>
      <c r="AQ740" s="1336"/>
      <c r="AR740" s="1336"/>
      <c r="AS740" s="1336"/>
    </row>
    <row r="741" spans="1:45" x14ac:dyDescent="0.25">
      <c r="A741" s="2371">
        <v>6</v>
      </c>
      <c r="B741" s="2383" t="s">
        <v>702</v>
      </c>
      <c r="C741" s="2374" t="s">
        <v>258</v>
      </c>
      <c r="D741" s="2387"/>
      <c r="E741" s="2374"/>
      <c r="F741" s="2387"/>
      <c r="G741" s="2373" t="str">
        <f t="shared" si="49"/>
        <v/>
      </c>
      <c r="H741" s="2386" t="s">
        <v>3972</v>
      </c>
      <c r="I741" s="64"/>
      <c r="J741" s="129"/>
      <c r="K741" s="95"/>
      <c r="L741" s="1754"/>
      <c r="M741" s="1758"/>
      <c r="N741" s="1927"/>
      <c r="O741" s="1927"/>
      <c r="P741" s="249"/>
      <c r="Q741" s="249"/>
      <c r="R741" s="249"/>
      <c r="S741" s="249"/>
      <c r="T741" s="249"/>
      <c r="U741" s="249"/>
      <c r="V741" s="249"/>
      <c r="W741" s="249"/>
      <c r="X741" s="1757"/>
      <c r="Y741" s="2081"/>
      <c r="Z741" s="2083"/>
      <c r="AA741" s="1526"/>
      <c r="AC741" s="970"/>
      <c r="AD741" s="970"/>
      <c r="AE741" s="970"/>
      <c r="AF741" s="249"/>
      <c r="AG741" s="249"/>
      <c r="AH741" s="249"/>
      <c r="AI741" s="249"/>
      <c r="AJ741" s="249"/>
      <c r="AK741" s="249"/>
      <c r="AL741" s="1336"/>
      <c r="AM741" s="1336"/>
      <c r="AN741" s="1336"/>
      <c r="AO741" s="1336"/>
      <c r="AP741" s="1336"/>
      <c r="AQ741" s="1336"/>
      <c r="AR741" s="1336"/>
      <c r="AS741" s="1336"/>
    </row>
    <row r="742" spans="1:45" x14ac:dyDescent="0.25">
      <c r="A742" s="2371">
        <v>6</v>
      </c>
      <c r="B742" s="2383" t="s">
        <v>702</v>
      </c>
      <c r="C742" s="2374" t="s">
        <v>258</v>
      </c>
      <c r="D742" s="2387"/>
      <c r="E742" s="2374"/>
      <c r="F742" s="2387"/>
      <c r="G742" s="2373" t="str">
        <f t="shared" si="49"/>
        <v/>
      </c>
      <c r="H742" s="2386" t="s">
        <v>3972</v>
      </c>
      <c r="I742" s="64"/>
      <c r="J742" s="129"/>
      <c r="K742" s="95"/>
      <c r="L742" s="1754"/>
      <c r="M742" s="1758"/>
      <c r="N742" s="1927"/>
      <c r="O742" s="1927"/>
      <c r="P742" s="249"/>
      <c r="Q742" s="249"/>
      <c r="R742" s="249"/>
      <c r="S742" s="249"/>
      <c r="T742" s="249"/>
      <c r="U742" s="249"/>
      <c r="V742" s="249"/>
      <c r="W742" s="249"/>
      <c r="X742" s="1757"/>
      <c r="Y742" s="2081"/>
      <c r="Z742" s="2083"/>
      <c r="AA742" s="1526"/>
      <c r="AC742" s="970"/>
      <c r="AD742" s="970"/>
      <c r="AE742" s="970"/>
      <c r="AF742" s="249"/>
      <c r="AG742" s="249"/>
      <c r="AH742" s="249"/>
      <c r="AI742" s="249"/>
      <c r="AJ742" s="249"/>
      <c r="AK742" s="249"/>
      <c r="AL742" s="1336"/>
      <c r="AM742" s="1336"/>
      <c r="AN742" s="1336"/>
      <c r="AO742" s="1336"/>
      <c r="AP742" s="1336"/>
      <c r="AQ742" s="1336"/>
      <c r="AR742" s="1336"/>
      <c r="AS742" s="1336"/>
    </row>
    <row r="743" spans="1:45" x14ac:dyDescent="0.25">
      <c r="A743" s="2371">
        <v>6</v>
      </c>
      <c r="B743" s="2383" t="s">
        <v>702</v>
      </c>
      <c r="C743" s="2374" t="s">
        <v>258</v>
      </c>
      <c r="D743" s="2387"/>
      <c r="E743" s="2374"/>
      <c r="F743" s="2387"/>
      <c r="G743" s="2373" t="str">
        <f t="shared" si="49"/>
        <v/>
      </c>
      <c r="H743" s="2386" t="s">
        <v>3972</v>
      </c>
      <c r="I743" s="64"/>
      <c r="J743" s="210"/>
      <c r="K743" s="175"/>
      <c r="L743" s="1755"/>
      <c r="M743" s="1759"/>
      <c r="N743" s="2076"/>
      <c r="O743" s="2076"/>
      <c r="P743" s="249"/>
      <c r="Q743" s="249"/>
      <c r="R743" s="249"/>
      <c r="S743" s="249"/>
      <c r="T743" s="249"/>
      <c r="U743" s="249"/>
      <c r="V743" s="249"/>
      <c r="W743" s="249"/>
      <c r="X743" s="1757"/>
      <c r="Y743" s="2081"/>
      <c r="Z743" s="2083"/>
      <c r="AA743" s="1526"/>
      <c r="AC743" s="970"/>
      <c r="AD743" s="970"/>
      <c r="AE743" s="970"/>
      <c r="AF743" s="249"/>
      <c r="AG743" s="249"/>
      <c r="AH743" s="249"/>
      <c r="AI743" s="249"/>
      <c r="AJ743" s="249"/>
      <c r="AK743" s="249"/>
      <c r="AL743" s="1336"/>
      <c r="AM743" s="1336"/>
      <c r="AN743" s="1336"/>
      <c r="AO743" s="1336"/>
      <c r="AP743" s="1336"/>
      <c r="AQ743" s="1336"/>
      <c r="AR743" s="1336"/>
      <c r="AS743" s="1336"/>
    </row>
    <row r="744" spans="1:45" x14ac:dyDescent="0.25">
      <c r="A744" s="2371">
        <v>6</v>
      </c>
      <c r="B744" s="2383" t="s">
        <v>702</v>
      </c>
      <c r="C744" s="2374" t="s">
        <v>260</v>
      </c>
      <c r="D744" s="2387"/>
      <c r="E744" s="2374"/>
      <c r="F744" s="2387"/>
      <c r="G744" s="2373" t="str">
        <f>IF(N744&gt;0,"P","")</f>
        <v/>
      </c>
      <c r="H744" s="2386" t="s">
        <v>3972</v>
      </c>
      <c r="I744" s="64"/>
      <c r="J744" s="27" t="s">
        <v>260</v>
      </c>
      <c r="K744" s="83"/>
      <c r="L744" s="1779" t="s">
        <v>712</v>
      </c>
      <c r="M744" s="1767">
        <v>2</v>
      </c>
      <c r="N744" s="2079">
        <f>'Ch6'!O426</f>
        <v>0</v>
      </c>
      <c r="O744" s="2075">
        <f>M744*S744*W744</f>
        <v>0</v>
      </c>
      <c r="P744" s="249" t="b">
        <v>1</v>
      </c>
      <c r="Q744" s="249" t="b">
        <v>0</v>
      </c>
      <c r="R744" s="249" t="b">
        <v>0</v>
      </c>
      <c r="S744" s="249" t="b">
        <f>NOT(OR(NOT(ISBLANK(W752)),NOT(ISBLANK(W759)),NOT(ISBLANK(W765)),NOT(ISBLANK(W772)),NOT(ISBLANK(W778)),NOT(ISBLANK(W784))))</f>
        <v>1</v>
      </c>
      <c r="T744" s="94" t="b">
        <f>IF(AND(NOT(S744),W744=TRUE),TRUE,FALSE)</f>
        <v>0</v>
      </c>
      <c r="U744" s="249"/>
      <c r="V744" s="249"/>
      <c r="W744" s="25"/>
      <c r="X744" s="1798"/>
      <c r="Y744" s="2081" t="str">
        <f>IF(LEN('Ch6'!X426)=0,"None",'Ch6'!X426)</f>
        <v>None</v>
      </c>
      <c r="Z744" s="2084"/>
      <c r="AA744" s="1526"/>
      <c r="AC744" s="970" t="b">
        <f>OR(AD744:AE744)</f>
        <v>0</v>
      </c>
      <c r="AD744" s="970" t="b">
        <f>T744</f>
        <v>0</v>
      </c>
      <c r="AE744" s="970"/>
      <c r="AF744" s="249"/>
      <c r="AG744" s="249"/>
      <c r="AH744" s="249"/>
      <c r="AI744" s="249"/>
      <c r="AJ744" s="249"/>
      <c r="AK744" s="249"/>
      <c r="AL744" s="254" t="str">
        <f>SUBSTITUTE(SUBSTITUTE(SUBSTITUTE("vpa"&amp;$B744&amp;$C744&amp;$D744&amp;$E744,".","_"),"(","_"),")","")</f>
        <v>vpa610_1_1_3</v>
      </c>
      <c r="AM744" s="254">
        <f>M744</f>
        <v>2</v>
      </c>
      <c r="AN744" s="254" t="str">
        <f>SUBSTITUTE(SUBSTITUTE(SUBSTITUTE("vpc"&amp;$B744&amp;$C744&amp;$D744&amp;$E744,".","_"),"(","_"),")","")</f>
        <v>vpc610_1_1_3</v>
      </c>
      <c r="AO744" s="254">
        <f>O744</f>
        <v>0</v>
      </c>
      <c r="AP744" s="1336" t="str">
        <f>SUBSTITUTE(SUBSTITUTE(SUBSTITUTE("vch"&amp;$B744&amp;$C744&amp;$D744&amp;$E744,".","_"),"(","_"),")","")</f>
        <v>vch610_1_1_3</v>
      </c>
      <c r="AQ744" s="254" t="str">
        <f>IF(LEN(W744)=0,"",W744)</f>
        <v/>
      </c>
      <c r="AR744" s="1336" t="str">
        <f>SUBSTITUTE(SUBSTITUTE(SUBSTITUTE("vnt"&amp;$B744&amp;$C744&amp;$D744&amp;$E744,".","_"),"(","_"),")","")</f>
        <v>vnt610_1_1_3</v>
      </c>
      <c r="AS744" s="254" t="str">
        <f>IF(LEN(X744)=0,"",X744)</f>
        <v/>
      </c>
    </row>
    <row r="745" spans="1:45" ht="15.75" thickBot="1" x14ac:dyDescent="0.3">
      <c r="A745" s="2371">
        <v>6</v>
      </c>
      <c r="B745" s="2383" t="s">
        <v>702</v>
      </c>
      <c r="C745" s="2374" t="s">
        <v>260</v>
      </c>
      <c r="D745" s="2387"/>
      <c r="E745" s="2374"/>
      <c r="F745" s="2387"/>
      <c r="G745" s="2373" t="str">
        <f>G744</f>
        <v/>
      </c>
      <c r="H745" s="2386" t="s">
        <v>3972</v>
      </c>
      <c r="I745" s="64"/>
      <c r="J745" s="4"/>
      <c r="K745" s="83"/>
      <c r="L745" s="1779"/>
      <c r="M745" s="1767"/>
      <c r="N745" s="1928"/>
      <c r="O745" s="2075"/>
      <c r="P745" s="249"/>
      <c r="Q745" s="249"/>
      <c r="R745" s="249"/>
      <c r="S745" s="249"/>
      <c r="T745" s="249"/>
      <c r="U745" s="249"/>
      <c r="V745" s="249"/>
      <c r="W745" s="249"/>
      <c r="X745" s="1799"/>
      <c r="Y745" s="2082"/>
      <c r="Z745" s="2086"/>
      <c r="AA745" s="1526"/>
      <c r="AC745" s="970"/>
      <c r="AD745" s="970"/>
      <c r="AE745" s="970"/>
      <c r="AF745" s="249"/>
      <c r="AG745" s="249"/>
      <c r="AH745" s="249"/>
      <c r="AI745" s="249"/>
      <c r="AJ745" s="249"/>
      <c r="AK745" s="249"/>
      <c r="AL745" s="1336"/>
      <c r="AM745" s="1336"/>
      <c r="AN745" s="1336"/>
      <c r="AO745" s="1336"/>
      <c r="AP745" s="1336"/>
      <c r="AQ745" s="1336"/>
      <c r="AR745" s="1336"/>
      <c r="AS745" s="1336"/>
    </row>
    <row r="746" spans="1:45" ht="15.75" thickTop="1" x14ac:dyDescent="0.25">
      <c r="A746" s="2371">
        <v>6</v>
      </c>
      <c r="B746" s="2383" t="s">
        <v>713</v>
      </c>
      <c r="C746" s="2374"/>
      <c r="D746" s="2374"/>
      <c r="E746" s="2374"/>
      <c r="F746" s="2374"/>
      <c r="G746" s="2373" t="str">
        <f ca="1">IF(N746&gt;0,"P","")</f>
        <v/>
      </c>
      <c r="H746" s="2371" t="s">
        <v>3972</v>
      </c>
      <c r="I746" s="180" t="s">
        <v>713</v>
      </c>
      <c r="J746" s="181"/>
      <c r="K746" s="182"/>
      <c r="L746" s="1781" t="s">
        <v>714</v>
      </c>
      <c r="M746" s="1772" t="s">
        <v>715</v>
      </c>
      <c r="N746" s="2080">
        <f ca="1">'Ch6'!O428</f>
        <v>0</v>
      </c>
      <c r="O746" s="2080">
        <f ca="1">MIN(10,(R753+R760)+IFERROR((INDEX({3,3,6,4,4,6,8,5,5,9,9,10},MATCH(R764*4+S764*5,{8,9,10,12,13,14,15,16,17,18,19,20},0))),0))</f>
        <v>0</v>
      </c>
      <c r="P746" s="105"/>
      <c r="Q746" s="105"/>
      <c r="R746" s="105"/>
      <c r="S746" s="105"/>
      <c r="T746" s="105"/>
      <c r="U746" s="105"/>
      <c r="V746" s="105"/>
      <c r="W746" s="105"/>
      <c r="X746" s="105"/>
      <c r="AA746" s="1526"/>
      <c r="AC746" s="970"/>
      <c r="AD746" s="970"/>
      <c r="AE746" s="970"/>
      <c r="AF746" s="249"/>
      <c r="AG746" s="249"/>
      <c r="AH746" s="249"/>
      <c r="AI746" s="249"/>
      <c r="AJ746" s="249"/>
      <c r="AK746" s="249"/>
      <c r="AL746" s="254" t="str">
        <f>SUBSTITUTE(SUBSTITUTE(SUBSTITUTE("vpa"&amp;$B746&amp;$C746&amp;$D746&amp;$E746,".","_"),"(","_"),")","")</f>
        <v>vpa610_1_2</v>
      </c>
      <c r="AM746" s="254" t="str">
        <f>M746</f>
        <v xml:space="preserve">10 Max </v>
      </c>
      <c r="AN746" s="254" t="str">
        <f>SUBSTITUTE(SUBSTITUTE(SUBSTITUTE("vpc"&amp;$B746&amp;$C746&amp;$D746&amp;$E746,".","_"),"(","_"),")","")</f>
        <v>vpc610_1_2</v>
      </c>
      <c r="AO746" s="254">
        <f ca="1">O746</f>
        <v>0</v>
      </c>
      <c r="AP746" s="1336"/>
      <c r="AQ746" s="1336"/>
      <c r="AR746" s="1336"/>
      <c r="AS746" s="1336"/>
    </row>
    <row r="747" spans="1:45" x14ac:dyDescent="0.25">
      <c r="A747" s="2371">
        <v>6</v>
      </c>
      <c r="B747" s="2383" t="s">
        <v>713</v>
      </c>
      <c r="C747" s="2374"/>
      <c r="D747" s="2374"/>
      <c r="E747" s="2374"/>
      <c r="F747" s="2374"/>
      <c r="G747" s="2373" t="str">
        <f t="shared" ref="G747:G788" ca="1" si="50">G746</f>
        <v/>
      </c>
      <c r="H747" s="2371" t="s">
        <v>3972</v>
      </c>
      <c r="I747" s="130"/>
      <c r="J747" s="129"/>
      <c r="K747" s="95"/>
      <c r="L747" s="1782"/>
      <c r="M747" s="1758"/>
      <c r="N747" s="1927"/>
      <c r="O747" s="1927"/>
      <c r="P747" s="94"/>
      <c r="Q747" s="94"/>
      <c r="R747" s="94"/>
      <c r="S747" s="94"/>
      <c r="T747" s="94"/>
      <c r="U747" s="94"/>
      <c r="V747" s="94"/>
      <c r="W747" s="94"/>
      <c r="X747" s="911"/>
      <c r="AA747" s="1526"/>
      <c r="AC747" s="970"/>
      <c r="AD747" s="970"/>
      <c r="AE747" s="970"/>
      <c r="AF747" s="249"/>
      <c r="AG747" s="249"/>
      <c r="AH747" s="249"/>
      <c r="AI747" s="249"/>
      <c r="AJ747" s="249"/>
      <c r="AK747" s="249"/>
      <c r="AL747" s="1336"/>
      <c r="AM747" s="1336"/>
      <c r="AN747" s="1336"/>
      <c r="AO747" s="1336"/>
      <c r="AP747" s="1336"/>
      <c r="AQ747" s="1336"/>
      <c r="AR747" s="1336"/>
      <c r="AS747" s="1336"/>
    </row>
    <row r="748" spans="1:45" x14ac:dyDescent="0.25">
      <c r="A748" s="2371">
        <v>6</v>
      </c>
      <c r="B748" s="2383" t="s">
        <v>713</v>
      </c>
      <c r="C748" s="2374"/>
      <c r="D748" s="2374"/>
      <c r="E748" s="2374"/>
      <c r="F748" s="2374"/>
      <c r="G748" s="2373" t="str">
        <f t="shared" ca="1" si="50"/>
        <v/>
      </c>
      <c r="H748" s="2371" t="s">
        <v>3972</v>
      </c>
      <c r="I748" s="130"/>
      <c r="J748" s="129"/>
      <c r="K748" s="95"/>
      <c r="L748" s="1782"/>
      <c r="M748" s="1758"/>
      <c r="N748" s="1927"/>
      <c r="O748" s="1927"/>
      <c r="P748" s="94"/>
      <c r="Q748" s="94"/>
      <c r="R748" s="94"/>
      <c r="S748" s="94"/>
      <c r="T748" s="94"/>
      <c r="U748" s="94"/>
      <c r="V748" s="94"/>
      <c r="W748" s="94"/>
      <c r="X748" s="911"/>
      <c r="AA748" s="1526"/>
      <c r="AC748" s="970"/>
      <c r="AD748" s="970"/>
      <c r="AE748" s="970"/>
      <c r="AF748" s="249"/>
      <c r="AG748" s="249"/>
      <c r="AH748" s="249"/>
      <c r="AI748" s="249"/>
      <c r="AJ748" s="249"/>
      <c r="AK748" s="249"/>
      <c r="AL748" s="1336"/>
      <c r="AM748" s="1336"/>
      <c r="AN748" s="1336"/>
      <c r="AO748" s="1336"/>
      <c r="AP748" s="1336"/>
      <c r="AQ748" s="1336"/>
      <c r="AR748" s="1336"/>
      <c r="AS748" s="1336"/>
    </row>
    <row r="749" spans="1:45" x14ac:dyDescent="0.25">
      <c r="A749" s="2371">
        <v>6</v>
      </c>
      <c r="B749" s="2383" t="s">
        <v>713</v>
      </c>
      <c r="C749" s="2374"/>
      <c r="D749" s="2374"/>
      <c r="E749" s="2374"/>
      <c r="F749" s="2374"/>
      <c r="G749" s="2373" t="str">
        <f t="shared" ca="1" si="50"/>
        <v/>
      </c>
      <c r="H749" s="2371" t="s">
        <v>3972</v>
      </c>
      <c r="I749" s="215"/>
      <c r="J749" s="210"/>
      <c r="K749" s="175"/>
      <c r="L749" s="1843"/>
      <c r="M749" s="1759"/>
      <c r="N749" s="2076"/>
      <c r="O749" s="2076"/>
      <c r="P749" s="94"/>
      <c r="Q749" s="94"/>
      <c r="R749" s="94"/>
      <c r="S749" s="94"/>
      <c r="T749" s="94"/>
      <c r="U749" s="94"/>
      <c r="V749" s="94"/>
      <c r="W749" s="94"/>
      <c r="X749" s="911"/>
      <c r="AA749" s="1526"/>
      <c r="AC749" s="970"/>
      <c r="AD749" s="970"/>
      <c r="AE749" s="970"/>
      <c r="AF749" s="249"/>
      <c r="AG749" s="249"/>
      <c r="AH749" s="249"/>
      <c r="AI749" s="249"/>
      <c r="AJ749" s="249"/>
      <c r="AK749" s="249"/>
      <c r="AL749" s="1336"/>
      <c r="AM749" s="1336"/>
      <c r="AN749" s="1336"/>
      <c r="AO749" s="1336"/>
      <c r="AP749" s="1336"/>
      <c r="AQ749" s="1336"/>
      <c r="AR749" s="1336"/>
      <c r="AS749" s="1336"/>
    </row>
    <row r="750" spans="1:45" ht="15" customHeight="1" x14ac:dyDescent="0.25">
      <c r="A750" s="2371">
        <v>6</v>
      </c>
      <c r="B750" s="2383" t="s">
        <v>716</v>
      </c>
      <c r="C750" s="2374"/>
      <c r="D750" s="2374"/>
      <c r="E750" s="2374"/>
      <c r="F750" s="2374"/>
      <c r="G750" s="2373" t="str">
        <f t="shared" ca="1" si="50"/>
        <v/>
      </c>
      <c r="H750" s="2371" t="s">
        <v>3972</v>
      </c>
      <c r="I750" s="192" t="s">
        <v>716</v>
      </c>
      <c r="J750" s="193"/>
      <c r="K750" s="194"/>
      <c r="L750" s="1864" t="s">
        <v>717</v>
      </c>
      <c r="M750" s="1868" t="s">
        <v>3121</v>
      </c>
      <c r="N750" s="1042"/>
      <c r="O750" s="1042"/>
      <c r="P750" s="249"/>
      <c r="Q750" s="249"/>
      <c r="R750" s="249"/>
      <c r="S750" s="249"/>
      <c r="T750" s="249"/>
      <c r="U750" s="249"/>
      <c r="V750" s="249"/>
      <c r="W750" s="1699" t="s">
        <v>3108</v>
      </c>
      <c r="X750" s="1757"/>
      <c r="Y750" s="2081" t="str">
        <f>IF(LEN('Ch6'!X432)=0,"None",'Ch6'!X432)</f>
        <v>None</v>
      </c>
      <c r="Z750" s="2083"/>
      <c r="AA750" s="1526"/>
      <c r="AC750" s="970"/>
      <c r="AD750" s="970"/>
      <c r="AE750" s="970"/>
      <c r="AF750" s="249"/>
      <c r="AG750" s="249"/>
      <c r="AH750" s="249"/>
      <c r="AI750" s="249"/>
      <c r="AJ750" s="249"/>
      <c r="AK750" s="249"/>
      <c r="AL750" s="254" t="str">
        <f>SUBSTITUTE(SUBSTITUTE(SUBSTITUTE("vpa"&amp;$B750&amp;$C750&amp;$D750&amp;$E750,".","_"),"(","_"),")","")</f>
        <v>vpa610_1_2_1</v>
      </c>
      <c r="AM750" s="254" t="str">
        <f>M750</f>
        <v>per Table 610.1.2.1
10 Max</v>
      </c>
      <c r="AN750" s="1336"/>
      <c r="AO750" s="1336"/>
      <c r="AP750" s="1336"/>
      <c r="AQ750" s="1336"/>
      <c r="AR750" s="1336" t="str">
        <f>SUBSTITUTE(SUBSTITUTE(SUBSTITUTE("vnt"&amp;$B750&amp;$C750&amp;$D750&amp;$E750,".","_"),"(","_"),")","")</f>
        <v>vnt610_1_2_1</v>
      </c>
      <c r="AS750" s="254" t="str">
        <f>IF(LEN(X750)=0,"",X750)</f>
        <v/>
      </c>
    </row>
    <row r="751" spans="1:45" x14ac:dyDescent="0.25">
      <c r="A751" s="2371">
        <v>6</v>
      </c>
      <c r="B751" s="2383" t="s">
        <v>716</v>
      </c>
      <c r="C751" s="2374"/>
      <c r="D751" s="2374"/>
      <c r="E751" s="2374"/>
      <c r="F751" s="2374"/>
      <c r="G751" s="2373" t="str">
        <f t="shared" ca="1" si="50"/>
        <v/>
      </c>
      <c r="H751" s="2371" t="s">
        <v>3972</v>
      </c>
      <c r="I751" s="130"/>
      <c r="J751" s="129"/>
      <c r="K751" s="95"/>
      <c r="L751" s="1782"/>
      <c r="M751" s="1869"/>
      <c r="N751" s="1042"/>
      <c r="O751" s="1042"/>
      <c r="P751" s="249"/>
      <c r="Q751" s="249"/>
      <c r="R751" s="249"/>
      <c r="S751" s="249"/>
      <c r="T751" s="249"/>
      <c r="U751" s="94"/>
      <c r="V751" s="249"/>
      <c r="W751" s="1699"/>
      <c r="X751" s="1757"/>
      <c r="Y751" s="2081"/>
      <c r="Z751" s="2083"/>
      <c r="AA751" s="1526"/>
      <c r="AC751" s="970"/>
      <c r="AD751" s="970"/>
      <c r="AE751" s="970"/>
      <c r="AF751" s="249"/>
      <c r="AG751" s="249"/>
      <c r="AH751" s="249"/>
      <c r="AI751" s="249"/>
      <c r="AJ751" s="249"/>
      <c r="AK751" s="249"/>
      <c r="AL751" s="1336"/>
      <c r="AM751" s="1336"/>
      <c r="AN751" s="1336"/>
      <c r="AO751" s="1336"/>
      <c r="AP751" s="1336"/>
      <c r="AQ751" s="1336"/>
      <c r="AR751" s="1336"/>
      <c r="AS751" s="1336"/>
    </row>
    <row r="752" spans="1:45" x14ac:dyDescent="0.25">
      <c r="A752" s="2371">
        <v>6</v>
      </c>
      <c r="B752" s="2383" t="s">
        <v>716</v>
      </c>
      <c r="C752" s="2374"/>
      <c r="D752" s="2374"/>
      <c r="E752" s="2374" t="s">
        <v>2971</v>
      </c>
      <c r="F752" s="2374"/>
      <c r="G752" s="2373" t="str">
        <f t="shared" ca="1" si="50"/>
        <v/>
      </c>
      <c r="H752" s="2371" t="s">
        <v>3972</v>
      </c>
      <c r="I752" s="130"/>
      <c r="J752" s="129"/>
      <c r="K752" s="95"/>
      <c r="L752" s="1782"/>
      <c r="M752" s="1869"/>
      <c r="N752" s="1042"/>
      <c r="O752" s="1042"/>
      <c r="P752" s="249" t="b">
        <v>1</v>
      </c>
      <c r="Q752" s="249" t="b">
        <v>0</v>
      </c>
      <c r="R752" s="249" t="b">
        <v>0</v>
      </c>
      <c r="S752" s="249" t="b">
        <f>COUNTIF(W727:W744,TRUE)&lt;1</f>
        <v>1</v>
      </c>
      <c r="T752" s="94" t="b">
        <f>IF(AND(NOT(S752),LEN(W752)&gt;0),TRUE,FALSE)</f>
        <v>0</v>
      </c>
      <c r="U752" s="94" t="str">
        <f>SUBSTITUTE(SUBSTITUTE(SUBSTITUTE("dd"&amp;B752&amp;C752&amp;D752&amp;E752&amp;F752,".","_"),"(","_"),")","")</f>
        <v>dd610_1_2_1a</v>
      </c>
      <c r="V752" s="249"/>
      <c r="W752" s="12"/>
      <c r="X752" s="1757"/>
      <c r="Y752" s="2081"/>
      <c r="Z752" s="2083"/>
      <c r="AA752" s="1526"/>
      <c r="AC752" s="970" t="b">
        <f>OR(AD752:AE752)</f>
        <v>0</v>
      </c>
      <c r="AD752" s="970" t="b">
        <f>T752</f>
        <v>0</v>
      </c>
      <c r="AE752" s="970" t="b">
        <f>AND(NOT(ISBLANK(W752)),LEN(X750)=0)</f>
        <v>0</v>
      </c>
      <c r="AF752" s="784" t="b">
        <f>AND(AE752,NOT(Q752))</f>
        <v>0</v>
      </c>
      <c r="AG752" s="249"/>
      <c r="AH752" s="249"/>
      <c r="AI752" s="249"/>
      <c r="AJ752" s="249"/>
      <c r="AK752" s="249"/>
      <c r="AL752" s="1336"/>
      <c r="AM752" s="1336"/>
      <c r="AN752" s="1336"/>
      <c r="AO752" s="1336"/>
      <c r="AP752" s="1336" t="str">
        <f>SUBSTITUTE(SUBSTITUTE(SUBSTITUTE("vch"&amp;$B752&amp;$C752&amp;$D752&amp;$E752,".","_"),"(","_"),")","")</f>
        <v>vch610_1_2_1a</v>
      </c>
      <c r="AQ752" s="254" t="str">
        <f>IF(LEN(W752)=0,"",W752)</f>
        <v/>
      </c>
      <c r="AR752" s="1336"/>
      <c r="AS752" s="1336"/>
    </row>
    <row r="753" spans="1:45" x14ac:dyDescent="0.25">
      <c r="A753" s="2371">
        <v>6</v>
      </c>
      <c r="B753" s="2383" t="s">
        <v>716</v>
      </c>
      <c r="C753" s="2374" t="s">
        <v>121</v>
      </c>
      <c r="D753" s="2374"/>
      <c r="E753" s="2374"/>
      <c r="F753" s="2374"/>
      <c r="G753" s="2373" t="str">
        <f t="shared" ca="1" si="50"/>
        <v/>
      </c>
      <c r="H753" s="2375" t="s">
        <v>3972</v>
      </c>
      <c r="I753" s="130"/>
      <c r="J753" s="129"/>
      <c r="K753" s="91" t="s">
        <v>121</v>
      </c>
      <c r="L753" s="1162" t="s">
        <v>705</v>
      </c>
      <c r="M753" s="1869"/>
      <c r="N753" s="1042"/>
      <c r="O753" s="1042"/>
      <c r="P753" s="249"/>
      <c r="Q753" s="249"/>
      <c r="R753" s="1">
        <f ca="1">2*IFERROR(MATCH(W752,INDIRECT(U752),0),0)*S752</f>
        <v>0</v>
      </c>
      <c r="S753" s="249"/>
      <c r="T753" s="249"/>
      <c r="U753" s="249"/>
      <c r="V753" s="249"/>
      <c r="W753" s="249"/>
      <c r="X753" s="1757"/>
      <c r="Y753" s="2081"/>
      <c r="Z753" s="2083"/>
      <c r="AA753" s="1526"/>
      <c r="AC753" s="970"/>
      <c r="AD753" s="970"/>
      <c r="AE753" s="970"/>
      <c r="AF753" s="249"/>
      <c r="AG753" s="249"/>
      <c r="AH753" s="249"/>
      <c r="AI753" s="249"/>
      <c r="AJ753" s="249"/>
      <c r="AK753" s="249"/>
      <c r="AL753" s="1336"/>
      <c r="AM753" s="1336"/>
      <c r="AN753" s="1336"/>
      <c r="AO753" s="1336"/>
      <c r="AP753" s="1336"/>
      <c r="AQ753" s="1336"/>
      <c r="AR753" s="1336"/>
      <c r="AS753" s="1336"/>
    </row>
    <row r="754" spans="1:45" x14ac:dyDescent="0.25">
      <c r="A754" s="2371">
        <v>6</v>
      </c>
      <c r="B754" s="2383" t="s">
        <v>716</v>
      </c>
      <c r="C754" s="2374" t="s">
        <v>122</v>
      </c>
      <c r="D754" s="2374"/>
      <c r="E754" s="2374"/>
      <c r="F754" s="2374"/>
      <c r="G754" s="2373" t="str">
        <f t="shared" ca="1" si="50"/>
        <v/>
      </c>
      <c r="H754" s="2375" t="s">
        <v>3972</v>
      </c>
      <c r="I754" s="130"/>
      <c r="J754" s="129"/>
      <c r="K754" s="91" t="s">
        <v>122</v>
      </c>
      <c r="L754" s="1162" t="s">
        <v>706</v>
      </c>
      <c r="M754" s="1869"/>
      <c r="N754" s="1042"/>
      <c r="O754" s="1042"/>
      <c r="P754" s="249"/>
      <c r="Q754" s="249"/>
      <c r="R754" s="249"/>
      <c r="S754" s="249"/>
      <c r="T754" s="249"/>
      <c r="U754" s="249"/>
      <c r="V754" s="249"/>
      <c r="W754" s="249"/>
      <c r="X754" s="1757"/>
      <c r="Y754" s="2081"/>
      <c r="Z754" s="2083"/>
      <c r="AA754" s="1526"/>
      <c r="AC754" s="970"/>
      <c r="AD754" s="970"/>
      <c r="AE754" s="970"/>
      <c r="AF754" s="249"/>
      <c r="AG754" s="249"/>
      <c r="AH754" s="249"/>
      <c r="AI754" s="249"/>
      <c r="AJ754" s="249"/>
      <c r="AK754" s="249"/>
      <c r="AL754" s="1336"/>
      <c r="AM754" s="1336"/>
      <c r="AN754" s="1336"/>
      <c r="AO754" s="1336"/>
      <c r="AP754" s="1336"/>
      <c r="AQ754" s="1336"/>
      <c r="AR754" s="1336"/>
      <c r="AS754" s="1336"/>
    </row>
    <row r="755" spans="1:45" x14ac:dyDescent="0.25">
      <c r="A755" s="2371">
        <v>6</v>
      </c>
      <c r="B755" s="2383" t="s">
        <v>716</v>
      </c>
      <c r="C755" s="2374" t="s">
        <v>123</v>
      </c>
      <c r="D755" s="2374"/>
      <c r="E755" s="2374"/>
      <c r="F755" s="2374"/>
      <c r="G755" s="2373" t="str">
        <f t="shared" ca="1" si="50"/>
        <v/>
      </c>
      <c r="H755" s="2375" t="s">
        <v>3972</v>
      </c>
      <c r="I755" s="130"/>
      <c r="J755" s="129"/>
      <c r="K755" s="91" t="s">
        <v>123</v>
      </c>
      <c r="L755" s="1162" t="s">
        <v>707</v>
      </c>
      <c r="M755" s="1869"/>
      <c r="N755" s="1042"/>
      <c r="O755" s="1042"/>
      <c r="P755" s="249"/>
      <c r="Q755" s="249"/>
      <c r="R755" s="249"/>
      <c r="S755" s="249"/>
      <c r="T755" s="249"/>
      <c r="U755" s="249"/>
      <c r="V755" s="249"/>
      <c r="W755" s="249"/>
      <c r="X755" s="1757"/>
      <c r="Y755" s="2081"/>
      <c r="Z755" s="2083"/>
      <c r="AA755" s="1526"/>
      <c r="AC755" s="970"/>
      <c r="AD755" s="970"/>
      <c r="AE755" s="970"/>
      <c r="AF755" s="249"/>
      <c r="AG755" s="249"/>
      <c r="AH755" s="249"/>
      <c r="AI755" s="249"/>
      <c r="AJ755" s="249"/>
      <c r="AK755" s="249"/>
      <c r="AL755" s="1336"/>
      <c r="AM755" s="1336"/>
      <c r="AN755" s="1336"/>
      <c r="AO755" s="1336"/>
      <c r="AP755" s="1336"/>
      <c r="AQ755" s="1336"/>
      <c r="AR755" s="1336"/>
      <c r="AS755" s="1336"/>
    </row>
    <row r="756" spans="1:45" x14ac:dyDescent="0.25">
      <c r="A756" s="2371">
        <v>6</v>
      </c>
      <c r="B756" s="2383" t="s">
        <v>716</v>
      </c>
      <c r="C756" s="2376" t="s">
        <v>401</v>
      </c>
      <c r="D756" s="2374"/>
      <c r="E756" s="2374"/>
      <c r="F756" s="2376"/>
      <c r="G756" s="2373" t="str">
        <f t="shared" ca="1" si="50"/>
        <v/>
      </c>
      <c r="H756" s="2379" t="s">
        <v>3972</v>
      </c>
      <c r="I756" s="130"/>
      <c r="J756" s="129"/>
      <c r="K756" s="110" t="s">
        <v>401</v>
      </c>
      <c r="L756" s="1162" t="s">
        <v>708</v>
      </c>
      <c r="M756" s="1869"/>
      <c r="N756" s="1042"/>
      <c r="O756" s="1042"/>
      <c r="P756" s="249"/>
      <c r="Q756" s="249"/>
      <c r="R756" s="249"/>
      <c r="S756" s="249"/>
      <c r="T756" s="249"/>
      <c r="U756" s="94"/>
      <c r="V756" s="249"/>
      <c r="W756" s="249"/>
      <c r="X756" s="1757"/>
      <c r="Y756" s="2081"/>
      <c r="Z756" s="2083"/>
      <c r="AA756" s="1526"/>
      <c r="AC756" s="970"/>
      <c r="AD756" s="970"/>
      <c r="AE756" s="970"/>
      <c r="AF756" s="249"/>
      <c r="AG756" s="249"/>
      <c r="AH756" s="249"/>
      <c r="AI756" s="249"/>
      <c r="AJ756" s="249"/>
      <c r="AK756" s="249"/>
      <c r="AL756" s="1336"/>
      <c r="AM756" s="1336"/>
      <c r="AN756" s="1336"/>
      <c r="AO756" s="1336"/>
      <c r="AP756" s="1336"/>
      <c r="AQ756" s="1336"/>
      <c r="AR756" s="1336"/>
      <c r="AS756" s="1336"/>
    </row>
    <row r="757" spans="1:45" x14ac:dyDescent="0.25">
      <c r="A757" s="2371">
        <v>6</v>
      </c>
      <c r="B757" s="2383" t="s">
        <v>716</v>
      </c>
      <c r="C757" s="2374" t="s">
        <v>539</v>
      </c>
      <c r="D757" s="2374"/>
      <c r="E757" s="2374"/>
      <c r="F757" s="2374"/>
      <c r="G757" s="2373" t="str">
        <f t="shared" ca="1" si="50"/>
        <v/>
      </c>
      <c r="H757" s="2371" t="s">
        <v>3972</v>
      </c>
      <c r="I757" s="130"/>
      <c r="J757" s="129"/>
      <c r="K757" s="187" t="s">
        <v>539</v>
      </c>
      <c r="L757" s="1162" t="s">
        <v>709</v>
      </c>
      <c r="M757" s="1869"/>
      <c r="N757" s="1042"/>
      <c r="O757" s="1042"/>
      <c r="P757" s="249"/>
      <c r="Q757" s="249"/>
      <c r="R757" s="249"/>
      <c r="S757" s="249"/>
      <c r="T757" s="249"/>
      <c r="U757" s="249"/>
      <c r="V757" s="249"/>
      <c r="W757" s="1699" t="s">
        <v>3107</v>
      </c>
      <c r="X757" s="1757"/>
      <c r="Y757" s="2081" t="str">
        <f>IF(LEN('Ch6'!X439)=0,"None",'Ch6'!X439)</f>
        <v>None</v>
      </c>
      <c r="Z757" s="2083"/>
      <c r="AA757" s="1526"/>
      <c r="AC757" s="970"/>
      <c r="AD757" s="970"/>
      <c r="AE757" s="970"/>
      <c r="AF757" s="249"/>
      <c r="AG757" s="249"/>
      <c r="AH757" s="249"/>
      <c r="AI757" s="249"/>
      <c r="AJ757" s="249"/>
      <c r="AK757" s="249"/>
      <c r="AL757" s="1336"/>
      <c r="AM757" s="1336"/>
      <c r="AN757" s="1336"/>
      <c r="AO757" s="1336"/>
      <c r="AP757" s="1336"/>
      <c r="AQ757" s="1336"/>
      <c r="AR757" s="1336" t="str">
        <f>SUBSTITUTE(SUBSTITUTE(SUBSTITUTE("vnt"&amp;$B757&amp;$C757&amp;$D757&amp;$E757,".","_"),"(","_"),")","")</f>
        <v>vnt610_1_2_1_e</v>
      </c>
      <c r="AS757" s="254" t="str">
        <f>IF(LEN(X757)=0,"",X757)</f>
        <v/>
      </c>
    </row>
    <row r="758" spans="1:45" x14ac:dyDescent="0.25">
      <c r="A758" s="2371">
        <v>6</v>
      </c>
      <c r="B758" s="2383" t="s">
        <v>716</v>
      </c>
      <c r="C758" s="2374" t="s">
        <v>604</v>
      </c>
      <c r="D758" s="2374"/>
      <c r="E758" s="2374"/>
      <c r="F758" s="2374"/>
      <c r="G758" s="2373" t="str">
        <f t="shared" ca="1" si="50"/>
        <v/>
      </c>
      <c r="H758" s="2375" t="s">
        <v>3972</v>
      </c>
      <c r="I758" s="130"/>
      <c r="J758" s="129"/>
      <c r="K758" s="91" t="s">
        <v>604</v>
      </c>
      <c r="L758" s="1162" t="s">
        <v>710</v>
      </c>
      <c r="M758" s="1869"/>
      <c r="N758" s="1042"/>
      <c r="O758" s="1042"/>
      <c r="P758" s="249"/>
      <c r="Q758" s="249"/>
      <c r="R758" s="249"/>
      <c r="S758" s="249"/>
      <c r="T758" s="249"/>
      <c r="U758" s="94"/>
      <c r="V758" s="249"/>
      <c r="W758" s="1699"/>
      <c r="X758" s="1757"/>
      <c r="Y758" s="2081"/>
      <c r="Z758" s="2083"/>
      <c r="AA758" s="1526"/>
      <c r="AC758" s="970"/>
      <c r="AD758" s="970"/>
      <c r="AE758" s="970"/>
      <c r="AF758" s="249"/>
      <c r="AG758" s="249"/>
      <c r="AH758" s="249"/>
      <c r="AI758" s="249"/>
      <c r="AJ758" s="249"/>
      <c r="AK758" s="249"/>
      <c r="AL758" s="1336"/>
      <c r="AM758" s="1336"/>
      <c r="AN758" s="1336"/>
      <c r="AO758" s="1336"/>
      <c r="AP758" s="1336"/>
      <c r="AQ758" s="1336"/>
      <c r="AR758" s="1336"/>
      <c r="AS758" s="1336"/>
    </row>
    <row r="759" spans="1:45" x14ac:dyDescent="0.25">
      <c r="A759" s="2371">
        <v>6</v>
      </c>
      <c r="B759" s="2383" t="s">
        <v>716</v>
      </c>
      <c r="C759" s="2374"/>
      <c r="D759" s="2374"/>
      <c r="E759" s="2374" t="s">
        <v>2972</v>
      </c>
      <c r="F759" s="2374"/>
      <c r="G759" s="2373" t="str">
        <f t="shared" ca="1" si="50"/>
        <v/>
      </c>
      <c r="H759" s="2371" t="s">
        <v>3972</v>
      </c>
      <c r="I759" s="130"/>
      <c r="J759" s="129"/>
      <c r="K759" s="94"/>
      <c r="L759" s="1860" t="s">
        <v>718</v>
      </c>
      <c r="M759" s="1869"/>
      <c r="N759" s="1042"/>
      <c r="O759" s="1042"/>
      <c r="P759" s="249" t="b">
        <v>1</v>
      </c>
      <c r="Q759" s="249" t="b">
        <v>0</v>
      </c>
      <c r="R759" s="249" t="b">
        <v>0</v>
      </c>
      <c r="S759" s="249" t="b">
        <f>COUNTIF(W727:W744,TRUE)&lt;1</f>
        <v>1</v>
      </c>
      <c r="T759" s="94" t="b">
        <f>IF(AND(NOT(S759),LEN(W759)&gt;0),TRUE,FALSE)</f>
        <v>0</v>
      </c>
      <c r="U759" s="94" t="str">
        <f>SUBSTITUTE(SUBSTITUTE(SUBSTITUTE("dd"&amp;B759&amp;C759&amp;D759&amp;E759&amp;F759,".","_"),"(","_"),")","")</f>
        <v>dd610_1_2_1b</v>
      </c>
      <c r="V759" s="249"/>
      <c r="W759" s="12"/>
      <c r="X759" s="1757"/>
      <c r="Y759" s="2081"/>
      <c r="Z759" s="2083"/>
      <c r="AA759" s="1526"/>
      <c r="AC759" s="970" t="b">
        <f>OR(AD759:AE759)</f>
        <v>0</v>
      </c>
      <c r="AD759" s="970" t="b">
        <f>T759</f>
        <v>0</v>
      </c>
      <c r="AE759" s="970" t="b">
        <f>AND(NOT(ISBLANK(W759)),LEN(X757)=0)</f>
        <v>0</v>
      </c>
      <c r="AF759" s="784" t="b">
        <f>AND(AE759,NOT(Q759))</f>
        <v>0</v>
      </c>
      <c r="AG759" s="249"/>
      <c r="AH759" s="249"/>
      <c r="AI759" s="249"/>
      <c r="AJ759" s="249"/>
      <c r="AK759" s="249"/>
      <c r="AL759" s="1336"/>
      <c r="AM759" s="1336"/>
      <c r="AN759" s="1336"/>
      <c r="AO759" s="1336"/>
      <c r="AP759" s="1336" t="str">
        <f>SUBSTITUTE(SUBSTITUTE(SUBSTITUTE("vch"&amp;$B759&amp;$C759&amp;$D759&amp;$E759,".","_"),"(","_"),")","")</f>
        <v>vch610_1_2_1b</v>
      </c>
      <c r="AQ759" s="254" t="str">
        <f>IF(LEN(W759)=0,"",W759)</f>
        <v/>
      </c>
      <c r="AR759" s="1336"/>
      <c r="AS759" s="1336"/>
    </row>
    <row r="760" spans="1:45" x14ac:dyDescent="0.25">
      <c r="A760" s="2371">
        <v>6</v>
      </c>
      <c r="B760" s="2383" t="s">
        <v>716</v>
      </c>
      <c r="C760" s="2374"/>
      <c r="D760" s="2374"/>
      <c r="E760" s="2374"/>
      <c r="F760" s="2374"/>
      <c r="G760" s="2373" t="str">
        <f t="shared" ca="1" si="50"/>
        <v/>
      </c>
      <c r="H760" s="2371" t="s">
        <v>3972</v>
      </c>
      <c r="I760" s="130"/>
      <c r="J760" s="129"/>
      <c r="K760" s="251"/>
      <c r="L760" s="1860"/>
      <c r="M760" s="1869"/>
      <c r="N760" s="1042"/>
      <c r="O760" s="1042"/>
      <c r="P760" s="249"/>
      <c r="Q760" s="249"/>
      <c r="R760" s="1">
        <f ca="1">3*IFERROR(MATCH(W759,INDIRECT(U759),0),0)*S759</f>
        <v>0</v>
      </c>
      <c r="S760" s="249"/>
      <c r="T760" s="249"/>
      <c r="U760" s="249"/>
      <c r="V760" s="249"/>
      <c r="W760" s="249"/>
      <c r="X760" s="1757"/>
      <c r="Y760" s="2081"/>
      <c r="Z760" s="2083"/>
      <c r="AA760" s="1526"/>
      <c r="AC760" s="970"/>
      <c r="AD760" s="970"/>
      <c r="AE760" s="970"/>
      <c r="AF760" s="249"/>
      <c r="AG760" s="249"/>
      <c r="AH760" s="249"/>
      <c r="AI760" s="249"/>
      <c r="AJ760" s="249"/>
      <c r="AK760" s="249"/>
      <c r="AL760" s="1336"/>
      <c r="AM760" s="1336"/>
      <c r="AN760" s="1336"/>
      <c r="AO760" s="1336"/>
      <c r="AP760" s="1336"/>
      <c r="AQ760" s="1336"/>
      <c r="AR760" s="1336"/>
      <c r="AS760" s="1336"/>
    </row>
    <row r="761" spans="1:45" x14ac:dyDescent="0.25">
      <c r="A761" s="2371">
        <v>6</v>
      </c>
      <c r="B761" s="2383" t="s">
        <v>716</v>
      </c>
      <c r="C761" s="2374"/>
      <c r="D761" s="2374"/>
      <c r="E761" s="2374"/>
      <c r="F761" s="2374"/>
      <c r="G761" s="2373" t="str">
        <f t="shared" ca="1" si="50"/>
        <v/>
      </c>
      <c r="H761" s="2371" t="s">
        <v>3972</v>
      </c>
      <c r="I761" s="130"/>
      <c r="J761" s="129"/>
      <c r="K761" s="251"/>
      <c r="L761" s="1860"/>
      <c r="M761" s="1869"/>
      <c r="N761" s="1042"/>
      <c r="O761" s="1042"/>
      <c r="P761" s="249"/>
      <c r="Q761" s="249"/>
      <c r="R761" s="249"/>
      <c r="S761" s="249"/>
      <c r="T761" s="249"/>
      <c r="U761" s="249"/>
      <c r="V761" s="249"/>
      <c r="W761" s="249"/>
      <c r="X761" s="1757"/>
      <c r="Y761" s="2081"/>
      <c r="Z761" s="2083"/>
      <c r="AA761" s="1526"/>
      <c r="AC761" s="970"/>
      <c r="AD761" s="970"/>
      <c r="AE761" s="970"/>
      <c r="AF761" s="249"/>
      <c r="AG761" s="249"/>
      <c r="AH761" s="249"/>
      <c r="AI761" s="249"/>
      <c r="AJ761" s="249"/>
      <c r="AK761" s="249"/>
      <c r="AL761" s="1336"/>
      <c r="AM761" s="1336"/>
      <c r="AN761" s="1336"/>
      <c r="AO761" s="1336"/>
      <c r="AP761" s="1336"/>
      <c r="AQ761" s="1336"/>
      <c r="AR761" s="1336"/>
      <c r="AS761" s="1336"/>
    </row>
    <row r="762" spans="1:45" x14ac:dyDescent="0.25">
      <c r="A762" s="2371">
        <v>6</v>
      </c>
      <c r="B762" s="2383" t="s">
        <v>716</v>
      </c>
      <c r="C762" s="2374"/>
      <c r="D762" s="2374"/>
      <c r="E762" s="2374"/>
      <c r="F762" s="2374"/>
      <c r="G762" s="2373" t="str">
        <f t="shared" ca="1" si="50"/>
        <v/>
      </c>
      <c r="H762" s="2371" t="s">
        <v>3972</v>
      </c>
      <c r="I762" s="130"/>
      <c r="J762" s="129"/>
      <c r="K762" s="251"/>
      <c r="L762" s="1855" t="s">
        <v>3106</v>
      </c>
      <c r="M762" s="1869"/>
      <c r="N762" s="1042"/>
      <c r="O762" s="1042"/>
      <c r="P762" s="249"/>
      <c r="Q762" s="249"/>
      <c r="R762" s="249"/>
      <c r="S762" s="249"/>
      <c r="T762" s="249"/>
      <c r="U762" s="249"/>
      <c r="V762" s="249"/>
      <c r="W762" s="249"/>
      <c r="X762" s="1757"/>
      <c r="Y762" s="2081"/>
      <c r="Z762" s="2083"/>
      <c r="AA762" s="1526"/>
      <c r="AC762" s="970"/>
      <c r="AD762" s="970"/>
      <c r="AE762" s="970"/>
      <c r="AF762" s="249"/>
      <c r="AG762" s="249"/>
      <c r="AH762" s="249"/>
      <c r="AI762" s="249"/>
      <c r="AJ762" s="249"/>
      <c r="AK762" s="249"/>
      <c r="AL762" s="1336"/>
      <c r="AM762" s="1336"/>
      <c r="AN762" s="1336"/>
      <c r="AO762" s="1336"/>
      <c r="AP762" s="1336"/>
      <c r="AQ762" s="1336"/>
      <c r="AR762" s="1336"/>
      <c r="AS762" s="1336"/>
    </row>
    <row r="763" spans="1:45" x14ac:dyDescent="0.25">
      <c r="A763" s="2371">
        <v>6</v>
      </c>
      <c r="B763" s="2383" t="s">
        <v>716</v>
      </c>
      <c r="C763" s="2374"/>
      <c r="D763" s="2374"/>
      <c r="E763" s="2374"/>
      <c r="F763" s="2374"/>
      <c r="G763" s="2373" t="str">
        <f t="shared" ca="1" si="50"/>
        <v/>
      </c>
      <c r="H763" s="2371" t="s">
        <v>3972</v>
      </c>
      <c r="I763" s="215"/>
      <c r="J763" s="210"/>
      <c r="K763" s="220"/>
      <c r="L763" s="1861"/>
      <c r="M763" s="1870"/>
      <c r="N763" s="1042"/>
      <c r="O763" s="1042"/>
      <c r="P763" s="249"/>
      <c r="Q763" s="249"/>
      <c r="R763" s="249"/>
      <c r="S763" s="249"/>
      <c r="T763" s="249"/>
      <c r="U763" s="249"/>
      <c r="V763" s="249"/>
      <c r="W763" s="249"/>
      <c r="X763" s="1757"/>
      <c r="Y763" s="2081"/>
      <c r="Z763" s="2083"/>
      <c r="AA763" s="1526"/>
      <c r="AC763" s="970"/>
      <c r="AD763" s="970"/>
      <c r="AE763" s="970"/>
      <c r="AF763" s="249"/>
      <c r="AG763" s="249"/>
      <c r="AH763" s="249"/>
      <c r="AI763" s="249"/>
      <c r="AJ763" s="249"/>
      <c r="AK763" s="249"/>
      <c r="AL763" s="1336"/>
      <c r="AM763" s="1336"/>
      <c r="AN763" s="1336"/>
      <c r="AO763" s="1336"/>
      <c r="AP763" s="1336"/>
      <c r="AQ763" s="1336"/>
      <c r="AR763" s="1336"/>
      <c r="AS763" s="1336"/>
    </row>
    <row r="764" spans="1:45" ht="15" customHeight="1" x14ac:dyDescent="0.25">
      <c r="A764" s="2371">
        <v>6</v>
      </c>
      <c r="B764" s="2383" t="s">
        <v>719</v>
      </c>
      <c r="C764" s="2374"/>
      <c r="D764" s="2374"/>
      <c r="E764" s="2374" t="s">
        <v>2971</v>
      </c>
      <c r="F764" s="2374"/>
      <c r="G764" s="2373" t="str">
        <f t="shared" ca="1" si="50"/>
        <v/>
      </c>
      <c r="H764" s="2371" t="s">
        <v>3972</v>
      </c>
      <c r="I764" s="64" t="s">
        <v>719</v>
      </c>
      <c r="J764" s="4"/>
      <c r="K764" s="83"/>
      <c r="L764" s="1796" t="s">
        <v>720</v>
      </c>
      <c r="M764" s="1871" t="s">
        <v>3122</v>
      </c>
      <c r="N764" s="1042"/>
      <c r="O764" s="1042"/>
      <c r="P764" s="249"/>
      <c r="Q764" s="249"/>
      <c r="R764" s="249">
        <f ca="1">COUNTIF(W765:W784,INDEX(INDIRECT(U765),1))*S765</f>
        <v>0</v>
      </c>
      <c r="S764" s="249">
        <f ca="1">COUNTIF(W765:W784,INDEX(INDIRECT(U765),2))*S765</f>
        <v>0</v>
      </c>
      <c r="T764" s="249"/>
      <c r="U764" s="249"/>
      <c r="V764" s="249"/>
      <c r="W764" s="249" t="s">
        <v>3117</v>
      </c>
      <c r="X764" s="1757"/>
      <c r="Y764" s="2081" t="str">
        <f>IF(LEN('Ch6'!X446)=0,"None",'Ch6'!X446)</f>
        <v>None</v>
      </c>
      <c r="Z764" s="2083"/>
      <c r="AA764" s="1526"/>
      <c r="AC764" s="970"/>
      <c r="AD764" s="970"/>
      <c r="AE764" s="970"/>
      <c r="AF764" s="249"/>
      <c r="AG764" s="249"/>
      <c r="AH764" s="249"/>
      <c r="AI764" s="249"/>
      <c r="AJ764" s="249"/>
      <c r="AK764" s="249"/>
      <c r="AL764" s="254" t="str">
        <f>SUBSTITUTE(SUBSTITUTE(SUBSTITUTE("vpa"&amp;$B764&amp;$C764&amp;$D764&amp;$E764,".","_"),"(","_"),")","")</f>
        <v>vpa610_1_2_2a</v>
      </c>
      <c r="AM764" s="254" t="str">
        <f>M764</f>
        <v>per Table 610.1.2.2
10 Max</v>
      </c>
      <c r="AN764" s="1336"/>
      <c r="AO764" s="1336"/>
      <c r="AP764" s="1336"/>
      <c r="AQ764" s="1336"/>
      <c r="AR764" s="1336" t="str">
        <f>SUBSTITUTE(SUBSTITUTE(SUBSTITUTE("vnt"&amp;$B764&amp;$C764&amp;$D764&amp;$E764,".","_"),"(","_"),")","")</f>
        <v>vnt610_1_2_2a</v>
      </c>
      <c r="AS764" s="254" t="str">
        <f>IF(LEN(X764)=0,"",X764)</f>
        <v/>
      </c>
    </row>
    <row r="765" spans="1:45" x14ac:dyDescent="0.25">
      <c r="A765" s="2371">
        <v>6</v>
      </c>
      <c r="B765" s="2383" t="s">
        <v>719</v>
      </c>
      <c r="C765" s="2374"/>
      <c r="D765" s="2374"/>
      <c r="E765" s="2374" t="s">
        <v>2971</v>
      </c>
      <c r="F765" s="2374"/>
      <c r="G765" s="2373" t="str">
        <f t="shared" ca="1" si="50"/>
        <v/>
      </c>
      <c r="H765" s="2371" t="s">
        <v>3972</v>
      </c>
      <c r="I765" s="64"/>
      <c r="J765" s="4"/>
      <c r="K765" s="83"/>
      <c r="L765" s="1796"/>
      <c r="M765" s="1871"/>
      <c r="N765" s="1042"/>
      <c r="O765" s="1042"/>
      <c r="P765" s="249" t="b">
        <v>1</v>
      </c>
      <c r="Q765" s="249" t="b">
        <v>0</v>
      </c>
      <c r="R765" s="249" t="b">
        <v>0</v>
      </c>
      <c r="S765" s="249" t="b">
        <f>COUNTIF(W727:W744,TRUE)&lt;1</f>
        <v>1</v>
      </c>
      <c r="T765" s="94" t="b">
        <f>IF(AND(NOT(S765),LEN(W765)&gt;0),TRUE,FALSE)</f>
        <v>0</v>
      </c>
      <c r="U765" s="94" t="str">
        <f>SUBSTITUTE(SUBSTITUTE(SUBSTITUTE("dd"&amp;B765&amp;C765&amp;D765&amp;E765&amp;F765,".","_"),"(","_"),")","")</f>
        <v>dd610_1_2_2a</v>
      </c>
      <c r="V765" s="249"/>
      <c r="W765" s="12"/>
      <c r="X765" s="1757"/>
      <c r="Y765" s="2081"/>
      <c r="Z765" s="2083"/>
      <c r="AA765" s="1526"/>
      <c r="AC765" s="970" t="b">
        <f>OR(AD765:AE765)</f>
        <v>0</v>
      </c>
      <c r="AD765" s="970" t="b">
        <f>T765</f>
        <v>0</v>
      </c>
      <c r="AE765" s="970" t="b">
        <f>AND(NOT(ISBLANK(W765)),LEN(X764)=0)</f>
        <v>0</v>
      </c>
      <c r="AF765" s="784" t="b">
        <f>AND(AE765,NOT(Q765))</f>
        <v>0</v>
      </c>
      <c r="AG765" s="249"/>
      <c r="AH765" s="249"/>
      <c r="AI765" s="249"/>
      <c r="AJ765" s="249"/>
      <c r="AK765" s="249"/>
      <c r="AL765" s="1336"/>
      <c r="AM765" s="1336"/>
      <c r="AN765" s="1336"/>
      <c r="AO765" s="1336"/>
      <c r="AP765" s="1336" t="str">
        <f>SUBSTITUTE(SUBSTITUTE(SUBSTITUTE("vch"&amp;$B765&amp;$C765&amp;$D765&amp;$E765,".","_"),"(","_"),")","")</f>
        <v>vch610_1_2_2a</v>
      </c>
      <c r="AQ765" s="254" t="str">
        <f>IF(LEN(W765)=0,"",W765)</f>
        <v/>
      </c>
      <c r="AR765" s="1336"/>
      <c r="AS765" s="1336"/>
    </row>
    <row r="766" spans="1:45" x14ac:dyDescent="0.25">
      <c r="A766" s="2371">
        <v>6</v>
      </c>
      <c r="B766" s="2383" t="s">
        <v>719</v>
      </c>
      <c r="C766" s="2374"/>
      <c r="D766" s="2374"/>
      <c r="E766" s="2374"/>
      <c r="F766" s="2374"/>
      <c r="G766" s="2373" t="str">
        <f t="shared" ca="1" si="50"/>
        <v/>
      </c>
      <c r="H766" s="2371" t="s">
        <v>3972</v>
      </c>
      <c r="I766" s="64"/>
      <c r="J766" s="4"/>
      <c r="K766" s="83"/>
      <c r="L766" s="1796"/>
      <c r="M766" s="1871"/>
      <c r="N766" s="1042"/>
      <c r="O766" s="1042"/>
      <c r="P766" s="249"/>
      <c r="Q766" s="249"/>
      <c r="R766" s="249"/>
      <c r="S766" s="249"/>
      <c r="T766" s="249"/>
      <c r="U766" s="249"/>
      <c r="V766" s="249"/>
      <c r="W766" s="249"/>
      <c r="X766" s="1757"/>
      <c r="Y766" s="2081"/>
      <c r="Z766" s="2083"/>
      <c r="AA766" s="1526"/>
      <c r="AC766" s="970"/>
      <c r="AD766" s="970"/>
      <c r="AE766" s="970"/>
      <c r="AF766" s="249"/>
      <c r="AG766" s="249"/>
      <c r="AH766" s="249"/>
      <c r="AI766" s="249"/>
      <c r="AJ766" s="249"/>
      <c r="AK766" s="249"/>
      <c r="AL766" s="1336"/>
      <c r="AM766" s="1336"/>
      <c r="AN766" s="1336"/>
      <c r="AO766" s="1336"/>
      <c r="AP766" s="1336"/>
      <c r="AQ766" s="1336"/>
      <c r="AR766" s="1336"/>
      <c r="AS766" s="1336"/>
    </row>
    <row r="767" spans="1:45" x14ac:dyDescent="0.25">
      <c r="A767" s="2371">
        <v>6</v>
      </c>
      <c r="B767" s="2383" t="s">
        <v>719</v>
      </c>
      <c r="C767" s="2374"/>
      <c r="D767" s="2374"/>
      <c r="E767" s="2374"/>
      <c r="F767" s="2374"/>
      <c r="G767" s="2373" t="str">
        <f t="shared" ca="1" si="50"/>
        <v/>
      </c>
      <c r="H767" s="2371" t="s">
        <v>3972</v>
      </c>
      <c r="I767" s="64"/>
      <c r="J767" s="4"/>
      <c r="K767" s="83"/>
      <c r="L767" s="1796"/>
      <c r="M767" s="1871"/>
      <c r="N767" s="1042"/>
      <c r="O767" s="1042"/>
      <c r="P767" s="249"/>
      <c r="Q767" s="249"/>
      <c r="R767" s="249"/>
      <c r="S767" s="249"/>
      <c r="T767" s="249"/>
      <c r="U767" s="249"/>
      <c r="V767" s="249"/>
      <c r="W767" s="249"/>
      <c r="X767" s="1757"/>
      <c r="Y767" s="2081"/>
      <c r="Z767" s="2083"/>
      <c r="AA767" s="1526"/>
      <c r="AC767" s="970"/>
      <c r="AD767" s="970"/>
      <c r="AE767" s="970"/>
      <c r="AF767" s="249"/>
      <c r="AG767" s="249"/>
      <c r="AH767" s="249"/>
      <c r="AI767" s="249"/>
      <c r="AJ767" s="249"/>
      <c r="AK767" s="249"/>
      <c r="AL767" s="1336"/>
      <c r="AM767" s="1336"/>
      <c r="AN767" s="1336"/>
      <c r="AO767" s="1336"/>
      <c r="AP767" s="1336"/>
      <c r="AQ767" s="1336"/>
      <c r="AR767" s="1336"/>
      <c r="AS767" s="1336"/>
    </row>
    <row r="768" spans="1:45" s="1066" customFormat="1" x14ac:dyDescent="0.25">
      <c r="A768" s="2371">
        <v>6</v>
      </c>
      <c r="B768" s="2383" t="s">
        <v>719</v>
      </c>
      <c r="C768" s="2374"/>
      <c r="D768" s="2374"/>
      <c r="E768" s="2374"/>
      <c r="F768" s="2374"/>
      <c r="G768" s="2373" t="str">
        <f t="shared" ca="1" si="50"/>
        <v/>
      </c>
      <c r="H768" s="2371" t="s">
        <v>3972</v>
      </c>
      <c r="I768" s="64"/>
      <c r="J768" s="4"/>
      <c r="K768" s="1078"/>
      <c r="L768" s="1796"/>
      <c r="M768" s="1871"/>
      <c r="N768" s="1077"/>
      <c r="O768" s="1077"/>
      <c r="X768" s="1757"/>
      <c r="Y768" s="2081"/>
      <c r="Z768" s="2083"/>
      <c r="AA768" s="1526"/>
      <c r="AL768" s="1336"/>
      <c r="AM768" s="1336"/>
      <c r="AN768" s="1336"/>
      <c r="AO768" s="1336"/>
      <c r="AP768" s="1336"/>
      <c r="AQ768" s="1336"/>
      <c r="AR768" s="1336"/>
      <c r="AS768" s="1336"/>
    </row>
    <row r="769" spans="1:45" x14ac:dyDescent="0.25">
      <c r="A769" s="2371">
        <v>6</v>
      </c>
      <c r="B769" s="2383" t="s">
        <v>719</v>
      </c>
      <c r="C769" s="2374"/>
      <c r="D769" s="2374"/>
      <c r="E769" s="2374"/>
      <c r="F769" s="2374"/>
      <c r="G769" s="2373" t="str">
        <f t="shared" ca="1" si="50"/>
        <v/>
      </c>
      <c r="H769" s="2371" t="s">
        <v>3972</v>
      </c>
      <c r="I769" s="64"/>
      <c r="J769" s="4"/>
      <c r="K769" s="83"/>
      <c r="L769" s="1796"/>
      <c r="M769" s="1871"/>
      <c r="N769" s="1042"/>
      <c r="O769" s="1042"/>
      <c r="P769" s="249"/>
      <c r="Q769" s="249"/>
      <c r="R769" s="249"/>
      <c r="S769" s="249"/>
      <c r="T769" s="249"/>
      <c r="U769" s="249"/>
      <c r="V769" s="249"/>
      <c r="W769" s="249"/>
      <c r="X769" s="1757"/>
      <c r="Y769" s="2081"/>
      <c r="Z769" s="2083"/>
      <c r="AA769" s="1526"/>
      <c r="AC769" s="970"/>
      <c r="AD769" s="970"/>
      <c r="AE769" s="970"/>
      <c r="AF769" s="249"/>
      <c r="AG769" s="249"/>
      <c r="AH769" s="249"/>
      <c r="AI769" s="249"/>
      <c r="AJ769" s="249"/>
      <c r="AK769" s="249"/>
      <c r="AL769" s="1336"/>
      <c r="AM769" s="1336"/>
      <c r="AN769" s="1336"/>
      <c r="AO769" s="1336"/>
      <c r="AP769" s="1336"/>
      <c r="AQ769" s="1336"/>
      <c r="AR769" s="1336"/>
      <c r="AS769" s="1336"/>
    </row>
    <row r="770" spans="1:45" x14ac:dyDescent="0.25">
      <c r="A770" s="2371">
        <v>6</v>
      </c>
      <c r="B770" s="2383" t="s">
        <v>719</v>
      </c>
      <c r="C770" s="2374"/>
      <c r="D770" s="2374"/>
      <c r="E770" s="2374"/>
      <c r="F770" s="2374"/>
      <c r="G770" s="2373" t="str">
        <f t="shared" ca="1" si="50"/>
        <v/>
      </c>
      <c r="H770" s="2371" t="s">
        <v>3972</v>
      </c>
      <c r="I770" s="64"/>
      <c r="J770" s="4"/>
      <c r="K770" s="83"/>
      <c r="L770" s="1796"/>
      <c r="M770" s="1871"/>
      <c r="N770" s="1042"/>
      <c r="O770" s="1042"/>
      <c r="P770" s="249"/>
      <c r="Q770" s="249"/>
      <c r="R770" s="249"/>
      <c r="S770" s="249"/>
      <c r="T770" s="249"/>
      <c r="U770" s="249"/>
      <c r="V770" s="249"/>
      <c r="W770" s="249"/>
      <c r="X770" s="1757"/>
      <c r="Y770" s="2081"/>
      <c r="Z770" s="2083"/>
      <c r="AA770" s="1526"/>
      <c r="AC770" s="970"/>
      <c r="AD770" s="970"/>
      <c r="AE770" s="970"/>
      <c r="AF770" s="249"/>
      <c r="AG770" s="249"/>
      <c r="AH770" s="249"/>
      <c r="AI770" s="249"/>
      <c r="AJ770" s="249"/>
      <c r="AK770" s="249"/>
      <c r="AL770" s="1336"/>
      <c r="AM770" s="1336"/>
      <c r="AN770" s="1336"/>
      <c r="AO770" s="1336"/>
      <c r="AP770" s="1336"/>
      <c r="AQ770" s="1336"/>
      <c r="AR770" s="1336"/>
      <c r="AS770" s="1336"/>
    </row>
    <row r="771" spans="1:45" x14ac:dyDescent="0.25">
      <c r="A771" s="2371">
        <v>6</v>
      </c>
      <c r="B771" s="2383" t="s">
        <v>719</v>
      </c>
      <c r="C771" s="2374"/>
      <c r="D771" s="2374"/>
      <c r="E771" s="2374" t="s">
        <v>2972</v>
      </c>
      <c r="F771" s="2374"/>
      <c r="G771" s="2373" t="str">
        <f t="shared" ca="1" si="50"/>
        <v/>
      </c>
      <c r="H771" s="2371" t="s">
        <v>3972</v>
      </c>
      <c r="I771" s="64"/>
      <c r="J771" s="4"/>
      <c r="K771" s="83"/>
      <c r="L771" s="1796"/>
      <c r="M771" s="1871"/>
      <c r="N771" s="1042"/>
      <c r="O771" s="1042"/>
      <c r="P771" s="249"/>
      <c r="Q771" s="249"/>
      <c r="R771" s="249"/>
      <c r="S771" s="249"/>
      <c r="T771" s="249"/>
      <c r="U771" s="249"/>
      <c r="V771" s="249"/>
      <c r="W771" s="249" t="s">
        <v>3118</v>
      </c>
      <c r="X771" s="1757"/>
      <c r="Y771" s="2081" t="str">
        <f>IF(LEN('Ch6'!X453)=0,"None",'Ch6'!X453)</f>
        <v>None</v>
      </c>
      <c r="Z771" s="2083"/>
      <c r="AA771" s="1526"/>
      <c r="AC771" s="970"/>
      <c r="AD771" s="970"/>
      <c r="AE771" s="970"/>
      <c r="AF771" s="249"/>
      <c r="AG771" s="249"/>
      <c r="AH771" s="249"/>
      <c r="AI771" s="249"/>
      <c r="AJ771" s="249"/>
      <c r="AK771" s="249"/>
      <c r="AL771" s="1336"/>
      <c r="AM771" s="1336"/>
      <c r="AN771" s="1336"/>
      <c r="AO771" s="1336"/>
      <c r="AP771" s="1336"/>
      <c r="AQ771" s="1336"/>
      <c r="AR771" s="1336" t="str">
        <f>SUBSTITUTE(SUBSTITUTE(SUBSTITUTE("vnt"&amp;$B771&amp;$C771&amp;$D771&amp;$E771,".","_"),"(","_"),")","")</f>
        <v>vnt610_1_2_2b</v>
      </c>
      <c r="AS771" s="254" t="str">
        <f>IF(LEN(X771)=0,"",X771)</f>
        <v/>
      </c>
    </row>
    <row r="772" spans="1:45" x14ac:dyDescent="0.25">
      <c r="A772" s="2371">
        <v>6</v>
      </c>
      <c r="B772" s="2383" t="s">
        <v>719</v>
      </c>
      <c r="C772" s="2374"/>
      <c r="D772" s="2374"/>
      <c r="E772" s="2374" t="s">
        <v>2972</v>
      </c>
      <c r="F772" s="2374"/>
      <c r="G772" s="2373" t="str">
        <f t="shared" ca="1" si="50"/>
        <v/>
      </c>
      <c r="H772" s="2371" t="s">
        <v>3972</v>
      </c>
      <c r="I772" s="64"/>
      <c r="J772" s="4"/>
      <c r="K772" s="83"/>
      <c r="L772" s="1796"/>
      <c r="M772" s="1871"/>
      <c r="N772" s="1042"/>
      <c r="O772" s="1042"/>
      <c r="P772" s="249" t="b">
        <v>1</v>
      </c>
      <c r="Q772" s="249" t="b">
        <v>0</v>
      </c>
      <c r="R772" s="249" t="b">
        <v>0</v>
      </c>
      <c r="S772" s="249" t="b">
        <f>COUNTIF(W727:W744,TRUE)&lt;1</f>
        <v>1</v>
      </c>
      <c r="T772" s="94" t="b">
        <f>IF(AND(NOT(S772),LEN(W772)&gt;0),TRUE,FALSE)</f>
        <v>0</v>
      </c>
      <c r="U772" s="94" t="str">
        <f>SUBSTITUTE(SUBSTITUTE(SUBSTITUTE("dd"&amp;B772&amp;C772&amp;D772&amp;E772&amp;F772,".","_"),"(","_"),")","")</f>
        <v>dd610_1_2_2b</v>
      </c>
      <c r="V772" s="249"/>
      <c r="W772" s="12"/>
      <c r="X772" s="1757"/>
      <c r="Y772" s="2081"/>
      <c r="Z772" s="2083"/>
      <c r="AA772" s="1526"/>
      <c r="AC772" s="970" t="b">
        <f>OR(AD772:AE772)</f>
        <v>0</v>
      </c>
      <c r="AD772" s="970" t="b">
        <f>T772</f>
        <v>0</v>
      </c>
      <c r="AE772" s="970" t="b">
        <f>AND(NOT(ISBLANK(W772)),LEN(X771)=0)</f>
        <v>0</v>
      </c>
      <c r="AF772" s="784" t="b">
        <f>AND(AE772,NOT(Q772))</f>
        <v>0</v>
      </c>
      <c r="AG772" s="249"/>
      <c r="AH772" s="249"/>
      <c r="AI772" s="249"/>
      <c r="AJ772" s="249"/>
      <c r="AK772" s="249"/>
      <c r="AL772" s="1336"/>
      <c r="AM772" s="1336"/>
      <c r="AN772" s="1336"/>
      <c r="AO772" s="1336"/>
      <c r="AP772" s="1336" t="str">
        <f>SUBSTITUTE(SUBSTITUTE(SUBSTITUTE("vch"&amp;$B772&amp;$C772&amp;$D772&amp;$E772,".","_"),"(","_"),")","")</f>
        <v>vch610_1_2_2b</v>
      </c>
      <c r="AQ772" s="254" t="str">
        <f>IF(LEN(W772)=0,"",W772)</f>
        <v/>
      </c>
      <c r="AR772" s="1336"/>
      <c r="AS772" s="1336"/>
    </row>
    <row r="773" spans="1:45" x14ac:dyDescent="0.25">
      <c r="A773" s="2371">
        <v>6</v>
      </c>
      <c r="B773" s="2383" t="s">
        <v>719</v>
      </c>
      <c r="C773" s="2374" t="s">
        <v>121</v>
      </c>
      <c r="D773" s="2374"/>
      <c r="E773" s="2374"/>
      <c r="F773" s="2374"/>
      <c r="G773" s="2373" t="str">
        <f t="shared" ca="1" si="50"/>
        <v/>
      </c>
      <c r="H773" s="2375" t="s">
        <v>3972</v>
      </c>
      <c r="I773" s="64"/>
      <c r="J773" s="4"/>
      <c r="K773" s="87" t="s">
        <v>121</v>
      </c>
      <c r="L773" s="1170" t="s">
        <v>721</v>
      </c>
      <c r="M773" s="1871"/>
      <c r="N773" s="1042"/>
      <c r="O773" s="1042"/>
      <c r="P773" s="249"/>
      <c r="Q773" s="249"/>
      <c r="R773" s="249"/>
      <c r="S773" s="249"/>
      <c r="T773" s="249"/>
      <c r="U773" s="94"/>
      <c r="V773" s="249"/>
      <c r="W773" s="249"/>
      <c r="X773" s="1757"/>
      <c r="Y773" s="2081"/>
      <c r="Z773" s="2083"/>
      <c r="AA773" s="1526"/>
      <c r="AC773" s="970"/>
      <c r="AD773" s="970"/>
      <c r="AE773" s="970"/>
      <c r="AF773" s="249"/>
      <c r="AG773" s="249"/>
      <c r="AH773" s="249"/>
      <c r="AI773" s="249"/>
      <c r="AJ773" s="249"/>
      <c r="AK773" s="249"/>
      <c r="AL773" s="1336"/>
      <c r="AM773" s="1336"/>
      <c r="AN773" s="1336"/>
      <c r="AO773" s="1336"/>
      <c r="AP773" s="1336"/>
      <c r="AQ773" s="1336"/>
      <c r="AR773" s="1336"/>
      <c r="AS773" s="1336"/>
    </row>
    <row r="774" spans="1:45" x14ac:dyDescent="0.25">
      <c r="A774" s="2371">
        <v>6</v>
      </c>
      <c r="B774" s="2383" t="s">
        <v>719</v>
      </c>
      <c r="C774" s="2374" t="s">
        <v>122</v>
      </c>
      <c r="D774" s="2374"/>
      <c r="E774" s="2374"/>
      <c r="F774" s="2374"/>
      <c r="G774" s="2373" t="str">
        <f t="shared" ca="1" si="50"/>
        <v/>
      </c>
      <c r="H774" s="2375" t="s">
        <v>3972</v>
      </c>
      <c r="I774" s="64"/>
      <c r="J774" s="4"/>
      <c r="K774" s="87" t="s">
        <v>122</v>
      </c>
      <c r="L774" s="1170" t="s">
        <v>722</v>
      </c>
      <c r="M774" s="1871"/>
      <c r="N774" s="1042"/>
      <c r="O774" s="1042"/>
      <c r="P774" s="249"/>
      <c r="Q774" s="249"/>
      <c r="R774" s="249"/>
      <c r="S774" s="249"/>
      <c r="T774" s="249"/>
      <c r="U774" s="94"/>
      <c r="V774" s="249"/>
      <c r="W774" s="249"/>
      <c r="X774" s="1757"/>
      <c r="Y774" s="2081"/>
      <c r="Z774" s="2083"/>
      <c r="AA774" s="1526"/>
      <c r="AC774" s="970"/>
      <c r="AD774" s="970"/>
      <c r="AE774" s="970"/>
      <c r="AF774" s="249"/>
      <c r="AG774" s="249"/>
      <c r="AH774" s="249"/>
      <c r="AI774" s="249"/>
      <c r="AJ774" s="249"/>
      <c r="AK774" s="249"/>
      <c r="AL774" s="1336"/>
      <c r="AM774" s="1336"/>
      <c r="AN774" s="1336"/>
      <c r="AO774" s="1336"/>
      <c r="AP774" s="1336"/>
      <c r="AQ774" s="1336"/>
      <c r="AR774" s="1336"/>
      <c r="AS774" s="1336"/>
    </row>
    <row r="775" spans="1:45" x14ac:dyDescent="0.25">
      <c r="A775" s="2371">
        <v>6</v>
      </c>
      <c r="B775" s="2383" t="s">
        <v>719</v>
      </c>
      <c r="C775" s="2374" t="s">
        <v>123</v>
      </c>
      <c r="D775" s="2374"/>
      <c r="E775" s="2374"/>
      <c r="F775" s="2374"/>
      <c r="G775" s="2373" t="str">
        <f t="shared" ca="1" si="50"/>
        <v/>
      </c>
      <c r="H775" s="2375" t="s">
        <v>3972</v>
      </c>
      <c r="I775" s="64"/>
      <c r="J775" s="4"/>
      <c r="K775" s="87" t="s">
        <v>123</v>
      </c>
      <c r="L775" s="1170" t="s">
        <v>723</v>
      </c>
      <c r="M775" s="1871"/>
      <c r="N775" s="1042"/>
      <c r="O775" s="1042"/>
      <c r="P775" s="249"/>
      <c r="Q775" s="249"/>
      <c r="R775" s="249"/>
      <c r="S775" s="249"/>
      <c r="T775" s="249"/>
      <c r="U775" s="94"/>
      <c r="V775" s="249"/>
      <c r="W775" s="249"/>
      <c r="X775" s="1757"/>
      <c r="Y775" s="2081"/>
      <c r="Z775" s="2083"/>
      <c r="AA775" s="1526"/>
      <c r="AC775" s="970"/>
      <c r="AD775" s="970"/>
      <c r="AE775" s="970"/>
      <c r="AF775" s="249"/>
      <c r="AG775" s="249"/>
      <c r="AH775" s="249"/>
      <c r="AI775" s="249"/>
      <c r="AJ775" s="249"/>
      <c r="AK775" s="249"/>
      <c r="AL775" s="1336"/>
      <c r="AM775" s="1336"/>
      <c r="AN775" s="1336"/>
      <c r="AO775" s="1336"/>
      <c r="AP775" s="1336"/>
      <c r="AQ775" s="1336"/>
      <c r="AR775" s="1336"/>
      <c r="AS775" s="1336"/>
    </row>
    <row r="776" spans="1:45" x14ac:dyDescent="0.25">
      <c r="A776" s="2371">
        <v>6</v>
      </c>
      <c r="B776" s="2383" t="s">
        <v>719</v>
      </c>
      <c r="C776" s="2376" t="s">
        <v>401</v>
      </c>
      <c r="D776" s="2374"/>
      <c r="E776" s="2374"/>
      <c r="F776" s="2376"/>
      <c r="G776" s="2373" t="str">
        <f t="shared" ca="1" si="50"/>
        <v/>
      </c>
      <c r="H776" s="2379" t="s">
        <v>3972</v>
      </c>
      <c r="I776" s="64"/>
      <c r="J776" s="4"/>
      <c r="K776" s="89" t="s">
        <v>401</v>
      </c>
      <c r="L776" s="1170" t="s">
        <v>724</v>
      </c>
      <c r="M776" s="1871"/>
      <c r="N776" s="1042"/>
      <c r="O776" s="1042"/>
      <c r="P776" s="249"/>
      <c r="Q776" s="249"/>
      <c r="R776" s="249"/>
      <c r="S776" s="249"/>
      <c r="T776" s="249"/>
      <c r="U776" s="94"/>
      <c r="V776" s="249"/>
      <c r="W776" s="249"/>
      <c r="X776" s="1757"/>
      <c r="Y776" s="2081"/>
      <c r="Z776" s="2083"/>
      <c r="AA776" s="1526"/>
      <c r="AC776" s="970"/>
      <c r="AD776" s="970"/>
      <c r="AE776" s="970"/>
      <c r="AF776" s="249"/>
      <c r="AG776" s="249"/>
      <c r="AH776" s="249"/>
      <c r="AI776" s="249"/>
      <c r="AJ776" s="249"/>
      <c r="AK776" s="249"/>
      <c r="AL776" s="1336"/>
      <c r="AM776" s="1336"/>
      <c r="AN776" s="1336"/>
      <c r="AO776" s="1336"/>
      <c r="AP776" s="1336"/>
      <c r="AQ776" s="1336"/>
      <c r="AR776" s="1336"/>
      <c r="AS776" s="1336"/>
    </row>
    <row r="777" spans="1:45" x14ac:dyDescent="0.25">
      <c r="A777" s="2371">
        <v>6</v>
      </c>
      <c r="B777" s="2383" t="s">
        <v>719</v>
      </c>
      <c r="C777" s="2374"/>
      <c r="D777" s="2374"/>
      <c r="E777" s="2374" t="s">
        <v>2973</v>
      </c>
      <c r="F777" s="2374"/>
      <c r="G777" s="2373" t="str">
        <f t="shared" ca="1" si="50"/>
        <v/>
      </c>
      <c r="H777" s="2371" t="s">
        <v>3972</v>
      </c>
      <c r="I777" s="64"/>
      <c r="J777" s="4"/>
      <c r="K777" s="83"/>
      <c r="L777" s="1841" t="s">
        <v>725</v>
      </c>
      <c r="M777" s="1871"/>
      <c r="N777" s="1042"/>
      <c r="O777" s="1042"/>
      <c r="P777" s="249"/>
      <c r="Q777" s="249"/>
      <c r="R777" s="249"/>
      <c r="S777" s="249"/>
      <c r="T777" s="249"/>
      <c r="U777" s="249"/>
      <c r="V777" s="249"/>
      <c r="W777" s="249" t="s">
        <v>3119</v>
      </c>
      <c r="X777" s="1757"/>
      <c r="Y777" s="2081" t="str">
        <f>IF(LEN('Ch6'!X459)=0,"None",'Ch6'!X459)</f>
        <v>None</v>
      </c>
      <c r="Z777" s="2083"/>
      <c r="AA777" s="1526"/>
      <c r="AC777" s="970"/>
      <c r="AD777" s="970"/>
      <c r="AE777" s="970"/>
      <c r="AF777" s="249"/>
      <c r="AG777" s="249"/>
      <c r="AH777" s="249"/>
      <c r="AI777" s="249"/>
      <c r="AJ777" s="249"/>
      <c r="AK777" s="249"/>
      <c r="AL777" s="1336"/>
      <c r="AM777" s="1336"/>
      <c r="AN777" s="1336"/>
      <c r="AO777" s="1336"/>
      <c r="AP777" s="1336"/>
      <c r="AQ777" s="1336"/>
      <c r="AR777" s="1336" t="str">
        <f>SUBSTITUTE(SUBSTITUTE(SUBSTITUTE("vnt"&amp;$B777&amp;$C777&amp;$D777&amp;$E777,".","_"),"(","_"),")","")</f>
        <v>vnt610_1_2_2c</v>
      </c>
      <c r="AS777" s="254" t="str">
        <f>IF(LEN(X777)=0,"",X777)</f>
        <v/>
      </c>
    </row>
    <row r="778" spans="1:45" x14ac:dyDescent="0.25">
      <c r="A778" s="2371">
        <v>6</v>
      </c>
      <c r="B778" s="2383" t="s">
        <v>719</v>
      </c>
      <c r="C778" s="2374"/>
      <c r="D778" s="2374"/>
      <c r="E778" s="2374" t="s">
        <v>2973</v>
      </c>
      <c r="F778" s="2374"/>
      <c r="G778" s="2373" t="str">
        <f t="shared" ca="1" si="50"/>
        <v/>
      </c>
      <c r="H778" s="2371" t="s">
        <v>3972</v>
      </c>
      <c r="I778" s="64"/>
      <c r="J778" s="4"/>
      <c r="K778" s="83"/>
      <c r="L778" s="1841"/>
      <c r="M778" s="1871"/>
      <c r="N778" s="1042"/>
      <c r="O778" s="1042"/>
      <c r="P778" s="249" t="b">
        <v>1</v>
      </c>
      <c r="Q778" s="249" t="b">
        <v>0</v>
      </c>
      <c r="R778" s="249" t="b">
        <v>0</v>
      </c>
      <c r="S778" s="249" t="b">
        <f>COUNTIF(W727:W744,TRUE)&lt;1</f>
        <v>1</v>
      </c>
      <c r="T778" s="94" t="b">
        <f>IF(AND(NOT(S778),LEN(W778)&gt;0),TRUE,FALSE)</f>
        <v>0</v>
      </c>
      <c r="U778" s="94" t="str">
        <f>SUBSTITUTE(SUBSTITUTE(SUBSTITUTE("dd"&amp;B778&amp;C778&amp;D778&amp;E778&amp;F778,".","_"),"(","_"),")","")</f>
        <v>dd610_1_2_2c</v>
      </c>
      <c r="V778" s="249"/>
      <c r="W778" s="12"/>
      <c r="X778" s="1757"/>
      <c r="Y778" s="2081"/>
      <c r="Z778" s="2083"/>
      <c r="AA778" s="1526"/>
      <c r="AC778" s="970" t="b">
        <f>OR(AD778:AE778)</f>
        <v>0</v>
      </c>
      <c r="AD778" s="970" t="b">
        <f>T778</f>
        <v>0</v>
      </c>
      <c r="AE778" s="970" t="b">
        <f>AND(NOT(ISBLANK(W778)),LEN(X777)=0)</f>
        <v>0</v>
      </c>
      <c r="AF778" s="784" t="b">
        <f>AND(AE778,NOT(Q778))</f>
        <v>0</v>
      </c>
      <c r="AG778" s="249"/>
      <c r="AH778" s="249"/>
      <c r="AI778" s="249"/>
      <c r="AJ778" s="249"/>
      <c r="AK778" s="249"/>
      <c r="AL778" s="1336"/>
      <c r="AM778" s="1336"/>
      <c r="AN778" s="1336"/>
      <c r="AO778" s="1336"/>
      <c r="AP778" s="1336" t="str">
        <f>SUBSTITUTE(SUBSTITUTE(SUBSTITUTE("vch"&amp;$B778&amp;$C778&amp;$D778&amp;$E778,".","_"),"(","_"),")","")</f>
        <v>vch610_1_2_2c</v>
      </c>
      <c r="AQ778" s="254" t="str">
        <f>IF(LEN(W778)=0,"",W778)</f>
        <v/>
      </c>
      <c r="AR778" s="1336"/>
      <c r="AS778" s="1336"/>
    </row>
    <row r="779" spans="1:45" x14ac:dyDescent="0.25">
      <c r="A779" s="2371">
        <v>6</v>
      </c>
      <c r="B779" s="2383" t="s">
        <v>719</v>
      </c>
      <c r="C779" s="2374" t="s">
        <v>121</v>
      </c>
      <c r="D779" s="2374"/>
      <c r="E779" s="2374"/>
      <c r="F779" s="2374"/>
      <c r="G779" s="2373" t="str">
        <f t="shared" ca="1" si="50"/>
        <v/>
      </c>
      <c r="H779" s="2375" t="s">
        <v>3972</v>
      </c>
      <c r="I779" s="64"/>
      <c r="J779" s="4"/>
      <c r="K779" s="87" t="s">
        <v>121</v>
      </c>
      <c r="L779" s="1170" t="s">
        <v>705</v>
      </c>
      <c r="M779" s="1871"/>
      <c r="N779" s="1042"/>
      <c r="O779" s="1042"/>
      <c r="P779" s="249"/>
      <c r="Q779" s="249"/>
      <c r="R779" s="249"/>
      <c r="S779" s="249"/>
      <c r="T779" s="249"/>
      <c r="U779" s="249"/>
      <c r="V779" s="249"/>
      <c r="W779" s="249"/>
      <c r="X779" s="1757"/>
      <c r="Y779" s="2081"/>
      <c r="Z779" s="2083"/>
      <c r="AA779" s="1526"/>
      <c r="AC779" s="970"/>
      <c r="AD779" s="970"/>
      <c r="AE779" s="970"/>
      <c r="AF779" s="249"/>
      <c r="AG779" s="249"/>
      <c r="AH779" s="249"/>
      <c r="AI779" s="249"/>
      <c r="AJ779" s="249"/>
      <c r="AK779" s="249"/>
      <c r="AL779" s="1336"/>
      <c r="AM779" s="1336"/>
      <c r="AN779" s="1336"/>
      <c r="AO779" s="1336"/>
      <c r="AP779" s="1336"/>
      <c r="AQ779" s="1336"/>
      <c r="AR779" s="1336"/>
      <c r="AS779" s="1336"/>
    </row>
    <row r="780" spans="1:45" x14ac:dyDescent="0.25">
      <c r="A780" s="2371">
        <v>6</v>
      </c>
      <c r="B780" s="2383" t="s">
        <v>719</v>
      </c>
      <c r="C780" s="2374" t="s">
        <v>122</v>
      </c>
      <c r="D780" s="2374"/>
      <c r="E780" s="2374"/>
      <c r="F780" s="2374"/>
      <c r="G780" s="2373" t="str">
        <f t="shared" ca="1" si="50"/>
        <v/>
      </c>
      <c r="H780" s="2375" t="s">
        <v>3972</v>
      </c>
      <c r="I780" s="64"/>
      <c r="J780" s="4"/>
      <c r="K780" s="87" t="s">
        <v>122</v>
      </c>
      <c r="L780" s="1170" t="s">
        <v>706</v>
      </c>
      <c r="M780" s="1871"/>
      <c r="N780" s="1042"/>
      <c r="O780" s="1042"/>
      <c r="P780" s="249"/>
      <c r="Q780" s="249"/>
      <c r="R780" s="249"/>
      <c r="S780" s="249"/>
      <c r="T780" s="249"/>
      <c r="U780" s="249"/>
      <c r="V780" s="249"/>
      <c r="W780" s="249"/>
      <c r="X780" s="1757"/>
      <c r="Y780" s="2081"/>
      <c r="Z780" s="2083"/>
      <c r="AA780" s="1526"/>
      <c r="AC780" s="970"/>
      <c r="AD780" s="970"/>
      <c r="AE780" s="970"/>
      <c r="AF780" s="249"/>
      <c r="AG780" s="249"/>
      <c r="AH780" s="249"/>
      <c r="AI780" s="249"/>
      <c r="AJ780" s="249"/>
      <c r="AK780" s="249"/>
      <c r="AL780" s="1336"/>
      <c r="AM780" s="1336"/>
      <c r="AN780" s="1336"/>
      <c r="AO780" s="1336"/>
      <c r="AP780" s="1336"/>
      <c r="AQ780" s="1336"/>
      <c r="AR780" s="1336"/>
      <c r="AS780" s="1336"/>
    </row>
    <row r="781" spans="1:45" x14ac:dyDescent="0.25">
      <c r="A781" s="2371">
        <v>6</v>
      </c>
      <c r="B781" s="2383" t="s">
        <v>719</v>
      </c>
      <c r="C781" s="2374" t="s">
        <v>123</v>
      </c>
      <c r="D781" s="2374"/>
      <c r="E781" s="2374"/>
      <c r="F781" s="2374"/>
      <c r="G781" s="2373" t="str">
        <f t="shared" ca="1" si="50"/>
        <v/>
      </c>
      <c r="H781" s="2375" t="s">
        <v>3972</v>
      </c>
      <c r="I781" s="64"/>
      <c r="J781" s="4"/>
      <c r="K781" s="87" t="s">
        <v>123</v>
      </c>
      <c r="L781" s="1170" t="s">
        <v>707</v>
      </c>
      <c r="M781" s="1871"/>
      <c r="N781" s="1042"/>
      <c r="O781" s="1042"/>
      <c r="P781" s="249"/>
      <c r="Q781" s="249"/>
      <c r="R781" s="249"/>
      <c r="S781" s="249"/>
      <c r="T781" s="249"/>
      <c r="U781" s="249"/>
      <c r="V781" s="249"/>
      <c r="W781" s="249"/>
      <c r="X781" s="1757"/>
      <c r="Y781" s="2081"/>
      <c r="Z781" s="2083"/>
      <c r="AA781" s="1526"/>
      <c r="AC781" s="970"/>
      <c r="AD781" s="970"/>
      <c r="AE781" s="970"/>
      <c r="AF781" s="249"/>
      <c r="AG781" s="249"/>
      <c r="AH781" s="249"/>
      <c r="AI781" s="249"/>
      <c r="AJ781" s="249"/>
      <c r="AK781" s="249"/>
      <c r="AL781" s="1336"/>
      <c r="AM781" s="1336"/>
      <c r="AN781" s="1336"/>
      <c r="AO781" s="1336"/>
      <c r="AP781" s="1336"/>
      <c r="AQ781" s="1336"/>
      <c r="AR781" s="1336"/>
      <c r="AS781" s="1336"/>
    </row>
    <row r="782" spans="1:45" x14ac:dyDescent="0.25">
      <c r="A782" s="2371">
        <v>6</v>
      </c>
      <c r="B782" s="2383" t="s">
        <v>719</v>
      </c>
      <c r="C782" s="2376" t="s">
        <v>401</v>
      </c>
      <c r="D782" s="2374"/>
      <c r="E782" s="2374"/>
      <c r="F782" s="2376"/>
      <c r="G782" s="2373" t="str">
        <f t="shared" ca="1" si="50"/>
        <v/>
      </c>
      <c r="H782" s="2379" t="s">
        <v>3972</v>
      </c>
      <c r="I782" s="64"/>
      <c r="J782" s="4"/>
      <c r="K782" s="89" t="s">
        <v>401</v>
      </c>
      <c r="L782" s="1170" t="s">
        <v>708</v>
      </c>
      <c r="M782" s="1871"/>
      <c r="N782" s="1042"/>
      <c r="O782" s="1042"/>
      <c r="P782" s="249"/>
      <c r="Q782" s="249"/>
      <c r="R782" s="249"/>
      <c r="S782" s="249"/>
      <c r="T782" s="249"/>
      <c r="U782" s="249"/>
      <c r="V782" s="249"/>
      <c r="W782" s="249"/>
      <c r="X782" s="1757"/>
      <c r="Y782" s="2081"/>
      <c r="Z782" s="2083"/>
      <c r="AA782" s="1526"/>
      <c r="AC782" s="970"/>
      <c r="AD782" s="970"/>
      <c r="AE782" s="970"/>
      <c r="AF782" s="249"/>
      <c r="AG782" s="249"/>
      <c r="AH782" s="249"/>
      <c r="AI782" s="249"/>
      <c r="AJ782" s="249"/>
      <c r="AK782" s="249"/>
      <c r="AL782" s="1336"/>
      <c r="AM782" s="1336"/>
      <c r="AN782" s="1336"/>
      <c r="AO782" s="1336"/>
      <c r="AP782" s="1336"/>
      <c r="AQ782" s="1336"/>
      <c r="AR782" s="1336"/>
      <c r="AS782" s="1336"/>
    </row>
    <row r="783" spans="1:45" x14ac:dyDescent="0.25">
      <c r="A783" s="2371">
        <v>6</v>
      </c>
      <c r="B783" s="2383" t="s">
        <v>719</v>
      </c>
      <c r="C783" s="2374" t="s">
        <v>539</v>
      </c>
      <c r="D783" s="2374"/>
      <c r="E783" s="2374"/>
      <c r="F783" s="2374"/>
      <c r="G783" s="2373" t="str">
        <f t="shared" ca="1" si="50"/>
        <v/>
      </c>
      <c r="H783" s="2371" t="s">
        <v>3972</v>
      </c>
      <c r="I783" s="64"/>
      <c r="J783" s="4"/>
      <c r="K783" s="85" t="s">
        <v>539</v>
      </c>
      <c r="L783" s="1170" t="s">
        <v>709</v>
      </c>
      <c r="M783" s="1871"/>
      <c r="N783" s="1042"/>
      <c r="O783" s="1042"/>
      <c r="P783" s="249"/>
      <c r="Q783" s="249"/>
      <c r="R783" s="249"/>
      <c r="S783" s="249"/>
      <c r="T783" s="249"/>
      <c r="U783" s="249"/>
      <c r="V783" s="249"/>
      <c r="W783" s="249" t="s">
        <v>3120</v>
      </c>
      <c r="X783" s="1757"/>
      <c r="Y783" s="2081" t="str">
        <f>IF(LEN('Ch6'!X465)=0,"None",'Ch6'!X465)</f>
        <v>None</v>
      </c>
      <c r="Z783" s="2083"/>
      <c r="AA783" s="1526"/>
      <c r="AC783" s="970"/>
      <c r="AD783" s="970"/>
      <c r="AE783" s="970"/>
      <c r="AF783" s="249"/>
      <c r="AG783" s="249"/>
      <c r="AH783" s="249"/>
      <c r="AI783" s="249"/>
      <c r="AJ783" s="249"/>
      <c r="AK783" s="249"/>
      <c r="AL783" s="1336"/>
      <c r="AM783" s="1336"/>
      <c r="AN783" s="1336"/>
      <c r="AO783" s="1336"/>
      <c r="AP783" s="1336"/>
      <c r="AQ783" s="1336"/>
      <c r="AR783" s="1336" t="str">
        <f>SUBSTITUTE(SUBSTITUTE(SUBSTITUTE("vnt"&amp;$B783&amp;$C783&amp;$D783&amp;$E783,".","_"),"(","_"),")","")</f>
        <v>vnt610_1_2_2_e</v>
      </c>
      <c r="AS783" s="254" t="str">
        <f>IF(LEN(X783)=0,"",X783)</f>
        <v/>
      </c>
    </row>
    <row r="784" spans="1:45" x14ac:dyDescent="0.25">
      <c r="A784" s="2371">
        <v>6</v>
      </c>
      <c r="B784" s="2383" t="s">
        <v>719</v>
      </c>
      <c r="C784" s="2374" t="s">
        <v>604</v>
      </c>
      <c r="D784" s="2374"/>
      <c r="E784" s="2374"/>
      <c r="F784" s="2374"/>
      <c r="G784" s="2373" t="str">
        <f t="shared" ca="1" si="50"/>
        <v/>
      </c>
      <c r="H784" s="2375" t="s">
        <v>3972</v>
      </c>
      <c r="I784" s="64"/>
      <c r="J784" s="4"/>
      <c r="K784" s="87" t="s">
        <v>604</v>
      </c>
      <c r="L784" s="1170" t="s">
        <v>710</v>
      </c>
      <c r="M784" s="1871"/>
      <c r="N784" s="1042"/>
      <c r="O784" s="1042"/>
      <c r="P784" s="249" t="b">
        <v>1</v>
      </c>
      <c r="Q784" s="249" t="b">
        <v>0</v>
      </c>
      <c r="R784" s="249" t="b">
        <v>0</v>
      </c>
      <c r="S784" s="249" t="b">
        <f>COUNTIF(W727:W744,TRUE)&lt;1</f>
        <v>1</v>
      </c>
      <c r="T784" s="94" t="b">
        <f>IF(AND(NOT(S784),LEN(W784)&gt;0),TRUE,FALSE)</f>
        <v>0</v>
      </c>
      <c r="U784" s="94" t="str">
        <f>SUBSTITUTE(SUBSTITUTE(SUBSTITUTE("dd"&amp;B784&amp;C784&amp;D784&amp;E784&amp;F784,".","_"),"(","_"),")","")</f>
        <v>dd610_1_2_2_f</v>
      </c>
      <c r="V784" s="249"/>
      <c r="W784" s="12"/>
      <c r="X784" s="1757"/>
      <c r="Y784" s="2081"/>
      <c r="Z784" s="2083"/>
      <c r="AA784" s="1526"/>
      <c r="AC784" s="970" t="b">
        <f>OR(AD784:AE784)</f>
        <v>0</v>
      </c>
      <c r="AD784" s="970" t="b">
        <f>T784</f>
        <v>0</v>
      </c>
      <c r="AE784" s="970" t="b">
        <f>AND(NOT(ISBLANK(W784)),LEN(X783)=0)</f>
        <v>0</v>
      </c>
      <c r="AF784" s="784" t="b">
        <f>AND(AE784,NOT(Q784))</f>
        <v>0</v>
      </c>
      <c r="AG784" s="249"/>
      <c r="AH784" s="249"/>
      <c r="AI784" s="249"/>
      <c r="AJ784" s="249"/>
      <c r="AK784" s="249"/>
      <c r="AL784" s="1336"/>
      <c r="AM784" s="1336"/>
      <c r="AN784" s="1336"/>
      <c r="AO784" s="1336"/>
      <c r="AP784" s="1336" t="str">
        <f>SUBSTITUTE(SUBSTITUTE(SUBSTITUTE("vch"&amp;$B784&amp;$C784&amp;$D784&amp;$E784,".","_"),"(","_"),")","")</f>
        <v>vch610_1_2_2_f</v>
      </c>
      <c r="AQ784" s="254" t="str">
        <f>IF(LEN(W784)=0,"",W784)</f>
        <v/>
      </c>
      <c r="AR784" s="1336"/>
      <c r="AS784" s="1336"/>
    </row>
    <row r="785" spans="1:45" x14ac:dyDescent="0.25">
      <c r="A785" s="2371">
        <v>6</v>
      </c>
      <c r="B785" s="2383" t="s">
        <v>719</v>
      </c>
      <c r="C785" s="2374"/>
      <c r="D785" s="2374"/>
      <c r="E785" s="2374"/>
      <c r="F785" s="2374"/>
      <c r="G785" s="2373" t="str">
        <f t="shared" ca="1" si="50"/>
        <v/>
      </c>
      <c r="H785" s="2371" t="s">
        <v>3972</v>
      </c>
      <c r="I785" s="64"/>
      <c r="J785" s="4"/>
      <c r="K785" s="83"/>
      <c r="L785" s="1851" t="s">
        <v>726</v>
      </c>
      <c r="M785" s="1871"/>
      <c r="N785" s="1042"/>
      <c r="O785" s="1042"/>
      <c r="P785" s="249"/>
      <c r="Q785" s="249"/>
      <c r="R785" s="249"/>
      <c r="S785" s="249"/>
      <c r="T785" s="249"/>
      <c r="U785" s="249"/>
      <c r="V785" s="249"/>
      <c r="W785" s="249"/>
      <c r="X785" s="1757"/>
      <c r="Y785" s="2081"/>
      <c r="Z785" s="2083"/>
      <c r="AA785" s="1526"/>
      <c r="AC785" s="970"/>
      <c r="AD785" s="970"/>
      <c r="AE785" s="970"/>
      <c r="AF785" s="249"/>
      <c r="AG785" s="249"/>
      <c r="AH785" s="249"/>
      <c r="AI785" s="249"/>
      <c r="AJ785" s="249"/>
      <c r="AK785" s="249"/>
      <c r="AL785" s="1336"/>
      <c r="AM785" s="1336"/>
      <c r="AN785" s="1336"/>
      <c r="AO785" s="1336"/>
      <c r="AP785" s="1336"/>
      <c r="AQ785" s="1336"/>
      <c r="AR785" s="1336"/>
      <c r="AS785" s="1336"/>
    </row>
    <row r="786" spans="1:45" x14ac:dyDescent="0.25">
      <c r="A786" s="2371">
        <v>6</v>
      </c>
      <c r="B786" s="2383" t="s">
        <v>719</v>
      </c>
      <c r="C786" s="2374"/>
      <c r="D786" s="2374"/>
      <c r="E786" s="2374"/>
      <c r="F786" s="2374"/>
      <c r="G786" s="2373" t="str">
        <f t="shared" ca="1" si="50"/>
        <v/>
      </c>
      <c r="H786" s="2371" t="s">
        <v>3972</v>
      </c>
      <c r="I786" s="64"/>
      <c r="J786" s="4"/>
      <c r="K786" s="83"/>
      <c r="L786" s="1851"/>
      <c r="M786" s="1871"/>
      <c r="N786" s="1042"/>
      <c r="O786" s="1042"/>
      <c r="P786" s="249"/>
      <c r="Q786" s="249"/>
      <c r="R786" s="249"/>
      <c r="S786" s="249"/>
      <c r="T786" s="249"/>
      <c r="U786" s="249"/>
      <c r="V786" s="249"/>
      <c r="W786" s="249"/>
      <c r="X786" s="1757"/>
      <c r="Y786" s="2081"/>
      <c r="Z786" s="2083"/>
      <c r="AA786" s="1526"/>
      <c r="AC786" s="970"/>
      <c r="AD786" s="970"/>
      <c r="AE786" s="970"/>
      <c r="AF786" s="249"/>
      <c r="AG786" s="249"/>
      <c r="AH786" s="249"/>
      <c r="AI786" s="249"/>
      <c r="AJ786" s="249"/>
      <c r="AK786" s="249"/>
      <c r="AL786" s="1336"/>
      <c r="AM786" s="1336"/>
      <c r="AN786" s="1336"/>
      <c r="AO786" s="1336"/>
      <c r="AP786" s="1336"/>
      <c r="AQ786" s="1336"/>
      <c r="AR786" s="1336"/>
      <c r="AS786" s="1336"/>
    </row>
    <row r="787" spans="1:45" x14ac:dyDescent="0.25">
      <c r="A787" s="2371">
        <v>6</v>
      </c>
      <c r="B787" s="2383" t="s">
        <v>719</v>
      </c>
      <c r="C787" s="2374"/>
      <c r="D787" s="2374"/>
      <c r="E787" s="2374"/>
      <c r="F787" s="2374"/>
      <c r="G787" s="2373" t="str">
        <f t="shared" ca="1" si="50"/>
        <v/>
      </c>
      <c r="H787" s="2371" t="s">
        <v>3972</v>
      </c>
      <c r="I787" s="64"/>
      <c r="J787" s="4"/>
      <c r="K787" s="83"/>
      <c r="L787" s="1849" t="s">
        <v>3114</v>
      </c>
      <c r="M787" s="1871"/>
      <c r="N787" s="1042"/>
      <c r="O787" s="1042"/>
      <c r="P787" s="249"/>
      <c r="Q787" s="249"/>
      <c r="R787" s="249"/>
      <c r="S787" s="249"/>
      <c r="T787" s="249"/>
      <c r="U787" s="249"/>
      <c r="V787" s="249"/>
      <c r="W787" s="249"/>
      <c r="X787" s="1757"/>
      <c r="Y787" s="2081"/>
      <c r="Z787" s="2083"/>
      <c r="AA787" s="1526"/>
      <c r="AC787" s="970"/>
      <c r="AD787" s="970"/>
      <c r="AE787" s="970"/>
      <c r="AF787" s="249"/>
      <c r="AG787" s="249"/>
      <c r="AH787" s="249"/>
      <c r="AI787" s="249"/>
      <c r="AJ787" s="249"/>
      <c r="AK787" s="249"/>
      <c r="AL787" s="1336"/>
      <c r="AM787" s="1336"/>
      <c r="AN787" s="1336"/>
      <c r="AO787" s="1336"/>
      <c r="AP787" s="1336"/>
      <c r="AQ787" s="1336"/>
      <c r="AR787" s="1336"/>
      <c r="AS787" s="1336"/>
    </row>
    <row r="788" spans="1:45" x14ac:dyDescent="0.25">
      <c r="A788" s="2371">
        <v>6</v>
      </c>
      <c r="B788" s="2383" t="s">
        <v>719</v>
      </c>
      <c r="C788" s="2374"/>
      <c r="D788" s="2374"/>
      <c r="E788" s="2374"/>
      <c r="F788" s="2374"/>
      <c r="G788" s="2373" t="str">
        <f t="shared" ca="1" si="50"/>
        <v/>
      </c>
      <c r="H788" s="2371" t="s">
        <v>3972</v>
      </c>
      <c r="I788" s="64"/>
      <c r="J788" s="4"/>
      <c r="K788" s="83"/>
      <c r="L788" s="1850"/>
      <c r="M788" s="1871"/>
      <c r="N788" s="1042"/>
      <c r="O788" s="1042"/>
      <c r="P788" s="249"/>
      <c r="Q788" s="249"/>
      <c r="R788" s="249"/>
      <c r="S788" s="249"/>
      <c r="T788" s="249"/>
      <c r="U788" s="249"/>
      <c r="V788" s="249"/>
      <c r="W788" s="249"/>
      <c r="X788" s="1798"/>
      <c r="Y788" s="2099"/>
      <c r="Z788" s="2087"/>
      <c r="AA788" s="1526"/>
      <c r="AC788" s="970"/>
      <c r="AD788" s="970"/>
      <c r="AE788" s="970"/>
      <c r="AF788" s="249"/>
      <c r="AG788" s="249"/>
      <c r="AH788" s="249"/>
      <c r="AI788" s="249"/>
      <c r="AJ788" s="249"/>
      <c r="AK788" s="249"/>
      <c r="AL788" s="1336"/>
      <c r="AM788" s="1336"/>
      <c r="AN788" s="1336"/>
      <c r="AO788" s="1336"/>
      <c r="AP788" s="1336"/>
      <c r="AQ788" s="1336"/>
      <c r="AR788" s="1336"/>
      <c r="AS788" s="1336"/>
    </row>
    <row r="789" spans="1:45" ht="18.75" x14ac:dyDescent="0.3">
      <c r="A789" s="2371">
        <v>6</v>
      </c>
      <c r="B789" s="2389">
        <v>611</v>
      </c>
      <c r="C789" s="2390"/>
      <c r="D789" s="2390"/>
      <c r="E789" s="2390"/>
      <c r="F789" s="2390"/>
      <c r="G789" s="2373" t="s">
        <v>3974</v>
      </c>
      <c r="H789" s="2371" t="s">
        <v>3971</v>
      </c>
      <c r="I789" s="995" t="s">
        <v>4871</v>
      </c>
      <c r="J789" s="968"/>
      <c r="K789" s="996"/>
      <c r="L789" s="1001"/>
      <c r="M789" s="999"/>
      <c r="N789" s="1053"/>
      <c r="O789" s="1053"/>
      <c r="P789" s="968"/>
      <c r="Q789" s="968"/>
      <c r="R789" s="968"/>
      <c r="S789" s="968"/>
      <c r="T789" s="968"/>
      <c r="U789" s="968"/>
      <c r="V789" s="968"/>
      <c r="W789" s="968"/>
      <c r="X789" s="968"/>
      <c r="Y789" s="968"/>
      <c r="Z789" s="1597"/>
      <c r="AA789" s="1526"/>
      <c r="AC789" s="970"/>
      <c r="AD789" s="970"/>
      <c r="AE789" s="970"/>
      <c r="AF789" s="249"/>
      <c r="AG789" s="249"/>
      <c r="AH789" s="249"/>
      <c r="AI789" s="249"/>
      <c r="AJ789" s="249"/>
      <c r="AK789" s="249"/>
      <c r="AL789" s="94"/>
      <c r="AM789" s="94"/>
      <c r="AN789" s="94"/>
      <c r="AO789" s="94"/>
      <c r="AP789" s="94"/>
      <c r="AQ789" s="94"/>
      <c r="AR789" s="94"/>
      <c r="AS789" s="94"/>
    </row>
    <row r="790" spans="1:45" ht="15.75" customHeight="1" x14ac:dyDescent="0.25">
      <c r="A790" s="2371">
        <v>6</v>
      </c>
      <c r="B790" s="2383" t="s">
        <v>4583</v>
      </c>
      <c r="C790" s="2374"/>
      <c r="D790" s="2374"/>
      <c r="E790" s="2374"/>
      <c r="F790" s="2374"/>
      <c r="G790" s="2373" t="str">
        <f>IF(N790&gt;0,"P","")</f>
        <v/>
      </c>
      <c r="H790" s="2371" t="s">
        <v>3973</v>
      </c>
      <c r="I790" s="130">
        <v>611.1</v>
      </c>
      <c r="J790" s="129"/>
      <c r="K790" s="920"/>
      <c r="L790" s="1782" t="s">
        <v>4189</v>
      </c>
      <c r="M790" s="1758">
        <v>5</v>
      </c>
      <c r="N790" s="1927">
        <f>'Ch6'!O472</f>
        <v>0</v>
      </c>
      <c r="O790" s="1927">
        <f>IF(W796+W807*2&gt;=10,5,0)</f>
        <v>0</v>
      </c>
      <c r="P790" s="94"/>
      <c r="Q790" s="94"/>
      <c r="R790" s="94"/>
      <c r="S790" s="94"/>
      <c r="T790" s="94"/>
      <c r="U790" s="94"/>
      <c r="V790" s="94"/>
      <c r="W790" s="94"/>
      <c r="X790" s="94"/>
      <c r="AA790" s="1526"/>
      <c r="AC790" s="970"/>
      <c r="AD790" s="970"/>
      <c r="AE790" s="970"/>
      <c r="AF790" s="249"/>
      <c r="AG790" s="249"/>
      <c r="AH790" s="249"/>
      <c r="AI790" s="249"/>
      <c r="AJ790" s="249"/>
      <c r="AK790" s="249"/>
      <c r="AL790" s="254" t="str">
        <f>SUBSTITUTE(SUBSTITUTE(SUBSTITUTE("vpa"&amp;$B790&amp;$C790&amp;$D790&amp;$E790,".","_"),"(","_"),")","")</f>
        <v>vpa611_1</v>
      </c>
      <c r="AM790" s="254">
        <f>M790</f>
        <v>5</v>
      </c>
      <c r="AN790" s="254" t="str">
        <f>SUBSTITUTE(SUBSTITUTE(SUBSTITUTE("vpc"&amp;$B790&amp;$C790&amp;$D790&amp;$E790,".","_"),"(","_"),")","")</f>
        <v>vpc611_1</v>
      </c>
      <c r="AO790" s="254">
        <f>O790</f>
        <v>0</v>
      </c>
      <c r="AP790" s="1336"/>
      <c r="AQ790" s="1336"/>
      <c r="AR790" s="1336"/>
      <c r="AS790" s="1336"/>
    </row>
    <row r="791" spans="1:45" x14ac:dyDescent="0.25">
      <c r="A791" s="2371">
        <v>6</v>
      </c>
      <c r="B791" s="2383" t="s">
        <v>4583</v>
      </c>
      <c r="C791" s="2374"/>
      <c r="D791" s="2374"/>
      <c r="E791" s="2374"/>
      <c r="F791" s="2374"/>
      <c r="G791" s="2373" t="str">
        <f t="shared" ref="G791:G811" si="51">G790</f>
        <v/>
      </c>
      <c r="H791" s="2371" t="s">
        <v>3973</v>
      </c>
      <c r="I791" s="64"/>
      <c r="J791" s="4"/>
      <c r="K791" s="83"/>
      <c r="L791" s="1796"/>
      <c r="M791" s="1758"/>
      <c r="N791" s="1927"/>
      <c r="O791" s="1927"/>
      <c r="P791" s="94"/>
      <c r="Q791" s="94"/>
      <c r="R791" s="94"/>
      <c r="S791" s="94"/>
      <c r="T791" s="94"/>
      <c r="U791" s="94"/>
      <c r="V791" s="94"/>
      <c r="W791" s="94"/>
      <c r="X791" s="911"/>
      <c r="AA791" s="1526"/>
      <c r="AC791" s="970"/>
      <c r="AD791" s="970"/>
      <c r="AE791" s="970"/>
      <c r="AF791" s="249"/>
      <c r="AG791" s="249"/>
      <c r="AH791" s="249"/>
      <c r="AI791" s="249"/>
      <c r="AJ791" s="249"/>
      <c r="AK791" s="249"/>
      <c r="AL791" s="1336"/>
      <c r="AM791" s="1336"/>
      <c r="AN791" s="1336"/>
      <c r="AO791" s="1336"/>
      <c r="AP791" s="1336"/>
      <c r="AQ791" s="1336"/>
      <c r="AR791" s="1336"/>
      <c r="AS791" s="1336"/>
    </row>
    <row r="792" spans="1:45" x14ac:dyDescent="0.25">
      <c r="A792" s="2371">
        <v>6</v>
      </c>
      <c r="B792" s="2383" t="s">
        <v>4583</v>
      </c>
      <c r="C792" s="2374"/>
      <c r="D792" s="2374"/>
      <c r="E792" s="2374"/>
      <c r="F792" s="2374"/>
      <c r="G792" s="2373" t="str">
        <f t="shared" si="51"/>
        <v/>
      </c>
      <c r="H792" s="2371" t="s">
        <v>3973</v>
      </c>
      <c r="I792" s="64"/>
      <c r="J792" s="4"/>
      <c r="K792" s="83"/>
      <c r="L792" s="1796"/>
      <c r="M792" s="1758"/>
      <c r="N792" s="1927"/>
      <c r="O792" s="1927"/>
      <c r="P792" s="94"/>
      <c r="Q792" s="94"/>
      <c r="R792" s="94"/>
      <c r="S792" s="94"/>
      <c r="T792" s="94"/>
      <c r="U792" s="94"/>
      <c r="V792" s="94"/>
      <c r="W792" s="94"/>
      <c r="X792" s="911"/>
      <c r="AA792" s="1526"/>
      <c r="AC792" s="970"/>
      <c r="AD792" s="970"/>
      <c r="AE792" s="970"/>
      <c r="AF792" s="249"/>
      <c r="AG792" s="249"/>
      <c r="AH792" s="249"/>
      <c r="AI792" s="249"/>
      <c r="AJ792" s="249"/>
      <c r="AK792" s="249"/>
      <c r="AL792" s="1336"/>
      <c r="AM792" s="1336"/>
      <c r="AN792" s="1336"/>
      <c r="AO792" s="1336"/>
      <c r="AP792" s="1336"/>
      <c r="AQ792" s="1336"/>
      <c r="AR792" s="1336"/>
      <c r="AS792" s="1336"/>
    </row>
    <row r="793" spans="1:45" x14ac:dyDescent="0.25">
      <c r="A793" s="2371">
        <v>6</v>
      </c>
      <c r="B793" s="2383" t="s">
        <v>4583</v>
      </c>
      <c r="C793" s="2374"/>
      <c r="D793" s="2374"/>
      <c r="E793" s="2374"/>
      <c r="F793" s="2374"/>
      <c r="G793" s="2373" t="str">
        <f t="shared" si="51"/>
        <v/>
      </c>
      <c r="H793" s="2371" t="s">
        <v>3973</v>
      </c>
      <c r="I793" s="64"/>
      <c r="J793" s="4"/>
      <c r="K793" s="83"/>
      <c r="L793" s="1796"/>
      <c r="M793" s="1758"/>
      <c r="N793" s="1927"/>
      <c r="O793" s="1927"/>
      <c r="P793" s="94"/>
      <c r="Q793" s="94"/>
      <c r="R793" s="94"/>
      <c r="S793" s="94"/>
      <c r="T793" s="94"/>
      <c r="U793" s="94"/>
      <c r="V793" s="94"/>
      <c r="W793" s="94"/>
      <c r="X793" s="911"/>
      <c r="AA793" s="1526"/>
      <c r="AC793" s="970"/>
      <c r="AD793" s="970"/>
      <c r="AE793" s="970"/>
      <c r="AF793" s="249"/>
      <c r="AG793" s="249"/>
      <c r="AH793" s="249"/>
      <c r="AI793" s="249"/>
      <c r="AJ793" s="249"/>
      <c r="AK793" s="249"/>
      <c r="AL793" s="1336"/>
      <c r="AM793" s="1336"/>
      <c r="AN793" s="1336"/>
      <c r="AO793" s="1336"/>
      <c r="AP793" s="1336"/>
      <c r="AQ793" s="1336"/>
      <c r="AR793" s="1336"/>
      <c r="AS793" s="1336"/>
    </row>
    <row r="794" spans="1:45" x14ac:dyDescent="0.25">
      <c r="A794" s="2371">
        <v>6</v>
      </c>
      <c r="B794" s="2383" t="s">
        <v>4583</v>
      </c>
      <c r="C794" s="2374"/>
      <c r="D794" s="2374"/>
      <c r="E794" s="2374"/>
      <c r="F794" s="2374"/>
      <c r="G794" s="2373" t="str">
        <f t="shared" si="51"/>
        <v/>
      </c>
      <c r="H794" s="2371" t="s">
        <v>3973</v>
      </c>
      <c r="I794" s="215"/>
      <c r="J794" s="210"/>
      <c r="K794" s="175"/>
      <c r="L794" s="1843"/>
      <c r="M794" s="1759"/>
      <c r="N794" s="2076"/>
      <c r="O794" s="2076"/>
      <c r="P794" s="94"/>
      <c r="Q794" s="94"/>
      <c r="R794" s="94"/>
      <c r="S794" s="94"/>
      <c r="T794" s="94"/>
      <c r="U794" s="94"/>
      <c r="V794" s="94"/>
      <c r="W794" s="94"/>
      <c r="X794" s="911"/>
      <c r="AA794" s="1526"/>
      <c r="AC794" s="970"/>
      <c r="AD794" s="970"/>
      <c r="AE794" s="970"/>
      <c r="AF794" s="249"/>
      <c r="AG794" s="249"/>
      <c r="AH794" s="249"/>
      <c r="AI794" s="249"/>
      <c r="AJ794" s="249"/>
      <c r="AK794" s="249"/>
      <c r="AL794" s="1336"/>
      <c r="AM794" s="1336"/>
      <c r="AN794" s="1336"/>
      <c r="AO794" s="1336"/>
      <c r="AP794" s="1336"/>
      <c r="AQ794" s="1336"/>
      <c r="AR794" s="1336"/>
      <c r="AS794" s="1336"/>
    </row>
    <row r="795" spans="1:45" ht="15" customHeight="1" x14ac:dyDescent="0.25">
      <c r="A795" s="2371">
        <v>6</v>
      </c>
      <c r="B795" s="2383" t="s">
        <v>4190</v>
      </c>
      <c r="C795" s="2374"/>
      <c r="D795" s="2374"/>
      <c r="E795" s="2374"/>
      <c r="F795" s="2374"/>
      <c r="G795" s="2373" t="str">
        <f t="shared" si="51"/>
        <v/>
      </c>
      <c r="H795" s="2371" t="s">
        <v>3973</v>
      </c>
      <c r="I795" s="64" t="s">
        <v>4190</v>
      </c>
      <c r="J795" s="4"/>
      <c r="K795" s="83"/>
      <c r="L795" s="1852" t="s">
        <v>4818</v>
      </c>
      <c r="M795" s="1014"/>
      <c r="N795" s="1042"/>
      <c r="O795" s="1042"/>
      <c r="P795" s="249"/>
      <c r="Q795" s="249"/>
      <c r="R795" s="249"/>
      <c r="S795" s="249"/>
      <c r="T795" s="249"/>
      <c r="U795" s="249"/>
      <c r="V795" s="249"/>
      <c r="W795" s="249" t="s">
        <v>3136</v>
      </c>
      <c r="X795" s="1757"/>
      <c r="Y795" s="2081" t="str">
        <f>IF(LEN('Ch6'!X477)=0,"None",'Ch6'!X477)</f>
        <v>None</v>
      </c>
      <c r="Z795" s="2083"/>
      <c r="AA795" s="1526"/>
      <c r="AC795" s="970"/>
      <c r="AD795" s="970"/>
      <c r="AE795" s="970"/>
      <c r="AF795" s="249"/>
      <c r="AG795" s="249"/>
      <c r="AH795" s="249"/>
      <c r="AI795" s="249"/>
      <c r="AJ795" s="249"/>
      <c r="AK795" s="249"/>
      <c r="AL795" s="1336"/>
      <c r="AM795" s="1336"/>
      <c r="AN795" s="1336"/>
      <c r="AO795" s="1336"/>
      <c r="AP795" s="1336"/>
      <c r="AQ795" s="1336"/>
      <c r="AR795" s="1336" t="str">
        <f>SUBSTITUTE(SUBSTITUTE(SUBSTITUTE("vnt"&amp;$B795&amp;$C795&amp;$D795&amp;$E795,".","_"),"(","_"),")","")</f>
        <v>vnt611_1_1</v>
      </c>
      <c r="AS795" s="254" t="str">
        <f>IF(LEN(X795)=0,"",X795)</f>
        <v/>
      </c>
    </row>
    <row r="796" spans="1:45" x14ac:dyDescent="0.25">
      <c r="A796" s="2371">
        <v>6</v>
      </c>
      <c r="B796" s="2383" t="s">
        <v>4190</v>
      </c>
      <c r="C796" s="2374"/>
      <c r="D796" s="2374"/>
      <c r="E796" s="2374"/>
      <c r="F796" s="2374"/>
      <c r="G796" s="2373" t="str">
        <f t="shared" si="51"/>
        <v/>
      </c>
      <c r="H796" s="2371" t="s">
        <v>3973</v>
      </c>
      <c r="I796" s="64"/>
      <c r="J796" s="4"/>
      <c r="K796" s="83"/>
      <c r="L796" s="1852"/>
      <c r="M796" s="1014"/>
      <c r="N796" s="1042"/>
      <c r="O796" s="1042"/>
      <c r="P796" s="249" t="b">
        <v>0</v>
      </c>
      <c r="Q796" s="249" t="b">
        <v>1</v>
      </c>
      <c r="R796" s="249" t="b">
        <v>0</v>
      </c>
      <c r="S796" s="249" t="b">
        <v>1</v>
      </c>
      <c r="T796" s="249" t="b">
        <v>0</v>
      </c>
      <c r="U796" s="249"/>
      <c r="V796" s="249"/>
      <c r="W796" s="173"/>
      <c r="X796" s="1757"/>
      <c r="Y796" s="2081"/>
      <c r="Z796" s="2083"/>
      <c r="AA796" s="1526"/>
      <c r="AC796" s="970" t="b">
        <f>OR(AD796:AE796)</f>
        <v>0</v>
      </c>
      <c r="AD796" s="970" t="b">
        <v>0</v>
      </c>
      <c r="AE796" s="970" t="b">
        <f>AND(W796&gt;0,LEN(X795)=0)</f>
        <v>0</v>
      </c>
      <c r="AF796" s="784"/>
      <c r="AG796" s="249"/>
      <c r="AH796" s="249"/>
      <c r="AI796" s="249"/>
      <c r="AJ796" s="249"/>
      <c r="AK796" s="249"/>
      <c r="AL796" s="1336"/>
      <c r="AM796" s="1336"/>
      <c r="AN796" s="1336"/>
      <c r="AO796" s="1336"/>
      <c r="AP796" s="1336" t="str">
        <f>SUBSTITUTE(SUBSTITUTE(SUBSTITUTE("vch"&amp;$B796&amp;$C796&amp;$D796&amp;$E796,".","_"),"(","_"),")","")</f>
        <v>vch611_1_1</v>
      </c>
      <c r="AQ796" s="254" t="str">
        <f>IF(LEN(W796)=0,"",W796)</f>
        <v/>
      </c>
      <c r="AR796" s="1336"/>
      <c r="AS796" s="1336"/>
    </row>
    <row r="797" spans="1:45" x14ac:dyDescent="0.25">
      <c r="A797" s="2371">
        <v>6</v>
      </c>
      <c r="B797" s="2383" t="s">
        <v>4190</v>
      </c>
      <c r="C797" s="2374"/>
      <c r="D797" s="2374"/>
      <c r="E797" s="2374"/>
      <c r="F797" s="2374"/>
      <c r="G797" s="2373" t="str">
        <f t="shared" si="51"/>
        <v/>
      </c>
      <c r="H797" s="2371" t="s">
        <v>3973</v>
      </c>
      <c r="I797" s="64"/>
      <c r="J797" s="4"/>
      <c r="K797" s="83"/>
      <c r="L797" s="1852"/>
      <c r="M797" s="1014"/>
      <c r="N797" s="1042"/>
      <c r="O797" s="1042"/>
      <c r="P797" s="249"/>
      <c r="Q797" s="249"/>
      <c r="R797" s="249"/>
      <c r="S797" s="249"/>
      <c r="T797" s="249"/>
      <c r="U797" s="249"/>
      <c r="V797" s="249"/>
      <c r="W797" s="249"/>
      <c r="X797" s="1757"/>
      <c r="Y797" s="2081"/>
      <c r="Z797" s="2083"/>
      <c r="AA797" s="1526"/>
      <c r="AC797" s="970"/>
      <c r="AD797" s="970"/>
      <c r="AE797" s="970"/>
      <c r="AF797" s="249"/>
      <c r="AG797" s="249"/>
      <c r="AH797" s="249"/>
      <c r="AI797" s="249"/>
      <c r="AJ797" s="249"/>
      <c r="AK797" s="249"/>
      <c r="AL797" s="1336"/>
      <c r="AM797" s="1336"/>
      <c r="AN797" s="1336"/>
      <c r="AO797" s="1336"/>
      <c r="AP797" s="1336"/>
      <c r="AQ797" s="1336"/>
      <c r="AR797" s="1336"/>
      <c r="AS797" s="1336"/>
    </row>
    <row r="798" spans="1:45" x14ac:dyDescent="0.25">
      <c r="A798" s="2371">
        <v>6</v>
      </c>
      <c r="B798" s="2383" t="s">
        <v>4190</v>
      </c>
      <c r="C798" s="2374"/>
      <c r="D798" s="2374"/>
      <c r="E798" s="2374"/>
      <c r="F798" s="2374"/>
      <c r="G798" s="2373" t="str">
        <f t="shared" si="51"/>
        <v/>
      </c>
      <c r="H798" s="2371" t="s">
        <v>3973</v>
      </c>
      <c r="I798" s="64"/>
      <c r="J798" s="4"/>
      <c r="K798" s="83"/>
      <c r="L798" s="1852"/>
      <c r="M798" s="1014"/>
      <c r="N798" s="1042"/>
      <c r="O798" s="1042"/>
      <c r="P798" s="249"/>
      <c r="Q798" s="249"/>
      <c r="R798" s="249"/>
      <c r="S798" s="249"/>
      <c r="T798" s="249"/>
      <c r="U798" s="249"/>
      <c r="V798" s="249"/>
      <c r="W798" s="249"/>
      <c r="X798" s="1757"/>
      <c r="Y798" s="2081"/>
      <c r="Z798" s="2083"/>
      <c r="AA798" s="1526"/>
      <c r="AC798" s="970"/>
      <c r="AD798" s="970"/>
      <c r="AE798" s="970"/>
      <c r="AF798" s="249"/>
      <c r="AG798" s="249"/>
      <c r="AH798" s="249"/>
      <c r="AI798" s="249"/>
      <c r="AJ798" s="249"/>
      <c r="AK798" s="249"/>
      <c r="AL798" s="1336"/>
      <c r="AM798" s="1336"/>
      <c r="AN798" s="1336"/>
      <c r="AO798" s="1336"/>
      <c r="AP798" s="1336"/>
      <c r="AQ798" s="1336"/>
      <c r="AR798" s="1336"/>
      <c r="AS798" s="1336"/>
    </row>
    <row r="799" spans="1:45" x14ac:dyDescent="0.25">
      <c r="A799" s="2371">
        <v>6</v>
      </c>
      <c r="B799" s="2383" t="s">
        <v>4190</v>
      </c>
      <c r="C799" s="2374"/>
      <c r="D799" s="2374"/>
      <c r="E799" s="2374"/>
      <c r="F799" s="2374"/>
      <c r="G799" s="2373" t="str">
        <f t="shared" si="51"/>
        <v/>
      </c>
      <c r="H799" s="2371" t="s">
        <v>3973</v>
      </c>
      <c r="I799" s="64"/>
      <c r="J799" s="4"/>
      <c r="K799" s="83"/>
      <c r="L799" s="1852"/>
      <c r="M799" s="1014"/>
      <c r="N799" s="1042"/>
      <c r="O799" s="1042"/>
      <c r="P799" s="249"/>
      <c r="Q799" s="249"/>
      <c r="R799" s="249"/>
      <c r="S799" s="249"/>
      <c r="T799" s="249"/>
      <c r="U799" s="249"/>
      <c r="V799" s="249"/>
      <c r="W799" s="249"/>
      <c r="X799" s="1757"/>
      <c r="Y799" s="2081"/>
      <c r="Z799" s="2083"/>
      <c r="AA799" s="1526"/>
      <c r="AC799" s="970"/>
      <c r="AD799" s="970"/>
      <c r="AE799" s="970"/>
      <c r="AF799" s="249"/>
      <c r="AG799" s="249"/>
      <c r="AH799" s="249"/>
      <c r="AI799" s="249"/>
      <c r="AJ799" s="249"/>
      <c r="AK799" s="249"/>
      <c r="AL799" s="1336"/>
      <c r="AM799" s="1336"/>
      <c r="AN799" s="1336"/>
      <c r="AO799" s="1336"/>
      <c r="AP799" s="1336"/>
      <c r="AQ799" s="1336"/>
      <c r="AR799" s="1336"/>
      <c r="AS799" s="1336"/>
    </row>
    <row r="800" spans="1:45" x14ac:dyDescent="0.25">
      <c r="A800" s="2371">
        <v>6</v>
      </c>
      <c r="B800" s="2383" t="s">
        <v>4190</v>
      </c>
      <c r="C800" s="2374"/>
      <c r="D800" s="2374"/>
      <c r="E800" s="2374"/>
      <c r="F800" s="2374"/>
      <c r="G800" s="2373" t="str">
        <f t="shared" si="51"/>
        <v/>
      </c>
      <c r="H800" s="2371" t="s">
        <v>3973</v>
      </c>
      <c r="I800" s="64"/>
      <c r="J800" s="4"/>
      <c r="K800" s="83"/>
      <c r="L800" s="1852"/>
      <c r="M800" s="1014"/>
      <c r="N800" s="1042"/>
      <c r="O800" s="1042"/>
      <c r="P800" s="249"/>
      <c r="Q800" s="249"/>
      <c r="R800" s="249"/>
      <c r="S800" s="249"/>
      <c r="T800" s="249"/>
      <c r="U800" s="249"/>
      <c r="V800" s="249"/>
      <c r="W800" s="249"/>
      <c r="X800" s="1757"/>
      <c r="Y800" s="2081"/>
      <c r="Z800" s="2083"/>
      <c r="AA800" s="1526"/>
      <c r="AC800" s="970"/>
      <c r="AD800" s="970"/>
      <c r="AE800" s="970"/>
      <c r="AF800" s="249"/>
      <c r="AG800" s="249"/>
      <c r="AH800" s="249"/>
      <c r="AI800" s="249"/>
      <c r="AJ800" s="249"/>
      <c r="AK800" s="249"/>
      <c r="AL800" s="1336"/>
      <c r="AM800" s="1336"/>
      <c r="AN800" s="1336"/>
      <c r="AO800" s="1336"/>
      <c r="AP800" s="1336"/>
      <c r="AQ800" s="1336"/>
      <c r="AR800" s="1336"/>
      <c r="AS800" s="1336"/>
    </row>
    <row r="801" spans="1:45" s="1066" customFormat="1" x14ac:dyDescent="0.25">
      <c r="A801" s="2371">
        <v>6</v>
      </c>
      <c r="B801" s="2383" t="s">
        <v>4190</v>
      </c>
      <c r="C801" s="2374"/>
      <c r="D801" s="2374"/>
      <c r="E801" s="2374"/>
      <c r="F801" s="2374"/>
      <c r="G801" s="2373" t="str">
        <f t="shared" si="51"/>
        <v/>
      </c>
      <c r="H801" s="2371" t="s">
        <v>3973</v>
      </c>
      <c r="I801" s="64"/>
      <c r="J801" s="4"/>
      <c r="K801" s="1078"/>
      <c r="L801" s="1852"/>
      <c r="M801" s="1067"/>
      <c r="N801" s="1077"/>
      <c r="O801" s="1077"/>
      <c r="X801" s="1757"/>
      <c r="Y801" s="2081"/>
      <c r="Z801" s="2083"/>
      <c r="AA801" s="1526"/>
      <c r="AL801" s="1336"/>
      <c r="AM801" s="1336"/>
      <c r="AN801" s="1336"/>
      <c r="AO801" s="1336"/>
      <c r="AP801" s="1336"/>
      <c r="AQ801" s="1336"/>
      <c r="AR801" s="1336"/>
      <c r="AS801" s="1336"/>
    </row>
    <row r="802" spans="1:45" x14ac:dyDescent="0.25">
      <c r="A802" s="2371">
        <v>6</v>
      </c>
      <c r="B802" s="2383" t="s">
        <v>4190</v>
      </c>
      <c r="C802" s="2374"/>
      <c r="D802" s="2374"/>
      <c r="E802" s="2374"/>
      <c r="F802" s="2374"/>
      <c r="G802" s="2373" t="str">
        <f t="shared" si="51"/>
        <v/>
      </c>
      <c r="H802" s="2371" t="s">
        <v>3973</v>
      </c>
      <c r="I802" s="64"/>
      <c r="J802" s="4"/>
      <c r="K802" s="83"/>
      <c r="L802" s="1852"/>
      <c r="M802" s="1014"/>
      <c r="N802" s="1042"/>
      <c r="O802" s="1042"/>
      <c r="P802" s="249"/>
      <c r="Q802" s="249"/>
      <c r="R802" s="249"/>
      <c r="S802" s="249"/>
      <c r="T802" s="249"/>
      <c r="U802" s="249"/>
      <c r="V802" s="249"/>
      <c r="W802" s="249"/>
      <c r="X802" s="1757"/>
      <c r="Y802" s="2081"/>
      <c r="Z802" s="2083"/>
      <c r="AA802" s="1526"/>
      <c r="AC802" s="970"/>
      <c r="AD802" s="970"/>
      <c r="AE802" s="970"/>
      <c r="AF802" s="249"/>
      <c r="AG802" s="249"/>
      <c r="AH802" s="249"/>
      <c r="AI802" s="249"/>
      <c r="AJ802" s="249"/>
      <c r="AK802" s="249"/>
      <c r="AL802" s="1336"/>
      <c r="AM802" s="1336"/>
      <c r="AN802" s="1336"/>
      <c r="AO802" s="1336"/>
      <c r="AP802" s="1336"/>
      <c r="AQ802" s="1336"/>
      <c r="AR802" s="1336"/>
      <c r="AS802" s="1336"/>
    </row>
    <row r="803" spans="1:45" x14ac:dyDescent="0.25">
      <c r="A803" s="2371">
        <v>6</v>
      </c>
      <c r="B803" s="2383" t="s">
        <v>4190</v>
      </c>
      <c r="C803" s="2374"/>
      <c r="D803" s="2374"/>
      <c r="E803" s="2374"/>
      <c r="F803" s="2374"/>
      <c r="G803" s="2373" t="str">
        <f t="shared" si="51"/>
        <v/>
      </c>
      <c r="H803" s="2371" t="s">
        <v>3973</v>
      </c>
      <c r="I803" s="64"/>
      <c r="J803" s="4"/>
      <c r="K803" s="83"/>
      <c r="L803" s="1852"/>
      <c r="M803" s="1014"/>
      <c r="N803" s="1042"/>
      <c r="O803" s="1042"/>
      <c r="P803" s="249"/>
      <c r="Q803" s="249"/>
      <c r="R803" s="249"/>
      <c r="S803" s="249"/>
      <c r="T803" s="249"/>
      <c r="U803" s="249"/>
      <c r="V803" s="249"/>
      <c r="W803" s="249"/>
      <c r="X803" s="1757"/>
      <c r="Y803" s="2081"/>
      <c r="Z803" s="2083"/>
      <c r="AA803" s="1526"/>
      <c r="AC803" s="970"/>
      <c r="AD803" s="970"/>
      <c r="AE803" s="970"/>
      <c r="AF803" s="249"/>
      <c r="AG803" s="249"/>
      <c r="AH803" s="249"/>
      <c r="AI803" s="249"/>
      <c r="AJ803" s="249"/>
      <c r="AK803" s="249"/>
      <c r="AL803" s="1336"/>
      <c r="AM803" s="1336"/>
      <c r="AN803" s="1336"/>
      <c r="AO803" s="1336"/>
      <c r="AP803" s="1336"/>
      <c r="AQ803" s="1336"/>
      <c r="AR803" s="1336"/>
      <c r="AS803" s="1336"/>
    </row>
    <row r="804" spans="1:45" x14ac:dyDescent="0.25">
      <c r="A804" s="2371">
        <v>6</v>
      </c>
      <c r="B804" s="2383" t="s">
        <v>4190</v>
      </c>
      <c r="C804" s="2374"/>
      <c r="D804" s="2374"/>
      <c r="E804" s="2374"/>
      <c r="F804" s="2374"/>
      <c r="G804" s="2373" t="str">
        <f t="shared" si="51"/>
        <v/>
      </c>
      <c r="H804" s="2371" t="s">
        <v>3973</v>
      </c>
      <c r="I804" s="215"/>
      <c r="J804" s="210"/>
      <c r="K804" s="175"/>
      <c r="L804" s="1177" t="s">
        <v>3138</v>
      </c>
      <c r="M804" s="1014"/>
      <c r="N804" s="1042"/>
      <c r="O804" s="1042"/>
      <c r="P804" s="249"/>
      <c r="Q804" s="249"/>
      <c r="R804" s="249"/>
      <c r="S804" s="249"/>
      <c r="T804" s="249"/>
      <c r="U804" s="249"/>
      <c r="V804" s="249"/>
      <c r="W804" s="249"/>
      <c r="X804" s="1757"/>
      <c r="Y804" s="2081"/>
      <c r="Z804" s="2083"/>
      <c r="AA804" s="1526"/>
      <c r="AC804" s="970"/>
      <c r="AD804" s="970"/>
      <c r="AE804" s="970"/>
      <c r="AF804" s="249"/>
      <c r="AG804" s="249"/>
      <c r="AH804" s="249"/>
      <c r="AI804" s="249"/>
      <c r="AJ804" s="249"/>
      <c r="AK804" s="249"/>
      <c r="AL804" s="1336"/>
      <c r="AM804" s="1336"/>
      <c r="AN804" s="1336"/>
      <c r="AO804" s="1336"/>
      <c r="AP804" s="1336"/>
      <c r="AQ804" s="1336"/>
      <c r="AR804" s="1336"/>
      <c r="AS804" s="1336"/>
    </row>
    <row r="805" spans="1:45" ht="15" customHeight="1" x14ac:dyDescent="0.25">
      <c r="A805" s="2371">
        <v>6</v>
      </c>
      <c r="B805" s="2383" t="s">
        <v>4191</v>
      </c>
      <c r="C805" s="2374"/>
      <c r="D805" s="2374"/>
      <c r="E805" s="2374"/>
      <c r="F805" s="2374"/>
      <c r="G805" s="2373" t="str">
        <f t="shared" si="51"/>
        <v/>
      </c>
      <c r="H805" s="2371" t="s">
        <v>3973</v>
      </c>
      <c r="I805" s="64" t="s">
        <v>4191</v>
      </c>
      <c r="J805" s="4"/>
      <c r="K805" s="83"/>
      <c r="L805" s="1852" t="s">
        <v>4819</v>
      </c>
      <c r="M805" s="1010"/>
      <c r="N805" s="1044"/>
      <c r="O805" s="1044"/>
      <c r="P805" s="94"/>
      <c r="Q805" s="94"/>
      <c r="R805" s="94"/>
      <c r="S805" s="94"/>
      <c r="T805" s="94"/>
      <c r="U805" s="94"/>
      <c r="V805" s="94"/>
      <c r="W805" s="1847" t="s">
        <v>3137</v>
      </c>
      <c r="X805" s="1757"/>
      <c r="Y805" s="2081" t="str">
        <f>IF(LEN('Ch6'!X487)=0,"None",'Ch6'!X487)</f>
        <v>None</v>
      </c>
      <c r="Z805" s="2084"/>
      <c r="AA805" s="1526"/>
      <c r="AC805" s="970"/>
      <c r="AD805" s="970"/>
      <c r="AE805" s="970"/>
      <c r="AF805" s="249"/>
      <c r="AG805" s="249"/>
      <c r="AH805" s="249"/>
      <c r="AI805" s="249"/>
      <c r="AJ805" s="249"/>
      <c r="AK805" s="249"/>
      <c r="AL805" s="1336"/>
      <c r="AM805" s="1336"/>
      <c r="AN805" s="1336"/>
      <c r="AO805" s="1336"/>
      <c r="AP805" s="1336"/>
      <c r="AQ805" s="1336"/>
      <c r="AR805" s="1336" t="str">
        <f>SUBSTITUTE(SUBSTITUTE(SUBSTITUTE("vnt"&amp;$B805&amp;$C805&amp;$D805&amp;$E805,".","_"),"(","_"),")","")</f>
        <v>vnt611_1_2</v>
      </c>
      <c r="AS805" s="254" t="str">
        <f>IF(LEN(X805)=0,"",X805)</f>
        <v/>
      </c>
    </row>
    <row r="806" spans="1:45" x14ac:dyDescent="0.25">
      <c r="A806" s="2371">
        <v>6</v>
      </c>
      <c r="B806" s="2383" t="s">
        <v>4191</v>
      </c>
      <c r="C806" s="2374"/>
      <c r="D806" s="2374"/>
      <c r="E806" s="2374"/>
      <c r="F806" s="2374"/>
      <c r="G806" s="2373" t="str">
        <f t="shared" si="51"/>
        <v/>
      </c>
      <c r="H806" s="2371" t="s">
        <v>3973</v>
      </c>
      <c r="I806" s="64"/>
      <c r="J806" s="4"/>
      <c r="K806" s="83"/>
      <c r="L806" s="1852"/>
      <c r="M806" s="1010"/>
      <c r="N806" s="1044"/>
      <c r="O806" s="1044"/>
      <c r="P806" s="94"/>
      <c r="Q806" s="94"/>
      <c r="R806" s="94"/>
      <c r="S806" s="94"/>
      <c r="T806" s="94"/>
      <c r="U806" s="94"/>
      <c r="V806" s="94"/>
      <c r="W806" s="1847"/>
      <c r="X806" s="1757"/>
      <c r="Y806" s="2081"/>
      <c r="Z806" s="2084"/>
      <c r="AA806" s="1526"/>
      <c r="AC806" s="970"/>
      <c r="AD806" s="970"/>
      <c r="AE806" s="970"/>
      <c r="AF806" s="249"/>
      <c r="AG806" s="249"/>
      <c r="AH806" s="249"/>
      <c r="AI806" s="249"/>
      <c r="AJ806" s="249"/>
      <c r="AK806" s="249"/>
      <c r="AL806" s="1336"/>
      <c r="AM806" s="1336"/>
      <c r="AN806" s="1336"/>
      <c r="AO806" s="1336"/>
      <c r="AP806" s="1336"/>
      <c r="AQ806" s="1336"/>
      <c r="AR806" s="1336"/>
      <c r="AS806" s="1336"/>
    </row>
    <row r="807" spans="1:45" x14ac:dyDescent="0.25">
      <c r="A807" s="2371">
        <v>6</v>
      </c>
      <c r="B807" s="2383" t="s">
        <v>4191</v>
      </c>
      <c r="C807" s="2374"/>
      <c r="D807" s="2374"/>
      <c r="E807" s="2374"/>
      <c r="F807" s="2374"/>
      <c r="G807" s="2373" t="str">
        <f t="shared" si="51"/>
        <v/>
      </c>
      <c r="H807" s="2371" t="s">
        <v>3973</v>
      </c>
      <c r="I807" s="64"/>
      <c r="J807" s="4"/>
      <c r="K807" s="83"/>
      <c r="L807" s="1852"/>
      <c r="M807" s="1010"/>
      <c r="N807" s="1044"/>
      <c r="O807" s="1044"/>
      <c r="P807" s="249" t="b">
        <v>0</v>
      </c>
      <c r="Q807" s="249" t="b">
        <v>1</v>
      </c>
      <c r="R807" s="94" t="b">
        <v>0</v>
      </c>
      <c r="S807" s="94" t="b">
        <v>1</v>
      </c>
      <c r="T807" s="94" t="b">
        <v>0</v>
      </c>
      <c r="U807" s="94"/>
      <c r="V807" s="94"/>
      <c r="W807" s="199"/>
      <c r="X807" s="1757"/>
      <c r="Y807" s="2081"/>
      <c r="Z807" s="2084"/>
      <c r="AA807" s="1526"/>
      <c r="AC807" s="970" t="b">
        <f>OR(AD807:AE807)</f>
        <v>0</v>
      </c>
      <c r="AD807" s="970" t="b">
        <v>0</v>
      </c>
      <c r="AE807" s="970" t="b">
        <f>AND(W807&gt;0,LEN(X805)=0)</f>
        <v>0</v>
      </c>
      <c r="AF807" s="784"/>
      <c r="AG807" s="249"/>
      <c r="AH807" s="249"/>
      <c r="AI807" s="249"/>
      <c r="AJ807" s="249"/>
      <c r="AK807" s="249"/>
      <c r="AL807" s="1336"/>
      <c r="AM807" s="1336"/>
      <c r="AN807" s="1336"/>
      <c r="AO807" s="1336"/>
      <c r="AP807" s="1336" t="str">
        <f>SUBSTITUTE(SUBSTITUTE(SUBSTITUTE("vch"&amp;$B807&amp;$C807&amp;$D807&amp;$E807,".","_"),"(","_"),")","")</f>
        <v>vch611_1_2</v>
      </c>
      <c r="AQ807" s="254" t="str">
        <f>IF(LEN(W807)=0,"",W807)</f>
        <v/>
      </c>
      <c r="AR807" s="1336"/>
      <c r="AS807" s="1336"/>
    </row>
    <row r="808" spans="1:45" x14ac:dyDescent="0.25">
      <c r="A808" s="2371">
        <v>6</v>
      </c>
      <c r="B808" s="2383" t="s">
        <v>4191</v>
      </c>
      <c r="C808" s="2374"/>
      <c r="D808" s="2374"/>
      <c r="E808" s="2374"/>
      <c r="F808" s="2374"/>
      <c r="G808" s="2373" t="str">
        <f t="shared" si="51"/>
        <v/>
      </c>
      <c r="H808" s="2371" t="s">
        <v>3973</v>
      </c>
      <c r="I808" s="64"/>
      <c r="J808" s="4"/>
      <c r="K808" s="83"/>
      <c r="L808" s="1852"/>
      <c r="M808" s="1010"/>
      <c r="N808" s="1044"/>
      <c r="O808" s="1044"/>
      <c r="P808" s="94"/>
      <c r="Q808" s="94"/>
      <c r="R808" s="94"/>
      <c r="S808" s="94"/>
      <c r="T808" s="94"/>
      <c r="U808" s="94"/>
      <c r="V808" s="94"/>
      <c r="W808" s="94"/>
      <c r="X808" s="1757"/>
      <c r="Y808" s="2081"/>
      <c r="Z808" s="2084"/>
      <c r="AA808" s="1526"/>
      <c r="AC808" s="970"/>
      <c r="AD808" s="970"/>
      <c r="AE808" s="970"/>
      <c r="AL808" s="1336"/>
      <c r="AM808" s="1336"/>
      <c r="AN808" s="1336"/>
      <c r="AO808" s="1336"/>
      <c r="AP808" s="1336"/>
      <c r="AQ808" s="1336"/>
      <c r="AR808" s="1336"/>
      <c r="AS808" s="1336"/>
    </row>
    <row r="809" spans="1:45" x14ac:dyDescent="0.25">
      <c r="A809" s="2371">
        <v>6</v>
      </c>
      <c r="B809" s="2383" t="s">
        <v>4191</v>
      </c>
      <c r="C809" s="2374"/>
      <c r="D809" s="2374"/>
      <c r="E809" s="2374"/>
      <c r="F809" s="2374"/>
      <c r="G809" s="2373" t="str">
        <f t="shared" si="51"/>
        <v/>
      </c>
      <c r="H809" s="2371" t="s">
        <v>3973</v>
      </c>
      <c r="I809" s="64"/>
      <c r="J809" s="4"/>
      <c r="K809" s="83"/>
      <c r="L809" s="1852"/>
      <c r="M809" s="1010"/>
      <c r="N809" s="1044"/>
      <c r="O809" s="1044"/>
      <c r="P809" s="94"/>
      <c r="Q809" s="94"/>
      <c r="R809" s="94"/>
      <c r="S809" s="94"/>
      <c r="T809" s="94"/>
      <c r="U809" s="94"/>
      <c r="V809" s="94"/>
      <c r="W809" s="94"/>
      <c r="X809" s="1757"/>
      <c r="Y809" s="2081"/>
      <c r="Z809" s="2084"/>
      <c r="AA809" s="1526"/>
      <c r="AC809" s="970"/>
      <c r="AD809" s="970"/>
      <c r="AE809" s="970"/>
      <c r="AL809" s="1336"/>
      <c r="AM809" s="1336"/>
      <c r="AN809" s="1336"/>
      <c r="AO809" s="1336"/>
      <c r="AP809" s="1336"/>
      <c r="AQ809" s="1336"/>
      <c r="AR809" s="1336"/>
      <c r="AS809" s="1336"/>
    </row>
    <row r="810" spans="1:45" x14ac:dyDescent="0.25">
      <c r="A810" s="2371">
        <v>6</v>
      </c>
      <c r="B810" s="2383" t="s">
        <v>4191</v>
      </c>
      <c r="C810" s="2374"/>
      <c r="D810" s="2374"/>
      <c r="E810" s="2374"/>
      <c r="F810" s="2374"/>
      <c r="G810" s="2373" t="str">
        <f t="shared" si="51"/>
        <v/>
      </c>
      <c r="H810" s="2371" t="s">
        <v>3973</v>
      </c>
      <c r="I810" s="64"/>
      <c r="J810" s="4"/>
      <c r="K810" s="83"/>
      <c r="L810" s="1852"/>
      <c r="M810" s="1010"/>
      <c r="N810" s="1044"/>
      <c r="O810" s="1044"/>
      <c r="P810" s="94"/>
      <c r="Q810" s="94"/>
      <c r="R810" s="94"/>
      <c r="S810" s="94"/>
      <c r="T810" s="94"/>
      <c r="U810" s="94"/>
      <c r="V810" s="94"/>
      <c r="W810" s="94"/>
      <c r="X810" s="1757"/>
      <c r="Y810" s="2081"/>
      <c r="Z810" s="2084"/>
      <c r="AA810" s="1526"/>
      <c r="AC810" s="970"/>
      <c r="AD810" s="970"/>
      <c r="AE810" s="970"/>
      <c r="AL810" s="1336"/>
      <c r="AM810" s="1336"/>
      <c r="AN810" s="1336"/>
      <c r="AO810" s="1336"/>
      <c r="AP810" s="1336"/>
      <c r="AQ810" s="1336"/>
      <c r="AR810" s="1336"/>
      <c r="AS810" s="1336"/>
    </row>
    <row r="811" spans="1:45" ht="15.75" thickBot="1" x14ac:dyDescent="0.3">
      <c r="A811" s="2371">
        <v>6</v>
      </c>
      <c r="B811" s="2383" t="s">
        <v>4191</v>
      </c>
      <c r="C811" s="2380"/>
      <c r="D811" s="2380"/>
      <c r="E811" s="2380"/>
      <c r="F811" s="2380"/>
      <c r="G811" s="2373" t="str">
        <f t="shared" si="51"/>
        <v/>
      </c>
      <c r="H811" s="2371" t="s">
        <v>3973</v>
      </c>
      <c r="I811" s="99"/>
      <c r="J811" s="99"/>
      <c r="K811" s="99"/>
      <c r="L811" s="283" t="s">
        <v>3138</v>
      </c>
      <c r="M811" s="511"/>
      <c r="N811" s="1045"/>
      <c r="O811" s="1045"/>
      <c r="P811" s="99"/>
      <c r="Q811" s="99"/>
      <c r="R811" s="99"/>
      <c r="S811" s="99"/>
      <c r="T811" s="99"/>
      <c r="U811" s="99"/>
      <c r="V811" s="99"/>
      <c r="W811" s="99"/>
      <c r="X811" s="1771"/>
      <c r="Y811" s="2082"/>
      <c r="Z811" s="2086"/>
      <c r="AA811" s="1526"/>
      <c r="AC811" s="970"/>
      <c r="AD811" s="970"/>
      <c r="AE811" s="970"/>
      <c r="AL811" s="1336"/>
      <c r="AM811" s="1336"/>
      <c r="AN811" s="1336"/>
      <c r="AO811" s="1336"/>
      <c r="AP811" s="1336"/>
      <c r="AQ811" s="1336"/>
      <c r="AR811" s="1336"/>
      <c r="AS811" s="1336"/>
    </row>
    <row r="812" spans="1:45" s="868" customFormat="1" ht="19.5" thickTop="1" x14ac:dyDescent="0.3">
      <c r="A812" s="2371">
        <v>6</v>
      </c>
      <c r="B812" s="2383" t="s">
        <v>4187</v>
      </c>
      <c r="C812" s="2374"/>
      <c r="D812" s="2374"/>
      <c r="E812" s="2374"/>
      <c r="F812" s="2374"/>
      <c r="G812" s="2375" t="s">
        <v>3974</v>
      </c>
      <c r="H812" s="2391" t="s">
        <v>3971</v>
      </c>
      <c r="I812" s="14" t="s">
        <v>4185</v>
      </c>
      <c r="J812" s="23"/>
      <c r="K812" s="82"/>
      <c r="L812" s="229"/>
      <c r="M812" s="390"/>
      <c r="N812" s="1054"/>
      <c r="O812" s="1043"/>
      <c r="P812" s="23"/>
      <c r="Q812" s="23"/>
      <c r="R812" s="23"/>
      <c r="S812" s="23"/>
      <c r="T812" s="23"/>
      <c r="U812" s="23"/>
      <c r="V812" s="23"/>
      <c r="W812" s="23"/>
      <c r="X812" s="23"/>
      <c r="Y812" s="23"/>
      <c r="Z812" s="1586"/>
      <c r="AA812" s="1526"/>
      <c r="AC812" s="970"/>
      <c r="AD812" s="970"/>
      <c r="AE812" s="970"/>
      <c r="AL812" s="1336"/>
      <c r="AM812" s="1336"/>
      <c r="AN812" s="1336"/>
      <c r="AO812" s="1336"/>
      <c r="AP812" s="1336"/>
      <c r="AQ812" s="1336"/>
      <c r="AR812" s="1336"/>
      <c r="AS812" s="1336"/>
    </row>
    <row r="813" spans="1:45" ht="15" customHeight="1" x14ac:dyDescent="0.25">
      <c r="A813" s="2371">
        <v>6</v>
      </c>
      <c r="B813" s="2383" t="s">
        <v>4188</v>
      </c>
      <c r="C813" s="2374"/>
      <c r="D813" s="2374"/>
      <c r="E813" s="2374"/>
      <c r="F813" s="2374"/>
      <c r="G813" s="2373" t="str">
        <f ca="1">IF(N813&gt;0,"P","")</f>
        <v/>
      </c>
      <c r="H813" s="2371" t="s">
        <v>3971</v>
      </c>
      <c r="I813" s="64">
        <v>612.1</v>
      </c>
      <c r="J813" s="4"/>
      <c r="K813" s="83"/>
      <c r="L813" s="1796" t="s">
        <v>4186</v>
      </c>
      <c r="M813" s="1767" t="s">
        <v>699</v>
      </c>
      <c r="N813" s="2075">
        <f ca="1">'Ch6'!O495</f>
        <v>0</v>
      </c>
      <c r="O813" s="2075">
        <f ca="1">IFERROR(MATCH(W813,INDIRECT(U813),0),0)</f>
        <v>0</v>
      </c>
      <c r="P813" s="249" t="b">
        <v>1</v>
      </c>
      <c r="Q813" s="249" t="b">
        <v>1</v>
      </c>
      <c r="R813" s="249" t="b">
        <v>0</v>
      </c>
      <c r="S813" s="249" t="b">
        <v>1</v>
      </c>
      <c r="T813" s="249" t="b">
        <v>0</v>
      </c>
      <c r="U813" s="94" t="str">
        <f>SUBSTITUTE(SUBSTITUTE(SUBSTITUTE("dd"&amp;B813&amp;C813&amp;D813&amp;E813&amp;F813,".","_"),"(","_"),")","")</f>
        <v>dd612_1</v>
      </c>
      <c r="V813" s="249"/>
      <c r="W813" s="12"/>
      <c r="X813" s="1757"/>
      <c r="Y813" s="2081" t="str">
        <f>IF(LEN('Ch6'!X495)=0,"None",'Ch6'!X495)</f>
        <v>None</v>
      </c>
      <c r="Z813" s="2084"/>
      <c r="AA813" s="1526"/>
      <c r="AC813" s="970" t="b">
        <f>OR(AD813:AE813)</f>
        <v>0</v>
      </c>
      <c r="AD813" s="970" t="b">
        <v>0</v>
      </c>
      <c r="AE813" s="970" t="b">
        <f>AND(NOT(ISBLANK(W813)),LEN(X813)=0)</f>
        <v>0</v>
      </c>
      <c r="AF813" s="784"/>
      <c r="AG813" s="249"/>
      <c r="AH813" s="249"/>
      <c r="AI813" s="249"/>
      <c r="AJ813" s="249"/>
      <c r="AK813" s="249"/>
      <c r="AL813" s="254" t="str">
        <f>SUBSTITUTE(SUBSTITUTE(SUBSTITUTE("vpa"&amp;$B813&amp;$C813&amp;$D813&amp;$E813,".","_"),"(","_"),")","")</f>
        <v>vpa612_1</v>
      </c>
      <c r="AM813" s="254" t="str">
        <f>M813</f>
        <v>10 Max</v>
      </c>
      <c r="AN813" s="254" t="str">
        <f>SUBSTITUTE(SUBSTITUTE(SUBSTITUTE("vpc"&amp;$B813&amp;$C813&amp;$D813&amp;$E813,".","_"),"(","_"),")","")</f>
        <v>vpc612_1</v>
      </c>
      <c r="AO813" s="254">
        <f ca="1">O813</f>
        <v>0</v>
      </c>
      <c r="AP813" s="1336" t="str">
        <f>SUBSTITUTE(SUBSTITUTE(SUBSTITUTE("vch"&amp;$B813&amp;$C813&amp;$D813&amp;$E813,".","_"),"(","_"),")","")</f>
        <v>vch612_1</v>
      </c>
      <c r="AQ813" s="254" t="str">
        <f>IF(LEN(W813)=0,"",W813)</f>
        <v/>
      </c>
      <c r="AR813" s="1336" t="str">
        <f>SUBSTITUTE(SUBSTITUTE(SUBSTITUTE("vnt"&amp;$B813&amp;$C813&amp;$D813&amp;$E813,".","_"),"(","_"),")","")</f>
        <v>vnt612_1</v>
      </c>
      <c r="AS813" s="254" t="str">
        <f>IF(LEN(X813)=0,"",X813)</f>
        <v/>
      </c>
    </row>
    <row r="814" spans="1:45" x14ac:dyDescent="0.25">
      <c r="A814" s="2371">
        <v>6</v>
      </c>
      <c r="B814" s="2383" t="s">
        <v>4188</v>
      </c>
      <c r="C814" s="2374"/>
      <c r="D814" s="2374"/>
      <c r="E814" s="2374"/>
      <c r="F814" s="2374"/>
      <c r="G814" s="2373" t="str">
        <f t="shared" ref="G814:G820" ca="1" si="52">G813</f>
        <v/>
      </c>
      <c r="H814" s="2371" t="s">
        <v>3971</v>
      </c>
      <c r="I814" s="64"/>
      <c r="J814" s="4"/>
      <c r="K814" s="83"/>
      <c r="L814" s="1796"/>
      <c r="M814" s="1767"/>
      <c r="N814" s="2075"/>
      <c r="O814" s="2075"/>
      <c r="P814" s="249"/>
      <c r="Q814" s="249"/>
      <c r="R814" s="249"/>
      <c r="S814" s="249"/>
      <c r="T814" s="249"/>
      <c r="U814" s="249"/>
      <c r="V814" s="249"/>
      <c r="W814" s="249"/>
      <c r="X814" s="1757"/>
      <c r="Y814" s="2081"/>
      <c r="Z814" s="2084"/>
      <c r="AA814" s="1526"/>
      <c r="AC814" s="970"/>
      <c r="AD814" s="970"/>
      <c r="AE814" s="970"/>
      <c r="AF814" s="249"/>
      <c r="AG814" s="249"/>
      <c r="AH814" s="249"/>
      <c r="AI814" s="249"/>
      <c r="AJ814" s="249"/>
      <c r="AK814" s="249"/>
      <c r="AL814" s="1336"/>
      <c r="AM814" s="1336"/>
      <c r="AN814" s="1336"/>
      <c r="AO814" s="1336"/>
      <c r="AP814" s="1336"/>
      <c r="AQ814" s="1336"/>
      <c r="AR814" s="1336"/>
      <c r="AS814" s="1336"/>
    </row>
    <row r="815" spans="1:45" x14ac:dyDescent="0.25">
      <c r="A815" s="2371">
        <v>6</v>
      </c>
      <c r="B815" s="2383" t="s">
        <v>4188</v>
      </c>
      <c r="C815" s="2374"/>
      <c r="D815" s="2374"/>
      <c r="E815" s="2374"/>
      <c r="F815" s="2374"/>
      <c r="G815" s="2373" t="str">
        <f t="shared" ca="1" si="52"/>
        <v/>
      </c>
      <c r="H815" s="2371" t="s">
        <v>3971</v>
      </c>
      <c r="I815" s="64"/>
      <c r="J815" s="4"/>
      <c r="K815" s="83"/>
      <c r="L815" s="1796"/>
      <c r="M815" s="1767"/>
      <c r="N815" s="2075"/>
      <c r="O815" s="2075"/>
      <c r="P815" s="249"/>
      <c r="Q815" s="249"/>
      <c r="R815" s="249"/>
      <c r="S815" s="249"/>
      <c r="T815" s="249"/>
      <c r="U815" s="249"/>
      <c r="V815" s="249"/>
      <c r="W815" s="249"/>
      <c r="X815" s="1757"/>
      <c r="Y815" s="2081"/>
      <c r="Z815" s="2084"/>
      <c r="AA815" s="1526"/>
      <c r="AC815" s="970"/>
      <c r="AD815" s="970"/>
      <c r="AE815" s="970"/>
      <c r="AF815" s="249"/>
      <c r="AG815" s="249"/>
      <c r="AH815" s="249"/>
      <c r="AI815" s="249"/>
      <c r="AJ815" s="249"/>
      <c r="AK815" s="249"/>
      <c r="AL815" s="1336"/>
      <c r="AM815" s="1336"/>
      <c r="AN815" s="1336"/>
      <c r="AO815" s="1336"/>
      <c r="AP815" s="1336"/>
      <c r="AQ815" s="1336"/>
      <c r="AR815" s="1336"/>
      <c r="AS815" s="1336"/>
    </row>
    <row r="816" spans="1:45" x14ac:dyDescent="0.25">
      <c r="A816" s="2371">
        <v>6</v>
      </c>
      <c r="B816" s="2383" t="s">
        <v>4188</v>
      </c>
      <c r="C816" s="2374"/>
      <c r="D816" s="2374"/>
      <c r="E816" s="2374"/>
      <c r="F816" s="2374"/>
      <c r="G816" s="2373" t="str">
        <f t="shared" ca="1" si="52"/>
        <v/>
      </c>
      <c r="H816" s="2371" t="s">
        <v>3971</v>
      </c>
      <c r="I816" s="64"/>
      <c r="J816" s="4"/>
      <c r="K816" s="83"/>
      <c r="L816" s="1796"/>
      <c r="M816" s="1767"/>
      <c r="N816" s="2075"/>
      <c r="O816" s="2075"/>
      <c r="P816" s="249"/>
      <c r="Q816" s="249"/>
      <c r="R816" s="249"/>
      <c r="S816" s="249"/>
      <c r="T816" s="249"/>
      <c r="U816" s="249"/>
      <c r="V816" s="249"/>
      <c r="W816" s="249"/>
      <c r="X816" s="1757"/>
      <c r="Y816" s="2081"/>
      <c r="Z816" s="2084"/>
      <c r="AA816" s="1526"/>
      <c r="AC816" s="970"/>
      <c r="AD816" s="970"/>
      <c r="AE816" s="970"/>
      <c r="AF816" s="249"/>
      <c r="AG816" s="249"/>
      <c r="AH816" s="249"/>
      <c r="AI816" s="249"/>
      <c r="AJ816" s="249"/>
      <c r="AK816" s="249"/>
      <c r="AL816" s="1336"/>
      <c r="AM816" s="1336"/>
      <c r="AN816" s="1336"/>
      <c r="AO816" s="1336"/>
      <c r="AP816" s="1336"/>
      <c r="AQ816" s="1336"/>
      <c r="AR816" s="1336"/>
      <c r="AS816" s="1336"/>
    </row>
    <row r="817" spans="1:46" x14ac:dyDescent="0.25">
      <c r="A817" s="2371">
        <v>6</v>
      </c>
      <c r="B817" s="2383" t="s">
        <v>4188</v>
      </c>
      <c r="C817" s="2374"/>
      <c r="D817" s="2374"/>
      <c r="E817" s="2374"/>
      <c r="F817" s="2374"/>
      <c r="G817" s="2373" t="str">
        <f t="shared" ca="1" si="52"/>
        <v/>
      </c>
      <c r="H817" s="2371" t="s">
        <v>3971</v>
      </c>
      <c r="I817" s="64"/>
      <c r="J817" s="4"/>
      <c r="K817" s="83"/>
      <c r="L817" s="1796"/>
      <c r="M817" s="1767"/>
      <c r="N817" s="2075"/>
      <c r="O817" s="2075"/>
      <c r="P817" s="249"/>
      <c r="Q817" s="249"/>
      <c r="R817" s="249"/>
      <c r="S817" s="249"/>
      <c r="T817" s="249"/>
      <c r="U817" s="249"/>
      <c r="V817" s="249"/>
      <c r="W817" s="249"/>
      <c r="X817" s="1757"/>
      <c r="Y817" s="2081"/>
      <c r="Z817" s="2084"/>
      <c r="AA817" s="1526"/>
      <c r="AC817" s="970"/>
      <c r="AD817" s="970"/>
      <c r="AE817" s="970"/>
      <c r="AF817" s="249"/>
      <c r="AG817" s="249"/>
      <c r="AH817" s="249"/>
      <c r="AI817" s="249"/>
      <c r="AJ817" s="249"/>
      <c r="AK817" s="249"/>
      <c r="AL817" s="1336"/>
      <c r="AM817" s="1336"/>
      <c r="AN817" s="1336"/>
      <c r="AO817" s="1336"/>
      <c r="AP817" s="1336"/>
      <c r="AQ817" s="1336"/>
      <c r="AR817" s="1336"/>
      <c r="AS817" s="1336"/>
    </row>
    <row r="818" spans="1:46" x14ac:dyDescent="0.25">
      <c r="A818" s="2371">
        <v>6</v>
      </c>
      <c r="B818" s="2383" t="s">
        <v>4188</v>
      </c>
      <c r="C818" s="2374"/>
      <c r="D818" s="2374"/>
      <c r="E818" s="2374"/>
      <c r="F818" s="2374"/>
      <c r="G818" s="2373" t="str">
        <f t="shared" ca="1" si="52"/>
        <v/>
      </c>
      <c r="H818" s="2371" t="s">
        <v>3971</v>
      </c>
      <c r="I818" s="64"/>
      <c r="J818" s="4"/>
      <c r="K818" s="83"/>
      <c r="L818" s="1185" t="s">
        <v>727</v>
      </c>
      <c r="M818" s="1767"/>
      <c r="N818" s="2075"/>
      <c r="O818" s="2075"/>
      <c r="P818" s="249"/>
      <c r="Q818" s="249"/>
      <c r="R818" s="249"/>
      <c r="S818" s="249"/>
      <c r="T818" s="249"/>
      <c r="U818" s="249"/>
      <c r="V818" s="249"/>
      <c r="W818" s="249"/>
      <c r="X818" s="1757"/>
      <c r="Y818" s="2081"/>
      <c r="Z818" s="2084"/>
      <c r="AA818" s="1526"/>
      <c r="AC818" s="970"/>
      <c r="AD818" s="970"/>
      <c r="AE818" s="970"/>
      <c r="AF818" s="249"/>
      <c r="AG818" s="249"/>
      <c r="AH818" s="249"/>
      <c r="AI818" s="249"/>
      <c r="AJ818" s="249"/>
      <c r="AK818" s="249"/>
      <c r="AL818" s="1336"/>
      <c r="AM818" s="1336"/>
      <c r="AN818" s="1336"/>
      <c r="AO818" s="1336"/>
      <c r="AP818" s="1336"/>
      <c r="AQ818" s="1336"/>
      <c r="AR818" s="1336"/>
      <c r="AS818" s="1336"/>
    </row>
    <row r="819" spans="1:46" ht="15" customHeight="1" x14ac:dyDescent="0.25">
      <c r="A819" s="2371">
        <v>6</v>
      </c>
      <c r="B819" s="2383" t="s">
        <v>4188</v>
      </c>
      <c r="C819" s="2374"/>
      <c r="D819" s="2374"/>
      <c r="E819" s="2374"/>
      <c r="F819" s="2374"/>
      <c r="G819" s="2373" t="str">
        <f t="shared" ca="1" si="52"/>
        <v/>
      </c>
      <c r="H819" s="2371" t="s">
        <v>3971</v>
      </c>
      <c r="I819" s="64"/>
      <c r="J819" s="4"/>
      <c r="K819" s="83"/>
      <c r="L819" s="1804" t="s">
        <v>4859</v>
      </c>
      <c r="M819" s="1767"/>
      <c r="N819" s="2075"/>
      <c r="O819" s="2075"/>
      <c r="P819" s="249"/>
      <c r="Q819" s="249"/>
      <c r="R819" s="249"/>
      <c r="S819" s="249"/>
      <c r="T819" s="249"/>
      <c r="U819" s="249"/>
      <c r="V819" s="249"/>
      <c r="W819" s="249"/>
      <c r="X819" s="1757"/>
      <c r="Y819" s="2081"/>
      <c r="Z819" s="2084"/>
      <c r="AA819" s="1526"/>
      <c r="AC819" s="970"/>
      <c r="AD819" s="970"/>
      <c r="AE819" s="970"/>
      <c r="AF819" s="249"/>
      <c r="AG819" s="249"/>
      <c r="AH819" s="249"/>
      <c r="AI819" s="249"/>
      <c r="AJ819" s="249"/>
      <c r="AK819" s="249"/>
      <c r="AL819" s="1336"/>
      <c r="AM819" s="1336"/>
      <c r="AN819" s="1336"/>
      <c r="AO819" s="1336"/>
      <c r="AP819" s="1336"/>
      <c r="AQ819" s="1336"/>
      <c r="AR819" s="1336"/>
      <c r="AS819" s="1336"/>
    </row>
    <row r="820" spans="1:46" ht="15.75" thickBot="1" x14ac:dyDescent="0.3">
      <c r="A820" s="2371">
        <v>6</v>
      </c>
      <c r="B820" s="2383" t="s">
        <v>4188</v>
      </c>
      <c r="C820" s="2374"/>
      <c r="D820" s="2374"/>
      <c r="E820" s="2374"/>
      <c r="F820" s="2374"/>
      <c r="G820" s="2373" t="str">
        <f t="shared" ca="1" si="52"/>
        <v/>
      </c>
      <c r="H820" s="2371" t="s">
        <v>3971</v>
      </c>
      <c r="I820" s="64"/>
      <c r="J820" s="4"/>
      <c r="K820" s="83"/>
      <c r="L820" s="1849"/>
      <c r="M820" s="1767"/>
      <c r="N820" s="1928"/>
      <c r="O820" s="2075"/>
      <c r="P820" s="249"/>
      <c r="Q820" s="249"/>
      <c r="R820" s="249"/>
      <c r="S820" s="249"/>
      <c r="T820" s="249"/>
      <c r="U820" s="249"/>
      <c r="V820" s="249"/>
      <c r="W820" s="249"/>
      <c r="X820" s="1798"/>
      <c r="Y820" s="2082"/>
      <c r="Z820" s="2086"/>
      <c r="AA820" s="1526"/>
      <c r="AC820" s="970"/>
      <c r="AD820" s="970"/>
      <c r="AE820" s="970"/>
      <c r="AF820" s="249"/>
      <c r="AG820" s="249"/>
      <c r="AH820" s="249"/>
      <c r="AI820" s="249"/>
      <c r="AJ820" s="249"/>
      <c r="AK820" s="249"/>
      <c r="AL820" s="1336"/>
      <c r="AM820" s="1336"/>
      <c r="AN820" s="1336"/>
      <c r="AO820" s="1336"/>
      <c r="AP820" s="1336"/>
      <c r="AQ820" s="1336"/>
      <c r="AR820" s="1336"/>
      <c r="AS820" s="1336"/>
    </row>
    <row r="821" spans="1:46" ht="15.75" customHeight="1" thickTop="1" x14ac:dyDescent="0.25">
      <c r="A821" s="2371">
        <v>6</v>
      </c>
      <c r="B821" s="2383" t="s">
        <v>4193</v>
      </c>
      <c r="C821" s="2374"/>
      <c r="D821" s="2374"/>
      <c r="E821" s="2374"/>
      <c r="F821" s="2374"/>
      <c r="G821" s="2373" t="str">
        <f>IF(N821&gt;0,"P","")</f>
        <v/>
      </c>
      <c r="H821" s="2371" t="s">
        <v>3971</v>
      </c>
      <c r="I821" s="180">
        <v>612.20000000000005</v>
      </c>
      <c r="J821" s="181"/>
      <c r="K821" s="182"/>
      <c r="L821" s="1781" t="s">
        <v>4195</v>
      </c>
      <c r="M821" s="1772" t="s">
        <v>509</v>
      </c>
      <c r="N821" s="2080">
        <f>'Ch6'!O503</f>
        <v>0</v>
      </c>
      <c r="O821" s="2080">
        <f>MIN(9,M824*S824*W824+M825*S825*W825+M827*S827*W827+M829*S829*W829+M831*S831*W831+M833*S833*W833+M835*S835*W835)</f>
        <v>0</v>
      </c>
      <c r="P821" s="105"/>
      <c r="Q821" s="105"/>
      <c r="R821" s="105"/>
      <c r="S821" s="105"/>
      <c r="T821" s="105"/>
      <c r="U821" s="105"/>
      <c r="V821" s="105"/>
      <c r="W821" s="105"/>
      <c r="X821" s="105"/>
      <c r="AA821" s="1526"/>
      <c r="AC821" s="970"/>
      <c r="AD821" s="970"/>
      <c r="AE821" s="970"/>
      <c r="AF821" s="249"/>
      <c r="AG821" s="249"/>
      <c r="AH821" s="249"/>
      <c r="AI821" s="249"/>
      <c r="AJ821" s="249"/>
      <c r="AK821" s="249"/>
      <c r="AL821" s="254" t="str">
        <f>SUBSTITUTE(SUBSTITUTE(SUBSTITUTE("vpa"&amp;$B821&amp;$C821&amp;$D821&amp;$E821,".","_"),"(","_"),")","")</f>
        <v>vpa612_2</v>
      </c>
      <c r="AM821" s="254" t="str">
        <f>M821</f>
        <v>9 Max</v>
      </c>
      <c r="AN821" s="254" t="str">
        <f>SUBSTITUTE(SUBSTITUTE(SUBSTITUTE("vpc"&amp;$B821&amp;$C821&amp;$D821&amp;$E821,".","_"),"(","_"),")","")</f>
        <v>vpc612_2</v>
      </c>
      <c r="AO821" s="254">
        <f>O821</f>
        <v>0</v>
      </c>
      <c r="AP821" s="1336"/>
      <c r="AQ821" s="1336"/>
      <c r="AR821" s="1336"/>
      <c r="AS821" s="1336"/>
    </row>
    <row r="822" spans="1:46" x14ac:dyDescent="0.25">
      <c r="A822" s="2371">
        <v>6</v>
      </c>
      <c r="B822" s="2383" t="s">
        <v>4193</v>
      </c>
      <c r="C822" s="2374"/>
      <c r="D822" s="2374"/>
      <c r="E822" s="2374"/>
      <c r="F822" s="2374"/>
      <c r="G822" s="2373" t="str">
        <f>G821</f>
        <v/>
      </c>
      <c r="H822" s="2371" t="s">
        <v>3971</v>
      </c>
      <c r="I822" s="64"/>
      <c r="J822" s="4"/>
      <c r="K822" s="83"/>
      <c r="L822" s="1796"/>
      <c r="M822" s="1758"/>
      <c r="N822" s="1927"/>
      <c r="O822" s="1927"/>
      <c r="P822" s="94"/>
      <c r="Q822" s="94"/>
      <c r="R822" s="94"/>
      <c r="S822" s="94"/>
      <c r="T822" s="94"/>
      <c r="U822" s="94"/>
      <c r="V822" s="94"/>
      <c r="W822" s="94"/>
      <c r="X822" s="911"/>
      <c r="AA822" s="1526"/>
      <c r="AC822" s="970"/>
      <c r="AD822" s="970"/>
      <c r="AE822" s="970"/>
      <c r="AF822" s="249"/>
      <c r="AG822" s="249"/>
      <c r="AH822" s="249"/>
      <c r="AI822" s="249"/>
      <c r="AJ822" s="249"/>
      <c r="AK822" s="249"/>
      <c r="AL822" s="1336"/>
      <c r="AM822" s="1336"/>
      <c r="AN822" s="1336"/>
      <c r="AO822" s="1336"/>
      <c r="AP822" s="1336"/>
      <c r="AQ822" s="1336"/>
      <c r="AR822" s="1336"/>
      <c r="AS822" s="1336"/>
    </row>
    <row r="823" spans="1:46" x14ac:dyDescent="0.25">
      <c r="A823" s="2371">
        <v>6</v>
      </c>
      <c r="B823" s="2383" t="s">
        <v>4193</v>
      </c>
      <c r="C823" s="2374"/>
      <c r="D823" s="2374"/>
      <c r="E823" s="2374"/>
      <c r="F823" s="2374"/>
      <c r="G823" s="2373" t="str">
        <f>G822</f>
        <v/>
      </c>
      <c r="H823" s="2371" t="s">
        <v>3971</v>
      </c>
      <c r="I823" s="64"/>
      <c r="J823" s="4"/>
      <c r="K823" s="83"/>
      <c r="L823" s="1796"/>
      <c r="M823" s="1758"/>
      <c r="N823" s="1927"/>
      <c r="O823" s="1927"/>
      <c r="P823" s="94"/>
      <c r="Q823" s="94"/>
      <c r="R823" s="94"/>
      <c r="S823" s="94"/>
      <c r="T823" s="94"/>
      <c r="U823" s="94"/>
      <c r="V823" s="94"/>
      <c r="W823" s="94"/>
      <c r="X823" s="911"/>
      <c r="AA823" s="1526"/>
      <c r="AC823" s="970"/>
      <c r="AD823" s="970"/>
      <c r="AE823" s="970"/>
      <c r="AF823" s="249"/>
      <c r="AG823" s="249"/>
      <c r="AH823" s="249"/>
      <c r="AI823" s="249"/>
      <c r="AJ823" s="249"/>
      <c r="AK823" s="249"/>
      <c r="AL823" s="1336"/>
      <c r="AM823" s="1336"/>
      <c r="AN823" s="1336"/>
      <c r="AO823" s="1336"/>
      <c r="AP823" s="1336"/>
      <c r="AQ823" s="1336"/>
      <c r="AR823" s="1336"/>
      <c r="AS823" s="1336"/>
    </row>
    <row r="824" spans="1:46" x14ac:dyDescent="0.25">
      <c r="A824" s="2371">
        <v>6</v>
      </c>
      <c r="B824" s="2383" t="s">
        <v>4193</v>
      </c>
      <c r="C824" s="2374" t="s">
        <v>256</v>
      </c>
      <c r="D824" s="2374"/>
      <c r="E824" s="2374"/>
      <c r="F824" s="2374"/>
      <c r="G824" s="2373" t="str">
        <f>G823</f>
        <v/>
      </c>
      <c r="H824" s="2371" t="s">
        <v>3971</v>
      </c>
      <c r="I824" s="64"/>
      <c r="J824" s="206" t="s">
        <v>256</v>
      </c>
      <c r="K824" s="175"/>
      <c r="L824" s="1153" t="s">
        <v>4196</v>
      </c>
      <c r="M824" s="1015">
        <v>3</v>
      </c>
      <c r="N824" s="1042"/>
      <c r="O824" s="1042"/>
      <c r="P824" s="249" t="b">
        <v>1</v>
      </c>
      <c r="Q824" s="249" t="b">
        <v>1</v>
      </c>
      <c r="R824" s="249" t="b">
        <v>0</v>
      </c>
      <c r="S824" s="249" t="b">
        <v>1</v>
      </c>
      <c r="T824" s="249" t="b">
        <v>0</v>
      </c>
      <c r="U824" s="249"/>
      <c r="V824" s="249"/>
      <c r="W824" s="25"/>
      <c r="X824" s="918"/>
      <c r="Y824" s="988" t="str">
        <f>IF(LEN('Ch6'!X506)=0,"None",'Ch6'!X506)</f>
        <v>None</v>
      </c>
      <c r="Z824" s="1587"/>
      <c r="AA824" s="1526"/>
      <c r="AC824" s="970"/>
      <c r="AD824" s="970"/>
      <c r="AE824" s="970"/>
      <c r="AF824" s="784"/>
      <c r="AG824" s="249"/>
      <c r="AH824" s="249"/>
      <c r="AI824" s="249"/>
      <c r="AJ824" s="249"/>
      <c r="AK824" s="249"/>
      <c r="AL824" s="254" t="str">
        <f>SUBSTITUTE(SUBSTITUTE(SUBSTITUTE("vpa"&amp;$B824&amp;$C824&amp;$D824&amp;$E824,".","_"),"(","_"),")","")</f>
        <v>vpa612_2_1</v>
      </c>
      <c r="AM824" s="254">
        <f t="shared" ref="AM824:AM835" si="53">M824</f>
        <v>3</v>
      </c>
      <c r="AN824" s="1336"/>
      <c r="AO824" s="1336"/>
      <c r="AP824" s="1336" t="str">
        <f>SUBSTITUTE(SUBSTITUTE(SUBSTITUTE("vch"&amp;$B824&amp;$C824&amp;$D824&amp;$E824,".","_"),"(","_"),")","")</f>
        <v>vch612_2_1</v>
      </c>
      <c r="AQ824" s="254" t="str">
        <f>IF(LEN(W824)=0,"",W824)</f>
        <v/>
      </c>
      <c r="AR824" s="1336" t="str">
        <f>SUBSTITUTE(SUBSTITUTE(SUBSTITUTE("vnt"&amp;$B824&amp;$C824&amp;$D824&amp;$E824,".","_"),"(","_"),")","")</f>
        <v>vnt612_2_1</v>
      </c>
      <c r="AS824" s="254" t="str">
        <f>IF(LEN(X824)=0,"",X824)</f>
        <v/>
      </c>
    </row>
    <row r="825" spans="1:46" x14ac:dyDescent="0.25">
      <c r="A825" s="2371">
        <v>6</v>
      </c>
      <c r="B825" s="2383" t="s">
        <v>4193</v>
      </c>
      <c r="C825" s="2374" t="s">
        <v>258</v>
      </c>
      <c r="D825" s="2374"/>
      <c r="E825" s="2374"/>
      <c r="F825" s="2374"/>
      <c r="G825" s="2373" t="str">
        <f>G824</f>
        <v/>
      </c>
      <c r="H825" s="2371" t="s">
        <v>3971</v>
      </c>
      <c r="I825" s="64"/>
      <c r="J825" s="209" t="s">
        <v>258</v>
      </c>
      <c r="K825" s="194"/>
      <c r="L825" s="1769" t="s">
        <v>4197</v>
      </c>
      <c r="M825" s="1762">
        <v>3</v>
      </c>
      <c r="N825" s="1042"/>
      <c r="O825" s="1042"/>
      <c r="P825" s="352" t="b">
        <v>1</v>
      </c>
      <c r="Q825" s="249" t="b">
        <v>1</v>
      </c>
      <c r="R825" s="249" t="b">
        <v>0</v>
      </c>
      <c r="S825" s="249" t="b">
        <v>1</v>
      </c>
      <c r="T825" s="249" t="b">
        <v>0</v>
      </c>
      <c r="U825" s="249"/>
      <c r="V825" s="249"/>
      <c r="W825" s="25"/>
      <c r="X825" s="1757"/>
      <c r="Y825" s="2099" t="str">
        <f>IF(LEN('Ch6'!X507)=0,"None",'Ch6'!X507)</f>
        <v>None</v>
      </c>
      <c r="Z825" s="2087"/>
      <c r="AA825" s="1526"/>
      <c r="AC825" s="970"/>
      <c r="AD825" s="970"/>
      <c r="AE825" s="970"/>
      <c r="AF825" s="784"/>
      <c r="AG825" s="249"/>
      <c r="AH825" s="249"/>
      <c r="AI825" s="249"/>
      <c r="AJ825" s="249"/>
      <c r="AK825" s="249"/>
      <c r="AL825" s="254" t="str">
        <f>SUBSTITUTE(SUBSTITUTE(SUBSTITUTE("vpa"&amp;$B825&amp;$C825&amp;$D825&amp;$E825,".","_"),"(","_"),")","")</f>
        <v>vpa612_2_2</v>
      </c>
      <c r="AM825" s="254">
        <f t="shared" si="53"/>
        <v>3</v>
      </c>
      <c r="AN825" s="1336"/>
      <c r="AO825" s="1336"/>
      <c r="AP825" s="1336" t="str">
        <f>SUBSTITUTE(SUBSTITUTE(SUBSTITUTE("vch"&amp;$B825&amp;$C825&amp;$D825&amp;$E825,".","_"),"(","_"),")","")</f>
        <v>vch612_2_2</v>
      </c>
      <c r="AQ825" s="254" t="str">
        <f>IF(LEN(W825)=0,"",W825)</f>
        <v/>
      </c>
      <c r="AR825" s="1336" t="str">
        <f>SUBSTITUTE(SUBSTITUTE(SUBSTITUTE("vnt"&amp;$B825&amp;$C825&amp;$D825&amp;$E825,".","_"),"(","_"),")","")</f>
        <v>vnt612_2_2</v>
      </c>
      <c r="AS825" s="254" t="str">
        <f>IF(LEN(X825)=0,"",X825)</f>
        <v/>
      </c>
    </row>
    <row r="826" spans="1:46" x14ac:dyDescent="0.25">
      <c r="A826" s="2371">
        <v>6</v>
      </c>
      <c r="B826" s="2383" t="s">
        <v>4193</v>
      </c>
      <c r="C826" s="2374" t="s">
        <v>258</v>
      </c>
      <c r="E826" s="2374"/>
      <c r="G826" s="2373" t="str">
        <f t="shared" ref="G826:G835" si="54">G825</f>
        <v/>
      </c>
      <c r="H826" s="2371" t="s">
        <v>3971</v>
      </c>
      <c r="I826" s="868"/>
      <c r="J826" s="178"/>
      <c r="K826" s="178"/>
      <c r="L826" s="1786"/>
      <c r="M826" s="1759"/>
      <c r="N826" s="664"/>
      <c r="O826" s="664"/>
      <c r="P826"/>
      <c r="Q826"/>
      <c r="R826"/>
      <c r="S826"/>
      <c r="T826"/>
      <c r="U826"/>
      <c r="V826"/>
      <c r="W826"/>
      <c r="X826" s="1757"/>
      <c r="Y826" s="2097"/>
      <c r="Z826" s="2085"/>
      <c r="AA826" s="1526"/>
      <c r="AC826" s="970"/>
      <c r="AD826" s="970"/>
      <c r="AE826" s="970"/>
      <c r="AF826"/>
      <c r="AG826"/>
      <c r="AH826"/>
      <c r="AI826"/>
      <c r="AJ826"/>
      <c r="AK826"/>
      <c r="AL826" s="1336"/>
      <c r="AM826" s="1336"/>
      <c r="AN826" s="1336"/>
      <c r="AO826" s="1336"/>
      <c r="AP826" s="1336"/>
      <c r="AQ826" s="1336"/>
      <c r="AR826" s="1336"/>
      <c r="AS826" s="1336"/>
      <c r="AT826"/>
    </row>
    <row r="827" spans="1:46" x14ac:dyDescent="0.25">
      <c r="A827" s="2371">
        <v>6</v>
      </c>
      <c r="B827" s="2383" t="s">
        <v>4193</v>
      </c>
      <c r="C827" s="2374" t="s">
        <v>260</v>
      </c>
      <c r="D827" s="2374"/>
      <c r="E827" s="2374"/>
      <c r="F827" s="2374"/>
      <c r="G827" s="2373" t="str">
        <f t="shared" si="54"/>
        <v/>
      </c>
      <c r="H827" s="2371" t="s">
        <v>3971</v>
      </c>
      <c r="I827" s="64"/>
      <c r="J827" s="209" t="s">
        <v>260</v>
      </c>
      <c r="K827" s="194"/>
      <c r="L827" s="1769" t="s">
        <v>4198</v>
      </c>
      <c r="M827" s="1762">
        <v>3</v>
      </c>
      <c r="N827" s="1042"/>
      <c r="O827" s="1042"/>
      <c r="P827" s="249" t="b">
        <v>1</v>
      </c>
      <c r="Q827" s="249" t="b">
        <v>1</v>
      </c>
      <c r="R827" s="249" t="b">
        <v>0</v>
      </c>
      <c r="S827" s="249" t="b">
        <v>1</v>
      </c>
      <c r="T827" s="249" t="b">
        <v>0</v>
      </c>
      <c r="U827" s="249"/>
      <c r="V827" s="249"/>
      <c r="W827" s="25"/>
      <c r="X827" s="1757"/>
      <c r="Y827" s="2099" t="str">
        <f>IF(LEN('Ch6'!X509)=0,"None",'Ch6'!X509)</f>
        <v>None</v>
      </c>
      <c r="Z827" s="2087"/>
      <c r="AA827" s="1526"/>
      <c r="AC827" s="970"/>
      <c r="AD827" s="970"/>
      <c r="AE827" s="970"/>
      <c r="AF827" s="784"/>
      <c r="AG827" s="249"/>
      <c r="AH827" s="249"/>
      <c r="AI827" s="249"/>
      <c r="AJ827" s="249"/>
      <c r="AK827" s="249"/>
      <c r="AL827" s="254" t="str">
        <f>SUBSTITUTE(SUBSTITUTE(SUBSTITUTE("vpa"&amp;$B827&amp;$C827&amp;$D827&amp;$E827,".","_"),"(","_"),")","")</f>
        <v>vpa612_2_3</v>
      </c>
      <c r="AM827" s="254">
        <f t="shared" si="53"/>
        <v>3</v>
      </c>
      <c r="AN827" s="1336"/>
      <c r="AO827" s="1336"/>
      <c r="AP827" s="1336" t="str">
        <f>SUBSTITUTE(SUBSTITUTE(SUBSTITUTE("vch"&amp;$B827&amp;$C827&amp;$D827&amp;$E827,".","_"),"(","_"),")","")</f>
        <v>vch612_2_3</v>
      </c>
      <c r="AQ827" s="254" t="str">
        <f>IF(LEN(W827)=0,"",W827)</f>
        <v/>
      </c>
      <c r="AR827" s="1336" t="str">
        <f>SUBSTITUTE(SUBSTITUTE(SUBSTITUTE("vnt"&amp;$B827&amp;$C827&amp;$D827&amp;$E827,".","_"),"(","_"),")","")</f>
        <v>vnt612_2_3</v>
      </c>
      <c r="AS827" s="254" t="str">
        <f>IF(LEN(X827)=0,"",X827)</f>
        <v/>
      </c>
    </row>
    <row r="828" spans="1:46" x14ac:dyDescent="0.25">
      <c r="A828" s="2371">
        <v>6</v>
      </c>
      <c r="B828" s="2383" t="s">
        <v>4193</v>
      </c>
      <c r="C828" s="2374" t="s">
        <v>260</v>
      </c>
      <c r="E828" s="2374"/>
      <c r="G828" s="2373" t="str">
        <f t="shared" si="54"/>
        <v/>
      </c>
      <c r="H828" s="2371" t="s">
        <v>3971</v>
      </c>
      <c r="I828" s="868"/>
      <c r="J828" s="178"/>
      <c r="K828" s="178"/>
      <c r="L828" s="1786"/>
      <c r="M828" s="1759"/>
      <c r="N828" s="664"/>
      <c r="O828" s="664"/>
      <c r="P828"/>
      <c r="Q828"/>
      <c r="R828"/>
      <c r="S828"/>
      <c r="T828"/>
      <c r="U828"/>
      <c r="V828"/>
      <c r="W828"/>
      <c r="X828" s="1757"/>
      <c r="Y828" s="2097"/>
      <c r="Z828" s="2085"/>
      <c r="AA828" s="1526"/>
      <c r="AC828" s="970"/>
      <c r="AD828" s="970"/>
      <c r="AE828" s="970"/>
      <c r="AF828"/>
      <c r="AG828"/>
      <c r="AH828"/>
      <c r="AI828"/>
      <c r="AJ828"/>
      <c r="AK828"/>
      <c r="AL828" s="1336"/>
      <c r="AM828" s="1336"/>
      <c r="AN828" s="1336"/>
      <c r="AO828" s="1336"/>
      <c r="AP828" s="1336"/>
      <c r="AQ828" s="1336"/>
      <c r="AR828" s="1336"/>
      <c r="AS828" s="1336"/>
      <c r="AT828"/>
    </row>
    <row r="829" spans="1:46" x14ac:dyDescent="0.25">
      <c r="A829" s="2371">
        <v>6</v>
      </c>
      <c r="B829" s="2383" t="s">
        <v>4193</v>
      </c>
      <c r="C829" s="2374" t="s">
        <v>269</v>
      </c>
      <c r="D829" s="2374"/>
      <c r="E829" s="2374"/>
      <c r="F829" s="2374"/>
      <c r="G829" s="2373" t="str">
        <f t="shared" si="54"/>
        <v/>
      </c>
      <c r="H829" s="2371" t="s">
        <v>3971</v>
      </c>
      <c r="I829" s="64"/>
      <c r="J829" s="209" t="s">
        <v>269</v>
      </c>
      <c r="K829" s="194"/>
      <c r="L829" s="1769" t="s">
        <v>4199</v>
      </c>
      <c r="M829" s="1762">
        <v>3</v>
      </c>
      <c r="N829" s="1042"/>
      <c r="O829" s="1042"/>
      <c r="P829" s="352" t="b">
        <v>1</v>
      </c>
      <c r="Q829" s="249" t="b">
        <v>1</v>
      </c>
      <c r="R829" s="249" t="b">
        <v>0</v>
      </c>
      <c r="S829" s="249" t="b">
        <v>1</v>
      </c>
      <c r="T829" s="249" t="b">
        <v>0</v>
      </c>
      <c r="U829" s="249"/>
      <c r="V829" s="249"/>
      <c r="W829" s="25"/>
      <c r="X829" s="1757"/>
      <c r="Y829" s="2099" t="str">
        <f>IF(LEN('Ch6'!X511)=0,"None",'Ch6'!X511)</f>
        <v>None</v>
      </c>
      <c r="Z829" s="2087"/>
      <c r="AA829" s="1526"/>
      <c r="AC829" s="970"/>
      <c r="AD829" s="970"/>
      <c r="AE829" s="970"/>
      <c r="AF829" s="784"/>
      <c r="AG829" s="249"/>
      <c r="AH829" s="249"/>
      <c r="AI829" s="249"/>
      <c r="AJ829" s="249"/>
      <c r="AK829" s="249"/>
      <c r="AL829" s="254" t="str">
        <f>SUBSTITUTE(SUBSTITUTE(SUBSTITUTE("vpa"&amp;$B829&amp;$C829&amp;$D829&amp;$E829,".","_"),"(","_"),")","")</f>
        <v>vpa612_2_4</v>
      </c>
      <c r="AM829" s="254">
        <f t="shared" si="53"/>
        <v>3</v>
      </c>
      <c r="AN829" s="1336"/>
      <c r="AO829" s="1336"/>
      <c r="AP829" s="1336" t="str">
        <f>SUBSTITUTE(SUBSTITUTE(SUBSTITUTE("vch"&amp;$B829&amp;$C829&amp;$D829&amp;$E829,".","_"),"(","_"),")","")</f>
        <v>vch612_2_4</v>
      </c>
      <c r="AQ829" s="254" t="str">
        <f>IF(LEN(W829)=0,"",W829)</f>
        <v/>
      </c>
      <c r="AR829" s="1336" t="str">
        <f>SUBSTITUTE(SUBSTITUTE(SUBSTITUTE("vnt"&amp;$B829&amp;$C829&amp;$D829&amp;$E829,".","_"),"(","_"),")","")</f>
        <v>vnt612_2_4</v>
      </c>
      <c r="AS829" s="254" t="str">
        <f>IF(LEN(X829)=0,"",X829)</f>
        <v/>
      </c>
    </row>
    <row r="830" spans="1:46" x14ac:dyDescent="0.25">
      <c r="A830" s="2371">
        <v>6</v>
      </c>
      <c r="B830" s="2383" t="s">
        <v>4193</v>
      </c>
      <c r="C830" s="2374" t="s">
        <v>269</v>
      </c>
      <c r="E830" s="2374"/>
      <c r="G830" s="2373" t="str">
        <f t="shared" si="54"/>
        <v/>
      </c>
      <c r="H830" s="2371" t="s">
        <v>3971</v>
      </c>
      <c r="I830" s="868"/>
      <c r="J830" s="178"/>
      <c r="K830" s="178"/>
      <c r="L830" s="1786"/>
      <c r="M830" s="1759"/>
      <c r="N830" s="664"/>
      <c r="O830" s="664"/>
      <c r="P830"/>
      <c r="Q830"/>
      <c r="R830"/>
      <c r="S830"/>
      <c r="T830"/>
      <c r="U830"/>
      <c r="V830"/>
      <c r="W830"/>
      <c r="X830" s="1757"/>
      <c r="Y830" s="2097"/>
      <c r="Z830" s="2085"/>
      <c r="AA830" s="1526"/>
      <c r="AC830" s="970"/>
      <c r="AD830" s="970"/>
      <c r="AE830" s="970"/>
      <c r="AF830"/>
      <c r="AG830"/>
      <c r="AH830"/>
      <c r="AI830"/>
      <c r="AJ830"/>
      <c r="AK830"/>
      <c r="AL830" s="1336"/>
      <c r="AM830" s="1336"/>
      <c r="AN830" s="1336"/>
      <c r="AO830" s="1336"/>
      <c r="AP830" s="1336"/>
      <c r="AQ830" s="1336"/>
      <c r="AR830" s="1336"/>
      <c r="AS830" s="1336"/>
      <c r="AT830"/>
    </row>
    <row r="831" spans="1:46" x14ac:dyDescent="0.25">
      <c r="A831" s="2371">
        <v>6</v>
      </c>
      <c r="B831" s="2383" t="s">
        <v>4193</v>
      </c>
      <c r="C831" s="2374" t="s">
        <v>275</v>
      </c>
      <c r="D831" s="2374"/>
      <c r="E831" s="2374"/>
      <c r="F831" s="2374"/>
      <c r="G831" s="2373" t="str">
        <f t="shared" si="54"/>
        <v/>
      </c>
      <c r="H831" s="2371" t="s">
        <v>3971</v>
      </c>
      <c r="I831" s="64"/>
      <c r="J831" s="209" t="s">
        <v>275</v>
      </c>
      <c r="K831" s="194"/>
      <c r="L831" s="1769" t="s">
        <v>4200</v>
      </c>
      <c r="M831" s="1762">
        <v>3</v>
      </c>
      <c r="N831" s="1042"/>
      <c r="O831" s="1042"/>
      <c r="P831" s="249" t="b">
        <v>1</v>
      </c>
      <c r="Q831" s="352" t="b">
        <v>1</v>
      </c>
      <c r="R831" s="249" t="b">
        <v>0</v>
      </c>
      <c r="S831" s="249" t="b">
        <v>1</v>
      </c>
      <c r="T831" s="249" t="b">
        <v>0</v>
      </c>
      <c r="U831" s="249"/>
      <c r="V831" s="249"/>
      <c r="W831" s="25"/>
      <c r="X831" s="1757"/>
      <c r="Y831" s="2099" t="str">
        <f>IF(LEN('Ch6'!X513)=0,"None",'Ch6'!X513)</f>
        <v>None</v>
      </c>
      <c r="Z831" s="2087"/>
      <c r="AA831" s="1526"/>
      <c r="AC831" s="970"/>
      <c r="AD831" s="970"/>
      <c r="AE831" s="970"/>
      <c r="AF831" s="784"/>
      <c r="AG831" s="249"/>
      <c r="AH831" s="249"/>
      <c r="AI831" s="249"/>
      <c r="AJ831" s="249"/>
      <c r="AK831" s="249"/>
      <c r="AL831" s="254" t="str">
        <f>SUBSTITUTE(SUBSTITUTE(SUBSTITUTE("vpa"&amp;$B831&amp;$C831&amp;$D831&amp;$E831,".","_"),"(","_"),")","")</f>
        <v>vpa612_2_5</v>
      </c>
      <c r="AM831" s="254">
        <f t="shared" si="53"/>
        <v>3</v>
      </c>
      <c r="AN831" s="1336"/>
      <c r="AO831" s="1336"/>
      <c r="AP831" s="1336" t="str">
        <f>SUBSTITUTE(SUBSTITUTE(SUBSTITUTE("vch"&amp;$B831&amp;$C831&amp;$D831&amp;$E831,".","_"),"(","_"),")","")</f>
        <v>vch612_2_5</v>
      </c>
      <c r="AQ831" s="254" t="str">
        <f>IF(LEN(W831)=0,"",W831)</f>
        <v/>
      </c>
      <c r="AR831" s="1336" t="str">
        <f>SUBSTITUTE(SUBSTITUTE(SUBSTITUTE("vnt"&amp;$B831&amp;$C831&amp;$D831&amp;$E831,".","_"),"(","_"),")","")</f>
        <v>vnt612_2_5</v>
      </c>
      <c r="AS831" s="254" t="str">
        <f>IF(LEN(X831)=0,"",X831)</f>
        <v/>
      </c>
    </row>
    <row r="832" spans="1:46" x14ac:dyDescent="0.25">
      <c r="A832" s="2371">
        <v>6</v>
      </c>
      <c r="B832" s="2383" t="s">
        <v>4193</v>
      </c>
      <c r="C832" s="2374" t="s">
        <v>275</v>
      </c>
      <c r="E832" s="2374"/>
      <c r="G832" s="2373" t="str">
        <f t="shared" si="54"/>
        <v/>
      </c>
      <c r="H832" s="2371" t="s">
        <v>3971</v>
      </c>
      <c r="I832" s="868"/>
      <c r="J832" s="178"/>
      <c r="K832" s="178"/>
      <c r="L832" s="1786"/>
      <c r="M832" s="1759"/>
      <c r="N832" s="664"/>
      <c r="O832" s="664"/>
      <c r="P832"/>
      <c r="Q832"/>
      <c r="R832"/>
      <c r="S832"/>
      <c r="T832"/>
      <c r="U832"/>
      <c r="V832"/>
      <c r="W832"/>
      <c r="X832" s="1757"/>
      <c r="Y832" s="2097"/>
      <c r="Z832" s="2085"/>
      <c r="AA832" s="1526"/>
      <c r="AC832" s="970"/>
      <c r="AD832" s="970"/>
      <c r="AE832" s="970"/>
      <c r="AF832"/>
      <c r="AG832"/>
      <c r="AH832"/>
      <c r="AI832"/>
      <c r="AJ832"/>
      <c r="AK832"/>
      <c r="AL832" s="1336"/>
      <c r="AM832" s="1336"/>
      <c r="AN832" s="1336"/>
      <c r="AO832" s="1336"/>
      <c r="AP832" s="1336"/>
      <c r="AQ832" s="1336"/>
      <c r="AR832" s="1336"/>
      <c r="AS832" s="1336"/>
      <c r="AT832"/>
    </row>
    <row r="833" spans="1:46" x14ac:dyDescent="0.25">
      <c r="A833" s="2371">
        <v>6</v>
      </c>
      <c r="B833" s="2383" t="s">
        <v>4193</v>
      </c>
      <c r="C833" s="2374" t="s">
        <v>277</v>
      </c>
      <c r="D833" s="2374"/>
      <c r="E833" s="2374"/>
      <c r="F833" s="2374"/>
      <c r="G833" s="2373" t="str">
        <f t="shared" si="54"/>
        <v/>
      </c>
      <c r="H833" s="2371" t="s">
        <v>3971</v>
      </c>
      <c r="I833" s="64"/>
      <c r="J833" s="209" t="s">
        <v>277</v>
      </c>
      <c r="K833" s="194"/>
      <c r="L833" s="1769" t="s">
        <v>4201</v>
      </c>
      <c r="M833" s="1762">
        <v>3</v>
      </c>
      <c r="N833" s="1042"/>
      <c r="O833" s="1042"/>
      <c r="P833" s="352" t="b">
        <v>1</v>
      </c>
      <c r="Q833" s="249" t="b">
        <v>1</v>
      </c>
      <c r="R833" s="249" t="b">
        <v>0</v>
      </c>
      <c r="S833" s="249" t="b">
        <v>1</v>
      </c>
      <c r="T833" s="249" t="b">
        <v>0</v>
      </c>
      <c r="U833" s="249"/>
      <c r="V833" s="249"/>
      <c r="W833" s="25"/>
      <c r="X833" s="1757"/>
      <c r="Y833" s="2099" t="str">
        <f>IF(LEN('Ch6'!X515)=0,"None",'Ch6'!X515)</f>
        <v>None</v>
      </c>
      <c r="Z833" s="2087"/>
      <c r="AA833" s="1526"/>
      <c r="AC833" s="970"/>
      <c r="AD833" s="970"/>
      <c r="AE833" s="970"/>
      <c r="AF833" s="784"/>
      <c r="AG833" s="249"/>
      <c r="AH833" s="249"/>
      <c r="AI833" s="249"/>
      <c r="AJ833" s="249"/>
      <c r="AK833" s="249"/>
      <c r="AL833" s="254" t="str">
        <f>SUBSTITUTE(SUBSTITUTE(SUBSTITUTE("vpa"&amp;$B833&amp;$C833&amp;$D833&amp;$E833,".","_"),"(","_"),")","")</f>
        <v>vpa612_2_6</v>
      </c>
      <c r="AM833" s="254">
        <f t="shared" si="53"/>
        <v>3</v>
      </c>
      <c r="AN833" s="1336"/>
      <c r="AO833" s="1336"/>
      <c r="AP833" s="1336" t="str">
        <f>SUBSTITUTE(SUBSTITUTE(SUBSTITUTE("vch"&amp;$B833&amp;$C833&amp;$D833&amp;$E833,".","_"),"(","_"),")","")</f>
        <v>vch612_2_6</v>
      </c>
      <c r="AQ833" s="254" t="str">
        <f>IF(LEN(W833)=0,"",W833)</f>
        <v/>
      </c>
      <c r="AR833" s="1336" t="str">
        <f>SUBSTITUTE(SUBSTITUTE(SUBSTITUTE("vnt"&amp;$B833&amp;$C833&amp;$D833&amp;$E833,".","_"),"(","_"),")","")</f>
        <v>vnt612_2_6</v>
      </c>
      <c r="AS833" s="254" t="str">
        <f>IF(LEN(X833)=0,"",X833)</f>
        <v/>
      </c>
    </row>
    <row r="834" spans="1:46" x14ac:dyDescent="0.25">
      <c r="A834" s="2371">
        <v>6</v>
      </c>
      <c r="B834" s="2383" t="s">
        <v>4193</v>
      </c>
      <c r="C834" s="2374" t="s">
        <v>277</v>
      </c>
      <c r="E834" s="2374"/>
      <c r="G834" s="2373" t="str">
        <f t="shared" si="54"/>
        <v/>
      </c>
      <c r="H834" s="2371" t="s">
        <v>3971</v>
      </c>
      <c r="I834" s="868"/>
      <c r="J834" s="178"/>
      <c r="K834" s="178"/>
      <c r="L834" s="1786"/>
      <c r="M834" s="1759"/>
      <c r="N834" s="664"/>
      <c r="O834" s="664"/>
      <c r="P834"/>
      <c r="Q834"/>
      <c r="R834"/>
      <c r="S834"/>
      <c r="T834"/>
      <c r="U834"/>
      <c r="V834"/>
      <c r="W834"/>
      <c r="X834" s="1757"/>
      <c r="Y834" s="2097"/>
      <c r="Z834" s="2085"/>
      <c r="AA834" s="1526"/>
      <c r="AC834" s="970"/>
      <c r="AD834" s="970"/>
      <c r="AE834" s="970"/>
      <c r="AF834"/>
      <c r="AG834"/>
      <c r="AH834"/>
      <c r="AI834"/>
      <c r="AJ834"/>
      <c r="AK834"/>
      <c r="AL834" s="1336"/>
      <c r="AM834" s="1336"/>
      <c r="AN834" s="1336"/>
      <c r="AO834" s="1336"/>
      <c r="AP834" s="1336"/>
      <c r="AQ834" s="1336"/>
      <c r="AR834" s="1336"/>
      <c r="AS834" s="1336"/>
      <c r="AT834"/>
    </row>
    <row r="835" spans="1:46" ht="15" customHeight="1" x14ac:dyDescent="0.25">
      <c r="A835" s="2371">
        <v>6</v>
      </c>
      <c r="B835" s="2383" t="s">
        <v>4193</v>
      </c>
      <c r="C835" s="2374" t="s">
        <v>383</v>
      </c>
      <c r="D835" s="2374"/>
      <c r="E835" s="2374"/>
      <c r="F835" s="2374"/>
      <c r="G835" s="2373" t="str">
        <f t="shared" si="54"/>
        <v/>
      </c>
      <c r="H835" s="2371" t="s">
        <v>3971</v>
      </c>
      <c r="I835" s="64"/>
      <c r="J835" s="27" t="s">
        <v>383</v>
      </c>
      <c r="K835" s="83"/>
      <c r="L835" s="1769" t="s">
        <v>4202</v>
      </c>
      <c r="M835" s="1762">
        <v>3</v>
      </c>
      <c r="N835" s="1042"/>
      <c r="O835" s="1042"/>
      <c r="P835" s="352" t="b">
        <v>1</v>
      </c>
      <c r="Q835" s="249" t="b">
        <v>1</v>
      </c>
      <c r="R835" s="249" t="b">
        <v>0</v>
      </c>
      <c r="S835" s="249" t="b">
        <v>1</v>
      </c>
      <c r="T835" s="249" t="b">
        <v>0</v>
      </c>
      <c r="U835" s="249"/>
      <c r="V835" s="249"/>
      <c r="W835" s="25"/>
      <c r="X835" s="1757"/>
      <c r="Y835" s="2081" t="str">
        <f>IF(LEN('Ch6'!X517)=0,"None",'Ch6'!X517)</f>
        <v>None</v>
      </c>
      <c r="Z835" s="2084"/>
      <c r="AA835" s="1526"/>
      <c r="AC835" s="970"/>
      <c r="AD835" s="970"/>
      <c r="AE835" s="970"/>
      <c r="AF835" s="784"/>
      <c r="AG835" s="249"/>
      <c r="AH835" s="249"/>
      <c r="AI835" s="249"/>
      <c r="AJ835" s="249"/>
      <c r="AK835" s="249"/>
      <c r="AL835" s="254" t="str">
        <f>SUBSTITUTE(SUBSTITUTE(SUBSTITUTE("vpa"&amp;$B835&amp;$C835&amp;$D835&amp;$E835,".","_"),"(","_"),")","")</f>
        <v>vpa612_2_7</v>
      </c>
      <c r="AM835" s="254">
        <f t="shared" si="53"/>
        <v>3</v>
      </c>
      <c r="AN835" s="1336"/>
      <c r="AO835" s="1336"/>
      <c r="AP835" s="1336" t="str">
        <f>SUBSTITUTE(SUBSTITUTE(SUBSTITUTE("vch"&amp;$B835&amp;$C835&amp;$D835&amp;$E835,".","_"),"(","_"),")","")</f>
        <v>vch612_2_7</v>
      </c>
      <c r="AQ835" s="254" t="str">
        <f>IF(LEN(W835)=0,"",W835)</f>
        <v/>
      </c>
      <c r="AR835" s="1336" t="str">
        <f>SUBSTITUTE(SUBSTITUTE(SUBSTITUTE("vnt"&amp;$B835&amp;$C835&amp;$D835&amp;$E835,".","_"),"(","_"),")","")</f>
        <v>vnt612_2_7</v>
      </c>
      <c r="AS835" s="254" t="str">
        <f>IF(LEN(X835)=0,"",X835)</f>
        <v/>
      </c>
    </row>
    <row r="836" spans="1:46" ht="15.75" thickBot="1" x14ac:dyDescent="0.3">
      <c r="A836" s="2371">
        <v>6</v>
      </c>
      <c r="B836" s="2383" t="s">
        <v>4193</v>
      </c>
      <c r="C836" s="2374" t="s">
        <v>383</v>
      </c>
      <c r="D836" s="2374"/>
      <c r="E836" s="2374"/>
      <c r="F836" s="2374"/>
      <c r="G836" s="2373" t="str">
        <f>G835</f>
        <v/>
      </c>
      <c r="H836" s="2371" t="s">
        <v>3971</v>
      </c>
      <c r="I836" s="64"/>
      <c r="J836" s="27"/>
      <c r="K836" s="83"/>
      <c r="L836" s="1766"/>
      <c r="M836" s="1768"/>
      <c r="N836" s="1042"/>
      <c r="O836" s="1042"/>
      <c r="P836" s="249"/>
      <c r="Q836" s="249"/>
      <c r="R836" s="249"/>
      <c r="S836" s="249"/>
      <c r="T836" s="249"/>
      <c r="U836" s="249"/>
      <c r="V836" s="249"/>
      <c r="W836" s="249"/>
      <c r="X836" s="1798"/>
      <c r="Y836" s="2082"/>
      <c r="Z836" s="2086"/>
      <c r="AA836" s="1526"/>
      <c r="AC836" s="970"/>
      <c r="AD836" s="970"/>
      <c r="AE836" s="970"/>
      <c r="AF836" s="249"/>
      <c r="AG836" s="249"/>
      <c r="AH836" s="249"/>
      <c r="AI836" s="249"/>
      <c r="AJ836" s="249"/>
      <c r="AK836" s="249"/>
      <c r="AL836" s="1336"/>
      <c r="AM836" s="1336"/>
      <c r="AN836" s="1336"/>
      <c r="AO836" s="1336"/>
      <c r="AP836" s="1336"/>
      <c r="AQ836" s="1336"/>
      <c r="AR836" s="1336"/>
      <c r="AS836" s="1336"/>
    </row>
    <row r="837" spans="1:46" ht="15.75" customHeight="1" thickTop="1" x14ac:dyDescent="0.25">
      <c r="A837" s="2371">
        <v>6</v>
      </c>
      <c r="B837" s="2383" t="s">
        <v>4194</v>
      </c>
      <c r="C837" s="2374"/>
      <c r="D837" s="2374"/>
      <c r="E837" s="2374"/>
      <c r="F837" s="2374"/>
      <c r="G837" s="2373" t="str">
        <f ca="1">IF(N837&gt;0,"P","")</f>
        <v/>
      </c>
      <c r="H837" s="2371" t="s">
        <v>3971</v>
      </c>
      <c r="I837" s="180">
        <v>612.29999999999995</v>
      </c>
      <c r="J837" s="198"/>
      <c r="K837" s="182"/>
      <c r="L837" s="1781" t="s">
        <v>4192</v>
      </c>
      <c r="M837" s="1772" t="s">
        <v>532</v>
      </c>
      <c r="N837" s="2080">
        <f ca="1">'Ch6'!O519</f>
        <v>0</v>
      </c>
      <c r="O837" s="2080">
        <f ca="1">MIN(12,M839*S839*W839+M844*S844*W844+M848*S848*W848+M850*S850*W850+M852*S852*W852+M853*S853*W853+M854*S854*W854+M858*S858*W858+IFERROR(INDEX({1,2,3,4,5},MATCH(W860,INDIRECT(U860),0)),0)*S860)</f>
        <v>0</v>
      </c>
      <c r="P837" s="105"/>
      <c r="Q837" s="105"/>
      <c r="R837" s="105"/>
      <c r="S837" s="105"/>
      <c r="T837" s="105"/>
      <c r="U837" s="105"/>
      <c r="V837" s="105"/>
      <c r="W837" s="105"/>
      <c r="X837" s="105"/>
      <c r="AA837" s="1526"/>
      <c r="AC837" s="970"/>
      <c r="AD837" s="970"/>
      <c r="AE837" s="970"/>
      <c r="AF837" s="249"/>
      <c r="AG837" s="249"/>
      <c r="AH837" s="249"/>
      <c r="AI837" s="249"/>
      <c r="AJ837" s="249"/>
      <c r="AK837" s="249"/>
      <c r="AL837" s="254" t="str">
        <f>SUBSTITUTE(SUBSTITUTE(SUBSTITUTE("vpa"&amp;$B837&amp;$C837&amp;$D837&amp;$E837,".","_"),"(","_"),")","")</f>
        <v>vpa612_3</v>
      </c>
      <c r="AM837" s="254" t="str">
        <f>M837</f>
        <v>12 Max</v>
      </c>
      <c r="AN837" s="254" t="str">
        <f>SUBSTITUTE(SUBSTITUTE(SUBSTITUTE("vpc"&amp;$B837&amp;$C837&amp;$D837&amp;$E837,".","_"),"(","_"),")","")</f>
        <v>vpc612_3</v>
      </c>
      <c r="AO837" s="254">
        <f ca="1">O837</f>
        <v>0</v>
      </c>
      <c r="AP837" s="1336"/>
      <c r="AQ837" s="1336"/>
      <c r="AR837" s="1336"/>
      <c r="AS837" s="1336"/>
    </row>
    <row r="838" spans="1:46" x14ac:dyDescent="0.25">
      <c r="A838" s="2371">
        <v>6</v>
      </c>
      <c r="B838" s="2383" t="s">
        <v>4194</v>
      </c>
      <c r="C838" s="2374"/>
      <c r="D838" s="2374"/>
      <c r="E838" s="2374"/>
      <c r="F838" s="2374"/>
      <c r="G838" s="2373" t="str">
        <f t="shared" ref="G838:G878" ca="1" si="55">G837</f>
        <v/>
      </c>
      <c r="H838" s="2371" t="s">
        <v>3971</v>
      </c>
      <c r="I838" s="64"/>
      <c r="J838" s="4"/>
      <c r="K838" s="83"/>
      <c r="L838" s="1796"/>
      <c r="M838" s="1758"/>
      <c r="N838" s="1927"/>
      <c r="O838" s="2075"/>
      <c r="P838" s="94"/>
      <c r="Q838" s="94"/>
      <c r="R838" s="94"/>
      <c r="S838" s="94"/>
      <c r="T838" s="94"/>
      <c r="U838" s="94"/>
      <c r="V838" s="94"/>
      <c r="W838" s="94"/>
      <c r="X838" s="911"/>
      <c r="AA838" s="1526"/>
      <c r="AC838" s="970"/>
      <c r="AD838" s="970"/>
      <c r="AE838" s="970"/>
      <c r="AF838" s="249"/>
      <c r="AG838" s="249"/>
      <c r="AH838" s="249"/>
      <c r="AI838" s="249"/>
      <c r="AJ838" s="249"/>
      <c r="AK838" s="249"/>
      <c r="AL838" s="1336"/>
      <c r="AM838" s="1336"/>
      <c r="AN838" s="1336"/>
      <c r="AO838" s="1336"/>
      <c r="AP838" s="1336"/>
      <c r="AQ838" s="1336"/>
      <c r="AR838" s="1336"/>
      <c r="AS838" s="1336"/>
    </row>
    <row r="839" spans="1:46" x14ac:dyDescent="0.25">
      <c r="A839" s="2371">
        <v>6</v>
      </c>
      <c r="B839" s="2383" t="s">
        <v>4194</v>
      </c>
      <c r="C839" s="2374" t="s">
        <v>256</v>
      </c>
      <c r="D839" s="2374"/>
      <c r="E839" s="2374"/>
      <c r="F839" s="2374"/>
      <c r="G839" s="2373" t="str">
        <f t="shared" ca="1" si="55"/>
        <v/>
      </c>
      <c r="H839" s="2371" t="s">
        <v>3971</v>
      </c>
      <c r="I839" s="64"/>
      <c r="J839" s="183" t="s">
        <v>256</v>
      </c>
      <c r="K839" s="95"/>
      <c r="L839" s="1754" t="s">
        <v>728</v>
      </c>
      <c r="M839" s="1758">
        <v>3</v>
      </c>
      <c r="N839" s="1042"/>
      <c r="O839" s="1042"/>
      <c r="P839" s="249" t="b">
        <v>1</v>
      </c>
      <c r="Q839" s="249" t="b">
        <v>1</v>
      </c>
      <c r="R839" s="249" t="b">
        <v>0</v>
      </c>
      <c r="S839" s="249" t="b">
        <v>1</v>
      </c>
      <c r="T839" s="249" t="b">
        <v>0</v>
      </c>
      <c r="U839" s="249"/>
      <c r="V839" s="249"/>
      <c r="W839" s="25"/>
      <c r="X839" s="1757"/>
      <c r="Y839" s="2081" t="str">
        <f>IF(LEN('Ch6'!X521)=0,"None",'Ch6'!X521)</f>
        <v>None</v>
      </c>
      <c r="Z839" s="2083"/>
      <c r="AA839" s="1551" t="str">
        <f>IF(LEN('Photo Review'!I838)&gt;0,'Photo Review'!I838,"")</f>
        <v/>
      </c>
      <c r="AC839" s="970"/>
      <c r="AD839" s="970"/>
      <c r="AE839" s="970"/>
      <c r="AF839" s="249"/>
      <c r="AG839" s="249"/>
      <c r="AH839" s="249"/>
      <c r="AI839" s="249"/>
      <c r="AJ839" s="249"/>
      <c r="AK839" s="249"/>
      <c r="AL839" s="254" t="str">
        <f>SUBSTITUTE(SUBSTITUTE(SUBSTITUTE("vpa"&amp;$B839&amp;$C839&amp;$D839&amp;$E839,".","_"),"(","_"),")","")</f>
        <v>vpa612_3_1</v>
      </c>
      <c r="AM839" s="254">
        <f>M839</f>
        <v>3</v>
      </c>
      <c r="AN839" s="1336"/>
      <c r="AO839" s="1336"/>
      <c r="AP839" s="1336" t="str">
        <f>SUBSTITUTE(SUBSTITUTE(SUBSTITUTE("vch"&amp;$B839&amp;$C839&amp;$D839&amp;$E839,".","_"),"(","_"),")","")</f>
        <v>vch612_3_1</v>
      </c>
      <c r="AQ839" s="254" t="str">
        <f>IF(LEN(W839)=0,"",W839)</f>
        <v/>
      </c>
      <c r="AR839" s="1336" t="str">
        <f>SUBSTITUTE(SUBSTITUTE(SUBSTITUTE("vnt"&amp;$B839&amp;$C839&amp;$D839&amp;$E839,".","_"),"(","_"),")","")</f>
        <v>vnt612_3_1</v>
      </c>
      <c r="AS839" s="254" t="str">
        <f>IF(LEN(X839)=0,"",X839)</f>
        <v/>
      </c>
    </row>
    <row r="840" spans="1:46" x14ac:dyDescent="0.25">
      <c r="A840" s="2371">
        <v>6</v>
      </c>
      <c r="B840" s="2383" t="s">
        <v>4194</v>
      </c>
      <c r="C840" s="2374" t="s">
        <v>256</v>
      </c>
      <c r="D840" s="2374"/>
      <c r="E840" s="2374"/>
      <c r="F840" s="2374"/>
      <c r="G840" s="2373" t="str">
        <f t="shared" ca="1" si="55"/>
        <v/>
      </c>
      <c r="H840" s="2371" t="s">
        <v>3971</v>
      </c>
      <c r="I840" s="64"/>
      <c r="J840" s="129"/>
      <c r="K840" s="95"/>
      <c r="L840" s="1754"/>
      <c r="M840" s="1758"/>
      <c r="N840" s="1042"/>
      <c r="O840" s="1042"/>
      <c r="P840" s="249"/>
      <c r="Q840" s="249"/>
      <c r="R840" s="249"/>
      <c r="S840" s="249"/>
      <c r="T840" s="249"/>
      <c r="U840" s="249"/>
      <c r="V840" s="249"/>
      <c r="W840" s="249"/>
      <c r="X840" s="1757"/>
      <c r="Y840" s="2081"/>
      <c r="Z840" s="2083"/>
      <c r="AA840" s="1526"/>
      <c r="AC840" s="970"/>
      <c r="AD840" s="970"/>
      <c r="AE840" s="970"/>
      <c r="AF840" s="249"/>
      <c r="AG840" s="249"/>
      <c r="AH840" s="249"/>
      <c r="AI840" s="249"/>
      <c r="AJ840" s="249"/>
      <c r="AK840" s="249"/>
      <c r="AL840" s="1336"/>
      <c r="AM840" s="1336"/>
      <c r="AN840" s="1336"/>
      <c r="AO840" s="1336"/>
      <c r="AP840" s="1336"/>
      <c r="AQ840" s="1336"/>
      <c r="AR840" s="1336"/>
      <c r="AS840" s="1336"/>
    </row>
    <row r="841" spans="1:46" x14ac:dyDescent="0.25">
      <c r="A841" s="2371">
        <v>6</v>
      </c>
      <c r="B841" s="2383" t="s">
        <v>4194</v>
      </c>
      <c r="C841" s="2374" t="s">
        <v>256</v>
      </c>
      <c r="D841" s="2374"/>
      <c r="E841" s="2374"/>
      <c r="F841" s="2374"/>
      <c r="G841" s="2373" t="str">
        <f t="shared" ca="1" si="55"/>
        <v/>
      </c>
      <c r="H841" s="2371" t="s">
        <v>3971</v>
      </c>
      <c r="I841" s="64"/>
      <c r="J841" s="129"/>
      <c r="K841" s="95"/>
      <c r="L841" s="1754"/>
      <c r="M841" s="1758"/>
      <c r="N841" s="1042"/>
      <c r="O841" s="1042"/>
      <c r="P841" s="249"/>
      <c r="Q841" s="249"/>
      <c r="R841" s="249"/>
      <c r="S841" s="249"/>
      <c r="T841" s="249"/>
      <c r="U841" s="249"/>
      <c r="V841" s="249"/>
      <c r="W841" s="249"/>
      <c r="X841" s="1757"/>
      <c r="Y841" s="2081"/>
      <c r="Z841" s="2083"/>
      <c r="AA841" s="1526"/>
      <c r="AC841" s="970"/>
      <c r="AD841" s="970"/>
      <c r="AE841" s="970"/>
      <c r="AF841" s="249"/>
      <c r="AG841" s="249"/>
      <c r="AH841" s="249"/>
      <c r="AI841" s="249"/>
      <c r="AJ841" s="249"/>
      <c r="AK841" s="249"/>
      <c r="AL841" s="1336"/>
      <c r="AM841" s="1336"/>
      <c r="AN841" s="1336"/>
      <c r="AO841" s="1336"/>
      <c r="AP841" s="1336"/>
      <c r="AQ841" s="1336"/>
      <c r="AR841" s="1336"/>
      <c r="AS841" s="1336"/>
    </row>
    <row r="842" spans="1:46" x14ac:dyDescent="0.25">
      <c r="A842" s="2371">
        <v>6</v>
      </c>
      <c r="B842" s="2383" t="s">
        <v>4194</v>
      </c>
      <c r="C842" s="2374" t="s">
        <v>256</v>
      </c>
      <c r="D842" s="2374"/>
      <c r="E842" s="2374"/>
      <c r="F842" s="2374"/>
      <c r="G842" s="2373" t="str">
        <f t="shared" ca="1" si="55"/>
        <v/>
      </c>
      <c r="H842" s="2371" t="s">
        <v>3971</v>
      </c>
      <c r="I842" s="64"/>
      <c r="J842" s="129"/>
      <c r="K842" s="95"/>
      <c r="L842" s="1754"/>
      <c r="M842" s="1758"/>
      <c r="N842" s="1042"/>
      <c r="O842" s="1042"/>
      <c r="P842" s="249"/>
      <c r="Q842" s="249"/>
      <c r="R842" s="249"/>
      <c r="S842" s="249"/>
      <c r="T842" s="249"/>
      <c r="U842" s="249"/>
      <c r="V842" s="249"/>
      <c r="W842" s="249"/>
      <c r="X842" s="1757"/>
      <c r="Y842" s="2081"/>
      <c r="Z842" s="2083"/>
      <c r="AA842" s="1526"/>
      <c r="AC842" s="970"/>
      <c r="AD842" s="970"/>
      <c r="AE842" s="970"/>
      <c r="AF842" s="249"/>
      <c r="AG842" s="249"/>
      <c r="AH842" s="249"/>
      <c r="AI842" s="249"/>
      <c r="AJ842" s="249"/>
      <c r="AK842" s="249"/>
      <c r="AL842" s="1336"/>
      <c r="AM842" s="1336"/>
      <c r="AN842" s="1336"/>
      <c r="AO842" s="1336"/>
      <c r="AP842" s="1336"/>
      <c r="AQ842" s="1336"/>
      <c r="AR842" s="1336"/>
      <c r="AS842" s="1336"/>
    </row>
    <row r="843" spans="1:46" x14ac:dyDescent="0.25">
      <c r="A843" s="2371">
        <v>6</v>
      </c>
      <c r="B843" s="2383" t="s">
        <v>4194</v>
      </c>
      <c r="C843" s="2374" t="s">
        <v>256</v>
      </c>
      <c r="D843" s="2374"/>
      <c r="E843" s="2374"/>
      <c r="F843" s="2374"/>
      <c r="G843" s="2373" t="str">
        <f t="shared" ca="1" si="55"/>
        <v/>
      </c>
      <c r="H843" s="2371" t="s">
        <v>3971</v>
      </c>
      <c r="I843" s="64"/>
      <c r="J843" s="210"/>
      <c r="K843" s="175"/>
      <c r="L843" s="1755"/>
      <c r="M843" s="1759"/>
      <c r="N843" s="1042"/>
      <c r="O843" s="1042"/>
      <c r="P843" s="249"/>
      <c r="Q843" s="249"/>
      <c r="R843" s="249"/>
      <c r="S843" s="249"/>
      <c r="T843" s="249"/>
      <c r="U843" s="249"/>
      <c r="V843" s="249"/>
      <c r="W843" s="249"/>
      <c r="X843" s="1757"/>
      <c r="Y843" s="2081"/>
      <c r="Z843" s="2083"/>
      <c r="AA843" s="1526"/>
      <c r="AC843" s="970"/>
      <c r="AD843" s="970"/>
      <c r="AE843" s="970"/>
      <c r="AF843" s="249"/>
      <c r="AG843" s="249"/>
      <c r="AH843" s="249"/>
      <c r="AI843" s="249"/>
      <c r="AJ843" s="249"/>
      <c r="AK843" s="249"/>
      <c r="AL843" s="1336"/>
      <c r="AM843" s="1336"/>
      <c r="AN843" s="1336"/>
      <c r="AO843" s="1336"/>
      <c r="AP843" s="1336"/>
      <c r="AQ843" s="1336"/>
      <c r="AR843" s="1336"/>
      <c r="AS843" s="1336"/>
    </row>
    <row r="844" spans="1:46" x14ac:dyDescent="0.25">
      <c r="A844" s="2371">
        <v>6</v>
      </c>
      <c r="B844" s="2383" t="s">
        <v>4194</v>
      </c>
      <c r="C844" s="2374" t="s">
        <v>258</v>
      </c>
      <c r="D844" s="2374"/>
      <c r="E844" s="2374"/>
      <c r="F844" s="2374"/>
      <c r="G844" s="2373" t="str">
        <f t="shared" ca="1" si="55"/>
        <v/>
      </c>
      <c r="H844" s="2371" t="s">
        <v>3971</v>
      </c>
      <c r="I844" s="64"/>
      <c r="J844" s="209" t="s">
        <v>258</v>
      </c>
      <c r="K844" s="194"/>
      <c r="L844" s="1778" t="s">
        <v>729</v>
      </c>
      <c r="M844" s="1762">
        <v>3</v>
      </c>
      <c r="N844" s="1042"/>
      <c r="O844" s="1042"/>
      <c r="P844" s="352" t="b">
        <v>1</v>
      </c>
      <c r="Q844" s="249" t="b">
        <v>1</v>
      </c>
      <c r="R844" s="249" t="b">
        <v>0</v>
      </c>
      <c r="S844" s="249" t="b">
        <f>IF(W839=TRUE,TRUE,FALSE)</f>
        <v>0</v>
      </c>
      <c r="T844" s="94" t="b">
        <f>IF(AND(NOT(S844),W844=TRUE),TRUE,FALSE)</f>
        <v>0</v>
      </c>
      <c r="U844" s="249"/>
      <c r="V844" s="249"/>
      <c r="W844" s="25"/>
      <c r="X844" s="1757"/>
      <c r="Y844" s="2081" t="str">
        <f>IF(LEN('Ch6'!X526)=0,"None",'Ch6'!X526)</f>
        <v>None</v>
      </c>
      <c r="Z844" s="2083"/>
      <c r="AA844" s="1526"/>
      <c r="AC844" s="970" t="b">
        <f>OR(AD844:AE844)</f>
        <v>0</v>
      </c>
      <c r="AD844" s="970" t="b">
        <f>T844</f>
        <v>0</v>
      </c>
      <c r="AE844" s="970"/>
      <c r="AF844" s="249"/>
      <c r="AG844" s="249"/>
      <c r="AH844" s="249"/>
      <c r="AI844" s="249"/>
      <c r="AJ844" s="249"/>
      <c r="AK844" s="249"/>
      <c r="AL844" s="254" t="str">
        <f>SUBSTITUTE(SUBSTITUTE(SUBSTITUTE("vpa"&amp;$B844&amp;$C844&amp;$D844&amp;$E844,".","_"),"(","_"),")","")</f>
        <v>vpa612_3_2</v>
      </c>
      <c r="AM844" s="254">
        <f>M844</f>
        <v>3</v>
      </c>
      <c r="AN844" s="1336"/>
      <c r="AO844" s="1336"/>
      <c r="AP844" s="1336" t="str">
        <f>SUBSTITUTE(SUBSTITUTE(SUBSTITUTE("vch"&amp;$B844&amp;$C844&amp;$D844&amp;$E844,".","_"),"(","_"),")","")</f>
        <v>vch612_3_2</v>
      </c>
      <c r="AQ844" s="254" t="str">
        <f>IF(LEN(W844)=0,"",W844)</f>
        <v/>
      </c>
      <c r="AR844" s="1336" t="str">
        <f>SUBSTITUTE(SUBSTITUTE(SUBSTITUTE("vnt"&amp;$B844&amp;$C844&amp;$D844&amp;$E844,".","_"),"(","_"),")","")</f>
        <v>vnt612_3_2</v>
      </c>
      <c r="AS844" s="254" t="str">
        <f>IF(LEN(X844)=0,"",X844)</f>
        <v/>
      </c>
    </row>
    <row r="845" spans="1:46" x14ac:dyDescent="0.25">
      <c r="A845" s="2371">
        <v>6</v>
      </c>
      <c r="B845" s="2383" t="s">
        <v>4194</v>
      </c>
      <c r="C845" s="2374" t="s">
        <v>258</v>
      </c>
      <c r="D845" s="2374"/>
      <c r="E845" s="2374"/>
      <c r="F845" s="2374"/>
      <c r="G845" s="2373" t="str">
        <f t="shared" ca="1" si="55"/>
        <v/>
      </c>
      <c r="H845" s="2371" t="s">
        <v>3971</v>
      </c>
      <c r="I845" s="64"/>
      <c r="J845" s="129"/>
      <c r="K845" s="95"/>
      <c r="L845" s="1754"/>
      <c r="M845" s="1758"/>
      <c r="N845" s="1042"/>
      <c r="O845" s="1042"/>
      <c r="P845" s="249"/>
      <c r="Q845" s="249"/>
      <c r="R845" s="249"/>
      <c r="S845" s="249"/>
      <c r="T845" s="249"/>
      <c r="U845" s="249"/>
      <c r="V845" s="249"/>
      <c r="W845" s="249"/>
      <c r="X845" s="1757"/>
      <c r="Y845" s="2081"/>
      <c r="Z845" s="2083"/>
      <c r="AA845" s="1526"/>
      <c r="AC845" s="970"/>
      <c r="AD845" s="970"/>
      <c r="AE845" s="970"/>
      <c r="AF845" s="249"/>
      <c r="AG845" s="249"/>
      <c r="AH845" s="249"/>
      <c r="AI845" s="249"/>
      <c r="AJ845" s="249"/>
      <c r="AK845" s="249"/>
      <c r="AL845" s="1336"/>
      <c r="AM845" s="1336"/>
      <c r="AN845" s="1336"/>
      <c r="AO845" s="1336"/>
      <c r="AP845" s="1336"/>
      <c r="AQ845" s="1336"/>
      <c r="AR845" s="1336"/>
      <c r="AS845" s="1336"/>
    </row>
    <row r="846" spans="1:46" x14ac:dyDescent="0.25">
      <c r="A846" s="2371">
        <v>6</v>
      </c>
      <c r="B846" s="2383" t="s">
        <v>4194</v>
      </c>
      <c r="C846" s="2374" t="s">
        <v>258</v>
      </c>
      <c r="D846" s="2374"/>
      <c r="E846" s="2374"/>
      <c r="F846" s="2374"/>
      <c r="G846" s="2373" t="str">
        <f t="shared" ca="1" si="55"/>
        <v/>
      </c>
      <c r="H846" s="2371" t="s">
        <v>3971</v>
      </c>
      <c r="I846" s="64"/>
      <c r="J846" s="129"/>
      <c r="K846" s="95"/>
      <c r="L846" s="1754"/>
      <c r="M846" s="1758"/>
      <c r="N846" s="1042"/>
      <c r="O846" s="1042"/>
      <c r="P846" s="249"/>
      <c r="Q846" s="249"/>
      <c r="R846" s="249"/>
      <c r="S846" s="249"/>
      <c r="T846" s="249"/>
      <c r="U846" s="249"/>
      <c r="V846" s="249"/>
      <c r="W846" s="249"/>
      <c r="X846" s="1757"/>
      <c r="Y846" s="2081"/>
      <c r="Z846" s="2083"/>
      <c r="AA846" s="1526"/>
      <c r="AC846" s="970"/>
      <c r="AD846" s="970"/>
      <c r="AE846" s="970"/>
      <c r="AF846" s="249"/>
      <c r="AG846" s="249"/>
      <c r="AH846" s="249"/>
      <c r="AI846" s="249"/>
      <c r="AJ846" s="249"/>
      <c r="AK846" s="249"/>
      <c r="AL846" s="1336"/>
      <c r="AM846" s="1336"/>
      <c r="AN846" s="1336"/>
      <c r="AO846" s="1336"/>
      <c r="AP846" s="1336"/>
      <c r="AQ846" s="1336"/>
      <c r="AR846" s="1336"/>
      <c r="AS846" s="1336"/>
    </row>
    <row r="847" spans="1:46" x14ac:dyDescent="0.25">
      <c r="A847" s="2371">
        <v>6</v>
      </c>
      <c r="B847" s="2383" t="s">
        <v>4194</v>
      </c>
      <c r="C847" s="2374" t="s">
        <v>258</v>
      </c>
      <c r="D847" s="2374"/>
      <c r="E847" s="2374"/>
      <c r="F847" s="2374"/>
      <c r="G847" s="2373" t="str">
        <f t="shared" ca="1" si="55"/>
        <v/>
      </c>
      <c r="H847" s="2371" t="s">
        <v>3971</v>
      </c>
      <c r="I847" s="64"/>
      <c r="J847" s="210"/>
      <c r="K847" s="175"/>
      <c r="L847" s="1755"/>
      <c r="M847" s="1759"/>
      <c r="N847" s="1042"/>
      <c r="O847" s="1042"/>
      <c r="P847" s="249"/>
      <c r="Q847" s="249"/>
      <c r="R847" s="249"/>
      <c r="S847" s="249"/>
      <c r="T847" s="249"/>
      <c r="U847" s="249"/>
      <c r="V847" s="249"/>
      <c r="W847" s="249"/>
      <c r="X847" s="1757"/>
      <c r="Y847" s="2081"/>
      <c r="Z847" s="2083"/>
      <c r="AA847" s="1526"/>
      <c r="AC847" s="970"/>
      <c r="AD847" s="970"/>
      <c r="AE847" s="970"/>
      <c r="AF847" s="249"/>
      <c r="AG847" s="249"/>
      <c r="AH847" s="249"/>
      <c r="AI847" s="249"/>
      <c r="AJ847" s="249"/>
      <c r="AK847" s="249"/>
      <c r="AL847" s="1336"/>
      <c r="AM847" s="1336"/>
      <c r="AN847" s="1336"/>
      <c r="AO847" s="1336"/>
      <c r="AP847" s="1336"/>
      <c r="AQ847" s="1336"/>
      <c r="AR847" s="1336"/>
      <c r="AS847" s="1336"/>
    </row>
    <row r="848" spans="1:46" x14ac:dyDescent="0.25">
      <c r="A848" s="2371">
        <v>6</v>
      </c>
      <c r="B848" s="2383" t="s">
        <v>4194</v>
      </c>
      <c r="C848" s="2374" t="s">
        <v>260</v>
      </c>
      <c r="D848" s="2374"/>
      <c r="E848" s="2374"/>
      <c r="F848" s="2374"/>
      <c r="G848" s="2373" t="str">
        <f t="shared" ca="1" si="55"/>
        <v/>
      </c>
      <c r="H848" s="2371" t="s">
        <v>3971</v>
      </c>
      <c r="I848" s="64"/>
      <c r="J848" s="209" t="s">
        <v>260</v>
      </c>
      <c r="K848" s="194"/>
      <c r="L848" s="1778" t="s">
        <v>730</v>
      </c>
      <c r="M848" s="1762">
        <v>3</v>
      </c>
      <c r="N848" s="1042"/>
      <c r="O848" s="1042"/>
      <c r="P848" s="352" t="b">
        <v>1</v>
      </c>
      <c r="Q848" s="249" t="b">
        <v>1</v>
      </c>
      <c r="R848" s="249" t="b">
        <v>0</v>
      </c>
      <c r="S848" s="249" t="b">
        <f>IF(W839=TRUE,TRUE,FALSE)</f>
        <v>0</v>
      </c>
      <c r="T848" s="94" t="b">
        <f>IF(AND(NOT(S848),W848=TRUE),TRUE,FALSE)</f>
        <v>0</v>
      </c>
      <c r="U848" s="249"/>
      <c r="V848" s="249"/>
      <c r="W848" s="25"/>
      <c r="X848" s="1757"/>
      <c r="Y848" s="2081" t="str">
        <f>IF(LEN('Ch6'!X530)=0,"None",'Ch6'!X530)</f>
        <v>None</v>
      </c>
      <c r="Z848" s="2083"/>
      <c r="AA848" s="1526"/>
      <c r="AC848" s="970" t="b">
        <f>OR(AD848:AE848)</f>
        <v>0</v>
      </c>
      <c r="AD848" s="970" t="b">
        <f>T848</f>
        <v>0</v>
      </c>
      <c r="AE848" s="970"/>
      <c r="AF848" s="249"/>
      <c r="AG848" s="249"/>
      <c r="AH848" s="249"/>
      <c r="AI848" s="249"/>
      <c r="AJ848" s="249"/>
      <c r="AK848" s="249"/>
      <c r="AL848" s="254" t="str">
        <f>SUBSTITUTE(SUBSTITUTE(SUBSTITUTE("vpa"&amp;$B848&amp;$C848&amp;$D848&amp;$E848,".","_"),"(","_"),")","")</f>
        <v>vpa612_3_3</v>
      </c>
      <c r="AM848" s="254">
        <f>M848</f>
        <v>3</v>
      </c>
      <c r="AN848" s="1336"/>
      <c r="AO848" s="1336"/>
      <c r="AP848" s="1336" t="str">
        <f>SUBSTITUTE(SUBSTITUTE(SUBSTITUTE("vch"&amp;$B848&amp;$C848&amp;$D848&amp;$E848,".","_"),"(","_"),")","")</f>
        <v>vch612_3_3</v>
      </c>
      <c r="AQ848" s="254" t="str">
        <f>IF(LEN(W848)=0,"",W848)</f>
        <v/>
      </c>
      <c r="AR848" s="1336" t="str">
        <f>SUBSTITUTE(SUBSTITUTE(SUBSTITUTE("vnt"&amp;$B848&amp;$C848&amp;$D848&amp;$E848,".","_"),"(","_"),")","")</f>
        <v>vnt612_3_3</v>
      </c>
      <c r="AS848" s="254" t="str">
        <f>IF(LEN(X848)=0,"",X848)</f>
        <v/>
      </c>
    </row>
    <row r="849" spans="1:46" x14ac:dyDescent="0.25">
      <c r="A849" s="2371">
        <v>6</v>
      </c>
      <c r="B849" s="2383" t="s">
        <v>4194</v>
      </c>
      <c r="C849" s="2374" t="s">
        <v>260</v>
      </c>
      <c r="D849" s="2374"/>
      <c r="E849" s="2374"/>
      <c r="F849" s="2374"/>
      <c r="G849" s="2373" t="str">
        <f t="shared" ca="1" si="55"/>
        <v/>
      </c>
      <c r="H849" s="2371" t="s">
        <v>3971</v>
      </c>
      <c r="I849" s="64"/>
      <c r="J849" s="210"/>
      <c r="K849" s="175"/>
      <c r="L849" s="1755"/>
      <c r="M849" s="1759"/>
      <c r="N849" s="1042"/>
      <c r="O849" s="1042"/>
      <c r="P849" s="249"/>
      <c r="Q849" s="249"/>
      <c r="R849" s="249"/>
      <c r="S849" s="249"/>
      <c r="T849" s="249"/>
      <c r="U849" s="249"/>
      <c r="V849" s="249"/>
      <c r="W849" s="249"/>
      <c r="X849" s="1757"/>
      <c r="Y849" s="2081"/>
      <c r="Z849" s="2083"/>
      <c r="AA849" s="1526"/>
      <c r="AC849" s="970"/>
      <c r="AD849" s="970"/>
      <c r="AE849" s="970"/>
      <c r="AF849" s="249"/>
      <c r="AG849" s="249"/>
      <c r="AH849" s="249"/>
      <c r="AI849" s="249"/>
      <c r="AJ849" s="249"/>
      <c r="AK849" s="249"/>
      <c r="AL849" s="1336"/>
      <c r="AM849" s="1336"/>
      <c r="AN849" s="1336"/>
      <c r="AO849" s="1336"/>
      <c r="AP849" s="1336"/>
      <c r="AQ849" s="1336"/>
      <c r="AR849" s="1336"/>
      <c r="AS849" s="1336"/>
    </row>
    <row r="850" spans="1:46" x14ac:dyDescent="0.25">
      <c r="A850" s="2371">
        <v>6</v>
      </c>
      <c r="B850" s="2383" t="s">
        <v>4194</v>
      </c>
      <c r="C850" s="2374" t="s">
        <v>269</v>
      </c>
      <c r="D850" s="2374"/>
      <c r="E850" s="2374"/>
      <c r="F850" s="2374"/>
      <c r="G850" s="2373" t="str">
        <f t="shared" ca="1" si="55"/>
        <v/>
      </c>
      <c r="H850" s="2371" t="s">
        <v>3972</v>
      </c>
      <c r="I850" s="64"/>
      <c r="J850" s="209" t="s">
        <v>269</v>
      </c>
      <c r="K850" s="194"/>
      <c r="L850" s="1778" t="s">
        <v>731</v>
      </c>
      <c r="M850" s="1762">
        <v>1</v>
      </c>
      <c r="N850" s="1042"/>
      <c r="O850" s="1042"/>
      <c r="P850" s="249" t="b">
        <v>1</v>
      </c>
      <c r="Q850" s="249" t="b">
        <v>0</v>
      </c>
      <c r="R850" s="249" t="b">
        <v>0</v>
      </c>
      <c r="S850" s="249" t="b">
        <v>1</v>
      </c>
      <c r="T850" s="249" t="b">
        <v>0</v>
      </c>
      <c r="U850" s="249"/>
      <c r="V850" s="249"/>
      <c r="W850" s="25"/>
      <c r="X850" s="1757"/>
      <c r="Y850" s="2081" t="str">
        <f>IF(LEN('Ch6'!X532)=0,"None",'Ch6'!X532)</f>
        <v>None</v>
      </c>
      <c r="Z850" s="2083"/>
      <c r="AA850" s="1526"/>
      <c r="AC850" s="970"/>
      <c r="AD850" s="970"/>
      <c r="AE850" s="970"/>
      <c r="AF850" s="249"/>
      <c r="AG850" s="249"/>
      <c r="AH850" s="249"/>
      <c r="AI850" s="249"/>
      <c r="AJ850" s="249"/>
      <c r="AK850" s="249"/>
      <c r="AL850" s="254" t="str">
        <f>SUBSTITUTE(SUBSTITUTE(SUBSTITUTE("vpa"&amp;$B850&amp;$C850&amp;$D850&amp;$E850,".","_"),"(","_"),")","")</f>
        <v>vpa612_3_4</v>
      </c>
      <c r="AM850" s="254">
        <f>M850</f>
        <v>1</v>
      </c>
      <c r="AN850" s="1336"/>
      <c r="AO850" s="1336"/>
      <c r="AP850" s="1336" t="str">
        <f>SUBSTITUTE(SUBSTITUTE(SUBSTITUTE("vch"&amp;$B850&amp;$C850&amp;$D850&amp;$E850,".","_"),"(","_"),")","")</f>
        <v>vch612_3_4</v>
      </c>
      <c r="AQ850" s="254" t="str">
        <f>IF(LEN(W850)=0,"",W850)</f>
        <v/>
      </c>
      <c r="AR850" s="1336" t="str">
        <f>SUBSTITUTE(SUBSTITUTE(SUBSTITUTE("vnt"&amp;$B850&amp;$C850&amp;$D850&amp;$E850,".","_"),"(","_"),")","")</f>
        <v>vnt612_3_4</v>
      </c>
      <c r="AS850" s="254" t="str">
        <f>IF(LEN(X850)=0,"",X850)</f>
        <v/>
      </c>
    </row>
    <row r="851" spans="1:46" x14ac:dyDescent="0.25">
      <c r="A851" s="2371">
        <v>6</v>
      </c>
      <c r="B851" s="2383" t="s">
        <v>4194</v>
      </c>
      <c r="C851" s="2374" t="s">
        <v>269</v>
      </c>
      <c r="D851" s="2374"/>
      <c r="E851" s="2374"/>
      <c r="F851" s="2374"/>
      <c r="G851" s="2373" t="str">
        <f t="shared" ca="1" si="55"/>
        <v/>
      </c>
      <c r="H851" s="2371" t="s">
        <v>3972</v>
      </c>
      <c r="I851" s="64"/>
      <c r="J851" s="210"/>
      <c r="K851" s="175"/>
      <c r="L851" s="1755"/>
      <c r="M851" s="1759"/>
      <c r="N851" s="1042"/>
      <c r="O851" s="1042"/>
      <c r="P851" s="249"/>
      <c r="Q851" s="249"/>
      <c r="R851" s="249"/>
      <c r="S851" s="249"/>
      <c r="T851" s="249"/>
      <c r="U851" s="249"/>
      <c r="V851" s="249"/>
      <c r="W851" s="249"/>
      <c r="X851" s="1757"/>
      <c r="Y851" s="2081"/>
      <c r="Z851" s="2083"/>
      <c r="AA851" s="1526"/>
      <c r="AC851" s="970"/>
      <c r="AD851" s="970"/>
      <c r="AE851" s="970"/>
      <c r="AF851" s="249"/>
      <c r="AG851" s="249"/>
      <c r="AH851" s="249"/>
      <c r="AI851" s="249"/>
      <c r="AJ851" s="249"/>
      <c r="AK851" s="249"/>
      <c r="AL851" s="1336"/>
      <c r="AM851" s="1336"/>
      <c r="AN851" s="1336"/>
      <c r="AO851" s="1336"/>
      <c r="AP851" s="1336"/>
      <c r="AQ851" s="1336"/>
      <c r="AR851" s="1336"/>
      <c r="AS851" s="1336"/>
    </row>
    <row r="852" spans="1:46" x14ac:dyDescent="0.25">
      <c r="A852" s="2371">
        <v>6</v>
      </c>
      <c r="B852" s="2383" t="s">
        <v>4194</v>
      </c>
      <c r="C852" s="2374" t="s">
        <v>275</v>
      </c>
      <c r="D852" s="2374"/>
      <c r="E852" s="2374"/>
      <c r="F852" s="2374"/>
      <c r="G852" s="2373" t="str">
        <f t="shared" ca="1" si="55"/>
        <v/>
      </c>
      <c r="H852" s="2371" t="s">
        <v>3971</v>
      </c>
      <c r="I852" s="64"/>
      <c r="J852" s="207" t="s">
        <v>275</v>
      </c>
      <c r="K852" s="208"/>
      <c r="L852" s="280" t="s">
        <v>732</v>
      </c>
      <c r="M852" s="1036">
        <v>1</v>
      </c>
      <c r="N852" s="1042"/>
      <c r="O852" s="1042"/>
      <c r="P852" s="352" t="b">
        <v>1</v>
      </c>
      <c r="Q852" s="249" t="b">
        <v>1</v>
      </c>
      <c r="R852" s="249" t="b">
        <v>0</v>
      </c>
      <c r="S852" s="249" t="b">
        <v>1</v>
      </c>
      <c r="T852" s="249" t="b">
        <v>0</v>
      </c>
      <c r="U852" s="249"/>
      <c r="V852" s="249"/>
      <c r="W852" s="25"/>
      <c r="X852" s="918"/>
      <c r="Y852" s="988" t="str">
        <f>IF(LEN('Ch6'!X534)=0,"None",'Ch6'!X534)</f>
        <v>None</v>
      </c>
      <c r="Z852" s="1587"/>
      <c r="AA852" s="1526"/>
      <c r="AC852" s="970"/>
      <c r="AD852" s="970"/>
      <c r="AE852" s="970"/>
      <c r="AF852" s="249"/>
      <c r="AG852" s="249"/>
      <c r="AH852" s="249"/>
      <c r="AI852" s="249"/>
      <c r="AJ852" s="249"/>
      <c r="AK852" s="249"/>
      <c r="AL852" s="254" t="str">
        <f>SUBSTITUTE(SUBSTITUTE(SUBSTITUTE("vpa"&amp;$B852&amp;$C852&amp;$D852&amp;$E852,".","_"),"(","_"),")","")</f>
        <v>vpa612_3_5</v>
      </c>
      <c r="AM852" s="254">
        <f>M852</f>
        <v>1</v>
      </c>
      <c r="AN852" s="1336"/>
      <c r="AO852" s="1336"/>
      <c r="AP852" s="1336" t="str">
        <f>SUBSTITUTE(SUBSTITUTE(SUBSTITUTE("vch"&amp;$B852&amp;$C852&amp;$D852&amp;$E852,".","_"),"(","_"),")","")</f>
        <v>vch612_3_5</v>
      </c>
      <c r="AQ852" s="254" t="str">
        <f>IF(LEN(W852)=0,"",W852)</f>
        <v/>
      </c>
      <c r="AR852" s="1336" t="str">
        <f>SUBSTITUTE(SUBSTITUTE(SUBSTITUTE("vnt"&amp;$B852&amp;$C852&amp;$D852&amp;$E852,".","_"),"(","_"),")","")</f>
        <v>vnt612_3_5</v>
      </c>
      <c r="AS852" s="254" t="str">
        <f>IF(LEN(X852)=0,"",X852)</f>
        <v/>
      </c>
    </row>
    <row r="853" spans="1:46" x14ac:dyDescent="0.25">
      <c r="A853" s="2371">
        <v>6</v>
      </c>
      <c r="B853" s="2383" t="s">
        <v>4194</v>
      </c>
      <c r="C853" s="2374" t="s">
        <v>277</v>
      </c>
      <c r="D853" s="2374"/>
      <c r="E853" s="2374"/>
      <c r="F853" s="2374"/>
      <c r="G853" s="2373" t="str">
        <f t="shared" ca="1" si="55"/>
        <v/>
      </c>
      <c r="H853" s="2371" t="s">
        <v>3971</v>
      </c>
      <c r="I853" s="64"/>
      <c r="J853" s="207" t="s">
        <v>277</v>
      </c>
      <c r="K853" s="208"/>
      <c r="L853" s="1156" t="s">
        <v>4203</v>
      </c>
      <c r="M853" s="1036">
        <v>1</v>
      </c>
      <c r="N853" s="1042"/>
      <c r="O853" s="1042"/>
      <c r="P853" s="352" t="b">
        <v>1</v>
      </c>
      <c r="Q853" s="249" t="b">
        <v>1</v>
      </c>
      <c r="R853" s="249" t="b">
        <v>0</v>
      </c>
      <c r="S853" s="249" t="b">
        <v>1</v>
      </c>
      <c r="T853" s="249" t="b">
        <v>0</v>
      </c>
      <c r="U853" s="249"/>
      <c r="V853" s="249"/>
      <c r="W853" s="25"/>
      <c r="X853" s="918"/>
      <c r="Y853" s="988" t="str">
        <f>IF(LEN('Ch6'!X535)=0,"None",'Ch6'!X535)</f>
        <v>None</v>
      </c>
      <c r="Z853" s="1587"/>
      <c r="AA853" s="1526"/>
      <c r="AC853" s="970"/>
      <c r="AD853" s="970"/>
      <c r="AE853" s="970"/>
      <c r="AF853" s="249"/>
      <c r="AG853" s="249"/>
      <c r="AH853" s="249"/>
      <c r="AI853" s="249"/>
      <c r="AJ853" s="249"/>
      <c r="AK853" s="249"/>
      <c r="AL853" s="254" t="str">
        <f>SUBSTITUTE(SUBSTITUTE(SUBSTITUTE("vpa"&amp;$B853&amp;$C853&amp;$D853&amp;$E853,".","_"),"(","_"),")","")</f>
        <v>vpa612_3_6</v>
      </c>
      <c r="AM853" s="254">
        <f>M853</f>
        <v>1</v>
      </c>
      <c r="AN853" s="1336"/>
      <c r="AO853" s="1336"/>
      <c r="AP853" s="1336" t="str">
        <f>SUBSTITUTE(SUBSTITUTE(SUBSTITUTE("vch"&amp;$B853&amp;$C853&amp;$D853&amp;$E853,".","_"),"(","_"),")","")</f>
        <v>vch612_3_6</v>
      </c>
      <c r="AQ853" s="254" t="str">
        <f>IF(LEN(W853)=0,"",W853)</f>
        <v/>
      </c>
      <c r="AR853" s="1336" t="str">
        <f>SUBSTITUTE(SUBSTITUTE(SUBSTITUTE("vnt"&amp;$B853&amp;$C853&amp;$D853&amp;$E853,".","_"),"(","_"),")","")</f>
        <v>vnt612_3_6</v>
      </c>
      <c r="AS853" s="254" t="str">
        <f>IF(LEN(X853)=0,"",X853)</f>
        <v/>
      </c>
    </row>
    <row r="854" spans="1:46" x14ac:dyDescent="0.25">
      <c r="A854" s="2371">
        <v>6</v>
      </c>
      <c r="B854" s="2383" t="s">
        <v>4194</v>
      </c>
      <c r="C854" s="2374" t="s">
        <v>383</v>
      </c>
      <c r="D854" s="2374"/>
      <c r="E854" s="2374"/>
      <c r="F854" s="2374"/>
      <c r="G854" s="2373" t="str">
        <f t="shared" ca="1" si="55"/>
        <v/>
      </c>
      <c r="H854" s="2371" t="s">
        <v>3971</v>
      </c>
      <c r="I854" s="64"/>
      <c r="J854" s="209" t="s">
        <v>383</v>
      </c>
      <c r="K854" s="194"/>
      <c r="L854" s="1778" t="s">
        <v>733</v>
      </c>
      <c r="M854" s="1762">
        <v>1</v>
      </c>
      <c r="N854" s="1042"/>
      <c r="O854" s="1042"/>
      <c r="P854" s="352" t="b">
        <v>1</v>
      </c>
      <c r="Q854" s="249" t="b">
        <v>1</v>
      </c>
      <c r="R854" s="249" t="b">
        <v>0</v>
      </c>
      <c r="S854" s="249" t="b">
        <v>1</v>
      </c>
      <c r="T854" s="249" t="b">
        <v>0</v>
      </c>
      <c r="U854" s="249"/>
      <c r="V854" s="249"/>
      <c r="W854" s="25"/>
      <c r="X854" s="1757"/>
      <c r="Y854" s="2081" t="str">
        <f>IF(LEN('Ch6'!X536)=0,"None",'Ch6'!X536)</f>
        <v>None</v>
      </c>
      <c r="Z854" s="2083"/>
      <c r="AA854" s="1526"/>
      <c r="AC854" s="970"/>
      <c r="AD854" s="970"/>
      <c r="AE854" s="970"/>
      <c r="AF854" s="249"/>
      <c r="AG854" s="249"/>
      <c r="AH854" s="249"/>
      <c r="AI854" s="249"/>
      <c r="AJ854" s="249"/>
      <c r="AK854" s="249"/>
      <c r="AL854" s="254" t="str">
        <f>SUBSTITUTE(SUBSTITUTE(SUBSTITUTE("vpa"&amp;$B854&amp;$C854&amp;$D854&amp;$E854,".","_"),"(","_"),")","")</f>
        <v>vpa612_3_7</v>
      </c>
      <c r="AM854" s="254">
        <f>M854</f>
        <v>1</v>
      </c>
      <c r="AN854" s="1336"/>
      <c r="AO854" s="1336"/>
      <c r="AP854" s="1336" t="str">
        <f>SUBSTITUTE(SUBSTITUTE(SUBSTITUTE("vch"&amp;$B854&amp;$C854&amp;$D854&amp;$E854,".","_"),"(","_"),")","")</f>
        <v>vch612_3_7</v>
      </c>
      <c r="AQ854" s="254" t="str">
        <f>IF(LEN(W854)=0,"",W854)</f>
        <v/>
      </c>
      <c r="AR854" s="1336" t="str">
        <f>SUBSTITUTE(SUBSTITUTE(SUBSTITUTE("vnt"&amp;$B854&amp;$C854&amp;$D854&amp;$E854,".","_"),"(","_"),")","")</f>
        <v>vnt612_3_7</v>
      </c>
      <c r="AS854" s="254" t="str">
        <f>IF(LEN(X854)=0,"",X854)</f>
        <v/>
      </c>
    </row>
    <row r="855" spans="1:46" x14ac:dyDescent="0.25">
      <c r="A855" s="2371">
        <v>6</v>
      </c>
      <c r="B855" s="2383" t="s">
        <v>4194</v>
      </c>
      <c r="C855" s="2374" t="s">
        <v>383</v>
      </c>
      <c r="D855" s="2374"/>
      <c r="E855" s="2374"/>
      <c r="F855" s="2374"/>
      <c r="G855" s="2373" t="str">
        <f t="shared" ca="1" si="55"/>
        <v/>
      </c>
      <c r="H855" s="2371" t="s">
        <v>3971</v>
      </c>
      <c r="I855" s="64"/>
      <c r="J855" s="129"/>
      <c r="K855" s="95"/>
      <c r="L855" s="1754"/>
      <c r="M855" s="1758"/>
      <c r="N855" s="1042"/>
      <c r="O855" s="1042"/>
      <c r="P855" s="249"/>
      <c r="Q855" s="249"/>
      <c r="R855" s="249"/>
      <c r="S855" s="249"/>
      <c r="T855" s="249"/>
      <c r="U855" s="249"/>
      <c r="V855" s="249"/>
      <c r="W855" s="249"/>
      <c r="X855" s="1757"/>
      <c r="Y855" s="2081"/>
      <c r="Z855" s="2083"/>
      <c r="AA855" s="1526"/>
      <c r="AC855" s="970"/>
      <c r="AD855" s="970"/>
      <c r="AE855" s="970"/>
      <c r="AF855" s="249"/>
      <c r="AG855" s="249"/>
      <c r="AH855" s="249"/>
      <c r="AI855" s="249"/>
      <c r="AJ855" s="249"/>
      <c r="AK855" s="249"/>
      <c r="AL855" s="1336"/>
      <c r="AM855" s="1336"/>
      <c r="AN855" s="1336"/>
      <c r="AO855" s="1336"/>
      <c r="AP855" s="1336"/>
      <c r="AQ855" s="1336"/>
      <c r="AR855" s="1336"/>
      <c r="AS855" s="1336"/>
    </row>
    <row r="856" spans="1:46" x14ac:dyDescent="0.25">
      <c r="A856" s="2371">
        <v>6</v>
      </c>
      <c r="B856" s="2383" t="s">
        <v>4194</v>
      </c>
      <c r="C856" s="2374" t="s">
        <v>383</v>
      </c>
      <c r="D856" s="2374"/>
      <c r="E856" s="2374"/>
      <c r="F856" s="2374"/>
      <c r="G856" s="2373" t="str">
        <f t="shared" ca="1" si="55"/>
        <v/>
      </c>
      <c r="H856" s="2371" t="s">
        <v>3971</v>
      </c>
      <c r="I856" s="64"/>
      <c r="J856" s="129"/>
      <c r="K856" s="95"/>
      <c r="L856" s="1754"/>
      <c r="M856" s="1758"/>
      <c r="N856" s="1042"/>
      <c r="O856" s="1042"/>
      <c r="P856" s="249"/>
      <c r="Q856" s="249"/>
      <c r="R856" s="249"/>
      <c r="S856" s="249"/>
      <c r="T856" s="249"/>
      <c r="U856" s="249"/>
      <c r="V856" s="249"/>
      <c r="W856" s="249"/>
      <c r="X856" s="1757"/>
      <c r="Y856" s="2081"/>
      <c r="Z856" s="2083"/>
      <c r="AA856" s="1526"/>
      <c r="AC856" s="970"/>
      <c r="AD856" s="970"/>
      <c r="AE856" s="970"/>
      <c r="AF856" s="249"/>
      <c r="AG856" s="249"/>
      <c r="AH856" s="249"/>
      <c r="AI856" s="249"/>
      <c r="AJ856" s="249"/>
      <c r="AK856" s="249"/>
      <c r="AL856" s="1336"/>
      <c r="AM856" s="1336"/>
      <c r="AN856" s="1336"/>
      <c r="AO856" s="1336"/>
      <c r="AP856" s="1336"/>
      <c r="AQ856" s="1336"/>
      <c r="AR856" s="1336"/>
      <c r="AS856" s="1336"/>
    </row>
    <row r="857" spans="1:46" x14ac:dyDescent="0.25">
      <c r="A857" s="2371">
        <v>6</v>
      </c>
      <c r="B857" s="2383" t="s">
        <v>4194</v>
      </c>
      <c r="C857" s="2374" t="s">
        <v>383</v>
      </c>
      <c r="D857" s="2374"/>
      <c r="E857" s="2374"/>
      <c r="F857" s="2374"/>
      <c r="G857" s="2373" t="str">
        <f t="shared" ca="1" si="55"/>
        <v/>
      </c>
      <c r="H857" s="2371" t="s">
        <v>3971</v>
      </c>
      <c r="I857" s="64"/>
      <c r="J857" s="210"/>
      <c r="K857" s="175"/>
      <c r="L857" s="1755"/>
      <c r="M857" s="1759"/>
      <c r="N857" s="1042"/>
      <c r="O857" s="1042"/>
      <c r="P857" s="249"/>
      <c r="Q857" s="249"/>
      <c r="R857" s="249"/>
      <c r="S857" s="249"/>
      <c r="T857" s="249"/>
      <c r="U857" s="249"/>
      <c r="V857" s="249"/>
      <c r="W857" s="249"/>
      <c r="X857" s="1757"/>
      <c r="Y857" s="2081"/>
      <c r="Z857" s="2083"/>
      <c r="AA857" s="1526"/>
      <c r="AC857" s="970"/>
      <c r="AD857" s="970"/>
      <c r="AE857" s="970"/>
      <c r="AF857" s="249"/>
      <c r="AG857" s="249"/>
      <c r="AH857" s="249"/>
      <c r="AI857" s="249"/>
      <c r="AJ857" s="249"/>
      <c r="AK857" s="249"/>
      <c r="AL857" s="1336"/>
      <c r="AM857" s="1336"/>
      <c r="AN857" s="1336"/>
      <c r="AO857" s="1336"/>
      <c r="AP857" s="1336"/>
      <c r="AQ857" s="1336"/>
      <c r="AR857" s="1336"/>
      <c r="AS857" s="1336"/>
    </row>
    <row r="858" spans="1:46" x14ac:dyDescent="0.25">
      <c r="A858" s="2371">
        <v>6</v>
      </c>
      <c r="B858" s="2383" t="s">
        <v>4194</v>
      </c>
      <c r="C858" s="2374" t="s">
        <v>428</v>
      </c>
      <c r="D858" s="2374"/>
      <c r="E858" s="2374"/>
      <c r="F858" s="2374"/>
      <c r="G858" s="2373" t="str">
        <f t="shared" ca="1" si="55"/>
        <v/>
      </c>
      <c r="H858" s="2371" t="s">
        <v>3971</v>
      </c>
      <c r="I858" s="64"/>
      <c r="J858" s="209" t="s">
        <v>428</v>
      </c>
      <c r="K858" s="194"/>
      <c r="L858" s="1778" t="s">
        <v>734</v>
      </c>
      <c r="M858" s="1762">
        <v>1</v>
      </c>
      <c r="N858" s="1042"/>
      <c r="O858" s="1042"/>
      <c r="P858" s="352" t="b">
        <v>1</v>
      </c>
      <c r="Q858" s="249" t="b">
        <v>1</v>
      </c>
      <c r="R858" s="249" t="b">
        <v>0</v>
      </c>
      <c r="S858" s="249" t="b">
        <v>1</v>
      </c>
      <c r="T858" s="249" t="b">
        <v>0</v>
      </c>
      <c r="U858" s="249"/>
      <c r="V858" s="249"/>
      <c r="W858" s="25"/>
      <c r="X858" s="1757"/>
      <c r="Y858" s="2081" t="str">
        <f>IF(LEN('Ch6'!X540)=0,"None",'Ch6'!X540)</f>
        <v>None</v>
      </c>
      <c r="Z858" s="2083"/>
      <c r="AA858" s="1526"/>
      <c r="AC858" s="970"/>
      <c r="AD858" s="970"/>
      <c r="AE858" s="970"/>
      <c r="AF858" s="249"/>
      <c r="AG858" s="249"/>
      <c r="AH858" s="249"/>
      <c r="AI858" s="249"/>
      <c r="AJ858" s="249"/>
      <c r="AK858" s="249"/>
      <c r="AL858" s="254" t="str">
        <f>SUBSTITUTE(SUBSTITUTE(SUBSTITUTE("vpa"&amp;$B858&amp;$C858&amp;$D858&amp;$E858,".","_"),"(","_"),")","")</f>
        <v>vpa612_3_8</v>
      </c>
      <c r="AM858" s="254">
        <f>M858</f>
        <v>1</v>
      </c>
      <c r="AN858" s="1336"/>
      <c r="AO858" s="1336"/>
      <c r="AP858" s="1336" t="str">
        <f>SUBSTITUTE(SUBSTITUTE(SUBSTITUTE("vch"&amp;$B858&amp;$C858&amp;$D858&amp;$E858,".","_"),"(","_"),")","")</f>
        <v>vch612_3_8</v>
      </c>
      <c r="AQ858" s="254" t="str">
        <f>IF(LEN(W858)=0,"",W858)</f>
        <v/>
      </c>
      <c r="AR858" s="1336" t="str">
        <f>SUBSTITUTE(SUBSTITUTE(SUBSTITUTE("vnt"&amp;$B858&amp;$C858&amp;$D858&amp;$E858,".","_"),"(","_"),")","")</f>
        <v>vnt612_3_8</v>
      </c>
      <c r="AS858" s="254" t="str">
        <f>IF(LEN(X858)=0,"",X858)</f>
        <v/>
      </c>
    </row>
    <row r="859" spans="1:46" x14ac:dyDescent="0.25">
      <c r="A859" s="2371">
        <v>6</v>
      </c>
      <c r="B859" s="2383" t="s">
        <v>4194</v>
      </c>
      <c r="C859" s="2374" t="s">
        <v>428</v>
      </c>
      <c r="D859" s="2374"/>
      <c r="E859" s="2374"/>
      <c r="F859" s="2374"/>
      <c r="G859" s="2373" t="str">
        <f t="shared" ca="1" si="55"/>
        <v/>
      </c>
      <c r="H859" s="2371" t="s">
        <v>3971</v>
      </c>
      <c r="I859" s="64"/>
      <c r="J859" s="210"/>
      <c r="K859" s="175"/>
      <c r="L859" s="1755"/>
      <c r="M859" s="1759"/>
      <c r="N859" s="1042"/>
      <c r="O859" s="1042"/>
      <c r="P859" s="249"/>
      <c r="Q859" s="249"/>
      <c r="R859" s="249"/>
      <c r="S859" s="249"/>
      <c r="T859" s="249"/>
      <c r="U859" s="249"/>
      <c r="V859" s="249"/>
      <c r="W859" s="249"/>
      <c r="X859" s="1757"/>
      <c r="Y859" s="2081"/>
      <c r="Z859" s="2083"/>
      <c r="AA859" s="1526"/>
      <c r="AC859" s="970"/>
      <c r="AD859" s="970"/>
      <c r="AE859" s="970"/>
      <c r="AF859" s="249"/>
      <c r="AG859" s="249"/>
      <c r="AH859" s="249"/>
      <c r="AI859" s="249"/>
      <c r="AJ859" s="249"/>
      <c r="AK859" s="249"/>
      <c r="AL859" s="1336"/>
      <c r="AM859" s="1336"/>
      <c r="AN859" s="1336"/>
      <c r="AO859" s="1336"/>
      <c r="AP859" s="1336"/>
      <c r="AQ859" s="1336"/>
      <c r="AR859" s="1336"/>
      <c r="AS859" s="1336"/>
    </row>
    <row r="860" spans="1:46" ht="15" customHeight="1" x14ac:dyDescent="0.25">
      <c r="A860" s="2371">
        <v>6</v>
      </c>
      <c r="B860" s="2383" t="s">
        <v>4194</v>
      </c>
      <c r="C860" s="2374" t="s">
        <v>430</v>
      </c>
      <c r="D860" s="2374"/>
      <c r="E860" s="2374"/>
      <c r="F860" s="2374"/>
      <c r="G860" s="2373" t="str">
        <f t="shared" ca="1" si="55"/>
        <v/>
      </c>
      <c r="H860" s="2371" t="s">
        <v>3971</v>
      </c>
      <c r="I860" s="64"/>
      <c r="J860" s="27" t="s">
        <v>430</v>
      </c>
      <c r="K860" s="83"/>
      <c r="L860" s="1779" t="s">
        <v>735</v>
      </c>
      <c r="M860" s="1846" t="s">
        <v>4209</v>
      </c>
      <c r="N860" s="664"/>
      <c r="O860" s="1042"/>
      <c r="P860" s="868" t="b">
        <v>1</v>
      </c>
      <c r="Q860" s="868" t="b">
        <v>1</v>
      </c>
      <c r="R860" s="868" t="b">
        <v>0</v>
      </c>
      <c r="S860" s="868" t="b">
        <v>1</v>
      </c>
      <c r="T860" s="868" t="b">
        <v>0</v>
      </c>
      <c r="U860" s="868" t="str">
        <f>SUBSTITUTE(SUBSTITUTE(SUBSTITUTE("dd"&amp;B860&amp;C860&amp;D860&amp;E860&amp;F860,".","_"),"(","_"),")","")</f>
        <v>dd612_3_9</v>
      </c>
      <c r="V860" s="249"/>
      <c r="W860" s="12"/>
      <c r="X860" s="1757"/>
      <c r="Y860" s="2081" t="str">
        <f>IF(LEN('Ch6'!X542)=0,"None",'Ch6'!X542)</f>
        <v>None</v>
      </c>
      <c r="Z860" s="2084"/>
      <c r="AA860" s="1526"/>
      <c r="AC860" s="970"/>
      <c r="AD860" s="970"/>
      <c r="AE860" s="970"/>
      <c r="AF860" s="249"/>
      <c r="AG860" s="249"/>
      <c r="AH860" s="249"/>
      <c r="AI860" s="249"/>
      <c r="AJ860" s="249"/>
      <c r="AK860" s="249"/>
      <c r="AL860" s="254" t="str">
        <f>SUBSTITUTE(SUBSTITUTE(SUBSTITUTE("vpa"&amp;$B860&amp;$C860&amp;$D860&amp;$E860,".","_"),"(","_"),")","")</f>
        <v>vpa612_3_9</v>
      </c>
      <c r="AM860" s="254" t="str">
        <f>M860</f>
        <v>1 per system
[5 max]</v>
      </c>
      <c r="AN860" s="1336"/>
      <c r="AO860" s="1336"/>
      <c r="AP860" s="1336" t="str">
        <f>SUBSTITUTE(SUBSTITUTE(SUBSTITUTE("vch"&amp;$B860&amp;$C860&amp;$D860&amp;$E860,".","_"),"(","_"),")","")</f>
        <v>vch612_3_9</v>
      </c>
      <c r="AQ860" s="254" t="str">
        <f>IF(LEN(W860)=0,"",W860)</f>
        <v/>
      </c>
      <c r="AR860" s="1336" t="str">
        <f>SUBSTITUTE(SUBSTITUTE(SUBSTITUTE("vnt"&amp;$B860&amp;$C860&amp;$D860&amp;$E860,".","_"),"(","_"),")","")</f>
        <v>vnt612_3_9</v>
      </c>
      <c r="AS860" s="254" t="str">
        <f>IF(LEN(X860)=0,"",X860)</f>
        <v/>
      </c>
    </row>
    <row r="861" spans="1:46" s="868" customFormat="1" x14ac:dyDescent="0.25">
      <c r="A861" s="2371">
        <v>6</v>
      </c>
      <c r="B861" s="2383" t="s">
        <v>4194</v>
      </c>
      <c r="C861" s="2374" t="s">
        <v>430</v>
      </c>
      <c r="D861" s="2374"/>
      <c r="E861" s="2374"/>
      <c r="F861" s="2374"/>
      <c r="G861" s="2373" t="str">
        <f t="shared" ca="1" si="55"/>
        <v/>
      </c>
      <c r="H861" s="2371" t="s">
        <v>3971</v>
      </c>
      <c r="I861" s="64"/>
      <c r="J861" s="27"/>
      <c r="K861" s="83"/>
      <c r="L861" s="1779"/>
      <c r="M861" s="1846"/>
      <c r="N861" s="664"/>
      <c r="O861" s="1042"/>
      <c r="W861"/>
      <c r="X861" s="1757"/>
      <c r="Y861" s="2099"/>
      <c r="Z861" s="2087"/>
      <c r="AA861" s="1526"/>
      <c r="AC861" s="970"/>
      <c r="AD861" s="970"/>
      <c r="AE861" s="970"/>
      <c r="AL861" s="254"/>
      <c r="AM861" s="254"/>
      <c r="AN861" s="1336"/>
      <c r="AO861" s="1336"/>
      <c r="AP861" s="254"/>
      <c r="AQ861" s="254"/>
      <c r="AR861" s="1336"/>
      <c r="AS861" s="254"/>
    </row>
    <row r="862" spans="1:46" x14ac:dyDescent="0.25">
      <c r="A862" s="2371">
        <v>6</v>
      </c>
      <c r="B862" s="2383" t="s">
        <v>4194</v>
      </c>
      <c r="C862" s="2374" t="s">
        <v>430</v>
      </c>
      <c r="D862" s="2374"/>
      <c r="E862" s="2374"/>
      <c r="F862" s="2374"/>
      <c r="G862" s="2373" t="str">
        <f t="shared" ca="1" si="55"/>
        <v/>
      </c>
      <c r="H862" s="2371" t="s">
        <v>3971</v>
      </c>
      <c r="I862" s="64"/>
      <c r="J862" s="4"/>
      <c r="K862" s="83"/>
      <c r="L862" s="1779"/>
      <c r="M862" s="1846"/>
      <c r="N862" s="664"/>
      <c r="O862" s="1042"/>
      <c r="P862" s="868"/>
      <c r="Q862" s="868"/>
      <c r="R862" s="868"/>
      <c r="S862" s="868"/>
      <c r="T862" s="868"/>
      <c r="U862" s="868"/>
      <c r="V862" s="249"/>
      <c r="W862" s="113"/>
      <c r="X862" s="1798"/>
      <c r="Y862" s="2099"/>
      <c r="Z862" s="2087"/>
      <c r="AA862" s="1526"/>
      <c r="AC862" s="970"/>
      <c r="AD862" s="970"/>
      <c r="AE862" s="970"/>
      <c r="AF862" s="249"/>
      <c r="AG862" s="249"/>
      <c r="AH862" s="249"/>
      <c r="AI862" s="249"/>
      <c r="AJ862" s="249"/>
      <c r="AK862" s="249"/>
      <c r="AL862" s="1336"/>
      <c r="AM862" s="1336"/>
      <c r="AN862" s="1336"/>
      <c r="AO862" s="1336"/>
      <c r="AP862" s="1336"/>
      <c r="AQ862" s="1336"/>
      <c r="AR862" s="1336"/>
      <c r="AS862" s="1336"/>
    </row>
    <row r="863" spans="1:46" s="1138" customFormat="1" ht="18.75" x14ac:dyDescent="0.3">
      <c r="A863" s="2371">
        <v>6</v>
      </c>
      <c r="B863" s="2383" t="s">
        <v>4903</v>
      </c>
      <c r="C863" s="2374"/>
      <c r="D863" s="2374"/>
      <c r="E863" s="2374"/>
      <c r="F863" s="2374"/>
      <c r="G863" s="2375" t="s">
        <v>3974</v>
      </c>
      <c r="H863" s="2391" t="s">
        <v>3971</v>
      </c>
      <c r="I863" s="1140" t="s">
        <v>4904</v>
      </c>
      <c r="J863" s="1141"/>
      <c r="K863" s="1142"/>
      <c r="L863" s="1143"/>
      <c r="M863" s="1144"/>
      <c r="N863" s="1145"/>
      <c r="O863" s="1146"/>
      <c r="P863" s="1141"/>
      <c r="Q863" s="1141"/>
      <c r="R863" s="1141"/>
      <c r="S863" s="1141"/>
      <c r="T863" s="1141"/>
      <c r="U863" s="1141"/>
      <c r="V863" s="1141"/>
      <c r="W863" s="1141"/>
      <c r="X863" s="1141"/>
      <c r="Y863" s="1141"/>
      <c r="Z863" s="1598"/>
      <c r="AA863" s="1526"/>
      <c r="AL863" s="1336"/>
      <c r="AM863" s="1336"/>
      <c r="AN863" s="1336"/>
      <c r="AO863" s="1336"/>
      <c r="AP863" s="1336"/>
      <c r="AQ863" s="1336"/>
      <c r="AR863" s="1336"/>
      <c r="AS863" s="1336"/>
    </row>
    <row r="864" spans="1:46" x14ac:dyDescent="0.25">
      <c r="A864" s="2371">
        <v>6</v>
      </c>
      <c r="B864" s="2383" t="s">
        <v>4217</v>
      </c>
      <c r="C864" s="2374"/>
      <c r="D864" s="2374"/>
      <c r="E864" s="2374"/>
      <c r="F864" s="2374"/>
      <c r="G864" s="2373" t="str">
        <f ca="1">IF(N864&gt;0,"P","")</f>
        <v/>
      </c>
      <c r="H864" s="2371" t="s">
        <v>3971</v>
      </c>
      <c r="I864" s="130">
        <v>613.1</v>
      </c>
      <c r="J864" s="129"/>
      <c r="K864" s="1139"/>
      <c r="L864" s="1782" t="s">
        <v>4215</v>
      </c>
      <c r="M864" s="1758"/>
      <c r="N864" s="1927">
        <f ca="1">'Ch6'!O546</f>
        <v>0</v>
      </c>
      <c r="O864" s="1927">
        <f ca="1">IFERROR(INDEX({2,3,5,10,12,15},MATCH(W864,INDIRECT(U864),0)),0)</f>
        <v>0</v>
      </c>
      <c r="P864" s="868" t="b">
        <v>1</v>
      </c>
      <c r="Q864" s="868" t="b">
        <v>1</v>
      </c>
      <c r="R864" s="868" t="b">
        <v>0</v>
      </c>
      <c r="S864" s="868" t="b">
        <v>1</v>
      </c>
      <c r="T864" s="868" t="b">
        <v>0</v>
      </c>
      <c r="U864" s="868" t="str">
        <f>SUBSTITUTE(SUBSTITUTE(SUBSTITUTE("dd"&amp;B864&amp;C864&amp;D864&amp;E864&amp;F864,".","_"),"(","_"),")","")</f>
        <v>dd613_1</v>
      </c>
      <c r="V864"/>
      <c r="W864" s="255"/>
      <c r="X864" s="1756"/>
      <c r="Y864" s="2100" t="str">
        <f>IF(LEN('Ch6'!X546)=0,"None",'Ch6'!X546)</f>
        <v>None</v>
      </c>
      <c r="Z864" s="2091"/>
      <c r="AA864" s="1526"/>
      <c r="AC864" s="970"/>
      <c r="AD864" s="970"/>
      <c r="AE864" s="970"/>
      <c r="AF864"/>
      <c r="AG864"/>
      <c r="AH864"/>
      <c r="AI864"/>
      <c r="AJ864"/>
      <c r="AK864"/>
      <c r="AL864" s="1336"/>
      <c r="AM864" s="1336"/>
      <c r="AN864" s="254" t="str">
        <f>SUBSTITUTE(SUBSTITUTE(SUBSTITUTE("vpc"&amp;$B864&amp;$C864&amp;$D864&amp;$E864,".","_"),"(","_"),")","")</f>
        <v>vpc613_1</v>
      </c>
      <c r="AO864" s="254">
        <f ca="1">O864</f>
        <v>0</v>
      </c>
      <c r="AP864" s="1336" t="str">
        <f>SUBSTITUTE(SUBSTITUTE(SUBSTITUTE("vch"&amp;$B864&amp;$C864&amp;$D864&amp;$E864,".","_"),"(","_"),")","")</f>
        <v>vch613_1</v>
      </c>
      <c r="AQ864" s="254" t="str">
        <f>IF(LEN(W864)=0,"",W864)</f>
        <v/>
      </c>
      <c r="AR864" s="1336" t="str">
        <f>SUBSTITUTE(SUBSTITUTE(SUBSTITUTE("vnt"&amp;$B864&amp;$C864&amp;$D864&amp;$E864,".","_"),"(","_"),")","")</f>
        <v>vnt613_1</v>
      </c>
      <c r="AS864" s="254" t="str">
        <f>IF(LEN(X864)=0,"",X864)</f>
        <v/>
      </c>
      <c r="AT864"/>
    </row>
    <row r="865" spans="1:61" x14ac:dyDescent="0.25">
      <c r="A865" s="2371">
        <v>6</v>
      </c>
      <c r="B865" s="2383" t="s">
        <v>4217</v>
      </c>
      <c r="C865" s="2374"/>
      <c r="D865" s="2374"/>
      <c r="E865" s="2374"/>
      <c r="F865" s="2374"/>
      <c r="G865" s="2373" t="str">
        <f t="shared" ca="1" si="55"/>
        <v/>
      </c>
      <c r="H865" s="2371" t="s">
        <v>3971</v>
      </c>
      <c r="I865" s="64"/>
      <c r="J865" s="4"/>
      <c r="K865" s="83"/>
      <c r="L865" s="1796"/>
      <c r="M865" s="1767"/>
      <c r="N865" s="1927"/>
      <c r="O865" s="2075"/>
      <c r="P865" s="868"/>
      <c r="Q865" s="868"/>
      <c r="R865" s="868"/>
      <c r="S865" s="868"/>
      <c r="T865" s="868"/>
      <c r="U865" s="868"/>
      <c r="V865"/>
      <c r="W865"/>
      <c r="X865" s="1757"/>
      <c r="Y865" s="2100"/>
      <c r="Z865" s="2091"/>
      <c r="AA865" s="1526"/>
      <c r="AC865" s="970"/>
      <c r="AD865" s="970"/>
      <c r="AE865" s="970"/>
      <c r="AF865"/>
      <c r="AG865"/>
      <c r="AH865"/>
      <c r="AI865"/>
      <c r="AJ865"/>
      <c r="AK865"/>
      <c r="AL865" s="1336"/>
      <c r="AM865" s="1336"/>
      <c r="AN865" s="1336"/>
      <c r="AO865" s="1336"/>
      <c r="AP865" s="1336"/>
      <c r="AQ865" s="1336"/>
      <c r="AR865" s="1336"/>
      <c r="AS865" s="1336"/>
      <c r="AT865"/>
    </row>
    <row r="866" spans="1:61" x14ac:dyDescent="0.25">
      <c r="A866" s="2371">
        <v>6</v>
      </c>
      <c r="B866" s="2383" t="s">
        <v>4217</v>
      </c>
      <c r="C866" s="2374"/>
      <c r="D866" s="2374"/>
      <c r="E866" s="2374"/>
      <c r="F866" s="2374"/>
      <c r="G866" s="2373" t="str">
        <f t="shared" ca="1" si="55"/>
        <v/>
      </c>
      <c r="H866" s="2371" t="s">
        <v>3971</v>
      </c>
      <c r="I866" s="64"/>
      <c r="J866" s="4"/>
      <c r="K866" s="83"/>
      <c r="L866" s="1796"/>
      <c r="M866" s="1767"/>
      <c r="N866" s="1927"/>
      <c r="O866" s="2075"/>
      <c r="P866" s="868"/>
      <c r="Q866" s="868"/>
      <c r="R866" s="868"/>
      <c r="S866" s="868"/>
      <c r="T866" s="868"/>
      <c r="U866" s="868"/>
      <c r="V866"/>
      <c r="W866"/>
      <c r="X866" s="1757"/>
      <c r="Y866" s="2100"/>
      <c r="Z866" s="2091"/>
      <c r="AA866" s="1526"/>
      <c r="AC866" s="970"/>
      <c r="AD866" s="970"/>
      <c r="AE866" s="970"/>
      <c r="AF866"/>
      <c r="AG866"/>
      <c r="AH866"/>
      <c r="AI866"/>
      <c r="AJ866"/>
      <c r="AK866"/>
      <c r="AL866" s="1336"/>
      <c r="AM866" s="1336"/>
      <c r="AN866" s="1336"/>
      <c r="AO866" s="1336"/>
      <c r="AP866" s="1336"/>
      <c r="AQ866" s="1336"/>
      <c r="AR866" s="1336"/>
      <c r="AS866" s="1336"/>
      <c r="AT866"/>
    </row>
    <row r="867" spans="1:61" x14ac:dyDescent="0.25">
      <c r="A867" s="2371">
        <v>6</v>
      </c>
      <c r="B867" s="2383" t="s">
        <v>4217</v>
      </c>
      <c r="C867" s="2374"/>
      <c r="D867" s="2374"/>
      <c r="E867" s="2374"/>
      <c r="F867" s="2374"/>
      <c r="G867" s="2373" t="str">
        <f t="shared" ca="1" si="55"/>
        <v/>
      </c>
      <c r="H867" s="2371" t="s">
        <v>3971</v>
      </c>
      <c r="I867" s="64"/>
      <c r="J867" s="4"/>
      <c r="K867" s="83"/>
      <c r="L867" s="1796"/>
      <c r="M867" s="1014"/>
      <c r="N867" s="1927"/>
      <c r="O867" s="2075"/>
      <c r="P867" s="868"/>
      <c r="Q867" s="868"/>
      <c r="R867" s="868"/>
      <c r="S867" s="868"/>
      <c r="T867" s="868"/>
      <c r="U867" s="868"/>
      <c r="V867"/>
      <c r="W867"/>
      <c r="X867" s="1757"/>
      <c r="Y867" s="2100"/>
      <c r="Z867" s="2091"/>
      <c r="AA867" s="1526"/>
      <c r="AC867" s="970"/>
      <c r="AD867" s="970"/>
      <c r="AE867" s="970"/>
      <c r="AF867"/>
      <c r="AG867"/>
      <c r="AH867"/>
      <c r="AI867"/>
      <c r="AJ867"/>
      <c r="AK867"/>
      <c r="AL867" s="1336"/>
      <c r="AM867" s="1336"/>
      <c r="AN867" s="1336"/>
      <c r="AO867" s="1336"/>
      <c r="AP867" s="1336"/>
      <c r="AQ867" s="1336"/>
      <c r="AR867" s="1336"/>
      <c r="AS867" s="1336"/>
      <c r="AT867"/>
    </row>
    <row r="868" spans="1:61" x14ac:dyDescent="0.25">
      <c r="A868" s="2371">
        <v>6</v>
      </c>
      <c r="B868" s="2383" t="s">
        <v>4217</v>
      </c>
      <c r="C868" s="2374"/>
      <c r="D868" s="2374"/>
      <c r="E868" s="2374"/>
      <c r="F868" s="2374"/>
      <c r="G868" s="2373" t="str">
        <f t="shared" ca="1" si="55"/>
        <v/>
      </c>
      <c r="H868" s="2371" t="s">
        <v>3971</v>
      </c>
      <c r="I868" s="64"/>
      <c r="J868" s="4"/>
      <c r="K868" s="83"/>
      <c r="L868" s="1796"/>
      <c r="M868" s="1014"/>
      <c r="N868" s="1927"/>
      <c r="O868" s="2075"/>
      <c r="P868" s="868"/>
      <c r="Q868" s="868"/>
      <c r="R868" s="868"/>
      <c r="S868" s="868"/>
      <c r="T868" s="868"/>
      <c r="U868" s="868"/>
      <c r="V868"/>
      <c r="W868"/>
      <c r="X868" s="1757"/>
      <c r="Y868" s="2100"/>
      <c r="Z868" s="2091"/>
      <c r="AA868" s="1526"/>
      <c r="AC868" s="970"/>
      <c r="AD868" s="970"/>
      <c r="AE868" s="970"/>
      <c r="AF868"/>
      <c r="AG868"/>
      <c r="AH868"/>
      <c r="AI868"/>
      <c r="AJ868"/>
      <c r="AK868"/>
      <c r="AL868" s="1336"/>
      <c r="AM868" s="1336"/>
      <c r="AN868" s="1336"/>
      <c r="AO868" s="1336"/>
      <c r="AP868" s="1336"/>
      <c r="AQ868" s="1336"/>
      <c r="AR868" s="1336"/>
      <c r="AS868" s="1336"/>
      <c r="AT868"/>
    </row>
    <row r="869" spans="1:61" x14ac:dyDescent="0.25">
      <c r="A869" s="2371">
        <v>6</v>
      </c>
      <c r="B869" s="2383" t="s">
        <v>4217</v>
      </c>
      <c r="C869" s="2374" t="s">
        <v>121</v>
      </c>
      <c r="D869" s="2374"/>
      <c r="E869" s="2374"/>
      <c r="F869" s="2374"/>
      <c r="G869" s="2373" t="str">
        <f t="shared" ca="1" si="55"/>
        <v/>
      </c>
      <c r="H869" s="2371" t="s">
        <v>3971</v>
      </c>
      <c r="I869" s="667"/>
      <c r="J869" s="845"/>
      <c r="K869" s="87" t="s">
        <v>121</v>
      </c>
      <c r="L869" s="1833" t="s">
        <v>4216</v>
      </c>
      <c r="M869" s="1767">
        <v>2</v>
      </c>
      <c r="N869" s="664"/>
      <c r="O869" s="1042"/>
      <c r="P869" s="868"/>
      <c r="Q869" s="868"/>
      <c r="R869" s="868"/>
      <c r="S869" s="868"/>
      <c r="T869" s="868"/>
      <c r="U869" s="868"/>
      <c r="V869"/>
      <c r="W869"/>
      <c r="X869" s="1757"/>
      <c r="Y869" s="2100"/>
      <c r="Z869" s="2091"/>
      <c r="AA869" s="1526"/>
      <c r="AC869" s="970"/>
      <c r="AD869" s="970"/>
      <c r="AE869" s="970"/>
      <c r="AF869"/>
      <c r="AG869"/>
      <c r="AH869"/>
      <c r="AI869"/>
      <c r="AJ869"/>
      <c r="AK869"/>
      <c r="AL869" s="254" t="str">
        <f>SUBSTITUTE(SUBSTITUTE(SUBSTITUTE("vpa"&amp;$B869&amp;$C869&amp;$D869&amp;$E869,".","_"),"(","_"),")","")</f>
        <v>vpa613_1_a</v>
      </c>
      <c r="AM869" s="254">
        <f>M869</f>
        <v>2</v>
      </c>
      <c r="AN869" s="1336"/>
      <c r="AO869" s="1336"/>
      <c r="AP869" s="1336"/>
      <c r="AQ869" s="1336"/>
      <c r="AR869" s="1336"/>
      <c r="AS869" s="1336"/>
      <c r="AT869"/>
    </row>
    <row r="870" spans="1:61" x14ac:dyDescent="0.25">
      <c r="A870" s="2371">
        <v>6</v>
      </c>
      <c r="B870" s="2383" t="s">
        <v>4217</v>
      </c>
      <c r="C870" s="2374" t="s">
        <v>121</v>
      </c>
      <c r="D870" s="2374"/>
      <c r="E870" s="2374"/>
      <c r="F870" s="2374"/>
      <c r="G870" s="2373" t="str">
        <f t="shared" ca="1" si="55"/>
        <v/>
      </c>
      <c r="H870" s="2371" t="s">
        <v>3971</v>
      </c>
      <c r="I870" s="679"/>
      <c r="J870" s="845"/>
      <c r="K870" s="178"/>
      <c r="L870" s="1834"/>
      <c r="M870" s="1759"/>
      <c r="N870" s="664"/>
      <c r="O870" s="1042"/>
      <c r="P870" s="868"/>
      <c r="Q870" s="868"/>
      <c r="R870" s="868"/>
      <c r="S870" s="868"/>
      <c r="T870" s="868"/>
      <c r="U870" s="868"/>
      <c r="V870"/>
      <c r="W870"/>
      <c r="X870" s="1757"/>
      <c r="Y870" s="2100"/>
      <c r="Z870" s="2091"/>
      <c r="AA870" s="1526"/>
      <c r="AC870" s="970"/>
      <c r="AD870" s="970"/>
      <c r="AE870" s="970"/>
      <c r="AF870"/>
      <c r="AG870"/>
      <c r="AH870"/>
      <c r="AI870"/>
      <c r="AJ870"/>
      <c r="AK870"/>
      <c r="AL870" s="1336"/>
      <c r="AM870" s="1336"/>
      <c r="AN870" s="1336"/>
      <c r="AO870" s="1336"/>
      <c r="AP870" s="1336"/>
      <c r="AQ870" s="1336"/>
      <c r="AR870" s="1336"/>
      <c r="AS870" s="1336"/>
      <c r="AT870"/>
    </row>
    <row r="871" spans="1:61" x14ac:dyDescent="0.25">
      <c r="A871" s="2371">
        <v>6</v>
      </c>
      <c r="B871" s="2383" t="s">
        <v>4217</v>
      </c>
      <c r="C871" s="2374" t="s">
        <v>122</v>
      </c>
      <c r="D871" s="2374"/>
      <c r="E871" s="2374"/>
      <c r="F871" s="2374"/>
      <c r="G871" s="2373" t="str">
        <f t="shared" ca="1" si="55"/>
        <v/>
      </c>
      <c r="H871" s="2371" t="s">
        <v>3971</v>
      </c>
      <c r="I871" s="667"/>
      <c r="J871" s="845"/>
      <c r="K871" s="846" t="s">
        <v>122</v>
      </c>
      <c r="L871" s="1835" t="s">
        <v>4210</v>
      </c>
      <c r="M871" s="1762">
        <v>3</v>
      </c>
      <c r="N871" s="664"/>
      <c r="O871" s="1042"/>
      <c r="P871" s="868"/>
      <c r="Q871" s="868"/>
      <c r="R871" s="868"/>
      <c r="S871" s="868"/>
      <c r="T871" s="868"/>
      <c r="U871" s="868"/>
      <c r="V871"/>
      <c r="W871"/>
      <c r="X871" s="1757"/>
      <c r="Y871" s="2100"/>
      <c r="Z871" s="2091"/>
      <c r="AA871" s="1526"/>
      <c r="AC871" s="970"/>
      <c r="AD871" s="970"/>
      <c r="AE871" s="970"/>
      <c r="AF871"/>
      <c r="AG871"/>
      <c r="AH871"/>
      <c r="AI871"/>
      <c r="AJ871"/>
      <c r="AK871"/>
      <c r="AL871" s="254" t="str">
        <f>SUBSTITUTE(SUBSTITUTE(SUBSTITUTE("vpa"&amp;$B871&amp;$C871&amp;$D871&amp;$E871,".","_"),"(","_"),")","")</f>
        <v>vpa613_1_b</v>
      </c>
      <c r="AM871" s="254">
        <f>M871</f>
        <v>3</v>
      </c>
      <c r="AN871" s="1336"/>
      <c r="AO871" s="1336"/>
      <c r="AP871" s="1336"/>
      <c r="AQ871" s="1336"/>
      <c r="AR871" s="1336"/>
      <c r="AS871" s="1336"/>
      <c r="AT871"/>
    </row>
    <row r="872" spans="1:61" x14ac:dyDescent="0.25">
      <c r="A872" s="2371">
        <v>6</v>
      </c>
      <c r="B872" s="2383" t="s">
        <v>4217</v>
      </c>
      <c r="C872" s="2374" t="s">
        <v>122</v>
      </c>
      <c r="D872" s="2374"/>
      <c r="E872" s="2374"/>
      <c r="F872" s="2374"/>
      <c r="G872" s="2373" t="str">
        <f t="shared" ca="1" si="55"/>
        <v/>
      </c>
      <c r="H872" s="2371" t="s">
        <v>3971</v>
      </c>
      <c r="I872" s="679"/>
      <c r="J872" s="845"/>
      <c r="K872" s="868"/>
      <c r="L872" s="1833"/>
      <c r="M872" s="1767"/>
      <c r="N872" s="664"/>
      <c r="O872" s="1042"/>
      <c r="P872" s="868"/>
      <c r="Q872" s="868"/>
      <c r="R872" s="868"/>
      <c r="S872" s="868"/>
      <c r="T872" s="868"/>
      <c r="U872" s="868"/>
      <c r="V872"/>
      <c r="W872"/>
      <c r="X872" s="1757"/>
      <c r="Y872" s="2100"/>
      <c r="Z872" s="2091"/>
      <c r="AA872" s="1526"/>
      <c r="AC872" s="970"/>
      <c r="AD872" s="970"/>
      <c r="AE872" s="970"/>
      <c r="AF872"/>
      <c r="AG872"/>
      <c r="AH872"/>
      <c r="AI872"/>
      <c r="AJ872"/>
      <c r="AK872"/>
      <c r="AL872" s="1336"/>
      <c r="AM872" s="1336"/>
      <c r="AN872" s="1336"/>
      <c r="AO872" s="1336"/>
      <c r="AP872" s="1336"/>
      <c r="AQ872" s="1336"/>
      <c r="AR872" s="1336"/>
      <c r="AS872" s="1336"/>
      <c r="AT872"/>
    </row>
    <row r="873" spans="1:61" x14ac:dyDescent="0.25">
      <c r="A873" s="2371">
        <v>6</v>
      </c>
      <c r="B873" s="2383" t="s">
        <v>4217</v>
      </c>
      <c r="C873" s="2374" t="s">
        <v>122</v>
      </c>
      <c r="D873" s="2374"/>
      <c r="E873" s="2374"/>
      <c r="F873" s="2374"/>
      <c r="G873" s="2373" t="str">
        <f t="shared" ca="1" si="55"/>
        <v/>
      </c>
      <c r="H873" s="2371" t="s">
        <v>3971</v>
      </c>
      <c r="I873" s="679"/>
      <c r="J873" s="845"/>
      <c r="K873" s="868"/>
      <c r="L873" s="1833"/>
      <c r="M873" s="1767"/>
      <c r="N873" s="664"/>
      <c r="O873" s="1042"/>
      <c r="P873" s="868"/>
      <c r="Q873" s="868"/>
      <c r="R873" s="868"/>
      <c r="S873" s="868"/>
      <c r="T873" s="868"/>
      <c r="U873" s="868"/>
      <c r="V873"/>
      <c r="W873"/>
      <c r="X873" s="1757"/>
      <c r="Y873" s="2100"/>
      <c r="Z873" s="2091"/>
      <c r="AA873" s="1526"/>
      <c r="AC873" s="970"/>
      <c r="AD873" s="970"/>
      <c r="AE873" s="970"/>
      <c r="AF873"/>
      <c r="AG873"/>
      <c r="AH873"/>
      <c r="AI873"/>
      <c r="AJ873"/>
      <c r="AK873"/>
      <c r="AL873" s="1336"/>
      <c r="AM873" s="1336"/>
      <c r="AN873" s="1336"/>
      <c r="AO873" s="1336"/>
      <c r="AP873" s="1336"/>
      <c r="AQ873" s="1336"/>
      <c r="AR873" s="1336"/>
      <c r="AS873" s="1336"/>
      <c r="AT873"/>
    </row>
    <row r="874" spans="1:61" x14ac:dyDescent="0.25">
      <c r="A874" s="2371">
        <v>6</v>
      </c>
      <c r="B874" s="2383" t="s">
        <v>4217</v>
      </c>
      <c r="C874" s="2374" t="s">
        <v>122</v>
      </c>
      <c r="D874" s="2374"/>
      <c r="E874" s="2374"/>
      <c r="F874" s="2374"/>
      <c r="G874" s="2373" t="str">
        <f t="shared" ca="1" si="55"/>
        <v/>
      </c>
      <c r="H874" s="2371" t="s">
        <v>3971</v>
      </c>
      <c r="I874" s="679"/>
      <c r="J874" s="845"/>
      <c r="K874" s="178"/>
      <c r="L874" s="1834"/>
      <c r="M874" s="1759"/>
      <c r="N874" s="664"/>
      <c r="O874" s="1042"/>
      <c r="P874" s="868"/>
      <c r="Q874" s="868"/>
      <c r="R874" s="868"/>
      <c r="S874" s="868"/>
      <c r="T874" s="868"/>
      <c r="U874" s="868"/>
      <c r="V874"/>
      <c r="W874"/>
      <c r="X874" s="1757"/>
      <c r="Y874" s="2100"/>
      <c r="Z874" s="2091"/>
      <c r="AA874" s="1526"/>
      <c r="AC874" s="970"/>
      <c r="AD874" s="970"/>
      <c r="AE874" s="970"/>
      <c r="AF874"/>
      <c r="AG874"/>
      <c r="AH874"/>
      <c r="AI874"/>
      <c r="AJ874"/>
      <c r="AK874"/>
      <c r="AL874" s="1336"/>
      <c r="AM874" s="1336"/>
      <c r="AN874" s="1336"/>
      <c r="AO874" s="1336"/>
      <c r="AP874" s="1336"/>
      <c r="AQ874" s="1336"/>
      <c r="AR874" s="1336"/>
      <c r="AS874" s="1336"/>
      <c r="AT874"/>
    </row>
    <row r="875" spans="1:61" x14ac:dyDescent="0.25">
      <c r="A875" s="2371">
        <v>6</v>
      </c>
      <c r="B875" s="2383" t="s">
        <v>4217</v>
      </c>
      <c r="C875" s="2374" t="s">
        <v>123</v>
      </c>
      <c r="D875" s="2374"/>
      <c r="E875" s="2374"/>
      <c r="F875" s="2374"/>
      <c r="G875" s="2373" t="str">
        <f t="shared" ca="1" si="55"/>
        <v/>
      </c>
      <c r="H875" s="2371" t="s">
        <v>3971</v>
      </c>
      <c r="I875" s="667"/>
      <c r="J875" s="845"/>
      <c r="K875" s="212" t="s">
        <v>123</v>
      </c>
      <c r="L875" s="860" t="s">
        <v>4211</v>
      </c>
      <c r="M875" s="1036">
        <v>5</v>
      </c>
      <c r="N875" s="664"/>
      <c r="O875" s="1042"/>
      <c r="P875" s="868"/>
      <c r="Q875" s="868"/>
      <c r="R875" s="868"/>
      <c r="S875" s="868"/>
      <c r="T875" s="868"/>
      <c r="U875" s="868"/>
      <c r="V875"/>
      <c r="W875"/>
      <c r="X875" s="1757"/>
      <c r="Y875" s="2100"/>
      <c r="Z875" s="2091"/>
      <c r="AA875" s="1526"/>
      <c r="AC875" s="970"/>
      <c r="AD875" s="970"/>
      <c r="AE875" s="970"/>
      <c r="AF875"/>
      <c r="AG875"/>
      <c r="AH875"/>
      <c r="AI875"/>
      <c r="AJ875"/>
      <c r="AK875"/>
      <c r="AL875" s="254" t="str">
        <f>SUBSTITUTE(SUBSTITUTE(SUBSTITUTE("vpa"&amp;$B875&amp;$C875&amp;$D875&amp;$E875,".","_"),"(","_"),")","")</f>
        <v>vpa613_1_c</v>
      </c>
      <c r="AM875" s="254">
        <f>M875</f>
        <v>5</v>
      </c>
      <c r="AN875" s="1336"/>
      <c r="AO875" s="1336"/>
      <c r="AP875" s="1336"/>
      <c r="AQ875" s="1336"/>
      <c r="AR875" s="1336"/>
      <c r="AS875" s="1336"/>
      <c r="AT875"/>
    </row>
    <row r="876" spans="1:61" x14ac:dyDescent="0.25">
      <c r="A876" s="2371">
        <v>6</v>
      </c>
      <c r="B876" s="2383" t="s">
        <v>4217</v>
      </c>
      <c r="C876" s="2376" t="s">
        <v>401</v>
      </c>
      <c r="D876" s="2374"/>
      <c r="E876" s="2374"/>
      <c r="F876" s="2374"/>
      <c r="G876" s="2373" t="str">
        <f t="shared" ca="1" si="55"/>
        <v/>
      </c>
      <c r="H876" s="2371" t="s">
        <v>3971</v>
      </c>
      <c r="I876" s="667"/>
      <c r="J876" s="845"/>
      <c r="K876" s="217" t="s">
        <v>401</v>
      </c>
      <c r="L876" s="860" t="s">
        <v>4212</v>
      </c>
      <c r="M876" s="1036">
        <v>10</v>
      </c>
      <c r="N876" s="664"/>
      <c r="O876" s="1042"/>
      <c r="P876" s="868"/>
      <c r="Q876" s="868"/>
      <c r="R876" s="868"/>
      <c r="S876" s="868"/>
      <c r="T876" s="868"/>
      <c r="U876" s="868"/>
      <c r="V876"/>
      <c r="W876"/>
      <c r="X876" s="1757"/>
      <c r="Y876" s="2100"/>
      <c r="Z876" s="2091"/>
      <c r="AA876" s="1526"/>
      <c r="AC876" s="970"/>
      <c r="AD876" s="970"/>
      <c r="AE876" s="970"/>
      <c r="AF876"/>
      <c r="AG876"/>
      <c r="AH876"/>
      <c r="AI876"/>
      <c r="AJ876"/>
      <c r="AK876"/>
      <c r="AL876" s="254" t="str">
        <f>SUBSTITUTE(SUBSTITUTE(SUBSTITUTE("vpa"&amp;$B876&amp;$C876&amp;$D876&amp;$E876,".","_"),"(","_"),")","")</f>
        <v>vpa613_1_d</v>
      </c>
      <c r="AM876" s="254">
        <f>M876</f>
        <v>10</v>
      </c>
      <c r="AN876" s="1336"/>
      <c r="AO876" s="1336"/>
      <c r="AP876" s="1336"/>
      <c r="AQ876" s="1336"/>
      <c r="AR876" s="1336"/>
      <c r="AS876" s="1336"/>
      <c r="AT876"/>
    </row>
    <row r="877" spans="1:61" x14ac:dyDescent="0.25">
      <c r="A877" s="2371">
        <v>6</v>
      </c>
      <c r="B877" s="2383" t="s">
        <v>4217</v>
      </c>
      <c r="C877" s="2374" t="s">
        <v>539</v>
      </c>
      <c r="D877" s="2374"/>
      <c r="E877" s="2374"/>
      <c r="F877" s="2374"/>
      <c r="G877" s="2373" t="str">
        <f t="shared" ca="1" si="55"/>
        <v/>
      </c>
      <c r="H877" s="2371" t="s">
        <v>3971</v>
      </c>
      <c r="I877" s="667"/>
      <c r="J877" s="845"/>
      <c r="K877" s="218" t="s">
        <v>539</v>
      </c>
      <c r="L877" s="860" t="s">
        <v>4213</v>
      </c>
      <c r="M877" s="1036">
        <v>12</v>
      </c>
      <c r="N877" s="664"/>
      <c r="O877" s="1042"/>
      <c r="P877" s="868"/>
      <c r="Q877" s="868"/>
      <c r="R877" s="868"/>
      <c r="S877" s="868"/>
      <c r="T877" s="868"/>
      <c r="U877" s="868"/>
      <c r="V877"/>
      <c r="W877"/>
      <c r="X877" s="1757"/>
      <c r="Y877" s="2100"/>
      <c r="Z877" s="2091"/>
      <c r="AA877" s="1526"/>
      <c r="AC877" s="970"/>
      <c r="AD877" s="970"/>
      <c r="AE877" s="970"/>
      <c r="AF877"/>
      <c r="AG877"/>
      <c r="AH877"/>
      <c r="AI877"/>
      <c r="AJ877"/>
      <c r="AK877"/>
      <c r="AL877" s="254" t="str">
        <f>SUBSTITUTE(SUBSTITUTE(SUBSTITUTE("vpa"&amp;$B877&amp;$C877&amp;$D877&amp;$E877,".","_"),"(","_"),")","")</f>
        <v>vpa613_1_e</v>
      </c>
      <c r="AM877" s="254">
        <f>M877</f>
        <v>12</v>
      </c>
      <c r="AN877" s="1336"/>
      <c r="AO877" s="1336"/>
      <c r="AP877" s="1336"/>
      <c r="AQ877" s="1336"/>
      <c r="AR877" s="1336"/>
      <c r="AS877" s="1336"/>
      <c r="AT877"/>
    </row>
    <row r="878" spans="1:61" x14ac:dyDescent="0.25">
      <c r="A878" s="2371">
        <v>6</v>
      </c>
      <c r="B878" s="2383" t="s">
        <v>4217</v>
      </c>
      <c r="C878" s="2374" t="s">
        <v>604</v>
      </c>
      <c r="D878" s="2374"/>
      <c r="E878" s="2374"/>
      <c r="F878" s="2374"/>
      <c r="G878" s="2373" t="str">
        <f t="shared" ca="1" si="55"/>
        <v/>
      </c>
      <c r="H878" s="2371" t="s">
        <v>3971</v>
      </c>
      <c r="I878" s="667"/>
      <c r="J878" s="845"/>
      <c r="K878" s="87" t="s">
        <v>604</v>
      </c>
      <c r="L878" s="1168" t="s">
        <v>4214</v>
      </c>
      <c r="M878" s="1014">
        <v>15</v>
      </c>
      <c r="N878" s="664"/>
      <c r="O878" s="1042"/>
      <c r="P878" s="868"/>
      <c r="Q878" s="868"/>
      <c r="R878" s="868"/>
      <c r="S878" s="868"/>
      <c r="T878" s="868"/>
      <c r="U878" s="868"/>
      <c r="V878"/>
      <c r="W878"/>
      <c r="X878" s="1757"/>
      <c r="Y878" s="2100"/>
      <c r="Z878" s="2091"/>
      <c r="AA878" s="1526"/>
      <c r="AC878" s="970"/>
      <c r="AD878" s="970"/>
      <c r="AE878" s="970"/>
      <c r="AF878"/>
      <c r="AG878"/>
      <c r="AH878"/>
      <c r="AI878"/>
      <c r="AJ878"/>
      <c r="AK878"/>
      <c r="AL878" s="254" t="str">
        <f>SUBSTITUTE(SUBSTITUTE(SUBSTITUTE("vpa"&amp;$B878&amp;$C878&amp;$D878&amp;$E878,".","_"),"(","_"),")","")</f>
        <v>vpa613_1_f</v>
      </c>
      <c r="AM878" s="254">
        <f>M878</f>
        <v>15</v>
      </c>
      <c r="AN878" s="1336"/>
      <c r="AO878" s="1336"/>
      <c r="AP878" s="1336"/>
      <c r="AQ878" s="1336"/>
      <c r="AR878" s="1336"/>
      <c r="AS878" s="1336"/>
      <c r="AT878"/>
    </row>
    <row r="879" spans="1:61" ht="18.75" x14ac:dyDescent="0.3">
      <c r="A879" s="2371">
        <v>7</v>
      </c>
      <c r="B879" s="2392">
        <v>701</v>
      </c>
      <c r="C879" s="2371"/>
      <c r="D879" s="2371"/>
      <c r="E879" s="2371"/>
      <c r="F879" s="2371"/>
      <c r="G879" s="2373" t="s">
        <v>3974</v>
      </c>
      <c r="H879" s="2371" t="s">
        <v>3971</v>
      </c>
      <c r="I879" s="22" t="s">
        <v>813</v>
      </c>
      <c r="J879" s="22"/>
      <c r="K879" s="22"/>
      <c r="L879" s="1208"/>
      <c r="M879" s="1059"/>
      <c r="N879" s="24"/>
      <c r="O879" s="24"/>
      <c r="P879" s="656" t="s">
        <v>247</v>
      </c>
      <c r="Q879" s="656" t="s">
        <v>247</v>
      </c>
      <c r="R879" s="656" t="s">
        <v>247</v>
      </c>
      <c r="S879" s="656" t="s">
        <v>247</v>
      </c>
      <c r="T879" s="656" t="s">
        <v>247</v>
      </c>
      <c r="U879" s="656" t="s">
        <v>247</v>
      </c>
      <c r="V879" s="656" t="s">
        <v>247</v>
      </c>
      <c r="W879" s="23"/>
      <c r="X879" s="23"/>
      <c r="Y879" s="23"/>
      <c r="Z879" s="1586"/>
      <c r="AA879" s="1526"/>
      <c r="AB879" s="866" t="s">
        <v>247</v>
      </c>
      <c r="AC879" s="866" t="s">
        <v>247</v>
      </c>
      <c r="AD879" s="866" t="s">
        <v>247</v>
      </c>
      <c r="AE879" s="866" t="s">
        <v>247</v>
      </c>
      <c r="AF879" s="866" t="s">
        <v>247</v>
      </c>
      <c r="AG879" s="866" t="s">
        <v>247</v>
      </c>
      <c r="AH879" s="866" t="s">
        <v>247</v>
      </c>
      <c r="AI879" s="866" t="s">
        <v>247</v>
      </c>
      <c r="AJ879" s="866" t="s">
        <v>247</v>
      </c>
      <c r="AK879" s="866" t="s">
        <v>247</v>
      </c>
      <c r="AL879" s="1494"/>
      <c r="AM879" s="1494"/>
      <c r="AN879" s="1494"/>
      <c r="AO879" s="1494"/>
      <c r="AP879" s="1494"/>
      <c r="AQ879" s="1494"/>
      <c r="AR879" s="1494"/>
      <c r="AS879" s="1494" t="s">
        <v>247</v>
      </c>
      <c r="AT879" s="1494" t="s">
        <v>247</v>
      </c>
      <c r="AU879" s="866" t="s">
        <v>247</v>
      </c>
      <c r="AV879" s="866" t="s">
        <v>247</v>
      </c>
      <c r="AW879" s="866" t="s">
        <v>247</v>
      </c>
      <c r="AX879" s="866" t="s">
        <v>247</v>
      </c>
      <c r="AY879" s="866" t="s">
        <v>247</v>
      </c>
      <c r="AZ879" s="866" t="s">
        <v>247</v>
      </c>
      <c r="BA879" s="866" t="s">
        <v>247</v>
      </c>
      <c r="BB879" s="866" t="s">
        <v>247</v>
      </c>
      <c r="BC879" s="866" t="s">
        <v>247</v>
      </c>
      <c r="BD879" s="866" t="s">
        <v>247</v>
      </c>
      <c r="BE879" s="866" t="s">
        <v>247</v>
      </c>
      <c r="BF879" s="866" t="s">
        <v>247</v>
      </c>
      <c r="BG879" s="866" t="s">
        <v>247</v>
      </c>
      <c r="BH879" s="866" t="s">
        <v>247</v>
      </c>
      <c r="BI879" s="866" t="s">
        <v>247</v>
      </c>
    </row>
    <row r="880" spans="1:61" x14ac:dyDescent="0.25">
      <c r="A880" s="2371">
        <v>7</v>
      </c>
      <c r="B880" s="2385" t="s">
        <v>4079</v>
      </c>
      <c r="C880" s="2381"/>
      <c r="D880" s="2374"/>
      <c r="E880" s="2374"/>
      <c r="F880" s="2374"/>
      <c r="G880" s="2373" t="s">
        <v>3974</v>
      </c>
      <c r="H880" s="2371" t="s">
        <v>3971</v>
      </c>
      <c r="I880" s="130">
        <v>701.1</v>
      </c>
      <c r="J880" s="518"/>
      <c r="K880" s="636"/>
      <c r="L880" s="1782" t="s">
        <v>4855</v>
      </c>
      <c r="M880" s="1010"/>
      <c r="N880" s="665"/>
      <c r="O880" s="1044"/>
      <c r="P880" s="94"/>
      <c r="Q880" s="94"/>
      <c r="R880" s="94"/>
      <c r="S880" s="94"/>
      <c r="T880" s="94"/>
      <c r="U880" s="94"/>
      <c r="V880" s="94"/>
      <c r="W880" s="94"/>
      <c r="X880" s="911"/>
      <c r="Y880" s="634"/>
      <c r="AA880" s="1526"/>
      <c r="AB880" s="634"/>
      <c r="AC880" s="970"/>
      <c r="AD880" s="970"/>
      <c r="AE880" s="970"/>
      <c r="AF880" s="634"/>
      <c r="AG880" s="634"/>
      <c r="AH880" s="634"/>
      <c r="AI880" s="634"/>
      <c r="AJ880" s="634"/>
      <c r="AK880" s="634"/>
      <c r="AL880" s="1336"/>
      <c r="AM880" s="1336"/>
      <c r="AN880" s="1336"/>
      <c r="AO880" s="1336"/>
      <c r="AP880" s="1336"/>
      <c r="AQ880" s="1336"/>
      <c r="AR880" s="1336"/>
      <c r="AS880" s="1336"/>
      <c r="AT880" s="634"/>
      <c r="AU880" s="634"/>
      <c r="AV880" s="634"/>
      <c r="AW880" s="634"/>
      <c r="AX880" s="634"/>
      <c r="AY880" s="634"/>
      <c r="AZ880" s="634"/>
      <c r="BA880" s="634"/>
      <c r="BB880" s="634"/>
      <c r="BC880" s="634"/>
      <c r="BD880" s="634"/>
      <c r="BE880" s="634"/>
      <c r="BF880" s="634"/>
      <c r="BG880" s="634"/>
      <c r="BH880" s="634"/>
      <c r="BI880" s="634"/>
    </row>
    <row r="881" spans="1:61" x14ac:dyDescent="0.25">
      <c r="A881" s="2371">
        <v>7</v>
      </c>
      <c r="B881" s="2385" t="s">
        <v>4079</v>
      </c>
      <c r="C881" s="2381"/>
      <c r="D881" s="2374"/>
      <c r="E881" s="2374"/>
      <c r="F881" s="2374"/>
      <c r="G881" s="2373" t="s">
        <v>3974</v>
      </c>
      <c r="H881" s="2371" t="s">
        <v>3971</v>
      </c>
      <c r="I881" s="130"/>
      <c r="J881" s="518"/>
      <c r="K881" s="636"/>
      <c r="L881" s="1782"/>
      <c r="M881" s="1010"/>
      <c r="N881" s="665"/>
      <c r="O881" s="1044"/>
      <c r="P881" s="94"/>
      <c r="Q881" s="94"/>
      <c r="R881" s="94"/>
      <c r="S881" s="94"/>
      <c r="T881" s="94"/>
      <c r="U881" s="94"/>
      <c r="V881" s="94"/>
      <c r="W881" s="94" t="s">
        <v>1107</v>
      </c>
      <c r="X881" s="911"/>
      <c r="Y881" s="634"/>
      <c r="AA881" s="1526"/>
      <c r="AB881" s="634"/>
      <c r="AC881" s="970"/>
      <c r="AD881" s="970"/>
      <c r="AE881" s="970"/>
      <c r="AF881" s="634"/>
      <c r="AG881" s="634"/>
      <c r="AH881" s="634"/>
      <c r="AI881" s="634"/>
      <c r="AJ881" s="634"/>
      <c r="AK881" s="634"/>
      <c r="AL881" s="1336"/>
      <c r="AM881" s="1336"/>
      <c r="AN881" s="1336"/>
      <c r="AO881" s="1336"/>
      <c r="AP881" s="1336"/>
      <c r="AQ881" s="1336"/>
      <c r="AR881" s="1336"/>
      <c r="AS881" s="1336"/>
      <c r="AT881" s="634"/>
      <c r="AU881" s="634"/>
      <c r="AV881" s="634"/>
      <c r="AW881" s="634"/>
      <c r="AX881" s="635" t="str">
        <f>'Overview (Verification)'!A10</f>
        <v>Builder Name:</v>
      </c>
      <c r="AY881" s="752">
        <f>IF(LEN('Overview (Verification)'!P10)=0,0,'Overview (Verification)'!P10)</f>
        <v>0</v>
      </c>
      <c r="AZ881" s="634"/>
      <c r="BA881" s="634"/>
      <c r="BB881" s="634"/>
      <c r="BC881" s="634"/>
      <c r="BD881" s="634"/>
      <c r="BE881" s="634"/>
      <c r="BF881" s="634"/>
      <c r="BG881" s="634"/>
      <c r="BH881" s="634"/>
      <c r="BI881" s="634"/>
    </row>
    <row r="882" spans="1:61" x14ac:dyDescent="0.25">
      <c r="A882" s="2371">
        <v>7</v>
      </c>
      <c r="B882" s="2385" t="s">
        <v>4079</v>
      </c>
      <c r="C882" s="2381"/>
      <c r="D882" s="2374"/>
      <c r="E882" s="2374"/>
      <c r="F882" s="2374"/>
      <c r="G882" s="2373" t="s">
        <v>3974</v>
      </c>
      <c r="H882" s="2371" t="s">
        <v>3971</v>
      </c>
      <c r="I882" s="130"/>
      <c r="J882" s="518"/>
      <c r="K882" s="636"/>
      <c r="L882" s="1782"/>
      <c r="M882" s="1010"/>
      <c r="N882" s="665"/>
      <c r="O882" s="1044"/>
      <c r="P882" s="94" t="b">
        <v>1</v>
      </c>
      <c r="Q882" s="94" t="b">
        <v>0</v>
      </c>
      <c r="R882" s="94" t="b">
        <v>1</v>
      </c>
      <c r="S882" s="94" t="b">
        <v>1</v>
      </c>
      <c r="T882" s="94" t="b">
        <f>AND(NOT(S882),LEN(W882)&gt;0)</f>
        <v>0</v>
      </c>
      <c r="U882" s="94" t="str">
        <f>SUBSTITUTE(SUBSTITUTE(SUBSTITUTE("dd"&amp;B882&amp;C882&amp;D882&amp;E882&amp;F882,".","_"),"(","_"),")","")</f>
        <v>dd701_1</v>
      </c>
      <c r="V882" s="94"/>
      <c r="W882" s="12"/>
      <c r="X882" s="911"/>
      <c r="Y882" s="634"/>
      <c r="AA882" s="1526"/>
      <c r="AB882" s="634"/>
      <c r="AC882" s="970" t="b">
        <f>OR(AD882:AE882)</f>
        <v>1</v>
      </c>
      <c r="AD882" s="970" t="b">
        <f>T882</f>
        <v>0</v>
      </c>
      <c r="AE882" s="970" t="b">
        <f>AND(R882,ISBLANK(W882))</f>
        <v>1</v>
      </c>
      <c r="AF882" s="784" t="b">
        <f>AND(AE882,NOT(Q882))</f>
        <v>1</v>
      </c>
      <c r="AG882" s="634"/>
      <c r="AH882" s="634"/>
      <c r="AI882" s="634"/>
      <c r="AJ882" s="634"/>
      <c r="AK882" s="634"/>
      <c r="AL882" s="254"/>
      <c r="AM882" s="254"/>
      <c r="AN882" s="254"/>
      <c r="AO882" s="254"/>
      <c r="AP882" s="254" t="str">
        <f>SUBSTITUTE(SUBSTITUTE(SUBSTITUTE("vch"&amp;$B882&amp;$C882&amp;$D882&amp;$E882,".","_"),"(","_"),")","")</f>
        <v>vch701_1</v>
      </c>
      <c r="AQ882" s="254" t="str">
        <f>IF(LEN(W882)=0,"",W882)</f>
        <v/>
      </c>
      <c r="AR882" s="254"/>
      <c r="AS882" s="254"/>
      <c r="AT882" s="634"/>
      <c r="AU882" s="634"/>
      <c r="AV882" s="634"/>
      <c r="AW882" s="634"/>
      <c r="AX882" s="635" t="str">
        <f>'Overview (Verification)'!A11</f>
        <v>Physical Address of Home:</v>
      </c>
      <c r="AY882" s="752">
        <f>IF(LEN('Overview (Verification)'!P11)=0,0,'Overview (Verification)'!P11)</f>
        <v>0</v>
      </c>
      <c r="AZ882" s="634"/>
      <c r="BA882" s="634"/>
      <c r="BB882" s="634"/>
      <c r="BC882" s="634"/>
      <c r="BD882" s="634"/>
      <c r="BE882" s="634"/>
      <c r="BF882" s="634"/>
      <c r="BG882" s="634"/>
      <c r="BH882" s="634"/>
      <c r="BI882" s="634"/>
    </row>
    <row r="883" spans="1:61" x14ac:dyDescent="0.25">
      <c r="A883" s="2371">
        <v>7</v>
      </c>
      <c r="B883" s="2385" t="s">
        <v>4079</v>
      </c>
      <c r="C883" s="2381"/>
      <c r="D883" s="2374"/>
      <c r="E883" s="2374"/>
      <c r="F883" s="2374"/>
      <c r="G883" s="2373" t="s">
        <v>3974</v>
      </c>
      <c r="H883" s="2371" t="s">
        <v>3971</v>
      </c>
      <c r="I883" s="130"/>
      <c r="J883" s="518"/>
      <c r="K883" s="1481"/>
      <c r="L883" s="1782"/>
      <c r="M883" s="1482"/>
      <c r="N883" s="665"/>
      <c r="O883" s="1483"/>
      <c r="P883" s="94"/>
      <c r="Q883" s="94"/>
      <c r="R883" s="197" t="s">
        <v>3381</v>
      </c>
      <c r="S883" s="197">
        <f ca="1">IFERROR(MATCH(W882,INDIRECT(U882),0),0)</f>
        <v>0</v>
      </c>
      <c r="T883" s="94"/>
      <c r="U883" s="94"/>
      <c r="V883" s="94"/>
      <c r="W883" s="1480" t="s">
        <v>5600</v>
      </c>
      <c r="X883" s="94"/>
      <c r="Y883" s="634"/>
      <c r="AA883" s="1526"/>
      <c r="AB883" s="634"/>
      <c r="AC883" s="970"/>
      <c r="AD883" s="970"/>
      <c r="AE883" s="970"/>
      <c r="AF883" s="634"/>
      <c r="AG883" s="634"/>
      <c r="AH883" s="634"/>
      <c r="AI883" s="634"/>
      <c r="AJ883" s="634"/>
      <c r="AK883" s="634"/>
      <c r="AL883" s="1336"/>
      <c r="AM883" s="1336"/>
      <c r="AN883" s="1336"/>
      <c r="AO883" s="1336"/>
      <c r="AP883" s="1336"/>
      <c r="AQ883" s="1336"/>
      <c r="AR883" s="1336"/>
      <c r="AS883" s="1336"/>
      <c r="AT883" s="634"/>
      <c r="AU883" s="634"/>
      <c r="AV883" s="634"/>
      <c r="AW883" s="634"/>
      <c r="AX883" s="635" t="str">
        <f>'Overview (Verification)'!A12</f>
        <v>Community/Lot #:</v>
      </c>
      <c r="AY883" s="752">
        <f>IF(LEN('Overview (Verification)'!P12)=0,0,'Overview (Verification)'!P12)</f>
        <v>0</v>
      </c>
      <c r="AZ883" s="634"/>
      <c r="BA883" s="634"/>
      <c r="BB883" s="634"/>
      <c r="BC883" s="634"/>
      <c r="BD883" s="634"/>
      <c r="BE883" s="634"/>
      <c r="BF883" s="634"/>
      <c r="BG883" s="634"/>
      <c r="BH883" s="634"/>
      <c r="BI883" s="634"/>
    </row>
    <row r="884" spans="1:61" s="1480" customFormat="1" x14ac:dyDescent="0.25">
      <c r="A884" s="2371">
        <v>7</v>
      </c>
      <c r="B884" s="2385" t="s">
        <v>4079</v>
      </c>
      <c r="C884" s="2381" t="s">
        <v>5105</v>
      </c>
      <c r="D884" s="2374"/>
      <c r="E884" s="2374"/>
      <c r="F884" s="2374"/>
      <c r="G884" s="2373" t="s">
        <v>3974</v>
      </c>
      <c r="H884" s="2371" t="s">
        <v>3971</v>
      </c>
      <c r="I884" s="130"/>
      <c r="J884" s="518"/>
      <c r="K884" s="1481"/>
      <c r="L884" s="1905" t="s">
        <v>5628</v>
      </c>
      <c r="M884" s="1482"/>
      <c r="N884" s="665"/>
      <c r="O884" s="1483"/>
      <c r="P884" s="94" t="b">
        <v>1</v>
      </c>
      <c r="Q884" s="94" t="b">
        <v>0</v>
      </c>
      <c r="R884" s="1480" t="b">
        <f ca="1">S884</f>
        <v>0</v>
      </c>
      <c r="S884" s="1497" t="b">
        <f ca="1">OR(S883=1,S883=3,IFERROR(MATCH(W898,INDIRECT(U898))=1,FALSE),AND(IFERROR(MATCH(W898,INDIRECT(U898))=2,FALSE),NOT(BI886="Tropical")))</f>
        <v>0</v>
      </c>
      <c r="T884" s="94" t="b">
        <f ca="1">AND(NOT(S884),LEN(W884)&gt;0)</f>
        <v>0</v>
      </c>
      <c r="U884" s="94" t="str">
        <f>SUBSTITUTE(SUBSTITUTE(SUBSTITUTE("dd"&amp;B884&amp;C884&amp;D884&amp;E884&amp;F884,".","_"),"(","_"),")","")</f>
        <v>dd701_1_</v>
      </c>
      <c r="V884" s="94"/>
      <c r="W884" s="1484"/>
      <c r="X884" s="1757"/>
      <c r="Y884" s="2077" t="str">
        <f>IF(LEN('Ch7'!X14)=0,"None",'Ch7'!X14)</f>
        <v>None</v>
      </c>
      <c r="Z884" s="2083"/>
      <c r="AA884" s="1526"/>
      <c r="AC884" s="1480" t="b">
        <f ca="1">OR(AD884:AE884)</f>
        <v>0</v>
      </c>
      <c r="AD884" s="1480" t="b">
        <f ca="1">T884</f>
        <v>0</v>
      </c>
      <c r="AE884" s="1480" t="b">
        <f ca="1">AND(R884,OR(LEN(W884)=0,LEN(X884)=0))</f>
        <v>0</v>
      </c>
      <c r="AF884" s="1480" t="b">
        <f ca="1">AND(AE884,NOT(Q884))</f>
        <v>0</v>
      </c>
      <c r="AP884" s="254" t="str">
        <f>SUBSTITUTE(SUBSTITUTE(SUBSTITUTE("vch"&amp;$B884&amp;$C884&amp;$D884&amp;$E884,".","_"),"(","_"),")","")</f>
        <v>vch701_1_</v>
      </c>
      <c r="AQ884" s="254" t="str">
        <f>IF(LEN(W884)=0,"",W884)</f>
        <v/>
      </c>
      <c r="AR884" s="254" t="str">
        <f>SUBSTITUTE(SUBSTITUTE(SUBSTITUTE("vnt"&amp;$B884&amp;$C884&amp;$D884&amp;$E884,".","_"),"(","_"),")","")</f>
        <v>vnt701_1_</v>
      </c>
      <c r="AS884" s="254" t="str">
        <f>IF(LEN(X884)=0,"",X884)</f>
        <v/>
      </c>
      <c r="AX884" s="635" t="str">
        <f>'Overview (Verification)'!A13</f>
        <v>City:</v>
      </c>
      <c r="AY884" s="752">
        <f>IF(LEN('Overview (Verification)'!P13)=0,0,'Overview (Verification)'!P13)</f>
        <v>0</v>
      </c>
      <c r="AZ884" s="634"/>
      <c r="BA884" s="634"/>
      <c r="BB884" s="634"/>
      <c r="BC884" s="634"/>
      <c r="BD884" s="634"/>
      <c r="BE884" s="634"/>
      <c r="BF884" s="634"/>
      <c r="BG884" s="634"/>
      <c r="BH884" s="634"/>
      <c r="BI884" s="634"/>
    </row>
    <row r="885" spans="1:61" s="1508" customFormat="1" x14ac:dyDescent="0.25">
      <c r="A885" s="2371">
        <v>7</v>
      </c>
      <c r="B885" s="2385" t="s">
        <v>4079</v>
      </c>
      <c r="C885" s="2381"/>
      <c r="D885" s="2374"/>
      <c r="E885" s="2374"/>
      <c r="F885" s="2374"/>
      <c r="G885" s="2373" t="s">
        <v>3974</v>
      </c>
      <c r="H885" s="2371" t="s">
        <v>3971</v>
      </c>
      <c r="I885" s="130"/>
      <c r="J885" s="518"/>
      <c r="K885" s="1509"/>
      <c r="L885" s="1905"/>
      <c r="M885" s="1510"/>
      <c r="N885" s="665"/>
      <c r="O885" s="1511"/>
      <c r="P885" s="94"/>
      <c r="Q885" s="94"/>
      <c r="T885" s="94"/>
      <c r="U885" s="94"/>
      <c r="V885" s="94"/>
      <c r="W885"/>
      <c r="X885" s="1757"/>
      <c r="Y885" s="2077"/>
      <c r="Z885" s="2083"/>
      <c r="AA885" s="1526"/>
      <c r="AP885" s="254"/>
      <c r="AQ885" s="254"/>
      <c r="AR885" s="254"/>
      <c r="AS885" s="254"/>
      <c r="AX885" s="635" t="str">
        <f>'Overview (Verification)'!A14</f>
        <v>State:</v>
      </c>
      <c r="AY885" s="752">
        <f>IF(LEN('Overview (Verification)'!P14)=0,0,'Overview (Verification)'!P14)</f>
        <v>0</v>
      </c>
      <c r="AZ885" s="634"/>
      <c r="BA885" s="634"/>
      <c r="BB885" s="634"/>
      <c r="BC885" s="634" t="str">
        <f>'Overview (Verification)'!T14</f>
        <v>State</v>
      </c>
      <c r="BD885" s="634" t="str">
        <f>'Overview (Verification)'!U14</f>
        <v>County</v>
      </c>
      <c r="BE885" s="634" t="str">
        <f>'Overview (Verification)'!V14</f>
        <v>Radon</v>
      </c>
      <c r="BF885" s="634" t="str">
        <f>'Overview (Verification)'!W14</f>
        <v>Climate</v>
      </c>
      <c r="BG885" s="634" t="str">
        <f>'Overview (Verification)'!X14</f>
        <v>Moist</v>
      </c>
      <c r="BH885" s="634" t="str">
        <f>'Overview (Verification)'!Y14</f>
        <v>WarmHumid</v>
      </c>
      <c r="BI885" s="634" t="str">
        <f>'Overview (Verification)'!Z14</f>
        <v>Tropical</v>
      </c>
    </row>
    <row r="886" spans="1:61" s="1480" customFormat="1" x14ac:dyDescent="0.25">
      <c r="A886" s="2371">
        <v>7</v>
      </c>
      <c r="B886" s="2385" t="s">
        <v>4079</v>
      </c>
      <c r="C886" s="2381"/>
      <c r="D886" s="2374"/>
      <c r="E886" s="2374"/>
      <c r="F886" s="2374"/>
      <c r="G886" s="2373" t="s">
        <v>3974</v>
      </c>
      <c r="H886" s="2371" t="s">
        <v>3971</v>
      </c>
      <c r="I886" s="130"/>
      <c r="J886" s="518"/>
      <c r="K886" s="1481"/>
      <c r="L886" s="1905"/>
      <c r="M886" s="1482"/>
      <c r="N886" s="665"/>
      <c r="O886" s="1483"/>
      <c r="P886" s="94"/>
      <c r="Q886" s="94"/>
      <c r="R886"/>
      <c r="S886"/>
      <c r="T886" s="94"/>
      <c r="U886" s="94"/>
      <c r="V886" s="94"/>
      <c r="W886" s="94"/>
      <c r="X886" s="1757"/>
      <c r="Y886" s="2077"/>
      <c r="Z886" s="2083"/>
      <c r="AA886" s="1526"/>
      <c r="AX886" s="635" t="str">
        <f>'Overview (Verification)'!A15</f>
        <v>County:</v>
      </c>
      <c r="AY886" s="752">
        <f>IF(LEN('Overview (Verification)'!P15)=0,0,'Overview (Verification)'!P15)</f>
        <v>0</v>
      </c>
      <c r="AZ886" s="634"/>
      <c r="BA886" s="634"/>
      <c r="BB886" s="634"/>
      <c r="BC886" s="634" t="str">
        <f>'Overview (Verification)'!T15</f>
        <v/>
      </c>
      <c r="BD886" s="634" t="str">
        <f>'Overview (Verification)'!U15</f>
        <v/>
      </c>
      <c r="BE886" s="634" t="str">
        <f>'Overview (Verification)'!V15</f>
        <v>!!</v>
      </c>
      <c r="BF886" s="634" t="str">
        <f>'Overview (Verification)'!W15</f>
        <v>!!</v>
      </c>
      <c r="BG886" s="634" t="str">
        <f>'Overview (Verification)'!X15</f>
        <v>!!</v>
      </c>
      <c r="BH886" s="634" t="str">
        <f>'Overview (Verification)'!Y15</f>
        <v>!!</v>
      </c>
      <c r="BI886" s="634" t="str">
        <f>'Overview (Verification)'!Z15</f>
        <v>!!</v>
      </c>
    </row>
    <row r="887" spans="1:61" ht="15" customHeight="1" x14ac:dyDescent="0.25">
      <c r="A887" s="2371">
        <v>7</v>
      </c>
      <c r="B887" s="2385" t="s">
        <v>814</v>
      </c>
      <c r="C887" s="2381"/>
      <c r="D887" s="2374"/>
      <c r="E887" s="2374"/>
      <c r="F887" s="2374"/>
      <c r="G887" s="2373" t="s">
        <v>3974</v>
      </c>
      <c r="H887" s="2371" t="s">
        <v>3971</v>
      </c>
      <c r="I887" s="192" t="s">
        <v>814</v>
      </c>
      <c r="J887" s="641"/>
      <c r="K887" s="641"/>
      <c r="L887" s="1864" t="s">
        <v>5123</v>
      </c>
      <c r="M887" s="1893" t="s">
        <v>4226</v>
      </c>
      <c r="N887" s="1055"/>
      <c r="O887" s="1056"/>
      <c r="P887" s="195" t="b">
        <v>0</v>
      </c>
      <c r="Q887" s="195" t="b">
        <v>1</v>
      </c>
      <c r="R887" s="531" t="s">
        <v>3382</v>
      </c>
      <c r="S887" s="531">
        <f ca="1">COUNTIF(O1427:O1485,"&gt;0")+MIN(1,O1493+O1496)+COUNTIF(O1499:O1532,"&gt;0")</f>
        <v>0</v>
      </c>
      <c r="T887" s="195"/>
      <c r="U887" s="195"/>
      <c r="V887" s="195"/>
      <c r="W887" s="195"/>
      <c r="X887" s="1757"/>
      <c r="Y887" s="2081" t="str">
        <f>IF(LEN('Ch7'!X17)=0,"None",'Ch7'!X17)</f>
        <v>None</v>
      </c>
      <c r="Z887" s="2083"/>
      <c r="AA887" s="1526"/>
      <c r="AB887" s="634"/>
      <c r="AC887" s="970" t="b">
        <f ca="1">OR(AD887:AE887)</f>
        <v>0</v>
      </c>
      <c r="AD887" s="970" t="b">
        <v>0</v>
      </c>
      <c r="AE887" s="970" t="b">
        <f ca="1">IF(AND(OR(S883=1,S883=2,S883=3),OR(S887&lt;1,(S887+S888)&lt;2)),TRUE,FALSE)</f>
        <v>0</v>
      </c>
      <c r="AF887" s="784" t="b">
        <f ca="1">AND(AE887,NOT(Q887))</f>
        <v>0</v>
      </c>
      <c r="AG887" s="634"/>
      <c r="AH887" s="634"/>
      <c r="AI887" s="634"/>
      <c r="AJ887" s="634"/>
      <c r="AK887" s="634"/>
      <c r="AL887" s="1336"/>
      <c r="AM887" s="1336"/>
      <c r="AN887" s="1336"/>
      <c r="AO887" s="1336"/>
      <c r="AP887" s="1336"/>
      <c r="AQ887" s="1336"/>
      <c r="AR887" s="254" t="str">
        <f>SUBSTITUTE(SUBSTITUTE(SUBSTITUTE("vnt"&amp;$B887&amp;$C887&amp;$D887&amp;$E887,".","_"),"(","_"),")","")</f>
        <v>vnt701_1_1</v>
      </c>
      <c r="AS887" s="254" t="str">
        <f>IF(LEN(X887)=0,"",X887)</f>
        <v/>
      </c>
      <c r="AT887" s="634"/>
      <c r="AU887" s="634"/>
      <c r="AV887" s="634"/>
      <c r="AW887" s="634"/>
      <c r="AX887" s="635" t="str">
        <f>'Overview (Verification)'!A16</f>
        <v>Zip:</v>
      </c>
      <c r="AY887" s="752">
        <f>IF(LEN('Overview (Verification)'!P16)=0,0,'Overview (Verification)'!P16)</f>
        <v>0</v>
      </c>
      <c r="AZ887" s="634"/>
      <c r="BA887" s="634"/>
      <c r="BB887" s="634"/>
      <c r="BC887" s="634"/>
      <c r="BD887" s="634"/>
      <c r="BE887" s="634"/>
      <c r="BF887" s="634"/>
      <c r="BG887" s="634"/>
      <c r="BH887" s="634"/>
      <c r="BI887" s="634"/>
    </row>
    <row r="888" spans="1:61" s="1346" customFormat="1" ht="15" customHeight="1" x14ac:dyDescent="0.25">
      <c r="A888" s="2371">
        <v>7</v>
      </c>
      <c r="B888" s="2385" t="s">
        <v>814</v>
      </c>
      <c r="C888" s="2381"/>
      <c r="D888" s="2374"/>
      <c r="E888" s="2374"/>
      <c r="F888" s="2374"/>
      <c r="G888" s="2373" t="s">
        <v>3974</v>
      </c>
      <c r="H888" s="2371" t="s">
        <v>3971</v>
      </c>
      <c r="I888" s="130"/>
      <c r="J888" s="1348"/>
      <c r="K888" s="1348"/>
      <c r="L888" s="1782"/>
      <c r="M888" s="1894"/>
      <c r="N888" s="665"/>
      <c r="O888" s="1351"/>
      <c r="P888" s="94"/>
      <c r="Q888" s="94"/>
      <c r="R888" s="531" t="s">
        <v>4225</v>
      </c>
      <c r="S888" s="1">
        <f ca="1">COUNTIF(O1534:O1613,"&gt;0")</f>
        <v>0</v>
      </c>
      <c r="T888" s="94"/>
      <c r="U888" s="94"/>
      <c r="V888" s="94"/>
      <c r="W888" s="94"/>
      <c r="X888" s="1757"/>
      <c r="Y888" s="2081"/>
      <c r="Z888" s="2083"/>
      <c r="AA888" s="1526"/>
      <c r="AR888" s="254"/>
      <c r="AS888" s="254"/>
      <c r="AX888" s="1345"/>
    </row>
    <row r="889" spans="1:61" x14ac:dyDescent="0.25">
      <c r="A889" s="2371">
        <v>7</v>
      </c>
      <c r="B889" s="2385" t="s">
        <v>814</v>
      </c>
      <c r="C889" s="2381"/>
      <c r="D889" s="2374"/>
      <c r="E889" s="2374"/>
      <c r="F889" s="2374"/>
      <c r="G889" s="2373" t="s">
        <v>3974</v>
      </c>
      <c r="H889" s="2371" t="s">
        <v>3971</v>
      </c>
      <c r="I889" s="210"/>
      <c r="J889" s="637"/>
      <c r="K889" s="637"/>
      <c r="L889" s="1843"/>
      <c r="M889" s="1894"/>
      <c r="N889" s="664"/>
      <c r="O889" s="1044"/>
      <c r="P889" s="911"/>
      <c r="Q889" s="911"/>
      <c r="R889" s="385" t="s">
        <v>4244</v>
      </c>
      <c r="S889" s="1" t="str">
        <f>BI886</f>
        <v>!!</v>
      </c>
      <c r="T889" s="94"/>
      <c r="U889" s="94"/>
      <c r="V889" s="94"/>
      <c r="W889" s="94"/>
      <c r="X889" s="1757"/>
      <c r="Y889" s="2081"/>
      <c r="Z889" s="2083"/>
      <c r="AA889" s="1526"/>
      <c r="AB889" s="634"/>
      <c r="AC889" s="970"/>
      <c r="AD889" s="970"/>
      <c r="AE889" s="970"/>
      <c r="AF889" s="634"/>
      <c r="AG889" s="634"/>
      <c r="AH889" s="634"/>
      <c r="AI889" s="634"/>
      <c r="AJ889" s="634"/>
      <c r="AK889" s="634"/>
      <c r="AL889" s="1336"/>
      <c r="AM889" s="1336"/>
      <c r="AN889" s="1336"/>
      <c r="AO889" s="1336"/>
      <c r="AP889" s="1336"/>
      <c r="AQ889" s="1336"/>
      <c r="AR889" s="1336"/>
      <c r="AS889" s="1336"/>
      <c r="AT889" s="634"/>
      <c r="AU889" s="634"/>
      <c r="AV889" s="634"/>
      <c r="AW889" s="634"/>
      <c r="AX889" s="635" t="str">
        <f>'Overview (Verification)'!A18</f>
        <v>Single-Family or Multifamily:</v>
      </c>
      <c r="AY889" s="752" t="str">
        <f>IF(LEN('Overview (Verification)'!P18)=0,0,'Overview (Verification)'!P18)</f>
        <v>Single-Family</v>
      </c>
      <c r="AZ889" s="1346"/>
      <c r="BA889" s="1346"/>
      <c r="BB889" s="1346"/>
      <c r="BC889" s="1346"/>
      <c r="BD889" s="1346"/>
      <c r="BE889" s="1346"/>
      <c r="BF889" s="1346"/>
      <c r="BG889" s="1346"/>
      <c r="BH889" s="1346"/>
      <c r="BI889" s="1346"/>
    </row>
    <row r="890" spans="1:61" x14ac:dyDescent="0.25">
      <c r="A890" s="2371">
        <v>7</v>
      </c>
      <c r="B890" s="2385" t="s">
        <v>815</v>
      </c>
      <c r="C890" s="2381"/>
      <c r="D890" s="2374"/>
      <c r="E890" s="2374"/>
      <c r="F890" s="2374"/>
      <c r="G890" s="2373" t="s">
        <v>3974</v>
      </c>
      <c r="H890" s="2371" t="s">
        <v>3971</v>
      </c>
      <c r="I890" s="192" t="s">
        <v>815</v>
      </c>
      <c r="J890" s="641"/>
      <c r="K890" s="641"/>
      <c r="L890" s="1864" t="s">
        <v>5124</v>
      </c>
      <c r="M890" s="1894"/>
      <c r="N890" s="664"/>
      <c r="O890" s="1044"/>
      <c r="P890" s="911"/>
      <c r="Q890" s="911"/>
      <c r="T890" s="94"/>
      <c r="U890" s="94"/>
      <c r="V890" s="94"/>
      <c r="W890" s="94"/>
      <c r="X890" s="1757"/>
      <c r="Y890" s="2081" t="str">
        <f>IF(LEN('Ch7'!X20)=0,"None",'Ch7'!X20)</f>
        <v>None</v>
      </c>
      <c r="Z890" s="2083"/>
      <c r="AA890" s="1526"/>
      <c r="AB890" s="634"/>
      <c r="AC890" s="970"/>
      <c r="AD890" s="970"/>
      <c r="AE890" s="970"/>
      <c r="AF890" s="784"/>
      <c r="AG890" s="634"/>
      <c r="AH890" s="634"/>
      <c r="AI890" s="634"/>
      <c r="AJ890" s="634"/>
      <c r="AK890" s="634"/>
      <c r="AL890" s="1336"/>
      <c r="AM890" s="1336"/>
      <c r="AN890" s="1336"/>
      <c r="AO890" s="1336"/>
      <c r="AP890" s="1336"/>
      <c r="AQ890" s="1336"/>
      <c r="AR890" s="254" t="str">
        <f>SUBSTITUTE(SUBSTITUTE(SUBSTITUTE("vnt"&amp;$B890&amp;$C890&amp;$D890&amp;$E890,".","_"),"(","_"),")","")</f>
        <v>vnt701_1_2</v>
      </c>
      <c r="AS890" s="254" t="str">
        <f>IF(LEN(X890)=0,"",X890)</f>
        <v/>
      </c>
      <c r="AT890" s="634"/>
      <c r="AU890" s="634"/>
      <c r="AV890" s="634"/>
      <c r="AW890" s="634"/>
      <c r="AX890" s="635" t="str">
        <f>'Overview (Verification)'!A19</f>
        <v>Number of Units:</v>
      </c>
      <c r="AY890" s="752">
        <f>IF(LEN('Overview (Verification)'!P19)=0,0,'Overview (Verification)'!P19)</f>
        <v>0</v>
      </c>
      <c r="AZ890" s="634"/>
      <c r="BA890" s="634"/>
      <c r="BB890" s="634"/>
      <c r="BC890" s="634"/>
      <c r="BD890" s="634"/>
      <c r="BE890" s="634"/>
      <c r="BF890" s="634"/>
      <c r="BG890" s="634"/>
      <c r="BH890" s="634"/>
      <c r="BI890" s="634"/>
    </row>
    <row r="891" spans="1:61" x14ac:dyDescent="0.25">
      <c r="A891" s="2371">
        <v>7</v>
      </c>
      <c r="B891" s="2385" t="s">
        <v>815</v>
      </c>
      <c r="C891" s="2381"/>
      <c r="D891" s="2374"/>
      <c r="E891" s="2374"/>
      <c r="F891" s="2374"/>
      <c r="G891" s="2373" t="s">
        <v>3974</v>
      </c>
      <c r="H891" s="2371" t="s">
        <v>3971</v>
      </c>
      <c r="I891" s="129"/>
      <c r="J891" s="636"/>
      <c r="K891" s="636"/>
      <c r="L891" s="1782"/>
      <c r="M891" s="1894"/>
      <c r="N891" s="664"/>
      <c r="O891" s="1044"/>
      <c r="P891" s="911"/>
      <c r="Q891" s="911"/>
      <c r="R891" s="911"/>
      <c r="S891" s="911"/>
      <c r="T891" s="94"/>
      <c r="U891" s="94"/>
      <c r="V891" s="94"/>
      <c r="W891" s="94"/>
      <c r="X891" s="1757"/>
      <c r="Y891" s="2081"/>
      <c r="Z891" s="2083"/>
      <c r="AA891" s="1526"/>
      <c r="AB891" s="634"/>
      <c r="AC891" s="970"/>
      <c r="AD891" s="970"/>
      <c r="AE891" s="970"/>
      <c r="AF891" s="634"/>
      <c r="AG891" s="634"/>
      <c r="AH891" s="634"/>
      <c r="AI891" s="634"/>
      <c r="AJ891" s="634"/>
      <c r="AK891" s="634"/>
      <c r="AL891" s="1336"/>
      <c r="AM891" s="1336"/>
      <c r="AN891" s="1336"/>
      <c r="AO891" s="1336"/>
      <c r="AP891" s="1336"/>
      <c r="AQ891" s="1336"/>
      <c r="AR891" s="1336"/>
      <c r="AS891" s="1336"/>
      <c r="AT891" s="634"/>
      <c r="AU891" s="634"/>
      <c r="AV891" s="634"/>
      <c r="AW891" s="634"/>
      <c r="AX891" s="1100" t="str">
        <f>'Overview (Verification)'!A20</f>
        <v>Building includes commercial space pursuing Commercial Space certification?</v>
      </c>
      <c r="AY891" s="1101">
        <f>IF(LEN('Overview (Verification)'!P20)=0,0,'Overview (Verification)'!P20)</f>
        <v>0</v>
      </c>
      <c r="AZ891" s="634"/>
      <c r="BA891" s="634"/>
      <c r="BB891" s="634"/>
      <c r="BC891" s="634"/>
      <c r="BD891" s="634"/>
      <c r="BE891" s="634"/>
      <c r="BF891" s="634"/>
      <c r="BG891" s="634"/>
      <c r="BH891" s="634"/>
      <c r="BI891" s="634"/>
    </row>
    <row r="892" spans="1:61" s="1346" customFormat="1" x14ac:dyDescent="0.25">
      <c r="A892" s="2371">
        <v>7</v>
      </c>
      <c r="B892" s="2385" t="s">
        <v>815</v>
      </c>
      <c r="C892" s="2381"/>
      <c r="D892" s="2374"/>
      <c r="E892" s="2374"/>
      <c r="F892" s="2374"/>
      <c r="G892" s="2373" t="s">
        <v>3974</v>
      </c>
      <c r="H892" s="2371" t="s">
        <v>3971</v>
      </c>
      <c r="I892" s="129"/>
      <c r="J892" s="1348"/>
      <c r="K892" s="1348"/>
      <c r="L892" s="1782"/>
      <c r="M892" s="1894"/>
      <c r="N892" s="664"/>
      <c r="O892" s="1351"/>
      <c r="T892" s="94"/>
      <c r="U892" s="94"/>
      <c r="V892" s="94"/>
      <c r="W892" s="94"/>
      <c r="X892" s="1757"/>
      <c r="Y892" s="2081"/>
      <c r="Z892" s="2083"/>
      <c r="AA892" s="1526"/>
      <c r="AX892"/>
      <c r="AY892"/>
      <c r="AZ892" s="634"/>
      <c r="BA892" s="634"/>
      <c r="BB892" s="634"/>
      <c r="BC892" s="634"/>
      <c r="BD892" s="634"/>
      <c r="BE892" s="634"/>
      <c r="BF892" s="634"/>
      <c r="BG892" s="634"/>
      <c r="BH892" s="634"/>
      <c r="BI892" s="634"/>
    </row>
    <row r="893" spans="1:61" x14ac:dyDescent="0.25">
      <c r="A893" s="2371">
        <v>7</v>
      </c>
      <c r="B893" s="2385" t="s">
        <v>815</v>
      </c>
      <c r="C893" s="2381"/>
      <c r="D893" s="2374"/>
      <c r="E893" s="2374"/>
      <c r="F893" s="2374"/>
      <c r="G893" s="2373" t="s">
        <v>3974</v>
      </c>
      <c r="H893" s="2371" t="s">
        <v>3971</v>
      </c>
      <c r="I893" s="210"/>
      <c r="J893" s="637"/>
      <c r="K893" s="637"/>
      <c r="L893" s="1843"/>
      <c r="M893" s="1894"/>
      <c r="N893" s="664"/>
      <c r="O893" s="1044"/>
      <c r="P893" s="911"/>
      <c r="Q893" s="911"/>
      <c r="R893" s="911"/>
      <c r="S893" s="911"/>
      <c r="T893" s="94"/>
      <c r="U893" s="94"/>
      <c r="V893" s="94"/>
      <c r="W893" s="94"/>
      <c r="X893" s="1757"/>
      <c r="Y893" s="2081"/>
      <c r="Z893" s="2083"/>
      <c r="AA893" s="1526"/>
      <c r="AB893" s="634"/>
      <c r="AC893" s="970"/>
      <c r="AD893" s="970"/>
      <c r="AE893" s="970"/>
      <c r="AF893" s="634"/>
      <c r="AG893" s="634"/>
      <c r="AH893" s="634"/>
      <c r="AI893" s="634"/>
      <c r="AJ893" s="634"/>
      <c r="AK893" s="634"/>
      <c r="AL893" s="1336"/>
      <c r="AM893" s="1336"/>
      <c r="AN893" s="1336"/>
      <c r="AO893" s="1336"/>
      <c r="AP893" s="1336"/>
      <c r="AQ893" s="1336"/>
      <c r="AR893" s="1336"/>
      <c r="AS893" s="1336"/>
      <c r="AT893" s="634"/>
      <c r="AU893" s="634"/>
      <c r="AV893" s="634"/>
      <c r="AW893" s="634"/>
      <c r="AZ893" s="634"/>
      <c r="BA893" s="634"/>
      <c r="BB893" s="634"/>
      <c r="BC893" s="634"/>
      <c r="BD893" s="634"/>
      <c r="BE893" s="634"/>
      <c r="BF893" s="634"/>
      <c r="BG893" s="634"/>
      <c r="BH893" s="634"/>
      <c r="BI893" s="634"/>
    </row>
    <row r="894" spans="1:61" x14ac:dyDescent="0.25">
      <c r="A894" s="2371">
        <v>7</v>
      </c>
      <c r="B894" s="2385" t="s">
        <v>816</v>
      </c>
      <c r="C894" s="2381"/>
      <c r="D894" s="2374"/>
      <c r="E894" s="2374"/>
      <c r="F894" s="2374"/>
      <c r="G894" s="2373" t="s">
        <v>3974</v>
      </c>
      <c r="H894" s="2371" t="s">
        <v>3971</v>
      </c>
      <c r="I894" s="130" t="s">
        <v>816</v>
      </c>
      <c r="J894" s="636"/>
      <c r="K894" s="636"/>
      <c r="L894" s="1782" t="s">
        <v>5125</v>
      </c>
      <c r="M894" s="1894"/>
      <c r="N894" s="664"/>
      <c r="O894" s="1044"/>
      <c r="P894" s="911"/>
      <c r="Q894" s="911"/>
      <c r="R894" s="911"/>
      <c r="S894" s="911"/>
      <c r="T894" s="94"/>
      <c r="U894" s="94"/>
      <c r="V894" s="94"/>
      <c r="W894" s="94"/>
      <c r="X894" s="1757"/>
      <c r="Y894" s="2099" t="str">
        <f>IF(LEN('Ch7'!X24)=0,"None",'Ch7'!X24)</f>
        <v>None</v>
      </c>
      <c r="Z894" s="2087"/>
      <c r="AA894" s="1526"/>
      <c r="AB894" s="634"/>
      <c r="AC894" s="970"/>
      <c r="AD894" s="970"/>
      <c r="AE894" s="970"/>
      <c r="AF894" s="634"/>
      <c r="AG894" s="634"/>
      <c r="AH894" s="634"/>
      <c r="AI894" s="634"/>
      <c r="AJ894" s="634"/>
      <c r="AK894" s="634"/>
      <c r="AL894" s="1336"/>
      <c r="AM894" s="1336"/>
      <c r="AN894" s="1336"/>
      <c r="AO894" s="1336"/>
      <c r="AP894" s="1336"/>
      <c r="AQ894" s="1336"/>
      <c r="AR894" s="254" t="str">
        <f>SUBSTITUTE(SUBSTITUTE(SUBSTITUTE("vnt"&amp;$B894&amp;$C894&amp;$D894&amp;$E894,".","_"),"(","_"),")","")</f>
        <v>vnt701_1_3</v>
      </c>
      <c r="AS894" s="254" t="str">
        <f>IF(LEN(X894)=0,"",X894)</f>
        <v/>
      </c>
      <c r="AT894" s="634"/>
      <c r="AU894" s="634"/>
      <c r="AV894" s="634"/>
      <c r="AW894" s="634"/>
      <c r="AX894" s="635" t="str">
        <f>'Overview (Verification)'!A23</f>
        <v>Project Name:</v>
      </c>
      <c r="AY894" s="752">
        <f>IF(LEN('Overview (Verification)'!P23)=0,0,'Overview (Verification)'!P23)</f>
        <v>0</v>
      </c>
      <c r="AZ894" s="634"/>
      <c r="BA894" s="634"/>
      <c r="BB894" s="634"/>
      <c r="BC894" s="634"/>
      <c r="BD894" s="634"/>
      <c r="BE894" s="634"/>
      <c r="BF894" s="634"/>
      <c r="BG894" s="634"/>
      <c r="BH894" s="634"/>
      <c r="BI894" s="634"/>
    </row>
    <row r="895" spans="1:61" x14ac:dyDescent="0.25">
      <c r="A895" s="2371">
        <v>7</v>
      </c>
      <c r="B895" s="2385" t="s">
        <v>816</v>
      </c>
      <c r="C895" s="2381"/>
      <c r="D895" s="2374"/>
      <c r="E895" s="2374"/>
      <c r="F895" s="2374"/>
      <c r="G895" s="2373" t="s">
        <v>3974</v>
      </c>
      <c r="H895" s="2371" t="s">
        <v>3971</v>
      </c>
      <c r="I895" s="129"/>
      <c r="J895" s="636"/>
      <c r="K895" s="636"/>
      <c r="L895" s="1782"/>
      <c r="M895" s="1894"/>
      <c r="N895" s="664"/>
      <c r="O895" s="1044"/>
      <c r="P895" s="911"/>
      <c r="Q895" s="911"/>
      <c r="R895" s="911"/>
      <c r="S895" s="911"/>
      <c r="T895" s="94"/>
      <c r="U895" s="94"/>
      <c r="V895" s="94"/>
      <c r="W895" s="94"/>
      <c r="X895" s="1757"/>
      <c r="Y895" s="2100"/>
      <c r="Z895" s="2091"/>
      <c r="AA895" s="1526"/>
      <c r="AB895" s="634"/>
      <c r="AC895" s="970"/>
      <c r="AD895" s="970"/>
      <c r="AE895" s="970"/>
      <c r="AF895" s="634"/>
      <c r="AG895" s="634"/>
      <c r="AH895" s="634"/>
      <c r="AI895" s="634"/>
      <c r="AJ895" s="634"/>
      <c r="AK895" s="634"/>
      <c r="AL895" s="1336"/>
      <c r="AM895" s="1336"/>
      <c r="AN895" s="1336"/>
      <c r="AO895" s="1336"/>
      <c r="AP895" s="1336"/>
      <c r="AQ895" s="1336"/>
      <c r="AR895" s="1336"/>
      <c r="AS895" s="1336"/>
      <c r="AT895" s="634"/>
      <c r="AU895" s="634"/>
      <c r="AV895" s="634"/>
      <c r="AW895" s="634"/>
      <c r="AX895" s="635"/>
      <c r="AY895" s="752"/>
      <c r="AZ895" s="634"/>
      <c r="BA895" s="634"/>
      <c r="BB895" s="634"/>
      <c r="BC895" s="634"/>
      <c r="BD895" s="634"/>
      <c r="BE895" s="634"/>
      <c r="BF895" s="634"/>
      <c r="BG895" s="634"/>
      <c r="BH895" s="634"/>
      <c r="BI895" s="634"/>
    </row>
    <row r="896" spans="1:61" x14ac:dyDescent="0.25">
      <c r="A896" s="2371">
        <v>7</v>
      </c>
      <c r="B896" s="2385" t="s">
        <v>816</v>
      </c>
      <c r="C896" s="2381"/>
      <c r="D896" s="2374"/>
      <c r="E896" s="2374"/>
      <c r="F896" s="2374"/>
      <c r="G896" s="2373" t="s">
        <v>3974</v>
      </c>
      <c r="H896" s="2371" t="s">
        <v>3971</v>
      </c>
      <c r="I896" s="210"/>
      <c r="J896" s="637"/>
      <c r="K896" s="637"/>
      <c r="L896" s="1843"/>
      <c r="M896" s="1895"/>
      <c r="N896" s="1041"/>
      <c r="O896" s="1047"/>
      <c r="P896" s="178"/>
      <c r="Q896" s="178"/>
      <c r="R896" s="178"/>
      <c r="S896" s="178"/>
      <c r="T896" s="178"/>
      <c r="U896" s="178"/>
      <c r="V896" s="178"/>
      <c r="W896" s="178"/>
      <c r="X896" s="1757"/>
      <c r="Y896" s="2097"/>
      <c r="Z896" s="2085"/>
      <c r="AA896" s="1526"/>
      <c r="AB896" s="634"/>
      <c r="AC896" s="970"/>
      <c r="AD896" s="970"/>
      <c r="AE896" s="970"/>
      <c r="AF896" s="634"/>
      <c r="AG896" s="634"/>
      <c r="AH896" s="634"/>
      <c r="AI896" s="634"/>
      <c r="AJ896" s="634"/>
      <c r="AK896" s="634"/>
      <c r="AL896" s="1336"/>
      <c r="AM896" s="1336"/>
      <c r="AN896" s="1336"/>
      <c r="AO896" s="1336"/>
      <c r="AP896" s="1336"/>
      <c r="AQ896" s="1336"/>
      <c r="AR896" s="1336"/>
      <c r="AS896" s="1336"/>
      <c r="AT896" s="634"/>
      <c r="AU896" s="634"/>
      <c r="AV896" s="634"/>
      <c r="AW896" s="634"/>
      <c r="AX896" s="635" t="str">
        <f>'Overview (Verification)'!A25</f>
        <v>Above grade plane finished floor area:</v>
      </c>
      <c r="AY896" s="752">
        <f>IF(LEN('Overview (Verification)'!P25)=0,0,'Overview (Verification)'!P25)</f>
        <v>0</v>
      </c>
      <c r="AZ896" s="634"/>
      <c r="BA896" s="634"/>
      <c r="BB896" s="634"/>
      <c r="BC896" s="634"/>
      <c r="BD896" s="634"/>
      <c r="BE896" s="634"/>
      <c r="BF896" s="634"/>
      <c r="BG896" s="634"/>
      <c r="BH896" s="634"/>
      <c r="BI896" s="634"/>
    </row>
    <row r="897" spans="1:61" x14ac:dyDescent="0.25">
      <c r="A897" s="2371">
        <v>7</v>
      </c>
      <c r="B897" s="2385" t="s">
        <v>817</v>
      </c>
      <c r="C897" s="2381"/>
      <c r="D897" s="2374"/>
      <c r="E897" s="2374"/>
      <c r="F897" s="2374"/>
      <c r="G897" s="2373" t="s">
        <v>3974</v>
      </c>
      <c r="H897" s="2371" t="s">
        <v>3971</v>
      </c>
      <c r="I897" s="510" t="s">
        <v>817</v>
      </c>
      <c r="J897" s="636"/>
      <c r="K897" s="636"/>
      <c r="L897" s="1782" t="s">
        <v>4892</v>
      </c>
      <c r="M897" s="1010"/>
      <c r="N897" s="1927">
        <f ca="1">'Ch7'!O27</f>
        <v>0</v>
      </c>
      <c r="O897" s="1927">
        <f ca="1">IFERROR(MATCH(W898,INDIRECT(U898),0)*15+15,0)*S898</f>
        <v>0</v>
      </c>
      <c r="P897" s="94"/>
      <c r="Q897" s="94"/>
      <c r="R897" s="94"/>
      <c r="S897" s="94"/>
      <c r="T897" s="94"/>
      <c r="U897" s="94"/>
      <c r="V897" s="94"/>
      <c r="W897" s="94" t="s">
        <v>2996</v>
      </c>
      <c r="X897" s="1770"/>
      <c r="Y897" s="2081" t="str">
        <f>IF(LEN('Ch7'!X27)=0,"None",'Ch7'!X27)</f>
        <v>None</v>
      </c>
      <c r="Z897" s="2084"/>
      <c r="AA897" s="1526"/>
      <c r="AB897" s="634"/>
      <c r="AC897" s="970"/>
      <c r="AD897" s="970"/>
      <c r="AE897" s="970"/>
      <c r="AF897" s="634"/>
      <c r="AG897" s="634"/>
      <c r="AH897" s="634"/>
      <c r="AI897" s="634"/>
      <c r="AJ897" s="634"/>
      <c r="AK897" s="634"/>
      <c r="AL897" s="1336"/>
      <c r="AM897" s="1336"/>
      <c r="AN897" s="254" t="str">
        <f>SUBSTITUTE(SUBSTITUTE(SUBSTITUTE("vpc"&amp;$B897&amp;$C897&amp;$D897&amp;$E897,".","_"),"(","_"),")","")</f>
        <v>vpc701_1_4</v>
      </c>
      <c r="AO897" s="254">
        <f ca="1">O897</f>
        <v>0</v>
      </c>
      <c r="AP897" s="1336"/>
      <c r="AQ897" s="1336"/>
      <c r="AR897" s="254" t="str">
        <f>SUBSTITUTE(SUBSTITUTE(SUBSTITUTE("vnt"&amp;$B897&amp;$C897&amp;$D897&amp;$E897,".","_"),"(","_"),")","")</f>
        <v>vnt701_1_4</v>
      </c>
      <c r="AS897" s="254" t="str">
        <f>IF(LEN(X897)=0,"",X897)</f>
        <v/>
      </c>
      <c r="AT897" s="634"/>
      <c r="AU897" s="634"/>
      <c r="AV897" s="634"/>
      <c r="AW897" s="634"/>
      <c r="AX897" s="635" t="str">
        <f>'Overview (Verification)'!A26</f>
        <v>Total conditioned floor area:</v>
      </c>
      <c r="AY897" s="752">
        <f>IF(LEN('Overview (Verification)'!P26)=0,0,'Overview (Verification)'!P26)</f>
        <v>0</v>
      </c>
      <c r="AZ897" s="634"/>
      <c r="BA897" s="634"/>
      <c r="BB897" s="634"/>
      <c r="BC897" s="634"/>
      <c r="BD897" s="634"/>
      <c r="BE897" s="634"/>
      <c r="BF897" s="634"/>
      <c r="BG897" s="634"/>
      <c r="BH897" s="634"/>
      <c r="BI897" s="634"/>
    </row>
    <row r="898" spans="1:61" x14ac:dyDescent="0.25">
      <c r="A898" s="2371">
        <v>7</v>
      </c>
      <c r="B898" s="2385" t="s">
        <v>817</v>
      </c>
      <c r="C898" s="2381"/>
      <c r="D898" s="2374"/>
      <c r="E898" s="2374"/>
      <c r="F898" s="2374"/>
      <c r="G898" s="2373" t="s">
        <v>3974</v>
      </c>
      <c r="H898" s="2371" t="s">
        <v>3971</v>
      </c>
      <c r="I898" s="129"/>
      <c r="J898" s="636"/>
      <c r="K898" s="636"/>
      <c r="L898" s="1782"/>
      <c r="M898" s="1010"/>
      <c r="N898" s="1927"/>
      <c r="O898" s="1927"/>
      <c r="P898" s="94" t="b">
        <v>0</v>
      </c>
      <c r="Q898" s="94" t="b">
        <v>1</v>
      </c>
      <c r="R898" s="94" t="b">
        <f ca="1">S898</f>
        <v>0</v>
      </c>
      <c r="S898" s="94" t="b">
        <f ca="1">IFERROR(S883=4,FALSE)</f>
        <v>0</v>
      </c>
      <c r="T898" s="94" t="b">
        <f ca="1">AND(NOT(S898),LEN(W898)&gt;0)</f>
        <v>0</v>
      </c>
      <c r="U898" s="94" t="str">
        <f>SUBSTITUTE(SUBSTITUTE(SUBSTITUTE("dd"&amp;B897&amp;C897&amp;D897&amp;E897&amp;F897,".","_"),"(","_"),")","")</f>
        <v>dd701_1_4</v>
      </c>
      <c r="V898" s="94"/>
      <c r="W898" s="12"/>
      <c r="X898" s="1770"/>
      <c r="Y898" s="2081"/>
      <c r="Z898" s="2084"/>
      <c r="AA898" s="1526"/>
      <c r="AB898" s="634"/>
      <c r="AC898" s="970" t="b">
        <f ca="1">OR(AD898:AE898)</f>
        <v>0</v>
      </c>
      <c r="AD898" s="970" t="b">
        <f ca="1">T898</f>
        <v>0</v>
      </c>
      <c r="AE898" s="970" t="b">
        <f ca="1">AND(R898,ISBLANK(W898))</f>
        <v>0</v>
      </c>
      <c r="AF898" s="784"/>
      <c r="AG898" s="634"/>
      <c r="AH898" s="634"/>
      <c r="AI898" s="634"/>
      <c r="AJ898" s="634"/>
      <c r="AK898" s="634"/>
      <c r="AL898" s="1336"/>
      <c r="AM898" s="1336"/>
      <c r="AN898" s="1336"/>
      <c r="AO898" s="1336"/>
      <c r="AP898" s="254" t="str">
        <f>SUBSTITUTE(SUBSTITUTE(SUBSTITUTE("vch"&amp;$B898&amp;$C898&amp;$D898&amp;$E898,".","_"),"(","_"),")","")</f>
        <v>vch701_1_4</v>
      </c>
      <c r="AQ898" s="254" t="str">
        <f>IF(LEN(W898)=0,"",W898)</f>
        <v/>
      </c>
      <c r="AR898" s="1336"/>
      <c r="AS898" s="1336"/>
      <c r="AT898" s="634"/>
      <c r="AU898" s="634"/>
      <c r="AV898" s="634"/>
      <c r="AW898" s="634"/>
      <c r="AX898" s="635" t="str">
        <f>'Overview (Verification)'!A27</f>
        <v>Stories above grade:</v>
      </c>
      <c r="AY898" s="752">
        <f>IF(LEN('Overview (Verification)'!P27)=0,0,'Overview (Verification)'!P27)</f>
        <v>0</v>
      </c>
      <c r="AZ898" s="1066"/>
      <c r="BA898" s="1066"/>
      <c r="BB898" s="1066"/>
      <c r="BC898" s="1066"/>
      <c r="BD898" s="1066"/>
      <c r="BE898" s="1066"/>
      <c r="BF898" s="1066"/>
      <c r="BG898" s="1066"/>
      <c r="BH898" s="1066"/>
      <c r="BI898" s="1066"/>
    </row>
    <row r="899" spans="1:61" x14ac:dyDescent="0.25">
      <c r="A899" s="2371">
        <v>7</v>
      </c>
      <c r="B899" s="2385" t="s">
        <v>817</v>
      </c>
      <c r="C899" s="2381"/>
      <c r="D899" s="2374"/>
      <c r="E899" s="2374"/>
      <c r="F899" s="2374"/>
      <c r="G899" s="2373" t="s">
        <v>3974</v>
      </c>
      <c r="H899" s="2371" t="s">
        <v>3971</v>
      </c>
      <c r="I899" s="129"/>
      <c r="J899" s="636"/>
      <c r="K899" s="636"/>
      <c r="L899" s="1782"/>
      <c r="M899" s="1010"/>
      <c r="N899" s="1927"/>
      <c r="O899" s="1927"/>
      <c r="P899" s="94"/>
      <c r="Q899" s="94"/>
      <c r="R899" s="94"/>
      <c r="S899" s="94"/>
      <c r="T899" s="94"/>
      <c r="U899" s="94"/>
      <c r="V899" s="94"/>
      <c r="W899" s="94" t="s">
        <v>5676</v>
      </c>
      <c r="X899" s="1770"/>
      <c r="Y899" s="2081"/>
      <c r="Z899" s="2084"/>
      <c r="AA899" s="1526"/>
      <c r="AB899" s="634"/>
      <c r="AC899" s="970"/>
      <c r="AD899" s="970"/>
      <c r="AE899" s="970"/>
      <c r="AF899" s="634"/>
      <c r="AG899" s="634"/>
      <c r="AH899" s="634"/>
      <c r="AI899" s="634"/>
      <c r="AJ899" s="634"/>
      <c r="AK899" s="634"/>
      <c r="AL899" s="1336"/>
      <c r="AM899" s="1336"/>
      <c r="AN899" s="1336"/>
      <c r="AO899" s="1336"/>
      <c r="AP899" s="1336"/>
      <c r="AQ899" s="1336"/>
      <c r="AR899" s="1336"/>
      <c r="AS899" s="1336"/>
      <c r="AT899" s="634"/>
      <c r="AU899" s="634"/>
      <c r="AV899" s="634"/>
      <c r="AW899" s="634"/>
      <c r="AX899" s="1605" t="str">
        <f>'Overview (Verification)'!A28</f>
        <v>Project Elevation (ft. above sea level):</v>
      </c>
      <c r="AY899" s="1606">
        <f>IF(LEN('Overview (Verification)'!P28)=0,0,'Overview (Verification)'!P28)</f>
        <v>0</v>
      </c>
    </row>
    <row r="900" spans="1:61" x14ac:dyDescent="0.25">
      <c r="A900" s="2371">
        <v>7</v>
      </c>
      <c r="B900" s="2385" t="s">
        <v>817</v>
      </c>
      <c r="C900" s="2381" t="s">
        <v>5105</v>
      </c>
      <c r="D900" s="2374"/>
      <c r="E900" s="2374"/>
      <c r="F900" s="2374"/>
      <c r="G900" s="2373" t="s">
        <v>3974</v>
      </c>
      <c r="H900" s="2371" t="s">
        <v>3971</v>
      </c>
      <c r="I900" s="129"/>
      <c r="J900" s="636"/>
      <c r="K900" s="636"/>
      <c r="L900" s="1782"/>
      <c r="M900" s="1010"/>
      <c r="N900" s="1927"/>
      <c r="O900" s="1927"/>
      <c r="P900" s="94" t="b">
        <v>0</v>
      </c>
      <c r="Q900" s="94" t="b">
        <v>1</v>
      </c>
      <c r="R900" s="94" t="b">
        <f>S900</f>
        <v>0</v>
      </c>
      <c r="S900" s="94" t="b">
        <f>LEN(W898)&gt;0</f>
        <v>0</v>
      </c>
      <c r="T900" s="94" t="b">
        <f ca="1">AND(LEN(W900)&gt;0,IFERROR(COUNTIF(INDIRECT(U900),W900)=0,TRUE))</f>
        <v>0</v>
      </c>
      <c r="U900" s="197" t="str" cm="1">
        <f t="array" aca="1" ref="U900" ca="1">IFERROR(INDEX({"ddAltBronze","ddAltSilver"},MATCH(W898,INDIRECT(U898),0)),"XXX")</f>
        <v>XXX</v>
      </c>
      <c r="V900" s="94"/>
      <c r="W900" s="1484"/>
      <c r="X900" s="1770"/>
      <c r="Y900" s="2081"/>
      <c r="Z900" s="2084"/>
      <c r="AA900" s="1526"/>
      <c r="AB900" s="634"/>
      <c r="AC900" s="1606" t="b">
        <f ca="1">OR(AD900:AE900)</f>
        <v>0</v>
      </c>
      <c r="AD900" s="1606" t="b">
        <f ca="1">T900</f>
        <v>0</v>
      </c>
      <c r="AE900" s="1606" t="b">
        <f>AND(R900,ISBLANK(W900))</f>
        <v>0</v>
      </c>
      <c r="AF900" s="634"/>
      <c r="AG900" s="634"/>
      <c r="AH900" s="634"/>
      <c r="AI900" s="634"/>
      <c r="AJ900" s="634"/>
      <c r="AK900" s="634"/>
      <c r="AL900" s="1336"/>
      <c r="AM900" s="1336"/>
      <c r="AN900" s="1336"/>
      <c r="AO900" s="1336"/>
      <c r="AP900" s="254" t="str">
        <f>SUBSTITUTE(SUBSTITUTE(SUBSTITUTE("vch"&amp;$B900&amp;$C900&amp;$D900&amp;$E900,".","_"),"(","_"),")","")</f>
        <v>vch701_1_4_</v>
      </c>
      <c r="AQ900" s="254" t="str">
        <f>IF(LEN(W900)=0,"",W900)</f>
        <v/>
      </c>
      <c r="AR900" s="1336"/>
      <c r="AS900" s="1336"/>
      <c r="AT900" s="634"/>
      <c r="AU900" s="634"/>
      <c r="AV900" s="634"/>
      <c r="AW900" s="634"/>
      <c r="AX900" s="1065"/>
      <c r="AY900" s="1066"/>
      <c r="AZ900" s="634"/>
      <c r="BA900" s="634"/>
      <c r="BB900" s="634"/>
      <c r="BC900" s="634"/>
      <c r="BD900" s="634"/>
      <c r="BE900" s="634"/>
      <c r="BF900" s="634"/>
      <c r="BG900" s="634"/>
      <c r="BH900" s="634"/>
      <c r="BI900" s="634"/>
    </row>
    <row r="901" spans="1:61" s="1066" customFormat="1" x14ac:dyDescent="0.25">
      <c r="A901" s="2371">
        <v>7</v>
      </c>
      <c r="B901" s="2385" t="s">
        <v>817</v>
      </c>
      <c r="C901" s="2381"/>
      <c r="D901" s="2374"/>
      <c r="E901" s="2374"/>
      <c r="F901" s="2374"/>
      <c r="G901" s="2373" t="s">
        <v>3974</v>
      </c>
      <c r="H901" s="2371" t="s">
        <v>3971</v>
      </c>
      <c r="I901" s="129"/>
      <c r="J901" s="1071"/>
      <c r="K901" s="1071"/>
      <c r="L901" s="1782"/>
      <c r="M901" s="1069"/>
      <c r="N901" s="1927"/>
      <c r="O901" s="1927"/>
      <c r="P901" s="94"/>
      <c r="Q901" s="94"/>
      <c r="R901" s="94"/>
      <c r="S901" s="94"/>
      <c r="T901" s="94"/>
      <c r="U901" s="94"/>
      <c r="V901" s="94"/>
      <c r="W901" s="94"/>
      <c r="X901" s="1770"/>
      <c r="Y901" s="2081"/>
      <c r="Z901" s="2084"/>
      <c r="AA901" s="1526"/>
      <c r="AL901" s="1336"/>
      <c r="AM901" s="1336"/>
      <c r="AN901" s="1336"/>
      <c r="AO901" s="1336"/>
      <c r="AP901" s="1336"/>
      <c r="AQ901" s="1336"/>
      <c r="AR901" s="1336"/>
      <c r="AS901" s="1336"/>
      <c r="AX901" s="635" t="str">
        <f>'Overview (Verification)'!A30</f>
        <v xml:space="preserve">Project Description (optional): </v>
      </c>
      <c r="AY901" s="752">
        <f>IF(LEN('Overview (Verification)'!P30)=0,0,'Overview (Verification)'!P30)</f>
        <v>0</v>
      </c>
      <c r="AZ901" s="634"/>
      <c r="BA901" s="634"/>
      <c r="BB901" s="634"/>
      <c r="BC901" s="634"/>
      <c r="BD901" s="634"/>
      <c r="BE901" s="634"/>
      <c r="BF901" s="634"/>
      <c r="BG901" s="634"/>
      <c r="BH901" s="634"/>
      <c r="BI901" s="634"/>
    </row>
    <row r="902" spans="1:61" x14ac:dyDescent="0.25">
      <c r="A902" s="2371">
        <v>7</v>
      </c>
      <c r="B902" s="2385" t="s">
        <v>817</v>
      </c>
      <c r="C902" s="2381"/>
      <c r="D902" s="2374"/>
      <c r="E902" s="2374"/>
      <c r="F902" s="2374"/>
      <c r="G902" s="2373" t="s">
        <v>3974</v>
      </c>
      <c r="H902" s="2371" t="s">
        <v>3971</v>
      </c>
      <c r="I902" s="129"/>
      <c r="J902" s="636"/>
      <c r="K902" s="636"/>
      <c r="L902" s="1782"/>
      <c r="M902" s="1010"/>
      <c r="N902" s="1927"/>
      <c r="O902" s="1927"/>
      <c r="P902" s="94"/>
      <c r="Q902" s="94"/>
      <c r="R902" s="94"/>
      <c r="S902" s="94"/>
      <c r="T902" s="94"/>
      <c r="U902" s="94"/>
      <c r="V902" s="94"/>
      <c r="W902" s="94"/>
      <c r="X902" s="1770"/>
      <c r="Y902" s="2081"/>
      <c r="Z902" s="2084"/>
      <c r="AA902" s="1526"/>
      <c r="AB902" s="634"/>
      <c r="AC902" s="970"/>
      <c r="AD902" s="970"/>
      <c r="AE902" s="970"/>
      <c r="AF902" s="634"/>
      <c r="AG902" s="634"/>
      <c r="AH902" s="634"/>
      <c r="AI902" s="634"/>
      <c r="AJ902" s="634"/>
      <c r="AK902" s="634"/>
      <c r="AL902" s="1336"/>
      <c r="AM902" s="1336"/>
      <c r="AN902" s="1336"/>
      <c r="AO902" s="1336"/>
      <c r="AP902" s="1336"/>
      <c r="AQ902" s="1336"/>
      <c r="AR902" s="1336"/>
      <c r="AS902" s="1336"/>
      <c r="AT902" s="634"/>
      <c r="AU902" s="634"/>
      <c r="AV902" s="634"/>
      <c r="AW902" s="634"/>
      <c r="AX902" s="635"/>
      <c r="AY902" s="752"/>
      <c r="AZ902" s="634"/>
      <c r="BA902" s="634"/>
      <c r="BB902" s="634"/>
      <c r="BC902" s="634"/>
      <c r="BD902" s="634"/>
      <c r="BE902" s="634"/>
      <c r="BF902" s="634"/>
      <c r="BG902" s="634"/>
      <c r="BH902" s="634"/>
      <c r="BI902" s="634"/>
    </row>
    <row r="903" spans="1:61" x14ac:dyDescent="0.25">
      <c r="A903" s="2371">
        <v>7</v>
      </c>
      <c r="B903" s="2385" t="s">
        <v>817</v>
      </c>
      <c r="C903" s="2381"/>
      <c r="D903" s="2374"/>
      <c r="E903" s="2374"/>
      <c r="F903" s="2374"/>
      <c r="G903" s="2373" t="s">
        <v>3974</v>
      </c>
      <c r="H903" s="2371" t="s">
        <v>3971</v>
      </c>
      <c r="I903" s="129"/>
      <c r="J903" s="636"/>
      <c r="K903" s="636"/>
      <c r="L903" s="1782"/>
      <c r="M903" s="1010"/>
      <c r="N903" s="1927"/>
      <c r="O903" s="1927"/>
      <c r="P903" s="94"/>
      <c r="Q903" s="94"/>
      <c r="R903" s="94"/>
      <c r="S903" s="94"/>
      <c r="T903" s="94"/>
      <c r="U903" s="94"/>
      <c r="V903" s="94"/>
      <c r="W903" s="94"/>
      <c r="X903" s="1770"/>
      <c r="Y903" s="2081"/>
      <c r="Z903" s="2084"/>
      <c r="AA903" s="1526"/>
      <c r="AB903" s="634"/>
      <c r="AC903" s="970"/>
      <c r="AD903" s="970"/>
      <c r="AE903" s="970"/>
      <c r="AF903" s="634"/>
      <c r="AG903" s="634"/>
      <c r="AH903" s="634"/>
      <c r="AI903" s="634"/>
      <c r="AJ903" s="634"/>
      <c r="AK903" s="634"/>
      <c r="AL903" s="1336"/>
      <c r="AM903" s="1336"/>
      <c r="AN903" s="1336"/>
      <c r="AO903" s="1336"/>
      <c r="AP903" s="1336"/>
      <c r="AQ903" s="1336"/>
      <c r="AR903" s="1336"/>
      <c r="AS903" s="1336"/>
      <c r="AT903" s="634"/>
      <c r="AU903" s="634"/>
      <c r="AV903" s="634"/>
      <c r="AW903" s="634"/>
      <c r="AX903" s="635" t="str">
        <f>'Overview (Verification)'!A32</f>
        <v>Foundation Type:</v>
      </c>
      <c r="AY903" s="752">
        <f>IF(LEN('Overview (Verification)'!P32)=0,0,'Overview (Verification)'!P32)</f>
        <v>0</v>
      </c>
      <c r="AZ903" s="634"/>
      <c r="BA903" s="634"/>
      <c r="BB903" s="634"/>
      <c r="BC903" s="634"/>
      <c r="BD903" s="634"/>
      <c r="BE903" s="634"/>
      <c r="BF903" s="634"/>
      <c r="BG903" s="634"/>
      <c r="BH903" s="634"/>
      <c r="BI903" s="634"/>
    </row>
    <row r="904" spans="1:61" x14ac:dyDescent="0.25">
      <c r="A904" s="2371">
        <v>7</v>
      </c>
      <c r="B904" s="2385" t="s">
        <v>817</v>
      </c>
      <c r="C904" s="2381"/>
      <c r="D904" s="2374"/>
      <c r="E904" s="2374"/>
      <c r="F904" s="2374"/>
      <c r="G904" s="2373" t="s">
        <v>3974</v>
      </c>
      <c r="H904" s="2371" t="s">
        <v>3971</v>
      </c>
      <c r="I904" s="129"/>
      <c r="J904" s="636"/>
      <c r="K904" s="636"/>
      <c r="L904" s="1782"/>
      <c r="M904" s="1010"/>
      <c r="N904" s="1927"/>
      <c r="O904" s="1927"/>
      <c r="P904" s="94"/>
      <c r="Q904" s="94"/>
      <c r="R904" s="94"/>
      <c r="S904" s="94"/>
      <c r="T904" s="94"/>
      <c r="U904" s="94"/>
      <c r="V904" s="94"/>
      <c r="W904" s="94"/>
      <c r="X904" s="1770"/>
      <c r="Y904" s="2081"/>
      <c r="Z904" s="2084"/>
      <c r="AA904" s="1526"/>
      <c r="AB904" s="634"/>
      <c r="AC904" s="970"/>
      <c r="AD904" s="970"/>
      <c r="AE904" s="970"/>
      <c r="AF904" s="634"/>
      <c r="AG904" s="634"/>
      <c r="AH904" s="634"/>
      <c r="AI904" s="634"/>
      <c r="AJ904" s="634"/>
      <c r="AK904" s="634"/>
      <c r="AL904" s="1336"/>
      <c r="AM904" s="1336"/>
      <c r="AN904" s="1336"/>
      <c r="AO904" s="1336"/>
      <c r="AP904" s="1336"/>
      <c r="AQ904" s="1336"/>
      <c r="AR904" s="1336"/>
      <c r="AS904" s="1336"/>
      <c r="AT904" s="634"/>
      <c r="AU904" s="634"/>
      <c r="AV904" s="634"/>
      <c r="AW904" s="634"/>
      <c r="AX904" s="635"/>
      <c r="AY904" s="752"/>
    </row>
    <row r="905" spans="1:61" x14ac:dyDescent="0.25">
      <c r="A905" s="2371">
        <v>7</v>
      </c>
      <c r="B905" s="2385" t="s">
        <v>817</v>
      </c>
      <c r="C905" s="2381"/>
      <c r="D905" s="2374"/>
      <c r="E905" s="2374"/>
      <c r="F905" s="2374"/>
      <c r="G905" s="2373" t="s">
        <v>3974</v>
      </c>
      <c r="H905" s="2371" t="s">
        <v>3971</v>
      </c>
      <c r="I905" s="129"/>
      <c r="J905" s="1607"/>
      <c r="K905" s="1607"/>
      <c r="L905" s="1782"/>
      <c r="M905" s="1610"/>
      <c r="N905" s="1927"/>
      <c r="O905" s="1927"/>
      <c r="P905" s="94"/>
      <c r="Q905" s="94"/>
      <c r="R905" s="94"/>
      <c r="S905" s="94"/>
      <c r="T905" s="94"/>
      <c r="U905" s="94"/>
      <c r="V905" s="94"/>
      <c r="W905" s="94"/>
      <c r="X905" s="1770"/>
      <c r="Y905" s="2081"/>
      <c r="Z905" s="2084"/>
      <c r="AA905" s="1526"/>
      <c r="AB905" s="634"/>
      <c r="AC905" s="970"/>
      <c r="AD905" s="970"/>
      <c r="AE905" s="970"/>
      <c r="AF905" s="634"/>
      <c r="AG905" s="634"/>
      <c r="AH905" s="634"/>
      <c r="AI905" s="634"/>
      <c r="AJ905" s="634"/>
      <c r="AK905" s="634"/>
      <c r="AL905" s="1336"/>
      <c r="AM905" s="1336"/>
      <c r="AN905" s="1336"/>
      <c r="AO905" s="1336"/>
      <c r="AP905" s="1336"/>
      <c r="AQ905" s="1336"/>
      <c r="AR905" s="1336"/>
      <c r="AS905" s="1336"/>
      <c r="AT905" s="634"/>
      <c r="AU905" s="634"/>
      <c r="AV905" s="634"/>
      <c r="AW905" s="634"/>
      <c r="AX905" s="635" t="str">
        <f>'Overview (Verification)'!A34</f>
        <v>Type of Heating System (main system):</v>
      </c>
      <c r="AY905" s="752">
        <f>IF(LEN('Overview (Verification)'!P34)=0,0,'Overview (Verification)'!P34)</f>
        <v>0</v>
      </c>
    </row>
    <row r="906" spans="1:61" s="1606" customFormat="1" ht="15.75" thickBot="1" x14ac:dyDescent="0.3">
      <c r="A906" s="2371">
        <v>7</v>
      </c>
      <c r="B906" s="2385" t="s">
        <v>817</v>
      </c>
      <c r="C906" s="2381"/>
      <c r="D906" s="2374"/>
      <c r="E906" s="2374"/>
      <c r="F906" s="2374"/>
      <c r="G906" s="2373" t="s">
        <v>3974</v>
      </c>
      <c r="H906" s="2371" t="s">
        <v>3971</v>
      </c>
      <c r="I906" s="99"/>
      <c r="J906" s="99"/>
      <c r="K906" s="99"/>
      <c r="L906" s="2347" t="s">
        <v>5677</v>
      </c>
      <c r="M906" s="99"/>
      <c r="N906" s="99"/>
      <c r="O906" s="99"/>
      <c r="P906" s="99"/>
      <c r="Q906" s="99"/>
      <c r="R906" s="99"/>
      <c r="S906" s="99"/>
      <c r="T906" s="99"/>
      <c r="U906" s="99"/>
      <c r="V906" s="99"/>
      <c r="W906" s="99"/>
      <c r="X906" s="99"/>
      <c r="Y906" s="99"/>
      <c r="Z906" s="99"/>
      <c r="AX906" s="635" t="str">
        <f>'Overview (Verification)'!A35</f>
        <v>Type of Heating System (system 2):</v>
      </c>
      <c r="AY906" s="752">
        <f>IF(LEN('Overview (Verification)'!P35)=0,0,'Overview (Verification)'!P35)</f>
        <v>0</v>
      </c>
    </row>
    <row r="907" spans="1:61" ht="15.75" thickTop="1" x14ac:dyDescent="0.25">
      <c r="A907" s="2371">
        <v>7</v>
      </c>
      <c r="B907" s="2385" t="s">
        <v>4227</v>
      </c>
      <c r="C907" s="2381"/>
      <c r="D907" s="2374"/>
      <c r="E907" s="2374"/>
      <c r="F907" s="2374"/>
      <c r="G907" s="2373" t="s">
        <v>3974</v>
      </c>
      <c r="H907" s="2371" t="s">
        <v>3971</v>
      </c>
      <c r="I907" s="87" t="s">
        <v>4227</v>
      </c>
      <c r="J907" s="845"/>
      <c r="K907" s="845"/>
      <c r="L907" s="1836" t="s">
        <v>4228</v>
      </c>
      <c r="M907" s="1010"/>
      <c r="N907" s="664"/>
      <c r="O907" s="1927"/>
      <c r="P907" s="911"/>
      <c r="Q907" s="911"/>
      <c r="R907" s="911"/>
      <c r="S907" s="911"/>
      <c r="T907" s="911"/>
      <c r="U907" s="911"/>
      <c r="V907"/>
      <c r="W907"/>
      <c r="X907" s="911"/>
      <c r="Y907"/>
      <c r="AA907" s="1526"/>
      <c r="AC907" s="970"/>
      <c r="AD907" s="970"/>
      <c r="AE907" s="970"/>
      <c r="AF907"/>
      <c r="AG907"/>
      <c r="AH907"/>
      <c r="AI907"/>
      <c r="AJ907"/>
      <c r="AK907"/>
      <c r="AL907" s="1336"/>
      <c r="AM907" s="1336"/>
      <c r="AN907" s="1336"/>
      <c r="AO907" s="1336"/>
      <c r="AP907" s="1336"/>
      <c r="AQ907" s="1336"/>
      <c r="AR907" s="1336"/>
      <c r="AS907" s="1336"/>
      <c r="AT907"/>
      <c r="AX907" s="635" t="str">
        <f>'Overview (Verification)'!A36</f>
        <v>Type of Heating System (system 3):</v>
      </c>
      <c r="AY907" s="752">
        <f>IF(LEN('Overview (Verification)'!P36)=0,0,'Overview (Verification)'!P36)</f>
        <v>0</v>
      </c>
    </row>
    <row r="908" spans="1:61" x14ac:dyDescent="0.25">
      <c r="A908" s="2371">
        <v>7</v>
      </c>
      <c r="B908" s="2385" t="s">
        <v>4227</v>
      </c>
      <c r="C908" s="2381"/>
      <c r="D908" s="2374"/>
      <c r="E908" s="2374"/>
      <c r="F908" s="2374"/>
      <c r="G908" s="2373" t="s">
        <v>3974</v>
      </c>
      <c r="H908" s="2371" t="s">
        <v>3971</v>
      </c>
      <c r="I908" s="90"/>
      <c r="J908" s="845"/>
      <c r="K908" s="845"/>
      <c r="L908" s="1836"/>
      <c r="M908" s="1010"/>
      <c r="N908" s="664"/>
      <c r="O908" s="1927"/>
      <c r="P908" s="911"/>
      <c r="Q908" s="911"/>
      <c r="R908" s="911"/>
      <c r="S908" s="911"/>
      <c r="T908" s="911"/>
      <c r="U908" s="911"/>
      <c r="V908"/>
      <c r="W908"/>
      <c r="X908" s="911"/>
      <c r="Y908"/>
      <c r="AA908" s="1526"/>
      <c r="AC908" s="970"/>
      <c r="AD908" s="970"/>
      <c r="AE908" s="970"/>
      <c r="AF908"/>
      <c r="AG908"/>
      <c r="AH908"/>
      <c r="AI908"/>
      <c r="AJ908"/>
      <c r="AK908"/>
      <c r="AL908" s="1336"/>
      <c r="AM908" s="1336"/>
      <c r="AN908" s="1336"/>
      <c r="AO908" s="1336"/>
      <c r="AP908" s="1336"/>
      <c r="AQ908" s="1336"/>
      <c r="AR908" s="1336"/>
      <c r="AS908" s="1336"/>
      <c r="AT908"/>
      <c r="AX908" s="635" t="str">
        <f>'Overview (Verification)'!A37</f>
        <v>Primary Heating Fuel:</v>
      </c>
      <c r="AY908" s="752">
        <f>IF(LEN('Overview (Verification)'!P37)=0,0,'Overview (Verification)'!P37)</f>
        <v>0</v>
      </c>
    </row>
    <row r="909" spans="1:61" x14ac:dyDescent="0.25">
      <c r="A909" s="2371">
        <v>7</v>
      </c>
      <c r="B909" s="2385" t="s">
        <v>4227</v>
      </c>
      <c r="C909" s="2381"/>
      <c r="D909" s="2374"/>
      <c r="E909" s="2374"/>
      <c r="F909" s="2374"/>
      <c r="G909" s="2373" t="s">
        <v>3974</v>
      </c>
      <c r="H909" s="2371" t="s">
        <v>3971</v>
      </c>
      <c r="I909" s="90"/>
      <c r="J909" s="845"/>
      <c r="K909" s="845"/>
      <c r="L909" s="1877"/>
      <c r="M909" s="1010"/>
      <c r="N909" s="664"/>
      <c r="O909" s="1927"/>
      <c r="P909" s="911"/>
      <c r="Q909" s="911"/>
      <c r="R909" s="911"/>
      <c r="S909" s="911"/>
      <c r="T909" s="911"/>
      <c r="U909" s="911"/>
      <c r="V909"/>
      <c r="W909"/>
      <c r="X909" s="911"/>
      <c r="Y909"/>
      <c r="AA909" s="1526"/>
      <c r="AC909" s="970"/>
      <c r="AD909" s="970"/>
      <c r="AE909" s="970"/>
      <c r="AF909"/>
      <c r="AG909"/>
      <c r="AH909"/>
      <c r="AI909"/>
      <c r="AJ909"/>
      <c r="AK909"/>
      <c r="AL909" s="1336"/>
      <c r="AM909" s="1336"/>
      <c r="AN909" s="1336"/>
      <c r="AO909" s="1336"/>
      <c r="AP909" s="1336"/>
      <c r="AQ909" s="1336"/>
      <c r="AR909" s="1336"/>
      <c r="AS909" s="1336"/>
      <c r="AT909"/>
      <c r="AX909" s="635" t="str">
        <f>'Overview (Verification)'!A38</f>
        <v>Heating Ducts:</v>
      </c>
      <c r="AY909" s="752">
        <f>IF(LEN('Overview (Verification)'!P38)=0,0,'Overview (Verification)'!P38)</f>
        <v>0</v>
      </c>
    </row>
    <row r="910" spans="1:61" s="1606" customFormat="1" x14ac:dyDescent="0.25">
      <c r="A910" s="2371">
        <v>7</v>
      </c>
      <c r="B910" s="2385" t="s">
        <v>4227</v>
      </c>
      <c r="C910" s="2381"/>
      <c r="D910" s="2374"/>
      <c r="E910" s="2374"/>
      <c r="F910" s="2374"/>
      <c r="G910" s="2373" t="s">
        <v>3974</v>
      </c>
      <c r="H910" s="2371" t="s">
        <v>3971</v>
      </c>
      <c r="I910" s="90"/>
      <c r="J910" s="845"/>
      <c r="K910" s="845"/>
      <c r="L910" s="2348" t="s">
        <v>5677</v>
      </c>
      <c r="M910" s="1610"/>
      <c r="N910" s="664"/>
      <c r="O910" s="1616"/>
      <c r="Z910" s="731"/>
      <c r="AX910" s="635" t="str">
        <f>'Overview (Verification)'!A39</f>
        <v>Type of Cooling System (main system):</v>
      </c>
      <c r="AY910" s="752">
        <f>IF(LEN('Overview (Verification)'!P39)=0,0,'Overview (Verification)'!P39)</f>
        <v>0</v>
      </c>
    </row>
    <row r="911" spans="1:61" x14ac:dyDescent="0.25">
      <c r="A911" s="2371">
        <v>7</v>
      </c>
      <c r="B911" s="2385" t="s">
        <v>4227</v>
      </c>
      <c r="C911" s="2382" t="s">
        <v>256</v>
      </c>
      <c r="D911" s="2382"/>
      <c r="E911" s="2374"/>
      <c r="F911" s="2374"/>
      <c r="G911" s="2373" t="s">
        <v>3974</v>
      </c>
      <c r="H911" s="2371" t="s">
        <v>3971</v>
      </c>
      <c r="I911" s="90"/>
      <c r="J911" s="684" t="s">
        <v>256</v>
      </c>
      <c r="K911" s="863"/>
      <c r="L911" s="1153" t="s">
        <v>4229</v>
      </c>
      <c r="M911" s="1024" t="str">
        <f ca="1">IF(R911,"Mandatory","N/A")</f>
        <v>N/A</v>
      </c>
      <c r="N911" s="1041"/>
      <c r="O911" s="1047"/>
      <c r="P911" s="178" t="b">
        <v>1</v>
      </c>
      <c r="Q911" s="178" t="b">
        <v>1</v>
      </c>
      <c r="R911" s="178" t="b">
        <f ca="1">S911</f>
        <v>0</v>
      </c>
      <c r="S911" s="178" t="b">
        <f ca="1">IFERROR(S883=5,FALSE)</f>
        <v>0</v>
      </c>
      <c r="T911" s="178" t="b">
        <f ca="1">AND(NOT(S911),W911=TRUE)</f>
        <v>0</v>
      </c>
      <c r="U911" s="178"/>
      <c r="V911" s="538"/>
      <c r="W911" s="25"/>
      <c r="X911" s="918"/>
      <c r="Y911" s="988" t="str">
        <f>IF(LEN('Ch7'!X41)=0,"None",'Ch7'!X41)</f>
        <v>None</v>
      </c>
      <c r="Z911" s="1587"/>
      <c r="AA911" s="1526"/>
      <c r="AC911" s="970" t="b">
        <f ca="1">OR(AD911:AE911)</f>
        <v>0</v>
      </c>
      <c r="AD911" s="970" t="b">
        <f ca="1">T911</f>
        <v>0</v>
      </c>
      <c r="AE911" s="970" t="b">
        <f ca="1">AND(R911,NOT(W911))</f>
        <v>0</v>
      </c>
      <c r="AF911" s="911"/>
      <c r="AG911"/>
      <c r="AH911"/>
      <c r="AI911"/>
      <c r="AJ911"/>
      <c r="AK911"/>
      <c r="AL911" s="254" t="str">
        <f>SUBSTITUTE(SUBSTITUTE(SUBSTITUTE("vpa"&amp;$B911&amp;$C911&amp;$D911&amp;$E911,".","_"),"(","_"),")","")</f>
        <v>vpa701_1_6_1</v>
      </c>
      <c r="AM911" s="254" t="str">
        <f ca="1">M911</f>
        <v>N/A</v>
      </c>
      <c r="AN911" s="1336"/>
      <c r="AO911" s="1336"/>
      <c r="AP911" s="254" t="str">
        <f>SUBSTITUTE(SUBSTITUTE(SUBSTITUTE("vch"&amp;$B911&amp;$C911&amp;$D911&amp;$E911,".","_"),"(","_"),")","")</f>
        <v>vch701_1_6_1</v>
      </c>
      <c r="AQ911" s="254" t="str">
        <f>IF(LEN(W911)=0,"",W911)</f>
        <v/>
      </c>
      <c r="AR911" s="254" t="str">
        <f>SUBSTITUTE(SUBSTITUTE(SUBSTITUTE("vnt"&amp;$B911&amp;$C911&amp;$D911&amp;$E911,".","_"),"(","_"),")","")</f>
        <v>vnt701_1_6_1</v>
      </c>
      <c r="AS911" s="254" t="str">
        <f>IF(LEN(X911)=0,"",X911)</f>
        <v/>
      </c>
      <c r="AT911"/>
      <c r="AX911" s="635" t="str">
        <f>'Overview (Verification)'!A40</f>
        <v>Type of Cooling System (system 2):</v>
      </c>
      <c r="AY911" s="752">
        <f>IF(LEN('Overview (Verification)'!P40)=0,0,'Overview (Verification)'!P40)</f>
        <v>0</v>
      </c>
    </row>
    <row r="912" spans="1:61" ht="15" customHeight="1" x14ac:dyDescent="0.25">
      <c r="A912" s="2371">
        <v>7</v>
      </c>
      <c r="B912" s="2385" t="s">
        <v>4227</v>
      </c>
      <c r="C912" s="2382" t="s">
        <v>258</v>
      </c>
      <c r="D912" s="2382"/>
      <c r="E912" s="2374"/>
      <c r="F912" s="2374"/>
      <c r="G912" s="2373" t="s">
        <v>3974</v>
      </c>
      <c r="H912" s="2371" t="s">
        <v>3971</v>
      </c>
      <c r="I912" s="90"/>
      <c r="J912" s="693" t="s">
        <v>258</v>
      </c>
      <c r="K912" s="993"/>
      <c r="L912" s="1769" t="s">
        <v>4230</v>
      </c>
      <c r="M912" s="1872" t="str">
        <f ca="1">IF(R912,"Mandatory","N/A")</f>
        <v>N/A</v>
      </c>
      <c r="N912" s="1055"/>
      <c r="O912" s="1056"/>
      <c r="P912" s="195" t="b">
        <v>1</v>
      </c>
      <c r="Q912" s="195" t="b">
        <v>1</v>
      </c>
      <c r="R912" s="195" t="b">
        <f ca="1">S912</f>
        <v>0</v>
      </c>
      <c r="S912" s="195" t="b">
        <f ca="1">IFERROR(S883=5,FALSE)</f>
        <v>0</v>
      </c>
      <c r="T912" s="195" t="b">
        <f ca="1">AND(NOT(S912),W912=TRUE)</f>
        <v>0</v>
      </c>
      <c r="U912" s="195"/>
      <c r="V912" s="195"/>
      <c r="W912" s="25"/>
      <c r="X912" s="1798"/>
      <c r="Y912" s="2099" t="str">
        <f>IF(LEN('Ch7'!X42)=0,"None",'Ch7'!X42)</f>
        <v>None</v>
      </c>
      <c r="Z912" s="2087"/>
      <c r="AA912" s="1526"/>
      <c r="AC912" s="970" t="b">
        <f ca="1">OR(AD912:AE912)</f>
        <v>0</v>
      </c>
      <c r="AD912" s="970" t="b">
        <f ca="1">T912</f>
        <v>0</v>
      </c>
      <c r="AE912" s="970" t="b">
        <f ca="1">AND(R912,NOT(W912))</f>
        <v>0</v>
      </c>
      <c r="AF912" s="911"/>
      <c r="AG912"/>
      <c r="AH912"/>
      <c r="AI912"/>
      <c r="AJ912"/>
      <c r="AK912"/>
      <c r="AL912" s="254" t="str">
        <f>SUBSTITUTE(SUBSTITUTE(SUBSTITUTE("vpa"&amp;$B912&amp;$C912&amp;$D912&amp;$E912,".","_"),"(","_"),")","")</f>
        <v>vpa701_1_6_2</v>
      </c>
      <c r="AM912" s="254" t="str">
        <f ca="1">M912</f>
        <v>N/A</v>
      </c>
      <c r="AN912" s="1336"/>
      <c r="AO912" s="1336"/>
      <c r="AP912" s="254" t="str">
        <f>SUBSTITUTE(SUBSTITUTE(SUBSTITUTE("vch"&amp;$B912&amp;$C912&amp;$D912&amp;$E912,".","_"),"(","_"),")","")</f>
        <v>vch701_1_6_2</v>
      </c>
      <c r="AQ912" s="254" t="str">
        <f>IF(LEN(W912)=0,"",W912)</f>
        <v/>
      </c>
      <c r="AR912" s="254" t="str">
        <f>SUBSTITUTE(SUBSTITUTE(SUBSTITUTE("vnt"&amp;$B912&amp;$C912&amp;$D912&amp;$E912,".","_"),"(","_"),")","")</f>
        <v>vnt701_1_6_2</v>
      </c>
      <c r="AS912" s="254" t="str">
        <f>IF(LEN(X912)=0,"",X912)</f>
        <v/>
      </c>
      <c r="AT912"/>
      <c r="AX912" s="635" t="str">
        <f>'Overview (Verification)'!A41</f>
        <v>Type of Cooling System (system 3):</v>
      </c>
      <c r="AY912" s="752">
        <f>IF(LEN('Overview (Verification)'!P41)=0,0,'Overview (Verification)'!P41)</f>
        <v>0</v>
      </c>
    </row>
    <row r="913" spans="1:51" x14ac:dyDescent="0.25">
      <c r="A913" s="2371">
        <v>7</v>
      </c>
      <c r="B913" s="2385" t="s">
        <v>4227</v>
      </c>
      <c r="C913" s="2382" t="s">
        <v>258</v>
      </c>
      <c r="D913" s="2382"/>
      <c r="E913" s="2374"/>
      <c r="F913" s="2374"/>
      <c r="G913" s="2373" t="s">
        <v>3974</v>
      </c>
      <c r="H913" s="2371" t="s">
        <v>3971</v>
      </c>
      <c r="I913" s="90"/>
      <c r="J913" s="684"/>
      <c r="K913" s="863"/>
      <c r="L913" s="1786"/>
      <c r="M913" s="1844"/>
      <c r="N913" s="1041"/>
      <c r="O913" s="1047"/>
      <c r="P913" s="210"/>
      <c r="Q913" s="210"/>
      <c r="R913" s="178"/>
      <c r="S913" s="178"/>
      <c r="T913" s="178"/>
      <c r="U913" s="178"/>
      <c r="V913" s="178"/>
      <c r="W913"/>
      <c r="X913" s="1756"/>
      <c r="Y913" s="2097"/>
      <c r="Z913" s="2085"/>
      <c r="AA913" s="1526"/>
      <c r="AC913" s="970"/>
      <c r="AD913" s="970"/>
      <c r="AE913" s="970"/>
      <c r="AF913"/>
      <c r="AG913"/>
      <c r="AH913"/>
      <c r="AI913"/>
      <c r="AJ913"/>
      <c r="AK913"/>
      <c r="AL913" s="1336"/>
      <c r="AM913" s="1336"/>
      <c r="AN913" s="1336"/>
      <c r="AO913" s="1336"/>
      <c r="AP913" s="1336"/>
      <c r="AQ913" s="1336"/>
      <c r="AR913" s="1336"/>
      <c r="AS913" s="1336"/>
      <c r="AT913"/>
      <c r="AX913" s="635" t="str">
        <f>'Overview (Verification)'!A42</f>
        <v>Cooling Ducts:</v>
      </c>
      <c r="AY913" s="752">
        <f>IF(LEN('Overview (Verification)'!P42)=0,0,'Overview (Verification)'!P42)</f>
        <v>0</v>
      </c>
    </row>
    <row r="914" spans="1:51" x14ac:dyDescent="0.25">
      <c r="A914" s="2371">
        <v>7</v>
      </c>
      <c r="B914" s="2385" t="s">
        <v>4227</v>
      </c>
      <c r="C914" s="2382" t="s">
        <v>260</v>
      </c>
      <c r="D914" s="2382"/>
      <c r="E914" s="2374"/>
      <c r="F914" s="2374"/>
      <c r="G914" s="2373" t="s">
        <v>3974</v>
      </c>
      <c r="H914" s="2371" t="s">
        <v>3971</v>
      </c>
      <c r="I914" s="90"/>
      <c r="J914" s="691" t="s">
        <v>260</v>
      </c>
      <c r="K914" s="994"/>
      <c r="L914" s="858" t="s">
        <v>4231</v>
      </c>
      <c r="M914" s="766" t="str">
        <f ca="1">IF(R914,"Mandatory","N/A")</f>
        <v>N/A</v>
      </c>
      <c r="N914" s="1057"/>
      <c r="O914" s="1049"/>
      <c r="P914" s="211" t="b">
        <v>1</v>
      </c>
      <c r="Q914" s="211" t="b">
        <v>1</v>
      </c>
      <c r="R914" s="211" t="b">
        <f ca="1">S914</f>
        <v>0</v>
      </c>
      <c r="S914" s="211" t="b">
        <f ca="1">IFERROR(S883=5,FALSE)</f>
        <v>0</v>
      </c>
      <c r="T914" s="211" t="b">
        <f ca="1">AND(NOT(S914),LEN(W914)&gt;0)</f>
        <v>0</v>
      </c>
      <c r="U914" s="211" t="str">
        <f>SUBSTITUTE(SUBSTITUTE(SUBSTITUTE("dd"&amp;B913&amp;C913&amp;D913&amp;E913&amp;F913,".","_"),"(","_"),")","")</f>
        <v>dd701_1_6_2</v>
      </c>
      <c r="V914" s="934"/>
      <c r="W914" s="12"/>
      <c r="X914" s="918"/>
      <c r="Y914" s="988" t="str">
        <f>IF(LEN('Ch7'!X44)=0,"None",'Ch7'!X44)</f>
        <v>None</v>
      </c>
      <c r="Z914" s="1587"/>
      <c r="AA914" s="1526"/>
      <c r="AC914" s="970" t="b">
        <f ca="1">OR(AD914:AE914)</f>
        <v>0</v>
      </c>
      <c r="AD914" s="970" t="b">
        <f ca="1">T914</f>
        <v>0</v>
      </c>
      <c r="AE914" s="970" t="b">
        <f ca="1">AND(R914,OR(W914="Not Met",W914=""))</f>
        <v>0</v>
      </c>
      <c r="AF914" s="911"/>
      <c r="AG914"/>
      <c r="AH914"/>
      <c r="AI914"/>
      <c r="AJ914"/>
      <c r="AK914"/>
      <c r="AL914" s="254" t="str">
        <f>SUBSTITUTE(SUBSTITUTE(SUBSTITUTE("vpa"&amp;$B914&amp;$C914&amp;$D914&amp;$E914,".","_"),"(","_"),")","")</f>
        <v>vpa701_1_6_3</v>
      </c>
      <c r="AM914" s="254" t="str">
        <f ca="1">M914</f>
        <v>N/A</v>
      </c>
      <c r="AN914" s="1336"/>
      <c r="AO914" s="1336"/>
      <c r="AP914" s="254" t="str">
        <f>SUBSTITUTE(SUBSTITUTE(SUBSTITUTE("vch"&amp;$B914&amp;$C914&amp;$D914&amp;$E914,".","_"),"(","_"),")","")</f>
        <v>vch701_1_6_3</v>
      </c>
      <c r="AQ914" s="254" t="str">
        <f>IF(LEN(W914)=0,"",W914)</f>
        <v/>
      </c>
      <c r="AR914" s="254" t="str">
        <f>SUBSTITUTE(SUBSTITUTE(SUBSTITUTE("vnt"&amp;$B914&amp;$C914&amp;$D914&amp;$E914,".","_"),"(","_"),")","")</f>
        <v>vnt701_1_6_3</v>
      </c>
      <c r="AS914" s="254" t="str">
        <f>IF(LEN(X914)=0,"",X914)</f>
        <v/>
      </c>
      <c r="AT914"/>
      <c r="AX914" s="635"/>
      <c r="AY914" s="752"/>
    </row>
    <row r="915" spans="1:51" ht="15" customHeight="1" x14ac:dyDescent="0.25">
      <c r="A915" s="2371">
        <v>7</v>
      </c>
      <c r="B915" s="2385" t="s">
        <v>4227</v>
      </c>
      <c r="C915" s="2382" t="s">
        <v>269</v>
      </c>
      <c r="D915" s="2382"/>
      <c r="E915" s="2374"/>
      <c r="F915" s="2374"/>
      <c r="G915" s="2373" t="s">
        <v>3974</v>
      </c>
      <c r="H915" s="2371" t="s">
        <v>3971</v>
      </c>
      <c r="I915" s="90"/>
      <c r="J915" s="693" t="s">
        <v>269</v>
      </c>
      <c r="K915" s="993"/>
      <c r="L915" s="1769" t="s">
        <v>4232</v>
      </c>
      <c r="M915" s="1837" t="str">
        <f ca="1">IF(R915,"Mandatory","N/A")</f>
        <v>N/A</v>
      </c>
      <c r="N915" s="664"/>
      <c r="O915" s="1042"/>
      <c r="P915" s="911" t="b">
        <v>1</v>
      </c>
      <c r="Q915" s="911" t="b">
        <v>1</v>
      </c>
      <c r="R915" s="911" t="b">
        <f ca="1">S915</f>
        <v>0</v>
      </c>
      <c r="S915" s="911" t="b">
        <f ca="1">IFERROR(S883=5,FALSE)</f>
        <v>0</v>
      </c>
      <c r="T915" s="911" t="b">
        <f ca="1">AND(NOT(S915),W915=TRUE)</f>
        <v>0</v>
      </c>
      <c r="U915" s="911"/>
      <c r="V915"/>
      <c r="W915" s="25"/>
      <c r="X915" s="1798"/>
      <c r="Y915" s="2099" t="str">
        <f>IF(LEN('Ch7'!X45)=0,"None",'Ch7'!X45)</f>
        <v>None</v>
      </c>
      <c r="Z915" s="2087"/>
      <c r="AA915" s="1526"/>
      <c r="AC915" s="970" t="b">
        <f ca="1">OR(AD915:AE915)</f>
        <v>0</v>
      </c>
      <c r="AD915" s="970" t="b">
        <f ca="1">T915</f>
        <v>0</v>
      </c>
      <c r="AE915" s="970" t="b">
        <f ca="1">AND(R915,NOT(W915))</f>
        <v>0</v>
      </c>
      <c r="AF915" s="911"/>
      <c r="AG915"/>
      <c r="AH915"/>
      <c r="AI915"/>
      <c r="AJ915"/>
      <c r="AK915"/>
      <c r="AL915" s="254" t="str">
        <f>SUBSTITUTE(SUBSTITUTE(SUBSTITUTE("vpa"&amp;$B915&amp;$C915&amp;$D915&amp;$E915,".","_"),"(","_"),")","")</f>
        <v>vpa701_1_6_4</v>
      </c>
      <c r="AM915" s="254" t="str">
        <f ca="1">M915</f>
        <v>N/A</v>
      </c>
      <c r="AN915" s="1336"/>
      <c r="AO915" s="1336"/>
      <c r="AP915" s="254" t="str">
        <f>SUBSTITUTE(SUBSTITUTE(SUBSTITUTE("vch"&amp;$B915&amp;$C915&amp;$D915&amp;$E915,".","_"),"(","_"),")","")</f>
        <v>vch701_1_6_4</v>
      </c>
      <c r="AQ915" s="254" t="str">
        <f>IF(LEN(W915)=0,"",W915)</f>
        <v/>
      </c>
      <c r="AR915" s="254" t="str">
        <f>SUBSTITUTE(SUBSTITUTE(SUBSTITUTE("vnt"&amp;$B915&amp;$C915&amp;$D915&amp;$E915,".","_"),"(","_"),")","")</f>
        <v>vnt701_1_6_4</v>
      </c>
      <c r="AS915" s="254" t="str">
        <f>IF(LEN(X915)=0,"",X915)</f>
        <v/>
      </c>
      <c r="AT915"/>
      <c r="AX915" s="635" t="str">
        <f>'Overview (Verification)'!A44</f>
        <v>Maximum window and door SHGC:</v>
      </c>
      <c r="AY915" s="752">
        <f>IF(LEN('Overview (Verification)'!P44)=0,0,'Overview (Verification)'!P44)</f>
        <v>0</v>
      </c>
    </row>
    <row r="916" spans="1:51" x14ac:dyDescent="0.25">
      <c r="A916" s="2371">
        <v>7</v>
      </c>
      <c r="B916" s="2385" t="s">
        <v>4227</v>
      </c>
      <c r="C916" s="2382" t="s">
        <v>269</v>
      </c>
      <c r="D916" s="2382"/>
      <c r="E916" s="2374"/>
      <c r="F916" s="2374"/>
      <c r="G916" s="2373" t="s">
        <v>3974</v>
      </c>
      <c r="H916" s="2371" t="s">
        <v>3971</v>
      </c>
      <c r="I916" s="90"/>
      <c r="J916" s="684"/>
      <c r="K916" s="863"/>
      <c r="L916" s="1786"/>
      <c r="M916" s="1844"/>
      <c r="N916" s="1041"/>
      <c r="O916" s="1047"/>
      <c r="P916" s="210"/>
      <c r="Q916" s="210"/>
      <c r="R916" s="178"/>
      <c r="S916" s="178"/>
      <c r="T916" s="178"/>
      <c r="U916" s="178"/>
      <c r="V916" s="178"/>
      <c r="W916"/>
      <c r="X916" s="1756"/>
      <c r="Y916" s="2097"/>
      <c r="Z916" s="2085"/>
      <c r="AA916" s="1526"/>
      <c r="AC916" s="970"/>
      <c r="AD916" s="970"/>
      <c r="AE916" s="970"/>
      <c r="AF916"/>
      <c r="AG916"/>
      <c r="AH916"/>
      <c r="AI916"/>
      <c r="AJ916"/>
      <c r="AK916"/>
      <c r="AL916" s="1336"/>
      <c r="AM916" s="1336"/>
      <c r="AN916" s="1336"/>
      <c r="AO916" s="1336"/>
      <c r="AP916" s="1336"/>
      <c r="AQ916" s="1336"/>
      <c r="AR916" s="1336"/>
      <c r="AS916" s="1336"/>
      <c r="AT916"/>
      <c r="AX916" s="635" t="str">
        <f>'Overview (Verification)'!A45</f>
        <v>Maximum skylight SHGC:</v>
      </c>
      <c r="AY916" s="752">
        <f>IF(LEN('Overview (Verification)'!P45)=0,0,'Overview (Verification)'!P45)</f>
        <v>0</v>
      </c>
    </row>
    <row r="917" spans="1:51" ht="15" customHeight="1" x14ac:dyDescent="0.25">
      <c r="A917" s="2371">
        <v>7</v>
      </c>
      <c r="B917" s="2385" t="s">
        <v>4227</v>
      </c>
      <c r="C917" s="2382" t="s">
        <v>275</v>
      </c>
      <c r="D917" s="2382"/>
      <c r="E917" s="2374"/>
      <c r="F917" s="2374"/>
      <c r="G917" s="2373" t="s">
        <v>3974</v>
      </c>
      <c r="H917" s="2371" t="s">
        <v>3971</v>
      </c>
      <c r="I917" s="90"/>
      <c r="J917" s="693" t="s">
        <v>275</v>
      </c>
      <c r="K917" s="993"/>
      <c r="L917" s="1769" t="s">
        <v>4233</v>
      </c>
      <c r="M917" s="1872" t="str">
        <f ca="1">IF(R917,"Mandatory","N/A")</f>
        <v>N/A</v>
      </c>
      <c r="N917" s="664"/>
      <c r="O917" s="1042"/>
      <c r="P917" s="911" t="b">
        <v>1</v>
      </c>
      <c r="Q917" s="911" t="b">
        <v>1</v>
      </c>
      <c r="R917" s="911" t="b">
        <f ca="1">S917</f>
        <v>0</v>
      </c>
      <c r="S917" s="911" t="b">
        <f ca="1">IFERROR(S883=5,FALSE)</f>
        <v>0</v>
      </c>
      <c r="T917" s="911" t="b">
        <f ca="1">AND(NOT(S917),LEN(W917)&gt;0)</f>
        <v>0</v>
      </c>
      <c r="U917" s="911" t="str">
        <f>SUBSTITUTE(SUBSTITUTE(SUBSTITUTE("dd"&amp;B916&amp;C916&amp;D916&amp;E916&amp;F916,".","_"),"(","_"),")","")</f>
        <v>dd701_1_6_4</v>
      </c>
      <c r="V917"/>
      <c r="W917" s="12"/>
      <c r="X917" s="1798"/>
      <c r="Y917" s="2099" t="str">
        <f>IF(LEN('Ch7'!X47)=0,"None",'Ch7'!X47)</f>
        <v>None</v>
      </c>
      <c r="Z917" s="2087"/>
      <c r="AA917" s="1526"/>
      <c r="AC917" s="970" t="b">
        <f ca="1">OR(AD917:AE917)</f>
        <v>0</v>
      </c>
      <c r="AD917" s="970" t="b">
        <f ca="1">T917</f>
        <v>0</v>
      </c>
      <c r="AE917" s="970" t="b">
        <f ca="1">AND(R917,OR(W917="Not Met",W917=""))</f>
        <v>0</v>
      </c>
      <c r="AF917" s="911"/>
      <c r="AG917"/>
      <c r="AH917"/>
      <c r="AI917"/>
      <c r="AJ917"/>
      <c r="AK917"/>
      <c r="AL917" s="254" t="str">
        <f>SUBSTITUTE(SUBSTITUTE(SUBSTITUTE("vpa"&amp;$B917&amp;$C917&amp;$D917&amp;$E917,".","_"),"(","_"),")","")</f>
        <v>vpa701_1_6_5</v>
      </c>
      <c r="AM917" s="254" t="str">
        <f ca="1">M917</f>
        <v>N/A</v>
      </c>
      <c r="AN917" s="1336"/>
      <c r="AO917" s="1336"/>
      <c r="AP917" s="254" t="str">
        <f>SUBSTITUTE(SUBSTITUTE(SUBSTITUTE("vch"&amp;$B917&amp;$C917&amp;$D917&amp;$E917,".","_"),"(","_"),")","")</f>
        <v>vch701_1_6_5</v>
      </c>
      <c r="AQ917" s="254" t="str">
        <f>IF(LEN(W917)=0,"",W917)</f>
        <v/>
      </c>
      <c r="AR917" s="254" t="str">
        <f>SUBSTITUTE(SUBSTITUTE(SUBSTITUTE("vnt"&amp;$B917&amp;$C917&amp;$D917&amp;$E917,".","_"),"(","_"),")","")</f>
        <v>vnt701_1_6_5</v>
      </c>
      <c r="AS917" s="254" t="str">
        <f>IF(LEN(X917)=0,"",X917)</f>
        <v/>
      </c>
      <c r="AT917"/>
      <c r="AX917" s="635" t="str">
        <f>'Overview (Verification)'!A46</f>
        <v>Maximum window and door U-value:</v>
      </c>
      <c r="AY917" s="752">
        <f>IF(LEN('Overview (Verification)'!P46)=0,0,'Overview (Verification)'!P46)</f>
        <v>0</v>
      </c>
    </row>
    <row r="918" spans="1:51" x14ac:dyDescent="0.25">
      <c r="A918" s="2371">
        <v>7</v>
      </c>
      <c r="B918" s="2385" t="s">
        <v>4227</v>
      </c>
      <c r="C918" s="2382" t="s">
        <v>275</v>
      </c>
      <c r="D918" s="2382"/>
      <c r="E918" s="2374"/>
      <c r="F918" s="2374"/>
      <c r="G918" s="2373" t="s">
        <v>3974</v>
      </c>
      <c r="H918" s="2371" t="s">
        <v>3971</v>
      </c>
      <c r="I918" s="90"/>
      <c r="J918" s="684"/>
      <c r="K918" s="863"/>
      <c r="L918" s="1786"/>
      <c r="M918" s="1837"/>
      <c r="N918" s="664"/>
      <c r="O918" s="1042"/>
      <c r="P918" s="4"/>
      <c r="Q918" s="4"/>
      <c r="R918" s="911"/>
      <c r="S918" s="911"/>
      <c r="T918" s="911"/>
      <c r="U918" s="911"/>
      <c r="V918"/>
      <c r="W918"/>
      <c r="X918" s="1756"/>
      <c r="Y918" s="2097"/>
      <c r="Z918" s="2085"/>
      <c r="AA918" s="1526"/>
      <c r="AC918" s="970"/>
      <c r="AD918" s="970"/>
      <c r="AE918" s="970"/>
      <c r="AF918"/>
      <c r="AG918"/>
      <c r="AH918"/>
      <c r="AI918"/>
      <c r="AJ918"/>
      <c r="AK918"/>
      <c r="AL918" s="1336"/>
      <c r="AM918" s="1336"/>
      <c r="AN918" s="1336"/>
      <c r="AO918" s="1336"/>
      <c r="AP918" s="1336"/>
      <c r="AQ918" s="1336"/>
      <c r="AR918" s="1336"/>
      <c r="AS918" s="1336"/>
      <c r="AT918"/>
      <c r="AX918" s="635" t="str">
        <f>'Overview (Verification)'!A47</f>
        <v>Maximum skylight U-value:</v>
      </c>
      <c r="AY918" s="752">
        <f>IF(LEN('Overview (Verification)'!P47)=0,0,'Overview (Verification)'!P47)</f>
        <v>0</v>
      </c>
    </row>
    <row r="919" spans="1:51" x14ac:dyDescent="0.25">
      <c r="A919" s="2371">
        <v>7</v>
      </c>
      <c r="B919" s="2385" t="s">
        <v>4227</v>
      </c>
      <c r="C919" s="2382" t="s">
        <v>277</v>
      </c>
      <c r="D919" s="2382"/>
      <c r="E919" s="2374"/>
      <c r="F919" s="2374"/>
      <c r="G919" s="2373" t="s">
        <v>3974</v>
      </c>
      <c r="H919" s="2371" t="s">
        <v>3972</v>
      </c>
      <c r="I919" s="90"/>
      <c r="J919" s="667" t="s">
        <v>277</v>
      </c>
      <c r="K919" s="862"/>
      <c r="L919" s="1152" t="s">
        <v>4234</v>
      </c>
      <c r="M919" s="1010"/>
      <c r="N919" s="664"/>
      <c r="O919" s="1042"/>
      <c r="P919" s="4"/>
      <c r="Q919" s="4"/>
      <c r="R919" s="911"/>
      <c r="S919" s="911"/>
      <c r="T919" s="911"/>
      <c r="U919" s="911"/>
      <c r="V919"/>
      <c r="W919"/>
      <c r="X919" s="911"/>
      <c r="Y919"/>
      <c r="AA919" s="1526"/>
      <c r="AC919" s="970"/>
      <c r="AD919" s="970"/>
      <c r="AE919" s="970"/>
      <c r="AF919"/>
      <c r="AG919"/>
      <c r="AH919"/>
      <c r="AI919"/>
      <c r="AJ919"/>
      <c r="AK919"/>
      <c r="AL919" s="1336"/>
      <c r="AM919" s="1336"/>
      <c r="AN919" s="1336"/>
      <c r="AO919" s="1336"/>
      <c r="AP919" s="1336"/>
      <c r="AQ919" s="1336"/>
      <c r="AR919" s="1336"/>
      <c r="AS919" s="1336"/>
      <c r="AT919"/>
      <c r="AX919" s="635" t="str">
        <f>'Overview (Verification)'!A48</f>
        <v>Renewable Energy:</v>
      </c>
      <c r="AY919" s="752">
        <f>IF(LEN('Overview (Verification)'!P48)=0,0,'Overview (Verification)'!P48)</f>
        <v>0</v>
      </c>
    </row>
    <row r="920" spans="1:51" x14ac:dyDescent="0.25">
      <c r="A920" s="2371">
        <v>7</v>
      </c>
      <c r="B920" s="2385" t="s">
        <v>4227</v>
      </c>
      <c r="C920" s="2382" t="s">
        <v>277</v>
      </c>
      <c r="D920" s="2382" t="s">
        <v>121</v>
      </c>
      <c r="E920" s="2374"/>
      <c r="F920" s="2374"/>
      <c r="G920" s="2373" t="s">
        <v>3974</v>
      </c>
      <c r="H920" s="2371" t="s">
        <v>3972</v>
      </c>
      <c r="I920" s="90"/>
      <c r="J920" s="667"/>
      <c r="K920" s="863" t="s">
        <v>121</v>
      </c>
      <c r="L920" s="1153" t="s">
        <v>4235</v>
      </c>
      <c r="M920" s="1024" t="str">
        <f ca="1">IF(R920,"Mandatory","N/A")</f>
        <v>N/A</v>
      </c>
      <c r="N920" s="1041"/>
      <c r="O920" s="1047"/>
      <c r="P920" s="178" t="b">
        <v>1</v>
      </c>
      <c r="Q920" s="178" t="b">
        <v>0</v>
      </c>
      <c r="R920" s="178" t="b">
        <f ca="1">S920</f>
        <v>0</v>
      </c>
      <c r="S920" s="178" t="b">
        <f ca="1">IFERROR(S883=5,FALSE)</f>
        <v>0</v>
      </c>
      <c r="T920" s="178" t="b">
        <f ca="1">AND(NOT(S920),W920=TRUE)</f>
        <v>0</v>
      </c>
      <c r="U920" s="178"/>
      <c r="V920" s="538"/>
      <c r="W920" s="25"/>
      <c r="X920" s="918"/>
      <c r="Y920" s="988" t="str">
        <f>IF(LEN('Ch7'!X50)=0,"None",'Ch7'!X50)</f>
        <v>None</v>
      </c>
      <c r="Z920" s="1587"/>
      <c r="AA920" s="1526"/>
      <c r="AC920" s="970" t="b">
        <f ca="1">OR(AD920:AE920)</f>
        <v>0</v>
      </c>
      <c r="AD920" s="970" t="b">
        <f ca="1">T920</f>
        <v>0</v>
      </c>
      <c r="AE920" s="970" t="b">
        <f ca="1">AND(R920,NOT(W920))</f>
        <v>0</v>
      </c>
      <c r="AF920" s="911" t="b">
        <f ca="1">AND(AE920,NOT(Q920))</f>
        <v>0</v>
      </c>
      <c r="AG920"/>
      <c r="AH920"/>
      <c r="AI920"/>
      <c r="AJ920"/>
      <c r="AK920"/>
      <c r="AL920" s="254" t="str">
        <f>SUBSTITUTE(SUBSTITUTE(SUBSTITUTE("vpa"&amp;$B920&amp;$C920&amp;$D920&amp;$E920,".","_"),"(","_"),")","")</f>
        <v>vpa701_1_6_6_a</v>
      </c>
      <c r="AM920" s="254" t="str">
        <f ca="1">M920</f>
        <v>N/A</v>
      </c>
      <c r="AN920" s="1336"/>
      <c r="AO920" s="1336"/>
      <c r="AP920" s="254" t="str">
        <f>SUBSTITUTE(SUBSTITUTE(SUBSTITUTE("vch"&amp;$B920&amp;$C920&amp;$D920&amp;$E920,".","_"),"(","_"),")","")</f>
        <v>vch701_1_6_6_a</v>
      </c>
      <c r="AQ920" s="254" t="str">
        <f>IF(LEN(W920)=0,"",W920)</f>
        <v/>
      </c>
      <c r="AR920" s="254" t="str">
        <f>SUBSTITUTE(SUBSTITUTE(SUBSTITUTE("vnt"&amp;$B920&amp;$C920&amp;$D920&amp;$E920,".","_"),"(","_"),")","")</f>
        <v>vnt701_1_6_6_a</v>
      </c>
      <c r="AS920" s="254" t="str">
        <f>IF(LEN(X920)=0,"",X920)</f>
        <v/>
      </c>
      <c r="AT920"/>
      <c r="AX920" s="635" t="str">
        <f>'Overview (Verification)'!A49</f>
        <v>Thermal Envelope Insulation:</v>
      </c>
      <c r="AY920" s="752">
        <f>IF(LEN('Overview (Verification)'!P49)=0,0,'Overview (Verification)'!P49)</f>
        <v>0</v>
      </c>
    </row>
    <row r="921" spans="1:51" x14ac:dyDescent="0.25">
      <c r="A921" s="2371">
        <v>7</v>
      </c>
      <c r="B921" s="2385" t="s">
        <v>4227</v>
      </c>
      <c r="C921" s="2382" t="s">
        <v>277</v>
      </c>
      <c r="D921" s="2382" t="s">
        <v>122</v>
      </c>
      <c r="E921" s="2374"/>
      <c r="F921" s="2374"/>
      <c r="G921" s="2373" t="s">
        <v>3974</v>
      </c>
      <c r="H921" s="2371" t="s">
        <v>3972</v>
      </c>
      <c r="I921" s="90"/>
      <c r="J921" s="667"/>
      <c r="K921" s="994" t="s">
        <v>122</v>
      </c>
      <c r="L921" s="858" t="s">
        <v>4236</v>
      </c>
      <c r="M921" s="766" t="str">
        <f ca="1">IF(R921,"Mandatory","N/A")</f>
        <v>N/A</v>
      </c>
      <c r="N921" s="1057"/>
      <c r="O921" s="1049"/>
      <c r="P921" s="211" t="b">
        <v>1</v>
      </c>
      <c r="Q921" s="211" t="b">
        <v>0</v>
      </c>
      <c r="R921" s="211" t="b">
        <f ca="1">S921</f>
        <v>0</v>
      </c>
      <c r="S921" s="211" t="b">
        <f ca="1">IFERROR(S883=5,FALSE)</f>
        <v>0</v>
      </c>
      <c r="T921" s="211" t="b">
        <f ca="1">AND(NOT(S921),W921=TRUE)</f>
        <v>0</v>
      </c>
      <c r="U921" s="211"/>
      <c r="V921" s="934"/>
      <c r="W921" s="25"/>
      <c r="X921" s="918"/>
      <c r="Y921" s="988" t="str">
        <f>IF(LEN('Ch7'!X51)=0,"None",'Ch7'!X51)</f>
        <v>None</v>
      </c>
      <c r="Z921" s="1587"/>
      <c r="AA921" s="1526"/>
      <c r="AC921" s="970" t="b">
        <f ca="1">OR(AD921:AE921)</f>
        <v>0</v>
      </c>
      <c r="AD921" s="970" t="b">
        <f ca="1">T921</f>
        <v>0</v>
      </c>
      <c r="AE921" s="970" t="b">
        <f ca="1">AND(R921,NOT(W921))</f>
        <v>0</v>
      </c>
      <c r="AF921" s="911" t="b">
        <f ca="1">AND(AE921,NOT(Q921))</f>
        <v>0</v>
      </c>
      <c r="AG921"/>
      <c r="AH921"/>
      <c r="AI921"/>
      <c r="AJ921"/>
      <c r="AK921"/>
      <c r="AL921" s="254" t="str">
        <f>SUBSTITUTE(SUBSTITUTE(SUBSTITUTE("vpa"&amp;$B921&amp;$C921&amp;$D921&amp;$E921,".","_"),"(","_"),")","")</f>
        <v>vpa701_1_6_6_b</v>
      </c>
      <c r="AM921" s="254" t="str">
        <f ca="1">M921</f>
        <v>N/A</v>
      </c>
      <c r="AN921" s="1336"/>
      <c r="AO921" s="1336"/>
      <c r="AP921" s="254" t="str">
        <f>SUBSTITUTE(SUBSTITUTE(SUBSTITUTE("vch"&amp;$B921&amp;$C921&amp;$D921&amp;$E921,".","_"),"(","_"),")","")</f>
        <v>vch701_1_6_6_b</v>
      </c>
      <c r="AQ921" s="254" t="str">
        <f>IF(LEN(W921)=0,"",W921)</f>
        <v/>
      </c>
      <c r="AR921" s="254" t="str">
        <f>SUBSTITUTE(SUBSTITUTE(SUBSTITUTE("vnt"&amp;$B921&amp;$C921&amp;$D921&amp;$E921,".","_"),"(","_"),")","")</f>
        <v>vnt701_1_6_6_b</v>
      </c>
      <c r="AS921" s="254" t="str">
        <f>IF(LEN(X921)=0,"",X921)</f>
        <v/>
      </c>
      <c r="AT921"/>
      <c r="AX921" s="635" t="str">
        <f>'Overview (Verification)'!A50</f>
        <v>Attic Type:</v>
      </c>
      <c r="AY921" s="752">
        <f>IF(LEN('Overview (Verification)'!P50)=0,0,'Overview (Verification)'!P50)</f>
        <v>0</v>
      </c>
    </row>
    <row r="922" spans="1:51" x14ac:dyDescent="0.25">
      <c r="A922" s="2371">
        <v>7</v>
      </c>
      <c r="B922" s="2385" t="s">
        <v>4227</v>
      </c>
      <c r="C922" s="2382" t="s">
        <v>277</v>
      </c>
      <c r="D922" s="2382" t="s">
        <v>123</v>
      </c>
      <c r="E922" s="2374"/>
      <c r="F922" s="2374"/>
      <c r="G922" s="2373" t="s">
        <v>3974</v>
      </c>
      <c r="H922" s="2371" t="s">
        <v>3972</v>
      </c>
      <c r="I922" s="90"/>
      <c r="J922" s="684"/>
      <c r="K922" s="863" t="s">
        <v>123</v>
      </c>
      <c r="L922" s="1153" t="s">
        <v>4237</v>
      </c>
      <c r="M922" s="1028" t="str">
        <f ca="1">IF(R922,"Mandatory","N/A")</f>
        <v>N/A</v>
      </c>
      <c r="N922" s="664"/>
      <c r="O922" s="1042"/>
      <c r="P922" s="911" t="b">
        <v>1</v>
      </c>
      <c r="Q922" s="911" t="b">
        <v>0</v>
      </c>
      <c r="R922" s="911" t="b">
        <f ca="1">S922</f>
        <v>0</v>
      </c>
      <c r="S922" s="911" t="b">
        <f ca="1">IFERROR(S883=5,FALSE)</f>
        <v>0</v>
      </c>
      <c r="T922" s="911" t="b">
        <f ca="1">AND(NOT(S922),W922=TRUE)</f>
        <v>0</v>
      </c>
      <c r="U922" s="911"/>
      <c r="V922"/>
      <c r="W922" s="25"/>
      <c r="X922" s="918"/>
      <c r="Y922" s="988" t="str">
        <f>IF(LEN('Ch7'!X52)=0,"None",'Ch7'!X52)</f>
        <v>None</v>
      </c>
      <c r="Z922" s="1587"/>
      <c r="AA922" s="1526"/>
      <c r="AC922" s="970" t="b">
        <f ca="1">OR(AD922:AE922)</f>
        <v>0</v>
      </c>
      <c r="AD922" s="970" t="b">
        <f ca="1">T922</f>
        <v>0</v>
      </c>
      <c r="AE922" s="970" t="b">
        <f ca="1">AND(R922,NOT(W922))</f>
        <v>0</v>
      </c>
      <c r="AF922" s="911" t="b">
        <f ca="1">AND(AE922,NOT(Q922))</f>
        <v>0</v>
      </c>
      <c r="AG922"/>
      <c r="AH922"/>
      <c r="AI922"/>
      <c r="AJ922"/>
      <c r="AK922"/>
      <c r="AL922" s="254" t="str">
        <f>SUBSTITUTE(SUBSTITUTE(SUBSTITUTE("vpa"&amp;$B922&amp;$C922&amp;$D922&amp;$E922,".","_"),"(","_"),")","")</f>
        <v>vpa701_1_6_6_c</v>
      </c>
      <c r="AM922" s="254" t="str">
        <f ca="1">M922</f>
        <v>N/A</v>
      </c>
      <c r="AN922" s="1336"/>
      <c r="AO922" s="1336"/>
      <c r="AP922" s="254" t="str">
        <f>SUBSTITUTE(SUBSTITUTE(SUBSTITUTE("vch"&amp;$B922&amp;$C922&amp;$D922&amp;$E922,".","_"),"(","_"),")","")</f>
        <v>vch701_1_6_6_c</v>
      </c>
      <c r="AQ922" s="254" t="str">
        <f>IF(LEN(W922)=0,"",W922)</f>
        <v/>
      </c>
      <c r="AR922" s="254" t="str">
        <f>SUBSTITUTE(SUBSTITUTE(SUBSTITUTE("vnt"&amp;$B922&amp;$C922&amp;$D922&amp;$E922,".","_"),"(","_"),")","")</f>
        <v>vnt701_1_6_6_c</v>
      </c>
      <c r="AS922" s="254" t="str">
        <f>IF(LEN(X922)=0,"",X922)</f>
        <v/>
      </c>
      <c r="AT922"/>
      <c r="AX922" s="635" t="str">
        <f>'Overview (Verification)'!A51</f>
        <v>Attached Garage:</v>
      </c>
      <c r="AY922" s="752">
        <f>IF(LEN('Overview (Verification)'!P51)=0,0,'Overview (Verification)'!P51)</f>
        <v>0</v>
      </c>
    </row>
    <row r="923" spans="1:51" x14ac:dyDescent="0.25">
      <c r="A923" s="2371">
        <v>7</v>
      </c>
      <c r="B923" s="2385" t="s">
        <v>4227</v>
      </c>
      <c r="C923" s="2382" t="s">
        <v>383</v>
      </c>
      <c r="D923" s="2382"/>
      <c r="E923" s="2374"/>
      <c r="F923" s="2374"/>
      <c r="G923" s="2373" t="s">
        <v>3974</v>
      </c>
      <c r="H923" s="2371" t="s">
        <v>3971</v>
      </c>
      <c r="I923" s="90"/>
      <c r="J923" s="667" t="s">
        <v>383</v>
      </c>
      <c r="K923" s="862"/>
      <c r="L923" s="1152" t="s">
        <v>4238</v>
      </c>
      <c r="M923" s="1010"/>
      <c r="N923" s="664"/>
      <c r="O923" s="1042"/>
      <c r="P923" s="4"/>
      <c r="Q923" s="4"/>
      <c r="R923" s="911"/>
      <c r="S923" s="911"/>
      <c r="T923" s="911"/>
      <c r="U923" s="911"/>
      <c r="V923"/>
      <c r="W923"/>
      <c r="X923" s="911"/>
      <c r="Y923"/>
      <c r="AA923" s="1526"/>
      <c r="AC923" s="970"/>
      <c r="AD923" s="970"/>
      <c r="AE923" s="970"/>
      <c r="AF923"/>
      <c r="AG923"/>
      <c r="AH923"/>
      <c r="AI923"/>
      <c r="AJ923"/>
      <c r="AK923"/>
      <c r="AL923" s="1336"/>
      <c r="AM923" s="1336"/>
      <c r="AN923" s="1336"/>
      <c r="AO923" s="1336"/>
      <c r="AP923" s="1336"/>
      <c r="AQ923" s="1336"/>
      <c r="AR923" s="1336"/>
      <c r="AS923" s="1336"/>
      <c r="AT923"/>
      <c r="AX923" s="635" t="str">
        <f>'Overview (Verification)'!A52</f>
        <v>Recessed Lighting:</v>
      </c>
      <c r="AY923" s="752">
        <f>IF(LEN('Overview (Verification)'!P52)=0,0,'Overview (Verification)'!P52)</f>
        <v>0</v>
      </c>
    </row>
    <row r="924" spans="1:51" x14ac:dyDescent="0.25">
      <c r="A924" s="2371">
        <v>7</v>
      </c>
      <c r="B924" s="2385" t="s">
        <v>4227</v>
      </c>
      <c r="C924" s="2382" t="s">
        <v>383</v>
      </c>
      <c r="D924" s="2382" t="s">
        <v>121</v>
      </c>
      <c r="E924" s="2374"/>
      <c r="F924" s="2374"/>
      <c r="G924" s="2373" t="s">
        <v>3974</v>
      </c>
      <c r="H924" s="2371" t="s">
        <v>3971</v>
      </c>
      <c r="I924" s="90"/>
      <c r="J924" s="667"/>
      <c r="K924" s="863" t="s">
        <v>121</v>
      </c>
      <c r="L924" s="1153" t="s">
        <v>4239</v>
      </c>
      <c r="M924" s="1024" t="str">
        <f ca="1">IF(R924,"Mandatory","N/A")</f>
        <v>N/A</v>
      </c>
      <c r="N924" s="1041"/>
      <c r="O924" s="1047"/>
      <c r="P924" s="178" t="b">
        <v>1</v>
      </c>
      <c r="Q924" s="178" t="b">
        <v>1</v>
      </c>
      <c r="R924" s="178" t="b">
        <f ca="1">S924</f>
        <v>0</v>
      </c>
      <c r="S924" s="178" t="b">
        <f ca="1">IFERROR(S883=5,FALSE)</f>
        <v>0</v>
      </c>
      <c r="T924" s="178" t="b">
        <f ca="1">AND(NOT(S924),W924=TRUE)</f>
        <v>0</v>
      </c>
      <c r="U924" s="178"/>
      <c r="V924" s="538"/>
      <c r="W924" s="25"/>
      <c r="X924" s="918"/>
      <c r="Y924" s="988" t="str">
        <f>IF(LEN('Ch7'!X54)=0,"None",'Ch7'!X54)</f>
        <v>None</v>
      </c>
      <c r="Z924" s="1587"/>
      <c r="AA924" s="1526"/>
      <c r="AC924" s="970" t="b">
        <f ca="1">OR(AD924:AE924)</f>
        <v>0</v>
      </c>
      <c r="AD924" s="970" t="b">
        <f ca="1">T924</f>
        <v>0</v>
      </c>
      <c r="AE924" s="970" t="b">
        <f ca="1">AND(R924,NOT(W924))</f>
        <v>0</v>
      </c>
      <c r="AF924" s="911"/>
      <c r="AG924"/>
      <c r="AH924"/>
      <c r="AI924"/>
      <c r="AJ924"/>
      <c r="AK924"/>
      <c r="AL924" s="254" t="str">
        <f>SUBSTITUTE(SUBSTITUTE(SUBSTITUTE("vpa"&amp;$B924&amp;$C924&amp;$D924&amp;$E924,".","_"),"(","_"),")","")</f>
        <v>vpa701_1_6_7_a</v>
      </c>
      <c r="AM924" s="254" t="str">
        <f ca="1">M924</f>
        <v>N/A</v>
      </c>
      <c r="AN924" s="1336"/>
      <c r="AO924" s="1336"/>
      <c r="AP924" s="254" t="str">
        <f>SUBSTITUTE(SUBSTITUTE(SUBSTITUTE("vch"&amp;$B924&amp;$C924&amp;$D924&amp;$E924,".","_"),"(","_"),")","")</f>
        <v>vch701_1_6_7_a</v>
      </c>
      <c r="AQ924" s="254" t="str">
        <f>IF(LEN(W924)=0,"",W924)</f>
        <v/>
      </c>
      <c r="AR924" s="254" t="str">
        <f>SUBSTITUTE(SUBSTITUTE(SUBSTITUTE("vnt"&amp;$B924&amp;$C924&amp;$D924&amp;$E924,".","_"),"(","_"),")","")</f>
        <v>vnt701_1_6_7_a</v>
      </c>
      <c r="AS924" s="254" t="str">
        <f>IF(LEN(X924)=0,"",X924)</f>
        <v/>
      </c>
      <c r="AT924"/>
      <c r="AX924" s="635"/>
      <c r="AY924" s="752"/>
    </row>
    <row r="925" spans="1:51" x14ac:dyDescent="0.25">
      <c r="A925" s="2371">
        <v>7</v>
      </c>
      <c r="B925" s="2385" t="s">
        <v>4227</v>
      </c>
      <c r="C925" s="2382" t="s">
        <v>383</v>
      </c>
      <c r="D925" s="2382" t="s">
        <v>122</v>
      </c>
      <c r="E925" s="2374"/>
      <c r="F925" s="2374"/>
      <c r="G925" s="2373" t="s">
        <v>3974</v>
      </c>
      <c r="H925" s="2371" t="s">
        <v>3972</v>
      </c>
      <c r="I925" s="90"/>
      <c r="J925" s="667"/>
      <c r="K925" s="994" t="s">
        <v>122</v>
      </c>
      <c r="L925" s="858" t="s">
        <v>4240</v>
      </c>
      <c r="M925" s="766" t="str">
        <f ca="1">IF(R925,"Mandatory","N/A")</f>
        <v>N/A</v>
      </c>
      <c r="N925" s="1041"/>
      <c r="O925" s="1047"/>
      <c r="P925" s="178" t="b">
        <v>1</v>
      </c>
      <c r="Q925" s="178" t="b">
        <v>0</v>
      </c>
      <c r="R925" s="178" t="b">
        <f ca="1">S925</f>
        <v>0</v>
      </c>
      <c r="S925" s="178" t="b">
        <f ca="1">IFERROR(S883=5,FALSE)</f>
        <v>0</v>
      </c>
      <c r="T925" s="178" t="b">
        <f ca="1">AND(NOT(S925),W925=TRUE)</f>
        <v>0</v>
      </c>
      <c r="U925" s="178"/>
      <c r="V925" s="538"/>
      <c r="W925" s="25"/>
      <c r="X925" s="918"/>
      <c r="Y925" s="988" t="str">
        <f>IF(LEN('Ch7'!X55)=0,"None",'Ch7'!X55)</f>
        <v>None</v>
      </c>
      <c r="Z925" s="1587"/>
      <c r="AA925" s="1526"/>
      <c r="AC925" s="970" t="b">
        <f ca="1">OR(AD925:AE925)</f>
        <v>0</v>
      </c>
      <c r="AD925" s="970" t="b">
        <f ca="1">T925</f>
        <v>0</v>
      </c>
      <c r="AE925" s="970" t="b">
        <f ca="1">AND(R925,NOT(W925))</f>
        <v>0</v>
      </c>
      <c r="AF925" s="911" t="b">
        <f ca="1">AND(AE925,NOT(Q925))</f>
        <v>0</v>
      </c>
      <c r="AG925"/>
      <c r="AH925"/>
      <c r="AI925"/>
      <c r="AJ925"/>
      <c r="AK925"/>
      <c r="AL925" s="254" t="str">
        <f>SUBSTITUTE(SUBSTITUTE(SUBSTITUTE("vpa"&amp;$B925&amp;$C925&amp;$D925&amp;$E925,".","_"),"(","_"),")","")</f>
        <v>vpa701_1_6_7_b</v>
      </c>
      <c r="AM925" s="254" t="str">
        <f ca="1">M925</f>
        <v>N/A</v>
      </c>
      <c r="AN925" s="1336"/>
      <c r="AO925" s="1336"/>
      <c r="AP925" s="254" t="str">
        <f>SUBSTITUTE(SUBSTITUTE(SUBSTITUTE("vch"&amp;$B925&amp;$C925&amp;$D925&amp;$E925,".","_"),"(","_"),")","")</f>
        <v>vch701_1_6_7_b</v>
      </c>
      <c r="AQ925" s="254" t="str">
        <f>IF(LEN(W925)=0,"",W925)</f>
        <v/>
      </c>
      <c r="AR925" s="254" t="str">
        <f>SUBSTITUTE(SUBSTITUTE(SUBSTITUTE("vnt"&amp;$B925&amp;$C925&amp;$D925&amp;$E925,".","_"),"(","_"),")","")</f>
        <v>vnt701_1_6_7_b</v>
      </c>
      <c r="AS925" s="254" t="str">
        <f>IF(LEN(X925)=0,"",X925)</f>
        <v/>
      </c>
      <c r="AT925"/>
      <c r="AX925" s="635"/>
      <c r="AY925" s="752"/>
    </row>
    <row r="926" spans="1:51" x14ac:dyDescent="0.25">
      <c r="A926" s="2371">
        <v>7</v>
      </c>
      <c r="B926" s="2385" t="s">
        <v>4227</v>
      </c>
      <c r="C926" s="2382" t="s">
        <v>383</v>
      </c>
      <c r="D926" s="2382" t="s">
        <v>123</v>
      </c>
      <c r="E926" s="2374"/>
      <c r="F926" s="2374"/>
      <c r="G926" s="2373" t="s">
        <v>3974</v>
      </c>
      <c r="H926" s="2371" t="s">
        <v>3972</v>
      </c>
      <c r="I926" s="90"/>
      <c r="J926" s="684"/>
      <c r="K926" s="863" t="s">
        <v>123</v>
      </c>
      <c r="L926" s="1153" t="s">
        <v>4241</v>
      </c>
      <c r="M926" s="766" t="str">
        <f ca="1">IF(R926,"Mandatory","N/A")</f>
        <v>N/A</v>
      </c>
      <c r="N926" s="1041"/>
      <c r="O926" s="1047"/>
      <c r="P926" s="178" t="b">
        <v>1</v>
      </c>
      <c r="Q926" s="178" t="b">
        <v>0</v>
      </c>
      <c r="R926" s="178" t="b">
        <f ca="1">S926</f>
        <v>0</v>
      </c>
      <c r="S926" s="178" t="b">
        <f ca="1">IFERROR(S883=5,FALSE)</f>
        <v>0</v>
      </c>
      <c r="T926" s="178" t="b">
        <f ca="1">AND(NOT(S926),W926=TRUE)</f>
        <v>0</v>
      </c>
      <c r="U926" s="178"/>
      <c r="V926" s="538"/>
      <c r="W926" s="25"/>
      <c r="X926" s="918"/>
      <c r="Y926" s="988" t="str">
        <f>IF(LEN('Ch7'!X56)=0,"None",'Ch7'!X56)</f>
        <v>None</v>
      </c>
      <c r="Z926" s="1587"/>
      <c r="AA926" s="1526"/>
      <c r="AC926" s="970" t="b">
        <f ca="1">OR(AD926:AE926)</f>
        <v>0</v>
      </c>
      <c r="AD926" s="970" t="b">
        <f ca="1">T926</f>
        <v>0</v>
      </c>
      <c r="AE926" s="970" t="b">
        <f ca="1">AND(R926,NOT(W926))</f>
        <v>0</v>
      </c>
      <c r="AF926" s="911" t="b">
        <f ca="1">AND(AE926,NOT(Q926))</f>
        <v>0</v>
      </c>
      <c r="AG926"/>
      <c r="AH926"/>
      <c r="AI926"/>
      <c r="AJ926"/>
      <c r="AK926"/>
      <c r="AL926" s="254" t="str">
        <f>SUBSTITUTE(SUBSTITUTE(SUBSTITUTE("vpa"&amp;$B926&amp;$C926&amp;$D926&amp;$E926,".","_"),"(","_"),")","")</f>
        <v>vpa701_1_6_7_c</v>
      </c>
      <c r="AM926" s="254" t="str">
        <f ca="1">M926</f>
        <v>N/A</v>
      </c>
      <c r="AN926" s="1336"/>
      <c r="AO926" s="1336"/>
      <c r="AP926" s="254" t="str">
        <f>SUBSTITUTE(SUBSTITUTE(SUBSTITUTE("vch"&amp;$B926&amp;$C926&amp;$D926&amp;$E926,".","_"),"(","_"),")","")</f>
        <v>vch701_1_6_7_c</v>
      </c>
      <c r="AQ926" s="254" t="str">
        <f>IF(LEN(W926)=0,"",W926)</f>
        <v/>
      </c>
      <c r="AR926" s="254" t="str">
        <f>SUBSTITUTE(SUBSTITUTE(SUBSTITUTE("vnt"&amp;$B926&amp;$C926&amp;$D926&amp;$E926,".","_"),"(","_"),")","")</f>
        <v>vnt701_1_6_7_c</v>
      </c>
      <c r="AS926" s="254" t="str">
        <f>IF(LEN(X926)=0,"",X926)</f>
        <v/>
      </c>
      <c r="AT926"/>
      <c r="AX926" s="635" t="str">
        <f>'Overview (Verification)'!A55</f>
        <v>Passive Solar:</v>
      </c>
      <c r="AY926" s="752">
        <f>IF(LEN('Overview (Verification)'!P55)=0,0,'Overview (Verification)'!P55)</f>
        <v>0</v>
      </c>
    </row>
    <row r="927" spans="1:51" ht="15" customHeight="1" x14ac:dyDescent="0.25">
      <c r="A927" s="2371">
        <v>7</v>
      </c>
      <c r="B927" s="2385" t="s">
        <v>4227</v>
      </c>
      <c r="C927" s="2382" t="s">
        <v>428</v>
      </c>
      <c r="D927" s="2382"/>
      <c r="E927" s="2374"/>
      <c r="F927" s="2374"/>
      <c r="G927" s="2373" t="s">
        <v>3974</v>
      </c>
      <c r="H927" s="2371" t="s">
        <v>3973</v>
      </c>
      <c r="I927" s="90"/>
      <c r="J927" s="693" t="s">
        <v>428</v>
      </c>
      <c r="K927" s="993"/>
      <c r="L927" s="1769" t="s">
        <v>4242</v>
      </c>
      <c r="M927" s="1872" t="str">
        <f ca="1">IF(R927,"Mandatory","N/A")</f>
        <v>N/A</v>
      </c>
      <c r="N927" s="664"/>
      <c r="O927" s="1042"/>
      <c r="P927" s="911" t="b">
        <v>0</v>
      </c>
      <c r="Q927" s="911" t="b">
        <v>1</v>
      </c>
      <c r="R927" s="911" t="b">
        <f ca="1">S927</f>
        <v>0</v>
      </c>
      <c r="S927" s="911" t="b">
        <f ca="1">IFERROR(S883=5,FALSE)</f>
        <v>0</v>
      </c>
      <c r="T927" s="911" t="b">
        <f ca="1">AND(NOT(S927),W927=TRUE)</f>
        <v>0</v>
      </c>
      <c r="U927" s="911"/>
      <c r="V927"/>
      <c r="W927" s="25"/>
      <c r="X927" s="1798"/>
      <c r="Y927" s="2099" t="str">
        <f>IF(LEN('Ch7'!X57)=0,"None",'Ch7'!X57)</f>
        <v>None</v>
      </c>
      <c r="Z927" s="2087"/>
      <c r="AA927" s="1526"/>
      <c r="AC927" s="970" t="b">
        <f ca="1">OR(AD927:AE927)</f>
        <v>0</v>
      </c>
      <c r="AD927" s="970" t="b">
        <f ca="1">T927</f>
        <v>0</v>
      </c>
      <c r="AE927" s="970" t="b">
        <f ca="1">AND(R927,NOT(W927))</f>
        <v>0</v>
      </c>
      <c r="AF927" s="911"/>
      <c r="AG927"/>
      <c r="AH927"/>
      <c r="AI927"/>
      <c r="AJ927"/>
      <c r="AK927"/>
      <c r="AL927" s="254" t="str">
        <f>SUBSTITUTE(SUBSTITUTE(SUBSTITUTE("vpa"&amp;$B927&amp;$C927&amp;$D927&amp;$E927,".","_"),"(","_"),")","")</f>
        <v>vpa701_1_6_8</v>
      </c>
      <c r="AM927" s="254" t="str">
        <f ca="1">M927</f>
        <v>N/A</v>
      </c>
      <c r="AN927" s="1336"/>
      <c r="AO927" s="1336"/>
      <c r="AP927" s="254" t="str">
        <f>SUBSTITUTE(SUBSTITUTE(SUBSTITUTE("vch"&amp;$B927&amp;$C927&amp;$D927&amp;$E927,".","_"),"(","_"),")","")</f>
        <v>vch701_1_6_8</v>
      </c>
      <c r="AQ927" s="254" t="str">
        <f>IF(LEN(W927)=0,"",W927)</f>
        <v/>
      </c>
      <c r="AR927" s="254" t="str">
        <f>SUBSTITUTE(SUBSTITUTE(SUBSTITUTE("vnt"&amp;$B927&amp;$C927&amp;$D927&amp;$E927,".","_"),"(","_"),")","")</f>
        <v>vnt701_1_6_8</v>
      </c>
      <c r="AS927" s="254" t="str">
        <f>IF(LEN(X927)=0,"",X927)</f>
        <v/>
      </c>
      <c r="AT927"/>
      <c r="AX927" s="635" t="str">
        <f>'Overview (Verification)'!A56</f>
        <v>Mass Walls:</v>
      </c>
      <c r="AY927" s="752">
        <f>IF(LEN('Overview (Verification)'!P56)=0,0,'Overview (Verification)'!P56)</f>
        <v>0</v>
      </c>
    </row>
    <row r="928" spans="1:51" x14ac:dyDescent="0.25">
      <c r="A928" s="2371">
        <v>7</v>
      </c>
      <c r="B928" s="2385" t="s">
        <v>4227</v>
      </c>
      <c r="C928" s="2382" t="s">
        <v>428</v>
      </c>
      <c r="D928" s="2382"/>
      <c r="E928" s="2374"/>
      <c r="F928" s="2374"/>
      <c r="G928" s="2373" t="s">
        <v>3974</v>
      </c>
      <c r="H928" s="2371" t="s">
        <v>3973</v>
      </c>
      <c r="I928" s="90"/>
      <c r="J928" s="684"/>
      <c r="K928" s="863"/>
      <c r="L928" s="1786"/>
      <c r="M928" s="1844"/>
      <c r="N928" s="1041"/>
      <c r="O928" s="1047"/>
      <c r="P928" s="210"/>
      <c r="Q928" s="210"/>
      <c r="R928" s="178"/>
      <c r="S928" s="178"/>
      <c r="T928" s="178"/>
      <c r="U928" s="178"/>
      <c r="V928" s="178"/>
      <c r="W928"/>
      <c r="X928" s="1756"/>
      <c r="Y928" s="2097"/>
      <c r="Z928" s="2085"/>
      <c r="AA928" s="1526"/>
      <c r="AC928" s="970"/>
      <c r="AD928" s="970"/>
      <c r="AE928" s="970"/>
      <c r="AF928"/>
      <c r="AG928"/>
      <c r="AH928"/>
      <c r="AI928"/>
      <c r="AJ928"/>
      <c r="AK928"/>
      <c r="AL928" s="1336"/>
      <c r="AM928" s="1336"/>
      <c r="AN928" s="1336"/>
      <c r="AO928" s="1336"/>
      <c r="AP928" s="1336"/>
      <c r="AQ928" s="1336"/>
      <c r="AR928" s="1336"/>
      <c r="AS928" s="1336"/>
      <c r="AT928"/>
      <c r="AX928" s="635" t="str">
        <f>'Overview (Verification)'!A57</f>
        <v>Radiant/Hydronic:</v>
      </c>
      <c r="AY928" s="752">
        <f>IF(LEN('Overview (Verification)'!P57)=0,0,'Overview (Verification)'!P57)</f>
        <v>0</v>
      </c>
    </row>
    <row r="929" spans="1:61" ht="15" customHeight="1" x14ac:dyDescent="0.25">
      <c r="A929" s="2371">
        <v>7</v>
      </c>
      <c r="B929" s="2385" t="s">
        <v>4227</v>
      </c>
      <c r="C929" s="2382" t="s">
        <v>430</v>
      </c>
      <c r="D929" s="2382"/>
      <c r="E929" s="2374"/>
      <c r="F929" s="2374"/>
      <c r="G929" s="2373" t="s">
        <v>3974</v>
      </c>
      <c r="H929" s="2371" t="s">
        <v>3973</v>
      </c>
      <c r="I929" s="90"/>
      <c r="J929" s="667" t="s">
        <v>430</v>
      </c>
      <c r="K929" s="862"/>
      <c r="L929" s="1765" t="s">
        <v>4243</v>
      </c>
      <c r="M929" s="1872" t="str">
        <f ca="1">IF(R929,"Mandatory","N/A")</f>
        <v>N/A</v>
      </c>
      <c r="N929" s="664"/>
      <c r="O929" s="1042"/>
      <c r="P929" s="911" t="b">
        <v>0</v>
      </c>
      <c r="Q929" s="911" t="b">
        <v>1</v>
      </c>
      <c r="R929" s="911" t="b">
        <f ca="1">S929</f>
        <v>0</v>
      </c>
      <c r="S929" s="911" t="b">
        <f ca="1">IFERROR(S883=5,FALSE)</f>
        <v>0</v>
      </c>
      <c r="T929" s="911" t="b">
        <f ca="1">AND(NOT(S929),W929=TRUE)</f>
        <v>0</v>
      </c>
      <c r="U929" s="911"/>
      <c r="V929"/>
      <c r="W929" s="25"/>
      <c r="X929" s="1798"/>
      <c r="Y929" s="2099" t="str">
        <f>IF(LEN('Ch7'!X59)=0,"None",'Ch7'!X59)</f>
        <v>None</v>
      </c>
      <c r="Z929" s="2087"/>
      <c r="AA929" s="1526"/>
      <c r="AC929" s="970" t="b">
        <f ca="1">OR(AD929:AE929)</f>
        <v>0</v>
      </c>
      <c r="AD929" s="970" t="b">
        <f ca="1">T929</f>
        <v>0</v>
      </c>
      <c r="AE929" s="970" t="b">
        <f ca="1">AND(R929,NOT(W929))</f>
        <v>0</v>
      </c>
      <c r="AF929" s="911"/>
      <c r="AG929"/>
      <c r="AH929"/>
      <c r="AI929"/>
      <c r="AJ929"/>
      <c r="AK929"/>
      <c r="AL929" s="254" t="str">
        <f>SUBSTITUTE(SUBSTITUTE(SUBSTITUTE("vpa"&amp;$B929&amp;$C929&amp;$D929&amp;$E929,".","_"),"(","_"),")","")</f>
        <v>vpa701_1_6_9</v>
      </c>
      <c r="AM929" s="254" t="str">
        <f ca="1">M929</f>
        <v>N/A</v>
      </c>
      <c r="AN929" s="1336"/>
      <c r="AO929" s="1336"/>
      <c r="AP929" s="254" t="str">
        <f>SUBSTITUTE(SUBSTITUTE(SUBSTITUTE("vch"&amp;$B929&amp;$C929&amp;$D929&amp;$E929,".","_"),"(","_"),")","")</f>
        <v>vch701_1_6_9</v>
      </c>
      <c r="AQ929" s="254" t="str">
        <f>IF(LEN(W929)=0,"",W929)</f>
        <v/>
      </c>
      <c r="AR929" s="254" t="str">
        <f>SUBSTITUTE(SUBSTITUTE(SUBSTITUTE("vnt"&amp;$B929&amp;$C929&amp;$D929&amp;$E929,".","_"),"(","_"),")","")</f>
        <v>vnt701_1_6_9</v>
      </c>
      <c r="AS929" s="254" t="str">
        <f>IF(LEN(X929)=0,"",X929)</f>
        <v/>
      </c>
      <c r="AT929"/>
      <c r="AX929" s="635" t="str">
        <f>'Overview (Verification)'!A58</f>
        <v>Tankless Water Heater:</v>
      </c>
      <c r="AY929" s="752">
        <f>IF(LEN('Overview (Verification)'!P58)=0,0,'Overview (Verification)'!P58)</f>
        <v>0</v>
      </c>
      <c r="AZ929" s="634"/>
      <c r="BA929" s="634"/>
      <c r="BB929" s="634"/>
      <c r="BC929" s="634"/>
      <c r="BD929" s="634"/>
      <c r="BE929" s="634"/>
      <c r="BF929" s="634"/>
      <c r="BG929" s="634"/>
      <c r="BH929" s="634"/>
      <c r="BI929" s="634"/>
    </row>
    <row r="930" spans="1:61" ht="15.75" thickBot="1" x14ac:dyDescent="0.3">
      <c r="A930" s="2371">
        <v>7</v>
      </c>
      <c r="B930" s="2385" t="s">
        <v>4227</v>
      </c>
      <c r="C930" s="2382" t="s">
        <v>430</v>
      </c>
      <c r="D930" s="2382"/>
      <c r="E930" s="2374"/>
      <c r="F930" s="2374"/>
      <c r="G930" s="2373" t="s">
        <v>3974</v>
      </c>
      <c r="H930" s="2371" t="s">
        <v>3973</v>
      </c>
      <c r="I930" s="90"/>
      <c r="J930" s="845"/>
      <c r="K930" s="845"/>
      <c r="L930" s="1766"/>
      <c r="M930" s="1839"/>
      <c r="N930" s="664"/>
      <c r="O930" s="1042"/>
      <c r="P930" s="911"/>
      <c r="Q930" s="911"/>
      <c r="R930" s="911"/>
      <c r="S930" s="911"/>
      <c r="T930" s="911"/>
      <c r="U930" s="911"/>
      <c r="V930"/>
      <c r="W930"/>
      <c r="X930" s="1800"/>
      <c r="Y930" s="2102"/>
      <c r="Z930" s="2090"/>
      <c r="AA930" s="1526"/>
      <c r="AC930" s="970"/>
      <c r="AD930" s="970"/>
      <c r="AE930" s="970"/>
      <c r="AF930"/>
      <c r="AG930"/>
      <c r="AH930"/>
      <c r="AI930"/>
      <c r="AJ930"/>
      <c r="AK930"/>
      <c r="AL930" s="1336"/>
      <c r="AM930" s="1336"/>
      <c r="AN930" s="1336"/>
      <c r="AO930" s="1336"/>
      <c r="AP930" s="1336"/>
      <c r="AQ930" s="1336"/>
      <c r="AR930" s="1336"/>
      <c r="AS930" s="1336"/>
      <c r="AT930"/>
      <c r="AX930" s="635" t="str">
        <f>'Overview (Verification)'!A59</f>
        <v>Composting Toilet:</v>
      </c>
      <c r="AY930" s="752">
        <f>IF(LEN('Overview (Verification)'!P59)=0,0,'Overview (Verification)'!P59)</f>
        <v>0</v>
      </c>
      <c r="AZ930" s="634"/>
      <c r="BA930" s="634"/>
      <c r="BB930" s="634"/>
      <c r="BC930" s="634"/>
      <c r="BD930" s="634"/>
      <c r="BE930" s="634"/>
      <c r="BF930" s="634"/>
      <c r="BG930" s="634"/>
      <c r="BH930" s="634"/>
      <c r="BI930" s="634"/>
    </row>
    <row r="931" spans="1:61" ht="15.75" customHeight="1" thickTop="1" x14ac:dyDescent="0.25">
      <c r="A931" s="2371">
        <v>7</v>
      </c>
      <c r="B931" s="2385">
        <v>701.2</v>
      </c>
      <c r="C931" s="2381"/>
      <c r="D931" s="2374"/>
      <c r="E931" s="2374"/>
      <c r="F931" s="2374"/>
      <c r="G931" s="2373" t="s">
        <v>3974</v>
      </c>
      <c r="H931" s="2371" t="s">
        <v>3971</v>
      </c>
      <c r="I931" s="180">
        <v>701.2</v>
      </c>
      <c r="J931" s="520"/>
      <c r="K931" s="520"/>
      <c r="L931" s="1781" t="s">
        <v>4856</v>
      </c>
      <c r="M931" s="1891" t="s">
        <v>2993</v>
      </c>
      <c r="N931" s="1046"/>
      <c r="O931" s="1046"/>
      <c r="P931" s="105"/>
      <c r="Q931" s="105"/>
      <c r="R931" s="105"/>
      <c r="S931" s="105"/>
      <c r="T931" s="105"/>
      <c r="U931" s="105"/>
      <c r="V931" s="105"/>
      <c r="W931" s="105"/>
      <c r="X931" s="105"/>
      <c r="Y931" s="634"/>
      <c r="AA931" s="1526"/>
      <c r="AB931" s="634"/>
      <c r="AC931" s="970"/>
      <c r="AD931" s="970"/>
      <c r="AE931" s="970"/>
      <c r="AF931" s="634"/>
      <c r="AG931" s="634"/>
      <c r="AH931" s="634"/>
      <c r="AI931" s="634"/>
      <c r="AJ931" s="634"/>
      <c r="AK931" s="634"/>
      <c r="AL931" s="1336"/>
      <c r="AM931" s="1336"/>
      <c r="AN931" s="1336"/>
      <c r="AO931" s="1336"/>
      <c r="AP931" s="1336"/>
      <c r="AQ931" s="1336"/>
      <c r="AR931" s="1336"/>
      <c r="AS931" s="1336"/>
      <c r="AT931" s="634"/>
      <c r="AU931" s="634"/>
      <c r="AV931" s="634"/>
      <c r="AW931" s="634"/>
      <c r="AX931" s="635"/>
      <c r="AY931" s="752"/>
      <c r="AZ931" s="634"/>
      <c r="BA931" s="634"/>
      <c r="BB931" s="634"/>
      <c r="BC931" s="634"/>
      <c r="BD931" s="634"/>
      <c r="BE931" s="634"/>
      <c r="BF931" s="634"/>
      <c r="BG931" s="634"/>
      <c r="BH931" s="634"/>
      <c r="BI931" s="634"/>
    </row>
    <row r="932" spans="1:61" ht="15.75" thickBot="1" x14ac:dyDescent="0.3">
      <c r="A932" s="2371">
        <v>7</v>
      </c>
      <c r="B932" s="2385">
        <v>701.2</v>
      </c>
      <c r="C932" s="2381"/>
      <c r="D932" s="2374"/>
      <c r="E932" s="2374"/>
      <c r="F932" s="2374"/>
      <c r="G932" s="2373" t="s">
        <v>3974</v>
      </c>
      <c r="H932" s="2371" t="s">
        <v>3971</v>
      </c>
      <c r="I932" s="240"/>
      <c r="J932" s="642"/>
      <c r="K932" s="642"/>
      <c r="L932" s="1797"/>
      <c r="M932" s="1892"/>
      <c r="N932" s="1045"/>
      <c r="O932" s="1045"/>
      <c r="P932" s="99"/>
      <c r="Q932" s="99"/>
      <c r="R932" s="99"/>
      <c r="S932" s="99"/>
      <c r="T932" s="99"/>
      <c r="U932" s="99"/>
      <c r="V932" s="99"/>
      <c r="W932" s="99"/>
      <c r="X932" s="99"/>
      <c r="Y932" s="99"/>
      <c r="Z932" s="1589"/>
      <c r="AA932" s="1526"/>
      <c r="AB932" s="634"/>
      <c r="AC932" s="970"/>
      <c r="AD932" s="970"/>
      <c r="AE932" s="970"/>
      <c r="AF932" s="634"/>
      <c r="AG932" s="634"/>
      <c r="AH932" s="634"/>
      <c r="AI932" s="634"/>
      <c r="AJ932" s="634"/>
      <c r="AK932" s="634"/>
      <c r="AL932" s="1336"/>
      <c r="AM932" s="1336"/>
      <c r="AN932" s="1336"/>
      <c r="AO932" s="1336"/>
      <c r="AP932" s="1336"/>
      <c r="AQ932" s="1336"/>
      <c r="AR932" s="1336"/>
      <c r="AS932" s="1336"/>
      <c r="AT932" s="634"/>
      <c r="AU932" s="634"/>
      <c r="AV932" s="634"/>
      <c r="AW932" s="634"/>
      <c r="AX932" s="635" t="str">
        <f>'Overview (Verification)'!A61</f>
        <v>Local Energy Code:</v>
      </c>
      <c r="AY932" s="752">
        <f>IF(LEN('Overview (Verification)'!P61)=0,0,'Overview (Verification)'!P61)</f>
        <v>0</v>
      </c>
      <c r="AZ932" s="634"/>
      <c r="BA932" s="634"/>
      <c r="BB932" s="634"/>
      <c r="BC932" s="634"/>
      <c r="BD932" s="634"/>
      <c r="BE932" s="634"/>
      <c r="BF932" s="634"/>
      <c r="BG932" s="634"/>
      <c r="BH932" s="634"/>
      <c r="BI932" s="634"/>
    </row>
    <row r="933" spans="1:61" ht="15.75" thickTop="1" x14ac:dyDescent="0.25">
      <c r="A933" s="2371">
        <v>7</v>
      </c>
      <c r="B933" s="2385">
        <v>701.3</v>
      </c>
      <c r="C933" s="2381"/>
      <c r="D933" s="2374"/>
      <c r="E933" s="2374"/>
      <c r="F933" s="2374"/>
      <c r="G933" s="2373" t="s">
        <v>3974</v>
      </c>
      <c r="H933" s="2371" t="s">
        <v>3973</v>
      </c>
      <c r="I933" s="180">
        <v>701.3</v>
      </c>
      <c r="J933" s="520"/>
      <c r="K933" s="520"/>
      <c r="L933" s="1781" t="s">
        <v>818</v>
      </c>
      <c r="M933" s="1009"/>
      <c r="N933" s="1046"/>
      <c r="O933" s="1046"/>
      <c r="P933" s="94" t="b">
        <v>0</v>
      </c>
      <c r="Q933" s="94" t="b">
        <v>1</v>
      </c>
      <c r="R933" s="105" t="b">
        <f ca="1">IF(S883=4,FALSE,TRUE)</f>
        <v>1</v>
      </c>
      <c r="S933" s="105" t="b">
        <f ca="1">IF(S883=4,FALSE,TRUE)</f>
        <v>1</v>
      </c>
      <c r="T933" s="105" t="b">
        <f ca="1">AND(NOT(S933),W933=TRUE)</f>
        <v>0</v>
      </c>
      <c r="U933" s="105"/>
      <c r="V933" s="105"/>
      <c r="W933" s="25"/>
      <c r="X933" s="1784"/>
      <c r="Y933" s="2098" t="str">
        <f>IF(LEN('Ch7'!X63)=0,"None",'Ch7'!X63)</f>
        <v>None</v>
      </c>
      <c r="Z933" s="2088"/>
      <c r="AA933" s="1526"/>
      <c r="AB933" s="634"/>
      <c r="AC933" s="970" t="b">
        <f ca="1">OR(AD933:AE933)</f>
        <v>1</v>
      </c>
      <c r="AD933" s="970" t="b">
        <f ca="1">T933</f>
        <v>0</v>
      </c>
      <c r="AE933" s="970" t="b">
        <f ca="1">OR(AND(R933,NOT(W933)),AND(W933=TRUE,LEN(X933)=0))</f>
        <v>1</v>
      </c>
      <c r="AF933" s="784"/>
      <c r="AG933" s="634"/>
      <c r="AH933" s="634"/>
      <c r="AI933" s="634"/>
      <c r="AJ933" s="634"/>
      <c r="AK933" s="634"/>
      <c r="AL933" s="1336"/>
      <c r="AM933" s="1336"/>
      <c r="AN933" s="1336"/>
      <c r="AO933" s="1336"/>
      <c r="AP933" s="254" t="str">
        <f>SUBSTITUTE(SUBSTITUTE(SUBSTITUTE("vch"&amp;$B933&amp;$C933&amp;$D933&amp;$E933,".","_"),"(","_"),")","")</f>
        <v>vch701_3</v>
      </c>
      <c r="AQ933" s="254" t="str">
        <f>IF(LEN(W933)=0,"",W933)</f>
        <v/>
      </c>
      <c r="AR933" s="254" t="str">
        <f>SUBSTITUTE(SUBSTITUTE(SUBSTITUTE("vnt"&amp;$B933&amp;$C933&amp;$D933&amp;$E933,".","_"),"(","_"),")","")</f>
        <v>vnt701_3</v>
      </c>
      <c r="AS933" s="254" t="str">
        <f>IF(LEN(X933)=0,"",X933)</f>
        <v/>
      </c>
      <c r="AT933" s="634"/>
      <c r="AU933" s="634"/>
      <c r="AV933" s="634"/>
      <c r="AW933" s="634"/>
      <c r="AX933" s="635" t="str">
        <f>'Overview (Verification)'!A62</f>
        <v>Local Building Code:</v>
      </c>
      <c r="AY933" s="752">
        <f>IF(LEN('Overview (Verification)'!P62)=0,0,'Overview (Verification)'!P62)</f>
        <v>0</v>
      </c>
      <c r="AZ933" s="634"/>
      <c r="BA933" s="634"/>
      <c r="BB933" s="634"/>
      <c r="BC933" s="634"/>
      <c r="BD933" s="634"/>
      <c r="BE933" s="634"/>
      <c r="BF933" s="634"/>
      <c r="BG933" s="634"/>
      <c r="BH933" s="634"/>
      <c r="BI933" s="634"/>
    </row>
    <row r="934" spans="1:61" x14ac:dyDescent="0.25">
      <c r="A934" s="2371">
        <v>7</v>
      </c>
      <c r="B934" s="2385">
        <v>701.3</v>
      </c>
      <c r="C934" s="2381"/>
      <c r="D934" s="2374"/>
      <c r="E934" s="2374"/>
      <c r="F934" s="2374"/>
      <c r="G934" s="2373" t="s">
        <v>3974</v>
      </c>
      <c r="H934" s="2371" t="s">
        <v>3973</v>
      </c>
      <c r="I934" s="129"/>
      <c r="J934" s="636"/>
      <c r="K934" s="636"/>
      <c r="L934" s="1782"/>
      <c r="M934" s="1010"/>
      <c r="N934" s="1044"/>
      <c r="O934" s="1044"/>
      <c r="P934" s="94"/>
      <c r="Q934" s="94"/>
      <c r="R934" s="94"/>
      <c r="S934" s="94"/>
      <c r="T934" s="94"/>
      <c r="U934" s="94"/>
      <c r="V934" s="94"/>
      <c r="W934" s="94"/>
      <c r="X934" s="1757"/>
      <c r="Y934" s="2081"/>
      <c r="Z934" s="2084"/>
      <c r="AA934" s="1526"/>
      <c r="AB934" s="634"/>
      <c r="AC934" s="970"/>
      <c r="AD934" s="970"/>
      <c r="AE934" s="970"/>
      <c r="AF934" s="634"/>
      <c r="AG934" s="634"/>
      <c r="AH934" s="634"/>
      <c r="AI934" s="634"/>
      <c r="AJ934" s="634"/>
      <c r="AK934" s="634"/>
      <c r="AL934" s="1336"/>
      <c r="AM934" s="1336"/>
      <c r="AN934" s="1336"/>
      <c r="AO934" s="1336"/>
      <c r="AP934" s="1336"/>
      <c r="AQ934" s="1336"/>
      <c r="AR934" s="1336"/>
      <c r="AS934" s="1336"/>
      <c r="AT934" s="634"/>
      <c r="AU934" s="634"/>
      <c r="AV934" s="634"/>
      <c r="AW934" s="634"/>
      <c r="AZ934" s="634"/>
      <c r="BA934" s="634"/>
      <c r="BB934" s="634"/>
      <c r="BC934" s="634"/>
      <c r="BD934" s="634"/>
      <c r="BE934" s="634"/>
      <c r="BF934" s="634"/>
      <c r="BG934" s="634"/>
      <c r="BH934" s="634"/>
      <c r="BI934" s="634"/>
    </row>
    <row r="935" spans="1:61" ht="15.75" thickBot="1" x14ac:dyDescent="0.3">
      <c r="A935" s="2371">
        <v>7</v>
      </c>
      <c r="B935" s="2385">
        <v>701.3</v>
      </c>
      <c r="C935" s="2381"/>
      <c r="D935" s="2374"/>
      <c r="E935" s="2374"/>
      <c r="F935" s="2374"/>
      <c r="G935" s="2373" t="s">
        <v>3974</v>
      </c>
      <c r="H935" s="2371" t="s">
        <v>3973</v>
      </c>
      <c r="I935" s="240"/>
      <c r="J935" s="642"/>
      <c r="K935" s="642"/>
      <c r="L935" s="283" t="s">
        <v>3383</v>
      </c>
      <c r="M935" s="1011"/>
      <c r="N935" s="1045"/>
      <c r="O935" s="1045"/>
      <c r="P935" s="99"/>
      <c r="Q935" s="99"/>
      <c r="R935" s="99"/>
      <c r="S935" s="99"/>
      <c r="T935" s="99"/>
      <c r="U935" s="99"/>
      <c r="V935" s="99"/>
      <c r="W935" s="99"/>
      <c r="X935" s="1771"/>
      <c r="Y935" s="2082"/>
      <c r="Z935" s="2086"/>
      <c r="AA935" s="1526"/>
      <c r="AB935" s="634"/>
      <c r="AC935" s="970"/>
      <c r="AD935" s="970"/>
      <c r="AE935" s="970"/>
      <c r="AF935" s="634"/>
      <c r="AG935" s="634"/>
      <c r="AH935" s="634"/>
      <c r="AI935" s="634"/>
      <c r="AJ935" s="634"/>
      <c r="AK935" s="634"/>
      <c r="AL935" s="1336"/>
      <c r="AM935" s="1336"/>
      <c r="AN935" s="1336"/>
      <c r="AO935" s="1336"/>
      <c r="AP935" s="1336"/>
      <c r="AQ935" s="1336"/>
      <c r="AR935" s="1336"/>
      <c r="AS935" s="1336"/>
      <c r="AT935" s="634"/>
      <c r="AU935" s="634"/>
      <c r="AV935" s="634"/>
      <c r="AW935" s="634"/>
      <c r="AZ935" s="634"/>
      <c r="BA935" s="634"/>
      <c r="BB935" s="634"/>
      <c r="BC935" s="634"/>
      <c r="BD935" s="634"/>
      <c r="BE935" s="634"/>
      <c r="BF935" s="634"/>
      <c r="BG935" s="634"/>
      <c r="BH935" s="634"/>
      <c r="BI935" s="634"/>
    </row>
    <row r="936" spans="1:61" ht="15.75" thickTop="1" x14ac:dyDescent="0.25">
      <c r="A936" s="2371">
        <v>7</v>
      </c>
      <c r="B936" s="2385">
        <v>701.4</v>
      </c>
      <c r="C936" s="2381"/>
      <c r="D936" s="2374"/>
      <c r="E936" s="2374"/>
      <c r="F936" s="2374"/>
      <c r="G936" s="2373" t="s">
        <v>3974</v>
      </c>
      <c r="H936" s="2371" t="s">
        <v>3971</v>
      </c>
      <c r="I936" s="180">
        <v>701.4</v>
      </c>
      <c r="J936" s="520"/>
      <c r="K936" s="520"/>
      <c r="L936" s="1189" t="s">
        <v>819</v>
      </c>
      <c r="M936" s="1009"/>
      <c r="N936" s="1046"/>
      <c r="O936" s="1046"/>
      <c r="P936" s="105"/>
      <c r="Q936" s="105"/>
      <c r="R936" s="105"/>
      <c r="S936" s="105"/>
      <c r="T936" s="105"/>
      <c r="U936" s="105"/>
      <c r="V936" s="105"/>
      <c r="W936" s="105"/>
      <c r="X936" s="105"/>
      <c r="Y936" s="634"/>
      <c r="AA936" s="1526"/>
      <c r="AB936" s="634"/>
      <c r="AC936" s="970"/>
      <c r="AD936" s="970"/>
      <c r="AE936" s="970"/>
      <c r="AF936" s="634"/>
      <c r="AG936" s="634"/>
      <c r="AH936" s="634"/>
      <c r="AI936" s="634"/>
      <c r="AJ936" s="634"/>
      <c r="AK936" s="634"/>
      <c r="AL936" s="1336"/>
      <c r="AM936" s="1336"/>
      <c r="AN936" s="1336"/>
      <c r="AO936" s="1336"/>
      <c r="AP936" s="1336"/>
      <c r="AQ936" s="1336"/>
      <c r="AR936" s="1336"/>
      <c r="AS936" s="1336"/>
      <c r="AT936" s="634"/>
      <c r="AU936" s="634"/>
      <c r="AV936" s="634"/>
      <c r="AW936" s="634"/>
    </row>
    <row r="937" spans="1:61" x14ac:dyDescent="0.25">
      <c r="A937" s="2371">
        <v>7</v>
      </c>
      <c r="B937" s="2385" t="s">
        <v>820</v>
      </c>
      <c r="C937" s="2381"/>
      <c r="D937" s="2374"/>
      <c r="E937" s="2374"/>
      <c r="F937" s="2374"/>
      <c r="G937" s="2373" t="s">
        <v>3974</v>
      </c>
      <c r="H937" s="2371" t="s">
        <v>3972</v>
      </c>
      <c r="I937" s="215" t="s">
        <v>820</v>
      </c>
      <c r="J937" s="637"/>
      <c r="K937" s="637"/>
      <c r="L937" s="1182" t="s">
        <v>821</v>
      </c>
      <c r="M937" s="1015"/>
      <c r="N937" s="1047"/>
      <c r="O937" s="1047"/>
      <c r="P937" s="178"/>
      <c r="Q937" s="178"/>
      <c r="R937" s="178"/>
      <c r="S937" s="178"/>
      <c r="T937" s="178"/>
      <c r="U937" s="178"/>
      <c r="V937" s="178"/>
      <c r="W937" s="178"/>
      <c r="X937" s="178"/>
      <c r="Y937" s="634"/>
      <c r="AA937" s="1526"/>
      <c r="AB937" s="634"/>
      <c r="AC937" s="970"/>
      <c r="AD937" s="970"/>
      <c r="AE937" s="970"/>
      <c r="AF937" s="634"/>
      <c r="AG937" s="634"/>
      <c r="AH937" s="634"/>
      <c r="AI937" s="634"/>
      <c r="AJ937" s="634"/>
      <c r="AK937" s="634"/>
      <c r="AL937" s="1336"/>
      <c r="AM937" s="1336"/>
      <c r="AN937" s="1336"/>
      <c r="AO937" s="1336"/>
      <c r="AP937" s="1336"/>
      <c r="AQ937" s="1336"/>
      <c r="AR937" s="1336"/>
      <c r="AS937" s="1336"/>
      <c r="AT937" s="634"/>
      <c r="AU937" s="634"/>
      <c r="AV937" s="634"/>
      <c r="AW937" s="634"/>
    </row>
    <row r="938" spans="1:61" x14ac:dyDescent="0.25">
      <c r="A938" s="2371">
        <v>7</v>
      </c>
      <c r="B938" s="2385" t="s">
        <v>822</v>
      </c>
      <c r="C938" s="2385"/>
      <c r="D938" s="2374"/>
      <c r="E938" s="2374"/>
      <c r="F938" s="2374"/>
      <c r="G938" s="2373" t="s">
        <v>3974</v>
      </c>
      <c r="H938" s="2371" t="s">
        <v>3972</v>
      </c>
      <c r="I938" s="192" t="s">
        <v>822</v>
      </c>
      <c r="J938" s="641"/>
      <c r="K938" s="641"/>
      <c r="L938" s="1864" t="s">
        <v>823</v>
      </c>
      <c r="M938" s="1872" t="str">
        <f ca="1">IF(R938,"Mandatory","N/A")</f>
        <v>Mandatory</v>
      </c>
      <c r="N938" s="1056"/>
      <c r="O938" s="1056"/>
      <c r="P938" s="94" t="b">
        <v>1</v>
      </c>
      <c r="Q938" s="94" t="b">
        <v>0</v>
      </c>
      <c r="R938" s="195" t="b">
        <f ca="1">S938</f>
        <v>1</v>
      </c>
      <c r="S938" s="195" t="b">
        <f ca="1">NOT(S883=4)</f>
        <v>1</v>
      </c>
      <c r="T938" s="195" t="b">
        <f ca="1">AND(NOT(S938),W938=TRUE)</f>
        <v>0</v>
      </c>
      <c r="U938" s="195"/>
      <c r="V938" s="195"/>
      <c r="W938" s="25"/>
      <c r="X938" s="1757"/>
      <c r="Y938" s="2081" t="str">
        <f>IF(LEN('Ch7'!X68)=0,"None",'Ch7'!X68)</f>
        <v>None</v>
      </c>
      <c r="Z938" s="2083"/>
      <c r="AA938" s="1526"/>
      <c r="AB938" s="634"/>
      <c r="AC938" s="970" t="b">
        <f ca="1">OR(AD938:AE938)</f>
        <v>1</v>
      </c>
      <c r="AD938" s="970" t="b">
        <f ca="1">T938</f>
        <v>0</v>
      </c>
      <c r="AE938" s="970" t="b">
        <f ca="1">AND(R938,NOT(W938))</f>
        <v>1</v>
      </c>
      <c r="AF938" s="784" t="b">
        <f ca="1">AND(AE938,NOT(Q938))</f>
        <v>1</v>
      </c>
      <c r="AG938" s="634"/>
      <c r="AH938" s="634"/>
      <c r="AI938" s="634"/>
      <c r="AJ938" s="634"/>
      <c r="AK938" s="634"/>
      <c r="AL938" s="254" t="str">
        <f>SUBSTITUTE(SUBSTITUTE(SUBSTITUTE("vpa"&amp;$B938&amp;$C938&amp;$D938&amp;$E938,".","_"),"(","_"),")","")</f>
        <v>vpa701_4_1_1</v>
      </c>
      <c r="AM938" s="254" t="str">
        <f ca="1">M938</f>
        <v>Mandatory</v>
      </c>
      <c r="AN938" s="1336"/>
      <c r="AO938" s="1336"/>
      <c r="AP938" s="254" t="str">
        <f>SUBSTITUTE(SUBSTITUTE(SUBSTITUTE("vch"&amp;$B938&amp;$C938&amp;$D938&amp;$E938,".","_"),"(","_"),")","")</f>
        <v>vch701_4_1_1</v>
      </c>
      <c r="AQ938" s="254" t="str">
        <f>IF(LEN(W938)=0,"",W938)</f>
        <v/>
      </c>
      <c r="AR938" s="254" t="str">
        <f>SUBSTITUTE(SUBSTITUTE(SUBSTITUTE("vnt"&amp;$B938&amp;$C938&amp;$D938&amp;$E938,".","_"),"(","_"),")","")</f>
        <v>vnt701_4_1_1</v>
      </c>
      <c r="AS938" s="254" t="str">
        <f>IF(LEN(X938)=0,"",X938)</f>
        <v/>
      </c>
      <c r="AT938" s="634"/>
      <c r="AU938" s="634"/>
      <c r="AV938" s="634"/>
      <c r="AW938" s="634"/>
      <c r="AZ938" s="634"/>
      <c r="BA938" s="634"/>
      <c r="BB938" s="634"/>
      <c r="BC938" s="634"/>
      <c r="BD938" s="634"/>
      <c r="BE938" s="634"/>
      <c r="BF938" s="634"/>
      <c r="BG938" s="634"/>
      <c r="BH938" s="634"/>
      <c r="BI938" s="634"/>
    </row>
    <row r="939" spans="1:61" x14ac:dyDescent="0.25">
      <c r="A939" s="2371">
        <v>7</v>
      </c>
      <c r="B939" s="2385" t="s">
        <v>822</v>
      </c>
      <c r="C939" s="2385"/>
      <c r="D939" s="2374"/>
      <c r="E939" s="2374"/>
      <c r="F939" s="2374"/>
      <c r="G939" s="2373" t="s">
        <v>3974</v>
      </c>
      <c r="H939" s="2371" t="s">
        <v>3972</v>
      </c>
      <c r="I939" s="129"/>
      <c r="J939" s="636"/>
      <c r="K939" s="636"/>
      <c r="L939" s="1782"/>
      <c r="M939" s="1837"/>
      <c r="N939" s="1044"/>
      <c r="O939" s="1044"/>
      <c r="P939" s="94"/>
      <c r="Q939" s="94"/>
      <c r="R939" s="94"/>
      <c r="S939" s="94"/>
      <c r="T939" s="94"/>
      <c r="U939" s="94"/>
      <c r="V939" s="94"/>
      <c r="W939" s="94"/>
      <c r="X939" s="1757"/>
      <c r="Y939" s="2081"/>
      <c r="Z939" s="2083"/>
      <c r="AA939" s="1526"/>
      <c r="AB939" s="634"/>
      <c r="AC939" s="970"/>
      <c r="AD939" s="970"/>
      <c r="AE939" s="970"/>
      <c r="AF939" s="634"/>
      <c r="AG939" s="634"/>
      <c r="AH939" s="634"/>
      <c r="AI939" s="634"/>
      <c r="AJ939" s="634"/>
      <c r="AK939" s="634"/>
      <c r="AL939" s="1336"/>
      <c r="AM939" s="1336"/>
      <c r="AN939" s="1336"/>
      <c r="AO939" s="1336"/>
      <c r="AP939" s="1336"/>
      <c r="AQ939" s="1336"/>
      <c r="AR939" s="1336"/>
      <c r="AS939" s="1336"/>
      <c r="AT939" s="634"/>
      <c r="AU939" s="634"/>
      <c r="AV939" s="634"/>
      <c r="AW939" s="634"/>
      <c r="AZ939" s="634"/>
      <c r="BA939" s="634"/>
      <c r="BB939" s="634"/>
      <c r="BC939" s="634"/>
      <c r="BD939" s="634"/>
      <c r="BE939" s="634"/>
      <c r="BF939" s="634"/>
      <c r="BG939" s="634"/>
      <c r="BH939" s="634"/>
      <c r="BI939" s="634"/>
    </row>
    <row r="940" spans="1:61" x14ac:dyDescent="0.25">
      <c r="A940" s="2371">
        <v>7</v>
      </c>
      <c r="B940" s="2385" t="s">
        <v>822</v>
      </c>
      <c r="C940" s="2385"/>
      <c r="D940" s="2374"/>
      <c r="E940" s="2374"/>
      <c r="F940" s="2374"/>
      <c r="G940" s="2373" t="s">
        <v>3974</v>
      </c>
      <c r="H940" s="2371" t="s">
        <v>3972</v>
      </c>
      <c r="I940" s="210"/>
      <c r="J940" s="637"/>
      <c r="K940" s="637"/>
      <c r="L940" s="1843"/>
      <c r="M940" s="1844"/>
      <c r="N940" s="1047"/>
      <c r="O940" s="1047"/>
      <c r="P940" s="178"/>
      <c r="Q940" s="178"/>
      <c r="R940" s="178"/>
      <c r="S940" s="178"/>
      <c r="T940" s="178"/>
      <c r="U940" s="178"/>
      <c r="V940" s="178"/>
      <c r="W940" s="178"/>
      <c r="X940" s="1757"/>
      <c r="Y940" s="2081"/>
      <c r="Z940" s="2083"/>
      <c r="AA940" s="1526"/>
      <c r="AB940" s="634"/>
      <c r="AC940" s="970"/>
      <c r="AD940" s="970"/>
      <c r="AE940" s="970"/>
      <c r="AF940" s="634"/>
      <c r="AG940" s="634"/>
      <c r="AH940" s="634"/>
      <c r="AI940" s="634"/>
      <c r="AJ940" s="634"/>
      <c r="AK940" s="634"/>
      <c r="AL940" s="1336"/>
      <c r="AM940" s="1336"/>
      <c r="AN940" s="1336"/>
      <c r="AO940" s="1336"/>
      <c r="AP940" s="1336"/>
      <c r="AQ940" s="1336"/>
      <c r="AR940" s="1336"/>
      <c r="AS940" s="1336"/>
      <c r="AT940" s="634"/>
      <c r="AU940" s="634"/>
      <c r="AV940" s="634"/>
      <c r="AW940" s="634"/>
      <c r="AZ940" s="634"/>
      <c r="BA940" s="634"/>
      <c r="BB940" s="634"/>
      <c r="BC940" s="634"/>
      <c r="BD940" s="634"/>
      <c r="BE940" s="634"/>
      <c r="BF940" s="634"/>
      <c r="BG940" s="634"/>
      <c r="BH940" s="634"/>
      <c r="BI940" s="634"/>
    </row>
    <row r="941" spans="1:61" x14ac:dyDescent="0.25">
      <c r="A941" s="2371">
        <v>7</v>
      </c>
      <c r="B941" s="2385" t="s">
        <v>824</v>
      </c>
      <c r="C941" s="2385"/>
      <c r="D941" s="2374"/>
      <c r="E941" s="2374"/>
      <c r="F941" s="2374"/>
      <c r="G941" s="2373" t="s">
        <v>3974</v>
      </c>
      <c r="H941" s="2371" t="s">
        <v>3972</v>
      </c>
      <c r="I941" s="533" t="s">
        <v>824</v>
      </c>
      <c r="J941" s="641"/>
      <c r="K941" s="641"/>
      <c r="L941" s="1864" t="s">
        <v>825</v>
      </c>
      <c r="M941" s="1872" t="str">
        <f ca="1">IF(R941,"Mandatory","N/A")</f>
        <v>Mandatory</v>
      </c>
      <c r="N941" s="1056"/>
      <c r="O941" s="1056"/>
      <c r="P941" s="94" t="b">
        <v>1</v>
      </c>
      <c r="Q941" s="94" t="b">
        <v>0</v>
      </c>
      <c r="R941" s="195" t="b">
        <f ca="1">S941</f>
        <v>1</v>
      </c>
      <c r="S941" s="195" t="b">
        <f ca="1">NOT(S883=4)</f>
        <v>1</v>
      </c>
      <c r="T941" s="195" t="b">
        <f ca="1">AND(NOT(S941),LEN(W941)&gt;0)</f>
        <v>0</v>
      </c>
      <c r="U941" s="195" t="str">
        <f>SUBSTITUTE(SUBSTITUTE(SUBSTITUTE("dd"&amp;B941&amp;C941&amp;D941&amp;E941&amp;F941,".","_"),"(","_"),")","")</f>
        <v>dd701_4_1_2</v>
      </c>
      <c r="V941" s="195"/>
      <c r="W941" s="12"/>
      <c r="X941" s="1757"/>
      <c r="Y941" s="2081" t="str">
        <f>IF(LEN('Ch7'!X71)=0,"None",'Ch7'!X71)</f>
        <v>None</v>
      </c>
      <c r="Z941" s="2083"/>
      <c r="AA941" s="1526"/>
      <c r="AB941" s="634"/>
      <c r="AC941" s="970" t="b">
        <f ca="1">OR(AD941:AE941)</f>
        <v>1</v>
      </c>
      <c r="AD941" s="970" t="b">
        <f ca="1">T941</f>
        <v>0</v>
      </c>
      <c r="AE941" s="970" t="b">
        <f ca="1">AND(R941,OR(W941="Not Met",W941=""))</f>
        <v>1</v>
      </c>
      <c r="AF941" s="784" t="b">
        <f ca="1">AND(AE941,NOT(Q941))</f>
        <v>1</v>
      </c>
      <c r="AG941" s="634"/>
      <c r="AH941" s="634"/>
      <c r="AI941" s="634"/>
      <c r="AJ941" s="634"/>
      <c r="AK941" s="634"/>
      <c r="AL941" s="254" t="str">
        <f>SUBSTITUTE(SUBSTITUTE(SUBSTITUTE("vpa"&amp;$B941&amp;$C941&amp;$D941&amp;$E941,".","_"),"(","_"),")","")</f>
        <v>vpa701_4_1_2</v>
      </c>
      <c r="AM941" s="254" t="str">
        <f ca="1">M941</f>
        <v>Mandatory</v>
      </c>
      <c r="AN941" s="1336"/>
      <c r="AO941" s="1336"/>
      <c r="AP941" s="254" t="str">
        <f>SUBSTITUTE(SUBSTITUTE(SUBSTITUTE("vch"&amp;$B941&amp;$C941&amp;$D941&amp;$E941,".","_"),"(","_"),")","")</f>
        <v>vch701_4_1_2</v>
      </c>
      <c r="AQ941" s="254" t="str">
        <f>IF(LEN(W941)=0,"",W941)</f>
        <v/>
      </c>
      <c r="AR941" s="254" t="str">
        <f>SUBSTITUTE(SUBSTITUTE(SUBSTITUTE("vnt"&amp;$B941&amp;$C941&amp;$D941&amp;$E941,".","_"),"(","_"),")","")</f>
        <v>vnt701_4_1_2</v>
      </c>
      <c r="AS941" s="254" t="str">
        <f>IF(LEN(X941)=0,"",X941)</f>
        <v/>
      </c>
      <c r="AT941" s="634"/>
      <c r="AU941" s="634"/>
      <c r="AV941" s="634"/>
      <c r="AW941" s="634"/>
      <c r="AZ941" s="634"/>
      <c r="BA941" s="634"/>
      <c r="BB941" s="634"/>
      <c r="BC941" s="634"/>
      <c r="BD941" s="634"/>
      <c r="BE941" s="634"/>
      <c r="BF941" s="634"/>
      <c r="BG941" s="634"/>
      <c r="BH941" s="634"/>
      <c r="BI941" s="634"/>
    </row>
    <row r="942" spans="1:61" x14ac:dyDescent="0.25">
      <c r="A942" s="2371">
        <v>7</v>
      </c>
      <c r="B942" s="2385" t="s">
        <v>824</v>
      </c>
      <c r="C942" s="2385"/>
      <c r="D942" s="2374"/>
      <c r="E942" s="2374"/>
      <c r="F942" s="2374"/>
      <c r="G942" s="2373" t="s">
        <v>3974</v>
      </c>
      <c r="H942" s="2371" t="s">
        <v>3972</v>
      </c>
      <c r="I942" s="129"/>
      <c r="J942" s="636"/>
      <c r="K942" s="636"/>
      <c r="L942" s="1782"/>
      <c r="M942" s="1837"/>
      <c r="N942" s="1044"/>
      <c r="O942" s="1044"/>
      <c r="P942" s="94"/>
      <c r="Q942" s="94"/>
      <c r="R942" s="94"/>
      <c r="S942" s="94"/>
      <c r="T942" s="94"/>
      <c r="U942" s="94"/>
      <c r="V942" s="94"/>
      <c r="W942" s="94"/>
      <c r="X942" s="1757"/>
      <c r="Y942" s="2081"/>
      <c r="Z942" s="2083"/>
      <c r="AA942" s="1526"/>
      <c r="AB942" s="634"/>
      <c r="AC942" s="970"/>
      <c r="AD942" s="970"/>
      <c r="AE942" s="970"/>
      <c r="AF942" s="634"/>
      <c r="AG942" s="634"/>
      <c r="AH942" s="634"/>
      <c r="AI942" s="634"/>
      <c r="AJ942" s="634"/>
      <c r="AK942" s="634"/>
      <c r="AL942" s="1336"/>
      <c r="AM942" s="1336"/>
      <c r="AN942" s="1336"/>
      <c r="AO942" s="1336"/>
      <c r="AP942" s="1336"/>
      <c r="AQ942" s="1336"/>
      <c r="AR942" s="1336"/>
      <c r="AS942" s="1336"/>
      <c r="AT942" s="634"/>
      <c r="AU942" s="634"/>
      <c r="AV942" s="634"/>
      <c r="AW942" s="634"/>
      <c r="AZ942" s="634"/>
      <c r="BA942" s="634"/>
      <c r="BB942" s="634"/>
      <c r="BC942" s="634"/>
      <c r="BD942" s="634"/>
      <c r="BE942" s="634"/>
      <c r="BF942" s="634"/>
      <c r="BG942" s="634"/>
      <c r="BH942" s="634"/>
      <c r="BI942" s="634"/>
    </row>
    <row r="943" spans="1:61" x14ac:dyDescent="0.25">
      <c r="A943" s="2371">
        <v>7</v>
      </c>
      <c r="B943" s="2385" t="s">
        <v>824</v>
      </c>
      <c r="C943" s="2385"/>
      <c r="D943" s="2374"/>
      <c r="E943" s="2374"/>
      <c r="F943" s="2374"/>
      <c r="G943" s="2373" t="s">
        <v>3974</v>
      </c>
      <c r="H943" s="2371" t="s">
        <v>3972</v>
      </c>
      <c r="I943" s="129"/>
      <c r="J943" s="636"/>
      <c r="K943" s="636"/>
      <c r="L943" s="1782"/>
      <c r="M943" s="1837"/>
      <c r="N943" s="1044"/>
      <c r="O943" s="1044"/>
      <c r="P943" s="94"/>
      <c r="Q943" s="94"/>
      <c r="R943" s="94"/>
      <c r="S943" s="94"/>
      <c r="T943" s="94"/>
      <c r="U943" s="94"/>
      <c r="V943" s="94"/>
      <c r="W943" s="94"/>
      <c r="X943" s="1757"/>
      <c r="Y943" s="2081"/>
      <c r="Z943" s="2083"/>
      <c r="AA943" s="1526"/>
      <c r="AB943" s="634"/>
      <c r="AC943" s="970"/>
      <c r="AD943" s="970"/>
      <c r="AE943" s="970"/>
      <c r="AF943" s="634"/>
      <c r="AG943" s="634"/>
      <c r="AH943" s="634"/>
      <c r="AI943" s="634"/>
      <c r="AJ943" s="634"/>
      <c r="AK943" s="634"/>
      <c r="AL943" s="1336"/>
      <c r="AM943" s="1336"/>
      <c r="AN943" s="1336"/>
      <c r="AO943" s="1336"/>
      <c r="AP943" s="1336"/>
      <c r="AQ943" s="1336"/>
      <c r="AR943" s="1336"/>
      <c r="AS943" s="1336"/>
      <c r="AT943" s="634"/>
      <c r="AU943" s="634"/>
      <c r="AV943" s="634"/>
      <c r="AW943" s="634"/>
      <c r="AZ943" s="634"/>
      <c r="BA943" s="634"/>
      <c r="BB943" s="634"/>
      <c r="BC943" s="634"/>
      <c r="BD943" s="634"/>
      <c r="BE943" s="634"/>
      <c r="BF943" s="634"/>
      <c r="BG943" s="634"/>
      <c r="BH943" s="634"/>
      <c r="BI943" s="634"/>
    </row>
    <row r="944" spans="1:61" x14ac:dyDescent="0.25">
      <c r="A944" s="2371">
        <v>7</v>
      </c>
      <c r="B944" s="2385" t="s">
        <v>824</v>
      </c>
      <c r="C944" s="2385"/>
      <c r="D944" s="2374"/>
      <c r="E944" s="2374"/>
      <c r="F944" s="2374"/>
      <c r="G944" s="2373" t="s">
        <v>3974</v>
      </c>
      <c r="H944" s="2371" t="s">
        <v>3972</v>
      </c>
      <c r="I944" s="129"/>
      <c r="J944" s="636"/>
      <c r="K944" s="636"/>
      <c r="L944" s="1782"/>
      <c r="M944" s="1837"/>
      <c r="N944" s="1044"/>
      <c r="O944" s="1044"/>
      <c r="P944" s="94"/>
      <c r="Q944" s="94"/>
      <c r="R944" s="94"/>
      <c r="S944" s="94"/>
      <c r="T944" s="94"/>
      <c r="U944" s="94"/>
      <c r="V944" s="94"/>
      <c r="W944" s="94"/>
      <c r="X944" s="1757"/>
      <c r="Y944" s="2081"/>
      <c r="Z944" s="2083"/>
      <c r="AA944" s="1526"/>
      <c r="AB944" s="634"/>
      <c r="AC944" s="970"/>
      <c r="AD944" s="970"/>
      <c r="AE944" s="970"/>
      <c r="AF944" s="634"/>
      <c r="AG944" s="634"/>
      <c r="AH944" s="634"/>
      <c r="AI944" s="634"/>
      <c r="AJ944" s="634"/>
      <c r="AK944" s="634"/>
      <c r="AL944" s="1336"/>
      <c r="AM944" s="1336"/>
      <c r="AN944" s="1336"/>
      <c r="AO944" s="1336"/>
      <c r="AP944" s="1336"/>
      <c r="AQ944" s="1336"/>
      <c r="AR944" s="1336"/>
      <c r="AS944" s="1336"/>
      <c r="AT944" s="634"/>
      <c r="AU944" s="634"/>
      <c r="AV944" s="634"/>
      <c r="AW944" s="634"/>
      <c r="AZ944" s="634"/>
      <c r="BA944" s="634"/>
      <c r="BB944" s="634"/>
      <c r="BC944" s="634"/>
      <c r="BD944" s="634"/>
      <c r="BE944" s="634"/>
      <c r="BF944" s="634"/>
      <c r="BG944" s="634"/>
      <c r="BH944" s="634"/>
      <c r="BI944" s="634"/>
    </row>
    <row r="945" spans="1:61" x14ac:dyDescent="0.25">
      <c r="A945" s="2371">
        <v>7</v>
      </c>
      <c r="B945" s="2385" t="s">
        <v>824</v>
      </c>
      <c r="C945" s="2385"/>
      <c r="D945" s="2374"/>
      <c r="E945" s="2374"/>
      <c r="F945" s="2374"/>
      <c r="G945" s="2373" t="s">
        <v>3974</v>
      </c>
      <c r="H945" s="2371" t="s">
        <v>3972</v>
      </c>
      <c r="I945" s="210"/>
      <c r="J945" s="637"/>
      <c r="K945" s="637"/>
      <c r="L945" s="1843"/>
      <c r="M945" s="1844"/>
      <c r="N945" s="1047"/>
      <c r="O945" s="1047"/>
      <c r="P945" s="178"/>
      <c r="Q945" s="178"/>
      <c r="R945" s="178"/>
      <c r="S945" s="178"/>
      <c r="T945" s="178"/>
      <c r="U945" s="178"/>
      <c r="V945" s="178"/>
      <c r="W945" s="178"/>
      <c r="X945" s="1757"/>
      <c r="Y945" s="2081"/>
      <c r="Z945" s="2083"/>
      <c r="AA945" s="1526"/>
      <c r="AB945" s="634"/>
      <c r="AC945" s="970"/>
      <c r="AD945" s="970"/>
      <c r="AE945" s="970"/>
      <c r="AF945" s="634"/>
      <c r="AG945" s="634"/>
      <c r="AH945" s="634"/>
      <c r="AI945" s="634"/>
      <c r="AJ945" s="634"/>
      <c r="AK945" s="634"/>
      <c r="AL945" s="1336"/>
      <c r="AM945" s="1336"/>
      <c r="AN945" s="1336"/>
      <c r="AO945" s="1336"/>
      <c r="AP945" s="1336"/>
      <c r="AQ945" s="1336"/>
      <c r="AR945" s="1336"/>
      <c r="AS945" s="1336"/>
      <c r="AT945" s="634"/>
      <c r="AU945" s="634"/>
      <c r="AV945" s="634"/>
      <c r="AW945" s="634"/>
      <c r="AZ945" s="634"/>
      <c r="BA945" s="634"/>
      <c r="BB945" s="634"/>
      <c r="BC945" s="634"/>
      <c r="BD945" s="634"/>
      <c r="BE945" s="634"/>
      <c r="BF945" s="634"/>
      <c r="BG945" s="634"/>
      <c r="BH945" s="634"/>
      <c r="BI945" s="634"/>
    </row>
    <row r="946" spans="1:61" x14ac:dyDescent="0.25">
      <c r="A946" s="2371">
        <v>7</v>
      </c>
      <c r="B946" s="2385" t="s">
        <v>826</v>
      </c>
      <c r="C946" s="2385"/>
      <c r="D946" s="2374"/>
      <c r="E946" s="2374"/>
      <c r="F946" s="2374"/>
      <c r="G946" s="2373" t="s">
        <v>3974</v>
      </c>
      <c r="H946" s="2371" t="s">
        <v>3972</v>
      </c>
      <c r="I946" s="533" t="s">
        <v>826</v>
      </c>
      <c r="J946" s="641"/>
      <c r="K946" s="641"/>
      <c r="L946" s="1183" t="s">
        <v>827</v>
      </c>
      <c r="M946" s="1016"/>
      <c r="N946" s="1056"/>
      <c r="O946" s="1056"/>
      <c r="P946" s="195"/>
      <c r="Q946" s="195"/>
      <c r="R946" s="195"/>
      <c r="S946" s="195"/>
      <c r="T946" s="195"/>
      <c r="U946" s="195"/>
      <c r="V946" s="195"/>
      <c r="W946" s="195"/>
      <c r="X946" s="195"/>
      <c r="Y946" s="634"/>
      <c r="AA946" s="1526"/>
      <c r="AB946" s="634"/>
      <c r="AC946" s="970"/>
      <c r="AD946" s="970"/>
      <c r="AE946" s="970"/>
      <c r="AF946" s="634"/>
      <c r="AG946" s="634"/>
      <c r="AH946" s="634"/>
      <c r="AI946" s="634"/>
      <c r="AJ946" s="634"/>
      <c r="AK946" s="634"/>
      <c r="AL946" s="1336"/>
      <c r="AM946" s="1336"/>
      <c r="AN946" s="1336"/>
      <c r="AO946" s="1336"/>
      <c r="AP946" s="1336"/>
      <c r="AQ946" s="1336"/>
      <c r="AR946" s="1336"/>
      <c r="AS946" s="1336"/>
      <c r="AT946" s="634"/>
      <c r="AU946" s="634"/>
      <c r="AV946" s="634"/>
      <c r="AW946" s="634"/>
      <c r="AZ946" s="634"/>
      <c r="BA946" s="634"/>
      <c r="BB946" s="634"/>
      <c r="BC946" s="634"/>
      <c r="BD946" s="634"/>
      <c r="BE946" s="634"/>
      <c r="BF946" s="634"/>
      <c r="BG946" s="634"/>
      <c r="BH946" s="634"/>
      <c r="BI946" s="634"/>
    </row>
    <row r="947" spans="1:61" x14ac:dyDescent="0.25">
      <c r="A947" s="2371">
        <v>7</v>
      </c>
      <c r="B947" s="2385" t="s">
        <v>820</v>
      </c>
      <c r="C947" s="2385"/>
      <c r="D947" s="2374"/>
      <c r="E947" s="2374"/>
      <c r="F947" s="2374"/>
      <c r="G947" s="2373" t="s">
        <v>3974</v>
      </c>
      <c r="H947" s="2371" t="s">
        <v>3972</v>
      </c>
      <c r="I947" s="510" t="s">
        <v>3809</v>
      </c>
      <c r="J947" s="636"/>
      <c r="K947" s="636"/>
      <c r="L947" s="1782" t="s">
        <v>828</v>
      </c>
      <c r="M947" s="1837" t="str">
        <f ca="1">IF(R947,"Mandatory","N/A")</f>
        <v>Mandatory</v>
      </c>
      <c r="N947" s="1044"/>
      <c r="O947" s="1044"/>
      <c r="P947" s="94" t="b">
        <v>1</v>
      </c>
      <c r="Q947" s="94" t="b">
        <v>0</v>
      </c>
      <c r="R947" s="94" t="b">
        <f ca="1">S947</f>
        <v>1</v>
      </c>
      <c r="S947" s="94" t="b">
        <f ca="1">AND(NOT(S883=4),NOT(AND(OR(AY909=INDEX(INDIRECT('Overview (Design)'!$E$38),2),AY909=INDEX(INDIRECT('Overview (Design)'!$E$38),3)),OR(AY913=INDEX(INDIRECT('Overview (Design)'!$E$42),2),AY913=INDEX(INDIRECT('Overview (Design)'!$E$42),3)))))</f>
        <v>1</v>
      </c>
      <c r="T947" s="94" t="b">
        <f ca="1">AND(NOT(S947),W947=TRUE)</f>
        <v>0</v>
      </c>
      <c r="U947" s="94"/>
      <c r="V947" s="94"/>
      <c r="W947" s="25"/>
      <c r="X947" s="1757"/>
      <c r="Y947" s="2081" t="str">
        <f>IF(LEN('Ch7'!X77)=0,"None",'Ch7'!X77)</f>
        <v>None</v>
      </c>
      <c r="Z947" s="2083"/>
      <c r="AA947" s="1526"/>
      <c r="AB947" s="634"/>
      <c r="AC947" s="970" t="b">
        <f ca="1">OR(AD947:AE947)</f>
        <v>1</v>
      </c>
      <c r="AD947" s="970" t="b">
        <f ca="1">T947</f>
        <v>0</v>
      </c>
      <c r="AE947" s="970" t="b">
        <f ca="1">AND(R947,NOT(W947))</f>
        <v>1</v>
      </c>
      <c r="AF947" s="784" t="b">
        <f ca="1">AND(AE947,NOT(Q947))</f>
        <v>1</v>
      </c>
      <c r="AG947" s="634"/>
      <c r="AH947" s="634"/>
      <c r="AI947" s="634"/>
      <c r="AJ947" s="634"/>
      <c r="AK947" s="634"/>
      <c r="AL947" s="254" t="str">
        <f>SUBSTITUTE(SUBSTITUTE(SUBSTITUTE("vpa"&amp;$B947&amp;$C947&amp;$D947&amp;$E947,".","_"),"(","_"),")","")</f>
        <v>vpa701_4_1</v>
      </c>
      <c r="AM947" s="254" t="str">
        <f ca="1">M947</f>
        <v>Mandatory</v>
      </c>
      <c r="AN947" s="1336"/>
      <c r="AO947" s="1336"/>
      <c r="AP947" s="254" t="str">
        <f>SUBSTITUTE(SUBSTITUTE(SUBSTITUTE("vch"&amp;$B947&amp;$C947&amp;$D947&amp;$E947,".","_"),"(","_"),")","")</f>
        <v>vch701_4_1</v>
      </c>
      <c r="AQ947" s="254" t="str">
        <f>IF(LEN(W947)=0,"",W947)</f>
        <v/>
      </c>
      <c r="AR947" s="254" t="str">
        <f>SUBSTITUTE(SUBSTITUTE(SUBSTITUTE("vnt"&amp;$B947&amp;$C947&amp;$D947&amp;$E947,".","_"),"(","_"),")","")</f>
        <v>vnt701_4_1</v>
      </c>
      <c r="AS947" s="254" t="str">
        <f>IF(LEN(X947)=0,"",X947)</f>
        <v/>
      </c>
      <c r="AT947" s="634"/>
      <c r="AU947" s="634"/>
      <c r="AV947" s="634"/>
      <c r="AW947" s="634"/>
      <c r="AZ947" s="634"/>
      <c r="BA947" s="634"/>
      <c r="BB947" s="634"/>
      <c r="BC947" s="634"/>
      <c r="BD947" s="634"/>
      <c r="BE947" s="634"/>
      <c r="BF947" s="634"/>
      <c r="BG947" s="634"/>
      <c r="BH947" s="634"/>
      <c r="BI947" s="634"/>
    </row>
    <row r="948" spans="1:61" x14ac:dyDescent="0.25">
      <c r="A948" s="2371">
        <v>7</v>
      </c>
      <c r="B948" s="2385" t="s">
        <v>820</v>
      </c>
      <c r="C948" s="2385"/>
      <c r="D948" s="2374"/>
      <c r="E948" s="2374"/>
      <c r="F948" s="2374"/>
      <c r="G948" s="2373" t="s">
        <v>3974</v>
      </c>
      <c r="H948" s="2371" t="s">
        <v>3972</v>
      </c>
      <c r="I948" s="510"/>
      <c r="J948" s="636"/>
      <c r="K948" s="636"/>
      <c r="L948" s="1782"/>
      <c r="M948" s="1837"/>
      <c r="N948" s="1044"/>
      <c r="O948" s="1044"/>
      <c r="P948" s="94"/>
      <c r="Q948" s="94"/>
      <c r="R948" s="94"/>
      <c r="S948" s="94"/>
      <c r="T948" s="94"/>
      <c r="U948" s="94"/>
      <c r="V948" s="94"/>
      <c r="W948" s="94"/>
      <c r="X948" s="1757"/>
      <c r="Y948" s="2081"/>
      <c r="Z948" s="2083"/>
      <c r="AA948" s="1526"/>
      <c r="AB948" s="634"/>
      <c r="AC948" s="970"/>
      <c r="AD948" s="970"/>
      <c r="AE948" s="970"/>
      <c r="AF948" s="634"/>
      <c r="AG948" s="634"/>
      <c r="AH948" s="634"/>
      <c r="AI948" s="634"/>
      <c r="AJ948" s="634"/>
      <c r="AK948" s="634"/>
      <c r="AL948" s="1336"/>
      <c r="AM948" s="1336"/>
      <c r="AN948" s="1336"/>
      <c r="AO948" s="1336"/>
      <c r="AP948" s="1336"/>
      <c r="AQ948" s="1336"/>
      <c r="AR948" s="1336"/>
      <c r="AS948" s="1336"/>
      <c r="AT948" s="634"/>
      <c r="AU948" s="634"/>
      <c r="AV948" s="634"/>
      <c r="AW948" s="634"/>
      <c r="AZ948" s="634"/>
      <c r="BA948" s="634"/>
      <c r="BB948" s="634"/>
      <c r="BC948" s="634"/>
      <c r="BD948" s="634"/>
      <c r="BE948" s="634"/>
      <c r="BF948" s="634"/>
      <c r="BG948" s="634"/>
      <c r="BH948" s="634"/>
      <c r="BI948" s="634"/>
    </row>
    <row r="949" spans="1:61" x14ac:dyDescent="0.25">
      <c r="A949" s="2371">
        <v>7</v>
      </c>
      <c r="B949" s="2385" t="s">
        <v>820</v>
      </c>
      <c r="C949" s="2385"/>
      <c r="D949" s="2374"/>
      <c r="E949" s="2374"/>
      <c r="F949" s="2374"/>
      <c r="G949" s="2373" t="s">
        <v>3974</v>
      </c>
      <c r="H949" s="2371" t="s">
        <v>3972</v>
      </c>
      <c r="I949" s="534"/>
      <c r="J949" s="637"/>
      <c r="K949" s="637"/>
      <c r="L949" s="1843"/>
      <c r="M949" s="1844"/>
      <c r="N949" s="1047"/>
      <c r="O949" s="1047"/>
      <c r="P949" s="178"/>
      <c r="Q949" s="178"/>
      <c r="R949" s="178"/>
      <c r="S949" s="178"/>
      <c r="T949" s="178"/>
      <c r="U949" s="178"/>
      <c r="V949" s="178"/>
      <c r="W949" s="178"/>
      <c r="X949" s="1757"/>
      <c r="Y949" s="2081"/>
      <c r="Z949" s="2083"/>
      <c r="AA949" s="1526"/>
      <c r="AB949" s="634"/>
      <c r="AC949" s="970"/>
      <c r="AD949" s="970"/>
      <c r="AE949" s="970"/>
      <c r="AF949" s="634"/>
      <c r="AG949" s="634"/>
      <c r="AH949" s="634"/>
      <c r="AI949" s="634"/>
      <c r="AJ949" s="634"/>
      <c r="AK949" s="634"/>
      <c r="AL949" s="1336"/>
      <c r="AM949" s="1336"/>
      <c r="AN949" s="1336"/>
      <c r="AO949" s="1336"/>
      <c r="AP949" s="1336"/>
      <c r="AQ949" s="1336"/>
      <c r="AR949" s="1336"/>
      <c r="AS949" s="1336"/>
      <c r="AT949" s="634"/>
      <c r="AU949" s="634"/>
      <c r="AV949" s="634"/>
      <c r="AW949" s="634"/>
      <c r="AZ949" s="634"/>
      <c r="BA949" s="634"/>
      <c r="BB949" s="634"/>
      <c r="BC949" s="634"/>
      <c r="BD949" s="634"/>
      <c r="BE949" s="634"/>
      <c r="BF949" s="634"/>
      <c r="BG949" s="634"/>
      <c r="BH949" s="634"/>
      <c r="BI949" s="634"/>
    </row>
    <row r="950" spans="1:61" ht="15" customHeight="1" x14ac:dyDescent="0.25">
      <c r="A950" s="2371">
        <v>7</v>
      </c>
      <c r="B950" s="2385" t="s">
        <v>829</v>
      </c>
      <c r="C950" s="2385"/>
      <c r="D950" s="2374"/>
      <c r="E950" s="2374"/>
      <c r="F950" s="2374"/>
      <c r="G950" s="2373" t="s">
        <v>3974</v>
      </c>
      <c r="H950" s="2371" t="s">
        <v>3972</v>
      </c>
      <c r="I950" s="535" t="s">
        <v>829</v>
      </c>
      <c r="J950" s="280"/>
      <c r="K950" s="280"/>
      <c r="L950" s="536" t="s">
        <v>830</v>
      </c>
      <c r="M950" s="766" t="str">
        <f ca="1">IF(R950,"Mandatory","N/A")</f>
        <v>Mandatory</v>
      </c>
      <c r="N950" s="1049"/>
      <c r="O950" s="1049"/>
      <c r="P950" s="94" t="b">
        <v>1</v>
      </c>
      <c r="Q950" s="94" t="b">
        <v>0</v>
      </c>
      <c r="R950" s="211" t="b">
        <f ca="1">S950</f>
        <v>1</v>
      </c>
      <c r="S950" s="211" t="b">
        <f ca="1">AND(NOT(S883=4),NOT(AND(OR(AY909=INDEX(INDIRECT('Overview (Design)'!$E$38),2),AY909=INDEX(INDIRECT('Overview (Design)'!$E$38),3)),OR(AY913=INDEX(INDIRECT('Overview (Design)'!$E$42),2),AY913=INDEX(INDIRECT('Overview (Design)'!$E$42),3)))))</f>
        <v>1</v>
      </c>
      <c r="T950" s="211" t="b">
        <f ca="1">AND(NOT(S950),W950=TRUE)</f>
        <v>0</v>
      </c>
      <c r="U950" s="211"/>
      <c r="V950" s="211"/>
      <c r="W950" s="25"/>
      <c r="X950" s="918"/>
      <c r="Y950" s="988" t="str">
        <f>IF(LEN('Ch7'!X80)=0,"None",'Ch7'!X80)</f>
        <v>None</v>
      </c>
      <c r="Z950" s="1587"/>
      <c r="AA950" s="1526"/>
      <c r="AB950" s="634"/>
      <c r="AC950" s="970" t="b">
        <f ca="1">OR(AD950:AE950)</f>
        <v>1</v>
      </c>
      <c r="AD950" s="970" t="b">
        <f ca="1">T950</f>
        <v>0</v>
      </c>
      <c r="AE950" s="970" t="b">
        <f ca="1">AND(R950,NOT(W950))</f>
        <v>1</v>
      </c>
      <c r="AF950" s="784" t="b">
        <f ca="1">AND(AE950,NOT(Q950))</f>
        <v>1</v>
      </c>
      <c r="AG950" s="634"/>
      <c r="AH950" s="634"/>
      <c r="AI950" s="634"/>
      <c r="AJ950" s="634"/>
      <c r="AK950" s="634"/>
      <c r="AL950" s="254" t="str">
        <f>SUBSTITUTE(SUBSTITUTE(SUBSTITUTE("vpa"&amp;$B950&amp;$C950&amp;$D950&amp;$E950,".","_"),"(","_"),")","")</f>
        <v>vpa701_4_2_2</v>
      </c>
      <c r="AM950" s="254" t="str">
        <f ca="1">M950</f>
        <v>Mandatory</v>
      </c>
      <c r="AN950" s="1336"/>
      <c r="AO950" s="1336"/>
      <c r="AP950" s="254" t="str">
        <f>SUBSTITUTE(SUBSTITUTE(SUBSTITUTE("vch"&amp;$B950&amp;$C950&amp;$D950&amp;$E950,".","_"),"(","_"),")","")</f>
        <v>vch701_4_2_2</v>
      </c>
      <c r="AQ950" s="254" t="str">
        <f>IF(LEN(W950)=0,"",W950)</f>
        <v/>
      </c>
      <c r="AR950" s="254" t="str">
        <f>SUBSTITUTE(SUBSTITUTE(SUBSTITUTE("vnt"&amp;$B950&amp;$C950&amp;$D950&amp;$E950,".","_"),"(","_"),")","")</f>
        <v>vnt701_4_2_2</v>
      </c>
      <c r="AS950" s="254" t="str">
        <f>IF(LEN(X950)=0,"",X950)</f>
        <v/>
      </c>
      <c r="AT950" s="634"/>
      <c r="AU950" s="634"/>
      <c r="AV950" s="634"/>
      <c r="AW950" s="634"/>
      <c r="AZ950" s="634"/>
      <c r="BA950" s="634"/>
      <c r="BB950" s="634"/>
      <c r="BC950" s="634"/>
      <c r="BD950" s="634"/>
      <c r="BE950" s="634"/>
      <c r="BF950" s="634"/>
      <c r="BG950" s="634"/>
      <c r="BH950" s="634"/>
      <c r="BI950" s="634"/>
    </row>
    <row r="951" spans="1:61" x14ac:dyDescent="0.25">
      <c r="A951" s="2371">
        <v>7</v>
      </c>
      <c r="B951" s="2385" t="s">
        <v>831</v>
      </c>
      <c r="C951" s="2385"/>
      <c r="D951" s="2374"/>
      <c r="E951" s="2374"/>
      <c r="F951" s="2374"/>
      <c r="G951" s="2373" t="s">
        <v>3974</v>
      </c>
      <c r="H951" s="2371" t="s">
        <v>3972</v>
      </c>
      <c r="I951" s="533" t="s">
        <v>831</v>
      </c>
      <c r="J951" s="641"/>
      <c r="K951" s="641"/>
      <c r="L951" s="1864" t="s">
        <v>832</v>
      </c>
      <c r="M951" s="1872" t="str">
        <f ca="1">IF(R951,"Mandatory","N/A")</f>
        <v>Mandatory</v>
      </c>
      <c r="N951" s="1056"/>
      <c r="O951" s="1056"/>
      <c r="P951" s="94" t="b">
        <v>1</v>
      </c>
      <c r="Q951" s="94" t="b">
        <v>0</v>
      </c>
      <c r="R951" s="195" t="b">
        <f ca="1">S951</f>
        <v>1</v>
      </c>
      <c r="S951" s="195" t="b">
        <f ca="1">AND(NOT(S883=4),NOT(AND(OR(AY909=INDEX(INDIRECT('Overview (Design)'!$E$38),2),AY909=INDEX(INDIRECT('Overview (Design)'!$E$38),3)),OR(AY913=INDEX(INDIRECT('Overview (Design)'!$E$42),2),AY913=INDEX(INDIRECT('Overview (Design)'!$E$42),3)))))</f>
        <v>1</v>
      </c>
      <c r="T951" s="195" t="b">
        <f ca="1">AND(NOT(S951),W951=TRUE)</f>
        <v>0</v>
      </c>
      <c r="U951" s="195"/>
      <c r="V951" s="195"/>
      <c r="W951" s="25"/>
      <c r="X951" s="1757"/>
      <c r="Y951" s="2081" t="str">
        <f>IF(LEN('Ch7'!X81)=0,"None",'Ch7'!X81)</f>
        <v>None</v>
      </c>
      <c r="Z951" s="2083"/>
      <c r="AA951" s="1526"/>
      <c r="AB951" s="634"/>
      <c r="AC951" s="970" t="b">
        <f ca="1">OR(AD951:AE951)</f>
        <v>1</v>
      </c>
      <c r="AD951" s="970" t="b">
        <f ca="1">T951</f>
        <v>0</v>
      </c>
      <c r="AE951" s="970" t="b">
        <f ca="1">AND(R951,NOT(W951))</f>
        <v>1</v>
      </c>
      <c r="AF951" s="784" t="b">
        <f ca="1">AND(AE951,NOT(Q951))</f>
        <v>1</v>
      </c>
      <c r="AG951" s="634"/>
      <c r="AH951" s="634"/>
      <c r="AI951" s="634"/>
      <c r="AJ951" s="634"/>
      <c r="AK951" s="634"/>
      <c r="AL951" s="254" t="str">
        <f>SUBSTITUTE(SUBSTITUTE(SUBSTITUTE("vpa"&amp;$B951&amp;$C951&amp;$D951&amp;$E951,".","_"),"(","_"),")","")</f>
        <v>vpa701_4_2_3</v>
      </c>
      <c r="AM951" s="254" t="str">
        <f ca="1">M951</f>
        <v>Mandatory</v>
      </c>
      <c r="AN951" s="1336"/>
      <c r="AO951" s="1336"/>
      <c r="AP951" s="254" t="str">
        <f>SUBSTITUTE(SUBSTITUTE(SUBSTITUTE("vch"&amp;$B951&amp;$C951&amp;$D951&amp;$E951,".","_"),"(","_"),")","")</f>
        <v>vch701_4_2_3</v>
      </c>
      <c r="AQ951" s="254" t="str">
        <f>IF(LEN(W951)=0,"",W951)</f>
        <v/>
      </c>
      <c r="AR951" s="254" t="str">
        <f>SUBSTITUTE(SUBSTITUTE(SUBSTITUTE("vnt"&amp;$B951&amp;$C951&amp;$D951&amp;$E951,".","_"),"(","_"),")","")</f>
        <v>vnt701_4_2_3</v>
      </c>
      <c r="AS951" s="254" t="str">
        <f>IF(LEN(X951)=0,"",X951)</f>
        <v/>
      </c>
      <c r="AT951" s="634"/>
      <c r="AU951" s="634"/>
      <c r="AV951" s="634"/>
      <c r="AW951" s="634"/>
      <c r="AZ951" s="634"/>
      <c r="BA951" s="634"/>
      <c r="BB951" s="634"/>
      <c r="BC951" s="634"/>
      <c r="BD951" s="634"/>
      <c r="BE951" s="634"/>
      <c r="BF951" s="634"/>
      <c r="BG951" s="634"/>
      <c r="BH951" s="634"/>
      <c r="BI951" s="634"/>
    </row>
    <row r="952" spans="1:61" x14ac:dyDescent="0.25">
      <c r="A952" s="2371">
        <v>7</v>
      </c>
      <c r="B952" s="2385" t="s">
        <v>831</v>
      </c>
      <c r="C952" s="2385"/>
      <c r="D952" s="2374"/>
      <c r="E952" s="2374"/>
      <c r="F952" s="2374"/>
      <c r="G952" s="2373" t="s">
        <v>3974</v>
      </c>
      <c r="H952" s="2371" t="s">
        <v>3972</v>
      </c>
      <c r="I952" s="534"/>
      <c r="J952" s="637"/>
      <c r="K952" s="637"/>
      <c r="L952" s="1843"/>
      <c r="M952" s="1844"/>
      <c r="N952" s="1047"/>
      <c r="O952" s="1047"/>
      <c r="P952" s="178"/>
      <c r="Q952" s="178"/>
      <c r="R952" s="178"/>
      <c r="S952" s="178"/>
      <c r="T952" s="178"/>
      <c r="U952" s="178"/>
      <c r="V952" s="178"/>
      <c r="W952" s="178"/>
      <c r="X952" s="1757"/>
      <c r="Y952" s="2081"/>
      <c r="Z952" s="2083"/>
      <c r="AA952" s="1526"/>
      <c r="AB952" s="634"/>
      <c r="AC952" s="970"/>
      <c r="AD952" s="970"/>
      <c r="AE952" s="970"/>
      <c r="AF952" s="634"/>
      <c r="AG952" s="634"/>
      <c r="AH952" s="634"/>
      <c r="AI952" s="634"/>
      <c r="AJ952" s="634"/>
      <c r="AK952" s="634"/>
      <c r="AL952" s="1336"/>
      <c r="AM952" s="1336"/>
      <c r="AN952" s="1336"/>
      <c r="AO952" s="1336"/>
      <c r="AP952" s="1336"/>
      <c r="AQ952" s="1336"/>
      <c r="AR952" s="1336"/>
      <c r="AS952" s="1336"/>
      <c r="AT952" s="634"/>
      <c r="AU952" s="634"/>
      <c r="AV952" s="634"/>
      <c r="AW952" s="634"/>
      <c r="AZ952" s="634"/>
      <c r="BA952" s="634"/>
      <c r="BB952" s="634"/>
      <c r="BC952" s="634"/>
      <c r="BD952" s="634"/>
      <c r="BE952" s="634"/>
      <c r="BF952" s="634"/>
      <c r="BG952" s="634"/>
      <c r="BH952" s="634"/>
      <c r="BI952" s="634"/>
    </row>
    <row r="953" spans="1:61" x14ac:dyDescent="0.25">
      <c r="A953" s="2371">
        <v>7</v>
      </c>
      <c r="B953" s="2385" t="s">
        <v>833</v>
      </c>
      <c r="C953" s="2385"/>
      <c r="D953" s="2374"/>
      <c r="E953" s="2374"/>
      <c r="F953" s="2374"/>
      <c r="G953" s="2373" t="s">
        <v>3974</v>
      </c>
      <c r="H953" s="2371" t="s">
        <v>3972</v>
      </c>
      <c r="I953" s="533" t="s">
        <v>833</v>
      </c>
      <c r="J953" s="641"/>
      <c r="K953" s="641"/>
      <c r="L953" s="1183" t="s">
        <v>834</v>
      </c>
      <c r="M953" s="1016"/>
      <c r="N953" s="1056"/>
      <c r="O953" s="1056"/>
      <c r="P953" s="195"/>
      <c r="Q953" s="195"/>
      <c r="R953" s="195"/>
      <c r="S953" s="195"/>
      <c r="T953" s="195"/>
      <c r="U953" s="195"/>
      <c r="V953" s="195"/>
      <c r="W953" s="195"/>
      <c r="X953" s="195"/>
      <c r="Y953" s="634"/>
      <c r="AA953" s="1526"/>
      <c r="AB953" s="634"/>
      <c r="AC953" s="970"/>
      <c r="AD953" s="970"/>
      <c r="AE953" s="970"/>
      <c r="AF953" s="634"/>
      <c r="AG953" s="634"/>
      <c r="AH953" s="634"/>
      <c r="AI953" s="634"/>
      <c r="AJ953" s="634"/>
      <c r="AK953" s="634"/>
      <c r="AL953" s="1336"/>
      <c r="AM953" s="1336"/>
      <c r="AN953" s="1336"/>
      <c r="AO953" s="1336"/>
      <c r="AP953" s="1336"/>
      <c r="AQ953" s="1336"/>
      <c r="AR953" s="1336"/>
      <c r="AS953" s="1336"/>
      <c r="AT953" s="634"/>
      <c r="AU953" s="634"/>
      <c r="AV953" s="634"/>
      <c r="AW953" s="634"/>
      <c r="AZ953" s="634"/>
      <c r="BA953" s="634"/>
      <c r="BB953" s="634"/>
      <c r="BC953" s="634"/>
      <c r="BD953" s="634"/>
      <c r="BE953" s="634"/>
      <c r="BF953" s="634"/>
      <c r="BG953" s="634"/>
      <c r="BH953" s="634"/>
      <c r="BI953" s="634"/>
    </row>
    <row r="954" spans="1:61" x14ac:dyDescent="0.25">
      <c r="A954" s="2371">
        <v>7</v>
      </c>
      <c r="B954" s="2385" t="s">
        <v>835</v>
      </c>
      <c r="C954" s="2385"/>
      <c r="D954" s="2374"/>
      <c r="E954" s="2374"/>
      <c r="F954" s="2374"/>
      <c r="G954" s="2373" t="s">
        <v>3974</v>
      </c>
      <c r="H954" s="2371" t="s">
        <v>3972</v>
      </c>
      <c r="I954" s="66" t="s">
        <v>835</v>
      </c>
      <c r="J954" s="639"/>
      <c r="K954" s="639"/>
      <c r="L954" s="1796" t="s">
        <v>836</v>
      </c>
      <c r="N954" s="1042"/>
      <c r="O954" s="1042"/>
      <c r="P954" s="756"/>
      <c r="Q954" s="756"/>
      <c r="R954" s="634"/>
      <c r="S954" s="634"/>
      <c r="T954" s="634"/>
      <c r="U954" s="634"/>
      <c r="V954" s="634"/>
      <c r="W954" s="634" t="s">
        <v>3414</v>
      </c>
      <c r="X954" s="1757"/>
      <c r="Y954" s="2081" t="str">
        <f>IF(LEN('Ch7'!X84)=0,"None",'Ch7'!X84)</f>
        <v>None</v>
      </c>
      <c r="Z954" s="2083"/>
      <c r="AA954" s="1526"/>
      <c r="AB954" s="634"/>
      <c r="AC954" s="970"/>
      <c r="AD954" s="970"/>
      <c r="AE954" s="970"/>
      <c r="AF954" s="634"/>
      <c r="AG954" s="634"/>
      <c r="AH954" s="634"/>
      <c r="AI954" s="634"/>
      <c r="AJ954" s="634"/>
      <c r="AK954" s="634"/>
      <c r="AL954" s="254" t="str">
        <f>SUBSTITUTE(SUBSTITUTE(SUBSTITUTE("vpa"&amp;$B954&amp;$C954&amp;$D954&amp;$E954,".","_"),"(","_"),")","")</f>
        <v>vpa701_4_3_1</v>
      </c>
      <c r="AM954" s="254" t="str">
        <f ca="1">M958</f>
        <v>Mandatory</v>
      </c>
      <c r="AN954" s="1336"/>
      <c r="AO954" s="1336"/>
      <c r="AP954" s="1336"/>
      <c r="AQ954" s="1336"/>
      <c r="AR954" s="254" t="str">
        <f>SUBSTITUTE(SUBSTITUTE(SUBSTITUTE("vnt"&amp;$B954&amp;$C954&amp;$D954&amp;$E954,".","_"),"(","_"),")","")</f>
        <v>vnt701_4_3_1</v>
      </c>
      <c r="AS954" s="254" t="str">
        <f>IF(LEN(X954)=0,"",X954)</f>
        <v/>
      </c>
      <c r="AT954" s="634"/>
      <c r="AU954" s="634"/>
      <c r="AV954" s="634"/>
      <c r="AW954" s="634"/>
      <c r="AZ954" s="634"/>
      <c r="BA954" s="634"/>
      <c r="BB954" s="634"/>
      <c r="BC954" s="634"/>
      <c r="BD954" s="634"/>
      <c r="BE954" s="634"/>
      <c r="BF954" s="634"/>
      <c r="BG954" s="634"/>
      <c r="BH954" s="634"/>
      <c r="BI954" s="634"/>
    </row>
    <row r="955" spans="1:61" x14ac:dyDescent="0.25">
      <c r="A955" s="2371">
        <v>7</v>
      </c>
      <c r="B955" s="2385" t="s">
        <v>835</v>
      </c>
      <c r="C955" s="2385"/>
      <c r="D955" s="2374"/>
      <c r="E955" s="2374"/>
      <c r="F955" s="2374"/>
      <c r="G955" s="2373" t="s">
        <v>3974</v>
      </c>
      <c r="H955" s="2371" t="s">
        <v>3972</v>
      </c>
      <c r="I955" s="4"/>
      <c r="J955" s="639"/>
      <c r="K955" s="639"/>
      <c r="L955" s="1796"/>
      <c r="N955" s="1042"/>
      <c r="O955" s="1042"/>
      <c r="P955" s="94" t="b">
        <v>1</v>
      </c>
      <c r="Q955" s="94" t="b">
        <v>1</v>
      </c>
      <c r="R955" s="634" t="b">
        <v>0</v>
      </c>
      <c r="S955" s="634" t="b">
        <f ca="1">AND(NOT(S883=4),AY898&gt;3,AY889=INDEX(INDIRECT('Overview (Design)'!$E$18),2))</f>
        <v>0</v>
      </c>
      <c r="T955" s="94" t="b">
        <f ca="1">AND(NOT(S955),W955=TRUE)</f>
        <v>0</v>
      </c>
      <c r="U955" s="634"/>
      <c r="V955" s="634"/>
      <c r="W955" s="25"/>
      <c r="X955" s="1757"/>
      <c r="Y955" s="2081"/>
      <c r="Z955" s="2083"/>
      <c r="AA955" s="1526"/>
      <c r="AB955" s="634"/>
      <c r="AC955" s="970" t="b">
        <f ca="1">OR(AD955:AE955)</f>
        <v>0</v>
      </c>
      <c r="AD955" s="970" t="b">
        <f ca="1">T955</f>
        <v>0</v>
      </c>
      <c r="AE955" s="970"/>
      <c r="AF955" s="634"/>
      <c r="AG955" s="634"/>
      <c r="AH955" s="634"/>
      <c r="AI955" s="634"/>
      <c r="AJ955" s="634"/>
      <c r="AK955" s="634"/>
      <c r="AL955" s="1336"/>
      <c r="AM955" s="1336"/>
      <c r="AN955" s="1336"/>
      <c r="AO955" s="1336"/>
      <c r="AP955" s="254" t="str">
        <f>SUBSTITUTE(SUBSTITUTE(SUBSTITUTE("vch"&amp;$B955&amp;$C955&amp;$D955&amp;$E955,".","_"),"(","_"),")","")</f>
        <v>vch701_4_3_1</v>
      </c>
      <c r="AQ955" s="254" t="str">
        <f>IF(LEN(W955)=0,"",W955)</f>
        <v/>
      </c>
      <c r="AR955" s="1336"/>
      <c r="AS955" s="1336"/>
      <c r="AT955" s="634"/>
      <c r="AU955" s="634"/>
      <c r="AV955" s="634"/>
      <c r="AW955" s="634"/>
      <c r="AZ955" s="634"/>
      <c r="BA955" s="634"/>
      <c r="BB955" s="634"/>
      <c r="BC955" s="634"/>
      <c r="BD955" s="634"/>
      <c r="BE955" s="634"/>
      <c r="BF955" s="634"/>
      <c r="BG955" s="634"/>
      <c r="BH955" s="634"/>
      <c r="BI955" s="634"/>
    </row>
    <row r="956" spans="1:61" x14ac:dyDescent="0.25">
      <c r="A956" s="2371">
        <v>7</v>
      </c>
      <c r="B956" s="2385" t="s">
        <v>835</v>
      </c>
      <c r="C956" s="2385"/>
      <c r="D956" s="2374"/>
      <c r="E956" s="2374"/>
      <c r="F956" s="2374"/>
      <c r="G956" s="2373" t="s">
        <v>3974</v>
      </c>
      <c r="H956" s="2371" t="s">
        <v>3972</v>
      </c>
      <c r="I956" s="4"/>
      <c r="J956" s="639"/>
      <c r="K956" s="639"/>
      <c r="L956" s="1796"/>
      <c r="N956" s="1042"/>
      <c r="O956" s="1042"/>
      <c r="P956" s="756"/>
      <c r="Q956" s="756"/>
      <c r="R956" s="634"/>
      <c r="S956" s="634"/>
      <c r="T956" s="634"/>
      <c r="U956" s="634"/>
      <c r="V956" s="634"/>
      <c r="W956" s="634"/>
      <c r="X956" s="1757"/>
      <c r="Y956" s="2081"/>
      <c r="Z956" s="2083"/>
      <c r="AA956" s="1526"/>
      <c r="AB956" s="634"/>
      <c r="AC956" s="970"/>
      <c r="AD956" s="970"/>
      <c r="AE956" s="970"/>
      <c r="AF956" s="634"/>
      <c r="AG956" s="634"/>
      <c r="AH956" s="634"/>
      <c r="AI956" s="634"/>
      <c r="AJ956" s="634"/>
      <c r="AK956" s="634"/>
      <c r="AL956" s="1336"/>
      <c r="AM956" s="1336"/>
      <c r="AN956" s="1336"/>
      <c r="AO956" s="1336"/>
      <c r="AP956" s="1336"/>
      <c r="AQ956" s="1336"/>
      <c r="AR956" s="1336"/>
      <c r="AS956" s="1336"/>
      <c r="AT956" s="634"/>
      <c r="AU956" s="634"/>
      <c r="AV956" s="634"/>
      <c r="AW956" s="634"/>
      <c r="AZ956" s="634"/>
      <c r="BA956" s="634"/>
      <c r="BB956" s="634"/>
      <c r="BC956" s="634"/>
      <c r="BD956" s="634"/>
      <c r="BE956" s="634"/>
      <c r="BF956" s="634"/>
      <c r="BG956" s="634"/>
      <c r="BH956" s="634"/>
      <c r="BI956" s="634"/>
    </row>
    <row r="957" spans="1:61" x14ac:dyDescent="0.25">
      <c r="A957" s="2371">
        <v>7</v>
      </c>
      <c r="B957" s="2385" t="s">
        <v>835</v>
      </c>
      <c r="C957" s="2385"/>
      <c r="D957" s="2374"/>
      <c r="E957" s="2374"/>
      <c r="F957" s="2374"/>
      <c r="G957" s="2373" t="s">
        <v>3974</v>
      </c>
      <c r="H957" s="2371" t="s">
        <v>3972</v>
      </c>
      <c r="I957" s="4"/>
      <c r="J957" s="639"/>
      <c r="K957" s="639"/>
      <c r="L957" s="1796"/>
      <c r="N957" s="1042"/>
      <c r="O957" s="1042"/>
      <c r="P957"/>
      <c r="Q957"/>
      <c r="R957"/>
      <c r="S957"/>
      <c r="T957"/>
      <c r="U957" s="634"/>
      <c r="V957" s="634"/>
      <c r="W957"/>
      <c r="X957" s="1757"/>
      <c r="Y957" s="2081"/>
      <c r="Z957" s="2083"/>
      <c r="AA957" s="1526"/>
      <c r="AB957" s="634"/>
      <c r="AC957" s="970"/>
      <c r="AD957" s="970"/>
      <c r="AE957" s="970"/>
      <c r="AF957" s="784"/>
      <c r="AG957" s="634"/>
      <c r="AH957" s="634"/>
      <c r="AI957" s="634"/>
      <c r="AJ957" s="634"/>
      <c r="AK957" s="634"/>
      <c r="AL957" s="1336"/>
      <c r="AM957" s="1336"/>
      <c r="AN957" s="1336"/>
      <c r="AO957" s="1336"/>
      <c r="AP957" s="254"/>
      <c r="AQ957" s="254"/>
      <c r="AR957" s="1336"/>
      <c r="AS957" s="1336"/>
      <c r="AT957" s="634"/>
      <c r="AU957" s="634"/>
      <c r="AV957" s="634"/>
      <c r="AW957" s="634"/>
      <c r="AZ957" s="634"/>
      <c r="BA957" s="634"/>
      <c r="BB957" s="634"/>
      <c r="BC957" s="634"/>
      <c r="BD957" s="634"/>
      <c r="BE957" s="634"/>
      <c r="BF957" s="634"/>
      <c r="BG957" s="634"/>
      <c r="BH957" s="634"/>
      <c r="BI957" s="634"/>
    </row>
    <row r="958" spans="1:61" x14ac:dyDescent="0.25">
      <c r="A958" s="2371">
        <v>7</v>
      </c>
      <c r="B958" s="2385" t="s">
        <v>835</v>
      </c>
      <c r="C958" s="2385"/>
      <c r="D958" s="2374" t="s">
        <v>121</v>
      </c>
      <c r="E958" s="2374"/>
      <c r="F958" s="2374"/>
      <c r="G958" s="2373" t="s">
        <v>3974</v>
      </c>
      <c r="H958" s="2375" t="s">
        <v>3972</v>
      </c>
      <c r="I958" s="4"/>
      <c r="J958" s="639"/>
      <c r="K958" s="230" t="s">
        <v>121</v>
      </c>
      <c r="L958" s="1653" t="s">
        <v>837</v>
      </c>
      <c r="M958" s="1837" t="str">
        <f ca="1">IF(R958,"Mandatory","N/A")</f>
        <v>Mandatory</v>
      </c>
      <c r="N958" s="1042"/>
      <c r="O958" s="1042"/>
      <c r="P958" s="94" t="b">
        <v>1</v>
      </c>
      <c r="Q958" s="94" t="b">
        <v>1</v>
      </c>
      <c r="R958" s="1101" t="b">
        <f t="shared" ref="R958:R970" ca="1" si="56">S958</f>
        <v>1</v>
      </c>
      <c r="S958" s="1101" t="b">
        <f ca="1">AND(NOT(S883=4),NOT(W955))</f>
        <v>1</v>
      </c>
      <c r="T958" s="94" t="b">
        <f t="shared" ref="T958:T970" ca="1" si="57">AND(NOT(S958),W958=TRUE)</f>
        <v>0</v>
      </c>
      <c r="U958" s="634" t="str">
        <f>SUBSTITUTE(SUBSTITUTE(SUBSTITUTE("dd"&amp;B958&amp;C958&amp;D958&amp;E958&amp;F958,".","_"),"(","_"),")","")</f>
        <v>dd701_4_3_1_a</v>
      </c>
      <c r="V958" s="634"/>
      <c r="W958" s="12"/>
      <c r="X958" s="918"/>
      <c r="Y958" s="988" t="str">
        <f>IF(LEN('Ch7'!X88)=0,"None",'Ch7'!X88)</f>
        <v>None</v>
      </c>
      <c r="Z958" s="1587"/>
      <c r="AA958" s="1526"/>
      <c r="AB958" s="634"/>
      <c r="AC958" s="1101" t="b">
        <f t="shared" ref="AC958:AC970" ca="1" si="58">OR(AD958:AE958)</f>
        <v>1</v>
      </c>
      <c r="AD958" s="1101" t="b">
        <f t="shared" ref="AD958:AD970" ca="1" si="59">T958</f>
        <v>0</v>
      </c>
      <c r="AE958" s="1147" t="b">
        <f t="shared" ref="AE958:AE970" ca="1" si="60">AND(R958,OR(W958="Not Met",W958=""))</f>
        <v>1</v>
      </c>
      <c r="AF958" s="634"/>
      <c r="AG958" s="634"/>
      <c r="AH958" s="634"/>
      <c r="AI958" s="634"/>
      <c r="AJ958" s="634"/>
      <c r="AK958" s="634"/>
      <c r="AL958" s="1336"/>
      <c r="AM958" s="1336"/>
      <c r="AN958" s="1336"/>
      <c r="AO958" s="1336"/>
      <c r="AP958" s="254" t="str">
        <f t="shared" ref="AP958:AP970" si="61">SUBSTITUTE(SUBSTITUTE(SUBSTITUTE("vch"&amp;$B958&amp;$C958&amp;$D958&amp;$E958,".","_"),"(","_"),")","")</f>
        <v>vch701_4_3_1_a</v>
      </c>
      <c r="AQ958" s="254" t="str">
        <f t="shared" ref="AQ958:AQ970" si="62">IF(LEN(W958)=0,"",W958)</f>
        <v/>
      </c>
      <c r="AR958" s="254" t="str">
        <f t="shared" ref="AR958:AR970" si="63">SUBSTITUTE(SUBSTITUTE(SUBSTITUTE("vnt"&amp;$B958&amp;$C958&amp;$D958&amp;$E958,".","_"),"(","_"),")","")</f>
        <v>vnt701_4_3_1_a</v>
      </c>
      <c r="AS958" s="254" t="str">
        <f>IF(LEN(X958)=0,"",X958)</f>
        <v/>
      </c>
      <c r="AT958" s="634"/>
      <c r="AU958" s="634"/>
      <c r="AV958" s="634"/>
      <c r="AW958" s="634"/>
      <c r="AZ958" s="634"/>
      <c r="BA958" s="634"/>
      <c r="BB958" s="634"/>
      <c r="BC958" s="634"/>
      <c r="BD958" s="634"/>
      <c r="BE958" s="634"/>
      <c r="BF958" s="634"/>
      <c r="BG958" s="634"/>
      <c r="BH958" s="634"/>
      <c r="BI958" s="634"/>
    </row>
    <row r="959" spans="1:61" x14ac:dyDescent="0.25">
      <c r="A959" s="2371">
        <v>7</v>
      </c>
      <c r="B959" s="2385" t="s">
        <v>835</v>
      </c>
      <c r="C959" s="2385"/>
      <c r="D959" s="2374" t="s">
        <v>122</v>
      </c>
      <c r="E959" s="2374"/>
      <c r="F959" s="2374"/>
      <c r="G959" s="2373" t="s">
        <v>3974</v>
      </c>
      <c r="H959" s="2375" t="s">
        <v>3972</v>
      </c>
      <c r="I959" s="4"/>
      <c r="J959" s="639"/>
      <c r="K959" s="230" t="s">
        <v>122</v>
      </c>
      <c r="L959" s="1653" t="s">
        <v>838</v>
      </c>
      <c r="M959" s="1837"/>
      <c r="N959" s="1042"/>
      <c r="O959" s="1042"/>
      <c r="P959" s="94" t="b">
        <v>1</v>
      </c>
      <c r="Q959" s="94" t="b">
        <v>1</v>
      </c>
      <c r="R959" s="1101" t="b">
        <f t="shared" ca="1" si="56"/>
        <v>1</v>
      </c>
      <c r="S959" s="1101" t="b">
        <f ca="1">AND(NOT(S883=4),NOT(W955))</f>
        <v>1</v>
      </c>
      <c r="T959" s="94" t="b">
        <f t="shared" ca="1" si="57"/>
        <v>0</v>
      </c>
      <c r="U959" s="1101" t="str">
        <f t="shared" ref="U959:U970" si="64">SUBSTITUTE(SUBSTITUTE(SUBSTITUTE("dd"&amp;B959&amp;C959&amp;D959&amp;E959&amp;F959,".","_"),"(","_"),")","")</f>
        <v>dd701_4_3_1_b</v>
      </c>
      <c r="V959" s="634"/>
      <c r="W959" s="12"/>
      <c r="X959" s="918"/>
      <c r="Y959" s="988" t="str">
        <f>IF(LEN('Ch7'!X89)=0,"None",'Ch7'!X89)</f>
        <v>None</v>
      </c>
      <c r="Z959" s="1587"/>
      <c r="AA959" s="1526"/>
      <c r="AB959" s="634"/>
      <c r="AC959" s="1101" t="b">
        <f t="shared" ca="1" si="58"/>
        <v>1</v>
      </c>
      <c r="AD959" s="1101" t="b">
        <f t="shared" ca="1" si="59"/>
        <v>0</v>
      </c>
      <c r="AE959" s="1147" t="b">
        <f t="shared" ca="1" si="60"/>
        <v>1</v>
      </c>
      <c r="AF959" s="634"/>
      <c r="AG959" s="634"/>
      <c r="AH959" s="634"/>
      <c r="AI959" s="634"/>
      <c r="AJ959" s="634"/>
      <c r="AK959" s="634"/>
      <c r="AL959" s="1336"/>
      <c r="AM959" s="1336"/>
      <c r="AN959" s="1336"/>
      <c r="AO959" s="1336"/>
      <c r="AP959" s="254" t="str">
        <f t="shared" si="61"/>
        <v>vch701_4_3_1_b</v>
      </c>
      <c r="AQ959" s="254" t="str">
        <f t="shared" si="62"/>
        <v/>
      </c>
      <c r="AR959" s="254" t="str">
        <f t="shared" si="63"/>
        <v>vnt701_4_3_1_b</v>
      </c>
      <c r="AS959" s="254" t="str">
        <f t="shared" ref="AS959:AS969" si="65">IF(LEN(X959)=0,"",X959)</f>
        <v/>
      </c>
      <c r="AT959" s="634"/>
      <c r="AU959" s="634"/>
      <c r="AV959" s="634"/>
      <c r="AW959" s="634"/>
      <c r="AZ959" s="634"/>
      <c r="BA959" s="634"/>
      <c r="BB959" s="634"/>
      <c r="BC959" s="634"/>
      <c r="BD959" s="634"/>
      <c r="BE959" s="634"/>
      <c r="BF959" s="634"/>
      <c r="BG959" s="634"/>
      <c r="BH959" s="634"/>
      <c r="BI959" s="634"/>
    </row>
    <row r="960" spans="1:61" ht="15" customHeight="1" x14ac:dyDescent="0.25">
      <c r="A960" s="2371">
        <v>7</v>
      </c>
      <c r="B960" s="2385" t="s">
        <v>835</v>
      </c>
      <c r="C960" s="2385"/>
      <c r="D960" s="2376" t="s">
        <v>123</v>
      </c>
      <c r="E960" s="2376"/>
      <c r="F960" s="2376"/>
      <c r="G960" s="2373" t="s">
        <v>3974</v>
      </c>
      <c r="H960" s="2379" t="s">
        <v>3972</v>
      </c>
      <c r="I960" s="4"/>
      <c r="J960" s="639"/>
      <c r="K960" s="231" t="s">
        <v>123</v>
      </c>
      <c r="L960" s="1653" t="s">
        <v>839</v>
      </c>
      <c r="M960" s="1837"/>
      <c r="N960" s="1042"/>
      <c r="O960" s="1042"/>
      <c r="P960" s="94" t="b">
        <v>1</v>
      </c>
      <c r="Q960" s="94" t="b">
        <v>1</v>
      </c>
      <c r="R960" s="1101" t="b">
        <f t="shared" ca="1" si="56"/>
        <v>1</v>
      </c>
      <c r="S960" s="1101" t="b">
        <f ca="1">AND(NOT(S883=4),NOT(W955))</f>
        <v>1</v>
      </c>
      <c r="T960" s="94" t="b">
        <f t="shared" ca="1" si="57"/>
        <v>0</v>
      </c>
      <c r="U960" s="1101" t="str">
        <f t="shared" si="64"/>
        <v>dd701_4_3_1_c</v>
      </c>
      <c r="V960" s="634"/>
      <c r="W960" s="12"/>
      <c r="X960" s="918"/>
      <c r="Y960" s="988" t="str">
        <f>IF(LEN('Ch7'!X90)=0,"None",'Ch7'!X90)</f>
        <v>None</v>
      </c>
      <c r="Z960" s="1587"/>
      <c r="AA960" s="1526"/>
      <c r="AB960" s="634"/>
      <c r="AC960" s="1101" t="b">
        <f t="shared" ca="1" si="58"/>
        <v>1</v>
      </c>
      <c r="AD960" s="1101" t="b">
        <f t="shared" ca="1" si="59"/>
        <v>0</v>
      </c>
      <c r="AE960" s="1147" t="b">
        <f t="shared" ca="1" si="60"/>
        <v>1</v>
      </c>
      <c r="AF960" s="634"/>
      <c r="AG960" s="634"/>
      <c r="AH960" s="634"/>
      <c r="AI960" s="634"/>
      <c r="AJ960" s="634"/>
      <c r="AK960" s="634"/>
      <c r="AL960" s="1336"/>
      <c r="AM960" s="1336"/>
      <c r="AN960" s="1336"/>
      <c r="AO960" s="1336"/>
      <c r="AP960" s="254" t="str">
        <f t="shared" si="61"/>
        <v>vch701_4_3_1_c</v>
      </c>
      <c r="AQ960" s="254" t="str">
        <f t="shared" si="62"/>
        <v/>
      </c>
      <c r="AR960" s="254" t="str">
        <f t="shared" si="63"/>
        <v>vnt701_4_3_1_c</v>
      </c>
      <c r="AS960" s="254" t="str">
        <f t="shared" si="65"/>
        <v/>
      </c>
      <c r="AT960" s="634"/>
      <c r="AU960" s="634"/>
      <c r="AV960" s="634"/>
      <c r="AW960" s="634"/>
      <c r="AZ960" s="634"/>
      <c r="BA960" s="634"/>
      <c r="BB960" s="634"/>
      <c r="BC960" s="634"/>
      <c r="BD960" s="634"/>
      <c r="BE960" s="634"/>
      <c r="BF960" s="634"/>
      <c r="BG960" s="634"/>
      <c r="BH960" s="634"/>
      <c r="BI960" s="634"/>
    </row>
    <row r="961" spans="1:61" x14ac:dyDescent="0.25">
      <c r="A961" s="2371">
        <v>7</v>
      </c>
      <c r="B961" s="2385" t="s">
        <v>835</v>
      </c>
      <c r="C961" s="2385"/>
      <c r="D961" s="2374" t="s">
        <v>401</v>
      </c>
      <c r="E961" s="2374"/>
      <c r="F961" s="2374"/>
      <c r="G961" s="2373" t="s">
        <v>3974</v>
      </c>
      <c r="H961" s="2371" t="s">
        <v>3972</v>
      </c>
      <c r="I961" s="4"/>
      <c r="J961" s="639"/>
      <c r="K961" s="644" t="s">
        <v>401</v>
      </c>
      <c r="L961" s="1653" t="s">
        <v>840</v>
      </c>
      <c r="M961" s="1837"/>
      <c r="N961" s="1042"/>
      <c r="O961" s="1042"/>
      <c r="P961" s="94" t="b">
        <v>1</v>
      </c>
      <c r="Q961" s="94" t="b">
        <v>1</v>
      </c>
      <c r="R961" s="1101" t="b">
        <f t="shared" ca="1" si="56"/>
        <v>1</v>
      </c>
      <c r="S961" s="1101" t="b">
        <f ca="1">AND(NOT(S883=4),NOT(W955))</f>
        <v>1</v>
      </c>
      <c r="T961" s="94" t="b">
        <f t="shared" ca="1" si="57"/>
        <v>0</v>
      </c>
      <c r="U961" s="1101" t="str">
        <f t="shared" si="64"/>
        <v>dd701_4_3_1_d</v>
      </c>
      <c r="V961" s="634"/>
      <c r="W961" s="12"/>
      <c r="X961" s="918"/>
      <c r="Y961" s="988" t="str">
        <f>IF(LEN('Ch7'!X91)=0,"None",'Ch7'!X91)</f>
        <v>None</v>
      </c>
      <c r="Z961" s="1587"/>
      <c r="AA961" s="1526"/>
      <c r="AB961" s="634"/>
      <c r="AC961" s="1101" t="b">
        <f t="shared" ca="1" si="58"/>
        <v>1</v>
      </c>
      <c r="AD961" s="1101" t="b">
        <f t="shared" ca="1" si="59"/>
        <v>0</v>
      </c>
      <c r="AE961" s="1147" t="b">
        <f t="shared" ca="1" si="60"/>
        <v>1</v>
      </c>
      <c r="AF961" s="634"/>
      <c r="AG961" s="634"/>
      <c r="AH961" s="634"/>
      <c r="AI961" s="634"/>
      <c r="AJ961" s="634"/>
      <c r="AK961" s="634"/>
      <c r="AL961" s="1336"/>
      <c r="AM961" s="1336"/>
      <c r="AN961" s="1336"/>
      <c r="AO961" s="1336"/>
      <c r="AP961" s="254" t="str">
        <f t="shared" si="61"/>
        <v>vch701_4_3_1_d</v>
      </c>
      <c r="AQ961" s="254" t="str">
        <f t="shared" si="62"/>
        <v/>
      </c>
      <c r="AR961" s="254" t="str">
        <f t="shared" si="63"/>
        <v>vnt701_4_3_1_d</v>
      </c>
      <c r="AS961" s="254" t="str">
        <f t="shared" si="65"/>
        <v/>
      </c>
      <c r="AT961" s="634"/>
      <c r="AU961" s="634"/>
      <c r="AV961" s="634"/>
      <c r="AW961" s="634"/>
      <c r="AZ961" s="634"/>
      <c r="BA961" s="634"/>
      <c r="BB961" s="634"/>
      <c r="BC961" s="634"/>
      <c r="BD961" s="634"/>
      <c r="BE961" s="634"/>
      <c r="BF961" s="634"/>
      <c r="BG961" s="634"/>
      <c r="BH961" s="634"/>
      <c r="BI961" s="634"/>
    </row>
    <row r="962" spans="1:61" x14ac:dyDescent="0.25">
      <c r="A962" s="2371">
        <v>7</v>
      </c>
      <c r="B962" s="2385" t="s">
        <v>835</v>
      </c>
      <c r="C962" s="2385"/>
      <c r="D962" s="2374" t="s">
        <v>539</v>
      </c>
      <c r="E962" s="2374"/>
      <c r="F962" s="2374"/>
      <c r="G962" s="2373" t="s">
        <v>3974</v>
      </c>
      <c r="H962" s="2371" t="s">
        <v>3972</v>
      </c>
      <c r="I962" s="4"/>
      <c r="J962" s="639"/>
      <c r="K962" s="644" t="s">
        <v>539</v>
      </c>
      <c r="L962" s="1653" t="s">
        <v>841</v>
      </c>
      <c r="M962" s="1837"/>
      <c r="N962" s="1042"/>
      <c r="O962" s="1042"/>
      <c r="P962" s="94" t="b">
        <v>1</v>
      </c>
      <c r="Q962" s="94" t="b">
        <v>1</v>
      </c>
      <c r="R962" s="1101" t="b">
        <f t="shared" ca="1" si="56"/>
        <v>1</v>
      </c>
      <c r="S962" s="1101" t="b">
        <f ca="1">AND(NOT(S883=4),NOT(W955))</f>
        <v>1</v>
      </c>
      <c r="T962" s="94" t="b">
        <f t="shared" ca="1" si="57"/>
        <v>0</v>
      </c>
      <c r="U962" s="1101" t="str">
        <f t="shared" si="64"/>
        <v>dd701_4_3_1_e</v>
      </c>
      <c r="V962" s="634"/>
      <c r="W962" s="12"/>
      <c r="X962" s="918"/>
      <c r="Y962" s="988" t="str">
        <f>IF(LEN('Ch7'!X92)=0,"None",'Ch7'!X92)</f>
        <v>None</v>
      </c>
      <c r="Z962" s="1587"/>
      <c r="AA962" s="1526"/>
      <c r="AB962" s="634"/>
      <c r="AC962" s="1101" t="b">
        <f t="shared" ca="1" si="58"/>
        <v>1</v>
      </c>
      <c r="AD962" s="1101" t="b">
        <f t="shared" ca="1" si="59"/>
        <v>0</v>
      </c>
      <c r="AE962" s="1147" t="b">
        <f t="shared" ca="1" si="60"/>
        <v>1</v>
      </c>
      <c r="AF962" s="634"/>
      <c r="AG962" s="634"/>
      <c r="AH962" s="634"/>
      <c r="AI962" s="634"/>
      <c r="AJ962" s="634"/>
      <c r="AK962" s="634"/>
      <c r="AL962" s="1336"/>
      <c r="AM962" s="1336"/>
      <c r="AN962" s="1336"/>
      <c r="AO962" s="1336"/>
      <c r="AP962" s="254" t="str">
        <f t="shared" si="61"/>
        <v>vch701_4_3_1_e</v>
      </c>
      <c r="AQ962" s="254" t="str">
        <f t="shared" si="62"/>
        <v/>
      </c>
      <c r="AR962" s="254" t="str">
        <f t="shared" si="63"/>
        <v>vnt701_4_3_1_e</v>
      </c>
      <c r="AS962" s="254" t="str">
        <f t="shared" si="65"/>
        <v/>
      </c>
      <c r="AT962" s="634"/>
      <c r="AU962" s="634"/>
      <c r="AV962" s="634"/>
      <c r="AW962" s="634"/>
      <c r="AZ962" s="634"/>
      <c r="BA962" s="634"/>
      <c r="BB962" s="634"/>
      <c r="BC962" s="634"/>
      <c r="BD962" s="634"/>
      <c r="BE962" s="634"/>
      <c r="BF962" s="634"/>
      <c r="BG962" s="634"/>
      <c r="BH962" s="634"/>
      <c r="BI962" s="634"/>
    </row>
    <row r="963" spans="1:61" x14ac:dyDescent="0.25">
      <c r="A963" s="2371">
        <v>7</v>
      </c>
      <c r="B963" s="2385" t="s">
        <v>835</v>
      </c>
      <c r="C963" s="2385"/>
      <c r="D963" s="2376" t="s">
        <v>604</v>
      </c>
      <c r="E963" s="2376"/>
      <c r="F963" s="2376"/>
      <c r="G963" s="2373" t="s">
        <v>3974</v>
      </c>
      <c r="H963" s="2379" t="s">
        <v>3972</v>
      </c>
      <c r="I963" s="4"/>
      <c r="J963" s="639"/>
      <c r="K963" s="231" t="s">
        <v>604</v>
      </c>
      <c r="L963" s="1653" t="s">
        <v>842</v>
      </c>
      <c r="M963" s="1837"/>
      <c r="N963" s="1042"/>
      <c r="O963" s="1042"/>
      <c r="P963" s="94" t="b">
        <v>1</v>
      </c>
      <c r="Q963" s="94" t="b">
        <v>1</v>
      </c>
      <c r="R963" s="1101" t="b">
        <f t="shared" ca="1" si="56"/>
        <v>1</v>
      </c>
      <c r="S963" s="1101" t="b">
        <f ca="1">AND(NOT(S883=4),NOT(W955))</f>
        <v>1</v>
      </c>
      <c r="T963" s="94" t="b">
        <f t="shared" ca="1" si="57"/>
        <v>0</v>
      </c>
      <c r="U963" s="1101" t="str">
        <f t="shared" si="64"/>
        <v>dd701_4_3_1_f</v>
      </c>
      <c r="V963" s="634"/>
      <c r="W963" s="12"/>
      <c r="X963" s="918"/>
      <c r="Y963" s="988" t="str">
        <f>IF(LEN('Ch7'!X93)=0,"None",'Ch7'!X93)</f>
        <v>None</v>
      </c>
      <c r="Z963" s="1587"/>
      <c r="AA963" s="1526"/>
      <c r="AB963" s="634"/>
      <c r="AC963" s="1101" t="b">
        <f t="shared" ca="1" si="58"/>
        <v>1</v>
      </c>
      <c r="AD963" s="1101" t="b">
        <f t="shared" ca="1" si="59"/>
        <v>0</v>
      </c>
      <c r="AE963" s="1147" t="b">
        <f t="shared" ca="1" si="60"/>
        <v>1</v>
      </c>
      <c r="AF963" s="634"/>
      <c r="AG963" s="634"/>
      <c r="AH963" s="634"/>
      <c r="AI963" s="634"/>
      <c r="AJ963" s="634"/>
      <c r="AK963" s="634"/>
      <c r="AL963" s="1336"/>
      <c r="AM963" s="1336"/>
      <c r="AN963" s="1336"/>
      <c r="AO963" s="1336"/>
      <c r="AP963" s="254" t="str">
        <f t="shared" si="61"/>
        <v>vch701_4_3_1_f</v>
      </c>
      <c r="AQ963" s="254" t="str">
        <f t="shared" si="62"/>
        <v/>
      </c>
      <c r="AR963" s="254" t="str">
        <f t="shared" si="63"/>
        <v>vnt701_4_3_1_f</v>
      </c>
      <c r="AS963" s="254" t="str">
        <f t="shared" si="65"/>
        <v/>
      </c>
      <c r="AT963" s="634"/>
      <c r="AU963" s="634"/>
      <c r="AV963" s="634"/>
      <c r="AW963" s="634"/>
      <c r="AX963" s="634"/>
      <c r="AY963" s="634"/>
      <c r="AZ963" s="634"/>
      <c r="BA963" s="634"/>
      <c r="BB963" s="634"/>
      <c r="BC963" s="634"/>
      <c r="BD963" s="634"/>
      <c r="BE963" s="634"/>
      <c r="BF963" s="634"/>
      <c r="BG963" s="634"/>
      <c r="BH963" s="634"/>
      <c r="BI963" s="634"/>
    </row>
    <row r="964" spans="1:61" x14ac:dyDescent="0.25">
      <c r="A964" s="2371">
        <v>7</v>
      </c>
      <c r="B964" s="2385" t="s">
        <v>835</v>
      </c>
      <c r="C964" s="2385"/>
      <c r="D964" s="2374" t="s">
        <v>606</v>
      </c>
      <c r="E964" s="2374"/>
      <c r="F964" s="2374"/>
      <c r="G964" s="2373" t="s">
        <v>3974</v>
      </c>
      <c r="H964" s="2371" t="s">
        <v>3972</v>
      </c>
      <c r="I964" s="4"/>
      <c r="J964" s="639"/>
      <c r="K964" s="932" t="s">
        <v>606</v>
      </c>
      <c r="L964" s="1655" t="s">
        <v>4246</v>
      </c>
      <c r="M964" s="1837"/>
      <c r="N964" s="1042"/>
      <c r="O964" s="1042"/>
      <c r="P964" s="94" t="b">
        <v>1</v>
      </c>
      <c r="Q964" s="94" t="b">
        <v>1</v>
      </c>
      <c r="R964" s="1101" t="b">
        <f t="shared" ca="1" si="56"/>
        <v>1</v>
      </c>
      <c r="S964" s="1101" t="b">
        <f ca="1">AND(NOT(S883=4),NOT(W955))</f>
        <v>1</v>
      </c>
      <c r="T964" s="94" t="b">
        <f t="shared" ca="1" si="57"/>
        <v>0</v>
      </c>
      <c r="U964" s="1101" t="str">
        <f t="shared" si="64"/>
        <v>dd701_4_3_1_g</v>
      </c>
      <c r="V964" s="634"/>
      <c r="W964" s="12"/>
      <c r="X964" s="918"/>
      <c r="Y964" s="988" t="str">
        <f>IF(LEN('Ch7'!X94)=0,"None",'Ch7'!X94)</f>
        <v>None</v>
      </c>
      <c r="Z964" s="1587"/>
      <c r="AA964" s="1526"/>
      <c r="AB964" s="634"/>
      <c r="AC964" s="1101" t="b">
        <f t="shared" ca="1" si="58"/>
        <v>1</v>
      </c>
      <c r="AD964" s="1101" t="b">
        <f t="shared" ca="1" si="59"/>
        <v>0</v>
      </c>
      <c r="AE964" s="1147" t="b">
        <f t="shared" ca="1" si="60"/>
        <v>1</v>
      </c>
      <c r="AF964" s="634"/>
      <c r="AG964" s="634"/>
      <c r="AH964" s="634"/>
      <c r="AI964" s="634"/>
      <c r="AJ964" s="634"/>
      <c r="AK964" s="634"/>
      <c r="AL964" s="1336"/>
      <c r="AM964" s="1336"/>
      <c r="AN964" s="1336"/>
      <c r="AO964" s="1336"/>
      <c r="AP964" s="254" t="str">
        <f t="shared" si="61"/>
        <v>vch701_4_3_1_g</v>
      </c>
      <c r="AQ964" s="254" t="str">
        <f t="shared" si="62"/>
        <v/>
      </c>
      <c r="AR964" s="254" t="str">
        <f t="shared" si="63"/>
        <v>vnt701_4_3_1_g</v>
      </c>
      <c r="AS964" s="254" t="str">
        <f t="shared" si="65"/>
        <v/>
      </c>
      <c r="AT964" s="634"/>
      <c r="AU964" s="634"/>
      <c r="AV964" s="634"/>
      <c r="AW964" s="634"/>
      <c r="AX964" s="634"/>
      <c r="AY964" s="634"/>
      <c r="AZ964" s="634"/>
      <c r="BA964" s="634"/>
      <c r="BB964" s="634"/>
      <c r="BC964" s="634"/>
      <c r="BD964" s="634"/>
      <c r="BE964" s="634"/>
      <c r="BF964" s="634"/>
      <c r="BG964" s="634"/>
      <c r="BH964" s="634"/>
      <c r="BI964" s="634"/>
    </row>
    <row r="965" spans="1:61" x14ac:dyDescent="0.25">
      <c r="A965" s="2371">
        <v>7</v>
      </c>
      <c r="B965" s="2385" t="s">
        <v>835</v>
      </c>
      <c r="C965" s="2385"/>
      <c r="D965" s="2374" t="s">
        <v>608</v>
      </c>
      <c r="E965" s="2374"/>
      <c r="F965" s="2374"/>
      <c r="G965" s="2373" t="s">
        <v>3974</v>
      </c>
      <c r="H965" s="2371" t="s">
        <v>3972</v>
      </c>
      <c r="I965" s="4"/>
      <c r="J965" s="639"/>
      <c r="K965" s="932" t="s">
        <v>608</v>
      </c>
      <c r="L965" s="1653" t="s">
        <v>843</v>
      </c>
      <c r="M965" s="1837"/>
      <c r="N965" s="1042"/>
      <c r="O965" s="1042"/>
      <c r="P965" s="94" t="b">
        <v>1</v>
      </c>
      <c r="Q965" s="94" t="b">
        <v>1</v>
      </c>
      <c r="R965" s="1101" t="b">
        <f t="shared" ca="1" si="56"/>
        <v>1</v>
      </c>
      <c r="S965" s="1101" t="b">
        <f ca="1">AND(NOT(S883=4),NOT(W955))</f>
        <v>1</v>
      </c>
      <c r="T965" s="94" t="b">
        <f t="shared" ca="1" si="57"/>
        <v>0</v>
      </c>
      <c r="U965" s="1101" t="str">
        <f t="shared" si="64"/>
        <v>dd701_4_3_1_h</v>
      </c>
      <c r="V965" s="634"/>
      <c r="W965" s="12"/>
      <c r="X965" s="918"/>
      <c r="Y965" s="988" t="str">
        <f>IF(LEN('Ch7'!X95)=0,"None",'Ch7'!X95)</f>
        <v>None</v>
      </c>
      <c r="Z965" s="1587"/>
      <c r="AA965" s="1526"/>
      <c r="AB965" s="634"/>
      <c r="AC965" s="1101" t="b">
        <f t="shared" ca="1" si="58"/>
        <v>1</v>
      </c>
      <c r="AD965" s="1101" t="b">
        <f t="shared" ca="1" si="59"/>
        <v>0</v>
      </c>
      <c r="AE965" s="1147" t="b">
        <f t="shared" ca="1" si="60"/>
        <v>1</v>
      </c>
      <c r="AF965" s="634"/>
      <c r="AG965" s="634"/>
      <c r="AH965" s="634"/>
      <c r="AI965" s="634"/>
      <c r="AJ965" s="634"/>
      <c r="AK965" s="634"/>
      <c r="AL965" s="1336"/>
      <c r="AM965" s="1336"/>
      <c r="AN965" s="1336"/>
      <c r="AO965" s="1336"/>
      <c r="AP965" s="254" t="str">
        <f t="shared" si="61"/>
        <v>vch701_4_3_1_h</v>
      </c>
      <c r="AQ965" s="254" t="str">
        <f t="shared" si="62"/>
        <v/>
      </c>
      <c r="AR965" s="254" t="str">
        <f t="shared" si="63"/>
        <v>vnt701_4_3_1_h</v>
      </c>
      <c r="AS965" s="254" t="str">
        <f t="shared" si="65"/>
        <v/>
      </c>
      <c r="AT965" s="634"/>
      <c r="AU965" s="634"/>
      <c r="AV965" s="634"/>
      <c r="AW965" s="634"/>
      <c r="AX965" s="634"/>
      <c r="AY965" s="634"/>
      <c r="AZ965" s="634"/>
      <c r="BA965" s="634"/>
      <c r="BB965" s="634"/>
      <c r="BC965" s="634"/>
      <c r="BD965" s="634"/>
      <c r="BE965" s="634"/>
      <c r="BF965" s="634"/>
      <c r="BG965" s="634"/>
      <c r="BH965" s="634"/>
      <c r="BI965" s="634"/>
    </row>
    <row r="966" spans="1:61" x14ac:dyDescent="0.25">
      <c r="A966" s="2371">
        <v>7</v>
      </c>
      <c r="B966" s="2385" t="s">
        <v>835</v>
      </c>
      <c r="C966" s="2385"/>
      <c r="D966" s="2374" t="s">
        <v>844</v>
      </c>
      <c r="E966" s="2374"/>
      <c r="F966" s="2374"/>
      <c r="G966" s="2373" t="s">
        <v>3974</v>
      </c>
      <c r="H966" s="2371" t="s">
        <v>3972</v>
      </c>
      <c r="I966" s="4"/>
      <c r="J966" s="639"/>
      <c r="K966" s="932" t="s">
        <v>844</v>
      </c>
      <c r="L966" s="1655" t="s">
        <v>4247</v>
      </c>
      <c r="M966" s="1837"/>
      <c r="N966" s="1042"/>
      <c r="O966" s="1042"/>
      <c r="P966" s="94" t="b">
        <v>1</v>
      </c>
      <c r="Q966" s="94" t="b">
        <v>1</v>
      </c>
      <c r="R966" s="1101" t="b">
        <f t="shared" ca="1" si="56"/>
        <v>1</v>
      </c>
      <c r="S966" s="1101" t="b">
        <f ca="1">AND(NOT(S883=4),NOT(W955))</f>
        <v>1</v>
      </c>
      <c r="T966" s="94" t="b">
        <f t="shared" ca="1" si="57"/>
        <v>0</v>
      </c>
      <c r="U966" s="1101" t="str">
        <f t="shared" si="64"/>
        <v>dd701_4_3_1_i</v>
      </c>
      <c r="V966" s="634"/>
      <c r="W966" s="12"/>
      <c r="X966" s="918"/>
      <c r="Y966" s="988" t="str">
        <f>IF(LEN('Ch7'!X96)=0,"None",'Ch7'!X96)</f>
        <v>None</v>
      </c>
      <c r="Z966" s="1587"/>
      <c r="AA966" s="1526"/>
      <c r="AB966" s="634"/>
      <c r="AC966" s="1101" t="b">
        <f t="shared" ca="1" si="58"/>
        <v>1</v>
      </c>
      <c r="AD966" s="1101" t="b">
        <f t="shared" ca="1" si="59"/>
        <v>0</v>
      </c>
      <c r="AE966" s="1147" t="b">
        <f t="shared" ca="1" si="60"/>
        <v>1</v>
      </c>
      <c r="AF966" s="634"/>
      <c r="AG966" s="634"/>
      <c r="AH966" s="634"/>
      <c r="AI966" s="634"/>
      <c r="AJ966" s="634"/>
      <c r="AK966" s="634"/>
      <c r="AL966" s="1336"/>
      <c r="AM966" s="1336"/>
      <c r="AN966" s="1336"/>
      <c r="AO966" s="1336"/>
      <c r="AP966" s="254" t="str">
        <f t="shared" si="61"/>
        <v>vch701_4_3_1_i</v>
      </c>
      <c r="AQ966" s="254" t="str">
        <f t="shared" si="62"/>
        <v/>
      </c>
      <c r="AR966" s="254" t="str">
        <f t="shared" si="63"/>
        <v>vnt701_4_3_1_i</v>
      </c>
      <c r="AS966" s="254" t="str">
        <f t="shared" si="65"/>
        <v/>
      </c>
      <c r="AT966" s="634"/>
      <c r="AU966" s="634"/>
      <c r="AV966" s="634"/>
      <c r="AW966" s="634"/>
      <c r="AX966" s="634"/>
      <c r="AY966" s="634"/>
      <c r="AZ966" s="634"/>
      <c r="BA966" s="634"/>
      <c r="BB966" s="634"/>
      <c r="BC966" s="634"/>
      <c r="BD966" s="634"/>
      <c r="BE966" s="634"/>
      <c r="BF966" s="634"/>
      <c r="BG966" s="634"/>
      <c r="BH966" s="634"/>
      <c r="BI966" s="634"/>
    </row>
    <row r="967" spans="1:61" x14ac:dyDescent="0.25">
      <c r="A967" s="2371">
        <v>7</v>
      </c>
      <c r="B967" s="2385" t="s">
        <v>835</v>
      </c>
      <c r="C967" s="2385"/>
      <c r="D967" s="2374" t="s">
        <v>845</v>
      </c>
      <c r="E967" s="2374"/>
      <c r="F967" s="2374"/>
      <c r="G967" s="2373" t="s">
        <v>3974</v>
      </c>
      <c r="H967" s="2371" t="s">
        <v>3972</v>
      </c>
      <c r="I967" s="4"/>
      <c r="J967" s="639"/>
      <c r="K967" s="932" t="s">
        <v>845</v>
      </c>
      <c r="L967" s="1653" t="s">
        <v>846</v>
      </c>
      <c r="M967" s="1837"/>
      <c r="N967" s="1042"/>
      <c r="O967" s="1042"/>
      <c r="P967" s="94" t="b">
        <v>1</v>
      </c>
      <c r="Q967" s="94" t="b">
        <v>1</v>
      </c>
      <c r="R967" s="1101" t="b">
        <f t="shared" ca="1" si="56"/>
        <v>1</v>
      </c>
      <c r="S967" s="1101" t="b">
        <f ca="1">AND(NOT(S883=4),NOT(W955))</f>
        <v>1</v>
      </c>
      <c r="T967" s="94" t="b">
        <f t="shared" ca="1" si="57"/>
        <v>0</v>
      </c>
      <c r="U967" s="1101" t="str">
        <f t="shared" si="64"/>
        <v>dd701_4_3_1_j</v>
      </c>
      <c r="V967" s="634"/>
      <c r="W967" s="12"/>
      <c r="X967" s="918"/>
      <c r="Y967" s="988" t="str">
        <f>IF(LEN('Ch7'!X97)=0,"None",'Ch7'!X97)</f>
        <v>None</v>
      </c>
      <c r="Z967" s="1587"/>
      <c r="AA967" s="1526"/>
      <c r="AB967" s="634"/>
      <c r="AC967" s="1101" t="b">
        <f t="shared" ca="1" si="58"/>
        <v>1</v>
      </c>
      <c r="AD967" s="1101" t="b">
        <f t="shared" ca="1" si="59"/>
        <v>0</v>
      </c>
      <c r="AE967" s="1147" t="b">
        <f t="shared" ca="1" si="60"/>
        <v>1</v>
      </c>
      <c r="AF967" s="634"/>
      <c r="AG967" s="634"/>
      <c r="AH967" s="634"/>
      <c r="AI967" s="634"/>
      <c r="AJ967" s="634"/>
      <c r="AK967" s="634"/>
      <c r="AL967" s="1336"/>
      <c r="AM967" s="1336"/>
      <c r="AN967" s="1336"/>
      <c r="AO967" s="1336"/>
      <c r="AP967" s="254" t="str">
        <f t="shared" si="61"/>
        <v>vch701_4_3_1_j</v>
      </c>
      <c r="AQ967" s="254" t="str">
        <f t="shared" si="62"/>
        <v/>
      </c>
      <c r="AR967" s="254" t="str">
        <f t="shared" si="63"/>
        <v>vnt701_4_3_1_j</v>
      </c>
      <c r="AS967" s="254" t="str">
        <f t="shared" si="65"/>
        <v/>
      </c>
      <c r="AT967" s="634"/>
      <c r="AU967" s="634"/>
      <c r="AV967" s="634"/>
      <c r="AW967" s="634"/>
      <c r="AX967" s="634"/>
      <c r="AY967" s="634"/>
      <c r="AZ967" s="634"/>
      <c r="BA967" s="634"/>
      <c r="BB967" s="634"/>
      <c r="BC967" s="634"/>
      <c r="BD967" s="634"/>
      <c r="BE967" s="634"/>
      <c r="BF967" s="634"/>
      <c r="BG967" s="634"/>
      <c r="BH967" s="634"/>
      <c r="BI967" s="634"/>
    </row>
    <row r="968" spans="1:61" x14ac:dyDescent="0.25">
      <c r="A968" s="2371">
        <v>7</v>
      </c>
      <c r="B968" s="2385" t="s">
        <v>835</v>
      </c>
      <c r="C968" s="2385"/>
      <c r="D968" s="2374" t="s">
        <v>847</v>
      </c>
      <c r="E968" s="2374"/>
      <c r="F968" s="2374"/>
      <c r="G968" s="2373" t="s">
        <v>3974</v>
      </c>
      <c r="H968" s="2371" t="s">
        <v>3972</v>
      </c>
      <c r="I968" s="129"/>
      <c r="J968" s="636"/>
      <c r="K968" s="932" t="s">
        <v>847</v>
      </c>
      <c r="L968" s="1655" t="s">
        <v>4248</v>
      </c>
      <c r="M968" s="1837"/>
      <c r="N968" s="1044"/>
      <c r="O968" s="1044"/>
      <c r="P968" s="94" t="b">
        <v>1</v>
      </c>
      <c r="Q968" s="94" t="b">
        <v>1</v>
      </c>
      <c r="R968" s="1101" t="b">
        <f t="shared" ca="1" si="56"/>
        <v>1</v>
      </c>
      <c r="S968" s="94" t="b">
        <f ca="1">AND(NOT(S883=4),NOT(W955))</f>
        <v>1</v>
      </c>
      <c r="T968" s="94" t="b">
        <f t="shared" ca="1" si="57"/>
        <v>0</v>
      </c>
      <c r="U968" s="1101" t="str">
        <f t="shared" si="64"/>
        <v>dd701_4_3_1_k</v>
      </c>
      <c r="V968" s="94"/>
      <c r="W968" s="12"/>
      <c r="X968" s="918"/>
      <c r="Y968" s="988" t="str">
        <f>IF(LEN('Ch7'!X98)=0,"None",'Ch7'!X98)</f>
        <v>None</v>
      </c>
      <c r="Z968" s="1587"/>
      <c r="AA968" s="1526"/>
      <c r="AB968" s="634"/>
      <c r="AC968" s="1101" t="b">
        <f t="shared" ca="1" si="58"/>
        <v>1</v>
      </c>
      <c r="AD968" s="1101" t="b">
        <f t="shared" ca="1" si="59"/>
        <v>0</v>
      </c>
      <c r="AE968" s="1147" t="b">
        <f t="shared" ca="1" si="60"/>
        <v>1</v>
      </c>
      <c r="AF968" s="634"/>
      <c r="AG968" s="634"/>
      <c r="AH968" s="634"/>
      <c r="AI968" s="634"/>
      <c r="AJ968" s="634"/>
      <c r="AK968" s="634"/>
      <c r="AL968" s="1336"/>
      <c r="AM968" s="1336"/>
      <c r="AN968" s="1336"/>
      <c r="AO968" s="1336"/>
      <c r="AP968" s="254" t="str">
        <f t="shared" si="61"/>
        <v>vch701_4_3_1_k</v>
      </c>
      <c r="AQ968" s="254" t="str">
        <f t="shared" si="62"/>
        <v/>
      </c>
      <c r="AR968" s="254" t="str">
        <f t="shared" si="63"/>
        <v>vnt701_4_3_1_k</v>
      </c>
      <c r="AS968" s="254" t="str">
        <f t="shared" si="65"/>
        <v/>
      </c>
      <c r="AT968" s="634"/>
      <c r="AU968" s="634"/>
      <c r="AV968" s="634"/>
      <c r="AW968" s="634"/>
      <c r="AX968" s="634"/>
      <c r="AY968" s="634"/>
      <c r="AZ968" s="634"/>
      <c r="BA968" s="634"/>
      <c r="BB968" s="634"/>
      <c r="BC968" s="634"/>
      <c r="BD968" s="634"/>
      <c r="BE968" s="634"/>
      <c r="BF968" s="634"/>
      <c r="BG968" s="634"/>
      <c r="BH968" s="634"/>
      <c r="BI968" s="634"/>
    </row>
    <row r="969" spans="1:61" x14ac:dyDescent="0.25">
      <c r="A969" s="2371">
        <v>7</v>
      </c>
      <c r="B969" s="2385" t="s">
        <v>835</v>
      </c>
      <c r="C969" s="2385"/>
      <c r="D969" s="2374" t="s">
        <v>848</v>
      </c>
      <c r="E969" s="2374"/>
      <c r="F969" s="2374"/>
      <c r="G969" s="2373" t="s">
        <v>3974</v>
      </c>
      <c r="H969" s="2371" t="s">
        <v>3972</v>
      </c>
      <c r="I969"/>
      <c r="J969"/>
      <c r="K969" s="932" t="s">
        <v>848</v>
      </c>
      <c r="L969" s="1655" t="s">
        <v>4249</v>
      </c>
      <c r="M969" s="1837"/>
      <c r="N969" s="664"/>
      <c r="O969" s="1044"/>
      <c r="P969" s="94" t="b">
        <v>1</v>
      </c>
      <c r="Q969" s="94" t="b">
        <v>1</v>
      </c>
      <c r="R969" s="1101" t="b">
        <f t="shared" ca="1" si="56"/>
        <v>1</v>
      </c>
      <c r="S969" s="1101" t="b">
        <f ca="1">AND(NOT(S883=4),NOT(W955))</f>
        <v>1</v>
      </c>
      <c r="T969" s="94" t="b">
        <f t="shared" ca="1" si="57"/>
        <v>0</v>
      </c>
      <c r="U969" s="1101" t="str">
        <f t="shared" si="64"/>
        <v>dd701_4_3_1_l</v>
      </c>
      <c r="V969"/>
      <c r="W969" s="12"/>
      <c r="X969" s="918"/>
      <c r="Y969" s="988" t="str">
        <f>IF(LEN('Ch7'!X99)=0,"None",'Ch7'!X99)</f>
        <v>None</v>
      </c>
      <c r="Z969" s="1587"/>
      <c r="AA969" s="1526"/>
      <c r="AC969" s="1101" t="b">
        <f t="shared" ca="1" si="58"/>
        <v>1</v>
      </c>
      <c r="AD969" s="1101" t="b">
        <f t="shared" ca="1" si="59"/>
        <v>0</v>
      </c>
      <c r="AE969" s="1147" t="b">
        <f t="shared" ca="1" si="60"/>
        <v>1</v>
      </c>
      <c r="AF969"/>
      <c r="AG969"/>
      <c r="AH969"/>
      <c r="AI969"/>
      <c r="AJ969"/>
      <c r="AK969"/>
      <c r="AL969" s="1336"/>
      <c r="AM969" s="1336"/>
      <c r="AN969" s="1336"/>
      <c r="AO969" s="1336"/>
      <c r="AP969" s="254" t="str">
        <f t="shared" si="61"/>
        <v>vch701_4_3_1_l</v>
      </c>
      <c r="AQ969" s="254" t="str">
        <f t="shared" si="62"/>
        <v/>
      </c>
      <c r="AR969" s="254" t="str">
        <f t="shared" si="63"/>
        <v>vnt701_4_3_1_l</v>
      </c>
      <c r="AS969" s="254" t="str">
        <f t="shared" si="65"/>
        <v/>
      </c>
      <c r="AT969"/>
    </row>
    <row r="970" spans="1:61" x14ac:dyDescent="0.25">
      <c r="A970" s="2371">
        <v>7</v>
      </c>
      <c r="B970" s="2385" t="s">
        <v>835</v>
      </c>
      <c r="C970" s="2385"/>
      <c r="D970" s="2374" t="s">
        <v>3969</v>
      </c>
      <c r="E970" s="2374"/>
      <c r="F970" s="2374"/>
      <c r="G970" s="2373" t="s">
        <v>3974</v>
      </c>
      <c r="H970" s="2371" t="s">
        <v>3972</v>
      </c>
      <c r="I970" s="210"/>
      <c r="J970" s="637"/>
      <c r="K970" s="933" t="s">
        <v>3969</v>
      </c>
      <c r="L970" s="1654" t="s">
        <v>849</v>
      </c>
      <c r="M970" s="1844"/>
      <c r="N970" s="1047"/>
      <c r="O970" s="1047"/>
      <c r="P970" s="94" t="b">
        <v>1</v>
      </c>
      <c r="Q970" s="94" t="b">
        <v>1</v>
      </c>
      <c r="R970" s="1101" t="b">
        <f t="shared" ca="1" si="56"/>
        <v>1</v>
      </c>
      <c r="S970" s="178" t="b">
        <f ca="1">AND(NOT(S883=4),NOT(W955))</f>
        <v>1</v>
      </c>
      <c r="T970" s="94" t="b">
        <f t="shared" ca="1" si="57"/>
        <v>0</v>
      </c>
      <c r="U970" s="1101" t="str">
        <f t="shared" si="64"/>
        <v>dd701_4_3_1_m</v>
      </c>
      <c r="V970" s="178"/>
      <c r="W970" s="12"/>
      <c r="X970" s="918"/>
      <c r="Y970" s="988" t="str">
        <f>IF(LEN('Ch7'!X100)=0,"None",'Ch7'!X100)</f>
        <v>None</v>
      </c>
      <c r="Z970" s="1587"/>
      <c r="AA970" s="1526"/>
      <c r="AB970" s="634"/>
      <c r="AC970" s="1101" t="b">
        <f t="shared" ca="1" si="58"/>
        <v>1</v>
      </c>
      <c r="AD970" s="1101" t="b">
        <f t="shared" ca="1" si="59"/>
        <v>0</v>
      </c>
      <c r="AE970" s="1147" t="b">
        <f t="shared" ca="1" si="60"/>
        <v>1</v>
      </c>
      <c r="AF970" s="634"/>
      <c r="AG970" s="634"/>
      <c r="AH970" s="634"/>
      <c r="AI970" s="634"/>
      <c r="AJ970" s="634"/>
      <c r="AK970" s="634"/>
      <c r="AL970" s="1336"/>
      <c r="AM970" s="1336"/>
      <c r="AN970" s="1336"/>
      <c r="AO970" s="1336"/>
      <c r="AP970" s="254" t="str">
        <f t="shared" si="61"/>
        <v>vch701_4_3_1_m</v>
      </c>
      <c r="AQ970" s="254" t="str">
        <f t="shared" si="62"/>
        <v/>
      </c>
      <c r="AR970" s="254" t="str">
        <f t="shared" si="63"/>
        <v>vnt701_4_3_1_m</v>
      </c>
      <c r="AS970" s="254" t="str">
        <f>IF(LEN(X970)=0,"",X970)</f>
        <v/>
      </c>
      <c r="AT970" s="634"/>
      <c r="AU970" s="634"/>
      <c r="AV970" s="634"/>
      <c r="AW970" s="634"/>
      <c r="AX970" s="634"/>
      <c r="AY970" s="634"/>
      <c r="AZ970" s="634"/>
      <c r="BA970" s="634"/>
      <c r="BB970" s="634"/>
      <c r="BC970" s="634"/>
      <c r="BD970" s="634"/>
      <c r="BE970" s="634"/>
      <c r="BF970" s="634"/>
      <c r="BG970" s="634"/>
      <c r="BH970" s="634"/>
      <c r="BI970" s="634"/>
    </row>
    <row r="971" spans="1:61" ht="15" customHeight="1" x14ac:dyDescent="0.25">
      <c r="A971" s="2371">
        <v>7</v>
      </c>
      <c r="B971" s="2385" t="s">
        <v>850</v>
      </c>
      <c r="C971" s="2385"/>
      <c r="D971" s="2374"/>
      <c r="E971" s="2374"/>
      <c r="F971" s="2374"/>
      <c r="G971" s="2373" t="s">
        <v>3974</v>
      </c>
      <c r="H971" s="2371" t="s">
        <v>3971</v>
      </c>
      <c r="I971" s="66" t="s">
        <v>850</v>
      </c>
      <c r="J971" s="639"/>
      <c r="K971" s="639"/>
      <c r="L971" s="1835" t="s">
        <v>4250</v>
      </c>
      <c r="M971" s="1872" t="str">
        <f ca="1">IF(OR(R975,R978),"Mandatory","N/A")</f>
        <v>Mandatory</v>
      </c>
      <c r="N971" s="1042"/>
      <c r="O971" s="1042"/>
      <c r="P971" s="756"/>
      <c r="Q971" s="756"/>
      <c r="R971" s="634"/>
      <c r="S971" s="634"/>
      <c r="T971" s="634"/>
      <c r="U971" s="634"/>
      <c r="V971" s="634"/>
      <c r="W971" s="634"/>
      <c r="X971" s="911"/>
      <c r="Y971" s="634"/>
      <c r="AA971" s="1526"/>
      <c r="AB971" s="634"/>
      <c r="AC971" s="970"/>
      <c r="AD971" s="970"/>
      <c r="AE971" s="970"/>
      <c r="AF971" s="634"/>
      <c r="AG971" s="634"/>
      <c r="AH971" s="634"/>
      <c r="AI971" s="634"/>
      <c r="AJ971" s="634"/>
      <c r="AK971" s="634"/>
      <c r="AL971" s="254" t="str">
        <f>SUBSTITUTE(SUBSTITUTE(SUBSTITUTE("vpa"&amp;$B971&amp;$C971&amp;$D971&amp;$E971,".","_"),"(","_"),")","")</f>
        <v>vpa701_4_3_2</v>
      </c>
      <c r="AM971" s="254" t="str">
        <f ca="1">M971</f>
        <v>Mandatory</v>
      </c>
      <c r="AN971" s="1336"/>
      <c r="AO971" s="1336"/>
      <c r="AP971" s="1336"/>
      <c r="AQ971" s="1336"/>
      <c r="AR971" s="1336"/>
      <c r="AS971" s="1336"/>
      <c r="AT971" s="634"/>
      <c r="AU971" s="634"/>
      <c r="AV971" s="634"/>
      <c r="AW971" s="634"/>
      <c r="AX971" s="634"/>
      <c r="AY971" s="634"/>
      <c r="AZ971" s="634"/>
      <c r="BA971" s="634"/>
      <c r="BB971" s="634"/>
      <c r="BC971" s="634"/>
      <c r="BD971" s="634"/>
      <c r="BE971" s="634"/>
      <c r="BF971" s="634"/>
      <c r="BG971" s="634"/>
      <c r="BH971" s="634"/>
      <c r="BI971" s="634"/>
    </row>
    <row r="972" spans="1:61" s="868" customFormat="1" x14ac:dyDescent="0.25">
      <c r="A972" s="2371">
        <v>7</v>
      </c>
      <c r="B972" s="2385" t="s">
        <v>850</v>
      </c>
      <c r="C972" s="2385"/>
      <c r="D972" s="2374"/>
      <c r="E972" s="2374"/>
      <c r="F972" s="2374"/>
      <c r="G972" s="2373" t="s">
        <v>3974</v>
      </c>
      <c r="H972" s="2371" t="s">
        <v>3971</v>
      </c>
      <c r="I972" s="66"/>
      <c r="J972" s="892"/>
      <c r="K972" s="892"/>
      <c r="L972" s="1833"/>
      <c r="M972" s="1837"/>
      <c r="N972" s="1042"/>
      <c r="O972" s="1042"/>
      <c r="X972" s="911"/>
      <c r="Z972" s="731"/>
      <c r="AA972" s="1526"/>
      <c r="AC972" s="970"/>
      <c r="AD972" s="970"/>
      <c r="AE972" s="970"/>
      <c r="AL972" s="1336"/>
      <c r="AM972" s="1336"/>
      <c r="AN972" s="1336"/>
      <c r="AO972" s="1336"/>
      <c r="AP972" s="1336"/>
      <c r="AQ972" s="1336"/>
      <c r="AR972" s="1336"/>
      <c r="AS972" s="1336"/>
    </row>
    <row r="973" spans="1:61" x14ac:dyDescent="0.25">
      <c r="A973" s="2371">
        <v>7</v>
      </c>
      <c r="B973" s="2385" t="s">
        <v>850</v>
      </c>
      <c r="C973" s="2385"/>
      <c r="D973" s="2374"/>
      <c r="E973" s="2374"/>
      <c r="F973" s="2374"/>
      <c r="G973" s="2373" t="s">
        <v>3974</v>
      </c>
      <c r="H973" s="2371" t="s">
        <v>3971</v>
      </c>
      <c r="I973" s="4"/>
      <c r="J973" s="639"/>
      <c r="K973" s="639"/>
      <c r="L973" s="1833"/>
      <c r="M973" s="1837"/>
      <c r="N973" s="1042"/>
      <c r="O973" s="1042"/>
      <c r="P973" s="756"/>
      <c r="Q973" s="756"/>
      <c r="R973" s="634"/>
      <c r="S973" s="634"/>
      <c r="T973" s="634"/>
      <c r="U973" s="634"/>
      <c r="V973" s="634"/>
      <c r="W973" s="634"/>
      <c r="X973" s="911"/>
      <c r="Y973" s="634"/>
      <c r="AA973" s="1526"/>
      <c r="AB973" s="634"/>
      <c r="AC973" s="970"/>
      <c r="AD973" s="970"/>
      <c r="AE973" s="970"/>
      <c r="AF973" s="634"/>
      <c r="AG973" s="634"/>
      <c r="AH973" s="634"/>
      <c r="AI973" s="634"/>
      <c r="AJ973" s="634"/>
      <c r="AK973" s="634"/>
      <c r="AL973" s="1336"/>
      <c r="AM973" s="1336"/>
      <c r="AN973" s="1336"/>
      <c r="AO973" s="1336"/>
      <c r="AP973" s="1336"/>
      <c r="AQ973" s="1336"/>
      <c r="AR973" s="1336"/>
      <c r="AS973" s="1336"/>
      <c r="AT973" s="634"/>
      <c r="AU973" s="634"/>
      <c r="AV973" s="634"/>
      <c r="AW973" s="634"/>
      <c r="AX973" s="634"/>
      <c r="AY973" s="634"/>
      <c r="AZ973" s="634"/>
      <c r="BA973" s="634"/>
      <c r="BB973" s="634"/>
      <c r="BC973" s="634"/>
      <c r="BD973" s="634"/>
      <c r="BE973" s="634"/>
      <c r="BF973" s="634"/>
      <c r="BG973" s="634"/>
      <c r="BH973" s="634"/>
      <c r="BI973" s="634"/>
    </row>
    <row r="974" spans="1:61" x14ac:dyDescent="0.25">
      <c r="A974" s="2371">
        <v>7</v>
      </c>
      <c r="B974" s="2385" t="s">
        <v>850</v>
      </c>
      <c r="C974" s="2385"/>
      <c r="D974" s="2374"/>
      <c r="E974" s="2374"/>
      <c r="F974" s="2374"/>
      <c r="G974" s="2373" t="s">
        <v>3974</v>
      </c>
      <c r="H974" s="2371" t="s">
        <v>3971</v>
      </c>
      <c r="I974" s="4"/>
      <c r="J974" s="639"/>
      <c r="K974" s="639"/>
      <c r="L974" s="1833"/>
      <c r="M974" s="1837"/>
      <c r="N974" s="1042"/>
      <c r="O974" s="1042"/>
      <c r="P974" s="756"/>
      <c r="Q974" s="756"/>
      <c r="R974" s="634"/>
      <c r="S974" s="634"/>
      <c r="T974" s="634"/>
      <c r="U974" s="634"/>
      <c r="V974" s="634"/>
      <c r="W974" s="634" t="s">
        <v>3763</v>
      </c>
      <c r="X974" s="911"/>
      <c r="Y974" s="634"/>
      <c r="AA974" s="1526"/>
      <c r="AB974" s="634"/>
      <c r="AC974" s="970"/>
      <c r="AD974" s="970"/>
      <c r="AE974" s="970"/>
      <c r="AF974" s="634"/>
      <c r="AG974" s="634"/>
      <c r="AH974" s="634"/>
      <c r="AI974" s="634"/>
      <c r="AJ974" s="634"/>
      <c r="AK974" s="634"/>
      <c r="AL974" s="1336"/>
      <c r="AM974" s="1336"/>
      <c r="AN974" s="1336"/>
      <c r="AO974" s="1336"/>
      <c r="AP974" s="1336"/>
      <c r="AQ974" s="1336"/>
      <c r="AR974" s="1336"/>
      <c r="AS974" s="1336"/>
      <c r="AT974" s="634"/>
      <c r="AU974" s="634"/>
      <c r="AV974" s="634"/>
      <c r="AW974" s="634"/>
      <c r="AX974" s="634"/>
      <c r="AY974" s="634"/>
      <c r="AZ974" s="634"/>
      <c r="BA974" s="634"/>
      <c r="BB974" s="634"/>
      <c r="BC974" s="634"/>
      <c r="BD974" s="634"/>
      <c r="BE974" s="634"/>
      <c r="BF974" s="634"/>
      <c r="BG974" s="634"/>
      <c r="BH974" s="634"/>
      <c r="BI974" s="634"/>
    </row>
    <row r="975" spans="1:61" x14ac:dyDescent="0.25">
      <c r="A975" s="2371">
        <v>7</v>
      </c>
      <c r="B975" s="2385" t="s">
        <v>850</v>
      </c>
      <c r="C975" s="2374" t="s">
        <v>4083</v>
      </c>
      <c r="D975" s="2374"/>
      <c r="E975" s="2374"/>
      <c r="F975" s="2374"/>
      <c r="G975" s="2373" t="s">
        <v>3974</v>
      </c>
      <c r="H975" s="2371" t="s">
        <v>3971</v>
      </c>
      <c r="I975" s="4"/>
      <c r="J975" s="230" t="s">
        <v>256</v>
      </c>
      <c r="K975" s="639"/>
      <c r="L975" s="1796" t="s">
        <v>851</v>
      </c>
      <c r="M975" s="1014"/>
      <c r="N975" s="1042"/>
      <c r="O975" s="1042"/>
      <c r="P975" s="94" t="b">
        <v>1</v>
      </c>
      <c r="Q975" s="94" t="b">
        <v>1</v>
      </c>
      <c r="R975" s="1079" t="b">
        <f ca="1">AND(S975,NOT(OR(AND(BF886=2,BG886="Dry"),BI886="Tropical")))</f>
        <v>1</v>
      </c>
      <c r="S975" s="1079" t="b">
        <f ca="1">AND(NOT(OR(S883=4,S883=5)),NOT(W955),NOT(LEN(W978)&gt;0))</f>
        <v>1</v>
      </c>
      <c r="T975" s="94" t="b">
        <f ca="1">AND(OR(NOT(S975),AND(W1081=TRUE,BF886&lt;=2,W975&gt;5),AND(W1081=TRUE,BF886&gt;=3,W975&gt;3)),LEN(W975)&gt;0)</f>
        <v>0</v>
      </c>
      <c r="U975" s="634"/>
      <c r="V975" s="634"/>
      <c r="W975" s="384"/>
      <c r="X975" s="1798"/>
      <c r="Y975" s="2099" t="str">
        <f>IF(LEN('Ch7'!X105)=0,"None",'Ch7'!X105)</f>
        <v>None</v>
      </c>
      <c r="Z975" s="2087"/>
      <c r="AA975" s="1526"/>
      <c r="AB975" s="634"/>
      <c r="AC975" s="970" t="b">
        <f ca="1">OR(AD975:AE975)</f>
        <v>1</v>
      </c>
      <c r="AD975" s="970" t="b">
        <f ca="1">T975</f>
        <v>0</v>
      </c>
      <c r="AE975" s="970" t="b">
        <f ca="1">AND(R975,LEN(W975)=0)</f>
        <v>1</v>
      </c>
      <c r="AF975" s="784"/>
      <c r="AG975" s="634"/>
      <c r="AH975" s="634"/>
      <c r="AI975" s="634"/>
      <c r="AJ975" s="634"/>
      <c r="AK975" s="634"/>
      <c r="AL975" s="1336"/>
      <c r="AM975" s="1336"/>
      <c r="AN975" s="1336"/>
      <c r="AO975" s="1336"/>
      <c r="AP975" s="254" t="str">
        <f>SUBSTITUTE(SUBSTITUTE(SUBSTITUTE("vch"&amp;$B975&amp;$C975&amp;$D975&amp;$E975,".","_"),"(","_"),")","")</f>
        <v>vch701_4_3_2_1_</v>
      </c>
      <c r="AQ975" s="254" t="str">
        <f>IF(LEN(W975)=0,"",W975)</f>
        <v/>
      </c>
      <c r="AR975" s="254" t="str">
        <f>SUBSTITUTE(SUBSTITUTE(SUBSTITUTE("vnt"&amp;$B975&amp;$C975&amp;$D975&amp;$E975,".","_"),"(","_"),")","")</f>
        <v>vnt701_4_3_2_1_</v>
      </c>
      <c r="AS975" s="254" t="str">
        <f>IF(LEN(X975)=0,"",X975)</f>
        <v/>
      </c>
      <c r="AT975" s="634"/>
      <c r="AU975" s="634"/>
      <c r="AV975" s="634"/>
      <c r="AW975" s="634"/>
      <c r="AX975" s="634"/>
      <c r="AY975" s="634"/>
      <c r="AZ975" s="634"/>
      <c r="BA975" s="634"/>
      <c r="BB975" s="634"/>
      <c r="BC975" s="634"/>
      <c r="BD975" s="634"/>
      <c r="BE975" s="634"/>
      <c r="BF975" s="634"/>
      <c r="BG975" s="634"/>
      <c r="BH975" s="634"/>
      <c r="BI975" s="634"/>
    </row>
    <row r="976" spans="1:61" x14ac:dyDescent="0.25">
      <c r="A976" s="2371">
        <v>7</v>
      </c>
      <c r="B976" s="2385" t="s">
        <v>850</v>
      </c>
      <c r="C976" s="2374" t="s">
        <v>256</v>
      </c>
      <c r="D976" s="2374"/>
      <c r="E976" s="2374"/>
      <c r="F976" s="2374"/>
      <c r="G976" s="2373" t="s">
        <v>3974</v>
      </c>
      <c r="H976" s="2371" t="s">
        <v>3971</v>
      </c>
      <c r="I976" s="4"/>
      <c r="J976" s="639"/>
      <c r="K976" s="639"/>
      <c r="L976" s="1796"/>
      <c r="M976" s="1014"/>
      <c r="N976" s="1042"/>
      <c r="O976" s="1042"/>
      <c r="P976" s="757"/>
      <c r="Q976" s="757"/>
      <c r="R976" s="1079"/>
      <c r="S976" s="1079"/>
      <c r="T976" s="1479"/>
      <c r="U976" s="757"/>
      <c r="V976" s="757"/>
      <c r="W976" s="757"/>
      <c r="X976" s="1799"/>
      <c r="Y976" s="2100"/>
      <c r="Z976" s="2091"/>
      <c r="AA976" s="1526"/>
      <c r="AB976" s="634"/>
      <c r="AC976" s="970"/>
      <c r="AD976" s="970"/>
      <c r="AE976" s="970"/>
      <c r="AF976" s="634"/>
      <c r="AG976" s="634"/>
      <c r="AH976" s="634"/>
      <c r="AI976" s="634"/>
      <c r="AJ976" s="634"/>
      <c r="AK976" s="634"/>
      <c r="AL976" s="1336"/>
      <c r="AM976" s="1336"/>
      <c r="AN976" s="1336"/>
      <c r="AO976" s="1336"/>
      <c r="AP976" s="1336"/>
      <c r="AQ976" s="1336"/>
      <c r="AR976" s="1336"/>
      <c r="AS976" s="1336"/>
      <c r="AT976" s="634"/>
      <c r="AU976" s="634"/>
      <c r="AV976" s="634"/>
      <c r="AW976" s="634"/>
      <c r="AX976" s="634"/>
      <c r="AY976" s="634"/>
      <c r="AZ976" s="634"/>
      <c r="BA976" s="634"/>
      <c r="BB976" s="634"/>
      <c r="BC976" s="634"/>
      <c r="BD976" s="634"/>
      <c r="BE976" s="634"/>
      <c r="BF976" s="634"/>
      <c r="BG976" s="634"/>
      <c r="BH976" s="634"/>
      <c r="BI976" s="634"/>
    </row>
    <row r="977" spans="1:61" x14ac:dyDescent="0.25">
      <c r="A977" s="2371">
        <v>7</v>
      </c>
      <c r="B977" s="2385" t="s">
        <v>850</v>
      </c>
      <c r="C977" s="2374" t="s">
        <v>256</v>
      </c>
      <c r="D977" s="2374"/>
      <c r="E977" s="2374"/>
      <c r="F977" s="2374"/>
      <c r="G977" s="2373" t="s">
        <v>3974</v>
      </c>
      <c r="H977" s="2371" t="s">
        <v>3971</v>
      </c>
      <c r="I977" s="4"/>
      <c r="J977" s="639"/>
      <c r="K977" s="639"/>
      <c r="L977" s="1796"/>
      <c r="M977" s="1014"/>
      <c r="N977" s="1042"/>
      <c r="O977" s="1042"/>
      <c r="P977" s="94"/>
      <c r="Q977" s="94"/>
      <c r="R977" s="1079"/>
      <c r="S977" s="1079"/>
      <c r="T977" s="1479"/>
      <c r="U977" s="757"/>
      <c r="V977" s="757"/>
      <c r="W977" s="757" t="s">
        <v>4089</v>
      </c>
      <c r="X977" s="1756"/>
      <c r="Y977" s="2097"/>
      <c r="Z977" s="2085"/>
      <c r="AA977" s="1526"/>
      <c r="AB977" s="634"/>
      <c r="AC977" s="970"/>
      <c r="AD977" s="970"/>
      <c r="AE977" s="970"/>
      <c r="AF977" s="634"/>
      <c r="AG977" s="634"/>
      <c r="AH977" s="634"/>
      <c r="AI977" s="634"/>
      <c r="AJ977" s="634"/>
      <c r="AK977" s="634"/>
      <c r="AL977" s="1336"/>
      <c r="AM977" s="1336"/>
      <c r="AN977" s="1336"/>
      <c r="AO977" s="1336"/>
      <c r="AP977" s="1336"/>
      <c r="AQ977" s="1336"/>
      <c r="AR977" s="1336"/>
      <c r="AS977" s="1336"/>
      <c r="AT977" s="634"/>
      <c r="AU977" s="634"/>
      <c r="AV977" s="634"/>
      <c r="AW977" s="634"/>
      <c r="AX977" s="634"/>
      <c r="AY977" s="634"/>
      <c r="AZ977" s="634"/>
      <c r="BA977" s="634"/>
      <c r="BB977" s="634"/>
      <c r="BC977" s="634"/>
      <c r="BD977" s="634"/>
      <c r="BE977" s="634"/>
      <c r="BF977" s="634"/>
      <c r="BG977" s="634"/>
      <c r="BH977" s="634"/>
      <c r="BI977" s="634"/>
    </row>
    <row r="978" spans="1:61" x14ac:dyDescent="0.25">
      <c r="A978" s="2371">
        <v>7</v>
      </c>
      <c r="B978" s="2385" t="s">
        <v>850</v>
      </c>
      <c r="C978" s="2374" t="s">
        <v>2975</v>
      </c>
      <c r="D978" s="2374"/>
      <c r="E978" s="2374"/>
      <c r="F978" s="2374"/>
      <c r="G978" s="2373" t="s">
        <v>3974</v>
      </c>
      <c r="H978" s="2371" t="s">
        <v>3971</v>
      </c>
      <c r="I978" s="4"/>
      <c r="J978" s="639"/>
      <c r="K978" s="639"/>
      <c r="L978" s="1796"/>
      <c r="M978" s="1014"/>
      <c r="N978" s="1042"/>
      <c r="O978" s="1042"/>
      <c r="P978" s="94" t="b">
        <v>1</v>
      </c>
      <c r="Q978" s="94" t="b">
        <v>1</v>
      </c>
      <c r="R978" s="1079" t="b">
        <f ca="1">AND(S978,NOT(OR(AND(BF886=2,BG886="Dry"),BI886="Tropical")))</f>
        <v>1</v>
      </c>
      <c r="S978" s="1079" t="b">
        <f ca="1">AND(NOT(OR(S883=4,S883=5)),NOT(W955),NOT(LEN(W975)&gt;0))</f>
        <v>1</v>
      </c>
      <c r="T978" s="94" t="b">
        <f ca="1">AND(OR(NOT(S978),AND(W1081=TRUE,BF886&lt;=2,W978&gt;0.33),AND(W1081=TRUE,BF886&gt;=3,W978&gt;0.23)),LEN(W978)&gt;0)</f>
        <v>0</v>
      </c>
      <c r="U978" s="757"/>
      <c r="V978" s="757"/>
      <c r="W978" s="384"/>
      <c r="X978" s="1798"/>
      <c r="Y978" s="2099" t="str">
        <f>IF(LEN('Ch7'!X108)=0,"None",'Ch7'!X108)</f>
        <v>None</v>
      </c>
      <c r="Z978" s="2087"/>
      <c r="AA978" s="1526"/>
      <c r="AB978" s="634"/>
      <c r="AC978" s="970" t="b">
        <f ca="1">OR(AD978:AE978)</f>
        <v>0</v>
      </c>
      <c r="AD978" s="970" t="b">
        <f ca="1">T978</f>
        <v>0</v>
      </c>
      <c r="AE978" s="970"/>
      <c r="AF978" s="784"/>
      <c r="AG978" s="634"/>
      <c r="AH978" s="634"/>
      <c r="AI978" s="634"/>
      <c r="AJ978" s="634"/>
      <c r="AK978" s="634"/>
      <c r="AL978" s="1336"/>
      <c r="AM978" s="1336"/>
      <c r="AN978" s="1336"/>
      <c r="AO978" s="1336"/>
      <c r="AP978" s="254" t="str">
        <f>SUBSTITUTE(SUBSTITUTE(SUBSTITUTE("vch"&amp;$B978&amp;$C978&amp;$D978&amp;$E978,".","_"),"(","_"),")","")</f>
        <v>vch701_4_3_2e</v>
      </c>
      <c r="AQ978" s="254" t="str">
        <f>IF(LEN(W978)=0,"",W978)</f>
        <v/>
      </c>
      <c r="AR978" s="254" t="str">
        <f>SUBSTITUTE(SUBSTITUTE(SUBSTITUTE("vnt"&amp;$B978&amp;$C978&amp;$D978&amp;$E978,".","_"),"(","_"),")","")</f>
        <v>vnt701_4_3_2e</v>
      </c>
      <c r="AS978" s="254" t="str">
        <f>IF(LEN(X978)=0,"",X978)</f>
        <v/>
      </c>
      <c r="AT978" s="634"/>
      <c r="AU978" s="634"/>
      <c r="AV978" s="634"/>
      <c r="AW978" s="634"/>
      <c r="AX978" s="634"/>
      <c r="AY978" s="634"/>
      <c r="AZ978" s="634"/>
      <c r="BA978" s="634"/>
      <c r="BB978" s="634"/>
      <c r="BC978" s="634"/>
      <c r="BD978" s="634"/>
      <c r="BE978" s="634"/>
      <c r="BF978" s="634"/>
      <c r="BG978" s="634"/>
      <c r="BH978" s="634"/>
      <c r="BI978" s="634"/>
    </row>
    <row r="979" spans="1:61" x14ac:dyDescent="0.25">
      <c r="A979" s="2371">
        <v>7</v>
      </c>
      <c r="B979" s="2385" t="s">
        <v>850</v>
      </c>
      <c r="C979" s="2374" t="s">
        <v>256</v>
      </c>
      <c r="D979" s="2374"/>
      <c r="E979" s="2374"/>
      <c r="F979" s="2374"/>
      <c r="G979" s="2373" t="s">
        <v>3974</v>
      </c>
      <c r="H979" s="2371" t="s">
        <v>3971</v>
      </c>
      <c r="I979" s="4"/>
      <c r="J979" s="639"/>
      <c r="K979" s="639"/>
      <c r="L979" s="1796"/>
      <c r="M979" s="1014"/>
      <c r="N979" s="1042"/>
      <c r="O979" s="1042"/>
      <c r="P979" s="756"/>
      <c r="Q979" s="756"/>
      <c r="R979" s="634"/>
      <c r="S979" s="634"/>
      <c r="T979" s="634"/>
      <c r="U979" s="634"/>
      <c r="V979" s="634"/>
      <c r="W979" s="634"/>
      <c r="X979" s="1756"/>
      <c r="Y979" s="2097"/>
      <c r="Z979" s="2085"/>
      <c r="AA979" s="1526"/>
      <c r="AB979" s="634"/>
      <c r="AC979" s="970"/>
      <c r="AD979" s="970"/>
      <c r="AE979" s="970"/>
      <c r="AF979" s="634"/>
      <c r="AG979" s="634"/>
      <c r="AH979" s="634"/>
      <c r="AI979" s="634"/>
      <c r="AJ979" s="634"/>
      <c r="AK979" s="634"/>
      <c r="AL979" s="1336"/>
      <c r="AM979" s="1336"/>
      <c r="AN979" s="1336"/>
      <c r="AO979" s="1336"/>
      <c r="AP979" s="1336"/>
      <c r="AQ979" s="1336"/>
      <c r="AR979" s="1336"/>
      <c r="AS979" s="1336"/>
      <c r="AT979" s="634"/>
      <c r="AU979" s="634"/>
      <c r="AV979" s="634"/>
      <c r="AW979" s="634"/>
      <c r="AX979" s="634"/>
      <c r="AY979" s="634"/>
      <c r="AZ979" s="634"/>
      <c r="BA979" s="634"/>
      <c r="BB979" s="634"/>
      <c r="BC979" s="634"/>
      <c r="BD979" s="634"/>
      <c r="BE979" s="634"/>
      <c r="BF979" s="634"/>
      <c r="BG979" s="634"/>
      <c r="BH979" s="634"/>
      <c r="BI979" s="634"/>
    </row>
    <row r="980" spans="1:61" x14ac:dyDescent="0.25">
      <c r="A980" s="2371">
        <v>7</v>
      </c>
      <c r="B980" s="2385" t="s">
        <v>850</v>
      </c>
      <c r="C980" s="2374" t="s">
        <v>256</v>
      </c>
      <c r="D980" s="2374" t="s">
        <v>121</v>
      </c>
      <c r="E980" s="2374"/>
      <c r="F980" s="2374"/>
      <c r="G980" s="2373" t="s">
        <v>3974</v>
      </c>
      <c r="H980" s="2375" t="s">
        <v>3971</v>
      </c>
      <c r="I980" s="4"/>
      <c r="J980" s="639"/>
      <c r="K980" s="230" t="s">
        <v>121</v>
      </c>
      <c r="L980" s="1170" t="s">
        <v>852</v>
      </c>
      <c r="M980" s="1014"/>
      <c r="N980" s="1042"/>
      <c r="O980" s="1042"/>
      <c r="P980" s="756"/>
      <c r="Q980" s="756"/>
      <c r="R980" s="634"/>
      <c r="S980" s="634"/>
      <c r="T980" s="634"/>
      <c r="U980" s="634"/>
      <c r="V980" s="634"/>
      <c r="W980" s="634"/>
      <c r="X980" s="918"/>
      <c r="Y980" s="988" t="str">
        <f>IF(LEN('Ch7'!X110)=0,"None",'Ch7'!X110)</f>
        <v>None</v>
      </c>
      <c r="Z980" s="1587"/>
      <c r="AA980" s="1526"/>
      <c r="AB980" s="634"/>
      <c r="AC980" s="970"/>
      <c r="AD980" s="970"/>
      <c r="AE980" s="970"/>
      <c r="AF980" s="634"/>
      <c r="AG980" s="634"/>
      <c r="AH980" s="634"/>
      <c r="AI980" s="634"/>
      <c r="AJ980" s="634"/>
      <c r="AK980" s="634"/>
      <c r="AL980" s="1336"/>
      <c r="AM980" s="1336"/>
      <c r="AN980" s="1336"/>
      <c r="AO980" s="1336"/>
      <c r="AP980" s="1336"/>
      <c r="AQ980" s="1336"/>
      <c r="AR980" s="254" t="str">
        <f>SUBSTITUTE(SUBSTITUTE(SUBSTITUTE("vnt"&amp;$B980&amp;$C980&amp;$D980&amp;$E980,".","_"),"(","_"),")","")</f>
        <v>vnt701_4_3_2_1_a</v>
      </c>
      <c r="AS980" s="254" t="str">
        <f>IF(LEN(X980)=0,"",X980)</f>
        <v/>
      </c>
      <c r="AT980" s="634"/>
      <c r="AU980" s="634"/>
      <c r="AV980" s="634"/>
      <c r="AW980" s="634"/>
      <c r="AX980" s="634"/>
      <c r="AY980" s="634"/>
      <c r="AZ980" s="634"/>
      <c r="BA980" s="634"/>
      <c r="BB980" s="634"/>
      <c r="BC980" s="634"/>
      <c r="BD980" s="634"/>
      <c r="BE980" s="634"/>
      <c r="BF980" s="634"/>
      <c r="BG980" s="634"/>
      <c r="BH980" s="634"/>
      <c r="BI980" s="634"/>
    </row>
    <row r="981" spans="1:61" x14ac:dyDescent="0.25">
      <c r="A981" s="2371">
        <v>7</v>
      </c>
      <c r="B981" s="2385" t="s">
        <v>850</v>
      </c>
      <c r="C981" s="2374" t="s">
        <v>256</v>
      </c>
      <c r="D981" s="2374" t="s">
        <v>122</v>
      </c>
      <c r="E981" s="2374"/>
      <c r="F981" s="2374"/>
      <c r="G981" s="2373" t="s">
        <v>3974</v>
      </c>
      <c r="H981" s="2375" t="s">
        <v>3971</v>
      </c>
      <c r="I981" s="4"/>
      <c r="J981" s="639"/>
      <c r="K981" s="230" t="s">
        <v>122</v>
      </c>
      <c r="L981" s="1779" t="s">
        <v>853</v>
      </c>
      <c r="M981" s="1014"/>
      <c r="N981" s="1042"/>
      <c r="O981" s="1042"/>
      <c r="P981" s="756"/>
      <c r="Q981" s="756"/>
      <c r="R981" s="634"/>
      <c r="S981" s="634"/>
      <c r="T981" s="634"/>
      <c r="U981" s="634"/>
      <c r="V981" s="634"/>
      <c r="W981" s="634"/>
      <c r="X981" s="1757"/>
      <c r="Y981" s="2081" t="str">
        <f>IF(LEN('Ch7'!X111)=0,"None",'Ch7'!X111)</f>
        <v>None</v>
      </c>
      <c r="Z981" s="2083"/>
      <c r="AA981" s="1526"/>
      <c r="AB981" s="634"/>
      <c r="AC981" s="970"/>
      <c r="AD981" s="970"/>
      <c r="AE981" s="970"/>
      <c r="AF981" s="634"/>
      <c r="AG981" s="634"/>
      <c r="AH981" s="634"/>
      <c r="AI981" s="634"/>
      <c r="AJ981" s="634"/>
      <c r="AK981" s="634"/>
      <c r="AL981" s="1336"/>
      <c r="AM981" s="1336"/>
      <c r="AN981" s="1336"/>
      <c r="AO981" s="1336"/>
      <c r="AP981" s="1336"/>
      <c r="AQ981" s="1336"/>
      <c r="AR981" s="254" t="str">
        <f>SUBSTITUTE(SUBSTITUTE(SUBSTITUTE("vnt"&amp;$B981&amp;$C981&amp;$D981&amp;$E981,".","_"),"(","_"),")","")</f>
        <v>vnt701_4_3_2_1_b</v>
      </c>
      <c r="AS981" s="254" t="str">
        <f>IF(LEN(X981)=0,"",X981)</f>
        <v/>
      </c>
      <c r="AT981" s="634"/>
      <c r="AU981" s="634"/>
      <c r="AV981" s="634"/>
      <c r="AW981" s="634"/>
      <c r="AX981" s="634"/>
      <c r="AY981" s="634"/>
      <c r="AZ981" s="634"/>
      <c r="BA981" s="634"/>
      <c r="BB981" s="634"/>
      <c r="BC981" s="634"/>
      <c r="BD981" s="634"/>
      <c r="BE981" s="634"/>
      <c r="BF981" s="634"/>
      <c r="BG981" s="634"/>
      <c r="BH981" s="634"/>
      <c r="BI981" s="634"/>
    </row>
    <row r="982" spans="1:61" x14ac:dyDescent="0.25">
      <c r="A982" s="2371">
        <v>7</v>
      </c>
      <c r="B982" s="2385" t="s">
        <v>850</v>
      </c>
      <c r="C982" s="2374" t="s">
        <v>256</v>
      </c>
      <c r="D982" s="2374" t="s">
        <v>122</v>
      </c>
      <c r="E982" s="2374"/>
      <c r="F982" s="2374"/>
      <c r="G982" s="2373" t="s">
        <v>3974</v>
      </c>
      <c r="H982" s="2375" t="s">
        <v>3971</v>
      </c>
      <c r="I982" s="4"/>
      <c r="J982" s="639"/>
      <c r="K982" s="230"/>
      <c r="L982" s="1779"/>
      <c r="M982" s="1014"/>
      <c r="N982" s="1042"/>
      <c r="O982" s="1042"/>
      <c r="P982" s="756"/>
      <c r="Q982" s="756"/>
      <c r="R982" s="634"/>
      <c r="S982" s="634"/>
      <c r="T982" s="634"/>
      <c r="U982" s="634"/>
      <c r="V982" s="634"/>
      <c r="W982" s="634"/>
      <c r="X982" s="1757"/>
      <c r="Y982" s="2081"/>
      <c r="Z982" s="2083"/>
      <c r="AA982" s="1526"/>
      <c r="AB982" s="634"/>
      <c r="AC982" s="970"/>
      <c r="AD982" s="970"/>
      <c r="AE982" s="970"/>
      <c r="AF982" s="634"/>
      <c r="AG982" s="634"/>
      <c r="AH982" s="634"/>
      <c r="AI982" s="634"/>
      <c r="AJ982" s="634"/>
      <c r="AK982" s="634"/>
      <c r="AL982" s="1336"/>
      <c r="AM982" s="1336"/>
      <c r="AN982" s="1336"/>
      <c r="AO982" s="1336"/>
      <c r="AP982" s="1336"/>
      <c r="AQ982" s="1336"/>
      <c r="AR982" s="1336"/>
      <c r="AS982" s="1336"/>
      <c r="AT982" s="634"/>
      <c r="AU982" s="634"/>
      <c r="AV982" s="634"/>
      <c r="AW982" s="634"/>
      <c r="AX982" s="634"/>
      <c r="AY982" s="634"/>
      <c r="AZ982" s="634"/>
      <c r="BA982" s="634"/>
      <c r="BB982" s="634"/>
      <c r="BC982" s="634"/>
      <c r="BD982" s="634"/>
      <c r="BE982" s="634"/>
      <c r="BF982" s="634"/>
      <c r="BG982" s="634"/>
      <c r="BH982" s="634"/>
      <c r="BI982" s="634"/>
    </row>
    <row r="983" spans="1:61" x14ac:dyDescent="0.25">
      <c r="A983" s="2371">
        <v>7</v>
      </c>
      <c r="B983" s="2385" t="s">
        <v>850</v>
      </c>
      <c r="C983" s="2374" t="s">
        <v>256</v>
      </c>
      <c r="D983" s="2376" t="s">
        <v>123</v>
      </c>
      <c r="E983" s="2376"/>
      <c r="F983" s="2376"/>
      <c r="G983" s="2373" t="s">
        <v>3974</v>
      </c>
      <c r="H983" s="2379" t="s">
        <v>3971</v>
      </c>
      <c r="I983" s="4"/>
      <c r="J983" s="639"/>
      <c r="K983" s="231" t="s">
        <v>123</v>
      </c>
      <c r="L983" s="1170" t="s">
        <v>854</v>
      </c>
      <c r="M983" s="1014"/>
      <c r="N983" s="1042"/>
      <c r="O983" s="1042"/>
      <c r="P983" s="756"/>
      <c r="Q983" s="756"/>
      <c r="R983" s="634"/>
      <c r="S983" s="634"/>
      <c r="T983" s="634"/>
      <c r="U983" s="634"/>
      <c r="V983" s="634"/>
      <c r="W983" s="634"/>
      <c r="X983" s="918"/>
      <c r="Y983" s="988" t="str">
        <f>IF(LEN('Ch7'!X113)=0,"None",'Ch7'!X113)</f>
        <v>None</v>
      </c>
      <c r="Z983" s="1587"/>
      <c r="AA983" s="1526"/>
      <c r="AB983" s="634"/>
      <c r="AC983" s="970"/>
      <c r="AD983" s="970"/>
      <c r="AE983" s="970"/>
      <c r="AF983" s="634"/>
      <c r="AG983" s="634"/>
      <c r="AH983" s="634"/>
      <c r="AI983" s="634"/>
      <c r="AJ983" s="634"/>
      <c r="AK983" s="634"/>
      <c r="AL983" s="1336"/>
      <c r="AM983" s="1336"/>
      <c r="AN983" s="1336"/>
      <c r="AO983" s="1336"/>
      <c r="AP983" s="1336"/>
      <c r="AQ983" s="1336"/>
      <c r="AR983" s="254" t="str">
        <f>SUBSTITUTE(SUBSTITUTE(SUBSTITUTE("vnt"&amp;$B983&amp;$C983&amp;$D983&amp;$E983,".","_"),"(","_"),")","")</f>
        <v>vnt701_4_3_2_1_c</v>
      </c>
      <c r="AS983" s="254" t="str">
        <f>IF(LEN(X983)=0,"",X983)</f>
        <v/>
      </c>
      <c r="AT983" s="634"/>
      <c r="AU983" s="634"/>
      <c r="AV983" s="634"/>
      <c r="AW983" s="634"/>
      <c r="AX983" s="634"/>
      <c r="AY983" s="634"/>
      <c r="AZ983" s="634"/>
      <c r="BA983" s="634"/>
      <c r="BB983" s="634"/>
      <c r="BC983" s="634"/>
      <c r="BD983" s="634"/>
      <c r="BE983" s="634"/>
      <c r="BF983" s="634"/>
      <c r="BG983" s="634"/>
      <c r="BH983" s="634"/>
      <c r="BI983" s="634"/>
    </row>
    <row r="984" spans="1:61" x14ac:dyDescent="0.25">
      <c r="A984" s="2371">
        <v>7</v>
      </c>
      <c r="B984" s="2385" t="s">
        <v>850</v>
      </c>
      <c r="C984" s="2374" t="s">
        <v>256</v>
      </c>
      <c r="D984" s="2374" t="s">
        <v>401</v>
      </c>
      <c r="E984" s="2374"/>
      <c r="F984" s="2374"/>
      <c r="G984" s="2373" t="s">
        <v>3974</v>
      </c>
      <c r="H984" s="2371" t="s">
        <v>3971</v>
      </c>
      <c r="I984" s="4"/>
      <c r="J984" s="639"/>
      <c r="K984" s="644" t="s">
        <v>401</v>
      </c>
      <c r="L984" s="1779" t="s">
        <v>855</v>
      </c>
      <c r="M984" s="1014"/>
      <c r="N984" s="1042"/>
      <c r="O984" s="1042"/>
      <c r="P984" s="756"/>
      <c r="Q984" s="756"/>
      <c r="R984" s="634"/>
      <c r="S984" s="634"/>
      <c r="T984" s="634"/>
      <c r="U984" s="634"/>
      <c r="V984" s="634"/>
      <c r="W984" s="634"/>
      <c r="X984" s="1757"/>
      <c r="Y984" s="2081" t="str">
        <f>IF(LEN('Ch7'!X114)=0,"None",'Ch7'!X114)</f>
        <v>None</v>
      </c>
      <c r="Z984" s="2083"/>
      <c r="AA984" s="1526"/>
      <c r="AB984" s="634"/>
      <c r="AC984" s="970"/>
      <c r="AD984" s="970"/>
      <c r="AE984" s="970"/>
      <c r="AF984" s="634"/>
      <c r="AG984" s="634"/>
      <c r="AH984" s="634"/>
      <c r="AI984" s="634"/>
      <c r="AJ984" s="634"/>
      <c r="AK984" s="634"/>
      <c r="AL984" s="1336"/>
      <c r="AM984" s="1336"/>
      <c r="AN984" s="1336"/>
      <c r="AO984" s="1336"/>
      <c r="AP984" s="1336"/>
      <c r="AQ984" s="1336"/>
      <c r="AR984" s="254" t="str">
        <f>SUBSTITUTE(SUBSTITUTE(SUBSTITUTE("vnt"&amp;$B984&amp;$C984&amp;$D984&amp;$E984,".","_"),"(","_"),")","")</f>
        <v>vnt701_4_3_2_1_d</v>
      </c>
      <c r="AS984" s="254" t="str">
        <f>IF(LEN(X984)=0,"",X984)</f>
        <v/>
      </c>
      <c r="AT984" s="634"/>
      <c r="AU984" s="634"/>
      <c r="AV984" s="634"/>
      <c r="AW984" s="634"/>
      <c r="AX984" s="634"/>
      <c r="AY984" s="634"/>
      <c r="AZ984" s="634"/>
      <c r="BA984" s="634"/>
      <c r="BB984" s="634"/>
      <c r="BC984" s="634"/>
      <c r="BD984" s="634"/>
      <c r="BE984" s="634"/>
      <c r="BF984" s="634"/>
      <c r="BG984" s="634"/>
      <c r="BH984" s="634"/>
      <c r="BI984" s="634"/>
    </row>
    <row r="985" spans="1:61" x14ac:dyDescent="0.25">
      <c r="A985" s="2371">
        <v>7</v>
      </c>
      <c r="B985" s="2385" t="s">
        <v>850</v>
      </c>
      <c r="C985" s="2374" t="s">
        <v>256</v>
      </c>
      <c r="D985" s="2374" t="s">
        <v>401</v>
      </c>
      <c r="E985" s="2374"/>
      <c r="F985" s="2374"/>
      <c r="G985" s="2373" t="s">
        <v>3974</v>
      </c>
      <c r="H985" s="2371" t="s">
        <v>3971</v>
      </c>
      <c r="I985" s="4"/>
      <c r="J985" s="639"/>
      <c r="K985" s="644"/>
      <c r="L985" s="1779"/>
      <c r="M985" s="1014"/>
      <c r="N985" s="1042"/>
      <c r="O985" s="1042"/>
      <c r="P985" s="756"/>
      <c r="Q985" s="756"/>
      <c r="R985" s="634"/>
      <c r="S985" s="634"/>
      <c r="T985" s="634"/>
      <c r="U985" s="634"/>
      <c r="V985" s="634"/>
      <c r="W985" s="634"/>
      <c r="X985" s="1757"/>
      <c r="Y985" s="2081"/>
      <c r="Z985" s="2083"/>
      <c r="AA985" s="1526"/>
      <c r="AB985" s="634"/>
      <c r="AC985" s="970"/>
      <c r="AD985" s="970"/>
      <c r="AE985" s="970"/>
      <c r="AF985" s="634"/>
      <c r="AG985" s="634"/>
      <c r="AH985" s="634"/>
      <c r="AI985" s="634"/>
      <c r="AJ985" s="634"/>
      <c r="AK985" s="634"/>
      <c r="AL985" s="1336"/>
      <c r="AM985" s="1336"/>
      <c r="AN985" s="1336"/>
      <c r="AO985" s="1336"/>
      <c r="AP985" s="1336"/>
      <c r="AQ985" s="1336"/>
      <c r="AR985" s="1336"/>
      <c r="AS985" s="1336"/>
      <c r="AT985" s="634"/>
      <c r="AU985" s="634"/>
      <c r="AV985" s="634"/>
      <c r="AW985" s="634"/>
      <c r="AX985" s="634"/>
      <c r="AY985" s="634"/>
      <c r="AZ985" s="634"/>
      <c r="BA985" s="634"/>
      <c r="BB985" s="634"/>
      <c r="BC985" s="634"/>
      <c r="BD985" s="634"/>
      <c r="BE985" s="634"/>
      <c r="BF985" s="634"/>
      <c r="BG985" s="634"/>
      <c r="BH985" s="634"/>
      <c r="BI985" s="634"/>
    </row>
    <row r="986" spans="1:61" x14ac:dyDescent="0.25">
      <c r="A986" s="2371">
        <v>7</v>
      </c>
      <c r="B986" s="2385" t="s">
        <v>850</v>
      </c>
      <c r="C986" s="2374" t="s">
        <v>256</v>
      </c>
      <c r="D986" s="2374" t="s">
        <v>539</v>
      </c>
      <c r="E986" s="2374"/>
      <c r="F986" s="2374"/>
      <c r="G986" s="2373" t="s">
        <v>3974</v>
      </c>
      <c r="H986" s="2371" t="s">
        <v>3971</v>
      </c>
      <c r="I986" s="4"/>
      <c r="J986" s="639"/>
      <c r="K986" s="644" t="s">
        <v>539</v>
      </c>
      <c r="L986" s="1170" t="s">
        <v>856</v>
      </c>
      <c r="M986" s="1014"/>
      <c r="N986" s="1042"/>
      <c r="O986" s="1042"/>
      <c r="P986" s="756"/>
      <c r="Q986" s="756"/>
      <c r="R986" s="634"/>
      <c r="S986" s="634"/>
      <c r="T986" s="634"/>
      <c r="U986" s="634"/>
      <c r="V986" s="634"/>
      <c r="W986" s="634"/>
      <c r="X986" s="918"/>
      <c r="Y986" s="988" t="str">
        <f>IF(LEN('Ch7'!X116)=0,"None",'Ch7'!X116)</f>
        <v>None</v>
      </c>
      <c r="Z986" s="1587"/>
      <c r="AA986" s="1526"/>
      <c r="AB986" s="634"/>
      <c r="AC986" s="970"/>
      <c r="AD986" s="970"/>
      <c r="AE986" s="970"/>
      <c r="AF986" s="634"/>
      <c r="AG986" s="634"/>
      <c r="AH986" s="634"/>
      <c r="AI986" s="634"/>
      <c r="AJ986" s="634"/>
      <c r="AK986" s="634"/>
      <c r="AL986" s="1336"/>
      <c r="AM986" s="1336"/>
      <c r="AN986" s="1336"/>
      <c r="AO986" s="1336"/>
      <c r="AP986" s="1336"/>
      <c r="AQ986" s="1336"/>
      <c r="AR986" s="254" t="str">
        <f>SUBSTITUTE(SUBSTITUTE(SUBSTITUTE("vnt"&amp;$B986&amp;$C986&amp;$D986&amp;$E986,".","_"),"(","_"),")","")</f>
        <v>vnt701_4_3_2_1_e</v>
      </c>
      <c r="AS986" s="254" t="str">
        <f>IF(LEN(X986)=0,"",X986)</f>
        <v/>
      </c>
      <c r="AT986" s="634"/>
      <c r="AU986" s="634"/>
      <c r="AV986" s="634"/>
      <c r="AW986" s="634"/>
      <c r="AX986" s="634"/>
      <c r="AY986" s="634"/>
      <c r="AZ986" s="634"/>
      <c r="BA986" s="634"/>
      <c r="BB986" s="634"/>
      <c r="BC986" s="634"/>
      <c r="BD986" s="634"/>
      <c r="BE986" s="634"/>
      <c r="BF986" s="634"/>
      <c r="BG986" s="634"/>
      <c r="BH986" s="634"/>
      <c r="BI986" s="634"/>
    </row>
    <row r="987" spans="1:61" x14ac:dyDescent="0.25">
      <c r="A987" s="2371">
        <v>7</v>
      </c>
      <c r="B987" s="2385" t="s">
        <v>850</v>
      </c>
      <c r="C987" s="2374" t="s">
        <v>256</v>
      </c>
      <c r="D987" s="2376" t="s">
        <v>604</v>
      </c>
      <c r="E987" s="2376"/>
      <c r="F987" s="2376"/>
      <c r="G987" s="2373" t="s">
        <v>3974</v>
      </c>
      <c r="H987" s="2379" t="s">
        <v>3971</v>
      </c>
      <c r="I987" s="4"/>
      <c r="J987" s="639"/>
      <c r="K987" s="231" t="s">
        <v>604</v>
      </c>
      <c r="L987" s="1170" t="s">
        <v>857</v>
      </c>
      <c r="M987" s="1014"/>
      <c r="N987" s="1042"/>
      <c r="O987" s="1042"/>
      <c r="P987" s="756"/>
      <c r="Q987" s="756"/>
      <c r="R987" s="634"/>
      <c r="S987" s="634"/>
      <c r="T987" s="634"/>
      <c r="U987" s="634"/>
      <c r="V987" s="634"/>
      <c r="W987" s="634"/>
      <c r="X987" s="918"/>
      <c r="Y987" s="988" t="str">
        <f>IF(LEN('Ch7'!X117)=0,"None",'Ch7'!X117)</f>
        <v>None</v>
      </c>
      <c r="Z987" s="1587"/>
      <c r="AA987" s="1526"/>
      <c r="AB987" s="634"/>
      <c r="AC987" s="970"/>
      <c r="AD987" s="970"/>
      <c r="AE987" s="970"/>
      <c r="AF987" s="634"/>
      <c r="AG987" s="634"/>
      <c r="AH987" s="634"/>
      <c r="AI987" s="634"/>
      <c r="AJ987" s="634"/>
      <c r="AK987" s="634"/>
      <c r="AL987" s="1336"/>
      <c r="AM987" s="1336"/>
      <c r="AN987" s="1336"/>
      <c r="AO987" s="1336"/>
      <c r="AP987" s="1336"/>
      <c r="AQ987" s="1336"/>
      <c r="AR987" s="254" t="str">
        <f>SUBSTITUTE(SUBSTITUTE(SUBSTITUTE("vnt"&amp;$B987&amp;$C987&amp;$D987&amp;$E987,".","_"),"(","_"),")","")</f>
        <v>vnt701_4_3_2_1_f</v>
      </c>
      <c r="AS987" s="254" t="str">
        <f>IF(LEN(X987)=0,"",X987)</f>
        <v/>
      </c>
      <c r="AT987" s="634"/>
      <c r="AU987" s="634"/>
      <c r="AV987" s="634"/>
      <c r="AW987" s="634"/>
      <c r="AX987" s="634"/>
      <c r="AY987" s="634"/>
      <c r="AZ987" s="634"/>
      <c r="BA987" s="634"/>
      <c r="BB987" s="634"/>
      <c r="BC987" s="634"/>
      <c r="BD987" s="634"/>
      <c r="BE987" s="634"/>
      <c r="BF987" s="634"/>
      <c r="BG987" s="634"/>
      <c r="BH987" s="634"/>
      <c r="BI987" s="634"/>
    </row>
    <row r="988" spans="1:61" x14ac:dyDescent="0.25">
      <c r="A988" s="2371">
        <v>7</v>
      </c>
      <c r="B988" s="2385" t="s">
        <v>850</v>
      </c>
      <c r="C988" s="2374" t="s">
        <v>256</v>
      </c>
      <c r="D988" s="2374" t="s">
        <v>606</v>
      </c>
      <c r="E988" s="2374"/>
      <c r="F988" s="2374"/>
      <c r="G988" s="2373" t="s">
        <v>3974</v>
      </c>
      <c r="H988" s="2371" t="s">
        <v>3971</v>
      </c>
      <c r="I988" s="4"/>
      <c r="J988" s="639"/>
      <c r="K988" s="644" t="s">
        <v>606</v>
      </c>
      <c r="L988" s="1170" t="s">
        <v>858</v>
      </c>
      <c r="M988" s="1014"/>
      <c r="N988" s="1042"/>
      <c r="O988" s="1042"/>
      <c r="P988" s="756"/>
      <c r="Q988" s="756"/>
      <c r="R988" s="634"/>
      <c r="S988" s="634"/>
      <c r="T988" s="634"/>
      <c r="U988" s="634"/>
      <c r="V988" s="634"/>
      <c r="W988" s="634"/>
      <c r="X988" s="918"/>
      <c r="Y988" s="988" t="str">
        <f>IF(LEN('Ch7'!X118)=0,"None",'Ch7'!X118)</f>
        <v>None</v>
      </c>
      <c r="Z988" s="1587"/>
      <c r="AA988" s="1526"/>
      <c r="AB988" s="634"/>
      <c r="AC988" s="970"/>
      <c r="AD988" s="970"/>
      <c r="AE988" s="970"/>
      <c r="AF988" s="634"/>
      <c r="AG988" s="634"/>
      <c r="AH988" s="634"/>
      <c r="AI988" s="634"/>
      <c r="AJ988" s="634"/>
      <c r="AK988" s="634"/>
      <c r="AL988" s="1336"/>
      <c r="AM988" s="1336"/>
      <c r="AN988" s="1336"/>
      <c r="AO988" s="1336"/>
      <c r="AP988" s="1336"/>
      <c r="AQ988" s="1336"/>
      <c r="AR988" s="254" t="str">
        <f>SUBSTITUTE(SUBSTITUTE(SUBSTITUTE("vnt"&amp;$B988&amp;$C988&amp;$D988&amp;$E988,".","_"),"(","_"),")","")</f>
        <v>vnt701_4_3_2_1_g</v>
      </c>
      <c r="AS988" s="254" t="str">
        <f>IF(LEN(X988)=0,"",X988)</f>
        <v/>
      </c>
      <c r="AT988" s="634"/>
      <c r="AU988" s="634"/>
      <c r="AV988" s="634"/>
      <c r="AW988" s="634"/>
      <c r="AX988" s="634"/>
      <c r="AY988" s="634"/>
      <c r="AZ988" s="634"/>
      <c r="BA988" s="634"/>
      <c r="BB988" s="634"/>
      <c r="BC988" s="634"/>
      <c r="BD988" s="634"/>
      <c r="BE988" s="634"/>
      <c r="BF988" s="634"/>
      <c r="BG988" s="634"/>
      <c r="BH988" s="634"/>
      <c r="BI988" s="634"/>
    </row>
    <row r="989" spans="1:61" ht="15" customHeight="1" x14ac:dyDescent="0.25">
      <c r="A989" s="2371">
        <v>7</v>
      </c>
      <c r="B989" s="2385" t="s">
        <v>850</v>
      </c>
      <c r="C989" s="2374" t="s">
        <v>256</v>
      </c>
      <c r="D989" s="2374" t="s">
        <v>608</v>
      </c>
      <c r="E989" s="2374"/>
      <c r="F989" s="2374"/>
      <c r="G989" s="2373" t="s">
        <v>3974</v>
      </c>
      <c r="H989" s="2371" t="s">
        <v>3971</v>
      </c>
      <c r="I989" s="4"/>
      <c r="J989" s="636"/>
      <c r="K989" s="547"/>
      <c r="L989" s="1804" t="s">
        <v>4251</v>
      </c>
      <c r="M989" s="1014"/>
      <c r="N989" s="1042"/>
      <c r="O989" s="1042"/>
      <c r="P989" s="756"/>
      <c r="Q989" s="756"/>
      <c r="R989" s="634"/>
      <c r="S989" s="634"/>
      <c r="T989" s="634"/>
      <c r="U989" s="634"/>
      <c r="V989" s="634"/>
      <c r="W989" s="634"/>
      <c r="X989" s="1757"/>
      <c r="Y989" s="2081" t="str">
        <f>IF(LEN('Ch7'!X119)=0,"None",'Ch7'!X119)</f>
        <v>None</v>
      </c>
      <c r="Z989" s="2083"/>
      <c r="AA989" s="1526"/>
      <c r="AB989" s="634"/>
      <c r="AC989" s="970"/>
      <c r="AD989" s="970"/>
      <c r="AE989" s="970"/>
      <c r="AF989" s="634"/>
      <c r="AG989" s="634"/>
      <c r="AH989" s="634"/>
      <c r="AI989" s="634"/>
      <c r="AJ989" s="634"/>
      <c r="AK989" s="634"/>
      <c r="AL989" s="1336"/>
      <c r="AM989" s="1336"/>
      <c r="AN989" s="1336"/>
      <c r="AO989" s="1336"/>
      <c r="AP989" s="1336"/>
      <c r="AQ989" s="1336"/>
      <c r="AR989" s="254" t="str">
        <f>SUBSTITUTE(SUBSTITUTE(SUBSTITUTE("vnt"&amp;$B989&amp;$C989&amp;$D989&amp;$E989,".","_"),"(","_"),")","")</f>
        <v>vnt701_4_3_2_1_h</v>
      </c>
      <c r="AS989" s="254" t="str">
        <f>IF(LEN(X989)=0,"",X989)</f>
        <v/>
      </c>
      <c r="AT989" s="634"/>
      <c r="AU989" s="634"/>
      <c r="AV989" s="634"/>
      <c r="AW989" s="634"/>
      <c r="AX989" s="634"/>
      <c r="AY989" s="634"/>
      <c r="AZ989" s="634"/>
      <c r="BA989" s="634"/>
      <c r="BB989" s="634"/>
      <c r="BC989" s="634"/>
      <c r="BD989" s="634"/>
      <c r="BE989" s="634"/>
      <c r="BF989" s="634"/>
      <c r="BG989" s="634"/>
      <c r="BH989" s="634"/>
      <c r="BI989" s="634"/>
    </row>
    <row r="990" spans="1:61" x14ac:dyDescent="0.25">
      <c r="A990" s="2371">
        <v>7</v>
      </c>
      <c r="B990" s="2385" t="s">
        <v>850</v>
      </c>
      <c r="C990" s="2374" t="s">
        <v>256</v>
      </c>
      <c r="D990" s="2374"/>
      <c r="E990" s="2374"/>
      <c r="F990" s="2374"/>
      <c r="G990" s="2373" t="s">
        <v>3974</v>
      </c>
      <c r="H990" s="2371" t="s">
        <v>3971</v>
      </c>
      <c r="I990" s="4"/>
      <c r="J990" s="637"/>
      <c r="K990" s="548"/>
      <c r="L990" s="1861"/>
      <c r="M990" s="1014"/>
      <c r="N990" s="1042"/>
      <c r="O990" s="1042"/>
      <c r="P990" s="756"/>
      <c r="Q990" s="756"/>
      <c r="R990" s="634"/>
      <c r="S990" s="634"/>
      <c r="T990" s="634"/>
      <c r="U990" s="634"/>
      <c r="V990" s="634"/>
      <c r="W990" s="634"/>
      <c r="X990" s="1757"/>
      <c r="Y990" s="2081"/>
      <c r="Z990" s="2083"/>
      <c r="AA990" s="1526"/>
      <c r="AB990" s="634"/>
      <c r="AC990" s="970"/>
      <c r="AD990" s="970"/>
      <c r="AE990" s="970"/>
      <c r="AF990" s="634"/>
      <c r="AG990" s="634"/>
      <c r="AH990" s="634"/>
      <c r="AI990" s="634"/>
      <c r="AJ990" s="634"/>
      <c r="AK990" s="634"/>
      <c r="AL990" s="1336"/>
      <c r="AM990" s="1336"/>
      <c r="AN990" s="1336"/>
      <c r="AO990" s="1336"/>
      <c r="AP990" s="1336"/>
      <c r="AQ990" s="1336"/>
      <c r="AR990" s="1336"/>
      <c r="AS990" s="1336"/>
      <c r="AT990" s="634"/>
      <c r="AU990" s="634"/>
      <c r="AV990" s="634"/>
      <c r="AW990" s="634"/>
      <c r="AX990" s="634"/>
      <c r="AY990" s="634"/>
      <c r="AZ990" s="634"/>
      <c r="BA990" s="634"/>
      <c r="BB990" s="634"/>
      <c r="BC990" s="634"/>
      <c r="BD990" s="634"/>
      <c r="BE990" s="634"/>
      <c r="BF990" s="634"/>
      <c r="BG990" s="634"/>
      <c r="BH990" s="634"/>
      <c r="BI990" s="634"/>
    </row>
    <row r="991" spans="1:61" x14ac:dyDescent="0.25">
      <c r="A991" s="2371">
        <v>7</v>
      </c>
      <c r="B991" s="2385" t="s">
        <v>850</v>
      </c>
      <c r="C991" s="2374" t="s">
        <v>258</v>
      </c>
      <c r="D991" s="2374"/>
      <c r="E991" s="2374"/>
      <c r="F991" s="2374"/>
      <c r="G991" s="2373" t="s">
        <v>3974</v>
      </c>
      <c r="H991" s="2371" t="s">
        <v>3972</v>
      </c>
      <c r="I991" s="129"/>
      <c r="J991" s="518" t="s">
        <v>258</v>
      </c>
      <c r="K991" s="636"/>
      <c r="L991" s="1782" t="s">
        <v>859</v>
      </c>
      <c r="M991" s="1010"/>
      <c r="N991" s="1044"/>
      <c r="O991" s="1044"/>
      <c r="P991" s="94" t="b">
        <v>1</v>
      </c>
      <c r="Q991" s="94" t="b">
        <v>0</v>
      </c>
      <c r="R991" s="94" t="b">
        <f ca="1">S991</f>
        <v>1</v>
      </c>
      <c r="S991" s="94" t="b">
        <f ca="1">AND(NOT(S883=4),NOT(W955))</f>
        <v>1</v>
      </c>
      <c r="T991" s="94" t="b">
        <f ca="1">AND(NOT(S991),W991=TRUE)</f>
        <v>0</v>
      </c>
      <c r="U991" s="94"/>
      <c r="V991" s="94"/>
      <c r="W991" s="25"/>
      <c r="X991" s="1757"/>
      <c r="Y991" s="2081" t="str">
        <f>IF(LEN('Ch7'!X121)=0,"None",'Ch7'!X121)</f>
        <v>None</v>
      </c>
      <c r="Z991" s="2083"/>
      <c r="AA991" s="1526"/>
      <c r="AB991" s="634"/>
      <c r="AC991" s="970" t="b">
        <f ca="1">OR(AD991:AE991)</f>
        <v>1</v>
      </c>
      <c r="AD991" s="970" t="b">
        <f ca="1">T991</f>
        <v>0</v>
      </c>
      <c r="AE991" s="970" t="b">
        <f ca="1">AND(R991,NOT(W991))</f>
        <v>1</v>
      </c>
      <c r="AF991" s="784"/>
      <c r="AG991" s="634"/>
      <c r="AH991" s="634"/>
      <c r="AI991" s="634"/>
      <c r="AJ991" s="634"/>
      <c r="AK991" s="634"/>
      <c r="AL991" s="1336"/>
      <c r="AM991" s="1336"/>
      <c r="AN991" s="1336"/>
      <c r="AO991" s="1336"/>
      <c r="AP991" s="254" t="str">
        <f>SUBSTITUTE(SUBSTITUTE(SUBSTITUTE("vch"&amp;$B991&amp;$C991&amp;$D991&amp;$E991,".","_"),"(","_"),")","")</f>
        <v>vch701_4_3_2_2</v>
      </c>
      <c r="AQ991" s="254" t="str">
        <f>IF(LEN(W991)=0,"",W991)</f>
        <v/>
      </c>
      <c r="AR991" s="254" t="str">
        <f>SUBSTITUTE(SUBSTITUTE(SUBSTITUTE("vnt"&amp;$B991&amp;$C991&amp;$D991&amp;$E991,".","_"),"(","_"),")","")</f>
        <v>vnt701_4_3_2_2</v>
      </c>
      <c r="AS991" s="254" t="str">
        <f>IF(LEN(X991)=0,"",X991)</f>
        <v/>
      </c>
      <c r="AT991" s="634"/>
      <c r="AU991" s="634"/>
      <c r="AV991" s="634"/>
      <c r="AW991" s="634"/>
      <c r="AX991" s="634"/>
      <c r="AY991" s="634"/>
      <c r="AZ991" s="634"/>
      <c r="BA991" s="634"/>
      <c r="BB991" s="634"/>
      <c r="BC991" s="634"/>
      <c r="BD991" s="634"/>
      <c r="BE991" s="634"/>
      <c r="BF991" s="634"/>
      <c r="BG991" s="634"/>
      <c r="BH991" s="634"/>
      <c r="BI991" s="634"/>
    </row>
    <row r="992" spans="1:61" x14ac:dyDescent="0.25">
      <c r="A992" s="2371">
        <v>7</v>
      </c>
      <c r="B992" s="2385" t="s">
        <v>850</v>
      </c>
      <c r="C992" s="2374" t="s">
        <v>258</v>
      </c>
      <c r="D992" s="2374"/>
      <c r="E992" s="2374"/>
      <c r="F992" s="2374"/>
      <c r="G992" s="2373" t="s">
        <v>3974</v>
      </c>
      <c r="H992" s="2371" t="s">
        <v>3972</v>
      </c>
      <c r="I992" s="129"/>
      <c r="J992" s="636"/>
      <c r="K992" s="636"/>
      <c r="L992" s="1782"/>
      <c r="M992" s="1010"/>
      <c r="N992" s="1044"/>
      <c r="O992" s="1044"/>
      <c r="P992" s="94"/>
      <c r="Q992" s="94"/>
      <c r="R992" s="94"/>
      <c r="S992" s="94"/>
      <c r="T992" s="94"/>
      <c r="U992" s="94"/>
      <c r="V992" s="94"/>
      <c r="W992" s="94"/>
      <c r="X992" s="1757"/>
      <c r="Y992" s="2081"/>
      <c r="Z992" s="2083"/>
      <c r="AA992" s="1526"/>
      <c r="AB992" s="634"/>
      <c r="AC992" s="970"/>
      <c r="AD992" s="970"/>
      <c r="AE992" s="970"/>
      <c r="AF992" s="634"/>
      <c r="AG992" s="634"/>
      <c r="AH992" s="634"/>
      <c r="AI992" s="634"/>
      <c r="AJ992" s="634"/>
      <c r="AK992" s="634"/>
      <c r="AL992" s="1336"/>
      <c r="AM992" s="1336"/>
      <c r="AN992" s="1336"/>
      <c r="AO992" s="1336"/>
      <c r="AP992" s="1336"/>
      <c r="AQ992" s="1336"/>
      <c r="AR992" s="1336"/>
      <c r="AS992" s="1336"/>
      <c r="AT992" s="634"/>
      <c r="AU992" s="634"/>
      <c r="AV992" s="634"/>
      <c r="AW992" s="634"/>
      <c r="AX992" s="634"/>
      <c r="AY992" s="634"/>
      <c r="AZ992" s="634"/>
      <c r="BA992" s="634"/>
      <c r="BB992" s="634"/>
      <c r="BC992" s="634"/>
      <c r="BD992" s="634"/>
      <c r="BE992" s="634"/>
      <c r="BF992" s="634"/>
      <c r="BG992" s="634"/>
      <c r="BH992" s="634"/>
      <c r="BI992" s="634"/>
    </row>
    <row r="993" spans="1:61" x14ac:dyDescent="0.25">
      <c r="A993" s="2371">
        <v>7</v>
      </c>
      <c r="B993" s="2385" t="s">
        <v>850</v>
      </c>
      <c r="C993" s="2374" t="s">
        <v>258</v>
      </c>
      <c r="D993" s="2374"/>
      <c r="E993" s="2374"/>
      <c r="F993" s="2374"/>
      <c r="G993" s="2373" t="s">
        <v>3974</v>
      </c>
      <c r="H993" s="2371" t="s">
        <v>3972</v>
      </c>
      <c r="I993" s="210"/>
      <c r="J993" s="637"/>
      <c r="K993" s="637"/>
      <c r="L993" s="527" t="s">
        <v>3415</v>
      </c>
      <c r="M993" s="1015"/>
      <c r="N993" s="1047"/>
      <c r="O993" s="1047"/>
      <c r="P993" s="178"/>
      <c r="Q993" s="178"/>
      <c r="R993" s="178"/>
      <c r="S993" s="178"/>
      <c r="T993" s="178"/>
      <c r="U993" s="178"/>
      <c r="V993" s="178"/>
      <c r="W993" s="178"/>
      <c r="X993" s="1757"/>
      <c r="Y993" s="2081"/>
      <c r="Z993" s="2083"/>
      <c r="AA993" s="1526"/>
      <c r="AB993" s="634"/>
      <c r="AC993" s="970"/>
      <c r="AD993" s="970"/>
      <c r="AE993" s="970"/>
      <c r="AF993" s="634"/>
      <c r="AG993" s="634"/>
      <c r="AH993" s="634"/>
      <c r="AI993" s="634"/>
      <c r="AJ993" s="634"/>
      <c r="AK993" s="634"/>
      <c r="AL993" s="1336"/>
      <c r="AM993" s="1336"/>
      <c r="AN993" s="1336"/>
      <c r="AO993" s="1336"/>
      <c r="AP993" s="1336"/>
      <c r="AQ993" s="1336"/>
      <c r="AR993" s="1336"/>
      <c r="AS993" s="1336"/>
      <c r="AT993" s="634"/>
      <c r="AU993" s="634"/>
      <c r="AV993" s="634"/>
      <c r="AW993" s="634"/>
      <c r="AX993" s="634"/>
      <c r="AY993" s="634"/>
      <c r="AZ993" s="634"/>
      <c r="BA993" s="634"/>
      <c r="BB993" s="634"/>
      <c r="BC993" s="634"/>
      <c r="BD993" s="634"/>
      <c r="BE993" s="634"/>
      <c r="BF993" s="634"/>
      <c r="BG993" s="634"/>
      <c r="BH993" s="634"/>
      <c r="BI993" s="634"/>
    </row>
    <row r="994" spans="1:61" x14ac:dyDescent="0.25">
      <c r="A994" s="2371">
        <v>7</v>
      </c>
      <c r="B994" s="2385" t="s">
        <v>860</v>
      </c>
      <c r="C994" s="2385"/>
      <c r="D994" s="2374"/>
      <c r="E994" s="2374"/>
      <c r="F994" s="2374"/>
      <c r="G994" s="2373" t="s">
        <v>3974</v>
      </c>
      <c r="H994" s="2371" t="s">
        <v>3972</v>
      </c>
      <c r="I994" s="66" t="s">
        <v>860</v>
      </c>
      <c r="J994" s="929"/>
      <c r="K994" s="927"/>
      <c r="L994" s="1835" t="s">
        <v>4252</v>
      </c>
      <c r="M994" s="1872" t="str">
        <f ca="1">IF(R994,"Mandatory","N/A")</f>
        <v>Mandatory</v>
      </c>
      <c r="N994" s="1042"/>
      <c r="O994" s="1042"/>
      <c r="P994" s="94" t="b">
        <v>1</v>
      </c>
      <c r="Q994" s="94" t="b">
        <v>0</v>
      </c>
      <c r="R994" s="634" t="b">
        <f ca="1">S994</f>
        <v>1</v>
      </c>
      <c r="S994" s="634" t="b">
        <f ca="1">AND(NOT(S883=4),NOT(W955))</f>
        <v>1</v>
      </c>
      <c r="T994" s="94" t="b">
        <f ca="1">AND(NOT(S994),W994=TRUE)</f>
        <v>0</v>
      </c>
      <c r="U994" s="634"/>
      <c r="V994" s="634"/>
      <c r="W994" s="25"/>
      <c r="X994" s="911"/>
      <c r="Y994" s="634"/>
      <c r="AA994" s="1526"/>
      <c r="AB994" s="634"/>
      <c r="AC994" s="970" t="b">
        <f ca="1">OR(AD994:AE994)</f>
        <v>1</v>
      </c>
      <c r="AD994" s="970" t="b">
        <f ca="1">T994</f>
        <v>0</v>
      </c>
      <c r="AE994" s="970" t="b">
        <f ca="1">AND(R994,NOT(W994))</f>
        <v>1</v>
      </c>
      <c r="AF994" s="784" t="b">
        <f ca="1">AND(AE994,NOT(Q994))</f>
        <v>1</v>
      </c>
      <c r="AG994" s="634"/>
      <c r="AH994" s="634"/>
      <c r="AI994" s="634"/>
      <c r="AJ994" s="634"/>
      <c r="AK994" s="634"/>
      <c r="AL994" s="254" t="str">
        <f>SUBSTITUTE(SUBSTITUTE(SUBSTITUTE("vpa"&amp;$B994&amp;$C994&amp;$D994&amp;$E994,".","_"),"(","_"),")","")</f>
        <v>vpa701_4_3_2_1</v>
      </c>
      <c r="AM994" s="254" t="str">
        <f ca="1">M994</f>
        <v>Mandatory</v>
      </c>
      <c r="AN994" s="1336"/>
      <c r="AO994" s="1336"/>
      <c r="AP994" s="254" t="str">
        <f>SUBSTITUTE(SUBSTITUTE(SUBSTITUTE("vch"&amp;$B994&amp;$C994&amp;$D994&amp;$E994,".","_"),"(","_"),")","")</f>
        <v>vch701_4_3_2_1</v>
      </c>
      <c r="AQ994" s="254" t="str">
        <f>IF(LEN(W994)=0,"",W994)</f>
        <v/>
      </c>
      <c r="AR994" s="1336"/>
      <c r="AS994" s="1336"/>
      <c r="AT994" s="634"/>
      <c r="AU994" s="634"/>
      <c r="AV994" s="634"/>
      <c r="AW994" s="634"/>
      <c r="AX994" s="634"/>
      <c r="AY994" s="634"/>
      <c r="AZ994" s="634"/>
      <c r="BA994" s="634"/>
      <c r="BB994" s="634"/>
      <c r="BC994" s="634"/>
      <c r="BD994" s="634"/>
      <c r="BE994" s="634"/>
      <c r="BF994" s="634"/>
      <c r="BG994" s="634"/>
      <c r="BH994" s="634"/>
      <c r="BI994" s="634"/>
    </row>
    <row r="995" spans="1:61" x14ac:dyDescent="0.25">
      <c r="A995" s="2371">
        <v>7</v>
      </c>
      <c r="B995" s="2385" t="s">
        <v>860</v>
      </c>
      <c r="G995" s="2373" t="s">
        <v>3974</v>
      </c>
      <c r="H995" s="2375" t="s">
        <v>3972</v>
      </c>
      <c r="I995" s="4"/>
      <c r="J995" s="911"/>
      <c r="K995" s="911"/>
      <c r="L995" s="1833"/>
      <c r="M995" s="1837"/>
      <c r="N995" s="1042"/>
      <c r="O995" s="664"/>
      <c r="P995" s="756"/>
      <c r="Q995" s="756"/>
      <c r="R995" s="634"/>
      <c r="S995" s="634"/>
      <c r="T995" s="634"/>
      <c r="U995" s="634"/>
      <c r="V995" s="634"/>
      <c r="W995" s="634"/>
      <c r="X995" s="911"/>
      <c r="Y995"/>
      <c r="AA995" s="1526"/>
      <c r="AB995" s="634"/>
      <c r="AC995" s="970"/>
      <c r="AD995" s="970"/>
      <c r="AE995" s="970"/>
      <c r="AF995" s="634"/>
      <c r="AG995" s="634"/>
      <c r="AH995" s="634"/>
      <c r="AI995" s="634"/>
      <c r="AJ995" s="634"/>
      <c r="AK995" s="634"/>
      <c r="AL995" s="1336"/>
      <c r="AM995" s="1336"/>
      <c r="AN995" s="1336"/>
      <c r="AO995" s="1336"/>
      <c r="AP995" s="1336"/>
      <c r="AQ995" s="1336"/>
      <c r="AR995" s="1336"/>
      <c r="AS995" s="1336"/>
      <c r="AT995" s="634"/>
      <c r="AU995" s="634"/>
      <c r="AV995" s="634"/>
      <c r="AW995" s="634"/>
      <c r="AX995" s="634"/>
      <c r="AY995" s="634"/>
      <c r="AZ995" s="634"/>
      <c r="BA995" s="634"/>
      <c r="BB995" s="634"/>
      <c r="BC995" s="634"/>
      <c r="BD995" s="634"/>
      <c r="BE995" s="634"/>
      <c r="BF995" s="634"/>
      <c r="BG995" s="634"/>
      <c r="BH995" s="634"/>
      <c r="BI995" s="634"/>
    </row>
    <row r="996" spans="1:61" ht="15" customHeight="1" x14ac:dyDescent="0.25">
      <c r="A996" s="2371">
        <v>7</v>
      </c>
      <c r="B996" s="2385" t="s">
        <v>860</v>
      </c>
      <c r="G996" s="2373" t="s">
        <v>3974</v>
      </c>
      <c r="H996" s="2375" t="s">
        <v>3972</v>
      </c>
      <c r="I996" s="4"/>
      <c r="J996" s="911"/>
      <c r="K996" s="911"/>
      <c r="L996" s="1833"/>
      <c r="M996" s="1837"/>
      <c r="N996" s="1042"/>
      <c r="O996" s="664"/>
      <c r="P996" s="756"/>
      <c r="Q996" s="756"/>
      <c r="R996" s="634"/>
      <c r="S996" s="634"/>
      <c r="T996" s="634"/>
      <c r="U996" s="634"/>
      <c r="V996" s="634"/>
      <c r="W996" s="634"/>
      <c r="X996" s="911"/>
      <c r="Y996"/>
      <c r="AA996" s="1526"/>
      <c r="AB996" s="634"/>
      <c r="AC996" s="970"/>
      <c r="AD996" s="970"/>
      <c r="AE996" s="970"/>
      <c r="AF996" s="634"/>
      <c r="AG996" s="634"/>
      <c r="AH996" s="634"/>
      <c r="AI996" s="634"/>
      <c r="AJ996" s="634"/>
      <c r="AK996" s="634"/>
      <c r="AL996" s="1336"/>
      <c r="AM996" s="1336"/>
      <c r="AN996" s="1336"/>
      <c r="AO996" s="1336"/>
      <c r="AP996" s="1336"/>
      <c r="AQ996" s="1336"/>
      <c r="AR996" s="1336"/>
      <c r="AS996" s="1336"/>
      <c r="AT996" s="634"/>
      <c r="AU996" s="634"/>
      <c r="AV996" s="634"/>
      <c r="AW996" s="634"/>
      <c r="AX996" s="634"/>
      <c r="AY996" s="634"/>
      <c r="AZ996" s="634"/>
      <c r="BA996" s="634"/>
      <c r="BB996" s="634"/>
      <c r="BC996" s="634"/>
      <c r="BD996" s="634"/>
      <c r="BE996" s="634"/>
      <c r="BF996" s="634"/>
      <c r="BG996" s="634"/>
      <c r="BH996" s="634"/>
      <c r="BI996" s="634"/>
    </row>
    <row r="997" spans="1:61" x14ac:dyDescent="0.25">
      <c r="A997" s="2371">
        <v>7</v>
      </c>
      <c r="B997" s="2385" t="s">
        <v>860</v>
      </c>
      <c r="G997" s="2373" t="s">
        <v>3974</v>
      </c>
      <c r="H997" s="2375" t="s">
        <v>3972</v>
      </c>
      <c r="I997" s="4"/>
      <c r="J997" s="178"/>
      <c r="K997" s="178"/>
      <c r="L997" s="1834"/>
      <c r="M997" s="1837"/>
      <c r="N997" s="1042"/>
      <c r="O997" s="664"/>
      <c r="P997" s="756"/>
      <c r="Q997" s="756"/>
      <c r="R997" s="634"/>
      <c r="S997" s="634"/>
      <c r="T997" s="634"/>
      <c r="U997" s="634"/>
      <c r="V997" s="634"/>
      <c r="W997" s="634"/>
      <c r="X997" s="911"/>
      <c r="Y997"/>
      <c r="AA997" s="1526"/>
      <c r="AB997" s="634"/>
      <c r="AC997" s="970"/>
      <c r="AD997" s="970"/>
      <c r="AE997" s="970"/>
      <c r="AF997" s="634"/>
      <c r="AG997" s="634"/>
      <c r="AH997" s="634"/>
      <c r="AI997" s="634"/>
      <c r="AJ997" s="634"/>
      <c r="AK997" s="634"/>
      <c r="AL997" s="1336"/>
      <c r="AM997" s="1336"/>
      <c r="AN997" s="1336"/>
      <c r="AO997" s="1336"/>
      <c r="AP997" s="1336"/>
      <c r="AQ997" s="1336"/>
      <c r="AR997" s="1336"/>
      <c r="AS997" s="1336"/>
      <c r="AT997" s="634"/>
      <c r="AU997" s="634"/>
      <c r="AV997" s="634"/>
      <c r="AW997" s="634"/>
      <c r="AX997" s="634"/>
      <c r="AY997" s="634"/>
      <c r="AZ997" s="634"/>
      <c r="BA997" s="634"/>
      <c r="BB997" s="634"/>
      <c r="BC997" s="634"/>
      <c r="BD997" s="634"/>
      <c r="BE997" s="634"/>
      <c r="BF997" s="634"/>
      <c r="BG997" s="634"/>
      <c r="BH997" s="634"/>
      <c r="BI997" s="634"/>
    </row>
    <row r="998" spans="1:61" x14ac:dyDescent="0.25">
      <c r="A998" s="2371">
        <v>7</v>
      </c>
      <c r="B998" s="2385" t="s">
        <v>860</v>
      </c>
      <c r="C998" s="2382" t="s">
        <v>256</v>
      </c>
      <c r="D998" s="2382"/>
      <c r="E998" s="2374"/>
      <c r="F998" s="2374"/>
      <c r="G998" s="2373" t="s">
        <v>3974</v>
      </c>
      <c r="H998" s="2375" t="s">
        <v>3972</v>
      </c>
      <c r="I998" s="4"/>
      <c r="J998" s="684" t="s">
        <v>256</v>
      </c>
      <c r="K998" s="913"/>
      <c r="L998" s="1163" t="s">
        <v>861</v>
      </c>
      <c r="M998" s="1014"/>
      <c r="N998" s="1042"/>
      <c r="O998" s="1042"/>
      <c r="P998" s="756"/>
      <c r="Q998" s="756"/>
      <c r="R998" s="634"/>
      <c r="S998" s="634"/>
      <c r="T998" s="634"/>
      <c r="U998" s="634"/>
      <c r="V998" s="634"/>
      <c r="W998" s="634"/>
      <c r="X998" s="918"/>
      <c r="Y998" s="988" t="str">
        <f>IF(LEN('Ch7'!X128)=0,"None",'Ch7'!X128)</f>
        <v>None</v>
      </c>
      <c r="Z998" s="1587"/>
      <c r="AA998" s="1526"/>
      <c r="AB998" s="634"/>
      <c r="AC998" s="970"/>
      <c r="AD998" s="970"/>
      <c r="AE998" s="970"/>
      <c r="AF998" s="634"/>
      <c r="AG998" s="634"/>
      <c r="AH998" s="634"/>
      <c r="AI998" s="634"/>
      <c r="AJ998" s="634"/>
      <c r="AK998" s="634"/>
      <c r="AL998" s="1336"/>
      <c r="AM998" s="1336"/>
      <c r="AN998" s="1336"/>
      <c r="AO998" s="1336"/>
      <c r="AP998" s="1336"/>
      <c r="AQ998" s="1336"/>
      <c r="AR998" s="254" t="str">
        <f>SUBSTITUTE(SUBSTITUTE(SUBSTITUTE("vnt"&amp;$B998&amp;$C998&amp;$D998&amp;$E998,".","_"),"(","_"),")","")</f>
        <v>vnt701_4_3_2_1_1</v>
      </c>
      <c r="AS998" s="254" t="str">
        <f>IF(LEN(X998)=0,"",X998)</f>
        <v/>
      </c>
      <c r="AT998" s="634"/>
      <c r="AU998" s="634"/>
      <c r="AV998" s="634"/>
      <c r="AW998" s="634"/>
      <c r="AX998" s="634"/>
      <c r="AY998" s="634"/>
      <c r="AZ998" s="634"/>
      <c r="BA998" s="634"/>
      <c r="BB998" s="634"/>
      <c r="BC998" s="634"/>
      <c r="BD998" s="634"/>
      <c r="BE998" s="634"/>
      <c r="BF998" s="634"/>
      <c r="BG998" s="634"/>
      <c r="BH998" s="634"/>
      <c r="BI998" s="634"/>
    </row>
    <row r="999" spans="1:61" ht="15" customHeight="1" x14ac:dyDescent="0.25">
      <c r="A999" s="2371">
        <v>7</v>
      </c>
      <c r="B999" s="2385" t="s">
        <v>860</v>
      </c>
      <c r="C999" s="2382" t="s">
        <v>258</v>
      </c>
      <c r="D999" s="2382"/>
      <c r="E999" s="2374"/>
      <c r="F999" s="2374"/>
      <c r="G999" s="2373" t="s">
        <v>3974</v>
      </c>
      <c r="H999" s="2375" t="s">
        <v>3972</v>
      </c>
      <c r="I999" s="4"/>
      <c r="J999" s="667" t="s">
        <v>258</v>
      </c>
      <c r="K999" s="929"/>
      <c r="L999" s="1779" t="s">
        <v>862</v>
      </c>
      <c r="M999" s="1014"/>
      <c r="N999" s="1042"/>
      <c r="O999" s="1042"/>
      <c r="P999" s="756"/>
      <c r="Q999" s="756"/>
      <c r="R999" s="634"/>
      <c r="S999" s="634"/>
      <c r="T999" s="634"/>
      <c r="U999" s="634"/>
      <c r="V999" s="634"/>
      <c r="W999" s="634"/>
      <c r="X999" s="1757"/>
      <c r="Y999" s="2081" t="str">
        <f>IF(LEN('Ch7'!X129)=0,"None",'Ch7'!X129)</f>
        <v>None</v>
      </c>
      <c r="Z999" s="2083"/>
      <c r="AA999" s="1526"/>
      <c r="AB999" s="634"/>
      <c r="AC999" s="970"/>
      <c r="AD999" s="970"/>
      <c r="AE999" s="970"/>
      <c r="AF999" s="634"/>
      <c r="AG999" s="634"/>
      <c r="AH999" s="634"/>
      <c r="AI999" s="634"/>
      <c r="AJ999" s="634"/>
      <c r="AK999" s="634"/>
      <c r="AL999" s="1336"/>
      <c r="AM999" s="1336"/>
      <c r="AN999" s="1336"/>
      <c r="AO999" s="1336"/>
      <c r="AP999" s="1336"/>
      <c r="AQ999" s="1336"/>
      <c r="AR999" s="254" t="str">
        <f>SUBSTITUTE(SUBSTITUTE(SUBSTITUTE("vnt"&amp;$B999&amp;$C999&amp;$D999&amp;$E999,".","_"),"(","_"),")","")</f>
        <v>vnt701_4_3_2_1_2</v>
      </c>
      <c r="AS999" s="254" t="str">
        <f>IF(LEN(X999)=0,"",X999)</f>
        <v/>
      </c>
      <c r="AT999" s="634"/>
      <c r="AU999" s="634"/>
      <c r="AV999" s="634"/>
      <c r="AW999" s="634"/>
      <c r="AX999" s="634"/>
      <c r="AY999" s="634"/>
      <c r="AZ999" s="634"/>
      <c r="BA999" s="634"/>
      <c r="BB999" s="634"/>
      <c r="BC999" s="634"/>
      <c r="BD999" s="634"/>
      <c r="BE999" s="634"/>
      <c r="BF999" s="634"/>
      <c r="BG999" s="634"/>
      <c r="BH999" s="634"/>
      <c r="BI999" s="634"/>
    </row>
    <row r="1000" spans="1:61" x14ac:dyDescent="0.25">
      <c r="A1000" s="2371">
        <v>7</v>
      </c>
      <c r="B1000" s="2385" t="s">
        <v>860</v>
      </c>
      <c r="C1000" s="2382" t="s">
        <v>258</v>
      </c>
      <c r="D1000" s="2382"/>
      <c r="E1000" s="2374"/>
      <c r="F1000" s="2374"/>
      <c r="G1000" s="2373" t="s">
        <v>3974</v>
      </c>
      <c r="H1000" s="2375" t="s">
        <v>3972</v>
      </c>
      <c r="I1000" s="4"/>
      <c r="J1000" s="667"/>
      <c r="K1000" s="929"/>
      <c r="L1000" s="1779"/>
      <c r="M1000" s="1014"/>
      <c r="N1000" s="1042"/>
      <c r="O1000" s="1042"/>
      <c r="P1000" s="756"/>
      <c r="Q1000" s="756"/>
      <c r="R1000" s="634"/>
      <c r="S1000" s="634"/>
      <c r="T1000" s="634"/>
      <c r="U1000" s="634"/>
      <c r="V1000" s="634"/>
      <c r="W1000" s="634"/>
      <c r="X1000" s="1757"/>
      <c r="Y1000" s="2081"/>
      <c r="Z1000" s="2083"/>
      <c r="AA1000" s="1526"/>
      <c r="AB1000" s="634"/>
      <c r="AC1000" s="970"/>
      <c r="AD1000" s="970"/>
      <c r="AE1000" s="970"/>
      <c r="AF1000" s="634"/>
      <c r="AG1000" s="634"/>
      <c r="AH1000" s="634"/>
      <c r="AI1000" s="634"/>
      <c r="AJ1000" s="634"/>
      <c r="AK1000" s="634"/>
      <c r="AL1000" s="1336"/>
      <c r="AM1000" s="1336"/>
      <c r="AN1000" s="1336"/>
      <c r="AO1000" s="1336"/>
      <c r="AP1000" s="1336"/>
      <c r="AQ1000" s="1336"/>
      <c r="AR1000" s="1336"/>
      <c r="AS1000" s="1336"/>
      <c r="AT1000" s="634"/>
      <c r="AU1000" s="634"/>
      <c r="AV1000" s="634"/>
      <c r="AW1000" s="634"/>
      <c r="AX1000" s="634"/>
      <c r="AY1000" s="634"/>
      <c r="AZ1000" s="634"/>
      <c r="BA1000" s="634"/>
      <c r="BB1000" s="634"/>
      <c r="BC1000" s="634"/>
      <c r="BD1000" s="634"/>
      <c r="BE1000" s="634"/>
      <c r="BF1000" s="634"/>
      <c r="BG1000" s="634"/>
      <c r="BH1000" s="634"/>
      <c r="BI1000" s="634"/>
    </row>
    <row r="1001" spans="1:61" x14ac:dyDescent="0.25">
      <c r="A1001" s="2371">
        <v>7</v>
      </c>
      <c r="B1001" s="2385" t="s">
        <v>860</v>
      </c>
      <c r="C1001" s="2382" t="s">
        <v>258</v>
      </c>
      <c r="D1001" s="2382"/>
      <c r="E1001" s="2374"/>
      <c r="F1001" s="2374"/>
      <c r="G1001" s="2373" t="s">
        <v>3974</v>
      </c>
      <c r="H1001" s="2375" t="s">
        <v>3972</v>
      </c>
      <c r="I1001" s="4"/>
      <c r="J1001" s="667"/>
      <c r="K1001" s="929"/>
      <c r="L1001" s="1779"/>
      <c r="M1001" s="1014"/>
      <c r="N1001" s="1042"/>
      <c r="O1001" s="1042"/>
      <c r="P1001" s="756"/>
      <c r="Q1001" s="756"/>
      <c r="R1001" s="634"/>
      <c r="S1001" s="634"/>
      <c r="T1001" s="634"/>
      <c r="U1001" s="634"/>
      <c r="V1001" s="634"/>
      <c r="W1001" s="634"/>
      <c r="X1001" s="1757"/>
      <c r="Y1001" s="2081"/>
      <c r="Z1001" s="2083"/>
      <c r="AA1001" s="1526"/>
      <c r="AB1001" s="634"/>
      <c r="AC1001" s="970"/>
      <c r="AD1001" s="970"/>
      <c r="AE1001" s="970"/>
      <c r="AF1001" s="634"/>
      <c r="AG1001" s="634"/>
      <c r="AH1001" s="634"/>
      <c r="AI1001" s="634"/>
      <c r="AJ1001" s="634"/>
      <c r="AK1001" s="634"/>
      <c r="AL1001" s="1336"/>
      <c r="AM1001" s="1336"/>
      <c r="AN1001" s="1336"/>
      <c r="AO1001" s="1336"/>
      <c r="AP1001" s="1336"/>
      <c r="AQ1001" s="1336"/>
      <c r="AR1001" s="1336"/>
      <c r="AS1001" s="1336"/>
      <c r="AT1001" s="634"/>
      <c r="AU1001" s="634"/>
      <c r="AV1001" s="634"/>
      <c r="AW1001" s="634"/>
      <c r="AX1001" s="634"/>
      <c r="AY1001" s="634"/>
      <c r="AZ1001" s="634"/>
      <c r="BA1001" s="634"/>
      <c r="BB1001" s="634"/>
      <c r="BC1001" s="634"/>
      <c r="BD1001" s="634"/>
      <c r="BE1001" s="634"/>
      <c r="BF1001" s="634"/>
      <c r="BG1001" s="634"/>
      <c r="BH1001" s="634"/>
      <c r="BI1001" s="634"/>
    </row>
    <row r="1002" spans="1:61" x14ac:dyDescent="0.25">
      <c r="A1002" s="2371">
        <v>7</v>
      </c>
      <c r="B1002" s="2385" t="s">
        <v>860</v>
      </c>
      <c r="C1002" s="2382" t="s">
        <v>258</v>
      </c>
      <c r="D1002" s="2382"/>
      <c r="E1002" s="2374"/>
      <c r="F1002" s="2374"/>
      <c r="G1002" s="2373" t="s">
        <v>3974</v>
      </c>
      <c r="H1002" s="2375" t="s">
        <v>3972</v>
      </c>
      <c r="I1002" s="4"/>
      <c r="J1002" s="684"/>
      <c r="K1002" s="913"/>
      <c r="L1002" s="1755"/>
      <c r="M1002" s="1014"/>
      <c r="N1002" s="1042"/>
      <c r="O1002" s="1042"/>
      <c r="P1002" s="756"/>
      <c r="Q1002" s="756"/>
      <c r="R1002" s="634"/>
      <c r="S1002" s="634"/>
      <c r="T1002" s="634"/>
      <c r="U1002" s="634"/>
      <c r="V1002" s="634"/>
      <c r="W1002" s="634"/>
      <c r="X1002" s="1757"/>
      <c r="Y1002" s="2081"/>
      <c r="Z1002" s="2083"/>
      <c r="AA1002" s="1526"/>
      <c r="AB1002" s="634"/>
      <c r="AC1002" s="970"/>
      <c r="AD1002" s="970"/>
      <c r="AE1002" s="970"/>
      <c r="AF1002" s="634"/>
      <c r="AG1002" s="634"/>
      <c r="AH1002" s="634"/>
      <c r="AI1002" s="634"/>
      <c r="AJ1002" s="634"/>
      <c r="AK1002" s="634"/>
      <c r="AL1002" s="1336"/>
      <c r="AM1002" s="1336"/>
      <c r="AN1002" s="1336"/>
      <c r="AO1002" s="1336"/>
      <c r="AP1002" s="1336"/>
      <c r="AQ1002" s="1336"/>
      <c r="AR1002" s="1336"/>
      <c r="AS1002" s="1336"/>
      <c r="AT1002" s="634"/>
      <c r="AU1002" s="634"/>
      <c r="AV1002" s="634"/>
      <c r="AW1002" s="634"/>
      <c r="AX1002" s="634"/>
      <c r="AY1002" s="634"/>
      <c r="AZ1002" s="634"/>
      <c r="BA1002" s="634"/>
      <c r="BB1002" s="634"/>
      <c r="BC1002" s="634"/>
      <c r="BD1002" s="634"/>
      <c r="BE1002" s="634"/>
      <c r="BF1002" s="634"/>
      <c r="BG1002" s="634"/>
      <c r="BH1002" s="634"/>
      <c r="BI1002" s="634"/>
    </row>
    <row r="1003" spans="1:61" ht="15" customHeight="1" x14ac:dyDescent="0.25">
      <c r="A1003" s="2371">
        <v>7</v>
      </c>
      <c r="B1003" s="2385" t="s">
        <v>860</v>
      </c>
      <c r="C1003" s="2382" t="s">
        <v>260</v>
      </c>
      <c r="D1003" s="2382"/>
      <c r="E1003" s="2374"/>
      <c r="F1003" s="2374"/>
      <c r="G1003" s="2373" t="s">
        <v>3974</v>
      </c>
      <c r="H1003" s="2375" t="s">
        <v>3972</v>
      </c>
      <c r="I1003" s="4"/>
      <c r="J1003" s="667" t="s">
        <v>260</v>
      </c>
      <c r="K1003" s="929"/>
      <c r="L1003" s="1779" t="s">
        <v>863</v>
      </c>
      <c r="M1003" s="1014"/>
      <c r="N1003" s="1042"/>
      <c r="O1003" s="1042"/>
      <c r="P1003" s="756"/>
      <c r="Q1003" s="756"/>
      <c r="R1003" s="634"/>
      <c r="S1003" s="634"/>
      <c r="T1003" s="634"/>
      <c r="U1003" s="634"/>
      <c r="V1003" s="634"/>
      <c r="W1003" s="634"/>
      <c r="X1003" s="1757"/>
      <c r="Y1003" s="2081" t="str">
        <f>IF(LEN('Ch7'!X133)=0,"None",'Ch7'!X133)</f>
        <v>None</v>
      </c>
      <c r="Z1003" s="2083"/>
      <c r="AA1003" s="1526"/>
      <c r="AB1003" s="634"/>
      <c r="AC1003" s="970"/>
      <c r="AD1003" s="970"/>
      <c r="AE1003" s="970"/>
      <c r="AF1003" s="634"/>
      <c r="AG1003" s="634"/>
      <c r="AH1003" s="634"/>
      <c r="AI1003" s="634"/>
      <c r="AJ1003" s="634"/>
      <c r="AK1003" s="634"/>
      <c r="AL1003" s="1336"/>
      <c r="AM1003" s="1336"/>
      <c r="AN1003" s="1336"/>
      <c r="AO1003" s="1336"/>
      <c r="AP1003" s="1336"/>
      <c r="AQ1003" s="1336"/>
      <c r="AR1003" s="254" t="str">
        <f>SUBSTITUTE(SUBSTITUTE(SUBSTITUTE("vnt"&amp;$B1003&amp;$C1003&amp;$D1003&amp;$E1003,".","_"),"(","_"),")","")</f>
        <v>vnt701_4_3_2_1_3</v>
      </c>
      <c r="AS1003" s="254" t="str">
        <f>IF(LEN(X1003)=0,"",X1003)</f>
        <v/>
      </c>
      <c r="AT1003" s="634"/>
      <c r="AU1003" s="634"/>
      <c r="AV1003" s="634"/>
      <c r="AW1003" s="634"/>
      <c r="AX1003" s="634"/>
      <c r="AY1003" s="634"/>
      <c r="AZ1003" s="634"/>
      <c r="BA1003" s="634"/>
      <c r="BB1003" s="634"/>
      <c r="BC1003" s="634"/>
      <c r="BD1003" s="634"/>
      <c r="BE1003" s="634"/>
      <c r="BF1003" s="634"/>
      <c r="BG1003" s="634"/>
      <c r="BH1003" s="634"/>
      <c r="BI1003" s="634"/>
    </row>
    <row r="1004" spans="1:61" x14ac:dyDescent="0.25">
      <c r="A1004" s="2371">
        <v>7</v>
      </c>
      <c r="B1004" s="2385" t="s">
        <v>860</v>
      </c>
      <c r="C1004" s="2382" t="s">
        <v>260</v>
      </c>
      <c r="D1004" s="2382"/>
      <c r="E1004" s="2374"/>
      <c r="F1004" s="2374"/>
      <c r="G1004" s="2373" t="s">
        <v>3974</v>
      </c>
      <c r="H1004" s="2375" t="s">
        <v>3972</v>
      </c>
      <c r="I1004" s="4"/>
      <c r="J1004" s="684"/>
      <c r="K1004" s="913"/>
      <c r="L1004" s="1755"/>
      <c r="M1004" s="1014"/>
      <c r="N1004" s="1042"/>
      <c r="O1004" s="1042"/>
      <c r="P1004" s="756"/>
      <c r="Q1004" s="756"/>
      <c r="R1004" s="634"/>
      <c r="S1004" s="634"/>
      <c r="T1004" s="634"/>
      <c r="U1004" s="634"/>
      <c r="V1004" s="634"/>
      <c r="W1004" s="634"/>
      <c r="X1004" s="1757"/>
      <c r="Y1004" s="2081"/>
      <c r="Z1004" s="2083"/>
      <c r="AA1004" s="1526"/>
      <c r="AB1004" s="634"/>
      <c r="AC1004" s="970"/>
      <c r="AD1004" s="970"/>
      <c r="AE1004" s="970"/>
      <c r="AF1004" s="634"/>
      <c r="AG1004" s="634"/>
      <c r="AH1004" s="634"/>
      <c r="AI1004" s="634"/>
      <c r="AJ1004" s="634"/>
      <c r="AK1004" s="634"/>
      <c r="AL1004" s="1336"/>
      <c r="AM1004" s="1336"/>
      <c r="AN1004" s="1336"/>
      <c r="AO1004" s="1336"/>
      <c r="AP1004" s="1336"/>
      <c r="AQ1004" s="1336"/>
      <c r="AR1004" s="1336"/>
      <c r="AS1004" s="1336"/>
      <c r="AT1004" s="634"/>
      <c r="AU1004" s="634"/>
      <c r="AV1004" s="634"/>
      <c r="AW1004" s="634"/>
      <c r="AX1004" s="634"/>
      <c r="AY1004" s="634"/>
      <c r="AZ1004" s="634"/>
      <c r="BA1004" s="634"/>
      <c r="BB1004" s="634"/>
      <c r="BC1004" s="634"/>
      <c r="BD1004" s="634"/>
      <c r="BE1004" s="634"/>
      <c r="BF1004" s="634"/>
      <c r="BG1004" s="634"/>
      <c r="BH1004" s="634"/>
      <c r="BI1004" s="634"/>
    </row>
    <row r="1005" spans="1:61" ht="15" customHeight="1" x14ac:dyDescent="0.25">
      <c r="A1005" s="2371">
        <v>7</v>
      </c>
      <c r="B1005" s="2385" t="s">
        <v>860</v>
      </c>
      <c r="C1005" s="2382" t="s">
        <v>269</v>
      </c>
      <c r="D1005" s="2382"/>
      <c r="E1005" s="2374"/>
      <c r="F1005" s="2374"/>
      <c r="G1005" s="2373" t="s">
        <v>3974</v>
      </c>
      <c r="H1005" s="2375" t="s">
        <v>3972</v>
      </c>
      <c r="I1005" s="4"/>
      <c r="J1005" s="667" t="s">
        <v>269</v>
      </c>
      <c r="K1005" s="927"/>
      <c r="L1005" s="1778" t="s">
        <v>864</v>
      </c>
      <c r="M1005" s="1014"/>
      <c r="N1005" s="1042"/>
      <c r="O1005" s="1042"/>
      <c r="P1005" s="756"/>
      <c r="Q1005" s="756"/>
      <c r="R1005" s="634"/>
      <c r="S1005" s="634"/>
      <c r="T1005" s="634"/>
      <c r="U1005" s="634"/>
      <c r="V1005" s="634"/>
      <c r="W1005" s="634"/>
      <c r="X1005" s="1757"/>
      <c r="Y1005" s="2081" t="str">
        <f>IF(LEN('Ch7'!X135)=0,"None",'Ch7'!X135)</f>
        <v>None</v>
      </c>
      <c r="Z1005" s="2083"/>
      <c r="AA1005" s="1526"/>
      <c r="AB1005" s="634"/>
      <c r="AC1005" s="970"/>
      <c r="AD1005" s="970"/>
      <c r="AE1005" s="970"/>
      <c r="AF1005" s="634"/>
      <c r="AG1005" s="634"/>
      <c r="AH1005" s="634"/>
      <c r="AI1005" s="634"/>
      <c r="AJ1005" s="634"/>
      <c r="AK1005" s="634"/>
      <c r="AL1005" s="1336"/>
      <c r="AM1005" s="1336"/>
      <c r="AN1005" s="1336"/>
      <c r="AO1005" s="1336"/>
      <c r="AP1005" s="1336"/>
      <c r="AQ1005" s="1336"/>
      <c r="AR1005" s="254" t="str">
        <f>SUBSTITUTE(SUBSTITUTE(SUBSTITUTE("vnt"&amp;$B1005&amp;$C1005&amp;$D1005&amp;$E1005,".","_"),"(","_"),")","")</f>
        <v>vnt701_4_3_2_1_4</v>
      </c>
      <c r="AS1005" s="254" t="str">
        <f>IF(LEN(X1005)=0,"",X1005)</f>
        <v/>
      </c>
      <c r="AT1005" s="634"/>
      <c r="AU1005" s="634"/>
      <c r="AV1005" s="634"/>
      <c r="AW1005" s="634"/>
      <c r="AX1005" s="634"/>
      <c r="AY1005" s="634"/>
      <c r="AZ1005" s="634"/>
      <c r="BA1005" s="634"/>
      <c r="BB1005" s="634"/>
      <c r="BC1005" s="634"/>
      <c r="BD1005" s="634"/>
      <c r="BE1005" s="634"/>
      <c r="BF1005" s="634"/>
      <c r="BG1005" s="634"/>
      <c r="BH1005" s="634"/>
      <c r="BI1005" s="634"/>
    </row>
    <row r="1006" spans="1:61" x14ac:dyDescent="0.25">
      <c r="A1006" s="2371">
        <v>7</v>
      </c>
      <c r="B1006" s="2385" t="s">
        <v>860</v>
      </c>
      <c r="C1006" s="2382" t="s">
        <v>269</v>
      </c>
      <c r="D1006" s="2382"/>
      <c r="E1006" s="2374"/>
      <c r="F1006" s="2374"/>
      <c r="G1006" s="2373" t="s">
        <v>3974</v>
      </c>
      <c r="H1006" s="2375" t="s">
        <v>3972</v>
      </c>
      <c r="I1006" s="4"/>
      <c r="J1006" s="667"/>
      <c r="K1006" s="929"/>
      <c r="L1006" s="1779"/>
      <c r="M1006" s="1014"/>
      <c r="N1006" s="1042"/>
      <c r="O1006" s="1042"/>
      <c r="P1006" s="756"/>
      <c r="Q1006" s="756"/>
      <c r="R1006" s="634"/>
      <c r="S1006" s="634"/>
      <c r="T1006" s="634"/>
      <c r="U1006" s="634"/>
      <c r="V1006" s="634"/>
      <c r="W1006" s="634"/>
      <c r="X1006" s="1757"/>
      <c r="Y1006" s="2081"/>
      <c r="Z1006" s="2083"/>
      <c r="AA1006" s="1526"/>
      <c r="AB1006" s="634"/>
      <c r="AC1006" s="970"/>
      <c r="AD1006" s="970"/>
      <c r="AE1006" s="970"/>
      <c r="AF1006" s="634"/>
      <c r="AG1006" s="634"/>
      <c r="AH1006" s="634"/>
      <c r="AI1006" s="634"/>
      <c r="AJ1006" s="634"/>
      <c r="AK1006" s="634"/>
      <c r="AL1006" s="1336"/>
      <c r="AM1006" s="1336"/>
      <c r="AN1006" s="1336"/>
      <c r="AO1006" s="1336"/>
      <c r="AP1006" s="1336"/>
      <c r="AQ1006" s="1336"/>
      <c r="AR1006" s="1336"/>
      <c r="AS1006" s="1336"/>
      <c r="AT1006" s="634"/>
      <c r="AU1006" s="634"/>
      <c r="AV1006" s="634"/>
      <c r="AW1006" s="634"/>
      <c r="AX1006" s="634"/>
      <c r="AY1006" s="634"/>
      <c r="AZ1006" s="634"/>
      <c r="BA1006" s="634"/>
      <c r="BB1006" s="634"/>
      <c r="BC1006" s="634"/>
      <c r="BD1006" s="634"/>
      <c r="BE1006" s="634"/>
      <c r="BF1006" s="634"/>
      <c r="BG1006" s="634"/>
      <c r="BH1006" s="634"/>
      <c r="BI1006" s="634"/>
    </row>
    <row r="1007" spans="1:61" x14ac:dyDescent="0.25">
      <c r="A1007" s="2371">
        <v>7</v>
      </c>
      <c r="B1007" s="2385" t="s">
        <v>860</v>
      </c>
      <c r="C1007" s="2382" t="s">
        <v>269</v>
      </c>
      <c r="D1007" s="2382"/>
      <c r="E1007" s="2374"/>
      <c r="F1007" s="2374"/>
      <c r="G1007" s="2373" t="s">
        <v>3974</v>
      </c>
      <c r="H1007" s="2375" t="s">
        <v>3972</v>
      </c>
      <c r="I1007" s="4"/>
      <c r="J1007" s="684"/>
      <c r="K1007" s="913"/>
      <c r="L1007" s="1755"/>
      <c r="M1007" s="1014"/>
      <c r="N1007" s="1042"/>
      <c r="O1007" s="1042"/>
      <c r="P1007" s="756"/>
      <c r="Q1007" s="756"/>
      <c r="R1007" s="634"/>
      <c r="S1007" s="634"/>
      <c r="T1007" s="634"/>
      <c r="U1007" s="634"/>
      <c r="V1007" s="634"/>
      <c r="W1007" s="634"/>
      <c r="X1007" s="1757"/>
      <c r="Y1007" s="2081"/>
      <c r="Z1007" s="2083"/>
      <c r="AA1007" s="1526"/>
      <c r="AB1007" s="634"/>
      <c r="AC1007" s="970"/>
      <c r="AD1007" s="970"/>
      <c r="AE1007" s="970"/>
      <c r="AF1007" s="634"/>
      <c r="AG1007" s="634"/>
      <c r="AH1007" s="634"/>
      <c r="AI1007" s="634"/>
      <c r="AJ1007" s="634"/>
      <c r="AK1007" s="634"/>
      <c r="AL1007" s="1336"/>
      <c r="AM1007" s="1336"/>
      <c r="AN1007" s="1336"/>
      <c r="AO1007" s="1336"/>
      <c r="AP1007" s="1336"/>
      <c r="AQ1007" s="1336"/>
      <c r="AR1007" s="1336"/>
      <c r="AS1007" s="1336"/>
      <c r="AT1007" s="634"/>
      <c r="AU1007" s="634"/>
      <c r="AV1007" s="634"/>
      <c r="AW1007" s="634"/>
      <c r="AX1007" s="634"/>
      <c r="AY1007" s="634"/>
      <c r="AZ1007" s="634"/>
      <c r="BA1007" s="634"/>
      <c r="BB1007" s="634"/>
      <c r="BC1007" s="634"/>
      <c r="BD1007" s="634"/>
      <c r="BE1007" s="634"/>
      <c r="BF1007" s="634"/>
      <c r="BG1007" s="634"/>
      <c r="BH1007" s="634"/>
      <c r="BI1007" s="634"/>
    </row>
    <row r="1008" spans="1:61" ht="15" customHeight="1" x14ac:dyDescent="0.25">
      <c r="A1008" s="2371">
        <v>7</v>
      </c>
      <c r="B1008" s="2385" t="s">
        <v>860</v>
      </c>
      <c r="C1008" s="2382" t="s">
        <v>275</v>
      </c>
      <c r="D1008" s="2382"/>
      <c r="E1008" s="2374"/>
      <c r="F1008" s="2374"/>
      <c r="G1008" s="2373" t="s">
        <v>3974</v>
      </c>
      <c r="H1008" s="2375" t="s">
        <v>3972</v>
      </c>
      <c r="I1008" s="4"/>
      <c r="J1008" s="667" t="s">
        <v>275</v>
      </c>
      <c r="K1008" s="927"/>
      <c r="L1008" s="1778" t="s">
        <v>865</v>
      </c>
      <c r="M1008" s="1014"/>
      <c r="N1008" s="1042"/>
      <c r="O1008" s="1042"/>
      <c r="P1008" s="756"/>
      <c r="Q1008" s="756"/>
      <c r="R1008" s="634"/>
      <c r="S1008" s="634"/>
      <c r="T1008" s="634"/>
      <c r="U1008" s="634"/>
      <c r="V1008" s="634"/>
      <c r="W1008" s="634"/>
      <c r="X1008" s="1757"/>
      <c r="Y1008" s="2081" t="str">
        <f>IF(LEN('Ch7'!X138)=0,"None",'Ch7'!X138)</f>
        <v>None</v>
      </c>
      <c r="Z1008" s="2083"/>
      <c r="AA1008" s="1526"/>
      <c r="AB1008" s="634"/>
      <c r="AC1008" s="970"/>
      <c r="AD1008" s="970"/>
      <c r="AE1008" s="970"/>
      <c r="AF1008" s="634"/>
      <c r="AG1008" s="634"/>
      <c r="AH1008" s="634"/>
      <c r="AI1008" s="634"/>
      <c r="AJ1008" s="634"/>
      <c r="AK1008" s="634"/>
      <c r="AL1008" s="1336"/>
      <c r="AM1008" s="1336"/>
      <c r="AN1008" s="1336"/>
      <c r="AO1008" s="1336"/>
      <c r="AP1008" s="1336"/>
      <c r="AQ1008" s="1336"/>
      <c r="AR1008" s="254" t="str">
        <f>SUBSTITUTE(SUBSTITUTE(SUBSTITUTE("vnt"&amp;$B1008&amp;$C1008&amp;$D1008&amp;$E1008,".","_"),"(","_"),")","")</f>
        <v>vnt701_4_3_2_1_5</v>
      </c>
      <c r="AS1008" s="254" t="str">
        <f>IF(LEN(X1008)=0,"",X1008)</f>
        <v/>
      </c>
      <c r="AT1008" s="634"/>
      <c r="AU1008" s="634"/>
      <c r="AV1008" s="634"/>
      <c r="AW1008" s="634"/>
      <c r="AX1008" s="634"/>
      <c r="AY1008" s="634"/>
      <c r="AZ1008" s="634"/>
      <c r="BA1008" s="634"/>
      <c r="BB1008" s="634"/>
      <c r="BC1008" s="634"/>
      <c r="BD1008" s="634"/>
      <c r="BE1008" s="634"/>
      <c r="BF1008" s="634"/>
      <c r="BG1008" s="634"/>
      <c r="BH1008" s="634"/>
      <c r="BI1008" s="634"/>
    </row>
    <row r="1009" spans="1:61" x14ac:dyDescent="0.25">
      <c r="A1009" s="2371">
        <v>7</v>
      </c>
      <c r="B1009" s="2385" t="s">
        <v>860</v>
      </c>
      <c r="C1009" s="2382" t="s">
        <v>275</v>
      </c>
      <c r="D1009" s="2382"/>
      <c r="E1009" s="2374"/>
      <c r="F1009" s="2374"/>
      <c r="G1009" s="2373" t="s">
        <v>3974</v>
      </c>
      <c r="H1009" s="2375" t="s">
        <v>3972</v>
      </c>
      <c r="I1009" s="4"/>
      <c r="J1009" s="684"/>
      <c r="K1009" s="913"/>
      <c r="L1009" s="1755"/>
      <c r="M1009" s="1014"/>
      <c r="N1009" s="1042"/>
      <c r="O1009" s="1042"/>
      <c r="P1009" s="756"/>
      <c r="Q1009" s="756"/>
      <c r="R1009" s="634"/>
      <c r="S1009" s="634"/>
      <c r="T1009" s="634"/>
      <c r="U1009" s="634"/>
      <c r="V1009" s="634"/>
      <c r="W1009" s="634"/>
      <c r="X1009" s="1757"/>
      <c r="Y1009" s="2081"/>
      <c r="Z1009" s="2083"/>
      <c r="AA1009" s="1526"/>
      <c r="AB1009" s="634"/>
      <c r="AC1009" s="970"/>
      <c r="AD1009" s="970"/>
      <c r="AE1009" s="970"/>
      <c r="AF1009" s="634"/>
      <c r="AG1009" s="634"/>
      <c r="AH1009" s="634"/>
      <c r="AI1009" s="634"/>
      <c r="AJ1009" s="634"/>
      <c r="AK1009" s="634"/>
      <c r="AL1009" s="1336"/>
      <c r="AM1009" s="1336"/>
      <c r="AN1009" s="1336"/>
      <c r="AO1009" s="1336"/>
      <c r="AP1009" s="1336"/>
      <c r="AQ1009" s="1336"/>
      <c r="AR1009" s="1336"/>
      <c r="AS1009" s="1336"/>
      <c r="AT1009" s="634"/>
      <c r="AU1009" s="634"/>
      <c r="AV1009" s="634"/>
      <c r="AW1009" s="634"/>
      <c r="AX1009" s="634"/>
      <c r="AY1009" s="634"/>
      <c r="AZ1009" s="634"/>
      <c r="BA1009" s="634"/>
      <c r="BB1009" s="634"/>
      <c r="BC1009" s="634"/>
      <c r="BD1009" s="634"/>
      <c r="BE1009" s="634"/>
      <c r="BF1009" s="634"/>
      <c r="BG1009" s="634"/>
      <c r="BH1009" s="634"/>
      <c r="BI1009" s="634"/>
    </row>
    <row r="1010" spans="1:61" ht="15" customHeight="1" x14ac:dyDescent="0.25">
      <c r="A1010" s="2371">
        <v>7</v>
      </c>
      <c r="B1010" s="2385" t="s">
        <v>860</v>
      </c>
      <c r="C1010" s="2382" t="s">
        <v>277</v>
      </c>
      <c r="D1010" s="2382"/>
      <c r="E1010" s="2374"/>
      <c r="F1010" s="2374"/>
      <c r="G1010" s="2373" t="s">
        <v>3974</v>
      </c>
      <c r="H1010" s="2375" t="s">
        <v>3972</v>
      </c>
      <c r="I1010" s="4"/>
      <c r="J1010" s="684" t="s">
        <v>277</v>
      </c>
      <c r="K1010" s="280"/>
      <c r="L1010" s="280" t="s">
        <v>866</v>
      </c>
      <c r="M1010" s="1014"/>
      <c r="N1010" s="1042"/>
      <c r="O1010" s="1042"/>
      <c r="P1010" s="756"/>
      <c r="Q1010" s="756"/>
      <c r="R1010" s="634"/>
      <c r="S1010" s="634"/>
      <c r="T1010" s="634"/>
      <c r="U1010" s="634"/>
      <c r="V1010" s="634"/>
      <c r="W1010" s="634"/>
      <c r="X1010" s="918"/>
      <c r="Y1010" s="988" t="str">
        <f>IF(LEN('Ch7'!X140)=0,"None",'Ch7'!X140)</f>
        <v>None</v>
      </c>
      <c r="Z1010" s="1587"/>
      <c r="AA1010" s="1526"/>
      <c r="AB1010" s="634"/>
      <c r="AC1010" s="970"/>
      <c r="AD1010" s="970"/>
      <c r="AE1010" s="970"/>
      <c r="AF1010" s="634"/>
      <c r="AG1010" s="634"/>
      <c r="AH1010" s="634"/>
      <c r="AI1010" s="634"/>
      <c r="AJ1010" s="634"/>
      <c r="AK1010" s="634"/>
      <c r="AL1010" s="1336"/>
      <c r="AM1010" s="1336"/>
      <c r="AN1010" s="1336"/>
      <c r="AO1010" s="1336"/>
      <c r="AP1010" s="1336"/>
      <c r="AQ1010" s="1336"/>
      <c r="AR1010" s="254" t="str">
        <f>SUBSTITUTE(SUBSTITUTE(SUBSTITUTE("vnt"&amp;$B1010&amp;$C1010&amp;$D1010&amp;$E1010,".","_"),"(","_"),")","")</f>
        <v>vnt701_4_3_2_1_6</v>
      </c>
      <c r="AS1010" s="254" t="str">
        <f>IF(LEN(X1010)=0,"",X1010)</f>
        <v/>
      </c>
      <c r="AT1010" s="634"/>
      <c r="AU1010" s="634"/>
      <c r="AV1010" s="634"/>
      <c r="AW1010" s="634"/>
      <c r="AX1010" s="634"/>
      <c r="AY1010" s="634"/>
      <c r="AZ1010" s="634"/>
      <c r="BA1010" s="634"/>
      <c r="BB1010" s="634"/>
      <c r="BC1010" s="634"/>
      <c r="BD1010" s="634"/>
      <c r="BE1010" s="634"/>
      <c r="BF1010" s="634"/>
      <c r="BG1010" s="634"/>
      <c r="BH1010" s="634"/>
      <c r="BI1010" s="634"/>
    </row>
    <row r="1011" spans="1:61" x14ac:dyDescent="0.25">
      <c r="A1011" s="2371">
        <v>7</v>
      </c>
      <c r="B1011" s="2385" t="s">
        <v>860</v>
      </c>
      <c r="C1011" s="2382" t="s">
        <v>383</v>
      </c>
      <c r="D1011" s="2382"/>
      <c r="E1011" s="2374"/>
      <c r="F1011" s="2374"/>
      <c r="G1011" s="2373" t="s">
        <v>3974</v>
      </c>
      <c r="H1011" s="2375" t="s">
        <v>3972</v>
      </c>
      <c r="I1011" s="4"/>
      <c r="J1011" s="684" t="s">
        <v>383</v>
      </c>
      <c r="K1011" s="280"/>
      <c r="L1011" s="280" t="s">
        <v>867</v>
      </c>
      <c r="M1011" s="1014"/>
      <c r="N1011" s="1042"/>
      <c r="O1011" s="1042"/>
      <c r="P1011" s="756"/>
      <c r="Q1011" s="756"/>
      <c r="R1011" s="634"/>
      <c r="S1011" s="634"/>
      <c r="T1011" s="634"/>
      <c r="U1011" s="634"/>
      <c r="V1011" s="634"/>
      <c r="W1011" s="634"/>
      <c r="X1011" s="918"/>
      <c r="Y1011" s="988" t="str">
        <f>IF(LEN('Ch7'!X141)=0,"None",'Ch7'!X141)</f>
        <v>None</v>
      </c>
      <c r="Z1011" s="1587"/>
      <c r="AA1011" s="1526"/>
      <c r="AB1011" s="634"/>
      <c r="AC1011" s="970"/>
      <c r="AD1011" s="970"/>
      <c r="AE1011" s="970"/>
      <c r="AF1011" s="634"/>
      <c r="AG1011" s="634"/>
      <c r="AH1011" s="634"/>
      <c r="AI1011" s="634"/>
      <c r="AJ1011" s="634"/>
      <c r="AK1011" s="634"/>
      <c r="AL1011" s="1336"/>
      <c r="AM1011" s="1336"/>
      <c r="AN1011" s="1336"/>
      <c r="AO1011" s="1336"/>
      <c r="AP1011" s="1336"/>
      <c r="AQ1011" s="1336"/>
      <c r="AR1011" s="254" t="str">
        <f>SUBSTITUTE(SUBSTITUTE(SUBSTITUTE("vnt"&amp;$B1011&amp;$C1011&amp;$D1011&amp;$E1011,".","_"),"(","_"),")","")</f>
        <v>vnt701_4_3_2_1_7</v>
      </c>
      <c r="AS1011" s="254" t="str">
        <f>IF(LEN(X1011)=0,"",X1011)</f>
        <v/>
      </c>
      <c r="AT1011" s="634"/>
      <c r="AU1011" s="634"/>
      <c r="AV1011" s="634"/>
      <c r="AW1011" s="634"/>
      <c r="AX1011" s="634"/>
      <c r="AY1011" s="634"/>
      <c r="AZ1011" s="634"/>
      <c r="BA1011" s="634"/>
      <c r="BB1011" s="634"/>
      <c r="BC1011" s="634"/>
      <c r="BD1011" s="634"/>
      <c r="BE1011" s="634"/>
      <c r="BF1011" s="634"/>
      <c r="BG1011" s="634"/>
      <c r="BH1011" s="634"/>
      <c r="BI1011" s="634"/>
    </row>
    <row r="1012" spans="1:61" ht="15" customHeight="1" x14ac:dyDescent="0.25">
      <c r="A1012" s="2371">
        <v>7</v>
      </c>
      <c r="B1012" s="2385" t="s">
        <v>860</v>
      </c>
      <c r="C1012" s="2382" t="s">
        <v>428</v>
      </c>
      <c r="D1012" s="2382"/>
      <c r="E1012" s="2374"/>
      <c r="F1012" s="2374"/>
      <c r="G1012" s="2373" t="s">
        <v>3974</v>
      </c>
      <c r="H1012" s="2375" t="s">
        <v>3972</v>
      </c>
      <c r="I1012" s="4"/>
      <c r="J1012" s="667" t="s">
        <v>428</v>
      </c>
      <c r="K1012" s="927"/>
      <c r="L1012" s="1778" t="s">
        <v>868</v>
      </c>
      <c r="M1012" s="1014"/>
      <c r="N1012" s="1042"/>
      <c r="O1012" s="1042"/>
      <c r="P1012" s="756"/>
      <c r="Q1012" s="756"/>
      <c r="R1012" s="634"/>
      <c r="S1012" s="634"/>
      <c r="T1012" s="634"/>
      <c r="U1012" s="634"/>
      <c r="V1012" s="634"/>
      <c r="W1012" s="634"/>
      <c r="X1012" s="1757"/>
      <c r="Y1012" s="2081" t="str">
        <f>IF(LEN('Ch7'!X142)=0,"None",'Ch7'!X142)</f>
        <v>None</v>
      </c>
      <c r="Z1012" s="2083"/>
      <c r="AA1012" s="1526"/>
      <c r="AB1012" s="634"/>
      <c r="AC1012" s="970"/>
      <c r="AD1012" s="970"/>
      <c r="AE1012" s="970"/>
      <c r="AF1012" s="634"/>
      <c r="AG1012" s="634"/>
      <c r="AH1012" s="634"/>
      <c r="AI1012" s="634"/>
      <c r="AJ1012" s="634"/>
      <c r="AK1012" s="634"/>
      <c r="AL1012" s="1336"/>
      <c r="AM1012" s="1336"/>
      <c r="AN1012" s="1336"/>
      <c r="AO1012" s="1336"/>
      <c r="AP1012" s="1336"/>
      <c r="AQ1012" s="1336"/>
      <c r="AR1012" s="254" t="str">
        <f>SUBSTITUTE(SUBSTITUTE(SUBSTITUTE("vnt"&amp;$B1012&amp;$C1012&amp;$D1012&amp;$E1012,".","_"),"(","_"),")","")</f>
        <v>vnt701_4_3_2_1_8</v>
      </c>
      <c r="AS1012" s="254" t="str">
        <f>IF(LEN(X1012)=0,"",X1012)</f>
        <v/>
      </c>
      <c r="AT1012" s="634"/>
      <c r="AU1012" s="634"/>
      <c r="AV1012" s="634"/>
      <c r="AW1012" s="634"/>
      <c r="AX1012" s="634"/>
      <c r="AY1012" s="634"/>
      <c r="AZ1012" s="634"/>
      <c r="BA1012" s="634"/>
      <c r="BB1012" s="634"/>
      <c r="BC1012" s="634"/>
      <c r="BD1012" s="634"/>
      <c r="BE1012" s="634"/>
      <c r="BF1012" s="634"/>
      <c r="BG1012" s="634"/>
      <c r="BH1012" s="634"/>
      <c r="BI1012" s="634"/>
    </row>
    <row r="1013" spans="1:61" x14ac:dyDescent="0.25">
      <c r="A1013" s="2371">
        <v>7</v>
      </c>
      <c r="B1013" s="2385" t="s">
        <v>860</v>
      </c>
      <c r="C1013" s="2382" t="s">
        <v>428</v>
      </c>
      <c r="D1013" s="2382"/>
      <c r="E1013" s="2374"/>
      <c r="F1013" s="2374"/>
      <c r="G1013" s="2373" t="s">
        <v>3974</v>
      </c>
      <c r="H1013" s="2375" t="s">
        <v>3972</v>
      </c>
      <c r="I1013" s="4"/>
      <c r="J1013" s="667"/>
      <c r="K1013" s="929"/>
      <c r="L1013" s="1779"/>
      <c r="M1013" s="1014"/>
      <c r="N1013" s="1042"/>
      <c r="O1013" s="1042"/>
      <c r="P1013" s="756"/>
      <c r="Q1013" s="756"/>
      <c r="R1013" s="634"/>
      <c r="S1013" s="634"/>
      <c r="T1013" s="634"/>
      <c r="U1013" s="634"/>
      <c r="V1013" s="634"/>
      <c r="W1013" s="634"/>
      <c r="X1013" s="1757"/>
      <c r="Y1013" s="2081"/>
      <c r="Z1013" s="2083"/>
      <c r="AA1013" s="1526"/>
      <c r="AB1013" s="634"/>
      <c r="AC1013" s="970"/>
      <c r="AD1013" s="970"/>
      <c r="AE1013" s="970"/>
      <c r="AF1013" s="634"/>
      <c r="AG1013" s="634"/>
      <c r="AH1013" s="634"/>
      <c r="AI1013" s="634"/>
      <c r="AJ1013" s="634"/>
      <c r="AK1013" s="634"/>
      <c r="AL1013" s="1336"/>
      <c r="AM1013" s="1336"/>
      <c r="AN1013" s="1336"/>
      <c r="AO1013" s="1336"/>
      <c r="AP1013" s="1336"/>
      <c r="AQ1013" s="1336"/>
      <c r="AR1013" s="1336"/>
      <c r="AS1013" s="1336"/>
      <c r="AT1013" s="634"/>
      <c r="AU1013" s="634"/>
      <c r="AV1013" s="634"/>
      <c r="AW1013" s="634"/>
      <c r="AX1013" s="634"/>
      <c r="AY1013" s="634"/>
      <c r="AZ1013" s="634"/>
      <c r="BA1013" s="634"/>
      <c r="BB1013" s="634"/>
      <c r="BC1013" s="634"/>
      <c r="BD1013" s="634"/>
      <c r="BE1013" s="634"/>
      <c r="BF1013" s="634"/>
      <c r="BG1013" s="634"/>
      <c r="BH1013" s="634"/>
      <c r="BI1013" s="634"/>
    </row>
    <row r="1014" spans="1:61" x14ac:dyDescent="0.25">
      <c r="A1014" s="2371">
        <v>7</v>
      </c>
      <c r="B1014" s="2385" t="s">
        <v>860</v>
      </c>
      <c r="C1014" s="2382" t="s">
        <v>428</v>
      </c>
      <c r="D1014" s="2382"/>
      <c r="E1014" s="2374"/>
      <c r="F1014" s="2374"/>
      <c r="G1014" s="2373" t="s">
        <v>3974</v>
      </c>
      <c r="H1014" s="2375" t="s">
        <v>3972</v>
      </c>
      <c r="I1014" s="4"/>
      <c r="J1014" s="684"/>
      <c r="K1014" s="913"/>
      <c r="L1014" s="1755"/>
      <c r="M1014" s="1014"/>
      <c r="N1014" s="1042"/>
      <c r="O1014" s="1042"/>
      <c r="P1014" s="756"/>
      <c r="Q1014" s="756"/>
      <c r="R1014" s="634"/>
      <c r="S1014" s="634"/>
      <c r="T1014" s="634"/>
      <c r="U1014" s="634"/>
      <c r="V1014" s="634"/>
      <c r="W1014" s="634"/>
      <c r="X1014" s="1757"/>
      <c r="Y1014" s="2081"/>
      <c r="Z1014" s="2083"/>
      <c r="AA1014" s="1526"/>
      <c r="AB1014" s="634"/>
      <c r="AC1014" s="970"/>
      <c r="AD1014" s="970"/>
      <c r="AE1014" s="970"/>
      <c r="AF1014" s="634"/>
      <c r="AG1014" s="634"/>
      <c r="AH1014" s="634"/>
      <c r="AI1014" s="634"/>
      <c r="AJ1014" s="634"/>
      <c r="AK1014" s="634"/>
      <c r="AL1014" s="1336"/>
      <c r="AM1014" s="1336"/>
      <c r="AN1014" s="1336"/>
      <c r="AO1014" s="1336"/>
      <c r="AP1014" s="1336"/>
      <c r="AQ1014" s="1336"/>
      <c r="AR1014" s="1336"/>
      <c r="AS1014" s="1336"/>
      <c r="AT1014" s="634"/>
      <c r="AU1014" s="634"/>
      <c r="AV1014" s="634"/>
      <c r="AW1014" s="634"/>
      <c r="AX1014" s="634"/>
      <c r="AY1014" s="634"/>
      <c r="AZ1014" s="634"/>
      <c r="BA1014" s="634"/>
      <c r="BB1014" s="634"/>
      <c r="BC1014" s="634"/>
      <c r="BD1014" s="634"/>
      <c r="BE1014" s="634"/>
      <c r="BF1014" s="634"/>
      <c r="BG1014" s="634"/>
      <c r="BH1014" s="634"/>
      <c r="BI1014" s="634"/>
    </row>
    <row r="1015" spans="1:61" ht="15" customHeight="1" x14ac:dyDescent="0.25">
      <c r="A1015" s="2371">
        <v>7</v>
      </c>
      <c r="B1015" s="2385" t="s">
        <v>860</v>
      </c>
      <c r="C1015" s="2382" t="s">
        <v>430</v>
      </c>
      <c r="D1015" s="2382"/>
      <c r="E1015" s="2374"/>
      <c r="F1015" s="2374"/>
      <c r="G1015" s="2373" t="s">
        <v>3974</v>
      </c>
      <c r="H1015" s="2375" t="s">
        <v>3972</v>
      </c>
      <c r="I1015" s="129"/>
      <c r="J1015" s="667" t="s">
        <v>430</v>
      </c>
      <c r="K1015" s="929"/>
      <c r="L1015" s="1787" t="s">
        <v>4253</v>
      </c>
      <c r="M1015" s="1010"/>
      <c r="N1015" s="1044"/>
      <c r="O1015" s="1044"/>
      <c r="P1015" s="94"/>
      <c r="Q1015" s="94"/>
      <c r="R1015" s="94"/>
      <c r="S1015" s="94"/>
      <c r="T1015" s="94"/>
      <c r="U1015" s="94"/>
      <c r="V1015" s="94"/>
      <c r="W1015" s="94"/>
      <c r="X1015" s="1757"/>
      <c r="Y1015" s="2081" t="str">
        <f>IF(LEN('Ch7'!X145)=0,"None",'Ch7'!X145)</f>
        <v>None</v>
      </c>
      <c r="Z1015" s="2083"/>
      <c r="AA1015" s="1526"/>
      <c r="AB1015" s="634"/>
      <c r="AC1015" s="970"/>
      <c r="AD1015" s="970"/>
      <c r="AE1015" s="970"/>
      <c r="AF1015" s="634"/>
      <c r="AG1015" s="634"/>
      <c r="AH1015" s="634"/>
      <c r="AI1015" s="634"/>
      <c r="AJ1015" s="634"/>
      <c r="AK1015" s="634"/>
      <c r="AL1015" s="1336"/>
      <c r="AM1015" s="1336"/>
      <c r="AN1015" s="1336"/>
      <c r="AO1015" s="1336"/>
      <c r="AP1015" s="1336"/>
      <c r="AQ1015" s="1336"/>
      <c r="AR1015" s="254" t="str">
        <f>SUBSTITUTE(SUBSTITUTE(SUBSTITUTE("vnt"&amp;$B1015&amp;$C1015&amp;$D1015&amp;$E1015,".","_"),"(","_"),")","")</f>
        <v>vnt701_4_3_2_1_9</v>
      </c>
      <c r="AS1015" s="254" t="str">
        <f>IF(LEN(X1015)=0,"",X1015)</f>
        <v/>
      </c>
      <c r="AT1015" s="634"/>
      <c r="AU1015" s="634"/>
      <c r="AV1015" s="634"/>
      <c r="AW1015" s="634"/>
      <c r="AX1015" s="634"/>
      <c r="AY1015" s="634"/>
      <c r="AZ1015" s="634"/>
      <c r="BA1015" s="634"/>
      <c r="BB1015" s="634"/>
      <c r="BC1015" s="634"/>
      <c r="BD1015" s="634"/>
      <c r="BE1015" s="634"/>
      <c r="BF1015" s="634"/>
      <c r="BG1015" s="634"/>
      <c r="BH1015" s="634"/>
      <c r="BI1015" s="634"/>
    </row>
    <row r="1016" spans="1:61" x14ac:dyDescent="0.25">
      <c r="A1016" s="2371">
        <v>7</v>
      </c>
      <c r="B1016" s="2385" t="s">
        <v>860</v>
      </c>
      <c r="C1016" s="2382" t="s">
        <v>430</v>
      </c>
      <c r="D1016" s="2382"/>
      <c r="E1016" s="2374"/>
      <c r="F1016" s="2374"/>
      <c r="G1016" s="2373" t="s">
        <v>3974</v>
      </c>
      <c r="H1016" s="2375" t="s">
        <v>3972</v>
      </c>
      <c r="I1016" s="210"/>
      <c r="J1016" s="230"/>
      <c r="K1016" s="929"/>
      <c r="L1016" s="1787"/>
      <c r="M1016" s="1010"/>
      <c r="N1016" s="1047"/>
      <c r="O1016" s="1044"/>
      <c r="P1016" s="178"/>
      <c r="Q1016" s="178"/>
      <c r="R1016" s="178"/>
      <c r="S1016" s="178"/>
      <c r="T1016" s="178"/>
      <c r="U1016" s="178"/>
      <c r="V1016" s="178"/>
      <c r="W1016" s="178"/>
      <c r="X1016" s="1757"/>
      <c r="Y1016" s="2081"/>
      <c r="Z1016" s="2083"/>
      <c r="AA1016" s="1526"/>
      <c r="AB1016" s="634"/>
      <c r="AC1016" s="970"/>
      <c r="AD1016" s="970"/>
      <c r="AE1016" s="970"/>
      <c r="AF1016" s="634"/>
      <c r="AG1016" s="634"/>
      <c r="AH1016" s="634"/>
      <c r="AI1016" s="634"/>
      <c r="AJ1016" s="634"/>
      <c r="AK1016" s="634"/>
      <c r="AL1016" s="1336"/>
      <c r="AM1016" s="1336"/>
      <c r="AN1016" s="1336"/>
      <c r="AO1016" s="1336"/>
      <c r="AP1016" s="1336"/>
      <c r="AQ1016" s="1336"/>
      <c r="AR1016" s="1336"/>
      <c r="AS1016" s="1336"/>
      <c r="AT1016" s="634"/>
      <c r="AU1016" s="634"/>
      <c r="AV1016" s="634"/>
      <c r="AW1016" s="634"/>
      <c r="AX1016" s="634"/>
      <c r="AY1016" s="634"/>
      <c r="AZ1016" s="634"/>
      <c r="BA1016" s="634"/>
      <c r="BB1016" s="634"/>
      <c r="BC1016" s="634"/>
      <c r="BD1016" s="634"/>
      <c r="BE1016" s="634"/>
      <c r="BF1016" s="634"/>
      <c r="BG1016" s="634"/>
      <c r="BH1016" s="634"/>
      <c r="BI1016" s="634"/>
    </row>
    <row r="1017" spans="1:61" ht="15" customHeight="1" x14ac:dyDescent="0.25">
      <c r="A1017" s="2371">
        <v>7</v>
      </c>
      <c r="B1017" s="2385" t="s">
        <v>869</v>
      </c>
      <c r="C1017" s="2385"/>
      <c r="D1017" s="2374"/>
      <c r="E1017" s="2374"/>
      <c r="F1017" s="2374"/>
      <c r="G1017" s="2373" t="s">
        <v>3974</v>
      </c>
      <c r="H1017" s="2371" t="s">
        <v>3972</v>
      </c>
      <c r="I1017" s="192" t="s">
        <v>869</v>
      </c>
      <c r="J1017" s="641"/>
      <c r="K1017" s="641"/>
      <c r="L1017" s="1864" t="s">
        <v>4373</v>
      </c>
      <c r="M1017" s="1016"/>
      <c r="N1017" s="1056"/>
      <c r="O1017" s="1056"/>
      <c r="P1017" s="195"/>
      <c r="Q1017" s="195"/>
      <c r="R1017" s="195"/>
      <c r="S1017" s="195"/>
      <c r="T1017" s="195"/>
      <c r="U1017" s="195"/>
      <c r="V1017" s="195"/>
      <c r="W1017" s="195" t="s">
        <v>5818</v>
      </c>
      <c r="X1017" s="1757"/>
      <c r="Y1017" s="2081" t="str">
        <f>IF(LEN('Ch7'!X147)=0,"None",'Ch7'!X147)</f>
        <v>None</v>
      </c>
      <c r="Z1017" s="2083"/>
      <c r="AA1017" s="1526"/>
      <c r="AB1017" s="634"/>
      <c r="AC1017" s="970"/>
      <c r="AD1017" s="970"/>
      <c r="AE1017" s="970"/>
      <c r="AF1017" s="634"/>
      <c r="AG1017" s="634"/>
      <c r="AH1017" s="634"/>
      <c r="AI1017" s="634"/>
      <c r="AJ1017" s="634"/>
      <c r="AK1017" s="634"/>
      <c r="AL1017" s="1336"/>
      <c r="AM1017" s="1336"/>
      <c r="AN1017" s="1336"/>
      <c r="AO1017" s="1336"/>
      <c r="AP1017" s="1336"/>
      <c r="AQ1017" s="1336"/>
      <c r="AR1017" s="254" t="str">
        <f>SUBSTITUTE(SUBSTITUTE(SUBSTITUTE("vnt"&amp;$B1017&amp;$C1017&amp;$D1017&amp;$E1017,".","_"),"(","_"),")","")</f>
        <v>vnt701_4_3_3</v>
      </c>
      <c r="AS1017" s="254" t="str">
        <f>IF(LEN(X1017)=0,"",X1017)</f>
        <v/>
      </c>
      <c r="AT1017" s="634"/>
      <c r="AU1017" s="634"/>
      <c r="AV1017" s="634"/>
      <c r="AW1017" s="634"/>
      <c r="AX1017" s="634"/>
      <c r="AY1017" s="634"/>
      <c r="AZ1017" s="634"/>
      <c r="BA1017" s="634"/>
      <c r="BB1017" s="634"/>
      <c r="BC1017" s="634"/>
      <c r="BD1017" s="634"/>
      <c r="BE1017" s="634"/>
      <c r="BF1017" s="634"/>
      <c r="BG1017" s="634"/>
      <c r="BH1017" s="634"/>
      <c r="BI1017" s="634"/>
    </row>
    <row r="1018" spans="1:61" x14ac:dyDescent="0.25">
      <c r="A1018" s="2371">
        <v>7</v>
      </c>
      <c r="B1018" s="2385" t="s">
        <v>869</v>
      </c>
      <c r="C1018" s="2385"/>
      <c r="D1018" s="2374"/>
      <c r="E1018" s="2374"/>
      <c r="F1018" s="2374"/>
      <c r="G1018" s="2373" t="s">
        <v>3974</v>
      </c>
      <c r="H1018" s="2371" t="s">
        <v>3972</v>
      </c>
      <c r="I1018" s="130"/>
      <c r="J1018" s="636"/>
      <c r="K1018" s="636"/>
      <c r="L1018" s="1796"/>
      <c r="M1018" s="1010"/>
      <c r="N1018" s="1044"/>
      <c r="O1018" s="1044"/>
      <c r="P1018" s="94"/>
      <c r="Q1018" s="94"/>
      <c r="R1018" s="94"/>
      <c r="S1018" s="94"/>
      <c r="T1018" s="94"/>
      <c r="U1018" s="94"/>
      <c r="V1018" s="94"/>
      <c r="W1018" s="94"/>
      <c r="X1018" s="1757"/>
      <c r="Y1018" s="2081"/>
      <c r="Z1018" s="2083"/>
      <c r="AA1018" s="1526"/>
      <c r="AB1018" s="634"/>
      <c r="AC1018" s="970"/>
      <c r="AD1018" s="970"/>
      <c r="AE1018" s="970"/>
      <c r="AF1018" s="634"/>
      <c r="AG1018" s="634"/>
      <c r="AH1018" s="634"/>
      <c r="AI1018" s="634"/>
      <c r="AJ1018" s="634"/>
      <c r="AK1018" s="634"/>
      <c r="AL1018" s="1336"/>
      <c r="AM1018" s="1336"/>
      <c r="AN1018" s="1336"/>
      <c r="AO1018" s="1336"/>
      <c r="AP1018" s="1336"/>
      <c r="AQ1018" s="1336"/>
      <c r="AR1018" s="1336"/>
      <c r="AS1018" s="1336"/>
      <c r="AT1018" s="634"/>
      <c r="AU1018" s="634"/>
      <c r="AV1018" s="634"/>
      <c r="AW1018" s="634"/>
      <c r="AX1018" s="634"/>
      <c r="AY1018" s="634"/>
      <c r="AZ1018" s="634"/>
      <c r="BA1018" s="634"/>
      <c r="BB1018" s="634"/>
      <c r="BC1018" s="634"/>
      <c r="BD1018" s="634"/>
      <c r="BE1018" s="634"/>
      <c r="BF1018" s="634"/>
      <c r="BG1018" s="634"/>
      <c r="BH1018" s="634"/>
      <c r="BI1018" s="634"/>
    </row>
    <row r="1019" spans="1:61" x14ac:dyDescent="0.25">
      <c r="A1019" s="2371">
        <v>7</v>
      </c>
      <c r="B1019" s="2385" t="s">
        <v>869</v>
      </c>
      <c r="C1019" s="2385"/>
      <c r="D1019" s="2374"/>
      <c r="E1019" s="2374"/>
      <c r="F1019" s="2374"/>
      <c r="G1019" s="2373" t="s">
        <v>3974</v>
      </c>
      <c r="H1019" s="2371" t="s">
        <v>3972</v>
      </c>
      <c r="I1019" s="215"/>
      <c r="J1019" s="637"/>
      <c r="K1019" s="637"/>
      <c r="L1019" s="1843"/>
      <c r="M1019" s="1015"/>
      <c r="N1019" s="1047"/>
      <c r="O1019" s="1047"/>
      <c r="P1019" s="178"/>
      <c r="Q1019" s="178"/>
      <c r="R1019" s="178"/>
      <c r="S1019" s="178"/>
      <c r="T1019" s="178"/>
      <c r="U1019" s="178"/>
      <c r="V1019" s="178"/>
      <c r="W1019" s="178"/>
      <c r="X1019" s="1757"/>
      <c r="Y1019" s="2081"/>
      <c r="Z1019" s="2083"/>
      <c r="AA1019" s="1526"/>
      <c r="AB1019" s="634"/>
      <c r="AC1019" s="970"/>
      <c r="AD1019" s="970"/>
      <c r="AE1019" s="970"/>
      <c r="AF1019" s="634"/>
      <c r="AG1019" s="634"/>
      <c r="AH1019" s="634"/>
      <c r="AI1019" s="634"/>
      <c r="AJ1019" s="634"/>
      <c r="AK1019" s="634"/>
      <c r="AL1019" s="1336"/>
      <c r="AM1019" s="1336"/>
      <c r="AN1019" s="1336"/>
      <c r="AO1019" s="1336"/>
      <c r="AP1019" s="1336"/>
      <c r="AQ1019" s="1336"/>
      <c r="AR1019" s="1336"/>
      <c r="AS1019" s="1336"/>
      <c r="AT1019" s="634"/>
      <c r="AU1019" s="634"/>
      <c r="AV1019" s="634"/>
      <c r="AW1019" s="634"/>
      <c r="AX1019" s="634"/>
      <c r="AY1019" s="634"/>
      <c r="AZ1019" s="634"/>
      <c r="BA1019" s="634"/>
      <c r="BB1019" s="634"/>
      <c r="BC1019" s="634"/>
      <c r="BD1019" s="634"/>
      <c r="BE1019" s="634"/>
      <c r="BF1019" s="634"/>
      <c r="BG1019" s="634"/>
      <c r="BH1019" s="634"/>
      <c r="BI1019" s="634"/>
    </row>
    <row r="1020" spans="1:61" ht="15" customHeight="1" x14ac:dyDescent="0.25">
      <c r="A1020" s="2371">
        <v>7</v>
      </c>
      <c r="B1020" s="2385" t="s">
        <v>870</v>
      </c>
      <c r="C1020" s="2385"/>
      <c r="D1020" s="2374"/>
      <c r="E1020" s="2374"/>
      <c r="F1020" s="2374"/>
      <c r="G1020" s="2373" t="s">
        <v>3974</v>
      </c>
      <c r="H1020" s="2371" t="s">
        <v>3972</v>
      </c>
      <c r="I1020" s="192" t="s">
        <v>870</v>
      </c>
      <c r="J1020" s="641"/>
      <c r="K1020" s="641"/>
      <c r="L1020" s="1864" t="s">
        <v>4254</v>
      </c>
      <c r="M1020" s="1872" t="str">
        <f ca="1">IF(R1020,"Mandatory","N/A")</f>
        <v>Mandatory</v>
      </c>
      <c r="N1020" s="1056"/>
      <c r="O1020" s="1056"/>
      <c r="P1020" s="94" t="b">
        <v>1</v>
      </c>
      <c r="Q1020" s="94" t="b">
        <v>1</v>
      </c>
      <c r="R1020" s="195" t="b">
        <f ca="1">S1020</f>
        <v>1</v>
      </c>
      <c r="S1020" s="195" t="b">
        <f ca="1">NOT(S883=4)</f>
        <v>1</v>
      </c>
      <c r="T1020" s="195" t="b">
        <f ca="1">AND(NOT(S1020),W1020=TRUE)</f>
        <v>0</v>
      </c>
      <c r="U1020" s="195"/>
      <c r="V1020" s="195"/>
      <c r="W1020" s="25"/>
      <c r="X1020" s="1757"/>
      <c r="Y1020" s="2081" t="str">
        <f>IF(LEN('Ch7'!X150)=0,"None",'Ch7'!X150)</f>
        <v>None</v>
      </c>
      <c r="Z1020" s="2083"/>
      <c r="AA1020" s="1526"/>
      <c r="AB1020" s="634"/>
      <c r="AC1020" s="970" t="b">
        <f ca="1">OR(AD1020:AE1020)</f>
        <v>1</v>
      </c>
      <c r="AD1020" s="970" t="b">
        <f ca="1">T1020</f>
        <v>0</v>
      </c>
      <c r="AE1020" s="970" t="b">
        <f ca="1">AND(R1020,NOT(W1020))</f>
        <v>1</v>
      </c>
      <c r="AF1020" s="784"/>
      <c r="AG1020" s="634"/>
      <c r="AH1020" s="634"/>
      <c r="AI1020" s="634"/>
      <c r="AJ1020" s="634"/>
      <c r="AK1020" s="634"/>
      <c r="AL1020" s="254" t="str">
        <f>SUBSTITUTE(SUBSTITUTE(SUBSTITUTE("vpa"&amp;$B1020&amp;$C1020&amp;$D1020&amp;$E1020,".","_"),"(","_"),")","")</f>
        <v>vpa701_4_3_4</v>
      </c>
      <c r="AM1020" s="254" t="str">
        <f ca="1">M1020</f>
        <v>Mandatory</v>
      </c>
      <c r="AN1020" s="1336"/>
      <c r="AO1020" s="1336"/>
      <c r="AP1020" s="254" t="str">
        <f>SUBSTITUTE(SUBSTITUTE(SUBSTITUTE("vch"&amp;$B1020&amp;$C1020&amp;$D1020&amp;$E1020,".","_"),"(","_"),")","")</f>
        <v>vch701_4_3_4</v>
      </c>
      <c r="AQ1020" s="254" t="str">
        <f>IF(LEN(W1020)=0,"",W1020)</f>
        <v/>
      </c>
      <c r="AR1020" s="254" t="str">
        <f>SUBSTITUTE(SUBSTITUTE(SUBSTITUTE("vnt"&amp;$B1020&amp;$C1020&amp;$D1020&amp;$E1020,".","_"),"(","_"),")","")</f>
        <v>vnt701_4_3_4</v>
      </c>
      <c r="AS1020" s="254" t="str">
        <f>IF(LEN(X1020)=0,"",X1020)</f>
        <v/>
      </c>
      <c r="AT1020" s="634"/>
      <c r="AU1020" s="634"/>
      <c r="AV1020" s="634"/>
      <c r="AW1020" s="634"/>
      <c r="AX1020" s="634"/>
      <c r="AY1020" s="634"/>
      <c r="AZ1020" s="634"/>
      <c r="BA1020" s="634"/>
      <c r="BB1020" s="634"/>
      <c r="BC1020" s="634"/>
      <c r="BD1020" s="634"/>
      <c r="BE1020" s="634"/>
      <c r="BF1020" s="634"/>
      <c r="BG1020" s="634"/>
      <c r="BH1020" s="634"/>
      <c r="BI1020" s="634"/>
    </row>
    <row r="1021" spans="1:61" x14ac:dyDescent="0.25">
      <c r="A1021" s="2371">
        <v>7</v>
      </c>
      <c r="B1021" s="2385" t="s">
        <v>870</v>
      </c>
      <c r="C1021" s="2385"/>
      <c r="D1021" s="2374"/>
      <c r="E1021" s="2374"/>
      <c r="F1021" s="2374"/>
      <c r="G1021" s="2373" t="s">
        <v>3974</v>
      </c>
      <c r="H1021" s="2371" t="s">
        <v>3972</v>
      </c>
      <c r="I1021" s="129"/>
      <c r="J1021" s="636"/>
      <c r="K1021" s="636"/>
      <c r="L1021" s="1796"/>
      <c r="M1021" s="1837"/>
      <c r="N1021" s="1044"/>
      <c r="O1021" s="1044"/>
      <c r="P1021" s="94"/>
      <c r="Q1021" s="94"/>
      <c r="R1021" s="94"/>
      <c r="S1021" s="94"/>
      <c r="T1021" s="94"/>
      <c r="U1021" s="94"/>
      <c r="V1021" s="94"/>
      <c r="W1021" s="94"/>
      <c r="X1021" s="1757"/>
      <c r="Y1021" s="2081"/>
      <c r="Z1021" s="2083"/>
      <c r="AA1021" s="1526"/>
      <c r="AB1021" s="634"/>
      <c r="AC1021" s="970"/>
      <c r="AD1021" s="970"/>
      <c r="AE1021" s="970"/>
      <c r="AF1021" s="634"/>
      <c r="AG1021" s="634"/>
      <c r="AH1021" s="634"/>
      <c r="AI1021" s="634"/>
      <c r="AJ1021" s="634"/>
      <c r="AK1021" s="634"/>
      <c r="AL1021" s="1336"/>
      <c r="AM1021" s="1336"/>
      <c r="AN1021" s="1336"/>
      <c r="AO1021" s="1336"/>
      <c r="AP1021" s="1336"/>
      <c r="AQ1021" s="1336"/>
      <c r="AR1021" s="1336"/>
      <c r="AS1021" s="1336"/>
      <c r="AT1021" s="634"/>
      <c r="AU1021" s="634"/>
      <c r="AV1021" s="634"/>
      <c r="AW1021" s="634"/>
      <c r="AX1021" s="634"/>
      <c r="AY1021" s="634"/>
      <c r="AZ1021" s="634"/>
      <c r="BA1021" s="634"/>
      <c r="BB1021" s="634"/>
      <c r="BC1021" s="634"/>
      <c r="BD1021" s="634"/>
      <c r="BE1021" s="634"/>
      <c r="BF1021" s="634"/>
      <c r="BG1021" s="634"/>
      <c r="BH1021" s="634"/>
      <c r="BI1021" s="634"/>
    </row>
    <row r="1022" spans="1:61" s="868" customFormat="1" x14ac:dyDescent="0.25">
      <c r="A1022" s="2371">
        <v>7</v>
      </c>
      <c r="B1022" s="2385" t="s">
        <v>870</v>
      </c>
      <c r="C1022" s="2385"/>
      <c r="D1022" s="2374"/>
      <c r="E1022" s="2374"/>
      <c r="F1022" s="2374"/>
      <c r="G1022" s="2373" t="s">
        <v>3974</v>
      </c>
      <c r="H1022" s="2371" t="s">
        <v>3972</v>
      </c>
      <c r="I1022" s="129"/>
      <c r="J1022" s="885"/>
      <c r="K1022" s="885"/>
      <c r="L1022" s="1796"/>
      <c r="M1022" s="1837"/>
      <c r="N1022" s="1044"/>
      <c r="O1022" s="1044"/>
      <c r="P1022" s="94"/>
      <c r="Q1022" s="94"/>
      <c r="R1022" s="94"/>
      <c r="S1022" s="94"/>
      <c r="T1022" s="94"/>
      <c r="U1022" s="94"/>
      <c r="V1022" s="94"/>
      <c r="W1022" s="94"/>
      <c r="X1022" s="1757"/>
      <c r="Y1022" s="2081"/>
      <c r="Z1022" s="2083"/>
      <c r="AA1022" s="1526"/>
      <c r="AC1022" s="970"/>
      <c r="AD1022" s="970"/>
      <c r="AE1022" s="970"/>
      <c r="AL1022" s="1336"/>
      <c r="AM1022" s="1336"/>
      <c r="AN1022" s="1336"/>
      <c r="AO1022" s="1336"/>
      <c r="AP1022" s="1336"/>
      <c r="AQ1022" s="1336"/>
      <c r="AR1022" s="1336"/>
      <c r="AS1022" s="1336"/>
    </row>
    <row r="1023" spans="1:61" s="868" customFormat="1" x14ac:dyDescent="0.25">
      <c r="A1023" s="2371">
        <v>7</v>
      </c>
      <c r="B1023" s="2385" t="s">
        <v>870</v>
      </c>
      <c r="C1023" s="2385"/>
      <c r="D1023" s="2374"/>
      <c r="E1023" s="2374"/>
      <c r="F1023" s="2374"/>
      <c r="G1023" s="2373" t="s">
        <v>3974</v>
      </c>
      <c r="H1023" s="2371" t="s">
        <v>3972</v>
      </c>
      <c r="I1023" s="129"/>
      <c r="J1023" s="885"/>
      <c r="K1023" s="885"/>
      <c r="L1023" s="1796"/>
      <c r="M1023" s="1837"/>
      <c r="N1023" s="1044"/>
      <c r="O1023" s="1044"/>
      <c r="P1023" s="94"/>
      <c r="Q1023" s="94"/>
      <c r="R1023" s="94"/>
      <c r="S1023" s="94"/>
      <c r="T1023" s="94"/>
      <c r="U1023" s="94"/>
      <c r="V1023" s="94"/>
      <c r="W1023" s="94"/>
      <c r="X1023" s="1757"/>
      <c r="Y1023" s="2081"/>
      <c r="Z1023" s="2083"/>
      <c r="AA1023" s="1526"/>
      <c r="AC1023" s="970"/>
      <c r="AD1023" s="970"/>
      <c r="AE1023" s="970"/>
      <c r="AL1023" s="1336"/>
      <c r="AM1023" s="1336"/>
      <c r="AN1023" s="1336"/>
      <c r="AO1023" s="1336"/>
      <c r="AP1023" s="1336"/>
      <c r="AQ1023" s="1336"/>
      <c r="AR1023" s="1336"/>
      <c r="AS1023" s="1336"/>
    </row>
    <row r="1024" spans="1:61" s="868" customFormat="1" x14ac:dyDescent="0.25">
      <c r="A1024" s="2371">
        <v>7</v>
      </c>
      <c r="B1024" s="2385" t="s">
        <v>870</v>
      </c>
      <c r="C1024" s="2385"/>
      <c r="D1024" s="2374"/>
      <c r="E1024" s="2374"/>
      <c r="F1024" s="2374"/>
      <c r="G1024" s="2373" t="s">
        <v>3974</v>
      </c>
      <c r="H1024" s="2371" t="s">
        <v>3972</v>
      </c>
      <c r="I1024" s="129"/>
      <c r="J1024" s="885"/>
      <c r="K1024" s="885"/>
      <c r="L1024" s="1796"/>
      <c r="M1024" s="1837"/>
      <c r="N1024" s="1044"/>
      <c r="O1024" s="1044"/>
      <c r="P1024" s="94"/>
      <c r="Q1024" s="94"/>
      <c r="R1024" s="94"/>
      <c r="S1024" s="94"/>
      <c r="T1024" s="94"/>
      <c r="U1024" s="94"/>
      <c r="V1024" s="94"/>
      <c r="W1024" s="94"/>
      <c r="X1024" s="1757"/>
      <c r="Y1024" s="2081"/>
      <c r="Z1024" s="2083"/>
      <c r="AA1024" s="1526"/>
      <c r="AC1024" s="970"/>
      <c r="AD1024" s="970"/>
      <c r="AE1024" s="970"/>
      <c r="AL1024" s="1336"/>
      <c r="AM1024" s="1336"/>
      <c r="AN1024" s="1336"/>
      <c r="AO1024" s="1336"/>
      <c r="AP1024" s="1336"/>
      <c r="AQ1024" s="1336"/>
      <c r="AR1024" s="1336"/>
      <c r="AS1024" s="1336"/>
    </row>
    <row r="1025" spans="1:61" s="868" customFormat="1" x14ac:dyDescent="0.25">
      <c r="A1025" s="2371">
        <v>7</v>
      </c>
      <c r="B1025" s="2385" t="s">
        <v>870</v>
      </c>
      <c r="C1025" s="2385"/>
      <c r="D1025" s="2374"/>
      <c r="E1025" s="2374"/>
      <c r="F1025" s="2374"/>
      <c r="G1025" s="2373" t="s">
        <v>3974</v>
      </c>
      <c r="H1025" s="2371" t="s">
        <v>3972</v>
      </c>
      <c r="I1025" s="129"/>
      <c r="J1025" s="885"/>
      <c r="K1025" s="885"/>
      <c r="L1025" s="1796"/>
      <c r="M1025" s="1837"/>
      <c r="N1025" s="1044"/>
      <c r="O1025" s="1044"/>
      <c r="P1025" s="94"/>
      <c r="Q1025" s="94"/>
      <c r="R1025" s="94"/>
      <c r="S1025" s="94"/>
      <c r="T1025" s="94"/>
      <c r="U1025" s="94"/>
      <c r="V1025" s="94"/>
      <c r="W1025" s="94"/>
      <c r="X1025" s="1757"/>
      <c r="Y1025" s="2081"/>
      <c r="Z1025" s="2083"/>
      <c r="AA1025" s="1526"/>
      <c r="AC1025" s="970"/>
      <c r="AD1025" s="970"/>
      <c r="AE1025" s="970"/>
      <c r="AL1025" s="1336"/>
      <c r="AM1025" s="1336"/>
      <c r="AN1025" s="1336"/>
      <c r="AO1025" s="1336"/>
      <c r="AP1025" s="1336"/>
      <c r="AQ1025" s="1336"/>
      <c r="AR1025" s="1336"/>
      <c r="AS1025" s="1336"/>
    </row>
    <row r="1026" spans="1:61" x14ac:dyDescent="0.25">
      <c r="A1026" s="2371">
        <v>7</v>
      </c>
      <c r="B1026" s="2385" t="s">
        <v>870</v>
      </c>
      <c r="C1026" s="2385"/>
      <c r="D1026" s="2374"/>
      <c r="E1026" s="2374"/>
      <c r="F1026" s="2374"/>
      <c r="G1026" s="2373" t="s">
        <v>3974</v>
      </c>
      <c r="H1026" s="2371" t="s">
        <v>3972</v>
      </c>
      <c r="I1026" s="129"/>
      <c r="J1026" s="636"/>
      <c r="K1026" s="636"/>
      <c r="L1026" s="1796"/>
      <c r="M1026" s="1837"/>
      <c r="N1026" s="1044"/>
      <c r="O1026" s="1044"/>
      <c r="P1026" s="94"/>
      <c r="Q1026" s="94"/>
      <c r="R1026" s="94"/>
      <c r="S1026" s="94"/>
      <c r="T1026" s="94"/>
      <c r="U1026" s="94"/>
      <c r="V1026" s="94"/>
      <c r="W1026" s="94"/>
      <c r="X1026" s="1757"/>
      <c r="Y1026" s="2081"/>
      <c r="Z1026" s="2083"/>
      <c r="AA1026" s="1526"/>
      <c r="AB1026" s="634"/>
      <c r="AC1026" s="970"/>
      <c r="AD1026" s="970"/>
      <c r="AE1026" s="970"/>
      <c r="AF1026" s="634"/>
      <c r="AG1026" s="634"/>
      <c r="AH1026" s="634"/>
      <c r="AI1026" s="634"/>
      <c r="AJ1026" s="634"/>
      <c r="AK1026" s="634"/>
      <c r="AL1026" s="1336"/>
      <c r="AM1026" s="1336"/>
      <c r="AN1026" s="1336"/>
      <c r="AO1026" s="1336"/>
      <c r="AP1026" s="1336"/>
      <c r="AQ1026" s="1336"/>
      <c r="AR1026" s="1336"/>
      <c r="AS1026" s="1336"/>
      <c r="AT1026" s="634"/>
      <c r="AU1026" s="634"/>
      <c r="AV1026" s="634"/>
      <c r="AW1026" s="634"/>
      <c r="AX1026" s="634"/>
      <c r="AY1026" s="634"/>
      <c r="AZ1026" s="634"/>
      <c r="BA1026" s="634"/>
      <c r="BB1026" s="634"/>
      <c r="BC1026" s="634"/>
      <c r="BD1026" s="634"/>
      <c r="BE1026" s="634"/>
      <c r="BF1026" s="634"/>
      <c r="BG1026" s="634"/>
      <c r="BH1026" s="634"/>
      <c r="BI1026" s="634"/>
    </row>
    <row r="1027" spans="1:61" x14ac:dyDescent="0.25">
      <c r="A1027" s="2371">
        <v>7</v>
      </c>
      <c r="B1027" s="2385" t="s">
        <v>870</v>
      </c>
      <c r="C1027" s="2385"/>
      <c r="D1027" s="2374"/>
      <c r="E1027" s="2374"/>
      <c r="F1027" s="2374"/>
      <c r="G1027" s="2373" t="s">
        <v>3974</v>
      </c>
      <c r="H1027" s="2371" t="s">
        <v>3972</v>
      </c>
      <c r="I1027" s="129"/>
      <c r="J1027" s="636"/>
      <c r="K1027" s="636"/>
      <c r="L1027" s="1796" t="s">
        <v>4255</v>
      </c>
      <c r="M1027" s="1837"/>
      <c r="N1027" s="1044"/>
      <c r="O1027" s="1044"/>
      <c r="P1027" s="94"/>
      <c r="Q1027" s="94"/>
      <c r="R1027" s="94"/>
      <c r="S1027" s="94"/>
      <c r="T1027" s="94"/>
      <c r="U1027" s="94"/>
      <c r="V1027" s="94"/>
      <c r="W1027" s="94"/>
      <c r="X1027" s="1757"/>
      <c r="Y1027" s="2081"/>
      <c r="Z1027" s="2083"/>
      <c r="AA1027" s="1526"/>
      <c r="AB1027" s="634"/>
      <c r="AC1027" s="970"/>
      <c r="AD1027" s="970"/>
      <c r="AE1027" s="970"/>
      <c r="AF1027" s="634"/>
      <c r="AG1027" s="634"/>
      <c r="AH1027" s="634"/>
      <c r="AI1027" s="634"/>
      <c r="AJ1027" s="634"/>
      <c r="AK1027" s="634"/>
      <c r="AL1027" s="1336"/>
      <c r="AM1027" s="1336"/>
      <c r="AN1027" s="1336"/>
      <c r="AO1027" s="1336"/>
      <c r="AP1027" s="1336"/>
      <c r="AQ1027" s="1336"/>
      <c r="AR1027" s="1336"/>
      <c r="AS1027" s="1336"/>
      <c r="AT1027" s="634"/>
      <c r="AU1027" s="634"/>
      <c r="AV1027" s="634"/>
      <c r="AW1027" s="634"/>
      <c r="AX1027" s="634"/>
      <c r="AY1027" s="634"/>
      <c r="AZ1027" s="634"/>
      <c r="BA1027" s="634"/>
      <c r="BB1027" s="634"/>
      <c r="BC1027" s="634"/>
      <c r="BD1027" s="634"/>
      <c r="BE1027" s="634"/>
      <c r="BF1027" s="634"/>
      <c r="BG1027" s="634"/>
      <c r="BH1027" s="634"/>
      <c r="BI1027" s="634"/>
    </row>
    <row r="1028" spans="1:61" x14ac:dyDescent="0.25">
      <c r="A1028" s="2371">
        <v>7</v>
      </c>
      <c r="B1028" s="2385" t="s">
        <v>870</v>
      </c>
      <c r="C1028" s="2385"/>
      <c r="D1028" s="2374"/>
      <c r="E1028" s="2374"/>
      <c r="F1028" s="2374"/>
      <c r="G1028" s="2373" t="s">
        <v>3974</v>
      </c>
      <c r="H1028" s="2371" t="s">
        <v>3972</v>
      </c>
      <c r="I1028" s="129"/>
      <c r="J1028" s="636"/>
      <c r="K1028" s="636"/>
      <c r="L1028" s="1796"/>
      <c r="M1028" s="1837"/>
      <c r="N1028" s="1044"/>
      <c r="O1028" s="1044"/>
      <c r="P1028" s="94"/>
      <c r="Q1028" s="94"/>
      <c r="R1028" s="94"/>
      <c r="S1028" s="94"/>
      <c r="T1028" s="94"/>
      <c r="U1028" s="94"/>
      <c r="V1028" s="94"/>
      <c r="W1028" s="94"/>
      <c r="X1028" s="1757"/>
      <c r="Y1028" s="2081"/>
      <c r="Z1028" s="2083"/>
      <c r="AA1028" s="1526"/>
      <c r="AB1028" s="634"/>
      <c r="AC1028" s="970"/>
      <c r="AD1028" s="970"/>
      <c r="AE1028" s="970"/>
      <c r="AF1028" s="634"/>
      <c r="AG1028" s="634"/>
      <c r="AH1028" s="634"/>
      <c r="AI1028" s="634"/>
      <c r="AJ1028" s="634"/>
      <c r="AK1028" s="634"/>
      <c r="AL1028" s="1336"/>
      <c r="AM1028" s="1336"/>
      <c r="AN1028" s="1336"/>
      <c r="AO1028" s="1336"/>
      <c r="AP1028" s="1336"/>
      <c r="AQ1028" s="1336"/>
      <c r="AR1028" s="1336"/>
      <c r="AS1028" s="1336"/>
      <c r="AT1028" s="634"/>
      <c r="AU1028" s="634"/>
      <c r="AV1028" s="634"/>
      <c r="AW1028" s="634"/>
      <c r="AX1028" s="634"/>
      <c r="AY1028" s="634"/>
      <c r="AZ1028" s="634"/>
      <c r="BA1028" s="634"/>
      <c r="BB1028" s="634"/>
      <c r="BC1028" s="634"/>
      <c r="BD1028" s="634"/>
      <c r="BE1028" s="634"/>
      <c r="BF1028" s="634"/>
      <c r="BG1028" s="634"/>
      <c r="BH1028" s="634"/>
      <c r="BI1028" s="634"/>
    </row>
    <row r="1029" spans="1:61" x14ac:dyDescent="0.25">
      <c r="A1029" s="2371">
        <v>7</v>
      </c>
      <c r="B1029" s="2385" t="s">
        <v>870</v>
      </c>
      <c r="C1029" s="2385"/>
      <c r="D1029" s="2374"/>
      <c r="E1029" s="2374"/>
      <c r="F1029" s="2374"/>
      <c r="G1029" s="2373" t="s">
        <v>3974</v>
      </c>
      <c r="H1029" s="2371" t="s">
        <v>3972</v>
      </c>
      <c r="I1029" s="210"/>
      <c r="J1029" s="637"/>
      <c r="K1029" s="637"/>
      <c r="L1029" s="1843"/>
      <c r="M1029" s="1844"/>
      <c r="N1029" s="1047"/>
      <c r="O1029" s="1047"/>
      <c r="P1029" s="178"/>
      <c r="Q1029" s="178"/>
      <c r="R1029" s="178"/>
      <c r="S1029" s="178"/>
      <c r="T1029" s="178"/>
      <c r="U1029" s="178"/>
      <c r="V1029" s="178"/>
      <c r="W1029" s="178"/>
      <c r="X1029" s="1757"/>
      <c r="Y1029" s="2081"/>
      <c r="Z1029" s="2083"/>
      <c r="AA1029" s="1526"/>
      <c r="AB1029" s="634"/>
      <c r="AC1029" s="970"/>
      <c r="AD1029" s="970"/>
      <c r="AE1029" s="970"/>
      <c r="AF1029" s="634"/>
      <c r="AG1029" s="634"/>
      <c r="AH1029" s="634"/>
      <c r="AI1029" s="634"/>
      <c r="AJ1029" s="634"/>
      <c r="AK1029" s="634"/>
      <c r="AL1029" s="1336"/>
      <c r="AM1029" s="1336"/>
      <c r="AN1029" s="1336"/>
      <c r="AO1029" s="1336"/>
      <c r="AP1029" s="1336"/>
      <c r="AQ1029" s="1336"/>
      <c r="AR1029" s="1336"/>
      <c r="AS1029" s="1336"/>
      <c r="AT1029" s="634"/>
      <c r="AU1029" s="634"/>
      <c r="AV1029" s="634"/>
      <c r="AW1029" s="634"/>
      <c r="AX1029" s="634"/>
      <c r="AY1029" s="634"/>
      <c r="AZ1029" s="634"/>
      <c r="BA1029" s="634"/>
      <c r="BB1029" s="634"/>
      <c r="BC1029" s="634"/>
      <c r="BD1029" s="634"/>
      <c r="BE1029" s="634"/>
      <c r="BF1029" s="634"/>
      <c r="BG1029" s="634"/>
      <c r="BH1029" s="634"/>
      <c r="BI1029" s="634"/>
    </row>
    <row r="1030" spans="1:61" ht="15" customHeight="1" x14ac:dyDescent="0.25">
      <c r="A1030" s="2371">
        <v>7</v>
      </c>
      <c r="B1030" s="2385" t="s">
        <v>871</v>
      </c>
      <c r="C1030" s="2385"/>
      <c r="D1030" s="2374"/>
      <c r="E1030" s="2374"/>
      <c r="F1030" s="2374"/>
      <c r="G1030" s="2373" t="s">
        <v>3974</v>
      </c>
      <c r="H1030" s="2371" t="s">
        <v>3971</v>
      </c>
      <c r="I1030" s="192" t="s">
        <v>871</v>
      </c>
      <c r="J1030" s="641"/>
      <c r="K1030" s="641"/>
      <c r="L1030" s="1835" t="s">
        <v>4256</v>
      </c>
      <c r="M1030" s="1872" t="str">
        <f ca="1">IF(R1030,"Mandatory","N/A")</f>
        <v>Mandatory</v>
      </c>
      <c r="N1030" s="1056"/>
      <c r="O1030" s="1056"/>
      <c r="P1030" s="94" t="b">
        <v>1</v>
      </c>
      <c r="Q1030" s="94" t="b">
        <v>1</v>
      </c>
      <c r="R1030" s="195" t="b">
        <f ca="1">S1030</f>
        <v>1</v>
      </c>
      <c r="S1030" s="195" t="b">
        <f ca="1">NOT(S883=4)</f>
        <v>1</v>
      </c>
      <c r="T1030" s="195" t="b">
        <f ca="1">AND(NOT(S1030),LEN(W1030)&gt;0)</f>
        <v>0</v>
      </c>
      <c r="U1030" s="195" t="str">
        <f>SUBSTITUTE(SUBSTITUTE(SUBSTITUTE("dd"&amp;B1030&amp;C1030&amp;D1030&amp;E1030&amp;F1030,".","_"),"(","_"),")","")</f>
        <v>dd701_4_3_5</v>
      </c>
      <c r="V1030" s="195"/>
      <c r="W1030" s="12"/>
      <c r="X1030" s="1757"/>
      <c r="Y1030" s="2081" t="str">
        <f>IF(LEN('Ch7'!X160)=0,"None",'Ch7'!X160)</f>
        <v>None</v>
      </c>
      <c r="Z1030" s="2083"/>
      <c r="AA1030" s="1526"/>
      <c r="AB1030" s="634"/>
      <c r="AC1030" s="970" t="b">
        <f ca="1">OR(AD1030:AE1030)</f>
        <v>1</v>
      </c>
      <c r="AD1030" s="970" t="b">
        <f ca="1">T1030</f>
        <v>0</v>
      </c>
      <c r="AE1030" s="970" t="b">
        <f ca="1">AND(R1030,OR(W1030="Not Met",W1030=""))</f>
        <v>1</v>
      </c>
      <c r="AF1030" s="784"/>
      <c r="AG1030" s="634"/>
      <c r="AH1030" s="634"/>
      <c r="AI1030" s="634"/>
      <c r="AJ1030" s="634"/>
      <c r="AK1030" s="634"/>
      <c r="AL1030" s="254" t="str">
        <f>SUBSTITUTE(SUBSTITUTE(SUBSTITUTE("vpa"&amp;$B1030&amp;$C1030&amp;$D1030&amp;$E1030,".","_"),"(","_"),")","")</f>
        <v>vpa701_4_3_5</v>
      </c>
      <c r="AM1030" s="254" t="str">
        <f ca="1">M1030</f>
        <v>Mandatory</v>
      </c>
      <c r="AN1030" s="1336"/>
      <c r="AO1030" s="1336"/>
      <c r="AP1030" s="254" t="str">
        <f>SUBSTITUTE(SUBSTITUTE(SUBSTITUTE("vch"&amp;$B1030&amp;$C1030&amp;$D1030&amp;$E1030,".","_"),"(","_"),")","")</f>
        <v>vch701_4_3_5</v>
      </c>
      <c r="AQ1030" s="254" t="str">
        <f>IF(LEN(W1030)=0,"",W1030)</f>
        <v/>
      </c>
      <c r="AR1030" s="254" t="str">
        <f>SUBSTITUTE(SUBSTITUTE(SUBSTITUTE("vnt"&amp;$B1030&amp;$C1030&amp;$D1030&amp;$E1030,".","_"),"(","_"),")","")</f>
        <v>vnt701_4_3_5</v>
      </c>
      <c r="AS1030" s="254" t="str">
        <f>IF(LEN(X1030)=0,"",X1030)</f>
        <v/>
      </c>
      <c r="AT1030" s="634"/>
      <c r="AU1030" s="634"/>
      <c r="AV1030" s="634"/>
      <c r="AW1030" s="634"/>
      <c r="AX1030" s="634"/>
      <c r="AY1030" s="634"/>
      <c r="AZ1030" s="634"/>
      <c r="BA1030" s="634"/>
      <c r="BB1030" s="634"/>
      <c r="BC1030" s="634"/>
      <c r="BD1030" s="634"/>
      <c r="BE1030" s="634"/>
      <c r="BF1030" s="634"/>
      <c r="BG1030" s="634"/>
      <c r="BH1030" s="634"/>
      <c r="BI1030" s="634"/>
    </row>
    <row r="1031" spans="1:61" x14ac:dyDescent="0.25">
      <c r="A1031" s="2371">
        <v>7</v>
      </c>
      <c r="B1031" s="2385" t="s">
        <v>871</v>
      </c>
      <c r="C1031" s="2385"/>
      <c r="D1031" s="2374"/>
      <c r="E1031" s="2374"/>
      <c r="F1031" s="2374"/>
      <c r="G1031" s="2373" t="s">
        <v>3974</v>
      </c>
      <c r="H1031" s="2371" t="s">
        <v>3971</v>
      </c>
      <c r="I1031" s="129"/>
      <c r="J1031" s="636"/>
      <c r="K1031" s="636"/>
      <c r="L1031" s="1833"/>
      <c r="M1031" s="1837"/>
      <c r="N1031" s="1044"/>
      <c r="O1031" s="1044"/>
      <c r="P1031" s="94"/>
      <c r="Q1031" s="94"/>
      <c r="R1031" s="94"/>
      <c r="S1031" s="94"/>
      <c r="T1031" s="94"/>
      <c r="U1031" s="94"/>
      <c r="V1031" s="94"/>
      <c r="W1031" s="94"/>
      <c r="X1031" s="1757"/>
      <c r="Y1031" s="2081"/>
      <c r="Z1031" s="2083"/>
      <c r="AA1031" s="1526"/>
      <c r="AB1031" s="634"/>
      <c r="AC1031" s="970"/>
      <c r="AD1031" s="970"/>
      <c r="AE1031" s="970"/>
      <c r="AF1031" s="634"/>
      <c r="AG1031" s="634"/>
      <c r="AH1031" s="634"/>
      <c r="AI1031" s="634"/>
      <c r="AJ1031" s="634"/>
      <c r="AK1031" s="634"/>
      <c r="AL1031" s="1336"/>
      <c r="AM1031" s="1336"/>
      <c r="AN1031" s="1336"/>
      <c r="AO1031" s="1336"/>
      <c r="AP1031" s="1336"/>
      <c r="AQ1031" s="1336"/>
      <c r="AR1031" s="1336"/>
      <c r="AS1031" s="1336"/>
      <c r="AT1031" s="634"/>
      <c r="AU1031" s="634"/>
      <c r="AV1031" s="634"/>
      <c r="AW1031" s="634"/>
      <c r="AX1031" s="634"/>
      <c r="AY1031" s="634"/>
      <c r="AZ1031" s="634"/>
      <c r="BA1031" s="634"/>
      <c r="BB1031" s="634"/>
      <c r="BC1031" s="634"/>
      <c r="BD1031" s="634"/>
      <c r="BE1031" s="634"/>
      <c r="BF1031" s="634"/>
      <c r="BG1031" s="634"/>
      <c r="BH1031" s="634"/>
      <c r="BI1031" s="634"/>
    </row>
    <row r="1032" spans="1:61" s="1060" customFormat="1" x14ac:dyDescent="0.25">
      <c r="A1032" s="2371">
        <v>7</v>
      </c>
      <c r="B1032" s="2385" t="s">
        <v>871</v>
      </c>
      <c r="C1032" s="2385"/>
      <c r="D1032" s="2374"/>
      <c r="E1032" s="2374"/>
      <c r="F1032" s="2374"/>
      <c r="G1032" s="2373" t="s">
        <v>3974</v>
      </c>
      <c r="H1032" s="2371" t="s">
        <v>3971</v>
      </c>
      <c r="I1032" s="129"/>
      <c r="J1032" s="1061"/>
      <c r="K1032" s="1061"/>
      <c r="L1032" s="1833"/>
      <c r="M1032" s="1837"/>
      <c r="N1032" s="1063"/>
      <c r="O1032" s="1063"/>
      <c r="P1032" s="94"/>
      <c r="Q1032" s="94"/>
      <c r="R1032" s="94"/>
      <c r="S1032" s="94"/>
      <c r="T1032" s="94"/>
      <c r="U1032" s="94"/>
      <c r="V1032" s="94"/>
      <c r="W1032" s="94"/>
      <c r="X1032" s="1757"/>
      <c r="Y1032" s="2081"/>
      <c r="Z1032" s="2083"/>
      <c r="AA1032" s="1526"/>
      <c r="AL1032" s="1336"/>
      <c r="AM1032" s="1336"/>
      <c r="AN1032" s="1336"/>
      <c r="AO1032" s="1336"/>
      <c r="AP1032" s="1336"/>
      <c r="AQ1032" s="1336"/>
      <c r="AR1032" s="1336"/>
      <c r="AS1032" s="1336"/>
    </row>
    <row r="1033" spans="1:61" x14ac:dyDescent="0.25">
      <c r="A1033" s="2371">
        <v>7</v>
      </c>
      <c r="B1033" s="2385" t="s">
        <v>871</v>
      </c>
      <c r="C1033" s="2385"/>
      <c r="D1033" s="2374"/>
      <c r="E1033" s="2374"/>
      <c r="F1033" s="2374"/>
      <c r="G1033" s="2373" t="s">
        <v>3974</v>
      </c>
      <c r="H1033" s="2371" t="s">
        <v>3971</v>
      </c>
      <c r="I1033" s="129"/>
      <c r="J1033" s="636"/>
      <c r="K1033" s="636"/>
      <c r="L1033" s="1833"/>
      <c r="M1033" s="1837"/>
      <c r="N1033" s="1044"/>
      <c r="O1033" s="1044"/>
      <c r="P1033" s="94"/>
      <c r="Q1033" s="94"/>
      <c r="R1033" s="94"/>
      <c r="S1033" s="94"/>
      <c r="T1033" s="94"/>
      <c r="U1033" s="94"/>
      <c r="V1033" s="94"/>
      <c r="W1033" s="94"/>
      <c r="X1033" s="1757"/>
      <c r="Y1033" s="2081"/>
      <c r="Z1033" s="2083"/>
      <c r="AA1033" s="1526"/>
      <c r="AB1033" s="634"/>
      <c r="AC1033" s="970"/>
      <c r="AD1033" s="970"/>
      <c r="AE1033" s="970"/>
      <c r="AF1033" s="634"/>
      <c r="AG1033" s="634"/>
      <c r="AH1033" s="634"/>
      <c r="AI1033" s="634"/>
      <c r="AJ1033" s="634"/>
      <c r="AK1033" s="634"/>
      <c r="AL1033" s="1336"/>
      <c r="AM1033" s="1336"/>
      <c r="AN1033" s="1336"/>
      <c r="AO1033" s="1336"/>
      <c r="AP1033" s="1336"/>
      <c r="AQ1033" s="1336"/>
      <c r="AR1033" s="1336"/>
      <c r="AS1033" s="1336"/>
      <c r="AT1033" s="634"/>
      <c r="AU1033" s="634"/>
      <c r="AV1033" s="634"/>
      <c r="AW1033" s="634"/>
      <c r="AX1033" s="634"/>
      <c r="AY1033" s="634"/>
      <c r="AZ1033" s="634"/>
      <c r="BA1033" s="634"/>
      <c r="BB1033" s="634"/>
      <c r="BC1033" s="634"/>
      <c r="BD1033" s="634"/>
      <c r="BE1033" s="634"/>
      <c r="BF1033" s="634"/>
      <c r="BG1033" s="634"/>
      <c r="BH1033" s="634"/>
      <c r="BI1033" s="634"/>
    </row>
    <row r="1034" spans="1:61" s="868" customFormat="1" x14ac:dyDescent="0.25">
      <c r="A1034" s="2371">
        <v>7</v>
      </c>
      <c r="B1034" s="2385" t="s">
        <v>871</v>
      </c>
      <c r="C1034" s="2385"/>
      <c r="D1034" s="2374"/>
      <c r="E1034" s="2374"/>
      <c r="F1034" s="2374"/>
      <c r="G1034" s="2373" t="s">
        <v>3974</v>
      </c>
      <c r="H1034" s="2371" t="s">
        <v>3971</v>
      </c>
      <c r="I1034" s="129"/>
      <c r="J1034" s="885"/>
      <c r="K1034" s="885"/>
      <c r="L1034" s="1833"/>
      <c r="M1034" s="1837"/>
      <c r="N1034" s="1044"/>
      <c r="O1034" s="1044"/>
      <c r="P1034" s="94"/>
      <c r="Q1034" s="94"/>
      <c r="R1034" s="94"/>
      <c r="S1034" s="94"/>
      <c r="T1034" s="94"/>
      <c r="U1034" s="94"/>
      <c r="V1034" s="94"/>
      <c r="W1034" s="94"/>
      <c r="X1034" s="1757"/>
      <c r="Y1034" s="2081"/>
      <c r="Z1034" s="2083"/>
      <c r="AA1034" s="1526"/>
      <c r="AC1034" s="970"/>
      <c r="AD1034" s="970"/>
      <c r="AE1034" s="970"/>
      <c r="AL1034" s="1336"/>
      <c r="AM1034" s="1336"/>
      <c r="AN1034" s="1336"/>
      <c r="AO1034" s="1336"/>
      <c r="AP1034" s="1336"/>
      <c r="AQ1034" s="1336"/>
      <c r="AR1034" s="1336"/>
      <c r="AS1034" s="1336"/>
    </row>
    <row r="1035" spans="1:61" x14ac:dyDescent="0.25">
      <c r="A1035" s="2371">
        <v>7</v>
      </c>
      <c r="B1035" s="2385" t="s">
        <v>871</v>
      </c>
      <c r="C1035" s="2385"/>
      <c r="D1035" s="2374"/>
      <c r="E1035" s="2374"/>
      <c r="F1035" s="2374"/>
      <c r="G1035" s="2373" t="s">
        <v>3974</v>
      </c>
      <c r="H1035" s="2371" t="s">
        <v>3971</v>
      </c>
      <c r="I1035" s="129"/>
      <c r="J1035" s="636"/>
      <c r="K1035" s="636"/>
      <c r="L1035" s="1833"/>
      <c r="M1035" s="1837"/>
      <c r="N1035" s="1044"/>
      <c r="O1035" s="1044"/>
      <c r="P1035" s="94"/>
      <c r="Q1035" s="94"/>
      <c r="R1035" s="94"/>
      <c r="S1035" s="94"/>
      <c r="T1035" s="94"/>
      <c r="U1035" s="94"/>
      <c r="V1035" s="94"/>
      <c r="W1035" s="94"/>
      <c r="X1035" s="1757"/>
      <c r="Y1035" s="2081"/>
      <c r="Z1035" s="2083"/>
      <c r="AA1035" s="1526"/>
      <c r="AB1035" s="634"/>
      <c r="AC1035" s="970"/>
      <c r="AD1035" s="970"/>
      <c r="AE1035" s="970"/>
      <c r="AF1035" s="634"/>
      <c r="AG1035" s="634"/>
      <c r="AH1035" s="634"/>
      <c r="AI1035" s="634"/>
      <c r="AJ1035" s="634"/>
      <c r="AK1035" s="634"/>
      <c r="AL1035" s="1336"/>
      <c r="AM1035" s="1336"/>
      <c r="AN1035" s="1336"/>
      <c r="AO1035" s="1336"/>
      <c r="AP1035" s="1336"/>
      <c r="AQ1035" s="1336"/>
      <c r="AR1035" s="1336"/>
      <c r="AS1035" s="1336"/>
      <c r="AT1035" s="634"/>
      <c r="AU1035" s="634"/>
      <c r="AV1035" s="634"/>
      <c r="AW1035" s="634"/>
      <c r="AX1035" s="634"/>
      <c r="AY1035" s="634"/>
      <c r="AZ1035" s="634"/>
      <c r="BA1035" s="634"/>
      <c r="BB1035" s="634"/>
      <c r="BC1035" s="634"/>
      <c r="BD1035" s="634"/>
      <c r="BE1035" s="634"/>
      <c r="BF1035" s="634"/>
      <c r="BG1035" s="634"/>
      <c r="BH1035" s="634"/>
      <c r="BI1035" s="634"/>
    </row>
    <row r="1036" spans="1:61" x14ac:dyDescent="0.25">
      <c r="A1036" s="2371">
        <v>7</v>
      </c>
      <c r="B1036" s="2385" t="s">
        <v>871</v>
      </c>
      <c r="C1036" s="2385"/>
      <c r="D1036" s="2374"/>
      <c r="E1036" s="2374"/>
      <c r="F1036" s="2374"/>
      <c r="G1036" s="2373" t="s">
        <v>3974</v>
      </c>
      <c r="H1036" s="2371" t="s">
        <v>3971</v>
      </c>
      <c r="I1036" s="129"/>
      <c r="J1036" s="636"/>
      <c r="K1036" s="636"/>
      <c r="L1036" s="1833"/>
      <c r="M1036" s="1837"/>
      <c r="N1036" s="1044"/>
      <c r="O1036" s="1044"/>
      <c r="P1036" s="94"/>
      <c r="Q1036" s="94"/>
      <c r="R1036" s="94"/>
      <c r="S1036" s="94"/>
      <c r="T1036" s="94"/>
      <c r="U1036" s="94"/>
      <c r="V1036" s="94"/>
      <c r="W1036" s="94"/>
      <c r="X1036" s="1757"/>
      <c r="Y1036" s="2081"/>
      <c r="Z1036" s="2083"/>
      <c r="AA1036" s="1526"/>
      <c r="AB1036" s="634"/>
      <c r="AC1036" s="970"/>
      <c r="AD1036" s="970"/>
      <c r="AE1036" s="970"/>
      <c r="AF1036" s="634"/>
      <c r="AG1036" s="634"/>
      <c r="AH1036" s="634"/>
      <c r="AI1036" s="634"/>
      <c r="AJ1036" s="634"/>
      <c r="AK1036" s="634"/>
      <c r="AL1036" s="1336"/>
      <c r="AM1036" s="1336"/>
      <c r="AN1036" s="1336"/>
      <c r="AO1036" s="1336"/>
      <c r="AP1036" s="1336"/>
      <c r="AQ1036" s="1336"/>
      <c r="AR1036" s="1336"/>
      <c r="AS1036" s="1336"/>
      <c r="AT1036" s="634"/>
      <c r="AU1036" s="634"/>
      <c r="AV1036" s="634"/>
      <c r="AW1036" s="634"/>
      <c r="AX1036" s="634"/>
      <c r="AY1036" s="634"/>
      <c r="AZ1036" s="634"/>
      <c r="BA1036" s="634"/>
      <c r="BB1036" s="634"/>
      <c r="BC1036" s="634"/>
      <c r="BD1036" s="634"/>
      <c r="BE1036" s="634"/>
      <c r="BF1036" s="634"/>
      <c r="BG1036" s="634"/>
      <c r="BH1036" s="634"/>
      <c r="BI1036" s="634"/>
    </row>
    <row r="1037" spans="1:61" x14ac:dyDescent="0.25">
      <c r="A1037" s="2371">
        <v>7</v>
      </c>
      <c r="B1037" s="2385" t="s">
        <v>871</v>
      </c>
      <c r="C1037" s="2385"/>
      <c r="D1037" s="2374"/>
      <c r="E1037" s="2374"/>
      <c r="F1037" s="2374"/>
      <c r="G1037" s="2373" t="s">
        <v>3974</v>
      </c>
      <c r="H1037" s="2371" t="s">
        <v>3971</v>
      </c>
      <c r="I1037" s="210"/>
      <c r="J1037" s="637"/>
      <c r="K1037" s="637"/>
      <c r="L1037" s="1834"/>
      <c r="M1037" s="1844"/>
      <c r="N1037" s="1047"/>
      <c r="O1037" s="1047"/>
      <c r="P1037" s="178"/>
      <c r="Q1037" s="178"/>
      <c r="R1037" s="178"/>
      <c r="S1037" s="178"/>
      <c r="T1037" s="178"/>
      <c r="U1037" s="178"/>
      <c r="V1037" s="178"/>
      <c r="W1037" s="178"/>
      <c r="X1037" s="1757"/>
      <c r="Y1037" s="2081"/>
      <c r="Z1037" s="2083"/>
      <c r="AA1037" s="1526"/>
      <c r="AB1037" s="634"/>
      <c r="AC1037" s="970"/>
      <c r="AD1037" s="970"/>
      <c r="AE1037" s="970"/>
      <c r="AF1037" s="634"/>
      <c r="AG1037" s="634"/>
      <c r="AH1037" s="634"/>
      <c r="AI1037" s="634"/>
      <c r="AJ1037" s="634"/>
      <c r="AK1037" s="634"/>
      <c r="AL1037" s="1336"/>
      <c r="AM1037" s="1336"/>
      <c r="AN1037" s="1336"/>
      <c r="AO1037" s="1336"/>
      <c r="AP1037" s="1336"/>
      <c r="AQ1037" s="1336"/>
      <c r="AR1037" s="1336"/>
      <c r="AS1037" s="1336"/>
      <c r="AT1037" s="634"/>
      <c r="AU1037" s="634"/>
      <c r="AV1037" s="634"/>
      <c r="AW1037" s="634"/>
      <c r="AX1037" s="634"/>
      <c r="AY1037" s="634"/>
      <c r="AZ1037" s="634"/>
      <c r="BA1037" s="634"/>
      <c r="BB1037" s="634"/>
      <c r="BC1037" s="634"/>
      <c r="BD1037" s="634"/>
      <c r="BE1037" s="634"/>
      <c r="BF1037" s="634"/>
      <c r="BG1037" s="634"/>
      <c r="BH1037" s="634"/>
      <c r="BI1037" s="634"/>
    </row>
    <row r="1038" spans="1:61" ht="15" customHeight="1" x14ac:dyDescent="0.25">
      <c r="A1038" s="2371">
        <v>7</v>
      </c>
      <c r="B1038" s="2385" t="s">
        <v>872</v>
      </c>
      <c r="C1038" s="2381"/>
      <c r="D1038" s="2374"/>
      <c r="E1038" s="2374"/>
      <c r="F1038" s="2374"/>
      <c r="G1038" s="2373" t="s">
        <v>3974</v>
      </c>
      <c r="H1038" s="2371" t="s">
        <v>3971</v>
      </c>
      <c r="I1038" s="64" t="s">
        <v>872</v>
      </c>
      <c r="J1038" s="639"/>
      <c r="K1038" s="639"/>
      <c r="L1038" s="1833" t="s">
        <v>4257</v>
      </c>
      <c r="M1038" s="1837" t="str">
        <f ca="1">IF(S1040,"Mandatory","N/A")</f>
        <v>Mandatory</v>
      </c>
      <c r="N1038" s="1042"/>
      <c r="O1038" s="1042"/>
      <c r="P1038" s="756"/>
      <c r="Q1038" s="756"/>
      <c r="R1038" s="634"/>
      <c r="S1038" s="634"/>
      <c r="T1038" s="634"/>
      <c r="U1038" s="634"/>
      <c r="V1038" s="634"/>
      <c r="W1038" s="634"/>
      <c r="X1038" s="911"/>
      <c r="Y1038" s="634"/>
      <c r="AA1038" s="1526"/>
      <c r="AB1038" s="634"/>
      <c r="AC1038" s="970"/>
      <c r="AD1038" s="970"/>
      <c r="AE1038" s="970"/>
      <c r="AF1038" s="634"/>
      <c r="AG1038" s="634"/>
      <c r="AH1038" s="634"/>
      <c r="AI1038" s="634"/>
      <c r="AJ1038" s="634"/>
      <c r="AK1038" s="634"/>
      <c r="AL1038" s="254" t="str">
        <f>SUBSTITUTE(SUBSTITUTE(SUBSTITUTE("vpa"&amp;$B1038&amp;$C1038&amp;$D1038&amp;$E1038,".","_"),"(","_"),")","")</f>
        <v>vpa701_4_4</v>
      </c>
      <c r="AM1038" s="254" t="str">
        <f ca="1">M1038</f>
        <v>Mandatory</v>
      </c>
      <c r="AN1038" s="1336"/>
      <c r="AO1038" s="1336"/>
      <c r="AP1038" s="1336"/>
      <c r="AQ1038" s="1336"/>
      <c r="AR1038" s="1336"/>
      <c r="AS1038" s="1336"/>
      <c r="AT1038" s="634"/>
      <c r="AU1038" s="634"/>
      <c r="AV1038" s="634"/>
      <c r="AW1038" s="634"/>
      <c r="AX1038" s="634"/>
      <c r="AY1038" s="634"/>
      <c r="AZ1038" s="634"/>
      <c r="BA1038" s="634"/>
      <c r="BB1038" s="634"/>
      <c r="BC1038" s="634"/>
      <c r="BD1038" s="634"/>
      <c r="BE1038" s="634"/>
      <c r="BF1038" s="634"/>
      <c r="BG1038" s="634"/>
      <c r="BH1038" s="634"/>
      <c r="BI1038" s="634"/>
    </row>
    <row r="1039" spans="1:61" x14ac:dyDescent="0.25">
      <c r="A1039" s="2371">
        <v>7</v>
      </c>
      <c r="B1039" s="2385" t="s">
        <v>872</v>
      </c>
      <c r="C1039" s="2381"/>
      <c r="D1039" s="2374"/>
      <c r="E1039" s="2374"/>
      <c r="F1039" s="2374"/>
      <c r="G1039" s="2373" t="s">
        <v>3974</v>
      </c>
      <c r="H1039" s="2371" t="s">
        <v>3971</v>
      </c>
      <c r="I1039" s="4"/>
      <c r="J1039" s="639"/>
      <c r="K1039" s="639"/>
      <c r="L1039" s="1833"/>
      <c r="M1039" s="1837"/>
      <c r="N1039" s="1042"/>
      <c r="O1039" s="1042"/>
      <c r="P1039" s="756"/>
      <c r="Q1039" s="756"/>
      <c r="R1039" s="634"/>
      <c r="S1039" s="634"/>
      <c r="T1039" s="634"/>
      <c r="U1039" s="634"/>
      <c r="V1039" s="634"/>
      <c r="W1039" s="634"/>
      <c r="X1039" s="911"/>
      <c r="Y1039" s="634"/>
      <c r="AA1039" s="1526"/>
      <c r="AB1039" s="634"/>
      <c r="AC1039" s="970"/>
      <c r="AD1039" s="970"/>
      <c r="AE1039" s="970"/>
      <c r="AF1039" s="634"/>
      <c r="AG1039" s="634"/>
      <c r="AH1039" s="634"/>
      <c r="AI1039" s="634"/>
      <c r="AJ1039" s="634"/>
      <c r="AK1039" s="634"/>
      <c r="AL1039" s="1336"/>
      <c r="AM1039" s="1336"/>
      <c r="AN1039" s="1336"/>
      <c r="AO1039" s="1336"/>
      <c r="AP1039" s="1336"/>
      <c r="AQ1039" s="1336"/>
      <c r="AR1039" s="1336"/>
      <c r="AS1039" s="1336"/>
      <c r="AT1039" s="634"/>
      <c r="AU1039" s="634"/>
      <c r="AV1039" s="634"/>
      <c r="AW1039" s="634"/>
      <c r="AX1039" s="634"/>
      <c r="AY1039" s="634"/>
      <c r="AZ1039" s="634"/>
      <c r="BA1039" s="634"/>
      <c r="BB1039" s="634"/>
      <c r="BC1039" s="634"/>
      <c r="BD1039" s="634"/>
      <c r="BE1039" s="634"/>
      <c r="BF1039" s="634"/>
      <c r="BG1039" s="634"/>
      <c r="BH1039" s="634"/>
      <c r="BI1039" s="634"/>
    </row>
    <row r="1040" spans="1:61" x14ac:dyDescent="0.25">
      <c r="A1040" s="2371">
        <v>7</v>
      </c>
      <c r="B1040" s="2385" t="s">
        <v>872</v>
      </c>
      <c r="C1040" s="2374" t="s">
        <v>256</v>
      </c>
      <c r="D1040" s="2393"/>
      <c r="E1040" s="2374"/>
      <c r="F1040" s="2374"/>
      <c r="G1040" s="2373" t="s">
        <v>3974</v>
      </c>
      <c r="H1040" s="2371" t="s">
        <v>3971</v>
      </c>
      <c r="I1040" s="4"/>
      <c r="J1040" s="518" t="s">
        <v>256</v>
      </c>
      <c r="K1040" s="636"/>
      <c r="L1040" s="1754" t="s">
        <v>873</v>
      </c>
      <c r="M1040" s="1014"/>
      <c r="N1040" s="1042"/>
      <c r="O1040" s="1042"/>
      <c r="P1040" s="94" t="b">
        <v>1</v>
      </c>
      <c r="Q1040" s="94" t="b">
        <v>1</v>
      </c>
      <c r="R1040" s="634" t="b">
        <f ca="1">AND(S1040,NOT(W1042))</f>
        <v>1</v>
      </c>
      <c r="S1040" s="634" t="b">
        <f ca="1">NOT(S883=4)</f>
        <v>1</v>
      </c>
      <c r="T1040" s="94" t="b">
        <f ca="1">AND(NOT(S1040),W1040=TRUE)</f>
        <v>0</v>
      </c>
      <c r="U1040" s="634"/>
      <c r="V1040" s="634"/>
      <c r="W1040" s="25"/>
      <c r="X1040" s="1757"/>
      <c r="Y1040" s="2081" t="str">
        <f>IF(LEN('Ch7'!X170)=0,"None",'Ch7'!X170)</f>
        <v>None</v>
      </c>
      <c r="Z1040" s="2083"/>
      <c r="AA1040" s="1526"/>
      <c r="AB1040" s="634"/>
      <c r="AC1040" s="970" t="b">
        <f ca="1">OR(AD1040:AE1040)</f>
        <v>1</v>
      </c>
      <c r="AD1040" s="970" t="b">
        <f ca="1">T1040</f>
        <v>0</v>
      </c>
      <c r="AE1040" s="970" t="b">
        <f ca="1">AND(R1040,NOT(W1040))</f>
        <v>1</v>
      </c>
      <c r="AF1040" s="784"/>
      <c r="AG1040" s="634"/>
      <c r="AH1040" s="634"/>
      <c r="AI1040" s="634"/>
      <c r="AJ1040" s="634"/>
      <c r="AK1040" s="634"/>
      <c r="AL1040" s="1336"/>
      <c r="AM1040" s="1336"/>
      <c r="AN1040" s="1336"/>
      <c r="AO1040" s="1336"/>
      <c r="AP1040" s="254" t="str">
        <f>SUBSTITUTE(SUBSTITUTE(SUBSTITUTE("vch"&amp;$B1040&amp;$C1040&amp;$D1040&amp;$E1040,".","_"),"(","_"),")","")</f>
        <v>vch701_4_4_1</v>
      </c>
      <c r="AQ1040" s="254" t="str">
        <f>IF(LEN(W1040)=0,"",W1040)</f>
        <v/>
      </c>
      <c r="AR1040" s="254" t="str">
        <f>SUBSTITUTE(SUBSTITUTE(SUBSTITUTE("vnt"&amp;$B1040&amp;$C1040&amp;$D1040&amp;$E1040,".","_"),"(","_"),")","")</f>
        <v>vnt701_4_4_1</v>
      </c>
      <c r="AS1040" s="254" t="str">
        <f>IF(LEN(X1040)=0,"",X1040)</f>
        <v/>
      </c>
      <c r="AT1040" s="634"/>
      <c r="AU1040" s="634"/>
      <c r="AV1040" s="634"/>
      <c r="AW1040" s="634"/>
      <c r="AX1040" s="634"/>
      <c r="AY1040" s="634"/>
      <c r="AZ1040" s="634"/>
      <c r="BA1040" s="634"/>
      <c r="BB1040" s="634"/>
      <c r="BC1040" s="634"/>
      <c r="BD1040" s="634"/>
      <c r="BE1040" s="634"/>
      <c r="BF1040" s="634"/>
      <c r="BG1040" s="634"/>
      <c r="BH1040" s="634"/>
      <c r="BI1040" s="634"/>
    </row>
    <row r="1041" spans="1:61" x14ac:dyDescent="0.25">
      <c r="A1041" s="2371">
        <v>7</v>
      </c>
      <c r="B1041" s="2385" t="s">
        <v>872</v>
      </c>
      <c r="C1041" s="2374" t="s">
        <v>256</v>
      </c>
      <c r="D1041" s="2393"/>
      <c r="E1041" s="2374"/>
      <c r="F1041" s="2374"/>
      <c r="G1041" s="2373" t="s">
        <v>3974</v>
      </c>
      <c r="H1041" s="2371" t="s">
        <v>3971</v>
      </c>
      <c r="I1041" s="4"/>
      <c r="J1041" s="530"/>
      <c r="K1041" s="637"/>
      <c r="L1041" s="1755"/>
      <c r="M1041" s="1014"/>
      <c r="N1041" s="1042"/>
      <c r="O1041" s="1042"/>
      <c r="P1041" s="756"/>
      <c r="Q1041" s="756"/>
      <c r="R1041" s="634"/>
      <c r="S1041" s="634"/>
      <c r="T1041" s="634"/>
      <c r="U1041" s="634"/>
      <c r="V1041" s="634"/>
      <c r="W1041" s="634"/>
      <c r="X1041" s="1757"/>
      <c r="Y1041" s="2081"/>
      <c r="Z1041" s="2083"/>
      <c r="AA1041" s="1526"/>
      <c r="AB1041" s="634"/>
      <c r="AC1041" s="970"/>
      <c r="AD1041" s="970"/>
      <c r="AE1041" s="970"/>
      <c r="AF1041" s="634"/>
      <c r="AG1041" s="634"/>
      <c r="AH1041" s="634"/>
      <c r="AI1041" s="634"/>
      <c r="AJ1041" s="634"/>
      <c r="AK1041" s="634"/>
      <c r="AL1041" s="1336"/>
      <c r="AM1041" s="1336"/>
      <c r="AN1041" s="1336"/>
      <c r="AO1041" s="1336"/>
      <c r="AP1041" s="1336"/>
      <c r="AQ1041" s="1336"/>
      <c r="AR1041" s="1336"/>
      <c r="AS1041" s="1336"/>
      <c r="AT1041" s="634"/>
      <c r="AU1041" s="634"/>
      <c r="AV1041" s="634"/>
      <c r="AW1041" s="634"/>
      <c r="AX1041" s="634"/>
      <c r="AY1041" s="634"/>
      <c r="AZ1041" s="634"/>
      <c r="BA1041" s="634"/>
      <c r="BB1041" s="634"/>
      <c r="BC1041" s="634"/>
      <c r="BD1041" s="634"/>
      <c r="BE1041" s="634"/>
      <c r="BF1041" s="634"/>
      <c r="BG1041" s="634"/>
      <c r="BH1041" s="634"/>
      <c r="BI1041" s="634"/>
    </row>
    <row r="1042" spans="1:61" x14ac:dyDescent="0.25">
      <c r="A1042" s="2371">
        <v>7</v>
      </c>
      <c r="B1042" s="2385" t="s">
        <v>872</v>
      </c>
      <c r="C1042" s="2374" t="s">
        <v>258</v>
      </c>
      <c r="D1042" s="2393"/>
      <c r="E1042" s="2374"/>
      <c r="F1042" s="2374"/>
      <c r="G1042" s="2373" t="s">
        <v>3974</v>
      </c>
      <c r="H1042" s="2371" t="s">
        <v>3971</v>
      </c>
      <c r="I1042" s="210"/>
      <c r="J1042" s="530" t="s">
        <v>258</v>
      </c>
      <c r="K1042" s="637"/>
      <c r="L1042" s="1163" t="s">
        <v>874</v>
      </c>
      <c r="M1042" s="1015"/>
      <c r="N1042" s="1047"/>
      <c r="O1042" s="1047"/>
      <c r="P1042" s="94" t="b">
        <v>1</v>
      </c>
      <c r="Q1042" s="94" t="b">
        <v>1</v>
      </c>
      <c r="R1042" s="178" t="b">
        <f ca="1">AND(S1042,NOT(W1040))</f>
        <v>1</v>
      </c>
      <c r="S1042" s="178" t="b">
        <f ca="1">NOT(S883=4)</f>
        <v>1</v>
      </c>
      <c r="T1042" s="178" t="b">
        <f ca="1">AND(NOT(S1042),W1042=TRUE)</f>
        <v>0</v>
      </c>
      <c r="U1042" s="178"/>
      <c r="V1042" s="178"/>
      <c r="W1042" s="25"/>
      <c r="X1042" s="918"/>
      <c r="Y1042" s="988" t="str">
        <f>IF(LEN('Ch7'!X172)=0,"None",'Ch7'!X172)</f>
        <v>None</v>
      </c>
      <c r="Z1042" s="1587"/>
      <c r="AA1042" s="1526"/>
      <c r="AB1042" s="634"/>
      <c r="AC1042" s="970" t="b">
        <f ca="1">OR(AD1042:AE1042)</f>
        <v>1</v>
      </c>
      <c r="AD1042" s="970" t="b">
        <f ca="1">T1042</f>
        <v>0</v>
      </c>
      <c r="AE1042" s="970" t="b">
        <f ca="1">AND(R1042,NOT(W1042))</f>
        <v>1</v>
      </c>
      <c r="AF1042" s="784"/>
      <c r="AG1042" s="634"/>
      <c r="AH1042" s="634"/>
      <c r="AI1042" s="634"/>
      <c r="AJ1042" s="634"/>
      <c r="AK1042" s="634"/>
      <c r="AL1042" s="1336"/>
      <c r="AM1042" s="1336"/>
      <c r="AN1042" s="1336"/>
      <c r="AO1042" s="1336"/>
      <c r="AP1042" s="254" t="str">
        <f>SUBSTITUTE(SUBSTITUTE(SUBSTITUTE("vch"&amp;$B1042&amp;$C1042&amp;$D1042&amp;$E1042,".","_"),"(","_"),")","")</f>
        <v>vch701_4_4_2</v>
      </c>
      <c r="AQ1042" s="254" t="str">
        <f>IF(LEN(W1042)=0,"",W1042)</f>
        <v/>
      </c>
      <c r="AR1042" s="254" t="str">
        <f>SUBSTITUTE(SUBSTITUTE(SUBSTITUTE("vnt"&amp;$B1042&amp;$C1042&amp;$D1042&amp;$E1042,".","_"),"(","_"),")","")</f>
        <v>vnt701_4_4_2</v>
      </c>
      <c r="AS1042" s="254" t="str">
        <f>IF(LEN(X1042)=0,"",X1042)</f>
        <v/>
      </c>
      <c r="AT1042" s="634"/>
      <c r="AU1042" s="634"/>
      <c r="AV1042" s="634"/>
      <c r="AW1042" s="634"/>
      <c r="AX1042" s="634"/>
      <c r="AY1042" s="634"/>
      <c r="AZ1042" s="634"/>
      <c r="BA1042" s="634"/>
      <c r="BB1042" s="634"/>
      <c r="BC1042" s="634"/>
      <c r="BD1042" s="634"/>
      <c r="BE1042" s="634"/>
      <c r="BF1042" s="634"/>
      <c r="BG1042" s="634"/>
      <c r="BH1042" s="634"/>
      <c r="BI1042" s="634"/>
    </row>
    <row r="1043" spans="1:61" x14ac:dyDescent="0.25">
      <c r="A1043" s="2371">
        <v>7</v>
      </c>
      <c r="B1043" s="2385" t="s">
        <v>875</v>
      </c>
      <c r="C1043" s="2381"/>
      <c r="D1043" s="2374"/>
      <c r="E1043" s="2374"/>
      <c r="F1043" s="2374"/>
      <c r="G1043" s="2373" t="s">
        <v>3974</v>
      </c>
      <c r="H1043" s="2371" t="s">
        <v>3972</v>
      </c>
      <c r="I1043" s="64" t="s">
        <v>875</v>
      </c>
      <c r="J1043" s="639"/>
      <c r="K1043" s="639"/>
      <c r="L1043" s="1833" t="s">
        <v>4258</v>
      </c>
      <c r="M1043" s="1872" t="str">
        <f ca="1">IF(R1043,"Mandatory","N/A")</f>
        <v>N/A</v>
      </c>
      <c r="N1043" s="1042"/>
      <c r="O1043" s="1042"/>
      <c r="P1043" s="94" t="b">
        <v>1</v>
      </c>
      <c r="Q1043" s="94" t="b">
        <v>0</v>
      </c>
      <c r="R1043" s="634" t="b">
        <f ca="1">S1043</f>
        <v>0</v>
      </c>
      <c r="S1043" s="634" t="b">
        <f ca="1">AND(NOT(S883=4),OR(AY905=INDEX(INDIRECT('Overview (Design)'!$E$34),2),AY906=INDEX(INDIRECT('Overview (Design)'!$E$34),2),AY907=INDEX(INDIRECT('Overview (Design)'!$E$34),2)))</f>
        <v>0</v>
      </c>
      <c r="T1043" s="94" t="b">
        <f ca="1">AND(NOT(S1043),W1043=TRUE)</f>
        <v>0</v>
      </c>
      <c r="U1043" s="634"/>
      <c r="V1043" s="634"/>
      <c r="W1043" s="25"/>
      <c r="X1043" s="1757"/>
      <c r="Y1043" s="2099" t="str">
        <f>IF(LEN('Ch7'!X173)=0,"None",'Ch7'!X173)</f>
        <v>None</v>
      </c>
      <c r="Z1043" s="2087"/>
      <c r="AA1043" s="1526"/>
      <c r="AB1043" s="634"/>
      <c r="AC1043" s="970" t="b">
        <f ca="1">OR(AD1043:AE1043)</f>
        <v>0</v>
      </c>
      <c r="AD1043" s="970" t="b">
        <f ca="1">T1043</f>
        <v>0</v>
      </c>
      <c r="AE1043" s="970" t="b">
        <f ca="1">AND(R1043,NOT(W1043))</f>
        <v>0</v>
      </c>
      <c r="AF1043" s="634"/>
      <c r="AG1043" s="634"/>
      <c r="AH1043" s="634"/>
      <c r="AI1043" s="634"/>
      <c r="AJ1043" s="634"/>
      <c r="AK1043" s="634"/>
      <c r="AL1043" s="254" t="str">
        <f>SUBSTITUTE(SUBSTITUTE(SUBSTITUTE("vpa"&amp;$B1043&amp;$C1043&amp;$D1043&amp;$E1043,".","_"),"(","_"),")","")</f>
        <v>vpa701_4_5</v>
      </c>
      <c r="AM1043" s="254" t="str">
        <f ca="1">M1043</f>
        <v>N/A</v>
      </c>
      <c r="AN1043" s="1336"/>
      <c r="AO1043" s="1336"/>
      <c r="AP1043" s="254" t="str">
        <f>SUBSTITUTE(SUBSTITUTE(SUBSTITUTE("vch"&amp;$B1043&amp;$C1043&amp;$D1043&amp;$E1043,".","_"),"(","_"),")","")</f>
        <v>vch701_4_5</v>
      </c>
      <c r="AQ1043" s="254" t="str">
        <f>IF(LEN(W1043)=0,"",W1043)</f>
        <v/>
      </c>
      <c r="AR1043" s="254" t="str">
        <f>SUBSTITUTE(SUBSTITUTE(SUBSTITUTE("vnt"&amp;$B1043&amp;$C1043&amp;$D1043&amp;$E1043,".","_"),"(","_"),")","")</f>
        <v>vnt701_4_5</v>
      </c>
      <c r="AS1043" s="254" t="str">
        <f>IF(LEN(X1043)=0,"",X1043)</f>
        <v/>
      </c>
      <c r="AT1043" s="634"/>
      <c r="AU1043" s="634"/>
      <c r="AV1043" s="634"/>
      <c r="AW1043" s="634"/>
      <c r="AX1043" s="634"/>
      <c r="AY1043" s="634"/>
      <c r="AZ1043" s="634"/>
      <c r="BA1043" s="634"/>
      <c r="BB1043" s="634"/>
      <c r="BC1043" s="634"/>
      <c r="BD1043" s="634"/>
      <c r="BE1043" s="634"/>
      <c r="BF1043" s="634"/>
      <c r="BG1043" s="634"/>
      <c r="BH1043" s="634"/>
      <c r="BI1043" s="634"/>
    </row>
    <row r="1044" spans="1:61" x14ac:dyDescent="0.25">
      <c r="A1044" s="2371">
        <v>7</v>
      </c>
      <c r="B1044" s="2385" t="s">
        <v>875</v>
      </c>
      <c r="G1044" s="2373" t="s">
        <v>3974</v>
      </c>
      <c r="H1044" s="2371" t="s">
        <v>3972</v>
      </c>
      <c r="I1044"/>
      <c r="J1044"/>
      <c r="K1044"/>
      <c r="L1044" s="1833"/>
      <c r="M1044" s="1837"/>
      <c r="N1044" s="664"/>
      <c r="O1044" s="664"/>
      <c r="P1044"/>
      <c r="Q1044"/>
      <c r="R1044"/>
      <c r="S1044"/>
      <c r="T1044"/>
      <c r="U1044"/>
      <c r="V1044"/>
      <c r="W1044"/>
      <c r="X1044" s="1757"/>
      <c r="Y1044" s="2100"/>
      <c r="Z1044" s="2091"/>
      <c r="AA1044" s="1526"/>
      <c r="AC1044" s="970"/>
      <c r="AD1044" s="970"/>
      <c r="AE1044" s="970"/>
      <c r="AF1044"/>
      <c r="AG1044"/>
      <c r="AH1044"/>
      <c r="AI1044"/>
      <c r="AJ1044"/>
      <c r="AK1044"/>
      <c r="AL1044" s="1336"/>
      <c r="AM1044" s="1336"/>
      <c r="AN1044" s="1336"/>
      <c r="AO1044" s="1336"/>
      <c r="AP1044" s="1336"/>
      <c r="AQ1044" s="1336"/>
      <c r="AR1044" s="1336"/>
      <c r="AS1044" s="1336"/>
      <c r="AT1044"/>
    </row>
    <row r="1045" spans="1:61" ht="18.75" x14ac:dyDescent="0.3">
      <c r="A1045" s="2371">
        <v>7</v>
      </c>
      <c r="B1045" s="2385">
        <v>702</v>
      </c>
      <c r="C1045" s="2381"/>
      <c r="D1045" s="2374"/>
      <c r="E1045" s="2374"/>
      <c r="F1045" s="2374"/>
      <c r="G1045" s="2373" t="s">
        <v>3974</v>
      </c>
      <c r="H1045" s="2371" t="s">
        <v>3971</v>
      </c>
      <c r="I1045" s="14" t="s">
        <v>876</v>
      </c>
      <c r="J1045" s="84"/>
      <c r="K1045" s="84"/>
      <c r="L1045" s="84"/>
      <c r="M1045" s="390"/>
      <c r="N1045" s="1043"/>
      <c r="O1045" s="1043"/>
      <c r="P1045" s="23"/>
      <c r="Q1045" s="23"/>
      <c r="R1045" s="23"/>
      <c r="S1045" s="23"/>
      <c r="T1045" s="23"/>
      <c r="U1045" s="23"/>
      <c r="V1045" s="23"/>
      <c r="W1045" s="23"/>
      <c r="X1045" s="23"/>
      <c r="Y1045" s="23"/>
      <c r="Z1045" s="1586"/>
      <c r="AA1045" s="1526"/>
      <c r="AB1045" s="634"/>
      <c r="AC1045" s="970"/>
      <c r="AD1045" s="970"/>
      <c r="AE1045" s="970"/>
      <c r="AF1045" s="634"/>
      <c r="AG1045" s="634"/>
      <c r="AH1045" s="634"/>
      <c r="AI1045" s="634"/>
      <c r="AJ1045" s="634"/>
      <c r="AK1045" s="634"/>
      <c r="AL1045" s="1336"/>
      <c r="AM1045" s="1336"/>
      <c r="AN1045" s="1336"/>
      <c r="AO1045" s="1336"/>
      <c r="AP1045" s="1336"/>
      <c r="AQ1045" s="1336"/>
      <c r="AR1045" s="1336"/>
      <c r="AS1045" s="1336"/>
      <c r="AT1045" s="634"/>
      <c r="AU1045" s="634"/>
      <c r="AV1045" s="634"/>
      <c r="AW1045" s="634"/>
      <c r="AX1045" s="634"/>
      <c r="AY1045" s="634"/>
      <c r="AZ1045" s="634"/>
      <c r="BA1045" s="634"/>
      <c r="BB1045" s="634"/>
      <c r="BC1045" s="634"/>
      <c r="BD1045" s="634"/>
      <c r="BE1045" s="634"/>
      <c r="BF1045" s="634"/>
      <c r="BG1045" s="634"/>
      <c r="BH1045" s="634"/>
      <c r="BI1045" s="634"/>
    </row>
    <row r="1046" spans="1:61" x14ac:dyDescent="0.25">
      <c r="A1046" s="2371">
        <v>7</v>
      </c>
      <c r="B1046" s="2385">
        <v>702.1</v>
      </c>
      <c r="C1046" s="2381"/>
      <c r="D1046" s="2374"/>
      <c r="E1046" s="2374"/>
      <c r="F1046" s="2374"/>
      <c r="G1046" s="2371"/>
      <c r="H1046" s="2371"/>
      <c r="I1046" s="130">
        <v>702.1</v>
      </c>
      <c r="J1046" s="636"/>
      <c r="K1046" s="636"/>
      <c r="L1046" s="1782" t="s">
        <v>4857</v>
      </c>
      <c r="M1046" s="455"/>
      <c r="N1046" s="1044"/>
      <c r="O1046" s="1044"/>
      <c r="P1046" s="94"/>
      <c r="Q1046" s="94"/>
      <c r="R1046" s="94"/>
      <c r="S1046" s="94"/>
      <c r="T1046" s="94"/>
      <c r="U1046" s="94"/>
      <c r="V1046" s="94"/>
      <c r="W1046" s="94"/>
      <c r="X1046" s="911"/>
      <c r="Y1046" s="634"/>
      <c r="AA1046" s="1526"/>
      <c r="AB1046" s="634"/>
      <c r="AC1046" s="970"/>
      <c r="AD1046" s="970"/>
      <c r="AE1046" s="970"/>
      <c r="AF1046" s="634"/>
      <c r="AG1046" s="634"/>
      <c r="AH1046" s="634"/>
      <c r="AI1046" s="634"/>
      <c r="AJ1046" s="634"/>
      <c r="AK1046" s="634"/>
      <c r="AL1046" s="1336"/>
      <c r="AM1046" s="1336"/>
      <c r="AN1046" s="1336"/>
      <c r="AO1046" s="1336"/>
      <c r="AP1046" s="1336"/>
      <c r="AQ1046" s="1336"/>
      <c r="AR1046" s="1336"/>
      <c r="AS1046" s="1336"/>
      <c r="AT1046" s="634"/>
      <c r="AU1046" s="634"/>
      <c r="AV1046" s="634"/>
      <c r="AW1046" s="634"/>
      <c r="AX1046" s="634"/>
      <c r="AY1046" s="634"/>
      <c r="AZ1046" s="634"/>
      <c r="BA1046" s="634"/>
      <c r="BB1046" s="634"/>
      <c r="BC1046" s="634"/>
      <c r="BD1046" s="634"/>
      <c r="BE1046" s="634"/>
      <c r="BF1046" s="634"/>
      <c r="BG1046" s="634"/>
      <c r="BH1046" s="634"/>
      <c r="BI1046" s="634"/>
    </row>
    <row r="1047" spans="1:61" ht="15.75" thickBot="1" x14ac:dyDescent="0.3">
      <c r="A1047" s="2371">
        <v>7</v>
      </c>
      <c r="B1047" s="2385">
        <v>702.1</v>
      </c>
      <c r="C1047" s="2381"/>
      <c r="D1047" s="2374"/>
      <c r="E1047" s="2374"/>
      <c r="F1047" s="2374"/>
      <c r="G1047" s="2371"/>
      <c r="H1047" s="2371"/>
      <c r="I1047" s="240"/>
      <c r="J1047" s="642"/>
      <c r="K1047" s="642"/>
      <c r="L1047" s="1797"/>
      <c r="M1047" s="522"/>
      <c r="N1047" s="1045"/>
      <c r="O1047" s="1045"/>
      <c r="P1047" s="99"/>
      <c r="Q1047" s="99"/>
      <c r="R1047" s="99"/>
      <c r="S1047" s="99"/>
      <c r="T1047" s="99"/>
      <c r="U1047" s="99"/>
      <c r="V1047" s="99"/>
      <c r="W1047" s="99"/>
      <c r="X1047" s="99"/>
      <c r="Y1047" s="99"/>
      <c r="Z1047" s="1589"/>
      <c r="AA1047" s="1526"/>
      <c r="AB1047" s="634"/>
      <c r="AC1047" s="970"/>
      <c r="AD1047" s="970"/>
      <c r="AE1047" s="970"/>
      <c r="AF1047" s="634"/>
      <c r="AG1047" s="634"/>
      <c r="AH1047" s="634"/>
      <c r="AI1047" s="634"/>
      <c r="AJ1047" s="634"/>
      <c r="AK1047" s="634"/>
      <c r="AL1047" s="1336"/>
      <c r="AM1047" s="1336"/>
      <c r="AN1047" s="1336"/>
      <c r="AO1047" s="1336"/>
      <c r="AP1047" s="1336"/>
      <c r="AQ1047" s="1336"/>
      <c r="AR1047" s="1336"/>
      <c r="AS1047" s="1336"/>
      <c r="AT1047" s="634"/>
      <c r="AU1047" s="634"/>
      <c r="AV1047" s="634"/>
      <c r="AW1047" s="634"/>
      <c r="AX1047" s="634"/>
      <c r="AY1047" s="634"/>
      <c r="AZ1047" s="634"/>
      <c r="BA1047" s="634"/>
      <c r="BB1047" s="634"/>
      <c r="BC1047" s="634"/>
      <c r="BD1047" s="634"/>
      <c r="BE1047" s="634"/>
      <c r="BF1047" s="634"/>
      <c r="BG1047" s="634"/>
      <c r="BH1047" s="634"/>
      <c r="BI1047" s="634"/>
    </row>
    <row r="1048" spans="1:61" ht="15.75" thickTop="1" x14ac:dyDescent="0.25">
      <c r="A1048" s="2371">
        <v>7</v>
      </c>
      <c r="B1048" s="2385">
        <v>702.2</v>
      </c>
      <c r="C1048" s="2381"/>
      <c r="D1048" s="2374"/>
      <c r="E1048" s="2374"/>
      <c r="F1048" s="2374"/>
      <c r="G1048" s="2373" t="s">
        <v>3974</v>
      </c>
      <c r="H1048" s="2371" t="s">
        <v>3973</v>
      </c>
      <c r="I1048" s="180">
        <v>702.2</v>
      </c>
      <c r="J1048" s="520"/>
      <c r="K1048" s="520"/>
      <c r="L1048" s="1189" t="s">
        <v>877</v>
      </c>
      <c r="M1048" s="1009"/>
      <c r="N1048" s="1046"/>
      <c r="O1048" s="1046"/>
      <c r="P1048" s="105"/>
      <c r="Q1048" s="105"/>
      <c r="R1048" s="105"/>
      <c r="S1048" s="105"/>
      <c r="T1048" s="105"/>
      <c r="U1048" s="105"/>
      <c r="V1048" s="105"/>
      <c r="W1048" s="105"/>
      <c r="X1048" s="105"/>
      <c r="Y1048" s="634"/>
      <c r="AA1048" s="1526"/>
      <c r="AB1048" s="634"/>
      <c r="AC1048" s="970"/>
      <c r="AD1048" s="970"/>
      <c r="AE1048" s="970"/>
      <c r="AF1048" s="634"/>
      <c r="AG1048" s="634"/>
      <c r="AH1048" s="634"/>
      <c r="AI1048" s="634"/>
      <c r="AJ1048" s="634"/>
      <c r="AK1048" s="634"/>
      <c r="AL1048" s="1336"/>
      <c r="AM1048" s="1336"/>
      <c r="AN1048" s="1336"/>
      <c r="AO1048" s="1336"/>
      <c r="AP1048" s="1336"/>
      <c r="AQ1048" s="1336"/>
      <c r="AR1048" s="1336"/>
      <c r="AS1048" s="1336"/>
      <c r="AT1048" s="634"/>
      <c r="AU1048" s="634"/>
      <c r="AV1048" s="634"/>
      <c r="AW1048" s="634"/>
      <c r="AX1048" s="634"/>
      <c r="AY1048" s="634"/>
      <c r="AZ1048" s="634"/>
      <c r="BA1048" s="634"/>
      <c r="BB1048" s="634"/>
      <c r="BC1048" s="634"/>
      <c r="BD1048" s="634"/>
      <c r="BE1048" s="634"/>
      <c r="BF1048" s="634"/>
      <c r="BG1048" s="634"/>
      <c r="BH1048" s="634"/>
      <c r="BI1048" s="634"/>
    </row>
    <row r="1049" spans="1:61" x14ac:dyDescent="0.25">
      <c r="A1049" s="2371">
        <v>7</v>
      </c>
      <c r="B1049" s="2385" t="s">
        <v>878</v>
      </c>
      <c r="C1049" s="2381"/>
      <c r="D1049" s="2374"/>
      <c r="E1049" s="2374"/>
      <c r="F1049" s="2374"/>
      <c r="G1049" s="2373" t="s">
        <v>3974</v>
      </c>
      <c r="H1049" s="2371" t="s">
        <v>3973</v>
      </c>
      <c r="I1049" s="510" t="s">
        <v>878</v>
      </c>
      <c r="J1049" s="636"/>
      <c r="K1049" s="636"/>
      <c r="L1049" s="1782" t="s">
        <v>879</v>
      </c>
      <c r="M1049" s="1837" t="str">
        <f ca="1">IF(R1049,"Mandatory","N/A")</f>
        <v>N/A</v>
      </c>
      <c r="N1049" s="1044"/>
      <c r="O1049" s="1044"/>
      <c r="P1049" s="94" t="b">
        <v>0</v>
      </c>
      <c r="Q1049" s="94" t="b">
        <v>1</v>
      </c>
      <c r="R1049" s="94" t="b">
        <f ca="1">S1049</f>
        <v>0</v>
      </c>
      <c r="S1049" s="94" t="b">
        <f ca="1">(S883=1)</f>
        <v>0</v>
      </c>
      <c r="T1049" s="94" t="b">
        <f ca="1">AND(NOT(S1049),W1049=TRUE)</f>
        <v>0</v>
      </c>
      <c r="U1049" s="94"/>
      <c r="V1049" s="94"/>
      <c r="W1049" s="25"/>
      <c r="X1049" s="1757"/>
      <c r="Y1049" s="2081" t="str">
        <f>IF(LEN('Ch7'!X179)=0,"None",'Ch7'!X179)</f>
        <v>None</v>
      </c>
      <c r="Z1049" s="2083"/>
      <c r="AA1049" s="1526"/>
      <c r="AB1049" s="634"/>
      <c r="AC1049" s="970" t="b">
        <f ca="1">OR(AD1049:AE1049)</f>
        <v>0</v>
      </c>
      <c r="AD1049" s="970" t="b">
        <f ca="1">T1049</f>
        <v>0</v>
      </c>
      <c r="AE1049" s="970" t="b">
        <f ca="1">AND(R1049,NOT(W1049))</f>
        <v>0</v>
      </c>
      <c r="AF1049" s="784"/>
      <c r="AG1049" s="634"/>
      <c r="AH1049" s="634"/>
      <c r="AI1049" s="634"/>
      <c r="AJ1049" s="634"/>
      <c r="AK1049" s="634"/>
      <c r="AL1049" s="254" t="str">
        <f>SUBSTITUTE(SUBSTITUTE(SUBSTITUTE("vpa"&amp;$B1049&amp;$C1049&amp;$D1049&amp;$E1049,".","_"),"(","_"),")","")</f>
        <v>vpa702_2_1</v>
      </c>
      <c r="AM1049" s="254" t="str">
        <f ca="1">M1049</f>
        <v>N/A</v>
      </c>
      <c r="AN1049" s="1336"/>
      <c r="AO1049" s="1336"/>
      <c r="AP1049" s="254" t="str">
        <f>SUBSTITUTE(SUBSTITUTE(SUBSTITUTE("vch"&amp;$B1049&amp;$C1049&amp;$D1049&amp;$E1049,".","_"),"(","_"),")","")</f>
        <v>vch702_2_1</v>
      </c>
      <c r="AQ1049" s="254" t="str">
        <f>IF(LEN(W1049)=0,"",W1049)</f>
        <v/>
      </c>
      <c r="AR1049" s="254" t="str">
        <f>SUBSTITUTE(SUBSTITUTE(SUBSTITUTE("vnt"&amp;$B1049&amp;$C1049&amp;$D1049&amp;$E1049,".","_"),"(","_"),")","")</f>
        <v>vnt702_2_1</v>
      </c>
      <c r="AS1049" s="254" t="str">
        <f>IF(LEN(X1049)=0,"",X1049)</f>
        <v/>
      </c>
      <c r="AT1049" s="634"/>
      <c r="AU1049" s="634"/>
      <c r="AV1049" s="634"/>
      <c r="AW1049" s="634"/>
      <c r="AX1049" s="634"/>
      <c r="AY1049" s="634"/>
      <c r="AZ1049" s="634"/>
      <c r="BA1049" s="634"/>
      <c r="BB1049" s="634"/>
      <c r="BC1049" s="634"/>
      <c r="BD1049" s="634"/>
      <c r="BE1049" s="634"/>
      <c r="BF1049" s="634"/>
      <c r="BG1049" s="634"/>
      <c r="BH1049" s="634"/>
      <c r="BI1049" s="634"/>
    </row>
    <row r="1050" spans="1:61" x14ac:dyDescent="0.25">
      <c r="A1050" s="2371">
        <v>7</v>
      </c>
      <c r="B1050" s="2385" t="s">
        <v>878</v>
      </c>
      <c r="C1050" s="2381"/>
      <c r="D1050" s="2374"/>
      <c r="E1050" s="2374"/>
      <c r="F1050" s="2374"/>
      <c r="G1050" s="2373" t="s">
        <v>3974</v>
      </c>
      <c r="H1050" s="2371" t="s">
        <v>3973</v>
      </c>
      <c r="I1050" s="129"/>
      <c r="J1050" s="636"/>
      <c r="K1050" s="636"/>
      <c r="L1050" s="1782"/>
      <c r="M1050" s="1837"/>
      <c r="N1050" s="1044"/>
      <c r="O1050" s="1044"/>
      <c r="P1050" s="94"/>
      <c r="Q1050" s="94"/>
      <c r="R1050" s="94"/>
      <c r="S1050" s="94"/>
      <c r="T1050" s="94"/>
      <c r="U1050" s="94"/>
      <c r="V1050" s="94"/>
      <c r="W1050" s="94"/>
      <c r="X1050" s="1757"/>
      <c r="Y1050" s="2081"/>
      <c r="Z1050" s="2083"/>
      <c r="AA1050" s="1526"/>
      <c r="AB1050" s="634"/>
      <c r="AC1050" s="970"/>
      <c r="AD1050" s="970"/>
      <c r="AE1050" s="970"/>
      <c r="AF1050" s="634"/>
      <c r="AG1050" s="634"/>
      <c r="AH1050" s="634"/>
      <c r="AI1050" s="634"/>
      <c r="AJ1050" s="634"/>
      <c r="AK1050" s="634"/>
      <c r="AL1050" s="1336"/>
      <c r="AM1050" s="1336"/>
      <c r="AN1050" s="1336"/>
      <c r="AO1050" s="1336"/>
      <c r="AP1050" s="1336"/>
      <c r="AQ1050" s="1336"/>
      <c r="AR1050" s="1336"/>
      <c r="AS1050" s="1336"/>
      <c r="AT1050" s="634"/>
      <c r="AU1050" s="634"/>
      <c r="AV1050" s="634"/>
      <c r="AW1050" s="634"/>
      <c r="AX1050" s="634"/>
      <c r="AY1050" s="634"/>
      <c r="AZ1050" s="634"/>
      <c r="BA1050" s="634"/>
      <c r="BB1050" s="634"/>
      <c r="BC1050" s="634"/>
      <c r="BD1050" s="634"/>
      <c r="BE1050" s="634"/>
      <c r="BF1050" s="634"/>
      <c r="BG1050" s="634"/>
      <c r="BH1050" s="634"/>
      <c r="BI1050" s="634"/>
    </row>
    <row r="1051" spans="1:61" x14ac:dyDescent="0.25">
      <c r="A1051" s="2371">
        <v>7</v>
      </c>
      <c r="B1051" s="2385" t="s">
        <v>878</v>
      </c>
      <c r="C1051" s="2381"/>
      <c r="D1051" s="2374"/>
      <c r="E1051" s="2374"/>
      <c r="F1051" s="2374"/>
      <c r="G1051" s="2373" t="s">
        <v>3974</v>
      </c>
      <c r="H1051" s="2371" t="s">
        <v>3973</v>
      </c>
      <c r="I1051" s="129"/>
      <c r="J1051" s="636"/>
      <c r="K1051" s="636"/>
      <c r="L1051" s="1782"/>
      <c r="M1051" s="1837"/>
      <c r="N1051" s="1044"/>
      <c r="O1051" s="1044"/>
      <c r="P1051" s="94"/>
      <c r="Q1051" s="94"/>
      <c r="R1051" s="94"/>
      <c r="S1051" s="94"/>
      <c r="T1051" s="94"/>
      <c r="U1051" s="94"/>
      <c r="V1051" s="94"/>
      <c r="W1051" s="94"/>
      <c r="X1051" s="1757"/>
      <c r="Y1051" s="2081"/>
      <c r="Z1051" s="2083"/>
      <c r="AA1051" s="1526"/>
      <c r="AB1051" s="634"/>
      <c r="AC1051" s="970"/>
      <c r="AD1051" s="970"/>
      <c r="AE1051" s="970"/>
      <c r="AF1051" s="634"/>
      <c r="AG1051" s="634"/>
      <c r="AH1051" s="634"/>
      <c r="AI1051" s="634"/>
      <c r="AJ1051" s="634"/>
      <c r="AK1051" s="634"/>
      <c r="AL1051" s="1336"/>
      <c r="AM1051" s="1336"/>
      <c r="AN1051" s="1336"/>
      <c r="AO1051" s="1336"/>
      <c r="AP1051" s="1336"/>
      <c r="AQ1051" s="1336"/>
      <c r="AR1051" s="1336"/>
      <c r="AS1051" s="1336"/>
      <c r="AT1051" s="634"/>
      <c r="AU1051" s="634"/>
      <c r="AV1051" s="634"/>
      <c r="AW1051" s="634"/>
      <c r="AX1051" s="634"/>
      <c r="AY1051" s="634"/>
      <c r="AZ1051" s="634"/>
      <c r="BA1051" s="634"/>
      <c r="BB1051" s="634"/>
      <c r="BC1051" s="634"/>
      <c r="BD1051" s="634"/>
      <c r="BE1051" s="634"/>
      <c r="BF1051" s="634"/>
      <c r="BG1051" s="634"/>
      <c r="BH1051" s="634"/>
      <c r="BI1051" s="634"/>
    </row>
    <row r="1052" spans="1:61" x14ac:dyDescent="0.25">
      <c r="A1052" s="2371">
        <v>7</v>
      </c>
      <c r="B1052" s="2385" t="s">
        <v>878</v>
      </c>
      <c r="C1052" s="2381"/>
      <c r="D1052" s="2374"/>
      <c r="E1052" s="2374"/>
      <c r="F1052" s="2374"/>
      <c r="G1052" s="2373" t="s">
        <v>3974</v>
      </c>
      <c r="H1052" s="2371" t="s">
        <v>3973</v>
      </c>
      <c r="I1052" s="210"/>
      <c r="J1052" s="637"/>
      <c r="K1052" s="637"/>
      <c r="L1052" s="1843"/>
      <c r="M1052" s="1844"/>
      <c r="N1052" s="1047"/>
      <c r="O1052" s="1047"/>
      <c r="P1052" s="178"/>
      <c r="Q1052" s="178"/>
      <c r="R1052" s="178"/>
      <c r="S1052" s="178"/>
      <c r="T1052" s="178"/>
      <c r="U1052" s="178"/>
      <c r="V1052" s="178"/>
      <c r="W1052" s="178"/>
      <c r="X1052" s="1757"/>
      <c r="Y1052" s="2081"/>
      <c r="Z1052" s="2083"/>
      <c r="AA1052" s="1526"/>
      <c r="AB1052" s="634"/>
      <c r="AC1052" s="970"/>
      <c r="AD1052" s="970"/>
      <c r="AE1052" s="970"/>
      <c r="AF1052" s="634"/>
      <c r="AG1052" s="634"/>
      <c r="AH1052" s="634"/>
      <c r="AI1052" s="634"/>
      <c r="AJ1052" s="634"/>
      <c r="AK1052" s="634"/>
      <c r="AL1052" s="1336"/>
      <c r="AM1052" s="1336"/>
      <c r="AN1052" s="1336"/>
      <c r="AO1052" s="1336"/>
      <c r="AP1052" s="1336"/>
      <c r="AQ1052" s="1336"/>
      <c r="AR1052" s="1336"/>
      <c r="AS1052" s="1336"/>
      <c r="AT1052" s="634"/>
      <c r="AU1052" s="634"/>
      <c r="AV1052" s="634"/>
      <c r="AW1052" s="634"/>
      <c r="AX1052" s="634"/>
      <c r="AY1052" s="634"/>
      <c r="AZ1052" s="634"/>
      <c r="BA1052" s="634"/>
      <c r="BB1052" s="634"/>
      <c r="BC1052" s="634"/>
      <c r="BD1052" s="634"/>
      <c r="BE1052" s="634"/>
      <c r="BF1052" s="634"/>
      <c r="BG1052" s="634"/>
      <c r="BH1052" s="634"/>
      <c r="BI1052" s="634"/>
    </row>
    <row r="1053" spans="1:61" ht="15" customHeight="1" x14ac:dyDescent="0.25">
      <c r="A1053" s="2371">
        <v>7</v>
      </c>
      <c r="B1053" s="2385" t="s">
        <v>880</v>
      </c>
      <c r="C1053" s="2381"/>
      <c r="D1053" s="2374"/>
      <c r="E1053" s="2374"/>
      <c r="F1053" s="2374"/>
      <c r="G1053" s="2373" t="str">
        <f ca="1">IF(N1053&gt;0,"P","")</f>
        <v/>
      </c>
      <c r="H1053" s="2371" t="s">
        <v>3973</v>
      </c>
      <c r="I1053" s="66" t="s">
        <v>880</v>
      </c>
      <c r="J1053" s="639"/>
      <c r="K1053" s="639"/>
      <c r="L1053" s="1796" t="s">
        <v>4259</v>
      </c>
      <c r="M1053" s="1846" t="s">
        <v>3500</v>
      </c>
      <c r="N1053" s="2075">
        <f ca="1">'Ch7'!O183</f>
        <v>0</v>
      </c>
      <c r="O1053" s="2075">
        <f ca="1">ROUNDDOWN(S1055*IF(NOT(W1055=""),30+(W1055*200),0),0)</f>
        <v>0</v>
      </c>
      <c r="P1053" s="756"/>
      <c r="Q1053" s="756"/>
      <c r="R1053" s="634"/>
      <c r="S1053" s="634"/>
      <c r="T1053" s="634"/>
      <c r="U1053" s="634"/>
      <c r="V1053" s="634"/>
      <c r="W1053" s="1699" t="s">
        <v>5119</v>
      </c>
      <c r="X1053" s="1756"/>
      <c r="Y1053" s="2081" t="str">
        <f>IF(LEN('Ch7'!X183)=0,"None",'Ch7'!X183)</f>
        <v>None</v>
      </c>
      <c r="Z1053" s="2083"/>
      <c r="AA1053" s="1526"/>
      <c r="AB1053" s="634"/>
      <c r="AC1053" s="970"/>
      <c r="AD1053" s="970"/>
      <c r="AE1053" s="970"/>
      <c r="AF1053" s="634"/>
      <c r="AG1053" s="634"/>
      <c r="AH1053" s="634"/>
      <c r="AI1053" s="634"/>
      <c r="AJ1053" s="634"/>
      <c r="AK1053" s="634"/>
      <c r="AL1053" s="254" t="str">
        <f>SUBSTITUTE(SUBSTITUTE(SUBSTITUTE("vpa"&amp;$B1053&amp;$C1053&amp;$D1053&amp;$E1053,".","_"),"(","_"),")","")</f>
        <v>vpa702_2_2</v>
      </c>
      <c r="AM1053" s="254" t="str">
        <f>M1053</f>
        <v>Points per formula</v>
      </c>
      <c r="AN1053" s="254" t="str">
        <f>SUBSTITUTE(SUBSTITUTE(SUBSTITUTE("vpc"&amp;$B1053&amp;$C1053&amp;$D1053&amp;$E1053,".","_"),"(","_"),")","")</f>
        <v>vpc702_2_2</v>
      </c>
      <c r="AO1053" s="254">
        <f ca="1">O1053</f>
        <v>0</v>
      </c>
      <c r="AP1053" s="1336"/>
      <c r="AQ1053" s="1336"/>
      <c r="AR1053" s="254" t="str">
        <f>SUBSTITUTE(SUBSTITUTE(SUBSTITUTE("vnt"&amp;$B1053&amp;$C1053&amp;$D1053&amp;$E1053,".","_"),"(","_"),")","")</f>
        <v>vnt702_2_2</v>
      </c>
      <c r="AS1053" s="254" t="str">
        <f>IF(LEN(X1053)=0,"",X1053)</f>
        <v/>
      </c>
      <c r="AT1053" s="634"/>
      <c r="AU1053" s="634"/>
      <c r="AV1053" s="634"/>
      <c r="AW1053" s="634"/>
      <c r="AX1053" s="634"/>
      <c r="AY1053" s="634"/>
      <c r="AZ1053" s="634"/>
      <c r="BA1053" s="634"/>
      <c r="BB1053" s="634"/>
      <c r="BC1053" s="634"/>
      <c r="BD1053" s="634"/>
      <c r="BE1053" s="634"/>
      <c r="BF1053" s="634"/>
      <c r="BG1053" s="634"/>
      <c r="BH1053" s="634"/>
      <c r="BI1053" s="634"/>
    </row>
    <row r="1054" spans="1:61" x14ac:dyDescent="0.25">
      <c r="A1054" s="2371">
        <v>7</v>
      </c>
      <c r="B1054" s="2385" t="s">
        <v>880</v>
      </c>
      <c r="C1054" s="2381"/>
      <c r="D1054" s="2374"/>
      <c r="E1054" s="2374"/>
      <c r="F1054" s="2374"/>
      <c r="G1054" s="2373" t="str">
        <f t="shared" ref="G1054:G1063" ca="1" si="66">G1053</f>
        <v/>
      </c>
      <c r="H1054" s="2371" t="s">
        <v>3973</v>
      </c>
      <c r="I1054" s="4"/>
      <c r="J1054" s="639"/>
      <c r="K1054" s="639"/>
      <c r="L1054" s="1796"/>
      <c r="M1054" s="1846"/>
      <c r="N1054" s="2075"/>
      <c r="O1054" s="2075"/>
      <c r="P1054" s="756"/>
      <c r="Q1054" s="756"/>
      <c r="R1054" s="634"/>
      <c r="S1054" s="634"/>
      <c r="T1054" s="634"/>
      <c r="U1054" s="634"/>
      <c r="V1054" s="634"/>
      <c r="W1054" s="1699"/>
      <c r="X1054" s="1757"/>
      <c r="Y1054" s="2081"/>
      <c r="Z1054" s="2083"/>
      <c r="AA1054" s="1526"/>
      <c r="AB1054" s="634"/>
      <c r="AC1054" s="970"/>
      <c r="AD1054" s="970"/>
      <c r="AE1054" s="970"/>
      <c r="AF1054" s="634"/>
      <c r="AG1054" s="634"/>
      <c r="AH1054" s="634"/>
      <c r="AI1054" s="634"/>
      <c r="AJ1054" s="634"/>
      <c r="AK1054" s="634"/>
      <c r="AL1054" s="1336"/>
      <c r="AM1054" s="1336"/>
      <c r="AN1054" s="1336"/>
      <c r="AO1054" s="1336"/>
      <c r="AP1054" s="1336"/>
      <c r="AQ1054" s="1336"/>
      <c r="AR1054" s="1336"/>
      <c r="AS1054" s="1336"/>
      <c r="AT1054" s="634"/>
      <c r="AU1054" s="634"/>
      <c r="AV1054" s="634"/>
      <c r="AW1054" s="634"/>
      <c r="AX1054" s="634"/>
      <c r="AY1054" s="634"/>
      <c r="AZ1054" s="634"/>
      <c r="BA1054" s="634"/>
      <c r="BB1054" s="634"/>
      <c r="BC1054" s="634"/>
      <c r="BD1054" s="634"/>
      <c r="BE1054" s="634"/>
      <c r="BF1054" s="634"/>
      <c r="BG1054" s="634"/>
      <c r="BH1054" s="634"/>
      <c r="BI1054" s="634"/>
    </row>
    <row r="1055" spans="1:61" x14ac:dyDescent="0.25">
      <c r="A1055" s="2371">
        <v>7</v>
      </c>
      <c r="B1055" s="2385" t="s">
        <v>880</v>
      </c>
      <c r="C1055" s="2381"/>
      <c r="D1055" s="2374"/>
      <c r="E1055" s="2374"/>
      <c r="F1055" s="2374"/>
      <c r="G1055" s="2373" t="str">
        <f t="shared" ca="1" si="66"/>
        <v/>
      </c>
      <c r="H1055" s="2371" t="s">
        <v>3973</v>
      </c>
      <c r="I1055" s="4"/>
      <c r="J1055" s="639"/>
      <c r="K1055" s="639"/>
      <c r="L1055" s="1796"/>
      <c r="M1055" s="1846"/>
      <c r="N1055" s="2075"/>
      <c r="O1055" s="2075"/>
      <c r="P1055" s="94" t="b">
        <v>0</v>
      </c>
      <c r="Q1055" s="94" t="b">
        <v>1</v>
      </c>
      <c r="R1055" s="634" t="b">
        <f ca="1">S1055</f>
        <v>0</v>
      </c>
      <c r="S1055" s="634" t="b">
        <f ca="1">(S883=1)</f>
        <v>0</v>
      </c>
      <c r="T1055" s="94" t="b">
        <f ca="1">AND(NOT(S1055),LEN(W1055)&gt;0)</f>
        <v>0</v>
      </c>
      <c r="U1055" s="634"/>
      <c r="V1055" s="634"/>
      <c r="W1055" s="320"/>
      <c r="X1055" s="1757"/>
      <c r="Y1055" s="2081"/>
      <c r="Z1055" s="2083"/>
      <c r="AA1055" s="1526"/>
      <c r="AB1055" s="634"/>
      <c r="AC1055" s="970" t="b">
        <f ca="1">OR(AD1055:AE1055)</f>
        <v>0</v>
      </c>
      <c r="AD1055" s="970" t="b">
        <f ca="1">T1055</f>
        <v>0</v>
      </c>
      <c r="AE1055" s="970" t="b">
        <f ca="1">AND(R1055,ISBLANK(W1055))</f>
        <v>0</v>
      </c>
      <c r="AF1055" s="784"/>
      <c r="AG1055" s="634"/>
      <c r="AH1055" s="634"/>
      <c r="AI1055" s="634"/>
      <c r="AJ1055" s="634"/>
      <c r="AK1055" s="634"/>
      <c r="AL1055" s="1336"/>
      <c r="AM1055" s="1336"/>
      <c r="AN1055" s="1336"/>
      <c r="AO1055" s="1336"/>
      <c r="AP1055" s="254" t="str">
        <f>SUBSTITUTE(SUBSTITUTE(SUBSTITUTE("vch"&amp;$B1055&amp;$C1055&amp;$D1055&amp;$E1055,".","_"),"(","_"),")","")</f>
        <v>vch702_2_2</v>
      </c>
      <c r="AQ1055" s="254" t="str">
        <f>IF(LEN(W1055)=0,"",W1055)</f>
        <v/>
      </c>
      <c r="AR1055" s="1336"/>
      <c r="AS1055" s="1336"/>
      <c r="AT1055" s="634"/>
      <c r="AU1055" s="634"/>
      <c r="AV1055" s="634"/>
      <c r="AW1055" s="634"/>
      <c r="AX1055" s="634"/>
      <c r="AY1055" s="634"/>
      <c r="AZ1055" s="634"/>
      <c r="BA1055" s="634"/>
      <c r="BB1055" s="634"/>
      <c r="BC1055" s="634"/>
      <c r="BD1055" s="634"/>
      <c r="BE1055" s="634"/>
      <c r="BF1055" s="634"/>
      <c r="BG1055" s="634"/>
      <c r="BH1055" s="634"/>
      <c r="BI1055" s="634"/>
    </row>
    <row r="1056" spans="1:61" x14ac:dyDescent="0.25">
      <c r="A1056" s="2371">
        <v>7</v>
      </c>
      <c r="B1056" s="2385" t="s">
        <v>880</v>
      </c>
      <c r="C1056" s="2381"/>
      <c r="D1056" s="2374"/>
      <c r="E1056" s="2374"/>
      <c r="F1056" s="2374"/>
      <c r="G1056" s="2373" t="str">
        <f t="shared" ca="1" si="66"/>
        <v/>
      </c>
      <c r="H1056" s="2371" t="s">
        <v>3973</v>
      </c>
      <c r="I1056" s="4"/>
      <c r="J1056" s="639"/>
      <c r="K1056" s="639"/>
      <c r="L1056" s="1796"/>
      <c r="M1056" s="1846"/>
      <c r="N1056" s="2075"/>
      <c r="O1056" s="2075"/>
      <c r="P1056" s="756"/>
      <c r="Q1056" s="756"/>
      <c r="R1056" s="634"/>
      <c r="S1056" s="634"/>
      <c r="T1056" s="634"/>
      <c r="U1056" s="634"/>
      <c r="V1056" s="634"/>
      <c r="W1056" s="634"/>
      <c r="X1056" s="1757"/>
      <c r="Y1056" s="2081"/>
      <c r="Z1056" s="2083"/>
      <c r="AA1056" s="1526"/>
      <c r="AB1056" s="634"/>
      <c r="AC1056" s="970"/>
      <c r="AD1056" s="970"/>
      <c r="AE1056" s="970"/>
      <c r="AF1056" s="634"/>
      <c r="AG1056" s="634"/>
      <c r="AH1056" s="634"/>
      <c r="AI1056" s="634"/>
      <c r="AJ1056" s="634"/>
      <c r="AK1056" s="634"/>
      <c r="AL1056" s="1336"/>
      <c r="AM1056" s="1336"/>
      <c r="AN1056" s="1336"/>
      <c r="AO1056" s="1336"/>
      <c r="AP1056" s="1336"/>
      <c r="AQ1056" s="1336"/>
      <c r="AR1056" s="1336"/>
      <c r="AS1056" s="1336"/>
      <c r="AT1056" s="634"/>
      <c r="AU1056" s="634"/>
      <c r="AV1056" s="634"/>
      <c r="AW1056" s="634"/>
      <c r="AX1056" s="634"/>
      <c r="AY1056" s="634"/>
      <c r="AZ1056" s="634"/>
      <c r="BA1056" s="634"/>
      <c r="BB1056" s="634"/>
      <c r="BC1056" s="634"/>
      <c r="BD1056" s="634"/>
      <c r="BE1056" s="634"/>
      <c r="BF1056" s="634"/>
      <c r="BG1056" s="634"/>
      <c r="BH1056" s="634"/>
      <c r="BI1056" s="634"/>
    </row>
    <row r="1057" spans="1:61" x14ac:dyDescent="0.25">
      <c r="A1057" s="2371">
        <v>7</v>
      </c>
      <c r="B1057" s="2385" t="s">
        <v>880</v>
      </c>
      <c r="C1057" s="2381"/>
      <c r="D1057" s="2374"/>
      <c r="E1057" s="2374"/>
      <c r="F1057" s="2374"/>
      <c r="G1057" s="2373" t="str">
        <f t="shared" ca="1" si="66"/>
        <v/>
      </c>
      <c r="H1057" s="2371" t="s">
        <v>3973</v>
      </c>
      <c r="I1057" s="4"/>
      <c r="J1057" s="639"/>
      <c r="K1057" s="639"/>
      <c r="L1057" s="1796"/>
      <c r="M1057" s="1846"/>
      <c r="N1057" s="2075"/>
      <c r="O1057" s="2075"/>
      <c r="P1057" s="756"/>
      <c r="Q1057" s="756"/>
      <c r="R1057" s="634"/>
      <c r="S1057" s="634"/>
      <c r="T1057" s="634"/>
      <c r="U1057" s="634"/>
      <c r="V1057" s="634"/>
      <c r="W1057" s="634"/>
      <c r="X1057" s="1757"/>
      <c r="Y1057" s="2081"/>
      <c r="Z1057" s="2083"/>
      <c r="AA1057" s="1526"/>
      <c r="AB1057" s="634"/>
      <c r="AC1057" s="970"/>
      <c r="AD1057" s="970"/>
      <c r="AE1057" s="970"/>
      <c r="AF1057" s="634"/>
      <c r="AG1057" s="634"/>
      <c r="AH1057" s="634"/>
      <c r="AI1057" s="634"/>
      <c r="AJ1057" s="634"/>
      <c r="AK1057" s="634"/>
      <c r="AL1057" s="1336"/>
      <c r="AM1057" s="1336"/>
      <c r="AN1057" s="1336"/>
      <c r="AO1057" s="1336"/>
      <c r="AP1057" s="1336"/>
      <c r="AQ1057" s="1336"/>
      <c r="AR1057" s="1336"/>
      <c r="AS1057" s="1336"/>
      <c r="AT1057" s="634"/>
      <c r="AU1057" s="634"/>
      <c r="AV1057" s="634"/>
      <c r="AW1057" s="634"/>
      <c r="AX1057" s="634"/>
      <c r="AY1057" s="634"/>
      <c r="AZ1057" s="634"/>
      <c r="BA1057" s="634"/>
      <c r="BB1057" s="634"/>
      <c r="BC1057" s="634"/>
      <c r="BD1057" s="634"/>
      <c r="BE1057" s="634"/>
      <c r="BF1057" s="634"/>
      <c r="BG1057" s="634"/>
      <c r="BH1057" s="634"/>
      <c r="BI1057" s="634"/>
    </row>
    <row r="1058" spans="1:61" x14ac:dyDescent="0.25">
      <c r="A1058" s="2371">
        <v>7</v>
      </c>
      <c r="B1058" s="2385" t="s">
        <v>880</v>
      </c>
      <c r="C1058" s="2381"/>
      <c r="D1058" s="2374"/>
      <c r="E1058" s="2374"/>
      <c r="F1058" s="2374"/>
      <c r="G1058" s="2373" t="str">
        <f t="shared" ca="1" si="66"/>
        <v/>
      </c>
      <c r="H1058" s="2371" t="s">
        <v>3973</v>
      </c>
      <c r="I1058" s="4"/>
      <c r="J1058" s="639"/>
      <c r="K1058" s="639"/>
      <c r="L1058" s="1349" t="s">
        <v>5120</v>
      </c>
      <c r="M1058" s="1014"/>
      <c r="N1058" s="1042"/>
      <c r="O1058" s="1042"/>
      <c r="P1058" s="756"/>
      <c r="Q1058" s="756"/>
      <c r="R1058" s="634"/>
      <c r="S1058" s="634"/>
      <c r="T1058" s="634"/>
      <c r="U1058" s="634"/>
      <c r="V1058" s="634"/>
      <c r="W1058" s="634"/>
      <c r="X1058" s="1757"/>
      <c r="Y1058" s="2081"/>
      <c r="Z1058" s="2083"/>
      <c r="AA1058" s="1526"/>
      <c r="AB1058" s="634"/>
      <c r="AC1058" s="970"/>
      <c r="AD1058" s="970"/>
      <c r="AE1058" s="970"/>
      <c r="AF1058" s="634"/>
      <c r="AG1058" s="634"/>
      <c r="AH1058" s="634"/>
      <c r="AI1058" s="634"/>
      <c r="AJ1058" s="634"/>
      <c r="AK1058" s="634"/>
      <c r="AL1058" s="1336"/>
      <c r="AM1058" s="1336"/>
      <c r="AN1058" s="1336"/>
      <c r="AO1058" s="1336"/>
      <c r="AP1058" s="1336"/>
      <c r="AQ1058" s="1336"/>
      <c r="AR1058" s="1336"/>
      <c r="AS1058" s="1336"/>
      <c r="AT1058" s="634"/>
      <c r="AU1058" s="634"/>
      <c r="AV1058" s="634"/>
      <c r="AW1058" s="634"/>
      <c r="AX1058" s="634"/>
      <c r="AY1058" s="634"/>
      <c r="AZ1058" s="634"/>
      <c r="BA1058" s="634"/>
      <c r="BB1058" s="634"/>
      <c r="BC1058" s="634"/>
      <c r="BD1058" s="634"/>
      <c r="BE1058" s="634"/>
      <c r="BF1058" s="634"/>
      <c r="BG1058" s="634"/>
      <c r="BH1058" s="634"/>
      <c r="BI1058" s="634"/>
    </row>
    <row r="1059" spans="1:61" x14ac:dyDescent="0.25">
      <c r="A1059" s="2371">
        <v>7</v>
      </c>
      <c r="B1059" s="2385" t="s">
        <v>880</v>
      </c>
      <c r="C1059" s="2381"/>
      <c r="D1059" s="2374" t="s">
        <v>3969</v>
      </c>
      <c r="E1059" s="2374"/>
      <c r="F1059" s="2374"/>
      <c r="G1059" s="2373" t="str">
        <f t="shared" ca="1" si="66"/>
        <v/>
      </c>
      <c r="H1059" s="2371" t="s">
        <v>3973</v>
      </c>
      <c r="I1059" s="129"/>
      <c r="J1059" s="636"/>
      <c r="K1059" s="636"/>
      <c r="L1059" s="1855" t="s">
        <v>2998</v>
      </c>
      <c r="M1059" s="1010"/>
      <c r="N1059" s="1044"/>
      <c r="O1059" s="1044"/>
      <c r="P1059" s="94"/>
      <c r="Q1059" s="94"/>
      <c r="R1059" s="94"/>
      <c r="S1059" s="94"/>
      <c r="T1059" s="94"/>
      <c r="U1059" s="94"/>
      <c r="V1059" s="94"/>
      <c r="W1059" s="94"/>
      <c r="X1059" s="1757"/>
      <c r="Y1059" s="2081" t="str">
        <f>IF(LEN('Ch7'!X189)=0,"None",'Ch7'!X189)</f>
        <v>None</v>
      </c>
      <c r="Z1059" s="2083"/>
      <c r="AA1059" s="1526"/>
      <c r="AB1059" s="634"/>
      <c r="AC1059" s="970"/>
      <c r="AD1059" s="970"/>
      <c r="AE1059" s="970"/>
      <c r="AF1059" s="634"/>
      <c r="AG1059" s="634"/>
      <c r="AH1059" s="634"/>
      <c r="AI1059" s="634"/>
      <c r="AJ1059" s="634"/>
      <c r="AK1059" s="634"/>
      <c r="AL1059" s="1336"/>
      <c r="AM1059" s="1336"/>
      <c r="AN1059" s="1336"/>
      <c r="AO1059" s="1336"/>
      <c r="AP1059" s="1336"/>
      <c r="AQ1059" s="1336"/>
      <c r="AR1059" s="254" t="str">
        <f>SUBSTITUTE(SUBSTITUTE(SUBSTITUTE("vnt"&amp;$B1059&amp;$C1059&amp;$D1059&amp;$E1059,".","_"),"(","_"),")","")</f>
        <v>vnt702_2_2_m</v>
      </c>
      <c r="AS1059" s="254" t="str">
        <f>IF(LEN(X1059)=0,"",X1059)</f>
        <v/>
      </c>
      <c r="AT1059" s="634"/>
      <c r="AU1059" s="634"/>
      <c r="AV1059" s="634"/>
      <c r="AW1059" s="634"/>
      <c r="AX1059" s="634"/>
      <c r="AY1059" s="634"/>
      <c r="AZ1059" s="634"/>
      <c r="BA1059" s="634"/>
      <c r="BB1059" s="634"/>
      <c r="BC1059" s="634"/>
      <c r="BD1059" s="634"/>
      <c r="BE1059" s="634"/>
      <c r="BF1059" s="634"/>
      <c r="BG1059" s="634"/>
      <c r="BH1059" s="634"/>
      <c r="BI1059" s="634"/>
    </row>
    <row r="1060" spans="1:61" x14ac:dyDescent="0.25">
      <c r="A1060" s="2371">
        <v>7</v>
      </c>
      <c r="B1060" s="2385" t="s">
        <v>880</v>
      </c>
      <c r="C1060" s="2381"/>
      <c r="D1060" s="2374"/>
      <c r="E1060" s="2374"/>
      <c r="F1060" s="2374"/>
      <c r="G1060" s="2373" t="str">
        <f t="shared" ca="1" si="66"/>
        <v/>
      </c>
      <c r="H1060" s="2371" t="s">
        <v>3973</v>
      </c>
      <c r="I1060" s="129"/>
      <c r="J1060" s="636"/>
      <c r="K1060" s="636"/>
      <c r="L1060" s="1855"/>
      <c r="M1060" s="1010"/>
      <c r="N1060" s="1044"/>
      <c r="O1060" s="1044"/>
      <c r="P1060" s="94"/>
      <c r="Q1060" s="94"/>
      <c r="R1060" s="94"/>
      <c r="S1060" s="94"/>
      <c r="T1060" s="94"/>
      <c r="U1060" s="94"/>
      <c r="V1060" s="94"/>
      <c r="W1060" s="94"/>
      <c r="X1060" s="1757"/>
      <c r="Y1060" s="2081"/>
      <c r="Z1060" s="2083"/>
      <c r="AA1060" s="1526"/>
      <c r="AB1060" s="634"/>
      <c r="AC1060" s="970"/>
      <c r="AD1060" s="970"/>
      <c r="AE1060" s="970"/>
      <c r="AF1060" s="634"/>
      <c r="AG1060" s="634"/>
      <c r="AH1060" s="634"/>
      <c r="AI1060" s="634"/>
      <c r="AJ1060" s="634"/>
      <c r="AK1060" s="634"/>
      <c r="AL1060" s="1336"/>
      <c r="AM1060" s="1336"/>
      <c r="AN1060" s="1336"/>
      <c r="AO1060" s="1336"/>
      <c r="AP1060" s="1336"/>
      <c r="AQ1060" s="1336"/>
      <c r="AR1060" s="1336"/>
      <c r="AS1060" s="1336"/>
      <c r="AT1060" s="634"/>
      <c r="AU1060" s="634"/>
      <c r="AV1060" s="634"/>
      <c r="AW1060" s="634"/>
      <c r="AX1060" s="634"/>
      <c r="AY1060" s="634"/>
      <c r="AZ1060" s="634"/>
      <c r="BA1060" s="634"/>
      <c r="BB1060" s="634"/>
      <c r="BC1060" s="634"/>
      <c r="BD1060" s="634"/>
      <c r="BE1060" s="634"/>
      <c r="BF1060" s="634"/>
      <c r="BG1060" s="634"/>
      <c r="BH1060" s="634"/>
      <c r="BI1060" s="634"/>
    </row>
    <row r="1061" spans="1:61" x14ac:dyDescent="0.25">
      <c r="A1061" s="2371">
        <v>7</v>
      </c>
      <c r="B1061" s="2385" t="s">
        <v>880</v>
      </c>
      <c r="C1061" s="2381"/>
      <c r="D1061" s="2374"/>
      <c r="E1061" s="2374"/>
      <c r="F1061" s="2374"/>
      <c r="G1061" s="2373" t="str">
        <f t="shared" ca="1" si="66"/>
        <v/>
      </c>
      <c r="H1061" s="2371" t="s">
        <v>3973</v>
      </c>
      <c r="I1061" s="210"/>
      <c r="J1061" s="637"/>
      <c r="K1061" s="637"/>
      <c r="L1061" s="1861"/>
      <c r="M1061" s="537"/>
      <c r="N1061" s="1044"/>
      <c r="O1061" s="1044"/>
      <c r="P1061" s="94"/>
      <c r="Q1061" s="94"/>
      <c r="R1061" s="94"/>
      <c r="S1061" s="94"/>
      <c r="T1061" s="94"/>
      <c r="U1061" s="94"/>
      <c r="V1061" s="94"/>
      <c r="W1061" s="113"/>
      <c r="X1061" s="1757"/>
      <c r="Y1061" s="2081"/>
      <c r="Z1061" s="2083"/>
      <c r="AA1061" s="1526"/>
      <c r="AB1061" s="634"/>
      <c r="AC1061" s="970"/>
      <c r="AD1061" s="970"/>
      <c r="AE1061" s="970"/>
      <c r="AF1061" s="634"/>
      <c r="AG1061" s="634"/>
      <c r="AH1061" s="634"/>
      <c r="AI1061" s="634"/>
      <c r="AJ1061" s="634"/>
      <c r="AK1061" s="634"/>
      <c r="AL1061" s="1336"/>
      <c r="AM1061" s="1336"/>
      <c r="AN1061" s="1336"/>
      <c r="AO1061" s="1336"/>
      <c r="AP1061" s="1336"/>
      <c r="AQ1061" s="1336"/>
      <c r="AR1061" s="1336"/>
      <c r="AS1061" s="1336"/>
      <c r="AT1061" s="634"/>
      <c r="AU1061" s="634"/>
      <c r="AV1061" s="634"/>
      <c r="AW1061" s="634"/>
      <c r="AX1061" s="634"/>
      <c r="AY1061" s="634"/>
      <c r="AZ1061" s="634"/>
      <c r="BA1061" s="634"/>
      <c r="BB1061" s="634"/>
      <c r="BC1061" s="634"/>
      <c r="BD1061" s="634"/>
      <c r="BE1061" s="634"/>
      <c r="BF1061" s="634"/>
      <c r="BG1061" s="634"/>
      <c r="BH1061" s="634"/>
      <c r="BI1061" s="634"/>
    </row>
    <row r="1062" spans="1:61" x14ac:dyDescent="0.25">
      <c r="A1062" s="2371">
        <v>7</v>
      </c>
      <c r="B1062" s="2385" t="s">
        <v>881</v>
      </c>
      <c r="C1062" s="2381"/>
      <c r="D1062" s="2374"/>
      <c r="E1062" s="2374"/>
      <c r="F1062" s="2374"/>
      <c r="G1062" s="2373" t="str">
        <f t="shared" ca="1" si="66"/>
        <v/>
      </c>
      <c r="H1062" s="2371" t="s">
        <v>3973</v>
      </c>
      <c r="I1062" s="66" t="s">
        <v>881</v>
      </c>
      <c r="J1062" s="639"/>
      <c r="K1062" s="639"/>
      <c r="L1062" s="1796" t="s">
        <v>882</v>
      </c>
      <c r="M1062" s="1014"/>
      <c r="N1062" s="1042"/>
      <c r="O1062" s="1042"/>
      <c r="P1062" s="756"/>
      <c r="Q1062" s="756"/>
      <c r="R1062" s="634"/>
      <c r="S1062" s="634"/>
      <c r="T1062" s="634"/>
      <c r="U1062" s="634"/>
      <c r="V1062" s="634"/>
      <c r="W1062" s="634"/>
      <c r="X1062" s="1756"/>
      <c r="Y1062" s="2081" t="str">
        <f>IF(LEN('Ch7'!X192)=0,"None",'Ch7'!X192)</f>
        <v>None</v>
      </c>
      <c r="Z1062" s="2083"/>
      <c r="AA1062" s="1526"/>
      <c r="AB1062" s="634"/>
      <c r="AC1062" s="970"/>
      <c r="AD1062" s="970"/>
      <c r="AE1062" s="970"/>
      <c r="AF1062" s="634"/>
      <c r="AG1062" s="634"/>
      <c r="AH1062" s="634"/>
      <c r="AI1062" s="634"/>
      <c r="AJ1062" s="634"/>
      <c r="AK1062" s="634"/>
      <c r="AL1062" s="1336"/>
      <c r="AM1062" s="1336"/>
      <c r="AN1062" s="1336"/>
      <c r="AO1062" s="1336"/>
      <c r="AP1062" s="1336"/>
      <c r="AQ1062" s="1336"/>
      <c r="AR1062" s="254" t="str">
        <f>SUBSTITUTE(SUBSTITUTE(SUBSTITUTE("vnt"&amp;$B1062&amp;$C1062&amp;$D1062&amp;$E1062,".","_"),"(","_"),")","")</f>
        <v>vnt702_2_3</v>
      </c>
      <c r="AS1062" s="254" t="str">
        <f>IF(LEN(X1062)=0,"",X1062)</f>
        <v/>
      </c>
      <c r="AT1062" s="634"/>
      <c r="AU1062" s="634"/>
      <c r="AV1062" s="634"/>
      <c r="AW1062" s="634"/>
      <c r="AX1062" s="634"/>
      <c r="AY1062" s="634"/>
      <c r="AZ1062" s="634"/>
      <c r="BA1062" s="634"/>
      <c r="BB1062" s="634"/>
      <c r="BC1062" s="634"/>
      <c r="BD1062" s="634"/>
      <c r="BE1062" s="634"/>
      <c r="BF1062" s="634"/>
      <c r="BG1062" s="634"/>
      <c r="BH1062" s="634"/>
      <c r="BI1062" s="634"/>
    </row>
    <row r="1063" spans="1:61" x14ac:dyDescent="0.25">
      <c r="A1063" s="2371">
        <v>7</v>
      </c>
      <c r="B1063" s="2385" t="s">
        <v>881</v>
      </c>
      <c r="C1063" s="2381"/>
      <c r="D1063" s="2374"/>
      <c r="E1063" s="2374"/>
      <c r="F1063" s="2374"/>
      <c r="G1063" s="2373" t="str">
        <f t="shared" ca="1" si="66"/>
        <v/>
      </c>
      <c r="H1063" s="2371" t="s">
        <v>3973</v>
      </c>
      <c r="I1063" s="4"/>
      <c r="J1063" s="639"/>
      <c r="K1063" s="639"/>
      <c r="L1063" s="1796"/>
      <c r="M1063" s="1014"/>
      <c r="N1063" s="1042"/>
      <c r="O1063" s="1042"/>
      <c r="P1063" s="756"/>
      <c r="Q1063" s="756"/>
      <c r="R1063" s="634"/>
      <c r="S1063" s="634"/>
      <c r="T1063" s="634"/>
      <c r="U1063" s="634"/>
      <c r="V1063" s="634"/>
      <c r="W1063" s="634"/>
      <c r="X1063" s="1757"/>
      <c r="Y1063" s="2081"/>
      <c r="Z1063" s="2083"/>
      <c r="AA1063" s="1526"/>
      <c r="AB1063" s="634"/>
      <c r="AC1063" s="970"/>
      <c r="AD1063" s="970"/>
      <c r="AE1063" s="970"/>
      <c r="AF1063" s="634"/>
      <c r="AG1063" s="634"/>
      <c r="AH1063" s="634"/>
      <c r="AI1063" s="634"/>
      <c r="AJ1063" s="634"/>
      <c r="AK1063" s="634"/>
      <c r="AL1063" s="1336"/>
      <c r="AM1063" s="1336"/>
      <c r="AN1063" s="1336"/>
      <c r="AO1063" s="1336"/>
      <c r="AP1063" s="1336"/>
      <c r="AQ1063" s="1336"/>
      <c r="AR1063" s="1336"/>
      <c r="AS1063" s="1336"/>
      <c r="AT1063" s="634"/>
      <c r="AU1063" s="634"/>
      <c r="AV1063" s="634"/>
      <c r="AW1063" s="634"/>
      <c r="AX1063" s="634"/>
      <c r="AY1063" s="634"/>
      <c r="AZ1063" s="634"/>
      <c r="BA1063" s="634"/>
      <c r="BB1063" s="634"/>
      <c r="BC1063" s="634"/>
      <c r="BD1063" s="634"/>
      <c r="BE1063" s="634"/>
      <c r="BF1063" s="634"/>
      <c r="BG1063" s="634"/>
      <c r="BH1063" s="634"/>
      <c r="BI1063" s="634"/>
    </row>
    <row r="1064" spans="1:61" ht="18.75" x14ac:dyDescent="0.3">
      <c r="A1064" s="2371">
        <v>7</v>
      </c>
      <c r="B1064" s="2385">
        <v>703</v>
      </c>
      <c r="C1064" s="2381"/>
      <c r="D1064" s="2374"/>
      <c r="E1064" s="2374"/>
      <c r="F1064" s="2374"/>
      <c r="G1064" s="2373" t="s">
        <v>3974</v>
      </c>
      <c r="H1064" s="2371" t="s">
        <v>3971</v>
      </c>
      <c r="I1064" s="14" t="s">
        <v>883</v>
      </c>
      <c r="J1064" s="84"/>
      <c r="K1064" s="84"/>
      <c r="L1064" s="84"/>
      <c r="M1064" s="390"/>
      <c r="N1064" s="1043"/>
      <c r="O1064" s="1043"/>
      <c r="P1064" s="23"/>
      <c r="Q1064" s="23"/>
      <c r="R1064" s="23"/>
      <c r="S1064" s="23"/>
      <c r="T1064" s="23"/>
      <c r="U1064" s="23"/>
      <c r="V1064" s="23"/>
      <c r="W1064" s="23"/>
      <c r="X1064" s="23"/>
      <c r="Y1064" s="23"/>
      <c r="Z1064" s="1586"/>
      <c r="AA1064" s="1526"/>
      <c r="AB1064" s="634"/>
      <c r="AC1064" s="970"/>
      <c r="AD1064" s="970"/>
      <c r="AE1064" s="970"/>
      <c r="AF1064" s="634"/>
      <c r="AG1064" s="634"/>
      <c r="AH1064" s="634"/>
      <c r="AI1064" s="634"/>
      <c r="AJ1064" s="634"/>
      <c r="AK1064" s="634"/>
      <c r="AL1064" s="1336"/>
      <c r="AM1064" s="1336"/>
      <c r="AN1064" s="1336"/>
      <c r="AO1064" s="1336"/>
      <c r="AP1064" s="1336"/>
      <c r="AQ1064" s="1336"/>
      <c r="AR1064" s="1336"/>
      <c r="AS1064" s="1336"/>
      <c r="AT1064" s="634"/>
      <c r="AU1064" s="634"/>
      <c r="AV1064" s="634"/>
      <c r="AW1064" s="634"/>
      <c r="AX1064" s="634"/>
      <c r="AY1064" s="634"/>
      <c r="AZ1064" s="634"/>
      <c r="BA1064" s="634"/>
      <c r="BB1064" s="634"/>
      <c r="BC1064" s="634"/>
      <c r="BD1064" s="634"/>
      <c r="BE1064" s="634"/>
      <c r="BF1064" s="634"/>
      <c r="BG1064" s="634"/>
      <c r="BH1064" s="634"/>
      <c r="BI1064" s="634"/>
    </row>
    <row r="1065" spans="1:61" x14ac:dyDescent="0.25">
      <c r="A1065" s="2371">
        <v>7</v>
      </c>
      <c r="B1065" s="2385">
        <v>703.1</v>
      </c>
      <c r="C1065" s="2381"/>
      <c r="D1065" s="2374"/>
      <c r="E1065" s="2374"/>
      <c r="F1065" s="2374"/>
      <c r="G1065" s="2373" t="s">
        <v>3974</v>
      </c>
      <c r="H1065" s="2371" t="s">
        <v>3973</v>
      </c>
      <c r="I1065" s="64">
        <v>703.1</v>
      </c>
      <c r="J1065" s="639"/>
      <c r="K1065" s="639"/>
      <c r="L1065" s="1180" t="s">
        <v>884</v>
      </c>
      <c r="M1065" s="1014">
        <v>30</v>
      </c>
      <c r="N1065" s="1042">
        <f ca="1">'Ch7'!O195</f>
        <v>0</v>
      </c>
      <c r="O1065" s="1669">
        <f ca="1">30*AND((W1081=TRUE),(W1066=TRUE),LEN(W1084)&gt;0)*S1066</f>
        <v>0</v>
      </c>
      <c r="P1065" s="756"/>
      <c r="Q1065" s="756"/>
      <c r="R1065" s="634"/>
      <c r="S1065" s="634"/>
      <c r="T1065" s="634"/>
      <c r="U1065" s="634"/>
      <c r="V1065" s="634"/>
      <c r="W1065" s="634"/>
      <c r="X1065" s="911"/>
      <c r="Y1065" s="634"/>
      <c r="AA1065" s="1526"/>
      <c r="AB1065" s="634"/>
      <c r="AC1065" s="970"/>
      <c r="AD1065" s="970"/>
      <c r="AE1065" s="970"/>
      <c r="AF1065" s="634"/>
      <c r="AG1065" s="634"/>
      <c r="AH1065" s="634"/>
      <c r="AI1065" s="634"/>
      <c r="AJ1065" s="634"/>
      <c r="AK1065" s="634"/>
      <c r="AL1065" s="254" t="str">
        <f>SUBSTITUTE(SUBSTITUTE(SUBSTITUTE("vpa"&amp;$B1065&amp;$C1065&amp;$D1065&amp;$E1065,".","_"),"(","_"),")","")</f>
        <v>vpa703_1</v>
      </c>
      <c r="AM1065" s="254">
        <f>M1065</f>
        <v>30</v>
      </c>
      <c r="AN1065" s="254" t="str">
        <f>SUBSTITUTE(SUBSTITUTE(SUBSTITUTE("vpc"&amp;$B1065&amp;$C1065&amp;$D1065&amp;$E1065,".","_"),"(","_"),")","")</f>
        <v>vpc703_1</v>
      </c>
      <c r="AO1065" s="254">
        <f ca="1">O1065</f>
        <v>0</v>
      </c>
      <c r="AP1065" s="1336"/>
      <c r="AQ1065" s="1336"/>
      <c r="AR1065" s="1336"/>
      <c r="AS1065" s="1336"/>
      <c r="AT1065" s="634"/>
      <c r="AU1065" s="634"/>
      <c r="AV1065" s="634"/>
      <c r="AW1065" s="634"/>
      <c r="AX1065" s="634"/>
      <c r="AY1065" s="634"/>
      <c r="AZ1065" s="634"/>
      <c r="BA1065" s="634"/>
      <c r="BB1065" s="634"/>
      <c r="BC1065" s="634"/>
      <c r="BD1065" s="634"/>
      <c r="BE1065" s="634"/>
      <c r="BF1065" s="634"/>
      <c r="BG1065" s="634"/>
      <c r="BH1065" s="634"/>
      <c r="BI1065" s="634"/>
    </row>
    <row r="1066" spans="1:61" ht="15" customHeight="1" x14ac:dyDescent="0.25">
      <c r="A1066" s="2371">
        <v>7</v>
      </c>
      <c r="B1066" s="2385" t="s">
        <v>885</v>
      </c>
      <c r="C1066" s="2381"/>
      <c r="D1066" s="2374"/>
      <c r="E1066" s="2374"/>
      <c r="F1066" s="2374"/>
      <c r="G1066" s="2373" t="s">
        <v>3974</v>
      </c>
      <c r="H1066" s="2371" t="s">
        <v>3973</v>
      </c>
      <c r="I1066" s="66" t="s">
        <v>885</v>
      </c>
      <c r="J1066" s="639"/>
      <c r="K1066" s="639"/>
      <c r="L1066" s="1833" t="s">
        <v>4260</v>
      </c>
      <c r="M1066" s="1837" t="str">
        <f ca="1">IF(R1066,"Mandatory","N/A")</f>
        <v>N/A</v>
      </c>
      <c r="N1066" s="1042"/>
      <c r="O1066" s="1042"/>
      <c r="P1066" s="94" t="b">
        <v>0</v>
      </c>
      <c r="Q1066" s="94" t="b">
        <v>1</v>
      </c>
      <c r="R1066" s="634" t="b">
        <f ca="1">AND(S1066,NOT(BI886="Tropical"))</f>
        <v>0</v>
      </c>
      <c r="S1066" s="634" t="b">
        <f ca="1">(S883=2)</f>
        <v>0</v>
      </c>
      <c r="T1066" s="94" t="b">
        <f ca="1">AND(NOT(S1066),W1066=TRUE)</f>
        <v>0</v>
      </c>
      <c r="U1066" s="634"/>
      <c r="V1066" s="634"/>
      <c r="W1066" s="25"/>
      <c r="X1066" s="1757"/>
      <c r="Y1066" s="2081" t="str">
        <f>IF(LEN('Ch7'!X196)=0,"None",'Ch7'!X196)</f>
        <v>None</v>
      </c>
      <c r="Z1066" s="2083"/>
      <c r="AA1066" s="1526"/>
      <c r="AB1066" s="634"/>
      <c r="AC1066" s="970" t="b">
        <f ca="1">OR(AD1066:AE1066)</f>
        <v>0</v>
      </c>
      <c r="AD1066" s="970" t="b">
        <f ca="1">T1066</f>
        <v>0</v>
      </c>
      <c r="AE1066" s="970" t="b">
        <f ca="1">AND(R1066,NOT(W1066))</f>
        <v>0</v>
      </c>
      <c r="AF1066" s="784"/>
      <c r="AG1066" s="634"/>
      <c r="AH1066" s="634"/>
      <c r="AI1066" s="634"/>
      <c r="AJ1066" s="634"/>
      <c r="AK1066" s="634"/>
      <c r="AL1066" s="254" t="str">
        <f>SUBSTITUTE(SUBSTITUTE(SUBSTITUTE("vpa"&amp;$B1066&amp;$C1066&amp;$D1066&amp;$E1066,".","_"),"(","_"),")","")</f>
        <v>vpa703_1_1</v>
      </c>
      <c r="AM1066" s="254" t="str">
        <f ca="1">M1066</f>
        <v>N/A</v>
      </c>
      <c r="AN1066" s="1336"/>
      <c r="AO1066" s="1336"/>
      <c r="AP1066" s="254" t="str">
        <f>SUBSTITUTE(SUBSTITUTE(SUBSTITUTE("vch"&amp;$B1066&amp;$C1066&amp;$D1066&amp;$E1066,".","_"),"(","_"),")","")</f>
        <v>vch703_1_1</v>
      </c>
      <c r="AQ1066" s="254" t="str">
        <f>IF(LEN(W1066)=0,"",W1066)</f>
        <v/>
      </c>
      <c r="AR1066" s="254" t="str">
        <f>SUBSTITUTE(SUBSTITUTE(SUBSTITUTE("vnt"&amp;$B1066&amp;$C1066&amp;$D1066&amp;$E1066,".","_"),"(","_"),")","")</f>
        <v>vnt703_1_1</v>
      </c>
      <c r="AS1066" s="254" t="str">
        <f>IF(LEN(X1066)=0,"",X1066)</f>
        <v/>
      </c>
      <c r="AT1066" s="634"/>
      <c r="AU1066" s="634"/>
      <c r="AV1066" s="634"/>
      <c r="AW1066" s="634"/>
      <c r="AX1066" s="634"/>
      <c r="AY1066" s="634"/>
      <c r="AZ1066" s="634"/>
      <c r="BA1066" s="634"/>
      <c r="BB1066" s="634"/>
      <c r="BC1066" s="634"/>
      <c r="BD1066" s="634"/>
      <c r="BE1066" s="634"/>
      <c r="BF1066" s="634"/>
      <c r="BG1066" s="634"/>
      <c r="BH1066" s="634"/>
      <c r="BI1066" s="634"/>
    </row>
    <row r="1067" spans="1:61" x14ac:dyDescent="0.25">
      <c r="A1067" s="2371">
        <v>7</v>
      </c>
      <c r="B1067" s="2385" t="s">
        <v>885</v>
      </c>
      <c r="C1067" s="2381"/>
      <c r="D1067" s="2374"/>
      <c r="E1067" s="2374"/>
      <c r="F1067" s="2374"/>
      <c r="G1067" s="2373" t="s">
        <v>3974</v>
      </c>
      <c r="H1067" s="2371" t="s">
        <v>3973</v>
      </c>
      <c r="I1067" s="4"/>
      <c r="J1067" s="639"/>
      <c r="K1067" s="639"/>
      <c r="L1067" s="1833"/>
      <c r="M1067" s="1837"/>
      <c r="N1067" s="1042"/>
      <c r="O1067" s="1042"/>
      <c r="P1067" s="756"/>
      <c r="Q1067" s="756"/>
      <c r="R1067" s="634"/>
      <c r="S1067" s="634"/>
      <c r="T1067" s="634"/>
      <c r="U1067" s="634"/>
      <c r="V1067" s="634"/>
      <c r="W1067" s="634"/>
      <c r="X1067" s="1757"/>
      <c r="Y1067" s="2081"/>
      <c r="Z1067" s="2083"/>
      <c r="AA1067" s="1526"/>
      <c r="AB1067" s="634"/>
      <c r="AC1067" s="970"/>
      <c r="AD1067" s="970"/>
      <c r="AE1067" s="970"/>
      <c r="AF1067" s="634"/>
      <c r="AG1067" s="634"/>
      <c r="AH1067" s="634"/>
      <c r="AI1067" s="634"/>
      <c r="AJ1067" s="634"/>
      <c r="AK1067" s="634"/>
      <c r="AL1067" s="1336"/>
      <c r="AM1067" s="1336"/>
      <c r="AN1067" s="1336"/>
      <c r="AO1067" s="1336"/>
      <c r="AP1067" s="1336"/>
      <c r="AQ1067" s="1336"/>
      <c r="AR1067" s="1336"/>
      <c r="AS1067" s="1336"/>
      <c r="AT1067" s="634"/>
      <c r="AU1067" s="634"/>
      <c r="AV1067" s="634"/>
      <c r="AW1067" s="634"/>
      <c r="AX1067" s="634"/>
      <c r="AY1067" s="634"/>
      <c r="AZ1067" s="634"/>
      <c r="BA1067" s="634"/>
      <c r="BB1067" s="634"/>
      <c r="BC1067" s="634"/>
      <c r="BD1067" s="634"/>
      <c r="BE1067" s="634"/>
      <c r="BF1067" s="634"/>
      <c r="BG1067" s="634"/>
      <c r="BH1067" s="634"/>
      <c r="BI1067" s="634"/>
    </row>
    <row r="1068" spans="1:61" x14ac:dyDescent="0.25">
      <c r="A1068" s="2371">
        <v>7</v>
      </c>
      <c r="B1068" s="2385" t="s">
        <v>885</v>
      </c>
      <c r="C1068" s="2381"/>
      <c r="D1068" s="2374"/>
      <c r="E1068" s="2374"/>
      <c r="F1068" s="2374"/>
      <c r="G1068" s="2373" t="s">
        <v>3974</v>
      </c>
      <c r="H1068" s="2371" t="s">
        <v>3973</v>
      </c>
      <c r="I1068" s="210"/>
      <c r="J1068" s="637"/>
      <c r="K1068" s="637"/>
      <c r="L1068" s="1177" t="s">
        <v>2999</v>
      </c>
      <c r="M1068" s="1014"/>
      <c r="N1068" s="1042"/>
      <c r="O1068" s="1042"/>
      <c r="P1068" s="756"/>
      <c r="Q1068" s="756"/>
      <c r="R1068" s="634"/>
      <c r="S1068" s="634"/>
      <c r="T1068" s="634"/>
      <c r="U1068" s="634"/>
      <c r="V1068" s="634"/>
      <c r="W1068" s="634"/>
      <c r="X1068" s="1757"/>
      <c r="Y1068" s="2081"/>
      <c r="Z1068" s="2083"/>
      <c r="AA1068" s="1526"/>
      <c r="AB1068" s="634"/>
      <c r="AC1068" s="970"/>
      <c r="AD1068" s="970"/>
      <c r="AE1068" s="970"/>
      <c r="AF1068" s="634"/>
      <c r="AG1068" s="634"/>
      <c r="AH1068" s="634"/>
      <c r="AI1068" s="634"/>
      <c r="AJ1068" s="634"/>
      <c r="AK1068" s="634"/>
      <c r="AL1068" s="1336"/>
      <c r="AM1068" s="1336"/>
      <c r="AN1068" s="1336"/>
      <c r="AO1068" s="1336"/>
      <c r="AP1068" s="1336"/>
      <c r="AQ1068" s="1336"/>
      <c r="AR1068" s="1336"/>
      <c r="AS1068" s="1336"/>
      <c r="AT1068" s="634"/>
      <c r="AU1068" s="634"/>
      <c r="AV1068" s="634"/>
      <c r="AW1068" s="634"/>
      <c r="AX1068" s="634"/>
      <c r="AY1068" s="634"/>
      <c r="AZ1068" s="634"/>
      <c r="BA1068" s="634"/>
      <c r="BB1068" s="634"/>
      <c r="BC1068" s="634"/>
      <c r="BD1068" s="634"/>
      <c r="BE1068" s="634"/>
      <c r="BF1068" s="634"/>
      <c r="BG1068" s="634"/>
      <c r="BH1068" s="634"/>
      <c r="BI1068" s="634"/>
    </row>
    <row r="1069" spans="1:61" ht="15" customHeight="1" x14ac:dyDescent="0.25">
      <c r="A1069" s="2371">
        <v>7</v>
      </c>
      <c r="B1069" s="2385" t="s">
        <v>886</v>
      </c>
      <c r="C1069" s="2385"/>
      <c r="D1069" s="2374"/>
      <c r="E1069" s="2374"/>
      <c r="F1069" s="2374"/>
      <c r="G1069" s="2373" t="s">
        <v>3974</v>
      </c>
      <c r="H1069" s="2371" t="s">
        <v>3973</v>
      </c>
      <c r="I1069" s="533" t="s">
        <v>886</v>
      </c>
      <c r="J1069" s="641"/>
      <c r="K1069" s="641"/>
      <c r="L1069" s="1835" t="s">
        <v>4261</v>
      </c>
      <c r="M1069" s="1014"/>
      <c r="N1069" s="1042"/>
      <c r="O1069" s="1042"/>
      <c r="P1069" s="756"/>
      <c r="Q1069" s="756"/>
      <c r="R1069" s="634"/>
      <c r="S1069" s="634"/>
      <c r="T1069" s="634"/>
      <c r="U1069" s="634"/>
      <c r="V1069" s="634"/>
      <c r="W1069" s="634"/>
      <c r="X1069" s="1757"/>
      <c r="Y1069" s="2081"/>
      <c r="Z1069" s="2083"/>
      <c r="AA1069" s="1526"/>
      <c r="AB1069" s="634"/>
      <c r="AC1069" s="970"/>
      <c r="AD1069" s="970"/>
      <c r="AE1069" s="970"/>
      <c r="AF1069" s="634"/>
      <c r="AG1069" s="634"/>
      <c r="AH1069" s="634"/>
      <c r="AI1069" s="634"/>
      <c r="AJ1069" s="634"/>
      <c r="AK1069" s="634"/>
      <c r="AL1069" s="1336"/>
      <c r="AM1069" s="1336"/>
      <c r="AN1069" s="1336"/>
      <c r="AO1069" s="1336"/>
      <c r="AP1069" s="1336"/>
      <c r="AQ1069" s="1336"/>
      <c r="AR1069" s="1336"/>
      <c r="AS1069" s="1336"/>
      <c r="AT1069" s="634"/>
      <c r="AU1069" s="634"/>
      <c r="AV1069" s="634"/>
      <c r="AW1069" s="634"/>
      <c r="AX1069" s="634"/>
      <c r="AY1069" s="634"/>
      <c r="AZ1069" s="634"/>
      <c r="BA1069" s="634"/>
      <c r="BB1069" s="634"/>
      <c r="BC1069" s="634"/>
      <c r="BD1069" s="634"/>
      <c r="BE1069" s="634"/>
      <c r="BF1069" s="634"/>
      <c r="BG1069" s="634"/>
      <c r="BH1069" s="634"/>
      <c r="BI1069" s="634"/>
    </row>
    <row r="1070" spans="1:61" x14ac:dyDescent="0.25">
      <c r="A1070" s="2371">
        <v>7</v>
      </c>
      <c r="B1070" s="2385" t="s">
        <v>886</v>
      </c>
      <c r="C1070" s="2385"/>
      <c r="D1070" s="2374"/>
      <c r="E1070" s="2374"/>
      <c r="F1070" s="2374"/>
      <c r="G1070" s="2373" t="s">
        <v>3974</v>
      </c>
      <c r="H1070" s="2371" t="s">
        <v>3973</v>
      </c>
      <c r="I1070" s="129"/>
      <c r="J1070" s="636"/>
      <c r="K1070" s="636"/>
      <c r="L1070" s="1833"/>
      <c r="M1070" s="1014"/>
      <c r="N1070" s="1042"/>
      <c r="O1070" s="1042"/>
      <c r="P1070" s="756"/>
      <c r="Q1070" s="756"/>
      <c r="R1070" s="634"/>
      <c r="S1070" s="634"/>
      <c r="T1070" s="634"/>
      <c r="U1070" s="634"/>
      <c r="V1070" s="634"/>
      <c r="W1070" s="634"/>
      <c r="X1070" s="1757"/>
      <c r="Y1070" s="2081"/>
      <c r="Z1070" s="2083"/>
      <c r="AA1070" s="1526"/>
      <c r="AB1070" s="634"/>
      <c r="AC1070" s="970"/>
      <c r="AD1070" s="970"/>
      <c r="AE1070" s="970"/>
      <c r="AF1070" s="634"/>
      <c r="AG1070" s="634"/>
      <c r="AH1070" s="634"/>
      <c r="AI1070" s="634"/>
      <c r="AJ1070" s="634"/>
      <c r="AK1070" s="634"/>
      <c r="AL1070" s="1336"/>
      <c r="AM1070" s="1336"/>
      <c r="AN1070" s="1336"/>
      <c r="AO1070" s="1336"/>
      <c r="AP1070" s="1336"/>
      <c r="AQ1070" s="1336"/>
      <c r="AR1070" s="1336"/>
      <c r="AS1070" s="1336"/>
      <c r="AT1070" s="634"/>
      <c r="AU1070" s="634"/>
      <c r="AV1070" s="634"/>
      <c r="AW1070" s="634"/>
      <c r="AX1070" s="634"/>
      <c r="AY1070" s="634"/>
      <c r="AZ1070" s="634"/>
      <c r="BA1070" s="634"/>
      <c r="BB1070" s="634"/>
      <c r="BC1070" s="634"/>
      <c r="BD1070" s="634"/>
      <c r="BE1070" s="634"/>
      <c r="BF1070" s="634"/>
      <c r="BG1070" s="634"/>
      <c r="BH1070" s="634"/>
      <c r="BI1070" s="634"/>
    </row>
    <row r="1071" spans="1:61" x14ac:dyDescent="0.25">
      <c r="A1071" s="2371">
        <v>7</v>
      </c>
      <c r="B1071" s="2385" t="s">
        <v>886</v>
      </c>
      <c r="C1071" s="2385"/>
      <c r="D1071" s="2374"/>
      <c r="E1071" s="2374"/>
      <c r="F1071" s="2374"/>
      <c r="G1071" s="2373" t="s">
        <v>3974</v>
      </c>
      <c r="H1071" s="2371" t="s">
        <v>3973</v>
      </c>
      <c r="I1071" s="129"/>
      <c r="J1071" s="636"/>
      <c r="K1071" s="636"/>
      <c r="L1071" s="1833"/>
      <c r="M1071" s="1014"/>
      <c r="N1071" s="1042"/>
      <c r="O1071" s="1042"/>
      <c r="P1071" s="756"/>
      <c r="Q1071" s="756"/>
      <c r="R1071" s="634"/>
      <c r="S1071" s="634"/>
      <c r="T1071" s="634"/>
      <c r="U1071" s="634"/>
      <c r="V1071" s="634"/>
      <c r="W1071" s="634"/>
      <c r="X1071" s="1757"/>
      <c r="Y1071" s="2081"/>
      <c r="Z1071" s="2083"/>
      <c r="AA1071" s="1526"/>
      <c r="AB1071" s="634"/>
      <c r="AC1071" s="970"/>
      <c r="AD1071" s="970"/>
      <c r="AE1071" s="970"/>
      <c r="AF1071" s="634"/>
      <c r="AG1071" s="634"/>
      <c r="AH1071" s="634"/>
      <c r="AI1071" s="634"/>
      <c r="AJ1071" s="634"/>
      <c r="AK1071" s="634"/>
      <c r="AL1071" s="1336"/>
      <c r="AM1071" s="1336"/>
      <c r="AN1071" s="1336"/>
      <c r="AO1071" s="1336"/>
      <c r="AP1071" s="1336"/>
      <c r="AQ1071" s="1336"/>
      <c r="AR1071" s="1336"/>
      <c r="AS1071" s="1336"/>
      <c r="AT1071" s="634"/>
      <c r="AU1071" s="634"/>
      <c r="AV1071" s="634"/>
      <c r="AW1071" s="634"/>
      <c r="AX1071" s="634"/>
      <c r="AY1071" s="634"/>
      <c r="AZ1071" s="634"/>
      <c r="BA1071" s="634"/>
      <c r="BB1071" s="634"/>
      <c r="BC1071" s="634"/>
      <c r="BD1071" s="634"/>
      <c r="BE1071" s="634"/>
      <c r="BF1071" s="634"/>
      <c r="BG1071" s="634"/>
      <c r="BH1071" s="634"/>
      <c r="BI1071" s="634"/>
    </row>
    <row r="1072" spans="1:61" x14ac:dyDescent="0.25">
      <c r="A1072" s="2371">
        <v>7</v>
      </c>
      <c r="B1072" s="2385" t="s">
        <v>886</v>
      </c>
      <c r="C1072" s="2385"/>
      <c r="D1072" s="2374"/>
      <c r="E1072" s="2374"/>
      <c r="F1072" s="2374"/>
      <c r="G1072" s="2373" t="s">
        <v>3974</v>
      </c>
      <c r="H1072" s="2371" t="s">
        <v>3973</v>
      </c>
      <c r="I1072" s="129"/>
      <c r="J1072" s="636"/>
      <c r="K1072" s="636"/>
      <c r="L1072" s="1833"/>
      <c r="M1072" s="1014"/>
      <c r="N1072" s="1042"/>
      <c r="O1072" s="1042"/>
      <c r="P1072" s="756"/>
      <c r="Q1072" s="756"/>
      <c r="R1072" s="634"/>
      <c r="S1072" s="634"/>
      <c r="T1072" s="634"/>
      <c r="U1072" s="634"/>
      <c r="V1072" s="634"/>
      <c r="W1072" s="634"/>
      <c r="X1072" s="1757"/>
      <c r="Y1072" s="2081"/>
      <c r="Z1072" s="2083"/>
      <c r="AA1072" s="1526"/>
      <c r="AB1072" s="634"/>
      <c r="AC1072" s="970"/>
      <c r="AD1072" s="970"/>
      <c r="AE1072" s="970"/>
      <c r="AF1072" s="634"/>
      <c r="AG1072" s="634"/>
      <c r="AH1072" s="634"/>
      <c r="AI1072" s="634"/>
      <c r="AJ1072" s="634"/>
      <c r="AK1072" s="634"/>
      <c r="AL1072" s="1336"/>
      <c r="AM1072" s="1336"/>
      <c r="AN1072" s="1336"/>
      <c r="AO1072" s="1336"/>
      <c r="AP1072" s="1336"/>
      <c r="AQ1072" s="1336"/>
      <c r="AR1072" s="1336"/>
      <c r="AS1072" s="1336"/>
      <c r="AT1072" s="634"/>
      <c r="AU1072" s="634"/>
      <c r="AV1072" s="634"/>
      <c r="AW1072" s="634"/>
      <c r="AX1072" s="634"/>
      <c r="AY1072" s="634"/>
      <c r="AZ1072" s="634"/>
      <c r="BA1072" s="634"/>
      <c r="BB1072" s="634"/>
      <c r="BC1072" s="634"/>
      <c r="BD1072" s="634"/>
      <c r="BE1072" s="634"/>
      <c r="BF1072" s="634"/>
      <c r="BG1072" s="634"/>
      <c r="BH1072" s="634"/>
      <c r="BI1072" s="634"/>
    </row>
    <row r="1073" spans="1:61" s="1066" customFormat="1" x14ac:dyDescent="0.25">
      <c r="A1073" s="2371">
        <v>7</v>
      </c>
      <c r="B1073" s="2385" t="s">
        <v>886</v>
      </c>
      <c r="C1073" s="2385"/>
      <c r="D1073" s="2374"/>
      <c r="E1073" s="2374"/>
      <c r="F1073" s="2374"/>
      <c r="G1073" s="2373" t="s">
        <v>3974</v>
      </c>
      <c r="H1073" s="2371" t="s">
        <v>3973</v>
      </c>
      <c r="I1073" s="129"/>
      <c r="J1073" s="1071"/>
      <c r="K1073" s="1071"/>
      <c r="L1073" s="1833"/>
      <c r="M1073" s="1067"/>
      <c r="N1073" s="1077"/>
      <c r="O1073" s="1077"/>
      <c r="X1073" s="1757"/>
      <c r="Y1073" s="2081"/>
      <c r="Z1073" s="2083"/>
      <c r="AA1073" s="1526"/>
      <c r="AL1073" s="1336"/>
      <c r="AM1073" s="1336"/>
      <c r="AN1073" s="1336"/>
      <c r="AO1073" s="1336"/>
      <c r="AP1073" s="1336"/>
      <c r="AQ1073" s="1336"/>
      <c r="AR1073" s="1336"/>
      <c r="AS1073" s="1336"/>
    </row>
    <row r="1074" spans="1:61" s="868" customFormat="1" x14ac:dyDescent="0.25">
      <c r="A1074" s="2371">
        <v>7</v>
      </c>
      <c r="B1074" s="2385" t="s">
        <v>886</v>
      </c>
      <c r="C1074" s="2385"/>
      <c r="D1074" s="2374"/>
      <c r="E1074" s="2374"/>
      <c r="F1074" s="2374"/>
      <c r="G1074" s="2373" t="s">
        <v>3974</v>
      </c>
      <c r="H1074" s="2371" t="s">
        <v>3973</v>
      </c>
      <c r="I1074" s="129"/>
      <c r="J1074" s="885"/>
      <c r="K1074" s="885"/>
      <c r="L1074" s="1833"/>
      <c r="M1074" s="1014"/>
      <c r="N1074" s="1042"/>
      <c r="O1074" s="1042"/>
      <c r="X1074" s="1757"/>
      <c r="Y1074" s="2081"/>
      <c r="Z1074" s="2083"/>
      <c r="AA1074" s="1526"/>
      <c r="AC1074" s="970"/>
      <c r="AD1074" s="970"/>
      <c r="AE1074" s="970"/>
      <c r="AL1074" s="1336"/>
      <c r="AM1074" s="1336"/>
      <c r="AN1074" s="1336"/>
      <c r="AO1074" s="1336"/>
      <c r="AP1074" s="1336"/>
      <c r="AQ1074" s="1336"/>
      <c r="AR1074" s="1336"/>
      <c r="AS1074" s="1336"/>
    </row>
    <row r="1075" spans="1:61" x14ac:dyDescent="0.25">
      <c r="A1075" s="2371">
        <v>7</v>
      </c>
      <c r="B1075" s="2385" t="s">
        <v>886</v>
      </c>
      <c r="C1075" s="2385"/>
      <c r="D1075" s="2374"/>
      <c r="E1075" s="2374"/>
      <c r="F1075" s="2374"/>
      <c r="G1075" s="2373" t="s">
        <v>3974</v>
      </c>
      <c r="H1075" s="2371" t="s">
        <v>3973</v>
      </c>
      <c r="I1075" s="129"/>
      <c r="J1075" s="636"/>
      <c r="K1075" s="636"/>
      <c r="L1075" s="1833"/>
      <c r="M1075" s="1014"/>
      <c r="N1075" s="1042"/>
      <c r="O1075" s="1042"/>
      <c r="P1075" s="756"/>
      <c r="Q1075" s="756"/>
      <c r="R1075" s="634"/>
      <c r="S1075" s="634"/>
      <c r="T1075" s="634"/>
      <c r="U1075" s="634"/>
      <c r="V1075" s="634"/>
      <c r="W1075" s="634"/>
      <c r="X1075" s="1757"/>
      <c r="Y1075" s="2081"/>
      <c r="Z1075" s="2083"/>
      <c r="AA1075" s="1526"/>
      <c r="AB1075" s="634"/>
      <c r="AC1075" s="970"/>
      <c r="AD1075" s="970"/>
      <c r="AE1075" s="970"/>
      <c r="AF1075" s="634"/>
      <c r="AG1075" s="634"/>
      <c r="AH1075" s="634"/>
      <c r="AI1075" s="634"/>
      <c r="AJ1075" s="634"/>
      <c r="AK1075" s="634"/>
      <c r="AL1075" s="1336"/>
      <c r="AM1075" s="1336"/>
      <c r="AN1075" s="1336"/>
      <c r="AO1075" s="1336"/>
      <c r="AP1075" s="1336"/>
      <c r="AQ1075" s="1336"/>
      <c r="AR1075" s="1336"/>
      <c r="AS1075" s="1336"/>
      <c r="AT1075" s="634"/>
      <c r="AU1075" s="634"/>
      <c r="AV1075" s="634"/>
      <c r="AW1075" s="634"/>
      <c r="AX1075" s="634"/>
      <c r="AY1075" s="634"/>
      <c r="AZ1075" s="634"/>
      <c r="BA1075" s="634"/>
      <c r="BB1075" s="634"/>
      <c r="BC1075" s="634"/>
      <c r="BD1075" s="634"/>
      <c r="BE1075" s="634"/>
      <c r="BF1075" s="634"/>
      <c r="BG1075" s="634"/>
      <c r="BH1075" s="634"/>
      <c r="BI1075" s="634"/>
    </row>
    <row r="1076" spans="1:61" x14ac:dyDescent="0.25">
      <c r="A1076" s="2371">
        <v>7</v>
      </c>
      <c r="B1076" s="2385" t="s">
        <v>886</v>
      </c>
      <c r="C1076" s="2385"/>
      <c r="D1076" s="2374"/>
      <c r="E1076" s="2374"/>
      <c r="F1076" s="2374"/>
      <c r="G1076" s="2373" t="s">
        <v>3974</v>
      </c>
      <c r="H1076" s="2371" t="s">
        <v>3973</v>
      </c>
      <c r="I1076" s="210"/>
      <c r="J1076" s="637"/>
      <c r="K1076" s="637"/>
      <c r="L1076" s="1834"/>
      <c r="M1076" s="1014"/>
      <c r="N1076" s="1042"/>
      <c r="O1076" s="1042"/>
      <c r="P1076" s="756"/>
      <c r="Q1076" s="756"/>
      <c r="R1076" s="634"/>
      <c r="S1076" s="634"/>
      <c r="T1076" s="634"/>
      <c r="U1076" s="634"/>
      <c r="V1076" s="634"/>
      <c r="W1076" s="634"/>
      <c r="X1076" s="1757"/>
      <c r="Y1076" s="2081"/>
      <c r="Z1076" s="2083"/>
      <c r="AA1076" s="1526"/>
      <c r="AB1076" s="634"/>
      <c r="AC1076" s="970"/>
      <c r="AD1076" s="970"/>
      <c r="AE1076" s="970"/>
      <c r="AF1076" s="634"/>
      <c r="AG1076" s="634"/>
      <c r="AH1076" s="634"/>
      <c r="AI1076" s="634"/>
      <c r="AJ1076" s="634"/>
      <c r="AK1076" s="634"/>
      <c r="AL1076" s="1336"/>
      <c r="AM1076" s="1336"/>
      <c r="AN1076" s="1336"/>
      <c r="AO1076" s="1336"/>
      <c r="AP1076" s="1336"/>
      <c r="AQ1076" s="1336"/>
      <c r="AR1076" s="1336"/>
      <c r="AS1076" s="1336"/>
      <c r="AT1076" s="634"/>
      <c r="AU1076" s="634"/>
      <c r="AV1076" s="634"/>
      <c r="AW1076" s="634"/>
      <c r="AX1076" s="634"/>
      <c r="AY1076" s="634"/>
      <c r="AZ1076" s="634"/>
      <c r="BA1076" s="634"/>
      <c r="BB1076" s="634"/>
      <c r="BC1076" s="634"/>
      <c r="BD1076" s="634"/>
      <c r="BE1076" s="634"/>
      <c r="BF1076" s="634"/>
      <c r="BG1076" s="634"/>
      <c r="BH1076" s="634"/>
      <c r="BI1076" s="634"/>
    </row>
    <row r="1077" spans="1:61" ht="15" customHeight="1" x14ac:dyDescent="0.25">
      <c r="A1077" s="2371">
        <v>7</v>
      </c>
      <c r="B1077" s="2385" t="s">
        <v>887</v>
      </c>
      <c r="C1077" s="2385"/>
      <c r="D1077" s="2374"/>
      <c r="E1077" s="2374"/>
      <c r="F1077" s="2374"/>
      <c r="G1077" s="2373" t="s">
        <v>3974</v>
      </c>
      <c r="H1077" s="2371" t="s">
        <v>3973</v>
      </c>
      <c r="I1077" s="533" t="s">
        <v>887</v>
      </c>
      <c r="J1077" s="641"/>
      <c r="K1077" s="641"/>
      <c r="L1077" s="1835" t="s">
        <v>4262</v>
      </c>
      <c r="M1077" s="1014"/>
      <c r="N1077" s="1042"/>
      <c r="O1077" s="1042"/>
      <c r="P1077" s="756"/>
      <c r="Q1077" s="756"/>
      <c r="R1077" s="634"/>
      <c r="S1077" s="634"/>
      <c r="T1077" s="634"/>
      <c r="U1077" s="634"/>
      <c r="V1077" s="634"/>
      <c r="W1077" s="634"/>
      <c r="X1077" s="1757"/>
      <c r="Y1077" s="2081"/>
      <c r="Z1077" s="2083"/>
      <c r="AA1077" s="1526"/>
      <c r="AB1077" s="634"/>
      <c r="AC1077" s="970"/>
      <c r="AD1077" s="970"/>
      <c r="AE1077" s="970"/>
      <c r="AF1077" s="634"/>
      <c r="AG1077" s="634"/>
      <c r="AH1077" s="634"/>
      <c r="AI1077" s="634"/>
      <c r="AJ1077" s="634"/>
      <c r="AK1077" s="634"/>
      <c r="AL1077" s="1336"/>
      <c r="AM1077" s="1336"/>
      <c r="AN1077" s="1336"/>
      <c r="AO1077" s="1336"/>
      <c r="AP1077" s="1336"/>
      <c r="AQ1077" s="1336"/>
      <c r="AR1077" s="1336"/>
      <c r="AS1077" s="1336"/>
      <c r="AT1077" s="634"/>
      <c r="AU1077" s="634"/>
      <c r="AV1077" s="634"/>
      <c r="AW1077" s="634"/>
      <c r="AX1077" s="634"/>
      <c r="AY1077" s="634"/>
      <c r="AZ1077" s="634"/>
      <c r="BA1077" s="634"/>
      <c r="BB1077" s="634"/>
      <c r="BC1077" s="634"/>
      <c r="BD1077" s="634"/>
      <c r="BE1077" s="634"/>
      <c r="BF1077" s="634"/>
      <c r="BG1077" s="634"/>
      <c r="BH1077" s="634"/>
      <c r="BI1077" s="634"/>
    </row>
    <row r="1078" spans="1:61" x14ac:dyDescent="0.25">
      <c r="A1078" s="2371">
        <v>7</v>
      </c>
      <c r="B1078" s="2385" t="s">
        <v>887</v>
      </c>
      <c r="C1078" s="2385"/>
      <c r="D1078" s="2374"/>
      <c r="E1078" s="2374"/>
      <c r="F1078" s="2374"/>
      <c r="G1078" s="2373" t="s">
        <v>3974</v>
      </c>
      <c r="H1078" s="2371" t="s">
        <v>3973</v>
      </c>
      <c r="I1078" s="129"/>
      <c r="J1078" s="636"/>
      <c r="K1078" s="636"/>
      <c r="L1078" s="1833"/>
      <c r="M1078" s="1014"/>
      <c r="N1078" s="1042"/>
      <c r="O1078" s="1042"/>
      <c r="P1078" s="756"/>
      <c r="Q1078" s="756"/>
      <c r="R1078" s="634"/>
      <c r="S1078" s="634"/>
      <c r="T1078" s="634"/>
      <c r="U1078" s="634"/>
      <c r="V1078" s="634"/>
      <c r="W1078" s="634"/>
      <c r="X1078" s="1757"/>
      <c r="Y1078" s="2081"/>
      <c r="Z1078" s="2083"/>
      <c r="AA1078" s="1526"/>
      <c r="AB1078" s="634"/>
      <c r="AC1078" s="970"/>
      <c r="AD1078" s="970"/>
      <c r="AE1078" s="970"/>
      <c r="AF1078" s="634"/>
      <c r="AG1078" s="634"/>
      <c r="AH1078" s="634"/>
      <c r="AI1078" s="634"/>
      <c r="AJ1078" s="634"/>
      <c r="AK1078" s="634"/>
      <c r="AL1078" s="1336"/>
      <c r="AM1078" s="1336"/>
      <c r="AN1078" s="1336"/>
      <c r="AO1078" s="1336"/>
      <c r="AP1078" s="1336"/>
      <c r="AQ1078" s="1336"/>
      <c r="AR1078" s="1336"/>
      <c r="AS1078" s="1336"/>
      <c r="AT1078" s="634"/>
      <c r="AU1078" s="634"/>
      <c r="AV1078" s="634"/>
      <c r="AW1078" s="634"/>
      <c r="AX1078" s="634"/>
      <c r="AY1078" s="634"/>
      <c r="AZ1078" s="634"/>
      <c r="BA1078" s="634"/>
      <c r="BB1078" s="634"/>
      <c r="BC1078" s="634"/>
      <c r="BD1078" s="634"/>
      <c r="BE1078" s="634"/>
      <c r="BF1078" s="634"/>
      <c r="BG1078" s="634"/>
      <c r="BH1078" s="634"/>
      <c r="BI1078" s="634"/>
    </row>
    <row r="1079" spans="1:61" x14ac:dyDescent="0.25">
      <c r="A1079" s="2371">
        <v>7</v>
      </c>
      <c r="B1079" s="2385" t="s">
        <v>887</v>
      </c>
      <c r="C1079" s="2385"/>
      <c r="D1079" s="2374"/>
      <c r="E1079" s="2374"/>
      <c r="F1079" s="2374"/>
      <c r="G1079" s="2373" t="s">
        <v>3974</v>
      </c>
      <c r="H1079" s="2371" t="s">
        <v>3973</v>
      </c>
      <c r="I1079" s="129"/>
      <c r="J1079" s="636"/>
      <c r="K1079" s="636"/>
      <c r="L1079" s="1833"/>
      <c r="M1079" s="1014"/>
      <c r="N1079" s="1042"/>
      <c r="O1079" s="1042"/>
      <c r="P1079" s="756"/>
      <c r="Q1079" s="756"/>
      <c r="R1079" s="634"/>
      <c r="S1079" s="634"/>
      <c r="T1079" s="634"/>
      <c r="U1079" s="634"/>
      <c r="V1079" s="634"/>
      <c r="W1079" s="634"/>
      <c r="X1079" s="1757"/>
      <c r="Y1079" s="2081"/>
      <c r="Z1079" s="2083"/>
      <c r="AA1079" s="1526"/>
      <c r="AB1079" s="634"/>
      <c r="AC1079" s="970"/>
      <c r="AD1079" s="970"/>
      <c r="AE1079" s="970"/>
      <c r="AF1079" s="634"/>
      <c r="AG1079" s="634"/>
      <c r="AH1079" s="634"/>
      <c r="AI1079" s="634"/>
      <c r="AJ1079" s="634"/>
      <c r="AK1079" s="634"/>
      <c r="AL1079" s="1336"/>
      <c r="AM1079" s="1336"/>
      <c r="AN1079" s="1336"/>
      <c r="AO1079" s="1336"/>
      <c r="AP1079" s="1336"/>
      <c r="AQ1079" s="1336"/>
      <c r="AR1079" s="1336"/>
      <c r="AS1079" s="1336"/>
      <c r="AT1079" s="634"/>
      <c r="AU1079" s="634"/>
      <c r="AV1079" s="634"/>
      <c r="AW1079" s="634"/>
      <c r="AX1079" s="634"/>
      <c r="AY1079" s="634"/>
      <c r="AZ1079" s="634"/>
      <c r="BA1079" s="634"/>
      <c r="BB1079" s="634"/>
      <c r="BC1079" s="634"/>
      <c r="BD1079" s="634"/>
      <c r="BE1079" s="634"/>
      <c r="BF1079" s="634"/>
      <c r="BG1079" s="634"/>
      <c r="BH1079" s="634"/>
      <c r="BI1079" s="634"/>
    </row>
    <row r="1080" spans="1:61" x14ac:dyDescent="0.25">
      <c r="A1080" s="2371">
        <v>7</v>
      </c>
      <c r="B1080" s="2385" t="s">
        <v>887</v>
      </c>
      <c r="C1080" s="2385"/>
      <c r="D1080" s="2374"/>
      <c r="E1080" s="2374"/>
      <c r="F1080" s="2374"/>
      <c r="G1080" s="2373" t="s">
        <v>3974</v>
      </c>
      <c r="H1080" s="2371" t="s">
        <v>3973</v>
      </c>
      <c r="I1080" s="210"/>
      <c r="J1080" s="637"/>
      <c r="K1080" s="637"/>
      <c r="L1080" s="1834"/>
      <c r="M1080" s="1015"/>
      <c r="N1080" s="1083"/>
      <c r="O1080" s="1083"/>
      <c r="P1080" s="178"/>
      <c r="Q1080" s="178"/>
      <c r="R1080" s="178"/>
      <c r="S1080" s="178"/>
      <c r="T1080" s="178"/>
      <c r="U1080" s="178"/>
      <c r="V1080" s="178"/>
      <c r="W1080" s="634"/>
      <c r="X1080" s="1757"/>
      <c r="Y1080" s="2081"/>
      <c r="Z1080" s="2083"/>
      <c r="AA1080" s="1526"/>
      <c r="AB1080" s="634"/>
      <c r="AC1080" s="970"/>
      <c r="AD1080" s="970"/>
      <c r="AE1080" s="970"/>
      <c r="AF1080" s="634"/>
      <c r="AG1080" s="634"/>
      <c r="AH1080" s="634"/>
      <c r="AI1080" s="634"/>
      <c r="AJ1080" s="634"/>
      <c r="AK1080" s="634"/>
      <c r="AL1080" s="1336"/>
      <c r="AM1080" s="1336"/>
      <c r="AN1080" s="1336"/>
      <c r="AO1080" s="1336"/>
      <c r="AP1080" s="1336"/>
      <c r="AQ1080" s="1336"/>
      <c r="AR1080" s="1336"/>
      <c r="AS1080" s="1336"/>
      <c r="AT1080" s="634"/>
      <c r="AU1080" s="634"/>
      <c r="AV1080" s="634"/>
      <c r="AW1080" s="634"/>
      <c r="AX1080" s="634"/>
      <c r="AY1080" s="634"/>
      <c r="AZ1080" s="634"/>
      <c r="BA1080" s="634"/>
      <c r="BB1080" s="634"/>
      <c r="BC1080" s="634"/>
      <c r="BD1080" s="634"/>
      <c r="BE1080" s="634"/>
      <c r="BF1080" s="634"/>
      <c r="BG1080" s="634"/>
      <c r="BH1080" s="634"/>
      <c r="BI1080" s="634"/>
    </row>
    <row r="1081" spans="1:61" ht="15" customHeight="1" x14ac:dyDescent="0.25">
      <c r="A1081" s="2371">
        <v>7</v>
      </c>
      <c r="B1081" s="2385" t="s">
        <v>888</v>
      </c>
      <c r="C1081" s="2381"/>
      <c r="D1081" s="2374"/>
      <c r="E1081" s="2374"/>
      <c r="F1081" s="2374"/>
      <c r="G1081" s="2373" t="s">
        <v>3974</v>
      </c>
      <c r="H1081" s="2371" t="s">
        <v>3973</v>
      </c>
      <c r="I1081" s="66" t="s">
        <v>888</v>
      </c>
      <c r="J1081" s="639"/>
      <c r="K1081" s="639"/>
      <c r="L1081" s="1833" t="s">
        <v>4263</v>
      </c>
      <c r="M1081" s="1837" t="str">
        <f ca="1">IF(R1081,"Mandatory","N/A")</f>
        <v>N/A</v>
      </c>
      <c r="N1081" s="1042"/>
      <c r="O1081" s="1042"/>
      <c r="P1081" s="94" t="b">
        <v>0</v>
      </c>
      <c r="Q1081" s="94" t="b">
        <v>1</v>
      </c>
      <c r="R1081" s="634" t="b">
        <f ca="1">AND(S1081,NOT(BI886="Tropical"))</f>
        <v>0</v>
      </c>
      <c r="S1081" s="1495" t="b">
        <f ca="1">(S883=2)</f>
        <v>0</v>
      </c>
      <c r="T1081" s="94" t="b">
        <f ca="1">AND(OR(NOT(S1081),AND(BF886&lt;=2,OR(MAX(W975,W1493)&gt;5,MAX(W978,W1495)&gt;0.33)),AND(BF886&gt;=3,OR(MAX(W975,W1493)&gt;3,MAX(W978,W1495)&gt;0.23))),W1081=TRUE)</f>
        <v>0</v>
      </c>
      <c r="U1081" s="634"/>
      <c r="V1081" s="634"/>
      <c r="W1081" s="25"/>
      <c r="X1081" s="1757"/>
      <c r="Y1081" s="2081" t="str">
        <f>IF(LEN('Ch7'!X211)=0,"None",'Ch7'!X211)</f>
        <v>None</v>
      </c>
      <c r="Z1081" s="2083"/>
      <c r="AA1081" s="1526"/>
      <c r="AB1081" s="634"/>
      <c r="AC1081" s="970" t="b">
        <f ca="1">OR(AD1081:AE1081)</f>
        <v>0</v>
      </c>
      <c r="AD1081" s="970" t="b">
        <f ca="1">T1081</f>
        <v>0</v>
      </c>
      <c r="AE1081" s="1657" t="b">
        <f ca="1">AND(R1081,OR(W1081="Not Met",W1081=""))</f>
        <v>0</v>
      </c>
      <c r="AF1081" s="784"/>
      <c r="AG1081" s="634"/>
      <c r="AH1081" s="634"/>
      <c r="AI1081" s="634"/>
      <c r="AJ1081" s="634"/>
      <c r="AK1081" s="634"/>
      <c r="AL1081" s="254" t="str">
        <f>SUBSTITUTE(SUBSTITUTE(SUBSTITUTE("vpa"&amp;$B1081&amp;$C1081&amp;$D1081&amp;$E1081,".","_"),"(","_"),")","")</f>
        <v>vpa703_1_2</v>
      </c>
      <c r="AM1081" s="254" t="str">
        <f ca="1">M1081</f>
        <v>N/A</v>
      </c>
      <c r="AN1081" s="1336"/>
      <c r="AO1081" s="1336"/>
      <c r="AP1081" s="254" t="str">
        <f>SUBSTITUTE(SUBSTITUTE(SUBSTITUTE("vch"&amp;$B1081&amp;$C1081&amp;$D1081&amp;$E1081,".","_"),"(","_"),")","")</f>
        <v>vch703_1_2</v>
      </c>
      <c r="AQ1081" s="254" t="str">
        <f>IF(LEN(W1081)=0,"",W1081)</f>
        <v/>
      </c>
      <c r="AR1081" s="254" t="str">
        <f>SUBSTITUTE(SUBSTITUTE(SUBSTITUTE("vnt"&amp;$B1081&amp;$C1081&amp;$D1081&amp;$E1081,".","_"),"(","_"),")","")</f>
        <v>vnt703_1_2</v>
      </c>
      <c r="AS1081" s="254" t="str">
        <f>IF(LEN(X1081)=0,"",X1081)</f>
        <v/>
      </c>
      <c r="AT1081" s="634"/>
      <c r="AU1081" s="634"/>
      <c r="AV1081" s="634"/>
      <c r="AW1081" s="634"/>
      <c r="AX1081" s="634"/>
      <c r="AY1081" s="634"/>
      <c r="AZ1081" s="634"/>
      <c r="BA1081" s="634"/>
      <c r="BB1081" s="634"/>
      <c r="BC1081" s="634"/>
      <c r="BD1081" s="634"/>
      <c r="BE1081" s="634"/>
      <c r="BF1081" s="634"/>
      <c r="BG1081" s="634"/>
      <c r="BH1081" s="634"/>
      <c r="BI1081" s="634"/>
    </row>
    <row r="1082" spans="1:61" x14ac:dyDescent="0.25">
      <c r="A1082" s="2371">
        <v>7</v>
      </c>
      <c r="B1082" s="2385" t="s">
        <v>888</v>
      </c>
      <c r="C1082" s="2381"/>
      <c r="D1082" s="2374"/>
      <c r="E1082" s="2374"/>
      <c r="F1082" s="2374"/>
      <c r="G1082" s="2373" t="s">
        <v>3974</v>
      </c>
      <c r="H1082" s="2371" t="s">
        <v>3973</v>
      </c>
      <c r="I1082" s="4"/>
      <c r="J1082" s="639"/>
      <c r="K1082" s="639"/>
      <c r="L1082" s="1833"/>
      <c r="M1082" s="1837"/>
      <c r="N1082" s="1042"/>
      <c r="O1082" s="1042"/>
      <c r="P1082" s="756"/>
      <c r="Q1082" s="756"/>
      <c r="R1082" s="634"/>
      <c r="S1082" s="1495"/>
      <c r="T1082" s="1495"/>
      <c r="U1082" s="911"/>
      <c r="V1082" s="911"/>
      <c r="W1082"/>
      <c r="X1082" s="1757"/>
      <c r="Y1082" s="2081"/>
      <c r="Z1082" s="2083"/>
      <c r="AA1082" s="1526"/>
      <c r="AB1082" s="634"/>
      <c r="AC1082" s="970"/>
      <c r="AD1082"/>
      <c r="AE1082" s="970"/>
      <c r="AF1082" s="634"/>
      <c r="AG1082" s="634"/>
      <c r="AH1082" s="634"/>
      <c r="AI1082" s="634"/>
      <c r="AJ1082" s="634"/>
      <c r="AK1082" s="634"/>
      <c r="AL1082" s="1336"/>
      <c r="AM1082" s="1336"/>
      <c r="AN1082" s="1336"/>
      <c r="AO1082" s="1336"/>
      <c r="AP1082" s="1336"/>
      <c r="AQ1082" s="1336"/>
      <c r="AR1082" s="1336"/>
      <c r="AS1082" s="1336"/>
      <c r="AT1082" s="634"/>
      <c r="AU1082" s="634"/>
      <c r="AV1082" s="634"/>
      <c r="AW1082" s="634"/>
      <c r="AX1082" s="634"/>
      <c r="AY1082" s="634"/>
      <c r="AZ1082" s="634"/>
      <c r="BA1082" s="634"/>
      <c r="BB1082" s="634"/>
      <c r="BC1082" s="634"/>
      <c r="BD1082" s="634"/>
      <c r="BE1082" s="634"/>
      <c r="BF1082" s="634"/>
      <c r="BG1082" s="634"/>
      <c r="BH1082" s="634"/>
      <c r="BI1082" s="634"/>
    </row>
    <row r="1083" spans="1:61" x14ac:dyDescent="0.25">
      <c r="A1083" s="2371">
        <v>7</v>
      </c>
      <c r="B1083" s="2385" t="s">
        <v>888</v>
      </c>
      <c r="C1083" s="2381"/>
      <c r="D1083" s="2374"/>
      <c r="E1083" s="2374"/>
      <c r="F1083" s="2374"/>
      <c r="G1083" s="2373" t="s">
        <v>3974</v>
      </c>
      <c r="H1083" s="2371" t="s">
        <v>3973</v>
      </c>
      <c r="I1083" s="210"/>
      <c r="J1083" s="637"/>
      <c r="K1083" s="637"/>
      <c r="L1083" s="1177" t="s">
        <v>3531</v>
      </c>
      <c r="M1083" s="1015"/>
      <c r="N1083" s="1083"/>
      <c r="O1083" s="1083"/>
      <c r="P1083" s="178"/>
      <c r="Q1083" s="178"/>
      <c r="R1083" s="178"/>
      <c r="S1083" s="178"/>
      <c r="T1083" s="178"/>
      <c r="U1083" s="178"/>
      <c r="V1083" s="178"/>
      <c r="W1083"/>
      <c r="X1083" s="1757"/>
      <c r="Y1083" s="2081"/>
      <c r="Z1083" s="2083"/>
      <c r="AA1083" s="1526"/>
      <c r="AB1083" s="634"/>
      <c r="AC1083" s="970"/>
      <c r="AD1083" s="970"/>
      <c r="AE1083" s="970"/>
      <c r="AF1083" s="634"/>
      <c r="AG1083" s="634"/>
      <c r="AH1083" s="634"/>
      <c r="AI1083" s="634"/>
      <c r="AJ1083" s="634"/>
      <c r="AK1083" s="634"/>
      <c r="AL1083" s="1336"/>
      <c r="AM1083" s="1336"/>
      <c r="AN1083" s="1336"/>
      <c r="AO1083" s="1336"/>
      <c r="AP1083" s="1336"/>
      <c r="AQ1083" s="1336"/>
      <c r="AR1083" s="1336"/>
      <c r="AS1083" s="1336"/>
      <c r="AT1083" s="634"/>
      <c r="AU1083" s="634"/>
      <c r="AV1083" s="634"/>
      <c r="AW1083" s="634"/>
      <c r="AX1083" s="634"/>
      <c r="AY1083" s="634"/>
      <c r="AZ1083" s="634"/>
      <c r="BA1083" s="634"/>
      <c r="BB1083" s="634"/>
      <c r="BC1083" s="634"/>
      <c r="BD1083" s="634"/>
      <c r="BE1083" s="634"/>
      <c r="BF1083" s="634"/>
      <c r="BG1083" s="634"/>
      <c r="BH1083" s="634"/>
      <c r="BI1083" s="634"/>
    </row>
    <row r="1084" spans="1:61" ht="15" customHeight="1" x14ac:dyDescent="0.25">
      <c r="A1084" s="2371">
        <v>7</v>
      </c>
      <c r="B1084" s="2385" t="s">
        <v>889</v>
      </c>
      <c r="C1084" s="2381"/>
      <c r="D1084" s="2374"/>
      <c r="E1084" s="2374"/>
      <c r="F1084" s="2374"/>
      <c r="G1084" s="2373" t="s">
        <v>3974</v>
      </c>
      <c r="H1084" s="2371" t="s">
        <v>3971</v>
      </c>
      <c r="I1084" s="510" t="s">
        <v>889</v>
      </c>
      <c r="J1084" s="636"/>
      <c r="K1084" s="636"/>
      <c r="L1084" s="1782" t="s">
        <v>5122</v>
      </c>
      <c r="M1084" s="1837" t="str">
        <f ca="1">IF(R1084,"Mandatory","N/A")</f>
        <v>N/A</v>
      </c>
      <c r="N1084" s="1044"/>
      <c r="O1084" s="1044"/>
      <c r="P1084" s="94" t="b">
        <v>1</v>
      </c>
      <c r="Q1084" s="94" t="b">
        <v>1</v>
      </c>
      <c r="R1084" s="94" t="b">
        <f ca="1">AND(S1084,NOT(AND(AY889="Multifamily",AY898&gt;3)),NOT(BI886="Tropical"))</f>
        <v>0</v>
      </c>
      <c r="S1084" s="94" t="b">
        <f ca="1">AND(S883=2,NOT(AND(AY909=INDEX(INDIRECT('Overview (Design)'!$E$38),3),AY913=INDEX(INDIRECT('Overview (Design)'!$E$42),3))))</f>
        <v>0</v>
      </c>
      <c r="T1084" s="94" t="b">
        <f ca="1">AND(NOT(S1084),LEN(W1084)&gt;0)</f>
        <v>0</v>
      </c>
      <c r="U1084" s="195" t="str">
        <f>SUBSTITUTE(SUBSTITUTE(SUBSTITUTE("dd"&amp;B1084&amp;C1084&amp;D1084&amp;E1084&amp;F1084,".","_"),"(","_"),")","")</f>
        <v>dd703_1_3</v>
      </c>
      <c r="V1084" s="94"/>
      <c r="W1084" s="1484"/>
      <c r="X1084" s="1757"/>
      <c r="Y1084" s="2081" t="str">
        <f>IF(LEN('Ch7'!X214)=0,"None",'Ch7'!X214)</f>
        <v>None</v>
      </c>
      <c r="Z1084" s="2084"/>
      <c r="AA1084" s="1526"/>
      <c r="AB1084" s="634"/>
      <c r="AC1084" s="970" t="b">
        <f ca="1">OR(AD1084:AE1084)</f>
        <v>0</v>
      </c>
      <c r="AD1084" s="970" t="b">
        <f ca="1">T1084</f>
        <v>0</v>
      </c>
      <c r="AE1084" s="1657" t="b">
        <f ca="1">AND(R1084,OR(W1084="Not Met",W1084=""))</f>
        <v>0</v>
      </c>
      <c r="AF1084" s="784"/>
      <c r="AG1084" s="634"/>
      <c r="AH1084" s="634"/>
      <c r="AI1084" s="634"/>
      <c r="AJ1084" s="634"/>
      <c r="AK1084" s="634"/>
      <c r="AL1084" s="254" t="str">
        <f>SUBSTITUTE(SUBSTITUTE(SUBSTITUTE("vpa"&amp;$B1084&amp;$C1084&amp;$D1084&amp;$E1084,".","_"),"(","_"),")","")</f>
        <v>vpa703_1_3</v>
      </c>
      <c r="AM1084" s="254" t="str">
        <f ca="1">M1084</f>
        <v>N/A</v>
      </c>
      <c r="AN1084" s="1336"/>
      <c r="AO1084" s="1336"/>
      <c r="AP1084" s="254" t="str">
        <f>SUBSTITUTE(SUBSTITUTE(SUBSTITUTE("vch"&amp;$B1084&amp;$C1084&amp;$D1084&amp;$E1084,".","_"),"(","_"),")","")</f>
        <v>vch703_1_3</v>
      </c>
      <c r="AQ1084" s="254" t="str">
        <f>IF(LEN(W1084)=0,"",W1084)</f>
        <v/>
      </c>
      <c r="AR1084" s="254" t="str">
        <f>SUBSTITUTE(SUBSTITUTE(SUBSTITUTE("vnt"&amp;$B1084&amp;$C1084&amp;$D1084&amp;$E1084,".","_"),"(","_"),")","")</f>
        <v>vnt703_1_3</v>
      </c>
      <c r="AS1084" s="254" t="str">
        <f>IF(LEN(X1084)=0,"",X1084)</f>
        <v/>
      </c>
      <c r="AT1084" s="634"/>
      <c r="AU1084" s="634"/>
      <c r="AV1084" s="634"/>
      <c r="AW1084" s="634"/>
      <c r="AX1084" s="634"/>
      <c r="AY1084" s="634"/>
      <c r="AZ1084" s="634"/>
      <c r="BA1084" s="634"/>
      <c r="BB1084" s="634"/>
      <c r="BC1084" s="634"/>
      <c r="BD1084" s="634"/>
      <c r="BE1084" s="634"/>
      <c r="BF1084" s="634"/>
      <c r="BG1084" s="634"/>
      <c r="BH1084" s="634"/>
      <c r="BI1084" s="634"/>
    </row>
    <row r="1085" spans="1:61" s="1657" customFormat="1" ht="15" customHeight="1" x14ac:dyDescent="0.25">
      <c r="A1085" s="2371">
        <v>7</v>
      </c>
      <c r="B1085" s="2385" t="s">
        <v>889</v>
      </c>
      <c r="C1085" s="2381"/>
      <c r="D1085" s="2374"/>
      <c r="E1085" s="2374"/>
      <c r="F1085" s="2374"/>
      <c r="G1085" s="2373" t="s">
        <v>3974</v>
      </c>
      <c r="H1085" s="2371" t="s">
        <v>3972</v>
      </c>
      <c r="I1085" s="510"/>
      <c r="J1085" s="1658"/>
      <c r="K1085" s="1658"/>
      <c r="L1085" s="1782"/>
      <c r="M1085" s="1837"/>
      <c r="N1085" s="1661"/>
      <c r="O1085" s="1661"/>
      <c r="P1085" s="94"/>
      <c r="Q1085" s="94"/>
      <c r="R1085" s="94"/>
      <c r="S1085" s="94"/>
      <c r="T1085" s="94"/>
      <c r="U1085" s="94"/>
      <c r="V1085" s="94"/>
      <c r="W1085" s="1657" t="s">
        <v>5742</v>
      </c>
      <c r="X1085" s="1757"/>
      <c r="Y1085" s="2099"/>
      <c r="Z1085" s="2087"/>
      <c r="AL1085" s="254"/>
      <c r="AM1085" s="254"/>
      <c r="AP1085" s="254"/>
      <c r="AQ1085" s="254"/>
      <c r="AR1085" s="254"/>
      <c r="AS1085" s="254"/>
    </row>
    <row r="1086" spans="1:61" s="1657" customFormat="1" ht="15" customHeight="1" x14ac:dyDescent="0.25">
      <c r="A1086" s="2371">
        <v>7</v>
      </c>
      <c r="B1086" s="2385" t="s">
        <v>889</v>
      </c>
      <c r="C1086" s="2381" t="s">
        <v>4860</v>
      </c>
      <c r="D1086" s="2374"/>
      <c r="E1086" s="2374"/>
      <c r="F1086" s="2374"/>
      <c r="G1086" s="2373" t="s">
        <v>3974</v>
      </c>
      <c r="H1086" s="2371" t="s">
        <v>3972</v>
      </c>
      <c r="I1086" s="510"/>
      <c r="J1086" s="1658"/>
      <c r="K1086" s="1658"/>
      <c r="L1086" s="1782"/>
      <c r="M1086" s="1837"/>
      <c r="N1086" s="1661"/>
      <c r="O1086" s="1661"/>
      <c r="P1086" s="94" t="b">
        <v>1</v>
      </c>
      <c r="Q1086" s="94" t="b">
        <v>0</v>
      </c>
      <c r="R1086" s="94" t="b">
        <f ca="1">W1084=INDEX(INDIRECT(U1084),1)</f>
        <v>0</v>
      </c>
      <c r="S1086" s="94" t="b">
        <f ca="1">S1084</f>
        <v>0</v>
      </c>
      <c r="T1086" s="94" t="b">
        <f ca="1">AND(NOT(S1086),LEN(W1086)&gt;0)</f>
        <v>0</v>
      </c>
      <c r="U1086" s="94"/>
      <c r="V1086" s="94"/>
      <c r="W1086" s="320"/>
      <c r="X1086" s="1757"/>
      <c r="Y1086" s="2099"/>
      <c r="Z1086" s="2087"/>
      <c r="AC1086" s="1657" t="b">
        <f ca="1">OR(AD1086:AE1086)</f>
        <v>0</v>
      </c>
      <c r="AD1086" s="1657" t="b">
        <f ca="1">T1086</f>
        <v>0</v>
      </c>
      <c r="AE1086" s="1657" t="b">
        <f ca="1">AND(R1086,OR(W1086="Not Met",W1086=""))</f>
        <v>0</v>
      </c>
      <c r="AF1086" s="1657" t="b">
        <f ca="1">AND(AE1086,NOT(Q1086))</f>
        <v>0</v>
      </c>
      <c r="AL1086" s="254"/>
      <c r="AM1086" s="254"/>
      <c r="AP1086" s="254" t="str">
        <f>SUBSTITUTE(SUBSTITUTE(SUBSTITUTE("vch"&amp;$B1086&amp;$C1086&amp;$D1086&amp;$E1086,".","_"),"(","_"),")","")</f>
        <v>vch703_1_3_1</v>
      </c>
      <c r="AQ1086" s="254" t="str">
        <f>IF(LEN(W1086)=0,"",W1086)</f>
        <v/>
      </c>
      <c r="AR1086" s="254"/>
      <c r="AS1086" s="254"/>
    </row>
    <row r="1087" spans="1:61" s="1657" customFormat="1" ht="15" customHeight="1" x14ac:dyDescent="0.25">
      <c r="A1087" s="2371">
        <v>7</v>
      </c>
      <c r="B1087" s="2385" t="s">
        <v>889</v>
      </c>
      <c r="C1087" s="2381"/>
      <c r="D1087" s="2374"/>
      <c r="E1087" s="2374"/>
      <c r="F1087" s="2374"/>
      <c r="G1087" s="2373" t="s">
        <v>3974</v>
      </c>
      <c r="H1087" s="2371" t="s">
        <v>3973</v>
      </c>
      <c r="I1087" s="510"/>
      <c r="J1087" s="1658"/>
      <c r="K1087" s="1658"/>
      <c r="L1087" s="1782"/>
      <c r="M1087" s="1837"/>
      <c r="N1087" s="1661"/>
      <c r="O1087" s="1661"/>
      <c r="P1087" s="94"/>
      <c r="Q1087" s="94"/>
      <c r="R1087" s="94"/>
      <c r="S1087" s="94"/>
      <c r="T1087" s="94"/>
      <c r="U1087" s="94"/>
      <c r="V1087" s="94"/>
      <c r="W1087" s="1657" t="s">
        <v>5743</v>
      </c>
      <c r="X1087" s="1757"/>
      <c r="Y1087" s="2099"/>
      <c r="Z1087" s="2087"/>
      <c r="AL1087" s="254"/>
      <c r="AM1087" s="254"/>
      <c r="AP1087" s="254"/>
      <c r="AQ1087" s="254"/>
      <c r="AR1087" s="254"/>
      <c r="AS1087" s="254"/>
    </row>
    <row r="1088" spans="1:61" ht="15.75" thickBot="1" x14ac:dyDescent="0.3">
      <c r="A1088" s="2371">
        <v>7</v>
      </c>
      <c r="B1088" s="2385" t="s">
        <v>889</v>
      </c>
      <c r="C1088" s="2381" t="s">
        <v>4861</v>
      </c>
      <c r="D1088" s="2374"/>
      <c r="E1088" s="2374"/>
      <c r="F1088" s="2374"/>
      <c r="G1088" s="2373" t="s">
        <v>3974</v>
      </c>
      <c r="H1088" s="2371" t="s">
        <v>3973</v>
      </c>
      <c r="I1088" s="240"/>
      <c r="J1088" s="642"/>
      <c r="K1088" s="642"/>
      <c r="L1088" s="1797"/>
      <c r="M1088" s="1839"/>
      <c r="N1088" s="1045"/>
      <c r="O1088" s="1045"/>
      <c r="P1088" s="99" t="b">
        <v>0</v>
      </c>
      <c r="Q1088" s="99" t="b">
        <v>1</v>
      </c>
      <c r="R1088" s="99" t="b">
        <f ca="1">W1084=INDEX(INDIRECT(U1084),1)</f>
        <v>0</v>
      </c>
      <c r="S1088" s="99" t="b">
        <f ca="1">S1084</f>
        <v>0</v>
      </c>
      <c r="T1088" s="94" t="b">
        <f ca="1">AND(NOT(S1088),LEN(W1088)&gt;0)</f>
        <v>0</v>
      </c>
      <c r="U1088" s="99"/>
      <c r="V1088" s="99"/>
      <c r="W1088" s="1677"/>
      <c r="X1088" s="1771"/>
      <c r="Y1088" s="2082"/>
      <c r="Z1088" s="2086"/>
      <c r="AA1088" s="1526"/>
      <c r="AB1088" s="634"/>
      <c r="AC1088" s="1657" t="b">
        <f ca="1">OR(AD1088:AE1088)</f>
        <v>0</v>
      </c>
      <c r="AD1088" s="1657" t="b">
        <f ca="1">T1088</f>
        <v>0</v>
      </c>
      <c r="AE1088" s="1657" t="b">
        <f ca="1">AND(R1088,OR(W1088="Not Met",W1088=""))</f>
        <v>0</v>
      </c>
      <c r="AF1088" s="634"/>
      <c r="AG1088" s="634"/>
      <c r="AH1088" s="634"/>
      <c r="AI1088" s="634"/>
      <c r="AJ1088" s="634"/>
      <c r="AK1088" s="634"/>
      <c r="AL1088" s="1336"/>
      <c r="AM1088" s="1336"/>
      <c r="AN1088" s="1336"/>
      <c r="AO1088" s="1336"/>
      <c r="AP1088" s="254" t="str">
        <f>SUBSTITUTE(SUBSTITUTE(SUBSTITUTE("vch"&amp;$B1088&amp;$C1088&amp;$D1088&amp;$E1088,".","_"),"(","_"),")","")</f>
        <v>vch703_1_3_2</v>
      </c>
      <c r="AQ1088" s="254" t="str">
        <f>IF(LEN(W1088)=0,"",W1088)</f>
        <v/>
      </c>
      <c r="AR1088" s="1336"/>
      <c r="AS1088" s="1336"/>
      <c r="AT1088" s="634"/>
      <c r="AU1088" s="634"/>
      <c r="AV1088" s="634"/>
      <c r="AW1088" s="634"/>
      <c r="AX1088" s="634"/>
      <c r="AY1088" s="634"/>
      <c r="AZ1088" s="634"/>
      <c r="BA1088" s="634"/>
      <c r="BB1088" s="634"/>
      <c r="BC1088" s="634"/>
      <c r="BD1088" s="634"/>
      <c r="BE1088" s="634"/>
      <c r="BF1088" s="634"/>
      <c r="BG1088" s="634"/>
      <c r="BH1088" s="634"/>
      <c r="BI1088" s="634"/>
    </row>
    <row r="1089" spans="1:61" ht="15.75" thickTop="1" x14ac:dyDescent="0.25">
      <c r="A1089" s="2371">
        <v>7</v>
      </c>
      <c r="B1089" s="2385">
        <v>703.2</v>
      </c>
      <c r="C1089" s="2381"/>
      <c r="D1089" s="2374"/>
      <c r="E1089" s="2374"/>
      <c r="F1089" s="2374"/>
      <c r="G1089" s="2363" t="str">
        <f ca="1">IF(COUNTIF(G1090:G1122,"P")&gt;0,"P","")</f>
        <v/>
      </c>
      <c r="H1089" s="2371" t="s">
        <v>3971</v>
      </c>
      <c r="I1089" s="64">
        <v>703.2</v>
      </c>
      <c r="J1089" s="639"/>
      <c r="K1089" s="639"/>
      <c r="L1089" s="1180" t="s">
        <v>890</v>
      </c>
      <c r="M1089" s="1014"/>
      <c r="N1089" s="1042"/>
      <c r="O1089" s="1042"/>
      <c r="P1089" s="756"/>
      <c r="Q1089" s="756"/>
      <c r="R1089" s="634"/>
      <c r="S1089" s="634"/>
      <c r="T1089" s="634"/>
      <c r="U1089" s="634"/>
      <c r="V1089" s="634"/>
      <c r="W1089" s="634"/>
      <c r="X1089" s="911"/>
      <c r="Y1089" s="634"/>
      <c r="AA1089" s="1526"/>
      <c r="AB1089" s="634"/>
      <c r="AC1089" s="970"/>
      <c r="AD1089" s="970"/>
      <c r="AE1089" s="970"/>
      <c r="AF1089" s="634"/>
      <c r="AG1089" s="634"/>
      <c r="AH1089" s="634"/>
      <c r="AI1089" s="634"/>
      <c r="AJ1089" s="634"/>
      <c r="AK1089" s="634"/>
      <c r="AL1089" s="1336"/>
      <c r="AM1089" s="1336"/>
      <c r="AN1089" s="1336"/>
      <c r="AO1089" s="1336"/>
      <c r="AP1089" s="1336"/>
      <c r="AQ1089" s="1336"/>
      <c r="AR1089" s="1336"/>
      <c r="AS1089" s="1336"/>
      <c r="AT1089" s="634"/>
      <c r="AU1089" s="634"/>
      <c r="AV1089" s="634"/>
      <c r="AW1089" s="634"/>
      <c r="AX1089" s="634"/>
      <c r="AY1089" s="634"/>
      <c r="AZ1089" s="634"/>
      <c r="BA1089" s="634"/>
      <c r="BB1089" s="634"/>
      <c r="BC1089" s="634"/>
      <c r="BD1089" s="634"/>
      <c r="BE1089" s="634"/>
      <c r="BF1089" s="634"/>
      <c r="BG1089" s="634"/>
      <c r="BH1089" s="634"/>
      <c r="BI1089" s="634"/>
    </row>
    <row r="1090" spans="1:61" ht="15" customHeight="1" x14ac:dyDescent="0.25">
      <c r="A1090" s="2371">
        <v>7</v>
      </c>
      <c r="B1090" s="2385" t="s">
        <v>891</v>
      </c>
      <c r="C1090" s="2381"/>
      <c r="D1090" s="2374"/>
      <c r="E1090" s="2374"/>
      <c r="F1090" s="2374"/>
      <c r="G1090" s="2373" t="str">
        <f>IF(N1090&gt;0,"P","")</f>
        <v/>
      </c>
      <c r="H1090" s="2371" t="s">
        <v>3973</v>
      </c>
      <c r="I1090" s="64" t="s">
        <v>891</v>
      </c>
      <c r="J1090" s="639"/>
      <c r="K1090" s="639"/>
      <c r="L1090" s="1833" t="s">
        <v>4264</v>
      </c>
      <c r="M1090" s="1720" t="s">
        <v>892</v>
      </c>
      <c r="N1090" s="2075">
        <f>'Ch7'!O220</f>
        <v>0</v>
      </c>
      <c r="O1090" s="2075">
        <f>W1090*IFERROR(Formulas!$C$19,0)</f>
        <v>0</v>
      </c>
      <c r="P1090" s="94" t="b">
        <v>0</v>
      </c>
      <c r="Q1090" s="94" t="b">
        <v>1</v>
      </c>
      <c r="R1090" s="634" t="b">
        <v>0</v>
      </c>
      <c r="S1090" s="634" t="b">
        <f ca="1">(S883=2)</f>
        <v>0</v>
      </c>
      <c r="T1090" s="94" t="b">
        <f ca="1">AND(NOT(S1090),W1090=TRUE)</f>
        <v>0</v>
      </c>
      <c r="U1090" s="634"/>
      <c r="V1090" s="634"/>
      <c r="W1090" s="25"/>
      <c r="X1090" s="1757"/>
      <c r="Y1090" s="2081" t="str">
        <f>IF(LEN('Ch7'!X220)=0,"None",'Ch7'!X220)</f>
        <v>None</v>
      </c>
      <c r="Z1090" s="2083"/>
      <c r="AA1090" s="1526"/>
      <c r="AB1090" s="634"/>
      <c r="AC1090" s="970" t="b">
        <f ca="1">OR(AD1090:AE1090)</f>
        <v>0</v>
      </c>
      <c r="AD1090" s="970" t="b">
        <f ca="1">T1090</f>
        <v>0</v>
      </c>
      <c r="AE1090" s="970"/>
      <c r="AF1090" s="784"/>
      <c r="AG1090" s="634"/>
      <c r="AH1090" s="634"/>
      <c r="AI1090" s="634"/>
      <c r="AJ1090" s="634"/>
      <c r="AK1090" s="634"/>
      <c r="AL1090" s="254" t="str">
        <f>SUBSTITUTE(SUBSTITUTE(SUBSTITUTE("vpa"&amp;$B1090&amp;$C1090&amp;$D1090&amp;$E1090,".","_"),"(","_"),")","")</f>
        <v>vpa703_2_1</v>
      </c>
      <c r="AM1090" s="254" t="str">
        <f>M1090</f>
        <v>Per Table 703.2.1(b)</v>
      </c>
      <c r="AN1090" s="254" t="str">
        <f>SUBSTITUTE(SUBSTITUTE(SUBSTITUTE("vpc"&amp;$B1090&amp;$C1090&amp;$D1090&amp;$E1090,".","_"),"(","_"),")","")</f>
        <v>vpc703_2_1</v>
      </c>
      <c r="AO1090" s="254">
        <f>O1090</f>
        <v>0</v>
      </c>
      <c r="AP1090" s="254" t="str">
        <f>SUBSTITUTE(SUBSTITUTE(SUBSTITUTE("vch"&amp;$B1090&amp;$C1090&amp;$D1090&amp;$E1090,".","_"),"(","_"),")","")</f>
        <v>vch703_2_1</v>
      </c>
      <c r="AQ1090" s="254" t="str">
        <f>IF(LEN(W1090)=0,"",W1090)</f>
        <v/>
      </c>
      <c r="AR1090" s="254" t="str">
        <f>SUBSTITUTE(SUBSTITUTE(SUBSTITUTE("vnt"&amp;$B1090&amp;$C1090&amp;$D1090&amp;$E1090,".","_"),"(","_"),")","")</f>
        <v>vnt703_2_1</v>
      </c>
      <c r="AS1090" s="254" t="str">
        <f>IF(LEN(X1090)=0,"",X1090)</f>
        <v/>
      </c>
      <c r="AT1090" s="634"/>
      <c r="AU1090" s="634"/>
      <c r="AV1090" s="634"/>
      <c r="AW1090" s="634"/>
      <c r="AX1090" s="634"/>
      <c r="AY1090" s="634"/>
      <c r="AZ1090" s="634"/>
      <c r="BA1090" s="634"/>
      <c r="BB1090" s="634"/>
      <c r="BC1090" s="634"/>
      <c r="BD1090" s="634"/>
      <c r="BE1090" s="634"/>
      <c r="BF1090" s="634"/>
      <c r="BG1090" s="634"/>
      <c r="BH1090" s="634"/>
      <c r="BI1090" s="634"/>
    </row>
    <row r="1091" spans="1:61" x14ac:dyDescent="0.25">
      <c r="A1091" s="2371">
        <v>7</v>
      </c>
      <c r="B1091" s="2385" t="s">
        <v>891</v>
      </c>
      <c r="C1091" s="2381"/>
      <c r="D1091" s="2374"/>
      <c r="E1091" s="2374"/>
      <c r="F1091" s="2374"/>
      <c r="G1091" s="2373" t="str">
        <f t="shared" ref="G1091:G1096" si="67">G1090</f>
        <v/>
      </c>
      <c r="H1091" s="2371" t="s">
        <v>3973</v>
      </c>
      <c r="I1091" s="4"/>
      <c r="J1091" s="639"/>
      <c r="K1091" s="639"/>
      <c r="L1091" s="1833"/>
      <c r="M1091" s="1720"/>
      <c r="N1091" s="2075"/>
      <c r="O1091" s="2075"/>
      <c r="P1091" s="756"/>
      <c r="Q1091" s="756"/>
      <c r="R1091" s="634"/>
      <c r="S1091" s="634"/>
      <c r="T1091" s="634"/>
      <c r="U1091" s="634"/>
      <c r="V1091" s="634"/>
      <c r="W1091" s="634" t="s">
        <v>3534</v>
      </c>
      <c r="X1091" s="1757"/>
      <c r="Y1091" s="2081"/>
      <c r="Z1091" s="2083"/>
      <c r="AA1091" s="1526"/>
      <c r="AB1091" s="634"/>
      <c r="AC1091" s="970"/>
      <c r="AD1091" s="970"/>
      <c r="AE1091" s="970"/>
      <c r="AF1091" s="634"/>
      <c r="AG1091" s="634"/>
      <c r="AH1091" s="634"/>
      <c r="AI1091" s="634"/>
      <c r="AJ1091" s="634"/>
      <c r="AK1091" s="634"/>
      <c r="AL1091" s="1336"/>
      <c r="AM1091" s="1336"/>
      <c r="AN1091" s="1336"/>
      <c r="AO1091" s="1336"/>
      <c r="AP1091" s="1336"/>
      <c r="AQ1091" s="1336"/>
      <c r="AR1091" s="1336"/>
      <c r="AS1091" s="1336"/>
      <c r="AT1091" s="634"/>
      <c r="AU1091" s="634"/>
      <c r="AV1091" s="634"/>
      <c r="AW1091" s="634"/>
      <c r="AX1091" s="634"/>
      <c r="AY1091" s="634"/>
      <c r="AZ1091" s="634"/>
      <c r="BA1091" s="634"/>
      <c r="BB1091" s="634"/>
      <c r="BC1091" s="634"/>
      <c r="BD1091" s="634"/>
      <c r="BE1091" s="634"/>
      <c r="BF1091" s="634"/>
      <c r="BG1091" s="634"/>
      <c r="BH1091" s="634"/>
      <c r="BI1091" s="634"/>
    </row>
    <row r="1092" spans="1:61" x14ac:dyDescent="0.25">
      <c r="A1092" s="2371">
        <v>7</v>
      </c>
      <c r="B1092" s="2385" t="s">
        <v>891</v>
      </c>
      <c r="C1092" s="2374" t="s">
        <v>258</v>
      </c>
      <c r="D1092" s="2393"/>
      <c r="E1092" s="2374"/>
      <c r="F1092" s="2374"/>
      <c r="G1092" s="2373" t="str">
        <f t="shared" si="67"/>
        <v/>
      </c>
      <c r="H1092" s="2371" t="s">
        <v>3973</v>
      </c>
      <c r="I1092" s="4"/>
      <c r="J1092" s="639"/>
      <c r="K1092" s="639"/>
      <c r="L1092" s="1833"/>
      <c r="M1092" s="1720"/>
      <c r="N1092" s="2075"/>
      <c r="O1092" s="2075"/>
      <c r="P1092" s="94" t="b">
        <v>0</v>
      </c>
      <c r="Q1092" s="94" t="b">
        <v>1</v>
      </c>
      <c r="R1092" s="634" t="b">
        <v>0</v>
      </c>
      <c r="S1092" s="634" t="b">
        <f ca="1">(S883=2)</f>
        <v>0</v>
      </c>
      <c r="T1092" s="94" t="b">
        <f ca="1">AND(NOT(S1092),LEN(W1092)&gt;0)</f>
        <v>0</v>
      </c>
      <c r="U1092" s="634"/>
      <c r="V1092" s="634"/>
      <c r="W1092" s="320"/>
      <c r="X1092" s="1757"/>
      <c r="Y1092" s="2081"/>
      <c r="Z1092" s="2083"/>
      <c r="AA1092" s="1526"/>
      <c r="AB1092" s="634"/>
      <c r="AC1092" s="970" t="b">
        <f ca="1">OR(AD1092:AE1092)</f>
        <v>0</v>
      </c>
      <c r="AD1092" s="970" t="b">
        <f ca="1">T1092</f>
        <v>0</v>
      </c>
      <c r="AE1092" s="970"/>
      <c r="AF1092" s="784"/>
      <c r="AG1092" s="634"/>
      <c r="AH1092" s="634"/>
      <c r="AI1092" s="634"/>
      <c r="AJ1092" s="634"/>
      <c r="AK1092" s="634"/>
      <c r="AL1092" s="1336"/>
      <c r="AM1092" s="1336"/>
      <c r="AN1092" s="1336"/>
      <c r="AO1092" s="1336"/>
      <c r="AP1092" s="254" t="str">
        <f>SUBSTITUTE(SUBSTITUTE(SUBSTITUTE("vch"&amp;$B1092&amp;$C1092&amp;$D1092&amp;$E1092,".","_"),"(","_"),")","")</f>
        <v>vch703_2_1_2</v>
      </c>
      <c r="AQ1092" s="254" t="str">
        <f>IF(LEN(W1092)=0,"",W1092)</f>
        <v/>
      </c>
      <c r="AR1092" s="1336"/>
      <c r="AS1092" s="1336"/>
      <c r="AT1092" s="634"/>
      <c r="AU1092" s="634"/>
      <c r="AV1092" s="634"/>
      <c r="AW1092" s="634"/>
      <c r="AX1092" s="634"/>
      <c r="AY1092" s="634"/>
      <c r="AZ1092" s="634"/>
      <c r="BA1092" s="634"/>
      <c r="BB1092" s="634"/>
      <c r="BC1092" s="634"/>
      <c r="BD1092" s="634"/>
      <c r="BE1092" s="634"/>
      <c r="BF1092" s="634"/>
      <c r="BG1092" s="634"/>
      <c r="BH1092" s="634"/>
      <c r="BI1092" s="634"/>
    </row>
    <row r="1093" spans="1:61" x14ac:dyDescent="0.25">
      <c r="A1093" s="2371">
        <v>7</v>
      </c>
      <c r="B1093" s="2385" t="s">
        <v>891</v>
      </c>
      <c r="C1093" s="2381"/>
      <c r="D1093" s="2374"/>
      <c r="E1093" s="2374"/>
      <c r="F1093" s="2374"/>
      <c r="G1093" s="2373" t="str">
        <f t="shared" si="67"/>
        <v/>
      </c>
      <c r="H1093" s="2371" t="s">
        <v>3973</v>
      </c>
      <c r="I1093" s="4"/>
      <c r="J1093" s="639"/>
      <c r="K1093" s="639"/>
      <c r="L1093" s="1833"/>
      <c r="M1093" s="1720"/>
      <c r="N1093" s="2075"/>
      <c r="O1093" s="2075"/>
      <c r="P1093" s="756"/>
      <c r="Q1093" s="756"/>
      <c r="R1093" s="634"/>
      <c r="S1093" s="634"/>
      <c r="T1093" s="634"/>
      <c r="U1093" s="634"/>
      <c r="V1093" s="634"/>
      <c r="W1093" s="634"/>
      <c r="X1093" s="1757"/>
      <c r="Y1093" s="2081"/>
      <c r="Z1093" s="2083"/>
      <c r="AA1093" s="1526"/>
      <c r="AB1093" s="634"/>
      <c r="AC1093" s="970"/>
      <c r="AD1093" s="970"/>
      <c r="AE1093" s="970"/>
      <c r="AF1093" s="634"/>
      <c r="AG1093" s="634"/>
      <c r="AH1093" s="634"/>
      <c r="AI1093" s="634"/>
      <c r="AJ1093" s="634"/>
      <c r="AK1093" s="634"/>
      <c r="AL1093" s="1336"/>
      <c r="AM1093" s="1336"/>
      <c r="AN1093" s="1336"/>
      <c r="AO1093" s="1336"/>
      <c r="AP1093" s="1336"/>
      <c r="AQ1093" s="1336"/>
      <c r="AR1093" s="1336"/>
      <c r="AS1093" s="1336"/>
      <c r="AT1093" s="634"/>
      <c r="AU1093" s="634"/>
      <c r="AV1093" s="634"/>
      <c r="AW1093" s="634"/>
      <c r="AX1093" s="634"/>
      <c r="AY1093" s="634"/>
      <c r="AZ1093" s="634"/>
      <c r="BA1093" s="634"/>
      <c r="BB1093" s="634"/>
      <c r="BC1093" s="634"/>
      <c r="BD1093" s="634"/>
      <c r="BE1093" s="634"/>
      <c r="BF1093" s="634"/>
      <c r="BG1093" s="634"/>
      <c r="BH1093" s="634"/>
      <c r="BI1093" s="634"/>
    </row>
    <row r="1094" spans="1:61" x14ac:dyDescent="0.25">
      <c r="A1094" s="2371">
        <v>7</v>
      </c>
      <c r="B1094" s="2385" t="s">
        <v>891</v>
      </c>
      <c r="C1094" s="2381"/>
      <c r="D1094" s="2374"/>
      <c r="E1094" s="2374"/>
      <c r="F1094" s="2374"/>
      <c r="G1094" s="2373" t="str">
        <f t="shared" si="67"/>
        <v/>
      </c>
      <c r="H1094" s="2371" t="s">
        <v>3973</v>
      </c>
      <c r="I1094" s="4"/>
      <c r="J1094" s="639"/>
      <c r="K1094" s="639"/>
      <c r="L1094" s="1833"/>
      <c r="M1094" s="1720"/>
      <c r="N1094" s="2075"/>
      <c r="O1094" s="2075"/>
      <c r="P1094" s="756"/>
      <c r="Q1094" s="756"/>
      <c r="R1094" s="634"/>
      <c r="S1094" s="634"/>
      <c r="T1094" s="634"/>
      <c r="U1094" s="634"/>
      <c r="V1094" s="634"/>
      <c r="W1094" s="634"/>
      <c r="X1094" s="1757"/>
      <c r="Y1094" s="2081"/>
      <c r="Z1094" s="2083"/>
      <c r="AA1094" s="1526"/>
      <c r="AB1094" s="634"/>
      <c r="AC1094" s="970"/>
      <c r="AD1094" s="970"/>
      <c r="AE1094" s="970"/>
      <c r="AF1094" s="634"/>
      <c r="AG1094" s="634"/>
      <c r="AH1094" s="634"/>
      <c r="AI1094" s="634"/>
      <c r="AJ1094" s="634"/>
      <c r="AK1094" s="634"/>
      <c r="AL1094" s="1336"/>
      <c r="AM1094" s="1336"/>
      <c r="AN1094" s="1336"/>
      <c r="AO1094" s="1336"/>
      <c r="AP1094" s="1336"/>
      <c r="AQ1094" s="1336"/>
      <c r="AR1094" s="1336"/>
      <c r="AS1094" s="1336"/>
      <c r="AT1094" s="634"/>
      <c r="AU1094" s="634"/>
      <c r="AV1094" s="634"/>
      <c r="AW1094" s="634"/>
      <c r="AX1094" s="634"/>
      <c r="AY1094" s="634"/>
      <c r="AZ1094" s="634"/>
      <c r="BA1094" s="634"/>
      <c r="BB1094" s="634"/>
      <c r="BC1094" s="634"/>
      <c r="BD1094" s="634"/>
      <c r="BE1094" s="634"/>
      <c r="BF1094" s="634"/>
      <c r="BG1094" s="634"/>
      <c r="BH1094" s="634"/>
      <c r="BI1094" s="634"/>
    </row>
    <row r="1095" spans="1:61" x14ac:dyDescent="0.25">
      <c r="A1095" s="2371">
        <v>7</v>
      </c>
      <c r="B1095" s="2385" t="s">
        <v>891</v>
      </c>
      <c r="C1095" s="2381"/>
      <c r="D1095" s="2374"/>
      <c r="E1095" s="2374"/>
      <c r="F1095" s="2374"/>
      <c r="G1095" s="2373" t="str">
        <f t="shared" si="67"/>
        <v/>
      </c>
      <c r="H1095" s="2371" t="s">
        <v>3973</v>
      </c>
      <c r="I1095" s="4"/>
      <c r="J1095" s="639"/>
      <c r="K1095" s="639"/>
      <c r="L1095" s="1833"/>
      <c r="M1095" s="1720"/>
      <c r="N1095" s="2075"/>
      <c r="O1095" s="2075"/>
      <c r="P1095" s="756"/>
      <c r="Q1095" s="756"/>
      <c r="R1095" s="634"/>
      <c r="S1095" s="634"/>
      <c r="T1095" s="634"/>
      <c r="U1095" s="634"/>
      <c r="V1095" s="634"/>
      <c r="W1095" s="634"/>
      <c r="X1095" s="1757"/>
      <c r="Y1095" s="2081"/>
      <c r="Z1095" s="2083"/>
      <c r="AA1095" s="1526"/>
      <c r="AB1095" s="634"/>
      <c r="AC1095" s="970"/>
      <c r="AD1095" s="970"/>
      <c r="AE1095" s="970"/>
      <c r="AF1095" s="634"/>
      <c r="AG1095" s="634"/>
      <c r="AH1095" s="634"/>
      <c r="AI1095" s="634"/>
      <c r="AJ1095" s="634"/>
      <c r="AK1095" s="634"/>
      <c r="AL1095" s="1336"/>
      <c r="AM1095" s="1336"/>
      <c r="AN1095" s="1336"/>
      <c r="AO1095" s="1336"/>
      <c r="AP1095" s="1336"/>
      <c r="AQ1095" s="1336"/>
      <c r="AR1095" s="1336"/>
      <c r="AS1095" s="1336"/>
      <c r="AT1095" s="634"/>
      <c r="AU1095" s="634"/>
      <c r="AV1095" s="634"/>
      <c r="AW1095" s="634"/>
      <c r="AX1095" s="634"/>
      <c r="AY1095" s="634"/>
      <c r="AZ1095" s="634"/>
      <c r="BA1095" s="634"/>
      <c r="BB1095" s="634"/>
      <c r="BC1095" s="634"/>
      <c r="BD1095" s="634"/>
      <c r="BE1095" s="634"/>
      <c r="BF1095" s="634"/>
      <c r="BG1095" s="634"/>
      <c r="BH1095" s="634"/>
      <c r="BI1095" s="634"/>
    </row>
    <row r="1096" spans="1:61" x14ac:dyDescent="0.25">
      <c r="A1096" s="2371">
        <v>7</v>
      </c>
      <c r="B1096" s="2385" t="s">
        <v>891</v>
      </c>
      <c r="C1096" s="2381"/>
      <c r="D1096" s="2374"/>
      <c r="E1096" s="2374"/>
      <c r="F1096" s="2374"/>
      <c r="G1096" s="2373" t="str">
        <f t="shared" si="67"/>
        <v/>
      </c>
      <c r="H1096" s="2371" t="s">
        <v>3973</v>
      </c>
      <c r="I1096" s="210"/>
      <c r="J1096" s="637"/>
      <c r="K1096" s="637"/>
      <c r="L1096" s="527" t="s">
        <v>3532</v>
      </c>
      <c r="M1096" s="1026"/>
      <c r="N1096" s="1047"/>
      <c r="O1096" s="1047"/>
      <c r="P1096" s="178"/>
      <c r="Q1096" s="178"/>
      <c r="R1096" s="178"/>
      <c r="S1096" s="178"/>
      <c r="T1096" s="178"/>
      <c r="U1096" s="178"/>
      <c r="V1096" s="178"/>
      <c r="W1096" s="538"/>
      <c r="X1096" s="1757"/>
      <c r="Y1096" s="2081"/>
      <c r="Z1096" s="2083"/>
      <c r="AA1096" s="1526"/>
      <c r="AB1096" s="634"/>
      <c r="AC1096" s="970"/>
      <c r="AD1096" s="970"/>
      <c r="AE1096" s="970"/>
      <c r="AF1096" s="634"/>
      <c r="AG1096" s="634"/>
      <c r="AH1096" s="634"/>
      <c r="AI1096" s="634"/>
      <c r="AJ1096" s="634"/>
      <c r="AK1096" s="634"/>
      <c r="AL1096" s="1336"/>
      <c r="AM1096" s="1336"/>
      <c r="AN1096" s="1336"/>
      <c r="AO1096" s="1336"/>
      <c r="AP1096" s="1336"/>
      <c r="AQ1096" s="1336"/>
      <c r="AR1096" s="1336"/>
      <c r="AS1096" s="1336"/>
      <c r="AT1096" s="634"/>
      <c r="AU1096" s="634"/>
      <c r="AV1096" s="634"/>
      <c r="AW1096" s="634"/>
      <c r="AX1096" s="634"/>
      <c r="AY1096" s="634"/>
      <c r="AZ1096" s="634"/>
      <c r="BA1096" s="634"/>
      <c r="BB1096" s="634"/>
      <c r="BC1096" s="634"/>
      <c r="BD1096" s="634"/>
      <c r="BE1096" s="634"/>
      <c r="BF1096" s="634"/>
      <c r="BG1096" s="634"/>
      <c r="BH1096" s="634"/>
      <c r="BI1096" s="634"/>
    </row>
    <row r="1097" spans="1:61" ht="15" customHeight="1" x14ac:dyDescent="0.25">
      <c r="A1097" s="2371">
        <v>7</v>
      </c>
      <c r="B1097" s="2385" t="s">
        <v>893</v>
      </c>
      <c r="C1097" s="2381"/>
      <c r="D1097" s="2374"/>
      <c r="E1097" s="2374"/>
      <c r="F1097" s="2374"/>
      <c r="G1097" s="2373" t="str">
        <f>IF(N1097&gt;0,"P","")</f>
        <v/>
      </c>
      <c r="H1097" s="2371" t="s">
        <v>3971</v>
      </c>
      <c r="I1097" s="192" t="s">
        <v>893</v>
      </c>
      <c r="J1097" s="641"/>
      <c r="K1097" s="641"/>
      <c r="L1097" s="1864" t="s">
        <v>894</v>
      </c>
      <c r="M1097" s="1878" t="s">
        <v>895</v>
      </c>
      <c r="N1097" s="2079">
        <f>'Ch7'!O227</f>
        <v>0</v>
      </c>
      <c r="O1097" s="2079">
        <f>IF(ROUND(W1098,0)&gt;=6,INDEX({3,3,3,3,2,2,0,0},BF886),IF(ROUND(W1098,0)&gt;=3,INDEX({1,1,1,1,0,0,0,0},BF886),0))</f>
        <v>0</v>
      </c>
      <c r="P1097" s="195"/>
      <c r="Q1097" s="195"/>
      <c r="R1097" s="195"/>
      <c r="S1097" s="195"/>
      <c r="T1097" s="195"/>
      <c r="U1097" s="195"/>
      <c r="V1097" s="195"/>
      <c r="W1097" s="539" t="s">
        <v>3541</v>
      </c>
      <c r="X1097" s="1757"/>
      <c r="Y1097" s="2081" t="str">
        <f>IF(LEN('Ch7'!X227)=0,"None",'Ch7'!X227)</f>
        <v>None</v>
      </c>
      <c r="Z1097" s="2083"/>
      <c r="AA1097" s="1526"/>
      <c r="AB1097" s="634"/>
      <c r="AC1097" s="970"/>
      <c r="AD1097" s="970"/>
      <c r="AE1097" s="970"/>
      <c r="AF1097" s="634"/>
      <c r="AG1097" s="634"/>
      <c r="AH1097" s="634"/>
      <c r="AI1097" s="634"/>
      <c r="AJ1097" s="634"/>
      <c r="AK1097" s="634"/>
      <c r="AL1097" s="254" t="str">
        <f>SUBSTITUTE(SUBSTITUTE(SUBSTITUTE("vpa"&amp;$B1097&amp;$C1097&amp;$D1097&amp;$E1097,".","_"),"(","_"),")","")</f>
        <v>vpa703_2_2</v>
      </c>
      <c r="AM1097" s="254" t="str">
        <f>M1097</f>
        <v>Per Table 703.2.2</v>
      </c>
      <c r="AN1097" s="254" t="str">
        <f>SUBSTITUTE(SUBSTITUTE(SUBSTITUTE("vpc"&amp;$B1097&amp;$C1097&amp;$D1097&amp;$E1097,".","_"),"(","_"),")","")</f>
        <v>vpc703_2_2</v>
      </c>
      <c r="AO1097" s="254">
        <f>O1097</f>
        <v>0</v>
      </c>
      <c r="AP1097" s="1336"/>
      <c r="AQ1097" s="1336"/>
      <c r="AR1097" s="254" t="str">
        <f>SUBSTITUTE(SUBSTITUTE(SUBSTITUTE("vnt"&amp;$B1097&amp;$C1097&amp;$D1097&amp;$E1097,".","_"),"(","_"),")","")</f>
        <v>vnt703_2_2</v>
      </c>
      <c r="AS1097" s="254" t="str">
        <f>IF(LEN(X1097)=0,"",X1097)</f>
        <v/>
      </c>
      <c r="AT1097" s="634"/>
      <c r="AU1097" s="634"/>
      <c r="AV1097" s="634"/>
      <c r="AW1097" s="634"/>
      <c r="AX1097" s="634"/>
      <c r="AY1097" s="634"/>
      <c r="AZ1097" s="634"/>
      <c r="BA1097" s="634"/>
      <c r="BB1097" s="634"/>
      <c r="BC1097" s="634"/>
      <c r="BD1097" s="634"/>
      <c r="BE1097" s="634"/>
      <c r="BF1097" s="634"/>
      <c r="BG1097" s="634"/>
      <c r="BH1097" s="634"/>
      <c r="BI1097" s="634"/>
    </row>
    <row r="1098" spans="1:61" x14ac:dyDescent="0.25">
      <c r="A1098" s="2371">
        <v>7</v>
      </c>
      <c r="B1098" s="2385" t="s">
        <v>893</v>
      </c>
      <c r="C1098" s="2381"/>
      <c r="D1098" s="2374"/>
      <c r="E1098" s="2374"/>
      <c r="F1098" s="2374"/>
      <c r="G1098" s="2373" t="str">
        <f>G1097</f>
        <v/>
      </c>
      <c r="H1098" s="2371" t="s">
        <v>3971</v>
      </c>
      <c r="I1098" s="210"/>
      <c r="J1098" s="637"/>
      <c r="K1098" s="637"/>
      <c r="L1098" s="1843"/>
      <c r="M1098" s="1879"/>
      <c r="N1098" s="2076"/>
      <c r="O1098" s="2076"/>
      <c r="P1098" s="94" t="b">
        <v>1</v>
      </c>
      <c r="Q1098" s="94" t="b">
        <v>1</v>
      </c>
      <c r="R1098" s="178" t="b">
        <v>0</v>
      </c>
      <c r="S1098" s="178" t="b">
        <f ca="1">AND(S883=2,NOT(AY927="No"))</f>
        <v>0</v>
      </c>
      <c r="T1098" s="178" t="b">
        <f ca="1">AND(NOT(S1098),LEN(W1098)&gt;0)</f>
        <v>0</v>
      </c>
      <c r="U1098" s="178"/>
      <c r="V1098" s="178"/>
      <c r="W1098" s="336"/>
      <c r="X1098" s="1757"/>
      <c r="Y1098" s="2081"/>
      <c r="Z1098" s="2083"/>
      <c r="AA1098" s="1526"/>
      <c r="AB1098" s="634"/>
      <c r="AC1098" s="970" t="b">
        <f ca="1">OR(AD1098:AE1098)</f>
        <v>0</v>
      </c>
      <c r="AD1098" s="970" t="b">
        <f ca="1">T1098</f>
        <v>0</v>
      </c>
      <c r="AE1098" s="970"/>
      <c r="AF1098" s="784"/>
      <c r="AG1098" s="634"/>
      <c r="AH1098" s="634"/>
      <c r="AI1098" s="634"/>
      <c r="AJ1098" s="634"/>
      <c r="AK1098" s="634"/>
      <c r="AL1098" s="1336"/>
      <c r="AM1098" s="1336"/>
      <c r="AN1098" s="1336"/>
      <c r="AO1098" s="1336"/>
      <c r="AP1098" s="254" t="str">
        <f>SUBSTITUTE(SUBSTITUTE(SUBSTITUTE("vch"&amp;$B1098&amp;$C1098&amp;$D1098&amp;$E1098,".","_"),"(","_"),")","")</f>
        <v>vch703_2_2</v>
      </c>
      <c r="AQ1098" s="254" t="str">
        <f>IF(LEN(W1098)=0,"",W1098)</f>
        <v/>
      </c>
      <c r="AR1098" s="1336"/>
      <c r="AS1098" s="1336"/>
      <c r="AT1098" s="634"/>
      <c r="AU1098" s="634"/>
      <c r="AV1098" s="634"/>
      <c r="AW1098" s="634"/>
      <c r="AX1098" s="634"/>
      <c r="AY1098" s="634"/>
      <c r="AZ1098" s="634"/>
      <c r="BA1098" s="634"/>
      <c r="BB1098" s="634"/>
      <c r="BC1098" s="634"/>
      <c r="BD1098" s="634"/>
      <c r="BE1098" s="634"/>
      <c r="BF1098" s="634"/>
      <c r="BG1098" s="634"/>
      <c r="BH1098" s="634"/>
      <c r="BI1098" s="634"/>
    </row>
    <row r="1099" spans="1:61" x14ac:dyDescent="0.25">
      <c r="A1099" s="2371">
        <v>7</v>
      </c>
      <c r="B1099" s="2385" t="s">
        <v>896</v>
      </c>
      <c r="C1099" s="2381"/>
      <c r="D1099" s="2374"/>
      <c r="E1099" s="2374"/>
      <c r="F1099" s="2374"/>
      <c r="G1099" s="2373" t="str">
        <f ca="1">IF(N1099&gt;0,"P","")</f>
        <v/>
      </c>
      <c r="H1099" s="2371" t="s">
        <v>3971</v>
      </c>
      <c r="I1099" s="192" t="s">
        <v>896</v>
      </c>
      <c r="J1099" s="641"/>
      <c r="K1099" s="641"/>
      <c r="L1099" s="1864" t="s">
        <v>897</v>
      </c>
      <c r="M1099" s="1880">
        <f>IFERROR(MIN(IF(AND(AY889=INDEX(ddSingleOrMulti,2),AY898&gt;3,BF886&lt;4),1,3),IF(BI886="Tropical",3,INDEX({2,3,3,1,1,0,0},BF886))),0)</f>
        <v>0</v>
      </c>
      <c r="N1099" s="2079">
        <f ca="1">'Ch7'!O229</f>
        <v>0</v>
      </c>
      <c r="O1099" s="2079">
        <f ca="1">M1099*S1099*W1099</f>
        <v>0</v>
      </c>
      <c r="P1099" s="94" t="b">
        <v>1</v>
      </c>
      <c r="Q1099" s="94" t="b">
        <v>1</v>
      </c>
      <c r="R1099" s="195" t="b">
        <v>0</v>
      </c>
      <c r="S1099" s="195" t="b">
        <f ca="1">(S883=2)</f>
        <v>0</v>
      </c>
      <c r="T1099" s="195" t="b">
        <f ca="1">AND(NOT(S1099),W1099=TRUE)</f>
        <v>0</v>
      </c>
      <c r="U1099" s="195"/>
      <c r="V1099" s="195"/>
      <c r="W1099" s="25"/>
      <c r="X1099" s="1757"/>
      <c r="Y1099" s="2081" t="str">
        <f>IF(LEN('Ch7'!X229)=0,"None",'Ch7'!X229)</f>
        <v>None</v>
      </c>
      <c r="Z1099" s="2083"/>
      <c r="AA1099" s="1526"/>
      <c r="AB1099" s="634"/>
      <c r="AC1099" s="970" t="b">
        <f ca="1">OR(AD1099:AE1099)</f>
        <v>0</v>
      </c>
      <c r="AD1099" s="970" t="b">
        <f ca="1">T1099</f>
        <v>0</v>
      </c>
      <c r="AE1099" s="970"/>
      <c r="AF1099" s="784"/>
      <c r="AG1099" s="634"/>
      <c r="AH1099" s="634"/>
      <c r="AI1099" s="634"/>
      <c r="AJ1099" s="634"/>
      <c r="AK1099" s="634"/>
      <c r="AL1099" s="254" t="str">
        <f>SUBSTITUTE(SUBSTITUTE(SUBSTITUTE("vpa"&amp;$B1099&amp;$C1099&amp;$D1099&amp;$E1099,".","_"),"(","_"),")","")</f>
        <v>vpa703_2_3</v>
      </c>
      <c r="AM1099" s="254">
        <f>M1099</f>
        <v>0</v>
      </c>
      <c r="AN1099" s="254" t="str">
        <f>SUBSTITUTE(SUBSTITUTE(SUBSTITUTE("vpc"&amp;$B1099&amp;$C1099&amp;$D1099&amp;$E1099,".","_"),"(","_"),")","")</f>
        <v>vpc703_2_3</v>
      </c>
      <c r="AO1099" s="254">
        <f ca="1">O1099</f>
        <v>0</v>
      </c>
      <c r="AP1099" s="254" t="str">
        <f>SUBSTITUTE(SUBSTITUTE(SUBSTITUTE("vch"&amp;$B1099&amp;$C1099&amp;$D1099&amp;$E1099,".","_"),"(","_"),")","")</f>
        <v>vch703_2_3</v>
      </c>
      <c r="AQ1099" s="254" t="str">
        <f>IF(LEN(W1099)=0,"",W1099)</f>
        <v/>
      </c>
      <c r="AR1099" s="254" t="str">
        <f>SUBSTITUTE(SUBSTITUTE(SUBSTITUTE("vnt"&amp;$B1099&amp;$C1099&amp;$D1099&amp;$E1099,".","_"),"(","_"),")","")</f>
        <v>vnt703_2_3</v>
      </c>
      <c r="AS1099" s="254" t="str">
        <f>IF(LEN(X1099)=0,"",X1099)</f>
        <v/>
      </c>
      <c r="AT1099" s="634"/>
      <c r="AU1099" s="634"/>
      <c r="AV1099" s="634"/>
      <c r="AW1099" s="634"/>
      <c r="AX1099" s="634"/>
      <c r="AY1099" s="634"/>
      <c r="AZ1099" s="634"/>
      <c r="BA1099" s="634"/>
      <c r="BB1099" s="634"/>
      <c r="BC1099" s="634"/>
      <c r="BD1099" s="634"/>
      <c r="BE1099" s="634"/>
      <c r="BF1099" s="634"/>
      <c r="BG1099" s="634"/>
      <c r="BH1099" s="634"/>
      <c r="BI1099" s="634"/>
    </row>
    <row r="1100" spans="1:61" x14ac:dyDescent="0.25">
      <c r="A1100" s="2371">
        <v>7</v>
      </c>
      <c r="B1100" s="2385" t="s">
        <v>896</v>
      </c>
      <c r="C1100" s="2381"/>
      <c r="D1100" s="2374"/>
      <c r="E1100" s="2374"/>
      <c r="F1100" s="2374"/>
      <c r="G1100" s="2373" t="str">
        <f ca="1">G1099</f>
        <v/>
      </c>
      <c r="H1100" s="2371" t="s">
        <v>3971</v>
      </c>
      <c r="I1100" s="129"/>
      <c r="J1100" s="636"/>
      <c r="K1100" s="636"/>
      <c r="L1100" s="1782"/>
      <c r="M1100" s="1788"/>
      <c r="N1100" s="1927"/>
      <c r="O1100" s="1927"/>
      <c r="P1100" s="94"/>
      <c r="Q1100" s="94"/>
      <c r="R1100" s="94"/>
      <c r="S1100" s="94"/>
      <c r="T1100" s="94"/>
      <c r="U1100" s="94"/>
      <c r="V1100" s="94"/>
      <c r="W1100" s="113"/>
      <c r="X1100" s="1757"/>
      <c r="Y1100" s="2081"/>
      <c r="Z1100" s="2083"/>
      <c r="AA1100" s="1526"/>
      <c r="AB1100" s="634"/>
      <c r="AC1100" s="970"/>
      <c r="AD1100" s="970"/>
      <c r="AE1100" s="970"/>
      <c r="AF1100" s="634"/>
      <c r="AG1100" s="634"/>
      <c r="AH1100" s="634"/>
      <c r="AI1100" s="634"/>
      <c r="AJ1100" s="634"/>
      <c r="AK1100" s="634"/>
      <c r="AL1100" s="1336"/>
      <c r="AM1100" s="1336"/>
      <c r="AN1100" s="1336"/>
      <c r="AO1100" s="1336"/>
      <c r="AP1100" s="1336"/>
      <c r="AQ1100" s="1336"/>
      <c r="AR1100" s="1336"/>
      <c r="AS1100" s="1336"/>
      <c r="AT1100" s="634"/>
      <c r="AU1100" s="634"/>
      <c r="AV1100" s="634"/>
      <c r="AW1100" s="634"/>
      <c r="AX1100" s="634"/>
      <c r="AY1100" s="634"/>
      <c r="AZ1100" s="634"/>
      <c r="BA1100" s="634"/>
      <c r="BB1100" s="634"/>
      <c r="BC1100" s="634"/>
      <c r="BD1100" s="634"/>
      <c r="BE1100" s="634"/>
      <c r="BF1100" s="634"/>
      <c r="BG1100" s="634"/>
      <c r="BH1100" s="634"/>
      <c r="BI1100" s="634"/>
    </row>
    <row r="1101" spans="1:61" x14ac:dyDescent="0.25">
      <c r="A1101" s="2371">
        <v>7</v>
      </c>
      <c r="B1101" s="2385" t="s">
        <v>896</v>
      </c>
      <c r="C1101" s="2381"/>
      <c r="D1101" s="2374"/>
      <c r="E1101" s="2374"/>
      <c r="F1101" s="2374"/>
      <c r="G1101" s="2373" t="str">
        <f ca="1">G1100</f>
        <v/>
      </c>
      <c r="H1101" s="2371" t="s">
        <v>3971</v>
      </c>
      <c r="I1101" s="210"/>
      <c r="J1101" s="637"/>
      <c r="K1101" s="637"/>
      <c r="L1101" s="1843"/>
      <c r="M1101" s="1865"/>
      <c r="N1101" s="2076"/>
      <c r="O1101" s="2076"/>
      <c r="P1101" s="178"/>
      <c r="Q1101" s="178"/>
      <c r="R1101" s="178"/>
      <c r="S1101" s="178"/>
      <c r="T1101" s="178"/>
      <c r="U1101" s="178"/>
      <c r="V1101" s="178"/>
      <c r="W1101" s="538"/>
      <c r="X1101" s="1757"/>
      <c r="Y1101" s="2081"/>
      <c r="Z1101" s="2083"/>
      <c r="AA1101" s="1526"/>
      <c r="AB1101" s="634"/>
      <c r="AC1101" s="970"/>
      <c r="AD1101" s="970"/>
      <c r="AE1101" s="970"/>
      <c r="AF1101" s="634"/>
      <c r="AG1101" s="634"/>
      <c r="AH1101" s="634"/>
      <c r="AI1101" s="634"/>
      <c r="AJ1101" s="634"/>
      <c r="AK1101" s="634"/>
      <c r="AL1101" s="1336"/>
      <c r="AM1101" s="1336"/>
      <c r="AN1101" s="1336"/>
      <c r="AO1101" s="1336"/>
      <c r="AP1101" s="1336"/>
      <c r="AQ1101" s="1336"/>
      <c r="AR1101" s="1336"/>
      <c r="AS1101" s="1336"/>
      <c r="AT1101" s="634"/>
      <c r="AU1101" s="634"/>
      <c r="AV1101" s="634"/>
      <c r="AW1101" s="634"/>
      <c r="AX1101" s="634"/>
      <c r="AY1101" s="634"/>
      <c r="AZ1101" s="634"/>
      <c r="BA1101" s="634"/>
      <c r="BB1101" s="634"/>
      <c r="BC1101" s="634"/>
      <c r="BD1101" s="634"/>
      <c r="BE1101" s="634"/>
      <c r="BF1101" s="634"/>
      <c r="BG1101" s="634"/>
      <c r="BH1101" s="634"/>
      <c r="BI1101" s="634"/>
    </row>
    <row r="1102" spans="1:61" ht="15" customHeight="1" x14ac:dyDescent="0.25">
      <c r="A1102" s="2371">
        <v>7</v>
      </c>
      <c r="B1102" s="2385" t="s">
        <v>898</v>
      </c>
      <c r="C1102" s="2381"/>
      <c r="D1102" s="2374"/>
      <c r="E1102" s="2374"/>
      <c r="F1102" s="2374"/>
      <c r="G1102" s="2373" t="str">
        <f ca="1">IF(N1102&gt;0,"P","")</f>
        <v/>
      </c>
      <c r="H1102" s="2371" t="s">
        <v>3971</v>
      </c>
      <c r="I1102" s="192" t="s">
        <v>898</v>
      </c>
      <c r="J1102" s="641"/>
      <c r="K1102" s="641"/>
      <c r="L1102" s="1864" t="s">
        <v>4272</v>
      </c>
      <c r="M1102" s="1878" t="s">
        <v>4273</v>
      </c>
      <c r="N1102" s="2079">
        <f ca="1">'Ch7'!O232</f>
        <v>0</v>
      </c>
      <c r="O1102" s="2079">
        <f ca="1">MAX(S1102:T1102)*S1103</f>
        <v>0</v>
      </c>
      <c r="P1102" s="756"/>
      <c r="Q1102" s="756"/>
      <c r="R1102" s="1" t="s">
        <v>4092</v>
      </c>
      <c r="S1102" s="1">
        <f>Formulas!N$38</f>
        <v>0</v>
      </c>
      <c r="T1102" s="1">
        <f>Formulas!O$38</f>
        <v>0</v>
      </c>
      <c r="U1102" s="634"/>
      <c r="V1102" s="634"/>
      <c r="W1102" s="1727" t="s">
        <v>4867</v>
      </c>
      <c r="X1102" s="1757"/>
      <c r="Y1102" s="2081" t="str">
        <f>IF(LEN('Ch7'!X232)=0,"None",'Ch7'!X232)</f>
        <v>None</v>
      </c>
      <c r="Z1102" s="2083"/>
      <c r="AA1102" s="1526"/>
      <c r="AB1102" s="634"/>
      <c r="AC1102" s="970"/>
      <c r="AD1102" s="970"/>
      <c r="AE1102" s="970"/>
      <c r="AF1102" s="634"/>
      <c r="AG1102" s="634"/>
      <c r="AH1102" s="634"/>
      <c r="AI1102" s="634"/>
      <c r="AJ1102" s="634"/>
      <c r="AK1102" s="634"/>
      <c r="AL1102" s="254" t="str">
        <f>SUBSTITUTE(SUBSTITUTE(SUBSTITUTE("vpa"&amp;$B1102&amp;$C1102&amp;$D1102&amp;$E1102,".","_"),"(","_"),")","")</f>
        <v>vpa703_2_4</v>
      </c>
      <c r="AM1102" s="254" t="str">
        <f>M1102</f>
        <v>Per Table 703.2.4a or 703.2.4b</v>
      </c>
      <c r="AN1102" s="254" t="str">
        <f>SUBSTITUTE(SUBSTITUTE(SUBSTITUTE("vpc"&amp;$B1102&amp;$C1102&amp;$D1102&amp;$E1102,".","_"),"(","_"),")","")</f>
        <v>vpc703_2_4</v>
      </c>
      <c r="AO1102" s="254">
        <f ca="1">O1102</f>
        <v>0</v>
      </c>
      <c r="AP1102" s="1336"/>
      <c r="AQ1102" s="1336"/>
      <c r="AR1102" s="254" t="str">
        <f>SUBSTITUTE(SUBSTITUTE(SUBSTITUTE("vnt"&amp;$B1102&amp;$C1102&amp;$D1102&amp;$E1102,".","_"),"(","_"),")","")</f>
        <v>vnt703_2_4</v>
      </c>
      <c r="AS1102" s="254" t="str">
        <f>IF(LEN(X1102)=0,"",X1102)</f>
        <v/>
      </c>
      <c r="AT1102" s="634"/>
      <c r="AU1102" s="634"/>
      <c r="AV1102" s="634"/>
      <c r="AW1102" s="634"/>
      <c r="AX1102" s="634"/>
      <c r="AY1102" s="634"/>
      <c r="AZ1102" s="634"/>
      <c r="BA1102" s="634"/>
      <c r="BB1102" s="634"/>
      <c r="BC1102" s="634"/>
      <c r="BD1102" s="634"/>
      <c r="BE1102" s="634"/>
      <c r="BF1102" s="634"/>
      <c r="BG1102" s="634"/>
      <c r="BH1102" s="634"/>
      <c r="BI1102" s="634"/>
    </row>
    <row r="1103" spans="1:61" x14ac:dyDescent="0.25">
      <c r="A1103" s="2371">
        <v>7</v>
      </c>
      <c r="B1103" s="2385" t="s">
        <v>898</v>
      </c>
      <c r="C1103" s="2381"/>
      <c r="D1103" s="2374"/>
      <c r="E1103" s="2374"/>
      <c r="F1103" s="2374"/>
      <c r="G1103" s="2373" t="str">
        <f ca="1">G1102</f>
        <v/>
      </c>
      <c r="H1103" s="2371" t="s">
        <v>3971</v>
      </c>
      <c r="I1103" s="129"/>
      <c r="J1103" s="636"/>
      <c r="K1103" s="636"/>
      <c r="L1103" s="1796"/>
      <c r="M1103" s="1881"/>
      <c r="N1103" s="1927"/>
      <c r="O1103" s="1927"/>
      <c r="P1103" s="756"/>
      <c r="Q1103" s="756"/>
      <c r="R1103" s="634" t="b">
        <v>0</v>
      </c>
      <c r="S1103" s="634" t="b">
        <f ca="1">(S883=2)</f>
        <v>0</v>
      </c>
      <c r="T1103" s="634" t="b">
        <v>0</v>
      </c>
      <c r="U1103" s="634"/>
      <c r="V1103" s="634"/>
      <c r="W1103" s="1729"/>
      <c r="X1103" s="1757"/>
      <c r="Y1103" s="2081"/>
      <c r="Z1103" s="2083"/>
      <c r="AA1103" s="1526"/>
      <c r="AB1103" s="634"/>
      <c r="AC1103" s="970"/>
      <c r="AD1103" s="970"/>
      <c r="AE1103" s="970"/>
      <c r="AF1103" s="634"/>
      <c r="AG1103" s="634"/>
      <c r="AH1103" s="634"/>
      <c r="AI1103" s="634"/>
      <c r="AJ1103" s="634"/>
      <c r="AK1103" s="634"/>
      <c r="AL1103" s="1336"/>
      <c r="AM1103" s="1336"/>
      <c r="AN1103" s="1336"/>
      <c r="AO1103" s="1336"/>
      <c r="AP1103" s="1336"/>
      <c r="AQ1103" s="1336"/>
      <c r="AR1103" s="1336"/>
      <c r="AS1103" s="1336"/>
      <c r="AT1103" s="634"/>
      <c r="AU1103" s="634"/>
      <c r="AV1103" s="634"/>
      <c r="AW1103" s="634"/>
      <c r="AX1103" s="634"/>
      <c r="AY1103" s="634"/>
      <c r="AZ1103" s="634"/>
      <c r="BA1103" s="634"/>
      <c r="BB1103" s="634"/>
      <c r="BC1103" s="634"/>
      <c r="BD1103" s="634"/>
      <c r="BE1103" s="634"/>
      <c r="BF1103" s="634"/>
      <c r="BG1103" s="634"/>
      <c r="BH1103" s="634"/>
      <c r="BI1103" s="634"/>
    </row>
    <row r="1104" spans="1:61" x14ac:dyDescent="0.25">
      <c r="A1104" s="2371">
        <v>7</v>
      </c>
      <c r="B1104" s="2385" t="s">
        <v>898</v>
      </c>
      <c r="C1104" s="2381"/>
      <c r="D1104" s="2374"/>
      <c r="E1104" s="2374"/>
      <c r="F1104" s="2374"/>
      <c r="G1104" s="2373" t="str">
        <f ca="1">G1103</f>
        <v/>
      </c>
      <c r="H1104" s="2371" t="s">
        <v>3971</v>
      </c>
      <c r="I1104" s="210"/>
      <c r="J1104" s="637"/>
      <c r="K1104" s="637"/>
      <c r="L1104" s="1843"/>
      <c r="M1104" s="1879"/>
      <c r="N1104" s="2076"/>
      <c r="O1104" s="2076"/>
      <c r="P1104" s="756"/>
      <c r="Q1104" s="756"/>
      <c r="R1104" s="1" t="s">
        <v>4862</v>
      </c>
      <c r="S1104" s="1006">
        <f>Formulas!N25</f>
        <v>0</v>
      </c>
      <c r="T1104" s="1006">
        <f>Formulas!O25</f>
        <v>0</v>
      </c>
      <c r="U1104" s="634"/>
      <c r="V1104" s="634"/>
      <c r="W1104" s="1106">
        <f>IF(S1102&gt;=T1102,S1104,T1104)</f>
        <v>0</v>
      </c>
      <c r="X1104" s="1757"/>
      <c r="Y1104" s="2081"/>
      <c r="Z1104" s="2083"/>
      <c r="AA1104" s="1526"/>
      <c r="AB1104" s="634"/>
      <c r="AC1104" s="970"/>
      <c r="AD1104" s="970"/>
      <c r="AE1104" s="970"/>
      <c r="AF1104" s="634"/>
      <c r="AG1104" s="634"/>
      <c r="AH1104" s="634"/>
      <c r="AI1104" s="634"/>
      <c r="AJ1104" s="634"/>
      <c r="AK1104" s="634"/>
      <c r="AL1104" s="1336"/>
      <c r="AM1104" s="1336"/>
      <c r="AN1104" s="1336"/>
      <c r="AO1104" s="1336"/>
      <c r="AP1104" s="1336"/>
      <c r="AQ1104" s="1336"/>
      <c r="AR1104" s="1336"/>
      <c r="AS1104" s="1336"/>
      <c r="AT1104" s="634"/>
      <c r="AU1104" s="634"/>
      <c r="AV1104" s="634"/>
      <c r="AW1104" s="634"/>
      <c r="AX1104" s="634"/>
      <c r="AY1104" s="634"/>
      <c r="AZ1104" s="634"/>
      <c r="BA1104" s="634"/>
      <c r="BB1104" s="634"/>
      <c r="BC1104" s="634"/>
      <c r="BD1104" s="634"/>
      <c r="BE1104" s="634"/>
      <c r="BF1104" s="634"/>
      <c r="BG1104" s="634"/>
      <c r="BH1104" s="634"/>
      <c r="BI1104" s="634"/>
    </row>
    <row r="1105" spans="1:61" x14ac:dyDescent="0.25">
      <c r="A1105" s="2371">
        <v>7</v>
      </c>
      <c r="B1105" s="2381" t="s">
        <v>899</v>
      </c>
      <c r="C1105" s="2381"/>
      <c r="D1105" s="2374"/>
      <c r="E1105" s="2374"/>
      <c r="F1105" s="2374"/>
      <c r="G1105" s="2363" t="str">
        <f ca="1">IF(COUNTIF(G1106:G1122,"P")&gt;0,"P","")</f>
        <v/>
      </c>
      <c r="H1105" s="2371" t="s">
        <v>3971</v>
      </c>
      <c r="I1105" s="66" t="s">
        <v>899</v>
      </c>
      <c r="J1105" s="639"/>
      <c r="K1105" s="639"/>
      <c r="L1105" s="1180" t="s">
        <v>900</v>
      </c>
      <c r="M1105" s="1014"/>
      <c r="N1105" s="1042"/>
      <c r="O1105" s="1042"/>
      <c r="P1105" s="756"/>
      <c r="Q1105" s="756"/>
      <c r="R1105" s="634"/>
      <c r="S1105" s="634"/>
      <c r="T1105" s="634"/>
      <c r="U1105" s="634"/>
      <c r="V1105" s="634"/>
      <c r="W1105" s="634"/>
      <c r="X1105" s="911"/>
      <c r="Y1105" s="634"/>
      <c r="AA1105" s="1526"/>
      <c r="AB1105" s="634"/>
      <c r="AC1105" s="970"/>
      <c r="AD1105" s="970"/>
      <c r="AE1105" s="970"/>
      <c r="AF1105" s="634"/>
      <c r="AG1105" s="634"/>
      <c r="AH1105" s="634"/>
      <c r="AI1105" s="634"/>
      <c r="AJ1105" s="634"/>
      <c r="AK1105" s="634"/>
      <c r="AL1105" s="1336"/>
      <c r="AM1105" s="1336"/>
      <c r="AN1105" s="1336"/>
      <c r="AO1105" s="1336"/>
      <c r="AP1105" s="1336"/>
      <c r="AQ1105" s="1336"/>
      <c r="AR1105" s="1336"/>
      <c r="AS1105" s="1336"/>
      <c r="AT1105" s="634"/>
      <c r="AU1105" s="634"/>
      <c r="AV1105" s="634"/>
      <c r="AW1105" s="634"/>
      <c r="AX1105" s="634"/>
      <c r="AY1105" s="634"/>
      <c r="AZ1105" s="634"/>
      <c r="BA1105" s="634"/>
      <c r="BB1105" s="634"/>
      <c r="BC1105" s="634"/>
      <c r="BD1105" s="634"/>
      <c r="BE1105" s="634"/>
      <c r="BF1105" s="634"/>
      <c r="BG1105" s="634"/>
      <c r="BH1105" s="634"/>
      <c r="BI1105" s="634"/>
    </row>
    <row r="1106" spans="1:61" x14ac:dyDescent="0.25">
      <c r="A1106" s="2371">
        <v>7</v>
      </c>
      <c r="B1106" s="2385" t="s">
        <v>901</v>
      </c>
      <c r="C1106" s="2381"/>
      <c r="D1106" s="2374"/>
      <c r="E1106" s="2374"/>
      <c r="F1106" s="2374"/>
      <c r="G1106" s="2373" t="str">
        <f ca="1">IF(M1106="Mandatory","M","")</f>
        <v/>
      </c>
      <c r="H1106" s="2371" t="s">
        <v>3971</v>
      </c>
      <c r="I1106" s="510" t="s">
        <v>901</v>
      </c>
      <c r="J1106" s="636"/>
      <c r="K1106" s="636"/>
      <c r="L1106" s="1754" t="s">
        <v>902</v>
      </c>
      <c r="M1106" s="1837" t="str">
        <f ca="1">IF(R1106,"Mandatory","N/A")</f>
        <v>N/A</v>
      </c>
      <c r="N1106" s="1042"/>
      <c r="O1106" s="1042"/>
      <c r="P1106" s="94" t="b">
        <v>1</v>
      </c>
      <c r="Q1106" s="94" t="b">
        <v>1</v>
      </c>
      <c r="R1106" s="1656" t="b">
        <f ca="1">AND(S1106,NOT(BI886="Tropical"))</f>
        <v>0</v>
      </c>
      <c r="S1106" s="634" t="b">
        <f ca="1">(S883=2)</f>
        <v>0</v>
      </c>
      <c r="T1106" s="94" t="b">
        <f ca="1">AND(NOT(S1106),LEN(W1106)&gt;0)</f>
        <v>0</v>
      </c>
      <c r="U1106" s="94" t="str">
        <f>SUBSTITUTE(SUBSTITUTE(SUBSTITUTE("dd"&amp;B1106&amp;C1106&amp;D1106&amp;E1106&amp;F1106,".","_"),"(","_"),")","")</f>
        <v>dd703_2_5_1</v>
      </c>
      <c r="V1106" s="634"/>
      <c r="W1106" s="12"/>
      <c r="X1106" s="1757"/>
      <c r="Y1106" s="2081" t="str">
        <f>IF(LEN('Ch7'!X236)=0,"None",'Ch7'!X236)</f>
        <v>None</v>
      </c>
      <c r="Z1106" s="2083"/>
      <c r="AA1106" s="1526"/>
      <c r="AB1106" s="634"/>
      <c r="AC1106" s="970" t="b">
        <f ca="1">OR(AD1106:AE1106)</f>
        <v>0</v>
      </c>
      <c r="AD1106" s="970" t="b">
        <f ca="1">T1106</f>
        <v>0</v>
      </c>
      <c r="AE1106" s="1352" t="b">
        <f ca="1">AND(R1106,OR(W1106="Not Met",W1106=""))</f>
        <v>0</v>
      </c>
      <c r="AF1106" s="784"/>
      <c r="AG1106" s="634"/>
      <c r="AH1106" s="634"/>
      <c r="AI1106" s="634"/>
      <c r="AJ1106" s="634"/>
      <c r="AK1106" s="634"/>
      <c r="AL1106" s="254" t="str">
        <f>SUBSTITUTE(SUBSTITUTE(SUBSTITUTE("vpa"&amp;$B1106&amp;$C1106&amp;$D1106&amp;$E1106,".","_"),"(","_"),")","")</f>
        <v>vpa703_2_5_1</v>
      </c>
      <c r="AM1106" s="254" t="str">
        <f ca="1">M1106</f>
        <v>N/A</v>
      </c>
      <c r="AN1106" s="1336"/>
      <c r="AO1106" s="1336"/>
      <c r="AP1106" s="254" t="str">
        <f>SUBSTITUTE(SUBSTITUTE(SUBSTITUTE("vch"&amp;$B1106&amp;$C1106&amp;$D1106&amp;$E1106,".","_"),"(","_"),")","")</f>
        <v>vch703_2_5_1</v>
      </c>
      <c r="AQ1106" s="254" t="str">
        <f>IF(LEN(W1106)=0,"",W1106)</f>
        <v/>
      </c>
      <c r="AR1106" s="254" t="str">
        <f>SUBSTITUTE(SUBSTITUTE(SUBSTITUTE("vnt"&amp;$B1106&amp;$C1106&amp;$D1106&amp;$E1106,".","_"),"(","_"),")","")</f>
        <v>vnt703_2_5_1</v>
      </c>
      <c r="AS1106" s="254" t="str">
        <f>IF(LEN(X1106)=0,"",X1106)</f>
        <v/>
      </c>
      <c r="AT1106" s="634"/>
      <c r="AU1106" s="634"/>
      <c r="AV1106" s="634"/>
      <c r="AW1106" s="634"/>
      <c r="AX1106" s="634"/>
      <c r="AY1106" s="634"/>
      <c r="AZ1106" s="634"/>
      <c r="BA1106" s="634"/>
      <c r="BB1106" s="634"/>
      <c r="BC1106" s="634"/>
      <c r="BD1106" s="634"/>
      <c r="BE1106" s="634"/>
      <c r="BF1106" s="634"/>
      <c r="BG1106" s="634"/>
      <c r="BH1106" s="634"/>
      <c r="BI1106" s="634"/>
    </row>
    <row r="1107" spans="1:61" x14ac:dyDescent="0.25">
      <c r="A1107" s="2371">
        <v>7</v>
      </c>
      <c r="B1107" s="2385" t="s">
        <v>901</v>
      </c>
      <c r="C1107" s="2381"/>
      <c r="D1107" s="2374"/>
      <c r="E1107" s="2374"/>
      <c r="F1107" s="2374"/>
      <c r="G1107" s="2373" t="str">
        <f t="shared" ref="G1107:G1121" ca="1" si="68">G1106</f>
        <v/>
      </c>
      <c r="H1107" s="2371" t="s">
        <v>3971</v>
      </c>
      <c r="I1107" s="129"/>
      <c r="J1107" s="636"/>
      <c r="K1107" s="636"/>
      <c r="L1107" s="1754"/>
      <c r="M1107" s="1837"/>
      <c r="N1107" s="1042"/>
      <c r="O1107" s="1042"/>
      <c r="P1107" s="756"/>
      <c r="Q1107" s="756"/>
      <c r="R1107" s="634"/>
      <c r="S1107" s="634"/>
      <c r="T1107" s="634"/>
      <c r="U1107" s="634"/>
      <c r="V1107" s="634"/>
      <c r="W1107" s="634"/>
      <c r="X1107" s="1757"/>
      <c r="Y1107" s="2081"/>
      <c r="Z1107" s="2083"/>
      <c r="AA1107" s="1526"/>
      <c r="AB1107" s="634"/>
      <c r="AC1107" s="970"/>
      <c r="AD1107" s="970"/>
      <c r="AE1107" s="970"/>
      <c r="AF1107" s="634"/>
      <c r="AG1107" s="634"/>
      <c r="AH1107" s="634"/>
      <c r="AI1107" s="634"/>
      <c r="AJ1107" s="634"/>
      <c r="AK1107" s="634"/>
      <c r="AL1107" s="1336"/>
      <c r="AM1107" s="1336"/>
      <c r="AN1107" s="1336"/>
      <c r="AO1107" s="1336"/>
      <c r="AP1107" s="1336"/>
      <c r="AQ1107" s="1336"/>
      <c r="AR1107" s="1336"/>
      <c r="AS1107" s="1336"/>
      <c r="AT1107" s="634"/>
      <c r="AU1107" s="634"/>
      <c r="AV1107" s="634"/>
      <c r="AW1107" s="634"/>
      <c r="AX1107" s="634"/>
      <c r="AY1107" s="634"/>
      <c r="AZ1107" s="634"/>
      <c r="BA1107" s="634"/>
      <c r="BB1107" s="634"/>
      <c r="BC1107" s="634"/>
      <c r="BD1107" s="634"/>
      <c r="BE1107" s="634"/>
      <c r="BF1107" s="634"/>
      <c r="BG1107" s="634"/>
      <c r="BH1107" s="634"/>
      <c r="BI1107" s="634"/>
    </row>
    <row r="1108" spans="1:61" x14ac:dyDescent="0.25">
      <c r="A1108" s="2371">
        <v>7</v>
      </c>
      <c r="B1108" s="2385" t="s">
        <v>901</v>
      </c>
      <c r="C1108" s="2381"/>
      <c r="D1108" s="2374"/>
      <c r="E1108" s="2374"/>
      <c r="F1108" s="2374"/>
      <c r="G1108" s="2373" t="str">
        <f t="shared" ca="1" si="68"/>
        <v/>
      </c>
      <c r="H1108" s="2371" t="s">
        <v>3971</v>
      </c>
      <c r="I1108" s="129"/>
      <c r="J1108" s="636"/>
      <c r="K1108" s="636"/>
      <c r="L1108" s="1754"/>
      <c r="M1108" s="1837"/>
      <c r="N1108" s="1042"/>
      <c r="O1108" s="1042"/>
      <c r="P1108" s="756"/>
      <c r="Q1108" s="756"/>
      <c r="R1108" s="634"/>
      <c r="S1108" s="634"/>
      <c r="T1108" s="634"/>
      <c r="U1108" s="634"/>
      <c r="V1108" s="634"/>
      <c r="W1108" s="634"/>
      <c r="X1108" s="1757"/>
      <c r="Y1108" s="2081"/>
      <c r="Z1108" s="2083"/>
      <c r="AA1108" s="1526"/>
      <c r="AB1108" s="634"/>
      <c r="AC1108" s="970"/>
      <c r="AD1108" s="970"/>
      <c r="AE1108" s="970"/>
      <c r="AF1108" s="634"/>
      <c r="AG1108" s="634"/>
      <c r="AH1108" s="634"/>
      <c r="AI1108" s="634"/>
      <c r="AJ1108" s="634"/>
      <c r="AK1108" s="634"/>
      <c r="AL1108" s="1336"/>
      <c r="AM1108" s="1336"/>
      <c r="AN1108" s="1336"/>
      <c r="AO1108" s="1336"/>
      <c r="AP1108" s="1336"/>
      <c r="AQ1108" s="1336"/>
      <c r="AR1108" s="1336"/>
      <c r="AS1108" s="1336"/>
      <c r="AT1108" s="634"/>
      <c r="AU1108" s="634"/>
      <c r="AV1108" s="634"/>
      <c r="AW1108" s="634"/>
      <c r="AX1108" s="634"/>
      <c r="AY1108" s="634"/>
      <c r="AZ1108" s="634"/>
      <c r="BA1108" s="634"/>
      <c r="BB1108" s="634"/>
      <c r="BC1108" s="634"/>
      <c r="BD1108" s="634"/>
      <c r="BE1108" s="634"/>
      <c r="BF1108" s="634"/>
      <c r="BG1108" s="634"/>
      <c r="BH1108" s="634"/>
      <c r="BI1108" s="634"/>
    </row>
    <row r="1109" spans="1:61" s="1066" customFormat="1" x14ac:dyDescent="0.25">
      <c r="A1109" s="2371">
        <v>7</v>
      </c>
      <c r="B1109" s="2385" t="s">
        <v>901</v>
      </c>
      <c r="C1109" s="2381"/>
      <c r="D1109" s="2374"/>
      <c r="E1109" s="2374"/>
      <c r="F1109" s="2374"/>
      <c r="G1109" s="2373" t="str">
        <f t="shared" ca="1" si="68"/>
        <v/>
      </c>
      <c r="H1109" s="2371" t="s">
        <v>3971</v>
      </c>
      <c r="I1109" s="129"/>
      <c r="J1109" s="1071"/>
      <c r="K1109" s="1071"/>
      <c r="L1109" s="1754"/>
      <c r="M1109" s="1837"/>
      <c r="N1109" s="1077"/>
      <c r="O1109" s="1077"/>
      <c r="X1109" s="1757"/>
      <c r="Y1109" s="2081"/>
      <c r="Z1109" s="2083"/>
      <c r="AA1109" s="1526"/>
      <c r="AL1109" s="1336"/>
      <c r="AM1109" s="1336"/>
      <c r="AN1109" s="1336"/>
      <c r="AO1109" s="1336"/>
      <c r="AP1109" s="1336"/>
      <c r="AQ1109" s="1336"/>
      <c r="AR1109" s="1336"/>
      <c r="AS1109" s="1336"/>
    </row>
    <row r="1110" spans="1:61" x14ac:dyDescent="0.25">
      <c r="A1110" s="2371">
        <v>7</v>
      </c>
      <c r="B1110" s="2385" t="s">
        <v>901</v>
      </c>
      <c r="C1110" s="2381"/>
      <c r="D1110" s="2374"/>
      <c r="E1110" s="2374"/>
      <c r="F1110" s="2374"/>
      <c r="G1110" s="2373" t="str">
        <f t="shared" ca="1" si="68"/>
        <v/>
      </c>
      <c r="H1110" s="2371" t="s">
        <v>3971</v>
      </c>
      <c r="I1110" s="129"/>
      <c r="J1110" s="636"/>
      <c r="K1110" s="636"/>
      <c r="L1110" s="1754"/>
      <c r="M1110" s="1837"/>
      <c r="N1110" s="1042"/>
      <c r="O1110" s="1042"/>
      <c r="P1110" s="756"/>
      <c r="Q1110" s="756"/>
      <c r="R1110" s="634"/>
      <c r="S1110" s="634"/>
      <c r="T1110" s="634"/>
      <c r="U1110" s="634"/>
      <c r="V1110" s="634"/>
      <c r="W1110" s="634"/>
      <c r="X1110" s="1757"/>
      <c r="Y1110" s="2081"/>
      <c r="Z1110" s="2083"/>
      <c r="AA1110" s="1526"/>
      <c r="AB1110" s="634"/>
      <c r="AC1110" s="970"/>
      <c r="AD1110" s="970"/>
      <c r="AE1110" s="970"/>
      <c r="AF1110" s="634"/>
      <c r="AG1110" s="634"/>
      <c r="AH1110" s="634"/>
      <c r="AI1110" s="634"/>
      <c r="AJ1110" s="634"/>
      <c r="AK1110" s="634"/>
      <c r="AL1110" s="1336"/>
      <c r="AM1110" s="1336"/>
      <c r="AN1110" s="1336"/>
      <c r="AO1110" s="1336"/>
      <c r="AP1110" s="1336"/>
      <c r="AQ1110" s="1336"/>
      <c r="AR1110" s="1336"/>
      <c r="AS1110" s="1336"/>
      <c r="AT1110" s="634"/>
      <c r="AU1110" s="634"/>
      <c r="AV1110" s="634"/>
      <c r="AW1110" s="634"/>
      <c r="AX1110" s="634"/>
      <c r="AY1110" s="634"/>
      <c r="AZ1110" s="634"/>
      <c r="BA1110" s="634"/>
      <c r="BB1110" s="634"/>
      <c r="BC1110" s="634"/>
      <c r="BD1110" s="634"/>
      <c r="BE1110" s="634"/>
      <c r="BF1110" s="634"/>
      <c r="BG1110" s="634"/>
      <c r="BH1110" s="634"/>
      <c r="BI1110" s="634"/>
    </row>
    <row r="1111" spans="1:61" x14ac:dyDescent="0.25">
      <c r="A1111" s="2371">
        <v>7</v>
      </c>
      <c r="B1111" s="2385" t="s">
        <v>901</v>
      </c>
      <c r="C1111" s="2381"/>
      <c r="D1111" s="2374"/>
      <c r="E1111" s="2374"/>
      <c r="F1111" s="2374"/>
      <c r="G1111" s="2373" t="str">
        <f t="shared" ca="1" si="68"/>
        <v/>
      </c>
      <c r="H1111" s="2371" t="s">
        <v>3971</v>
      </c>
      <c r="I1111" s="129"/>
      <c r="J1111" s="636"/>
      <c r="K1111" s="636"/>
      <c r="L1111" s="1754"/>
      <c r="M1111" s="1837"/>
      <c r="N1111" s="1042"/>
      <c r="O1111" s="1042"/>
      <c r="P1111" s="756"/>
      <c r="Q1111" s="756"/>
      <c r="R1111" s="634"/>
      <c r="S1111" s="634"/>
      <c r="T1111" s="634"/>
      <c r="U1111" s="634"/>
      <c r="V1111" s="634"/>
      <c r="W1111" s="634"/>
      <c r="X1111" s="1757"/>
      <c r="Y1111" s="2081"/>
      <c r="Z1111" s="2083"/>
      <c r="AA1111" s="1526"/>
      <c r="AB1111" s="634"/>
      <c r="AC1111" s="970"/>
      <c r="AD1111" s="970"/>
      <c r="AE1111" s="970"/>
      <c r="AF1111" s="634"/>
      <c r="AG1111" s="634"/>
      <c r="AH1111" s="634"/>
      <c r="AI1111" s="634"/>
      <c r="AJ1111" s="634"/>
      <c r="AK1111" s="634"/>
      <c r="AL1111" s="1336"/>
      <c r="AM1111" s="1336"/>
      <c r="AN1111" s="1336"/>
      <c r="AO1111" s="1336"/>
      <c r="AP1111" s="1336"/>
      <c r="AQ1111" s="1336"/>
      <c r="AR1111" s="1336"/>
      <c r="AS1111" s="1336"/>
      <c r="AT1111" s="634"/>
      <c r="AU1111" s="634"/>
      <c r="AV1111" s="634"/>
      <c r="AW1111" s="634"/>
      <c r="AX1111" s="634"/>
      <c r="AY1111" s="634"/>
      <c r="AZ1111" s="634"/>
      <c r="BA1111" s="634"/>
      <c r="BB1111" s="634"/>
      <c r="BC1111" s="634"/>
      <c r="BD1111" s="634"/>
      <c r="BE1111" s="634"/>
      <c r="BF1111" s="634"/>
      <c r="BG1111" s="634"/>
      <c r="BH1111" s="634"/>
      <c r="BI1111" s="634"/>
    </row>
    <row r="1112" spans="1:61" x14ac:dyDescent="0.25">
      <c r="A1112" s="2371">
        <v>7</v>
      </c>
      <c r="B1112" s="2385" t="s">
        <v>901</v>
      </c>
      <c r="C1112" s="2381"/>
      <c r="D1112" s="2374"/>
      <c r="E1112" s="2374"/>
      <c r="F1112" s="2374"/>
      <c r="G1112" s="2373" t="str">
        <f t="shared" ca="1" si="68"/>
        <v/>
      </c>
      <c r="H1112" s="2371" t="s">
        <v>3971</v>
      </c>
      <c r="I1112" s="129"/>
      <c r="J1112" s="636"/>
      <c r="K1112" s="636"/>
      <c r="L1112" s="1754"/>
      <c r="M1112" s="1837"/>
      <c r="N1112" s="1042"/>
      <c r="O1112" s="1042"/>
      <c r="P1112" s="756"/>
      <c r="Q1112" s="756"/>
      <c r="R1112" s="634"/>
      <c r="S1112" s="634"/>
      <c r="T1112" s="634"/>
      <c r="U1112" s="634"/>
      <c r="V1112" s="634"/>
      <c r="W1112" s="634"/>
      <c r="X1112" s="1757"/>
      <c r="Y1112" s="2081"/>
      <c r="Z1112" s="2083"/>
      <c r="AA1112" s="1526"/>
      <c r="AB1112" s="634"/>
      <c r="AC1112" s="970"/>
      <c r="AD1112" s="970"/>
      <c r="AE1112" s="970"/>
      <c r="AF1112" s="634"/>
      <c r="AG1112" s="634"/>
      <c r="AH1112" s="634"/>
      <c r="AI1112" s="634"/>
      <c r="AJ1112" s="634"/>
      <c r="AK1112" s="634"/>
      <c r="AL1112" s="1336"/>
      <c r="AM1112" s="1336"/>
      <c r="AN1112" s="1336"/>
      <c r="AO1112" s="1336"/>
      <c r="AP1112" s="1336"/>
      <c r="AQ1112" s="1336"/>
      <c r="AR1112" s="1336"/>
      <c r="AS1112" s="1336"/>
      <c r="AT1112" s="634"/>
      <c r="AU1112" s="634"/>
      <c r="AV1112" s="634"/>
      <c r="AW1112" s="634"/>
      <c r="AX1112" s="634"/>
      <c r="AY1112" s="634"/>
      <c r="AZ1112" s="634"/>
      <c r="BA1112" s="634"/>
      <c r="BB1112" s="634"/>
      <c r="BC1112" s="634"/>
      <c r="BD1112" s="634"/>
      <c r="BE1112" s="634"/>
      <c r="BF1112" s="634"/>
      <c r="BG1112" s="634"/>
      <c r="BH1112" s="634"/>
      <c r="BI1112" s="634"/>
    </row>
    <row r="1113" spans="1:61" x14ac:dyDescent="0.25">
      <c r="A1113" s="2371">
        <v>7</v>
      </c>
      <c r="B1113" s="2385" t="s">
        <v>901</v>
      </c>
      <c r="C1113" s="2381"/>
      <c r="D1113" s="2374"/>
      <c r="E1113" s="2374"/>
      <c r="F1113" s="2374"/>
      <c r="G1113" s="2373" t="str">
        <f t="shared" ca="1" si="68"/>
        <v/>
      </c>
      <c r="H1113" s="2371" t="s">
        <v>3971</v>
      </c>
      <c r="I1113" s="210"/>
      <c r="J1113" s="637"/>
      <c r="K1113" s="637"/>
      <c r="L1113" s="527" t="s">
        <v>3779</v>
      </c>
      <c r="M1113" s="455"/>
      <c r="N1113" s="1042"/>
      <c r="O1113" s="1042"/>
      <c r="P1113" s="756"/>
      <c r="Q1113" s="756"/>
      <c r="R1113" s="634"/>
      <c r="S1113" s="634"/>
      <c r="T1113" s="634"/>
      <c r="U1113" s="634"/>
      <c r="V1113" s="634"/>
      <c r="W1113" s="634"/>
      <c r="X1113" s="1757"/>
      <c r="Y1113" s="2081"/>
      <c r="Z1113" s="2083"/>
      <c r="AA1113" s="1526"/>
      <c r="AB1113" s="634"/>
      <c r="AC1113" s="970"/>
      <c r="AD1113" s="970"/>
      <c r="AE1113" s="970"/>
      <c r="AF1113" s="634"/>
      <c r="AG1113" s="634"/>
      <c r="AH1113" s="634"/>
      <c r="AI1113" s="634"/>
      <c r="AJ1113" s="634"/>
      <c r="AK1113" s="634"/>
      <c r="AL1113" s="1336"/>
      <c r="AM1113" s="1336"/>
      <c r="AN1113" s="1336"/>
      <c r="AO1113" s="1336"/>
      <c r="AP1113" s="1336"/>
      <c r="AQ1113" s="1336"/>
      <c r="AR1113" s="1336"/>
      <c r="AS1113" s="1336"/>
      <c r="AT1113" s="634"/>
      <c r="AU1113" s="634"/>
      <c r="AV1113" s="634"/>
      <c r="AW1113" s="634"/>
      <c r="AX1113" s="634"/>
      <c r="AY1113" s="634"/>
      <c r="AZ1113" s="634"/>
      <c r="BA1113" s="634"/>
      <c r="BB1113" s="634"/>
      <c r="BC1113" s="634"/>
      <c r="BD1113" s="634"/>
      <c r="BE1113" s="634"/>
      <c r="BF1113" s="634"/>
      <c r="BG1113" s="634"/>
      <c r="BH1113" s="634"/>
      <c r="BI1113" s="634"/>
    </row>
    <row r="1114" spans="1:61" x14ac:dyDescent="0.25">
      <c r="A1114" s="2371">
        <v>7</v>
      </c>
      <c r="B1114" s="2385" t="s">
        <v>903</v>
      </c>
      <c r="C1114" s="2381"/>
      <c r="D1114" s="2374"/>
      <c r="E1114" s="2374"/>
      <c r="F1114" s="2374"/>
      <c r="G1114" s="2373" t="str">
        <f t="shared" ca="1" si="68"/>
        <v/>
      </c>
      <c r="H1114" s="2371" t="s">
        <v>3971</v>
      </c>
      <c r="I1114" s="533" t="s">
        <v>903</v>
      </c>
      <c r="J1114" s="641"/>
      <c r="K1114" s="641"/>
      <c r="L1114" s="1864" t="s">
        <v>904</v>
      </c>
      <c r="M1114" s="1014"/>
      <c r="N1114" s="1042"/>
      <c r="O1114" s="1042"/>
      <c r="P1114" s="94" t="b">
        <v>1</v>
      </c>
      <c r="Q1114" s="94" t="b">
        <v>1</v>
      </c>
      <c r="R1114" s="1656" t="b">
        <f ca="1">AND(S1114,NOT(BI886="Tropical"))</f>
        <v>0</v>
      </c>
      <c r="S1114" s="634" t="b">
        <f ca="1">(S883=2)</f>
        <v>0</v>
      </c>
      <c r="T1114" s="94" t="b">
        <f ca="1">AND(NOT(S1114),LEN(W1114)&gt;0)</f>
        <v>0</v>
      </c>
      <c r="U1114" s="94" t="str">
        <f>SUBSTITUTE(SUBSTITUTE(SUBSTITUTE("dd"&amp;B1114&amp;C1114&amp;D1114&amp;E1114&amp;F1114,".","_"),"(","_"),")","")</f>
        <v>dd703_2_5_1_1</v>
      </c>
      <c r="V1114" s="634"/>
      <c r="W1114" s="12"/>
      <c r="X1114" s="1757"/>
      <c r="Y1114" s="2081" t="str">
        <f>IF(LEN('Ch7'!X244)=0,"None",'Ch7'!X244)</f>
        <v>None</v>
      </c>
      <c r="Z1114" s="2083"/>
      <c r="AA1114" s="1526"/>
      <c r="AB1114" s="634"/>
      <c r="AC1114" s="970" t="b">
        <f ca="1">OR(AD1114:AE1114)</f>
        <v>0</v>
      </c>
      <c r="AD1114" s="970" t="b">
        <f ca="1">T1114</f>
        <v>0</v>
      </c>
      <c r="AE1114" s="970" t="b">
        <f ca="1">AND(R1114,OR(W1114="Not Met",W1114=""))</f>
        <v>0</v>
      </c>
      <c r="AF1114" s="784"/>
      <c r="AG1114" s="634"/>
      <c r="AH1114" s="634"/>
      <c r="AI1114" s="634"/>
      <c r="AJ1114" s="634"/>
      <c r="AK1114" s="634"/>
      <c r="AL1114" s="1336"/>
      <c r="AM1114" s="1336"/>
      <c r="AN1114" s="1336"/>
      <c r="AO1114" s="1336"/>
      <c r="AP1114" s="254" t="str">
        <f>SUBSTITUTE(SUBSTITUTE(SUBSTITUTE("vch"&amp;$B1114&amp;$C1114&amp;$D1114&amp;$E1114,".","_"),"(","_"),")","")</f>
        <v>vch703_2_5_1_1</v>
      </c>
      <c r="AQ1114" s="254" t="str">
        <f>IF(LEN(W1114)=0,"",W1114)</f>
        <v/>
      </c>
      <c r="AR1114" s="254" t="str">
        <f>SUBSTITUTE(SUBSTITUTE(SUBSTITUTE("vnt"&amp;$B1114&amp;$C1114&amp;$D1114&amp;$E1114,".","_"),"(","_"),")","")</f>
        <v>vnt703_2_5_1_1</v>
      </c>
      <c r="AS1114" s="254" t="str">
        <f>IF(LEN(X1114)=0,"",X1114)</f>
        <v/>
      </c>
      <c r="AT1114" s="634"/>
      <c r="AU1114" s="634"/>
      <c r="AV1114" s="634"/>
      <c r="AW1114" s="634"/>
      <c r="AX1114" s="634"/>
      <c r="AY1114" s="634"/>
      <c r="AZ1114" s="634"/>
      <c r="BA1114" s="634"/>
      <c r="BB1114" s="634"/>
      <c r="BC1114" s="634"/>
      <c r="BD1114" s="634"/>
      <c r="BE1114" s="634"/>
      <c r="BF1114" s="634"/>
      <c r="BG1114" s="634"/>
      <c r="BH1114" s="634"/>
      <c r="BI1114" s="634"/>
    </row>
    <row r="1115" spans="1:61" x14ac:dyDescent="0.25">
      <c r="A1115" s="2371">
        <v>7</v>
      </c>
      <c r="B1115" s="2385" t="s">
        <v>903</v>
      </c>
      <c r="C1115" s="2381"/>
      <c r="D1115" s="2374"/>
      <c r="E1115" s="2374"/>
      <c r="F1115" s="2374"/>
      <c r="G1115" s="2373" t="str">
        <f t="shared" ca="1" si="68"/>
        <v/>
      </c>
      <c r="H1115" s="2371" t="s">
        <v>3971</v>
      </c>
      <c r="I1115" s="129"/>
      <c r="J1115" s="636"/>
      <c r="K1115" s="636"/>
      <c r="L1115" s="1782"/>
      <c r="M1115" s="1014"/>
      <c r="N1115" s="1042"/>
      <c r="O1115" s="1042"/>
      <c r="P1115" s="756"/>
      <c r="Q1115" s="756"/>
      <c r="R1115" s="634"/>
      <c r="S1115" s="634"/>
      <c r="T1115" s="634"/>
      <c r="U1115" s="634"/>
      <c r="V1115" s="634"/>
      <c r="W1115" s="634"/>
      <c r="X1115" s="1757"/>
      <c r="Y1115" s="2081"/>
      <c r="Z1115" s="2083"/>
      <c r="AA1115" s="1526"/>
      <c r="AB1115" s="634"/>
      <c r="AC1115" s="970"/>
      <c r="AD1115" s="970"/>
      <c r="AE1115" s="970"/>
      <c r="AF1115" s="634"/>
      <c r="AG1115" s="634"/>
      <c r="AH1115" s="634"/>
      <c r="AI1115" s="634"/>
      <c r="AJ1115" s="634"/>
      <c r="AK1115" s="634"/>
      <c r="AL1115" s="1336"/>
      <c r="AM1115" s="1336"/>
      <c r="AN1115" s="1336"/>
      <c r="AO1115" s="1336"/>
      <c r="AP1115" s="1336"/>
      <c r="AQ1115" s="1336"/>
      <c r="AR1115" s="1336"/>
      <c r="AS1115" s="1336"/>
      <c r="AT1115" s="634"/>
      <c r="AU1115" s="634"/>
      <c r="AV1115" s="634"/>
      <c r="AW1115" s="634"/>
      <c r="AX1115" s="634"/>
      <c r="AY1115" s="634"/>
      <c r="AZ1115" s="634"/>
      <c r="BA1115" s="634"/>
      <c r="BB1115" s="634"/>
      <c r="BC1115" s="634"/>
      <c r="BD1115" s="634"/>
      <c r="BE1115" s="634"/>
      <c r="BF1115" s="634"/>
      <c r="BG1115" s="634"/>
      <c r="BH1115" s="634"/>
      <c r="BI1115" s="634"/>
    </row>
    <row r="1116" spans="1:61" x14ac:dyDescent="0.25">
      <c r="A1116" s="2371">
        <v>7</v>
      </c>
      <c r="B1116" s="2385" t="s">
        <v>903</v>
      </c>
      <c r="C1116" s="2381"/>
      <c r="D1116" s="2374"/>
      <c r="E1116" s="2374"/>
      <c r="F1116" s="2374"/>
      <c r="G1116" s="2373" t="str">
        <f t="shared" ca="1" si="68"/>
        <v/>
      </c>
      <c r="H1116" s="2371" t="s">
        <v>3971</v>
      </c>
      <c r="I1116" s="129"/>
      <c r="J1116" s="636"/>
      <c r="K1116" s="636"/>
      <c r="L1116" s="1782"/>
      <c r="M1116" s="1014"/>
      <c r="N1116" s="1042"/>
      <c r="O1116" s="1042"/>
      <c r="P1116" s="756"/>
      <c r="Q1116" s="756"/>
      <c r="R1116" s="634"/>
      <c r="S1116" s="634"/>
      <c r="T1116" s="634"/>
      <c r="U1116" s="634"/>
      <c r="V1116" s="634"/>
      <c r="W1116" s="634"/>
      <c r="X1116" s="1757"/>
      <c r="Y1116" s="2081"/>
      <c r="Z1116" s="2083"/>
      <c r="AA1116" s="1526"/>
      <c r="AB1116" s="634"/>
      <c r="AC1116" s="970"/>
      <c r="AD1116" s="970"/>
      <c r="AE1116" s="970"/>
      <c r="AF1116" s="634"/>
      <c r="AG1116" s="634"/>
      <c r="AH1116" s="634"/>
      <c r="AI1116" s="634"/>
      <c r="AJ1116" s="634"/>
      <c r="AK1116" s="634"/>
      <c r="AL1116" s="1336"/>
      <c r="AM1116" s="1336"/>
      <c r="AN1116" s="1336"/>
      <c r="AO1116" s="1336"/>
      <c r="AP1116" s="1336"/>
      <c r="AQ1116" s="1336"/>
      <c r="AR1116" s="1336"/>
      <c r="AS1116" s="1336"/>
      <c r="AT1116" s="634"/>
      <c r="AU1116" s="634"/>
      <c r="AV1116" s="634"/>
      <c r="AW1116" s="634"/>
      <c r="AX1116" s="634"/>
      <c r="AY1116" s="634"/>
      <c r="AZ1116" s="634"/>
      <c r="BA1116" s="634"/>
      <c r="BB1116" s="634"/>
      <c r="BC1116" s="634"/>
      <c r="BD1116" s="634"/>
      <c r="BE1116" s="634"/>
      <c r="BF1116" s="634"/>
      <c r="BG1116" s="634"/>
      <c r="BH1116" s="634"/>
      <c r="BI1116" s="634"/>
    </row>
    <row r="1117" spans="1:61" x14ac:dyDescent="0.25">
      <c r="A1117" s="2371">
        <v>7</v>
      </c>
      <c r="B1117" s="2385" t="s">
        <v>903</v>
      </c>
      <c r="C1117" s="2381"/>
      <c r="D1117" s="2374"/>
      <c r="E1117" s="2374"/>
      <c r="F1117" s="2374"/>
      <c r="G1117" s="2373" t="str">
        <f t="shared" ca="1" si="68"/>
        <v/>
      </c>
      <c r="H1117" s="2371" t="s">
        <v>3971</v>
      </c>
      <c r="I1117" s="129"/>
      <c r="J1117" s="636"/>
      <c r="K1117" s="636"/>
      <c r="L1117" s="1782"/>
      <c r="M1117" s="1014"/>
      <c r="N1117" s="1042"/>
      <c r="O1117" s="1042"/>
      <c r="P1117" s="756"/>
      <c r="Q1117" s="756"/>
      <c r="R1117" s="634"/>
      <c r="S1117" s="634"/>
      <c r="T1117" s="634"/>
      <c r="U1117" s="634"/>
      <c r="V1117" s="634"/>
      <c r="W1117" s="634"/>
      <c r="X1117" s="1757"/>
      <c r="Y1117" s="2081"/>
      <c r="Z1117" s="2083"/>
      <c r="AA1117" s="1526"/>
      <c r="AB1117" s="634"/>
      <c r="AC1117" s="970"/>
      <c r="AD1117" s="970"/>
      <c r="AE1117" s="970"/>
      <c r="AF1117" s="634"/>
      <c r="AG1117" s="634"/>
      <c r="AH1117" s="634"/>
      <c r="AI1117" s="634"/>
      <c r="AJ1117" s="634"/>
      <c r="AK1117" s="634"/>
      <c r="AL1117" s="1336"/>
      <c r="AM1117" s="1336"/>
      <c r="AN1117" s="1336"/>
      <c r="AO1117" s="1336"/>
      <c r="AP1117" s="1336"/>
      <c r="AQ1117" s="1336"/>
      <c r="AR1117" s="1336"/>
      <c r="AS1117" s="1336"/>
      <c r="AT1117" s="634"/>
      <c r="AU1117" s="634"/>
      <c r="AV1117" s="634"/>
      <c r="AW1117" s="634"/>
      <c r="AX1117" s="634"/>
      <c r="AY1117" s="634"/>
      <c r="AZ1117" s="634"/>
      <c r="BA1117" s="634"/>
      <c r="BB1117" s="634"/>
      <c r="BC1117" s="634"/>
      <c r="BD1117" s="634"/>
      <c r="BE1117" s="634"/>
      <c r="BF1117" s="634"/>
      <c r="BG1117" s="634"/>
      <c r="BH1117" s="634"/>
      <c r="BI1117" s="634"/>
    </row>
    <row r="1118" spans="1:61" x14ac:dyDescent="0.25">
      <c r="A1118" s="2371">
        <v>7</v>
      </c>
      <c r="B1118" s="2385" t="s">
        <v>903</v>
      </c>
      <c r="C1118" s="2381"/>
      <c r="D1118" s="2374"/>
      <c r="E1118" s="2374"/>
      <c r="F1118" s="2374"/>
      <c r="G1118" s="2373" t="str">
        <f t="shared" ca="1" si="68"/>
        <v/>
      </c>
      <c r="H1118" s="2371" t="s">
        <v>3971</v>
      </c>
      <c r="I1118" s="129"/>
      <c r="J1118" s="636"/>
      <c r="K1118" s="636"/>
      <c r="L1118" s="1782"/>
      <c r="M1118" s="1014"/>
      <c r="N1118" s="1042"/>
      <c r="O1118" s="1042"/>
      <c r="P1118" s="756"/>
      <c r="Q1118" s="756"/>
      <c r="R1118" s="634"/>
      <c r="S1118" s="634"/>
      <c r="T1118" s="634"/>
      <c r="U1118" s="634"/>
      <c r="V1118" s="634"/>
      <c r="W1118" s="634"/>
      <c r="X1118" s="1757"/>
      <c r="Y1118" s="2081"/>
      <c r="Z1118" s="2083"/>
      <c r="AA1118" s="1526"/>
      <c r="AB1118" s="634"/>
      <c r="AC1118" s="970"/>
      <c r="AD1118" s="970"/>
      <c r="AE1118" s="970"/>
      <c r="AF1118" s="634"/>
      <c r="AG1118" s="634"/>
      <c r="AH1118" s="634"/>
      <c r="AI1118" s="634"/>
      <c r="AJ1118" s="634"/>
      <c r="AK1118" s="634"/>
      <c r="AL1118" s="1336"/>
      <c r="AM1118" s="1336"/>
      <c r="AN1118" s="1336"/>
      <c r="AO1118" s="1336"/>
      <c r="AP1118" s="1336"/>
      <c r="AQ1118" s="1336"/>
      <c r="AR1118" s="1336"/>
      <c r="AS1118" s="1336"/>
      <c r="AT1118" s="634"/>
      <c r="AU1118" s="634"/>
      <c r="AV1118" s="634"/>
      <c r="AW1118" s="634"/>
      <c r="AX1118" s="634"/>
      <c r="AY1118" s="634"/>
      <c r="AZ1118" s="634"/>
      <c r="BA1118" s="634"/>
      <c r="BB1118" s="634"/>
      <c r="BC1118" s="634"/>
      <c r="BD1118" s="634"/>
      <c r="BE1118" s="634"/>
      <c r="BF1118" s="634"/>
      <c r="BG1118" s="634"/>
      <c r="BH1118" s="634"/>
      <c r="BI1118" s="634"/>
    </row>
    <row r="1119" spans="1:61" x14ac:dyDescent="0.25">
      <c r="A1119" s="2371">
        <v>7</v>
      </c>
      <c r="B1119" s="2385" t="s">
        <v>903</v>
      </c>
      <c r="C1119" s="2381"/>
      <c r="D1119" s="2374"/>
      <c r="E1119" s="2374"/>
      <c r="F1119" s="2374"/>
      <c r="G1119" s="2373" t="str">
        <f t="shared" ca="1" si="68"/>
        <v/>
      </c>
      <c r="H1119" s="2371" t="s">
        <v>3971</v>
      </c>
      <c r="I1119" s="129"/>
      <c r="J1119" s="636"/>
      <c r="K1119" s="636"/>
      <c r="L1119" s="1782"/>
      <c r="M1119" s="1014"/>
      <c r="N1119" s="1042"/>
      <c r="O1119" s="1042"/>
      <c r="P1119" s="756"/>
      <c r="Q1119" s="756"/>
      <c r="R1119" s="634"/>
      <c r="S1119" s="634"/>
      <c r="T1119" s="634"/>
      <c r="U1119" s="634"/>
      <c r="V1119" s="634"/>
      <c r="W1119" s="634"/>
      <c r="X1119" s="1757"/>
      <c r="Y1119" s="2081"/>
      <c r="Z1119" s="2083"/>
      <c r="AA1119" s="1526"/>
      <c r="AB1119" s="634"/>
      <c r="AC1119" s="970"/>
      <c r="AD1119" s="970"/>
      <c r="AE1119" s="970"/>
      <c r="AF1119" s="634"/>
      <c r="AG1119" s="634"/>
      <c r="AH1119" s="634"/>
      <c r="AI1119" s="634"/>
      <c r="AJ1119" s="634"/>
      <c r="AK1119" s="634"/>
      <c r="AL1119" s="1336"/>
      <c r="AM1119" s="1336"/>
      <c r="AN1119" s="1336"/>
      <c r="AO1119" s="1336"/>
      <c r="AP1119" s="1336"/>
      <c r="AQ1119" s="1336"/>
      <c r="AR1119" s="1336"/>
      <c r="AS1119" s="1336"/>
      <c r="AT1119" s="634"/>
      <c r="AU1119" s="634"/>
      <c r="AV1119" s="634"/>
      <c r="AW1119" s="634"/>
      <c r="AX1119" s="634"/>
      <c r="AY1119" s="634"/>
      <c r="AZ1119" s="634"/>
      <c r="BA1119" s="634"/>
      <c r="BB1119" s="634"/>
      <c r="BC1119" s="634"/>
      <c r="BD1119" s="634"/>
      <c r="BE1119" s="634"/>
      <c r="BF1119" s="634"/>
      <c r="BG1119" s="634"/>
      <c r="BH1119" s="634"/>
      <c r="BI1119" s="634"/>
    </row>
    <row r="1120" spans="1:61" x14ac:dyDescent="0.25">
      <c r="A1120" s="2371">
        <v>7</v>
      </c>
      <c r="B1120" s="2385" t="s">
        <v>903</v>
      </c>
      <c r="C1120" s="2381"/>
      <c r="D1120" s="2374"/>
      <c r="E1120" s="2374"/>
      <c r="F1120" s="2374"/>
      <c r="G1120" s="2373" t="str">
        <f t="shared" ca="1" si="68"/>
        <v/>
      </c>
      <c r="H1120" s="2371" t="s">
        <v>3971</v>
      </c>
      <c r="I1120" s="129"/>
      <c r="J1120" s="636"/>
      <c r="K1120" s="636"/>
      <c r="L1120" s="1782"/>
      <c r="M1120" s="1014"/>
      <c r="N1120" s="1042"/>
      <c r="O1120" s="1042"/>
      <c r="P1120" s="756"/>
      <c r="Q1120" s="756"/>
      <c r="R1120" s="634"/>
      <c r="S1120" s="634"/>
      <c r="T1120" s="634"/>
      <c r="U1120" s="634"/>
      <c r="V1120" s="634"/>
      <c r="W1120" s="634"/>
      <c r="X1120" s="1757"/>
      <c r="Y1120" s="2081"/>
      <c r="Z1120" s="2083"/>
      <c r="AA1120" s="1526"/>
      <c r="AB1120" s="634"/>
      <c r="AC1120" s="970"/>
      <c r="AD1120" s="970"/>
      <c r="AE1120" s="970"/>
      <c r="AF1120" s="634"/>
      <c r="AG1120" s="634"/>
      <c r="AH1120" s="634"/>
      <c r="AI1120" s="634"/>
      <c r="AJ1120" s="634"/>
      <c r="AK1120" s="634"/>
      <c r="AL1120" s="1336"/>
      <c r="AM1120" s="1336"/>
      <c r="AN1120" s="1336"/>
      <c r="AO1120" s="1336"/>
      <c r="AP1120" s="1336"/>
      <c r="AQ1120" s="1336"/>
      <c r="AR1120" s="1336"/>
      <c r="AS1120" s="1336"/>
      <c r="AT1120" s="634"/>
      <c r="AU1120" s="634"/>
      <c r="AV1120" s="634"/>
      <c r="AW1120" s="634"/>
      <c r="AX1120" s="634"/>
      <c r="AY1120" s="634"/>
      <c r="AZ1120" s="634"/>
      <c r="BA1120" s="634"/>
      <c r="BB1120" s="634"/>
      <c r="BC1120" s="634"/>
      <c r="BD1120" s="634"/>
      <c r="BE1120" s="634"/>
      <c r="BF1120" s="634"/>
      <c r="BG1120" s="634"/>
      <c r="BH1120" s="634"/>
      <c r="BI1120" s="634"/>
    </row>
    <row r="1121" spans="1:61" x14ac:dyDescent="0.25">
      <c r="A1121" s="2371">
        <v>7</v>
      </c>
      <c r="B1121" s="2385" t="s">
        <v>903</v>
      </c>
      <c r="C1121" s="2381"/>
      <c r="D1121" s="2374"/>
      <c r="E1121" s="2374"/>
      <c r="F1121" s="2374"/>
      <c r="G1121" s="2373" t="str">
        <f t="shared" ca="1" si="68"/>
        <v/>
      </c>
      <c r="H1121" s="2371" t="s">
        <v>3971</v>
      </c>
      <c r="I1121" s="210"/>
      <c r="J1121" s="637"/>
      <c r="K1121" s="637"/>
      <c r="L1121" s="1843"/>
      <c r="M1121" s="1015"/>
      <c r="N1121" s="1042"/>
      <c r="O1121" s="1042"/>
      <c r="P1121" s="756"/>
      <c r="Q1121" s="756"/>
      <c r="R1121" s="634"/>
      <c r="S1121" s="634"/>
      <c r="T1121" s="634"/>
      <c r="U1121" s="634"/>
      <c r="V1121" s="634"/>
      <c r="W1121" s="634"/>
      <c r="X1121" s="1757"/>
      <c r="Y1121" s="2081"/>
      <c r="Z1121" s="2083"/>
      <c r="AA1121" s="1526"/>
      <c r="AB1121" s="634"/>
      <c r="AC1121" s="970"/>
      <c r="AD1121" s="970"/>
      <c r="AE1121" s="970"/>
      <c r="AF1121" s="634"/>
      <c r="AG1121" s="634"/>
      <c r="AH1121" s="634"/>
      <c r="AI1121" s="634"/>
      <c r="AJ1121" s="634"/>
      <c r="AK1121" s="634"/>
      <c r="AL1121" s="1336"/>
      <c r="AM1121" s="1336"/>
      <c r="AN1121" s="1336"/>
      <c r="AO1121" s="1336"/>
      <c r="AP1121" s="1336"/>
      <c r="AQ1121" s="1336"/>
      <c r="AR1121" s="1336"/>
      <c r="AS1121" s="1336"/>
      <c r="AT1121" s="634"/>
      <c r="AU1121" s="634"/>
      <c r="AV1121" s="634"/>
      <c r="AW1121" s="634"/>
      <c r="AX1121" s="634"/>
      <c r="AY1121" s="634"/>
      <c r="AZ1121" s="634"/>
      <c r="BA1121" s="634"/>
      <c r="BB1121" s="634"/>
      <c r="BC1121" s="634"/>
      <c r="BD1121" s="634"/>
      <c r="BE1121" s="634"/>
      <c r="BF1121" s="634"/>
      <c r="BG1121" s="634"/>
      <c r="BH1121" s="634"/>
      <c r="BI1121" s="634"/>
    </row>
    <row r="1122" spans="1:61" ht="15" customHeight="1" x14ac:dyDescent="0.25">
      <c r="A1122" s="2371">
        <v>7</v>
      </c>
      <c r="B1122" s="2385" t="s">
        <v>905</v>
      </c>
      <c r="C1122" s="2381"/>
      <c r="D1122" s="2374"/>
      <c r="E1122" s="2374"/>
      <c r="F1122" s="2374"/>
      <c r="G1122" s="2373" t="str">
        <f ca="1">IF(N1122&gt;0,"P","")</f>
        <v/>
      </c>
      <c r="H1122" s="2371" t="s">
        <v>3971</v>
      </c>
      <c r="I1122" s="66" t="s">
        <v>905</v>
      </c>
      <c r="J1122" s="639"/>
      <c r="K1122" s="639"/>
      <c r="L1122" s="1796" t="s">
        <v>906</v>
      </c>
      <c r="M1122" s="1720" t="s">
        <v>3781</v>
      </c>
      <c r="N1122" s="2075">
        <f ca="1">'Ch7'!O252</f>
        <v>0</v>
      </c>
      <c r="O1122" s="2075">
        <f ca="1">IFERROR(INDEX(M1127:M1129,MATCH(W1122,INDIRECT(U1122),0)),0)*S1122</f>
        <v>0</v>
      </c>
      <c r="P1122" s="94" t="b">
        <v>1</v>
      </c>
      <c r="Q1122" s="94" t="b">
        <v>1</v>
      </c>
      <c r="R1122" s="634" t="b">
        <v>0</v>
      </c>
      <c r="S1122" s="634" t="b">
        <f ca="1">AND(S883=2,OR(W1130="Met",W1130="N/A"))</f>
        <v>0</v>
      </c>
      <c r="T1122" s="94" t="b">
        <f ca="1">AND(NOT(S1122),LEN(W1122)&gt;0)</f>
        <v>0</v>
      </c>
      <c r="U1122" s="94" t="str">
        <f>SUBSTITUTE(SUBSTITUTE(SUBSTITUTE("dd"&amp;B1122&amp;C1122&amp;D1122&amp;E1122&amp;F1122,".","_"),"(","_"),")","")</f>
        <v>dd703_2_5_2</v>
      </c>
      <c r="V1122" s="634"/>
      <c r="W1122" s="12"/>
      <c r="X1122" s="1757"/>
      <c r="Y1122" s="2081" t="str">
        <f>IF(LEN('Ch7'!X252)=0,"None",'Ch7'!X252)</f>
        <v>None</v>
      </c>
      <c r="Z1122" s="2083"/>
      <c r="AA1122" s="1526"/>
      <c r="AB1122" s="634"/>
      <c r="AC1122" s="970" t="b">
        <f ca="1">OR(AD1122:AE1122)</f>
        <v>0</v>
      </c>
      <c r="AD1122" s="970" t="b">
        <f ca="1">T1122</f>
        <v>0</v>
      </c>
      <c r="AE1122" s="970"/>
      <c r="AF1122" s="784"/>
      <c r="AG1122" s="634"/>
      <c r="AH1122" s="634"/>
      <c r="AI1122" s="634"/>
      <c r="AJ1122" s="634"/>
      <c r="AK1122" s="634"/>
      <c r="AL1122" s="254" t="str">
        <f>SUBSTITUTE(SUBSTITUTE(SUBSTITUTE("vpa"&amp;$B1122&amp;$C1122&amp;$D1122&amp;$E1122,".","_"),"(","_"),")","")</f>
        <v>vpa703_2_5_2</v>
      </c>
      <c r="AM1122" s="254" t="str">
        <f>M1122</f>
        <v>Per Table 703.2.5.2(a) or
703.2.5.2(b) or 
703.2.5.2(c)</v>
      </c>
      <c r="AN1122" s="254" t="str">
        <f>SUBSTITUTE(SUBSTITUTE(SUBSTITUTE("vpc"&amp;$B1122&amp;$C1122&amp;$D1122&amp;$E1122,".","_"),"(","_"),")","")</f>
        <v>vpc703_2_5_2</v>
      </c>
      <c r="AO1122" s="254">
        <f ca="1">O1122</f>
        <v>0</v>
      </c>
      <c r="AP1122" s="254" t="str">
        <f>SUBSTITUTE(SUBSTITUTE(SUBSTITUTE("vch"&amp;$B1122&amp;$C1122&amp;$D1122&amp;$E1122,".","_"),"(","_"),")","")</f>
        <v>vch703_2_5_2</v>
      </c>
      <c r="AQ1122" s="254" t="str">
        <f>IF(LEN(W1122)=0,"",W1122)</f>
        <v/>
      </c>
      <c r="AR1122" s="254" t="str">
        <f>SUBSTITUTE(SUBSTITUTE(SUBSTITUTE("vnt"&amp;$B1122&amp;$C1122&amp;$D1122&amp;$E1122,".","_"),"(","_"),")","")</f>
        <v>vnt703_2_5_2</v>
      </c>
      <c r="AS1122" s="254" t="str">
        <f>IF(LEN(X1122)=0,"",X1122)</f>
        <v/>
      </c>
      <c r="AT1122" s="634"/>
      <c r="AU1122" s="634"/>
      <c r="AV1122" s="634"/>
      <c r="AW1122" s="634"/>
      <c r="AX1122" s="634"/>
      <c r="AY1122" s="634"/>
      <c r="AZ1122" s="634"/>
      <c r="BA1122" s="634"/>
      <c r="BB1122" s="634"/>
      <c r="BC1122" s="634"/>
      <c r="BD1122" s="634"/>
      <c r="BE1122" s="634"/>
      <c r="BF1122" s="634"/>
      <c r="BG1122" s="634"/>
      <c r="BH1122" s="634"/>
      <c r="BI1122" s="634"/>
    </row>
    <row r="1123" spans="1:61" x14ac:dyDescent="0.25">
      <c r="A1123" s="2371">
        <v>7</v>
      </c>
      <c r="B1123" s="2385" t="s">
        <v>905</v>
      </c>
      <c r="C1123" s="2381"/>
      <c r="D1123" s="2374"/>
      <c r="E1123" s="2374"/>
      <c r="F1123" s="2374"/>
      <c r="G1123" s="2373" t="str">
        <f t="shared" ref="G1123:G1138" ca="1" si="69">G1122</f>
        <v/>
      </c>
      <c r="H1123" s="2371" t="s">
        <v>3971</v>
      </c>
      <c r="I1123" s="4"/>
      <c r="J1123" s="639"/>
      <c r="K1123" s="639"/>
      <c r="L1123" s="1796"/>
      <c r="M1123" s="1720"/>
      <c r="N1123" s="2075"/>
      <c r="O1123" s="2075"/>
      <c r="P1123" s="756"/>
      <c r="Q1123" s="756"/>
      <c r="R1123" s="634"/>
      <c r="S1123" s="634"/>
      <c r="T1123" s="634"/>
      <c r="U1123" s="634"/>
      <c r="V1123" s="634"/>
      <c r="W1123" s="634"/>
      <c r="X1123" s="1757"/>
      <c r="Y1123" s="2081"/>
      <c r="Z1123" s="2083"/>
      <c r="AA1123" s="1526"/>
      <c r="AB1123" s="634"/>
      <c r="AC1123" s="970"/>
      <c r="AD1123" s="970"/>
      <c r="AE1123" s="970"/>
      <c r="AF1123" s="634"/>
      <c r="AG1123" s="634"/>
      <c r="AH1123" s="634"/>
      <c r="AI1123" s="634"/>
      <c r="AJ1123" s="634"/>
      <c r="AK1123" s="634"/>
      <c r="AL1123" s="1336"/>
      <c r="AM1123" s="1336"/>
      <c r="AN1123" s="1336"/>
      <c r="AO1123" s="1336"/>
      <c r="AP1123" s="1336"/>
      <c r="AQ1123" s="1336"/>
      <c r="AR1123" s="1336"/>
      <c r="AS1123" s="1336"/>
      <c r="AT1123" s="634"/>
      <c r="AU1123" s="634"/>
      <c r="AV1123" s="634"/>
      <c r="AW1123" s="634"/>
      <c r="AX1123" s="634"/>
      <c r="AY1123" s="634"/>
      <c r="AZ1123" s="634"/>
      <c r="BA1123" s="634"/>
      <c r="BB1123" s="634"/>
      <c r="BC1123" s="634"/>
      <c r="BD1123" s="634"/>
      <c r="BE1123" s="634"/>
      <c r="BF1123" s="634"/>
      <c r="BG1123" s="634"/>
      <c r="BH1123" s="634"/>
      <c r="BI1123" s="634"/>
    </row>
    <row r="1124" spans="1:61" x14ac:dyDescent="0.25">
      <c r="A1124" s="2371">
        <v>7</v>
      </c>
      <c r="B1124" s="2385" t="s">
        <v>905</v>
      </c>
      <c r="C1124" s="2381"/>
      <c r="D1124" s="2374"/>
      <c r="E1124" s="2374"/>
      <c r="F1124" s="2374"/>
      <c r="G1124" s="2373" t="str">
        <f t="shared" ca="1" si="69"/>
        <v/>
      </c>
      <c r="H1124" s="2371" t="s">
        <v>3971</v>
      </c>
      <c r="I1124" s="4"/>
      <c r="J1124" s="639"/>
      <c r="K1124" s="639"/>
      <c r="L1124" s="1796"/>
      <c r="M1124" s="1720"/>
      <c r="N1124" s="2075"/>
      <c r="O1124" s="2075"/>
      <c r="P1124" s="756"/>
      <c r="Q1124" s="756"/>
      <c r="R1124" s="634"/>
      <c r="S1124" s="634"/>
      <c r="T1124" s="634"/>
      <c r="U1124" s="634"/>
      <c r="V1124" s="634"/>
      <c r="W1124" s="634"/>
      <c r="X1124" s="1757"/>
      <c r="Y1124" s="2081"/>
      <c r="Z1124" s="2083"/>
      <c r="AA1124" s="1526"/>
      <c r="AB1124" s="634"/>
      <c r="AC1124" s="970"/>
      <c r="AD1124" s="970"/>
      <c r="AE1124" s="970"/>
      <c r="AF1124" s="634"/>
      <c r="AG1124" s="634"/>
      <c r="AH1124" s="634"/>
      <c r="AI1124" s="634"/>
      <c r="AJ1124" s="634"/>
      <c r="AK1124" s="634"/>
      <c r="AL1124" s="1336"/>
      <c r="AM1124" s="1336"/>
      <c r="AN1124" s="1336"/>
      <c r="AO1124" s="1336"/>
      <c r="AP1124" s="1336"/>
      <c r="AQ1124" s="1336"/>
      <c r="AR1124" s="1336"/>
      <c r="AS1124" s="1336"/>
      <c r="AT1124" s="634"/>
      <c r="AU1124" s="634"/>
      <c r="AV1124" s="634"/>
      <c r="AW1124" s="634"/>
      <c r="AX1124" s="634"/>
      <c r="AY1124" s="634"/>
      <c r="AZ1124" s="634"/>
      <c r="BA1124" s="634"/>
      <c r="BB1124" s="634"/>
      <c r="BC1124" s="634"/>
      <c r="BD1124" s="634"/>
      <c r="BE1124" s="634"/>
      <c r="BF1124" s="634"/>
      <c r="BG1124" s="634"/>
      <c r="BH1124" s="634"/>
      <c r="BI1124" s="634"/>
    </row>
    <row r="1125" spans="1:61" x14ac:dyDescent="0.25">
      <c r="A1125" s="2371">
        <v>7</v>
      </c>
      <c r="B1125" s="2385" t="s">
        <v>905</v>
      </c>
      <c r="C1125" s="2381"/>
      <c r="D1125" s="2374"/>
      <c r="E1125" s="2374"/>
      <c r="F1125" s="2374"/>
      <c r="G1125" s="2373" t="str">
        <f t="shared" ca="1" si="69"/>
        <v/>
      </c>
      <c r="H1125" s="2371" t="s">
        <v>3971</v>
      </c>
      <c r="I1125" s="4"/>
      <c r="J1125" s="639"/>
      <c r="K1125" s="639"/>
      <c r="L1125" s="1796"/>
      <c r="M1125" s="1720"/>
      <c r="N1125" s="2075"/>
      <c r="O1125" s="2075"/>
      <c r="P1125" s="756"/>
      <c r="Q1125" s="756"/>
      <c r="R1125" s="634"/>
      <c r="S1125" s="634"/>
      <c r="T1125" s="634"/>
      <c r="U1125" s="634"/>
      <c r="V1125" s="634"/>
      <c r="W1125" s="634"/>
      <c r="X1125" s="1757"/>
      <c r="Y1125" s="2081"/>
      <c r="Z1125" s="2083"/>
      <c r="AA1125" s="1526"/>
      <c r="AB1125" s="634"/>
      <c r="AC1125" s="970"/>
      <c r="AD1125" s="970"/>
      <c r="AE1125" s="970"/>
      <c r="AF1125" s="634"/>
      <c r="AG1125" s="634"/>
      <c r="AH1125" s="634"/>
      <c r="AI1125" s="634"/>
      <c r="AJ1125" s="634"/>
      <c r="AK1125" s="634"/>
      <c r="AL1125" s="1336"/>
      <c r="AM1125" s="1336"/>
      <c r="AN1125" s="1336"/>
      <c r="AO1125" s="1336"/>
      <c r="AP1125" s="1336"/>
      <c r="AQ1125" s="1336"/>
      <c r="AR1125" s="1336"/>
      <c r="AS1125" s="1336"/>
      <c r="AT1125" s="634"/>
      <c r="AU1125" s="634"/>
      <c r="AV1125" s="634"/>
      <c r="AW1125" s="634"/>
      <c r="AX1125" s="634"/>
      <c r="AY1125" s="634"/>
      <c r="AZ1125" s="634"/>
      <c r="BA1125" s="634"/>
      <c r="BB1125" s="634"/>
      <c r="BC1125" s="634"/>
      <c r="BD1125" s="634"/>
      <c r="BE1125" s="634"/>
      <c r="BF1125" s="634"/>
      <c r="BG1125" s="634"/>
      <c r="BH1125" s="634"/>
      <c r="BI1125" s="634"/>
    </row>
    <row r="1126" spans="1:61" x14ac:dyDescent="0.25">
      <c r="A1126" s="2371">
        <v>7</v>
      </c>
      <c r="B1126" s="2385" t="s">
        <v>905</v>
      </c>
      <c r="C1126" s="2381"/>
      <c r="D1126" s="2374"/>
      <c r="E1126" s="2374"/>
      <c r="F1126" s="2374"/>
      <c r="G1126" s="2373" t="str">
        <f t="shared" ca="1" si="69"/>
        <v/>
      </c>
      <c r="H1126" s="2371" t="s">
        <v>3971</v>
      </c>
      <c r="I1126" s="4"/>
      <c r="J1126" s="639"/>
      <c r="K1126" s="639"/>
      <c r="L1126" s="1796"/>
      <c r="M1126" s="1720"/>
      <c r="N1126" s="2075"/>
      <c r="O1126" s="2075"/>
      <c r="P1126" s="756"/>
      <c r="Q1126" s="756"/>
      <c r="R1126" s="634"/>
      <c r="S1126" s="634"/>
      <c r="T1126" s="634"/>
      <c r="U1126" s="634"/>
      <c r="V1126" s="634"/>
      <c r="W1126" s="634"/>
      <c r="X1126" s="1757"/>
      <c r="Y1126" s="2081"/>
      <c r="Z1126" s="2083"/>
      <c r="AA1126" s="1526"/>
      <c r="AB1126" s="634"/>
      <c r="AC1126" s="970"/>
      <c r="AD1126" s="970"/>
      <c r="AE1126" s="970"/>
      <c r="AF1126" s="634"/>
      <c r="AG1126" s="634"/>
      <c r="AH1126" s="634"/>
      <c r="AI1126" s="634"/>
      <c r="AJ1126" s="634"/>
      <c r="AK1126" s="634"/>
      <c r="AL1126" s="1336"/>
      <c r="AM1126" s="1336"/>
      <c r="AN1126" s="1336"/>
      <c r="AO1126" s="1336"/>
      <c r="AP1126" s="1336"/>
      <c r="AQ1126" s="1336"/>
      <c r="AR1126" s="1336"/>
      <c r="AS1126" s="1336"/>
      <c r="AT1126" s="634"/>
      <c r="AU1126" s="634"/>
      <c r="AV1126" s="634"/>
      <c r="AW1126" s="634"/>
      <c r="AX1126" s="634"/>
      <c r="AY1126" s="634"/>
      <c r="AZ1126" s="634"/>
      <c r="BA1126" s="634"/>
      <c r="BB1126" s="634"/>
      <c r="BC1126" s="634"/>
      <c r="BD1126" s="634"/>
      <c r="BE1126" s="634"/>
      <c r="BF1126" s="634"/>
      <c r="BG1126" s="634"/>
      <c r="BH1126" s="634"/>
      <c r="BI1126" s="634"/>
    </row>
    <row r="1127" spans="1:61" x14ac:dyDescent="0.25">
      <c r="A1127" s="2371">
        <v>7</v>
      </c>
      <c r="B1127" s="2385" t="s">
        <v>905</v>
      </c>
      <c r="C1127" s="2381"/>
      <c r="D1127" s="2374" t="s">
        <v>121</v>
      </c>
      <c r="E1127" s="2374"/>
      <c r="F1127" s="2374"/>
      <c r="G1127" s="2373" t="str">
        <f t="shared" ca="1" si="69"/>
        <v/>
      </c>
      <c r="H1127" s="2371" t="s">
        <v>3971</v>
      </c>
      <c r="I1127" s="4"/>
      <c r="J1127" s="639"/>
      <c r="K1127" s="530" t="s">
        <v>121</v>
      </c>
      <c r="L1127" s="1158" t="s">
        <v>3480</v>
      </c>
      <c r="M1127" s="1034">
        <f>IFERROR(INDEX({1,1,2,3,3,4,4,4},T1156),0)</f>
        <v>0</v>
      </c>
      <c r="N1127" s="1042"/>
      <c r="O1127" s="1042"/>
      <c r="P1127" s="756"/>
      <c r="Q1127" s="756"/>
      <c r="R1127" s="634"/>
      <c r="S1127" s="634"/>
      <c r="T1127" s="634"/>
      <c r="U1127" s="634"/>
      <c r="V1127" s="634"/>
      <c r="W1127" s="634"/>
      <c r="X1127" s="1757"/>
      <c r="Y1127" s="2081"/>
      <c r="Z1127" s="2083"/>
      <c r="AA1127" s="1526"/>
      <c r="AB1127" s="634"/>
      <c r="AC1127" s="970"/>
      <c r="AD1127" s="970"/>
      <c r="AE1127" s="970"/>
      <c r="AF1127" s="634"/>
      <c r="AG1127" s="634"/>
      <c r="AH1127" s="634"/>
      <c r="AI1127" s="634"/>
      <c r="AJ1127" s="634"/>
      <c r="AK1127" s="634"/>
      <c r="AL1127" s="254" t="str">
        <f>SUBSTITUTE(SUBSTITUTE(SUBSTITUTE("vpa"&amp;$B1127&amp;$C1127&amp;$D1127&amp;$E1127,".","_"),"(","_"),")","")</f>
        <v>vpa703_2_5_2_a</v>
      </c>
      <c r="AM1127" s="254">
        <f>M1127</f>
        <v>0</v>
      </c>
      <c r="AN1127" s="1336"/>
      <c r="AO1127" s="1336"/>
      <c r="AP1127" s="1336"/>
      <c r="AQ1127" s="1336"/>
      <c r="AR1127" s="1336"/>
      <c r="AS1127" s="1336"/>
      <c r="AT1127" s="634"/>
      <c r="AU1127" s="634"/>
      <c r="AV1127" s="634"/>
      <c r="AW1127" s="634"/>
      <c r="AX1127" s="634"/>
      <c r="AY1127" s="634"/>
      <c r="AZ1127" s="634"/>
      <c r="BA1127" s="634"/>
      <c r="BB1127" s="634"/>
      <c r="BC1127" s="634"/>
      <c r="BD1127" s="634"/>
      <c r="BE1127" s="634"/>
      <c r="BF1127" s="634"/>
      <c r="BG1127" s="634"/>
      <c r="BH1127" s="634"/>
      <c r="BI1127" s="634"/>
    </row>
    <row r="1128" spans="1:61" x14ac:dyDescent="0.25">
      <c r="A1128" s="2371">
        <v>7</v>
      </c>
      <c r="B1128" s="2385" t="s">
        <v>905</v>
      </c>
      <c r="C1128" s="2381"/>
      <c r="D1128" s="2374" t="s">
        <v>122</v>
      </c>
      <c r="E1128" s="2374"/>
      <c r="F1128" s="2374"/>
      <c r="G1128" s="2373" t="str">
        <f t="shared" ca="1" si="69"/>
        <v/>
      </c>
      <c r="H1128" s="2371" t="s">
        <v>3971</v>
      </c>
      <c r="I1128" s="4"/>
      <c r="J1128" s="639"/>
      <c r="K1128" s="530" t="s">
        <v>122</v>
      </c>
      <c r="L1128" s="1158" t="s">
        <v>3479</v>
      </c>
      <c r="M1128" s="1034">
        <f>IFERROR(INDEX({2,3,4,4,4,5,5,4},T1156),0)</f>
        <v>0</v>
      </c>
      <c r="N1128" s="1042"/>
      <c r="O1128" s="1042"/>
      <c r="P1128" s="756"/>
      <c r="Q1128" s="756"/>
      <c r="R1128" s="634"/>
      <c r="S1128" s="634"/>
      <c r="T1128" s="634"/>
      <c r="U1128" s="634"/>
      <c r="V1128" s="634"/>
      <c r="W1128" s="634"/>
      <c r="X1128" s="1757"/>
      <c r="Y1128" s="2081"/>
      <c r="Z1128" s="2083"/>
      <c r="AA1128" s="1526"/>
      <c r="AB1128" s="634"/>
      <c r="AC1128" s="970"/>
      <c r="AD1128" s="970"/>
      <c r="AE1128" s="970"/>
      <c r="AF1128" s="634"/>
      <c r="AG1128" s="634"/>
      <c r="AH1128" s="634"/>
      <c r="AI1128" s="634"/>
      <c r="AJ1128" s="634"/>
      <c r="AK1128" s="634"/>
      <c r="AL1128" s="254" t="str">
        <f>SUBSTITUTE(SUBSTITUTE(SUBSTITUTE("vpa"&amp;$B1128&amp;$C1128&amp;$D1128&amp;$E1128,".","_"),"(","_"),")","")</f>
        <v>vpa703_2_5_2_b</v>
      </c>
      <c r="AM1128" s="254">
        <f>M1128</f>
        <v>0</v>
      </c>
      <c r="AN1128" s="1336"/>
      <c r="AO1128" s="1336"/>
      <c r="AP1128" s="1336"/>
      <c r="AQ1128" s="1336"/>
      <c r="AR1128" s="1336"/>
      <c r="AS1128" s="1336"/>
      <c r="AT1128" s="634"/>
      <c r="AU1128" s="634"/>
      <c r="AV1128" s="634"/>
      <c r="AW1128" s="634"/>
      <c r="AX1128" s="634"/>
      <c r="AY1128" s="634"/>
      <c r="AZ1128" s="634"/>
      <c r="BA1128" s="634"/>
      <c r="BB1128" s="634"/>
      <c r="BC1128" s="634"/>
      <c r="BD1128" s="634"/>
      <c r="BE1128" s="634"/>
      <c r="BF1128" s="634"/>
      <c r="BG1128" s="634"/>
      <c r="BH1128" s="634"/>
      <c r="BI1128" s="634"/>
    </row>
    <row r="1129" spans="1:61" x14ac:dyDescent="0.25">
      <c r="A1129" s="2371">
        <v>7</v>
      </c>
      <c r="B1129" s="2385" t="s">
        <v>905</v>
      </c>
      <c r="C1129" s="2381"/>
      <c r="D1129" s="2374" t="s">
        <v>123</v>
      </c>
      <c r="E1129" s="2374"/>
      <c r="F1129" s="2374"/>
      <c r="G1129" s="2373" t="str">
        <f t="shared" ca="1" si="69"/>
        <v/>
      </c>
      <c r="H1129" s="2371" t="s">
        <v>3971</v>
      </c>
      <c r="I1129" s="210"/>
      <c r="J1129" s="637"/>
      <c r="K1129" s="551" t="s">
        <v>123</v>
      </c>
      <c r="L1129" s="279" t="s">
        <v>3478</v>
      </c>
      <c r="M1129" s="144">
        <f>IF(T1157,3,1)*IFERROR(INDEX({0,0,0,6,6,6,6,6},T1156),0)</f>
        <v>0</v>
      </c>
      <c r="N1129" s="1042"/>
      <c r="O1129" s="1042"/>
      <c r="P1129" s="756"/>
      <c r="Q1129" s="756"/>
      <c r="R1129" s="634"/>
      <c r="S1129" s="634"/>
      <c r="T1129" s="634"/>
      <c r="U1129" s="634"/>
      <c r="V1129" s="634"/>
      <c r="W1129" s="634"/>
      <c r="X1129" s="1757"/>
      <c r="Y1129" s="2081"/>
      <c r="Z1129" s="2083"/>
      <c r="AA1129" s="1526"/>
      <c r="AB1129" s="634"/>
      <c r="AC1129" s="970"/>
      <c r="AD1129" s="970"/>
      <c r="AE1129" s="970"/>
      <c r="AF1129" s="634"/>
      <c r="AG1129" s="634"/>
      <c r="AH1129" s="634"/>
      <c r="AI1129" s="634"/>
      <c r="AJ1129" s="634"/>
      <c r="AK1129" s="634"/>
      <c r="AL1129" s="254" t="str">
        <f>SUBSTITUTE(SUBSTITUTE(SUBSTITUTE("vpa"&amp;$B1129&amp;$C1129&amp;$D1129&amp;$E1129,".","_"),"(","_"),")","")</f>
        <v>vpa703_2_5_2_c</v>
      </c>
      <c r="AM1129" s="254">
        <f>M1129</f>
        <v>0</v>
      </c>
      <c r="AN1129" s="1336"/>
      <c r="AO1129" s="1336"/>
      <c r="AP1129" s="1336"/>
      <c r="AQ1129" s="1336"/>
      <c r="AR1129" s="1336"/>
      <c r="AS1129" s="1336"/>
      <c r="AT1129" s="634"/>
      <c r="AU1129" s="634"/>
      <c r="AV1129" s="634"/>
      <c r="AW1129" s="634"/>
      <c r="AX1129" s="634"/>
      <c r="AY1129" s="634"/>
      <c r="AZ1129" s="634"/>
      <c r="BA1129" s="634"/>
      <c r="BB1129" s="634"/>
      <c r="BC1129" s="634"/>
      <c r="BD1129" s="634"/>
      <c r="BE1129" s="634"/>
      <c r="BF1129" s="634"/>
      <c r="BG1129" s="634"/>
      <c r="BH1129" s="634"/>
      <c r="BI1129" s="634"/>
    </row>
    <row r="1130" spans="1:61" x14ac:dyDescent="0.25">
      <c r="A1130" s="2371">
        <v>7</v>
      </c>
      <c r="B1130" s="2385" t="s">
        <v>907</v>
      </c>
      <c r="C1130" s="2381"/>
      <c r="D1130" s="2374"/>
      <c r="E1130" s="2374"/>
      <c r="F1130" s="2374"/>
      <c r="G1130" s="2373" t="str">
        <f t="shared" ca="1" si="69"/>
        <v/>
      </c>
      <c r="H1130" s="2371" t="s">
        <v>3971</v>
      </c>
      <c r="I1130" s="510" t="s">
        <v>907</v>
      </c>
      <c r="J1130" s="636"/>
      <c r="K1130" s="94"/>
      <c r="L1130" s="1782" t="s">
        <v>908</v>
      </c>
      <c r="M1130" s="1027"/>
      <c r="N1130" s="1044"/>
      <c r="O1130" s="1044"/>
      <c r="P1130" s="94" t="b">
        <v>1</v>
      </c>
      <c r="Q1130" s="94" t="b">
        <v>1</v>
      </c>
      <c r="R1130" s="94" t="b">
        <v>0</v>
      </c>
      <c r="S1130" s="94" t="b">
        <f ca="1">(S883=2)</f>
        <v>0</v>
      </c>
      <c r="T1130" s="94" t="b">
        <f ca="1">AND(NOT(S1130),LEN(W1130)&gt;0)</f>
        <v>0</v>
      </c>
      <c r="U1130" s="94" t="str">
        <f>SUBSTITUTE(SUBSTITUTE(SUBSTITUTE("dd"&amp;B1130&amp;C1130&amp;D1130&amp;E1130&amp;F1130,".","_"),"(","_"),")","")</f>
        <v>dd703_2_5_2_1</v>
      </c>
      <c r="V1130" s="94"/>
      <c r="W1130" s="12"/>
      <c r="X1130" s="1757"/>
      <c r="Y1130" s="2081" t="str">
        <f>IF(LEN('Ch7'!X260)=0,"None",'Ch7'!X260)</f>
        <v>None</v>
      </c>
      <c r="Z1130" s="2084"/>
      <c r="AA1130" s="1526"/>
      <c r="AB1130" s="634"/>
      <c r="AC1130" s="970" t="b">
        <f ca="1">OR(AD1130:AE1130)</f>
        <v>0</v>
      </c>
      <c r="AD1130" s="970" t="b">
        <f ca="1">T1130</f>
        <v>0</v>
      </c>
      <c r="AE1130" s="970"/>
      <c r="AF1130" s="784"/>
      <c r="AG1130" s="634"/>
      <c r="AH1130" s="634"/>
      <c r="AI1130" s="634"/>
      <c r="AJ1130" s="634"/>
      <c r="AK1130" s="634"/>
      <c r="AL1130" s="1336"/>
      <c r="AM1130" s="1336"/>
      <c r="AN1130" s="1336"/>
      <c r="AO1130" s="1336"/>
      <c r="AP1130" s="254" t="str">
        <f>SUBSTITUTE(SUBSTITUTE(SUBSTITUTE("vch"&amp;$B1130&amp;$C1130&amp;$D1130&amp;$E1130,".","_"),"(","_"),")","")</f>
        <v>vch703_2_5_2_1</v>
      </c>
      <c r="AQ1130" s="254" t="str">
        <f>IF(LEN(W1130)=0,"",W1130)</f>
        <v/>
      </c>
      <c r="AR1130" s="254" t="str">
        <f>SUBSTITUTE(SUBSTITUTE(SUBSTITUTE("vnt"&amp;$B1130&amp;$C1130&amp;$D1130&amp;$E1130,".","_"),"(","_"),")","")</f>
        <v>vnt703_2_5_2_1</v>
      </c>
      <c r="AS1130" s="254" t="str">
        <f>IF(LEN(X1130)=0,"",X1130)</f>
        <v/>
      </c>
      <c r="AT1130" s="634"/>
      <c r="AU1130" s="634"/>
      <c r="AV1130" s="634"/>
      <c r="AW1130" s="634"/>
      <c r="AX1130" s="634"/>
      <c r="AY1130" s="634"/>
      <c r="AZ1130" s="634"/>
      <c r="BA1130" s="634"/>
      <c r="BB1130" s="634"/>
      <c r="BC1130" s="634"/>
      <c r="BD1130" s="634"/>
      <c r="BE1130" s="634"/>
      <c r="BF1130" s="634"/>
      <c r="BG1130" s="634"/>
      <c r="BH1130" s="634"/>
      <c r="BI1130" s="634"/>
    </row>
    <row r="1131" spans="1:61" x14ac:dyDescent="0.25">
      <c r="A1131" s="2371">
        <v>7</v>
      </c>
      <c r="B1131" s="2385" t="s">
        <v>907</v>
      </c>
      <c r="C1131" s="2381"/>
      <c r="D1131" s="2374"/>
      <c r="E1131" s="2374"/>
      <c r="F1131" s="2374"/>
      <c r="G1131" s="2373" t="str">
        <f t="shared" ca="1" si="69"/>
        <v/>
      </c>
      <c r="H1131" s="2371" t="s">
        <v>3971</v>
      </c>
      <c r="I1131" s="129"/>
      <c r="J1131" s="636"/>
      <c r="K1131" s="636"/>
      <c r="L1131" s="1782"/>
      <c r="M1131" s="1027"/>
      <c r="N1131" s="1044"/>
      <c r="O1131" s="1044"/>
      <c r="P1131" s="94"/>
      <c r="Q1131" s="94"/>
      <c r="R1131" s="94"/>
      <c r="S1131" s="94"/>
      <c r="T1131" s="94"/>
      <c r="U1131" s="94"/>
      <c r="V1131" s="94"/>
      <c r="W1131" s="94"/>
      <c r="X1131" s="1757"/>
      <c r="Y1131" s="2081"/>
      <c r="Z1131" s="2084"/>
      <c r="AA1131" s="1526"/>
      <c r="AB1131" s="634"/>
      <c r="AC1131" s="970"/>
      <c r="AD1131" s="970"/>
      <c r="AE1131" s="970"/>
      <c r="AF1131" s="634"/>
      <c r="AG1131" s="634"/>
      <c r="AH1131" s="634"/>
      <c r="AI1131" s="634"/>
      <c r="AJ1131" s="634"/>
      <c r="AK1131" s="634"/>
      <c r="AL1131" s="1336"/>
      <c r="AM1131" s="1336"/>
      <c r="AN1131" s="1336"/>
      <c r="AO1131" s="1336"/>
      <c r="AP1131" s="1336"/>
      <c r="AQ1131" s="1336"/>
      <c r="AR1131" s="1336"/>
      <c r="AS1131" s="1336"/>
      <c r="AT1131" s="634"/>
      <c r="AU1131" s="634"/>
      <c r="AV1131" s="634"/>
      <c r="AW1131" s="634"/>
      <c r="AX1131" s="634"/>
      <c r="AY1131" s="634"/>
      <c r="AZ1131" s="634"/>
      <c r="BA1131" s="634"/>
      <c r="BB1131" s="634"/>
      <c r="BC1131" s="634"/>
      <c r="BD1131" s="634"/>
      <c r="BE1131" s="634"/>
      <c r="BF1131" s="634"/>
      <c r="BG1131" s="634"/>
      <c r="BH1131" s="634"/>
      <c r="BI1131" s="634"/>
    </row>
    <row r="1132" spans="1:61" x14ac:dyDescent="0.25">
      <c r="A1132" s="2371">
        <v>7</v>
      </c>
      <c r="B1132" s="2385" t="s">
        <v>907</v>
      </c>
      <c r="C1132" s="2381"/>
      <c r="D1132" s="2374"/>
      <c r="E1132" s="2374"/>
      <c r="F1132" s="2374"/>
      <c r="G1132" s="2373" t="str">
        <f t="shared" ca="1" si="69"/>
        <v/>
      </c>
      <c r="H1132" s="2371" t="s">
        <v>3971</v>
      </c>
      <c r="I1132" s="129"/>
      <c r="J1132" s="636"/>
      <c r="K1132" s="636"/>
      <c r="L1132" s="1782"/>
      <c r="M1132" s="1027"/>
      <c r="N1132" s="1044"/>
      <c r="O1132" s="1044"/>
      <c r="P1132" s="94"/>
      <c r="Q1132" s="94"/>
      <c r="R1132" s="94"/>
      <c r="S1132" s="94"/>
      <c r="T1132" s="94"/>
      <c r="U1132" s="94"/>
      <c r="V1132" s="94"/>
      <c r="W1132" s="94"/>
      <c r="X1132" s="1757"/>
      <c r="Y1132" s="2081"/>
      <c r="Z1132" s="2084"/>
      <c r="AA1132" s="1526"/>
      <c r="AB1132" s="634"/>
      <c r="AC1132" s="970"/>
      <c r="AD1132" s="970"/>
      <c r="AE1132" s="970"/>
      <c r="AF1132" s="634"/>
      <c r="AG1132" s="634"/>
      <c r="AH1132" s="634"/>
      <c r="AI1132" s="634"/>
      <c r="AJ1132" s="634"/>
      <c r="AK1132" s="634"/>
      <c r="AL1132" s="1336"/>
      <c r="AM1132" s="1336"/>
      <c r="AN1132" s="1336"/>
      <c r="AO1132" s="1336"/>
      <c r="AP1132" s="1336"/>
      <c r="AQ1132" s="1336"/>
      <c r="AR1132" s="1336"/>
      <c r="AS1132" s="1336"/>
      <c r="AT1132" s="634"/>
      <c r="AU1132" s="634"/>
      <c r="AV1132" s="634"/>
      <c r="AW1132" s="634"/>
      <c r="AX1132" s="634"/>
      <c r="AY1132" s="634"/>
      <c r="AZ1132" s="634"/>
      <c r="BA1132" s="634"/>
      <c r="BB1132" s="634"/>
      <c r="BC1132" s="634"/>
      <c r="BD1132" s="634"/>
      <c r="BE1132" s="634"/>
      <c r="BF1132" s="634"/>
      <c r="BG1132" s="634"/>
      <c r="BH1132" s="634"/>
      <c r="BI1132" s="634"/>
    </row>
    <row r="1133" spans="1:61" s="1066" customFormat="1" x14ac:dyDescent="0.25">
      <c r="A1133" s="2371">
        <v>7</v>
      </c>
      <c r="B1133" s="2385" t="s">
        <v>907</v>
      </c>
      <c r="C1133" s="2381"/>
      <c r="D1133" s="2374"/>
      <c r="E1133" s="2374"/>
      <c r="F1133" s="2374"/>
      <c r="G1133" s="2373" t="str">
        <f t="shared" ca="1" si="69"/>
        <v/>
      </c>
      <c r="H1133" s="2371" t="s">
        <v>3971</v>
      </c>
      <c r="I1133" s="129"/>
      <c r="J1133" s="1071"/>
      <c r="K1133" s="1071"/>
      <c r="L1133" s="1782"/>
      <c r="M1133" s="1074"/>
      <c r="N1133" s="1076"/>
      <c r="O1133" s="1076"/>
      <c r="P1133" s="94"/>
      <c r="Q1133" s="94"/>
      <c r="R1133" s="94"/>
      <c r="S1133" s="94"/>
      <c r="T1133" s="94"/>
      <c r="U1133" s="94"/>
      <c r="V1133" s="94"/>
      <c r="W1133" s="94"/>
      <c r="X1133" s="1757"/>
      <c r="Y1133" s="2081"/>
      <c r="Z1133" s="2084"/>
      <c r="AA1133" s="1526"/>
      <c r="AL1133" s="1336"/>
      <c r="AM1133" s="1336"/>
      <c r="AN1133" s="1336"/>
      <c r="AO1133" s="1336"/>
      <c r="AP1133" s="1336"/>
      <c r="AQ1133" s="1336"/>
      <c r="AR1133" s="1336"/>
      <c r="AS1133" s="1336"/>
    </row>
    <row r="1134" spans="1:61" x14ac:dyDescent="0.25">
      <c r="A1134" s="2371">
        <v>7</v>
      </c>
      <c r="B1134" s="2385" t="s">
        <v>907</v>
      </c>
      <c r="C1134" s="2381"/>
      <c r="D1134" s="2374"/>
      <c r="E1134" s="2374"/>
      <c r="F1134" s="2374"/>
      <c r="G1134" s="2373" t="str">
        <f t="shared" ca="1" si="69"/>
        <v/>
      </c>
      <c r="H1134" s="2371" t="s">
        <v>3971</v>
      </c>
      <c r="I1134" s="129"/>
      <c r="J1134" s="636"/>
      <c r="K1134" s="636"/>
      <c r="L1134" s="1782"/>
      <c r="M1134" s="1027"/>
      <c r="N1134" s="1044"/>
      <c r="O1134" s="1044"/>
      <c r="P1134" s="94"/>
      <c r="Q1134" s="94"/>
      <c r="R1134" s="94"/>
      <c r="S1134" s="94"/>
      <c r="T1134" s="94"/>
      <c r="U1134" s="94"/>
      <c r="V1134" s="94"/>
      <c r="W1134" s="94"/>
      <c r="X1134" s="1757"/>
      <c r="Y1134" s="2081"/>
      <c r="Z1134" s="2084"/>
      <c r="AA1134" s="1526"/>
      <c r="AB1134" s="634"/>
      <c r="AC1134" s="970"/>
      <c r="AD1134" s="970"/>
      <c r="AE1134" s="970"/>
      <c r="AF1134" s="634"/>
      <c r="AG1134" s="634"/>
      <c r="AH1134" s="634"/>
      <c r="AI1134" s="634"/>
      <c r="AJ1134" s="634"/>
      <c r="AK1134" s="634"/>
      <c r="AL1134" s="1336"/>
      <c r="AM1134" s="1336"/>
      <c r="AN1134" s="1336"/>
      <c r="AO1134" s="1336"/>
      <c r="AP1134" s="1336"/>
      <c r="AQ1134" s="1336"/>
      <c r="AR1134" s="1336"/>
      <c r="AS1134" s="1336"/>
      <c r="AT1134" s="634"/>
      <c r="AU1134" s="634"/>
      <c r="AV1134" s="634"/>
      <c r="AW1134" s="634"/>
      <c r="AX1134" s="634"/>
      <c r="AY1134" s="634"/>
      <c r="AZ1134" s="634"/>
      <c r="BA1134" s="634"/>
      <c r="BB1134" s="634"/>
      <c r="BC1134" s="634"/>
      <c r="BD1134" s="634"/>
      <c r="BE1134" s="634"/>
      <c r="BF1134" s="634"/>
      <c r="BG1134" s="634"/>
      <c r="BH1134" s="634"/>
      <c r="BI1134" s="634"/>
    </row>
    <row r="1135" spans="1:61" x14ac:dyDescent="0.25">
      <c r="A1135" s="2371">
        <v>7</v>
      </c>
      <c r="B1135" s="2385" t="s">
        <v>907</v>
      </c>
      <c r="C1135" s="2381"/>
      <c r="D1135" s="2374"/>
      <c r="E1135" s="2374"/>
      <c r="F1135" s="2374"/>
      <c r="G1135" s="2373" t="str">
        <f t="shared" ca="1" si="69"/>
        <v/>
      </c>
      <c r="H1135" s="2371" t="s">
        <v>3971</v>
      </c>
      <c r="I1135" s="129"/>
      <c r="J1135" s="636"/>
      <c r="K1135" s="636"/>
      <c r="L1135" s="1782"/>
      <c r="M1135" s="1027"/>
      <c r="N1135" s="1044"/>
      <c r="O1135" s="1044"/>
      <c r="P1135" s="94"/>
      <c r="Q1135" s="94"/>
      <c r="R1135" s="94"/>
      <c r="S1135" s="94"/>
      <c r="T1135" s="94"/>
      <c r="U1135" s="94"/>
      <c r="V1135" s="94"/>
      <c r="W1135" s="94"/>
      <c r="X1135" s="1757"/>
      <c r="Y1135" s="2081"/>
      <c r="Z1135" s="2084"/>
      <c r="AA1135" s="1526"/>
      <c r="AB1135" s="634"/>
      <c r="AC1135" s="970"/>
      <c r="AD1135" s="970"/>
      <c r="AE1135" s="970"/>
      <c r="AF1135" s="634"/>
      <c r="AG1135" s="634"/>
      <c r="AH1135" s="634"/>
      <c r="AI1135" s="634"/>
      <c r="AJ1135" s="634"/>
      <c r="AK1135" s="634"/>
      <c r="AL1135" s="1336"/>
      <c r="AM1135" s="1336"/>
      <c r="AN1135" s="1336"/>
      <c r="AO1135" s="1336"/>
      <c r="AP1135" s="1336"/>
      <c r="AQ1135" s="1336"/>
      <c r="AR1135" s="1336"/>
      <c r="AS1135" s="1336"/>
      <c r="AT1135" s="634"/>
      <c r="AU1135" s="634"/>
      <c r="AV1135" s="634"/>
      <c r="AW1135" s="634"/>
      <c r="AX1135" s="634"/>
      <c r="AY1135" s="634"/>
      <c r="AZ1135" s="634"/>
      <c r="BA1135" s="634"/>
      <c r="BB1135" s="634"/>
      <c r="BC1135" s="634"/>
      <c r="BD1135" s="634"/>
      <c r="BE1135" s="634"/>
      <c r="BF1135" s="634"/>
      <c r="BG1135" s="634"/>
      <c r="BH1135" s="634"/>
      <c r="BI1135" s="634"/>
    </row>
    <row r="1136" spans="1:61" x14ac:dyDescent="0.25">
      <c r="A1136" s="2371">
        <v>7</v>
      </c>
      <c r="B1136" s="2385" t="s">
        <v>907</v>
      </c>
      <c r="C1136" s="2381"/>
      <c r="D1136" s="2374"/>
      <c r="E1136" s="2374"/>
      <c r="F1136" s="2374"/>
      <c r="G1136" s="2373" t="str">
        <f t="shared" ca="1" si="69"/>
        <v/>
      </c>
      <c r="H1136" s="2371" t="s">
        <v>3971</v>
      </c>
      <c r="I1136" s="129"/>
      <c r="J1136" s="636"/>
      <c r="K1136" s="636"/>
      <c r="L1136" s="1782"/>
      <c r="M1136" s="1027"/>
      <c r="N1136" s="1044"/>
      <c r="O1136" s="1044"/>
      <c r="P1136" s="94"/>
      <c r="Q1136" s="94"/>
      <c r="R1136" s="94"/>
      <c r="S1136" s="94"/>
      <c r="T1136" s="94"/>
      <c r="U1136" s="94"/>
      <c r="V1136" s="94"/>
      <c r="W1136" s="94"/>
      <c r="X1136" s="1757"/>
      <c r="Y1136" s="2081"/>
      <c r="Z1136" s="2084"/>
      <c r="AA1136" s="1526"/>
      <c r="AB1136" s="634"/>
      <c r="AC1136" s="970"/>
      <c r="AD1136" s="970"/>
      <c r="AE1136" s="970"/>
      <c r="AF1136" s="634"/>
      <c r="AG1136" s="634"/>
      <c r="AH1136" s="634"/>
      <c r="AI1136" s="634"/>
      <c r="AJ1136" s="634"/>
      <c r="AK1136" s="634"/>
      <c r="AL1136" s="1336"/>
      <c r="AM1136" s="1336"/>
      <c r="AN1136" s="1336"/>
      <c r="AO1136" s="1336"/>
      <c r="AP1136" s="1336"/>
      <c r="AQ1136" s="1336"/>
      <c r="AR1136" s="1336"/>
      <c r="AS1136" s="1336"/>
      <c r="AT1136" s="634"/>
      <c r="AU1136" s="634"/>
      <c r="AV1136" s="634"/>
      <c r="AW1136" s="634"/>
      <c r="AX1136" s="634"/>
      <c r="AY1136" s="634"/>
      <c r="AZ1136" s="634"/>
      <c r="BA1136" s="634"/>
      <c r="BB1136" s="634"/>
      <c r="BC1136" s="634"/>
      <c r="BD1136" s="634"/>
      <c r="BE1136" s="634"/>
      <c r="BF1136" s="634"/>
      <c r="BG1136" s="634"/>
      <c r="BH1136" s="634"/>
      <c r="BI1136" s="634"/>
    </row>
    <row r="1137" spans="1:61" x14ac:dyDescent="0.25">
      <c r="A1137" s="2371">
        <v>7</v>
      </c>
      <c r="B1137" s="2385" t="s">
        <v>907</v>
      </c>
      <c r="C1137" s="2381"/>
      <c r="D1137" s="2374"/>
      <c r="E1137" s="2374"/>
      <c r="F1137" s="2374"/>
      <c r="G1137" s="2373" t="str">
        <f t="shared" ca="1" si="69"/>
        <v/>
      </c>
      <c r="H1137" s="2371" t="s">
        <v>3971</v>
      </c>
      <c r="I1137" s="129"/>
      <c r="J1137" s="636"/>
      <c r="K1137" s="636"/>
      <c r="L1137" s="1782"/>
      <c r="M1137" s="1027"/>
      <c r="N1137" s="1044"/>
      <c r="O1137" s="1044"/>
      <c r="P1137" s="94"/>
      <c r="Q1137" s="94"/>
      <c r="R1137" s="94"/>
      <c r="S1137" s="94"/>
      <c r="T1137" s="94"/>
      <c r="U1137" s="94"/>
      <c r="V1137" s="94"/>
      <c r="W1137" s="94"/>
      <c r="X1137" s="1757"/>
      <c r="Y1137" s="2081"/>
      <c r="Z1137" s="2084"/>
      <c r="AA1137" s="1526"/>
      <c r="AB1137" s="634"/>
      <c r="AC1137" s="970"/>
      <c r="AD1137" s="970"/>
      <c r="AE1137" s="970"/>
      <c r="AF1137" s="634"/>
      <c r="AG1137" s="634"/>
      <c r="AH1137" s="634"/>
      <c r="AI1137" s="634"/>
      <c r="AJ1137" s="634"/>
      <c r="AK1137" s="634"/>
      <c r="AL1137" s="1336"/>
      <c r="AM1137" s="1336"/>
      <c r="AN1137" s="1336"/>
      <c r="AO1137" s="1336"/>
      <c r="AP1137" s="1336"/>
      <c r="AQ1137" s="1336"/>
      <c r="AR1137" s="1336"/>
      <c r="AS1137" s="1336"/>
      <c r="AT1137" s="634"/>
      <c r="AU1137" s="634"/>
      <c r="AV1137" s="634"/>
      <c r="AW1137" s="634"/>
      <c r="AX1137" s="634"/>
      <c r="AY1137" s="634"/>
      <c r="AZ1137" s="634"/>
      <c r="BA1137" s="634"/>
      <c r="BB1137" s="634"/>
      <c r="BC1137" s="634"/>
      <c r="BD1137" s="634"/>
      <c r="BE1137" s="634"/>
      <c r="BF1137" s="634"/>
      <c r="BG1137" s="634"/>
      <c r="BH1137" s="634"/>
      <c r="BI1137" s="634"/>
    </row>
    <row r="1138" spans="1:61" ht="15.75" thickBot="1" x14ac:dyDescent="0.3">
      <c r="A1138" s="2371">
        <v>7</v>
      </c>
      <c r="B1138" s="2385" t="s">
        <v>907</v>
      </c>
      <c r="C1138" s="2381"/>
      <c r="D1138" s="2374"/>
      <c r="E1138" s="2374"/>
      <c r="F1138" s="2374"/>
      <c r="G1138" s="2373" t="str">
        <f t="shared" ca="1" si="69"/>
        <v/>
      </c>
      <c r="H1138" s="2371" t="s">
        <v>3971</v>
      </c>
      <c r="I1138" s="240"/>
      <c r="J1138" s="642"/>
      <c r="K1138" s="642"/>
      <c r="L1138" s="1797"/>
      <c r="M1138" s="522"/>
      <c r="N1138" s="1045"/>
      <c r="O1138" s="1045"/>
      <c r="P1138" s="99"/>
      <c r="Q1138" s="99"/>
      <c r="R1138" s="99"/>
      <c r="S1138" s="99"/>
      <c r="T1138" s="99"/>
      <c r="U1138" s="99"/>
      <c r="V1138" s="99"/>
      <c r="W1138" s="99"/>
      <c r="X1138" s="1771"/>
      <c r="Y1138" s="2082"/>
      <c r="Z1138" s="2086"/>
      <c r="AA1138" s="1526"/>
      <c r="AB1138" s="634"/>
      <c r="AC1138" s="970"/>
      <c r="AD1138" s="970"/>
      <c r="AE1138" s="970"/>
      <c r="AF1138" s="634"/>
      <c r="AG1138" s="634"/>
      <c r="AH1138" s="634"/>
      <c r="AI1138" s="634"/>
      <c r="AJ1138" s="634"/>
      <c r="AK1138" s="634"/>
      <c r="AL1138" s="1336"/>
      <c r="AM1138" s="1336"/>
      <c r="AN1138" s="1336"/>
      <c r="AO1138" s="1336"/>
      <c r="AP1138" s="1336"/>
      <c r="AQ1138" s="1336"/>
      <c r="AR1138" s="1336"/>
      <c r="AS1138" s="1336"/>
      <c r="AT1138" s="634"/>
      <c r="AU1138" s="634"/>
      <c r="AV1138" s="634"/>
      <c r="AW1138" s="634"/>
      <c r="AX1138" s="634"/>
      <c r="AY1138" s="634"/>
      <c r="AZ1138" s="634"/>
      <c r="BA1138" s="634"/>
      <c r="BB1138" s="634"/>
      <c r="BC1138" s="634"/>
      <c r="BD1138" s="634"/>
      <c r="BE1138" s="634"/>
      <c r="BF1138" s="634"/>
      <c r="BG1138" s="634"/>
      <c r="BH1138" s="634"/>
      <c r="BI1138" s="634"/>
    </row>
    <row r="1139" spans="1:61" ht="15.75" thickTop="1" x14ac:dyDescent="0.25">
      <c r="A1139" s="2371">
        <v>7</v>
      </c>
      <c r="B1139" s="2385" t="s">
        <v>4582</v>
      </c>
      <c r="C1139" s="2381"/>
      <c r="D1139" s="2374"/>
      <c r="E1139" s="2374"/>
      <c r="F1139" s="2374"/>
      <c r="G1139" s="2373" t="s">
        <v>3974</v>
      </c>
      <c r="H1139" s="2371" t="s">
        <v>3971</v>
      </c>
      <c r="I1139" s="27">
        <v>703.3</v>
      </c>
      <c r="J1139" s="639"/>
      <c r="K1139" s="639"/>
      <c r="L1139" s="1180" t="s">
        <v>910</v>
      </c>
      <c r="M1139" s="1014"/>
      <c r="N1139" s="1042"/>
      <c r="O1139" s="1042"/>
      <c r="P1139" s="756"/>
      <c r="Q1139" s="756"/>
      <c r="R1139" s="634"/>
      <c r="S1139" s="634"/>
      <c r="T1139" s="634"/>
      <c r="U1139" s="634"/>
      <c r="V1139" s="634"/>
      <c r="W1139" s="634"/>
      <c r="X1139" s="911"/>
      <c r="Y1139" s="634"/>
      <c r="AA1139" s="1526"/>
      <c r="AB1139" s="634"/>
      <c r="AC1139" s="970"/>
      <c r="AD1139" s="970"/>
      <c r="AE1139" s="970"/>
      <c r="AF1139" s="634"/>
      <c r="AG1139" s="634"/>
      <c r="AH1139" s="634"/>
      <c r="AI1139" s="634"/>
      <c r="AJ1139" s="634"/>
      <c r="AK1139" s="634"/>
      <c r="AL1139" s="1336"/>
      <c r="AM1139" s="1336"/>
      <c r="AN1139" s="1336"/>
      <c r="AO1139" s="1336"/>
      <c r="AP1139" s="1336"/>
      <c r="AQ1139" s="1336"/>
      <c r="AR1139" s="1336"/>
      <c r="AS1139" s="1336"/>
      <c r="AT1139" s="634"/>
      <c r="AU1139" s="634"/>
      <c r="AV1139" s="634"/>
      <c r="AW1139" s="634"/>
      <c r="AX1139" s="634"/>
      <c r="AY1139" s="634"/>
      <c r="AZ1139" s="634"/>
      <c r="BA1139" s="634"/>
      <c r="BB1139" s="634"/>
      <c r="BC1139" s="634"/>
      <c r="BD1139" s="634"/>
      <c r="BE1139" s="634"/>
      <c r="BF1139" s="634"/>
      <c r="BG1139" s="634"/>
      <c r="BH1139" s="634"/>
      <c r="BI1139" s="634"/>
    </row>
    <row r="1140" spans="1:61" x14ac:dyDescent="0.25">
      <c r="A1140" s="2371">
        <v>7</v>
      </c>
      <c r="B1140" s="2385" t="s">
        <v>909</v>
      </c>
      <c r="C1140" s="2374" t="s">
        <v>256</v>
      </c>
      <c r="D1140" s="2374"/>
      <c r="E1140" s="2374"/>
      <c r="F1140" s="2374"/>
      <c r="G1140" s="2373" t="s">
        <v>3974</v>
      </c>
      <c r="H1140" s="2371" t="s">
        <v>3971</v>
      </c>
      <c r="I1140" s="66" t="s">
        <v>909</v>
      </c>
      <c r="J1140" s="639"/>
      <c r="K1140" s="639"/>
      <c r="L1140" s="1796" t="s">
        <v>911</v>
      </c>
      <c r="M1140" s="1014"/>
      <c r="N1140" s="1042"/>
      <c r="O1140" s="1042"/>
      <c r="P1140" s="756"/>
      <c r="Q1140" s="756"/>
      <c r="R1140" s="634"/>
      <c r="S1140" s="634"/>
      <c r="T1140" s="634"/>
      <c r="U1140" s="634"/>
      <c r="V1140" s="634"/>
      <c r="W1140" s="634" t="s">
        <v>3768</v>
      </c>
      <c r="X1140" s="1757"/>
      <c r="Y1140" s="2081" t="str">
        <f>IF(LEN('Ch7'!X270)=0,"None",'Ch7'!X270)</f>
        <v>None</v>
      </c>
      <c r="Z1140" s="2083"/>
      <c r="AA1140" s="1526"/>
      <c r="AB1140" s="634"/>
      <c r="AC1140" s="970"/>
      <c r="AD1140" s="970"/>
      <c r="AE1140" s="970"/>
      <c r="AF1140" s="634"/>
      <c r="AG1140" s="634"/>
      <c r="AH1140" s="634"/>
      <c r="AI1140" s="634"/>
      <c r="AJ1140" s="634"/>
      <c r="AK1140" s="634"/>
      <c r="AL1140" s="1336"/>
      <c r="AM1140" s="1336"/>
      <c r="AN1140" s="1336"/>
      <c r="AO1140" s="1336"/>
      <c r="AP1140" s="1336"/>
      <c r="AQ1140" s="1336"/>
      <c r="AR1140" s="254" t="str">
        <f>SUBSTITUTE(SUBSTITUTE(SUBSTITUTE("vnt"&amp;$B1140&amp;$C1140&amp;$D1140&amp;$E1140,".","_"),"(","_"),")","")</f>
        <v>vnt703_3_0_1</v>
      </c>
      <c r="AS1140" s="254" t="str">
        <f>IF(LEN(X1140)=0,"",X1140)</f>
        <v/>
      </c>
      <c r="AT1140" s="634"/>
      <c r="AU1140" s="634"/>
      <c r="AV1140" s="634"/>
      <c r="AW1140" s="634"/>
      <c r="AX1140" s="634"/>
      <c r="AY1140" s="634"/>
      <c r="AZ1140" s="634"/>
      <c r="BA1140" s="634"/>
      <c r="BB1140" s="634"/>
      <c r="BC1140" s="634"/>
      <c r="BD1140" s="634"/>
      <c r="BE1140" s="634"/>
      <c r="BF1140" s="634"/>
      <c r="BG1140" s="634"/>
      <c r="BH1140" s="634"/>
      <c r="BI1140" s="634"/>
    </row>
    <row r="1141" spans="1:61" x14ac:dyDescent="0.25">
      <c r="A1141" s="2371">
        <v>7</v>
      </c>
      <c r="B1141" s="2385" t="s">
        <v>909</v>
      </c>
      <c r="C1141" s="2374" t="s">
        <v>256</v>
      </c>
      <c r="D1141" s="2374"/>
      <c r="E1141" s="2374"/>
      <c r="F1141" s="2374"/>
      <c r="G1141" s="2373" t="s">
        <v>3974</v>
      </c>
      <c r="H1141" s="2371" t="s">
        <v>3971</v>
      </c>
      <c r="I1141" s="4"/>
      <c r="J1141" s="639"/>
      <c r="K1141" s="639"/>
      <c r="L1141" s="1796"/>
      <c r="M1141" s="1014"/>
      <c r="N1141" s="1042"/>
      <c r="O1141" s="1042"/>
      <c r="P1141" s="94" t="b">
        <v>1</v>
      </c>
      <c r="Q1141" s="94" t="b">
        <v>1</v>
      </c>
      <c r="R1141" s="634" t="b">
        <v>0</v>
      </c>
      <c r="S1141" s="634" t="b">
        <f ca="1">(S883=2)</f>
        <v>0</v>
      </c>
      <c r="T1141" s="94" t="b">
        <f ca="1">AND(NOT(S1141),LEN(W1141)&gt;0)</f>
        <v>0</v>
      </c>
      <c r="U1141" s="94" t="str">
        <f>SUBSTITUTE(SUBSTITUTE(SUBSTITUTE("dd"&amp;B1141&amp;C1141&amp;D1141&amp;E1141&amp;F1141,".","_"),"(","_"),")","")</f>
        <v>dd703_3_0_1</v>
      </c>
      <c r="V1141" s="634"/>
      <c r="W1141" s="12"/>
      <c r="X1141" s="1757"/>
      <c r="Y1141" s="2081"/>
      <c r="Z1141" s="2083"/>
      <c r="AA1141" s="1526"/>
      <c r="AB1141" s="634"/>
      <c r="AC1141" s="970" t="b">
        <f ca="1">OR(AD1141:AE1141)</f>
        <v>0</v>
      </c>
      <c r="AD1141" s="970" t="b">
        <f ca="1">T1141</f>
        <v>0</v>
      </c>
      <c r="AE1141" s="970" t="b">
        <f ca="1">AND(W1141=INDEX(INDIRECT(U1141),1),LEN(X1140)=0)</f>
        <v>0</v>
      </c>
      <c r="AF1141" s="784"/>
      <c r="AG1141" s="634"/>
      <c r="AH1141" s="634"/>
      <c r="AI1141" s="634"/>
      <c r="AJ1141" s="634"/>
      <c r="AK1141" s="634"/>
      <c r="AL1141" s="1336"/>
      <c r="AM1141" s="1336"/>
      <c r="AN1141" s="1336"/>
      <c r="AO1141" s="1336"/>
      <c r="AP1141" s="254" t="str">
        <f>SUBSTITUTE(SUBSTITUTE(SUBSTITUTE("vch"&amp;$B1141&amp;$C1141&amp;$D1141&amp;$E1141,".","_"),"(","_"),")","")</f>
        <v>vch703_3_0_1</v>
      </c>
      <c r="AQ1141" s="254" t="str">
        <f>IF(LEN(W1141)=0,"",W1141)</f>
        <v/>
      </c>
      <c r="AR1141" s="1336"/>
      <c r="AS1141" s="1336"/>
      <c r="AT1141" s="634"/>
      <c r="AU1141" s="634"/>
      <c r="AV1141" s="634"/>
      <c r="AW1141" s="634"/>
      <c r="AX1141" s="634"/>
      <c r="AY1141" s="634"/>
      <c r="AZ1141" s="634"/>
      <c r="BA1141" s="634"/>
      <c r="BB1141" s="634"/>
      <c r="BC1141" s="634"/>
      <c r="BD1141" s="634"/>
      <c r="BE1141" s="634"/>
      <c r="BF1141" s="634"/>
      <c r="BG1141" s="634"/>
      <c r="BH1141" s="634"/>
      <c r="BI1141" s="634"/>
    </row>
    <row r="1142" spans="1:61" x14ac:dyDescent="0.25">
      <c r="A1142" s="2371">
        <v>7</v>
      </c>
      <c r="B1142" s="2385" t="s">
        <v>909</v>
      </c>
      <c r="C1142" s="2374"/>
      <c r="D1142" s="2374"/>
      <c r="E1142" s="2374"/>
      <c r="F1142" s="2374"/>
      <c r="G1142" s="2373" t="s">
        <v>3974</v>
      </c>
      <c r="H1142" s="2371" t="s">
        <v>3971</v>
      </c>
      <c r="I1142" s="4"/>
      <c r="J1142" s="639"/>
      <c r="K1142" s="639"/>
      <c r="L1142" s="1796"/>
      <c r="M1142" s="1014"/>
      <c r="N1142" s="1042"/>
      <c r="O1142" s="1042"/>
      <c r="P1142" s="756"/>
      <c r="Q1142" s="756"/>
      <c r="R1142" s="634"/>
      <c r="S1142" s="634"/>
      <c r="T1142" s="634"/>
      <c r="U1142" s="634"/>
      <c r="V1142" s="634"/>
      <c r="W1142" s="634"/>
      <c r="X1142" s="1757"/>
      <c r="Y1142" s="2081"/>
      <c r="Z1142" s="2083"/>
      <c r="AA1142" s="1526"/>
      <c r="AB1142" s="634"/>
      <c r="AC1142" s="970"/>
      <c r="AD1142" s="970"/>
      <c r="AE1142" s="970"/>
      <c r="AF1142" s="634"/>
      <c r="AG1142" s="634"/>
      <c r="AH1142" s="634"/>
      <c r="AI1142" s="634"/>
      <c r="AJ1142" s="634"/>
      <c r="AK1142" s="634"/>
      <c r="AL1142" s="1336"/>
      <c r="AM1142" s="1336"/>
      <c r="AN1142" s="1336"/>
      <c r="AO1142" s="1336"/>
      <c r="AP1142" s="1336"/>
      <c r="AQ1142" s="1336"/>
      <c r="AR1142" s="1336"/>
      <c r="AS1142" s="1336"/>
      <c r="AT1142" s="634"/>
      <c r="AU1142" s="634"/>
      <c r="AV1142" s="634"/>
      <c r="AW1142" s="634"/>
      <c r="AX1142" s="634"/>
      <c r="AY1142" s="634"/>
      <c r="AZ1142" s="634"/>
      <c r="BA1142" s="634"/>
      <c r="BB1142" s="634"/>
      <c r="BC1142" s="634"/>
      <c r="BD1142" s="634"/>
      <c r="BE1142" s="634"/>
      <c r="BF1142" s="634"/>
      <c r="BG1142" s="634"/>
      <c r="BH1142" s="634"/>
      <c r="BI1142" s="634"/>
    </row>
    <row r="1143" spans="1:61" x14ac:dyDescent="0.25">
      <c r="A1143" s="2371">
        <v>7</v>
      </c>
      <c r="B1143" s="2385" t="s">
        <v>909</v>
      </c>
      <c r="C1143" s="2374"/>
      <c r="D1143" s="2374"/>
      <c r="E1143" s="2374"/>
      <c r="F1143" s="2374"/>
      <c r="G1143" s="2373" t="s">
        <v>3974</v>
      </c>
      <c r="H1143" s="2371" t="s">
        <v>3971</v>
      </c>
      <c r="I1143" s="4"/>
      <c r="J1143" s="639"/>
      <c r="K1143" s="639"/>
      <c r="L1143" s="1796"/>
      <c r="M1143" s="1014"/>
      <c r="N1143" s="1042"/>
      <c r="O1143" s="1042"/>
      <c r="P1143" s="756"/>
      <c r="Q1143" s="756"/>
      <c r="R1143" s="634"/>
      <c r="S1143" s="634"/>
      <c r="T1143" s="634"/>
      <c r="U1143" s="634"/>
      <c r="V1143" s="634"/>
      <c r="W1143" s="634"/>
      <c r="X1143" s="1757"/>
      <c r="Y1143" s="2081"/>
      <c r="Z1143" s="2083"/>
      <c r="AA1143" s="1526"/>
      <c r="AB1143" s="634"/>
      <c r="AC1143" s="970"/>
      <c r="AD1143" s="970"/>
      <c r="AE1143" s="970"/>
      <c r="AF1143" s="634"/>
      <c r="AG1143" s="634"/>
      <c r="AH1143" s="634"/>
      <c r="AI1143" s="634"/>
      <c r="AJ1143" s="634"/>
      <c r="AK1143" s="634"/>
      <c r="AL1143" s="1336"/>
      <c r="AM1143" s="1336"/>
      <c r="AN1143" s="1336"/>
      <c r="AO1143" s="1336"/>
      <c r="AP1143" s="1336"/>
      <c r="AQ1143" s="1336"/>
      <c r="AR1143" s="1336"/>
      <c r="AS1143" s="1336"/>
      <c r="AT1143" s="634"/>
      <c r="AU1143" s="634"/>
      <c r="AV1143" s="634"/>
      <c r="AW1143" s="634"/>
      <c r="AX1143" s="634"/>
      <c r="AY1143" s="634"/>
      <c r="AZ1143" s="634"/>
      <c r="BA1143" s="634"/>
      <c r="BB1143" s="634"/>
      <c r="BC1143" s="634"/>
      <c r="BD1143" s="634"/>
      <c r="BE1143" s="634"/>
      <c r="BF1143" s="634"/>
      <c r="BG1143" s="634"/>
      <c r="BH1143" s="634"/>
      <c r="BI1143" s="634"/>
    </row>
    <row r="1144" spans="1:61" s="1066" customFormat="1" x14ac:dyDescent="0.25">
      <c r="A1144" s="2371">
        <v>7</v>
      </c>
      <c r="B1144" s="2385" t="s">
        <v>909</v>
      </c>
      <c r="C1144" s="2374"/>
      <c r="D1144" s="2374"/>
      <c r="E1144" s="2374"/>
      <c r="F1144" s="2374"/>
      <c r="G1144" s="2373" t="s">
        <v>3974</v>
      </c>
      <c r="H1144" s="2371" t="s">
        <v>3971</v>
      </c>
      <c r="I1144" s="4"/>
      <c r="J1144" s="1073"/>
      <c r="K1144" s="1073"/>
      <c r="L1144" s="1796"/>
      <c r="M1144" s="1067"/>
      <c r="N1144" s="1077"/>
      <c r="O1144" s="1077"/>
      <c r="X1144" s="1757"/>
      <c r="Y1144" s="2081"/>
      <c r="Z1144" s="2083"/>
      <c r="AA1144" s="1526"/>
      <c r="AL1144" s="1336"/>
      <c r="AM1144" s="1336"/>
      <c r="AN1144" s="1336"/>
      <c r="AO1144" s="1336"/>
      <c r="AP1144" s="1336"/>
      <c r="AQ1144" s="1336"/>
      <c r="AR1144" s="1336"/>
      <c r="AS1144" s="1336"/>
    </row>
    <row r="1145" spans="1:61" x14ac:dyDescent="0.25">
      <c r="A1145" s="2371">
        <v>7</v>
      </c>
      <c r="B1145" s="2385" t="s">
        <v>909</v>
      </c>
      <c r="C1145" s="2374"/>
      <c r="D1145" s="2374"/>
      <c r="E1145" s="2374"/>
      <c r="F1145" s="2374"/>
      <c r="G1145" s="2373" t="s">
        <v>3974</v>
      </c>
      <c r="H1145" s="2371" t="s">
        <v>3971</v>
      </c>
      <c r="I1145" s="4"/>
      <c r="J1145" s="639"/>
      <c r="K1145" s="639"/>
      <c r="L1145" s="1796"/>
      <c r="M1145" s="1014"/>
      <c r="N1145" s="1042"/>
      <c r="O1145" s="1042"/>
      <c r="P1145" s="756"/>
      <c r="Q1145" s="756"/>
      <c r="R1145" s="634"/>
      <c r="S1145" s="634"/>
      <c r="T1145" s="634"/>
      <c r="U1145" s="634"/>
      <c r="V1145" s="634"/>
      <c r="W1145" s="634"/>
      <c r="X1145" s="1757"/>
      <c r="Y1145" s="2081"/>
      <c r="Z1145" s="2083"/>
      <c r="AA1145" s="1526"/>
      <c r="AB1145" s="634"/>
      <c r="AC1145" s="970"/>
      <c r="AD1145" s="970"/>
      <c r="AE1145" s="970"/>
      <c r="AF1145" s="634"/>
      <c r="AG1145" s="634"/>
      <c r="AH1145" s="634"/>
      <c r="AI1145" s="634"/>
      <c r="AJ1145" s="634"/>
      <c r="AK1145" s="634"/>
      <c r="AL1145" s="1336"/>
      <c r="AM1145" s="1336"/>
      <c r="AN1145" s="1336"/>
      <c r="AO1145" s="1336"/>
      <c r="AP1145" s="1336"/>
      <c r="AQ1145" s="1336"/>
      <c r="AR1145" s="1336"/>
      <c r="AS1145" s="1336"/>
      <c r="AT1145" s="634"/>
      <c r="AU1145" s="634"/>
      <c r="AV1145" s="634"/>
      <c r="AW1145" s="634"/>
      <c r="AX1145" s="634"/>
      <c r="AY1145" s="634"/>
      <c r="AZ1145" s="634"/>
      <c r="BA1145" s="634"/>
      <c r="BB1145" s="634"/>
      <c r="BC1145" s="634"/>
      <c r="BD1145" s="634"/>
      <c r="BE1145" s="634"/>
      <c r="BF1145" s="634"/>
      <c r="BG1145" s="634"/>
      <c r="BH1145" s="634"/>
      <c r="BI1145" s="634"/>
    </row>
    <row r="1146" spans="1:61" x14ac:dyDescent="0.25">
      <c r="A1146" s="2371">
        <v>7</v>
      </c>
      <c r="B1146" s="2385" t="s">
        <v>909</v>
      </c>
      <c r="C1146" s="2374"/>
      <c r="D1146" s="2374"/>
      <c r="E1146" s="2374"/>
      <c r="F1146" s="2374"/>
      <c r="G1146" s="2373" t="s">
        <v>3974</v>
      </c>
      <c r="H1146" s="2371" t="s">
        <v>3971</v>
      </c>
      <c r="I1146" s="4"/>
      <c r="J1146" s="639"/>
      <c r="K1146" s="639"/>
      <c r="L1146" s="1796"/>
      <c r="M1146" s="1014"/>
      <c r="N1146" s="1042"/>
      <c r="O1146" s="1042"/>
      <c r="P1146" s="756"/>
      <c r="Q1146" s="756"/>
      <c r="R1146" s="634"/>
      <c r="S1146" s="634"/>
      <c r="T1146" s="634"/>
      <c r="U1146" s="634"/>
      <c r="V1146" s="634"/>
      <c r="W1146" s="634"/>
      <c r="X1146" s="1757"/>
      <c r="Y1146" s="2081"/>
      <c r="Z1146" s="2083"/>
      <c r="AA1146" s="1526"/>
      <c r="AB1146" s="634"/>
      <c r="AC1146" s="970"/>
      <c r="AD1146" s="970"/>
      <c r="AE1146" s="970"/>
      <c r="AF1146" s="634"/>
      <c r="AG1146" s="634"/>
      <c r="AH1146" s="634"/>
      <c r="AI1146" s="634"/>
      <c r="AJ1146" s="634"/>
      <c r="AK1146" s="634"/>
      <c r="AL1146" s="1336"/>
      <c r="AM1146" s="1336"/>
      <c r="AN1146" s="1336"/>
      <c r="AO1146" s="1336"/>
      <c r="AP1146" s="1336"/>
      <c r="AQ1146" s="1336"/>
      <c r="AR1146" s="1336"/>
      <c r="AS1146" s="1336"/>
      <c r="AT1146" s="634"/>
      <c r="AU1146" s="634"/>
      <c r="AV1146" s="634"/>
      <c r="AW1146" s="634"/>
      <c r="AX1146" s="634"/>
      <c r="AY1146" s="634"/>
      <c r="AZ1146" s="634"/>
      <c r="BA1146" s="634"/>
      <c r="BB1146" s="634"/>
      <c r="BC1146" s="634"/>
      <c r="BD1146" s="634"/>
      <c r="BE1146" s="634"/>
      <c r="BF1146" s="634"/>
      <c r="BG1146" s="634"/>
      <c r="BH1146" s="634"/>
      <c r="BI1146" s="634"/>
    </row>
    <row r="1147" spans="1:61" x14ac:dyDescent="0.25">
      <c r="A1147" s="2371">
        <v>7</v>
      </c>
      <c r="B1147" s="2385" t="s">
        <v>909</v>
      </c>
      <c r="C1147" s="2374" t="s">
        <v>258</v>
      </c>
      <c r="D1147" s="2374"/>
      <c r="E1147" s="2374"/>
      <c r="F1147" s="2374"/>
      <c r="G1147" s="2373" t="s">
        <v>3974</v>
      </c>
      <c r="H1147" s="2371" t="s">
        <v>3971</v>
      </c>
      <c r="I1147" s="4"/>
      <c r="J1147" s="639"/>
      <c r="K1147" s="639"/>
      <c r="L1147" s="1796"/>
      <c r="M1147" s="1014"/>
      <c r="N1147" s="1042"/>
      <c r="O1147" s="1042"/>
      <c r="P1147" s="756"/>
      <c r="Q1147" s="756"/>
      <c r="R1147" s="634"/>
      <c r="S1147" s="634"/>
      <c r="T1147" s="634"/>
      <c r="U1147" s="634"/>
      <c r="V1147" s="634"/>
      <c r="W1147" s="634" t="s">
        <v>3769</v>
      </c>
      <c r="X1147" s="1757"/>
      <c r="Y1147" s="2081" t="str">
        <f>IF(LEN('Ch7'!X277)=0,"None",'Ch7'!X277)</f>
        <v>None</v>
      </c>
      <c r="Z1147" s="2083"/>
      <c r="AA1147" s="1526"/>
      <c r="AB1147" s="634"/>
      <c r="AC1147" s="970"/>
      <c r="AD1147" s="970"/>
      <c r="AE1147" s="970"/>
      <c r="AF1147" s="634"/>
      <c r="AG1147" s="634"/>
      <c r="AH1147" s="634"/>
      <c r="AI1147" s="634"/>
      <c r="AJ1147" s="634"/>
      <c r="AK1147" s="634"/>
      <c r="AL1147" s="1336"/>
      <c r="AM1147" s="1336"/>
      <c r="AN1147" s="1336"/>
      <c r="AO1147" s="1336"/>
      <c r="AP1147" s="1336"/>
      <c r="AQ1147" s="1336"/>
      <c r="AR1147" s="254" t="str">
        <f>SUBSTITUTE(SUBSTITUTE(SUBSTITUTE("vnt"&amp;$B1147&amp;$C1147&amp;$D1147&amp;$E1147,".","_"),"(","_"),")","")</f>
        <v>vnt703_3_0_2</v>
      </c>
      <c r="AS1147" s="254" t="str">
        <f>IF(LEN(X1147)=0,"",X1147)</f>
        <v/>
      </c>
      <c r="AT1147" s="634"/>
      <c r="AU1147" s="634"/>
      <c r="AV1147" s="634"/>
      <c r="AW1147" s="634"/>
      <c r="AX1147" s="634"/>
      <c r="AY1147" s="634"/>
      <c r="AZ1147" s="634"/>
      <c r="BA1147" s="634"/>
      <c r="BB1147" s="634"/>
      <c r="BC1147" s="634"/>
      <c r="BD1147" s="634"/>
      <c r="BE1147" s="634"/>
      <c r="BF1147" s="634"/>
      <c r="BG1147" s="634"/>
      <c r="BH1147" s="634"/>
      <c r="BI1147" s="634"/>
    </row>
    <row r="1148" spans="1:61" x14ac:dyDescent="0.25">
      <c r="A1148" s="2371">
        <v>7</v>
      </c>
      <c r="B1148" s="2385" t="s">
        <v>909</v>
      </c>
      <c r="C1148" s="2374" t="s">
        <v>258</v>
      </c>
      <c r="D1148" s="2374"/>
      <c r="E1148" s="2374"/>
      <c r="F1148" s="2374"/>
      <c r="G1148" s="2373" t="s">
        <v>3974</v>
      </c>
      <c r="H1148" s="2371" t="s">
        <v>3971</v>
      </c>
      <c r="I1148" s="4"/>
      <c r="J1148" s="639"/>
      <c r="K1148" s="639"/>
      <c r="L1148" s="1796"/>
      <c r="M1148" s="1014"/>
      <c r="N1148" s="1042"/>
      <c r="O1148" s="1042"/>
      <c r="P1148" s="94" t="b">
        <v>1</v>
      </c>
      <c r="Q1148" s="94" t="b">
        <v>1</v>
      </c>
      <c r="R1148" s="634" t="b">
        <v>0</v>
      </c>
      <c r="S1148" s="634" t="b">
        <f ca="1">(S883=2)</f>
        <v>0</v>
      </c>
      <c r="T1148" s="94" t="b">
        <f ca="1">AND(NOT(S1148),LEN(W1148)&gt;0)</f>
        <v>0</v>
      </c>
      <c r="U1148" s="94" t="str">
        <f>SUBSTITUTE(SUBSTITUTE(SUBSTITUTE("dd"&amp;B1148&amp;C1148&amp;D1148&amp;E1148&amp;F1148,".","_"),"(","_"),")","")</f>
        <v>dd703_3_0_2</v>
      </c>
      <c r="V1148" s="634"/>
      <c r="W1148" s="12"/>
      <c r="X1148" s="1757"/>
      <c r="Y1148" s="2081"/>
      <c r="Z1148" s="2083"/>
      <c r="AA1148" s="1526"/>
      <c r="AB1148" s="634"/>
      <c r="AC1148" s="970" t="b">
        <f ca="1">OR(AD1148:AE1148)</f>
        <v>0</v>
      </c>
      <c r="AD1148" s="970" t="b">
        <f ca="1">T1148</f>
        <v>0</v>
      </c>
      <c r="AE1148" s="970" t="b">
        <f ca="1">AND(W1148=INDEX(INDIRECT(U1148),1),LEN(X1147)=0)</f>
        <v>0</v>
      </c>
      <c r="AF1148" s="784"/>
      <c r="AG1148" s="634"/>
      <c r="AH1148" s="634"/>
      <c r="AI1148" s="634"/>
      <c r="AJ1148" s="634"/>
      <c r="AK1148" s="634"/>
      <c r="AL1148" s="1336"/>
      <c r="AM1148" s="1336"/>
      <c r="AN1148" s="1336"/>
      <c r="AO1148" s="1336"/>
      <c r="AP1148" s="254" t="str">
        <f>SUBSTITUTE(SUBSTITUTE(SUBSTITUTE("vch"&amp;$B1148&amp;$C1148&amp;$D1148&amp;$E1148,".","_"),"(","_"),")","")</f>
        <v>vch703_3_0_2</v>
      </c>
      <c r="AQ1148" s="254" t="str">
        <f>IF(LEN(W1148)=0,"",W1148)</f>
        <v/>
      </c>
      <c r="AR1148" s="1336"/>
      <c r="AS1148" s="1336"/>
      <c r="AT1148" s="634"/>
      <c r="AU1148" s="634"/>
      <c r="AV1148" s="634"/>
      <c r="AW1148" s="634"/>
      <c r="AX1148" s="634"/>
      <c r="AY1148" s="634"/>
      <c r="AZ1148" s="634"/>
      <c r="BA1148" s="634"/>
      <c r="BB1148" s="634"/>
      <c r="BC1148" s="634"/>
      <c r="BD1148" s="634"/>
      <c r="BE1148" s="634"/>
      <c r="BF1148" s="634"/>
      <c r="BG1148" s="634"/>
      <c r="BH1148" s="634"/>
      <c r="BI1148" s="634"/>
    </row>
    <row r="1149" spans="1:61" x14ac:dyDescent="0.25">
      <c r="A1149" s="2371">
        <v>7</v>
      </c>
      <c r="B1149" s="2385" t="s">
        <v>909</v>
      </c>
      <c r="C1149" s="2381"/>
      <c r="D1149" s="2374"/>
      <c r="E1149" s="2374"/>
      <c r="F1149" s="2374"/>
      <c r="G1149" s="2373" t="s">
        <v>3974</v>
      </c>
      <c r="H1149" s="2371" t="s">
        <v>3971</v>
      </c>
      <c r="I1149" s="4"/>
      <c r="J1149" s="639"/>
      <c r="K1149" s="639"/>
      <c r="L1149" s="1898" t="s">
        <v>1101</v>
      </c>
      <c r="M1149" s="1014"/>
      <c r="N1149" s="1042"/>
      <c r="O1149" s="1042"/>
      <c r="P1149" s="756"/>
      <c r="Q1149" s="756"/>
      <c r="R1149" s="634"/>
      <c r="S1149" s="634"/>
      <c r="T1149" s="634"/>
      <c r="U1149" s="634"/>
      <c r="V1149" s="634"/>
      <c r="W1149" s="634"/>
      <c r="X1149" s="1757"/>
      <c r="Y1149" s="2081"/>
      <c r="Z1149" s="2083"/>
      <c r="AA1149" s="1526"/>
      <c r="AB1149" s="634"/>
      <c r="AC1149" s="970"/>
      <c r="AD1149" s="970"/>
      <c r="AE1149" s="970"/>
      <c r="AF1149" s="634"/>
      <c r="AG1149" s="634"/>
      <c r="AH1149" s="634"/>
      <c r="AI1149" s="634"/>
      <c r="AJ1149" s="634"/>
      <c r="AK1149" s="634"/>
      <c r="AL1149" s="1336"/>
      <c r="AM1149" s="1336"/>
      <c r="AN1149" s="1336"/>
      <c r="AO1149" s="1336"/>
      <c r="AP1149" s="1336"/>
      <c r="AQ1149" s="1336"/>
      <c r="AR1149" s="1336"/>
      <c r="AS1149" s="1336"/>
      <c r="AT1149" s="634"/>
      <c r="AU1149" s="634"/>
      <c r="AV1149" s="634"/>
      <c r="AW1149" s="634"/>
      <c r="AX1149" s="634"/>
      <c r="AY1149" s="634"/>
      <c r="AZ1149" s="634"/>
      <c r="BA1149" s="634"/>
      <c r="BB1149" s="634"/>
      <c r="BC1149" s="634"/>
      <c r="BD1149" s="634"/>
      <c r="BE1149" s="634"/>
      <c r="BF1149" s="634"/>
      <c r="BG1149" s="634"/>
      <c r="BH1149" s="634"/>
      <c r="BI1149" s="634"/>
    </row>
    <row r="1150" spans="1:61" x14ac:dyDescent="0.25">
      <c r="A1150" s="2371">
        <v>7</v>
      </c>
      <c r="B1150" s="2385" t="s">
        <v>909</v>
      </c>
      <c r="C1150" s="2381"/>
      <c r="D1150" s="2374"/>
      <c r="E1150" s="2374"/>
      <c r="F1150" s="2374"/>
      <c r="G1150" s="2373" t="s">
        <v>3974</v>
      </c>
      <c r="H1150" s="2371" t="s">
        <v>3971</v>
      </c>
      <c r="I1150" s="4"/>
      <c r="J1150" s="639"/>
      <c r="K1150" s="639"/>
      <c r="L1150" s="1898"/>
      <c r="M1150" s="1014"/>
      <c r="N1150" s="1042"/>
      <c r="O1150" s="1042"/>
      <c r="P1150" s="756"/>
      <c r="Q1150" s="756"/>
      <c r="R1150" s="634"/>
      <c r="S1150" s="634"/>
      <c r="T1150" s="634"/>
      <c r="U1150" s="634"/>
      <c r="V1150" s="634"/>
      <c r="W1150" s="634"/>
      <c r="X1150" s="1757"/>
      <c r="Y1150" s="2081"/>
      <c r="Z1150" s="2083"/>
      <c r="AA1150" s="1526"/>
      <c r="AB1150" s="634"/>
      <c r="AC1150" s="970"/>
      <c r="AD1150" s="970"/>
      <c r="AE1150" s="970"/>
      <c r="AF1150" s="634"/>
      <c r="AG1150" s="634"/>
      <c r="AH1150" s="634"/>
      <c r="AI1150" s="634"/>
      <c r="AJ1150" s="634"/>
      <c r="AK1150" s="634"/>
      <c r="AL1150" s="1336"/>
      <c r="AM1150" s="1336"/>
      <c r="AN1150" s="1336"/>
      <c r="AO1150" s="1336"/>
      <c r="AP1150" s="1336"/>
      <c r="AQ1150" s="1336"/>
      <c r="AR1150" s="1336"/>
      <c r="AS1150" s="1336"/>
      <c r="AT1150" s="634"/>
      <c r="AU1150" s="634"/>
      <c r="AV1150" s="634"/>
      <c r="AW1150" s="634"/>
      <c r="AX1150" s="634"/>
      <c r="AY1150" s="634"/>
      <c r="AZ1150" s="634"/>
      <c r="BA1150" s="634"/>
      <c r="BB1150" s="634"/>
      <c r="BC1150" s="634"/>
      <c r="BD1150" s="634"/>
      <c r="BE1150" s="634"/>
      <c r="BF1150" s="634"/>
      <c r="BG1150" s="634"/>
      <c r="BH1150" s="634"/>
      <c r="BI1150" s="634"/>
    </row>
    <row r="1151" spans="1:61" x14ac:dyDescent="0.25">
      <c r="A1151" s="2371">
        <v>7</v>
      </c>
      <c r="B1151" s="2385" t="s">
        <v>909</v>
      </c>
      <c r="C1151" s="2381"/>
      <c r="D1151" s="2374"/>
      <c r="E1151" s="2374"/>
      <c r="F1151" s="2374"/>
      <c r="G1151" s="2373" t="s">
        <v>3974</v>
      </c>
      <c r="H1151" s="2371" t="s">
        <v>3971</v>
      </c>
      <c r="I1151" s="4"/>
      <c r="J1151" s="639"/>
      <c r="K1151" s="639"/>
      <c r="L1151" s="1184" t="s">
        <v>912</v>
      </c>
      <c r="M1151" s="1014"/>
      <c r="N1151" s="1042"/>
      <c r="O1151" s="1042"/>
      <c r="P1151" s="756"/>
      <c r="Q1151" s="756"/>
      <c r="R1151" s="634"/>
      <c r="S1151" s="634"/>
      <c r="T1151" s="634"/>
      <c r="U1151" s="634"/>
      <c r="V1151" s="634"/>
      <c r="W1151" s="634"/>
      <c r="X1151" s="1757"/>
      <c r="Y1151" s="2081"/>
      <c r="Z1151" s="2083"/>
      <c r="AA1151" s="1526"/>
      <c r="AB1151" s="634"/>
      <c r="AC1151" s="970"/>
      <c r="AD1151" s="970"/>
      <c r="AE1151" s="970"/>
      <c r="AF1151" s="634"/>
      <c r="AG1151" s="634"/>
      <c r="AH1151" s="634"/>
      <c r="AI1151" s="634"/>
      <c r="AJ1151" s="634"/>
      <c r="AK1151" s="634"/>
      <c r="AL1151" s="1336"/>
      <c r="AM1151" s="1336"/>
      <c r="AN1151" s="1336"/>
      <c r="AO1151" s="1336"/>
      <c r="AP1151" s="1336"/>
      <c r="AQ1151" s="1336"/>
      <c r="AR1151" s="1336"/>
      <c r="AS1151" s="1336"/>
      <c r="AT1151" s="634"/>
      <c r="AU1151" s="634"/>
      <c r="AV1151" s="634"/>
      <c r="AW1151" s="634"/>
      <c r="AX1151" s="634"/>
      <c r="AY1151" s="634"/>
      <c r="AZ1151" s="634"/>
      <c r="BA1151" s="634"/>
      <c r="BB1151" s="634"/>
      <c r="BC1151" s="634"/>
      <c r="BD1151" s="634"/>
      <c r="BE1151" s="634"/>
      <c r="BF1151" s="634"/>
      <c r="BG1151" s="634"/>
      <c r="BH1151" s="634"/>
      <c r="BI1151" s="634"/>
    </row>
    <row r="1152" spans="1:61" x14ac:dyDescent="0.25">
      <c r="A1152" s="2371">
        <v>7</v>
      </c>
      <c r="B1152" s="2385" t="s">
        <v>909</v>
      </c>
      <c r="C1152" s="2381"/>
      <c r="D1152" s="2374"/>
      <c r="E1152" s="2374"/>
      <c r="F1152" s="2374"/>
      <c r="G1152" s="2373" t="s">
        <v>3974</v>
      </c>
      <c r="H1152" s="2371" t="s">
        <v>3971</v>
      </c>
      <c r="I1152" s="129"/>
      <c r="J1152" s="636"/>
      <c r="K1152" s="636"/>
      <c r="L1152" s="540" t="s">
        <v>913</v>
      </c>
      <c r="M1152" s="1014"/>
      <c r="N1152" s="1042"/>
      <c r="O1152" s="1042"/>
      <c r="P1152" s="756"/>
      <c r="Q1152" s="756"/>
      <c r="R1152" s="634"/>
      <c r="S1152" s="634"/>
      <c r="T1152" s="634"/>
      <c r="U1152" s="634"/>
      <c r="V1152" s="634"/>
      <c r="W1152" s="634"/>
      <c r="X1152" s="1757"/>
      <c r="Y1152" s="2081"/>
      <c r="Z1152" s="2083"/>
      <c r="AA1152" s="1526"/>
      <c r="AB1152" s="634"/>
      <c r="AC1152" s="970"/>
      <c r="AD1152" s="970"/>
      <c r="AE1152" s="970"/>
      <c r="AF1152" s="634"/>
      <c r="AG1152" s="634"/>
      <c r="AH1152" s="634"/>
      <c r="AI1152" s="634"/>
      <c r="AJ1152" s="634"/>
      <c r="AK1152" s="634"/>
      <c r="AL1152" s="1336"/>
      <c r="AM1152" s="1336"/>
      <c r="AN1152" s="1336"/>
      <c r="AO1152" s="1336"/>
      <c r="AP1152" s="1336"/>
      <c r="AQ1152" s="1336"/>
      <c r="AR1152" s="1336"/>
      <c r="AS1152" s="1336"/>
      <c r="AT1152" s="634"/>
      <c r="AU1152" s="634"/>
      <c r="AV1152" s="634"/>
      <c r="AW1152" s="634"/>
      <c r="AX1152" s="634"/>
      <c r="AY1152" s="634"/>
      <c r="AZ1152" s="634"/>
      <c r="BA1152" s="634"/>
      <c r="BB1152" s="634"/>
      <c r="BC1152" s="634"/>
      <c r="BD1152" s="634"/>
      <c r="BE1152" s="634"/>
      <c r="BF1152" s="634"/>
      <c r="BG1152" s="634"/>
      <c r="BH1152" s="634"/>
      <c r="BI1152" s="634"/>
    </row>
    <row r="1153" spans="1:61" x14ac:dyDescent="0.25">
      <c r="A1153" s="2371">
        <v>7</v>
      </c>
      <c r="B1153" s="2385" t="s">
        <v>909</v>
      </c>
      <c r="C1153" s="2381"/>
      <c r="D1153" s="2374"/>
      <c r="E1153" s="2374"/>
      <c r="F1153" s="2374"/>
      <c r="G1153" s="2373" t="s">
        <v>3974</v>
      </c>
      <c r="H1153" s="2371" t="s">
        <v>3971</v>
      </c>
      <c r="I1153" s="210"/>
      <c r="J1153" s="637"/>
      <c r="K1153" s="637"/>
      <c r="L1153" s="541" t="s">
        <v>914</v>
      </c>
      <c r="M1153" s="1014"/>
      <c r="N1153" s="1042"/>
      <c r="O1153" s="1042"/>
      <c r="P1153" s="756"/>
      <c r="Q1153" s="756"/>
      <c r="R1153" s="634"/>
      <c r="S1153" s="634"/>
      <c r="T1153" s="634"/>
      <c r="U1153" s="634"/>
      <c r="V1153" s="634"/>
      <c r="W1153" s="634"/>
      <c r="X1153" s="1757"/>
      <c r="Y1153" s="2081"/>
      <c r="Z1153" s="2083"/>
      <c r="AA1153" s="1526"/>
      <c r="AB1153" s="634"/>
      <c r="AC1153" s="970"/>
      <c r="AD1153" s="970"/>
      <c r="AE1153" s="970"/>
      <c r="AF1153" s="634"/>
      <c r="AG1153" s="634"/>
      <c r="AH1153" s="634"/>
      <c r="AI1153" s="634"/>
      <c r="AJ1153" s="634"/>
      <c r="AK1153" s="634"/>
      <c r="AL1153" s="1336"/>
      <c r="AM1153" s="1336"/>
      <c r="AN1153" s="1336"/>
      <c r="AO1153" s="1336"/>
      <c r="AP1153" s="1336"/>
      <c r="AQ1153" s="1336"/>
      <c r="AR1153" s="1336"/>
      <c r="AS1153" s="1336"/>
      <c r="AT1153" s="634"/>
      <c r="AU1153" s="634"/>
      <c r="AV1153" s="634"/>
      <c r="AW1153" s="634"/>
      <c r="AX1153" s="634"/>
      <c r="AY1153" s="634"/>
      <c r="AZ1153" s="634"/>
      <c r="BA1153" s="634"/>
      <c r="BB1153" s="634"/>
      <c r="BC1153" s="634"/>
      <c r="BD1153" s="634"/>
      <c r="BE1153" s="634"/>
      <c r="BF1153" s="634"/>
      <c r="BG1153" s="634"/>
      <c r="BH1153" s="634"/>
      <c r="BI1153" s="634"/>
    </row>
    <row r="1154" spans="1:61" ht="15" customHeight="1" x14ac:dyDescent="0.25">
      <c r="A1154" s="2371">
        <v>7</v>
      </c>
      <c r="B1154" s="2385" t="s">
        <v>915</v>
      </c>
      <c r="C1154" s="2381"/>
      <c r="D1154" s="2374"/>
      <c r="E1154" s="2374"/>
      <c r="F1154" s="2374"/>
      <c r="G1154" s="2373" t="str">
        <f ca="1">IF(N1154&gt;0,"P","")</f>
        <v/>
      </c>
      <c r="H1154" s="2371" t="s">
        <v>3971</v>
      </c>
      <c r="I1154" s="510" t="s">
        <v>915</v>
      </c>
      <c r="J1154" s="636"/>
      <c r="K1154" s="636"/>
      <c r="L1154" s="1835" t="s">
        <v>4277</v>
      </c>
      <c r="M1154" s="1788">
        <v>4</v>
      </c>
      <c r="N1154" s="1927">
        <f ca="1">'Ch7'!O284</f>
        <v>0</v>
      </c>
      <c r="O1154" s="1927">
        <f ca="1">M1154*S1154*W1154</f>
        <v>0</v>
      </c>
      <c r="P1154" s="94" t="b">
        <v>1</v>
      </c>
      <c r="Q1154" s="94" t="b">
        <v>1</v>
      </c>
      <c r="R1154" s="634" t="b">
        <v>0</v>
      </c>
      <c r="S1154" s="634" t="b">
        <f ca="1">(S883=2)</f>
        <v>0</v>
      </c>
      <c r="T1154" s="94" t="b">
        <f ca="1">AND(NOT(S1154),W1154=TRUE)</f>
        <v>0</v>
      </c>
      <c r="U1154" s="634"/>
      <c r="V1154" s="634"/>
      <c r="W1154" s="25"/>
      <c r="X1154" s="1757"/>
      <c r="Y1154" s="2081" t="str">
        <f>IF(LEN('Ch7'!X284)=0,"None",'Ch7'!X284)</f>
        <v>None</v>
      </c>
      <c r="Z1154" s="2083"/>
      <c r="AA1154" s="1526"/>
      <c r="AB1154" s="634"/>
      <c r="AC1154" s="970" t="b">
        <f ca="1">OR(AD1154:AE1154)</f>
        <v>0</v>
      </c>
      <c r="AD1154" s="970" t="b">
        <f ca="1">T1154</f>
        <v>0</v>
      </c>
      <c r="AE1154" s="970"/>
      <c r="AF1154" s="784"/>
      <c r="AG1154" s="634"/>
      <c r="AH1154" s="634"/>
      <c r="AI1154" s="634"/>
      <c r="AJ1154" s="634"/>
      <c r="AK1154" s="634"/>
      <c r="AL1154" s="254" t="str">
        <f>SUBSTITUTE(SUBSTITUTE(SUBSTITUTE("vpa"&amp;$B1154&amp;$C1154&amp;$D1154&amp;$E1154,".","_"),"(","_"),")","")</f>
        <v>vpa703_3_1</v>
      </c>
      <c r="AM1154" s="254">
        <f>M1154</f>
        <v>4</v>
      </c>
      <c r="AN1154" s="254" t="str">
        <f>SUBSTITUTE(SUBSTITUTE(SUBSTITUTE("vpc"&amp;$B1154&amp;$C1154&amp;$D1154&amp;$E1154,".","_"),"(","_"),")","")</f>
        <v>vpc703_3_1</v>
      </c>
      <c r="AO1154" s="254">
        <f ca="1">O1154</f>
        <v>0</v>
      </c>
      <c r="AP1154" s="254" t="str">
        <f>SUBSTITUTE(SUBSTITUTE(SUBSTITUTE("vch"&amp;$B1154&amp;$C1154&amp;$D1154&amp;$E1154,".","_"),"(","_"),")","")</f>
        <v>vch703_3_1</v>
      </c>
      <c r="AQ1154" s="254" t="str">
        <f>IF(LEN(W1154)=0,"",W1154)</f>
        <v/>
      </c>
      <c r="AR1154" s="254" t="str">
        <f>SUBSTITUTE(SUBSTITUTE(SUBSTITUTE("vnt"&amp;$B1154&amp;$C1154&amp;$D1154&amp;$E1154,".","_"),"(","_"),")","")</f>
        <v>vnt703_3_1</v>
      </c>
      <c r="AS1154" s="254" t="str">
        <f>IF(LEN(X1154)=0,"",X1154)</f>
        <v/>
      </c>
      <c r="AT1154" s="634"/>
      <c r="AU1154" s="634"/>
      <c r="AV1154" s="634"/>
      <c r="AW1154" s="634"/>
      <c r="AX1154" s="634"/>
      <c r="AY1154" s="634"/>
      <c r="AZ1154" s="634"/>
      <c r="BA1154" s="634"/>
      <c r="BB1154" s="634"/>
      <c r="BC1154" s="634"/>
      <c r="BD1154" s="634"/>
      <c r="BE1154" s="634"/>
      <c r="BF1154" s="634"/>
      <c r="BG1154" s="634"/>
      <c r="BH1154" s="634"/>
      <c r="BI1154" s="634"/>
    </row>
    <row r="1155" spans="1:61" x14ac:dyDescent="0.25">
      <c r="A1155" s="2371">
        <v>7</v>
      </c>
      <c r="B1155" s="2385" t="s">
        <v>915</v>
      </c>
      <c r="C1155" s="2381"/>
      <c r="D1155" s="2374"/>
      <c r="E1155" s="2374"/>
      <c r="F1155" s="2374"/>
      <c r="G1155" s="2373" t="str">
        <f ca="1">G1154</f>
        <v/>
      </c>
      <c r="H1155" s="2371" t="s">
        <v>3971</v>
      </c>
      <c r="I1155" s="129"/>
      <c r="J1155" s="636"/>
      <c r="K1155" s="636"/>
      <c r="L1155" s="1833"/>
      <c r="M1155" s="1788"/>
      <c r="N1155" s="1927"/>
      <c r="O1155" s="1927"/>
      <c r="P1155" s="756"/>
      <c r="Q1155" s="756"/>
      <c r="R1155" s="634"/>
      <c r="S1155" s="634"/>
      <c r="T1155" s="634"/>
      <c r="U1155" s="634"/>
      <c r="V1155" s="634"/>
      <c r="W1155" s="634"/>
      <c r="X1155" s="1757"/>
      <c r="Y1155" s="2081"/>
      <c r="Z1155" s="2083"/>
      <c r="AA1155" s="1526"/>
      <c r="AB1155" s="634"/>
      <c r="AC1155" s="970"/>
      <c r="AD1155" s="970"/>
      <c r="AE1155" s="970"/>
      <c r="AF1155" s="634"/>
      <c r="AG1155" s="634"/>
      <c r="AH1155" s="634"/>
      <c r="AI1155" s="634"/>
      <c r="AJ1155" s="634"/>
      <c r="AK1155" s="634"/>
      <c r="AL1155" s="1336"/>
      <c r="AM1155" s="1336"/>
      <c r="AN1155" s="1336"/>
      <c r="AO1155" s="1336"/>
      <c r="AP1155" s="1336"/>
      <c r="AQ1155" s="1336"/>
      <c r="AR1155" s="1336"/>
      <c r="AS1155" s="1336"/>
      <c r="AT1155" s="634"/>
      <c r="AU1155" s="634"/>
      <c r="AV1155" s="634"/>
      <c r="AW1155" s="634"/>
      <c r="AX1155" s="634"/>
      <c r="AY1155" s="634"/>
      <c r="AZ1155" s="634"/>
      <c r="BA1155" s="634"/>
      <c r="BB1155" s="634"/>
      <c r="BC1155" s="634"/>
      <c r="BD1155" s="634"/>
      <c r="BE1155" s="634"/>
      <c r="BF1155" s="634"/>
      <c r="BG1155" s="634"/>
      <c r="BH1155" s="634"/>
      <c r="BI1155" s="634"/>
    </row>
    <row r="1156" spans="1:61" x14ac:dyDescent="0.25">
      <c r="A1156" s="2371">
        <v>7</v>
      </c>
      <c r="B1156" s="2385" t="s">
        <v>915</v>
      </c>
      <c r="C1156" s="2381"/>
      <c r="D1156" s="2374"/>
      <c r="E1156" s="2374"/>
      <c r="F1156" s="2374"/>
      <c r="G1156" s="2373" t="str">
        <f ca="1">G1155</f>
        <v/>
      </c>
      <c r="H1156" s="2371" t="s">
        <v>3971</v>
      </c>
      <c r="I1156" s="129"/>
      <c r="J1156" s="636"/>
      <c r="K1156" s="636"/>
      <c r="L1156" s="1833"/>
      <c r="M1156" s="1788"/>
      <c r="N1156" s="1927"/>
      <c r="O1156" s="1927"/>
      <c r="P1156" s="756"/>
      <c r="Q1156" s="756"/>
      <c r="R1156" s="634"/>
      <c r="S1156" s="385" t="s">
        <v>3776</v>
      </c>
      <c r="T1156" s="1" t="str">
        <f>BF886</f>
        <v>!!</v>
      </c>
      <c r="U1156" s="634"/>
      <c r="V1156" s="634"/>
      <c r="W1156" s="634"/>
      <c r="X1156" s="1757"/>
      <c r="Y1156" s="2081"/>
      <c r="Z1156" s="2083"/>
      <c r="AA1156" s="1526"/>
      <c r="AB1156" s="634"/>
      <c r="AC1156" s="970"/>
      <c r="AD1156" s="970"/>
      <c r="AE1156" s="970"/>
      <c r="AF1156" s="634"/>
      <c r="AG1156" s="634"/>
      <c r="AH1156" s="634"/>
      <c r="AI1156" s="634"/>
      <c r="AJ1156" s="634"/>
      <c r="AK1156" s="634"/>
      <c r="AL1156" s="1336"/>
      <c r="AM1156" s="1336"/>
      <c r="AN1156" s="1336"/>
      <c r="AO1156" s="1336"/>
      <c r="AP1156" s="1336"/>
      <c r="AQ1156" s="1336"/>
      <c r="AR1156" s="1336"/>
      <c r="AS1156" s="1336"/>
      <c r="AT1156" s="634"/>
      <c r="AU1156" s="634"/>
      <c r="AV1156" s="634"/>
      <c r="AW1156" s="634"/>
      <c r="AX1156" s="634"/>
      <c r="AY1156" s="634"/>
      <c r="AZ1156" s="634"/>
      <c r="BA1156" s="634"/>
      <c r="BB1156" s="634"/>
      <c r="BC1156" s="634"/>
      <c r="BD1156" s="634"/>
      <c r="BE1156" s="634"/>
      <c r="BF1156" s="634"/>
      <c r="BG1156" s="634"/>
      <c r="BH1156" s="634"/>
      <c r="BI1156" s="634"/>
    </row>
    <row r="1157" spans="1:61" x14ac:dyDescent="0.25">
      <c r="A1157" s="2371">
        <v>7</v>
      </c>
      <c r="B1157" s="2385" t="s">
        <v>915</v>
      </c>
      <c r="C1157" s="2381"/>
      <c r="D1157" s="2374"/>
      <c r="E1157" s="2374"/>
      <c r="F1157" s="2374"/>
      <c r="G1157" s="2373" t="str">
        <f ca="1">G1156</f>
        <v/>
      </c>
      <c r="H1157" s="2371" t="s">
        <v>3971</v>
      </c>
      <c r="I1157" s="129"/>
      <c r="J1157" s="636"/>
      <c r="K1157" s="636"/>
      <c r="L1157" s="1833"/>
      <c r="M1157" s="1788"/>
      <c r="N1157" s="1927"/>
      <c r="O1157" s="1927"/>
      <c r="P1157" s="756"/>
      <c r="Q1157" s="756"/>
      <c r="R1157" s="1"/>
      <c r="S1157" s="385" t="s">
        <v>5797</v>
      </c>
      <c r="T1157" s="1" t="b">
        <f>AND(AY898&gt;3,AY889=INDEX(ddSingleOrMulti,2))</f>
        <v>0</v>
      </c>
      <c r="U1157" s="634"/>
      <c r="V1157" s="634"/>
      <c r="W1157" s="634"/>
      <c r="X1157" s="1757"/>
      <c r="Y1157" s="2081"/>
      <c r="Z1157" s="2083"/>
      <c r="AA1157" s="1526"/>
      <c r="AB1157" s="634"/>
      <c r="AC1157" s="970"/>
      <c r="AD1157" s="970"/>
      <c r="AE1157" s="970"/>
      <c r="AF1157" s="634"/>
      <c r="AG1157" s="634"/>
      <c r="AH1157" s="634"/>
      <c r="AI1157" s="634"/>
      <c r="AJ1157" s="634"/>
      <c r="AK1157" s="634"/>
      <c r="AL1157" s="1336"/>
      <c r="AM1157" s="1336"/>
      <c r="AN1157" s="1336"/>
      <c r="AO1157" s="1336"/>
      <c r="AP1157" s="1336"/>
      <c r="AQ1157" s="1336"/>
      <c r="AR1157" s="1336"/>
      <c r="AS1157" s="1336"/>
      <c r="AT1157" s="634"/>
      <c r="AU1157" s="634"/>
      <c r="AV1157" s="634"/>
      <c r="AW1157" s="634"/>
      <c r="AX1157" s="634"/>
      <c r="AY1157" s="634"/>
      <c r="AZ1157" s="634"/>
      <c r="BA1157" s="634"/>
      <c r="BB1157" s="634"/>
      <c r="BC1157" s="634"/>
      <c r="BD1157" s="634"/>
      <c r="BE1157" s="634"/>
      <c r="BF1157" s="634"/>
      <c r="BG1157" s="634"/>
      <c r="BH1157" s="634"/>
      <c r="BI1157" s="634"/>
    </row>
    <row r="1158" spans="1:61" x14ac:dyDescent="0.25">
      <c r="A1158" s="2371">
        <v>7</v>
      </c>
      <c r="B1158" s="2385" t="s">
        <v>915</v>
      </c>
      <c r="C1158" s="2381"/>
      <c r="D1158" s="2374"/>
      <c r="E1158" s="2374"/>
      <c r="F1158" s="2374"/>
      <c r="G1158" s="2373" t="str">
        <f ca="1">G1157</f>
        <v/>
      </c>
      <c r="H1158" s="2371" t="s">
        <v>3971</v>
      </c>
      <c r="I1158" s="210"/>
      <c r="J1158" s="637"/>
      <c r="K1158" s="637"/>
      <c r="L1158" s="1834"/>
      <c r="M1158" s="1865"/>
      <c r="N1158" s="2076"/>
      <c r="O1158" s="2076"/>
      <c r="P1158" s="756"/>
      <c r="Q1158" s="756"/>
      <c r="R1158" s="634"/>
      <c r="S1158" s="634"/>
      <c r="T1158" s="634"/>
      <c r="U1158" s="634"/>
      <c r="V1158" s="634"/>
      <c r="W1158" s="634"/>
      <c r="X1158" s="1757"/>
      <c r="Y1158" s="2081"/>
      <c r="Z1158" s="2083"/>
      <c r="AA1158" s="1526"/>
      <c r="AB1158" s="634"/>
      <c r="AC1158" s="970"/>
      <c r="AD1158" s="970"/>
      <c r="AE1158" s="970"/>
      <c r="AF1158" s="634"/>
      <c r="AG1158" s="634"/>
      <c r="AH1158" s="634"/>
      <c r="AI1158" s="634"/>
      <c r="AJ1158" s="634"/>
      <c r="AK1158" s="634"/>
      <c r="AL1158" s="1336"/>
      <c r="AM1158" s="1336"/>
      <c r="AN1158" s="1336"/>
      <c r="AO1158" s="1336"/>
      <c r="AP1158" s="1336"/>
      <c r="AQ1158" s="1336"/>
      <c r="AR1158" s="1336"/>
      <c r="AS1158" s="1336"/>
      <c r="AT1158" s="634"/>
      <c r="AU1158" s="634"/>
      <c r="AV1158" s="634"/>
      <c r="AW1158" s="634"/>
      <c r="AX1158" s="634"/>
      <c r="AY1158" s="634"/>
      <c r="AZ1158" s="634"/>
      <c r="BA1158" s="634"/>
      <c r="BB1158" s="634"/>
      <c r="BC1158" s="634"/>
      <c r="BD1158" s="634"/>
      <c r="BE1158" s="634"/>
      <c r="BF1158" s="634"/>
      <c r="BG1158" s="634"/>
      <c r="BH1158" s="634"/>
      <c r="BI1158" s="634"/>
    </row>
    <row r="1159" spans="1:61" x14ac:dyDescent="0.25">
      <c r="A1159" s="2371">
        <v>7</v>
      </c>
      <c r="B1159" s="2385" t="s">
        <v>916</v>
      </c>
      <c r="C1159" s="2381"/>
      <c r="D1159" s="2374"/>
      <c r="E1159" s="2374"/>
      <c r="F1159" s="2374"/>
      <c r="G1159" s="2363" t="str">
        <f ca="1">IF(COUNTIF(G1160:G1174,"P")&gt;0,"P","")</f>
        <v/>
      </c>
      <c r="H1159" s="2371" t="s">
        <v>3971</v>
      </c>
      <c r="I1159" s="66" t="s">
        <v>916</v>
      </c>
      <c r="J1159" s="639"/>
      <c r="K1159" s="639"/>
      <c r="L1159" s="1180" t="s">
        <v>917</v>
      </c>
      <c r="M1159" s="1025"/>
      <c r="N1159" s="1042"/>
      <c r="O1159" s="1042"/>
      <c r="P1159" s="756"/>
      <c r="Q1159" s="756"/>
      <c r="R1159" s="634"/>
      <c r="S1159" s="634"/>
      <c r="T1159" s="634"/>
      <c r="U1159" s="634"/>
      <c r="V1159" s="634"/>
      <c r="W1159" s="634"/>
      <c r="X1159" s="911"/>
      <c r="Y1159" s="634"/>
      <c r="AA1159" s="1526"/>
      <c r="AB1159" s="634"/>
      <c r="AC1159" s="970"/>
      <c r="AD1159" s="970"/>
      <c r="AE1159" s="970"/>
      <c r="AF1159" s="634"/>
      <c r="AG1159" s="634"/>
      <c r="AH1159" s="634"/>
      <c r="AI1159" s="634"/>
      <c r="AJ1159" s="634"/>
      <c r="AK1159" s="634"/>
      <c r="AL1159" s="1336"/>
      <c r="AM1159" s="1336"/>
      <c r="AN1159" s="1336"/>
      <c r="AO1159" s="1336"/>
      <c r="AP1159" s="1336"/>
      <c r="AQ1159" s="1336"/>
      <c r="AR1159" s="1336"/>
      <c r="AS1159" s="1336"/>
      <c r="AT1159" s="634"/>
      <c r="AU1159" s="634"/>
      <c r="AV1159" s="634"/>
      <c r="AW1159" s="634"/>
      <c r="AX1159" s="634"/>
      <c r="AY1159" s="634"/>
      <c r="AZ1159" s="634"/>
      <c r="BA1159" s="634"/>
      <c r="BB1159" s="634"/>
      <c r="BC1159" s="634"/>
      <c r="BD1159" s="634"/>
      <c r="BE1159" s="634"/>
      <c r="BF1159" s="634"/>
      <c r="BG1159" s="634"/>
      <c r="BH1159" s="634"/>
      <c r="BI1159" s="634"/>
    </row>
    <row r="1160" spans="1:61" x14ac:dyDescent="0.25">
      <c r="A1160" s="2371">
        <v>7</v>
      </c>
      <c r="B1160" s="2385" t="s">
        <v>916</v>
      </c>
      <c r="C1160" s="2374" t="s">
        <v>256</v>
      </c>
      <c r="D1160" s="2374"/>
      <c r="E1160" s="2374"/>
      <c r="F1160" s="2374"/>
      <c r="G1160" s="2373" t="str">
        <f ca="1">IF(N1160&gt;0,"P","")</f>
        <v/>
      </c>
      <c r="H1160" s="2371" t="s">
        <v>3971</v>
      </c>
      <c r="I1160" s="4"/>
      <c r="J1160" s="230" t="s">
        <v>256</v>
      </c>
      <c r="K1160" s="639"/>
      <c r="L1160" s="1170" t="s">
        <v>918</v>
      </c>
      <c r="M1160" s="1014"/>
      <c r="N1160" s="1042">
        <f ca="1">'Ch7'!O290</f>
        <v>0</v>
      </c>
      <c r="O1160" s="1042">
        <f ca="1">IFERROR(INDEX(M1161:M1165,MATCH(W1161,{0.9,0.92,0.94,0.96,0.98},1)),0)*S1161</f>
        <v>0</v>
      </c>
      <c r="P1160" s="756"/>
      <c r="Q1160" s="756"/>
      <c r="R1160" s="634"/>
      <c r="S1160" s="634"/>
      <c r="T1160" s="634"/>
      <c r="U1160" s="634"/>
      <c r="V1160" s="634"/>
      <c r="W1160" s="634" t="s">
        <v>3785</v>
      </c>
      <c r="X1160" s="1757"/>
      <c r="Y1160" s="2081" t="str">
        <f>IF(LEN('Ch7'!X290)=0,"None",'Ch7'!X290)</f>
        <v>None</v>
      </c>
      <c r="Z1160" s="2083"/>
      <c r="AA1160" s="1526"/>
      <c r="AB1160" s="634"/>
      <c r="AC1160" s="970"/>
      <c r="AD1160" s="970"/>
      <c r="AE1160" s="970"/>
      <c r="AF1160" s="634"/>
      <c r="AG1160" s="634"/>
      <c r="AH1160" s="634"/>
      <c r="AI1160" s="634"/>
      <c r="AJ1160" s="634"/>
      <c r="AK1160" s="634"/>
      <c r="AL1160" s="1336"/>
      <c r="AM1160" s="1336"/>
      <c r="AN1160" s="254" t="str">
        <f>SUBSTITUTE(SUBSTITUTE(SUBSTITUTE("vpc"&amp;$B1160&amp;$C1160&amp;$D1160&amp;$E1160,".","_"),"(","_"),")","")</f>
        <v>vpc703_3_2 _1</v>
      </c>
      <c r="AO1160" s="254">
        <f ca="1">O1160</f>
        <v>0</v>
      </c>
      <c r="AP1160" s="1336"/>
      <c r="AQ1160" s="1336"/>
      <c r="AR1160" s="254" t="str">
        <f>SUBSTITUTE(SUBSTITUTE(SUBSTITUTE("vnt"&amp;$B1160&amp;$C1160&amp;$D1160&amp;$E1160,".","_"),"(","_"),")","")</f>
        <v>vnt703_3_2 _1</v>
      </c>
      <c r="AS1160" s="254" t="str">
        <f>IF(LEN(X1160)=0,"",X1160)</f>
        <v/>
      </c>
      <c r="AT1160" s="634"/>
      <c r="AU1160" s="634"/>
      <c r="AV1160" s="634"/>
      <c r="AW1160" s="634"/>
      <c r="AX1160" s="634"/>
      <c r="AY1160" s="634"/>
      <c r="AZ1160" s="634"/>
      <c r="BA1160" s="634"/>
      <c r="BB1160" s="634"/>
      <c r="BC1160" s="634"/>
      <c r="BD1160" s="634"/>
      <c r="BE1160" s="634"/>
      <c r="BF1160" s="634"/>
      <c r="BG1160" s="634"/>
      <c r="BH1160" s="634"/>
      <c r="BI1160" s="634"/>
    </row>
    <row r="1161" spans="1:61" x14ac:dyDescent="0.25">
      <c r="A1161" s="2371">
        <v>7</v>
      </c>
      <c r="B1161" s="2385" t="s">
        <v>916</v>
      </c>
      <c r="C1161" s="2374" t="s">
        <v>256</v>
      </c>
      <c r="D1161" s="2374" t="s">
        <v>256</v>
      </c>
      <c r="E1161" s="2374"/>
      <c r="F1161" s="2374"/>
      <c r="G1161" s="2373" t="str">
        <f ca="1">G1160</f>
        <v/>
      </c>
      <c r="H1161" s="2371" t="s">
        <v>3971</v>
      </c>
      <c r="I1161" s="4"/>
      <c r="J1161" s="230"/>
      <c r="K1161" s="639"/>
      <c r="L1161" s="1170" t="s">
        <v>3770</v>
      </c>
      <c r="M1161" s="1014">
        <f>IF(T1157,IFERROR(INDEX({0,4,4,8,8,10,11,13},T1156),0),IFERROR(INDEX({0,2,3,6,6,9,10,12},T1156),0))</f>
        <v>0</v>
      </c>
      <c r="N1161" s="1042"/>
      <c r="O1161" s="1042"/>
      <c r="P1161" s="94" t="b">
        <v>1</v>
      </c>
      <c r="Q1161" s="94" t="b">
        <v>1</v>
      </c>
      <c r="R1161" s="634" t="b">
        <v>0</v>
      </c>
      <c r="S1161" s="1108" t="b">
        <f ca="1">AND(S883=2,LEN(W1167)=0,LEN(W1170)=0,LEN(W1175)=0,LEN(W1181)=0,LEN(W1188)=0,NOT(W1201=TRUE),LEN(W1206)=0)</f>
        <v>0</v>
      </c>
      <c r="T1161" s="94" t="b">
        <f ca="1">AND(NOT(S1161),LEN(W1161)&gt;0)</f>
        <v>0</v>
      </c>
      <c r="U1161" s="634"/>
      <c r="V1161" s="634"/>
      <c r="W1161" s="487"/>
      <c r="X1161" s="1757"/>
      <c r="Y1161" s="2081"/>
      <c r="Z1161" s="2083"/>
      <c r="AA1161" s="1526"/>
      <c r="AB1161" s="634"/>
      <c r="AC1161" s="970" t="b">
        <f ca="1">OR(AD1161:AE1161)</f>
        <v>0</v>
      </c>
      <c r="AD1161" s="970" t="b">
        <f ca="1">T1161</f>
        <v>0</v>
      </c>
      <c r="AE1161" s="970"/>
      <c r="AF1161" s="784"/>
      <c r="AG1161" s="634"/>
      <c r="AH1161" s="634"/>
      <c r="AI1161" s="634"/>
      <c r="AJ1161" s="634"/>
      <c r="AK1161" s="634"/>
      <c r="AL1161" s="254" t="str">
        <f>SUBSTITUTE(SUBSTITUTE(SUBSTITUTE("vpa"&amp;$B1161&amp;$C1161&amp;$D1161&amp;$E1161,".","_"),"(","_"),")","")</f>
        <v>vpa703_3_2 _1_1</v>
      </c>
      <c r="AM1161" s="254">
        <f>M1161</f>
        <v>0</v>
      </c>
      <c r="AN1161" s="1336"/>
      <c r="AO1161" s="1336"/>
      <c r="AP1161" s="254" t="str">
        <f>SUBSTITUTE(SUBSTITUTE(SUBSTITUTE("vch"&amp;$B1161&amp;$C1161&amp;$D1161&amp;$E1161,".","_"),"(","_"),")","")</f>
        <v>vch703_3_2 _1_1</v>
      </c>
      <c r="AQ1161" s="254" t="str">
        <f>IF(LEN(W1161)=0,"",W1161)</f>
        <v/>
      </c>
      <c r="AR1161" s="1336"/>
      <c r="AS1161" s="1336"/>
      <c r="AT1161" s="634"/>
      <c r="AU1161" s="634"/>
      <c r="AV1161" s="634"/>
      <c r="AW1161" s="634"/>
      <c r="AX1161" s="634"/>
      <c r="AY1161" s="634"/>
      <c r="AZ1161" s="634"/>
      <c r="BA1161" s="634"/>
      <c r="BB1161" s="634"/>
      <c r="BC1161" s="634"/>
      <c r="BD1161" s="634"/>
      <c r="BE1161" s="634"/>
      <c r="BF1161" s="634"/>
      <c r="BG1161" s="634"/>
      <c r="BH1161" s="634"/>
      <c r="BI1161" s="634"/>
    </row>
    <row r="1162" spans="1:61" x14ac:dyDescent="0.25">
      <c r="A1162" s="2371">
        <v>7</v>
      </c>
      <c r="B1162" s="2385" t="s">
        <v>916</v>
      </c>
      <c r="C1162" s="2374" t="s">
        <v>256</v>
      </c>
      <c r="D1162" s="2374" t="s">
        <v>258</v>
      </c>
      <c r="E1162" s="2374"/>
      <c r="F1162" s="2374"/>
      <c r="G1162" s="2373" t="str">
        <f ca="1">G1161</f>
        <v/>
      </c>
      <c r="H1162" s="2371" t="s">
        <v>3971</v>
      </c>
      <c r="I1162" s="4"/>
      <c r="J1162" s="230"/>
      <c r="K1162" s="639"/>
      <c r="L1162" s="1170" t="s">
        <v>3771</v>
      </c>
      <c r="M1162" s="1014">
        <f>IF(T1157,IFERROR(INDEX({0,4,4,9,10,11,12,14},T1156),0),IFERROR(INDEX({0,2,4,7,8,10,12,14},T1156),0))</f>
        <v>0</v>
      </c>
      <c r="N1162" s="1042"/>
      <c r="O1162" s="1042"/>
      <c r="P1162" s="756"/>
      <c r="Q1162" s="756"/>
      <c r="R1162" s="634"/>
      <c r="S1162" s="1108"/>
      <c r="T1162" s="634"/>
      <c r="U1162" s="634"/>
      <c r="V1162" s="634"/>
      <c r="W1162" s="634"/>
      <c r="X1162" s="1757"/>
      <c r="Y1162" s="2081"/>
      <c r="Z1162" s="2083"/>
      <c r="AA1162" s="1526"/>
      <c r="AB1162" s="634"/>
      <c r="AC1162" s="970"/>
      <c r="AD1162" s="970"/>
      <c r="AE1162" s="970"/>
      <c r="AF1162" s="634"/>
      <c r="AG1162" s="634"/>
      <c r="AH1162" s="634"/>
      <c r="AI1162" s="634"/>
      <c r="AJ1162" s="634"/>
      <c r="AK1162" s="634"/>
      <c r="AL1162" s="254" t="str">
        <f>SUBSTITUTE(SUBSTITUTE(SUBSTITUTE("vpa"&amp;$B1162&amp;$C1162&amp;$D1162&amp;$E1162,".","_"),"(","_"),")","")</f>
        <v>vpa703_3_2 _1_2</v>
      </c>
      <c r="AM1162" s="254">
        <f>M1162</f>
        <v>0</v>
      </c>
      <c r="AN1162" s="1336"/>
      <c r="AO1162" s="1336"/>
      <c r="AP1162" s="1336"/>
      <c r="AQ1162" s="1336"/>
      <c r="AR1162" s="1336"/>
      <c r="AS1162" s="1336"/>
      <c r="AT1162" s="634"/>
      <c r="AU1162" s="634"/>
      <c r="AV1162" s="634"/>
      <c r="AW1162" s="634"/>
      <c r="AX1162" s="634"/>
      <c r="AY1162" s="634"/>
      <c r="AZ1162" s="634"/>
      <c r="BA1162" s="634"/>
      <c r="BB1162" s="634"/>
      <c r="BC1162" s="634"/>
      <c r="BD1162" s="634"/>
      <c r="BE1162" s="634"/>
      <c r="BF1162" s="634"/>
      <c r="BG1162" s="634"/>
      <c r="BH1162" s="634"/>
      <c r="BI1162" s="634"/>
    </row>
    <row r="1163" spans="1:61" x14ac:dyDescent="0.25">
      <c r="A1163" s="2371">
        <v>7</v>
      </c>
      <c r="B1163" s="2385" t="s">
        <v>916</v>
      </c>
      <c r="C1163" s="2374" t="s">
        <v>256</v>
      </c>
      <c r="D1163" s="2374" t="s">
        <v>260</v>
      </c>
      <c r="E1163" s="2374"/>
      <c r="F1163" s="2374"/>
      <c r="G1163" s="2373" t="str">
        <f ca="1">G1162</f>
        <v/>
      </c>
      <c r="H1163" s="2371" t="s">
        <v>3971</v>
      </c>
      <c r="I1163" s="4"/>
      <c r="J1163" s="230"/>
      <c r="K1163" s="639"/>
      <c r="L1163" s="1170" t="s">
        <v>3772</v>
      </c>
      <c r="M1163" s="1014">
        <f>IF(T1157,IFERROR(INDEX({0,5,5,10,11,12,14,16},T1156),0),IFERROR(INDEX({0,3,4,9,9,12,14,16},T1156),0))</f>
        <v>0</v>
      </c>
      <c r="N1163" s="1042"/>
      <c r="O1163" s="1042"/>
      <c r="P1163" s="756"/>
      <c r="Q1163" s="756"/>
      <c r="R1163" s="634"/>
      <c r="S1163" s="1108"/>
      <c r="T1163" s="634"/>
      <c r="U1163" s="634"/>
      <c r="V1163" s="634"/>
      <c r="W1163" s="634"/>
      <c r="X1163" s="1757"/>
      <c r="Y1163" s="2081"/>
      <c r="Z1163" s="2083"/>
      <c r="AA1163" s="1526"/>
      <c r="AB1163" s="634"/>
      <c r="AC1163" s="970"/>
      <c r="AD1163" s="970"/>
      <c r="AE1163" s="970"/>
      <c r="AF1163" s="634"/>
      <c r="AG1163" s="634"/>
      <c r="AH1163" s="634"/>
      <c r="AI1163" s="634"/>
      <c r="AJ1163" s="634"/>
      <c r="AK1163" s="634"/>
      <c r="AL1163" s="254" t="str">
        <f>SUBSTITUTE(SUBSTITUTE(SUBSTITUTE("vpa"&amp;$B1163&amp;$C1163&amp;$D1163&amp;$E1163,".","_"),"(","_"),")","")</f>
        <v>vpa703_3_2 _1_3</v>
      </c>
      <c r="AM1163" s="254">
        <f>M1163</f>
        <v>0</v>
      </c>
      <c r="AN1163" s="1336"/>
      <c r="AO1163" s="1336"/>
      <c r="AP1163" s="1336"/>
      <c r="AQ1163" s="1336"/>
      <c r="AR1163" s="1336"/>
      <c r="AS1163" s="1336"/>
      <c r="AT1163" s="634"/>
      <c r="AU1163" s="634"/>
      <c r="AV1163" s="634"/>
      <c r="AW1163" s="634"/>
      <c r="AX1163" s="634"/>
      <c r="AY1163" s="634"/>
      <c r="AZ1163" s="634"/>
      <c r="BA1163" s="634"/>
      <c r="BB1163" s="634"/>
      <c r="BC1163" s="634"/>
      <c r="BD1163" s="634"/>
      <c r="BE1163" s="634"/>
      <c r="BF1163" s="634"/>
      <c r="BG1163" s="634"/>
      <c r="BH1163" s="634"/>
      <c r="BI1163" s="634"/>
    </row>
    <row r="1164" spans="1:61" x14ac:dyDescent="0.25">
      <c r="A1164" s="2371">
        <v>7</v>
      </c>
      <c r="B1164" s="2385" t="s">
        <v>916</v>
      </c>
      <c r="C1164" s="2374" t="s">
        <v>256</v>
      </c>
      <c r="D1164" s="2374" t="s">
        <v>269</v>
      </c>
      <c r="E1164" s="2374"/>
      <c r="F1164" s="2374"/>
      <c r="G1164" s="2373" t="str">
        <f ca="1">G1163</f>
        <v/>
      </c>
      <c r="H1164" s="2371" t="s">
        <v>3971</v>
      </c>
      <c r="I1164" s="4"/>
      <c r="J1164" s="230"/>
      <c r="K1164" s="639"/>
      <c r="L1164" s="1170" t="s">
        <v>3773</v>
      </c>
      <c r="M1164" s="1014">
        <f>IF(T1157,IFERROR(INDEX({0,5,5,12,12,13,15,17},T1156),0),IFERROR(INDEX({1,3,5,10,10,14,16,19},T1156),0))</f>
        <v>0</v>
      </c>
      <c r="N1164" s="1042"/>
      <c r="O1164" s="1042"/>
      <c r="P1164" s="756"/>
      <c r="Q1164" s="756"/>
      <c r="R1164" s="634"/>
      <c r="S1164" s="1108"/>
      <c r="T1164" s="634"/>
      <c r="U1164" s="634"/>
      <c r="V1164" s="634"/>
      <c r="W1164" s="634"/>
      <c r="X1164" s="1757"/>
      <c r="Y1164" s="2081"/>
      <c r="Z1164" s="2083"/>
      <c r="AA1164" s="1526"/>
      <c r="AB1164" s="634"/>
      <c r="AC1164" s="970"/>
      <c r="AD1164" s="970"/>
      <c r="AE1164" s="970"/>
      <c r="AF1164" s="634"/>
      <c r="AG1164" s="634"/>
      <c r="AH1164" s="634"/>
      <c r="AI1164" s="634"/>
      <c r="AJ1164" s="634"/>
      <c r="AK1164" s="634"/>
      <c r="AL1164" s="254" t="str">
        <f>SUBSTITUTE(SUBSTITUTE(SUBSTITUTE("vpa"&amp;$B1164&amp;$C1164&amp;$D1164&amp;$E1164,".","_"),"(","_"),")","")</f>
        <v>vpa703_3_2 _1_4</v>
      </c>
      <c r="AM1164" s="254">
        <f>M1164</f>
        <v>0</v>
      </c>
      <c r="AN1164" s="1336"/>
      <c r="AO1164" s="1336"/>
      <c r="AP1164" s="1336"/>
      <c r="AQ1164" s="1336"/>
      <c r="AR1164" s="1336"/>
      <c r="AS1164" s="1336"/>
      <c r="AT1164" s="634"/>
      <c r="AU1164" s="634"/>
      <c r="AV1164" s="634"/>
      <c r="AW1164" s="634"/>
      <c r="AX1164" s="634"/>
      <c r="AY1164" s="634"/>
      <c r="AZ1164" s="634"/>
      <c r="BA1164" s="634"/>
      <c r="BB1164" s="634"/>
      <c r="BC1164" s="634"/>
      <c r="BD1164" s="634"/>
      <c r="BE1164" s="634"/>
      <c r="BF1164" s="634"/>
      <c r="BG1164" s="634"/>
      <c r="BH1164" s="634"/>
      <c r="BI1164" s="634"/>
    </row>
    <row r="1165" spans="1:61" x14ac:dyDescent="0.25">
      <c r="A1165" s="2371">
        <v>7</v>
      </c>
      <c r="B1165" s="2385" t="s">
        <v>916</v>
      </c>
      <c r="C1165" s="2374" t="s">
        <v>256</v>
      </c>
      <c r="D1165" s="2374" t="s">
        <v>275</v>
      </c>
      <c r="E1165" s="2374"/>
      <c r="F1165" s="2374"/>
      <c r="G1165" s="2373" t="str">
        <f ca="1">G1164</f>
        <v/>
      </c>
      <c r="H1165" s="2371" t="s">
        <v>3971</v>
      </c>
      <c r="I1165" s="4"/>
      <c r="J1165" s="637"/>
      <c r="K1165" s="637"/>
      <c r="L1165" s="1163" t="s">
        <v>3774</v>
      </c>
      <c r="M1165" s="1015">
        <f>IF(T1157,IFERROR(INDEX({0,6,6,13,13,14,16,18},T1156),0),IFERROR(INDEX({1,3,6,11,12,16,18,21},T1156),0))</f>
        <v>0</v>
      </c>
      <c r="N1165" s="1047"/>
      <c r="O1165" s="1047"/>
      <c r="P1165" s="756"/>
      <c r="Q1165" s="756"/>
      <c r="R1165" s="634"/>
      <c r="S1165" s="1108"/>
      <c r="T1165" s="634"/>
      <c r="U1165" s="634"/>
      <c r="V1165" s="634"/>
      <c r="W1165" s="634"/>
      <c r="X1165" s="1757"/>
      <c r="Y1165" s="2081"/>
      <c r="Z1165" s="2083"/>
      <c r="AA1165" s="1526"/>
      <c r="AB1165" s="634"/>
      <c r="AC1165" s="970"/>
      <c r="AD1165" s="970"/>
      <c r="AE1165" s="970"/>
      <c r="AF1165" s="634"/>
      <c r="AG1165" s="634"/>
      <c r="AH1165" s="634"/>
      <c r="AI1165" s="634"/>
      <c r="AJ1165" s="634"/>
      <c r="AK1165" s="634"/>
      <c r="AL1165" s="254" t="str">
        <f>SUBSTITUTE(SUBSTITUTE(SUBSTITUTE("vpa"&amp;$B1165&amp;$C1165&amp;$D1165&amp;$E1165,".","_"),"(","_"),")","")</f>
        <v>vpa703_3_2 _1_5</v>
      </c>
      <c r="AM1165" s="254">
        <f>M1165</f>
        <v>0</v>
      </c>
      <c r="AN1165" s="1336"/>
      <c r="AO1165" s="1336"/>
      <c r="AP1165" s="1336"/>
      <c r="AQ1165" s="1336"/>
      <c r="AR1165" s="1336"/>
      <c r="AS1165" s="1336"/>
      <c r="AT1165" s="634"/>
      <c r="AU1165" s="634"/>
      <c r="AV1165" s="634"/>
      <c r="AW1165" s="634"/>
      <c r="AX1165" s="634"/>
      <c r="AY1165" s="634"/>
      <c r="AZ1165" s="634"/>
      <c r="BA1165" s="634"/>
      <c r="BB1165" s="634"/>
      <c r="BC1165" s="634"/>
      <c r="BD1165" s="634"/>
      <c r="BE1165" s="634"/>
      <c r="BF1165" s="634"/>
      <c r="BG1165" s="634"/>
      <c r="BH1165" s="634"/>
      <c r="BI1165" s="634"/>
    </row>
    <row r="1166" spans="1:61" x14ac:dyDescent="0.25">
      <c r="A1166" s="2371">
        <v>7</v>
      </c>
      <c r="B1166" s="2385" t="s">
        <v>916</v>
      </c>
      <c r="C1166" s="2374" t="s">
        <v>258</v>
      </c>
      <c r="D1166" s="2374"/>
      <c r="E1166" s="2374"/>
      <c r="F1166" s="2374"/>
      <c r="G1166" s="2373" t="str">
        <f ca="1">IF(N1166&gt;0,"P","")</f>
        <v/>
      </c>
      <c r="H1166" s="2371" t="s">
        <v>3971</v>
      </c>
      <c r="I1166" s="4"/>
      <c r="J1166" s="230" t="s">
        <v>258</v>
      </c>
      <c r="K1166" s="639"/>
      <c r="L1166" s="1170" t="s">
        <v>919</v>
      </c>
      <c r="M1166" s="1014"/>
      <c r="N1166" s="1042">
        <f ca="1">'Ch7'!O296</f>
        <v>0</v>
      </c>
      <c r="O1166" s="1042">
        <f ca="1">IFERROR(INDEX(M1167:M1168,MATCH(W1167,{0.85,0.9},1)),0)*S1167</f>
        <v>0</v>
      </c>
      <c r="P1166" s="756"/>
      <c r="Q1166" s="756"/>
      <c r="R1166" s="634"/>
      <c r="S1166" s="1108"/>
      <c r="T1166" s="634"/>
      <c r="U1166" s="634"/>
      <c r="V1166" s="634"/>
      <c r="W1166" s="634" t="s">
        <v>3785</v>
      </c>
      <c r="X1166" s="1757"/>
      <c r="Y1166" s="2081" t="str">
        <f>IF(LEN('Ch7'!X296)=0,"None",'Ch7'!X296)</f>
        <v>None</v>
      </c>
      <c r="Z1166" s="2083"/>
      <c r="AA1166" s="1526"/>
      <c r="AB1166" s="634"/>
      <c r="AC1166" s="970"/>
      <c r="AD1166" s="970"/>
      <c r="AE1166" s="970"/>
      <c r="AF1166" s="634"/>
      <c r="AG1166" s="634"/>
      <c r="AH1166" s="634"/>
      <c r="AI1166" s="634"/>
      <c r="AJ1166" s="634"/>
      <c r="AK1166" s="634"/>
      <c r="AL1166" s="1336"/>
      <c r="AM1166" s="1336"/>
      <c r="AN1166" s="254" t="str">
        <f>SUBSTITUTE(SUBSTITUTE(SUBSTITUTE("vpc"&amp;$B1166&amp;$C1166&amp;$D1166&amp;$E1166,".","_"),"(","_"),")","")</f>
        <v>vpc703_3_2 _2</v>
      </c>
      <c r="AO1166" s="254">
        <f ca="1">O1166</f>
        <v>0</v>
      </c>
      <c r="AP1166" s="1336"/>
      <c r="AQ1166" s="1336"/>
      <c r="AR1166" s="254" t="str">
        <f>SUBSTITUTE(SUBSTITUTE(SUBSTITUTE("vnt"&amp;$B1166&amp;$C1166&amp;$D1166&amp;$E1166,".","_"),"(","_"),")","")</f>
        <v>vnt703_3_2 _2</v>
      </c>
      <c r="AS1166" s="254" t="str">
        <f>IF(LEN(X1166)=0,"",X1166)</f>
        <v/>
      </c>
      <c r="AT1166" s="634"/>
      <c r="AU1166" s="634"/>
      <c r="AV1166" s="634"/>
      <c r="AW1166" s="634"/>
      <c r="AX1166" s="634"/>
      <c r="AY1166" s="634"/>
      <c r="AZ1166" s="634"/>
      <c r="BA1166" s="634"/>
      <c r="BB1166" s="634"/>
      <c r="BC1166" s="634"/>
      <c r="BD1166" s="634"/>
      <c r="BE1166" s="634"/>
      <c r="BF1166" s="634"/>
      <c r="BG1166" s="634"/>
      <c r="BH1166" s="634"/>
      <c r="BI1166" s="634"/>
    </row>
    <row r="1167" spans="1:61" x14ac:dyDescent="0.25">
      <c r="A1167" s="2371">
        <v>7</v>
      </c>
      <c r="B1167" s="2385" t="s">
        <v>916</v>
      </c>
      <c r="C1167" s="2374" t="s">
        <v>258</v>
      </c>
      <c r="D1167" s="2374" t="s">
        <v>256</v>
      </c>
      <c r="E1167" s="2374"/>
      <c r="F1167" s="2374"/>
      <c r="G1167" s="2373" t="str">
        <f ca="1">G1166</f>
        <v/>
      </c>
      <c r="H1167" s="2371" t="s">
        <v>3971</v>
      </c>
      <c r="I1167" s="4"/>
      <c r="J1167" s="230"/>
      <c r="K1167" s="639"/>
      <c r="L1167" s="1170" t="s">
        <v>3775</v>
      </c>
      <c r="M1167" s="1014">
        <f>IFERROR(INDEX({0,1,2,3,3,4,5,6},T1156),0)</f>
        <v>0</v>
      </c>
      <c r="N1167" s="1042"/>
      <c r="O1167" s="1042"/>
      <c r="P1167" s="94" t="b">
        <v>1</v>
      </c>
      <c r="Q1167" s="94" t="b">
        <v>1</v>
      </c>
      <c r="R1167" s="634" t="b">
        <v>0</v>
      </c>
      <c r="S1167" s="1108" t="b">
        <f ca="1">AND(S883=2,LEN(W1161)=0,LEN(W1170)=0,LEN(W1175)=0,LEN(W1181)=0,LEN(W1186)=0,LEN(W1188)=0,NOT(W1201=TRUE),LEN(W1206)=0)</f>
        <v>0</v>
      </c>
      <c r="T1167" s="94" t="b">
        <f ca="1">AND(NOT(S1167),LEN(W1167)&gt;0)</f>
        <v>0</v>
      </c>
      <c r="U1167" s="634"/>
      <c r="V1167" s="634"/>
      <c r="W1167" s="487"/>
      <c r="X1167" s="1757"/>
      <c r="Y1167" s="2081"/>
      <c r="Z1167" s="2083"/>
      <c r="AA1167" s="1526"/>
      <c r="AB1167" s="634"/>
      <c r="AC1167" s="970" t="b">
        <f ca="1">OR(AD1167:AE1167)</f>
        <v>0</v>
      </c>
      <c r="AD1167" s="970" t="b">
        <f ca="1">T1167</f>
        <v>0</v>
      </c>
      <c r="AE1167" s="970"/>
      <c r="AF1167" s="784"/>
      <c r="AG1167" s="634"/>
      <c r="AH1167" s="634"/>
      <c r="AI1167" s="634"/>
      <c r="AJ1167" s="634"/>
      <c r="AK1167" s="634"/>
      <c r="AL1167" s="254" t="str">
        <f>SUBSTITUTE(SUBSTITUTE(SUBSTITUTE("vpa"&amp;$B1167&amp;$C1167&amp;$D1167&amp;$E1167,".","_"),"(","_"),")","")</f>
        <v>vpa703_3_2 _2_1</v>
      </c>
      <c r="AM1167" s="254">
        <f>M1167</f>
        <v>0</v>
      </c>
      <c r="AN1167" s="1336"/>
      <c r="AO1167" s="1336"/>
      <c r="AP1167" s="254" t="str">
        <f>SUBSTITUTE(SUBSTITUTE(SUBSTITUTE("vch"&amp;$B1167&amp;$C1167&amp;$D1167&amp;$E1167,".","_"),"(","_"),")","")</f>
        <v>vch703_3_2 _2_1</v>
      </c>
      <c r="AQ1167" s="254" t="str">
        <f>IF(LEN(W1167)=0,"",W1167)</f>
        <v/>
      </c>
      <c r="AR1167" s="1336"/>
      <c r="AS1167" s="1336"/>
      <c r="AT1167" s="634"/>
      <c r="AU1167" s="634"/>
      <c r="AV1167" s="634"/>
      <c r="AW1167" s="634"/>
      <c r="AX1167" s="634"/>
      <c r="AY1167" s="634"/>
      <c r="AZ1167" s="634"/>
      <c r="BA1167" s="634"/>
      <c r="BB1167" s="634"/>
      <c r="BC1167" s="634"/>
      <c r="BD1167" s="634"/>
      <c r="BE1167" s="634"/>
      <c r="BF1167" s="634"/>
      <c r="BG1167" s="634"/>
      <c r="BH1167" s="634"/>
      <c r="BI1167" s="634"/>
    </row>
    <row r="1168" spans="1:61" x14ac:dyDescent="0.25">
      <c r="A1168" s="2371">
        <v>7</v>
      </c>
      <c r="B1168" s="2385" t="s">
        <v>916</v>
      </c>
      <c r="C1168" s="2374" t="s">
        <v>258</v>
      </c>
      <c r="D1168" s="2374" t="s">
        <v>258</v>
      </c>
      <c r="E1168" s="2374"/>
      <c r="F1168" s="2374"/>
      <c r="G1168" s="2373" t="str">
        <f ca="1">G1167</f>
        <v/>
      </c>
      <c r="H1168" s="2371" t="s">
        <v>3971</v>
      </c>
      <c r="I1168" s="4"/>
      <c r="J1168" s="637"/>
      <c r="K1168" s="637"/>
      <c r="L1168" s="1163" t="s">
        <v>3770</v>
      </c>
      <c r="M1168" s="1015">
        <f>IFERROR(INDEX({0,2,3,6,6,9,10,12},T1156),0)</f>
        <v>0</v>
      </c>
      <c r="N1168" s="1047"/>
      <c r="O1168" s="1047"/>
      <c r="P1168" s="756"/>
      <c r="Q1168" s="756"/>
      <c r="R1168" s="634"/>
      <c r="S1168" s="1108"/>
      <c r="T1168" s="634"/>
      <c r="U1168" s="634"/>
      <c r="V1168" s="634"/>
      <c r="W1168" s="634"/>
      <c r="X1168" s="1757"/>
      <c r="Y1168" s="2081"/>
      <c r="Z1168" s="2083"/>
      <c r="AA1168" s="1526"/>
      <c r="AB1168" s="634"/>
      <c r="AC1168" s="970"/>
      <c r="AD1168" s="970"/>
      <c r="AE1168" s="970"/>
      <c r="AF1168" s="634"/>
      <c r="AG1168" s="634"/>
      <c r="AH1168" s="634"/>
      <c r="AI1168" s="634"/>
      <c r="AJ1168" s="634"/>
      <c r="AK1168" s="634"/>
      <c r="AL1168" s="254" t="str">
        <f>SUBSTITUTE(SUBSTITUTE(SUBSTITUTE("vpa"&amp;$B1168&amp;$C1168&amp;$D1168&amp;$E1168,".","_"),"(","_"),")","")</f>
        <v>vpa703_3_2 _2_2</v>
      </c>
      <c r="AM1168" s="254">
        <f>M1168</f>
        <v>0</v>
      </c>
      <c r="AN1168" s="1336"/>
      <c r="AO1168" s="1336"/>
      <c r="AP1168" s="1336"/>
      <c r="AQ1168" s="1336"/>
      <c r="AR1168" s="1336"/>
      <c r="AS1168" s="1336"/>
      <c r="AT1168" s="634"/>
      <c r="AU1168" s="634"/>
      <c r="AV1168" s="634"/>
      <c r="AW1168" s="634"/>
      <c r="AX1168" s="634"/>
      <c r="AY1168" s="634"/>
      <c r="AZ1168" s="634"/>
      <c r="BA1168" s="634"/>
      <c r="BB1168" s="634"/>
      <c r="BC1168" s="634"/>
      <c r="BD1168" s="634"/>
      <c r="BE1168" s="634"/>
      <c r="BF1168" s="634"/>
      <c r="BG1168" s="634"/>
      <c r="BH1168" s="634"/>
      <c r="BI1168" s="634"/>
    </row>
    <row r="1169" spans="1:61" x14ac:dyDescent="0.25">
      <c r="A1169" s="2371">
        <v>7</v>
      </c>
      <c r="B1169" s="2385" t="s">
        <v>916</v>
      </c>
      <c r="C1169" s="2374" t="s">
        <v>260</v>
      </c>
      <c r="D1169" s="2374"/>
      <c r="E1169" s="2374"/>
      <c r="F1169" s="2374"/>
      <c r="G1169" s="2373" t="str">
        <f ca="1">IF(N1169&gt;0,"P","")</f>
        <v/>
      </c>
      <c r="H1169" s="2371" t="s">
        <v>3971</v>
      </c>
      <c r="I1169" s="4"/>
      <c r="J1169" s="230" t="s">
        <v>260</v>
      </c>
      <c r="K1169" s="639"/>
      <c r="L1169" s="1170" t="s">
        <v>920</v>
      </c>
      <c r="M1169" s="1014"/>
      <c r="N1169" s="1042">
        <f ca="1">'Ch7'!O299</f>
        <v>0</v>
      </c>
      <c r="O1169" s="1042">
        <f ca="1">IFERROR(INDEX(M1170:M1173,MATCH(W1170,{0.85,0.9,0.94,0.96},1)),0)*S1170</f>
        <v>0</v>
      </c>
      <c r="P1169" s="756"/>
      <c r="Q1169" s="756"/>
      <c r="R1169" s="634"/>
      <c r="S1169" s="1108"/>
      <c r="T1169" s="634"/>
      <c r="U1169" s="634"/>
      <c r="V1169" s="634"/>
      <c r="W1169" s="634" t="s">
        <v>3785</v>
      </c>
      <c r="X1169" s="1757"/>
      <c r="Y1169" s="2081" t="str">
        <f>IF(LEN('Ch7'!X299)=0,"None",'Ch7'!X299)</f>
        <v>None</v>
      </c>
      <c r="Z1169" s="2083"/>
      <c r="AA1169" s="1526"/>
      <c r="AB1169" s="634"/>
      <c r="AC1169" s="970"/>
      <c r="AD1169" s="970"/>
      <c r="AE1169" s="970"/>
      <c r="AF1169" s="634"/>
      <c r="AG1169" s="634"/>
      <c r="AH1169" s="634"/>
      <c r="AI1169" s="634"/>
      <c r="AJ1169" s="634"/>
      <c r="AK1169" s="634"/>
      <c r="AL1169" s="1336"/>
      <c r="AM1169" s="1336"/>
      <c r="AN1169" s="254" t="str">
        <f>SUBSTITUTE(SUBSTITUTE(SUBSTITUTE("vpc"&amp;$B1169&amp;$C1169&amp;$D1169&amp;$E1169,".","_"),"(","_"),")","")</f>
        <v>vpc703_3_2 _3</v>
      </c>
      <c r="AO1169" s="254">
        <f ca="1">O1169</f>
        <v>0</v>
      </c>
      <c r="AP1169" s="1336"/>
      <c r="AQ1169" s="1336"/>
      <c r="AR1169" s="254" t="str">
        <f>SUBSTITUTE(SUBSTITUTE(SUBSTITUTE("vnt"&amp;$B1169&amp;$C1169&amp;$D1169&amp;$E1169,".","_"),"(","_"),")","")</f>
        <v>vnt703_3_2 _3</v>
      </c>
      <c r="AS1169" s="254" t="str">
        <f>IF(LEN(X1169)=0,"",X1169)</f>
        <v/>
      </c>
      <c r="AT1169" s="634"/>
      <c r="AU1169" s="634"/>
      <c r="AV1169" s="634"/>
      <c r="AW1169" s="634"/>
      <c r="AX1169" s="634"/>
      <c r="AY1169" s="634"/>
      <c r="AZ1169" s="634"/>
      <c r="BA1169" s="634"/>
      <c r="BB1169" s="634"/>
      <c r="BC1169" s="634"/>
      <c r="BD1169" s="634"/>
      <c r="BE1169" s="634"/>
      <c r="BF1169" s="634"/>
      <c r="BG1169" s="634"/>
      <c r="BH1169" s="634"/>
      <c r="BI1169" s="634"/>
    </row>
    <row r="1170" spans="1:61" x14ac:dyDescent="0.25">
      <c r="A1170" s="2371">
        <v>7</v>
      </c>
      <c r="B1170" s="2385" t="s">
        <v>916</v>
      </c>
      <c r="C1170" s="2374" t="s">
        <v>260</v>
      </c>
      <c r="D1170" s="2374" t="s">
        <v>256</v>
      </c>
      <c r="E1170" s="2374"/>
      <c r="F1170" s="2374"/>
      <c r="G1170" s="2373" t="str">
        <f ca="1">G1169</f>
        <v/>
      </c>
      <c r="H1170" s="2371" t="s">
        <v>3971</v>
      </c>
      <c r="I1170" s="4"/>
      <c r="J1170" s="230"/>
      <c r="K1170" s="639"/>
      <c r="L1170" s="1170" t="s">
        <v>3775</v>
      </c>
      <c r="M1170" s="1014">
        <f>IFERROR(INDEX({0,1,1,2,3,4,4,4},T1156),0)</f>
        <v>0</v>
      </c>
      <c r="N1170" s="1042"/>
      <c r="O1170" s="1042"/>
      <c r="P1170" s="94" t="b">
        <v>1</v>
      </c>
      <c r="Q1170" s="94" t="b">
        <v>1</v>
      </c>
      <c r="R1170" s="634" t="b">
        <v>0</v>
      </c>
      <c r="S1170" s="1108" t="b">
        <f ca="1">AND(S883=2,LEN(W1161)=0,LEN(W1167)=0,LEN(W1175)=0,LEN(W1181)=0,LEN(W1186)=0,LEN(W1188)=0,NOT(W1201=TRUE),LEN(W1206)=0)</f>
        <v>0</v>
      </c>
      <c r="T1170" s="94" t="b">
        <f ca="1">AND(NOT(S1170),LEN(W1170)&gt;0)</f>
        <v>0</v>
      </c>
      <c r="U1170" s="634"/>
      <c r="V1170" s="634"/>
      <c r="W1170" s="487"/>
      <c r="X1170" s="1757"/>
      <c r="Y1170" s="2081"/>
      <c r="Z1170" s="2083"/>
      <c r="AA1170" s="1526"/>
      <c r="AB1170" s="634"/>
      <c r="AC1170" s="970" t="b">
        <f ca="1">OR(AD1170:AE1170)</f>
        <v>0</v>
      </c>
      <c r="AD1170" s="970" t="b">
        <f ca="1">T1170</f>
        <v>0</v>
      </c>
      <c r="AE1170" s="970"/>
      <c r="AF1170" s="784"/>
      <c r="AG1170" s="634"/>
      <c r="AH1170" s="634"/>
      <c r="AI1170" s="634"/>
      <c r="AJ1170" s="634"/>
      <c r="AK1170" s="634"/>
      <c r="AL1170" s="254" t="str">
        <f>SUBSTITUTE(SUBSTITUTE(SUBSTITUTE("vpa"&amp;$B1170&amp;$C1170&amp;$D1170&amp;$E1170,".","_"),"(","_"),")","")</f>
        <v>vpa703_3_2 _3_1</v>
      </c>
      <c r="AM1170" s="254">
        <f>M1170</f>
        <v>0</v>
      </c>
      <c r="AN1170" s="1336"/>
      <c r="AO1170" s="1336"/>
      <c r="AP1170" s="254" t="str">
        <f>SUBSTITUTE(SUBSTITUTE(SUBSTITUTE("vch"&amp;$B1170&amp;$C1170&amp;$D1170&amp;$E1170,".","_"),"(","_"),")","")</f>
        <v>vch703_3_2 _3_1</v>
      </c>
      <c r="AQ1170" s="254" t="str">
        <f>IF(LEN(W1170)=0,"",W1170)</f>
        <v/>
      </c>
      <c r="AR1170" s="1336"/>
      <c r="AS1170" s="1336"/>
      <c r="AT1170" s="634"/>
      <c r="AU1170" s="634"/>
      <c r="AV1170" s="634"/>
      <c r="AW1170" s="634"/>
      <c r="AX1170" s="634"/>
      <c r="AY1170" s="634"/>
      <c r="AZ1170" s="634"/>
      <c r="BA1170" s="634"/>
      <c r="BB1170" s="634"/>
      <c r="BC1170" s="634"/>
      <c r="BD1170" s="634"/>
      <c r="BE1170" s="634"/>
      <c r="BF1170" s="634"/>
      <c r="BG1170" s="634"/>
      <c r="BH1170" s="634"/>
      <c r="BI1170" s="634"/>
    </row>
    <row r="1171" spans="1:61" x14ac:dyDescent="0.25">
      <c r="A1171" s="2371">
        <v>7</v>
      </c>
      <c r="B1171" s="2385" t="s">
        <v>916</v>
      </c>
      <c r="C1171" s="2374" t="s">
        <v>260</v>
      </c>
      <c r="D1171" s="2374" t="s">
        <v>258</v>
      </c>
      <c r="E1171" s="2374"/>
      <c r="F1171" s="2374"/>
      <c r="G1171" s="2373" t="str">
        <f ca="1">G1170</f>
        <v/>
      </c>
      <c r="H1171" s="2371" t="s">
        <v>3971</v>
      </c>
      <c r="I1171" s="4"/>
      <c r="J1171" s="230"/>
      <c r="K1171" s="639"/>
      <c r="L1171" s="1170" t="s">
        <v>3770</v>
      </c>
      <c r="M1171" s="1014">
        <f>IFERROR(INDEX({0,1,2,4,6,7,8,6},T1156),0)</f>
        <v>0</v>
      </c>
      <c r="N1171" s="1042"/>
      <c r="O1171" s="1042"/>
      <c r="P1171" s="756"/>
      <c r="Q1171" s="756"/>
      <c r="R1171" s="634"/>
      <c r="S1171" s="1108"/>
      <c r="T1171" s="634"/>
      <c r="U1171" s="634"/>
      <c r="V1171" s="634"/>
      <c r="W1171" s="634"/>
      <c r="X1171" s="1757"/>
      <c r="Y1171" s="2081"/>
      <c r="Z1171" s="2083"/>
      <c r="AA1171" s="1526"/>
      <c r="AB1171" s="634"/>
      <c r="AC1171" s="970"/>
      <c r="AD1171" s="970"/>
      <c r="AE1171" s="970"/>
      <c r="AF1171" s="634"/>
      <c r="AG1171" s="634"/>
      <c r="AH1171" s="634"/>
      <c r="AI1171" s="634"/>
      <c r="AJ1171" s="634"/>
      <c r="AK1171" s="634"/>
      <c r="AL1171" s="254" t="str">
        <f>SUBSTITUTE(SUBSTITUTE(SUBSTITUTE("vpa"&amp;$B1171&amp;$C1171&amp;$D1171&amp;$E1171,".","_"),"(","_"),")","")</f>
        <v>vpa703_3_2 _3_2</v>
      </c>
      <c r="AM1171" s="254">
        <f>M1171</f>
        <v>0</v>
      </c>
      <c r="AN1171" s="1336"/>
      <c r="AO1171" s="1336"/>
      <c r="AP1171" s="1336"/>
      <c r="AQ1171" s="1336"/>
      <c r="AR1171" s="1336"/>
      <c r="AS1171" s="1336"/>
      <c r="AT1171" s="634"/>
      <c r="AU1171" s="634"/>
      <c r="AV1171" s="634"/>
      <c r="AW1171" s="634"/>
      <c r="AX1171" s="634"/>
      <c r="AY1171" s="634"/>
      <c r="AZ1171" s="634"/>
      <c r="BA1171" s="634"/>
      <c r="BB1171" s="634"/>
      <c r="BC1171" s="634"/>
      <c r="BD1171" s="634"/>
      <c r="BE1171" s="634"/>
      <c r="BF1171" s="634"/>
      <c r="BG1171" s="634"/>
      <c r="BH1171" s="634"/>
      <c r="BI1171" s="634"/>
    </row>
    <row r="1172" spans="1:61" x14ac:dyDescent="0.25">
      <c r="A1172" s="2371">
        <v>7</v>
      </c>
      <c r="B1172" s="2385" t="s">
        <v>916</v>
      </c>
      <c r="C1172" s="2374" t="s">
        <v>260</v>
      </c>
      <c r="D1172" s="2374" t="s">
        <v>260</v>
      </c>
      <c r="E1172" s="2374"/>
      <c r="F1172" s="2374"/>
      <c r="G1172" s="2373" t="str">
        <f ca="1">G1171</f>
        <v/>
      </c>
      <c r="H1172" s="2371" t="s">
        <v>3971</v>
      </c>
      <c r="I1172" s="4"/>
      <c r="J1172" s="230"/>
      <c r="K1172" s="639"/>
      <c r="L1172" s="1170" t="s">
        <v>3772</v>
      </c>
      <c r="M1172" s="1014">
        <f>IFERROR(INDEX({0,2,3,5,8,9,10,8},T1156),0)</f>
        <v>0</v>
      </c>
      <c r="N1172" s="1042"/>
      <c r="O1172" s="1042"/>
      <c r="P1172" s="756"/>
      <c r="Q1172" s="756"/>
      <c r="R1172" s="634"/>
      <c r="S1172" s="1108"/>
      <c r="T1172" s="634"/>
      <c r="U1172" s="634"/>
      <c r="V1172" s="634"/>
      <c r="W1172" s="634"/>
      <c r="X1172" s="1757"/>
      <c r="Y1172" s="2081"/>
      <c r="Z1172" s="2083"/>
      <c r="AA1172" s="1526"/>
      <c r="AB1172" s="634"/>
      <c r="AC1172" s="970"/>
      <c r="AD1172" s="970"/>
      <c r="AE1172" s="970"/>
      <c r="AF1172" s="634"/>
      <c r="AG1172" s="634"/>
      <c r="AH1172" s="634"/>
      <c r="AI1172" s="634"/>
      <c r="AJ1172" s="634"/>
      <c r="AK1172" s="634"/>
      <c r="AL1172" s="254" t="str">
        <f>SUBSTITUTE(SUBSTITUTE(SUBSTITUTE("vpa"&amp;$B1172&amp;$C1172&amp;$D1172&amp;$E1172,".","_"),"(","_"),")","")</f>
        <v>vpa703_3_2 _3_3</v>
      </c>
      <c r="AM1172" s="254">
        <f>M1172</f>
        <v>0</v>
      </c>
      <c r="AN1172" s="1336"/>
      <c r="AO1172" s="1336"/>
      <c r="AP1172" s="1336"/>
      <c r="AQ1172" s="1336"/>
      <c r="AR1172" s="1336"/>
      <c r="AS1172" s="1336"/>
      <c r="AT1172" s="634"/>
      <c r="AU1172" s="634"/>
      <c r="AV1172" s="634"/>
      <c r="AW1172" s="634"/>
      <c r="AX1172" s="634"/>
      <c r="AY1172" s="634"/>
      <c r="AZ1172" s="634"/>
      <c r="BA1172" s="634"/>
      <c r="BB1172" s="634"/>
      <c r="BC1172" s="634"/>
      <c r="BD1172" s="634"/>
      <c r="BE1172" s="634"/>
      <c r="BF1172" s="634"/>
      <c r="BG1172" s="634"/>
      <c r="BH1172" s="634"/>
      <c r="BI1172" s="634"/>
    </row>
    <row r="1173" spans="1:61" x14ac:dyDescent="0.25">
      <c r="A1173" s="2371">
        <v>7</v>
      </c>
      <c r="B1173" s="2385" t="s">
        <v>916</v>
      </c>
      <c r="C1173" s="2374" t="s">
        <v>260</v>
      </c>
      <c r="D1173" s="2374" t="s">
        <v>269</v>
      </c>
      <c r="E1173" s="2374"/>
      <c r="F1173" s="2374"/>
      <c r="G1173" s="2373" t="str">
        <f ca="1">G1172</f>
        <v/>
      </c>
      <c r="H1173" s="2371" t="s">
        <v>3971</v>
      </c>
      <c r="I1173" s="4"/>
      <c r="J1173" s="637"/>
      <c r="K1173" s="637"/>
      <c r="L1173" s="1163" t="s">
        <v>3773</v>
      </c>
      <c r="M1173" s="1015">
        <f>IFERROR(INDEX({0,2,4,6,9,11,12,10},T1156),0)</f>
        <v>0</v>
      </c>
      <c r="N1173" s="1047"/>
      <c r="O1173" s="1047"/>
      <c r="P1173" s="756"/>
      <c r="Q1173" s="756"/>
      <c r="R1173" s="634"/>
      <c r="S1173" s="1108"/>
      <c r="T1173" s="634"/>
      <c r="U1173" s="634"/>
      <c r="V1173" s="634"/>
      <c r="W1173" s="634"/>
      <c r="X1173" s="1757"/>
      <c r="Y1173" s="2081"/>
      <c r="Z1173" s="2083"/>
      <c r="AA1173" s="1526"/>
      <c r="AB1173" s="634"/>
      <c r="AC1173" s="970"/>
      <c r="AD1173" s="970"/>
      <c r="AE1173" s="970"/>
      <c r="AF1173" s="634"/>
      <c r="AG1173" s="634"/>
      <c r="AH1173" s="634"/>
      <c r="AI1173" s="634"/>
      <c r="AJ1173" s="634"/>
      <c r="AK1173" s="634"/>
      <c r="AL1173" s="254" t="str">
        <f>SUBSTITUTE(SUBSTITUTE(SUBSTITUTE("vpa"&amp;$B1173&amp;$C1173&amp;$D1173&amp;$E1173,".","_"),"(","_"),")","")</f>
        <v>vpa703_3_2 _3_4</v>
      </c>
      <c r="AM1173" s="254">
        <f>M1173</f>
        <v>0</v>
      </c>
      <c r="AN1173" s="1336"/>
      <c r="AO1173" s="1336"/>
      <c r="AP1173" s="1336"/>
      <c r="AQ1173" s="1336"/>
      <c r="AR1173" s="1336"/>
      <c r="AS1173" s="1336"/>
      <c r="AT1173" s="634"/>
      <c r="AU1173" s="634"/>
      <c r="AV1173" s="634"/>
      <c r="AW1173" s="634"/>
      <c r="AX1173" s="634"/>
      <c r="AY1173" s="634"/>
      <c r="AZ1173" s="634"/>
      <c r="BA1173" s="634"/>
      <c r="BB1173" s="634"/>
      <c r="BC1173" s="634"/>
      <c r="BD1173" s="634"/>
      <c r="BE1173" s="634"/>
      <c r="BF1173" s="634"/>
      <c r="BG1173" s="634"/>
      <c r="BH1173" s="634"/>
      <c r="BI1173" s="634"/>
    </row>
    <row r="1174" spans="1:61" x14ac:dyDescent="0.25">
      <c r="A1174" s="2371">
        <v>7</v>
      </c>
      <c r="B1174" s="2385" t="s">
        <v>916</v>
      </c>
      <c r="C1174" s="2374" t="s">
        <v>269</v>
      </c>
      <c r="D1174" s="2374"/>
      <c r="E1174" s="2374"/>
      <c r="F1174" s="2374"/>
      <c r="G1174" s="2373" t="str">
        <f ca="1">IF(N1174&gt;0,"P","")</f>
        <v/>
      </c>
      <c r="H1174" s="2371" t="s">
        <v>3971</v>
      </c>
      <c r="I1174" s="4"/>
      <c r="J1174" s="230" t="s">
        <v>269</v>
      </c>
      <c r="K1174" s="639"/>
      <c r="L1174" s="1170" t="s">
        <v>921</v>
      </c>
      <c r="M1174" s="1014"/>
      <c r="N1174" s="1042">
        <f ca="1">'Ch7'!O304</f>
        <v>0</v>
      </c>
      <c r="O1174" s="1042">
        <f ca="1">IFERROR(INDEX(M1175:M1176,MATCH(W1175,{0.85,0.9},1)),0)*S1175</f>
        <v>0</v>
      </c>
      <c r="P1174" s="756"/>
      <c r="Q1174" s="756"/>
      <c r="R1174" s="634"/>
      <c r="S1174" s="1108"/>
      <c r="T1174" s="634"/>
      <c r="U1174" s="634"/>
      <c r="V1174" s="634"/>
      <c r="W1174" s="634" t="s">
        <v>3785</v>
      </c>
      <c r="X1174" s="1757"/>
      <c r="Y1174" s="2081" t="str">
        <f>IF(LEN('Ch7'!X304)=0,"None",'Ch7'!X304)</f>
        <v>None</v>
      </c>
      <c r="Z1174" s="2083"/>
      <c r="AA1174" s="1526"/>
      <c r="AB1174" s="634"/>
      <c r="AC1174" s="970"/>
      <c r="AD1174" s="970"/>
      <c r="AE1174" s="970"/>
      <c r="AF1174" s="634"/>
      <c r="AG1174" s="634"/>
      <c r="AH1174" s="634"/>
      <c r="AI1174" s="634"/>
      <c r="AJ1174" s="634"/>
      <c r="AK1174" s="634"/>
      <c r="AL1174" s="1336"/>
      <c r="AM1174" s="1336"/>
      <c r="AN1174" s="254" t="str">
        <f>SUBSTITUTE(SUBSTITUTE(SUBSTITUTE("vpc"&amp;$B1174&amp;$C1174&amp;$D1174&amp;$E1174,".","_"),"(","_"),")","")</f>
        <v>vpc703_3_2 _4</v>
      </c>
      <c r="AO1174" s="254">
        <f ca="1">O1174</f>
        <v>0</v>
      </c>
      <c r="AP1174" s="1336"/>
      <c r="AQ1174" s="1336"/>
      <c r="AR1174" s="254" t="str">
        <f>SUBSTITUTE(SUBSTITUTE(SUBSTITUTE("vnt"&amp;$B1174&amp;$C1174&amp;$D1174&amp;$E1174,".","_"),"(","_"),")","")</f>
        <v>vnt703_3_2 _4</v>
      </c>
      <c r="AS1174" s="254" t="str">
        <f>IF(LEN(X1174)=0,"",X1174)</f>
        <v/>
      </c>
      <c r="AT1174" s="634"/>
      <c r="AU1174" s="634"/>
      <c r="AV1174" s="634"/>
      <c r="AW1174" s="634"/>
      <c r="AX1174" s="634"/>
      <c r="AY1174" s="634"/>
      <c r="AZ1174" s="634"/>
      <c r="BA1174" s="634"/>
      <c r="BB1174" s="634"/>
      <c r="BC1174" s="634"/>
      <c r="BD1174" s="634"/>
      <c r="BE1174" s="634"/>
      <c r="BF1174" s="634"/>
      <c r="BG1174" s="634"/>
      <c r="BH1174" s="634"/>
      <c r="BI1174" s="634"/>
    </row>
    <row r="1175" spans="1:61" x14ac:dyDescent="0.25">
      <c r="A1175" s="2371">
        <v>7</v>
      </c>
      <c r="B1175" s="2385" t="s">
        <v>916</v>
      </c>
      <c r="C1175" s="2374" t="s">
        <v>269</v>
      </c>
      <c r="D1175" s="2374" t="s">
        <v>256</v>
      </c>
      <c r="E1175" s="2374"/>
      <c r="F1175" s="2374"/>
      <c r="G1175" s="2373" t="str">
        <f ca="1">G1174</f>
        <v/>
      </c>
      <c r="H1175" s="2371" t="s">
        <v>3971</v>
      </c>
      <c r="I1175" s="4"/>
      <c r="J1175" s="230"/>
      <c r="K1175" s="639"/>
      <c r="L1175" s="1170" t="s">
        <v>3775</v>
      </c>
      <c r="M1175" s="1014">
        <f>IFERROR(INDEX({0,1,1,3,3,4,4,5},T1156),0)</f>
        <v>0</v>
      </c>
      <c r="N1175" s="1042"/>
      <c r="O1175" s="1042"/>
      <c r="P1175" s="94" t="b">
        <v>1</v>
      </c>
      <c r="Q1175" s="94" t="b">
        <v>1</v>
      </c>
      <c r="R1175" s="634" t="b">
        <v>0</v>
      </c>
      <c r="S1175" s="1108" t="b">
        <f ca="1">AND(S883=2,LEN(W1161)=0,LEN(W1167)=0,LEN(W1170)=0,LEN(W1181)=0,LEN(W1186)=0,LEN(W1188)=0,NOT(W1201=TRUE),LEN(W1206)=0)</f>
        <v>0</v>
      </c>
      <c r="T1175" s="94" t="b">
        <f ca="1">AND(NOT(S1175),LEN(W1175)&gt;0)</f>
        <v>0</v>
      </c>
      <c r="U1175" s="634"/>
      <c r="V1175" s="634"/>
      <c r="W1175" s="487"/>
      <c r="X1175" s="1757"/>
      <c r="Y1175" s="2081"/>
      <c r="Z1175" s="2083"/>
      <c r="AA1175" s="1526"/>
      <c r="AB1175" s="634"/>
      <c r="AC1175" s="970" t="b">
        <f ca="1">OR(AD1175:AE1175)</f>
        <v>0</v>
      </c>
      <c r="AD1175" s="970" t="b">
        <f ca="1">T1175</f>
        <v>0</v>
      </c>
      <c r="AE1175" s="970"/>
      <c r="AF1175" s="784"/>
      <c r="AG1175" s="634"/>
      <c r="AH1175" s="634"/>
      <c r="AI1175" s="634"/>
      <c r="AJ1175" s="634"/>
      <c r="AK1175" s="634"/>
      <c r="AL1175" s="254" t="str">
        <f>SUBSTITUTE(SUBSTITUTE(SUBSTITUTE("vpa"&amp;$B1175&amp;$C1175&amp;$D1175&amp;$E1175,".","_"),"(","_"),")","")</f>
        <v>vpa703_3_2 _4_1</v>
      </c>
      <c r="AM1175" s="254">
        <f>M1175</f>
        <v>0</v>
      </c>
      <c r="AN1175" s="1336"/>
      <c r="AO1175" s="1336"/>
      <c r="AP1175" s="254" t="str">
        <f>SUBSTITUTE(SUBSTITUTE(SUBSTITUTE("vch"&amp;$B1175&amp;$C1175&amp;$D1175&amp;$E1175,".","_"),"(","_"),")","")</f>
        <v>vch703_3_2 _4_1</v>
      </c>
      <c r="AQ1175" s="254" t="str">
        <f>IF(LEN(W1175)=0,"",W1175)</f>
        <v/>
      </c>
      <c r="AR1175" s="1336"/>
      <c r="AS1175" s="1336"/>
      <c r="AT1175" s="634"/>
      <c r="AU1175" s="634"/>
      <c r="AV1175" s="634"/>
      <c r="AW1175" s="634"/>
      <c r="AX1175" s="634"/>
      <c r="AY1175" s="634"/>
      <c r="AZ1175" s="634"/>
      <c r="BA1175" s="634"/>
      <c r="BB1175" s="634"/>
      <c r="BC1175" s="634"/>
      <c r="BD1175" s="634"/>
      <c r="BE1175" s="634"/>
      <c r="BF1175" s="634"/>
      <c r="BG1175" s="634"/>
      <c r="BH1175" s="634"/>
      <c r="BI1175" s="634"/>
    </row>
    <row r="1176" spans="1:61" x14ac:dyDescent="0.25">
      <c r="A1176" s="2371">
        <v>7</v>
      </c>
      <c r="B1176" s="2385" t="s">
        <v>916</v>
      </c>
      <c r="C1176" s="2374" t="s">
        <v>269</v>
      </c>
      <c r="D1176" s="2374" t="s">
        <v>258</v>
      </c>
      <c r="E1176" s="2374"/>
      <c r="F1176" s="2374"/>
      <c r="G1176" s="2373" t="str">
        <f ca="1">G1175</f>
        <v/>
      </c>
      <c r="H1176" s="2371" t="s">
        <v>3971</v>
      </c>
      <c r="I1176" s="210"/>
      <c r="J1176" s="637"/>
      <c r="K1176" s="637"/>
      <c r="L1176" s="1163" t="s">
        <v>3770</v>
      </c>
      <c r="M1176" s="1015">
        <f>IFERROR(INDEX({1,2,3,5,6,7,9,10},T1156),0)</f>
        <v>0</v>
      </c>
      <c r="N1176" s="1042"/>
      <c r="O1176" s="1042"/>
      <c r="P1176" s="756"/>
      <c r="Q1176" s="756"/>
      <c r="R1176" s="634"/>
      <c r="S1176" s="1108"/>
      <c r="T1176" s="634"/>
      <c r="U1176" s="634"/>
      <c r="V1176" s="634"/>
      <c r="W1176" s="634"/>
      <c r="X1176" s="1757"/>
      <c r="Y1176" s="2081"/>
      <c r="Z1176" s="2083"/>
      <c r="AA1176" s="1526"/>
      <c r="AB1176" s="634"/>
      <c r="AC1176" s="970"/>
      <c r="AD1176" s="970"/>
      <c r="AE1176" s="970"/>
      <c r="AF1176" s="634"/>
      <c r="AG1176" s="634"/>
      <c r="AH1176" s="634"/>
      <c r="AI1176" s="634"/>
      <c r="AJ1176" s="634"/>
      <c r="AK1176" s="634"/>
      <c r="AL1176" s="254" t="str">
        <f>SUBSTITUTE(SUBSTITUTE(SUBSTITUTE("vpa"&amp;$B1176&amp;$C1176&amp;$D1176&amp;$E1176,".","_"),"(","_"),")","")</f>
        <v>vpa703_3_2 _4_2</v>
      </c>
      <c r="AM1176" s="254">
        <f>M1176</f>
        <v>0</v>
      </c>
      <c r="AN1176" s="1336"/>
      <c r="AO1176" s="1336"/>
      <c r="AP1176" s="1336"/>
      <c r="AQ1176" s="1336"/>
      <c r="AR1176" s="1336"/>
      <c r="AS1176" s="1336"/>
      <c r="AT1176" s="634"/>
      <c r="AU1176" s="634"/>
      <c r="AV1176" s="634"/>
      <c r="AW1176" s="634"/>
      <c r="AX1176" s="634"/>
      <c r="AY1176" s="634"/>
      <c r="AZ1176" s="634"/>
      <c r="BA1176" s="634"/>
      <c r="BB1176" s="634"/>
      <c r="BC1176" s="634"/>
      <c r="BD1176" s="634"/>
      <c r="BE1176" s="634"/>
      <c r="BF1176" s="634"/>
      <c r="BG1176" s="634"/>
      <c r="BH1176" s="634"/>
      <c r="BI1176" s="634"/>
    </row>
    <row r="1177" spans="1:61" x14ac:dyDescent="0.25">
      <c r="A1177" s="2371">
        <v>7</v>
      </c>
      <c r="B1177" s="2381" t="s">
        <v>922</v>
      </c>
      <c r="C1177" s="2381"/>
      <c r="D1177" s="2374"/>
      <c r="E1177" s="2374"/>
      <c r="F1177" s="2374"/>
      <c r="G1177" s="2363" t="str">
        <f ca="1">IF(COUNTIF(G1180:G1188,"P")&gt;0,"P","")</f>
        <v/>
      </c>
      <c r="H1177" s="2371" t="s">
        <v>3971</v>
      </c>
      <c r="I1177" s="66" t="s">
        <v>922</v>
      </c>
      <c r="J1177" s="639"/>
      <c r="K1177" s="639"/>
      <c r="L1177" s="1796" t="s">
        <v>923</v>
      </c>
      <c r="M1177" s="1014"/>
      <c r="N1177" s="1042"/>
      <c r="O1177" s="1042"/>
      <c r="P1177" s="756"/>
      <c r="Q1177" s="756"/>
      <c r="R1177" s="634"/>
      <c r="S1177" s="1108"/>
      <c r="T1177" s="634"/>
      <c r="U1177" s="634"/>
      <c r="V1177" s="634"/>
      <c r="W1177" s="634"/>
      <c r="X1177" s="911"/>
      <c r="Y1177" s="634"/>
      <c r="AA1177" s="1526"/>
      <c r="AB1177" s="634"/>
      <c r="AC1177" s="970"/>
      <c r="AD1177" s="970"/>
      <c r="AE1177" s="970"/>
      <c r="AF1177" s="634"/>
      <c r="AG1177" s="634"/>
      <c r="AH1177" s="634"/>
      <c r="AI1177" s="634"/>
      <c r="AJ1177" s="634"/>
      <c r="AK1177" s="634"/>
      <c r="AL1177" s="1336"/>
      <c r="AM1177" s="1336"/>
      <c r="AN1177" s="1336"/>
      <c r="AO1177" s="1336"/>
      <c r="AP1177" s="1336"/>
      <c r="AQ1177" s="1336"/>
      <c r="AR1177" s="1336"/>
      <c r="AS1177" s="1336"/>
      <c r="AT1177" s="634"/>
      <c r="AU1177" s="634"/>
      <c r="AV1177" s="634"/>
      <c r="AW1177" s="634"/>
      <c r="AX1177" s="634"/>
      <c r="AY1177" s="634"/>
      <c r="AZ1177" s="634"/>
      <c r="BA1177" s="634"/>
      <c r="BB1177" s="634"/>
      <c r="BC1177" s="634"/>
      <c r="BD1177" s="634"/>
      <c r="BE1177" s="634"/>
      <c r="BF1177" s="634"/>
      <c r="BG1177" s="634"/>
      <c r="BH1177" s="634"/>
      <c r="BI1177" s="634"/>
    </row>
    <row r="1178" spans="1:61" x14ac:dyDescent="0.25">
      <c r="A1178" s="2371">
        <v>7</v>
      </c>
      <c r="B1178" s="2381" t="s">
        <v>922</v>
      </c>
      <c r="C1178" s="2381"/>
      <c r="D1178" s="2374"/>
      <c r="E1178" s="2374"/>
      <c r="F1178" s="2374"/>
      <c r="G1178" s="2373" t="str">
        <f ca="1">G1177</f>
        <v/>
      </c>
      <c r="H1178" s="2371" t="s">
        <v>3971</v>
      </c>
      <c r="I1178" s="4"/>
      <c r="J1178" s="639"/>
      <c r="K1178" s="639"/>
      <c r="L1178" s="1796"/>
      <c r="M1178" s="1014"/>
      <c r="N1178" s="1042"/>
      <c r="O1178" s="1042"/>
      <c r="P1178" s="756"/>
      <c r="Q1178" s="756"/>
      <c r="R1178" s="634"/>
      <c r="S1178" s="1108"/>
      <c r="T1178" s="634"/>
      <c r="U1178" s="634"/>
      <c r="V1178" s="634"/>
      <c r="W1178" s="634"/>
      <c r="X1178" s="911"/>
      <c r="Y1178" s="634"/>
      <c r="AA1178" s="1526"/>
      <c r="AB1178" s="634"/>
      <c r="AC1178" s="970"/>
      <c r="AD1178" s="970"/>
      <c r="AE1178" s="970"/>
      <c r="AF1178" s="634"/>
      <c r="AG1178" s="634"/>
      <c r="AH1178" s="634"/>
      <c r="AI1178" s="634"/>
      <c r="AJ1178" s="634"/>
      <c r="AK1178" s="634"/>
      <c r="AL1178" s="1336"/>
      <c r="AM1178" s="1336"/>
      <c r="AN1178" s="1336"/>
      <c r="AO1178" s="1336"/>
      <c r="AP1178" s="1336"/>
      <c r="AQ1178" s="1336"/>
      <c r="AR1178" s="1336"/>
      <c r="AS1178" s="1336"/>
      <c r="AT1178" s="634"/>
      <c r="AU1178" s="634"/>
      <c r="AV1178" s="634"/>
      <c r="AW1178" s="634"/>
      <c r="AX1178" s="634"/>
      <c r="AY1178" s="634"/>
      <c r="AZ1178" s="634"/>
      <c r="BA1178" s="634"/>
      <c r="BB1178" s="634"/>
      <c r="BC1178" s="634"/>
      <c r="BD1178" s="634"/>
      <c r="BE1178" s="634"/>
      <c r="BF1178" s="634"/>
      <c r="BG1178" s="634"/>
      <c r="BH1178" s="634"/>
      <c r="BI1178" s="634"/>
    </row>
    <row r="1179" spans="1:61" x14ac:dyDescent="0.25">
      <c r="A1179" s="2371">
        <v>7</v>
      </c>
      <c r="B1179" s="2381" t="s">
        <v>922</v>
      </c>
      <c r="C1179" s="2381"/>
      <c r="D1179" s="2374"/>
      <c r="E1179" s="2374"/>
      <c r="F1179" s="2374"/>
      <c r="G1179" s="2373" t="str">
        <f ca="1">G1178</f>
        <v/>
      </c>
      <c r="H1179" s="2371" t="s">
        <v>3971</v>
      </c>
      <c r="I1179" s="4"/>
      <c r="J1179" s="639"/>
      <c r="K1179" s="639"/>
      <c r="L1179" s="1796"/>
      <c r="M1179" s="1014"/>
      <c r="N1179" s="1042"/>
      <c r="O1179" s="1042"/>
      <c r="P1179" s="756"/>
      <c r="Q1179" s="756"/>
      <c r="R1179" s="634"/>
      <c r="S1179" s="1108"/>
      <c r="T1179" s="634"/>
      <c r="U1179" s="634"/>
      <c r="V1179" s="634"/>
      <c r="W1179" s="634"/>
      <c r="X1179" s="911"/>
      <c r="Y1179" s="634"/>
      <c r="AA1179" s="1526"/>
      <c r="AB1179" s="634"/>
      <c r="AC1179" s="970"/>
      <c r="AD1179" s="970"/>
      <c r="AE1179" s="970"/>
      <c r="AF1179" s="634"/>
      <c r="AG1179" s="634"/>
      <c r="AH1179" s="634"/>
      <c r="AI1179" s="634"/>
      <c r="AJ1179" s="634"/>
      <c r="AK1179" s="634"/>
      <c r="AL1179" s="1336"/>
      <c r="AM1179" s="1336"/>
      <c r="AN1179" s="1336"/>
      <c r="AO1179" s="1336"/>
      <c r="AP1179" s="1336"/>
      <c r="AQ1179" s="1336"/>
      <c r="AR1179" s="1336"/>
      <c r="AS1179" s="1336"/>
      <c r="AT1179" s="634"/>
      <c r="AU1179" s="634"/>
      <c r="AV1179" s="634"/>
      <c r="AW1179" s="634"/>
      <c r="AX1179" s="634"/>
      <c r="AY1179" s="634"/>
      <c r="AZ1179" s="634"/>
      <c r="BA1179" s="634"/>
      <c r="BB1179" s="634"/>
      <c r="BC1179" s="634"/>
      <c r="BD1179" s="634"/>
      <c r="BE1179" s="634"/>
      <c r="BF1179" s="634"/>
      <c r="BG1179" s="634"/>
      <c r="BH1179" s="634"/>
      <c r="BI1179" s="634"/>
    </row>
    <row r="1180" spans="1:61" x14ac:dyDescent="0.25">
      <c r="A1180" s="2371">
        <v>7</v>
      </c>
      <c r="B1180" s="2381" t="s">
        <v>922</v>
      </c>
      <c r="C1180" s="2374" t="s">
        <v>256</v>
      </c>
      <c r="D1180" s="2374"/>
      <c r="E1180" s="2374"/>
      <c r="F1180" s="2374"/>
      <c r="G1180" s="2373" t="str">
        <f ca="1">IF(N1180&gt;0,"P","")</f>
        <v/>
      </c>
      <c r="H1180" s="2371" t="s">
        <v>3971</v>
      </c>
      <c r="I1180" s="4"/>
      <c r="J1180" s="230" t="s">
        <v>256</v>
      </c>
      <c r="K1180" s="929"/>
      <c r="L1180" s="1157" t="s">
        <v>3481</v>
      </c>
      <c r="M1180" s="1014"/>
      <c r="N1180" s="1042">
        <f ca="1">'Ch7'!O310</f>
        <v>0</v>
      </c>
      <c r="O1180" s="1042">
        <f ca="1">IFERROR(INDEX(M1181:M1185,MATCH(W1181,{8.5,9,9.5,10,12},1)),0)*S1181</f>
        <v>0</v>
      </c>
      <c r="P1180" s="756"/>
      <c r="Q1180" s="756"/>
      <c r="R1180" s="634"/>
      <c r="S1180" s="1108"/>
      <c r="T1180" s="634"/>
      <c r="U1180" s="634"/>
      <c r="V1180" s="634"/>
      <c r="W1180" s="634" t="s">
        <v>3792</v>
      </c>
      <c r="X1180" s="1757"/>
      <c r="Y1180" s="2099" t="str">
        <f>IF(LEN('Ch7'!X310)=0,"None",'Ch7'!X310)</f>
        <v>None</v>
      </c>
      <c r="Z1180" s="2087"/>
      <c r="AA1180" s="1526"/>
      <c r="AB1180" s="634"/>
      <c r="AC1180" s="970"/>
      <c r="AD1180" s="970"/>
      <c r="AE1180" s="970"/>
      <c r="AF1180" s="634"/>
      <c r="AG1180" s="634"/>
      <c r="AH1180" s="634"/>
      <c r="AI1180" s="634"/>
      <c r="AJ1180" s="634"/>
      <c r="AK1180" s="634"/>
      <c r="AL1180" s="1336"/>
      <c r="AM1180" s="1336"/>
      <c r="AN1180" s="254" t="str">
        <f>SUBSTITUTE(SUBSTITUTE(SUBSTITUTE("vpc"&amp;$B1180&amp;$C1180&amp;$D1180&amp;$E1180,".","_"),"(","_"),")","")</f>
        <v>vpc703_3_3 _1</v>
      </c>
      <c r="AO1180" s="254">
        <f ca="1">O1180</f>
        <v>0</v>
      </c>
      <c r="AP1180" s="1336"/>
      <c r="AQ1180" s="1336"/>
      <c r="AR1180" s="254" t="str">
        <f>SUBSTITUTE(SUBSTITUTE(SUBSTITUTE("vnt"&amp;$B1180&amp;$C1180&amp;$D1180&amp;$E1180,".","_"),"(","_"),")","")</f>
        <v>vnt703_3_3 _1</v>
      </c>
      <c r="AS1180" s="254" t="str">
        <f>IF(LEN(X1180)=0,"",X1180)</f>
        <v/>
      </c>
      <c r="AT1180" s="634"/>
      <c r="AU1180" s="634"/>
      <c r="AV1180" s="634"/>
      <c r="AW1180" s="634"/>
      <c r="AX1180" s="634"/>
      <c r="AY1180" s="634"/>
      <c r="AZ1180" s="634"/>
      <c r="BA1180" s="634"/>
      <c r="BB1180" s="634"/>
      <c r="BC1180" s="634"/>
      <c r="BD1180" s="634"/>
      <c r="BE1180" s="634"/>
      <c r="BF1180" s="634"/>
      <c r="BG1180" s="634"/>
      <c r="BH1180" s="634"/>
      <c r="BI1180" s="634"/>
    </row>
    <row r="1181" spans="1:61" x14ac:dyDescent="0.25">
      <c r="A1181" s="2371">
        <v>7</v>
      </c>
      <c r="B1181" s="2381" t="s">
        <v>922</v>
      </c>
      <c r="C1181" s="2374" t="s">
        <v>256</v>
      </c>
      <c r="D1181" s="2374" t="s">
        <v>256</v>
      </c>
      <c r="E1181" s="2374"/>
      <c r="F1181" s="2374"/>
      <c r="G1181" s="2373" t="str">
        <f ca="1">G1180</f>
        <v/>
      </c>
      <c r="H1181" s="2371" t="s">
        <v>3971</v>
      </c>
      <c r="I1181" s="4"/>
      <c r="J1181" s="230"/>
      <c r="K1181" s="929"/>
      <c r="L1181" s="1170" t="s">
        <v>3786</v>
      </c>
      <c r="M1181" s="1014">
        <f>IF(T1157,IFERROR(INDEX({0,3,4,8,11,13,13,13},T1156),0),IFERROR(INDEX({0,1,1,2,2,2,2,2},T1156),0))</f>
        <v>0</v>
      </c>
      <c r="N1181" s="1042"/>
      <c r="O1181" s="1042"/>
      <c r="P1181" s="94" t="b">
        <v>1</v>
      </c>
      <c r="Q1181" s="94" t="b">
        <v>1</v>
      </c>
      <c r="R1181" s="634" t="b">
        <v>0</v>
      </c>
      <c r="S1181" s="1108" t="b">
        <f ca="1">AND(S883=2,LEN(W1161)=0,LEN(W1167)=0,LEN(W1170)=0,LEN(W1175)=0,LEN(W1186)=0,LEN(W1188)=0,NOT(W1201=TRUE),LEN(W1206)=0)</f>
        <v>0</v>
      </c>
      <c r="T1181" s="94" t="b">
        <f ca="1">AND(NOT(S1181),LEN(W1181)&gt;0)</f>
        <v>0</v>
      </c>
      <c r="U1181" s="634"/>
      <c r="V1181" s="634"/>
      <c r="W1181" s="488"/>
      <c r="X1181" s="1757"/>
      <c r="Y1181" s="2100"/>
      <c r="Z1181" s="2091"/>
      <c r="AA1181" s="1526"/>
      <c r="AB1181" s="634"/>
      <c r="AC1181" s="970" t="b">
        <f ca="1">OR(AD1181:AE1181)</f>
        <v>0</v>
      </c>
      <c r="AD1181" s="970" t="b">
        <f ca="1">T1181</f>
        <v>0</v>
      </c>
      <c r="AE1181" s="970"/>
      <c r="AF1181" s="784"/>
      <c r="AG1181" s="634"/>
      <c r="AH1181" s="634"/>
      <c r="AI1181" s="634"/>
      <c r="AJ1181" s="634"/>
      <c r="AK1181" s="634"/>
      <c r="AL1181" s="254" t="str">
        <f t="shared" ref="AL1181:AL1186" si="70">SUBSTITUTE(SUBSTITUTE(SUBSTITUTE("vpa"&amp;$B1181&amp;$C1181&amp;$D1181&amp;$E1181,".","_"),"(","_"),")","")</f>
        <v>vpa703_3_3 _1_1</v>
      </c>
      <c r="AM1181" s="254">
        <f t="shared" ref="AM1181:AM1186" si="71">M1181</f>
        <v>0</v>
      </c>
      <c r="AN1181" s="1336"/>
      <c r="AO1181" s="1336"/>
      <c r="AP1181" s="254" t="str">
        <f>SUBSTITUTE(SUBSTITUTE(SUBSTITUTE("vch"&amp;$B1181&amp;$C1181&amp;$D1181&amp;$E1181,".","_"),"(","_"),")","")</f>
        <v>vch703_3_3 _1_1</v>
      </c>
      <c r="AQ1181" s="254" t="str">
        <f>IF(LEN(W1181)=0,"",W1181)</f>
        <v/>
      </c>
      <c r="AR1181" s="1336"/>
      <c r="AS1181" s="1336"/>
      <c r="AT1181" s="634"/>
      <c r="AU1181" s="634"/>
      <c r="AV1181" s="634"/>
      <c r="AW1181" s="634"/>
      <c r="AX1181" s="634"/>
      <c r="AY1181" s="634"/>
      <c r="AZ1181" s="634"/>
      <c r="BA1181" s="634"/>
      <c r="BB1181" s="634"/>
      <c r="BC1181" s="634"/>
      <c r="BD1181" s="634"/>
      <c r="BE1181" s="634"/>
      <c r="BF1181" s="634"/>
      <c r="BG1181" s="634"/>
      <c r="BH1181" s="634"/>
      <c r="BI1181" s="634"/>
    </row>
    <row r="1182" spans="1:61" x14ac:dyDescent="0.25">
      <c r="A1182" s="2371">
        <v>7</v>
      </c>
      <c r="B1182" s="2381" t="s">
        <v>922</v>
      </c>
      <c r="C1182" s="2374" t="s">
        <v>256</v>
      </c>
      <c r="D1182" s="2374" t="s">
        <v>258</v>
      </c>
      <c r="E1182" s="2374"/>
      <c r="F1182" s="2374"/>
      <c r="G1182" s="2373" t="str">
        <f ca="1">G1181</f>
        <v/>
      </c>
      <c r="H1182" s="2371" t="s">
        <v>3971</v>
      </c>
      <c r="I1182" s="4"/>
      <c r="J1182" s="230"/>
      <c r="K1182" s="929"/>
      <c r="L1182" s="1170" t="s">
        <v>3787</v>
      </c>
      <c r="M1182" s="1014">
        <f>IF(T1157,IFERROR(INDEX({0,3,4,8,11,13,13,13},T1156),0),IFERROR(INDEX({0,2,4,5,6,10,10,10},T1156),0))</f>
        <v>0</v>
      </c>
      <c r="N1182" s="1042"/>
      <c r="O1182" s="1042"/>
      <c r="P1182" s="756"/>
      <c r="Q1182" s="756"/>
      <c r="R1182" s="634"/>
      <c r="S1182" s="1108"/>
      <c r="T1182" s="634"/>
      <c r="U1182" s="634"/>
      <c r="V1182" s="634"/>
      <c r="W1182" s="634"/>
      <c r="X1182" s="1757"/>
      <c r="Y1182" s="2100"/>
      <c r="Z1182" s="2091"/>
      <c r="AA1182" s="1526"/>
      <c r="AB1182" s="634"/>
      <c r="AC1182" s="970"/>
      <c r="AD1182" s="970"/>
      <c r="AE1182" s="970"/>
      <c r="AF1182" s="634"/>
      <c r="AG1182" s="634"/>
      <c r="AH1182" s="634"/>
      <c r="AI1182" s="634"/>
      <c r="AJ1182" s="634"/>
      <c r="AK1182" s="634"/>
      <c r="AL1182" s="254" t="str">
        <f t="shared" si="70"/>
        <v>vpa703_3_3 _1_2</v>
      </c>
      <c r="AM1182" s="254">
        <f t="shared" si="71"/>
        <v>0</v>
      </c>
      <c r="AN1182" s="1336"/>
      <c r="AO1182" s="1336"/>
      <c r="AP1182" s="1336"/>
      <c r="AQ1182" s="1336"/>
      <c r="AR1182" s="1336"/>
      <c r="AS1182" s="1336"/>
      <c r="AT1182" s="634"/>
      <c r="AU1182" s="634"/>
      <c r="AV1182" s="634"/>
      <c r="AW1182" s="634"/>
      <c r="AX1182" s="634"/>
      <c r="AY1182" s="634"/>
      <c r="AZ1182" s="634"/>
      <c r="BA1182" s="634"/>
      <c r="BB1182" s="634"/>
      <c r="BC1182" s="634"/>
      <c r="BD1182" s="634"/>
      <c r="BE1182" s="634"/>
      <c r="BF1182" s="634"/>
      <c r="BG1182" s="634"/>
      <c r="BH1182" s="634"/>
      <c r="BI1182" s="634"/>
    </row>
    <row r="1183" spans="1:61" x14ac:dyDescent="0.25">
      <c r="A1183" s="2371">
        <v>7</v>
      </c>
      <c r="B1183" s="2381" t="s">
        <v>922</v>
      </c>
      <c r="C1183" s="2374" t="s">
        <v>256</v>
      </c>
      <c r="D1183" s="2374" t="s">
        <v>260</v>
      </c>
      <c r="E1183" s="2374"/>
      <c r="F1183" s="2374"/>
      <c r="G1183" s="2373" t="str">
        <f ca="1">G1182</f>
        <v/>
      </c>
      <c r="H1183" s="2371" t="s">
        <v>3971</v>
      </c>
      <c r="I1183" s="4"/>
      <c r="J1183" s="230"/>
      <c r="K1183" s="929"/>
      <c r="L1183" s="1170" t="s">
        <v>3788</v>
      </c>
      <c r="M1183" s="1014">
        <f>IF(T1157,IFERROR(INDEX({0,3,4,8,11,13,13,13},T1156),0),IFERROR(INDEX({0,3,7,7,11,18,18,18},T1156),0))</f>
        <v>0</v>
      </c>
      <c r="N1183" s="1042"/>
      <c r="O1183" s="1042"/>
      <c r="P1183" s="756"/>
      <c r="Q1183" s="756"/>
      <c r="R1183" s="634"/>
      <c r="S1183" s="1108"/>
      <c r="T1183" s="634"/>
      <c r="U1183" s="634"/>
      <c r="V1183" s="634"/>
      <c r="W1183" s="634"/>
      <c r="X1183" s="1757"/>
      <c r="Y1183" s="2100"/>
      <c r="Z1183" s="2091"/>
      <c r="AA1183" s="1526"/>
      <c r="AB1183" s="634"/>
      <c r="AC1183" s="970"/>
      <c r="AD1183" s="970"/>
      <c r="AE1183" s="970"/>
      <c r="AF1183" s="634"/>
      <c r="AG1183" s="634"/>
      <c r="AH1183" s="634"/>
      <c r="AI1183" s="634"/>
      <c r="AJ1183" s="634"/>
      <c r="AK1183" s="634"/>
      <c r="AL1183" s="254" t="str">
        <f t="shared" si="70"/>
        <v>vpa703_3_3 _1_3</v>
      </c>
      <c r="AM1183" s="254">
        <f t="shared" si="71"/>
        <v>0</v>
      </c>
      <c r="AN1183" s="1336"/>
      <c r="AO1183" s="1336"/>
      <c r="AP1183" s="1336"/>
      <c r="AQ1183" s="1336"/>
      <c r="AR1183" s="1336"/>
      <c r="AS1183" s="1336"/>
      <c r="AT1183" s="634"/>
      <c r="AU1183" s="634"/>
      <c r="AV1183" s="634"/>
      <c r="AW1183" s="634"/>
      <c r="AX1183" s="634"/>
      <c r="AY1183" s="634"/>
      <c r="AZ1183" s="634"/>
      <c r="BA1183" s="634"/>
      <c r="BB1183" s="634"/>
      <c r="BC1183" s="634"/>
      <c r="BD1183" s="634"/>
      <c r="BE1183" s="634"/>
      <c r="BF1183" s="634"/>
      <c r="BG1183" s="634"/>
      <c r="BH1183" s="634"/>
      <c r="BI1183" s="634"/>
    </row>
    <row r="1184" spans="1:61" x14ac:dyDescent="0.25">
      <c r="A1184" s="2371">
        <v>7</v>
      </c>
      <c r="B1184" s="2381" t="s">
        <v>922</v>
      </c>
      <c r="C1184" s="2374" t="s">
        <v>256</v>
      </c>
      <c r="D1184" s="2374" t="s">
        <v>269</v>
      </c>
      <c r="E1184" s="2374"/>
      <c r="F1184" s="2374"/>
      <c r="G1184" s="2373" t="str">
        <f ca="1">G1183</f>
        <v/>
      </c>
      <c r="H1184" s="2371" t="s">
        <v>3971</v>
      </c>
      <c r="I1184" s="4"/>
      <c r="J1184" s="230"/>
      <c r="K1184" s="929"/>
      <c r="L1184" s="1170" t="s">
        <v>3789</v>
      </c>
      <c r="M1184" s="1014">
        <f>IF(T1157,IFERROR(INDEX({0,3,4,8,11,13,13,13},T1156),0),IFERROR(INDEX({1,5,10,10,15,26,26,26},T1156),0))</f>
        <v>0</v>
      </c>
      <c r="N1184" s="1044"/>
      <c r="O1184" s="1042"/>
      <c r="P1184" s="756"/>
      <c r="Q1184" s="756"/>
      <c r="R1184" s="634"/>
      <c r="S1184" s="1108"/>
      <c r="T1184" s="634"/>
      <c r="U1184" s="634"/>
      <c r="V1184" s="634"/>
      <c r="X1184" s="1757"/>
      <c r="Y1184" s="2100"/>
      <c r="Z1184" s="2091"/>
      <c r="AA1184" s="1526"/>
      <c r="AB1184" s="634"/>
      <c r="AC1184" s="970"/>
      <c r="AD1184" s="970"/>
      <c r="AE1184" s="970"/>
      <c r="AF1184" s="634"/>
      <c r="AG1184" s="634"/>
      <c r="AH1184" s="634"/>
      <c r="AI1184" s="634"/>
      <c r="AJ1184" s="634"/>
      <c r="AK1184" s="634"/>
      <c r="AL1184" s="254" t="str">
        <f t="shared" si="70"/>
        <v>vpa703_3_3 _1_4</v>
      </c>
      <c r="AM1184" s="254">
        <f t="shared" si="71"/>
        <v>0</v>
      </c>
      <c r="AN1184" s="1336"/>
      <c r="AO1184" s="1336"/>
      <c r="AP1184" s="1336"/>
      <c r="AQ1184" s="1336"/>
      <c r="AR1184" s="1336"/>
      <c r="AS1184" s="1336"/>
      <c r="AT1184" s="634"/>
      <c r="AU1184" s="634"/>
      <c r="AV1184" s="634"/>
      <c r="AW1184" s="634"/>
      <c r="AX1184" s="634"/>
      <c r="AY1184" s="634"/>
      <c r="AZ1184" s="634"/>
      <c r="BA1184" s="634"/>
      <c r="BB1184" s="634"/>
      <c r="BC1184" s="634"/>
      <c r="BD1184" s="634"/>
      <c r="BE1184" s="634"/>
      <c r="BF1184" s="634"/>
      <c r="BG1184" s="634"/>
      <c r="BH1184" s="634"/>
      <c r="BI1184" s="634"/>
    </row>
    <row r="1185" spans="1:61" x14ac:dyDescent="0.25">
      <c r="A1185" s="2371">
        <v>7</v>
      </c>
      <c r="B1185" s="2381" t="s">
        <v>922</v>
      </c>
      <c r="C1185" s="2374" t="s">
        <v>256</v>
      </c>
      <c r="D1185" s="2374" t="s">
        <v>275</v>
      </c>
      <c r="E1185" s="2374"/>
      <c r="F1185" s="2374"/>
      <c r="G1185" s="2373" t="str">
        <f ca="1">G1184</f>
        <v/>
      </c>
      <c r="H1185" s="2371" t="s">
        <v>3971</v>
      </c>
      <c r="I1185"/>
      <c r="J1185" s="530"/>
      <c r="K1185" s="913"/>
      <c r="L1185" s="1163" t="s">
        <v>4278</v>
      </c>
      <c r="M1185" s="1015">
        <f>IF(T1157,IFERROR(INDEX({0,3,4,8,11,13,13,13},T1156),0),IFERROR(INDEX({1,6,11,11,17,28,28,28},T1156),0))</f>
        <v>0</v>
      </c>
      <c r="N1185" s="1041"/>
      <c r="O1185" s="1047"/>
      <c r="P1185"/>
      <c r="Q1185"/>
      <c r="R1185"/>
      <c r="S1185" s="1108"/>
      <c r="T1185"/>
      <c r="U1185"/>
      <c r="V1185"/>
      <c r="W1185" s="1108" t="s">
        <v>3792</v>
      </c>
      <c r="X1185" s="1757"/>
      <c r="Y1185" s="2097"/>
      <c r="Z1185" s="2085"/>
      <c r="AA1185" s="1526"/>
      <c r="AC1185" s="970"/>
      <c r="AD1185" s="970"/>
      <c r="AE1185" s="970"/>
      <c r="AF1185"/>
      <c r="AG1185"/>
      <c r="AH1185"/>
      <c r="AI1185"/>
      <c r="AJ1185"/>
      <c r="AK1185"/>
      <c r="AL1185" s="254" t="str">
        <f t="shared" si="70"/>
        <v>vpa703_3_3 _1_5</v>
      </c>
      <c r="AM1185" s="254">
        <f t="shared" si="71"/>
        <v>0</v>
      </c>
      <c r="AN1185" s="1336"/>
      <c r="AO1185" s="1336"/>
      <c r="AP1185" s="1336"/>
      <c r="AQ1185" s="1336"/>
      <c r="AR1185" s="1336"/>
      <c r="AS1185" s="1336"/>
      <c r="AT1185"/>
    </row>
    <row r="1186" spans="1:61" x14ac:dyDescent="0.25">
      <c r="A1186" s="2371">
        <v>7</v>
      </c>
      <c r="B1186" s="2381" t="s">
        <v>922</v>
      </c>
      <c r="C1186" s="2374" t="s">
        <v>258</v>
      </c>
      <c r="G1186" s="2373" t="str">
        <f ca="1">IF(N1186&gt;0,"P","")</f>
        <v/>
      </c>
      <c r="H1186" s="2371" t="s">
        <v>3971</v>
      </c>
      <c r="I1186"/>
      <c r="J1186" s="667" t="s">
        <v>258</v>
      </c>
      <c r="K1186" s="667"/>
      <c r="L1186" s="1156" t="s">
        <v>4868</v>
      </c>
      <c r="M1186" s="1767">
        <f>IFERROR(INDEX({0,3,4,8,11,13,13,13},T1156),0)</f>
        <v>0</v>
      </c>
      <c r="N1186" s="2079">
        <f ca="1">'Ch7'!O316</f>
        <v>0</v>
      </c>
      <c r="O1186" s="1780">
        <f ca="1">IF(AND(S1186,W1186&gt;=8.5),M1186,0)</f>
        <v>0</v>
      </c>
      <c r="P1186" s="1108" t="b">
        <v>1</v>
      </c>
      <c r="Q1186" s="1108" t="b">
        <v>1</v>
      </c>
      <c r="R1186" s="1108" t="b">
        <v>0</v>
      </c>
      <c r="S1186" s="1108" t="b">
        <f ca="1">AND(S883=2,T1157,LEN(W1161)=0,LEN(W1167)=0,LEN(W1170)=0,LEN(W1175)=0,LEN(W1181)=0,LEN(W1188)=0,NOT(W1201=TRUE),LEN(W1206)=0)</f>
        <v>0</v>
      </c>
      <c r="T1186" s="94" t="b">
        <f ca="1">AND(NOT(S1186),LEN(W1186)&gt;0)</f>
        <v>0</v>
      </c>
      <c r="U1186"/>
      <c r="V1186"/>
      <c r="W1186" s="488"/>
      <c r="X1186" s="1757"/>
      <c r="Y1186" s="2077" t="str">
        <f>IF(LEN('Ch7'!X316)=0,"None",'Ch7'!X316)</f>
        <v>None</v>
      </c>
      <c r="Z1186" s="2083"/>
      <c r="AA1186" s="1526"/>
      <c r="AC1186" s="1108" t="b">
        <f ca="1">OR(AD1186:AE1186)</f>
        <v>0</v>
      </c>
      <c r="AD1186" s="1108" t="b">
        <f ca="1">T1186</f>
        <v>0</v>
      </c>
      <c r="AE1186" s="1108"/>
      <c r="AF1186" s="1108"/>
      <c r="AG1186" s="1108"/>
      <c r="AH1186" s="1108"/>
      <c r="AI1186" s="1108"/>
      <c r="AJ1186" s="1108"/>
      <c r="AK1186" s="1108"/>
      <c r="AL1186" s="254" t="str">
        <f t="shared" si="70"/>
        <v>vpa703_3_3 _2</v>
      </c>
      <c r="AM1186" s="254">
        <f t="shared" si="71"/>
        <v>0</v>
      </c>
      <c r="AN1186" s="254" t="str">
        <f>SUBSTITUTE(SUBSTITUTE(SUBSTITUTE("vpc"&amp;$B1186&amp;$C1186&amp;$D1186&amp;$E1186,".","_"),"(","_"),")","")</f>
        <v>vpc703_3_3 _2</v>
      </c>
      <c r="AO1186" s="254">
        <f ca="1">O1186</f>
        <v>0</v>
      </c>
      <c r="AP1186" s="254" t="str">
        <f>SUBSTITUTE(SUBSTITUTE(SUBSTITUTE("vch"&amp;$B1186&amp;$C1186&amp;$D1186&amp;$E1186,".","_"),"(","_"),")","")</f>
        <v>vch703_3_3 _2</v>
      </c>
      <c r="AQ1186" s="254" t="str">
        <f>IF(LEN(W1186)=0,"",W1186)</f>
        <v/>
      </c>
      <c r="AR1186" s="254" t="str">
        <f>SUBSTITUTE(SUBSTITUTE(SUBSTITUTE("vnt"&amp;$B1186&amp;$C1186&amp;$D1186&amp;$E1186,".","_"),"(","_"),")","")</f>
        <v>vnt703_3_3 _2</v>
      </c>
      <c r="AS1186" s="254" t="str">
        <f>IF(LEN(X1186)=0,"",X1186)</f>
        <v/>
      </c>
      <c r="AT1186" s="1108"/>
    </row>
    <row r="1187" spans="1:61" x14ac:dyDescent="0.25">
      <c r="A1187" s="2371">
        <v>7</v>
      </c>
      <c r="B1187" s="2381" t="s">
        <v>922</v>
      </c>
      <c r="C1187" s="2374" t="s">
        <v>258</v>
      </c>
      <c r="G1187" s="2373" t="str">
        <f ca="1">G1186</f>
        <v/>
      </c>
      <c r="H1187" s="2371" t="s">
        <v>3971</v>
      </c>
      <c r="I1187"/>
      <c r="J1187" s="684"/>
      <c r="K1187" s="684"/>
      <c r="L1187" s="1153"/>
      <c r="M1187" s="1759"/>
      <c r="N1187" s="2076"/>
      <c r="O1187" s="1764"/>
      <c r="P1187" s="1108"/>
      <c r="Q1187" s="1108"/>
      <c r="R1187" s="1108"/>
      <c r="S1187" s="1108"/>
      <c r="T1187" s="1108"/>
      <c r="U1187"/>
      <c r="V1187"/>
      <c r="W1187" s="634" t="s">
        <v>3791</v>
      </c>
      <c r="X1187" s="1757"/>
      <c r="Y1187" s="2077"/>
      <c r="Z1187" s="2083"/>
      <c r="AA1187" s="1526"/>
      <c r="AC1187"/>
      <c r="AD1187"/>
      <c r="AE1187"/>
      <c r="AF1187"/>
      <c r="AG1187"/>
      <c r="AH1187"/>
      <c r="AI1187"/>
      <c r="AJ1187"/>
      <c r="AK1187"/>
      <c r="AL1187" s="1336"/>
      <c r="AM1187" s="1336"/>
      <c r="AN1187" s="1336"/>
      <c r="AO1187" s="1336"/>
      <c r="AP1187" s="1336"/>
      <c r="AQ1187" s="1336"/>
      <c r="AR1187" s="1336"/>
      <c r="AS1187" s="1336"/>
      <c r="AT1187"/>
    </row>
    <row r="1188" spans="1:61" x14ac:dyDescent="0.25">
      <c r="A1188" s="2371">
        <v>7</v>
      </c>
      <c r="B1188" s="2381" t="s">
        <v>922</v>
      </c>
      <c r="C1188" s="2374" t="s">
        <v>260</v>
      </c>
      <c r="D1188" s="2374"/>
      <c r="E1188" s="2374"/>
      <c r="F1188" s="2374"/>
      <c r="G1188" s="2373" t="str">
        <f ca="1">IF(N1188&gt;0,"P","")</f>
        <v/>
      </c>
      <c r="H1188" s="2371" t="s">
        <v>3971</v>
      </c>
      <c r="I1188" s="210"/>
      <c r="J1188" s="530" t="s">
        <v>260</v>
      </c>
      <c r="K1188" s="637"/>
      <c r="L1188" s="1158" t="s">
        <v>3790</v>
      </c>
      <c r="M1188" s="1015">
        <f>IFERROR(INDEX({2,7,11,14,16,18,18,18},T1156),0)</f>
        <v>0</v>
      </c>
      <c r="N1188" s="1047">
        <f ca="1">'Ch7'!O318</f>
        <v>0</v>
      </c>
      <c r="O1188" s="1047">
        <f ca="1">IF(AND(S1188,W1188&gt;=1.3),M1188,0)</f>
        <v>0</v>
      </c>
      <c r="P1188" s="94" t="b">
        <v>1</v>
      </c>
      <c r="Q1188" s="94" t="b">
        <v>1</v>
      </c>
      <c r="R1188" s="178" t="b">
        <v>0</v>
      </c>
      <c r="S1188" s="178" t="b">
        <f ca="1">AND(S883=2,LEN(W1161)=0,LEN(W1167)=0,LEN(W1170)=0,LEN(W1175)=0,LEN(W1181)=0,LEN(W1186)=0,NOT(W1201=TRUE),LEN(W1206)=0)</f>
        <v>0</v>
      </c>
      <c r="T1188" s="178" t="b">
        <f ca="1">AND(NOT(S1188),LEN(W1188)&gt;0)</f>
        <v>0</v>
      </c>
      <c r="U1188" s="178"/>
      <c r="V1188" s="178"/>
      <c r="W1188" s="488"/>
      <c r="X1188" s="918"/>
      <c r="Y1188" s="988" t="str">
        <f>IF(LEN('Ch7'!X318)=0,"None",'Ch7'!X318)</f>
        <v>None</v>
      </c>
      <c r="Z1188" s="1587"/>
      <c r="AA1188" s="1526"/>
      <c r="AB1188" s="634"/>
      <c r="AC1188" s="970" t="b">
        <f ca="1">OR(AD1188:AE1188)</f>
        <v>0</v>
      </c>
      <c r="AD1188" s="970" t="b">
        <f ca="1">T1188</f>
        <v>0</v>
      </c>
      <c r="AE1188" s="970"/>
      <c r="AF1188" s="784"/>
      <c r="AG1188" s="634"/>
      <c r="AH1188" s="634"/>
      <c r="AI1188" s="634"/>
      <c r="AJ1188" s="634"/>
      <c r="AK1188" s="634"/>
      <c r="AL1188" s="254" t="str">
        <f>SUBSTITUTE(SUBSTITUTE(SUBSTITUTE("vpa"&amp;$B1188&amp;$C1188&amp;$D1188&amp;$E1188,".","_"),"(","_"),")","")</f>
        <v>vpa703_3_3 _3</v>
      </c>
      <c r="AM1188" s="254">
        <f>M1188</f>
        <v>0</v>
      </c>
      <c r="AN1188" s="254" t="str">
        <f>SUBSTITUTE(SUBSTITUTE(SUBSTITUTE("vpc"&amp;$B1188&amp;$C1188&amp;$D1188&amp;$E1188,".","_"),"(","_"),")","")</f>
        <v>vpc703_3_3 _3</v>
      </c>
      <c r="AO1188" s="254">
        <f ca="1">O1188</f>
        <v>0</v>
      </c>
      <c r="AP1188" s="254" t="str">
        <f>SUBSTITUTE(SUBSTITUTE(SUBSTITUTE("vch"&amp;$B1188&amp;$C1188&amp;$D1188&amp;$E1188,".","_"),"(","_"),")","")</f>
        <v>vch703_3_3 _3</v>
      </c>
      <c r="AQ1188" s="254" t="str">
        <f>IF(LEN(W1188)=0,"",W1188)</f>
        <v/>
      </c>
      <c r="AR1188" s="254" t="str">
        <f>SUBSTITUTE(SUBSTITUTE(SUBSTITUTE("vnt"&amp;$B1188&amp;$C1188&amp;$D1188&amp;$E1188,".","_"),"(","_"),")","")</f>
        <v>vnt703_3_3 _3</v>
      </c>
      <c r="AS1188" s="254" t="str">
        <f>IF(LEN(X1188)=0,"",X1188)</f>
        <v/>
      </c>
      <c r="AT1188" s="634"/>
      <c r="AU1188" s="634"/>
      <c r="AV1188" s="634"/>
      <c r="AW1188" s="634"/>
      <c r="AX1188" s="634"/>
      <c r="AY1188" s="634"/>
      <c r="AZ1188" s="634"/>
      <c r="BA1188" s="634"/>
      <c r="BB1188" s="634"/>
      <c r="BC1188" s="634"/>
      <c r="BD1188" s="634"/>
      <c r="BE1188" s="634"/>
      <c r="BF1188" s="634"/>
      <c r="BG1188" s="634"/>
      <c r="BH1188" s="634"/>
      <c r="BI1188" s="634"/>
    </row>
    <row r="1189" spans="1:61" x14ac:dyDescent="0.25">
      <c r="A1189" s="2371">
        <v>7</v>
      </c>
      <c r="B1189" s="2381" t="s">
        <v>924</v>
      </c>
      <c r="C1189" s="2381"/>
      <c r="D1189" s="2374"/>
      <c r="E1189" s="2374"/>
      <c r="F1189" s="2374"/>
      <c r="G1189" s="2363" t="str">
        <f ca="1">IF(COUNTIF(G1192:G1200,"P")&gt;0,"P","")</f>
        <v/>
      </c>
      <c r="H1189" s="2371" t="s">
        <v>3971</v>
      </c>
      <c r="I1189" s="66" t="s">
        <v>924</v>
      </c>
      <c r="J1189" s="639"/>
      <c r="K1189" s="639"/>
      <c r="L1189" s="1884" t="s">
        <v>925</v>
      </c>
      <c r="M1189" s="1014"/>
      <c r="N1189" s="1042"/>
      <c r="O1189" s="1042"/>
      <c r="P1189" s="756"/>
      <c r="Q1189" s="756"/>
      <c r="R1189" s="634"/>
      <c r="S1189" s="634"/>
      <c r="T1189" s="634"/>
      <c r="U1189" s="634"/>
      <c r="V1189" s="634"/>
      <c r="W1189" s="634"/>
      <c r="X1189" s="911"/>
      <c r="Y1189" s="634"/>
      <c r="AA1189" s="1526"/>
      <c r="AB1189" s="634"/>
      <c r="AC1189" s="970"/>
      <c r="AD1189" s="970"/>
      <c r="AE1189" s="970"/>
      <c r="AF1189" s="634"/>
      <c r="AG1189" s="634"/>
      <c r="AH1189" s="634"/>
      <c r="AI1189" s="634"/>
      <c r="AJ1189" s="634"/>
      <c r="AK1189" s="634"/>
      <c r="AL1189" s="1336"/>
      <c r="AM1189" s="1336"/>
      <c r="AN1189" s="1336"/>
      <c r="AO1189" s="1336"/>
      <c r="AP1189" s="1336"/>
      <c r="AQ1189" s="1336"/>
      <c r="AR1189" s="1336"/>
      <c r="AS1189" s="1336"/>
      <c r="AT1189" s="634"/>
      <c r="AU1189" s="634"/>
      <c r="AV1189" s="634"/>
      <c r="AW1189" s="634"/>
      <c r="AX1189" s="634"/>
      <c r="AY1189" s="634"/>
      <c r="AZ1189" s="634"/>
      <c r="BA1189" s="634"/>
      <c r="BB1189" s="634"/>
      <c r="BC1189" s="634"/>
      <c r="BD1189" s="634"/>
      <c r="BE1189" s="634"/>
      <c r="BF1189" s="634"/>
      <c r="BG1189" s="634"/>
      <c r="BH1189" s="634"/>
      <c r="BI1189" s="634"/>
    </row>
    <row r="1190" spans="1:61" x14ac:dyDescent="0.25">
      <c r="A1190" s="2371">
        <v>7</v>
      </c>
      <c r="B1190" s="2381" t="s">
        <v>924</v>
      </c>
      <c r="C1190" s="2381"/>
      <c r="D1190" s="2374"/>
      <c r="E1190" s="2374"/>
      <c r="F1190" s="2374"/>
      <c r="G1190" s="2373" t="str">
        <f ca="1">G1189</f>
        <v/>
      </c>
      <c r="H1190" s="2371" t="s">
        <v>3971</v>
      </c>
      <c r="I1190" s="4"/>
      <c r="J1190" s="639"/>
      <c r="K1190" s="639"/>
      <c r="L1190" s="1884"/>
      <c r="M1190" s="1014"/>
      <c r="N1190" s="1042"/>
      <c r="O1190" s="1042"/>
      <c r="P1190" s="756"/>
      <c r="Q1190" s="756"/>
      <c r="R1190" s="634"/>
      <c r="S1190" s="634"/>
      <c r="T1190" s="634"/>
      <c r="U1190" s="634"/>
      <c r="V1190" s="634"/>
      <c r="W1190" s="634"/>
      <c r="X1190" s="911"/>
      <c r="Y1190" s="634"/>
      <c r="AA1190" s="1526"/>
      <c r="AB1190" s="634"/>
      <c r="AC1190" s="970"/>
      <c r="AD1190" s="970"/>
      <c r="AE1190" s="970"/>
      <c r="AF1190" s="634"/>
      <c r="AG1190" s="634"/>
      <c r="AH1190" s="634"/>
      <c r="AI1190" s="634"/>
      <c r="AJ1190" s="634"/>
      <c r="AK1190" s="634"/>
      <c r="AL1190" s="1336"/>
      <c r="AM1190" s="1336"/>
      <c r="AN1190" s="1336"/>
      <c r="AO1190" s="1336"/>
      <c r="AP1190" s="1336"/>
      <c r="AQ1190" s="1336"/>
      <c r="AR1190" s="1336"/>
      <c r="AS1190" s="1336"/>
      <c r="AT1190" s="634"/>
      <c r="AU1190" s="634"/>
      <c r="AV1190" s="634"/>
      <c r="AW1190" s="634"/>
      <c r="AX1190" s="634"/>
      <c r="AY1190" s="634"/>
      <c r="AZ1190" s="634"/>
      <c r="BA1190" s="634"/>
      <c r="BB1190" s="634"/>
      <c r="BC1190" s="634"/>
      <c r="BD1190" s="634"/>
      <c r="BE1190" s="634"/>
      <c r="BF1190" s="634"/>
      <c r="BG1190" s="634"/>
      <c r="BH1190" s="634"/>
      <c r="BI1190" s="634"/>
    </row>
    <row r="1191" spans="1:61" x14ac:dyDescent="0.25">
      <c r="A1191" s="2371">
        <v>7</v>
      </c>
      <c r="B1191" s="2381" t="s">
        <v>924</v>
      </c>
      <c r="C1191" s="2381"/>
      <c r="D1191" s="2374"/>
      <c r="E1191" s="2374"/>
      <c r="F1191" s="2374"/>
      <c r="G1191" s="2373" t="str">
        <f ca="1">G1190</f>
        <v/>
      </c>
      <c r="H1191" s="2371" t="s">
        <v>3971</v>
      </c>
      <c r="I1191" s="4"/>
      <c r="J1191" s="639"/>
      <c r="K1191" s="639"/>
      <c r="L1191" s="1884"/>
      <c r="M1191" s="1014"/>
      <c r="N1191" s="1042"/>
      <c r="O1191" s="1042"/>
      <c r="P1191" s="756"/>
      <c r="Q1191" s="756"/>
      <c r="R1191" s="634"/>
      <c r="S1191" s="634"/>
      <c r="T1191" s="634"/>
      <c r="U1191" s="634"/>
      <c r="V1191" s="634"/>
      <c r="W1191" s="634"/>
      <c r="X1191" s="911"/>
      <c r="Y1191" s="634"/>
      <c r="AA1191" s="1526"/>
      <c r="AB1191" s="634"/>
      <c r="AC1191" s="970"/>
      <c r="AD1191" s="970"/>
      <c r="AE1191" s="970"/>
      <c r="AF1191" s="634"/>
      <c r="AG1191" s="634"/>
      <c r="AH1191" s="634"/>
      <c r="AI1191" s="634"/>
      <c r="AJ1191" s="634"/>
      <c r="AK1191" s="634"/>
      <c r="AL1191" s="1336"/>
      <c r="AM1191" s="1336"/>
      <c r="AN1191" s="1336"/>
      <c r="AO1191" s="1336"/>
      <c r="AP1191" s="1336"/>
      <c r="AQ1191" s="1336"/>
      <c r="AR1191" s="1336"/>
      <c r="AS1191" s="1336"/>
      <c r="AT1191" s="634"/>
      <c r="AU1191" s="634"/>
      <c r="AV1191" s="634"/>
      <c r="AW1191" s="634"/>
      <c r="AX1191" s="634"/>
      <c r="AY1191" s="634"/>
      <c r="AZ1191" s="634"/>
      <c r="BA1191" s="634"/>
      <c r="BB1191" s="634"/>
      <c r="BC1191" s="634"/>
      <c r="BD1191" s="634"/>
      <c r="BE1191" s="634"/>
      <c r="BF1191" s="634"/>
      <c r="BG1191" s="634"/>
      <c r="BH1191" s="634"/>
      <c r="BI1191" s="634"/>
    </row>
    <row r="1192" spans="1:61" x14ac:dyDescent="0.25">
      <c r="A1192" s="2371">
        <v>7</v>
      </c>
      <c r="B1192" s="2381" t="s">
        <v>924</v>
      </c>
      <c r="C1192" s="2374" t="s">
        <v>256</v>
      </c>
      <c r="D1192" s="2374"/>
      <c r="E1192" s="2374"/>
      <c r="F1192" s="2374"/>
      <c r="G1192" s="2373" t="str">
        <f ca="1">IF(N1192&gt;0,"P","")</f>
        <v/>
      </c>
      <c r="H1192" s="2371" t="s">
        <v>3971</v>
      </c>
      <c r="I1192" s="4"/>
      <c r="J1192" s="230" t="s">
        <v>256</v>
      </c>
      <c r="K1192" s="639"/>
      <c r="L1192" s="1157" t="s">
        <v>3799</v>
      </c>
      <c r="M1192" s="1014"/>
      <c r="N1192" s="1042">
        <f ca="1">'Ch7'!O322</f>
        <v>0</v>
      </c>
      <c r="O1192" s="1042">
        <f ca="1">IFERROR(INDEX(M1193:M1197,MATCH(W1193,{15,17,19,21,25},1)),0)*S1193</f>
        <v>0</v>
      </c>
      <c r="P1192" s="756"/>
      <c r="Q1192" s="756"/>
      <c r="R1192" s="634"/>
      <c r="S1192" s="634"/>
      <c r="T1192" s="634"/>
      <c r="U1192" s="634"/>
      <c r="V1192" s="634"/>
      <c r="W1192" s="634" t="s">
        <v>3801</v>
      </c>
      <c r="X1192" s="1757"/>
      <c r="Y1192" s="2099" t="str">
        <f>IF(LEN('Ch7'!X322)=0,"None",'Ch7'!X322)</f>
        <v>None</v>
      </c>
      <c r="Z1192" s="2087"/>
      <c r="AA1192" s="1526"/>
      <c r="AB1192" s="634"/>
      <c r="AC1192" s="970"/>
      <c r="AD1192" s="970"/>
      <c r="AE1192" s="970"/>
      <c r="AF1192" s="634"/>
      <c r="AG1192" s="634"/>
      <c r="AH1192" s="634"/>
      <c r="AI1192" s="634"/>
      <c r="AJ1192" s="634"/>
      <c r="AK1192" s="634"/>
      <c r="AL1192" s="1336"/>
      <c r="AM1192" s="1336"/>
      <c r="AN1192" s="254" t="str">
        <f>SUBSTITUTE(SUBSTITUTE(SUBSTITUTE("vpc"&amp;$B1192&amp;$C1192&amp;$D1192&amp;$E1192,".","_"),"(","_"),")","")</f>
        <v>vpc703_3_4_1</v>
      </c>
      <c r="AO1192" s="254">
        <f ca="1">O1192</f>
        <v>0</v>
      </c>
      <c r="AP1192" s="1336"/>
      <c r="AQ1192" s="1336"/>
      <c r="AR1192" s="254" t="str">
        <f>SUBSTITUTE(SUBSTITUTE(SUBSTITUTE("vnt"&amp;$B1192&amp;$C1192&amp;$D1192&amp;$E1192,".","_"),"(","_"),")","")</f>
        <v>vnt703_3_4_1</v>
      </c>
      <c r="AS1192" s="254" t="str">
        <f>IF(LEN(X1192)=0,"",X1192)</f>
        <v/>
      </c>
      <c r="AT1192" s="634"/>
      <c r="AU1192" s="634"/>
      <c r="AV1192" s="634"/>
      <c r="AW1192" s="634"/>
      <c r="AX1192" s="634"/>
      <c r="AY1192" s="634"/>
      <c r="AZ1192" s="634"/>
      <c r="BA1192" s="634"/>
      <c r="BB1192" s="634"/>
      <c r="BC1192" s="634"/>
      <c r="BD1192" s="634"/>
      <c r="BE1192" s="634"/>
      <c r="BF1192" s="634"/>
      <c r="BG1192" s="634"/>
      <c r="BH1192" s="634"/>
      <c r="BI1192" s="634"/>
    </row>
    <row r="1193" spans="1:61" x14ac:dyDescent="0.25">
      <c r="A1193" s="2371">
        <v>7</v>
      </c>
      <c r="B1193" s="2381" t="s">
        <v>924</v>
      </c>
      <c r="C1193" s="2374" t="s">
        <v>256</v>
      </c>
      <c r="D1193" s="2374" t="s">
        <v>256</v>
      </c>
      <c r="E1193" s="2374"/>
      <c r="F1193" s="2374"/>
      <c r="G1193" s="2373" t="str">
        <f ca="1">G1192</f>
        <v/>
      </c>
      <c r="H1193" s="2371" t="s">
        <v>3971</v>
      </c>
      <c r="I1193" s="4"/>
      <c r="J1193" s="230"/>
      <c r="K1193" s="639"/>
      <c r="L1193" s="1170" t="s">
        <v>3793</v>
      </c>
      <c r="M1193" s="1014">
        <f>IFERROR(INDEX({6,4,2,1,1,1,1,0},T1156),0)</f>
        <v>0</v>
      </c>
      <c r="N1193" s="1042"/>
      <c r="O1193" s="1042"/>
      <c r="P1193" s="94" t="b">
        <v>1</v>
      </c>
      <c r="Q1193" s="94" t="b">
        <v>1</v>
      </c>
      <c r="R1193" s="634" t="b">
        <v>0</v>
      </c>
      <c r="S1193" s="634" t="b">
        <f ca="1">AND(S883=2,NOT(W1198=TRUE),LEN(W1200)=0,NOT(W1201=TRUE),LEN(W1206)=0)</f>
        <v>0</v>
      </c>
      <c r="T1193" s="94" t="b">
        <f ca="1">AND(NOT(S1193),LEN(W1193)&gt;0)</f>
        <v>0</v>
      </c>
      <c r="U1193" s="634"/>
      <c r="V1193" s="634"/>
      <c r="W1193" s="488"/>
      <c r="X1193" s="1757"/>
      <c r="Y1193" s="2100"/>
      <c r="Z1193" s="2091"/>
      <c r="AA1193" s="1526"/>
      <c r="AB1193" s="634"/>
      <c r="AC1193" s="970" t="b">
        <f ca="1">OR(AD1193:AE1193)</f>
        <v>0</v>
      </c>
      <c r="AD1193" s="970" t="b">
        <f ca="1">T1193</f>
        <v>0</v>
      </c>
      <c r="AE1193" s="970"/>
      <c r="AF1193" s="784"/>
      <c r="AG1193" s="634"/>
      <c r="AH1193" s="634"/>
      <c r="AI1193" s="634"/>
      <c r="AJ1193" s="634"/>
      <c r="AK1193" s="634"/>
      <c r="AL1193" s="254" t="str">
        <f t="shared" ref="AL1193:AL1198" si="72">SUBSTITUTE(SUBSTITUTE(SUBSTITUTE("vpa"&amp;$B1193&amp;$C1193&amp;$D1193&amp;$E1193,".","_"),"(","_"),")","")</f>
        <v>vpa703_3_4_1_1</v>
      </c>
      <c r="AM1193" s="254">
        <f t="shared" ref="AM1193:AM1200" si="73">M1193</f>
        <v>0</v>
      </c>
      <c r="AN1193" s="1336"/>
      <c r="AO1193" s="1336"/>
      <c r="AP1193" s="254" t="str">
        <f>SUBSTITUTE(SUBSTITUTE(SUBSTITUTE("vch"&amp;$B1193&amp;$C1193&amp;$D1193&amp;$E1193,".","_"),"(","_"),")","")</f>
        <v>vch703_3_4_1_1</v>
      </c>
      <c r="AQ1193" s="254" t="str">
        <f>IF(LEN(W1193)=0,"",W1193)</f>
        <v/>
      </c>
      <c r="AR1193" s="1336"/>
      <c r="AS1193" s="1336"/>
      <c r="AT1193" s="634"/>
      <c r="AU1193" s="634"/>
      <c r="AV1193" s="634"/>
      <c r="AW1193" s="634"/>
      <c r="AX1193" s="634"/>
      <c r="AY1193" s="634"/>
      <c r="AZ1193" s="634"/>
      <c r="BA1193" s="634"/>
      <c r="BB1193" s="634"/>
      <c r="BC1193" s="634"/>
      <c r="BD1193" s="634"/>
      <c r="BE1193" s="634"/>
      <c r="BF1193" s="634"/>
      <c r="BG1193" s="634"/>
      <c r="BH1193" s="634"/>
      <c r="BI1193" s="634"/>
    </row>
    <row r="1194" spans="1:61" x14ac:dyDescent="0.25">
      <c r="A1194" s="2371">
        <v>7</v>
      </c>
      <c r="B1194" s="2381" t="s">
        <v>924</v>
      </c>
      <c r="C1194" s="2374" t="s">
        <v>256</v>
      </c>
      <c r="D1194" s="2374" t="s">
        <v>258</v>
      </c>
      <c r="E1194" s="2374"/>
      <c r="F1194" s="2374"/>
      <c r="G1194" s="2373" t="str">
        <f ca="1">G1193</f>
        <v/>
      </c>
      <c r="H1194" s="2371" t="s">
        <v>3971</v>
      </c>
      <c r="I1194" s="4"/>
      <c r="J1194" s="230"/>
      <c r="K1194" s="639"/>
      <c r="L1194" s="1170" t="s">
        <v>3794</v>
      </c>
      <c r="M1194" s="1014">
        <f>IFERROR(INDEX({11,9,7,3,3,2,2,0},T1156),0)</f>
        <v>0</v>
      </c>
      <c r="N1194" s="1042"/>
      <c r="O1194" s="1042"/>
      <c r="P1194" s="756"/>
      <c r="Q1194" s="756"/>
      <c r="R1194" s="634"/>
      <c r="S1194" s="634"/>
      <c r="T1194" s="634"/>
      <c r="U1194" s="634"/>
      <c r="V1194" s="634"/>
      <c r="W1194" s="634"/>
      <c r="X1194" s="1757"/>
      <c r="Y1194" s="2100"/>
      <c r="Z1194" s="2091"/>
      <c r="AA1194" s="1526"/>
      <c r="AB1194" s="634"/>
      <c r="AC1194" s="970"/>
      <c r="AD1194" s="970"/>
      <c r="AE1194" s="970"/>
      <c r="AF1194" s="634"/>
      <c r="AG1194" s="634"/>
      <c r="AH1194" s="634"/>
      <c r="AI1194" s="634"/>
      <c r="AJ1194" s="634"/>
      <c r="AK1194" s="634"/>
      <c r="AL1194" s="254" t="str">
        <f t="shared" si="72"/>
        <v>vpa703_3_4_1_2</v>
      </c>
      <c r="AM1194" s="254">
        <f t="shared" si="73"/>
        <v>0</v>
      </c>
      <c r="AN1194" s="1336"/>
      <c r="AO1194" s="1336"/>
      <c r="AP1194" s="1336"/>
      <c r="AQ1194" s="1336"/>
      <c r="AR1194" s="1336"/>
      <c r="AS1194" s="1336"/>
      <c r="AT1194" s="634"/>
      <c r="AU1194" s="634"/>
      <c r="AV1194" s="634"/>
      <c r="AW1194" s="634"/>
      <c r="AX1194" s="634"/>
      <c r="AY1194" s="634"/>
      <c r="AZ1194" s="634"/>
      <c r="BA1194" s="634"/>
      <c r="BB1194" s="634"/>
      <c r="BC1194" s="634"/>
      <c r="BD1194" s="634"/>
      <c r="BE1194" s="634"/>
      <c r="BF1194" s="634"/>
      <c r="BG1194" s="634"/>
      <c r="BH1194" s="634"/>
      <c r="BI1194" s="634"/>
    </row>
    <row r="1195" spans="1:61" x14ac:dyDescent="0.25">
      <c r="A1195" s="2371">
        <v>7</v>
      </c>
      <c r="B1195" s="2381" t="s">
        <v>924</v>
      </c>
      <c r="C1195" s="2374" t="s">
        <v>256</v>
      </c>
      <c r="D1195" s="2374" t="s">
        <v>260</v>
      </c>
      <c r="E1195" s="2374"/>
      <c r="F1195" s="2374"/>
      <c r="G1195" s="2373" t="str">
        <f ca="1">G1194</f>
        <v/>
      </c>
      <c r="H1195" s="2371" t="s">
        <v>3971</v>
      </c>
      <c r="I1195" s="4"/>
      <c r="J1195" s="230"/>
      <c r="K1195" s="639"/>
      <c r="L1195" s="1170" t="s">
        <v>3795</v>
      </c>
      <c r="M1195" s="1014">
        <f>IFERROR(INDEX({19,12,10,6,4,4,4,0},T1156),0)</f>
        <v>0</v>
      </c>
      <c r="N1195" s="1042"/>
      <c r="O1195" s="1042"/>
      <c r="P1195" s="756"/>
      <c r="Q1195" s="756"/>
      <c r="R1195" s="634"/>
      <c r="S1195" s="634"/>
      <c r="T1195" s="634"/>
      <c r="U1195" s="634"/>
      <c r="V1195" s="634"/>
      <c r="W1195" s="634"/>
      <c r="X1195" s="1757"/>
      <c r="Y1195" s="2100"/>
      <c r="Z1195" s="2091"/>
      <c r="AA1195" s="1526"/>
      <c r="AB1195" s="634"/>
      <c r="AC1195" s="970"/>
      <c r="AD1195" s="970"/>
      <c r="AE1195" s="970"/>
      <c r="AF1195" s="634"/>
      <c r="AG1195" s="634"/>
      <c r="AH1195" s="634"/>
      <c r="AI1195" s="634"/>
      <c r="AJ1195" s="634"/>
      <c r="AK1195" s="634"/>
      <c r="AL1195" s="254" t="str">
        <f t="shared" si="72"/>
        <v>vpa703_3_4_1_3</v>
      </c>
      <c r="AM1195" s="254">
        <f t="shared" si="73"/>
        <v>0</v>
      </c>
      <c r="AN1195" s="1336"/>
      <c r="AO1195" s="1336"/>
      <c r="AP1195" s="1336"/>
      <c r="AQ1195" s="1336"/>
      <c r="AR1195" s="1336"/>
      <c r="AS1195" s="1336"/>
      <c r="AT1195" s="634"/>
      <c r="AU1195" s="634"/>
      <c r="AV1195" s="634"/>
      <c r="AW1195" s="634"/>
      <c r="AX1195" s="634"/>
      <c r="AY1195" s="634"/>
      <c r="AZ1195" s="634"/>
      <c r="BA1195" s="634"/>
      <c r="BB1195" s="634"/>
      <c r="BC1195" s="634"/>
      <c r="BD1195" s="634"/>
      <c r="BE1195" s="634"/>
      <c r="BF1195" s="634"/>
      <c r="BG1195" s="634"/>
      <c r="BH1195" s="634"/>
      <c r="BI1195" s="634"/>
    </row>
    <row r="1196" spans="1:61" x14ac:dyDescent="0.25">
      <c r="A1196" s="2371">
        <v>7</v>
      </c>
      <c r="B1196" s="2381" t="s">
        <v>924</v>
      </c>
      <c r="C1196" s="2374" t="s">
        <v>256</v>
      </c>
      <c r="D1196" s="2374" t="s">
        <v>269</v>
      </c>
      <c r="E1196" s="2374"/>
      <c r="F1196" s="2374"/>
      <c r="G1196" s="2373" t="str">
        <f ca="1">G1195</f>
        <v/>
      </c>
      <c r="H1196" s="2371" t="s">
        <v>3971</v>
      </c>
      <c r="I1196" s="4"/>
      <c r="J1196" s="230"/>
      <c r="K1196" s="639"/>
      <c r="L1196" s="1170" t="s">
        <v>3796</v>
      </c>
      <c r="M1196" s="1014">
        <f>IFERROR(INDEX({26,15,14,8,6,6,5,0},T1156),0)</f>
        <v>0</v>
      </c>
      <c r="N1196" s="1042"/>
      <c r="O1196" s="1042"/>
      <c r="P1196" s="756"/>
      <c r="Q1196" s="756"/>
      <c r="R1196" s="634"/>
      <c r="S1196" s="634"/>
      <c r="T1196" s="634"/>
      <c r="U1196" s="634"/>
      <c r="V1196" s="634"/>
      <c r="W1196" s="634"/>
      <c r="X1196" s="1757"/>
      <c r="Y1196" s="2100"/>
      <c r="Z1196" s="2091"/>
      <c r="AA1196" s="1526"/>
      <c r="AB1196" s="634"/>
      <c r="AC1196" s="970"/>
      <c r="AD1196" s="970"/>
      <c r="AE1196" s="970"/>
      <c r="AF1196" s="634"/>
      <c r="AG1196" s="634"/>
      <c r="AH1196" s="634"/>
      <c r="AI1196" s="634"/>
      <c r="AJ1196" s="634"/>
      <c r="AK1196" s="634"/>
      <c r="AL1196" s="254" t="str">
        <f t="shared" si="72"/>
        <v>vpa703_3_4_1_4</v>
      </c>
      <c r="AM1196" s="254">
        <f>M1196</f>
        <v>0</v>
      </c>
      <c r="AN1196" s="1336"/>
      <c r="AO1196" s="1336"/>
      <c r="AP1196" s="1336"/>
      <c r="AQ1196" s="1336"/>
      <c r="AR1196" s="1336"/>
      <c r="AS1196" s="1336"/>
      <c r="AT1196" s="634"/>
      <c r="AU1196" s="634"/>
      <c r="AV1196" s="634"/>
      <c r="AW1196" s="634"/>
      <c r="AX1196" s="634"/>
      <c r="AY1196" s="634"/>
      <c r="AZ1196" s="634"/>
      <c r="BA1196" s="634"/>
      <c r="BB1196" s="634"/>
      <c r="BC1196" s="634"/>
      <c r="BD1196" s="634"/>
      <c r="BE1196" s="634"/>
      <c r="BF1196" s="634"/>
      <c r="BG1196" s="634"/>
      <c r="BH1196" s="634"/>
      <c r="BI1196" s="634"/>
    </row>
    <row r="1197" spans="1:61" x14ac:dyDescent="0.25">
      <c r="A1197" s="2371">
        <v>7</v>
      </c>
      <c r="B1197" s="2381" t="s">
        <v>924</v>
      </c>
      <c r="C1197" s="2374" t="s">
        <v>256</v>
      </c>
      <c r="D1197" s="2376" t="s">
        <v>275</v>
      </c>
      <c r="E1197" s="2374"/>
      <c r="F1197" s="2374"/>
      <c r="G1197" s="2373" t="str">
        <f ca="1">G1196</f>
        <v/>
      </c>
      <c r="H1197" s="2371" t="s">
        <v>3971</v>
      </c>
      <c r="I1197"/>
      <c r="J1197"/>
      <c r="K1197"/>
      <c r="L1197" s="1170" t="s">
        <v>4279</v>
      </c>
      <c r="M1197" s="1014">
        <f>IFERROR(INDEX({29,18,17,10,8,8,6,0},T1156),0)</f>
        <v>0</v>
      </c>
      <c r="N1197" s="664"/>
      <c r="O1197" s="1042"/>
      <c r="P1197"/>
      <c r="Q1197"/>
      <c r="R1197"/>
      <c r="S1197"/>
      <c r="T1197"/>
      <c r="U1197"/>
      <c r="V1197"/>
      <c r="W1197"/>
      <c r="X1197" s="1757"/>
      <c r="Y1197" s="2097"/>
      <c r="Z1197" s="2085"/>
      <c r="AA1197" s="1526"/>
      <c r="AC1197" s="970"/>
      <c r="AD1197" s="970"/>
      <c r="AE1197" s="970"/>
      <c r="AF1197"/>
      <c r="AG1197"/>
      <c r="AH1197"/>
      <c r="AI1197"/>
      <c r="AJ1197"/>
      <c r="AK1197"/>
      <c r="AL1197" s="254" t="str">
        <f t="shared" si="72"/>
        <v>vpa703_3_4_1_5</v>
      </c>
      <c r="AM1197" s="254">
        <f t="shared" si="73"/>
        <v>0</v>
      </c>
      <c r="AN1197" s="1336"/>
      <c r="AO1197" s="1336"/>
      <c r="AP1197" s="1336"/>
      <c r="AQ1197" s="1336"/>
      <c r="AR1197" s="1336"/>
      <c r="AS1197" s="1336"/>
      <c r="AT1197"/>
    </row>
    <row r="1198" spans="1:61" x14ac:dyDescent="0.25">
      <c r="A1198" s="2371">
        <v>7</v>
      </c>
      <c r="B1198" s="2381" t="s">
        <v>924</v>
      </c>
      <c r="C1198" s="2374" t="s">
        <v>256</v>
      </c>
      <c r="D1198" s="2376" t="s">
        <v>277</v>
      </c>
      <c r="E1198" s="2374"/>
      <c r="F1198" s="2374"/>
      <c r="G1198" s="2373" t="str">
        <f ca="1">IF(N1198&gt;0,"P","")</f>
        <v/>
      </c>
      <c r="H1198" s="2371" t="s">
        <v>3971</v>
      </c>
      <c r="I1198" s="4"/>
      <c r="J1198" s="94"/>
      <c r="K1198" s="518" t="s">
        <v>3798</v>
      </c>
      <c r="L1198" s="1793" t="s">
        <v>3797</v>
      </c>
      <c r="M1198" s="1758">
        <v>20</v>
      </c>
      <c r="N1198" s="1927">
        <f ca="1">'Ch7'!O328</f>
        <v>0</v>
      </c>
      <c r="O1198" s="1927">
        <f ca="1">M1198*S1198*W1198</f>
        <v>0</v>
      </c>
      <c r="P1198" s="94" t="b">
        <v>1</v>
      </c>
      <c r="Q1198" s="94" t="b">
        <v>1</v>
      </c>
      <c r="R1198" s="634" t="b">
        <v>0</v>
      </c>
      <c r="S1198" s="334" t="b">
        <f ca="1">AND(S883=2,BI886="Tropical",LEN(W1193)=0,LEN(W1200)=0,NOT(W1201=TRUE),LEN(W1206)=0)</f>
        <v>0</v>
      </c>
      <c r="T1198" s="94" t="b">
        <f ca="1">AND(NOT(S1198),W1198=TRUE)</f>
        <v>0</v>
      </c>
      <c r="U1198" s="634"/>
      <c r="V1198" s="634"/>
      <c r="W1198" s="25"/>
      <c r="X1198" s="1757"/>
      <c r="Y1198" s="2081" t="str">
        <f>IF(LEN('Ch7'!X328)=0,"None",'Ch7'!X328)</f>
        <v>None</v>
      </c>
      <c r="Z1198" s="2083"/>
      <c r="AA1198" s="1526"/>
      <c r="AB1198" s="634"/>
      <c r="AC1198" s="970" t="b">
        <f ca="1">OR(AD1198:AE1198)</f>
        <v>0</v>
      </c>
      <c r="AD1198" s="970" t="b">
        <f ca="1">T1198</f>
        <v>0</v>
      </c>
      <c r="AE1198" s="970"/>
      <c r="AF1198" s="784"/>
      <c r="AG1198" s="634"/>
      <c r="AH1198" s="634"/>
      <c r="AI1198" s="634"/>
      <c r="AJ1198" s="634"/>
      <c r="AK1198" s="634"/>
      <c r="AL1198" s="254" t="str">
        <f t="shared" si="72"/>
        <v>vpa703_3_4_1_6</v>
      </c>
      <c r="AM1198" s="254">
        <f t="shared" si="73"/>
        <v>20</v>
      </c>
      <c r="AN1198" s="254" t="str">
        <f>SUBSTITUTE(SUBSTITUTE(SUBSTITUTE("vpc"&amp;$B1198&amp;$C1198&amp;$D1198&amp;$E1198,".","_"),"(","_"),")","")</f>
        <v>vpc703_3_4_1_6</v>
      </c>
      <c r="AO1198" s="254">
        <f ca="1">O1198</f>
        <v>0</v>
      </c>
      <c r="AP1198" s="254" t="str">
        <f>SUBSTITUTE(SUBSTITUTE(SUBSTITUTE("vch"&amp;$B1198&amp;$C1198&amp;$D1198&amp;$E1198,".","_"),"(","_"),")","")</f>
        <v>vch703_3_4_1_6</v>
      </c>
      <c r="AQ1198" s="254" t="str">
        <f>IF(LEN(W1198)=0,"",W1198)</f>
        <v/>
      </c>
      <c r="AR1198" s="254" t="str">
        <f>SUBSTITUTE(SUBSTITUTE(SUBSTITUTE("vnt"&amp;$B1198&amp;$C1198&amp;$D1198&amp;$E1198,".","_"),"(","_"),")","")</f>
        <v>vnt703_3_4_1_6</v>
      </c>
      <c r="AS1198" s="254" t="str">
        <f>IF(LEN(X1198)=0,"",X1198)</f>
        <v/>
      </c>
      <c r="AT1198" s="634"/>
      <c r="AU1198" s="634"/>
      <c r="AV1198" s="634"/>
      <c r="AW1198" s="634"/>
      <c r="AX1198" s="634"/>
      <c r="AY1198" s="634"/>
      <c r="AZ1198" s="634"/>
      <c r="BA1198" s="634"/>
      <c r="BB1198" s="634"/>
      <c r="BC1198" s="634"/>
      <c r="BD1198" s="634"/>
      <c r="BE1198" s="634"/>
      <c r="BF1198" s="634"/>
      <c r="BG1198" s="634"/>
      <c r="BH1198" s="634"/>
      <c r="BI1198" s="634"/>
    </row>
    <row r="1199" spans="1:61" x14ac:dyDescent="0.25">
      <c r="A1199" s="2371">
        <v>7</v>
      </c>
      <c r="B1199" s="2381" t="s">
        <v>924</v>
      </c>
      <c r="C1199" s="2374" t="s">
        <v>256</v>
      </c>
      <c r="D1199" s="2374"/>
      <c r="E1199" s="2374"/>
      <c r="F1199" s="2374"/>
      <c r="G1199" s="2373" t="str">
        <f ca="1">G1198</f>
        <v/>
      </c>
      <c r="H1199" s="2371" t="s">
        <v>3971</v>
      </c>
      <c r="I1199" s="4"/>
      <c r="J1199" s="530"/>
      <c r="K1199" s="637"/>
      <c r="L1199" s="1761"/>
      <c r="M1199" s="1759"/>
      <c r="N1199" s="2076"/>
      <c r="O1199" s="2076"/>
      <c r="P1199" s="756"/>
      <c r="Q1199" s="756"/>
      <c r="R1199" s="634"/>
      <c r="S1199" s="634"/>
      <c r="T1199" s="634"/>
      <c r="U1199" s="634"/>
      <c r="V1199" s="634"/>
      <c r="W1199" s="634" t="s">
        <v>3791</v>
      </c>
      <c r="X1199" s="1757"/>
      <c r="Y1199" s="2081"/>
      <c r="Z1199" s="2083"/>
      <c r="AA1199" s="1526"/>
      <c r="AB1199" s="634"/>
      <c r="AC1199" s="970"/>
      <c r="AD1199" s="970"/>
      <c r="AE1199" s="970"/>
      <c r="AF1199" s="634"/>
      <c r="AG1199" s="634"/>
      <c r="AH1199" s="634"/>
      <c r="AI1199" s="634"/>
      <c r="AJ1199" s="634"/>
      <c r="AK1199" s="634"/>
      <c r="AL1199" s="254"/>
      <c r="AM1199" s="254"/>
      <c r="AN1199" s="1336"/>
      <c r="AO1199" s="1336"/>
      <c r="AP1199" s="1336"/>
      <c r="AQ1199" s="1336"/>
      <c r="AR1199" s="1336"/>
      <c r="AS1199" s="1336"/>
      <c r="AT1199" s="634"/>
      <c r="AU1199" s="634"/>
      <c r="AV1199" s="634"/>
      <c r="AW1199" s="634"/>
      <c r="AX1199" s="634"/>
      <c r="AY1199" s="634"/>
      <c r="AZ1199" s="634"/>
      <c r="BA1199" s="634"/>
      <c r="BB1199" s="634"/>
      <c r="BC1199" s="634"/>
      <c r="BD1199" s="634"/>
      <c r="BE1199" s="634"/>
      <c r="BF1199" s="634"/>
      <c r="BG1199" s="634"/>
      <c r="BH1199" s="634"/>
      <c r="BI1199" s="634"/>
    </row>
    <row r="1200" spans="1:61" x14ac:dyDescent="0.25">
      <c r="A1200" s="2371">
        <v>7</v>
      </c>
      <c r="B1200" s="2381" t="s">
        <v>924</v>
      </c>
      <c r="C1200" s="2374" t="s">
        <v>258</v>
      </c>
      <c r="D1200" s="2374"/>
      <c r="E1200" s="2374"/>
      <c r="F1200" s="2374"/>
      <c r="G1200" s="2373" t="str">
        <f ca="1">IF(N1200&gt;0,"P","")</f>
        <v/>
      </c>
      <c r="H1200" s="2371" t="s">
        <v>3971</v>
      </c>
      <c r="I1200" s="210"/>
      <c r="J1200" s="530" t="s">
        <v>258</v>
      </c>
      <c r="K1200" s="637"/>
      <c r="L1200" s="1158" t="s">
        <v>3800</v>
      </c>
      <c r="M1200" s="1015">
        <f>IFERROR(INDEX({3,6,3,1,1,0,0,0},T1156),0)</f>
        <v>0</v>
      </c>
      <c r="N1200" s="1047">
        <f ca="1">'Ch7'!O330</f>
        <v>0</v>
      </c>
      <c r="O1200" s="1047">
        <f ca="1">IF(AND(S1200,W1200&gt;=1.2),M1200,0)</f>
        <v>0</v>
      </c>
      <c r="P1200" s="94" t="b">
        <v>1</v>
      </c>
      <c r="Q1200" s="94" t="b">
        <v>1</v>
      </c>
      <c r="R1200" s="634" t="b">
        <v>0</v>
      </c>
      <c r="S1200" s="634" t="b">
        <f ca="1">AND(S883=2,LEN(W1193)=0,NOT(W1198=TRUE),NOT(W1201=TRUE),LEN(W1206)=0)</f>
        <v>0</v>
      </c>
      <c r="T1200" s="94" t="b">
        <f ca="1">AND(NOT(S1200),LEN(W1200)&gt;0)</f>
        <v>0</v>
      </c>
      <c r="U1200" s="634"/>
      <c r="V1200" s="634"/>
      <c r="W1200" s="488"/>
      <c r="X1200" s="918"/>
      <c r="Y1200" s="988" t="str">
        <f>IF(LEN('Ch7'!X330)=0,"None",'Ch7'!X330)</f>
        <v>None</v>
      </c>
      <c r="Z1200" s="1587"/>
      <c r="AA1200" s="1526"/>
      <c r="AB1200" s="634"/>
      <c r="AC1200" s="970" t="b">
        <f ca="1">OR(AD1200:AE1200)</f>
        <v>0</v>
      </c>
      <c r="AD1200" s="970" t="b">
        <f ca="1">T1200</f>
        <v>0</v>
      </c>
      <c r="AE1200" s="970"/>
      <c r="AF1200" s="784"/>
      <c r="AG1200" s="634"/>
      <c r="AH1200" s="634"/>
      <c r="AI1200" s="634"/>
      <c r="AJ1200" s="634"/>
      <c r="AK1200" s="634"/>
      <c r="AL1200" s="254" t="str">
        <f>SUBSTITUTE(SUBSTITUTE(SUBSTITUTE("vpa"&amp;$B1200&amp;$C1200&amp;$D1200&amp;$E1200,".","_"),"(","_"),")","")</f>
        <v>vpa703_3_4_2</v>
      </c>
      <c r="AM1200" s="254">
        <f t="shared" si="73"/>
        <v>0</v>
      </c>
      <c r="AN1200" s="254" t="str">
        <f>SUBSTITUTE(SUBSTITUTE(SUBSTITUTE("vpc"&amp;$B1200&amp;$C1200&amp;$D1200&amp;$E1200,".","_"),"(","_"),")","")</f>
        <v>vpc703_3_4_2</v>
      </c>
      <c r="AO1200" s="254">
        <f ca="1">O1200</f>
        <v>0</v>
      </c>
      <c r="AP1200" s="254" t="str">
        <f>SUBSTITUTE(SUBSTITUTE(SUBSTITUTE("vch"&amp;$B1200&amp;$C1200&amp;$D1200&amp;$E1200,".","_"),"(","_"),")","")</f>
        <v>vch703_3_4_2</v>
      </c>
      <c r="AQ1200" s="254" t="str">
        <f>IF(LEN(W1200)=0,"",W1200)</f>
        <v/>
      </c>
      <c r="AR1200" s="254" t="str">
        <f>SUBSTITUTE(SUBSTITUTE(SUBSTITUTE("vnt"&amp;$B1200&amp;$C1200&amp;$D1200&amp;$E1200,".","_"),"(","_"),")","")</f>
        <v>vnt703_3_4_2</v>
      </c>
      <c r="AS1200" s="254" t="str">
        <f>IF(LEN(X1200)=0,"",X1200)</f>
        <v/>
      </c>
      <c r="AT1200" s="634"/>
      <c r="AU1200" s="634"/>
      <c r="AV1200" s="634"/>
      <c r="AW1200" s="634"/>
      <c r="AX1200" s="634"/>
      <c r="AY1200" s="634"/>
      <c r="AZ1200" s="634"/>
      <c r="BA1200" s="634"/>
      <c r="BB1200" s="634"/>
      <c r="BC1200" s="634"/>
      <c r="BD1200" s="634"/>
      <c r="BE1200" s="634"/>
      <c r="BF1200" s="634"/>
      <c r="BG1200" s="634"/>
      <c r="BH1200" s="634"/>
      <c r="BI1200" s="634"/>
    </row>
    <row r="1201" spans="1:61" x14ac:dyDescent="0.25">
      <c r="A1201" s="2371">
        <v>7</v>
      </c>
      <c r="B1201" s="2381" t="s">
        <v>926</v>
      </c>
      <c r="C1201" s="2381"/>
      <c r="D1201" s="2374"/>
      <c r="E1201" s="2374"/>
      <c r="F1201" s="2374"/>
      <c r="G1201" s="2373" t="str">
        <f ca="1">IF(N1201&gt;0,"P","")</f>
        <v/>
      </c>
      <c r="H1201" s="2371" t="s">
        <v>3971</v>
      </c>
      <c r="I1201" s="533" t="s">
        <v>926</v>
      </c>
      <c r="J1201" s="641"/>
      <c r="K1201" s="641"/>
      <c r="L1201" s="1864" t="s">
        <v>927</v>
      </c>
      <c r="M1201" s="1762">
        <f>IFERROR(INDEX({14,18,22,30,37,37,37,37},T1156),0)</f>
        <v>0</v>
      </c>
      <c r="N1201" s="2079">
        <f ca="1">'Ch7'!O331</f>
        <v>0</v>
      </c>
      <c r="O1201" s="2079">
        <f ca="1">M1201*S1201*W1201</f>
        <v>0</v>
      </c>
      <c r="P1201" s="94" t="b">
        <v>1</v>
      </c>
      <c r="Q1201" s="94" t="b">
        <v>1</v>
      </c>
      <c r="R1201" s="634" t="b">
        <v>0</v>
      </c>
      <c r="S1201" s="1108" t="b">
        <f ca="1">AND(S883=2,LEN(W1161)=0,LEN(W1167)=0,LEN(W1170)=0,LEN(W1175)=0,LEN(W1181)=0,LEN(W1186)=0,LEN(W1188)=0,LEN(W1193)=0,NOT(W1198=TRUE),LEN(W1200)=0,LEN(W1206)=0)</f>
        <v>0</v>
      </c>
      <c r="T1201" s="94" t="b">
        <f ca="1">AND(NOT(S1201),W1201=TRUE)</f>
        <v>0</v>
      </c>
      <c r="U1201" s="634"/>
      <c r="V1201" s="634"/>
      <c r="W1201" s="25"/>
      <c r="X1201" s="1757"/>
      <c r="Y1201" s="2081" t="str">
        <f>IF(LEN('Ch7'!X331)=0,"None",'Ch7'!X331)</f>
        <v>None</v>
      </c>
      <c r="Z1201" s="2083"/>
      <c r="AA1201" s="1526"/>
      <c r="AB1201" s="634"/>
      <c r="AC1201" s="970" t="b">
        <f ca="1">OR(AD1201:AE1201)</f>
        <v>0</v>
      </c>
      <c r="AD1201" s="970" t="b">
        <f ca="1">T1201</f>
        <v>0</v>
      </c>
      <c r="AE1201" s="970"/>
      <c r="AF1201" s="784"/>
      <c r="AG1201" s="634"/>
      <c r="AH1201" s="634"/>
      <c r="AI1201" s="634"/>
      <c r="AJ1201" s="634"/>
      <c r="AK1201" s="634"/>
      <c r="AL1201" s="254" t="str">
        <f>SUBSTITUTE(SUBSTITUTE(SUBSTITUTE("vpa"&amp;$B1201&amp;$C1201&amp;$D1201&amp;$E1201,".","_"),"(","_"),")","")</f>
        <v>vpa703_3_5</v>
      </c>
      <c r="AM1201" s="254">
        <f>M1201</f>
        <v>0</v>
      </c>
      <c r="AN1201" s="254" t="str">
        <f>SUBSTITUTE(SUBSTITUTE(SUBSTITUTE("vpc"&amp;$B1201&amp;$C1201&amp;$D1201&amp;$E1201,".","_"),"(","_"),")","")</f>
        <v>vpc703_3_5</v>
      </c>
      <c r="AO1201" s="254">
        <f ca="1">O1201</f>
        <v>0</v>
      </c>
      <c r="AP1201" s="254" t="str">
        <f>SUBSTITUTE(SUBSTITUTE(SUBSTITUTE("vch"&amp;$B1201&amp;$C1201&amp;$D1201&amp;$E1201,".","_"),"(","_"),")","")</f>
        <v>vch703_3_5</v>
      </c>
      <c r="AQ1201" s="254" t="str">
        <f>IF(LEN(W1201)=0,"",W1201)</f>
        <v/>
      </c>
      <c r="AR1201" s="254" t="str">
        <f>SUBSTITUTE(SUBSTITUTE(SUBSTITUTE("vnt"&amp;$B1201&amp;$C1201&amp;$D1201&amp;$E1201,".","_"),"(","_"),")","")</f>
        <v>vnt703_3_5</v>
      </c>
      <c r="AS1201" s="254" t="str">
        <f>IF(LEN(X1201)=0,"",X1201)</f>
        <v/>
      </c>
      <c r="AT1201" s="634"/>
      <c r="AU1201" s="634"/>
      <c r="AV1201" s="634"/>
      <c r="AW1201" s="634"/>
      <c r="AX1201" s="634"/>
      <c r="AY1201" s="634"/>
      <c r="AZ1201" s="634"/>
      <c r="BA1201" s="634"/>
      <c r="BB1201" s="634"/>
      <c r="BC1201" s="634"/>
      <c r="BD1201" s="634"/>
      <c r="BE1201" s="634"/>
      <c r="BF1201" s="634"/>
      <c r="BG1201" s="634"/>
      <c r="BH1201" s="634"/>
      <c r="BI1201" s="634"/>
    </row>
    <row r="1202" spans="1:61" x14ac:dyDescent="0.25">
      <c r="A1202" s="2371">
        <v>7</v>
      </c>
      <c r="B1202" s="2381" t="s">
        <v>926</v>
      </c>
      <c r="C1202" s="2381"/>
      <c r="D1202" s="2374"/>
      <c r="E1202" s="2374"/>
      <c r="F1202" s="2374"/>
      <c r="G1202" s="2373" t="str">
        <f ca="1">G1201</f>
        <v/>
      </c>
      <c r="H1202" s="2371" t="s">
        <v>3971</v>
      </c>
      <c r="I1202" s="129"/>
      <c r="J1202" s="636"/>
      <c r="K1202" s="636"/>
      <c r="L1202" s="1782"/>
      <c r="M1202" s="1758"/>
      <c r="N1202" s="1927"/>
      <c r="O1202" s="1927"/>
      <c r="P1202" s="756"/>
      <c r="Q1202" s="756"/>
      <c r="R1202" s="634"/>
      <c r="S1202" s="1108"/>
      <c r="T1202" s="634"/>
      <c r="U1202" s="634"/>
      <c r="V1202" s="634"/>
      <c r="W1202" s="634"/>
      <c r="X1202" s="1757"/>
      <c r="Y1202" s="2081"/>
      <c r="Z1202" s="2083"/>
      <c r="AA1202" s="1526"/>
      <c r="AB1202" s="634"/>
      <c r="AC1202" s="970"/>
      <c r="AD1202" s="970"/>
      <c r="AE1202" s="970"/>
      <c r="AF1202" s="634"/>
      <c r="AG1202" s="634"/>
      <c r="AH1202" s="634"/>
      <c r="AI1202" s="634"/>
      <c r="AJ1202" s="634"/>
      <c r="AK1202" s="634"/>
      <c r="AL1202" s="1336"/>
      <c r="AM1202" s="1336"/>
      <c r="AN1202" s="1336"/>
      <c r="AO1202" s="1336"/>
      <c r="AP1202" s="1336"/>
      <c r="AQ1202" s="1336"/>
      <c r="AR1202" s="1336"/>
      <c r="AS1202" s="1336"/>
      <c r="AT1202" s="634"/>
      <c r="AU1202" s="634"/>
      <c r="AV1202" s="634"/>
      <c r="AW1202" s="634"/>
      <c r="AX1202" s="634"/>
      <c r="AY1202" s="634"/>
      <c r="AZ1202" s="634"/>
      <c r="BA1202" s="634"/>
      <c r="BB1202" s="634"/>
      <c r="BC1202" s="634"/>
      <c r="BD1202" s="634"/>
      <c r="BE1202" s="634"/>
      <c r="BF1202" s="634"/>
      <c r="BG1202" s="634"/>
      <c r="BH1202" s="634"/>
      <c r="BI1202" s="634"/>
    </row>
    <row r="1203" spans="1:61" x14ac:dyDescent="0.25">
      <c r="A1203" s="2371">
        <v>7</v>
      </c>
      <c r="B1203" s="2381" t="s">
        <v>926</v>
      </c>
      <c r="C1203" s="2381"/>
      <c r="D1203" s="2374"/>
      <c r="E1203" s="2374"/>
      <c r="F1203" s="2374"/>
      <c r="G1203" s="2373" t="str">
        <f ca="1">G1202</f>
        <v/>
      </c>
      <c r="H1203" s="2371" t="s">
        <v>3971</v>
      </c>
      <c r="I1203" s="129"/>
      <c r="J1203" s="636"/>
      <c r="K1203" s="636"/>
      <c r="L1203" s="1782"/>
      <c r="M1203" s="1758"/>
      <c r="N1203" s="1927"/>
      <c r="O1203" s="1927"/>
      <c r="P1203" s="756"/>
      <c r="Q1203" s="756"/>
      <c r="R1203" s="634"/>
      <c r="S1203" s="1108"/>
      <c r="T1203" s="634"/>
      <c r="U1203" s="634"/>
      <c r="V1203" s="634"/>
      <c r="W1203" s="634"/>
      <c r="X1203" s="1757"/>
      <c r="Y1203" s="2081"/>
      <c r="Z1203" s="2083"/>
      <c r="AA1203" s="1526"/>
      <c r="AB1203" s="634"/>
      <c r="AC1203" s="970"/>
      <c r="AD1203" s="970"/>
      <c r="AE1203" s="970"/>
      <c r="AF1203" s="634"/>
      <c r="AG1203" s="634"/>
      <c r="AH1203" s="634"/>
      <c r="AI1203" s="634"/>
      <c r="AJ1203" s="634"/>
      <c r="AK1203" s="634"/>
      <c r="AL1203" s="1336"/>
      <c r="AM1203" s="1336"/>
      <c r="AN1203" s="1336"/>
      <c r="AO1203" s="1336"/>
      <c r="AP1203" s="1336"/>
      <c r="AQ1203" s="1336"/>
      <c r="AR1203" s="1336"/>
      <c r="AS1203" s="1336"/>
      <c r="AT1203" s="634"/>
      <c r="AU1203" s="634"/>
      <c r="AV1203" s="634"/>
      <c r="AW1203" s="634"/>
      <c r="AX1203" s="634"/>
      <c r="AY1203" s="634"/>
      <c r="AZ1203" s="634"/>
      <c r="BA1203" s="634"/>
      <c r="BB1203" s="634"/>
      <c r="BC1203" s="634"/>
      <c r="BD1203" s="634"/>
      <c r="BE1203" s="634"/>
      <c r="BF1203" s="634"/>
      <c r="BG1203" s="634"/>
      <c r="BH1203" s="634"/>
      <c r="BI1203" s="634"/>
    </row>
    <row r="1204" spans="1:61" x14ac:dyDescent="0.25">
      <c r="A1204" s="2371">
        <v>7</v>
      </c>
      <c r="B1204" s="2381" t="s">
        <v>926</v>
      </c>
      <c r="C1204" s="2381"/>
      <c r="D1204" s="2374"/>
      <c r="E1204" s="2374"/>
      <c r="F1204" s="2374"/>
      <c r="G1204" s="2373" t="str">
        <f ca="1">G1203</f>
        <v/>
      </c>
      <c r="H1204" s="2371" t="s">
        <v>3971</v>
      </c>
      <c r="I1204" s="210"/>
      <c r="J1204" s="637"/>
      <c r="K1204" s="637"/>
      <c r="L1204" s="1163" t="s">
        <v>3802</v>
      </c>
      <c r="M1204" s="1759"/>
      <c r="N1204" s="2076"/>
      <c r="O1204" s="2076"/>
      <c r="P1204" s="756"/>
      <c r="Q1204" s="756"/>
      <c r="R1204" s="634"/>
      <c r="S1204" s="1108"/>
      <c r="T1204" s="634"/>
      <c r="U1204" s="634"/>
      <c r="V1204" s="634"/>
      <c r="W1204" s="634"/>
      <c r="X1204" s="1757"/>
      <c r="Y1204" s="2081"/>
      <c r="Z1204" s="2083"/>
      <c r="AA1204" s="1526"/>
      <c r="AB1204" s="634"/>
      <c r="AC1204" s="970"/>
      <c r="AD1204" s="970"/>
      <c r="AE1204" s="970"/>
      <c r="AF1204" s="634"/>
      <c r="AG1204" s="634"/>
      <c r="AH1204" s="634"/>
      <c r="AI1204" s="634"/>
      <c r="AJ1204" s="634"/>
      <c r="AK1204" s="634"/>
      <c r="AL1204" s="1336"/>
      <c r="AM1204" s="1336"/>
      <c r="AN1204" s="1336"/>
      <c r="AO1204" s="1336"/>
      <c r="AP1204" s="1336"/>
      <c r="AQ1204" s="1336"/>
      <c r="AR1204" s="1336"/>
      <c r="AS1204" s="1336"/>
      <c r="AT1204" s="634"/>
      <c r="AU1204" s="634"/>
      <c r="AV1204" s="634"/>
      <c r="AW1204" s="634"/>
      <c r="AX1204" s="634"/>
      <c r="AY1204" s="634"/>
      <c r="AZ1204" s="634"/>
      <c r="BA1204" s="634"/>
      <c r="BB1204" s="634"/>
      <c r="BC1204" s="634"/>
      <c r="BD1204" s="634"/>
      <c r="BE1204" s="634"/>
      <c r="BF1204" s="634"/>
      <c r="BG1204" s="634"/>
      <c r="BH1204" s="634"/>
      <c r="BI1204" s="634"/>
    </row>
    <row r="1205" spans="1:61" x14ac:dyDescent="0.25">
      <c r="A1205" s="2371">
        <v>7</v>
      </c>
      <c r="B1205" s="2381" t="s">
        <v>928</v>
      </c>
      <c r="C1205" s="2381"/>
      <c r="D1205" s="2374"/>
      <c r="E1205" s="2374"/>
      <c r="F1205" s="2374"/>
      <c r="G1205" s="2373" t="str">
        <f ca="1">IF(N1205&gt;0,"P","")</f>
        <v/>
      </c>
      <c r="H1205" s="2371" t="s">
        <v>3971</v>
      </c>
      <c r="I1205" s="66" t="s">
        <v>928</v>
      </c>
      <c r="J1205" s="639"/>
      <c r="K1205" s="639"/>
      <c r="L1205" s="1884" t="s">
        <v>3836</v>
      </c>
      <c r="M1205" s="1014"/>
      <c r="N1205" s="2075">
        <f ca="1">'Ch7'!O335</f>
        <v>0</v>
      </c>
      <c r="O1205" s="2075">
        <f ca="1">IFERROR(INDEX(M1208:M1210,MATCH(W1206,{16,24,28},1)),0)*S1206</f>
        <v>0</v>
      </c>
      <c r="P1205" s="756"/>
      <c r="Q1205" s="756"/>
      <c r="R1205" s="634"/>
      <c r="S1205" s="1108"/>
      <c r="T1205" s="634"/>
      <c r="U1205" s="634"/>
      <c r="V1205" s="634"/>
      <c r="W1205" s="634" t="s">
        <v>3806</v>
      </c>
      <c r="X1205" s="1757"/>
      <c r="Y1205" s="2081" t="str">
        <f>IF(LEN('Ch7'!X335)=0,"None",'Ch7'!X335)</f>
        <v>None</v>
      </c>
      <c r="Z1205" s="2083"/>
      <c r="AA1205" s="1526"/>
      <c r="AB1205" s="634"/>
      <c r="AC1205" s="970"/>
      <c r="AD1205" s="970"/>
      <c r="AE1205" s="970"/>
      <c r="AF1205" s="634"/>
      <c r="AG1205" s="634"/>
      <c r="AH1205" s="634"/>
      <c r="AI1205" s="634"/>
      <c r="AJ1205" s="634"/>
      <c r="AK1205" s="634"/>
      <c r="AL1205" s="1336"/>
      <c r="AM1205" s="1336"/>
      <c r="AN1205" s="254" t="str">
        <f>SUBSTITUTE(SUBSTITUTE(SUBSTITUTE("vpc"&amp;$B1205&amp;$C1205&amp;$D1205&amp;$E1205,".","_"),"(","_"),")","")</f>
        <v>vpc703_3_6</v>
      </c>
      <c r="AO1205" s="254">
        <f ca="1">O1205</f>
        <v>0</v>
      </c>
      <c r="AP1205" s="1336"/>
      <c r="AQ1205" s="1336"/>
      <c r="AR1205" s="254" t="str">
        <f>SUBSTITUTE(SUBSTITUTE(SUBSTITUTE("vnt"&amp;$B1205&amp;$C1205&amp;$D1205&amp;$E1205,".","_"),"(","_"),")","")</f>
        <v>vnt703_3_6</v>
      </c>
      <c r="AS1205" s="254" t="str">
        <f>IF(LEN(X1205)=0,"",X1205)</f>
        <v/>
      </c>
      <c r="AT1205" s="634"/>
      <c r="AU1205" s="634"/>
      <c r="AV1205" s="634"/>
      <c r="AW1205" s="634"/>
      <c r="AX1205" s="634"/>
      <c r="AY1205" s="634"/>
      <c r="AZ1205" s="634"/>
      <c r="BA1205" s="634"/>
      <c r="BB1205" s="634"/>
      <c r="BC1205" s="634"/>
      <c r="BD1205" s="634"/>
      <c r="BE1205" s="634"/>
      <c r="BF1205" s="634"/>
      <c r="BG1205" s="634"/>
      <c r="BH1205" s="634"/>
      <c r="BI1205" s="634"/>
    </row>
    <row r="1206" spans="1:61" x14ac:dyDescent="0.25">
      <c r="A1206" s="2371">
        <v>7</v>
      </c>
      <c r="B1206" s="2381" t="s">
        <v>928</v>
      </c>
      <c r="C1206" s="2381"/>
      <c r="D1206" s="2374"/>
      <c r="E1206" s="2374"/>
      <c r="F1206" s="2374"/>
      <c r="G1206" s="2373" t="str">
        <f ca="1">G1205</f>
        <v/>
      </c>
      <c r="H1206" s="2371" t="s">
        <v>3971</v>
      </c>
      <c r="I1206" s="4"/>
      <c r="J1206" s="639"/>
      <c r="K1206" s="639"/>
      <c r="L1206" s="1884"/>
      <c r="M1206" s="1014"/>
      <c r="N1206" s="2075"/>
      <c r="O1206" s="2075"/>
      <c r="P1206" s="94" t="b">
        <v>1</v>
      </c>
      <c r="Q1206" s="94" t="b">
        <v>1</v>
      </c>
      <c r="R1206" s="634" t="b">
        <v>0</v>
      </c>
      <c r="S1206" s="1108" t="b">
        <f ca="1">AND(S883=2,LEN(W1161)=0,LEN(W1167)=0,LEN(W1170)=0,LEN(W1175)=0,LEN(W1181)=0,LEN(W1186)=0,LEN(W1188)=0,LEN(W1193)=0,NOT(W1198=TRUE),LEN(W1200)=0,NOT(W1201=TRUE))</f>
        <v>0</v>
      </c>
      <c r="T1206" s="94" t="b">
        <f ca="1">AND(NOT(S1206),LEN(W1206)&gt;0)</f>
        <v>0</v>
      </c>
      <c r="U1206" s="634"/>
      <c r="V1206" s="634"/>
      <c r="W1206" s="488"/>
      <c r="X1206" s="1757"/>
      <c r="Y1206" s="2081"/>
      <c r="Z1206" s="2083"/>
      <c r="AA1206" s="1526"/>
      <c r="AB1206" s="634"/>
      <c r="AC1206" s="970" t="b">
        <f ca="1">OR(AD1206:AE1206)</f>
        <v>0</v>
      </c>
      <c r="AD1206" s="970" t="b">
        <f ca="1">T1206</f>
        <v>0</v>
      </c>
      <c r="AE1206" s="970"/>
      <c r="AF1206" s="784"/>
      <c r="AG1206" s="634"/>
      <c r="AH1206" s="634"/>
      <c r="AI1206" s="634"/>
      <c r="AJ1206" s="634"/>
      <c r="AK1206" s="634"/>
      <c r="AL1206" s="1336"/>
      <c r="AM1206" s="1336"/>
      <c r="AN1206" s="1336"/>
      <c r="AO1206" s="1336"/>
      <c r="AP1206" s="254" t="str">
        <f>SUBSTITUTE(SUBSTITUTE(SUBSTITUTE("vch"&amp;$B1206&amp;$C1206&amp;$D1206&amp;$E1206,".","_"),"(","_"),")","")</f>
        <v>vch703_3_6</v>
      </c>
      <c r="AQ1206" s="254" t="str">
        <f>IF(LEN(W1206)=0,"",W1206)</f>
        <v/>
      </c>
      <c r="AR1206" s="1336"/>
      <c r="AS1206" s="1336"/>
      <c r="AT1206" s="634"/>
      <c r="AU1206" s="634"/>
      <c r="AV1206" s="634"/>
      <c r="AW1206" s="634"/>
      <c r="AX1206" s="634"/>
      <c r="AY1206" s="634"/>
      <c r="AZ1206" s="634"/>
      <c r="BA1206" s="634"/>
      <c r="BB1206" s="634"/>
      <c r="BC1206" s="634"/>
      <c r="BD1206" s="634"/>
      <c r="BE1206" s="634"/>
      <c r="BF1206" s="634"/>
      <c r="BG1206" s="634"/>
      <c r="BH1206" s="634"/>
      <c r="BI1206" s="634"/>
    </row>
    <row r="1207" spans="1:61" x14ac:dyDescent="0.25">
      <c r="A1207" s="2371">
        <v>7</v>
      </c>
      <c r="B1207" s="2381" t="s">
        <v>928</v>
      </c>
      <c r="C1207" s="2381"/>
      <c r="D1207" s="2374"/>
      <c r="E1207" s="2374"/>
      <c r="F1207" s="2374"/>
      <c r="G1207" s="2373" t="str">
        <f ca="1">G1206</f>
        <v/>
      </c>
      <c r="H1207" s="2371" t="s">
        <v>3971</v>
      </c>
      <c r="I1207" s="4"/>
      <c r="J1207" s="639"/>
      <c r="K1207" s="639"/>
      <c r="L1207" s="1884"/>
      <c r="M1207" s="1014"/>
      <c r="N1207" s="2075"/>
      <c r="O1207" s="2075"/>
      <c r="P1207" s="756"/>
      <c r="Q1207" s="756"/>
      <c r="R1207" s="634"/>
      <c r="S1207" s="634"/>
      <c r="T1207" s="634"/>
      <c r="U1207" s="634"/>
      <c r="V1207" s="634"/>
      <c r="W1207" s="634"/>
      <c r="X1207" s="1757"/>
      <c r="Y1207" s="2081"/>
      <c r="Z1207" s="2083"/>
      <c r="AA1207" s="1526"/>
      <c r="AB1207" s="634"/>
      <c r="AC1207" s="970"/>
      <c r="AD1207" s="970"/>
      <c r="AE1207" s="970"/>
      <c r="AF1207" s="634"/>
      <c r="AG1207" s="634"/>
      <c r="AH1207" s="634"/>
      <c r="AI1207" s="634"/>
      <c r="AJ1207" s="634"/>
      <c r="AK1207" s="634"/>
      <c r="AL1207" s="1336"/>
      <c r="AM1207" s="1336"/>
      <c r="AN1207" s="1336"/>
      <c r="AO1207" s="1336"/>
      <c r="AP1207" s="1336"/>
      <c r="AQ1207" s="1336"/>
      <c r="AR1207" s="1336"/>
      <c r="AS1207" s="1336"/>
      <c r="AT1207" s="634"/>
      <c r="AU1207" s="634"/>
      <c r="AV1207" s="634"/>
      <c r="AW1207" s="634"/>
      <c r="AX1207" s="634"/>
      <c r="AY1207" s="634"/>
      <c r="AZ1207" s="634"/>
      <c r="BA1207" s="634"/>
      <c r="BB1207" s="634"/>
      <c r="BC1207" s="634"/>
      <c r="BD1207" s="634"/>
      <c r="BE1207" s="634"/>
      <c r="BF1207" s="634"/>
      <c r="BG1207" s="634"/>
      <c r="BH1207" s="634"/>
      <c r="BI1207" s="634"/>
    </row>
    <row r="1208" spans="1:61" x14ac:dyDescent="0.25">
      <c r="A1208" s="2371">
        <v>7</v>
      </c>
      <c r="B1208" s="2381" t="s">
        <v>928</v>
      </c>
      <c r="C1208" s="2374" t="s">
        <v>256</v>
      </c>
      <c r="D1208" s="2374"/>
      <c r="E1208" s="2374"/>
      <c r="F1208" s="2374"/>
      <c r="G1208" s="2373" t="str">
        <f ca="1">G1207</f>
        <v/>
      </c>
      <c r="H1208" s="2371" t="s">
        <v>3971</v>
      </c>
      <c r="I1208" s="4"/>
      <c r="J1208" s="639"/>
      <c r="K1208" s="639"/>
      <c r="L1208" s="1170" t="s">
        <v>3803</v>
      </c>
      <c r="M1208" s="1014">
        <f>IFERROR(INDEX({1,1,2,16,22,22,22,22},T1156),0)</f>
        <v>0</v>
      </c>
      <c r="N1208" s="1042"/>
      <c r="O1208" s="1042"/>
      <c r="P1208" s="756"/>
      <c r="Q1208" s="756"/>
      <c r="R1208" s="634"/>
      <c r="S1208" s="634"/>
      <c r="T1208" s="634"/>
      <c r="U1208" s="634"/>
      <c r="V1208" s="634"/>
      <c r="W1208" s="634"/>
      <c r="X1208" s="1757"/>
      <c r="Y1208" s="2081"/>
      <c r="Z1208" s="2083"/>
      <c r="AA1208" s="1526"/>
      <c r="AB1208" s="634"/>
      <c r="AC1208" s="970"/>
      <c r="AD1208" s="970"/>
      <c r="AE1208" s="970"/>
      <c r="AF1208" s="634"/>
      <c r="AG1208" s="634"/>
      <c r="AH1208" s="634"/>
      <c r="AI1208" s="634"/>
      <c r="AJ1208" s="634"/>
      <c r="AK1208" s="634"/>
      <c r="AL1208" s="254" t="str">
        <f>SUBSTITUTE(SUBSTITUTE(SUBSTITUTE("vpa"&amp;$B1208&amp;$C1208&amp;$D1208&amp;$E1208,".","_"),"(","_"),")","")</f>
        <v>vpa703_3_6_1</v>
      </c>
      <c r="AM1208" s="254">
        <f>M1208</f>
        <v>0</v>
      </c>
      <c r="AN1208" s="1336"/>
      <c r="AO1208" s="1336"/>
      <c r="AP1208" s="1336"/>
      <c r="AQ1208" s="1336"/>
      <c r="AR1208" s="1336"/>
      <c r="AS1208" s="1336"/>
      <c r="AT1208" s="634"/>
      <c r="AU1208" s="634"/>
      <c r="AV1208" s="634"/>
      <c r="AW1208" s="634"/>
      <c r="AX1208" s="634"/>
      <c r="AY1208" s="634"/>
      <c r="AZ1208" s="634"/>
      <c r="BA1208" s="634"/>
      <c r="BB1208" s="634"/>
      <c r="BC1208" s="634"/>
      <c r="BD1208" s="634"/>
      <c r="BE1208" s="634"/>
      <c r="BF1208" s="634"/>
      <c r="BG1208" s="634"/>
      <c r="BH1208" s="634"/>
      <c r="BI1208" s="634"/>
    </row>
    <row r="1209" spans="1:61" x14ac:dyDescent="0.25">
      <c r="A1209" s="2371">
        <v>7</v>
      </c>
      <c r="B1209" s="2381" t="s">
        <v>928</v>
      </c>
      <c r="C1209" s="2374" t="s">
        <v>258</v>
      </c>
      <c r="D1209" s="2374"/>
      <c r="E1209" s="2374"/>
      <c r="F1209" s="2374"/>
      <c r="G1209" s="2373" t="str">
        <f ca="1">G1208</f>
        <v/>
      </c>
      <c r="H1209" s="2371" t="s">
        <v>3971</v>
      </c>
      <c r="I1209" s="4"/>
      <c r="J1209" s="639"/>
      <c r="K1209" s="639"/>
      <c r="L1209" s="1170" t="s">
        <v>3804</v>
      </c>
      <c r="M1209" s="1014">
        <f>IFERROR(INDEX({24,29,22,31,35,35,35,35},T1156),0)</f>
        <v>0</v>
      </c>
      <c r="N1209" s="1042"/>
      <c r="O1209" s="1042"/>
      <c r="P1209" s="756"/>
      <c r="Q1209" s="756"/>
      <c r="R1209" s="634"/>
      <c r="S1209" s="634"/>
      <c r="T1209" s="634"/>
      <c r="U1209" s="634"/>
      <c r="V1209" s="634"/>
      <c r="W1209" s="634"/>
      <c r="X1209" s="1757"/>
      <c r="Y1209" s="2081"/>
      <c r="Z1209" s="2083"/>
      <c r="AA1209" s="1526"/>
      <c r="AB1209" s="634"/>
      <c r="AC1209" s="970"/>
      <c r="AD1209" s="970"/>
      <c r="AE1209" s="970"/>
      <c r="AF1209" s="634"/>
      <c r="AG1209" s="634"/>
      <c r="AH1209" s="634"/>
      <c r="AI1209" s="634"/>
      <c r="AJ1209" s="634"/>
      <c r="AK1209" s="634"/>
      <c r="AL1209" s="254" t="str">
        <f>SUBSTITUTE(SUBSTITUTE(SUBSTITUTE("vpa"&amp;$B1209&amp;$C1209&amp;$D1209&amp;$E1209,".","_"),"(","_"),")","")</f>
        <v>vpa703_3_6_2</v>
      </c>
      <c r="AM1209" s="254">
        <f>M1209</f>
        <v>0</v>
      </c>
      <c r="AN1209" s="1336"/>
      <c r="AO1209" s="1336"/>
      <c r="AP1209" s="1336"/>
      <c r="AQ1209" s="1336"/>
      <c r="AR1209" s="1336"/>
      <c r="AS1209" s="1336"/>
      <c r="AT1209" s="634"/>
      <c r="AU1209" s="634"/>
      <c r="AV1209" s="634"/>
      <c r="AW1209" s="634"/>
      <c r="AX1209" s="634"/>
      <c r="AY1209" s="634"/>
      <c r="AZ1209" s="634"/>
      <c r="BA1209" s="634"/>
      <c r="BB1209" s="634"/>
      <c r="BC1209" s="634"/>
      <c r="BD1209" s="634"/>
      <c r="BE1209" s="634"/>
      <c r="BF1209" s="634"/>
      <c r="BG1209" s="634"/>
      <c r="BH1209" s="634"/>
      <c r="BI1209" s="634"/>
    </row>
    <row r="1210" spans="1:61" x14ac:dyDescent="0.25">
      <c r="A1210" s="2371">
        <v>7</v>
      </c>
      <c r="B1210" s="2381" t="s">
        <v>928</v>
      </c>
      <c r="C1210" s="2374" t="s">
        <v>260</v>
      </c>
      <c r="D1210" s="2374"/>
      <c r="E1210" s="2374"/>
      <c r="F1210" s="2374"/>
      <c r="G1210" s="2373" t="str">
        <f ca="1">G1209</f>
        <v/>
      </c>
      <c r="H1210" s="2371" t="s">
        <v>3971</v>
      </c>
      <c r="I1210" s="210"/>
      <c r="J1210" s="637"/>
      <c r="K1210" s="637"/>
      <c r="L1210" s="1163" t="s">
        <v>3805</v>
      </c>
      <c r="M1210" s="1015">
        <f>IFERROR(INDEX({42,46,35,42,44,44,44,44},T1156),0)</f>
        <v>0</v>
      </c>
      <c r="N1210" s="1047"/>
      <c r="O1210" s="1047"/>
      <c r="P1210" s="756"/>
      <c r="Q1210" s="756"/>
      <c r="R1210" s="634"/>
      <c r="S1210" s="634"/>
      <c r="T1210" s="634"/>
      <c r="U1210" s="634"/>
      <c r="V1210" s="634"/>
      <c r="W1210" s="634"/>
      <c r="X1210" s="1757"/>
      <c r="Y1210" s="2081"/>
      <c r="Z1210" s="2083"/>
      <c r="AA1210" s="1526"/>
      <c r="AB1210" s="634"/>
      <c r="AC1210" s="970"/>
      <c r="AD1210" s="970"/>
      <c r="AE1210" s="970"/>
      <c r="AF1210" s="634"/>
      <c r="AG1210" s="634"/>
      <c r="AH1210" s="634"/>
      <c r="AI1210" s="634"/>
      <c r="AJ1210" s="634"/>
      <c r="AK1210" s="634"/>
      <c r="AL1210" s="254" t="str">
        <f>SUBSTITUTE(SUBSTITUTE(SUBSTITUTE("vpa"&amp;$B1210&amp;$C1210&amp;$D1210&amp;$E1210,".","_"),"(","_"),")","")</f>
        <v>vpa703_3_6_3</v>
      </c>
      <c r="AM1210" s="254">
        <f>M1210</f>
        <v>0</v>
      </c>
      <c r="AN1210" s="1336"/>
      <c r="AO1210" s="1336"/>
      <c r="AP1210" s="1336"/>
      <c r="AQ1210" s="1336"/>
      <c r="AR1210" s="1336"/>
      <c r="AS1210" s="1336"/>
      <c r="AT1210" s="634"/>
      <c r="AU1210" s="634"/>
      <c r="AV1210" s="634"/>
      <c r="AW1210" s="634"/>
      <c r="AX1210" s="634"/>
      <c r="AY1210" s="634"/>
      <c r="AZ1210" s="634"/>
      <c r="BA1210" s="634"/>
      <c r="BB1210" s="634"/>
      <c r="BC1210" s="634"/>
      <c r="BD1210" s="634"/>
      <c r="BE1210" s="634"/>
      <c r="BF1210" s="634"/>
      <c r="BG1210" s="634"/>
      <c r="BH1210" s="634"/>
      <c r="BI1210" s="634"/>
    </row>
    <row r="1211" spans="1:61" x14ac:dyDescent="0.25">
      <c r="A1211" s="2371">
        <v>7</v>
      </c>
      <c r="B1211" s="2381" t="s">
        <v>929</v>
      </c>
      <c r="C1211" s="2374" t="s">
        <v>256</v>
      </c>
      <c r="D1211" s="2374"/>
      <c r="E1211" s="2374"/>
      <c r="F1211" s="2374"/>
      <c r="G1211" s="2373" t="str">
        <f ca="1">IF(N1211&gt;0,"P","")</f>
        <v/>
      </c>
      <c r="H1211" s="2371" t="s">
        <v>3973</v>
      </c>
      <c r="I1211" s="66" t="s">
        <v>929</v>
      </c>
      <c r="J1211" s="639"/>
      <c r="K1211" s="639"/>
      <c r="L1211" s="1180" t="s">
        <v>930</v>
      </c>
      <c r="M1211" s="1014">
        <v>1</v>
      </c>
      <c r="N1211" s="1042">
        <f ca="1">'Ch7'!O341</f>
        <v>0</v>
      </c>
      <c r="O1211" s="1042">
        <f ca="1">IF(AND(S1213,W1213&gt;0),MIN(8,W1213),M1211*S1211*W1211)</f>
        <v>0</v>
      </c>
      <c r="P1211" s="94" t="b">
        <v>0</v>
      </c>
      <c r="Q1211" s="94" t="b">
        <v>1</v>
      </c>
      <c r="R1211" s="634" t="b">
        <v>0</v>
      </c>
      <c r="S1211" s="634" t="b">
        <f ca="1">AND(S883=2,NOT(W1218))</f>
        <v>0</v>
      </c>
      <c r="T1211" s="94" t="b">
        <f ca="1">AND(NOT(S1211),W1211=TRUE)</f>
        <v>0</v>
      </c>
      <c r="U1211" s="634"/>
      <c r="V1211" s="634"/>
      <c r="W1211" s="25"/>
      <c r="X1211" s="1757"/>
      <c r="Y1211" s="2081" t="str">
        <f>IF(LEN('Ch7'!X341)=0,"None",'Ch7'!X341)</f>
        <v>None</v>
      </c>
      <c r="Z1211" s="2083"/>
      <c r="AA1211" s="1526"/>
      <c r="AB1211" s="634"/>
      <c r="AC1211" s="970" t="b">
        <f ca="1">OR(AD1211:AE1211)</f>
        <v>0</v>
      </c>
      <c r="AD1211" s="970" t="b">
        <f ca="1">T1211</f>
        <v>0</v>
      </c>
      <c r="AE1211" s="970"/>
      <c r="AF1211" s="784"/>
      <c r="AG1211" s="634"/>
      <c r="AH1211" s="634"/>
      <c r="AI1211" s="634"/>
      <c r="AJ1211" s="634"/>
      <c r="AK1211" s="634"/>
      <c r="AL1211" s="254" t="str">
        <f>SUBSTITUTE(SUBSTITUTE(SUBSTITUTE("vpa"&amp;$B1211&amp;$C1211&amp;$D1211&amp;$E1211,".","_"),"(","_"),")","")</f>
        <v>vpa703_3_7_1</v>
      </c>
      <c r="AM1211" s="254">
        <f>M1211</f>
        <v>1</v>
      </c>
      <c r="AN1211" s="254" t="str">
        <f>SUBSTITUTE(SUBSTITUTE(SUBSTITUTE("vpc"&amp;$B1211&amp;$C1211&amp;$D1211&amp;$E1211,".","_"),"(","_"),")","")</f>
        <v>vpc703_3_7_1</v>
      </c>
      <c r="AO1211" s="254">
        <f ca="1">O1211</f>
        <v>0</v>
      </c>
      <c r="AP1211" s="254" t="str">
        <f>SUBSTITUTE(SUBSTITUTE(SUBSTITUTE("vch"&amp;$B1211&amp;$C1211&amp;$D1211&amp;$E1211,".","_"),"(","_"),")","")</f>
        <v>vch703_3_7_1</v>
      </c>
      <c r="AQ1211" s="254" t="str">
        <f>IF(LEN(W1211)=0,"",W1211)</f>
        <v/>
      </c>
      <c r="AR1211" s="254" t="str">
        <f>SUBSTITUTE(SUBSTITUTE(SUBSTITUTE("vnt"&amp;$B1211&amp;$C1211&amp;$D1211&amp;$E1211,".","_"),"(","_"),")","")</f>
        <v>vnt703_3_7_1</v>
      </c>
      <c r="AS1211" s="254" t="str">
        <f>IF(LEN(X1211)=0,"",X1211)</f>
        <v/>
      </c>
      <c r="AT1211" s="634"/>
      <c r="AU1211" s="634"/>
      <c r="AV1211" s="634"/>
      <c r="AW1211" s="634"/>
      <c r="AX1211" s="634"/>
      <c r="AY1211" s="634"/>
      <c r="AZ1211" s="634"/>
      <c r="BA1211" s="634"/>
      <c r="BB1211" s="634"/>
      <c r="BC1211" s="634"/>
      <c r="BD1211" s="634"/>
      <c r="BE1211" s="634"/>
      <c r="BF1211" s="634"/>
      <c r="BG1211" s="634"/>
      <c r="BH1211" s="634"/>
      <c r="BI1211" s="634"/>
    </row>
    <row r="1212" spans="1:61" x14ac:dyDescent="0.25">
      <c r="A1212" s="2371">
        <v>7</v>
      </c>
      <c r="B1212" s="2381" t="s">
        <v>929</v>
      </c>
      <c r="C1212" s="2374"/>
      <c r="D1212" s="2374"/>
      <c r="E1212" s="2374"/>
      <c r="F1212" s="2374"/>
      <c r="G1212" s="2373" t="str">
        <f ca="1">G1211</f>
        <v/>
      </c>
      <c r="H1212" s="2371" t="s">
        <v>3973</v>
      </c>
      <c r="I1212" s="4"/>
      <c r="J1212" s="639"/>
      <c r="K1212" s="639"/>
      <c r="L1212" s="1188" t="s">
        <v>931</v>
      </c>
      <c r="M1212" s="1014"/>
      <c r="N1212" s="1042"/>
      <c r="O1212" s="1042"/>
      <c r="P1212" s="756"/>
      <c r="Q1212" s="756"/>
      <c r="R1212" s="634"/>
      <c r="S1212" s="634"/>
      <c r="T1212" s="634"/>
      <c r="U1212" s="634"/>
      <c r="V1212" s="634"/>
      <c r="W1212" s="634" t="s">
        <v>3762</v>
      </c>
      <c r="X1212" s="1757"/>
      <c r="Y1212" s="2081"/>
      <c r="Z1212" s="2083"/>
      <c r="AA1212" s="1526"/>
      <c r="AB1212" s="634"/>
      <c r="AC1212" s="970"/>
      <c r="AD1212" s="970"/>
      <c r="AE1212" s="970"/>
      <c r="AF1212" s="634"/>
      <c r="AG1212" s="634"/>
      <c r="AH1212" s="634"/>
      <c r="AI1212" s="634"/>
      <c r="AJ1212" s="634"/>
      <c r="AK1212" s="634"/>
      <c r="AL1212" s="1336"/>
      <c r="AM1212" s="1336"/>
      <c r="AN1212" s="1336"/>
      <c r="AO1212" s="1336"/>
      <c r="AP1212" s="1336"/>
      <c r="AQ1212" s="1336"/>
      <c r="AR1212" s="1336"/>
      <c r="AS1212" s="1336"/>
      <c r="AT1212" s="634"/>
      <c r="AU1212" s="634"/>
      <c r="AV1212" s="634"/>
      <c r="AW1212" s="634"/>
      <c r="AX1212" s="634"/>
      <c r="AY1212" s="634"/>
      <c r="AZ1212" s="634"/>
      <c r="BA1212" s="634"/>
      <c r="BB1212" s="634"/>
      <c r="BC1212" s="634"/>
      <c r="BD1212" s="634"/>
      <c r="BE1212" s="634"/>
      <c r="BF1212" s="634"/>
      <c r="BG1212" s="634"/>
      <c r="BH1212" s="634"/>
      <c r="BI1212" s="634"/>
    </row>
    <row r="1213" spans="1:61" ht="15" customHeight="1" x14ac:dyDescent="0.25">
      <c r="A1213" s="2371">
        <v>7</v>
      </c>
      <c r="B1213" s="2381" t="s">
        <v>929</v>
      </c>
      <c r="C1213" s="2374" t="s">
        <v>258</v>
      </c>
      <c r="D1213" s="2374"/>
      <c r="E1213" s="2374"/>
      <c r="F1213" s="2374"/>
      <c r="G1213" s="2373" t="str">
        <f ca="1">G1212</f>
        <v/>
      </c>
      <c r="H1213" s="2371" t="s">
        <v>3973</v>
      </c>
      <c r="I1213" s="4"/>
      <c r="J1213" s="639"/>
      <c r="K1213" s="639"/>
      <c r="L1213" s="1884" t="s">
        <v>4280</v>
      </c>
      <c r="M1213" s="1014"/>
      <c r="N1213" s="1042"/>
      <c r="O1213" s="1042"/>
      <c r="P1213" s="94" t="b">
        <v>0</v>
      </c>
      <c r="Q1213" s="94" t="b">
        <v>1</v>
      </c>
      <c r="R1213" s="634" t="b">
        <v>0</v>
      </c>
      <c r="S1213" s="634" t="b">
        <f ca="1">AND(S883=2,NOT(W1218),W1211=TRUE,OR(BI886="Tropical",AND(BG886="Dry",OR(BF886=2,BF886=3,BF886=4))))</f>
        <v>0</v>
      </c>
      <c r="T1213" s="94" t="b">
        <f ca="1">AND(NOT(S1213),LEN(W1213)&gt;0)</f>
        <v>0</v>
      </c>
      <c r="U1213" s="634"/>
      <c r="V1213" s="634"/>
      <c r="W1213" s="513"/>
      <c r="X1213" s="1757"/>
      <c r="Y1213" s="2081"/>
      <c r="Z1213" s="2083"/>
      <c r="AA1213" s="1526"/>
      <c r="AB1213" s="634"/>
      <c r="AC1213" s="970" t="b">
        <f ca="1">OR(AD1213:AE1213)</f>
        <v>0</v>
      </c>
      <c r="AD1213" s="970" t="b">
        <f ca="1">T1213</f>
        <v>0</v>
      </c>
      <c r="AE1213" s="970"/>
      <c r="AF1213" s="784"/>
      <c r="AG1213" s="634"/>
      <c r="AH1213" s="634"/>
      <c r="AI1213" s="634"/>
      <c r="AJ1213" s="634"/>
      <c r="AK1213" s="634"/>
      <c r="AL1213" s="1336"/>
      <c r="AM1213" s="1336"/>
      <c r="AN1213" s="1336"/>
      <c r="AO1213" s="1336"/>
      <c r="AP1213" s="254" t="str">
        <f>SUBSTITUTE(SUBSTITUTE(SUBSTITUTE("vch"&amp;$B1213&amp;$C1213&amp;$D1213&amp;$E1213,".","_"),"(","_"),")","")</f>
        <v>vch703_3_7_2</v>
      </c>
      <c r="AQ1213" s="254" t="str">
        <f>IF(LEN(W1213)=0,"",W1213)</f>
        <v/>
      </c>
      <c r="AR1213" s="1336"/>
      <c r="AS1213" s="1336"/>
      <c r="AT1213" s="634"/>
      <c r="AU1213" s="634"/>
      <c r="AV1213" s="634"/>
      <c r="AW1213" s="634"/>
      <c r="AX1213" s="634"/>
      <c r="AY1213" s="634"/>
      <c r="AZ1213" s="634"/>
      <c r="BA1213" s="634"/>
      <c r="BB1213" s="634"/>
      <c r="BC1213" s="634"/>
      <c r="BD1213" s="634"/>
      <c r="BE1213" s="634"/>
      <c r="BF1213" s="634"/>
      <c r="BG1213" s="634"/>
      <c r="BH1213" s="634"/>
      <c r="BI1213" s="634"/>
    </row>
    <row r="1214" spans="1:61" x14ac:dyDescent="0.25">
      <c r="A1214" s="2371">
        <v>7</v>
      </c>
      <c r="B1214" s="2381" t="s">
        <v>929</v>
      </c>
      <c r="C1214" s="2381"/>
      <c r="D1214" s="2374"/>
      <c r="E1214" s="2374"/>
      <c r="F1214" s="2374"/>
      <c r="G1214" s="2373" t="str">
        <f ca="1">G1213</f>
        <v/>
      </c>
      <c r="H1214" s="2371" t="s">
        <v>3973</v>
      </c>
      <c r="I1214" s="4"/>
      <c r="J1214" s="639"/>
      <c r="K1214" s="639"/>
      <c r="L1214" s="1884"/>
      <c r="M1214" s="1014"/>
      <c r="N1214" s="1042"/>
      <c r="O1214" s="1042"/>
      <c r="P1214" s="756"/>
      <c r="Q1214" s="756"/>
      <c r="R1214" s="634"/>
      <c r="S1214" s="634"/>
      <c r="T1214" s="634"/>
      <c r="U1214" s="634"/>
      <c r="V1214" s="634"/>
      <c r="W1214" s="634"/>
      <c r="X1214" s="1757"/>
      <c r="Y1214" s="2081"/>
      <c r="Z1214" s="2083"/>
      <c r="AA1214" s="1526"/>
      <c r="AB1214" s="634"/>
      <c r="AC1214" s="970"/>
      <c r="AD1214" s="970"/>
      <c r="AE1214" s="970"/>
      <c r="AF1214" s="634"/>
      <c r="AG1214" s="634"/>
      <c r="AH1214" s="634"/>
      <c r="AI1214" s="634"/>
      <c r="AJ1214" s="634"/>
      <c r="AK1214" s="634"/>
      <c r="AL1214" s="1336"/>
      <c r="AM1214" s="1336"/>
      <c r="AN1214" s="1336"/>
      <c r="AO1214" s="1336"/>
      <c r="AP1214" s="1336"/>
      <c r="AQ1214" s="1336"/>
      <c r="AR1214" s="1336"/>
      <c r="AS1214" s="1336"/>
      <c r="AT1214" s="634"/>
      <c r="AU1214" s="634"/>
      <c r="AV1214" s="634"/>
      <c r="AW1214" s="634"/>
      <c r="AX1214" s="634"/>
      <c r="AY1214" s="634"/>
      <c r="AZ1214" s="634"/>
      <c r="BA1214" s="634"/>
      <c r="BB1214" s="634"/>
      <c r="BC1214" s="634"/>
      <c r="BD1214" s="634"/>
      <c r="BE1214" s="634"/>
      <c r="BF1214" s="634"/>
      <c r="BG1214" s="634"/>
      <c r="BH1214" s="634"/>
      <c r="BI1214" s="634"/>
    </row>
    <row r="1215" spans="1:61" x14ac:dyDescent="0.25">
      <c r="A1215" s="2371">
        <v>7</v>
      </c>
      <c r="B1215" s="2381" t="s">
        <v>929</v>
      </c>
      <c r="C1215" s="2381"/>
      <c r="D1215" s="2374"/>
      <c r="E1215" s="2374"/>
      <c r="F1215" s="2374"/>
      <c r="G1215" s="2373" t="str">
        <f ca="1">G1214</f>
        <v/>
      </c>
      <c r="H1215" s="2371" t="s">
        <v>3973</v>
      </c>
      <c r="I1215" s="4"/>
      <c r="J1215" s="639"/>
      <c r="K1215" s="639"/>
      <c r="L1215" s="1884"/>
      <c r="M1215" s="1014"/>
      <c r="N1215" s="1042"/>
      <c r="O1215" s="1042"/>
      <c r="P1215" s="756"/>
      <c r="Q1215" s="756"/>
      <c r="R1215" s="634"/>
      <c r="S1215" s="634"/>
      <c r="T1215" s="634"/>
      <c r="U1215" s="634"/>
      <c r="V1215" s="634"/>
      <c r="W1215" s="634"/>
      <c r="X1215" s="1757"/>
      <c r="Y1215" s="2081"/>
      <c r="Z1215" s="2083"/>
      <c r="AA1215" s="1526"/>
      <c r="AB1215" s="634"/>
      <c r="AC1215" s="970"/>
      <c r="AD1215" s="970"/>
      <c r="AE1215" s="970"/>
      <c r="AF1215" s="634"/>
      <c r="AG1215" s="634"/>
      <c r="AH1215" s="634"/>
      <c r="AI1215" s="634"/>
      <c r="AJ1215" s="634"/>
      <c r="AK1215" s="634"/>
      <c r="AL1215" s="1336"/>
      <c r="AM1215" s="1336"/>
      <c r="AN1215" s="1336"/>
      <c r="AO1215" s="1336"/>
      <c r="AP1215" s="1336"/>
      <c r="AQ1215" s="1336"/>
      <c r="AR1215" s="1336"/>
      <c r="AS1215" s="1336"/>
      <c r="AT1215" s="634"/>
      <c r="AU1215" s="634"/>
      <c r="AV1215" s="634"/>
      <c r="AW1215" s="634"/>
      <c r="AX1215" s="634"/>
      <c r="AY1215" s="634"/>
      <c r="AZ1215" s="634"/>
      <c r="BA1215" s="634"/>
      <c r="BB1215" s="634"/>
      <c r="BC1215" s="634"/>
      <c r="BD1215" s="634"/>
      <c r="BE1215" s="634"/>
      <c r="BF1215" s="634"/>
      <c r="BG1215" s="634"/>
      <c r="BH1215" s="634"/>
      <c r="BI1215" s="634"/>
    </row>
    <row r="1216" spans="1:61" x14ac:dyDescent="0.25">
      <c r="A1216" s="2371">
        <v>7</v>
      </c>
      <c r="B1216" s="2381" t="s">
        <v>929</v>
      </c>
      <c r="C1216" s="2381"/>
      <c r="D1216" s="2374"/>
      <c r="E1216" s="2374"/>
      <c r="F1216" s="2374"/>
      <c r="G1216" s="2373" t="str">
        <f ca="1">G1215</f>
        <v/>
      </c>
      <c r="H1216" s="2371" t="s">
        <v>3973</v>
      </c>
      <c r="I1216" s="4"/>
      <c r="J1216" s="639"/>
      <c r="K1216" s="639"/>
      <c r="L1216" s="1884"/>
      <c r="M1216" s="1014"/>
      <c r="N1216" s="1042"/>
      <c r="O1216" s="1042"/>
      <c r="P1216" s="756"/>
      <c r="Q1216" s="756"/>
      <c r="R1216" s="634"/>
      <c r="S1216" s="634"/>
      <c r="T1216" s="634"/>
      <c r="U1216" s="634"/>
      <c r="V1216" s="634"/>
      <c r="W1216" s="634"/>
      <c r="X1216" s="1757"/>
      <c r="Y1216" s="2081"/>
      <c r="Z1216" s="2083"/>
      <c r="AA1216" s="1526"/>
      <c r="AB1216" s="634"/>
      <c r="AC1216" s="970"/>
      <c r="AD1216" s="970"/>
      <c r="AE1216" s="970"/>
      <c r="AF1216" s="634"/>
      <c r="AG1216" s="634"/>
      <c r="AH1216" s="634"/>
      <c r="AI1216" s="634"/>
      <c r="AJ1216" s="634"/>
      <c r="AK1216" s="634"/>
      <c r="AL1216" s="1336"/>
      <c r="AM1216" s="1336"/>
      <c r="AN1216" s="1336"/>
      <c r="AO1216" s="1336"/>
      <c r="AP1216" s="1336"/>
      <c r="AQ1216" s="1336"/>
      <c r="AR1216" s="1336"/>
      <c r="AS1216" s="1336"/>
      <c r="AT1216" s="634"/>
      <c r="AU1216" s="634"/>
      <c r="AV1216" s="634"/>
      <c r="AW1216" s="634"/>
      <c r="AX1216" s="634"/>
      <c r="AY1216" s="634"/>
      <c r="AZ1216" s="634"/>
      <c r="BA1216" s="634"/>
      <c r="BB1216" s="634"/>
      <c r="BC1216" s="634"/>
      <c r="BD1216" s="634"/>
      <c r="BE1216" s="634"/>
      <c r="BF1216" s="634"/>
      <c r="BG1216" s="634"/>
      <c r="BH1216" s="634"/>
      <c r="BI1216" s="634"/>
    </row>
    <row r="1217" spans="1:61" x14ac:dyDescent="0.25">
      <c r="A1217" s="2371">
        <v>7</v>
      </c>
      <c r="B1217" s="2381" t="s">
        <v>929</v>
      </c>
      <c r="C1217" s="2381"/>
      <c r="D1217" s="2374"/>
      <c r="E1217" s="2374"/>
      <c r="F1217" s="2374"/>
      <c r="G1217" s="2371"/>
      <c r="H1217" s="2371"/>
      <c r="I1217" s="210"/>
      <c r="J1217" s="637"/>
      <c r="K1217" s="637"/>
      <c r="L1217" s="1177" t="s">
        <v>3778</v>
      </c>
      <c r="M1217" s="1015"/>
      <c r="N1217" s="1047"/>
      <c r="O1217" s="1047"/>
      <c r="P1217" s="178"/>
      <c r="Q1217" s="178"/>
      <c r="R1217" s="178"/>
      <c r="S1217" s="178"/>
      <c r="T1217" s="178"/>
      <c r="U1217" s="178"/>
      <c r="V1217" s="178"/>
      <c r="W1217" s="538"/>
      <c r="X1217" s="1757"/>
      <c r="Y1217" s="2081"/>
      <c r="Z1217" s="2083"/>
      <c r="AA1217" s="1526"/>
      <c r="AB1217" s="634"/>
      <c r="AC1217" s="970"/>
      <c r="AD1217" s="970"/>
      <c r="AE1217" s="970"/>
      <c r="AF1217" s="634"/>
      <c r="AG1217" s="634"/>
      <c r="AH1217" s="634"/>
      <c r="AI1217" s="634"/>
      <c r="AJ1217" s="634"/>
      <c r="AK1217" s="634"/>
      <c r="AL1217" s="1336"/>
      <c r="AM1217" s="1336"/>
      <c r="AN1217" s="1336"/>
      <c r="AO1217" s="1336"/>
      <c r="AP1217" s="1336"/>
      <c r="AQ1217" s="1336"/>
      <c r="AR1217" s="1336"/>
      <c r="AS1217" s="1336"/>
      <c r="AT1217" s="634"/>
      <c r="AU1217" s="634"/>
      <c r="AV1217" s="634"/>
      <c r="AW1217" s="634"/>
      <c r="AX1217" s="634"/>
      <c r="AY1217" s="634"/>
      <c r="AZ1217" s="634"/>
      <c r="BA1217" s="634"/>
      <c r="BB1217" s="634"/>
      <c r="BC1217" s="634"/>
      <c r="BD1217" s="634"/>
      <c r="BE1217" s="634"/>
      <c r="BF1217" s="634"/>
      <c r="BG1217" s="634"/>
      <c r="BH1217" s="634"/>
      <c r="BI1217" s="634"/>
    </row>
    <row r="1218" spans="1:61" ht="15" customHeight="1" x14ac:dyDescent="0.25">
      <c r="A1218" s="2371">
        <v>7</v>
      </c>
      <c r="B1218" s="2381" t="s">
        <v>932</v>
      </c>
      <c r="C1218" s="2381"/>
      <c r="D1218" s="2374"/>
      <c r="E1218" s="2374"/>
      <c r="F1218" s="2374"/>
      <c r="G1218" s="2373" t="str">
        <f ca="1">IF(N1218&gt;0,"P","")</f>
        <v/>
      </c>
      <c r="H1218" s="2371" t="s">
        <v>3971</v>
      </c>
      <c r="I1218" s="533" t="s">
        <v>932</v>
      </c>
      <c r="J1218" s="641"/>
      <c r="K1218" s="641"/>
      <c r="L1218" s="1887" t="s">
        <v>4281</v>
      </c>
      <c r="M1218" s="1762">
        <f>IFERROR(INDEX({4,4,4,3,3,3,0,0},BF886),0)</f>
        <v>0</v>
      </c>
      <c r="N1218" s="2079">
        <f ca="1">'Ch7'!O348</f>
        <v>0</v>
      </c>
      <c r="O1218" s="2079">
        <f ca="1">M1218*S1218*W1218</f>
        <v>0</v>
      </c>
      <c r="P1218" s="94" t="b">
        <v>1</v>
      </c>
      <c r="Q1218" s="94" t="b">
        <v>1</v>
      </c>
      <c r="R1218" s="195" t="b">
        <v>0</v>
      </c>
      <c r="S1218" s="195" t="b">
        <f ca="1">(S883=2)</f>
        <v>0</v>
      </c>
      <c r="T1218" s="195" t="b">
        <f ca="1">AND(NOT(S1218),W1218=TRUE)</f>
        <v>0</v>
      </c>
      <c r="U1218" s="195"/>
      <c r="V1218" s="195"/>
      <c r="W1218" s="25"/>
      <c r="X1218" s="1757"/>
      <c r="Y1218" s="2081" t="str">
        <f>IF(LEN('Ch7'!X348)=0,"None",'Ch7'!X348)</f>
        <v>None</v>
      </c>
      <c r="Z1218" s="2084"/>
      <c r="AA1218" s="1526"/>
      <c r="AB1218" s="634"/>
      <c r="AC1218" s="970" t="b">
        <f ca="1">OR(AD1218:AE1218)</f>
        <v>0</v>
      </c>
      <c r="AD1218" s="970" t="b">
        <f ca="1">T1218</f>
        <v>0</v>
      </c>
      <c r="AE1218" s="970"/>
      <c r="AF1218" s="784"/>
      <c r="AG1218" s="634"/>
      <c r="AH1218" s="634"/>
      <c r="AI1218" s="634"/>
      <c r="AJ1218" s="634"/>
      <c r="AK1218" s="634"/>
      <c r="AL1218" s="254" t="str">
        <f>SUBSTITUTE(SUBSTITUTE(SUBSTITUTE("vpa"&amp;$B1218&amp;$C1218&amp;$D1218&amp;$E1218,".","_"),"(","_"),")","")</f>
        <v>vpa703_3_8</v>
      </c>
      <c r="AM1218" s="254">
        <f>M1218</f>
        <v>0</v>
      </c>
      <c r="AN1218" s="254" t="str">
        <f>SUBSTITUTE(SUBSTITUTE(SUBSTITUTE("vpc"&amp;$B1218&amp;$C1218&amp;$D1218&amp;$E1218,".","_"),"(","_"),")","")</f>
        <v>vpc703_3_8</v>
      </c>
      <c r="AO1218" s="254">
        <f ca="1">O1218</f>
        <v>0</v>
      </c>
      <c r="AP1218" s="254" t="str">
        <f>SUBSTITUTE(SUBSTITUTE(SUBSTITUTE("vch"&amp;$B1218&amp;$C1218&amp;$D1218&amp;$E1218,".","_"),"(","_"),")","")</f>
        <v>vch703_3_8</v>
      </c>
      <c r="AQ1218" s="254" t="str">
        <f>IF(LEN(W1218)=0,"",W1218)</f>
        <v/>
      </c>
      <c r="AR1218" s="254" t="str">
        <f>SUBSTITUTE(SUBSTITUTE(SUBSTITUTE("vnt"&amp;$B1218&amp;$C1218&amp;$D1218&amp;$E1218,".","_"),"(","_"),")","")</f>
        <v>vnt703_3_8</v>
      </c>
      <c r="AS1218" s="254" t="str">
        <f>IF(LEN(X1218)=0,"",X1218)</f>
        <v/>
      </c>
      <c r="AT1218" s="634"/>
      <c r="AU1218" s="634"/>
      <c r="AV1218" s="634"/>
      <c r="AW1218" s="634"/>
      <c r="AX1218" s="634"/>
      <c r="AY1218" s="634"/>
      <c r="AZ1218" s="634"/>
      <c r="BA1218" s="634"/>
      <c r="BB1218" s="634"/>
      <c r="BC1218" s="634"/>
      <c r="BD1218" s="634"/>
      <c r="BE1218" s="634"/>
      <c r="BF1218" s="634"/>
      <c r="BG1218" s="634"/>
      <c r="BH1218" s="634"/>
      <c r="BI1218" s="634"/>
    </row>
    <row r="1219" spans="1:61" x14ac:dyDescent="0.25">
      <c r="A1219" s="2371">
        <v>7</v>
      </c>
      <c r="B1219" s="2381" t="s">
        <v>932</v>
      </c>
      <c r="C1219" s="2381"/>
      <c r="D1219" s="2374"/>
      <c r="E1219" s="2374"/>
      <c r="F1219" s="2374"/>
      <c r="G1219" s="2373" t="str">
        <f ca="1">G1218</f>
        <v/>
      </c>
      <c r="H1219" s="2371" t="s">
        <v>3971</v>
      </c>
      <c r="I1219" s="129"/>
      <c r="J1219" s="636"/>
      <c r="K1219" s="636"/>
      <c r="L1219" s="1884"/>
      <c r="M1219" s="1758"/>
      <c r="N1219" s="1927"/>
      <c r="O1219" s="1927"/>
      <c r="P1219" s="94"/>
      <c r="Q1219" s="94"/>
      <c r="R1219" s="94"/>
      <c r="S1219" s="94"/>
      <c r="T1219" s="94"/>
      <c r="U1219" s="94"/>
      <c r="V1219" s="94"/>
      <c r="W1219" s="94"/>
      <c r="X1219" s="1757"/>
      <c r="Y1219" s="2081"/>
      <c r="Z1219" s="2084"/>
      <c r="AA1219" s="1526"/>
      <c r="AB1219" s="634"/>
      <c r="AC1219" s="970"/>
      <c r="AD1219" s="970"/>
      <c r="AE1219" s="970"/>
      <c r="AF1219" s="634"/>
      <c r="AG1219" s="634"/>
      <c r="AH1219" s="634"/>
      <c r="AI1219" s="634"/>
      <c r="AJ1219" s="634"/>
      <c r="AK1219" s="634"/>
      <c r="AL1219" s="1336"/>
      <c r="AM1219" s="1336"/>
      <c r="AN1219" s="1336"/>
      <c r="AO1219" s="1336"/>
      <c r="AP1219" s="1336"/>
      <c r="AQ1219" s="1336"/>
      <c r="AR1219" s="1336"/>
      <c r="AS1219" s="1336"/>
      <c r="AT1219" s="634"/>
      <c r="AU1219" s="634"/>
      <c r="AV1219" s="634"/>
      <c r="AW1219" s="634"/>
      <c r="AX1219" s="634"/>
      <c r="AY1219" s="634"/>
      <c r="AZ1219" s="634"/>
      <c r="BA1219" s="634"/>
      <c r="BB1219" s="634"/>
      <c r="BC1219" s="634"/>
      <c r="BD1219" s="634"/>
      <c r="BE1219" s="634"/>
      <c r="BF1219" s="634"/>
      <c r="BG1219" s="634"/>
      <c r="BH1219" s="634"/>
      <c r="BI1219" s="634"/>
    </row>
    <row r="1220" spans="1:61" x14ac:dyDescent="0.25">
      <c r="A1220" s="2371">
        <v>7</v>
      </c>
      <c r="B1220" s="2381" t="s">
        <v>932</v>
      </c>
      <c r="C1220" s="2381"/>
      <c r="D1220" s="2374"/>
      <c r="E1220" s="2374"/>
      <c r="F1220" s="2374"/>
      <c r="G1220" s="2373" t="str">
        <f ca="1">G1219</f>
        <v/>
      </c>
      <c r="H1220" s="2371" t="s">
        <v>3971</v>
      </c>
      <c r="I1220" s="129"/>
      <c r="J1220" s="636"/>
      <c r="K1220" s="636"/>
      <c r="L1220" s="1175" t="s">
        <v>931</v>
      </c>
      <c r="M1220" s="1010"/>
      <c r="N1220" s="1044"/>
      <c r="O1220" s="1044"/>
      <c r="P1220" s="94"/>
      <c r="Q1220" s="94"/>
      <c r="R1220" s="94"/>
      <c r="S1220" s="94"/>
      <c r="T1220" s="94"/>
      <c r="U1220" s="94"/>
      <c r="V1220" s="94"/>
      <c r="W1220" s="94"/>
      <c r="X1220" s="1757"/>
      <c r="Y1220" s="2081"/>
      <c r="Z1220" s="2084"/>
      <c r="AA1220" s="1526"/>
      <c r="AB1220" s="634"/>
      <c r="AC1220" s="970"/>
      <c r="AD1220" s="970"/>
      <c r="AE1220" s="970"/>
      <c r="AF1220" s="634"/>
      <c r="AG1220" s="634"/>
      <c r="AH1220" s="634"/>
      <c r="AI1220" s="634"/>
      <c r="AJ1220" s="634"/>
      <c r="AK1220" s="634"/>
      <c r="AL1220" s="1336"/>
      <c r="AM1220" s="1336"/>
      <c r="AN1220" s="1336"/>
      <c r="AO1220" s="1336"/>
      <c r="AP1220" s="1336"/>
      <c r="AQ1220" s="1336"/>
      <c r="AR1220" s="1336"/>
      <c r="AS1220" s="1336"/>
      <c r="AT1220" s="634"/>
      <c r="AU1220" s="634"/>
      <c r="AV1220" s="634"/>
      <c r="AW1220" s="634"/>
      <c r="AX1220" s="634"/>
      <c r="AY1220" s="634"/>
      <c r="AZ1220" s="634"/>
      <c r="BA1220" s="634"/>
      <c r="BB1220" s="634"/>
      <c r="BC1220" s="634"/>
      <c r="BD1220" s="634"/>
      <c r="BE1220" s="634"/>
      <c r="BF1220" s="634"/>
      <c r="BG1220" s="634"/>
      <c r="BH1220" s="634"/>
      <c r="BI1220" s="634"/>
    </row>
    <row r="1221" spans="1:61" x14ac:dyDescent="0.25">
      <c r="A1221" s="2371">
        <v>7</v>
      </c>
      <c r="B1221" s="2381" t="s">
        <v>932</v>
      </c>
      <c r="C1221" s="2381"/>
      <c r="D1221" s="2374"/>
      <c r="E1221" s="2374"/>
      <c r="F1221" s="2374"/>
      <c r="G1221" s="2371"/>
      <c r="H1221" s="2371"/>
      <c r="I1221" s="129"/>
      <c r="J1221" s="636"/>
      <c r="K1221" s="636"/>
      <c r="L1221" s="1855" t="s">
        <v>3777</v>
      </c>
      <c r="M1221" s="1010"/>
      <c r="N1221" s="1044"/>
      <c r="O1221" s="1044"/>
      <c r="P1221" s="94"/>
      <c r="Q1221" s="94"/>
      <c r="R1221" s="94"/>
      <c r="S1221" s="94"/>
      <c r="T1221" s="94"/>
      <c r="U1221" s="94"/>
      <c r="V1221" s="94"/>
      <c r="W1221" s="94"/>
      <c r="X1221" s="1757"/>
      <c r="Y1221" s="2081"/>
      <c r="Z1221" s="2084"/>
      <c r="AA1221" s="1526"/>
      <c r="AB1221" s="634"/>
      <c r="AC1221" s="970"/>
      <c r="AD1221" s="970"/>
      <c r="AE1221" s="970"/>
      <c r="AF1221" s="634"/>
      <c r="AG1221" s="634"/>
      <c r="AH1221" s="634"/>
      <c r="AI1221" s="634"/>
      <c r="AJ1221" s="634"/>
      <c r="AK1221" s="634"/>
      <c r="AL1221" s="1336"/>
      <c r="AM1221" s="1336"/>
      <c r="AN1221" s="1336"/>
      <c r="AO1221" s="1336"/>
      <c r="AP1221" s="1336"/>
      <c r="AQ1221" s="1336"/>
      <c r="AR1221" s="1336"/>
      <c r="AS1221" s="1336"/>
      <c r="AT1221" s="634"/>
      <c r="AU1221" s="634"/>
      <c r="AV1221" s="634"/>
      <c r="AW1221" s="634"/>
      <c r="AX1221" s="634"/>
      <c r="AY1221" s="634"/>
      <c r="AZ1221" s="634"/>
      <c r="BA1221" s="634"/>
      <c r="BB1221" s="634"/>
      <c r="BC1221" s="634"/>
      <c r="BD1221" s="634"/>
      <c r="BE1221" s="634"/>
      <c r="BF1221" s="634"/>
      <c r="BG1221" s="634"/>
      <c r="BH1221" s="634"/>
      <c r="BI1221" s="634"/>
    </row>
    <row r="1222" spans="1:61" ht="15.75" thickBot="1" x14ac:dyDescent="0.3">
      <c r="A1222" s="2371">
        <v>7</v>
      </c>
      <c r="B1222" s="2381" t="s">
        <v>932</v>
      </c>
      <c r="C1222" s="2381"/>
      <c r="D1222" s="2374"/>
      <c r="E1222" s="2374"/>
      <c r="F1222" s="2374"/>
      <c r="G1222" s="2371"/>
      <c r="H1222" s="2371"/>
      <c r="I1222" s="240"/>
      <c r="J1222" s="642"/>
      <c r="K1222" s="642"/>
      <c r="L1222" s="2101"/>
      <c r="M1222" s="1011"/>
      <c r="N1222" s="1045"/>
      <c r="O1222" s="1045"/>
      <c r="P1222" s="99"/>
      <c r="Q1222" s="99"/>
      <c r="R1222" s="99"/>
      <c r="S1222" s="99"/>
      <c r="T1222" s="99"/>
      <c r="U1222" s="99"/>
      <c r="V1222" s="99"/>
      <c r="W1222" s="99"/>
      <c r="X1222" s="1771"/>
      <c r="Y1222" s="2082"/>
      <c r="Z1222" s="2086"/>
      <c r="AA1222" s="1526"/>
      <c r="AB1222" s="634"/>
      <c r="AC1222" s="970"/>
      <c r="AD1222" s="970"/>
      <c r="AE1222" s="970"/>
      <c r="AF1222" s="634"/>
      <c r="AG1222" s="634"/>
      <c r="AH1222" s="634"/>
      <c r="AI1222" s="634"/>
      <c r="AJ1222" s="634"/>
      <c r="AK1222" s="634"/>
      <c r="AL1222" s="1336"/>
      <c r="AM1222" s="1336"/>
      <c r="AN1222" s="1336"/>
      <c r="AO1222" s="1336"/>
      <c r="AP1222" s="1336"/>
      <c r="AQ1222" s="1336"/>
      <c r="AR1222" s="1336"/>
      <c r="AS1222" s="1336"/>
      <c r="AT1222" s="634"/>
      <c r="AU1222" s="634"/>
      <c r="AV1222" s="634"/>
      <c r="AW1222" s="634"/>
      <c r="AX1222" s="634"/>
      <c r="AY1222" s="634"/>
      <c r="AZ1222" s="634"/>
      <c r="BA1222" s="634"/>
      <c r="BB1222" s="634"/>
      <c r="BC1222" s="634"/>
      <c r="BD1222" s="634"/>
      <c r="BE1222" s="634"/>
      <c r="BF1222" s="634"/>
      <c r="BG1222" s="634"/>
      <c r="BH1222" s="634"/>
      <c r="BI1222" s="634"/>
    </row>
    <row r="1223" spans="1:61" ht="15.75" thickTop="1" x14ac:dyDescent="0.25">
      <c r="A1223" s="2371">
        <v>7</v>
      </c>
      <c r="B1223" s="2385">
        <v>703.4</v>
      </c>
      <c r="C1223" s="2381"/>
      <c r="D1223" s="2374"/>
      <c r="E1223" s="2374"/>
      <c r="F1223" s="2374"/>
      <c r="G1223" s="2363" t="str">
        <f ca="1">IF(COUNTIF(G1224:G1234,"P")&gt;0,"P","")</f>
        <v/>
      </c>
      <c r="H1223" s="2371" t="s">
        <v>3971</v>
      </c>
      <c r="I1223" s="64">
        <v>703.4</v>
      </c>
      <c r="J1223" s="639"/>
      <c r="K1223" s="639"/>
      <c r="L1223" s="1180" t="s">
        <v>933</v>
      </c>
      <c r="M1223" s="1014"/>
      <c r="N1223" s="1042"/>
      <c r="O1223" s="1042"/>
      <c r="P1223" s="756"/>
      <c r="Q1223" s="756"/>
      <c r="R1223" s="1"/>
      <c r="S1223" s="385" t="s">
        <v>3644</v>
      </c>
      <c r="T1223" s="1" t="b">
        <f>AND(AY898&gt;4,AY889=INDEX(ddSingleOrMulti,2))</f>
        <v>0</v>
      </c>
      <c r="U1223" s="634"/>
      <c r="V1223" s="634"/>
      <c r="W1223" s="634"/>
      <c r="X1223" s="911"/>
      <c r="Y1223" s="634"/>
      <c r="AA1223" s="1526"/>
      <c r="AB1223" s="634"/>
      <c r="AC1223" s="970"/>
      <c r="AD1223" s="970"/>
      <c r="AE1223" s="970"/>
      <c r="AF1223" s="634"/>
      <c r="AG1223" s="634"/>
      <c r="AH1223" s="634"/>
      <c r="AI1223" s="634"/>
      <c r="AJ1223" s="634"/>
      <c r="AK1223" s="634"/>
      <c r="AL1223" s="1336"/>
      <c r="AM1223" s="1336"/>
      <c r="AN1223" s="1336"/>
      <c r="AO1223" s="1336"/>
      <c r="AP1223" s="1336"/>
      <c r="AQ1223" s="1336"/>
      <c r="AR1223" s="1336"/>
      <c r="AS1223" s="1336"/>
      <c r="AT1223" s="634"/>
      <c r="AU1223" s="634"/>
      <c r="AV1223" s="634"/>
      <c r="AW1223" s="634"/>
      <c r="AX1223" s="634"/>
      <c r="AY1223" s="634"/>
      <c r="AZ1223" s="634"/>
      <c r="BA1223" s="634"/>
      <c r="BB1223" s="634"/>
      <c r="BC1223" s="634"/>
      <c r="BD1223" s="634"/>
      <c r="BE1223" s="634"/>
      <c r="BF1223" s="634"/>
      <c r="BG1223" s="634"/>
      <c r="BH1223" s="634"/>
      <c r="BI1223" s="634"/>
    </row>
    <row r="1224" spans="1:61" x14ac:dyDescent="0.25">
      <c r="A1224" s="2371">
        <v>7</v>
      </c>
      <c r="B1224" s="2385" t="s">
        <v>934</v>
      </c>
      <c r="C1224" s="2381"/>
      <c r="D1224" s="2374"/>
      <c r="E1224" s="2374"/>
      <c r="F1224" s="2374"/>
      <c r="G1224" s="2373" t="str">
        <f ca="1">IF(N1224&gt;0,"P","")</f>
        <v/>
      </c>
      <c r="H1224" s="2371" t="s">
        <v>3971</v>
      </c>
      <c r="I1224" s="130" t="s">
        <v>934</v>
      </c>
      <c r="J1224" s="636"/>
      <c r="K1224" s="636"/>
      <c r="L1224" s="1181" t="s">
        <v>935</v>
      </c>
      <c r="M1224" s="1758">
        <f>IFERROR(INDEX({0,2,4,6,8,8,8,8},BF886),0)</f>
        <v>0</v>
      </c>
      <c r="N1224" s="1927">
        <f ca="1">'Ch7'!O354</f>
        <v>0</v>
      </c>
      <c r="O1224" s="1927">
        <f ca="1">M1224*S1224*W1224</f>
        <v>0</v>
      </c>
      <c r="P1224" s="94" t="b">
        <v>1</v>
      </c>
      <c r="Q1224" s="94" t="b">
        <v>1</v>
      </c>
      <c r="R1224" s="634" t="b">
        <v>0</v>
      </c>
      <c r="S1224" s="634" t="b">
        <f ca="1">AND(S883=2,NOT(T1223),AY909=INDEX(ddHDucts,2))</f>
        <v>0</v>
      </c>
      <c r="T1224" s="94" t="b">
        <f ca="1">AND(NOT(S1224),W1224=TRUE)</f>
        <v>0</v>
      </c>
      <c r="U1224" s="634"/>
      <c r="V1224" s="634"/>
      <c r="W1224" s="25"/>
      <c r="X1224" s="1757"/>
      <c r="Y1224" s="2081" t="str">
        <f>IF(LEN('Ch7'!X354)=0,"None",'Ch7'!X354)</f>
        <v>None</v>
      </c>
      <c r="Z1224" s="2083"/>
      <c r="AA1224" s="1526"/>
      <c r="AB1224" s="634"/>
      <c r="AC1224" s="970" t="b">
        <f ca="1">OR(AD1224:AE1224)</f>
        <v>0</v>
      </c>
      <c r="AD1224" s="970" t="b">
        <f ca="1">T1224</f>
        <v>0</v>
      </c>
      <c r="AE1224" s="970"/>
      <c r="AF1224" s="784"/>
      <c r="AG1224" s="634"/>
      <c r="AH1224" s="634"/>
      <c r="AI1224" s="634"/>
      <c r="AJ1224" s="634"/>
      <c r="AK1224" s="634"/>
      <c r="AL1224" s="254" t="str">
        <f>SUBSTITUTE(SUBSTITUTE(SUBSTITUTE("vpa"&amp;$B1224&amp;$C1224&amp;$D1224&amp;$E1224,".","_"),"(","_"),")","")</f>
        <v>vpa703_4_1</v>
      </c>
      <c r="AM1224" s="254">
        <f>M1224</f>
        <v>0</v>
      </c>
      <c r="AN1224" s="254" t="str">
        <f>SUBSTITUTE(SUBSTITUTE(SUBSTITUTE("vpc"&amp;$B1224&amp;$C1224&amp;$D1224&amp;$E1224,".","_"),"(","_"),")","")</f>
        <v>vpc703_4_1</v>
      </c>
      <c r="AO1224" s="254">
        <f ca="1">O1224</f>
        <v>0</v>
      </c>
      <c r="AP1224" s="254" t="str">
        <f>SUBSTITUTE(SUBSTITUTE(SUBSTITUTE("vch"&amp;$B1224&amp;$C1224&amp;$D1224&amp;$E1224,".","_"),"(","_"),")","")</f>
        <v>vch703_4_1</v>
      </c>
      <c r="AQ1224" s="254" t="str">
        <f>IF(LEN(W1224)=0,"",W1224)</f>
        <v/>
      </c>
      <c r="AR1224" s="254" t="str">
        <f>SUBSTITUTE(SUBSTITUTE(SUBSTITUTE("vnt"&amp;$B1224&amp;$C1224&amp;$D1224&amp;$E1224,".","_"),"(","_"),")","")</f>
        <v>vnt703_4_1</v>
      </c>
      <c r="AS1224" s="254" t="str">
        <f>IF(LEN(X1224)=0,"",X1224)</f>
        <v/>
      </c>
      <c r="AT1224" s="634"/>
      <c r="AU1224" s="634"/>
      <c r="AV1224" s="634"/>
      <c r="AW1224" s="634"/>
      <c r="AX1224" s="634"/>
      <c r="AY1224" s="634"/>
      <c r="AZ1224" s="634"/>
      <c r="BA1224" s="634"/>
      <c r="BB1224" s="634"/>
      <c r="BC1224" s="634"/>
      <c r="BD1224" s="634"/>
      <c r="BE1224" s="634"/>
      <c r="BF1224" s="634"/>
      <c r="BG1224" s="634"/>
      <c r="BH1224" s="634"/>
      <c r="BI1224" s="634"/>
    </row>
    <row r="1225" spans="1:61" x14ac:dyDescent="0.25">
      <c r="A1225" s="2371">
        <v>7</v>
      </c>
      <c r="B1225" s="2385" t="s">
        <v>934</v>
      </c>
      <c r="C1225" s="2381"/>
      <c r="D1225" s="2374"/>
      <c r="E1225" s="2374"/>
      <c r="F1225" s="2374"/>
      <c r="G1225" s="2371"/>
      <c r="H1225" s="2371"/>
      <c r="I1225" s="210"/>
      <c r="J1225" s="637"/>
      <c r="K1225" s="637"/>
      <c r="L1225" s="1177" t="s">
        <v>936</v>
      </c>
      <c r="M1225" s="1759"/>
      <c r="N1225" s="2076"/>
      <c r="O1225" s="2076"/>
      <c r="P1225" s="756"/>
      <c r="Q1225" s="756"/>
      <c r="R1225" s="634"/>
      <c r="S1225" s="634"/>
      <c r="T1225" s="634"/>
      <c r="U1225" s="634"/>
      <c r="V1225" s="634"/>
      <c r="W1225" s="634"/>
      <c r="X1225" s="1757"/>
      <c r="Y1225" s="2081"/>
      <c r="Z1225" s="2083"/>
      <c r="AA1225" s="1526"/>
      <c r="AB1225" s="634"/>
      <c r="AC1225" s="970"/>
      <c r="AD1225" s="970"/>
      <c r="AE1225" s="970"/>
      <c r="AF1225" s="634"/>
      <c r="AG1225" s="634"/>
      <c r="AH1225" s="634"/>
      <c r="AI1225" s="634"/>
      <c r="AJ1225" s="634"/>
      <c r="AK1225" s="634"/>
      <c r="AL1225" s="1336"/>
      <c r="AM1225" s="1336"/>
      <c r="AN1225" s="1336"/>
      <c r="AO1225" s="1336"/>
      <c r="AP1225" s="1336"/>
      <c r="AQ1225" s="1336"/>
      <c r="AR1225" s="1336"/>
      <c r="AS1225" s="1336"/>
      <c r="AT1225" s="634"/>
      <c r="AU1225" s="634"/>
      <c r="AV1225" s="634"/>
      <c r="AW1225" s="634"/>
      <c r="AX1225" s="634"/>
      <c r="AY1225" s="634"/>
      <c r="AZ1225" s="634"/>
      <c r="BA1225" s="634"/>
      <c r="BB1225" s="634"/>
      <c r="BC1225" s="634"/>
      <c r="BD1225" s="634"/>
      <c r="BE1225" s="634"/>
      <c r="BF1225" s="634"/>
      <c r="BG1225" s="634"/>
      <c r="BH1225" s="634"/>
      <c r="BI1225" s="634"/>
    </row>
    <row r="1226" spans="1:61" x14ac:dyDescent="0.25">
      <c r="A1226" s="2371">
        <v>7</v>
      </c>
      <c r="B1226" s="2385" t="s">
        <v>937</v>
      </c>
      <c r="C1226" s="2381"/>
      <c r="D1226" s="2374"/>
      <c r="E1226" s="2374"/>
      <c r="F1226" s="2374"/>
      <c r="G1226" s="2373" t="str">
        <f ca="1">IF(N1226&gt;0,"P","")</f>
        <v/>
      </c>
      <c r="H1226" s="2371" t="s">
        <v>3971</v>
      </c>
      <c r="I1226" s="192" t="s">
        <v>937</v>
      </c>
      <c r="J1226" s="641"/>
      <c r="K1226" s="641"/>
      <c r="L1226" s="1183" t="s">
        <v>938</v>
      </c>
      <c r="M1226" s="1762">
        <f>IFERROR(INDEX({8,8,4,2,1,0,0,0},BF886),0)</f>
        <v>0</v>
      </c>
      <c r="N1226" s="2079">
        <f ca="1">'Ch7'!O356</f>
        <v>0</v>
      </c>
      <c r="O1226" s="2079">
        <f ca="1">M1226*S1226*W1226</f>
        <v>0</v>
      </c>
      <c r="P1226" s="94" t="b">
        <v>1</v>
      </c>
      <c r="Q1226" s="94" t="b">
        <v>1</v>
      </c>
      <c r="R1226" s="634" t="b">
        <v>0</v>
      </c>
      <c r="S1226" s="634" t="b">
        <f ca="1">AND(S883=2,NOT(T1223),AY913=INDEX(ddCDucts,2))</f>
        <v>0</v>
      </c>
      <c r="T1226" s="94" t="b">
        <f ca="1">AND(NOT(S1226),W1226=TRUE)</f>
        <v>0</v>
      </c>
      <c r="U1226" s="634"/>
      <c r="V1226" s="634"/>
      <c r="W1226" s="25"/>
      <c r="X1226" s="1757"/>
      <c r="Y1226" s="2081" t="str">
        <f>IF(LEN('Ch7'!X356)=0,"None",'Ch7'!X356)</f>
        <v>None</v>
      </c>
      <c r="Z1226" s="2083"/>
      <c r="AA1226" s="1526"/>
      <c r="AB1226" s="634"/>
      <c r="AC1226" s="970" t="b">
        <f ca="1">OR(AD1226:AE1226)</f>
        <v>0</v>
      </c>
      <c r="AD1226" s="970" t="b">
        <f ca="1">T1226</f>
        <v>0</v>
      </c>
      <c r="AE1226" s="970"/>
      <c r="AF1226" s="784"/>
      <c r="AG1226" s="634"/>
      <c r="AH1226" s="634"/>
      <c r="AI1226" s="634"/>
      <c r="AJ1226" s="634"/>
      <c r="AK1226" s="634"/>
      <c r="AL1226" s="254" t="str">
        <f>SUBSTITUTE(SUBSTITUTE(SUBSTITUTE("vpa"&amp;$B1226&amp;$C1226&amp;$D1226&amp;$E1226,".","_"),"(","_"),")","")</f>
        <v>vpa703_4_2</v>
      </c>
      <c r="AM1226" s="254">
        <f>M1226</f>
        <v>0</v>
      </c>
      <c r="AN1226" s="254" t="str">
        <f>SUBSTITUTE(SUBSTITUTE(SUBSTITUTE("vpc"&amp;$B1226&amp;$C1226&amp;$D1226&amp;$E1226,".","_"),"(","_"),")","")</f>
        <v>vpc703_4_2</v>
      </c>
      <c r="AO1226" s="254">
        <f ca="1">O1226</f>
        <v>0</v>
      </c>
      <c r="AP1226" s="254" t="str">
        <f>SUBSTITUTE(SUBSTITUTE(SUBSTITUTE("vch"&amp;$B1226&amp;$C1226&amp;$D1226&amp;$E1226,".","_"),"(","_"),")","")</f>
        <v>vch703_4_2</v>
      </c>
      <c r="AQ1226" s="254" t="str">
        <f>IF(LEN(W1226)=0,"",W1226)</f>
        <v/>
      </c>
      <c r="AR1226" s="254" t="str">
        <f>SUBSTITUTE(SUBSTITUTE(SUBSTITUTE("vnt"&amp;$B1226&amp;$C1226&amp;$D1226&amp;$E1226,".","_"),"(","_"),")","")</f>
        <v>vnt703_4_2</v>
      </c>
      <c r="AS1226" s="254" t="str">
        <f>IF(LEN(X1226)=0,"",X1226)</f>
        <v/>
      </c>
      <c r="AT1226" s="634"/>
      <c r="AU1226" s="634"/>
      <c r="AV1226" s="634"/>
      <c r="AW1226" s="634"/>
      <c r="AX1226" s="634"/>
      <c r="AY1226" s="634"/>
      <c r="AZ1226" s="634"/>
      <c r="BA1226" s="634"/>
      <c r="BB1226" s="634"/>
      <c r="BC1226" s="634"/>
      <c r="BD1226" s="634"/>
      <c r="BE1226" s="634"/>
      <c r="BF1226" s="634"/>
      <c r="BG1226" s="634"/>
      <c r="BH1226" s="634"/>
      <c r="BI1226" s="634"/>
    </row>
    <row r="1227" spans="1:61" x14ac:dyDescent="0.25">
      <c r="A1227" s="2371">
        <v>7</v>
      </c>
      <c r="B1227" s="2385" t="s">
        <v>937</v>
      </c>
      <c r="C1227" s="2381"/>
      <c r="D1227" s="2374"/>
      <c r="E1227" s="2374"/>
      <c r="F1227" s="2374"/>
      <c r="G1227" s="2371"/>
      <c r="H1227" s="2371"/>
      <c r="I1227" s="210"/>
      <c r="J1227" s="637"/>
      <c r="K1227" s="637"/>
      <c r="L1227" s="1177" t="s">
        <v>936</v>
      </c>
      <c r="M1227" s="1759"/>
      <c r="N1227" s="2076"/>
      <c r="O1227" s="2076"/>
      <c r="P1227" s="756"/>
      <c r="Q1227" s="756"/>
      <c r="R1227" s="634"/>
      <c r="S1227" s="634"/>
      <c r="T1227" s="634"/>
      <c r="U1227" s="634"/>
      <c r="V1227" s="634"/>
      <c r="W1227" s="634"/>
      <c r="X1227" s="1757"/>
      <c r="Y1227" s="2081"/>
      <c r="Z1227" s="2083"/>
      <c r="AA1227" s="1526"/>
      <c r="AB1227" s="634"/>
      <c r="AC1227" s="970"/>
      <c r="AD1227" s="970"/>
      <c r="AE1227" s="970"/>
      <c r="AF1227" s="634"/>
      <c r="AG1227" s="634"/>
      <c r="AH1227" s="634"/>
      <c r="AI1227" s="634"/>
      <c r="AJ1227" s="634"/>
      <c r="AK1227" s="634"/>
      <c r="AL1227" s="1336"/>
      <c r="AM1227" s="1336"/>
      <c r="AN1227" s="1336"/>
      <c r="AO1227" s="1336"/>
      <c r="AP1227" s="1336"/>
      <c r="AQ1227" s="1336"/>
      <c r="AR1227" s="1336"/>
      <c r="AS1227" s="1336"/>
      <c r="AT1227" s="634"/>
      <c r="AU1227" s="634"/>
      <c r="AV1227" s="634"/>
      <c r="AW1227" s="634"/>
      <c r="AX1227" s="634"/>
      <c r="AY1227" s="634"/>
      <c r="AZ1227" s="634"/>
      <c r="BA1227" s="634"/>
      <c r="BB1227" s="634"/>
      <c r="BC1227" s="634"/>
      <c r="BD1227" s="634"/>
      <c r="BE1227" s="634"/>
      <c r="BF1227" s="634"/>
      <c r="BG1227" s="634"/>
      <c r="BH1227" s="634"/>
      <c r="BI1227" s="634"/>
    </row>
    <row r="1228" spans="1:61" x14ac:dyDescent="0.25">
      <c r="A1228" s="2371">
        <v>7</v>
      </c>
      <c r="B1228" s="2385" t="s">
        <v>939</v>
      </c>
      <c r="C1228" s="2381"/>
      <c r="D1228" s="2374"/>
      <c r="E1228" s="2374"/>
      <c r="F1228" s="2374"/>
      <c r="G1228" s="2373" t="str">
        <f ca="1">IF(N1228&gt;0,"P","")</f>
        <v/>
      </c>
      <c r="H1228" s="2371" t="s">
        <v>3972</v>
      </c>
      <c r="I1228" s="64" t="s">
        <v>939</v>
      </c>
      <c r="J1228" s="639"/>
      <c r="K1228" s="639"/>
      <c r="L1228" s="1180" t="s">
        <v>940</v>
      </c>
      <c r="M1228" s="1014">
        <f>IFERROR(INDEX({8,10,8,8,8,4,4,4},BF886),0)</f>
        <v>0</v>
      </c>
      <c r="N1228" s="1042">
        <f ca="1">'Ch7'!O358</f>
        <v>0</v>
      </c>
      <c r="O1228" s="1042">
        <f ca="1">M1228*S1229*S1230*S1232*W1229*W1230*W1232</f>
        <v>0</v>
      </c>
      <c r="P1228" s="756"/>
      <c r="Q1228" s="756"/>
      <c r="R1228" s="634"/>
      <c r="S1228" s="634"/>
      <c r="T1228" s="634"/>
      <c r="U1228" s="634"/>
      <c r="V1228" s="634"/>
      <c r="W1228" s="634"/>
      <c r="X1228" s="911"/>
      <c r="Y1228" s="634"/>
      <c r="AA1228" s="1526"/>
      <c r="AB1228" s="634"/>
      <c r="AC1228" s="970"/>
      <c r="AD1228" s="970"/>
      <c r="AE1228" s="970"/>
      <c r="AF1228" s="634"/>
      <c r="AG1228" s="634"/>
      <c r="AH1228" s="634"/>
      <c r="AI1228" s="634"/>
      <c r="AJ1228" s="634"/>
      <c r="AK1228" s="634"/>
      <c r="AL1228" s="254" t="str">
        <f>SUBSTITUTE(SUBSTITUTE(SUBSTITUTE("vpa"&amp;$B1228&amp;$C1228&amp;$D1228&amp;$E1228,".","_"),"(","_"),")","")</f>
        <v>vpa703_4_3</v>
      </c>
      <c r="AM1228" s="254">
        <f>M1228</f>
        <v>0</v>
      </c>
      <c r="AN1228" s="254" t="str">
        <f>SUBSTITUTE(SUBSTITUTE(SUBSTITUTE("vpc"&amp;$B1228&amp;$C1228&amp;$D1228&amp;$E1228,".","_"),"(","_"),")","")</f>
        <v>vpc703_4_3</v>
      </c>
      <c r="AO1228" s="254">
        <f ca="1">O1228</f>
        <v>0</v>
      </c>
      <c r="AP1228" s="1336"/>
      <c r="AQ1228" s="1336"/>
      <c r="AR1228" s="1336"/>
      <c r="AS1228" s="1336"/>
      <c r="AT1228" s="634"/>
      <c r="AU1228" s="634"/>
      <c r="AV1228" s="634"/>
      <c r="AW1228" s="634"/>
      <c r="AX1228" s="634"/>
      <c r="AY1228" s="634"/>
      <c r="AZ1228" s="634"/>
      <c r="BA1228" s="634"/>
      <c r="BB1228" s="634"/>
      <c r="BC1228" s="634"/>
      <c r="BD1228" s="634"/>
      <c r="BE1228" s="634"/>
      <c r="BF1228" s="634"/>
      <c r="BG1228" s="634"/>
      <c r="BH1228" s="634"/>
      <c r="BI1228" s="634"/>
    </row>
    <row r="1229" spans="1:61" x14ac:dyDescent="0.25">
      <c r="A1229" s="2371">
        <v>7</v>
      </c>
      <c r="B1229" s="2385" t="s">
        <v>939</v>
      </c>
      <c r="C1229" s="2374" t="s">
        <v>256</v>
      </c>
      <c r="D1229" s="2374"/>
      <c r="E1229" s="2374"/>
      <c r="F1229" s="2374"/>
      <c r="G1229" s="2373" t="str">
        <f ca="1">G1228</f>
        <v/>
      </c>
      <c r="H1229" s="2371" t="s">
        <v>3972</v>
      </c>
      <c r="I1229" s="4"/>
      <c r="J1229" s="530" t="s">
        <v>256</v>
      </c>
      <c r="K1229" s="637"/>
      <c r="L1229" s="1163" t="s">
        <v>941</v>
      </c>
      <c r="M1229" s="1014"/>
      <c r="N1229" s="1042"/>
      <c r="O1229" s="1042"/>
      <c r="P1229" s="94" t="b">
        <v>1</v>
      </c>
      <c r="Q1229" s="94" t="b">
        <v>0</v>
      </c>
      <c r="R1229" s="634" t="b">
        <v>0</v>
      </c>
      <c r="S1229" s="634" t="b">
        <f ca="1">AND(S883=2,NOT(T1223),OR(AY909&lt;&gt;INDEX(ddHDucts,2),AY913&lt;&gt;INDEX(ddCDucts,2)))</f>
        <v>0</v>
      </c>
      <c r="T1229" s="94" t="b">
        <f ca="1">AND(NOT(S1229),W1229=TRUE)</f>
        <v>0</v>
      </c>
      <c r="U1229" s="634"/>
      <c r="V1229" s="634"/>
      <c r="W1229" s="25"/>
      <c r="X1229" s="918"/>
      <c r="Y1229" s="988" t="str">
        <f>IF(LEN('Ch7'!X359)=0,"None",'Ch7'!X359)</f>
        <v>None</v>
      </c>
      <c r="Z1229" s="1587"/>
      <c r="AA1229" s="1526"/>
      <c r="AB1229" s="634"/>
      <c r="AC1229" s="970" t="b">
        <f ca="1">OR(AD1229:AE1229)</f>
        <v>0</v>
      </c>
      <c r="AD1229" s="970" t="b">
        <f ca="1">T1229</f>
        <v>0</v>
      </c>
      <c r="AE1229" s="970"/>
      <c r="AF1229" s="784"/>
      <c r="AG1229" s="634"/>
      <c r="AH1229" s="634"/>
      <c r="AI1229" s="634"/>
      <c r="AJ1229" s="634"/>
      <c r="AK1229" s="634"/>
      <c r="AL1229" s="1336"/>
      <c r="AM1229" s="1336"/>
      <c r="AN1229" s="1336"/>
      <c r="AO1229" s="1336"/>
      <c r="AP1229" s="254" t="str">
        <f>SUBSTITUTE(SUBSTITUTE(SUBSTITUTE("vch"&amp;$B1229&amp;$C1229&amp;$D1229&amp;$E1229,".","_"),"(","_"),")","")</f>
        <v>vch703_4_3_1</v>
      </c>
      <c r="AQ1229" s="254" t="str">
        <f>IF(LEN(W1229)=0,"",W1229)</f>
        <v/>
      </c>
      <c r="AR1229" s="254" t="str">
        <f>SUBSTITUTE(SUBSTITUTE(SUBSTITUTE("vnt"&amp;$B1229&amp;$C1229&amp;$D1229&amp;$E1229,".","_"),"(","_"),")","")</f>
        <v>vnt703_4_3_1</v>
      </c>
      <c r="AS1229" s="254" t="str">
        <f>IF(LEN(X1229)=0,"",X1229)</f>
        <v/>
      </c>
      <c r="AT1229" s="634"/>
      <c r="AU1229" s="634"/>
      <c r="AV1229" s="634"/>
      <c r="AW1229" s="634"/>
      <c r="AX1229" s="634"/>
      <c r="AY1229" s="634"/>
      <c r="AZ1229" s="634"/>
      <c r="BA1229" s="634"/>
      <c r="BB1229" s="634"/>
      <c r="BC1229" s="634"/>
      <c r="BD1229" s="634"/>
      <c r="BE1229" s="634"/>
      <c r="BF1229" s="634"/>
      <c r="BG1229" s="634"/>
      <c r="BH1229" s="634"/>
      <c r="BI1229" s="634"/>
    </row>
    <row r="1230" spans="1:61" x14ac:dyDescent="0.25">
      <c r="A1230" s="2371">
        <v>7</v>
      </c>
      <c r="B1230" s="2385" t="s">
        <v>939</v>
      </c>
      <c r="C1230" s="2374" t="s">
        <v>258</v>
      </c>
      <c r="D1230" s="2374"/>
      <c r="E1230" s="2374"/>
      <c r="F1230" s="2374"/>
      <c r="G1230" s="2373" t="str">
        <f ca="1">G1229</f>
        <v/>
      </c>
      <c r="H1230" s="2371" t="s">
        <v>3972</v>
      </c>
      <c r="I1230" s="4"/>
      <c r="J1230" s="549" t="s">
        <v>258</v>
      </c>
      <c r="K1230" s="641"/>
      <c r="L1230" s="1778" t="s">
        <v>942</v>
      </c>
      <c r="M1230" s="1014"/>
      <c r="N1230" s="1042"/>
      <c r="O1230" s="1042"/>
      <c r="P1230" s="94" t="b">
        <v>1</v>
      </c>
      <c r="Q1230" s="94" t="b">
        <v>0</v>
      </c>
      <c r="R1230" s="634" t="b">
        <v>0</v>
      </c>
      <c r="S1230" s="634" t="b">
        <f ca="1">AND(S883=2,NOT(T1223),OR(AY909&lt;&gt;INDEX(ddHDucts,2),AY913&lt;&gt;INDEX(ddCDucts,2)),W1234&lt;&gt;INDEX(INDIRECT(U1234),1),W1234&lt;&gt;INDEX(INDIRECT(U1234),3))</f>
        <v>0</v>
      </c>
      <c r="T1230" s="94" t="b">
        <f ca="1">AND(NOT(S1230),W1230=TRUE)</f>
        <v>0</v>
      </c>
      <c r="U1230" s="634"/>
      <c r="V1230" s="634"/>
      <c r="W1230" s="25"/>
      <c r="X1230" s="1757"/>
      <c r="Y1230" s="2081" t="str">
        <f>IF(LEN('Ch7'!X360)=0,"None",'Ch7'!X360)</f>
        <v>None</v>
      </c>
      <c r="Z1230" s="2083"/>
      <c r="AA1230" s="1526"/>
      <c r="AB1230" s="634"/>
      <c r="AC1230" s="970" t="b">
        <f ca="1">OR(AD1230:AE1230)</f>
        <v>0</v>
      </c>
      <c r="AD1230" s="970" t="b">
        <f ca="1">T1230</f>
        <v>0</v>
      </c>
      <c r="AE1230" s="970"/>
      <c r="AF1230" s="784"/>
      <c r="AG1230" s="634"/>
      <c r="AH1230" s="634"/>
      <c r="AI1230" s="634"/>
      <c r="AJ1230" s="634"/>
      <c r="AK1230" s="634"/>
      <c r="AL1230" s="1336"/>
      <c r="AM1230" s="1336"/>
      <c r="AN1230" s="1336"/>
      <c r="AO1230" s="1336"/>
      <c r="AP1230" s="254" t="str">
        <f>SUBSTITUTE(SUBSTITUTE(SUBSTITUTE("vch"&amp;$B1230&amp;$C1230&amp;$D1230&amp;$E1230,".","_"),"(","_"),")","")</f>
        <v>vch703_4_3_2</v>
      </c>
      <c r="AQ1230" s="254" t="str">
        <f>IF(LEN(W1230)=0,"",W1230)</f>
        <v/>
      </c>
      <c r="AR1230" s="254" t="str">
        <f>SUBSTITUTE(SUBSTITUTE(SUBSTITUTE("vnt"&amp;$B1230&amp;$C1230&amp;$D1230&amp;$E1230,".","_"),"(","_"),")","")</f>
        <v>vnt703_4_3_2</v>
      </c>
      <c r="AS1230" s="254" t="str">
        <f>IF(LEN(X1230)=0,"",X1230)</f>
        <v/>
      </c>
      <c r="AT1230" s="634"/>
      <c r="AU1230" s="634"/>
      <c r="AV1230" s="634"/>
      <c r="AW1230" s="634"/>
      <c r="AX1230" s="634"/>
      <c r="AY1230" s="634"/>
      <c r="AZ1230" s="634"/>
      <c r="BA1230" s="634"/>
      <c r="BB1230" s="634"/>
      <c r="BC1230" s="634"/>
      <c r="BD1230" s="634"/>
      <c r="BE1230" s="634"/>
      <c r="BF1230" s="634"/>
      <c r="BG1230" s="634"/>
      <c r="BH1230" s="634"/>
      <c r="BI1230" s="634"/>
    </row>
    <row r="1231" spans="1:61" x14ac:dyDescent="0.25">
      <c r="A1231" s="2371">
        <v>7</v>
      </c>
      <c r="B1231" s="2385" t="s">
        <v>939</v>
      </c>
      <c r="C1231" s="2374" t="s">
        <v>258</v>
      </c>
      <c r="D1231" s="2374"/>
      <c r="E1231" s="2374"/>
      <c r="F1231" s="2374"/>
      <c r="G1231" s="2373" t="str">
        <f ca="1">G1230</f>
        <v/>
      </c>
      <c r="H1231" s="2371" t="s">
        <v>3972</v>
      </c>
      <c r="I1231" s="4"/>
      <c r="J1231" s="637"/>
      <c r="K1231" s="637"/>
      <c r="L1231" s="1755"/>
      <c r="M1231" s="1014"/>
      <c r="N1231" s="1042"/>
      <c r="O1231" s="1042"/>
      <c r="P1231" s="756"/>
      <c r="Q1231" s="756"/>
      <c r="R1231" s="634"/>
      <c r="S1231" s="634"/>
      <c r="T1231" s="634"/>
      <c r="U1231" s="634"/>
      <c r="V1231" s="634"/>
      <c r="W1231" s="634"/>
      <c r="X1231" s="1757"/>
      <c r="Y1231" s="2081"/>
      <c r="Z1231" s="2083"/>
      <c r="AA1231" s="1526"/>
      <c r="AB1231" s="634"/>
      <c r="AC1231" s="970"/>
      <c r="AD1231" s="970"/>
      <c r="AE1231" s="970"/>
      <c r="AF1231" s="634"/>
      <c r="AG1231" s="634"/>
      <c r="AH1231" s="634"/>
      <c r="AI1231" s="634"/>
      <c r="AJ1231" s="634"/>
      <c r="AK1231" s="634"/>
      <c r="AL1231" s="1336"/>
      <c r="AM1231" s="1336"/>
      <c r="AN1231" s="1336"/>
      <c r="AO1231" s="1336"/>
      <c r="AP1231" s="1336"/>
      <c r="AQ1231" s="1336"/>
      <c r="AR1231" s="1336"/>
      <c r="AS1231" s="1336"/>
      <c r="AT1231" s="634"/>
      <c r="AU1231" s="634"/>
      <c r="AV1231" s="634"/>
      <c r="AW1231" s="634"/>
      <c r="AX1231" s="634"/>
      <c r="AY1231" s="634"/>
      <c r="AZ1231" s="634"/>
      <c r="BA1231" s="634"/>
      <c r="BB1231" s="634"/>
      <c r="BC1231" s="634"/>
      <c r="BD1231" s="634"/>
      <c r="BE1231" s="634"/>
      <c r="BF1231" s="634"/>
      <c r="BG1231" s="634"/>
      <c r="BH1231" s="634"/>
      <c r="BI1231" s="634"/>
    </row>
    <row r="1232" spans="1:61" x14ac:dyDescent="0.25">
      <c r="A1232" s="2371">
        <v>7</v>
      </c>
      <c r="B1232" s="2385" t="s">
        <v>939</v>
      </c>
      <c r="C1232" s="2374" t="s">
        <v>260</v>
      </c>
      <c r="D1232" s="2374"/>
      <c r="E1232" s="2374"/>
      <c r="F1232" s="2374"/>
      <c r="G1232" s="2373" t="str">
        <f ca="1">G1231</f>
        <v/>
      </c>
      <c r="H1232" s="2371" t="s">
        <v>3972</v>
      </c>
      <c r="I1232" s="129"/>
      <c r="J1232" s="518" t="s">
        <v>260</v>
      </c>
      <c r="K1232" s="636"/>
      <c r="L1232" s="1162" t="s">
        <v>943</v>
      </c>
      <c r="M1232" s="1014"/>
      <c r="N1232" s="1042"/>
      <c r="O1232" s="1042"/>
      <c r="P1232" s="94" t="b">
        <v>1</v>
      </c>
      <c r="Q1232" s="94" t="b">
        <v>0</v>
      </c>
      <c r="R1232" s="634" t="b">
        <v>0</v>
      </c>
      <c r="S1232" s="634" t="b">
        <f ca="1">AND(S883=2,NOT(T1223),OR(AY909&lt;&gt;INDEX(ddHDucts,2),AY913&lt;&gt;INDEX(ddCDucts,2)))</f>
        <v>0</v>
      </c>
      <c r="T1232" s="94" t="b">
        <f ca="1">AND(NOT(S1232),W1232=TRUE)</f>
        <v>0</v>
      </c>
      <c r="U1232" s="634"/>
      <c r="V1232" s="634"/>
      <c r="W1232" s="25"/>
      <c r="X1232" s="1757"/>
      <c r="Y1232" s="2081" t="str">
        <f>IF(LEN('Ch7'!X362)=0,"None",'Ch7'!X362)</f>
        <v>None</v>
      </c>
      <c r="Z1232" s="2083"/>
      <c r="AA1232" s="1526"/>
      <c r="AB1232" s="634"/>
      <c r="AC1232" s="970" t="b">
        <f ca="1">OR(AD1232:AE1232)</f>
        <v>0</v>
      </c>
      <c r="AD1232" s="970" t="b">
        <f ca="1">T1232</f>
        <v>0</v>
      </c>
      <c r="AE1232" s="970"/>
      <c r="AF1232" s="784"/>
      <c r="AG1232" s="634"/>
      <c r="AH1232" s="634"/>
      <c r="AI1232" s="634"/>
      <c r="AJ1232" s="634"/>
      <c r="AK1232" s="634"/>
      <c r="AL1232" s="1336"/>
      <c r="AM1232" s="1336"/>
      <c r="AN1232" s="1336"/>
      <c r="AO1232" s="1336"/>
      <c r="AP1232" s="254" t="str">
        <f>SUBSTITUTE(SUBSTITUTE(SUBSTITUTE("vch"&amp;$B1232&amp;$C1232&amp;$D1232&amp;$E1232,".","_"),"(","_"),")","")</f>
        <v>vch703_4_3_3</v>
      </c>
      <c r="AQ1232" s="254" t="str">
        <f>IF(LEN(W1232)=0,"",W1232)</f>
        <v/>
      </c>
      <c r="AR1232" s="254" t="str">
        <f>SUBSTITUTE(SUBSTITUTE(SUBSTITUTE("vnt"&amp;$B1232&amp;$C1232&amp;$D1232&amp;$E1232,".","_"),"(","_"),")","")</f>
        <v>vnt703_4_3_3</v>
      </c>
      <c r="AS1232" s="254" t="str">
        <f>IF(LEN(X1232)=0,"",X1232)</f>
        <v/>
      </c>
      <c r="AT1232" s="634"/>
      <c r="AU1232" s="634"/>
      <c r="AV1232" s="634"/>
      <c r="AW1232" s="634"/>
      <c r="AX1232" s="634"/>
      <c r="AY1232" s="634"/>
      <c r="AZ1232" s="634"/>
      <c r="BA1232" s="634"/>
      <c r="BB1232" s="634"/>
      <c r="BC1232" s="634"/>
      <c r="BD1232" s="634"/>
      <c r="BE1232" s="634"/>
      <c r="BF1232" s="634"/>
      <c r="BG1232" s="634"/>
      <c r="BH1232" s="634"/>
      <c r="BI1232" s="634"/>
    </row>
    <row r="1233" spans="1:61" x14ac:dyDescent="0.25">
      <c r="A1233" s="2371">
        <v>7</v>
      </c>
      <c r="B1233" s="2385" t="s">
        <v>939</v>
      </c>
      <c r="C1233" s="2374" t="s">
        <v>260</v>
      </c>
      <c r="D1233" s="2374"/>
      <c r="E1233" s="2374"/>
      <c r="F1233" s="2374"/>
      <c r="G1233" s="2371"/>
      <c r="H1233" s="2371"/>
      <c r="I1233" s="210"/>
      <c r="J1233" s="637"/>
      <c r="K1233" s="637"/>
      <c r="L1233" s="1177" t="s">
        <v>936</v>
      </c>
      <c r="M1233" s="1014"/>
      <c r="N1233" s="1042"/>
      <c r="O1233" s="1042"/>
      <c r="P1233" s="756"/>
      <c r="Q1233" s="756"/>
      <c r="R1233" s="634"/>
      <c r="S1233" s="634"/>
      <c r="T1233" s="634"/>
      <c r="U1233" s="634"/>
      <c r="V1233" s="634"/>
      <c r="W1233" s="634"/>
      <c r="X1233" s="1757"/>
      <c r="Y1233" s="2081"/>
      <c r="Z1233" s="2083"/>
      <c r="AA1233" s="1526"/>
      <c r="AB1233" s="634"/>
      <c r="AC1233" s="970"/>
      <c r="AD1233" s="970"/>
      <c r="AE1233" s="970"/>
      <c r="AF1233" s="634"/>
      <c r="AG1233" s="634"/>
      <c r="AH1233" s="634"/>
      <c r="AI1233" s="634"/>
      <c r="AJ1233" s="634"/>
      <c r="AK1233" s="634"/>
      <c r="AL1233" s="1336"/>
      <c r="AM1233" s="1336"/>
      <c r="AN1233" s="1336"/>
      <c r="AO1233" s="1336"/>
      <c r="AP1233" s="1336"/>
      <c r="AQ1233" s="1336"/>
      <c r="AR1233" s="1336"/>
      <c r="AS1233" s="1336"/>
      <c r="AT1233" s="634"/>
      <c r="AU1233" s="634"/>
      <c r="AV1233" s="634"/>
      <c r="AW1233" s="634"/>
      <c r="AX1233" s="634"/>
      <c r="AY1233" s="634"/>
      <c r="AZ1233" s="634"/>
      <c r="BA1233" s="634"/>
      <c r="BB1233" s="634"/>
      <c r="BC1233" s="634"/>
      <c r="BD1233" s="634"/>
      <c r="BE1233" s="634"/>
      <c r="BF1233" s="634"/>
      <c r="BG1233" s="634"/>
      <c r="BH1233" s="634"/>
      <c r="BI1233" s="634"/>
    </row>
    <row r="1234" spans="1:61" x14ac:dyDescent="0.25">
      <c r="A1234" s="2371">
        <v>7</v>
      </c>
      <c r="B1234" s="2385" t="s">
        <v>944</v>
      </c>
      <c r="C1234" s="2381"/>
      <c r="D1234" s="2374"/>
      <c r="E1234" s="2374"/>
      <c r="F1234" s="2374"/>
      <c r="G1234" s="2373" t="str">
        <f ca="1">IF(N1234&gt;0,"P","")</f>
        <v/>
      </c>
      <c r="H1234" s="2371" t="s">
        <v>3973</v>
      </c>
      <c r="I1234" s="130" t="s">
        <v>944</v>
      </c>
      <c r="J1234" s="636"/>
      <c r="K1234" s="636"/>
      <c r="L1234" s="1782" t="s">
        <v>945</v>
      </c>
      <c r="M1234" s="1010"/>
      <c r="N1234" s="1927">
        <f ca="1">'Ch7'!O364</f>
        <v>0</v>
      </c>
      <c r="O1234" s="1927">
        <f ca="1">IFERROR(INDEX(M1240:M1242,MATCH(W1234,INDIRECT(U1234),0)),0)*S1234</f>
        <v>0</v>
      </c>
      <c r="P1234" s="94" t="b">
        <v>0</v>
      </c>
      <c r="Q1234" s="94" t="b">
        <v>1</v>
      </c>
      <c r="R1234" s="94" t="b">
        <f ca="1">AND(S1234,R1084)</f>
        <v>0</v>
      </c>
      <c r="S1234" s="94" t="b">
        <f ca="1">AND(S883=2,OR(AY909&lt;&gt;INDEX(ddHDucts,2),AY913&lt;&gt;INDEX(ddCDucts,2)),W1230&lt;&gt;TRUE,LEN(W1507)=0)</f>
        <v>0</v>
      </c>
      <c r="T1234" s="94" t="b">
        <f ca="1">AND(NOT(S1234),LEN(W1234)&gt;0)</f>
        <v>0</v>
      </c>
      <c r="U1234" s="94" t="str">
        <f>SUBSTITUTE(SUBSTITUTE(SUBSTITUTE("dd"&amp;B1235&amp;C1235&amp;D1235&amp;E1235&amp;F1235,".","_"),"(","_"),")","")</f>
        <v>dd703_4_4</v>
      </c>
      <c r="V1234" s="94"/>
      <c r="W1234" s="12"/>
      <c r="X1234" s="1757"/>
      <c r="Y1234" s="2081" t="str">
        <f>IF(LEN('Ch7'!X364)=0,"None",'Ch7'!X364)</f>
        <v>None</v>
      </c>
      <c r="Z1234" s="2084"/>
      <c r="AA1234" s="1526"/>
      <c r="AB1234" s="634"/>
      <c r="AC1234" s="970" t="b">
        <f ca="1">OR(AD1234:AE1234)</f>
        <v>0</v>
      </c>
      <c r="AD1234" s="970" t="b">
        <f ca="1">T1234</f>
        <v>0</v>
      </c>
      <c r="AE1234" s="970"/>
      <c r="AF1234" s="784"/>
      <c r="AG1234" s="634"/>
      <c r="AH1234" s="634"/>
      <c r="AI1234" s="634"/>
      <c r="AJ1234" s="634"/>
      <c r="AK1234" s="634"/>
      <c r="AL1234" s="1336"/>
      <c r="AM1234" s="1336"/>
      <c r="AN1234" s="254" t="str">
        <f>SUBSTITUTE(SUBSTITUTE(SUBSTITUTE("vpc"&amp;$B1234&amp;$C1234&amp;$D1234&amp;$E1234,".","_"),"(","_"),")","")</f>
        <v>vpc703_4_4</v>
      </c>
      <c r="AO1234" s="254">
        <f ca="1">O1234</f>
        <v>0</v>
      </c>
      <c r="AP1234" s="254" t="str">
        <f>SUBSTITUTE(SUBSTITUTE(SUBSTITUTE("vch"&amp;$B1234&amp;$C1234&amp;$D1234&amp;$E1234,".","_"),"(","_"),")","")</f>
        <v>vch703_4_4</v>
      </c>
      <c r="AQ1234" s="254" t="str">
        <f>IF(LEN(W1234)=0,"",W1234)</f>
        <v/>
      </c>
      <c r="AR1234" s="254" t="str">
        <f>SUBSTITUTE(SUBSTITUTE(SUBSTITUTE("vnt"&amp;$B1234&amp;$C1234&amp;$D1234&amp;$E1234,".","_"),"(","_"),")","")</f>
        <v>vnt703_4_4</v>
      </c>
      <c r="AS1234" s="254" t="str">
        <f>IF(LEN(X1234)=0,"",X1234)</f>
        <v/>
      </c>
      <c r="AT1234" s="634"/>
      <c r="AU1234" s="634"/>
      <c r="AV1234" s="634"/>
      <c r="AW1234" s="634"/>
      <c r="AX1234" s="634"/>
      <c r="AY1234" s="634"/>
      <c r="AZ1234" s="634"/>
      <c r="BA1234" s="634"/>
      <c r="BB1234" s="634"/>
      <c r="BC1234" s="634"/>
      <c r="BD1234" s="634"/>
      <c r="BE1234" s="634"/>
      <c r="BF1234" s="634"/>
      <c r="BG1234" s="634"/>
      <c r="BH1234" s="634"/>
      <c r="BI1234" s="634"/>
    </row>
    <row r="1235" spans="1:61" x14ac:dyDescent="0.25">
      <c r="A1235" s="2371">
        <v>7</v>
      </c>
      <c r="B1235" s="2385" t="s">
        <v>944</v>
      </c>
      <c r="C1235" s="2381"/>
      <c r="D1235" s="2374"/>
      <c r="E1235" s="2374"/>
      <c r="F1235" s="2374"/>
      <c r="G1235" s="2373" t="str">
        <f t="shared" ref="G1235:G1242" ca="1" si="74">G1234</f>
        <v/>
      </c>
      <c r="H1235" s="2371" t="s">
        <v>3973</v>
      </c>
      <c r="I1235" s="129"/>
      <c r="J1235" s="636"/>
      <c r="K1235" s="636"/>
      <c r="L1235" s="1782"/>
      <c r="M1235" s="1010"/>
      <c r="N1235" s="1927"/>
      <c r="O1235" s="1927"/>
      <c r="P1235" s="94"/>
      <c r="Q1235" s="94"/>
      <c r="R1235" s="94"/>
      <c r="S1235" s="94"/>
      <c r="T1235" s="94"/>
      <c r="U1235" s="94"/>
      <c r="V1235" s="94"/>
      <c r="W1235" s="94"/>
      <c r="X1235" s="1757"/>
      <c r="Y1235" s="2081"/>
      <c r="Z1235" s="2084"/>
      <c r="AA1235" s="1526"/>
      <c r="AB1235" s="634"/>
      <c r="AC1235" s="970"/>
      <c r="AD1235" s="970"/>
      <c r="AE1235" s="970"/>
      <c r="AF1235" s="634"/>
      <c r="AG1235" s="634"/>
      <c r="AH1235" s="634"/>
      <c r="AI1235" s="634"/>
      <c r="AJ1235" s="634"/>
      <c r="AK1235" s="634"/>
      <c r="AL1235" s="1336"/>
      <c r="AM1235" s="1336"/>
      <c r="AN1235" s="1336"/>
      <c r="AO1235" s="1336"/>
      <c r="AP1235" s="1336"/>
      <c r="AQ1235" s="1336"/>
      <c r="AR1235" s="1336"/>
      <c r="AS1235" s="1336"/>
      <c r="AT1235" s="634"/>
      <c r="AU1235" s="634"/>
      <c r="AV1235" s="634"/>
      <c r="AW1235" s="634"/>
      <c r="AX1235" s="634"/>
      <c r="AY1235" s="634"/>
      <c r="AZ1235" s="634"/>
      <c r="BA1235" s="634"/>
      <c r="BB1235" s="634"/>
      <c r="BC1235" s="634"/>
      <c r="BD1235" s="634"/>
      <c r="BE1235" s="634"/>
      <c r="BF1235" s="634"/>
      <c r="BG1235" s="634"/>
      <c r="BH1235" s="634"/>
      <c r="BI1235" s="634"/>
    </row>
    <row r="1236" spans="1:61" x14ac:dyDescent="0.25">
      <c r="A1236" s="2371">
        <v>7</v>
      </c>
      <c r="B1236" s="2385" t="s">
        <v>944</v>
      </c>
      <c r="C1236" s="2381"/>
      <c r="D1236" s="2374"/>
      <c r="E1236" s="2374"/>
      <c r="F1236" s="2374"/>
      <c r="G1236" s="2373" t="str">
        <f t="shared" ca="1" si="74"/>
        <v/>
      </c>
      <c r="H1236" s="2371" t="s">
        <v>3973</v>
      </c>
      <c r="I1236" s="129"/>
      <c r="J1236" s="636"/>
      <c r="K1236" s="636"/>
      <c r="L1236" s="1782"/>
      <c r="M1236" s="1010"/>
      <c r="N1236" s="1927"/>
      <c r="O1236" s="1927"/>
      <c r="P1236" s="94"/>
      <c r="Q1236" s="94"/>
      <c r="R1236" s="94"/>
      <c r="S1236" s="94"/>
      <c r="T1236" s="94"/>
      <c r="U1236" s="94"/>
      <c r="V1236" s="94"/>
      <c r="W1236" s="94"/>
      <c r="X1236" s="1757"/>
      <c r="Y1236" s="2081"/>
      <c r="Z1236" s="2084"/>
      <c r="AA1236" s="1526"/>
      <c r="AB1236" s="634"/>
      <c r="AC1236" s="970"/>
      <c r="AD1236" s="970"/>
      <c r="AE1236" s="970"/>
      <c r="AF1236" s="634"/>
      <c r="AG1236" s="634"/>
      <c r="AH1236" s="634"/>
      <c r="AI1236" s="634"/>
      <c r="AJ1236" s="634"/>
      <c r="AK1236" s="634"/>
      <c r="AL1236" s="1336"/>
      <c r="AM1236" s="1336"/>
      <c r="AN1236" s="1336"/>
      <c r="AO1236" s="1336"/>
      <c r="AP1236" s="1336"/>
      <c r="AQ1236" s="1336"/>
      <c r="AR1236" s="1336"/>
      <c r="AS1236" s="1336"/>
      <c r="AT1236" s="634"/>
      <c r="AU1236" s="634"/>
      <c r="AV1236" s="634"/>
      <c r="AW1236" s="634"/>
      <c r="AX1236" s="634"/>
      <c r="AY1236" s="634"/>
      <c r="AZ1236" s="634"/>
      <c r="BA1236" s="634"/>
      <c r="BB1236" s="634"/>
      <c r="BC1236" s="634"/>
      <c r="BD1236" s="634"/>
      <c r="BE1236" s="634"/>
      <c r="BF1236" s="634"/>
      <c r="BG1236" s="634"/>
      <c r="BH1236" s="634"/>
      <c r="BI1236" s="634"/>
    </row>
    <row r="1237" spans="1:61" x14ac:dyDescent="0.25">
      <c r="A1237" s="2371">
        <v>7</v>
      </c>
      <c r="B1237" s="2385" t="s">
        <v>944</v>
      </c>
      <c r="C1237" s="2381"/>
      <c r="D1237" s="2374"/>
      <c r="E1237" s="2374"/>
      <c r="F1237" s="2374"/>
      <c r="G1237" s="2373" t="str">
        <f t="shared" ca="1" si="74"/>
        <v/>
      </c>
      <c r="H1237" s="2371" t="s">
        <v>3973</v>
      </c>
      <c r="I1237" s="129"/>
      <c r="J1237" s="636"/>
      <c r="K1237" s="636"/>
      <c r="L1237" s="1782"/>
      <c r="M1237" s="1010"/>
      <c r="N1237" s="1927"/>
      <c r="O1237" s="1927"/>
      <c r="P1237" s="94"/>
      <c r="Q1237" s="94"/>
      <c r="R1237" s="94"/>
      <c r="S1237" s="94"/>
      <c r="T1237" s="94"/>
      <c r="U1237" s="94"/>
      <c r="V1237" s="94"/>
      <c r="W1237" s="94"/>
      <c r="X1237" s="1757"/>
      <c r="Y1237" s="2081"/>
      <c r="Z1237" s="2084"/>
      <c r="AA1237" s="1526"/>
      <c r="AB1237" s="634"/>
      <c r="AC1237" s="970"/>
      <c r="AD1237" s="970"/>
      <c r="AE1237" s="970"/>
      <c r="AF1237" s="634"/>
      <c r="AG1237" s="634"/>
      <c r="AH1237" s="634"/>
      <c r="AI1237" s="634"/>
      <c r="AJ1237" s="634"/>
      <c r="AK1237" s="634"/>
      <c r="AL1237" s="1336"/>
      <c r="AM1237" s="1336"/>
      <c r="AN1237" s="1336"/>
      <c r="AO1237" s="1336"/>
      <c r="AP1237" s="1336"/>
      <c r="AQ1237" s="1336"/>
      <c r="AR1237" s="1336"/>
      <c r="AS1237" s="1336"/>
      <c r="AT1237" s="634"/>
      <c r="AU1237" s="634"/>
      <c r="AV1237" s="634"/>
      <c r="AW1237" s="634"/>
      <c r="AX1237" s="634"/>
      <c r="AY1237" s="634"/>
      <c r="AZ1237" s="634"/>
      <c r="BA1237" s="634"/>
      <c r="BB1237" s="634"/>
      <c r="BC1237" s="634"/>
      <c r="BD1237" s="634"/>
      <c r="BE1237" s="634"/>
      <c r="BF1237" s="634"/>
      <c r="BG1237" s="634"/>
      <c r="BH1237" s="634"/>
      <c r="BI1237" s="634"/>
    </row>
    <row r="1238" spans="1:61" x14ac:dyDescent="0.25">
      <c r="A1238" s="2371">
        <v>7</v>
      </c>
      <c r="B1238" s="2385" t="s">
        <v>944</v>
      </c>
      <c r="C1238" s="2381"/>
      <c r="D1238" s="2374"/>
      <c r="E1238" s="2374"/>
      <c r="F1238" s="2374"/>
      <c r="G1238" s="2373" t="str">
        <f t="shared" ca="1" si="74"/>
        <v/>
      </c>
      <c r="H1238" s="2371" t="s">
        <v>3973</v>
      </c>
      <c r="I1238" s="129"/>
      <c r="J1238" s="636"/>
      <c r="K1238" s="636"/>
      <c r="L1238" s="1782"/>
      <c r="M1238" s="1010"/>
      <c r="N1238" s="1927"/>
      <c r="O1238" s="1927"/>
      <c r="P1238" s="94"/>
      <c r="Q1238" s="94"/>
      <c r="R1238" s="94"/>
      <c r="S1238" s="94"/>
      <c r="T1238" s="94"/>
      <c r="U1238" s="94"/>
      <c r="V1238" s="94"/>
      <c r="W1238" s="94"/>
      <c r="X1238" s="1757"/>
      <c r="Y1238" s="2081"/>
      <c r="Z1238" s="2084"/>
      <c r="AA1238" s="1526"/>
      <c r="AB1238" s="634"/>
      <c r="AC1238" s="970"/>
      <c r="AD1238" s="970"/>
      <c r="AE1238" s="970"/>
      <c r="AF1238" s="634"/>
      <c r="AG1238" s="634"/>
      <c r="AH1238" s="634"/>
      <c r="AI1238" s="634"/>
      <c r="AJ1238" s="634"/>
      <c r="AK1238" s="634"/>
      <c r="AL1238" s="1336"/>
      <c r="AM1238" s="1336"/>
      <c r="AN1238" s="1336"/>
      <c r="AO1238" s="1336"/>
      <c r="AP1238" s="1336"/>
      <c r="AQ1238" s="1336"/>
      <c r="AR1238" s="1336"/>
      <c r="AS1238" s="1336"/>
      <c r="AT1238" s="634"/>
      <c r="AU1238" s="634"/>
      <c r="AV1238" s="634"/>
      <c r="AW1238" s="634"/>
      <c r="AX1238" s="634"/>
      <c r="AY1238" s="634"/>
      <c r="AZ1238" s="634"/>
      <c r="BA1238" s="634"/>
      <c r="BB1238" s="634"/>
      <c r="BC1238" s="634"/>
      <c r="BD1238" s="634"/>
      <c r="BE1238" s="634"/>
      <c r="BF1238" s="634"/>
      <c r="BG1238" s="634"/>
      <c r="BH1238" s="634"/>
      <c r="BI1238" s="634"/>
    </row>
    <row r="1239" spans="1:61" x14ac:dyDescent="0.25">
      <c r="A1239" s="2371">
        <v>7</v>
      </c>
      <c r="B1239" s="2385" t="s">
        <v>944</v>
      </c>
      <c r="C1239" s="2381"/>
      <c r="D1239" s="2374"/>
      <c r="E1239" s="2374"/>
      <c r="F1239" s="2374"/>
      <c r="G1239" s="2373" t="str">
        <f t="shared" ca="1" si="74"/>
        <v/>
      </c>
      <c r="H1239" s="2371" t="s">
        <v>3973</v>
      </c>
      <c r="I1239" s="129"/>
      <c r="J1239" s="636"/>
      <c r="K1239" s="636"/>
      <c r="L1239" s="1175" t="s">
        <v>946</v>
      </c>
      <c r="M1239" s="1010"/>
      <c r="N1239" s="1044"/>
      <c r="O1239" s="1044"/>
      <c r="P1239" s="94"/>
      <c r="Q1239" s="94"/>
      <c r="R1239" s="94"/>
      <c r="S1239" s="94"/>
      <c r="T1239" s="94"/>
      <c r="U1239" s="94"/>
      <c r="V1239" s="94"/>
      <c r="W1239" s="94"/>
      <c r="X1239" s="1757"/>
      <c r="Y1239" s="2081"/>
      <c r="Z1239" s="2084"/>
      <c r="AA1239" s="1526"/>
      <c r="AB1239" s="634"/>
      <c r="AC1239" s="970"/>
      <c r="AD1239" s="970"/>
      <c r="AE1239" s="970"/>
      <c r="AF1239" s="634"/>
      <c r="AG1239" s="634"/>
      <c r="AH1239" s="634"/>
      <c r="AI1239" s="634"/>
      <c r="AJ1239" s="634"/>
      <c r="AK1239" s="634"/>
      <c r="AL1239" s="1336"/>
      <c r="AM1239" s="1336"/>
      <c r="AN1239" s="1336"/>
      <c r="AO1239" s="1336"/>
      <c r="AP1239" s="1336"/>
      <c r="AQ1239" s="1336"/>
      <c r="AR1239" s="1336"/>
      <c r="AS1239" s="1336"/>
      <c r="AT1239" s="634"/>
      <c r="AU1239" s="634"/>
      <c r="AV1239" s="634"/>
      <c r="AW1239" s="634"/>
      <c r="AX1239" s="634"/>
      <c r="AY1239" s="634"/>
      <c r="AZ1239" s="634"/>
      <c r="BA1239" s="634"/>
      <c r="BB1239" s="634"/>
      <c r="BC1239" s="634"/>
      <c r="BD1239" s="634"/>
      <c r="BE1239" s="634"/>
      <c r="BF1239" s="634"/>
      <c r="BG1239" s="634"/>
      <c r="BH1239" s="634"/>
      <c r="BI1239" s="634"/>
    </row>
    <row r="1240" spans="1:61" x14ac:dyDescent="0.25">
      <c r="A1240" s="2371">
        <v>7</v>
      </c>
      <c r="B1240" s="2385" t="s">
        <v>944</v>
      </c>
      <c r="C1240" s="2374" t="s">
        <v>256</v>
      </c>
      <c r="D1240" s="2374"/>
      <c r="E1240" s="2374"/>
      <c r="F1240" s="2374"/>
      <c r="G1240" s="2373" t="str">
        <f t="shared" ca="1" si="74"/>
        <v/>
      </c>
      <c r="H1240" s="2371" t="s">
        <v>3973</v>
      </c>
      <c r="I1240" s="129"/>
      <c r="J1240" s="530" t="s">
        <v>256</v>
      </c>
      <c r="K1240" s="637"/>
      <c r="L1240" s="1163" t="s">
        <v>3642</v>
      </c>
      <c r="M1240" s="1015">
        <f>IFERROR(INDEX({4,5,4,3,2,1,1,1},BF886),0)</f>
        <v>0</v>
      </c>
      <c r="N1240" s="1044"/>
      <c r="O1240" s="1044"/>
      <c r="P1240" s="94"/>
      <c r="Q1240" s="94"/>
      <c r="R1240" s="94"/>
      <c r="S1240" s="94"/>
      <c r="T1240" s="94"/>
      <c r="U1240" s="94"/>
      <c r="V1240" s="94"/>
      <c r="W1240" s="94"/>
      <c r="X1240" s="1757"/>
      <c r="Y1240" s="2081"/>
      <c r="Z1240" s="2084"/>
      <c r="AA1240" s="1526"/>
      <c r="AB1240" s="634"/>
      <c r="AC1240" s="970"/>
      <c r="AD1240" s="970"/>
      <c r="AE1240" s="970"/>
      <c r="AF1240" s="634"/>
      <c r="AG1240" s="634"/>
      <c r="AH1240" s="634"/>
      <c r="AI1240" s="634"/>
      <c r="AJ1240" s="634"/>
      <c r="AK1240" s="634"/>
      <c r="AL1240" s="254" t="str">
        <f>SUBSTITUTE(SUBSTITUTE(SUBSTITUTE("vpa"&amp;$B1240&amp;$C1240&amp;$D1240&amp;$E1240,".","_"),"(","_"),")","")</f>
        <v>vpa703_4_4_1</v>
      </c>
      <c r="AM1240" s="254">
        <f>M1240</f>
        <v>0</v>
      </c>
      <c r="AN1240" s="1336"/>
      <c r="AO1240" s="1336"/>
      <c r="AP1240" s="1336"/>
      <c r="AQ1240" s="1336"/>
      <c r="AR1240" s="1336"/>
      <c r="AS1240" s="1336"/>
      <c r="AT1240" s="634"/>
      <c r="AU1240" s="634"/>
      <c r="AV1240" s="634"/>
      <c r="AW1240" s="634"/>
      <c r="AX1240" s="634"/>
      <c r="AY1240" s="634"/>
      <c r="AZ1240" s="634"/>
      <c r="BA1240" s="634"/>
      <c r="BB1240" s="634"/>
      <c r="BC1240" s="634"/>
      <c r="BD1240" s="634"/>
      <c r="BE1240" s="634"/>
      <c r="BF1240" s="634"/>
      <c r="BG1240" s="634"/>
      <c r="BH1240" s="634"/>
      <c r="BI1240" s="634"/>
    </row>
    <row r="1241" spans="1:61" x14ac:dyDescent="0.25">
      <c r="A1241" s="2371">
        <v>7</v>
      </c>
      <c r="B1241" s="2385" t="s">
        <v>944</v>
      </c>
      <c r="C1241" s="2374" t="s">
        <v>258</v>
      </c>
      <c r="D1241" s="2374"/>
      <c r="E1241" s="2374"/>
      <c r="F1241" s="2374"/>
      <c r="G1241" s="2373" t="str">
        <f t="shared" ca="1" si="74"/>
        <v/>
      </c>
      <c r="H1241" s="2371" t="s">
        <v>3973</v>
      </c>
      <c r="I1241" s="129"/>
      <c r="J1241" s="550" t="s">
        <v>258</v>
      </c>
      <c r="K1241" s="280"/>
      <c r="L1241" s="280" t="s">
        <v>4838</v>
      </c>
      <c r="M1241" s="1036">
        <f>IFERROR(INDEX({1,1,1,1,1,1,1,1},BF886),0)</f>
        <v>0</v>
      </c>
      <c r="N1241" s="1044"/>
      <c r="O1241" s="1044"/>
      <c r="P1241" s="94"/>
      <c r="Q1241" s="94"/>
      <c r="R1241" s="94"/>
      <c r="S1241" s="94"/>
      <c r="T1241" s="94"/>
      <c r="U1241" s="94"/>
      <c r="V1241" s="94"/>
      <c r="W1241" s="94"/>
      <c r="X1241" s="1757"/>
      <c r="Y1241" s="2081"/>
      <c r="Z1241" s="2084"/>
      <c r="AA1241" s="1526"/>
      <c r="AB1241" s="634"/>
      <c r="AC1241" s="970"/>
      <c r="AD1241" s="970"/>
      <c r="AE1241" s="970"/>
      <c r="AF1241" s="634"/>
      <c r="AG1241" s="634"/>
      <c r="AH1241" s="634"/>
      <c r="AI1241" s="634"/>
      <c r="AJ1241" s="634"/>
      <c r="AK1241" s="634"/>
      <c r="AL1241" s="254" t="str">
        <f>SUBSTITUTE(SUBSTITUTE(SUBSTITUTE("vpa"&amp;$B1241&amp;$C1241&amp;$D1241&amp;$E1241,".","_"),"(","_"),")","")</f>
        <v>vpa703_4_4_2</v>
      </c>
      <c r="AM1241" s="254">
        <f>M1241</f>
        <v>0</v>
      </c>
      <c r="AN1241" s="1336"/>
      <c r="AO1241" s="1336"/>
      <c r="AP1241" s="1336"/>
      <c r="AQ1241" s="1336"/>
      <c r="AR1241" s="1336"/>
      <c r="AS1241" s="1336"/>
      <c r="AT1241" s="634"/>
      <c r="AU1241" s="634"/>
      <c r="AV1241" s="634"/>
      <c r="AW1241" s="634"/>
      <c r="AX1241" s="634"/>
      <c r="AY1241" s="634"/>
      <c r="AZ1241" s="634"/>
      <c r="BA1241" s="634"/>
      <c r="BB1241" s="634"/>
      <c r="BC1241" s="634"/>
      <c r="BD1241" s="634"/>
      <c r="BE1241" s="634"/>
      <c r="BF1241" s="634"/>
      <c r="BG1241" s="634"/>
      <c r="BH1241" s="634"/>
      <c r="BI1241" s="634"/>
    </row>
    <row r="1242" spans="1:61" ht="15.75" thickBot="1" x14ac:dyDescent="0.3">
      <c r="A1242" s="2371">
        <v>7</v>
      </c>
      <c r="B1242" s="2385" t="s">
        <v>944</v>
      </c>
      <c r="C1242" s="2374" t="s">
        <v>260</v>
      </c>
      <c r="D1242" s="2374"/>
      <c r="E1242" s="2374"/>
      <c r="F1242" s="2374"/>
      <c r="G1242" s="2373" t="str">
        <f t="shared" ca="1" si="74"/>
        <v/>
      </c>
      <c r="H1242" s="2371" t="s">
        <v>3973</v>
      </c>
      <c r="I1242" s="240"/>
      <c r="J1242" s="519" t="s">
        <v>260</v>
      </c>
      <c r="K1242" s="642"/>
      <c r="L1242" s="1171" t="s">
        <v>3643</v>
      </c>
      <c r="M1242" s="1011">
        <f>IFERROR(INDEX({3,4,3,2,1,1,1,1},BF886),0)</f>
        <v>0</v>
      </c>
      <c r="N1242" s="1045"/>
      <c r="O1242" s="1045"/>
      <c r="P1242" s="99"/>
      <c r="Q1242" s="99"/>
      <c r="R1242" s="99"/>
      <c r="S1242" s="99"/>
      <c r="T1242" s="99"/>
      <c r="U1242" s="99"/>
      <c r="V1242" s="99"/>
      <c r="W1242" s="99"/>
      <c r="X1242" s="1771"/>
      <c r="Y1242" s="2082"/>
      <c r="Z1242" s="2086"/>
      <c r="AA1242" s="1526"/>
      <c r="AB1242" s="634"/>
      <c r="AC1242" s="970"/>
      <c r="AD1242" s="970"/>
      <c r="AE1242" s="970"/>
      <c r="AF1242" s="634"/>
      <c r="AG1242" s="634"/>
      <c r="AH1242" s="634"/>
      <c r="AI1242" s="634"/>
      <c r="AJ1242" s="634"/>
      <c r="AK1242" s="634"/>
      <c r="AL1242" s="254" t="str">
        <f>SUBSTITUTE(SUBSTITUTE(SUBSTITUTE("vpa"&amp;$B1242&amp;$C1242&amp;$D1242&amp;$E1242,".","_"),"(","_"),")","")</f>
        <v>vpa703_4_4_3</v>
      </c>
      <c r="AM1242" s="254">
        <f>M1242</f>
        <v>0</v>
      </c>
      <c r="AN1242" s="1336"/>
      <c r="AO1242" s="1336"/>
      <c r="AP1242" s="1336"/>
      <c r="AQ1242" s="1336"/>
      <c r="AR1242" s="1336"/>
      <c r="AS1242" s="1336"/>
      <c r="AT1242" s="634"/>
      <c r="AU1242" s="634"/>
      <c r="AV1242" s="634"/>
      <c r="AW1242" s="634"/>
      <c r="AX1242" s="634"/>
      <c r="AY1242" s="634"/>
      <c r="AZ1242" s="634"/>
      <c r="BA1242" s="634"/>
      <c r="BB1242" s="634"/>
      <c r="BC1242" s="634"/>
      <c r="BD1242" s="634"/>
      <c r="BE1242" s="634"/>
      <c r="BF1242" s="634"/>
      <c r="BG1242" s="634"/>
      <c r="BH1242" s="634"/>
      <c r="BI1242" s="634"/>
    </row>
    <row r="1243" spans="1:61" ht="15.75" thickTop="1" x14ac:dyDescent="0.25">
      <c r="A1243" s="2371">
        <v>7</v>
      </c>
      <c r="B1243" s="2385">
        <v>703.5</v>
      </c>
      <c r="C1243" s="2381"/>
      <c r="D1243" s="2374"/>
      <c r="E1243" s="2374"/>
      <c r="F1243" s="2374"/>
      <c r="G1243" s="2363" t="str">
        <f ca="1">IF(COUNTIF(G1252:G1298,"P")&gt;0,"P","")</f>
        <v/>
      </c>
      <c r="H1243" s="2371" t="s">
        <v>3971</v>
      </c>
      <c r="I1243" s="64">
        <v>703.5</v>
      </c>
      <c r="J1243" s="639"/>
      <c r="K1243" s="639"/>
      <c r="L1243" s="1180" t="s">
        <v>947</v>
      </c>
      <c r="M1243" s="1014"/>
      <c r="N1243" s="1042"/>
      <c r="O1243" s="1042"/>
      <c r="P1243" s="756"/>
      <c r="Q1243" s="756"/>
      <c r="R1243" s="634"/>
      <c r="S1243" s="634"/>
      <c r="T1243" s="634"/>
      <c r="U1243" s="634"/>
      <c r="V1243" s="634"/>
      <c r="W1243" s="634"/>
      <c r="X1243" s="911"/>
      <c r="Y1243" s="634"/>
      <c r="AA1243" s="1526"/>
      <c r="AB1243" s="634"/>
      <c r="AC1243" s="970"/>
      <c r="AD1243" s="970"/>
      <c r="AE1243" s="970"/>
      <c r="AF1243" s="634"/>
      <c r="AG1243" s="634"/>
      <c r="AH1243" s="634"/>
      <c r="AI1243" s="634"/>
      <c r="AJ1243" s="634"/>
      <c r="AK1243" s="634"/>
      <c r="AL1243" s="1336"/>
      <c r="AM1243" s="1336"/>
      <c r="AN1243" s="1336"/>
      <c r="AO1243" s="1336"/>
      <c r="AP1243" s="1336"/>
      <c r="AQ1243" s="1336"/>
      <c r="AR1243" s="1336"/>
      <c r="AS1243" s="1336"/>
      <c r="AT1243" s="634"/>
      <c r="AU1243" s="634"/>
      <c r="AV1243" s="634"/>
      <c r="AW1243" s="634"/>
      <c r="AX1243" s="634"/>
      <c r="AY1243" s="634"/>
      <c r="AZ1243" s="634"/>
      <c r="BA1243" s="634"/>
      <c r="BB1243" s="634"/>
      <c r="BC1243" s="634"/>
      <c r="BD1243" s="634"/>
      <c r="BE1243" s="634"/>
      <c r="BF1243" s="634"/>
      <c r="BG1243" s="634"/>
      <c r="BH1243" s="634"/>
      <c r="BI1243" s="634"/>
    </row>
    <row r="1244" spans="1:61" x14ac:dyDescent="0.25">
      <c r="A1244" s="2371">
        <v>7</v>
      </c>
      <c r="B1244" s="2385" t="s">
        <v>948</v>
      </c>
      <c r="C1244" s="2381"/>
      <c r="D1244" s="2374"/>
      <c r="E1244" s="2374"/>
      <c r="F1244" s="2374"/>
      <c r="G1244" s="2363" t="str">
        <f ca="1">IF(COUNTIF(G1251:G1290,"P")&gt;0,"P","")</f>
        <v/>
      </c>
      <c r="H1244" s="2371" t="s">
        <v>3971</v>
      </c>
      <c r="I1244" s="64" t="s">
        <v>948</v>
      </c>
      <c r="J1244" s="639"/>
      <c r="K1244" s="639"/>
      <c r="L1244" s="1180" t="s">
        <v>4282</v>
      </c>
      <c r="M1244" s="1014"/>
      <c r="N1244" s="664"/>
      <c r="O1244" s="664"/>
      <c r="P1244" s="756"/>
      <c r="Q1244" s="756"/>
      <c r="R1244" s="634"/>
      <c r="S1244" s="634"/>
      <c r="T1244" s="634"/>
      <c r="U1244" s="634"/>
      <c r="V1244" s="634"/>
      <c r="W1244" s="634" t="s">
        <v>3636</v>
      </c>
      <c r="X1244" s="1757"/>
      <c r="Y1244" s="2081" t="str">
        <f>IF(LEN('Ch7'!X374)=0,"None",'Ch7'!X374)</f>
        <v>None</v>
      </c>
      <c r="Z1244" s="2083"/>
      <c r="AA1244" s="1526"/>
      <c r="AB1244" s="634"/>
      <c r="AC1244" s="970"/>
      <c r="AD1244" s="970"/>
      <c r="AE1244" s="970"/>
      <c r="AF1244" s="634"/>
      <c r="AG1244" s="634"/>
      <c r="AH1244" s="634"/>
      <c r="AI1244" s="634"/>
      <c r="AJ1244" s="634"/>
      <c r="AK1244" s="634"/>
      <c r="AL1244" s="1336"/>
      <c r="AM1244" s="1336"/>
      <c r="AN1244" s="1336"/>
      <c r="AO1244" s="1336"/>
      <c r="AP1244" s="1336"/>
      <c r="AQ1244" s="1336"/>
      <c r="AR1244" s="254" t="str">
        <f>SUBSTITUTE(SUBSTITUTE(SUBSTITUTE("vnt"&amp;$B1244&amp;$C1244&amp;$D1244&amp;$E1244,".","_"),"(","_"),")","")</f>
        <v>vnt703_5_1</v>
      </c>
      <c r="AS1244" s="254" t="str">
        <f>IF(LEN(X1244)=0,"",X1244)</f>
        <v/>
      </c>
      <c r="AT1244" s="634"/>
      <c r="AU1244" s="634"/>
      <c r="AV1244" s="634"/>
      <c r="AW1244" s="634"/>
      <c r="AX1244" s="634"/>
      <c r="AY1244" s="634"/>
      <c r="AZ1244" s="634"/>
      <c r="BA1244" s="634"/>
      <c r="BB1244" s="634"/>
      <c r="BC1244" s="634"/>
      <c r="BD1244" s="634"/>
      <c r="BE1244" s="634"/>
      <c r="BF1244" s="634"/>
      <c r="BG1244" s="634"/>
      <c r="BH1244" s="634"/>
      <c r="BI1244" s="634"/>
    </row>
    <row r="1245" spans="1:61" x14ac:dyDescent="0.25">
      <c r="A1245" s="2371">
        <v>7</v>
      </c>
      <c r="B1245" s="2385" t="s">
        <v>948</v>
      </c>
      <c r="C1245" s="2381"/>
      <c r="D1245" s="2374"/>
      <c r="E1245" s="2374"/>
      <c r="F1245" s="2374"/>
      <c r="G1245" s="2373" t="str">
        <f t="shared" ref="G1245:G1250" ca="1" si="75">G1244</f>
        <v/>
      </c>
      <c r="H1245" s="2371" t="s">
        <v>3971</v>
      </c>
      <c r="I1245" s="4"/>
      <c r="J1245" s="639"/>
      <c r="K1245" s="639"/>
      <c r="L1245" s="1849" t="s">
        <v>4283</v>
      </c>
      <c r="M1245" s="1014"/>
      <c r="N1245" s="664"/>
      <c r="O1245" s="664"/>
      <c r="P1245" s="94" t="b">
        <v>1</v>
      </c>
      <c r="Q1245" s="94" t="b">
        <v>1</v>
      </c>
      <c r="R1245" s="1090" t="b">
        <v>0</v>
      </c>
      <c r="S1245" s="1090" t="b">
        <f ca="1">AND(S883=2,LEN(W1301)=0)</f>
        <v>0</v>
      </c>
      <c r="T1245" s="94" t="b">
        <f ca="1">AND(NOT(S1245),LEN(W1245)&gt;0)</f>
        <v>0</v>
      </c>
      <c r="U1245" s="94" t="str">
        <f>SUBSTITUTE(SUBSTITUTE(SUBSTITUTE("dd"&amp;B1245&amp;C1245&amp;D1245&amp;E1245&amp;F1245,".","_"),"(","_"),")","")</f>
        <v>dd703_5_1</v>
      </c>
      <c r="V1245" s="1090"/>
      <c r="W1245" s="12"/>
      <c r="X1245" s="1757"/>
      <c r="Y1245" s="2081"/>
      <c r="Z1245" s="2083"/>
      <c r="AA1245" s="1526"/>
      <c r="AB1245" s="634"/>
      <c r="AC1245" s="1090" t="b">
        <f ca="1">OR(AD1245:AE1245)</f>
        <v>0</v>
      </c>
      <c r="AD1245" s="1090" t="b">
        <f ca="1">T1245</f>
        <v>0</v>
      </c>
      <c r="AE1245" s="970"/>
      <c r="AF1245" s="784"/>
      <c r="AG1245" s="634"/>
      <c r="AH1245" s="634"/>
      <c r="AI1245" s="634"/>
      <c r="AJ1245" s="634"/>
      <c r="AK1245" s="634"/>
      <c r="AL1245" s="1336"/>
      <c r="AM1245" s="1336"/>
      <c r="AN1245" s="1336"/>
      <c r="AO1245" s="1336"/>
      <c r="AP1245" s="254" t="str">
        <f>SUBSTITUTE(SUBSTITUTE(SUBSTITUTE("vch"&amp;$B1245&amp;$C1245&amp;$D1245&amp;$E1245,".","_"),"(","_"),")","")</f>
        <v>vch703_5_1</v>
      </c>
      <c r="AQ1245" s="254" t="str">
        <f>IF(LEN(W1245)=0,"",W1245)</f>
        <v/>
      </c>
      <c r="AR1245" s="1336"/>
      <c r="AS1245" s="1336"/>
      <c r="AT1245" s="634"/>
      <c r="AU1245" s="634"/>
      <c r="AV1245" s="634"/>
      <c r="AW1245" s="634"/>
      <c r="AX1245" s="634"/>
      <c r="AY1245" s="634"/>
      <c r="AZ1245" s="634"/>
      <c r="BA1245" s="634"/>
      <c r="BB1245" s="634"/>
      <c r="BC1245" s="634"/>
      <c r="BD1245" s="634"/>
      <c r="BE1245" s="634"/>
      <c r="BF1245" s="634"/>
      <c r="BG1245" s="634"/>
      <c r="BH1245" s="634"/>
      <c r="BI1245" s="634"/>
    </row>
    <row r="1246" spans="1:61" s="868" customFormat="1" x14ac:dyDescent="0.25">
      <c r="A1246" s="2371">
        <v>7</v>
      </c>
      <c r="B1246" s="2385" t="s">
        <v>948</v>
      </c>
      <c r="C1246" s="2381"/>
      <c r="D1246" s="2374"/>
      <c r="E1246" s="2374"/>
      <c r="F1246" s="2374"/>
      <c r="G1246" s="2373" t="str">
        <f t="shared" ca="1" si="75"/>
        <v/>
      </c>
      <c r="H1246" s="2371" t="s">
        <v>3971</v>
      </c>
      <c r="I1246" s="4"/>
      <c r="J1246" s="892"/>
      <c r="K1246" s="892"/>
      <c r="L1246" s="1859"/>
      <c r="M1246" s="1014"/>
      <c r="N1246" s="664"/>
      <c r="O1246" s="664"/>
      <c r="P1246" s="1090"/>
      <c r="Q1246" s="1090"/>
      <c r="R1246" s="1" t="s">
        <v>4839</v>
      </c>
      <c r="S1246" s="1">
        <f ca="1">IFERROR(MATCH(W1245,INDIRECT(U1245),0),0)</f>
        <v>0</v>
      </c>
      <c r="T1246" s="1090"/>
      <c r="U1246" s="1090"/>
      <c r="V1246" s="1090"/>
      <c r="W1246"/>
      <c r="X1246" s="1757"/>
      <c r="Y1246" s="2081"/>
      <c r="Z1246" s="2083"/>
      <c r="AA1246" s="1526"/>
      <c r="AC1246" s="1090"/>
      <c r="AD1246" s="1090"/>
      <c r="AE1246" s="970"/>
      <c r="AL1246" s="1336"/>
      <c r="AM1246" s="1336"/>
      <c r="AN1246" s="1336"/>
      <c r="AO1246" s="1336"/>
      <c r="AP1246" s="254"/>
      <c r="AQ1246" s="254"/>
      <c r="AR1246" s="1336"/>
      <c r="AS1246" s="1336"/>
    </row>
    <row r="1247" spans="1:61" s="868" customFormat="1" x14ac:dyDescent="0.25">
      <c r="A1247" s="2371">
        <v>7</v>
      </c>
      <c r="B1247" s="2385" t="s">
        <v>948</v>
      </c>
      <c r="C1247" s="2381"/>
      <c r="D1247" s="2374" t="s">
        <v>2971</v>
      </c>
      <c r="E1247" s="2374"/>
      <c r="F1247" s="2374"/>
      <c r="G1247" s="2373" t="str">
        <f t="shared" ca="1" si="75"/>
        <v/>
      </c>
      <c r="H1247" s="2371" t="s">
        <v>3971</v>
      </c>
      <c r="I1247" s="4"/>
      <c r="J1247" s="892"/>
      <c r="K1247" s="892"/>
      <c r="L1247" s="1849" t="s">
        <v>4284</v>
      </c>
      <c r="M1247" s="1014"/>
      <c r="N1247" s="664"/>
      <c r="O1247" s="664"/>
      <c r="P1247" s="1090"/>
      <c r="Q1247" s="1090"/>
      <c r="R1247" s="1090"/>
      <c r="S1247" s="1090"/>
      <c r="T1247" s="1090"/>
      <c r="U1247" s="1090"/>
      <c r="V1247" s="1090"/>
      <c r="W1247"/>
      <c r="X1247" s="1757"/>
      <c r="Y1247" s="2081"/>
      <c r="Z1247" s="2083"/>
      <c r="AA1247" s="1526"/>
      <c r="AC1247" s="1090"/>
      <c r="AD1247" s="1090"/>
      <c r="AE1247" s="970"/>
      <c r="AF1247" s="911"/>
      <c r="AL1247" s="1336"/>
      <c r="AM1247" s="1336"/>
      <c r="AN1247" s="1336"/>
      <c r="AO1247" s="1336"/>
      <c r="AP1247" s="254"/>
      <c r="AQ1247" s="254"/>
      <c r="AR1247" s="1336"/>
      <c r="AS1247" s="1336"/>
    </row>
    <row r="1248" spans="1:61" s="868" customFormat="1" x14ac:dyDescent="0.25">
      <c r="A1248" s="2371">
        <v>7</v>
      </c>
      <c r="B1248" s="2385" t="s">
        <v>948</v>
      </c>
      <c r="C1248" s="2381"/>
      <c r="D1248" s="2374"/>
      <c r="E1248" s="2374"/>
      <c r="F1248" s="2374"/>
      <c r="G1248" s="2373" t="str">
        <f t="shared" ca="1" si="75"/>
        <v/>
      </c>
      <c r="H1248" s="2371" t="s">
        <v>3971</v>
      </c>
      <c r="I1248" s="4"/>
      <c r="J1248" s="892"/>
      <c r="K1248" s="892"/>
      <c r="L1248" s="1859"/>
      <c r="M1248" s="1014"/>
      <c r="N1248" s="664"/>
      <c r="O1248" s="664"/>
      <c r="P1248" s="94"/>
      <c r="Q1248" s="94"/>
      <c r="R1248" s="1090"/>
      <c r="S1248" s="1090"/>
      <c r="T1248" s="94"/>
      <c r="U1248" s="94"/>
      <c r="V1248" s="1090"/>
      <c r="W1248"/>
      <c r="X1248" s="1757"/>
      <c r="Y1248" s="2081"/>
      <c r="Z1248" s="2083"/>
      <c r="AA1248" s="1526"/>
      <c r="AC1248" s="1090"/>
      <c r="AD1248" s="1090"/>
      <c r="AE1248" s="970"/>
      <c r="AL1248" s="1336"/>
      <c r="AM1248" s="1336"/>
      <c r="AN1248" s="1336"/>
      <c r="AO1248" s="1336"/>
      <c r="AP1248" s="254"/>
      <c r="AQ1248" s="254"/>
      <c r="AR1248" s="1336"/>
      <c r="AS1248" s="1336"/>
    </row>
    <row r="1249" spans="1:61" s="868" customFormat="1" x14ac:dyDescent="0.25">
      <c r="A1249" s="2371">
        <v>7</v>
      </c>
      <c r="B1249" s="2385" t="s">
        <v>948</v>
      </c>
      <c r="C1249" s="2381"/>
      <c r="D1249" s="2374"/>
      <c r="E1249" s="2374"/>
      <c r="F1249" s="2374"/>
      <c r="G1249" s="2373" t="str">
        <f t="shared" ca="1" si="75"/>
        <v/>
      </c>
      <c r="H1249" s="2371" t="s">
        <v>3971</v>
      </c>
      <c r="I1249" s="4"/>
      <c r="J1249" s="892"/>
      <c r="K1249" s="892"/>
      <c r="L1249" s="1804" t="s">
        <v>4285</v>
      </c>
      <c r="M1249" s="1014"/>
      <c r="N1249" s="664"/>
      <c r="O1249" s="664"/>
      <c r="P1249" s="94"/>
      <c r="Q1249" s="94"/>
      <c r="R1249" s="1090"/>
      <c r="S1249" s="1090"/>
      <c r="T1249" s="94"/>
      <c r="U1249" s="94"/>
      <c r="V1249" s="1090"/>
      <c r="W1249"/>
      <c r="X1249" s="1757"/>
      <c r="Y1249" s="2081"/>
      <c r="Z1249" s="2083"/>
      <c r="AA1249" s="1526"/>
      <c r="AC1249" s="1090"/>
      <c r="AD1249" s="1090"/>
      <c r="AE1249" s="970"/>
      <c r="AL1249" s="1336"/>
      <c r="AM1249" s="1336"/>
      <c r="AN1249" s="1336"/>
      <c r="AO1249" s="1336"/>
      <c r="AP1249" s="254"/>
      <c r="AQ1249" s="254"/>
      <c r="AR1249" s="1336"/>
      <c r="AS1249" s="1336"/>
    </row>
    <row r="1250" spans="1:61" s="868" customFormat="1" x14ac:dyDescent="0.25">
      <c r="A1250" s="2371">
        <v>7</v>
      </c>
      <c r="B1250" s="2385" t="s">
        <v>948</v>
      </c>
      <c r="C1250" s="2381"/>
      <c r="D1250" s="2374"/>
      <c r="E1250" s="2374"/>
      <c r="F1250" s="2374"/>
      <c r="G1250" s="2373" t="str">
        <f t="shared" ca="1" si="75"/>
        <v/>
      </c>
      <c r="H1250" s="2371" t="s">
        <v>3971</v>
      </c>
      <c r="I1250" s="4"/>
      <c r="J1250" s="892"/>
      <c r="K1250" s="892"/>
      <c r="L1250" s="1804"/>
      <c r="M1250" s="1014"/>
      <c r="N1250" s="664"/>
      <c r="O1250" s="664"/>
      <c r="P1250" s="94"/>
      <c r="Q1250" s="94"/>
      <c r="R1250" s="1090"/>
      <c r="S1250" s="1090"/>
      <c r="T1250" s="94"/>
      <c r="U1250" s="94"/>
      <c r="V1250" s="1090"/>
      <c r="W1250" s="1090" t="s">
        <v>3636</v>
      </c>
      <c r="X1250" s="1757"/>
      <c r="Y1250" s="2081"/>
      <c r="Z1250" s="2083"/>
      <c r="AA1250" s="1526"/>
      <c r="AC1250" s="1090"/>
      <c r="AD1250" s="1090"/>
      <c r="AE1250" s="970"/>
      <c r="AL1250" s="1336"/>
      <c r="AM1250" s="1336"/>
      <c r="AN1250" s="1336"/>
      <c r="AO1250" s="1336"/>
      <c r="AP1250" s="254"/>
      <c r="AQ1250" s="254"/>
      <c r="AR1250" s="1336"/>
      <c r="AS1250" s="1336"/>
    </row>
    <row r="1251" spans="1:61" x14ac:dyDescent="0.25">
      <c r="A1251" s="2371">
        <v>7</v>
      </c>
      <c r="B1251" s="2385" t="s">
        <v>948</v>
      </c>
      <c r="C1251" s="2374" t="s">
        <v>256</v>
      </c>
      <c r="D1251" s="2374"/>
      <c r="E1251" s="2374"/>
      <c r="F1251" s="2374"/>
      <c r="G1251" s="2363" t="str">
        <f>IF(COUNTIF(G1252:G1266,"P")&gt;0,"P","")</f>
        <v/>
      </c>
      <c r="H1251" s="2371" t="s">
        <v>3971</v>
      </c>
      <c r="I1251" s="4"/>
      <c r="J1251" s="230" t="s">
        <v>256</v>
      </c>
      <c r="K1251" s="929"/>
      <c r="L1251" s="1343" t="s">
        <v>949</v>
      </c>
      <c r="M1251" s="1014"/>
      <c r="N1251" s="1042"/>
      <c r="O1251" s="1042"/>
      <c r="P1251" s="94" t="b">
        <v>1</v>
      </c>
      <c r="Q1251" s="94" t="b">
        <v>1</v>
      </c>
      <c r="R1251" s="1090" t="b">
        <v>0</v>
      </c>
      <c r="S1251" s="1090" t="b">
        <f ca="1">AND(S883=2,LEN(W1301)=0,S1246=1)</f>
        <v>0</v>
      </c>
      <c r="T1251" s="94" t="b">
        <f ca="1">AND(NOT(S1251),LEN(W1251)&gt;0)</f>
        <v>0</v>
      </c>
      <c r="U1251" s="94" t="str">
        <f>SUBSTITUTE(SUBSTITUTE(SUBSTITUTE("dd"&amp;B1251&amp;C1251&amp;D1251&amp;E1251&amp;F1251,".","_"),"(","_"),")","")</f>
        <v>dd703_5_1_1</v>
      </c>
      <c r="V1251" s="1090"/>
      <c r="W1251" s="12"/>
      <c r="X1251" s="1757"/>
      <c r="Y1251" s="2081"/>
      <c r="Z1251" s="2083"/>
      <c r="AA1251" s="1526"/>
      <c r="AB1251" s="634"/>
      <c r="AC1251" s="1090" t="b">
        <f ca="1">OR(AD1251:AE1251)</f>
        <v>0</v>
      </c>
      <c r="AD1251" s="1090" t="b">
        <f ca="1">T1251</f>
        <v>0</v>
      </c>
      <c r="AE1251" s="970"/>
      <c r="AF1251" s="634"/>
      <c r="AG1251" s="634"/>
      <c r="AH1251" s="634"/>
      <c r="AI1251" s="634"/>
      <c r="AJ1251" s="634"/>
      <c r="AK1251" s="634"/>
      <c r="AL1251" s="1336"/>
      <c r="AM1251" s="1336"/>
      <c r="AN1251" s="1336"/>
      <c r="AO1251" s="1336"/>
      <c r="AP1251" s="254" t="str">
        <f>SUBSTITUTE(SUBSTITUTE(SUBSTITUTE("vch"&amp;$B1251&amp;$C1251&amp;$D1251&amp;$E1251,".","_"),"(","_"),")","")</f>
        <v>vch703_5_1_1</v>
      </c>
      <c r="AQ1251" s="254" t="str">
        <f>IF(LEN(W1251)=0,"",W1251)</f>
        <v/>
      </c>
      <c r="AR1251" s="1336"/>
      <c r="AS1251" s="1336"/>
      <c r="AT1251" s="634"/>
      <c r="AU1251" s="634"/>
      <c r="AV1251" s="634"/>
      <c r="AW1251" s="634"/>
      <c r="AX1251" s="634"/>
      <c r="AY1251" s="634"/>
      <c r="AZ1251" s="634"/>
      <c r="BA1251" s="634"/>
      <c r="BB1251" s="634"/>
      <c r="BC1251" s="634"/>
      <c r="BD1251" s="634"/>
      <c r="BE1251" s="634"/>
      <c r="BF1251" s="634"/>
      <c r="BG1251" s="634"/>
      <c r="BH1251" s="634"/>
      <c r="BI1251" s="634"/>
    </row>
    <row r="1252" spans="1:61" ht="15" customHeight="1" x14ac:dyDescent="0.25">
      <c r="A1252" s="2371">
        <v>7</v>
      </c>
      <c r="B1252" s="2385" t="s">
        <v>948</v>
      </c>
      <c r="C1252" s="2374" t="s">
        <v>256</v>
      </c>
      <c r="D1252" s="2374" t="s">
        <v>121</v>
      </c>
      <c r="E1252" s="2374"/>
      <c r="F1252" s="2374"/>
      <c r="G1252" s="2373" t="str">
        <f>IF(N1252&gt;0,"P","")</f>
        <v/>
      </c>
      <c r="H1252" s="2371" t="s">
        <v>3971</v>
      </c>
      <c r="I1252" s="4"/>
      <c r="J1252" s="230"/>
      <c r="K1252" s="667" t="s">
        <v>121</v>
      </c>
      <c r="L1252" s="1787" t="s">
        <v>4286</v>
      </c>
      <c r="M1252" s="1014"/>
      <c r="N1252" s="2075">
        <f>'Ch7'!O399</f>
        <v>0</v>
      </c>
      <c r="O1252" s="1780">
        <f ca="1">IFERROR(INDEX(M1254:M1255,MATCH(W1253,{0.65,0.78},1))*AND(S1251,MATCH(W1251,INDIRECT(U1251),0)=1),0)</f>
        <v>0</v>
      </c>
      <c r="P1252" s="1090"/>
      <c r="Q1252" s="1090"/>
      <c r="R1252" s="1090"/>
      <c r="S1252" s="1090"/>
      <c r="T1252" s="1090"/>
      <c r="U1252" s="1090"/>
      <c r="V1252" s="1090"/>
      <c r="W1252" s="1090" t="s">
        <v>3635</v>
      </c>
      <c r="X1252" s="1757"/>
      <c r="Y1252" s="2081"/>
      <c r="Z1252" s="2083"/>
      <c r="AA1252" s="1526"/>
      <c r="AB1252" s="634"/>
      <c r="AC1252" s="1090"/>
      <c r="AD1252" s="1090"/>
      <c r="AE1252" s="970"/>
      <c r="AF1252" s="784"/>
      <c r="AG1252" s="634"/>
      <c r="AH1252" s="634"/>
      <c r="AI1252" s="634"/>
      <c r="AJ1252" s="634"/>
      <c r="AK1252" s="634"/>
      <c r="AL1252" s="1336"/>
      <c r="AM1252" s="1336"/>
      <c r="AN1252" s="254" t="str">
        <f>SUBSTITUTE(SUBSTITUTE(SUBSTITUTE("vpc"&amp;$B1252&amp;$C1252&amp;$D1252&amp;$E1252,".","_"),"(","_"),")","")</f>
        <v>vpc703_5_1_1_a</v>
      </c>
      <c r="AO1252" s="254">
        <f ca="1">O1252</f>
        <v>0</v>
      </c>
      <c r="AP1252" s="1336"/>
      <c r="AQ1252" s="1336"/>
      <c r="AR1252" s="1336"/>
      <c r="AS1252" s="1336"/>
      <c r="AT1252" s="634"/>
      <c r="AU1252" s="634"/>
      <c r="AV1252" s="634"/>
      <c r="AW1252" s="634"/>
      <c r="AX1252" s="634"/>
      <c r="AY1252" s="634"/>
      <c r="AZ1252" s="634"/>
      <c r="BA1252" s="634"/>
      <c r="BB1252" s="634"/>
      <c r="BC1252" s="634"/>
      <c r="BD1252" s="634"/>
      <c r="BE1252" s="634"/>
      <c r="BF1252" s="634"/>
      <c r="BG1252" s="634"/>
      <c r="BH1252" s="634"/>
      <c r="BI1252" s="634"/>
    </row>
    <row r="1253" spans="1:61" s="868" customFormat="1" x14ac:dyDescent="0.25">
      <c r="A1253" s="2371">
        <v>7</v>
      </c>
      <c r="B1253" s="2385" t="s">
        <v>948</v>
      </c>
      <c r="C1253" s="2374" t="s">
        <v>256</v>
      </c>
      <c r="D1253" s="2374" t="s">
        <v>121</v>
      </c>
      <c r="E1253" s="2374"/>
      <c r="F1253" s="2374"/>
      <c r="G1253" s="2373" t="str">
        <f>G1252</f>
        <v/>
      </c>
      <c r="H1253" s="2371" t="s">
        <v>3971</v>
      </c>
      <c r="I1253" s="4"/>
      <c r="J1253" s="230"/>
      <c r="K1253" s="667"/>
      <c r="L1253" s="1787"/>
      <c r="M1253" s="4"/>
      <c r="N1253" s="2075"/>
      <c r="O1253" s="1780"/>
      <c r="P1253" s="94" t="b">
        <v>1</v>
      </c>
      <c r="Q1253" s="94" t="b">
        <v>1</v>
      </c>
      <c r="R1253" s="1090" t="b">
        <v>0</v>
      </c>
      <c r="S1253" s="1090" t="b">
        <f ca="1">S1251</f>
        <v>0</v>
      </c>
      <c r="T1253" s="94" t="b">
        <f ca="1">AND(NOT(S1253),LEN(W1253)&gt;0)</f>
        <v>0</v>
      </c>
      <c r="U1253" s="1090"/>
      <c r="V1253" s="1090"/>
      <c r="W1253" s="384"/>
      <c r="X1253" s="1757"/>
      <c r="Y1253" s="2081"/>
      <c r="Z1253" s="2083"/>
      <c r="AA1253" s="1526"/>
      <c r="AC1253" s="1090" t="b">
        <f ca="1">OR(AD1253:AE1253)</f>
        <v>0</v>
      </c>
      <c r="AD1253" s="1090" t="b">
        <f ca="1">T1253</f>
        <v>0</v>
      </c>
      <c r="AE1253" s="970"/>
      <c r="AL1253" s="254"/>
      <c r="AM1253" s="254"/>
      <c r="AN1253" s="1336"/>
      <c r="AO1253" s="1336"/>
      <c r="AP1253" s="254" t="str">
        <f>SUBSTITUTE(SUBSTITUTE(SUBSTITUTE("vch"&amp;$B1253&amp;$C1253&amp;$D1253&amp;$E1253,".","_"),"(","_"),")","")</f>
        <v>vch703_5_1_1_a</v>
      </c>
      <c r="AQ1253" s="254" t="str">
        <f>IF(LEN(W1253)=0,"",W1253)</f>
        <v/>
      </c>
      <c r="AR1253" s="1336"/>
      <c r="AS1253" s="1336"/>
    </row>
    <row r="1254" spans="1:61" x14ac:dyDescent="0.25">
      <c r="A1254" s="2371">
        <v>7</v>
      </c>
      <c r="B1254" s="2381" t="s">
        <v>948</v>
      </c>
      <c r="C1254" s="2374" t="s">
        <v>256</v>
      </c>
      <c r="D1254" s="2374" t="s">
        <v>121</v>
      </c>
      <c r="E1254" s="2374" t="s">
        <v>256</v>
      </c>
      <c r="F1254" s="2374"/>
      <c r="G1254" s="2373" t="str">
        <f>G1253</f>
        <v/>
      </c>
      <c r="H1254" s="2371" t="s">
        <v>3971</v>
      </c>
      <c r="I1254" s="4"/>
      <c r="J1254" s="230"/>
      <c r="K1254" s="139"/>
      <c r="L1254" s="1340" t="s">
        <v>5106</v>
      </c>
      <c r="M1254" s="1014">
        <f>IFERROR(INDEX({2,2,2,2,2,2,2,1},BF886),0)</f>
        <v>0</v>
      </c>
      <c r="N1254" s="1042"/>
      <c r="O1254" s="1091"/>
      <c r="P1254" s="1090"/>
      <c r="Q1254" s="1090"/>
      <c r="R1254" s="1090"/>
      <c r="S1254" s="1090"/>
      <c r="T1254" s="1090"/>
      <c r="U1254" s="1090"/>
      <c r="V1254" s="1090"/>
      <c r="W1254" s="634"/>
      <c r="X1254" s="1757"/>
      <c r="Y1254" s="2081"/>
      <c r="Z1254" s="2083"/>
      <c r="AA1254" s="1526"/>
      <c r="AB1254" s="634"/>
      <c r="AC1254" s="1090"/>
      <c r="AD1254" s="1090"/>
      <c r="AE1254" s="970"/>
      <c r="AF1254" s="634"/>
      <c r="AG1254" s="634"/>
      <c r="AH1254" s="634"/>
      <c r="AI1254" s="634"/>
      <c r="AJ1254" s="634"/>
      <c r="AK1254" s="634"/>
      <c r="AL1254" s="254" t="str">
        <f>SUBSTITUTE(SUBSTITUTE(SUBSTITUTE("vpa"&amp;$B1254&amp;$C1254&amp;$D1254&amp;$E1254,".","_"),"(","_"),")","")</f>
        <v>vpa703_5_1_1_a_1</v>
      </c>
      <c r="AM1254" s="254">
        <f>M1254</f>
        <v>0</v>
      </c>
      <c r="AN1254" s="1336"/>
      <c r="AO1254" s="1336"/>
      <c r="AP1254" s="1336"/>
      <c r="AQ1254" s="1336"/>
      <c r="AR1254" s="1336"/>
      <c r="AS1254" s="1336"/>
      <c r="AT1254" s="634"/>
      <c r="AU1254" s="634"/>
      <c r="AV1254" s="634"/>
      <c r="AW1254" s="634"/>
      <c r="AX1254" s="634"/>
      <c r="AY1254" s="634"/>
      <c r="AZ1254" s="634"/>
      <c r="BA1254" s="634"/>
      <c r="BB1254" s="634"/>
      <c r="BC1254" s="634"/>
      <c r="BD1254" s="634"/>
      <c r="BE1254" s="634"/>
      <c r="BF1254" s="634"/>
      <c r="BG1254" s="634"/>
      <c r="BH1254" s="634"/>
      <c r="BI1254" s="634"/>
    </row>
    <row r="1255" spans="1:61" x14ac:dyDescent="0.25">
      <c r="A1255" s="2371">
        <v>7</v>
      </c>
      <c r="B1255" s="2381" t="s">
        <v>948</v>
      </c>
      <c r="C1255" s="2374" t="s">
        <v>256</v>
      </c>
      <c r="D1255" s="2374" t="s">
        <v>121</v>
      </c>
      <c r="E1255" s="2374" t="s">
        <v>258</v>
      </c>
      <c r="F1255" s="2374"/>
      <c r="G1255" s="2373" t="str">
        <f>G1254</f>
        <v/>
      </c>
      <c r="H1255" s="2375" t="s">
        <v>3971</v>
      </c>
      <c r="I1255" s="4"/>
      <c r="J1255" s="230"/>
      <c r="K1255" s="669"/>
      <c r="L1255" s="1341" t="s">
        <v>5107</v>
      </c>
      <c r="M1255" s="1015">
        <f>IFERROR(INDEX({3,3,3,3,3,3,3,2},BF886),0)</f>
        <v>0</v>
      </c>
      <c r="N1255" s="1047"/>
      <c r="O1255" s="1092"/>
      <c r="P1255" s="1090"/>
      <c r="Q1255" s="1090"/>
      <c r="R1255" s="1090"/>
      <c r="S1255" s="1090"/>
      <c r="T1255" s="1090"/>
      <c r="U1255" s="1090"/>
      <c r="V1255" s="1090"/>
      <c r="W1255" s="634"/>
      <c r="X1255" s="1757"/>
      <c r="Y1255" s="2081"/>
      <c r="Z1255" s="2083"/>
      <c r="AA1255" s="1526"/>
      <c r="AB1255" s="634"/>
      <c r="AC1255" s="1090"/>
      <c r="AD1255" s="1090"/>
      <c r="AE1255" s="970"/>
      <c r="AF1255" s="634"/>
      <c r="AG1255" s="634"/>
      <c r="AH1255" s="634"/>
      <c r="AI1255" s="634"/>
      <c r="AJ1255" s="634"/>
      <c r="AK1255" s="634"/>
      <c r="AL1255" s="254" t="str">
        <f>SUBSTITUTE(SUBSTITUTE(SUBSTITUTE("vpa"&amp;$B1255&amp;$C1255&amp;$D1255&amp;$E1255,".","_"),"(","_"),")","")</f>
        <v>vpa703_5_1_1_a_2</v>
      </c>
      <c r="AM1255" s="254">
        <f>M1255</f>
        <v>0</v>
      </c>
      <c r="AN1255" s="1336"/>
      <c r="AO1255" s="1336"/>
      <c r="AP1255" s="1336"/>
      <c r="AQ1255" s="1336"/>
      <c r="AR1255" s="1336"/>
      <c r="AS1255" s="1336"/>
      <c r="AT1255" s="634"/>
      <c r="AU1255" s="634"/>
      <c r="AV1255" s="634"/>
      <c r="AW1255" s="634"/>
      <c r="AX1255" s="634"/>
      <c r="AY1255" s="634"/>
      <c r="AZ1255" s="634"/>
      <c r="BA1255" s="634"/>
      <c r="BB1255" s="634"/>
      <c r="BC1255" s="634"/>
      <c r="BD1255" s="634"/>
      <c r="BE1255" s="634"/>
      <c r="BF1255" s="634"/>
      <c r="BG1255" s="634"/>
      <c r="BH1255" s="634"/>
      <c r="BI1255" s="634"/>
    </row>
    <row r="1256" spans="1:61" s="868" customFormat="1" ht="15" customHeight="1" x14ac:dyDescent="0.25">
      <c r="A1256" s="2371">
        <v>7</v>
      </c>
      <c r="B1256" s="2381" t="s">
        <v>948</v>
      </c>
      <c r="C1256" s="2374" t="s">
        <v>256</v>
      </c>
      <c r="D1256" s="2374" t="s">
        <v>122</v>
      </c>
      <c r="E1256" s="2374"/>
      <c r="F1256" s="2374"/>
      <c r="G1256" s="2373" t="str">
        <f>IF(N1256&gt;0,"P","")</f>
        <v/>
      </c>
      <c r="H1256" s="2371" t="s">
        <v>3971</v>
      </c>
      <c r="I1256" s="4"/>
      <c r="J1256" s="230"/>
      <c r="K1256" s="668" t="s">
        <v>122</v>
      </c>
      <c r="L1256" s="1765" t="s">
        <v>4289</v>
      </c>
      <c r="M1256" s="1758">
        <v>1</v>
      </c>
      <c r="N1256" s="1927">
        <f>'Ch7'!O403</f>
        <v>0</v>
      </c>
      <c r="O1256" s="1774">
        <f ca="1">IFERROR((W1253&gt;0.78)*M1256*AND(S1251,MATCH(W1251,INDIRECT(U1251),0)=2),0)</f>
        <v>0</v>
      </c>
      <c r="P1256" s="1090"/>
      <c r="Q1256" s="1090"/>
      <c r="R1256" s="1090"/>
      <c r="S1256" s="1090"/>
      <c r="T1256" s="1090"/>
      <c r="U1256" s="1090"/>
      <c r="V1256" s="1090"/>
      <c r="X1256" s="1757"/>
      <c r="Y1256" s="2081"/>
      <c r="Z1256" s="2083"/>
      <c r="AA1256" s="1526"/>
      <c r="AC1256" s="1090"/>
      <c r="AD1256" s="1090"/>
      <c r="AE1256" s="970"/>
      <c r="AL1256" s="254" t="str">
        <f>SUBSTITUTE(SUBSTITUTE(SUBSTITUTE("vpa"&amp;$B1256&amp;$C1256&amp;$D1256&amp;$E1256,".","_"),"(","_"),")","")</f>
        <v>vpa703_5_1_1_b</v>
      </c>
      <c r="AM1256" s="254">
        <f>M1256</f>
        <v>1</v>
      </c>
      <c r="AN1256" s="254" t="str">
        <f>SUBSTITUTE(SUBSTITUTE(SUBSTITUTE("vpc"&amp;$B1256&amp;$C1256&amp;$D1256&amp;$E1256,".","_"),"(","_"),")","")</f>
        <v>vpc703_5_1_1_b</v>
      </c>
      <c r="AO1256" s="254">
        <f ca="1">O1256</f>
        <v>0</v>
      </c>
      <c r="AP1256" s="1336"/>
      <c r="AQ1256" s="1336"/>
      <c r="AR1256" s="1336"/>
      <c r="AS1256" s="1336"/>
    </row>
    <row r="1257" spans="1:61" s="868" customFormat="1" x14ac:dyDescent="0.25">
      <c r="A1257" s="2371">
        <v>7</v>
      </c>
      <c r="B1257" s="2381" t="s">
        <v>948</v>
      </c>
      <c r="C1257" s="2374" t="s">
        <v>256</v>
      </c>
      <c r="D1257" s="2374" t="s">
        <v>122</v>
      </c>
      <c r="E1257" s="2374"/>
      <c r="F1257" s="2374"/>
      <c r="G1257" s="2373" t="str">
        <f>G1256</f>
        <v/>
      </c>
      <c r="H1257" s="2371" t="s">
        <v>3971</v>
      </c>
      <c r="I1257" s="4"/>
      <c r="J1257" s="230"/>
      <c r="K1257" s="684"/>
      <c r="L1257" s="1786"/>
      <c r="M1257" s="1759"/>
      <c r="N1257" s="2076"/>
      <c r="O1257" s="1764"/>
      <c r="P1257" s="1090"/>
      <c r="Q1257" s="1090"/>
      <c r="R1257" s="1090"/>
      <c r="S1257" s="1090"/>
      <c r="T1257" s="1090"/>
      <c r="U1257" s="1090"/>
      <c r="V1257" s="1090"/>
      <c r="X1257" s="1757"/>
      <c r="Y1257" s="2081"/>
      <c r="Z1257" s="2083"/>
      <c r="AA1257" s="1526"/>
      <c r="AC1257" s="1090"/>
      <c r="AD1257" s="1090"/>
      <c r="AE1257" s="970"/>
      <c r="AL1257" s="254"/>
      <c r="AM1257" s="254"/>
      <c r="AN1257" s="1336"/>
      <c r="AO1257" s="1336"/>
      <c r="AP1257" s="1336"/>
      <c r="AQ1257" s="1336"/>
      <c r="AR1257" s="1336"/>
      <c r="AS1257" s="1336"/>
    </row>
    <row r="1258" spans="1:61" s="868" customFormat="1" x14ac:dyDescent="0.25">
      <c r="A1258" s="2371">
        <v>7</v>
      </c>
      <c r="B1258" s="2381" t="s">
        <v>948</v>
      </c>
      <c r="C1258" s="2374" t="s">
        <v>256</v>
      </c>
      <c r="D1258" s="2374" t="s">
        <v>123</v>
      </c>
      <c r="E1258" s="2374"/>
      <c r="F1258" s="2374"/>
      <c r="G1258" s="2373" t="str">
        <f>IF(N1258&gt;0,"P","")</f>
        <v/>
      </c>
      <c r="H1258" s="2371" t="s">
        <v>3971</v>
      </c>
      <c r="I1258" s="4"/>
      <c r="J1258" s="230"/>
      <c r="K1258" s="667" t="s">
        <v>123</v>
      </c>
      <c r="L1258" s="1342" t="s">
        <v>4290</v>
      </c>
      <c r="M1258" s="1014"/>
      <c r="N1258" s="1042">
        <f>'Ch7'!O405</f>
        <v>0</v>
      </c>
      <c r="O1258" s="1093">
        <f ca="1">IFERROR(INDEX(M1259:M1260,MATCH(W1253,{0.9,0.95},1))*AND(S1251,MATCH(W1251,INDIRECT(U1251),0)=3),0)</f>
        <v>0</v>
      </c>
      <c r="P1258" s="1090"/>
      <c r="Q1258" s="1090"/>
      <c r="R1258" s="1090"/>
      <c r="S1258" s="1090"/>
      <c r="T1258" s="1090"/>
      <c r="U1258" s="1090"/>
      <c r="V1258" s="1090"/>
      <c r="X1258" s="1757"/>
      <c r="Y1258" s="2081"/>
      <c r="Z1258" s="2083"/>
      <c r="AA1258" s="1526"/>
      <c r="AC1258" s="1090"/>
      <c r="AD1258" s="1090"/>
      <c r="AE1258" s="970"/>
      <c r="AL1258" s="254"/>
      <c r="AM1258" s="254"/>
      <c r="AN1258" s="1336"/>
      <c r="AO1258" s="1336"/>
      <c r="AP1258" s="1336"/>
      <c r="AQ1258" s="1336"/>
      <c r="AR1258" s="1336"/>
      <c r="AS1258" s="1336"/>
    </row>
    <row r="1259" spans="1:61" s="868" customFormat="1" x14ac:dyDescent="0.25">
      <c r="A1259" s="2371">
        <v>7</v>
      </c>
      <c r="B1259" s="2381" t="s">
        <v>948</v>
      </c>
      <c r="C1259" s="2374" t="s">
        <v>256</v>
      </c>
      <c r="D1259" s="2374" t="s">
        <v>123</v>
      </c>
      <c r="E1259" s="2374" t="s">
        <v>256</v>
      </c>
      <c r="F1259" s="2374"/>
      <c r="G1259" s="2373" t="str">
        <f>G1258</f>
        <v/>
      </c>
      <c r="H1259" s="2371" t="s">
        <v>3971</v>
      </c>
      <c r="I1259" s="4"/>
      <c r="J1259" s="230"/>
      <c r="K1259" s="667"/>
      <c r="L1259" s="1342" t="s">
        <v>4291</v>
      </c>
      <c r="M1259" s="1014">
        <f>IFERROR(INDEX({6,6,5,3,3,3,3,2},BF886),0)</f>
        <v>0</v>
      </c>
      <c r="N1259" s="1042"/>
      <c r="O1259" s="1093"/>
      <c r="P1259" s="1090"/>
      <c r="Q1259" s="1090"/>
      <c r="R1259" s="1090"/>
      <c r="S1259" s="1090"/>
      <c r="T1259" s="1090"/>
      <c r="U1259" s="1090"/>
      <c r="V1259" s="1090"/>
      <c r="X1259" s="1757"/>
      <c r="Y1259" s="2081"/>
      <c r="Z1259" s="2083"/>
      <c r="AA1259" s="1526"/>
      <c r="AC1259" s="1090"/>
      <c r="AD1259" s="1090"/>
      <c r="AE1259" s="970"/>
      <c r="AL1259" s="254" t="str">
        <f>SUBSTITUTE(SUBSTITUTE(SUBSTITUTE("vpa"&amp;$B1259&amp;$C1259&amp;$D1259&amp;$E1259,".","_"),"(","_"),")","")</f>
        <v>vpa703_5_1_1_c_1</v>
      </c>
      <c r="AM1259" s="254">
        <f>M1259</f>
        <v>0</v>
      </c>
      <c r="AN1259" s="1336"/>
      <c r="AO1259" s="1336"/>
      <c r="AP1259" s="1336"/>
      <c r="AQ1259" s="1336"/>
      <c r="AR1259" s="1336"/>
      <c r="AS1259" s="1336"/>
    </row>
    <row r="1260" spans="1:61" s="868" customFormat="1" x14ac:dyDescent="0.25">
      <c r="A1260" s="2371">
        <v>7</v>
      </c>
      <c r="B1260" s="2381" t="s">
        <v>948</v>
      </c>
      <c r="C1260" s="2374" t="s">
        <v>256</v>
      </c>
      <c r="D1260" s="2374" t="s">
        <v>123</v>
      </c>
      <c r="E1260" s="2374" t="s">
        <v>258</v>
      </c>
      <c r="F1260" s="2374"/>
      <c r="G1260" s="2373" t="str">
        <f>G1259</f>
        <v/>
      </c>
      <c r="H1260" s="2371" t="s">
        <v>3971</v>
      </c>
      <c r="I1260" s="4"/>
      <c r="J1260" s="230"/>
      <c r="K1260" s="669"/>
      <c r="L1260" s="1341" t="s">
        <v>4292</v>
      </c>
      <c r="M1260" s="1015">
        <f>IFERROR(INDEX({7,7,5,4,4,4,4,2},BF886),0)</f>
        <v>0</v>
      </c>
      <c r="N1260" s="1047"/>
      <c r="O1260" s="1092"/>
      <c r="P1260" s="1090"/>
      <c r="Q1260" s="1090"/>
      <c r="R1260" s="1090"/>
      <c r="S1260" s="1090"/>
      <c r="T1260" s="1090"/>
      <c r="U1260" s="1090"/>
      <c r="V1260" s="1090"/>
      <c r="X1260" s="1757"/>
      <c r="Y1260" s="2081"/>
      <c r="Z1260" s="2083"/>
      <c r="AA1260" s="1526"/>
      <c r="AC1260" s="1090"/>
      <c r="AD1260" s="1090"/>
      <c r="AE1260" s="970"/>
      <c r="AL1260" s="254" t="str">
        <f>SUBSTITUTE(SUBSTITUTE(SUBSTITUTE("vpa"&amp;$B1260&amp;$C1260&amp;$D1260&amp;$E1260,".","_"),"(","_"),")","")</f>
        <v>vpa703_5_1_1_c_2</v>
      </c>
      <c r="AM1260" s="254">
        <f>M1260</f>
        <v>0</v>
      </c>
      <c r="AN1260" s="1336"/>
      <c r="AO1260" s="1336"/>
      <c r="AP1260" s="1336"/>
      <c r="AQ1260" s="1336"/>
      <c r="AR1260" s="1336"/>
      <c r="AS1260" s="1336"/>
    </row>
    <row r="1261" spans="1:61" s="868" customFormat="1" ht="15" customHeight="1" x14ac:dyDescent="0.25">
      <c r="A1261" s="2371">
        <v>7</v>
      </c>
      <c r="B1261" s="2381" t="s">
        <v>948</v>
      </c>
      <c r="C1261" s="2374" t="s">
        <v>256</v>
      </c>
      <c r="D1261" s="2374" t="s">
        <v>401</v>
      </c>
      <c r="E1261" s="2374"/>
      <c r="F1261" s="2374"/>
      <c r="G1261" s="2373" t="str">
        <f>IF(N1261&gt;0,"P","")</f>
        <v/>
      </c>
      <c r="H1261" s="2371" t="s">
        <v>3971</v>
      </c>
      <c r="I1261" s="4"/>
      <c r="J1261" s="230"/>
      <c r="K1261" s="667" t="s">
        <v>401</v>
      </c>
      <c r="L1261" s="1787" t="s">
        <v>4293</v>
      </c>
      <c r="M1261" s="1014"/>
      <c r="N1261" s="2075">
        <f>'Ch7'!O408</f>
        <v>0</v>
      </c>
      <c r="O1261" s="1780">
        <f ca="1">IFERROR(INDEX(M1264:M1265,MATCH(W1253,{0.92,0.95},1))*AND(S1251,MATCH(W1251,INDIRECT(U1251),0)=4),0)</f>
        <v>0</v>
      </c>
      <c r="P1261" s="1090"/>
      <c r="Q1261" s="1090"/>
      <c r="R1261" s="1090"/>
      <c r="S1261" s="1090"/>
      <c r="T1261" s="1090"/>
      <c r="U1261" s="1090"/>
      <c r="V1261" s="1090"/>
      <c r="X1261" s="1757"/>
      <c r="Y1261" s="2081"/>
      <c r="Z1261" s="2083"/>
      <c r="AA1261" s="1526"/>
      <c r="AC1261" s="1090"/>
      <c r="AD1261" s="1090"/>
      <c r="AE1261" s="970"/>
      <c r="AL1261" s="254"/>
      <c r="AM1261" s="254"/>
      <c r="AN1261" s="254" t="str">
        <f>SUBSTITUTE(SUBSTITUTE(SUBSTITUTE("vpc"&amp;$B1261&amp;$C1261&amp;$D1261&amp;$E1261,".","_"),"(","_"),")","")</f>
        <v>vpc703_5_1_1_d</v>
      </c>
      <c r="AO1261" s="254">
        <f ca="1">O1261</f>
        <v>0</v>
      </c>
      <c r="AP1261" s="1336"/>
      <c r="AQ1261" s="1336"/>
      <c r="AR1261" s="1336"/>
      <c r="AS1261" s="1336"/>
    </row>
    <row r="1262" spans="1:61" s="868" customFormat="1" x14ac:dyDescent="0.25">
      <c r="A1262" s="2371">
        <v>7</v>
      </c>
      <c r="B1262" s="2381" t="s">
        <v>948</v>
      </c>
      <c r="C1262" s="2374" t="s">
        <v>256</v>
      </c>
      <c r="D1262" s="2374" t="s">
        <v>401</v>
      </c>
      <c r="E1262" s="2374"/>
      <c r="F1262" s="2374"/>
      <c r="G1262" s="2373" t="str">
        <f>G1261</f>
        <v/>
      </c>
      <c r="H1262" s="2371" t="s">
        <v>3971</v>
      </c>
      <c r="I1262" s="4"/>
      <c r="J1262" s="230"/>
      <c r="K1262" s="667"/>
      <c r="L1262" s="1787"/>
      <c r="M1262" s="1014"/>
      <c r="N1262" s="2075"/>
      <c r="O1262" s="1780"/>
      <c r="P1262" s="1090"/>
      <c r="Q1262" s="1090"/>
      <c r="R1262" s="1090"/>
      <c r="S1262" s="1090"/>
      <c r="T1262" s="1090"/>
      <c r="U1262" s="1090"/>
      <c r="V1262" s="1090"/>
      <c r="X1262" s="1757"/>
      <c r="Y1262" s="2081"/>
      <c r="Z1262" s="2083"/>
      <c r="AA1262" s="1526"/>
      <c r="AC1262" s="1090"/>
      <c r="AD1262" s="1090"/>
      <c r="AE1262" s="970"/>
      <c r="AL1262" s="254"/>
      <c r="AM1262" s="254"/>
      <c r="AN1262" s="1336"/>
      <c r="AO1262" s="1336"/>
      <c r="AP1262" s="1336"/>
      <c r="AQ1262" s="1336"/>
      <c r="AR1262" s="1336"/>
      <c r="AS1262" s="1336"/>
    </row>
    <row r="1263" spans="1:61" s="868" customFormat="1" x14ac:dyDescent="0.25">
      <c r="A1263" s="2371">
        <v>7</v>
      </c>
      <c r="B1263" s="2381" t="s">
        <v>948</v>
      </c>
      <c r="C1263" s="2374" t="s">
        <v>256</v>
      </c>
      <c r="D1263" s="2374" t="s">
        <v>401</v>
      </c>
      <c r="E1263" s="2374"/>
      <c r="F1263" s="2374"/>
      <c r="G1263" s="2373" t="str">
        <f>G1262</f>
        <v/>
      </c>
      <c r="H1263" s="2371" t="s">
        <v>3971</v>
      </c>
      <c r="I1263" s="4"/>
      <c r="J1263" s="230"/>
      <c r="K1263" s="667"/>
      <c r="L1263" s="1787"/>
      <c r="M1263" s="1014"/>
      <c r="N1263" s="2075"/>
      <c r="O1263" s="1780"/>
      <c r="P1263" s="1090"/>
      <c r="Q1263" s="1090"/>
      <c r="R1263" s="1090"/>
      <c r="S1263" s="1090"/>
      <c r="T1263" s="1090"/>
      <c r="U1263" s="1090"/>
      <c r="V1263" s="1090"/>
      <c r="X1263" s="1757"/>
      <c r="Y1263" s="2081"/>
      <c r="Z1263" s="2083"/>
      <c r="AA1263" s="1526"/>
      <c r="AC1263" s="1090"/>
      <c r="AD1263" s="1090"/>
      <c r="AE1263" s="970"/>
      <c r="AL1263" s="254"/>
      <c r="AM1263" s="254"/>
      <c r="AN1263" s="1336"/>
      <c r="AO1263" s="1336"/>
      <c r="AP1263" s="1336"/>
      <c r="AQ1263" s="1336"/>
      <c r="AR1263" s="1336"/>
      <c r="AS1263" s="1336"/>
    </row>
    <row r="1264" spans="1:61" s="868" customFormat="1" x14ac:dyDescent="0.25">
      <c r="A1264" s="2371">
        <v>7</v>
      </c>
      <c r="B1264" s="2381" t="s">
        <v>948</v>
      </c>
      <c r="C1264" s="2374" t="s">
        <v>256</v>
      </c>
      <c r="D1264" s="2374" t="s">
        <v>401</v>
      </c>
      <c r="E1264" s="2374" t="s">
        <v>256</v>
      </c>
      <c r="F1264" s="2374"/>
      <c r="G1264" s="2373" t="str">
        <f>G1263</f>
        <v/>
      </c>
      <c r="H1264" s="2371" t="s">
        <v>3971</v>
      </c>
      <c r="I1264" s="4"/>
      <c r="J1264" s="230"/>
      <c r="K1264" s="139"/>
      <c r="L1264" s="1342" t="s">
        <v>4294</v>
      </c>
      <c r="M1264" s="1014">
        <v>1</v>
      </c>
      <c r="N1264" s="1042"/>
      <c r="O1264" s="1093"/>
      <c r="P1264" s="1090"/>
      <c r="Q1264" s="1090"/>
      <c r="R1264" s="1090"/>
      <c r="S1264" s="1090"/>
      <c r="T1264" s="1090"/>
      <c r="U1264" s="1090"/>
      <c r="V1264" s="1090"/>
      <c r="X1264" s="1757"/>
      <c r="Y1264" s="2081"/>
      <c r="Z1264" s="2083"/>
      <c r="AA1264" s="1526"/>
      <c r="AC1264" s="1090"/>
      <c r="AD1264" s="1090"/>
      <c r="AE1264" s="970"/>
      <c r="AL1264" s="254" t="str">
        <f>SUBSTITUTE(SUBSTITUTE(SUBSTITUTE("vpa"&amp;$B1264&amp;$C1264&amp;$D1264&amp;$E1264,".","_"),"(","_"),")","")</f>
        <v>vpa703_5_1_1_d_1</v>
      </c>
      <c r="AM1264" s="254">
        <f>M1264</f>
        <v>1</v>
      </c>
      <c r="AN1264" s="1336"/>
      <c r="AO1264" s="1336"/>
      <c r="AP1264" s="1336"/>
      <c r="AQ1264" s="1336"/>
      <c r="AR1264" s="1336"/>
      <c r="AS1264" s="1336"/>
    </row>
    <row r="1265" spans="1:61" s="868" customFormat="1" x14ac:dyDescent="0.25">
      <c r="A1265" s="2371">
        <v>7</v>
      </c>
      <c r="B1265" s="2381" t="s">
        <v>948</v>
      </c>
      <c r="C1265" s="2374" t="s">
        <v>256</v>
      </c>
      <c r="D1265" s="2374" t="s">
        <v>401</v>
      </c>
      <c r="E1265" s="2374" t="s">
        <v>258</v>
      </c>
      <c r="F1265" s="2374"/>
      <c r="G1265" s="2373" t="str">
        <f>G1264</f>
        <v/>
      </c>
      <c r="H1265" s="2371" t="s">
        <v>3971</v>
      </c>
      <c r="I1265" s="4"/>
      <c r="J1265" s="230"/>
      <c r="K1265" s="684"/>
      <c r="L1265" s="1341" t="s">
        <v>4292</v>
      </c>
      <c r="M1265" s="1015">
        <f>IFERROR(INDEX({2,2,2,2,2,2,2,1},BF886),0)</f>
        <v>0</v>
      </c>
      <c r="N1265" s="1047"/>
      <c r="O1265" s="1092"/>
      <c r="P1265" s="1090"/>
      <c r="Q1265" s="1090"/>
      <c r="R1265" s="1090"/>
      <c r="S1265" s="1090"/>
      <c r="T1265" s="1090"/>
      <c r="U1265" s="1090"/>
      <c r="V1265" s="1090"/>
      <c r="X1265" s="1757"/>
      <c r="Y1265" s="2081"/>
      <c r="Z1265" s="2083"/>
      <c r="AA1265" s="1526"/>
      <c r="AC1265" s="1090"/>
      <c r="AD1265" s="1090"/>
      <c r="AE1265" s="970"/>
      <c r="AL1265" s="254" t="str">
        <f>SUBSTITUTE(SUBSTITUTE(SUBSTITUTE("vpa"&amp;$B1265&amp;$C1265&amp;$D1265&amp;$E1265,".","_"),"(","_"),")","")</f>
        <v>vpa703_5_1_1_d_2</v>
      </c>
      <c r="AM1265" s="254">
        <f>M1265</f>
        <v>0</v>
      </c>
      <c r="AN1265" s="1336"/>
      <c r="AO1265" s="1336"/>
      <c r="AP1265" s="1336"/>
      <c r="AQ1265" s="1336"/>
      <c r="AR1265" s="1336"/>
      <c r="AS1265" s="1336"/>
    </row>
    <row r="1266" spans="1:61" ht="15" customHeight="1" x14ac:dyDescent="0.25">
      <c r="A1266" s="2371">
        <v>7</v>
      </c>
      <c r="B1266" s="2381" t="s">
        <v>948</v>
      </c>
      <c r="C1266" s="2374" t="s">
        <v>256</v>
      </c>
      <c r="D1266" s="2374" t="s">
        <v>539</v>
      </c>
      <c r="E1266" s="2374"/>
      <c r="F1266" s="2374"/>
      <c r="G1266" s="2373" t="str">
        <f>IF(N1266&gt;0,"P","")</f>
        <v/>
      </c>
      <c r="H1266" s="2371" t="s">
        <v>3971</v>
      </c>
      <c r="I1266" s="4"/>
      <c r="J1266" s="929"/>
      <c r="K1266" s="667" t="s">
        <v>539</v>
      </c>
      <c r="L1266" s="1787" t="s">
        <v>4295</v>
      </c>
      <c r="M1266" s="1014"/>
      <c r="N1266" s="2075">
        <f>'Ch7'!O413</f>
        <v>0</v>
      </c>
      <c r="O1266" s="1780">
        <f ca="1">IFERROR(INDEX(M1268:M1269,MATCH(W1253,{0.89,0.94},1))*AND(S1251,MATCH(W1251,INDIRECT(U1251),0)=5),0)</f>
        <v>0</v>
      </c>
      <c r="P1266" s="1090"/>
      <c r="Q1266" s="1090"/>
      <c r="R1266" s="1090"/>
      <c r="S1266" s="1090"/>
      <c r="T1266" s="1090"/>
      <c r="U1266" s="1090"/>
      <c r="V1266" s="1090"/>
      <c r="W1266" s="634"/>
      <c r="X1266" s="1757"/>
      <c r="Y1266" s="2081"/>
      <c r="Z1266" s="2083"/>
      <c r="AA1266" s="1526"/>
      <c r="AB1266" s="634"/>
      <c r="AC1266" s="1090"/>
      <c r="AD1266" s="1090"/>
      <c r="AE1266" s="970"/>
      <c r="AF1266" s="634"/>
      <c r="AG1266" s="634"/>
      <c r="AH1266" s="634"/>
      <c r="AI1266" s="634"/>
      <c r="AJ1266" s="634"/>
      <c r="AK1266" s="634"/>
      <c r="AL1266" s="1336"/>
      <c r="AM1266" s="1336"/>
      <c r="AN1266" s="254" t="str">
        <f>SUBSTITUTE(SUBSTITUTE(SUBSTITUTE("vpc"&amp;$B1266&amp;$C1266&amp;$D1266&amp;$E1266,".","_"),"(","_"),")","")</f>
        <v>vpc703_5_1_1_e</v>
      </c>
      <c r="AO1266" s="254">
        <f ca="1">O1266</f>
        <v>0</v>
      </c>
      <c r="AP1266" s="1336"/>
      <c r="AQ1266" s="1336"/>
      <c r="AR1266" s="1336"/>
      <c r="AS1266" s="1336"/>
      <c r="AT1266" s="634"/>
      <c r="AU1266" s="634"/>
      <c r="AV1266" s="634"/>
      <c r="AW1266" s="634"/>
      <c r="AX1266" s="634"/>
      <c r="AY1266" s="634"/>
      <c r="AZ1266" s="634"/>
      <c r="BA1266" s="634"/>
      <c r="BB1266" s="634"/>
      <c r="BC1266" s="634"/>
      <c r="BD1266" s="634"/>
      <c r="BE1266" s="634"/>
      <c r="BF1266" s="634"/>
      <c r="BG1266" s="634"/>
      <c r="BH1266" s="634"/>
      <c r="BI1266" s="634"/>
    </row>
    <row r="1267" spans="1:61" x14ac:dyDescent="0.25">
      <c r="A1267" s="2371">
        <v>7</v>
      </c>
      <c r="B1267" s="2381" t="s">
        <v>948</v>
      </c>
      <c r="C1267" s="2374" t="s">
        <v>256</v>
      </c>
      <c r="D1267" s="2374" t="s">
        <v>539</v>
      </c>
      <c r="E1267" s="2374"/>
      <c r="F1267" s="2374"/>
      <c r="G1267" s="2373" t="str">
        <f>G1266</f>
        <v/>
      </c>
      <c r="H1267" s="2371" t="s">
        <v>3971</v>
      </c>
      <c r="I1267" s="4"/>
      <c r="J1267" s="929"/>
      <c r="K1267" s="679"/>
      <c r="L1267" s="1787"/>
      <c r="M1267" s="1014"/>
      <c r="N1267" s="2075"/>
      <c r="O1267" s="1780"/>
      <c r="P1267" s="1090"/>
      <c r="Q1267" s="1090"/>
      <c r="R1267" s="1090"/>
      <c r="S1267" s="1090"/>
      <c r="T1267" s="1090"/>
      <c r="U1267" s="1090"/>
      <c r="V1267" s="1090"/>
      <c r="W1267" s="634"/>
      <c r="X1267" s="1757"/>
      <c r="Y1267" s="2081"/>
      <c r="Z1267" s="2083"/>
      <c r="AA1267" s="1526"/>
      <c r="AB1267" s="634"/>
      <c r="AC1267" s="1090"/>
      <c r="AD1267" s="1090"/>
      <c r="AE1267" s="970"/>
      <c r="AF1267" s="634"/>
      <c r="AG1267" s="634"/>
      <c r="AH1267" s="634"/>
      <c r="AI1267" s="634"/>
      <c r="AJ1267" s="634"/>
      <c r="AK1267" s="634"/>
      <c r="AL1267" s="1336"/>
      <c r="AM1267" s="1336"/>
      <c r="AN1267" s="1336"/>
      <c r="AO1267" s="1336"/>
      <c r="AP1267" s="1336"/>
      <c r="AQ1267" s="1336"/>
      <c r="AR1267" s="1336"/>
      <c r="AS1267" s="1336"/>
      <c r="AT1267" s="634"/>
      <c r="AU1267" s="634"/>
      <c r="AV1267" s="634"/>
      <c r="AW1267" s="634"/>
      <c r="AX1267" s="634"/>
      <c r="AY1267" s="634"/>
      <c r="AZ1267" s="634"/>
      <c r="BA1267" s="634"/>
      <c r="BB1267" s="634"/>
      <c r="BC1267" s="634"/>
      <c r="BD1267" s="634"/>
      <c r="BE1267" s="634"/>
      <c r="BF1267" s="634"/>
      <c r="BG1267" s="634"/>
      <c r="BH1267" s="634"/>
      <c r="BI1267" s="634"/>
    </row>
    <row r="1268" spans="1:61" x14ac:dyDescent="0.25">
      <c r="A1268" s="2371">
        <v>7</v>
      </c>
      <c r="B1268" s="2381" t="s">
        <v>948</v>
      </c>
      <c r="C1268" s="2374" t="s">
        <v>256</v>
      </c>
      <c r="D1268" s="2374" t="s">
        <v>539</v>
      </c>
      <c r="E1268" s="2374" t="s">
        <v>256</v>
      </c>
      <c r="F1268" s="2374"/>
      <c r="G1268" s="2373" t="str">
        <f>G1267</f>
        <v/>
      </c>
      <c r="H1268" s="2375" t="s">
        <v>3971</v>
      </c>
      <c r="I1268" s="4"/>
      <c r="J1268" s="929"/>
      <c r="K1268" s="845"/>
      <c r="L1268" s="1342" t="s">
        <v>5108</v>
      </c>
      <c r="M1268" s="1014">
        <f>IFERROR(INDEX({2,2,2,1,1,1,1,1},BF886),0)</f>
        <v>0</v>
      </c>
      <c r="N1268" s="1042"/>
      <c r="O1268" s="1093"/>
      <c r="P1268" s="1090"/>
      <c r="Q1268" s="1090"/>
      <c r="R1268" s="1090"/>
      <c r="S1268" s="1090"/>
      <c r="T1268" s="1090"/>
      <c r="U1268" s="1090"/>
      <c r="V1268" s="1090"/>
      <c r="W1268" s="634"/>
      <c r="X1268" s="1757"/>
      <c r="Y1268" s="2081"/>
      <c r="Z1268" s="2083"/>
      <c r="AA1268" s="1526"/>
      <c r="AB1268" s="634"/>
      <c r="AC1268" s="1090"/>
      <c r="AD1268" s="1090"/>
      <c r="AE1268" s="970"/>
      <c r="AF1268" s="634"/>
      <c r="AG1268" s="634"/>
      <c r="AH1268" s="634"/>
      <c r="AI1268" s="634"/>
      <c r="AJ1268" s="634"/>
      <c r="AK1268" s="634"/>
      <c r="AL1268" s="254" t="str">
        <f>SUBSTITUTE(SUBSTITUTE(SUBSTITUTE("vpa"&amp;$B1268&amp;$C1268&amp;$D1268&amp;$E1268,".","_"),"(","_"),")","")</f>
        <v>vpa703_5_1_1_e_1</v>
      </c>
      <c r="AM1268" s="254">
        <f>M1268</f>
        <v>0</v>
      </c>
      <c r="AN1268" s="1336"/>
      <c r="AO1268" s="1336"/>
      <c r="AP1268" s="1336"/>
      <c r="AQ1268" s="1336"/>
      <c r="AR1268" s="1336"/>
      <c r="AS1268" s="1336"/>
      <c r="AT1268" s="634"/>
      <c r="AU1268" s="634"/>
      <c r="AV1268" s="634"/>
      <c r="AW1268" s="634"/>
      <c r="AX1268" s="634"/>
      <c r="AY1268" s="634"/>
      <c r="AZ1268" s="634"/>
      <c r="BA1268" s="634"/>
      <c r="BB1268" s="634"/>
      <c r="BC1268" s="634"/>
      <c r="BD1268" s="634"/>
      <c r="BE1268" s="634"/>
      <c r="BF1268" s="634"/>
      <c r="BG1268" s="634"/>
      <c r="BH1268" s="634"/>
      <c r="BI1268" s="634"/>
    </row>
    <row r="1269" spans="1:61" x14ac:dyDescent="0.25">
      <c r="A1269" s="2371">
        <v>7</v>
      </c>
      <c r="B1269" s="2381" t="s">
        <v>948</v>
      </c>
      <c r="C1269" s="2374" t="s">
        <v>256</v>
      </c>
      <c r="D1269" s="2374" t="s">
        <v>539</v>
      </c>
      <c r="E1269" s="2374" t="s">
        <v>258</v>
      </c>
      <c r="F1269" s="2374"/>
      <c r="G1269" s="2373" t="str">
        <f>G1268</f>
        <v/>
      </c>
      <c r="H1269" s="2375" t="s">
        <v>3971</v>
      </c>
      <c r="I1269" s="4"/>
      <c r="J1269" s="913"/>
      <c r="K1269" s="851"/>
      <c r="L1269" s="1341" t="s">
        <v>5109</v>
      </c>
      <c r="M1269" s="1015">
        <f>IFERROR(INDEX({3,3,2,2,2,2,2,1},BF886),0)</f>
        <v>0</v>
      </c>
      <c r="N1269" s="1047"/>
      <c r="O1269" s="1092"/>
      <c r="P1269" s="178"/>
      <c r="Q1269" s="178"/>
      <c r="R1269" s="178"/>
      <c r="S1269" s="178"/>
      <c r="T1269" s="178"/>
      <c r="U1269" s="178"/>
      <c r="V1269" s="178"/>
      <c r="W1269" s="1090" t="s">
        <v>3636</v>
      </c>
      <c r="X1269" s="1757"/>
      <c r="Y1269" s="2081"/>
      <c r="Z1269" s="2083"/>
      <c r="AA1269" s="1526"/>
      <c r="AB1269" s="634"/>
      <c r="AC1269" s="1090"/>
      <c r="AD1269" s="1090"/>
      <c r="AE1269" s="970"/>
      <c r="AF1269" s="634"/>
      <c r="AG1269" s="634"/>
      <c r="AH1269" s="634"/>
      <c r="AI1269" s="634"/>
      <c r="AJ1269" s="634"/>
      <c r="AK1269" s="634"/>
      <c r="AL1269" s="254" t="str">
        <f>SUBSTITUTE(SUBSTITUTE(SUBSTITUTE("vpa"&amp;$B1269&amp;$C1269&amp;$D1269&amp;$E1269,".","_"),"(","_"),")","")</f>
        <v>vpa703_5_1_1_e_2</v>
      </c>
      <c r="AM1269" s="254">
        <f>M1269</f>
        <v>0</v>
      </c>
      <c r="AN1269" s="1336"/>
      <c r="AO1269" s="1336"/>
      <c r="AP1269" s="1336"/>
      <c r="AQ1269" s="1336"/>
      <c r="AR1269" s="1336"/>
      <c r="AS1269" s="1336"/>
      <c r="AT1269" s="634"/>
      <c r="AU1269" s="634"/>
      <c r="AV1269" s="634"/>
      <c r="AW1269" s="634"/>
      <c r="AX1269" s="634"/>
      <c r="AY1269" s="634"/>
      <c r="AZ1269" s="634"/>
      <c r="BA1269" s="634"/>
      <c r="BB1269" s="634"/>
      <c r="BC1269" s="634"/>
      <c r="BD1269" s="634"/>
      <c r="BE1269" s="634"/>
      <c r="BF1269" s="634"/>
      <c r="BG1269" s="634"/>
      <c r="BH1269" s="634"/>
      <c r="BI1269" s="634"/>
    </row>
    <row r="1270" spans="1:61" x14ac:dyDescent="0.25">
      <c r="A1270" s="2371">
        <v>7</v>
      </c>
      <c r="B1270" s="2381" t="s">
        <v>948</v>
      </c>
      <c r="C1270" s="2384" t="s">
        <v>258</v>
      </c>
      <c r="D1270" s="2382"/>
      <c r="E1270" s="2374"/>
      <c r="F1270" s="2374"/>
      <c r="G1270" s="2363" t="str">
        <f ca="1">IF(COUNTIF(G1271:G1290,"P")&gt;0,"P","")</f>
        <v/>
      </c>
      <c r="H1270" s="2371" t="s">
        <v>3971</v>
      </c>
      <c r="I1270" s="4"/>
      <c r="J1270" s="230" t="s">
        <v>258</v>
      </c>
      <c r="K1270" s="929"/>
      <c r="L1270" s="1343" t="s">
        <v>950</v>
      </c>
      <c r="M1270" s="1014"/>
      <c r="N1270" s="1042"/>
      <c r="O1270" s="1093"/>
      <c r="P1270" s="94" t="b">
        <v>1</v>
      </c>
      <c r="Q1270" s="94" t="b">
        <v>1</v>
      </c>
      <c r="R1270" s="1090" t="b">
        <v>0</v>
      </c>
      <c r="S1270" s="1090" t="b">
        <f ca="1">AND(S883=2,LEN(W1301)=0,S1246=2)</f>
        <v>0</v>
      </c>
      <c r="T1270" s="94" t="b">
        <f ca="1">AND(NOT(S1270),LEN(W1270)&gt;0)</f>
        <v>0</v>
      </c>
      <c r="U1270" s="94" t="str">
        <f>SUBSTITUTE(SUBSTITUTE(SUBSTITUTE("dd"&amp;B1270&amp;C1270&amp;D1270&amp;E1270&amp;F1270,".","_"),"(","_"),")","")</f>
        <v>dd703_5_1_2</v>
      </c>
      <c r="V1270" s="1090"/>
      <c r="W1270" s="12"/>
      <c r="X1270" s="1757"/>
      <c r="Y1270" s="2081"/>
      <c r="Z1270" s="2083"/>
      <c r="AA1270" s="1526"/>
      <c r="AB1270" s="634"/>
      <c r="AC1270" s="1090" t="b">
        <f ca="1">OR(AD1270:AE1270)</f>
        <v>0</v>
      </c>
      <c r="AD1270" s="1090" t="b">
        <f ca="1">T1270</f>
        <v>0</v>
      </c>
      <c r="AE1270" s="970"/>
      <c r="AF1270" s="634"/>
      <c r="AG1270" s="634"/>
      <c r="AH1270" s="634"/>
      <c r="AI1270" s="634"/>
      <c r="AJ1270" s="634"/>
      <c r="AK1270" s="634"/>
      <c r="AL1270" s="1336"/>
      <c r="AM1270" s="1336"/>
      <c r="AN1270" s="1336"/>
      <c r="AO1270" s="1336"/>
      <c r="AP1270" s="254" t="str">
        <f>SUBSTITUTE(SUBSTITUTE(SUBSTITUTE("vch"&amp;$B1270&amp;$C1270&amp;$D1270&amp;$E1270,".","_"),"(","_"),")","")</f>
        <v>vch703_5_1_2</v>
      </c>
      <c r="AQ1270" s="254" t="str">
        <f>IF(LEN(W1270)=0,"",W1270)</f>
        <v/>
      </c>
      <c r="AR1270" s="1336"/>
      <c r="AS1270" s="1336"/>
      <c r="AT1270" s="634"/>
      <c r="AU1270" s="634"/>
      <c r="AV1270" s="634"/>
      <c r="AW1270" s="634"/>
      <c r="AX1270" s="634"/>
      <c r="AY1270" s="634"/>
      <c r="AZ1270" s="634"/>
      <c r="BA1270" s="634"/>
      <c r="BB1270" s="634"/>
      <c r="BC1270" s="634"/>
      <c r="BD1270" s="634"/>
      <c r="BE1270" s="634"/>
      <c r="BF1270" s="634"/>
      <c r="BG1270" s="634"/>
      <c r="BH1270" s="634"/>
      <c r="BI1270" s="634"/>
    </row>
    <row r="1271" spans="1:61" ht="15" customHeight="1" x14ac:dyDescent="0.25">
      <c r="A1271" s="2371">
        <v>7</v>
      </c>
      <c r="B1271" s="2381" t="s">
        <v>948</v>
      </c>
      <c r="C1271" s="2384" t="s">
        <v>258</v>
      </c>
      <c r="D1271" s="2385" t="s">
        <v>121</v>
      </c>
      <c r="E1271" s="2374"/>
      <c r="F1271" s="2374"/>
      <c r="G1271" s="2373" t="str">
        <f ca="1">IF(N1271&gt;0,"P","")</f>
        <v/>
      </c>
      <c r="H1271" s="2371" t="s">
        <v>3971</v>
      </c>
      <c r="I1271" s="4"/>
      <c r="J1271" s="230"/>
      <c r="K1271" s="667" t="s">
        <v>121</v>
      </c>
      <c r="L1271" s="1787" t="s">
        <v>4298</v>
      </c>
      <c r="M1271" s="1014"/>
      <c r="N1271" s="2075">
        <f ca="1">'Ch7'!O401</f>
        <v>0</v>
      </c>
      <c r="O1271" s="1780">
        <f ca="1">IFERROR(INDEX(M1273:M1279,MATCH(W1272,{0.94,1,1.5,2,2.2,2.5,3},1))*AND(S1270,MATCH(W1270,INDIRECT(U1270),0)=1),0)</f>
        <v>0</v>
      </c>
      <c r="P1271" s="1090"/>
      <c r="Q1271" s="1090"/>
      <c r="R1271" s="1090"/>
      <c r="S1271" s="1090"/>
      <c r="T1271" s="1090"/>
      <c r="U1271" s="1090"/>
      <c r="V1271" s="1090"/>
      <c r="W1271" s="1090" t="s">
        <v>3635</v>
      </c>
      <c r="X1271" s="1757"/>
      <c r="Y1271" s="2081"/>
      <c r="Z1271" s="2083"/>
      <c r="AA1271" s="1526"/>
      <c r="AB1271" s="634"/>
      <c r="AC1271" s="1090"/>
      <c r="AD1271" s="1090"/>
      <c r="AE1271" s="970"/>
      <c r="AF1271" s="634"/>
      <c r="AG1271" s="634"/>
      <c r="AH1271" s="634"/>
      <c r="AI1271" s="634"/>
      <c r="AJ1271" s="634"/>
      <c r="AK1271" s="634"/>
      <c r="AL1271" s="1336"/>
      <c r="AM1271" s="1336"/>
      <c r="AN1271" s="254" t="str">
        <f>SUBSTITUTE(SUBSTITUTE(SUBSTITUTE("vpc"&amp;$B1271&amp;$C1271&amp;$D1271&amp;$E1271,".","_"),"(","_"),")","")</f>
        <v>vpc703_5_1_2_a</v>
      </c>
      <c r="AO1271" s="254">
        <f ca="1">O1271</f>
        <v>0</v>
      </c>
      <c r="AP1271" s="1336"/>
      <c r="AQ1271" s="1336"/>
      <c r="AR1271" s="1336"/>
      <c r="AS1271" s="1336"/>
      <c r="AT1271" s="634"/>
      <c r="AU1271" s="634"/>
      <c r="AV1271" s="634"/>
      <c r="AW1271" s="634"/>
      <c r="AX1271" s="634"/>
      <c r="AY1271" s="634"/>
      <c r="AZ1271" s="634"/>
      <c r="BA1271" s="634"/>
      <c r="BB1271" s="634"/>
      <c r="BC1271" s="634"/>
      <c r="BD1271" s="634"/>
      <c r="BE1271" s="634"/>
      <c r="BF1271" s="634"/>
      <c r="BG1271" s="634"/>
      <c r="BH1271" s="634"/>
      <c r="BI1271" s="634"/>
    </row>
    <row r="1272" spans="1:61" s="868" customFormat="1" x14ac:dyDescent="0.25">
      <c r="A1272" s="2371">
        <v>7</v>
      </c>
      <c r="B1272" s="2381" t="s">
        <v>948</v>
      </c>
      <c r="C1272" s="2384" t="s">
        <v>258</v>
      </c>
      <c r="D1272" s="2385" t="s">
        <v>121</v>
      </c>
      <c r="E1272" s="2374"/>
      <c r="F1272" s="2374"/>
      <c r="G1272" s="2373" t="str">
        <f ca="1">G1271</f>
        <v/>
      </c>
      <c r="H1272" s="2375" t="s">
        <v>3971</v>
      </c>
      <c r="I1272" s="4"/>
      <c r="J1272" s="230"/>
      <c r="K1272" s="667"/>
      <c r="L1272" s="1787"/>
      <c r="M1272" s="1014"/>
      <c r="N1272" s="2075"/>
      <c r="O1272" s="1780"/>
      <c r="P1272" s="94" t="b">
        <v>1</v>
      </c>
      <c r="Q1272" s="94" t="b">
        <v>1</v>
      </c>
      <c r="R1272" s="1090" t="b">
        <v>0</v>
      </c>
      <c r="S1272" s="1090" t="b">
        <f ca="1">S1270</f>
        <v>0</v>
      </c>
      <c r="T1272" s="94" t="b">
        <f ca="1">AND(NOT(S1272),LEN(W1272)&gt;0)</f>
        <v>0</v>
      </c>
      <c r="U1272" s="1090"/>
      <c r="V1272" s="1090"/>
      <c r="W1272" s="384"/>
      <c r="X1272" s="1757"/>
      <c r="Y1272" s="2081"/>
      <c r="Z1272" s="2083"/>
      <c r="AA1272" s="1526"/>
      <c r="AC1272" s="1090" t="b">
        <f ca="1">OR(AD1272:AE1272)</f>
        <v>0</v>
      </c>
      <c r="AD1272" s="1090" t="b">
        <f ca="1">T1272</f>
        <v>0</v>
      </c>
      <c r="AE1272" s="970"/>
      <c r="AL1272" s="1336"/>
      <c r="AM1272" s="1336"/>
      <c r="AN1272" s="1336"/>
      <c r="AO1272" s="1336"/>
      <c r="AP1272" s="254" t="str">
        <f>SUBSTITUTE(SUBSTITUTE(SUBSTITUTE("vch"&amp;$B1272&amp;$C1272&amp;$D1272&amp;$E1272,".","_"),"(","_"),")","")</f>
        <v>vch703_5_1_2_a</v>
      </c>
      <c r="AQ1272" s="254" t="str">
        <f>IF(LEN(W1272)=0,"",W1272)</f>
        <v/>
      </c>
      <c r="AR1272" s="1336"/>
      <c r="AS1272" s="1336"/>
    </row>
    <row r="1273" spans="1:61" s="868" customFormat="1" x14ac:dyDescent="0.25">
      <c r="A1273" s="2371">
        <v>7</v>
      </c>
      <c r="B1273" s="2381" t="s">
        <v>948</v>
      </c>
      <c r="C1273" s="2384" t="s">
        <v>258</v>
      </c>
      <c r="D1273" s="2385" t="s">
        <v>121</v>
      </c>
      <c r="E1273" s="2374" t="s">
        <v>256</v>
      </c>
      <c r="F1273" s="2374"/>
      <c r="G1273" s="2373" t="str">
        <f t="shared" ref="G1273:G1279" ca="1" si="76">G1272</f>
        <v/>
      </c>
      <c r="H1273" s="2375" t="s">
        <v>3971</v>
      </c>
      <c r="I1273" s="4"/>
      <c r="J1273" s="230"/>
      <c r="K1273" s="139"/>
      <c r="L1273" s="1342" t="s">
        <v>5110</v>
      </c>
      <c r="M1273" s="1015">
        <v>1</v>
      </c>
      <c r="N1273" s="1042"/>
      <c r="O1273" s="1093"/>
      <c r="P1273" s="1090"/>
      <c r="Q1273" s="1090"/>
      <c r="R1273" s="1090"/>
      <c r="S1273" s="1090"/>
      <c r="T1273" s="1090"/>
      <c r="U1273" s="1090"/>
      <c r="V1273" s="1090"/>
      <c r="X1273" s="1757"/>
      <c r="Y1273" s="2081"/>
      <c r="Z1273" s="2083"/>
      <c r="AA1273" s="1526"/>
      <c r="AC1273" s="1090"/>
      <c r="AD1273" s="1090"/>
      <c r="AE1273" s="970"/>
      <c r="AL1273" s="254" t="str">
        <f t="shared" ref="AL1273:AL1279" si="77">SUBSTITUTE(SUBSTITUTE(SUBSTITUTE("vpa"&amp;$B1273&amp;$C1273&amp;$D1273&amp;$E1273,".","_"),"(","_"),")","")</f>
        <v>vpa703_5_1_2_a_1</v>
      </c>
      <c r="AM1273" s="254">
        <f t="shared" ref="AM1273:AM1279" si="78">M1273</f>
        <v>1</v>
      </c>
      <c r="AN1273" s="1336"/>
      <c r="AO1273" s="1336"/>
      <c r="AP1273" s="1336"/>
      <c r="AQ1273" s="1336"/>
      <c r="AR1273" s="1336"/>
      <c r="AS1273" s="1336"/>
    </row>
    <row r="1274" spans="1:61" s="868" customFormat="1" x14ac:dyDescent="0.25">
      <c r="A1274" s="2371">
        <v>7</v>
      </c>
      <c r="B1274" s="2381" t="s">
        <v>948</v>
      </c>
      <c r="C1274" s="2384" t="s">
        <v>258</v>
      </c>
      <c r="D1274" s="2385" t="s">
        <v>121</v>
      </c>
      <c r="E1274" s="2374" t="s">
        <v>258</v>
      </c>
      <c r="F1274" s="2374"/>
      <c r="G1274" s="2373" t="str">
        <f t="shared" ca="1" si="76"/>
        <v/>
      </c>
      <c r="H1274" s="2375" t="s">
        <v>3971</v>
      </c>
      <c r="I1274" s="4"/>
      <c r="J1274" s="230"/>
      <c r="K1274" s="139"/>
      <c r="L1274" s="1342" t="s">
        <v>5111</v>
      </c>
      <c r="M1274" s="1015">
        <f>IFERROR(INDEX({4,2,2,2,1,1,1,1},BF886),0)</f>
        <v>0</v>
      </c>
      <c r="N1274" s="1042"/>
      <c r="O1274" s="1093"/>
      <c r="P1274" s="1090"/>
      <c r="Q1274" s="1090"/>
      <c r="R1274" s="1090"/>
      <c r="S1274" s="1090"/>
      <c r="T1274" s="1090"/>
      <c r="U1274" s="1090"/>
      <c r="V1274" s="1090"/>
      <c r="X1274" s="1757"/>
      <c r="Y1274" s="2081"/>
      <c r="Z1274" s="2083"/>
      <c r="AA1274" s="1526"/>
      <c r="AC1274" s="1090"/>
      <c r="AD1274" s="1090"/>
      <c r="AE1274" s="970"/>
      <c r="AL1274" s="254" t="str">
        <f t="shared" si="77"/>
        <v>vpa703_5_1_2_a_2</v>
      </c>
      <c r="AM1274" s="254">
        <f t="shared" si="78"/>
        <v>0</v>
      </c>
      <c r="AN1274" s="1336"/>
      <c r="AO1274" s="1336"/>
      <c r="AP1274" s="1336"/>
      <c r="AQ1274" s="1336"/>
      <c r="AR1274" s="1336"/>
      <c r="AS1274" s="1336"/>
    </row>
    <row r="1275" spans="1:61" s="868" customFormat="1" x14ac:dyDescent="0.25">
      <c r="A1275" s="2371">
        <v>7</v>
      </c>
      <c r="B1275" s="2381" t="s">
        <v>948</v>
      </c>
      <c r="C1275" s="2384" t="s">
        <v>258</v>
      </c>
      <c r="D1275" s="2385" t="s">
        <v>121</v>
      </c>
      <c r="E1275" s="2374" t="s">
        <v>260</v>
      </c>
      <c r="F1275" s="2374"/>
      <c r="G1275" s="2373" t="str">
        <f t="shared" ca="1" si="76"/>
        <v/>
      </c>
      <c r="H1275" s="2375" t="s">
        <v>3971</v>
      </c>
      <c r="I1275" s="4"/>
      <c r="J1275" s="230"/>
      <c r="K1275" s="85"/>
      <c r="L1275" s="1342" t="s">
        <v>5112</v>
      </c>
      <c r="M1275" s="1015">
        <f>IFERROR(INDEX({7,4,3,2,2,2,1,1},BF886),0)</f>
        <v>0</v>
      </c>
      <c r="N1275" s="1042"/>
      <c r="O1275" s="1093"/>
      <c r="P1275" s="1090"/>
      <c r="Q1275" s="1090"/>
      <c r="R1275" s="1090"/>
      <c r="S1275" s="1090"/>
      <c r="T1275" s="1090"/>
      <c r="U1275" s="1090"/>
      <c r="V1275" s="1090"/>
      <c r="X1275" s="1757"/>
      <c r="Y1275" s="2081"/>
      <c r="Z1275" s="2083"/>
      <c r="AA1275" s="1526"/>
      <c r="AC1275" s="1090"/>
      <c r="AD1275" s="1090"/>
      <c r="AE1275" s="970"/>
      <c r="AL1275" s="254" t="str">
        <f t="shared" si="77"/>
        <v>vpa703_5_1_2_a_3</v>
      </c>
      <c r="AM1275" s="254">
        <f t="shared" si="78"/>
        <v>0</v>
      </c>
      <c r="AN1275" s="1336"/>
      <c r="AO1275" s="1336"/>
      <c r="AP1275" s="1336"/>
      <c r="AQ1275" s="1336"/>
      <c r="AR1275" s="1336"/>
      <c r="AS1275" s="1336"/>
    </row>
    <row r="1276" spans="1:61" s="868" customFormat="1" x14ac:dyDescent="0.25">
      <c r="A1276" s="2371">
        <v>7</v>
      </c>
      <c r="B1276" s="2381" t="s">
        <v>948</v>
      </c>
      <c r="C1276" s="2384" t="s">
        <v>258</v>
      </c>
      <c r="D1276" s="2385" t="s">
        <v>121</v>
      </c>
      <c r="E1276" s="2374" t="s">
        <v>269</v>
      </c>
      <c r="F1276" s="2374"/>
      <c r="G1276" s="2373" t="str">
        <f t="shared" ca="1" si="76"/>
        <v/>
      </c>
      <c r="H1276" s="2375" t="s">
        <v>3971</v>
      </c>
      <c r="I1276" s="4"/>
      <c r="J1276" s="230"/>
      <c r="K1276" s="85"/>
      <c r="L1276" s="1128" t="s">
        <v>5113</v>
      </c>
      <c r="M1276" s="1015">
        <f>IFERROR(INDEX({14,8,7,5,4,4,2,2},BF886),0)</f>
        <v>0</v>
      </c>
      <c r="N1276" s="1042"/>
      <c r="O1276" s="1093"/>
      <c r="P1276" s="1090"/>
      <c r="Q1276" s="1090"/>
      <c r="R1276" s="1090"/>
      <c r="S1276" s="1090"/>
      <c r="T1276" s="1090"/>
      <c r="U1276" s="1090"/>
      <c r="V1276" s="1090"/>
      <c r="X1276" s="1757"/>
      <c r="Y1276" s="2081"/>
      <c r="Z1276" s="2083"/>
      <c r="AA1276" s="1526"/>
      <c r="AC1276" s="1090"/>
      <c r="AD1276" s="1090"/>
      <c r="AE1276" s="970"/>
      <c r="AL1276" s="254" t="str">
        <f t="shared" si="77"/>
        <v>vpa703_5_1_2_a_4</v>
      </c>
      <c r="AM1276" s="254">
        <f t="shared" si="78"/>
        <v>0</v>
      </c>
      <c r="AN1276" s="1336"/>
      <c r="AO1276" s="1336"/>
      <c r="AP1276" s="1336"/>
      <c r="AQ1276" s="1336"/>
      <c r="AR1276" s="1336"/>
      <c r="AS1276" s="1336"/>
    </row>
    <row r="1277" spans="1:61" s="868" customFormat="1" x14ac:dyDescent="0.25">
      <c r="A1277" s="2371">
        <v>7</v>
      </c>
      <c r="B1277" s="2381" t="s">
        <v>948</v>
      </c>
      <c r="C1277" s="2384" t="s">
        <v>258</v>
      </c>
      <c r="D1277" s="2385" t="s">
        <v>121</v>
      </c>
      <c r="E1277" s="2374" t="s">
        <v>275</v>
      </c>
      <c r="F1277" s="2374"/>
      <c r="G1277" s="2373" t="str">
        <f t="shared" ca="1" si="76"/>
        <v/>
      </c>
      <c r="H1277" s="2375" t="s">
        <v>3971</v>
      </c>
      <c r="I1277" s="4"/>
      <c r="J1277" s="230"/>
      <c r="K1277" s="85"/>
      <c r="L1277" s="1128" t="s">
        <v>5114</v>
      </c>
      <c r="M1277" s="1015">
        <f>IFERROR(INDEX({17,9,8,6,5,4,3,3},BF886),0)</f>
        <v>0</v>
      </c>
      <c r="N1277" s="1042"/>
      <c r="O1277" s="1093"/>
      <c r="P1277" s="1090"/>
      <c r="Q1277" s="1090"/>
      <c r="R1277" s="1090"/>
      <c r="S1277" s="1090"/>
      <c r="T1277" s="1090"/>
      <c r="U1277" s="1090"/>
      <c r="V1277" s="1090"/>
      <c r="X1277" s="1757"/>
      <c r="Y1277" s="2081"/>
      <c r="Z1277" s="2083"/>
      <c r="AA1277" s="1526"/>
      <c r="AC1277" s="1090"/>
      <c r="AD1277" s="1090"/>
      <c r="AE1277" s="970"/>
      <c r="AL1277" s="254" t="str">
        <f t="shared" si="77"/>
        <v>vpa703_5_1_2_a_5</v>
      </c>
      <c r="AM1277" s="254">
        <f t="shared" si="78"/>
        <v>0</v>
      </c>
      <c r="AN1277" s="1336"/>
      <c r="AO1277" s="1336"/>
      <c r="AP1277" s="1336"/>
      <c r="AQ1277" s="1336"/>
      <c r="AR1277" s="1336"/>
      <c r="AS1277" s="1336"/>
    </row>
    <row r="1278" spans="1:61" s="868" customFormat="1" x14ac:dyDescent="0.25">
      <c r="A1278" s="2371">
        <v>7</v>
      </c>
      <c r="B1278" s="2381" t="s">
        <v>948</v>
      </c>
      <c r="C1278" s="2384" t="s">
        <v>258</v>
      </c>
      <c r="D1278" s="2385" t="s">
        <v>121</v>
      </c>
      <c r="E1278" s="2374" t="s">
        <v>277</v>
      </c>
      <c r="F1278" s="2374"/>
      <c r="G1278" s="2373" t="str">
        <f t="shared" ca="1" si="76"/>
        <v/>
      </c>
      <c r="H1278" s="2375" t="s">
        <v>3971</v>
      </c>
      <c r="I1278" s="4"/>
      <c r="J1278" s="230"/>
      <c r="K1278" s="85"/>
      <c r="L1278" s="1342" t="s">
        <v>5115</v>
      </c>
      <c r="M1278" s="1015">
        <f>IFERROR(INDEX({18,12,10,8,6,6,3,3},BF886),0)</f>
        <v>0</v>
      </c>
      <c r="N1278" s="1042"/>
      <c r="O1278" s="1093"/>
      <c r="P1278" s="1090"/>
      <c r="Q1278" s="1090"/>
      <c r="R1278" s="1090"/>
      <c r="S1278" s="1090"/>
      <c r="T1278" s="1090"/>
      <c r="U1278" s="1090"/>
      <c r="V1278" s="1090"/>
      <c r="X1278" s="1757"/>
      <c r="Y1278" s="2081"/>
      <c r="Z1278" s="2083"/>
      <c r="AA1278" s="1526"/>
      <c r="AC1278" s="1090"/>
      <c r="AD1278" s="1090"/>
      <c r="AE1278" s="970"/>
      <c r="AL1278" s="254" t="str">
        <f t="shared" si="77"/>
        <v>vpa703_5_1_2_a_6</v>
      </c>
      <c r="AM1278" s="254">
        <f t="shared" si="78"/>
        <v>0</v>
      </c>
      <c r="AN1278" s="1336"/>
      <c r="AO1278" s="1336"/>
      <c r="AP1278" s="1336"/>
      <c r="AQ1278" s="1336"/>
      <c r="AR1278" s="1336"/>
      <c r="AS1278" s="1336"/>
    </row>
    <row r="1279" spans="1:61" s="868" customFormat="1" x14ac:dyDescent="0.25">
      <c r="A1279" s="2371">
        <v>7</v>
      </c>
      <c r="B1279" s="2381" t="s">
        <v>948</v>
      </c>
      <c r="C1279" s="2384" t="s">
        <v>258</v>
      </c>
      <c r="D1279" s="2385" t="s">
        <v>121</v>
      </c>
      <c r="E1279" s="2374" t="s">
        <v>383</v>
      </c>
      <c r="F1279" s="2374"/>
      <c r="G1279" s="2373" t="str">
        <f t="shared" ca="1" si="76"/>
        <v/>
      </c>
      <c r="H1279" s="2375" t="s">
        <v>3971</v>
      </c>
      <c r="I1279" s="4"/>
      <c r="J1279" s="230"/>
      <c r="K1279" s="216"/>
      <c r="L1279" s="175" t="s">
        <v>5116</v>
      </c>
      <c r="M1279" s="1015">
        <f>IFERROR(INDEX({22,16,13,11,8,8,4,3},BF886),0)</f>
        <v>0</v>
      </c>
      <c r="N1279" s="1047"/>
      <c r="O1279" s="1092"/>
      <c r="P1279" s="1090"/>
      <c r="Q1279" s="1090"/>
      <c r="R1279" s="1090"/>
      <c r="S1279" s="1090"/>
      <c r="T1279" s="1090"/>
      <c r="U1279" s="1090"/>
      <c r="V1279" s="1090"/>
      <c r="X1279" s="1757"/>
      <c r="Y1279" s="2081"/>
      <c r="Z1279" s="2083"/>
      <c r="AA1279" s="1526"/>
      <c r="AC1279" s="1090"/>
      <c r="AD1279" s="1090"/>
      <c r="AE1279" s="970"/>
      <c r="AL1279" s="254" t="str">
        <f t="shared" si="77"/>
        <v>vpa703_5_1_2_a_7</v>
      </c>
      <c r="AM1279" s="254">
        <f t="shared" si="78"/>
        <v>0</v>
      </c>
      <c r="AN1279" s="1336"/>
      <c r="AO1279" s="1336"/>
      <c r="AP1279" s="1336"/>
      <c r="AQ1279" s="1336"/>
      <c r="AR1279" s="1336"/>
      <c r="AS1279" s="1336"/>
    </row>
    <row r="1280" spans="1:61" s="868" customFormat="1" ht="15" customHeight="1" x14ac:dyDescent="0.25">
      <c r="A1280" s="2371">
        <v>7</v>
      </c>
      <c r="B1280" s="2381" t="s">
        <v>948</v>
      </c>
      <c r="C1280" s="2384" t="s">
        <v>258</v>
      </c>
      <c r="D1280" s="2385" t="s">
        <v>122</v>
      </c>
      <c r="E1280" s="2374"/>
      <c r="F1280" s="2374"/>
      <c r="G1280" s="2373" t="str">
        <f ca="1">IF(N1280&gt;0,"P","")</f>
        <v/>
      </c>
      <c r="H1280" s="2371" t="s">
        <v>3971</v>
      </c>
      <c r="I1280" s="4"/>
      <c r="J1280" s="230"/>
      <c r="K1280" s="667" t="s">
        <v>122</v>
      </c>
      <c r="L1280" s="1787" t="s">
        <v>4306</v>
      </c>
      <c r="M1280" s="1014"/>
      <c r="N1280" s="2079">
        <f ca="1">'Ch7'!O410</f>
        <v>0</v>
      </c>
      <c r="O1280" s="1763">
        <f ca="1">IFERROR(INDEX(M1282:M1285,MATCH(W1272,{2.2,2.5,3,3.5},1))*AND(S1270,MATCH(W1270,INDIRECT(U1270),0)=2),0)</f>
        <v>0</v>
      </c>
      <c r="P1280" s="1090"/>
      <c r="Q1280" s="1090"/>
      <c r="R1280" s="1090"/>
      <c r="S1280" s="1090"/>
      <c r="T1280" s="1090"/>
      <c r="U1280" s="1090"/>
      <c r="V1280" s="1090"/>
      <c r="X1280" s="1757"/>
      <c r="Y1280" s="2081"/>
      <c r="Z1280" s="2083"/>
      <c r="AA1280" s="1526"/>
      <c r="AC1280" s="1090"/>
      <c r="AD1280" s="1090"/>
      <c r="AE1280" s="970"/>
      <c r="AL1280" s="1336"/>
      <c r="AM1280" s="1336"/>
      <c r="AN1280" s="254" t="str">
        <f>SUBSTITUTE(SUBSTITUTE(SUBSTITUTE("vpc"&amp;$B1280&amp;$C1280&amp;$D1280&amp;$E1280,".","_"),"(","_"),")","")</f>
        <v>vpc703_5_1_2_b</v>
      </c>
      <c r="AO1280" s="254">
        <f ca="1">O1280</f>
        <v>0</v>
      </c>
      <c r="AP1280" s="1336"/>
      <c r="AQ1280" s="1336"/>
      <c r="AR1280" s="1336"/>
      <c r="AS1280" s="1336"/>
    </row>
    <row r="1281" spans="1:61" s="868" customFormat="1" x14ac:dyDescent="0.25">
      <c r="A1281" s="2371">
        <v>7</v>
      </c>
      <c r="B1281" s="2381" t="s">
        <v>948</v>
      </c>
      <c r="C1281" s="2384" t="s">
        <v>258</v>
      </c>
      <c r="D1281" s="2385" t="s">
        <v>122</v>
      </c>
      <c r="E1281" s="2374"/>
      <c r="F1281" s="2374"/>
      <c r="G1281" s="2373" t="str">
        <f ca="1">G1280</f>
        <v/>
      </c>
      <c r="H1281" s="2375" t="s">
        <v>3971</v>
      </c>
      <c r="I1281" s="4"/>
      <c r="J1281" s="230"/>
      <c r="K1281" s="667"/>
      <c r="L1281" s="1787"/>
      <c r="M1281" s="1014"/>
      <c r="N1281" s="2075"/>
      <c r="O1281" s="1780"/>
      <c r="P1281" s="1090"/>
      <c r="Q1281" s="1090"/>
      <c r="R1281" s="1090"/>
      <c r="S1281" s="1090"/>
      <c r="T1281" s="1090"/>
      <c r="U1281" s="1090"/>
      <c r="V1281" s="1090"/>
      <c r="X1281" s="1757"/>
      <c r="Y1281" s="2081"/>
      <c r="Z1281" s="2083"/>
      <c r="AA1281" s="1526"/>
      <c r="AC1281" s="1090"/>
      <c r="AD1281" s="1090"/>
      <c r="AE1281" s="970"/>
      <c r="AL1281" s="1336"/>
      <c r="AM1281" s="1336"/>
      <c r="AN1281" s="1336"/>
      <c r="AO1281" s="1336"/>
      <c r="AP1281" s="1336"/>
      <c r="AQ1281" s="1336"/>
      <c r="AR1281" s="1336"/>
      <c r="AS1281" s="1336"/>
    </row>
    <row r="1282" spans="1:61" s="868" customFormat="1" x14ac:dyDescent="0.25">
      <c r="A1282" s="2371">
        <v>7</v>
      </c>
      <c r="B1282" s="2381" t="s">
        <v>948</v>
      </c>
      <c r="C1282" s="2384" t="s">
        <v>258</v>
      </c>
      <c r="D1282" s="2385" t="s">
        <v>122</v>
      </c>
      <c r="E1282" s="2374" t="s">
        <v>256</v>
      </c>
      <c r="F1282" s="2374"/>
      <c r="G1282" s="2373" t="str">
        <f ca="1">G1281</f>
        <v/>
      </c>
      <c r="H1282" s="2375" t="s">
        <v>3971</v>
      </c>
      <c r="I1282" s="4"/>
      <c r="J1282" s="230"/>
      <c r="K1282" s="85"/>
      <c r="L1282" s="1128" t="s">
        <v>5114</v>
      </c>
      <c r="M1282" s="1015">
        <f>IFERROR(INDEX({6,4,3,3,2,2,1,1},BF886),0)</f>
        <v>0</v>
      </c>
      <c r="N1282" s="1042"/>
      <c r="O1282" s="1093"/>
      <c r="P1282" s="1090"/>
      <c r="Q1282" s="1090"/>
      <c r="R1282" s="1090"/>
      <c r="S1282" s="1090"/>
      <c r="T1282" s="1090"/>
      <c r="U1282" s="1090"/>
      <c r="V1282" s="1090"/>
      <c r="X1282" s="1757"/>
      <c r="Y1282" s="2081"/>
      <c r="Z1282" s="2083"/>
      <c r="AA1282" s="1526"/>
      <c r="AC1282" s="1090"/>
      <c r="AD1282" s="1090"/>
      <c r="AE1282" s="970"/>
      <c r="AL1282" s="254" t="str">
        <f>SUBSTITUTE(SUBSTITUTE(SUBSTITUTE("vpa"&amp;$B1282&amp;$C1282&amp;$D1282&amp;$E1282,".","_"),"(","_"),")","")</f>
        <v>vpa703_5_1_2_b_1</v>
      </c>
      <c r="AM1282" s="254">
        <f>M1282</f>
        <v>0</v>
      </c>
      <c r="AN1282" s="1336"/>
      <c r="AO1282" s="1336"/>
      <c r="AP1282" s="1336"/>
      <c r="AQ1282" s="1336"/>
      <c r="AR1282" s="1336"/>
      <c r="AS1282" s="1336"/>
    </row>
    <row r="1283" spans="1:61" s="868" customFormat="1" x14ac:dyDescent="0.25">
      <c r="A1283" s="2371">
        <v>7</v>
      </c>
      <c r="B1283" s="2381" t="s">
        <v>948</v>
      </c>
      <c r="C1283" s="2384" t="s">
        <v>258</v>
      </c>
      <c r="D1283" s="2385" t="s">
        <v>122</v>
      </c>
      <c r="E1283" s="2374" t="s">
        <v>258</v>
      </c>
      <c r="F1283" s="2374"/>
      <c r="G1283" s="2373" t="str">
        <f ca="1">G1282</f>
        <v/>
      </c>
      <c r="H1283" s="2375" t="s">
        <v>3971</v>
      </c>
      <c r="I1283" s="4"/>
      <c r="J1283" s="230"/>
      <c r="K1283" s="667"/>
      <c r="L1283" s="1128" t="s">
        <v>5115</v>
      </c>
      <c r="M1283" s="1015">
        <f>IFERROR(INDEX({7,5,4,3,3,3,2,2},BF886),0)</f>
        <v>0</v>
      </c>
      <c r="N1283" s="1042"/>
      <c r="O1283" s="1093"/>
      <c r="P1283" s="1090"/>
      <c r="Q1283" s="1090"/>
      <c r="R1283" s="1090"/>
      <c r="S1283" s="1090"/>
      <c r="T1283" s="1090"/>
      <c r="U1283" s="1090"/>
      <c r="V1283" s="1090"/>
      <c r="X1283" s="1757"/>
      <c r="Y1283" s="2081"/>
      <c r="Z1283" s="2083"/>
      <c r="AA1283" s="1526"/>
      <c r="AC1283" s="1090"/>
      <c r="AD1283" s="1090"/>
      <c r="AE1283" s="970"/>
      <c r="AL1283" s="254" t="str">
        <f>SUBSTITUTE(SUBSTITUTE(SUBSTITUTE("vpa"&amp;$B1283&amp;$C1283&amp;$D1283&amp;$E1283,".","_"),"(","_"),")","")</f>
        <v>vpa703_5_1_2_b_2</v>
      </c>
      <c r="AM1283" s="254">
        <f>M1283</f>
        <v>0</v>
      </c>
      <c r="AN1283" s="1336"/>
      <c r="AO1283" s="1336"/>
      <c r="AP1283" s="1336"/>
      <c r="AQ1283" s="1336"/>
      <c r="AR1283" s="1336"/>
      <c r="AS1283" s="1336"/>
    </row>
    <row r="1284" spans="1:61" s="868" customFormat="1" x14ac:dyDescent="0.25">
      <c r="A1284" s="2371">
        <v>7</v>
      </c>
      <c r="B1284" s="2381" t="s">
        <v>948</v>
      </c>
      <c r="C1284" s="2384" t="s">
        <v>258</v>
      </c>
      <c r="D1284" s="2385" t="s">
        <v>122</v>
      </c>
      <c r="E1284" s="2374" t="s">
        <v>260</v>
      </c>
      <c r="F1284" s="2374"/>
      <c r="G1284" s="2373" t="str">
        <f ca="1">G1283</f>
        <v/>
      </c>
      <c r="H1284" s="2375" t="s">
        <v>3971</v>
      </c>
      <c r="I1284" s="4"/>
      <c r="J1284" s="230"/>
      <c r="K1284" s="139"/>
      <c r="L1284" s="1342" t="s">
        <v>5117</v>
      </c>
      <c r="M1284" s="1015">
        <f>IFERROR(INDEX({8,5,5,4,3,3,3,2},BF886),0)</f>
        <v>0</v>
      </c>
      <c r="N1284" s="1042"/>
      <c r="O1284" s="1093"/>
      <c r="P1284" s="1090"/>
      <c r="Q1284" s="1090"/>
      <c r="R1284" s="1090"/>
      <c r="S1284" s="1090"/>
      <c r="T1284" s="1090"/>
      <c r="U1284" s="1090"/>
      <c r="V1284" s="1090"/>
      <c r="X1284" s="1757"/>
      <c r="Y1284" s="2081"/>
      <c r="Z1284" s="2083"/>
      <c r="AA1284" s="1526"/>
      <c r="AC1284" s="1090"/>
      <c r="AD1284" s="1090"/>
      <c r="AE1284" s="970"/>
      <c r="AL1284" s="254" t="str">
        <f>SUBSTITUTE(SUBSTITUTE(SUBSTITUTE("vpa"&amp;$B1284&amp;$C1284&amp;$D1284&amp;$E1284,".","_"),"(","_"),")","")</f>
        <v>vpa703_5_1_2_b_3</v>
      </c>
      <c r="AM1284" s="254">
        <f>M1284</f>
        <v>0</v>
      </c>
      <c r="AN1284" s="1336"/>
      <c r="AO1284" s="1336"/>
      <c r="AP1284" s="1336"/>
      <c r="AQ1284" s="1336"/>
      <c r="AR1284" s="1336"/>
      <c r="AS1284" s="1336"/>
    </row>
    <row r="1285" spans="1:61" s="868" customFormat="1" x14ac:dyDescent="0.25">
      <c r="A1285" s="2371">
        <v>7</v>
      </c>
      <c r="B1285" s="2381" t="s">
        <v>948</v>
      </c>
      <c r="C1285" s="2384" t="s">
        <v>258</v>
      </c>
      <c r="D1285" s="2385" t="s">
        <v>122</v>
      </c>
      <c r="E1285" s="2374" t="s">
        <v>269</v>
      </c>
      <c r="F1285" s="2374"/>
      <c r="G1285" s="2373" t="str">
        <f ca="1">G1284</f>
        <v/>
      </c>
      <c r="H1285" s="2375" t="s">
        <v>3971</v>
      </c>
      <c r="I1285" s="4"/>
      <c r="J1285" s="230"/>
      <c r="K1285" s="216"/>
      <c r="L1285" s="175" t="s">
        <v>5118</v>
      </c>
      <c r="M1285" s="1015">
        <f>IFERROR(INDEX({9,6,6,5,4,4,3,2},BF886),0)</f>
        <v>0</v>
      </c>
      <c r="N1285" s="1047"/>
      <c r="O1285" s="1092"/>
      <c r="P1285" s="1090"/>
      <c r="Q1285" s="1090"/>
      <c r="R1285" s="1090"/>
      <c r="S1285" s="1090"/>
      <c r="T1285" s="1090"/>
      <c r="U1285" s="1090"/>
      <c r="V1285" s="1090"/>
      <c r="X1285" s="1757"/>
      <c r="Y1285" s="2081"/>
      <c r="Z1285" s="2083"/>
      <c r="AA1285" s="1526"/>
      <c r="AC1285" s="1090"/>
      <c r="AD1285" s="1090"/>
      <c r="AE1285" s="970"/>
      <c r="AL1285" s="254" t="str">
        <f>SUBSTITUTE(SUBSTITUTE(SUBSTITUTE("vpa"&amp;$B1285&amp;$C1285&amp;$D1285&amp;$E1285,".","_"),"(","_"),")","")</f>
        <v>vpa703_5_1_2_b_4</v>
      </c>
      <c r="AM1285" s="254">
        <f>M1285</f>
        <v>0</v>
      </c>
      <c r="AN1285" s="1336"/>
      <c r="AO1285" s="1336"/>
      <c r="AP1285" s="1336"/>
      <c r="AQ1285" s="1336"/>
      <c r="AR1285" s="1336"/>
      <c r="AS1285" s="1336"/>
    </row>
    <row r="1286" spans="1:61" s="868" customFormat="1" x14ac:dyDescent="0.25">
      <c r="A1286" s="2371">
        <v>7</v>
      </c>
      <c r="B1286" s="2381" t="s">
        <v>948</v>
      </c>
      <c r="C1286" s="2384" t="s">
        <v>258</v>
      </c>
      <c r="D1286" s="2385" t="s">
        <v>123</v>
      </c>
      <c r="E1286" s="2374"/>
      <c r="F1286" s="2374"/>
      <c r="G1286" s="2373" t="str">
        <f ca="1">IF(N1286&gt;0,"P","")</f>
        <v/>
      </c>
      <c r="H1286" s="2371" t="s">
        <v>3971</v>
      </c>
      <c r="I1286" s="4"/>
      <c r="J1286" s="230"/>
      <c r="K1286" s="668" t="s">
        <v>123</v>
      </c>
      <c r="L1286" s="1765" t="s">
        <v>4309</v>
      </c>
      <c r="M1286" s="1758">
        <v>1</v>
      </c>
      <c r="N1286" s="1927">
        <f ca="1">'Ch7'!O416</f>
        <v>0</v>
      </c>
      <c r="O1286" s="1774">
        <f ca="1">IFERROR(M1286*AND(S1270,MATCH(W1270,INDIRECT(U1270),0)=3,W1272&gt;=0.91),0)</f>
        <v>0</v>
      </c>
      <c r="P1286" s="1090"/>
      <c r="Q1286" s="1090"/>
      <c r="R1286" s="1090"/>
      <c r="S1286" s="1090"/>
      <c r="T1286" s="1090"/>
      <c r="U1286" s="1090"/>
      <c r="V1286" s="1090"/>
      <c r="X1286" s="1757"/>
      <c r="Y1286" s="2081"/>
      <c r="Z1286" s="2083"/>
      <c r="AA1286" s="1526"/>
      <c r="AC1286" s="1090"/>
      <c r="AD1286" s="1090"/>
      <c r="AE1286" s="970"/>
      <c r="AL1286" s="254" t="str">
        <f>SUBSTITUTE(SUBSTITUTE(SUBSTITUTE("vpa"&amp;$B1286&amp;$C1286&amp;$D1286&amp;$E1286,".","_"),"(","_"),")","")</f>
        <v>vpa703_5_1_2_c</v>
      </c>
      <c r="AM1286" s="254">
        <f>M1286</f>
        <v>1</v>
      </c>
      <c r="AN1286" s="254" t="str">
        <f>SUBSTITUTE(SUBSTITUTE(SUBSTITUTE("vpc"&amp;$B1286&amp;$C1286&amp;$D1286&amp;$E1286,".","_"),"(","_"),")","")</f>
        <v>vpc703_5_1_2_c</v>
      </c>
      <c r="AO1286" s="254">
        <f ca="1">O1286</f>
        <v>0</v>
      </c>
      <c r="AP1286" s="1336"/>
      <c r="AQ1286" s="1336"/>
      <c r="AR1286" s="1336"/>
      <c r="AS1286" s="1336"/>
    </row>
    <row r="1287" spans="1:61" s="868" customFormat="1" x14ac:dyDescent="0.25">
      <c r="A1287" s="2371">
        <v>7</v>
      </c>
      <c r="B1287" s="2381" t="s">
        <v>948</v>
      </c>
      <c r="C1287" s="2384" t="s">
        <v>258</v>
      </c>
      <c r="D1287" s="2385" t="s">
        <v>123</v>
      </c>
      <c r="E1287" s="2374"/>
      <c r="F1287" s="2374"/>
      <c r="G1287" s="2373" t="str">
        <f ca="1">G1286</f>
        <v/>
      </c>
      <c r="H1287" s="2375" t="s">
        <v>3971</v>
      </c>
      <c r="I1287" s="4"/>
      <c r="J1287" s="230"/>
      <c r="K1287" s="684"/>
      <c r="L1287" s="1786"/>
      <c r="M1287" s="1759"/>
      <c r="N1287" s="2076"/>
      <c r="O1287" s="1764"/>
      <c r="P1287" s="1090"/>
      <c r="Q1287" s="1090"/>
      <c r="R1287" s="1090"/>
      <c r="S1287" s="1090"/>
      <c r="T1287" s="1090"/>
      <c r="U1287" s="1090"/>
      <c r="V1287" s="1090"/>
      <c r="X1287" s="1757"/>
      <c r="Y1287" s="2081"/>
      <c r="Z1287" s="2083"/>
      <c r="AA1287" s="1526"/>
      <c r="AC1287" s="1090"/>
      <c r="AD1287" s="1090"/>
      <c r="AE1287" s="970"/>
      <c r="AL1287" s="1336"/>
      <c r="AM1287" s="1336"/>
      <c r="AN1287" s="1336"/>
      <c r="AO1287" s="1336"/>
      <c r="AP1287" s="1336"/>
      <c r="AQ1287" s="1336"/>
      <c r="AR1287" s="1336"/>
      <c r="AS1287" s="1336"/>
    </row>
    <row r="1288" spans="1:61" x14ac:dyDescent="0.25">
      <c r="A1288" s="2371">
        <v>7</v>
      </c>
      <c r="B1288" s="2381" t="s">
        <v>948</v>
      </c>
      <c r="C1288" s="2384" t="s">
        <v>258</v>
      </c>
      <c r="D1288" s="2385" t="s">
        <v>401</v>
      </c>
      <c r="E1288" s="2374"/>
      <c r="F1288" s="2374"/>
      <c r="G1288" s="2373" t="str">
        <f ca="1">IF(N1288&gt;0,"P","")</f>
        <v/>
      </c>
      <c r="H1288" s="2371" t="s">
        <v>3971</v>
      </c>
      <c r="I1288" s="4"/>
      <c r="J1288" s="230"/>
      <c r="K1288" s="668" t="s">
        <v>401</v>
      </c>
      <c r="L1288" s="1765" t="s">
        <v>4310</v>
      </c>
      <c r="M1288" s="1758">
        <v>1</v>
      </c>
      <c r="N1288" s="1927">
        <f ca="1">'Ch7'!O418</f>
        <v>0</v>
      </c>
      <c r="O1288" s="1774">
        <f ca="1">IFERROR(M1288*AND(S1270,MATCH(W1270,INDIRECT(U1270),0)=4,W1272&gt;=0.97),0)</f>
        <v>0</v>
      </c>
      <c r="P1288" s="1090"/>
      <c r="Q1288" s="1090"/>
      <c r="R1288" s="1090"/>
      <c r="S1288" s="1090"/>
      <c r="T1288" s="1090"/>
      <c r="U1288" s="1090"/>
      <c r="V1288" s="1090"/>
      <c r="W1288" s="634"/>
      <c r="X1288" s="1757"/>
      <c r="Y1288" s="2081"/>
      <c r="Z1288" s="2083"/>
      <c r="AA1288" s="1526"/>
      <c r="AB1288" s="634"/>
      <c r="AC1288" s="1090"/>
      <c r="AD1288" s="1090"/>
      <c r="AE1288" s="970"/>
      <c r="AF1288" s="634"/>
      <c r="AG1288" s="634"/>
      <c r="AH1288" s="634"/>
      <c r="AI1288" s="634"/>
      <c r="AJ1288" s="634"/>
      <c r="AK1288" s="634"/>
      <c r="AL1288" s="254" t="str">
        <f>SUBSTITUTE(SUBSTITUTE(SUBSTITUTE("vpa"&amp;$B1288&amp;$C1288&amp;$D1288&amp;$E1288,".","_"),"(","_"),")","")</f>
        <v>vpa703_5_1_2_d</v>
      </c>
      <c r="AM1288" s="254">
        <f>M1288</f>
        <v>1</v>
      </c>
      <c r="AN1288" s="254" t="str">
        <f>SUBSTITUTE(SUBSTITUTE(SUBSTITUTE("vpc"&amp;$B1288&amp;$C1288&amp;$D1288&amp;$E1288,".","_"),"(","_"),")","")</f>
        <v>vpc703_5_1_2_d</v>
      </c>
      <c r="AO1288" s="254">
        <f ca="1">O1288</f>
        <v>0</v>
      </c>
      <c r="AP1288" s="1336"/>
      <c r="AQ1288" s="1336"/>
      <c r="AR1288" s="1336"/>
      <c r="AS1288" s="1336"/>
      <c r="AT1288" s="634"/>
      <c r="AU1288" s="634"/>
      <c r="AV1288" s="634"/>
      <c r="AW1288" s="634"/>
      <c r="AX1288" s="634"/>
      <c r="AY1288" s="634"/>
      <c r="AZ1288" s="634"/>
      <c r="BA1288" s="634"/>
      <c r="BB1288" s="634"/>
      <c r="BC1288" s="634"/>
      <c r="BD1288" s="634"/>
      <c r="BE1288" s="634"/>
      <c r="BF1288" s="634"/>
      <c r="BG1288" s="634"/>
      <c r="BH1288" s="634"/>
      <c r="BI1288" s="634"/>
    </row>
    <row r="1289" spans="1:61" s="868" customFormat="1" x14ac:dyDescent="0.25">
      <c r="A1289" s="2371">
        <v>7</v>
      </c>
      <c r="B1289" s="2381" t="s">
        <v>948</v>
      </c>
      <c r="C1289" s="2384" t="s">
        <v>258</v>
      </c>
      <c r="D1289" s="2385" t="s">
        <v>401</v>
      </c>
      <c r="E1289" s="2374"/>
      <c r="F1289" s="2374"/>
      <c r="G1289" s="2373" t="str">
        <f ca="1">G1288</f>
        <v/>
      </c>
      <c r="H1289" s="2375" t="s">
        <v>3971</v>
      </c>
      <c r="I1289" s="4"/>
      <c r="J1289" s="230"/>
      <c r="K1289" s="684"/>
      <c r="L1289" s="1786"/>
      <c r="M1289" s="1759"/>
      <c r="N1289" s="2076"/>
      <c r="O1289" s="1764"/>
      <c r="P1289" s="1090"/>
      <c r="Q1289" s="1090"/>
      <c r="R1289" s="1090"/>
      <c r="S1289" s="1090"/>
      <c r="T1289" s="1090"/>
      <c r="U1289" s="1090"/>
      <c r="V1289" s="1090"/>
      <c r="X1289" s="1757"/>
      <c r="Y1289" s="2081"/>
      <c r="Z1289" s="2083"/>
      <c r="AA1289" s="1526"/>
      <c r="AC1289" s="1090"/>
      <c r="AD1289" s="1090"/>
      <c r="AE1289" s="970"/>
      <c r="AL1289" s="254"/>
      <c r="AM1289" s="254"/>
      <c r="AN1289" s="254"/>
      <c r="AO1289" s="254"/>
      <c r="AP1289" s="1336"/>
      <c r="AQ1289" s="1336"/>
      <c r="AR1289" s="1336"/>
      <c r="AS1289" s="1336"/>
    </row>
    <row r="1290" spans="1:61" s="868" customFormat="1" x14ac:dyDescent="0.25">
      <c r="A1290" s="2371">
        <v>7</v>
      </c>
      <c r="B1290" s="2381" t="s">
        <v>948</v>
      </c>
      <c r="C1290" s="2384" t="s">
        <v>258</v>
      </c>
      <c r="D1290" s="2385" t="s">
        <v>539</v>
      </c>
      <c r="E1290" s="2374"/>
      <c r="F1290" s="2374"/>
      <c r="G1290" s="2373" t="str">
        <f ca="1">IF(N1290&gt;0,"P","")</f>
        <v/>
      </c>
      <c r="H1290" s="2371" t="s">
        <v>3971</v>
      </c>
      <c r="I1290" s="4"/>
      <c r="J1290" s="929"/>
      <c r="K1290" s="667" t="s">
        <v>539</v>
      </c>
      <c r="L1290" s="1787" t="s">
        <v>4311</v>
      </c>
      <c r="M1290" s="1758">
        <v>2</v>
      </c>
      <c r="N1290" s="2075">
        <f ca="1">'Ch7'!O420</f>
        <v>0</v>
      </c>
      <c r="O1290" s="1774">
        <f ca="1">IFERROR(M1290*AND(S1270,MATCH(W1270,INDIRECT(U1270),0)=5,W1272&gt;=0.95),0)</f>
        <v>0</v>
      </c>
      <c r="P1290" s="1090"/>
      <c r="Q1290" s="1090"/>
      <c r="R1290" s="1090"/>
      <c r="S1290" s="1090"/>
      <c r="T1290" s="1090"/>
      <c r="U1290" s="1090"/>
      <c r="V1290" s="1090"/>
      <c r="X1290" s="1757"/>
      <c r="Y1290" s="2081"/>
      <c r="Z1290" s="2083"/>
      <c r="AA1290" s="1526"/>
      <c r="AC1290" s="1090"/>
      <c r="AD1290" s="1090"/>
      <c r="AE1290" s="970"/>
      <c r="AL1290" s="254" t="str">
        <f>SUBSTITUTE(SUBSTITUTE(SUBSTITUTE("vpa"&amp;$B1290&amp;$C1290&amp;$D1290&amp;$E1290,".","_"),"(","_"),")","")</f>
        <v>vpa703_5_1_2_e</v>
      </c>
      <c r="AM1290" s="254">
        <f>M1290</f>
        <v>2</v>
      </c>
      <c r="AN1290" s="254" t="str">
        <f>SUBSTITUTE(SUBSTITUTE(SUBSTITUTE("vpc"&amp;$B1290&amp;$C1290&amp;$D1290&amp;$E1290,".","_"),"(","_"),")","")</f>
        <v>vpc703_5_1_2_e</v>
      </c>
      <c r="AO1290" s="254">
        <f ca="1">O1290</f>
        <v>0</v>
      </c>
      <c r="AP1290" s="1336"/>
      <c r="AQ1290" s="1336"/>
      <c r="AR1290" s="1336"/>
      <c r="AS1290" s="1336"/>
    </row>
    <row r="1291" spans="1:61" s="868" customFormat="1" x14ac:dyDescent="0.25">
      <c r="A1291" s="2371">
        <v>7</v>
      </c>
      <c r="B1291" s="2381" t="s">
        <v>948</v>
      </c>
      <c r="C1291" s="2384" t="s">
        <v>258</v>
      </c>
      <c r="D1291" s="2385" t="s">
        <v>539</v>
      </c>
      <c r="E1291" s="2374"/>
      <c r="F1291" s="2374"/>
      <c r="G1291" s="2373" t="str">
        <f ca="1">G1290</f>
        <v/>
      </c>
      <c r="H1291" s="2375" t="s">
        <v>3971</v>
      </c>
      <c r="I1291" s="4"/>
      <c r="J1291" s="913"/>
      <c r="K1291" s="845"/>
      <c r="L1291" s="1786"/>
      <c r="M1291" s="1759"/>
      <c r="N1291" s="2076"/>
      <c r="O1291" s="1764"/>
      <c r="P1291" s="178"/>
      <c r="Q1291" s="178"/>
      <c r="R1291" s="178"/>
      <c r="S1291" s="178"/>
      <c r="T1291" s="178"/>
      <c r="U1291" s="178"/>
      <c r="V1291" s="178"/>
      <c r="W1291" s="1090" t="s">
        <v>3635</v>
      </c>
      <c r="X1291" s="1757"/>
      <c r="Y1291" s="2081"/>
      <c r="Z1291" s="2083"/>
      <c r="AA1291" s="1526"/>
      <c r="AC1291" s="1090"/>
      <c r="AD1291" s="1090"/>
      <c r="AE1291" s="970"/>
      <c r="AL1291" s="254"/>
      <c r="AM1291" s="254"/>
      <c r="AN1291" s="254"/>
      <c r="AO1291" s="254"/>
      <c r="AP1291" s="1336"/>
      <c r="AQ1291" s="1336"/>
      <c r="AR1291" s="1336"/>
      <c r="AS1291" s="1336"/>
    </row>
    <row r="1292" spans="1:61" x14ac:dyDescent="0.25">
      <c r="A1292" s="2371">
        <v>7</v>
      </c>
      <c r="B1292" s="2385" t="s">
        <v>948</v>
      </c>
      <c r="C1292" s="2374" t="s">
        <v>260</v>
      </c>
      <c r="D1292" s="2374"/>
      <c r="E1292" s="2374"/>
      <c r="F1292" s="2374"/>
      <c r="G1292" s="2373" t="str">
        <f ca="1">IF(N1292&gt;0,"P","")</f>
        <v/>
      </c>
      <c r="H1292" s="2371" t="s">
        <v>3971</v>
      </c>
      <c r="I1292" s="210"/>
      <c r="J1292" s="550" t="s">
        <v>260</v>
      </c>
      <c r="K1292" s="280"/>
      <c r="L1292" s="858" t="s">
        <v>4312</v>
      </c>
      <c r="M1292" s="1036">
        <v>1</v>
      </c>
      <c r="N1292" s="1049">
        <f ca="1">'Ch7'!O422</f>
        <v>0</v>
      </c>
      <c r="O1292" s="1094">
        <f ca="1">M1292*AND(S1292,W1292&gt;=0.62)</f>
        <v>0</v>
      </c>
      <c r="P1292" s="178" t="b">
        <v>1</v>
      </c>
      <c r="Q1292" s="178" t="b">
        <v>1</v>
      </c>
      <c r="R1292" s="178" t="b">
        <v>0</v>
      </c>
      <c r="S1292" s="178" t="b">
        <f ca="1">AND(S883=2,LEN(W1301)=0,S1246=3)</f>
        <v>0</v>
      </c>
      <c r="T1292" s="178" t="b">
        <f ca="1">AND(NOT(S1292),LEN(W1292)&gt;0)</f>
        <v>0</v>
      </c>
      <c r="U1292" s="178"/>
      <c r="V1292" s="538"/>
      <c r="W1292" s="384"/>
      <c r="X1292" s="1757"/>
      <c r="Y1292" s="2081"/>
      <c r="Z1292" s="2083"/>
      <c r="AA1292" s="1526"/>
      <c r="AB1292" s="634"/>
      <c r="AC1292" s="1090" t="b">
        <f ca="1">OR(AD1292:AE1292)</f>
        <v>0</v>
      </c>
      <c r="AD1292" s="1090" t="b">
        <f ca="1">T1292</f>
        <v>0</v>
      </c>
      <c r="AE1292" s="970"/>
      <c r="AF1292" s="634"/>
      <c r="AG1292" s="634"/>
      <c r="AH1292" s="634"/>
      <c r="AI1292" s="634"/>
      <c r="AJ1292" s="634"/>
      <c r="AK1292" s="634"/>
      <c r="AL1292" s="254" t="str">
        <f>SUBSTITUTE(SUBSTITUTE(SUBSTITUTE("vpa"&amp;$B1292&amp;$C1292&amp;$D1292&amp;$E1292,".","_"),"(","_"),")","")</f>
        <v>vpa703_5_1_3</v>
      </c>
      <c r="AM1292" s="254">
        <f>M1292</f>
        <v>1</v>
      </c>
      <c r="AN1292" s="254" t="str">
        <f>SUBSTITUTE(SUBSTITUTE(SUBSTITUTE("vpc"&amp;$B1292&amp;$C1292&amp;$D1292&amp;$E1292,".","_"),"(","_"),")","")</f>
        <v>vpc703_5_1_3</v>
      </c>
      <c r="AO1292" s="254">
        <f ca="1">O1292</f>
        <v>0</v>
      </c>
      <c r="AP1292" s="254" t="str">
        <f>SUBSTITUTE(SUBSTITUTE(SUBSTITUTE("vch"&amp;$B1292&amp;$C1292&amp;$D1292&amp;$E1292,".","_"),"(","_"),")","")</f>
        <v>vch703_5_1_3</v>
      </c>
      <c r="AQ1292" s="254" t="str">
        <f>IF(LEN(W1292)=0,"",W1292)</f>
        <v/>
      </c>
      <c r="AR1292" s="1336"/>
      <c r="AS1292" s="1336"/>
      <c r="AT1292" s="634"/>
      <c r="AU1292" s="634"/>
      <c r="AV1292" s="634"/>
      <c r="AW1292" s="634"/>
      <c r="AX1292" s="634"/>
      <c r="AY1292" s="634"/>
      <c r="AZ1292" s="634"/>
      <c r="BA1292" s="634"/>
      <c r="BB1292" s="634"/>
      <c r="BC1292" s="634"/>
      <c r="BD1292" s="634"/>
      <c r="BE1292" s="634"/>
      <c r="BF1292" s="634"/>
      <c r="BG1292" s="634"/>
      <c r="BH1292" s="634"/>
      <c r="BI1292" s="634"/>
    </row>
    <row r="1293" spans="1:61" x14ac:dyDescent="0.25">
      <c r="A1293" s="2371">
        <v>7</v>
      </c>
      <c r="B1293" s="2385" t="s">
        <v>951</v>
      </c>
      <c r="C1293" s="2381"/>
      <c r="D1293" s="2374"/>
      <c r="E1293" s="2374"/>
      <c r="F1293" s="2374"/>
      <c r="G1293" s="2373" t="str">
        <f ca="1">IF(N1293&gt;0,"P","")</f>
        <v/>
      </c>
      <c r="H1293" s="2371" t="s">
        <v>3971</v>
      </c>
      <c r="I1293" s="510" t="s">
        <v>951</v>
      </c>
      <c r="J1293" s="636"/>
      <c r="K1293" s="636"/>
      <c r="L1293" s="1885" t="s">
        <v>952</v>
      </c>
      <c r="M1293" s="1875">
        <f>IFERROR(INDEX({23,17,9,7,5,4,2,2},BF886),0)</f>
        <v>0</v>
      </c>
      <c r="N1293" s="1927">
        <f ca="1">'Ch7'!O423</f>
        <v>0</v>
      </c>
      <c r="O1293" s="1927">
        <f ca="1">M1293*S1293*W1293</f>
        <v>0</v>
      </c>
      <c r="P1293" s="94" t="b">
        <v>1</v>
      </c>
      <c r="Q1293" s="94" t="b">
        <v>1</v>
      </c>
      <c r="R1293" s="94" t="b">
        <v>0</v>
      </c>
      <c r="S1293" s="94" t="b">
        <f ca="1">(S883=2)</f>
        <v>0</v>
      </c>
      <c r="T1293" s="94" t="b">
        <f ca="1">AND(NOT(S1293),W1293=TRUE)</f>
        <v>0</v>
      </c>
      <c r="U1293" s="94"/>
      <c r="V1293" s="94"/>
      <c r="W1293" s="25"/>
      <c r="X1293" s="1757"/>
      <c r="Y1293" s="2081" t="str">
        <f>IF(LEN('Ch7'!X423)=0,"None",'Ch7'!X423)</f>
        <v>None</v>
      </c>
      <c r="Z1293" s="2083"/>
      <c r="AA1293" s="1526"/>
      <c r="AB1293" s="634"/>
      <c r="AC1293" s="970" t="b">
        <f ca="1">OR(AD1293:AE1293)</f>
        <v>0</v>
      </c>
      <c r="AD1293" s="970" t="b">
        <f ca="1">T1293</f>
        <v>0</v>
      </c>
      <c r="AE1293" s="970"/>
      <c r="AF1293" s="784"/>
      <c r="AG1293" s="634"/>
      <c r="AH1293" s="634"/>
      <c r="AI1293" s="634"/>
      <c r="AJ1293" s="634"/>
      <c r="AK1293" s="634"/>
      <c r="AL1293" s="254" t="str">
        <f>SUBSTITUTE(SUBSTITUTE(SUBSTITUTE("vpa"&amp;$B1293&amp;$C1293&amp;$D1293&amp;$E1293,".","_"),"(","_"),")","")</f>
        <v>vpa703_5_2</v>
      </c>
      <c r="AM1293" s="254">
        <f>M1293</f>
        <v>0</v>
      </c>
      <c r="AN1293" s="254" t="str">
        <f>SUBSTITUTE(SUBSTITUTE(SUBSTITUTE("vpc"&amp;$B1293&amp;$C1293&amp;$D1293&amp;$E1293,".","_"),"(","_"),")","")</f>
        <v>vpc703_5_2</v>
      </c>
      <c r="AO1293" s="254">
        <f ca="1">O1293</f>
        <v>0</v>
      </c>
      <c r="AP1293" s="254" t="str">
        <f>SUBSTITUTE(SUBSTITUTE(SUBSTITUTE("vch"&amp;$B1293&amp;$C1293&amp;$D1293&amp;$E1293,".","_"),"(","_"),")","")</f>
        <v>vch703_5_2</v>
      </c>
      <c r="AQ1293" s="254" t="str">
        <f>IF(LEN(W1293)=0,"",W1293)</f>
        <v/>
      </c>
      <c r="AR1293" s="254" t="str">
        <f>SUBSTITUTE(SUBSTITUTE(SUBSTITUTE("vnt"&amp;$B1293&amp;$C1293&amp;$D1293&amp;$E1293,".","_"),"(","_"),")","")</f>
        <v>vnt703_5_2</v>
      </c>
      <c r="AS1293" s="254" t="str">
        <f>IF(LEN(X1293)=0,"",X1293)</f>
        <v/>
      </c>
      <c r="AT1293" s="634"/>
      <c r="AU1293" s="634"/>
      <c r="AV1293" s="634"/>
      <c r="AW1293" s="634"/>
      <c r="AX1293" s="634"/>
      <c r="AY1293" s="634"/>
      <c r="AZ1293" s="634"/>
      <c r="BA1293" s="634"/>
      <c r="BB1293" s="634"/>
      <c r="BC1293" s="634"/>
      <c r="BD1293" s="634"/>
      <c r="BE1293" s="634"/>
      <c r="BF1293" s="634"/>
      <c r="BG1293" s="634"/>
      <c r="BH1293" s="634"/>
      <c r="BI1293" s="634"/>
    </row>
    <row r="1294" spans="1:61" x14ac:dyDescent="0.25">
      <c r="A1294" s="2371">
        <v>7</v>
      </c>
      <c r="B1294" s="2385" t="s">
        <v>951</v>
      </c>
      <c r="C1294" s="2381"/>
      <c r="D1294" s="2374"/>
      <c r="E1294" s="2374"/>
      <c r="F1294" s="2374"/>
      <c r="G1294" s="2373" t="str">
        <f ca="1">G1293</f>
        <v/>
      </c>
      <c r="H1294" s="2371" t="s">
        <v>3971</v>
      </c>
      <c r="I1294" s="534"/>
      <c r="J1294" s="637"/>
      <c r="K1294" s="637"/>
      <c r="L1294" s="1886"/>
      <c r="M1294" s="1876"/>
      <c r="N1294" s="2076"/>
      <c r="O1294" s="2076"/>
      <c r="P1294" s="178"/>
      <c r="Q1294" s="178"/>
      <c r="R1294" s="178"/>
      <c r="S1294" s="178"/>
      <c r="T1294" s="178"/>
      <c r="U1294" s="178"/>
      <c r="V1294" s="178"/>
      <c r="W1294" s="538"/>
      <c r="X1294" s="1757"/>
      <c r="Y1294" s="2081"/>
      <c r="Z1294" s="2083"/>
      <c r="AA1294" s="1526"/>
      <c r="AB1294" s="634"/>
      <c r="AC1294" s="970"/>
      <c r="AD1294" s="970"/>
      <c r="AE1294" s="970"/>
      <c r="AF1294" s="634"/>
      <c r="AG1294" s="634"/>
      <c r="AH1294" s="634"/>
      <c r="AI1294" s="634"/>
      <c r="AJ1294" s="634"/>
      <c r="AK1294" s="634"/>
      <c r="AL1294" s="1336"/>
      <c r="AM1294" s="1336"/>
      <c r="AN1294" s="1336"/>
      <c r="AO1294" s="1336"/>
      <c r="AP1294" s="1336"/>
      <c r="AQ1294" s="1336"/>
      <c r="AR1294" s="1336"/>
      <c r="AS1294" s="1336"/>
      <c r="AT1294" s="634"/>
      <c r="AU1294" s="634"/>
      <c r="AV1294" s="634"/>
      <c r="AW1294" s="634"/>
      <c r="AX1294" s="634"/>
      <c r="AY1294" s="634"/>
      <c r="AZ1294" s="634"/>
      <c r="BA1294" s="634"/>
      <c r="BB1294" s="634"/>
      <c r="BC1294" s="634"/>
      <c r="BD1294" s="634"/>
      <c r="BE1294" s="634"/>
      <c r="BF1294" s="634"/>
      <c r="BG1294" s="634"/>
      <c r="BH1294" s="634"/>
      <c r="BI1294" s="634"/>
    </row>
    <row r="1295" spans="1:61" x14ac:dyDescent="0.25">
      <c r="A1295" s="2371">
        <v>7</v>
      </c>
      <c r="B1295" s="2385" t="s">
        <v>953</v>
      </c>
      <c r="C1295" s="2381"/>
      <c r="D1295" s="2374"/>
      <c r="E1295" s="2374"/>
      <c r="F1295" s="2374"/>
      <c r="G1295" s="2373" t="str">
        <f ca="1">IF(N1295&gt;0,"P","")</f>
        <v/>
      </c>
      <c r="H1295" s="2371" t="s">
        <v>3971</v>
      </c>
      <c r="I1295" s="66" t="s">
        <v>953</v>
      </c>
      <c r="J1295" s="639"/>
      <c r="K1295" s="639"/>
      <c r="L1295" s="1180" t="s">
        <v>954</v>
      </c>
      <c r="M1295" s="987">
        <v>2</v>
      </c>
      <c r="N1295" s="1042">
        <f ca="1">'Ch7'!O425</f>
        <v>0</v>
      </c>
      <c r="O1295" s="1042">
        <f ca="1">M1295*S1295*W1295</f>
        <v>0</v>
      </c>
      <c r="P1295" s="94" t="b">
        <v>1</v>
      </c>
      <c r="Q1295" s="94" t="b">
        <v>1</v>
      </c>
      <c r="R1295" s="634" t="b">
        <v>0</v>
      </c>
      <c r="S1295" s="634" t="b">
        <f ca="1">(S883=2)</f>
        <v>0</v>
      </c>
      <c r="T1295" s="94" t="b">
        <f ca="1">AND(NOT(S1295),W1295=TRUE)</f>
        <v>0</v>
      </c>
      <c r="U1295" s="634"/>
      <c r="V1295" s="634"/>
      <c r="W1295" s="25"/>
      <c r="X1295" s="1757"/>
      <c r="Y1295" s="2081" t="str">
        <f>IF(LEN('Ch7'!X425)=0,"None",'Ch7'!X425)</f>
        <v>None</v>
      </c>
      <c r="Z1295" s="2083"/>
      <c r="AA1295" s="1526"/>
      <c r="AB1295" s="634"/>
      <c r="AC1295" s="970" t="b">
        <f ca="1">OR(AD1295:AE1295)</f>
        <v>0</v>
      </c>
      <c r="AD1295" s="970" t="b">
        <f ca="1">T1295</f>
        <v>0</v>
      </c>
      <c r="AE1295" s="970"/>
      <c r="AF1295" s="784"/>
      <c r="AG1295" s="634"/>
      <c r="AH1295" s="634"/>
      <c r="AI1295" s="634"/>
      <c r="AJ1295" s="634"/>
      <c r="AK1295" s="634"/>
      <c r="AL1295" s="254" t="str">
        <f>SUBSTITUTE(SUBSTITUTE(SUBSTITUTE("vpa"&amp;$B1295&amp;$C1295&amp;$D1295&amp;$E1295,".","_"),"(","_"),")","")</f>
        <v>vpa703_5_3</v>
      </c>
      <c r="AM1295" s="254">
        <f>M1295</f>
        <v>2</v>
      </c>
      <c r="AN1295" s="254" t="str">
        <f>SUBSTITUTE(SUBSTITUTE(SUBSTITUTE("vpc"&amp;$B1295&amp;$C1295&amp;$D1295&amp;$E1295,".","_"),"(","_"),")","")</f>
        <v>vpc703_5_3</v>
      </c>
      <c r="AO1295" s="254">
        <f ca="1">O1295</f>
        <v>0</v>
      </c>
      <c r="AP1295" s="254" t="str">
        <f>SUBSTITUTE(SUBSTITUTE(SUBSTITUTE("vch"&amp;$B1295&amp;$C1295&amp;$D1295&amp;$E1295,".","_"),"(","_"),")","")</f>
        <v>vch703_5_3</v>
      </c>
      <c r="AQ1295" s="254" t="str">
        <f>IF(LEN(W1295)=0,"",W1295)</f>
        <v/>
      </c>
      <c r="AR1295" s="254" t="str">
        <f>SUBSTITUTE(SUBSTITUTE(SUBSTITUTE("vnt"&amp;$B1295&amp;$C1295&amp;$D1295&amp;$E1295,".","_"),"(","_"),")","")</f>
        <v>vnt703_5_3</v>
      </c>
      <c r="AS1295" s="254" t="str">
        <f>IF(LEN(X1295)=0,"",X1295)</f>
        <v/>
      </c>
      <c r="AT1295" s="634"/>
      <c r="AU1295" s="634"/>
      <c r="AV1295" s="634"/>
      <c r="AW1295" s="634"/>
      <c r="AX1295" s="634"/>
      <c r="AY1295" s="634"/>
      <c r="AZ1295" s="634"/>
      <c r="BA1295" s="634"/>
      <c r="BB1295" s="634"/>
      <c r="BC1295" s="634"/>
      <c r="BD1295" s="634"/>
      <c r="BE1295" s="634"/>
      <c r="BF1295" s="634"/>
      <c r="BG1295" s="634"/>
      <c r="BH1295" s="634"/>
      <c r="BI1295" s="634"/>
    </row>
    <row r="1296" spans="1:61" x14ac:dyDescent="0.25">
      <c r="A1296" s="2371">
        <v>7</v>
      </c>
      <c r="B1296" s="2385" t="s">
        <v>953</v>
      </c>
      <c r="C1296" s="2381"/>
      <c r="D1296" s="2374"/>
      <c r="E1296" s="2374"/>
      <c r="F1296" s="2374"/>
      <c r="G1296" s="2373" t="str">
        <f ca="1">G1295</f>
        <v/>
      </c>
      <c r="H1296" s="2371" t="s">
        <v>3971</v>
      </c>
      <c r="I1296" s="178"/>
      <c r="J1296" s="637"/>
      <c r="K1296" s="637"/>
      <c r="L1296" s="1186" t="s">
        <v>931</v>
      </c>
      <c r="M1296" s="1015"/>
      <c r="N1296" s="1047"/>
      <c r="O1296" s="1047"/>
      <c r="P1296" s="756"/>
      <c r="Q1296" s="756"/>
      <c r="R1296" s="634"/>
      <c r="S1296" s="634"/>
      <c r="T1296" s="634"/>
      <c r="U1296" s="634"/>
      <c r="V1296" s="634"/>
      <c r="W1296" s="634"/>
      <c r="X1296" s="1757"/>
      <c r="Y1296" s="2081"/>
      <c r="Z1296" s="2083"/>
      <c r="AA1296" s="1526"/>
      <c r="AB1296" s="634"/>
      <c r="AC1296" s="970"/>
      <c r="AD1296" s="970"/>
      <c r="AE1296" s="970"/>
      <c r="AF1296" s="634"/>
      <c r="AG1296" s="634"/>
      <c r="AH1296" s="634"/>
      <c r="AI1296" s="634"/>
      <c r="AJ1296" s="634"/>
      <c r="AK1296" s="634"/>
      <c r="AL1296" s="1336"/>
      <c r="AM1296" s="1336"/>
      <c r="AN1296" s="1336"/>
      <c r="AO1296" s="1336"/>
      <c r="AP1296" s="1336"/>
      <c r="AQ1296" s="1336"/>
      <c r="AR1296" s="1336"/>
      <c r="AS1296" s="1336"/>
      <c r="AT1296" s="634"/>
      <c r="AU1296" s="634"/>
      <c r="AV1296" s="634"/>
      <c r="AW1296" s="634"/>
      <c r="AX1296" s="634"/>
      <c r="AY1296" s="634"/>
      <c r="AZ1296" s="634"/>
      <c r="BA1296" s="634"/>
      <c r="BB1296" s="634"/>
      <c r="BC1296" s="634"/>
      <c r="BD1296" s="634"/>
      <c r="BE1296" s="634"/>
      <c r="BF1296" s="634"/>
      <c r="BG1296" s="634"/>
      <c r="BH1296" s="634"/>
      <c r="BI1296" s="634"/>
    </row>
    <row r="1297" spans="1:61" ht="15" customHeight="1" x14ac:dyDescent="0.25">
      <c r="A1297" s="2371">
        <v>7</v>
      </c>
      <c r="B1297" s="2385" t="s">
        <v>3634</v>
      </c>
      <c r="C1297" s="2381"/>
      <c r="D1297" s="2374"/>
      <c r="E1297" s="2374"/>
      <c r="F1297" s="2374"/>
      <c r="G1297" s="2373" t="str">
        <f ca="1">IF(N1297&gt;0,"P","")</f>
        <v/>
      </c>
      <c r="H1297" s="2371" t="s">
        <v>3971</v>
      </c>
      <c r="I1297" s="534" t="s">
        <v>3634</v>
      </c>
      <c r="J1297" s="637"/>
      <c r="K1297" s="637"/>
      <c r="L1297" s="1182" t="s">
        <v>955</v>
      </c>
      <c r="M1297" s="1030">
        <v>1</v>
      </c>
      <c r="N1297" s="1047">
        <f ca="1">'Ch7'!O427</f>
        <v>0</v>
      </c>
      <c r="O1297" s="1047">
        <f ca="1">M1297*S1297*W1297</f>
        <v>0</v>
      </c>
      <c r="P1297" s="94" t="b">
        <v>1</v>
      </c>
      <c r="Q1297" s="94" t="b">
        <v>1</v>
      </c>
      <c r="R1297" s="178" t="b">
        <v>0</v>
      </c>
      <c r="S1297" s="178" t="b">
        <f ca="1">AND(S883=2,OR(AY905=INDEX(ddHeat1,2),AY906=INDEX(ddHeat2,2),AY907=INDEX(ddHeat3,2)))</f>
        <v>0</v>
      </c>
      <c r="T1297" s="178" t="b">
        <f ca="1">AND(NOT(S1297),W1297=TRUE)</f>
        <v>0</v>
      </c>
      <c r="U1297" s="178"/>
      <c r="V1297" s="178"/>
      <c r="W1297" s="25"/>
      <c r="X1297" s="918"/>
      <c r="Y1297" s="988" t="str">
        <f>IF(LEN('Ch7'!X427)=0,"None",'Ch7'!X427)</f>
        <v>None</v>
      </c>
      <c r="Z1297" s="1587"/>
      <c r="AA1297" s="1526"/>
      <c r="AB1297" s="634"/>
      <c r="AC1297" s="970" t="b">
        <f ca="1">OR(AD1297:AE1297)</f>
        <v>0</v>
      </c>
      <c r="AD1297" s="970" t="b">
        <f ca="1">T1297</f>
        <v>0</v>
      </c>
      <c r="AE1297" s="970"/>
      <c r="AF1297" s="784"/>
      <c r="AG1297" s="634"/>
      <c r="AH1297" s="634"/>
      <c r="AI1297" s="634"/>
      <c r="AJ1297" s="634"/>
      <c r="AK1297" s="634"/>
      <c r="AL1297" s="254" t="str">
        <f>SUBSTITUTE(SUBSTITUTE(SUBSTITUTE("vpa"&amp;$B1297&amp;$C1297&amp;$D1297&amp;$E1297,".","_"),"(","_"),")","")</f>
        <v>vpa703_5_4</v>
      </c>
      <c r="AM1297" s="254">
        <f>M1297</f>
        <v>1</v>
      </c>
      <c r="AN1297" s="254" t="str">
        <f>SUBSTITUTE(SUBSTITUTE(SUBSTITUTE("vpc"&amp;$B1297&amp;$C1297&amp;$D1297&amp;$E1297,".","_"),"(","_"),")","")</f>
        <v>vpc703_5_4</v>
      </c>
      <c r="AO1297" s="254">
        <f ca="1">O1297</f>
        <v>0</v>
      </c>
      <c r="AP1297" s="254" t="str">
        <f>SUBSTITUTE(SUBSTITUTE(SUBSTITUTE("vch"&amp;$B1297&amp;$C1297&amp;$D1297&amp;$E1297,".","_"),"(","_"),")","")</f>
        <v>vch703_5_4</v>
      </c>
      <c r="AQ1297" s="254" t="str">
        <f>IF(LEN(W1297)=0,"",W1297)</f>
        <v/>
      </c>
      <c r="AR1297" s="254" t="str">
        <f>SUBSTITUTE(SUBSTITUTE(SUBSTITUTE("vnt"&amp;$B1297&amp;$C1297&amp;$D1297&amp;$E1297,".","_"),"(","_"),")","")</f>
        <v>vnt703_5_4</v>
      </c>
      <c r="AS1297" s="254" t="str">
        <f>IF(LEN(X1297)=0,"",X1297)</f>
        <v/>
      </c>
      <c r="AT1297" s="634"/>
      <c r="AU1297" s="634"/>
      <c r="AV1297" s="634"/>
      <c r="AW1297" s="634"/>
      <c r="AX1297" s="634"/>
      <c r="AY1297" s="634"/>
      <c r="AZ1297" s="634"/>
      <c r="BA1297" s="634"/>
      <c r="BB1297" s="634"/>
      <c r="BC1297" s="634"/>
      <c r="BD1297" s="634"/>
      <c r="BE1297" s="634"/>
      <c r="BF1297" s="634"/>
      <c r="BG1297" s="634"/>
      <c r="BH1297" s="634"/>
      <c r="BI1297" s="634"/>
    </row>
    <row r="1298" spans="1:61" ht="15" customHeight="1" x14ac:dyDescent="0.25">
      <c r="A1298" s="2371">
        <v>7</v>
      </c>
      <c r="B1298" s="2385" t="s">
        <v>956</v>
      </c>
      <c r="C1298" s="2381"/>
      <c r="D1298" s="2374"/>
      <c r="E1298" s="2374"/>
      <c r="F1298" s="2374"/>
      <c r="G1298" s="2363" t="str">
        <f ca="1">IF(COUNTIF(G1301:G1308,"P")&gt;0,"P","")</f>
        <v/>
      </c>
      <c r="H1298" s="2371" t="s">
        <v>3971</v>
      </c>
      <c r="I1298" s="533" t="s">
        <v>956</v>
      </c>
      <c r="J1298" s="927"/>
      <c r="K1298" s="927"/>
      <c r="L1298" s="1833" t="s">
        <v>4315</v>
      </c>
      <c r="M1298" s="1016"/>
      <c r="N1298" s="2079"/>
      <c r="O1298" s="664"/>
      <c r="P1298" s="911"/>
      <c r="Q1298" s="911"/>
      <c r="R1298" s="911"/>
      <c r="S1298" s="911"/>
      <c r="T1298" s="911"/>
      <c r="U1298" s="911"/>
      <c r="W1298" s="911" t="s">
        <v>3636</v>
      </c>
      <c r="X1298" s="1757"/>
      <c r="Y1298" s="2099" t="str">
        <f>IF(LEN('Ch7'!X428)=0,"None",'Ch7'!X428)</f>
        <v>None</v>
      </c>
      <c r="Z1298" s="2087"/>
      <c r="AA1298" s="1526"/>
      <c r="AB1298" s="634"/>
      <c r="AC1298" s="970"/>
      <c r="AD1298" s="970"/>
      <c r="AE1298" s="970"/>
      <c r="AF1298" s="634"/>
      <c r="AG1298" s="634"/>
      <c r="AH1298" s="634"/>
      <c r="AI1298" s="634"/>
      <c r="AJ1298" s="634"/>
      <c r="AK1298" s="634"/>
      <c r="AL1298" s="1336"/>
      <c r="AM1298" s="1336"/>
      <c r="AN1298" s="254"/>
      <c r="AO1298" s="254"/>
      <c r="AP1298" s="1336"/>
      <c r="AQ1298" s="1336"/>
      <c r="AR1298" s="254" t="str">
        <f>SUBSTITUTE(SUBSTITUTE(SUBSTITUTE("vnt"&amp;$B1298&amp;$C1298&amp;$D1298&amp;$E1298,".","_"),"(","_"),")","")</f>
        <v>vnt703_5_5</v>
      </c>
      <c r="AS1298" s="254" t="str">
        <f>IF(LEN(X1298)=0,"",X1298)</f>
        <v/>
      </c>
      <c r="AT1298" s="634"/>
      <c r="AU1298" s="634"/>
      <c r="AV1298" s="634"/>
      <c r="AW1298" s="634"/>
      <c r="AX1298" s="634"/>
      <c r="AY1298" s="634"/>
      <c r="AZ1298" s="634"/>
      <c r="BA1298" s="634"/>
      <c r="BB1298" s="634"/>
      <c r="BC1298" s="634"/>
      <c r="BD1298" s="634"/>
      <c r="BE1298" s="634"/>
      <c r="BF1298" s="634"/>
      <c r="BG1298" s="634"/>
      <c r="BH1298" s="634"/>
      <c r="BI1298" s="634"/>
    </row>
    <row r="1299" spans="1:61" x14ac:dyDescent="0.25">
      <c r="A1299" s="2371">
        <v>7</v>
      </c>
      <c r="B1299" s="2385" t="s">
        <v>956</v>
      </c>
      <c r="C1299" s="2381"/>
      <c r="D1299" s="2374"/>
      <c r="E1299" s="2374"/>
      <c r="F1299" s="2374"/>
      <c r="G1299" s="2373" t="str">
        <f t="shared" ref="G1299:G1314" ca="1" si="79">G1298</f>
        <v/>
      </c>
      <c r="H1299" s="2371" t="s">
        <v>3971</v>
      </c>
      <c r="I1299" s="4"/>
      <c r="J1299" s="929"/>
      <c r="K1299" s="929"/>
      <c r="L1299" s="1833"/>
      <c r="M1299" s="1010"/>
      <c r="N1299" s="1927"/>
      <c r="O1299" s="664"/>
      <c r="P1299" s="94" t="b">
        <v>1</v>
      </c>
      <c r="Q1299" s="94" t="b">
        <v>1</v>
      </c>
      <c r="R1299" s="94" t="b">
        <v>0</v>
      </c>
      <c r="S1299" s="94" t="b">
        <f ca="1">AND(S883=2,LEN(W1245)=0,LEN(W1247)=0)</f>
        <v>0</v>
      </c>
      <c r="T1299" s="94" t="b">
        <f ca="1">AND(NOT(S1299),LEN(W1299)&gt;0)</f>
        <v>0</v>
      </c>
      <c r="U1299" s="94" t="str">
        <f>SUBSTITUTE(SUBSTITUTE(SUBSTITUTE("dd"&amp;B1299&amp;C1299&amp;D1299&amp;E1299&amp;F1299,".","_"),"(","_"),")","")</f>
        <v>dd703_5_5</v>
      </c>
      <c r="V1299" s="94"/>
      <c r="W1299" s="12"/>
      <c r="X1299" s="1757"/>
      <c r="Y1299" s="2100"/>
      <c r="Z1299" s="2091"/>
      <c r="AA1299" s="1526"/>
      <c r="AB1299" s="634"/>
      <c r="AC1299" s="970" t="b">
        <f ca="1">OR(AD1299:AE1299)</f>
        <v>0</v>
      </c>
      <c r="AD1299" s="970" t="b">
        <f ca="1">T1299</f>
        <v>0</v>
      </c>
      <c r="AE1299" s="970"/>
      <c r="AF1299" s="784"/>
      <c r="AG1299" s="634"/>
      <c r="AH1299" s="634"/>
      <c r="AI1299" s="634"/>
      <c r="AJ1299" s="634"/>
      <c r="AK1299" s="634"/>
      <c r="AL1299" s="1336"/>
      <c r="AM1299" s="1336"/>
      <c r="AN1299" s="1336"/>
      <c r="AO1299" s="1336"/>
      <c r="AP1299" s="254" t="str">
        <f>SUBSTITUTE(SUBSTITUTE(SUBSTITUTE("vch"&amp;$B1299&amp;$C1299&amp;$D1299&amp;$E1299,".","_"),"(","_"),")","")</f>
        <v>vch703_5_5</v>
      </c>
      <c r="AQ1299" s="254" t="str">
        <f>IF(LEN(W1299)=0,"",W1299)</f>
        <v/>
      </c>
      <c r="AR1299" s="1336"/>
      <c r="AS1299" s="1336"/>
      <c r="AT1299" s="634"/>
      <c r="AU1299" s="634"/>
      <c r="AV1299" s="634"/>
      <c r="AW1299" s="634"/>
      <c r="AX1299" s="634"/>
      <c r="AY1299" s="634"/>
      <c r="AZ1299" s="634"/>
      <c r="BA1299" s="634"/>
      <c r="BB1299" s="634"/>
      <c r="BC1299" s="634"/>
      <c r="BD1299" s="634"/>
      <c r="BE1299" s="634"/>
      <c r="BF1299" s="634"/>
      <c r="BG1299" s="634"/>
      <c r="BH1299" s="634"/>
      <c r="BI1299" s="634"/>
    </row>
    <row r="1300" spans="1:61" x14ac:dyDescent="0.25">
      <c r="A1300" s="2371">
        <v>7</v>
      </c>
      <c r="B1300" s="2385" t="s">
        <v>956</v>
      </c>
      <c r="C1300" s="2381"/>
      <c r="D1300" s="2374"/>
      <c r="E1300" s="2374"/>
      <c r="F1300" s="2374"/>
      <c r="G1300" s="2373" t="str">
        <f t="shared" ca="1" si="79"/>
        <v/>
      </c>
      <c r="H1300" s="2371" t="s">
        <v>3971</v>
      </c>
      <c r="I1300" s="4"/>
      <c r="J1300" s="929"/>
      <c r="K1300" s="929"/>
      <c r="L1300" s="1833"/>
      <c r="M1300" s="1010"/>
      <c r="N1300" s="1927"/>
      <c r="O1300" s="665"/>
      <c r="P1300" s="94"/>
      <c r="Q1300" s="94"/>
      <c r="R1300" s="94"/>
      <c r="S1300" s="94"/>
      <c r="T1300" s="94"/>
      <c r="U1300" s="94"/>
      <c r="V1300" s="94"/>
      <c r="W1300" s="94" t="s">
        <v>3633</v>
      </c>
      <c r="X1300" s="1757"/>
      <c r="Y1300" s="2100"/>
      <c r="Z1300" s="2091"/>
      <c r="AA1300" s="1526"/>
      <c r="AB1300" s="634"/>
      <c r="AC1300" s="970"/>
      <c r="AD1300" s="970"/>
      <c r="AE1300" s="970"/>
      <c r="AF1300" s="634"/>
      <c r="AG1300" s="634"/>
      <c r="AH1300" s="634"/>
      <c r="AI1300" s="634"/>
      <c r="AJ1300" s="634"/>
      <c r="AK1300" s="634"/>
      <c r="AL1300" s="1336"/>
      <c r="AM1300" s="1336"/>
      <c r="AN1300" s="1336"/>
      <c r="AO1300" s="1336"/>
      <c r="AP1300" s="1336"/>
      <c r="AQ1300" s="1336"/>
      <c r="AR1300" s="1336"/>
      <c r="AS1300" s="1336"/>
      <c r="AT1300" s="634"/>
      <c r="AU1300" s="634"/>
      <c r="AV1300" s="634"/>
      <c r="AW1300" s="634"/>
      <c r="AX1300" s="634"/>
      <c r="AY1300" s="634"/>
      <c r="AZ1300" s="634"/>
      <c r="BA1300" s="634"/>
      <c r="BB1300" s="634"/>
      <c r="BC1300" s="634"/>
      <c r="BD1300" s="634"/>
      <c r="BE1300" s="634"/>
      <c r="BF1300" s="634"/>
      <c r="BG1300" s="634"/>
      <c r="BH1300" s="634"/>
      <c r="BI1300" s="634"/>
    </row>
    <row r="1301" spans="1:61" s="868" customFormat="1" x14ac:dyDescent="0.25">
      <c r="A1301" s="2371">
        <v>7</v>
      </c>
      <c r="B1301" s="2385" t="s">
        <v>956</v>
      </c>
      <c r="C1301" s="2385" t="s">
        <v>121</v>
      </c>
      <c r="D1301" s="2374"/>
      <c r="E1301" s="2374"/>
      <c r="F1301" s="2374"/>
      <c r="G1301" s="2373" t="str">
        <f ca="1">IF(N1301&gt;0,"P","")</f>
        <v/>
      </c>
      <c r="H1301" s="2371" t="s">
        <v>3971</v>
      </c>
      <c r="I1301" s="4"/>
      <c r="J1301" s="929"/>
      <c r="K1301" s="667" t="s">
        <v>121</v>
      </c>
      <c r="L1301" s="1787" t="s">
        <v>4313</v>
      </c>
      <c r="M1301" s="1010"/>
      <c r="N1301" s="1927">
        <f ca="1">'Ch7'!O431</f>
        <v>0</v>
      </c>
      <c r="O1301" s="1927">
        <f ca="1">IFERROR(INDEX(M1303:M1307,MATCH(W1301,{1.3,1.51,1.81,2.31,3.01},1)),0)*S1302</f>
        <v>0</v>
      </c>
      <c r="P1301" s="94" t="b">
        <v>1</v>
      </c>
      <c r="Q1301" s="94" t="b">
        <v>1</v>
      </c>
      <c r="R1301" s="94" t="b">
        <v>0</v>
      </c>
      <c r="S1301" s="94" t="b">
        <f ca="1">AND(S883=2,LEN(W1245)=0,LEN(W1247)=0)</f>
        <v>0</v>
      </c>
      <c r="T1301" s="94" t="b">
        <f ca="1">AND(NOT(S1301),LEN(W1301)&gt;0)</f>
        <v>0</v>
      </c>
      <c r="U1301" s="94"/>
      <c r="V1301" s="94"/>
      <c r="W1301" s="384"/>
      <c r="X1301" s="1757"/>
      <c r="Y1301" s="2100"/>
      <c r="Z1301" s="2091"/>
      <c r="AA1301" s="1526"/>
      <c r="AC1301" s="970" t="b">
        <f ca="1">OR(AD1301:AE1301)</f>
        <v>0</v>
      </c>
      <c r="AD1301" s="970" t="b">
        <f ca="1">T1301</f>
        <v>0</v>
      </c>
      <c r="AE1301" s="970"/>
      <c r="AL1301" s="1336"/>
      <c r="AM1301" s="1336"/>
      <c r="AN1301" s="254" t="str">
        <f>SUBSTITUTE(SUBSTITUTE(SUBSTITUTE("vpc"&amp;$B1301&amp;$C1301&amp;$D1301&amp;$E1301,".","_"),"(","_"),")","")</f>
        <v>vpc703_5_5_a</v>
      </c>
      <c r="AO1301" s="254">
        <f ca="1">O1301</f>
        <v>0</v>
      </c>
      <c r="AP1301" s="254" t="str">
        <f>SUBSTITUTE(SUBSTITUTE(SUBSTITUTE("vch"&amp;$B1301&amp;$C1301&amp;$D1301&amp;$E1301,".","_"),"(","_"),")","")</f>
        <v>vch703_5_5_a</v>
      </c>
      <c r="AQ1301" s="254" t="str">
        <f>IF(LEN(W1301)=0,"",W1301)</f>
        <v/>
      </c>
      <c r="AR1301" s="1336"/>
      <c r="AS1301" s="1336"/>
    </row>
    <row r="1302" spans="1:61" s="868" customFormat="1" x14ac:dyDescent="0.25">
      <c r="A1302" s="2371">
        <v>7</v>
      </c>
      <c r="B1302" s="2385" t="s">
        <v>956</v>
      </c>
      <c r="C1302" s="2385" t="s">
        <v>121</v>
      </c>
      <c r="D1302" s="2374"/>
      <c r="E1302" s="2374"/>
      <c r="F1302" s="2374"/>
      <c r="G1302" s="2373" t="str">
        <f t="shared" ca="1" si="79"/>
        <v/>
      </c>
      <c r="H1302" s="2371" t="s">
        <v>3971</v>
      </c>
      <c r="I1302" s="4"/>
      <c r="J1302" s="929"/>
      <c r="K1302" s="667"/>
      <c r="L1302" s="1787"/>
      <c r="M1302" s="1010"/>
      <c r="N1302" s="1927"/>
      <c r="O1302" s="1927"/>
      <c r="P1302" s="94"/>
      <c r="Q1302" s="94"/>
      <c r="R1302" s="94"/>
      <c r="S1302" s="1" t="b">
        <f ca="1">W1299=INDEX(INDIRECT(U1299),1)</f>
        <v>0</v>
      </c>
      <c r="T1302" s="94"/>
      <c r="U1302" s="94"/>
      <c r="V1302" s="94"/>
      <c r="W1302" s="94"/>
      <c r="X1302" s="1757"/>
      <c r="Y1302" s="2100"/>
      <c r="Z1302" s="2091"/>
      <c r="AA1302" s="1526"/>
      <c r="AC1302" s="970"/>
      <c r="AD1302" s="970"/>
      <c r="AE1302" s="970"/>
      <c r="AL1302" s="1336"/>
      <c r="AM1302" s="1336"/>
      <c r="AN1302" s="1336"/>
      <c r="AO1302" s="1336"/>
      <c r="AP1302" s="1336"/>
      <c r="AQ1302" s="1336"/>
      <c r="AR1302" s="1336"/>
      <c r="AS1302" s="1336"/>
    </row>
    <row r="1303" spans="1:61" x14ac:dyDescent="0.25">
      <c r="A1303" s="2371">
        <v>7</v>
      </c>
      <c r="B1303" s="2385" t="s">
        <v>956</v>
      </c>
      <c r="C1303" s="2385" t="s">
        <v>121</v>
      </c>
      <c r="D1303" s="2374" t="s">
        <v>256</v>
      </c>
      <c r="E1303" s="2374"/>
      <c r="F1303" s="2374"/>
      <c r="G1303" s="2373" t="str">
        <f t="shared" ca="1" si="79"/>
        <v/>
      </c>
      <c r="H1303" s="2371" t="s">
        <v>3971</v>
      </c>
      <c r="I1303" s="4"/>
      <c r="J1303" s="911"/>
      <c r="K1303" s="139"/>
      <c r="L1303" s="1153" t="s">
        <v>3637</v>
      </c>
      <c r="M1303" s="1030">
        <f>IFERROR(INDEX({1,2,3,5,6,7,6,6},BF886),0)</f>
        <v>0</v>
      </c>
      <c r="N1303" s="1044"/>
      <c r="O1303" s="1044"/>
      <c r="P1303" s="94"/>
      <c r="Q1303" s="94"/>
      <c r="R1303" s="94"/>
      <c r="S1303" s="911"/>
      <c r="T1303" s="94"/>
      <c r="U1303" s="94"/>
      <c r="V1303" s="94"/>
      <c r="W1303" s="94"/>
      <c r="X1303" s="1757"/>
      <c r="Y1303" s="2100"/>
      <c r="Z1303" s="2091"/>
      <c r="AA1303" s="1526"/>
      <c r="AB1303" s="634"/>
      <c r="AC1303" s="970"/>
      <c r="AD1303" s="970"/>
      <c r="AE1303" s="970"/>
      <c r="AF1303" s="634"/>
      <c r="AG1303" s="634"/>
      <c r="AH1303" s="634"/>
      <c r="AI1303" s="634"/>
      <c r="AJ1303" s="634"/>
      <c r="AK1303" s="634"/>
      <c r="AL1303" s="254" t="str">
        <f>SUBSTITUTE(SUBSTITUTE(SUBSTITUTE("vpa"&amp;$B1303&amp;$C1303&amp;$D1303&amp;$E1303,".","_"),"(","_"),")","")</f>
        <v>vpa703_5_5_a_1</v>
      </c>
      <c r="AM1303" s="254">
        <f>M1303</f>
        <v>0</v>
      </c>
      <c r="AN1303" s="1336"/>
      <c r="AO1303" s="1336"/>
      <c r="AP1303" s="1336"/>
      <c r="AQ1303" s="1336"/>
      <c r="AR1303" s="1336"/>
      <c r="AS1303" s="1336"/>
      <c r="AT1303" s="634"/>
      <c r="AU1303" s="634"/>
      <c r="AV1303" s="634"/>
      <c r="AW1303" s="634"/>
      <c r="AX1303" s="634"/>
      <c r="AY1303" s="634"/>
      <c r="AZ1303" s="634"/>
      <c r="BA1303" s="634"/>
      <c r="BB1303" s="634"/>
      <c r="BC1303" s="634"/>
      <c r="BD1303" s="634"/>
      <c r="BE1303" s="634"/>
      <c r="BF1303" s="634"/>
      <c r="BG1303" s="634"/>
      <c r="BH1303" s="634"/>
      <c r="BI1303" s="634"/>
    </row>
    <row r="1304" spans="1:61" x14ac:dyDescent="0.25">
      <c r="A1304" s="2371">
        <v>7</v>
      </c>
      <c r="B1304" s="2385" t="s">
        <v>956</v>
      </c>
      <c r="C1304" s="2385" t="s">
        <v>121</v>
      </c>
      <c r="D1304" s="2374" t="s">
        <v>258</v>
      </c>
      <c r="E1304" s="2374"/>
      <c r="F1304" s="2374"/>
      <c r="G1304" s="2373" t="str">
        <f t="shared" ca="1" si="79"/>
        <v/>
      </c>
      <c r="H1304" s="2371" t="s">
        <v>3971</v>
      </c>
      <c r="I1304" s="4"/>
      <c r="J1304" s="911"/>
      <c r="K1304" s="139"/>
      <c r="L1304" s="858" t="s">
        <v>3638</v>
      </c>
      <c r="M1304" s="553">
        <f>IFERROR(INDEX({2,2,4,6,9,10,10,10},BF886),0)</f>
        <v>0</v>
      </c>
      <c r="N1304" s="1044"/>
      <c r="O1304" s="1044"/>
      <c r="P1304" s="94"/>
      <c r="Q1304" s="94"/>
      <c r="R1304" s="94"/>
      <c r="S1304" s="911"/>
      <c r="T1304" s="94"/>
      <c r="U1304" s="94"/>
      <c r="V1304" s="94"/>
      <c r="W1304" s="94"/>
      <c r="X1304" s="1757"/>
      <c r="Y1304" s="2100"/>
      <c r="Z1304" s="2091"/>
      <c r="AA1304" s="1526"/>
      <c r="AB1304" s="634"/>
      <c r="AC1304" s="970"/>
      <c r="AD1304" s="970"/>
      <c r="AE1304" s="970"/>
      <c r="AF1304" s="634"/>
      <c r="AG1304" s="634"/>
      <c r="AH1304" s="634"/>
      <c r="AI1304" s="634"/>
      <c r="AJ1304" s="634"/>
      <c r="AK1304" s="634"/>
      <c r="AL1304" s="254" t="str">
        <f>SUBSTITUTE(SUBSTITUTE(SUBSTITUTE("vpa"&amp;$B1304&amp;$C1304&amp;$D1304&amp;$E1304,".","_"),"(","_"),")","")</f>
        <v>vpa703_5_5_a_2</v>
      </c>
      <c r="AM1304" s="254">
        <f>M1304</f>
        <v>0</v>
      </c>
      <c r="AN1304" s="1336"/>
      <c r="AO1304" s="1336"/>
      <c r="AP1304" s="1336"/>
      <c r="AQ1304" s="1336"/>
      <c r="AR1304" s="1336"/>
      <c r="AS1304" s="1336"/>
      <c r="AT1304" s="634"/>
      <c r="AU1304" s="634"/>
      <c r="AV1304" s="634"/>
      <c r="AW1304" s="634"/>
      <c r="AX1304" s="634"/>
      <c r="AY1304" s="634"/>
      <c r="AZ1304" s="634"/>
      <c r="BA1304" s="634"/>
      <c r="BB1304" s="634"/>
      <c r="BC1304" s="634"/>
      <c r="BD1304" s="634"/>
      <c r="BE1304" s="634"/>
      <c r="BF1304" s="634"/>
      <c r="BG1304" s="634"/>
      <c r="BH1304" s="634"/>
      <c r="BI1304" s="634"/>
    </row>
    <row r="1305" spans="1:61" x14ac:dyDescent="0.25">
      <c r="A1305" s="2371">
        <v>7</v>
      </c>
      <c r="B1305" s="2385" t="s">
        <v>956</v>
      </c>
      <c r="C1305" s="2385" t="s">
        <v>121</v>
      </c>
      <c r="D1305" s="2374" t="s">
        <v>260</v>
      </c>
      <c r="E1305" s="2374"/>
      <c r="F1305" s="2374"/>
      <c r="G1305" s="2373" t="str">
        <f t="shared" ca="1" si="79"/>
        <v/>
      </c>
      <c r="H1305" s="2371" t="s">
        <v>3971</v>
      </c>
      <c r="I1305" s="4"/>
      <c r="J1305" s="911"/>
      <c r="K1305" s="85"/>
      <c r="L1305" s="858" t="s">
        <v>3639</v>
      </c>
      <c r="M1305" s="553">
        <f>IFERROR(INDEX({2,3,5,9,13,14,14,14},BF886),0)</f>
        <v>0</v>
      </c>
      <c r="N1305" s="1044"/>
      <c r="O1305" s="1044"/>
      <c r="P1305" s="94"/>
      <c r="Q1305" s="94"/>
      <c r="R1305" s="94"/>
      <c r="S1305" s="911"/>
      <c r="T1305" s="94"/>
      <c r="U1305" s="94"/>
      <c r="V1305" s="94"/>
      <c r="W1305" s="94"/>
      <c r="X1305" s="1757"/>
      <c r="Y1305" s="2100"/>
      <c r="Z1305" s="2091"/>
      <c r="AA1305" s="1526"/>
      <c r="AB1305" s="634"/>
      <c r="AC1305" s="970"/>
      <c r="AD1305" s="970"/>
      <c r="AE1305" s="970"/>
      <c r="AF1305" s="634"/>
      <c r="AG1305" s="634"/>
      <c r="AH1305" s="634"/>
      <c r="AI1305" s="634"/>
      <c r="AJ1305" s="634"/>
      <c r="AK1305" s="634"/>
      <c r="AL1305" s="254" t="str">
        <f>SUBSTITUTE(SUBSTITUTE(SUBSTITUTE("vpa"&amp;$B1305&amp;$C1305&amp;$D1305&amp;$E1305,".","_"),"(","_"),")","")</f>
        <v>vpa703_5_5_a_3</v>
      </c>
      <c r="AM1305" s="254">
        <f>M1305</f>
        <v>0</v>
      </c>
      <c r="AN1305" s="1336"/>
      <c r="AO1305" s="1336"/>
      <c r="AP1305" s="1336"/>
      <c r="AQ1305" s="1336"/>
      <c r="AR1305" s="1336"/>
      <c r="AS1305" s="1336"/>
      <c r="AT1305" s="634"/>
      <c r="AU1305" s="634"/>
      <c r="AV1305" s="634"/>
      <c r="AW1305" s="634"/>
      <c r="AX1305" s="634"/>
      <c r="AY1305" s="634"/>
      <c r="AZ1305" s="634"/>
      <c r="BA1305" s="634"/>
      <c r="BB1305" s="634"/>
      <c r="BC1305" s="634"/>
      <c r="BD1305" s="634"/>
      <c r="BE1305" s="634"/>
      <c r="BF1305" s="634"/>
      <c r="BG1305" s="634"/>
      <c r="BH1305" s="634"/>
      <c r="BI1305" s="634"/>
    </row>
    <row r="1306" spans="1:61" x14ac:dyDescent="0.25">
      <c r="A1306" s="2371">
        <v>7</v>
      </c>
      <c r="B1306" s="2385" t="s">
        <v>956</v>
      </c>
      <c r="C1306" s="2385" t="s">
        <v>121</v>
      </c>
      <c r="D1306" s="2374" t="s">
        <v>269</v>
      </c>
      <c r="E1306" s="2374"/>
      <c r="F1306" s="2374"/>
      <c r="G1306" s="2373" t="str">
        <f t="shared" ca="1" si="79"/>
        <v/>
      </c>
      <c r="H1306" s="2371" t="s">
        <v>3971</v>
      </c>
      <c r="I1306" s="4"/>
      <c r="J1306" s="911"/>
      <c r="K1306" s="85"/>
      <c r="L1306" s="858" t="s">
        <v>3640</v>
      </c>
      <c r="M1306" s="553">
        <f>IFERROR(INDEX({4,5,8,14,19,21,20,20},BF886),0)</f>
        <v>0</v>
      </c>
      <c r="N1306" s="1044"/>
      <c r="O1306" s="1044"/>
      <c r="P1306" s="94"/>
      <c r="Q1306" s="94"/>
      <c r="R1306" s="94"/>
      <c r="S1306" s="911"/>
      <c r="T1306" s="94"/>
      <c r="U1306" s="94"/>
      <c r="V1306" s="94"/>
      <c r="W1306" s="94"/>
      <c r="X1306" s="1757"/>
      <c r="Y1306" s="2100"/>
      <c r="Z1306" s="2091"/>
      <c r="AA1306" s="1526"/>
      <c r="AB1306" s="634"/>
      <c r="AC1306" s="970"/>
      <c r="AD1306" s="970"/>
      <c r="AE1306" s="970"/>
      <c r="AF1306" s="634"/>
      <c r="AG1306" s="634"/>
      <c r="AH1306" s="634"/>
      <c r="AI1306" s="634"/>
      <c r="AJ1306" s="634"/>
      <c r="AK1306" s="634"/>
      <c r="AL1306" s="254" t="str">
        <f>SUBSTITUTE(SUBSTITUTE(SUBSTITUTE("vpa"&amp;$B1306&amp;$C1306&amp;$D1306&amp;$E1306,".","_"),"(","_"),")","")</f>
        <v>vpa703_5_5_a_4</v>
      </c>
      <c r="AM1306" s="254">
        <f>M1306</f>
        <v>0</v>
      </c>
      <c r="AN1306" s="1336"/>
      <c r="AO1306" s="1336"/>
      <c r="AP1306" s="1336"/>
      <c r="AQ1306" s="1336"/>
      <c r="AR1306" s="1336"/>
      <c r="AS1306" s="1336"/>
      <c r="AT1306" s="634"/>
      <c r="AU1306" s="634"/>
      <c r="AV1306" s="634"/>
      <c r="AW1306" s="634"/>
      <c r="AX1306" s="634"/>
      <c r="AY1306" s="634"/>
      <c r="AZ1306" s="634"/>
      <c r="BA1306" s="634"/>
      <c r="BB1306" s="634"/>
      <c r="BC1306" s="634"/>
      <c r="BD1306" s="634"/>
      <c r="BE1306" s="634"/>
      <c r="BF1306" s="634"/>
      <c r="BG1306" s="634"/>
      <c r="BH1306" s="634"/>
      <c r="BI1306" s="634"/>
    </row>
    <row r="1307" spans="1:61" x14ac:dyDescent="0.25">
      <c r="A1307" s="2371">
        <v>7</v>
      </c>
      <c r="B1307" s="2385" t="s">
        <v>956</v>
      </c>
      <c r="C1307" s="2385" t="s">
        <v>121</v>
      </c>
      <c r="D1307" s="2374" t="s">
        <v>275</v>
      </c>
      <c r="E1307" s="2374"/>
      <c r="F1307" s="2374"/>
      <c r="G1307" s="2373" t="str">
        <f t="shared" ca="1" si="79"/>
        <v/>
      </c>
      <c r="H1307" s="2371" t="s">
        <v>3971</v>
      </c>
      <c r="I1307" s="4"/>
      <c r="J1307" s="911"/>
      <c r="K1307" s="216"/>
      <c r="L1307" s="1153" t="s">
        <v>3641</v>
      </c>
      <c r="M1307" s="1030">
        <f>IFERROR(INDEX({6,8,12,23,30,34,33,33},BF886),0)</f>
        <v>0</v>
      </c>
      <c r="N1307" s="1047"/>
      <c r="O1307" s="1047"/>
      <c r="P1307" s="94"/>
      <c r="Q1307" s="94"/>
      <c r="R1307" s="94"/>
      <c r="S1307" s="911"/>
      <c r="T1307" s="94"/>
      <c r="U1307" s="94"/>
      <c r="V1307" s="94"/>
      <c r="W1307" s="94"/>
      <c r="X1307" s="1757"/>
      <c r="Y1307" s="2100"/>
      <c r="Z1307" s="2091"/>
      <c r="AA1307" s="1526"/>
      <c r="AB1307" s="634"/>
      <c r="AC1307" s="970"/>
      <c r="AD1307" s="970"/>
      <c r="AE1307" s="970"/>
      <c r="AF1307" s="634"/>
      <c r="AG1307" s="634"/>
      <c r="AH1307" s="634"/>
      <c r="AI1307" s="634"/>
      <c r="AJ1307" s="634"/>
      <c r="AK1307" s="634"/>
      <c r="AL1307" s="254" t="str">
        <f>SUBSTITUTE(SUBSTITUTE(SUBSTITUTE("vpa"&amp;$B1307&amp;$C1307&amp;$D1307&amp;$E1307,".","_"),"(","_"),")","")</f>
        <v>vpa703_5_5_a_5</v>
      </c>
      <c r="AM1307" s="254">
        <f>M1307</f>
        <v>0</v>
      </c>
      <c r="AN1307" s="1336"/>
      <c r="AO1307" s="1336"/>
      <c r="AP1307" s="1336"/>
      <c r="AQ1307" s="1336"/>
      <c r="AR1307" s="1336"/>
      <c r="AS1307" s="1336"/>
      <c r="AT1307" s="634"/>
      <c r="AU1307" s="634"/>
      <c r="AV1307" s="634"/>
      <c r="AW1307" s="634"/>
      <c r="AX1307" s="634"/>
      <c r="AY1307" s="634"/>
      <c r="AZ1307" s="634"/>
      <c r="BA1307" s="634"/>
      <c r="BB1307" s="634"/>
      <c r="BC1307" s="634"/>
      <c r="BD1307" s="634"/>
      <c r="BE1307" s="634"/>
      <c r="BF1307" s="634"/>
      <c r="BG1307" s="634"/>
      <c r="BH1307" s="634"/>
      <c r="BI1307" s="634"/>
    </row>
    <row r="1308" spans="1:61" x14ac:dyDescent="0.25">
      <c r="A1308" s="2371">
        <v>7</v>
      </c>
      <c r="B1308" s="2385" t="s">
        <v>956</v>
      </c>
      <c r="C1308" s="2394" t="s">
        <v>122</v>
      </c>
      <c r="D1308" s="2374"/>
      <c r="E1308" s="2374"/>
      <c r="F1308" s="2374"/>
      <c r="G1308" s="2373" t="str">
        <f ca="1">IF(N1308&gt;0,"P","")</f>
        <v/>
      </c>
      <c r="H1308" s="2371" t="s">
        <v>3971</v>
      </c>
      <c r="I1308" s="4"/>
      <c r="J1308" s="911"/>
      <c r="K1308" s="667" t="s">
        <v>122</v>
      </c>
      <c r="L1308" s="1787" t="s">
        <v>4314</v>
      </c>
      <c r="M1308" s="1029"/>
      <c r="N1308" s="1927">
        <f ca="1">'Ch7'!O438</f>
        <v>0</v>
      </c>
      <c r="O1308" s="1927">
        <f ca="1">IFERROR(INDEX(M1310:M1314,MATCH(W1301,{1.3,1.51,1.81,2.31,3.01},1)),0)*S1308</f>
        <v>0</v>
      </c>
      <c r="P1308"/>
      <c r="Q1308"/>
      <c r="R1308"/>
      <c r="S1308" s="1" t="b">
        <f ca="1">W1299=INDEX(INDIRECT(U1299),2)</f>
        <v>0</v>
      </c>
      <c r="T1308"/>
      <c r="U1308"/>
      <c r="V1308"/>
      <c r="W1308"/>
      <c r="X1308" s="1757"/>
      <c r="Y1308" s="2100"/>
      <c r="Z1308" s="2091"/>
      <c r="AA1308" s="1526"/>
      <c r="AC1308" s="970"/>
      <c r="AD1308" s="970"/>
      <c r="AE1308" s="970"/>
      <c r="AF1308"/>
      <c r="AG1308"/>
      <c r="AH1308"/>
      <c r="AI1308"/>
      <c r="AJ1308"/>
      <c r="AK1308"/>
      <c r="AL1308" s="254"/>
      <c r="AM1308" s="254"/>
      <c r="AN1308" s="254" t="str">
        <f>SUBSTITUTE(SUBSTITUTE(SUBSTITUTE("vpc"&amp;$B1308&amp;$C1308&amp;$D1308&amp;$E1308,".","_"),"(","_"),")","")</f>
        <v>vpc703_5_5_b</v>
      </c>
      <c r="AO1308" s="254">
        <f ca="1">O1308</f>
        <v>0</v>
      </c>
      <c r="AP1308" s="1336"/>
      <c r="AQ1308" s="1336"/>
      <c r="AR1308" s="1336"/>
      <c r="AS1308" s="1336"/>
      <c r="AT1308"/>
    </row>
    <row r="1309" spans="1:61" x14ac:dyDescent="0.25">
      <c r="A1309" s="2371">
        <v>7</v>
      </c>
      <c r="B1309" s="2385" t="s">
        <v>956</v>
      </c>
      <c r="C1309" s="2394" t="s">
        <v>122</v>
      </c>
      <c r="D1309" s="2374"/>
      <c r="E1309" s="2374"/>
      <c r="F1309" s="2374"/>
      <c r="G1309" s="2373" t="str">
        <f t="shared" ca="1" si="79"/>
        <v/>
      </c>
      <c r="H1309" s="2371" t="s">
        <v>3971</v>
      </c>
      <c r="I1309" s="4"/>
      <c r="J1309" s="911"/>
      <c r="K1309" s="969"/>
      <c r="L1309" s="1787"/>
      <c r="M1309" s="1029"/>
      <c r="N1309" s="1927"/>
      <c r="O1309" s="1927"/>
      <c r="P1309"/>
      <c r="Q1309"/>
      <c r="R1309"/>
      <c r="S1309"/>
      <c r="T1309"/>
      <c r="U1309"/>
      <c r="V1309"/>
      <c r="W1309"/>
      <c r="X1309" s="1757"/>
      <c r="Y1309" s="2100"/>
      <c r="Z1309" s="2091"/>
      <c r="AA1309" s="1526"/>
      <c r="AC1309" s="970"/>
      <c r="AD1309" s="970"/>
      <c r="AE1309" s="970"/>
      <c r="AF1309"/>
      <c r="AG1309"/>
      <c r="AH1309"/>
      <c r="AI1309"/>
      <c r="AJ1309"/>
      <c r="AK1309"/>
      <c r="AL1309" s="254"/>
      <c r="AM1309" s="254"/>
      <c r="AN1309" s="1336"/>
      <c r="AO1309" s="1336"/>
      <c r="AP1309" s="1336"/>
      <c r="AQ1309" s="1336"/>
      <c r="AR1309" s="1336"/>
      <c r="AS1309" s="1336"/>
      <c r="AT1309"/>
    </row>
    <row r="1310" spans="1:61" x14ac:dyDescent="0.25">
      <c r="A1310" s="2371">
        <v>7</v>
      </c>
      <c r="B1310" s="2385" t="s">
        <v>956</v>
      </c>
      <c r="C1310" s="2394" t="s">
        <v>122</v>
      </c>
      <c r="D1310" s="2374" t="s">
        <v>256</v>
      </c>
      <c r="E1310" s="2374"/>
      <c r="F1310" s="2374"/>
      <c r="G1310" s="2373" t="str">
        <f t="shared" ca="1" si="79"/>
        <v/>
      </c>
      <c r="H1310" s="2371" t="s">
        <v>3971</v>
      </c>
      <c r="I1310" s="4"/>
      <c r="J1310" s="911"/>
      <c r="K1310" s="969"/>
      <c r="L1310" s="1153" t="s">
        <v>3637</v>
      </c>
      <c r="M1310" s="1030">
        <f>IFERROR(INDEX({1,2,3,5,7,8,7,7},BF886),0)</f>
        <v>0</v>
      </c>
      <c r="N1310" s="664"/>
      <c r="O1310" s="1044"/>
      <c r="P1310"/>
      <c r="Q1310"/>
      <c r="R1310"/>
      <c r="S1310"/>
      <c r="T1310"/>
      <c r="U1310"/>
      <c r="V1310"/>
      <c r="W1310"/>
      <c r="X1310" s="1757"/>
      <c r="Y1310" s="2100"/>
      <c r="Z1310" s="2091"/>
      <c r="AA1310" s="1526"/>
      <c r="AC1310" s="970"/>
      <c r="AD1310" s="970"/>
      <c r="AE1310" s="970"/>
      <c r="AF1310"/>
      <c r="AG1310"/>
      <c r="AH1310"/>
      <c r="AI1310"/>
      <c r="AJ1310"/>
      <c r="AK1310"/>
      <c r="AL1310" s="254" t="str">
        <f>SUBSTITUTE(SUBSTITUTE(SUBSTITUTE("vpa"&amp;$B1310&amp;$C1310&amp;$D1310&amp;$E1310,".","_"),"(","_"),")","")</f>
        <v>vpa703_5_5_b_1</v>
      </c>
      <c r="AM1310" s="254">
        <f>M1310</f>
        <v>0</v>
      </c>
      <c r="AN1310" s="1336"/>
      <c r="AO1310" s="1336"/>
      <c r="AP1310" s="1336"/>
      <c r="AQ1310" s="1336"/>
      <c r="AR1310" s="1336"/>
      <c r="AS1310" s="1336"/>
      <c r="AT1310"/>
    </row>
    <row r="1311" spans="1:61" x14ac:dyDescent="0.25">
      <c r="A1311" s="2371">
        <v>7</v>
      </c>
      <c r="B1311" s="2385" t="s">
        <v>956</v>
      </c>
      <c r="C1311" s="2394" t="s">
        <v>122</v>
      </c>
      <c r="D1311" s="2374" t="s">
        <v>258</v>
      </c>
      <c r="E1311" s="2374"/>
      <c r="F1311" s="2374"/>
      <c r="G1311" s="2373" t="str">
        <f t="shared" ca="1" si="79"/>
        <v/>
      </c>
      <c r="H1311" s="2371" t="s">
        <v>3971</v>
      </c>
      <c r="I1311" s="4"/>
      <c r="J1311" s="911"/>
      <c r="K1311" s="845"/>
      <c r="L1311" s="858" t="s">
        <v>3638</v>
      </c>
      <c r="M1311" s="553">
        <f>IFERROR(INDEX({2,2,4,7,10,11,11,11},BF886),0)</f>
        <v>0</v>
      </c>
      <c r="N1311" s="664"/>
      <c r="O1311" s="1044"/>
      <c r="P1311"/>
      <c r="Q1311"/>
      <c r="R1311"/>
      <c r="S1311"/>
      <c r="T1311"/>
      <c r="U1311"/>
      <c r="V1311"/>
      <c r="W1311"/>
      <c r="X1311" s="1757"/>
      <c r="Y1311" s="2100"/>
      <c r="Z1311" s="2091"/>
      <c r="AA1311" s="1526"/>
      <c r="AC1311" s="970"/>
      <c r="AD1311" s="970"/>
      <c r="AE1311" s="970"/>
      <c r="AF1311"/>
      <c r="AG1311"/>
      <c r="AH1311"/>
      <c r="AI1311"/>
      <c r="AJ1311"/>
      <c r="AK1311"/>
      <c r="AL1311" s="254" t="str">
        <f>SUBSTITUTE(SUBSTITUTE(SUBSTITUTE("vpa"&amp;$B1311&amp;$C1311&amp;$D1311&amp;$E1311,".","_"),"(","_"),")","")</f>
        <v>vpa703_5_5_b_2</v>
      </c>
      <c r="AM1311" s="254">
        <f>M1311</f>
        <v>0</v>
      </c>
      <c r="AN1311" s="1336"/>
      <c r="AO1311" s="1336"/>
      <c r="AP1311" s="1336"/>
      <c r="AQ1311" s="1336"/>
      <c r="AR1311" s="1336"/>
      <c r="AS1311" s="1336"/>
      <c r="AT1311"/>
    </row>
    <row r="1312" spans="1:61" x14ac:dyDescent="0.25">
      <c r="A1312" s="2371">
        <v>7</v>
      </c>
      <c r="B1312" s="2385" t="s">
        <v>956</v>
      </c>
      <c r="C1312" s="2394" t="s">
        <v>122</v>
      </c>
      <c r="D1312" s="2374" t="s">
        <v>260</v>
      </c>
      <c r="E1312" s="2374"/>
      <c r="F1312" s="2374"/>
      <c r="G1312" s="2373" t="str">
        <f t="shared" ca="1" si="79"/>
        <v/>
      </c>
      <c r="H1312" s="2371" t="s">
        <v>3971</v>
      </c>
      <c r="I1312" s="4"/>
      <c r="J1312" s="911"/>
      <c r="K1312" s="845"/>
      <c r="L1312" s="858" t="s">
        <v>3639</v>
      </c>
      <c r="M1312" s="553">
        <f>IFERROR(INDEX({2,3,6,10,14,16,15,15},BF886),0)</f>
        <v>0</v>
      </c>
      <c r="N1312" s="664"/>
      <c r="O1312" s="1044"/>
      <c r="P1312"/>
      <c r="Q1312"/>
      <c r="R1312"/>
      <c r="S1312"/>
      <c r="T1312"/>
      <c r="U1312"/>
      <c r="V1312"/>
      <c r="W1312"/>
      <c r="X1312" s="1757"/>
      <c r="Y1312" s="2100"/>
      <c r="Z1312" s="2091"/>
      <c r="AA1312" s="1526"/>
      <c r="AC1312" s="970"/>
      <c r="AD1312" s="970"/>
      <c r="AE1312" s="970"/>
      <c r="AF1312"/>
      <c r="AG1312"/>
      <c r="AH1312"/>
      <c r="AI1312"/>
      <c r="AJ1312"/>
      <c r="AK1312"/>
      <c r="AL1312" s="254" t="str">
        <f>SUBSTITUTE(SUBSTITUTE(SUBSTITUTE("vpa"&amp;$B1312&amp;$C1312&amp;$D1312&amp;$E1312,".","_"),"(","_"),")","")</f>
        <v>vpa703_5_5_b_3</v>
      </c>
      <c r="AM1312" s="254">
        <f>M1312</f>
        <v>0</v>
      </c>
      <c r="AN1312" s="1336"/>
      <c r="AO1312" s="1336"/>
      <c r="AP1312" s="1336"/>
      <c r="AQ1312" s="1336"/>
      <c r="AR1312" s="1336"/>
      <c r="AS1312" s="1336"/>
      <c r="AT1312"/>
    </row>
    <row r="1313" spans="1:61" x14ac:dyDescent="0.25">
      <c r="A1313" s="2371">
        <v>7</v>
      </c>
      <c r="B1313" s="2385" t="s">
        <v>956</v>
      </c>
      <c r="C1313" s="2394" t="s">
        <v>122</v>
      </c>
      <c r="D1313" s="2374" t="s">
        <v>269</v>
      </c>
      <c r="E1313" s="2374"/>
      <c r="F1313" s="2374"/>
      <c r="G1313" s="2373" t="str">
        <f t="shared" ca="1" si="79"/>
        <v/>
      </c>
      <c r="H1313" s="2371" t="s">
        <v>3971</v>
      </c>
      <c r="I1313" s="4"/>
      <c r="J1313" s="911"/>
      <c r="K1313" s="845"/>
      <c r="L1313" s="858" t="s">
        <v>3640</v>
      </c>
      <c r="M1313" s="553">
        <f>IFERROR(INDEX({4,5,9,16,21,23,22,22},BF886),0)</f>
        <v>0</v>
      </c>
      <c r="N1313" s="664"/>
      <c r="O1313" s="1044"/>
      <c r="P1313"/>
      <c r="Q1313"/>
      <c r="R1313"/>
      <c r="S1313"/>
      <c r="T1313"/>
      <c r="U1313"/>
      <c r="V1313"/>
      <c r="W1313"/>
      <c r="X1313" s="1757"/>
      <c r="Y1313" s="2100"/>
      <c r="Z1313" s="2091"/>
      <c r="AA1313" s="1526"/>
      <c r="AC1313" s="970"/>
      <c r="AD1313" s="970"/>
      <c r="AE1313" s="970"/>
      <c r="AF1313"/>
      <c r="AG1313"/>
      <c r="AH1313"/>
      <c r="AI1313"/>
      <c r="AJ1313"/>
      <c r="AK1313"/>
      <c r="AL1313" s="254" t="str">
        <f>SUBSTITUTE(SUBSTITUTE(SUBSTITUTE("vpa"&amp;$B1313&amp;$C1313&amp;$D1313&amp;$E1313,".","_"),"(","_"),")","")</f>
        <v>vpa703_5_5_b_4</v>
      </c>
      <c r="AM1313" s="254">
        <f>M1313</f>
        <v>0</v>
      </c>
      <c r="AN1313" s="1336"/>
      <c r="AO1313" s="1336"/>
      <c r="AP1313" s="1336"/>
      <c r="AQ1313" s="1336"/>
      <c r="AR1313" s="1336"/>
      <c r="AS1313" s="1336"/>
      <c r="AT1313"/>
    </row>
    <row r="1314" spans="1:61" ht="15.75" thickBot="1" x14ac:dyDescent="0.3">
      <c r="A1314" s="2371">
        <v>7</v>
      </c>
      <c r="B1314" s="2385" t="s">
        <v>956</v>
      </c>
      <c r="C1314" s="2394" t="s">
        <v>122</v>
      </c>
      <c r="D1314" s="2374" t="s">
        <v>275</v>
      </c>
      <c r="E1314" s="2374"/>
      <c r="F1314" s="2374"/>
      <c r="G1314" s="2373" t="str">
        <f t="shared" ca="1" si="79"/>
        <v/>
      </c>
      <c r="H1314" s="2371" t="s">
        <v>3971</v>
      </c>
      <c r="I1314" s="240"/>
      <c r="J1314" s="99"/>
      <c r="K1314" s="852"/>
      <c r="L1314" s="1154" t="s">
        <v>3641</v>
      </c>
      <c r="M1314" s="900">
        <f>IFERROR(INDEX({6,8,12,23,30,34,33,33},BF886),0)</f>
        <v>0</v>
      </c>
      <c r="N1314" s="1052"/>
      <c r="O1314" s="1045"/>
      <c r="P1314" s="99"/>
      <c r="Q1314" s="99"/>
      <c r="R1314" s="99"/>
      <c r="S1314" s="99"/>
      <c r="T1314" s="99"/>
      <c r="U1314" s="99"/>
      <c r="V1314" s="99"/>
      <c r="W1314" s="99"/>
      <c r="X1314" s="1771"/>
      <c r="Y1314" s="2102"/>
      <c r="Z1314" s="2090"/>
      <c r="AA1314" s="1526"/>
      <c r="AC1314" s="970"/>
      <c r="AD1314" s="970"/>
      <c r="AE1314" s="970"/>
      <c r="AF1314"/>
      <c r="AG1314"/>
      <c r="AH1314"/>
      <c r="AI1314"/>
      <c r="AJ1314"/>
      <c r="AK1314"/>
      <c r="AL1314" s="254" t="str">
        <f>SUBSTITUTE(SUBSTITUTE(SUBSTITUTE("vpa"&amp;$B1314&amp;$C1314&amp;$D1314&amp;$E1314,".","_"),"(","_"),")","")</f>
        <v>vpa703_5_5_b_5</v>
      </c>
      <c r="AM1314" s="254">
        <f>M1314</f>
        <v>0</v>
      </c>
      <c r="AN1314" s="1336"/>
      <c r="AO1314" s="1336"/>
      <c r="AP1314" s="1336"/>
      <c r="AQ1314" s="1336"/>
      <c r="AR1314" s="1336"/>
      <c r="AS1314" s="1336"/>
      <c r="AT1314"/>
    </row>
    <row r="1315" spans="1:61" ht="15.75" thickTop="1" x14ac:dyDescent="0.25">
      <c r="A1315" s="2371">
        <v>7</v>
      </c>
      <c r="B1315" s="2385">
        <v>703.6</v>
      </c>
      <c r="C1315" s="2381"/>
      <c r="D1315" s="2374"/>
      <c r="E1315" s="2374"/>
      <c r="F1315" s="2374"/>
      <c r="G1315" s="2363" t="str">
        <f ca="1">IF(COUNTIF(G1318:G1327,"P")&gt;0,"P","")</f>
        <v/>
      </c>
      <c r="H1315" s="2371" t="s">
        <v>3973</v>
      </c>
      <c r="I1315" s="64">
        <v>703.6</v>
      </c>
      <c r="J1315" s="639"/>
      <c r="K1315" s="639"/>
      <c r="L1315" s="1180" t="s">
        <v>957</v>
      </c>
      <c r="M1315" s="1014"/>
      <c r="N1315" s="1042"/>
      <c r="O1315" s="1042"/>
      <c r="P1315" s="756"/>
      <c r="Q1315" s="756"/>
      <c r="R1315" s="634"/>
      <c r="S1315" s="634"/>
      <c r="T1315" s="634"/>
      <c r="U1315" s="634"/>
      <c r="V1315" s="634"/>
      <c r="W1315" s="634"/>
      <c r="X1315" s="911"/>
      <c r="Y1315" s="634"/>
      <c r="AA1315" s="1526"/>
      <c r="AB1315" s="634"/>
      <c r="AC1315" s="970"/>
      <c r="AD1315" s="970"/>
      <c r="AE1315" s="970"/>
      <c r="AF1315" s="634"/>
      <c r="AG1315" s="634"/>
      <c r="AH1315" s="634"/>
      <c r="AI1315" s="634"/>
      <c r="AJ1315" s="634"/>
      <c r="AK1315" s="634"/>
      <c r="AL1315" s="1336"/>
      <c r="AM1315" s="1336"/>
      <c r="AN1315" s="1336"/>
      <c r="AO1315" s="1336"/>
      <c r="AP1315" s="1336"/>
      <c r="AQ1315" s="1336"/>
      <c r="AR1315" s="1336"/>
      <c r="AS1315" s="1336"/>
      <c r="AT1315" s="634"/>
      <c r="AU1315" s="634"/>
      <c r="AV1315" s="634"/>
      <c r="AW1315" s="634"/>
      <c r="AX1315" s="634"/>
      <c r="AY1315" s="634"/>
      <c r="AZ1315" s="634"/>
      <c r="BA1315" s="634"/>
      <c r="BB1315" s="634"/>
      <c r="BC1315" s="634"/>
      <c r="BD1315" s="634"/>
      <c r="BE1315" s="634"/>
      <c r="BF1315" s="634"/>
      <c r="BG1315" s="634"/>
      <c r="BH1315" s="634"/>
      <c r="BI1315" s="634"/>
    </row>
    <row r="1316" spans="1:61" x14ac:dyDescent="0.25">
      <c r="A1316" s="2371">
        <v>7</v>
      </c>
      <c r="B1316" s="2385" t="s">
        <v>958</v>
      </c>
      <c r="C1316" s="2381"/>
      <c r="D1316" s="2374"/>
      <c r="E1316" s="2374"/>
      <c r="F1316" s="2374"/>
      <c r="G1316" s="2363" t="str">
        <f ca="1">IF(COUNTIF(G1318:G1322,"P")&gt;0,"P","")</f>
        <v/>
      </c>
      <c r="H1316" s="2371" t="s">
        <v>3973</v>
      </c>
      <c r="I1316" s="64" t="s">
        <v>958</v>
      </c>
      <c r="J1316" s="639"/>
      <c r="K1316" s="639"/>
      <c r="L1316" s="1884" t="s">
        <v>959</v>
      </c>
      <c r="M1316" s="1014"/>
      <c r="N1316" s="1042"/>
      <c r="O1316" s="1042"/>
      <c r="P1316" s="756"/>
      <c r="Q1316" s="756"/>
      <c r="R1316" s="634"/>
      <c r="S1316" s="634"/>
      <c r="T1316" s="634"/>
      <c r="U1316" s="634"/>
      <c r="V1316" s="634"/>
      <c r="W1316" s="634"/>
      <c r="X1316" s="911"/>
      <c r="Y1316" s="634"/>
      <c r="AA1316" s="1526"/>
      <c r="AB1316" s="634"/>
      <c r="AC1316" s="970"/>
      <c r="AD1316" s="970"/>
      <c r="AE1316" s="970"/>
      <c r="AF1316" s="634"/>
      <c r="AG1316" s="634"/>
      <c r="AH1316" s="634"/>
      <c r="AI1316" s="634"/>
      <c r="AJ1316" s="634"/>
      <c r="AK1316" s="634"/>
      <c r="AL1316" s="1336"/>
      <c r="AM1316" s="1336"/>
      <c r="AN1316" s="1336"/>
      <c r="AO1316" s="1336"/>
      <c r="AP1316" s="1336"/>
      <c r="AQ1316" s="1336"/>
      <c r="AR1316" s="1336"/>
      <c r="AS1316" s="1336"/>
      <c r="AT1316" s="634"/>
      <c r="AU1316" s="634"/>
      <c r="AV1316" s="634"/>
      <c r="AW1316" s="634"/>
      <c r="AX1316" s="634"/>
      <c r="AY1316" s="634"/>
      <c r="AZ1316" s="634"/>
      <c r="BA1316" s="634"/>
      <c r="BB1316" s="634"/>
      <c r="BC1316" s="634"/>
      <c r="BD1316" s="634"/>
      <c r="BE1316" s="634"/>
      <c r="BF1316" s="634"/>
      <c r="BG1316" s="634"/>
      <c r="BH1316" s="634"/>
      <c r="BI1316" s="634"/>
    </row>
    <row r="1317" spans="1:61" x14ac:dyDescent="0.25">
      <c r="A1317" s="2371">
        <v>7</v>
      </c>
      <c r="B1317" s="2385" t="s">
        <v>958</v>
      </c>
      <c r="C1317" s="2381"/>
      <c r="D1317" s="2374"/>
      <c r="E1317" s="2374"/>
      <c r="F1317" s="2374"/>
      <c r="G1317" s="2373" t="str">
        <f ca="1">G1316</f>
        <v/>
      </c>
      <c r="H1317" s="2371" t="s">
        <v>3973</v>
      </c>
      <c r="I1317" s="64"/>
      <c r="J1317" s="639"/>
      <c r="K1317" s="639"/>
      <c r="L1317" s="1884"/>
      <c r="M1317" s="1014"/>
      <c r="N1317" s="1042"/>
      <c r="O1317" s="1042"/>
      <c r="P1317" s="756"/>
      <c r="Q1317" s="756"/>
      <c r="R1317" s="634"/>
      <c r="S1317" s="634"/>
      <c r="T1317" s="634"/>
      <c r="U1317" s="634"/>
      <c r="V1317" s="634"/>
      <c r="W1317" s="634"/>
      <c r="X1317" s="911"/>
      <c r="Y1317" s="634"/>
      <c r="AA1317" s="1526"/>
      <c r="AB1317" s="634"/>
      <c r="AC1317" s="970"/>
      <c r="AD1317" s="970"/>
      <c r="AE1317" s="970"/>
      <c r="AF1317" s="634"/>
      <c r="AG1317" s="634"/>
      <c r="AH1317" s="634"/>
      <c r="AI1317" s="634"/>
      <c r="AJ1317" s="634"/>
      <c r="AK1317" s="634"/>
      <c r="AL1317" s="1336"/>
      <c r="AM1317" s="1336"/>
      <c r="AN1317" s="1336"/>
      <c r="AO1317" s="1336"/>
      <c r="AP1317" s="1336"/>
      <c r="AQ1317" s="1336"/>
      <c r="AR1317" s="1336"/>
      <c r="AS1317" s="1336"/>
      <c r="AT1317" s="634"/>
      <c r="AU1317" s="634"/>
      <c r="AV1317" s="634"/>
      <c r="AW1317" s="634"/>
      <c r="AX1317" s="634"/>
      <c r="AY1317" s="634"/>
      <c r="AZ1317" s="634"/>
      <c r="BA1317" s="634"/>
      <c r="BB1317" s="634"/>
      <c r="BC1317" s="634"/>
      <c r="BD1317" s="634"/>
      <c r="BE1317" s="634"/>
      <c r="BF1317" s="634"/>
      <c r="BG1317" s="634"/>
      <c r="BH1317" s="634"/>
      <c r="BI1317" s="634"/>
    </row>
    <row r="1318" spans="1:61" ht="15" customHeight="1" x14ac:dyDescent="0.25">
      <c r="A1318" s="2371">
        <v>7</v>
      </c>
      <c r="B1318" s="2385" t="s">
        <v>958</v>
      </c>
      <c r="C1318" s="2374" t="s">
        <v>256</v>
      </c>
      <c r="D1318" s="2374"/>
      <c r="E1318" s="2374"/>
      <c r="F1318" s="2374"/>
      <c r="G1318" s="2373" t="str">
        <f ca="1">IF(N1318&gt;0,"P","")</f>
        <v/>
      </c>
      <c r="H1318" s="2371" t="s">
        <v>3973</v>
      </c>
      <c r="I1318" s="4"/>
      <c r="J1318" s="518" t="s">
        <v>256</v>
      </c>
      <c r="K1318" s="636"/>
      <c r="L1318" s="1787" t="s">
        <v>5236</v>
      </c>
      <c r="M1318" s="1758">
        <f>IFERROR(INDEX({3,3,3,2,2,2,2,2},BF886),0)</f>
        <v>0</v>
      </c>
      <c r="N1318" s="1927">
        <f ca="1">'Ch7'!O448</f>
        <v>0</v>
      </c>
      <c r="O1318" s="1927">
        <f ca="1">M1318*S1318*W1318</f>
        <v>0</v>
      </c>
      <c r="P1318" s="94" t="b">
        <v>0</v>
      </c>
      <c r="Q1318" s="94" t="b">
        <v>1</v>
      </c>
      <c r="R1318" s="634" t="b">
        <v>0</v>
      </c>
      <c r="S1318" s="634" t="b">
        <f ca="1">AND(S883=2,NOT(W1322),NOT(W1320))</f>
        <v>0</v>
      </c>
      <c r="T1318" s="94" t="b">
        <f ca="1">AND(NOT(S1318),W1318=TRUE)</f>
        <v>0</v>
      </c>
      <c r="U1318" s="634"/>
      <c r="V1318" s="634"/>
      <c r="W1318" s="25"/>
      <c r="X1318" s="1757"/>
      <c r="Y1318" s="2081" t="str">
        <f>IF(LEN('Ch7'!X448)=0,"None",'Ch7'!X448)</f>
        <v>None</v>
      </c>
      <c r="Z1318" s="2083"/>
      <c r="AA1318" s="1526"/>
      <c r="AB1318" s="634"/>
      <c r="AC1318" s="970" t="b">
        <f ca="1">OR(AD1318:AE1318)</f>
        <v>0</v>
      </c>
      <c r="AD1318" s="970" t="b">
        <f ca="1">T1318</f>
        <v>0</v>
      </c>
      <c r="AE1318" s="970"/>
      <c r="AF1318" s="784"/>
      <c r="AG1318" s="634"/>
      <c r="AH1318" s="634"/>
      <c r="AI1318" s="634"/>
      <c r="AJ1318" s="634"/>
      <c r="AK1318" s="634"/>
      <c r="AL1318" s="254" t="str">
        <f>SUBSTITUTE(SUBSTITUTE(SUBSTITUTE("vpa"&amp;$B1318&amp;$C1318&amp;$D1318&amp;$E1318,".","_"),"(","_"),")","")</f>
        <v>vpa703_6_1_1</v>
      </c>
      <c r="AM1318" s="254">
        <f>M1318</f>
        <v>0</v>
      </c>
      <c r="AN1318" s="254" t="str">
        <f>SUBSTITUTE(SUBSTITUTE(SUBSTITUTE("vpc"&amp;$B1318&amp;$C1318&amp;$D1318&amp;$E1318,".","_"),"(","_"),")","")</f>
        <v>vpc703_6_1_1</v>
      </c>
      <c r="AO1318" s="254">
        <f ca="1">O1318</f>
        <v>0</v>
      </c>
      <c r="AP1318" s="254" t="str">
        <f>SUBSTITUTE(SUBSTITUTE(SUBSTITUTE("vch"&amp;$B1318&amp;$C1318&amp;$D1318&amp;$E1318,".","_"),"(","_"),")","")</f>
        <v>vch703_6_1_1</v>
      </c>
      <c r="AQ1318" s="254" t="str">
        <f>IF(LEN(W1318)=0,"",W1318)</f>
        <v/>
      </c>
      <c r="AR1318" s="254" t="str">
        <f>SUBSTITUTE(SUBSTITUTE(SUBSTITUTE("vnt"&amp;$B1318&amp;$C1318&amp;$D1318&amp;$E1318,".","_"),"(","_"),")","")</f>
        <v>vnt703_6_1_1</v>
      </c>
      <c r="AS1318" s="254" t="str">
        <f>IF(LEN(X1318)=0,"",X1318)</f>
        <v/>
      </c>
      <c r="AT1318" s="634"/>
      <c r="AU1318" s="634"/>
      <c r="AV1318" s="634"/>
      <c r="AW1318" s="634"/>
      <c r="AX1318" s="634"/>
      <c r="AY1318" s="634"/>
      <c r="AZ1318" s="634"/>
      <c r="BA1318" s="634"/>
      <c r="BB1318" s="634"/>
      <c r="BC1318" s="634"/>
      <c r="BD1318" s="634"/>
      <c r="BE1318" s="634"/>
      <c r="BF1318" s="634"/>
      <c r="BG1318" s="634"/>
      <c r="BH1318" s="634"/>
      <c r="BI1318" s="634"/>
    </row>
    <row r="1319" spans="1:61" x14ac:dyDescent="0.25">
      <c r="A1319" s="2371">
        <v>7</v>
      </c>
      <c r="B1319" s="2385" t="s">
        <v>958</v>
      </c>
      <c r="C1319" s="2374" t="s">
        <v>256</v>
      </c>
      <c r="D1319" s="2374"/>
      <c r="E1319" s="2374"/>
      <c r="F1319" s="2374"/>
      <c r="G1319" s="2373" t="str">
        <f ca="1">G1318</f>
        <v/>
      </c>
      <c r="H1319" s="2371" t="s">
        <v>3973</v>
      </c>
      <c r="I1319" s="4"/>
      <c r="J1319" s="530"/>
      <c r="K1319" s="637"/>
      <c r="L1319" s="1786"/>
      <c r="M1319" s="1759"/>
      <c r="N1319" s="2076"/>
      <c r="O1319" s="2076"/>
      <c r="P1319" s="756"/>
      <c r="Q1319" s="756"/>
      <c r="R1319" s="634"/>
      <c r="S1319" s="634"/>
      <c r="T1319" s="634"/>
      <c r="U1319" s="634"/>
      <c r="V1319" s="634"/>
      <c r="W1319" s="634"/>
      <c r="X1319" s="1757"/>
      <c r="Y1319" s="2081"/>
      <c r="Z1319" s="2083"/>
      <c r="AA1319" s="1526"/>
      <c r="AB1319" s="634"/>
      <c r="AC1319" s="970"/>
      <c r="AD1319" s="970"/>
      <c r="AE1319" s="970"/>
      <c r="AF1319" s="634"/>
      <c r="AG1319" s="634"/>
      <c r="AH1319" s="634"/>
      <c r="AI1319" s="634"/>
      <c r="AJ1319" s="634"/>
      <c r="AK1319" s="634"/>
      <c r="AL1319" s="1336"/>
      <c r="AM1319" s="1336"/>
      <c r="AN1319" s="1336"/>
      <c r="AO1319" s="1336"/>
      <c r="AP1319" s="1336"/>
      <c r="AQ1319" s="1336"/>
      <c r="AR1319" s="1336"/>
      <c r="AS1319" s="1336"/>
      <c r="AT1319" s="634"/>
      <c r="AU1319" s="634"/>
      <c r="AV1319" s="634"/>
      <c r="AW1319" s="634"/>
      <c r="AX1319" s="634"/>
      <c r="AY1319" s="634"/>
      <c r="AZ1319" s="634"/>
      <c r="BA1319" s="634"/>
      <c r="BB1319" s="634"/>
      <c r="BC1319" s="634"/>
      <c r="BD1319" s="634"/>
      <c r="BE1319" s="634"/>
      <c r="BF1319" s="634"/>
      <c r="BG1319" s="634"/>
      <c r="BH1319" s="634"/>
      <c r="BI1319" s="634"/>
    </row>
    <row r="1320" spans="1:61" ht="15" customHeight="1" x14ac:dyDescent="0.25">
      <c r="A1320" s="2371">
        <v>7</v>
      </c>
      <c r="B1320" s="2385" t="s">
        <v>958</v>
      </c>
      <c r="C1320" s="2374" t="s">
        <v>258</v>
      </c>
      <c r="D1320" s="2374"/>
      <c r="E1320" s="2374"/>
      <c r="F1320" s="2374"/>
      <c r="G1320" s="2373" t="str">
        <f ca="1">IF(N1320&gt;0,"P","")</f>
        <v/>
      </c>
      <c r="H1320" s="2371" t="s">
        <v>3973</v>
      </c>
      <c r="I1320" s="4"/>
      <c r="J1320" s="549" t="s">
        <v>258</v>
      </c>
      <c r="K1320" s="641"/>
      <c r="L1320" s="1787" t="s">
        <v>4316</v>
      </c>
      <c r="M1320" s="1762">
        <v>1</v>
      </c>
      <c r="N1320" s="2079">
        <f ca="1">'Ch7'!O450</f>
        <v>0</v>
      </c>
      <c r="O1320" s="2079">
        <f ca="1">M1320*S1320*W1320</f>
        <v>0</v>
      </c>
      <c r="P1320" s="94" t="b">
        <v>0</v>
      </c>
      <c r="Q1320" s="94" t="b">
        <v>1</v>
      </c>
      <c r="R1320" s="634" t="b">
        <v>0</v>
      </c>
      <c r="S1320" s="634" t="b">
        <f ca="1">AND(S883=2,NOT(W1322),NOT(W1318))</f>
        <v>0</v>
      </c>
      <c r="T1320" s="94" t="b">
        <f ca="1">AND(NOT(S1320),W1320=TRUE)</f>
        <v>0</v>
      </c>
      <c r="U1320" s="634"/>
      <c r="V1320" s="634"/>
      <c r="W1320" s="25"/>
      <c r="X1320" s="1757"/>
      <c r="Y1320" s="2081" t="str">
        <f>IF(LEN('Ch7'!X450)=0,"None",'Ch7'!X450)</f>
        <v>None</v>
      </c>
      <c r="Z1320" s="2083"/>
      <c r="AA1320" s="1526"/>
      <c r="AB1320" s="634"/>
      <c r="AC1320" s="970" t="b">
        <f ca="1">OR(AD1320:AE1320)</f>
        <v>0</v>
      </c>
      <c r="AD1320" s="970" t="b">
        <f ca="1">T1320</f>
        <v>0</v>
      </c>
      <c r="AE1320" s="970"/>
      <c r="AF1320" s="784"/>
      <c r="AG1320" s="634"/>
      <c r="AH1320" s="634"/>
      <c r="AI1320" s="634"/>
      <c r="AJ1320" s="634"/>
      <c r="AK1320" s="634"/>
      <c r="AL1320" s="254" t="str">
        <f>SUBSTITUTE(SUBSTITUTE(SUBSTITUTE("vpa"&amp;$B1320&amp;$C1320&amp;$D1320&amp;$E1320,".","_"),"(","_"),")","")</f>
        <v>vpa703_6_1_2</v>
      </c>
      <c r="AM1320" s="254">
        <f>M1320</f>
        <v>1</v>
      </c>
      <c r="AN1320" s="254" t="str">
        <f>SUBSTITUTE(SUBSTITUTE(SUBSTITUTE("vpc"&amp;$B1320&amp;$C1320&amp;$D1320&amp;$E1320,".","_"),"(","_"),")","")</f>
        <v>vpc703_6_1_2</v>
      </c>
      <c r="AO1320" s="254">
        <f ca="1">O1320</f>
        <v>0</v>
      </c>
      <c r="AP1320" s="254" t="str">
        <f>SUBSTITUTE(SUBSTITUTE(SUBSTITUTE("vch"&amp;$B1320&amp;$C1320&amp;$D1320&amp;$E1320,".","_"),"(","_"),")","")</f>
        <v>vch703_6_1_2</v>
      </c>
      <c r="AQ1320" s="254" t="str">
        <f>IF(LEN(W1320)=0,"",W1320)</f>
        <v/>
      </c>
      <c r="AR1320" s="254" t="str">
        <f>SUBSTITUTE(SUBSTITUTE(SUBSTITUTE("vnt"&amp;$B1320&amp;$C1320&amp;$D1320&amp;$E1320,".","_"),"(","_"),")","")</f>
        <v>vnt703_6_1_2</v>
      </c>
      <c r="AS1320" s="254" t="str">
        <f>IF(LEN(X1320)=0,"",X1320)</f>
        <v/>
      </c>
      <c r="AT1320" s="634"/>
      <c r="AU1320" s="634"/>
      <c r="AV1320" s="634"/>
      <c r="AW1320" s="634"/>
      <c r="AX1320" s="634"/>
      <c r="AY1320" s="634"/>
      <c r="AZ1320" s="634"/>
      <c r="BA1320" s="634"/>
      <c r="BB1320" s="634"/>
      <c r="BC1320" s="634"/>
      <c r="BD1320" s="634"/>
      <c r="BE1320" s="634"/>
      <c r="BF1320" s="634"/>
      <c r="BG1320" s="634"/>
      <c r="BH1320" s="634"/>
      <c r="BI1320" s="634"/>
    </row>
    <row r="1321" spans="1:61" x14ac:dyDescent="0.25">
      <c r="A1321" s="2371">
        <v>7</v>
      </c>
      <c r="B1321" s="2385" t="s">
        <v>958</v>
      </c>
      <c r="C1321" s="2374" t="s">
        <v>258</v>
      </c>
      <c r="D1321" s="2374"/>
      <c r="E1321" s="2374"/>
      <c r="F1321" s="2374"/>
      <c r="G1321" s="2373" t="str">
        <f ca="1">G1320</f>
        <v/>
      </c>
      <c r="H1321" s="2371" t="s">
        <v>3973</v>
      </c>
      <c r="I1321" s="4"/>
      <c r="J1321" s="637"/>
      <c r="K1321" s="637"/>
      <c r="L1321" s="1786"/>
      <c r="M1321" s="1759"/>
      <c r="N1321" s="2076"/>
      <c r="O1321" s="2076"/>
      <c r="P1321" s="756"/>
      <c r="Q1321" s="756"/>
      <c r="R1321" s="634"/>
      <c r="S1321" s="634"/>
      <c r="T1321" s="634"/>
      <c r="U1321" s="634"/>
      <c r="V1321" s="634"/>
      <c r="W1321" s="634"/>
      <c r="X1321" s="1757"/>
      <c r="Y1321" s="2081"/>
      <c r="Z1321" s="2083"/>
      <c r="AA1321" s="1526"/>
      <c r="AB1321" s="634"/>
      <c r="AC1321" s="970"/>
      <c r="AD1321" s="970"/>
      <c r="AE1321" s="970"/>
      <c r="AF1321" s="634"/>
      <c r="AG1321" s="634"/>
      <c r="AH1321" s="634"/>
      <c r="AI1321" s="634"/>
      <c r="AJ1321" s="634"/>
      <c r="AK1321" s="634"/>
      <c r="AL1321" s="1336"/>
      <c r="AM1321" s="1336"/>
      <c r="AN1321" s="1336"/>
      <c r="AO1321" s="1336"/>
      <c r="AP1321" s="1336"/>
      <c r="AQ1321" s="1336"/>
      <c r="AR1321" s="1336"/>
      <c r="AS1321" s="1336"/>
      <c r="AT1321" s="634"/>
      <c r="AU1321" s="634"/>
      <c r="AV1321" s="634"/>
      <c r="AW1321" s="634"/>
      <c r="AX1321" s="634"/>
      <c r="AY1321" s="634"/>
      <c r="AZ1321" s="634"/>
      <c r="BA1321" s="634"/>
      <c r="BB1321" s="634"/>
      <c r="BC1321" s="634"/>
      <c r="BD1321" s="634"/>
      <c r="BE1321" s="634"/>
      <c r="BF1321" s="634"/>
      <c r="BG1321" s="634"/>
      <c r="BH1321" s="634"/>
      <c r="BI1321" s="634"/>
    </row>
    <row r="1322" spans="1:61" x14ac:dyDescent="0.25">
      <c r="A1322" s="2371">
        <v>7</v>
      </c>
      <c r="B1322" s="2385" t="s">
        <v>958</v>
      </c>
      <c r="C1322" s="2374" t="s">
        <v>260</v>
      </c>
      <c r="D1322" s="2374"/>
      <c r="E1322" s="2374"/>
      <c r="F1322" s="2374"/>
      <c r="G1322" s="2373" t="str">
        <f ca="1">IF(N1322&gt;0,"P","")</f>
        <v/>
      </c>
      <c r="H1322" s="2371" t="s">
        <v>3973</v>
      </c>
      <c r="I1322" s="129"/>
      <c r="J1322" s="518" t="s">
        <v>260</v>
      </c>
      <c r="K1322" s="636"/>
      <c r="L1322" s="1754" t="s">
        <v>960</v>
      </c>
      <c r="M1322" s="1758">
        <v>7</v>
      </c>
      <c r="N1322" s="1927">
        <f ca="1">'Ch7'!O452</f>
        <v>0</v>
      </c>
      <c r="O1322" s="1927">
        <f ca="1">M1322*S1322*W1322</f>
        <v>0</v>
      </c>
      <c r="P1322" s="94" t="b">
        <v>0</v>
      </c>
      <c r="Q1322" s="94" t="b">
        <v>1</v>
      </c>
      <c r="R1322" s="94" t="b">
        <v>0</v>
      </c>
      <c r="S1322" s="94" t="b">
        <f ca="1">AND(S883=2,IF(AY889=INDEX(ddSingleOrMulti,2),TRUE,FALSE),NOT(W1320),NOT(W1318))</f>
        <v>0</v>
      </c>
      <c r="T1322" s="94" t="b">
        <f ca="1">AND(NOT(S1322),W1322=TRUE)</f>
        <v>0</v>
      </c>
      <c r="U1322" s="94"/>
      <c r="V1322" s="94"/>
      <c r="W1322" s="25"/>
      <c r="X1322" s="1757"/>
      <c r="Y1322" s="2081" t="str">
        <f>IF(LEN('Ch7'!X452)=0,"None",'Ch7'!X452)</f>
        <v>None</v>
      </c>
      <c r="Z1322" s="2083"/>
      <c r="AA1322" s="1526"/>
      <c r="AB1322" s="634"/>
      <c r="AC1322" s="970" t="b">
        <f ca="1">OR(AD1322:AE1322)</f>
        <v>0</v>
      </c>
      <c r="AD1322" s="970" t="b">
        <f ca="1">T1322</f>
        <v>0</v>
      </c>
      <c r="AE1322" s="970"/>
      <c r="AF1322" s="784"/>
      <c r="AG1322" s="634"/>
      <c r="AH1322" s="634"/>
      <c r="AI1322" s="634"/>
      <c r="AJ1322" s="634"/>
      <c r="AK1322" s="634"/>
      <c r="AL1322" s="254" t="str">
        <f>SUBSTITUTE(SUBSTITUTE(SUBSTITUTE("vpa"&amp;$B1322&amp;$C1322&amp;$D1322&amp;$E1322,".","_"),"(","_"),")","")</f>
        <v>vpa703_6_1_3</v>
      </c>
      <c r="AM1322" s="254">
        <f>M1322</f>
        <v>7</v>
      </c>
      <c r="AN1322" s="254" t="str">
        <f>SUBSTITUTE(SUBSTITUTE(SUBSTITUTE("vpc"&amp;$B1322&amp;$C1322&amp;$D1322&amp;$E1322,".","_"),"(","_"),")","")</f>
        <v>vpc703_6_1_3</v>
      </c>
      <c r="AO1322" s="254">
        <f ca="1">O1322</f>
        <v>0</v>
      </c>
      <c r="AP1322" s="254" t="str">
        <f>SUBSTITUTE(SUBSTITUTE(SUBSTITUTE("vch"&amp;$B1322&amp;$C1322&amp;$D1322&amp;$E1322,".","_"),"(","_"),")","")</f>
        <v>vch703_6_1_3</v>
      </c>
      <c r="AQ1322" s="254" t="str">
        <f>IF(LEN(W1322)=0,"",W1322)</f>
        <v/>
      </c>
      <c r="AR1322" s="254" t="str">
        <f>SUBSTITUTE(SUBSTITUTE(SUBSTITUTE("vnt"&amp;$B1322&amp;$C1322&amp;$D1322&amp;$E1322,".","_"),"(","_"),")","")</f>
        <v>vnt703_6_1_3</v>
      </c>
      <c r="AS1322" s="254" t="str">
        <f>IF(LEN(X1322)=0,"",X1322)</f>
        <v/>
      </c>
      <c r="AT1322" s="634"/>
      <c r="AU1322" s="634"/>
      <c r="AV1322" s="634"/>
      <c r="AW1322" s="634"/>
      <c r="AX1322" s="634"/>
      <c r="AY1322" s="634"/>
      <c r="AZ1322" s="634"/>
      <c r="BA1322" s="634"/>
      <c r="BB1322" s="634"/>
      <c r="BC1322" s="634"/>
      <c r="BD1322" s="634"/>
      <c r="BE1322" s="634"/>
      <c r="BF1322" s="634"/>
      <c r="BG1322" s="634"/>
      <c r="BH1322" s="634"/>
      <c r="BI1322" s="634"/>
    </row>
    <row r="1323" spans="1:61" x14ac:dyDescent="0.25">
      <c r="A1323" s="2371">
        <v>7</v>
      </c>
      <c r="B1323" s="2385" t="s">
        <v>958</v>
      </c>
      <c r="C1323" s="2374" t="s">
        <v>260</v>
      </c>
      <c r="D1323" s="2374"/>
      <c r="E1323" s="2374"/>
      <c r="F1323" s="2374"/>
      <c r="G1323" s="2373" t="str">
        <f ca="1">G1322</f>
        <v/>
      </c>
      <c r="H1323" s="2371" t="s">
        <v>3973</v>
      </c>
      <c r="I1323" s="210"/>
      <c r="J1323" s="637"/>
      <c r="K1323" s="637"/>
      <c r="L1323" s="1755"/>
      <c r="M1323" s="1759"/>
      <c r="N1323" s="2076"/>
      <c r="O1323" s="2076"/>
      <c r="P1323" s="178"/>
      <c r="Q1323" s="178"/>
      <c r="R1323" s="178"/>
      <c r="S1323" s="178"/>
      <c r="T1323" s="178"/>
      <c r="U1323" s="178"/>
      <c r="V1323" s="178"/>
      <c r="W1323" s="178"/>
      <c r="X1323" s="1757"/>
      <c r="Y1323" s="2081"/>
      <c r="Z1323" s="2083"/>
      <c r="AA1323" s="1526"/>
      <c r="AB1323" s="634"/>
      <c r="AC1323" s="970"/>
      <c r="AD1323" s="970"/>
      <c r="AE1323" s="970"/>
      <c r="AF1323" s="634"/>
      <c r="AG1323" s="634"/>
      <c r="AH1323" s="634"/>
      <c r="AI1323" s="634"/>
      <c r="AJ1323" s="634"/>
      <c r="AK1323" s="634"/>
      <c r="AL1323" s="1336"/>
      <c r="AM1323" s="1336"/>
      <c r="AN1323" s="1336"/>
      <c r="AO1323" s="1336"/>
      <c r="AP1323" s="1336"/>
      <c r="AQ1323" s="1336"/>
      <c r="AR1323" s="1336"/>
      <c r="AS1323" s="1336"/>
      <c r="AT1323" s="634"/>
      <c r="AU1323" s="634"/>
      <c r="AV1323" s="634"/>
      <c r="AW1323" s="634"/>
      <c r="AX1323" s="634"/>
      <c r="AY1323" s="634"/>
      <c r="AZ1323" s="634"/>
      <c r="BA1323" s="634"/>
      <c r="BB1323" s="634"/>
      <c r="BC1323" s="634"/>
      <c r="BD1323" s="634"/>
      <c r="BE1323" s="634"/>
      <c r="BF1323" s="634"/>
      <c r="BG1323" s="634"/>
      <c r="BH1323" s="634"/>
      <c r="BI1323" s="634"/>
    </row>
    <row r="1324" spans="1:61" x14ac:dyDescent="0.25">
      <c r="A1324" s="2371">
        <v>7</v>
      </c>
      <c r="B1324" s="2385" t="s">
        <v>961</v>
      </c>
      <c r="C1324" s="2374"/>
      <c r="D1324" s="2374"/>
      <c r="E1324" s="2374"/>
      <c r="F1324" s="2374"/>
      <c r="G1324" s="2363" t="str">
        <f ca="1">IF(COUNTIF(G1325:G1327,"P")&gt;0,"P","")</f>
        <v/>
      </c>
      <c r="H1324" s="2371" t="s">
        <v>3973</v>
      </c>
      <c r="I1324" s="66" t="s">
        <v>961</v>
      </c>
      <c r="J1324" s="639"/>
      <c r="K1324" s="639"/>
      <c r="L1324" s="1180" t="s">
        <v>962</v>
      </c>
      <c r="M1324" s="1014"/>
      <c r="N1324" s="1042"/>
      <c r="O1324" s="1042"/>
      <c r="P1324" s="756"/>
      <c r="Q1324" s="756"/>
      <c r="R1324" s="634"/>
      <c r="S1324" s="634"/>
      <c r="T1324" s="634"/>
      <c r="U1324" s="634"/>
      <c r="V1324" s="634"/>
      <c r="W1324" s="634"/>
      <c r="X1324" s="911"/>
      <c r="Y1324" s="634"/>
      <c r="AA1324" s="1526"/>
      <c r="AB1324" s="634"/>
      <c r="AC1324" s="970"/>
      <c r="AD1324" s="970"/>
      <c r="AE1324" s="970"/>
      <c r="AF1324" s="634"/>
      <c r="AG1324" s="634"/>
      <c r="AH1324" s="634"/>
      <c r="AI1324" s="634"/>
      <c r="AJ1324" s="634"/>
      <c r="AK1324" s="634"/>
      <c r="AL1324" s="1336"/>
      <c r="AM1324" s="1336"/>
      <c r="AN1324" s="1336"/>
      <c r="AO1324" s="1336"/>
      <c r="AP1324" s="1336"/>
      <c r="AQ1324" s="1336"/>
      <c r="AR1324" s="1336"/>
      <c r="AS1324" s="1336"/>
      <c r="AT1324" s="634"/>
      <c r="AU1324" s="634"/>
      <c r="AV1324" s="634"/>
      <c r="AW1324" s="634"/>
      <c r="AX1324" s="634"/>
      <c r="AY1324" s="634"/>
      <c r="AZ1324" s="634"/>
      <c r="BA1324" s="634"/>
      <c r="BB1324" s="634"/>
      <c r="BC1324" s="634"/>
      <c r="BD1324" s="634"/>
      <c r="BE1324" s="634"/>
      <c r="BF1324" s="634"/>
      <c r="BG1324" s="634"/>
      <c r="BH1324" s="634"/>
      <c r="BI1324" s="634"/>
    </row>
    <row r="1325" spans="1:61" x14ac:dyDescent="0.25">
      <c r="A1325" s="2371">
        <v>7</v>
      </c>
      <c r="B1325" s="2385" t="s">
        <v>961</v>
      </c>
      <c r="C1325" s="2374" t="s">
        <v>256</v>
      </c>
      <c r="D1325" s="2374"/>
      <c r="E1325" s="2374"/>
      <c r="F1325" s="2374"/>
      <c r="G1325" s="2373" t="str">
        <f ca="1">IF(N1325&gt;0,"P","")</f>
        <v/>
      </c>
      <c r="H1325" s="2371" t="s">
        <v>3973</v>
      </c>
      <c r="I1325" s="4"/>
      <c r="J1325" s="530" t="s">
        <v>256</v>
      </c>
      <c r="K1325" s="637"/>
      <c r="L1325" s="552" t="s">
        <v>963</v>
      </c>
      <c r="M1325" s="1015">
        <v>1</v>
      </c>
      <c r="N1325" s="1047">
        <f ca="1">'Ch7'!O455</f>
        <v>0</v>
      </c>
      <c r="O1325" s="1047">
        <f ca="1">M1325*S1325*W1325</f>
        <v>0</v>
      </c>
      <c r="P1325" s="94" t="b">
        <v>0</v>
      </c>
      <c r="Q1325" s="94" t="b">
        <v>1</v>
      </c>
      <c r="R1325" s="634" t="b">
        <v>0</v>
      </c>
      <c r="S1325" s="634" t="b">
        <f ca="1">(S883=2)</f>
        <v>0</v>
      </c>
      <c r="T1325" s="94" t="b">
        <f ca="1">AND(NOT(S1325),W1325=TRUE)</f>
        <v>0</v>
      </c>
      <c r="U1325" s="634"/>
      <c r="V1325" s="634"/>
      <c r="W1325" s="25"/>
      <c r="X1325" s="918"/>
      <c r="Y1325" s="988" t="str">
        <f>IF(LEN('Ch7'!X455)=0,"None",'Ch7'!X455)</f>
        <v>None</v>
      </c>
      <c r="Z1325" s="1587"/>
      <c r="AA1325" s="1526"/>
      <c r="AB1325" s="634"/>
      <c r="AC1325" s="970" t="b">
        <f ca="1">OR(AD1325:AE1325)</f>
        <v>0</v>
      </c>
      <c r="AD1325" s="970" t="b">
        <f ca="1">T1325</f>
        <v>0</v>
      </c>
      <c r="AE1325" s="970"/>
      <c r="AF1325" s="784"/>
      <c r="AG1325" s="634"/>
      <c r="AH1325" s="634"/>
      <c r="AI1325" s="634"/>
      <c r="AJ1325" s="634"/>
      <c r="AK1325" s="634"/>
      <c r="AL1325" s="254" t="str">
        <f>SUBSTITUTE(SUBSTITUTE(SUBSTITUTE("vpa"&amp;$B1325&amp;$C1325&amp;$D1325&amp;$E1325,".","_"),"(","_"),")","")</f>
        <v>vpa703_6_2 _1</v>
      </c>
      <c r="AM1325" s="254">
        <f>M1325</f>
        <v>1</v>
      </c>
      <c r="AN1325" s="254" t="str">
        <f>SUBSTITUTE(SUBSTITUTE(SUBSTITUTE("vpc"&amp;$B1325&amp;$C1325&amp;$D1325&amp;$E1325,".","_"),"(","_"),")","")</f>
        <v>vpc703_6_2 _1</v>
      </c>
      <c r="AO1325" s="254">
        <f ca="1">O1325</f>
        <v>0</v>
      </c>
      <c r="AP1325" s="254" t="str">
        <f>SUBSTITUTE(SUBSTITUTE(SUBSTITUTE("vch"&amp;$B1325&amp;$C1325&amp;$D1325&amp;$E1325,".","_"),"(","_"),")","")</f>
        <v>vch703_6_2 _1</v>
      </c>
      <c r="AQ1325" s="254" t="str">
        <f>IF(LEN(W1325)=0,"",W1325)</f>
        <v/>
      </c>
      <c r="AR1325" s="254" t="str">
        <f>SUBSTITUTE(SUBSTITUTE(SUBSTITUTE("vnt"&amp;$B1325&amp;$C1325&amp;$D1325&amp;$E1325,".","_"),"(","_"),")","")</f>
        <v>vnt703_6_2 _1</v>
      </c>
      <c r="AS1325" s="254" t="str">
        <f>IF(LEN(X1325)=0,"",X1325)</f>
        <v/>
      </c>
      <c r="AT1325" s="634"/>
      <c r="AU1325" s="634"/>
      <c r="AV1325" s="634"/>
      <c r="AW1325" s="634"/>
      <c r="AX1325" s="634"/>
      <c r="AY1325" s="634"/>
      <c r="AZ1325" s="634"/>
      <c r="BA1325" s="634"/>
      <c r="BB1325" s="634"/>
      <c r="BC1325" s="634"/>
      <c r="BD1325" s="634"/>
      <c r="BE1325" s="634"/>
      <c r="BF1325" s="634"/>
      <c r="BG1325" s="634"/>
      <c r="BH1325" s="634"/>
      <c r="BI1325" s="634"/>
    </row>
    <row r="1326" spans="1:61" x14ac:dyDescent="0.25">
      <c r="A1326" s="2371">
        <v>7</v>
      </c>
      <c r="B1326" s="2385" t="s">
        <v>961</v>
      </c>
      <c r="C1326" s="2374" t="s">
        <v>258</v>
      </c>
      <c r="D1326" s="2374"/>
      <c r="E1326" s="2374"/>
      <c r="F1326" s="2374"/>
      <c r="G1326" s="2373" t="str">
        <f ca="1">IF(N1326&gt;0,"P","")</f>
        <v/>
      </c>
      <c r="H1326" s="2371" t="s">
        <v>3973</v>
      </c>
      <c r="I1326" s="4"/>
      <c r="J1326" s="550" t="s">
        <v>258</v>
      </c>
      <c r="K1326" s="280"/>
      <c r="L1326" s="280" t="s">
        <v>964</v>
      </c>
      <c r="M1326" s="1036">
        <v>1</v>
      </c>
      <c r="N1326" s="1049">
        <f ca="1">'Ch7'!O456</f>
        <v>0</v>
      </c>
      <c r="O1326" s="1049">
        <f ca="1">M1326*S1326*W1326</f>
        <v>0</v>
      </c>
      <c r="P1326" s="94" t="b">
        <v>0</v>
      </c>
      <c r="Q1326" s="94" t="b">
        <v>1</v>
      </c>
      <c r="R1326" s="634" t="b">
        <v>0</v>
      </c>
      <c r="S1326" s="634" t="b">
        <f ca="1">(S883=2)</f>
        <v>0</v>
      </c>
      <c r="T1326" s="94" t="b">
        <f ca="1">AND(NOT(S1326),W1326=TRUE)</f>
        <v>0</v>
      </c>
      <c r="U1326" s="634"/>
      <c r="V1326" s="634"/>
      <c r="W1326" s="25"/>
      <c r="X1326" s="918"/>
      <c r="Y1326" s="988" t="str">
        <f>IF(LEN('Ch7'!X456)=0,"None",'Ch7'!X456)</f>
        <v>None</v>
      </c>
      <c r="Z1326" s="1587"/>
      <c r="AA1326" s="1526"/>
      <c r="AB1326" s="634"/>
      <c r="AC1326" s="970" t="b">
        <f ca="1">OR(AD1326:AE1326)</f>
        <v>0</v>
      </c>
      <c r="AD1326" s="970" t="b">
        <f ca="1">T1326</f>
        <v>0</v>
      </c>
      <c r="AE1326" s="970"/>
      <c r="AF1326" s="784"/>
      <c r="AG1326" s="634"/>
      <c r="AH1326" s="634"/>
      <c r="AI1326" s="634"/>
      <c r="AJ1326" s="634"/>
      <c r="AK1326" s="634"/>
      <c r="AL1326" s="254" t="str">
        <f>SUBSTITUTE(SUBSTITUTE(SUBSTITUTE("vpa"&amp;$B1326&amp;$C1326&amp;$D1326&amp;$E1326,".","_"),"(","_"),")","")</f>
        <v>vpa703_6_2 _2</v>
      </c>
      <c r="AM1326" s="254">
        <f>M1326</f>
        <v>1</v>
      </c>
      <c r="AN1326" s="254" t="str">
        <f>SUBSTITUTE(SUBSTITUTE(SUBSTITUTE("vpc"&amp;$B1326&amp;$C1326&amp;$D1326&amp;$E1326,".","_"),"(","_"),")","")</f>
        <v>vpc703_6_2 _2</v>
      </c>
      <c r="AO1326" s="254">
        <f ca="1">O1326</f>
        <v>0</v>
      </c>
      <c r="AP1326" s="254" t="str">
        <f>SUBSTITUTE(SUBSTITUTE(SUBSTITUTE("vch"&amp;$B1326&amp;$C1326&amp;$D1326&amp;$E1326,".","_"),"(","_"),")","")</f>
        <v>vch703_6_2 _2</v>
      </c>
      <c r="AQ1326" s="254" t="str">
        <f>IF(LEN(W1326)=0,"",W1326)</f>
        <v/>
      </c>
      <c r="AR1326" s="254" t="str">
        <f>SUBSTITUTE(SUBSTITUTE(SUBSTITUTE("vnt"&amp;$B1326&amp;$C1326&amp;$D1326&amp;$E1326,".","_"),"(","_"),")","")</f>
        <v>vnt703_6_2 _2</v>
      </c>
      <c r="AS1326" s="254" t="str">
        <f>IF(LEN(X1326)=0,"",X1326)</f>
        <v/>
      </c>
      <c r="AT1326" s="634"/>
      <c r="AU1326" s="634"/>
      <c r="AV1326" s="634"/>
      <c r="AW1326" s="634"/>
      <c r="AX1326" s="634"/>
      <c r="AY1326" s="634"/>
      <c r="AZ1326" s="634"/>
      <c r="BA1326" s="634"/>
      <c r="BB1326" s="634"/>
      <c r="BC1326" s="634"/>
      <c r="BD1326" s="634"/>
      <c r="BE1326" s="634"/>
      <c r="BF1326" s="634"/>
      <c r="BG1326" s="634"/>
      <c r="BH1326" s="634"/>
      <c r="BI1326" s="634"/>
    </row>
    <row r="1327" spans="1:61" x14ac:dyDescent="0.25">
      <c r="A1327" s="2371">
        <v>7</v>
      </c>
      <c r="B1327" s="2385" t="s">
        <v>961</v>
      </c>
      <c r="C1327" s="2374" t="s">
        <v>260</v>
      </c>
      <c r="D1327" s="2374"/>
      <c r="E1327" s="2374"/>
      <c r="F1327" s="2374"/>
      <c r="G1327" s="2373" t="str">
        <f ca="1">IF(N1327&gt;0,"P","")</f>
        <v/>
      </c>
      <c r="H1327" s="2371" t="s">
        <v>3973</v>
      </c>
      <c r="I1327" s="129"/>
      <c r="J1327" s="518" t="s">
        <v>260</v>
      </c>
      <c r="K1327" s="636"/>
      <c r="L1327" s="1162" t="s">
        <v>965</v>
      </c>
      <c r="M1327" s="1010">
        <v>4</v>
      </c>
      <c r="N1327" s="1044">
        <f ca="1">'Ch7'!O457</f>
        <v>0</v>
      </c>
      <c r="O1327" s="1044">
        <f ca="1">M1327*S1327*W1327</f>
        <v>0</v>
      </c>
      <c r="P1327" s="94" t="b">
        <v>0</v>
      </c>
      <c r="Q1327" s="94" t="b">
        <v>1</v>
      </c>
      <c r="R1327" s="94" t="b">
        <v>0</v>
      </c>
      <c r="S1327" s="94" t="b">
        <f ca="1">(S883=2)</f>
        <v>0</v>
      </c>
      <c r="T1327" s="94" t="b">
        <f ca="1">AND(NOT(S1327),W1327=TRUE)</f>
        <v>0</v>
      </c>
      <c r="U1327" s="94"/>
      <c r="V1327" s="94"/>
      <c r="W1327" s="25"/>
      <c r="X1327" s="1757"/>
      <c r="Y1327" s="2081" t="str">
        <f>IF(LEN('Ch7'!X457)=0,"None",'Ch7'!X457)</f>
        <v>None</v>
      </c>
      <c r="Z1327" s="2084"/>
      <c r="AA1327" s="1526"/>
      <c r="AB1327" s="634"/>
      <c r="AC1327" s="970" t="b">
        <f ca="1">OR(AD1327:AE1327)</f>
        <v>0</v>
      </c>
      <c r="AD1327" s="970" t="b">
        <f ca="1">T1327</f>
        <v>0</v>
      </c>
      <c r="AE1327" s="970"/>
      <c r="AF1327" s="784"/>
      <c r="AG1327" s="634"/>
      <c r="AH1327" s="634"/>
      <c r="AI1327" s="634"/>
      <c r="AJ1327" s="634"/>
      <c r="AK1327" s="634"/>
      <c r="AL1327" s="254" t="str">
        <f>SUBSTITUTE(SUBSTITUTE(SUBSTITUTE("vpa"&amp;$B1327&amp;$C1327&amp;$D1327&amp;$E1327,".","_"),"(","_"),")","")</f>
        <v>vpa703_6_2 _3</v>
      </c>
      <c r="AM1327" s="254">
        <f>M1327</f>
        <v>4</v>
      </c>
      <c r="AN1327" s="254" t="str">
        <f>SUBSTITUTE(SUBSTITUTE(SUBSTITUTE("vpc"&amp;$B1327&amp;$C1327&amp;$D1327&amp;$E1327,".","_"),"(","_"),")","")</f>
        <v>vpc703_6_2 _3</v>
      </c>
      <c r="AO1327" s="254">
        <f ca="1">O1327</f>
        <v>0</v>
      </c>
      <c r="AP1327" s="254" t="str">
        <f>SUBSTITUTE(SUBSTITUTE(SUBSTITUTE("vch"&amp;$B1327&amp;$C1327&amp;$D1327&amp;$E1327,".","_"),"(","_"),")","")</f>
        <v>vch703_6_2 _3</v>
      </c>
      <c r="AQ1327" s="254" t="str">
        <f>IF(LEN(W1327)=0,"",W1327)</f>
        <v/>
      </c>
      <c r="AR1327" s="254" t="str">
        <f>SUBSTITUTE(SUBSTITUTE(SUBSTITUTE("vnt"&amp;$B1327&amp;$C1327&amp;$D1327&amp;$E1327,".","_"),"(","_"),")","")</f>
        <v>vnt703_6_2 _3</v>
      </c>
      <c r="AS1327" s="254" t="str">
        <f>IF(LEN(X1327)=0,"",X1327)</f>
        <v/>
      </c>
      <c r="AT1327" s="634"/>
      <c r="AU1327" s="634"/>
      <c r="AV1327" s="634"/>
      <c r="AW1327" s="634"/>
      <c r="AX1327" s="634"/>
      <c r="AY1327" s="634"/>
      <c r="AZ1327" s="634"/>
      <c r="BA1327" s="634"/>
      <c r="BB1327" s="634"/>
      <c r="BC1327" s="634"/>
      <c r="BD1327" s="634"/>
      <c r="BE1327" s="634"/>
      <c r="BF1327" s="634"/>
      <c r="BG1327" s="634"/>
      <c r="BH1327" s="634"/>
      <c r="BI1327" s="634"/>
    </row>
    <row r="1328" spans="1:61" ht="15.75" thickBot="1" x14ac:dyDescent="0.3">
      <c r="A1328" s="2371">
        <v>7</v>
      </c>
      <c r="B1328" s="2385" t="s">
        <v>961</v>
      </c>
      <c r="C1328" s="2374" t="s">
        <v>260</v>
      </c>
      <c r="D1328" s="2374"/>
      <c r="E1328" s="2374"/>
      <c r="F1328" s="2374"/>
      <c r="G1328" s="2373" t="str">
        <f ca="1">G1327</f>
        <v/>
      </c>
      <c r="H1328" s="2371" t="s">
        <v>3973</v>
      </c>
      <c r="I1328" s="240"/>
      <c r="J1328" s="519"/>
      <c r="K1328" s="642"/>
      <c r="L1328" s="283" t="s">
        <v>3627</v>
      </c>
      <c r="M1328" s="1011"/>
      <c r="N1328" s="1045"/>
      <c r="O1328" s="1045"/>
      <c r="P1328" s="99"/>
      <c r="Q1328" s="99"/>
      <c r="R1328" s="99"/>
      <c r="S1328" s="99"/>
      <c r="T1328" s="99"/>
      <c r="U1328" s="99"/>
      <c r="V1328" s="99"/>
      <c r="W1328" s="99"/>
      <c r="X1328" s="1771"/>
      <c r="Y1328" s="2082"/>
      <c r="Z1328" s="2086"/>
      <c r="AA1328" s="1526"/>
      <c r="AB1328" s="634"/>
      <c r="AC1328" s="970"/>
      <c r="AD1328" s="970"/>
      <c r="AE1328" s="970"/>
      <c r="AF1328" s="634"/>
      <c r="AG1328" s="634"/>
      <c r="AH1328" s="634"/>
      <c r="AI1328" s="634"/>
      <c r="AJ1328" s="634"/>
      <c r="AK1328" s="634"/>
      <c r="AL1328" s="1336"/>
      <c r="AM1328" s="1336"/>
      <c r="AN1328" s="1336"/>
      <c r="AO1328" s="1336"/>
      <c r="AP1328" s="1336"/>
      <c r="AQ1328" s="1336"/>
      <c r="AR1328" s="1336"/>
      <c r="AS1328" s="1336"/>
      <c r="AT1328" s="634"/>
      <c r="AU1328" s="634"/>
      <c r="AV1328" s="634"/>
      <c r="AW1328" s="634"/>
      <c r="AX1328" s="634"/>
      <c r="AY1328" s="634"/>
      <c r="AZ1328" s="634"/>
      <c r="BA1328" s="634"/>
      <c r="BB1328" s="634"/>
      <c r="BC1328" s="634"/>
      <c r="BD1328" s="634"/>
      <c r="BE1328" s="634"/>
      <c r="BF1328" s="634"/>
      <c r="BG1328" s="634"/>
      <c r="BH1328" s="634"/>
      <c r="BI1328" s="634"/>
    </row>
    <row r="1329" spans="1:61" ht="15.75" thickTop="1" x14ac:dyDescent="0.25">
      <c r="A1329" s="2371">
        <v>7</v>
      </c>
      <c r="B1329" s="2385">
        <v>703.7</v>
      </c>
      <c r="C1329" s="2381"/>
      <c r="D1329" s="2374"/>
      <c r="E1329" s="2374"/>
      <c r="F1329" s="2374"/>
      <c r="G1329" s="2363" t="str">
        <f ca="1">IF(COUNTIF(G1330:G1387,"P")&gt;0,"P","")</f>
        <v/>
      </c>
      <c r="H1329" s="2371" t="s">
        <v>3971</v>
      </c>
      <c r="I1329" s="139">
        <v>703.7</v>
      </c>
      <c r="J1329" s="639"/>
      <c r="K1329" s="639"/>
      <c r="L1329" s="1180" t="s">
        <v>966</v>
      </c>
      <c r="M1329" s="1014"/>
      <c r="N1329" s="1042"/>
      <c r="O1329" s="1042"/>
      <c r="P1329" s="756"/>
      <c r="Q1329" s="756"/>
      <c r="R1329" s="634"/>
      <c r="S1329" s="634"/>
      <c r="T1329" s="634"/>
      <c r="U1329" s="634"/>
      <c r="V1329" s="634"/>
      <c r="W1329" s="634"/>
      <c r="X1329" s="911"/>
      <c r="Y1329" s="634"/>
      <c r="AA1329" s="1526"/>
      <c r="AB1329" s="634"/>
      <c r="AC1329" s="970"/>
      <c r="AD1329" s="970"/>
      <c r="AE1329" s="970"/>
      <c r="AF1329" s="634"/>
      <c r="AG1329" s="634"/>
      <c r="AH1329" s="634"/>
      <c r="AI1329" s="634"/>
      <c r="AJ1329" s="634"/>
      <c r="AK1329" s="634"/>
      <c r="AL1329" s="1336"/>
      <c r="AM1329" s="1336"/>
      <c r="AN1329" s="1336"/>
      <c r="AO1329" s="1336"/>
      <c r="AP1329" s="1336"/>
      <c r="AQ1329" s="1336"/>
      <c r="AR1329" s="1336"/>
      <c r="AS1329" s="1336"/>
      <c r="AT1329" s="634"/>
      <c r="AU1329" s="634"/>
      <c r="AV1329" s="634"/>
      <c r="AW1329" s="634"/>
      <c r="AX1329" s="634"/>
      <c r="AY1329" s="634"/>
      <c r="AZ1329" s="634"/>
      <c r="BA1329" s="634"/>
      <c r="BB1329" s="634"/>
      <c r="BC1329" s="634"/>
      <c r="BD1329" s="634"/>
      <c r="BE1329" s="634"/>
      <c r="BF1329" s="634"/>
      <c r="BG1329" s="634"/>
      <c r="BH1329" s="634"/>
      <c r="BI1329" s="634"/>
    </row>
    <row r="1330" spans="1:61" x14ac:dyDescent="0.25">
      <c r="A1330" s="2371">
        <v>7</v>
      </c>
      <c r="B1330" s="2385" t="s">
        <v>967</v>
      </c>
      <c r="C1330" s="2381"/>
      <c r="D1330" s="2374"/>
      <c r="E1330" s="2374"/>
      <c r="F1330" s="2374"/>
      <c r="G1330" s="2373" t="str">
        <f ca="1">IF(N1330&gt;0,"P","")</f>
        <v/>
      </c>
      <c r="H1330" s="2371" t="s">
        <v>3971</v>
      </c>
      <c r="I1330" s="139" t="s">
        <v>967</v>
      </c>
      <c r="J1330" s="639"/>
      <c r="K1330" s="639"/>
      <c r="L1330" s="1796" t="s">
        <v>968</v>
      </c>
      <c r="M1330" s="1767">
        <v>4</v>
      </c>
      <c r="N1330" s="2075">
        <f ca="1">'Ch7'!O460</f>
        <v>0</v>
      </c>
      <c r="O1330" s="2075">
        <f ca="1">M1330*S1330*W1330</f>
        <v>0</v>
      </c>
      <c r="P1330" s="94" t="b">
        <v>1</v>
      </c>
      <c r="Q1330" s="94" t="b">
        <v>1</v>
      </c>
      <c r="R1330" s="634" t="b">
        <v>0</v>
      </c>
      <c r="S1330" s="634" t="b">
        <f ca="1">(S883=2)</f>
        <v>0</v>
      </c>
      <c r="T1330" s="94" t="b">
        <f ca="1">AND(NOT(S1330),W1330=TRUE)</f>
        <v>0</v>
      </c>
      <c r="U1330" s="634"/>
      <c r="V1330" s="634"/>
      <c r="W1330" s="25"/>
      <c r="X1330" s="911"/>
      <c r="Y1330" s="634"/>
      <c r="AA1330" s="1526"/>
      <c r="AB1330" s="634"/>
      <c r="AC1330" s="970" t="b">
        <f ca="1">OR(AD1330:AE1330)</f>
        <v>0</v>
      </c>
      <c r="AD1330" s="970" t="b">
        <f ca="1">T1330</f>
        <v>0</v>
      </c>
      <c r="AE1330" s="970"/>
      <c r="AF1330" s="784"/>
      <c r="AG1330" s="634"/>
      <c r="AH1330" s="634"/>
      <c r="AI1330" s="634"/>
      <c r="AJ1330" s="634"/>
      <c r="AK1330" s="634"/>
      <c r="AL1330" s="254" t="str">
        <f>SUBSTITUTE(SUBSTITUTE(SUBSTITUTE("vpa"&amp;$B1330&amp;$C1330&amp;$D1330&amp;$E1330,".","_"),"(","_"),")","")</f>
        <v>vpa703_7_1</v>
      </c>
      <c r="AM1330" s="254">
        <f>M1330</f>
        <v>4</v>
      </c>
      <c r="AN1330" s="254" t="str">
        <f>SUBSTITUTE(SUBSTITUTE(SUBSTITUTE("vpc"&amp;$B1330&amp;$C1330&amp;$D1330&amp;$E1330,".","_"),"(","_"),")","")</f>
        <v>vpc703_7_1</v>
      </c>
      <c r="AO1330" s="254">
        <f ca="1">O1330</f>
        <v>0</v>
      </c>
      <c r="AP1330" s="254" t="str">
        <f>SUBSTITUTE(SUBSTITUTE(SUBSTITUTE("vch"&amp;$B1330&amp;$C1330&amp;$D1330&amp;$E1330,".","_"),"(","_"),")","")</f>
        <v>vch703_7_1</v>
      </c>
      <c r="AQ1330" s="254" t="str">
        <f>IF(LEN(W1330)=0,"",W1330)</f>
        <v/>
      </c>
      <c r="AR1330" s="1336"/>
      <c r="AS1330" s="1336"/>
      <c r="AT1330" s="634"/>
      <c r="AU1330" s="634"/>
      <c r="AV1330" s="634"/>
      <c r="AW1330" s="634"/>
      <c r="AX1330" s="634"/>
      <c r="AY1330" s="634"/>
      <c r="AZ1330" s="634"/>
      <c r="BA1330" s="634"/>
      <c r="BB1330" s="634"/>
      <c r="BC1330" s="634"/>
      <c r="BD1330" s="634"/>
      <c r="BE1330" s="634"/>
      <c r="BF1330" s="634"/>
      <c r="BG1330" s="634"/>
      <c r="BH1330" s="634"/>
      <c r="BI1330" s="634"/>
    </row>
    <row r="1331" spans="1:61" x14ac:dyDescent="0.25">
      <c r="A1331" s="2371">
        <v>7</v>
      </c>
      <c r="B1331" s="2385" t="s">
        <v>967</v>
      </c>
      <c r="C1331" s="2381"/>
      <c r="D1331" s="2374"/>
      <c r="E1331" s="2374"/>
      <c r="F1331" s="2374"/>
      <c r="G1331" s="2373" t="str">
        <f t="shared" ref="G1331:G1356" ca="1" si="80">G1330</f>
        <v/>
      </c>
      <c r="H1331" s="2371" t="s">
        <v>3971</v>
      </c>
      <c r="I1331" s="4"/>
      <c r="J1331" s="639"/>
      <c r="K1331" s="639"/>
      <c r="L1331" s="1796"/>
      <c r="M1331" s="1767"/>
      <c r="N1331" s="2075"/>
      <c r="O1331" s="2075"/>
      <c r="P1331" s="756"/>
      <c r="Q1331" s="756"/>
      <c r="R1331" s="634"/>
      <c r="S1331" s="634"/>
      <c r="T1331" s="634"/>
      <c r="U1331" s="634"/>
      <c r="V1331" s="634"/>
      <c r="W1331" s="634"/>
      <c r="X1331" s="911"/>
      <c r="Y1331" s="634"/>
      <c r="AA1331" s="1526"/>
      <c r="AB1331" s="634"/>
      <c r="AC1331" s="970"/>
      <c r="AD1331" s="970"/>
      <c r="AE1331" s="970"/>
      <c r="AF1331" s="634"/>
      <c r="AG1331" s="634"/>
      <c r="AH1331" s="634"/>
      <c r="AI1331" s="634"/>
      <c r="AJ1331" s="634"/>
      <c r="AK1331" s="634"/>
      <c r="AL1331" s="1336"/>
      <c r="AM1331" s="1336"/>
      <c r="AN1331" s="1336"/>
      <c r="AO1331" s="1336"/>
      <c r="AP1331" s="1336"/>
      <c r="AQ1331" s="1336"/>
      <c r="AR1331" s="1336"/>
      <c r="AS1331" s="1336"/>
      <c r="AT1331" s="634"/>
      <c r="AU1331" s="634"/>
      <c r="AV1331" s="634"/>
      <c r="AW1331" s="634"/>
      <c r="AX1331" s="634"/>
      <c r="AY1331" s="634"/>
      <c r="AZ1331" s="634"/>
      <c r="BA1331" s="634"/>
      <c r="BB1331" s="634"/>
      <c r="BC1331" s="634"/>
      <c r="BD1331" s="634"/>
      <c r="BE1331" s="634"/>
      <c r="BF1331" s="634"/>
      <c r="BG1331" s="634"/>
      <c r="BH1331" s="634"/>
      <c r="BI1331" s="634"/>
    </row>
    <row r="1332" spans="1:61" x14ac:dyDescent="0.25">
      <c r="A1332" s="2371">
        <v>7</v>
      </c>
      <c r="B1332" s="2385" t="s">
        <v>967</v>
      </c>
      <c r="C1332" s="2374" t="s">
        <v>256</v>
      </c>
      <c r="D1332" s="2374"/>
      <c r="E1332" s="2374"/>
      <c r="F1332" s="2374"/>
      <c r="G1332" s="2373" t="str">
        <f t="shared" ca="1" si="80"/>
        <v/>
      </c>
      <c r="H1332" s="2371" t="s">
        <v>3971</v>
      </c>
      <c r="I1332" s="4"/>
      <c r="J1332" s="518" t="s">
        <v>256</v>
      </c>
      <c r="K1332" s="636"/>
      <c r="L1332" s="1754" t="s">
        <v>969</v>
      </c>
      <c r="M1332" s="1014"/>
      <c r="N1332" s="1042"/>
      <c r="O1332" s="1042"/>
      <c r="P1332" s="756"/>
      <c r="Q1332" s="756"/>
      <c r="R1332" s="634"/>
      <c r="S1332" s="634"/>
      <c r="T1332" s="634"/>
      <c r="U1332" s="634"/>
      <c r="V1332" s="634"/>
      <c r="W1332" s="634"/>
      <c r="X1332" s="1757"/>
      <c r="Y1332" s="2081" t="str">
        <f>IF(LEN('Ch7'!X462)=0,"None",'Ch7'!X462)</f>
        <v>None</v>
      </c>
      <c r="Z1332" s="2083"/>
      <c r="AA1332" s="1526"/>
      <c r="AB1332" s="634"/>
      <c r="AC1332" s="970"/>
      <c r="AD1332" s="970"/>
      <c r="AE1332" s="970"/>
      <c r="AF1332" s="634"/>
      <c r="AG1332" s="634"/>
      <c r="AH1332" s="634"/>
      <c r="AI1332" s="634"/>
      <c r="AJ1332" s="634"/>
      <c r="AK1332" s="634"/>
      <c r="AL1332" s="1336"/>
      <c r="AM1332" s="1336"/>
      <c r="AN1332" s="1336"/>
      <c r="AO1332" s="1336"/>
      <c r="AP1332" s="1336"/>
      <c r="AQ1332" s="1336"/>
      <c r="AR1332" s="254" t="str">
        <f>SUBSTITUTE(SUBSTITUTE(SUBSTITUTE("vnt"&amp;$B1332&amp;$C1332&amp;$D1332&amp;$E1332,".","_"),"(","_"),")","")</f>
        <v>vnt703_7_1_1</v>
      </c>
      <c r="AS1332" s="254" t="str">
        <f>IF(LEN(X1332)=0,"",X1332)</f>
        <v/>
      </c>
      <c r="AT1332" s="634"/>
      <c r="AU1332" s="634"/>
      <c r="AV1332" s="634"/>
      <c r="AW1332" s="634"/>
      <c r="AX1332" s="634"/>
      <c r="AY1332" s="634"/>
      <c r="AZ1332" s="634"/>
      <c r="BA1332" s="634"/>
      <c r="BB1332" s="634"/>
      <c r="BC1332" s="634"/>
      <c r="BD1332" s="634"/>
      <c r="BE1332" s="634"/>
      <c r="BF1332" s="634"/>
      <c r="BG1332" s="634"/>
      <c r="BH1332" s="634"/>
      <c r="BI1332" s="634"/>
    </row>
    <row r="1333" spans="1:61" x14ac:dyDescent="0.25">
      <c r="A1333" s="2371">
        <v>7</v>
      </c>
      <c r="B1333" s="2385" t="s">
        <v>967</v>
      </c>
      <c r="C1333" s="2374" t="s">
        <v>256</v>
      </c>
      <c r="D1333" s="2374"/>
      <c r="E1333" s="2374"/>
      <c r="F1333" s="2374"/>
      <c r="G1333" s="2373" t="str">
        <f t="shared" ca="1" si="80"/>
        <v/>
      </c>
      <c r="H1333" s="2371" t="s">
        <v>3971</v>
      </c>
      <c r="I1333" s="4"/>
      <c r="J1333" s="530"/>
      <c r="K1333" s="637"/>
      <c r="L1333" s="1755"/>
      <c r="M1333" s="1014"/>
      <c r="N1333" s="1042"/>
      <c r="O1333" s="1042"/>
      <c r="P1333" s="756"/>
      <c r="Q1333" s="756"/>
      <c r="R1333" s="634"/>
      <c r="S1333" s="634"/>
      <c r="T1333" s="634"/>
      <c r="U1333" s="634"/>
      <c r="V1333" s="634"/>
      <c r="W1333" s="634"/>
      <c r="X1333" s="1757"/>
      <c r="Y1333" s="2081"/>
      <c r="Z1333" s="2083"/>
      <c r="AA1333" s="1526"/>
      <c r="AB1333" s="634"/>
      <c r="AC1333" s="970"/>
      <c r="AD1333" s="970"/>
      <c r="AE1333" s="970"/>
      <c r="AF1333" s="634"/>
      <c r="AG1333" s="634"/>
      <c r="AH1333" s="634"/>
      <c r="AI1333" s="634"/>
      <c r="AJ1333" s="634"/>
      <c r="AK1333" s="634"/>
      <c r="AL1333" s="1336"/>
      <c r="AM1333" s="1336"/>
      <c r="AN1333" s="1336"/>
      <c r="AO1333" s="1336"/>
      <c r="AP1333" s="1336"/>
      <c r="AQ1333" s="1336"/>
      <c r="AR1333" s="1336"/>
      <c r="AS1333" s="1336"/>
      <c r="AT1333" s="634"/>
      <c r="AU1333" s="634"/>
      <c r="AV1333" s="634"/>
      <c r="AW1333" s="634"/>
      <c r="AX1333" s="634"/>
      <c r="AY1333" s="634"/>
      <c r="AZ1333" s="634"/>
      <c r="BA1333" s="634"/>
      <c r="BB1333" s="634"/>
      <c r="BC1333" s="634"/>
      <c r="BD1333" s="634"/>
      <c r="BE1333" s="634"/>
      <c r="BF1333" s="634"/>
      <c r="BG1333" s="634"/>
      <c r="BH1333" s="634"/>
      <c r="BI1333" s="634"/>
    </row>
    <row r="1334" spans="1:61" ht="15" customHeight="1" x14ac:dyDescent="0.25">
      <c r="A1334" s="2371">
        <v>7</v>
      </c>
      <c r="B1334" s="2385" t="s">
        <v>967</v>
      </c>
      <c r="C1334" s="2374" t="s">
        <v>258</v>
      </c>
      <c r="D1334" s="2374"/>
      <c r="E1334" s="2374"/>
      <c r="F1334" s="2374"/>
      <c r="G1334" s="2373" t="str">
        <f t="shared" ca="1" si="80"/>
        <v/>
      </c>
      <c r="H1334" s="2371" t="s">
        <v>3971</v>
      </c>
      <c r="I1334" s="4"/>
      <c r="J1334" s="549" t="s">
        <v>258</v>
      </c>
      <c r="K1334" s="641"/>
      <c r="L1334" s="1769" t="s">
        <v>4317</v>
      </c>
      <c r="M1334" s="1014"/>
      <c r="N1334" s="1042"/>
      <c r="O1334" s="1042"/>
      <c r="P1334" s="756"/>
      <c r="Q1334" s="756"/>
      <c r="R1334" s="634"/>
      <c r="S1334" s="634"/>
      <c r="T1334" s="634"/>
      <c r="U1334" s="634"/>
      <c r="V1334" s="634"/>
      <c r="W1334" s="634"/>
      <c r="X1334" s="1757"/>
      <c r="Y1334" s="2081" t="str">
        <f>IF(LEN('Ch7'!X464)=0,"None",'Ch7'!X464)</f>
        <v>None</v>
      </c>
      <c r="Z1334" s="2083"/>
      <c r="AA1334" s="1526"/>
      <c r="AB1334" s="634"/>
      <c r="AC1334" s="970"/>
      <c r="AD1334" s="970"/>
      <c r="AE1334" s="970"/>
      <c r="AF1334" s="634"/>
      <c r="AG1334" s="634"/>
      <c r="AH1334" s="634"/>
      <c r="AI1334" s="634"/>
      <c r="AJ1334" s="634"/>
      <c r="AK1334" s="634"/>
      <c r="AL1334" s="1336"/>
      <c r="AM1334" s="1336"/>
      <c r="AN1334" s="1336"/>
      <c r="AO1334" s="1336"/>
      <c r="AP1334" s="1336"/>
      <c r="AQ1334" s="1336"/>
      <c r="AR1334" s="254" t="str">
        <f>SUBSTITUTE(SUBSTITUTE(SUBSTITUTE("vnt"&amp;$B1334&amp;$C1334&amp;$D1334&amp;$E1334,".","_"),"(","_"),")","")</f>
        <v>vnt703_7_1_2</v>
      </c>
      <c r="AS1334" s="254" t="str">
        <f>IF(LEN(X1334)=0,"",X1334)</f>
        <v/>
      </c>
      <c r="AT1334" s="634"/>
      <c r="AU1334" s="634"/>
      <c r="AV1334" s="634"/>
      <c r="AW1334" s="634"/>
      <c r="AX1334" s="634"/>
      <c r="AY1334" s="634"/>
      <c r="AZ1334" s="634"/>
      <c r="BA1334" s="634"/>
      <c r="BB1334" s="634"/>
      <c r="BC1334" s="634"/>
      <c r="BD1334" s="634"/>
      <c r="BE1334" s="634"/>
      <c r="BF1334" s="634"/>
      <c r="BG1334" s="634"/>
      <c r="BH1334" s="634"/>
      <c r="BI1334" s="634"/>
    </row>
    <row r="1335" spans="1:61" x14ac:dyDescent="0.25">
      <c r="A1335" s="2371">
        <v>7</v>
      </c>
      <c r="B1335" s="2385" t="s">
        <v>967</v>
      </c>
      <c r="C1335" s="2374" t="s">
        <v>258</v>
      </c>
      <c r="D1335" s="2374"/>
      <c r="E1335" s="2374"/>
      <c r="F1335" s="2374"/>
      <c r="G1335" s="2373" t="str">
        <f t="shared" ca="1" si="80"/>
        <v/>
      </c>
      <c r="H1335" s="2371" t="s">
        <v>3971</v>
      </c>
      <c r="I1335" s="4"/>
      <c r="J1335" s="530"/>
      <c r="K1335" s="637"/>
      <c r="L1335" s="1786"/>
      <c r="M1335" s="1014"/>
      <c r="N1335" s="1042"/>
      <c r="O1335" s="1042"/>
      <c r="P1335" s="756"/>
      <c r="Q1335" s="756"/>
      <c r="R1335" s="634"/>
      <c r="S1335" s="634"/>
      <c r="T1335" s="634"/>
      <c r="U1335" s="634"/>
      <c r="V1335" s="634"/>
      <c r="W1335" s="634"/>
      <c r="X1335" s="1757"/>
      <c r="Y1335" s="2081"/>
      <c r="Z1335" s="2083"/>
      <c r="AA1335" s="1526"/>
      <c r="AB1335" s="634"/>
      <c r="AC1335" s="970"/>
      <c r="AD1335" s="970"/>
      <c r="AE1335" s="970"/>
      <c r="AF1335" s="634"/>
      <c r="AG1335" s="634"/>
      <c r="AH1335" s="634"/>
      <c r="AI1335" s="634"/>
      <c r="AJ1335" s="634"/>
      <c r="AK1335" s="634"/>
      <c r="AL1335" s="1336"/>
      <c r="AM1335" s="1336"/>
      <c r="AN1335" s="1336"/>
      <c r="AO1335" s="1336"/>
      <c r="AP1335" s="1336"/>
      <c r="AQ1335" s="1336"/>
      <c r="AR1335" s="1336"/>
      <c r="AS1335" s="1336"/>
      <c r="AT1335" s="634"/>
      <c r="AU1335" s="634"/>
      <c r="AV1335" s="634"/>
      <c r="AW1335" s="634"/>
      <c r="AX1335" s="634"/>
      <c r="AY1335" s="634"/>
      <c r="AZ1335" s="634"/>
      <c r="BA1335" s="634"/>
      <c r="BB1335" s="634"/>
      <c r="BC1335" s="634"/>
      <c r="BD1335" s="634"/>
      <c r="BE1335" s="634"/>
      <c r="BF1335" s="634"/>
      <c r="BG1335" s="634"/>
      <c r="BH1335" s="634"/>
      <c r="BI1335" s="634"/>
    </row>
    <row r="1336" spans="1:61" ht="15" customHeight="1" x14ac:dyDescent="0.25">
      <c r="A1336" s="2371">
        <v>7</v>
      </c>
      <c r="B1336" s="2385" t="s">
        <v>967</v>
      </c>
      <c r="C1336" s="2374" t="s">
        <v>260</v>
      </c>
      <c r="D1336" s="2374"/>
      <c r="E1336" s="2374"/>
      <c r="F1336" s="2374"/>
      <c r="G1336" s="2373" t="str">
        <f t="shared" ca="1" si="80"/>
        <v/>
      </c>
      <c r="H1336" s="2371" t="s">
        <v>3971</v>
      </c>
      <c r="I1336" s="4"/>
      <c r="J1336" s="549" t="s">
        <v>260</v>
      </c>
      <c r="K1336" s="641"/>
      <c r="L1336" s="1787" t="s">
        <v>4318</v>
      </c>
      <c r="M1336" s="1014"/>
      <c r="N1336" s="1042"/>
      <c r="O1336" s="1042"/>
      <c r="P1336" s="756"/>
      <c r="Q1336" s="756"/>
      <c r="R1336" s="634"/>
      <c r="S1336" s="634"/>
      <c r="T1336" s="634"/>
      <c r="U1336" s="634"/>
      <c r="V1336" s="634"/>
      <c r="W1336" s="634"/>
      <c r="X1336" s="1757"/>
      <c r="Y1336" s="2081" t="str">
        <f>IF(LEN('Ch7'!X466)=0,"None",'Ch7'!X466)</f>
        <v>None</v>
      </c>
      <c r="Z1336" s="2083"/>
      <c r="AA1336" s="1526"/>
      <c r="AB1336" s="634"/>
      <c r="AC1336" s="970"/>
      <c r="AD1336" s="970"/>
      <c r="AE1336" s="970"/>
      <c r="AF1336" s="634"/>
      <c r="AG1336" s="634"/>
      <c r="AH1336" s="634"/>
      <c r="AI1336" s="634"/>
      <c r="AJ1336" s="634"/>
      <c r="AK1336" s="634"/>
      <c r="AL1336" s="1336"/>
      <c r="AM1336" s="1336"/>
      <c r="AN1336" s="1336"/>
      <c r="AO1336" s="1336"/>
      <c r="AP1336" s="1336"/>
      <c r="AQ1336" s="1336"/>
      <c r="AR1336" s="254" t="str">
        <f>SUBSTITUTE(SUBSTITUTE(SUBSTITUTE("vnt"&amp;$B1336&amp;$C1336&amp;$D1336&amp;$E1336,".","_"),"(","_"),")","")</f>
        <v>vnt703_7_1_3</v>
      </c>
      <c r="AS1336" s="254" t="str">
        <f>IF(LEN(X1336)=0,"",X1336)</f>
        <v/>
      </c>
      <c r="AT1336" s="634"/>
      <c r="AU1336" s="634"/>
      <c r="AV1336" s="634"/>
      <c r="AW1336" s="634"/>
      <c r="AX1336" s="634"/>
      <c r="AY1336" s="634"/>
      <c r="AZ1336" s="634"/>
      <c r="BA1336" s="634"/>
      <c r="BB1336" s="634"/>
      <c r="BC1336" s="634"/>
      <c r="BD1336" s="634"/>
      <c r="BE1336" s="634"/>
      <c r="BF1336" s="634"/>
      <c r="BG1336" s="634"/>
      <c r="BH1336" s="634"/>
      <c r="BI1336" s="634"/>
    </row>
    <row r="1337" spans="1:61" x14ac:dyDescent="0.25">
      <c r="A1337" s="2371">
        <v>7</v>
      </c>
      <c r="B1337" s="2385" t="s">
        <v>967</v>
      </c>
      <c r="C1337" s="2374" t="s">
        <v>260</v>
      </c>
      <c r="D1337" s="2374"/>
      <c r="E1337" s="2374"/>
      <c r="F1337" s="2374"/>
      <c r="G1337" s="2373" t="str">
        <f t="shared" ca="1" si="80"/>
        <v/>
      </c>
      <c r="H1337" s="2371" t="s">
        <v>3971</v>
      </c>
      <c r="I1337" s="4"/>
      <c r="J1337" s="637"/>
      <c r="K1337" s="637"/>
      <c r="L1337" s="1786"/>
      <c r="M1337" s="1014"/>
      <c r="N1337" s="1042"/>
      <c r="O1337" s="1042"/>
      <c r="P1337" s="756"/>
      <c r="Q1337" s="756"/>
      <c r="R1337" s="634"/>
      <c r="S1337" s="634"/>
      <c r="T1337" s="634"/>
      <c r="U1337" s="634"/>
      <c r="V1337" s="634"/>
      <c r="W1337" s="634"/>
      <c r="X1337" s="1757"/>
      <c r="Y1337" s="2081"/>
      <c r="Z1337" s="2083"/>
      <c r="AA1337" s="1526"/>
      <c r="AB1337" s="634"/>
      <c r="AC1337" s="970"/>
      <c r="AD1337" s="970"/>
      <c r="AE1337" s="970"/>
      <c r="AF1337" s="634"/>
      <c r="AG1337" s="634"/>
      <c r="AH1337" s="634"/>
      <c r="AI1337" s="634"/>
      <c r="AJ1337" s="634"/>
      <c r="AK1337" s="634"/>
      <c r="AL1337" s="1336"/>
      <c r="AM1337" s="1336"/>
      <c r="AN1337" s="1336"/>
      <c r="AO1337" s="1336"/>
      <c r="AP1337" s="1336"/>
      <c r="AQ1337" s="1336"/>
      <c r="AR1337" s="1336"/>
      <c r="AS1337" s="1336"/>
      <c r="AT1337" s="634"/>
      <c r="AU1337" s="634"/>
      <c r="AV1337" s="634"/>
      <c r="AW1337" s="634"/>
      <c r="AX1337" s="634"/>
      <c r="AY1337" s="634"/>
      <c r="AZ1337" s="634"/>
      <c r="BA1337" s="634"/>
      <c r="BB1337" s="634"/>
      <c r="BC1337" s="634"/>
      <c r="BD1337" s="634"/>
      <c r="BE1337" s="634"/>
      <c r="BF1337" s="634"/>
      <c r="BG1337" s="634"/>
      <c r="BH1337" s="634"/>
      <c r="BI1337" s="634"/>
    </row>
    <row r="1338" spans="1:61" ht="15" customHeight="1" x14ac:dyDescent="0.25">
      <c r="A1338" s="2371">
        <v>7</v>
      </c>
      <c r="B1338" s="2385" t="s">
        <v>967</v>
      </c>
      <c r="C1338" s="2374" t="s">
        <v>269</v>
      </c>
      <c r="D1338" s="2374"/>
      <c r="E1338" s="2374"/>
      <c r="F1338" s="2374"/>
      <c r="G1338" s="2373" t="str">
        <f t="shared" ca="1" si="80"/>
        <v/>
      </c>
      <c r="H1338" s="2371" t="s">
        <v>3971</v>
      </c>
      <c r="I1338" s="4"/>
      <c r="J1338" s="549" t="s">
        <v>269</v>
      </c>
      <c r="K1338" s="641"/>
      <c r="L1338" s="1787" t="s">
        <v>4319</v>
      </c>
      <c r="M1338" s="1014"/>
      <c r="N1338" s="1042"/>
      <c r="O1338" s="1042"/>
      <c r="P1338" s="756"/>
      <c r="Q1338" s="756"/>
      <c r="R1338" s="634"/>
      <c r="S1338" s="634"/>
      <c r="T1338" s="634"/>
      <c r="U1338" s="634"/>
      <c r="V1338" s="634"/>
      <c r="W1338" s="634"/>
      <c r="X1338" s="1757"/>
      <c r="Y1338" s="2081" t="str">
        <f>IF(LEN('Ch7'!X468)=0,"None",'Ch7'!X468)</f>
        <v>None</v>
      </c>
      <c r="Z1338" s="2083"/>
      <c r="AA1338" s="1526"/>
      <c r="AB1338" s="634"/>
      <c r="AC1338" s="970"/>
      <c r="AD1338" s="970"/>
      <c r="AE1338" s="970"/>
      <c r="AF1338" s="634"/>
      <c r="AG1338" s="634"/>
      <c r="AH1338" s="634"/>
      <c r="AI1338" s="634"/>
      <c r="AJ1338" s="634"/>
      <c r="AK1338" s="634"/>
      <c r="AL1338" s="1336"/>
      <c r="AM1338" s="1336"/>
      <c r="AN1338" s="1336"/>
      <c r="AO1338" s="1336"/>
      <c r="AP1338" s="1336"/>
      <c r="AQ1338" s="1336"/>
      <c r="AR1338" s="254" t="str">
        <f>SUBSTITUTE(SUBSTITUTE(SUBSTITUTE("vnt"&amp;$B1338&amp;$C1338&amp;$D1338&amp;$E1338,".","_"),"(","_"),")","")</f>
        <v>vnt703_7_1_4</v>
      </c>
      <c r="AS1338" s="254" t="str">
        <f>IF(LEN(X1338)=0,"",X1338)</f>
        <v/>
      </c>
      <c r="AT1338" s="634"/>
      <c r="AU1338" s="634"/>
      <c r="AV1338" s="634"/>
      <c r="AW1338" s="634"/>
      <c r="AX1338" s="634"/>
      <c r="AY1338" s="634"/>
      <c r="AZ1338" s="634"/>
      <c r="BA1338" s="634"/>
      <c r="BB1338" s="634"/>
      <c r="BC1338" s="634"/>
      <c r="BD1338" s="634"/>
      <c r="BE1338" s="634"/>
      <c r="BF1338" s="634"/>
      <c r="BG1338" s="634"/>
      <c r="BH1338" s="634"/>
      <c r="BI1338" s="634"/>
    </row>
    <row r="1339" spans="1:61" x14ac:dyDescent="0.25">
      <c r="A1339" s="2371">
        <v>7</v>
      </c>
      <c r="B1339" s="2385" t="s">
        <v>967</v>
      </c>
      <c r="C1339" s="2374" t="s">
        <v>269</v>
      </c>
      <c r="D1339" s="2374"/>
      <c r="E1339" s="2374"/>
      <c r="F1339" s="2374"/>
      <c r="G1339" s="2373" t="str">
        <f t="shared" ca="1" si="80"/>
        <v/>
      </c>
      <c r="H1339" s="2371" t="s">
        <v>3971</v>
      </c>
      <c r="I1339" s="4"/>
      <c r="J1339" s="637"/>
      <c r="K1339" s="637"/>
      <c r="L1339" s="1786"/>
      <c r="M1339" s="1014"/>
      <c r="N1339" s="1042"/>
      <c r="O1339" s="1042"/>
      <c r="P1339" s="756"/>
      <c r="Q1339" s="756"/>
      <c r="R1339" s="634"/>
      <c r="S1339" s="634"/>
      <c r="T1339" s="634"/>
      <c r="U1339" s="634"/>
      <c r="V1339" s="634"/>
      <c r="W1339" s="634"/>
      <c r="X1339" s="1757"/>
      <c r="Y1339" s="2081"/>
      <c r="Z1339" s="2083"/>
      <c r="AA1339" s="1526"/>
      <c r="AB1339" s="634"/>
      <c r="AC1339" s="970"/>
      <c r="AD1339" s="970"/>
      <c r="AE1339" s="970"/>
      <c r="AF1339" s="634"/>
      <c r="AG1339" s="634"/>
      <c r="AH1339" s="634"/>
      <c r="AI1339" s="634"/>
      <c r="AJ1339" s="634"/>
      <c r="AK1339" s="634"/>
      <c r="AL1339" s="1336"/>
      <c r="AM1339" s="1336"/>
      <c r="AN1339" s="1336"/>
      <c r="AO1339" s="1336"/>
      <c r="AP1339" s="1336"/>
      <c r="AQ1339" s="1336"/>
      <c r="AR1339" s="1336"/>
      <c r="AS1339" s="1336"/>
      <c r="AT1339" s="634"/>
      <c r="AU1339" s="634"/>
      <c r="AV1339" s="634"/>
      <c r="AW1339" s="634"/>
      <c r="AX1339" s="634"/>
      <c r="AY1339" s="634"/>
      <c r="AZ1339" s="634"/>
      <c r="BA1339" s="634"/>
      <c r="BB1339" s="634"/>
      <c r="BC1339" s="634"/>
      <c r="BD1339" s="634"/>
      <c r="BE1339" s="634"/>
      <c r="BF1339" s="634"/>
      <c r="BG1339" s="634"/>
      <c r="BH1339" s="634"/>
      <c r="BI1339" s="634"/>
    </row>
    <row r="1340" spans="1:61" ht="15" customHeight="1" x14ac:dyDescent="0.25">
      <c r="A1340" s="2371">
        <v>7</v>
      </c>
      <c r="B1340" s="2385" t="s">
        <v>967</v>
      </c>
      <c r="C1340" s="2374" t="s">
        <v>275</v>
      </c>
      <c r="D1340" s="2374"/>
      <c r="E1340" s="2374"/>
      <c r="F1340" s="2374"/>
      <c r="G1340" s="2373" t="str">
        <f t="shared" ca="1" si="80"/>
        <v/>
      </c>
      <c r="H1340" s="2371" t="s">
        <v>3971</v>
      </c>
      <c r="I1340" s="4"/>
      <c r="J1340" s="549" t="s">
        <v>275</v>
      </c>
      <c r="K1340" s="641"/>
      <c r="L1340" s="1787" t="s">
        <v>4320</v>
      </c>
      <c r="M1340" s="1014"/>
      <c r="N1340" s="1042"/>
      <c r="O1340" s="1042"/>
      <c r="P1340" s="756"/>
      <c r="Q1340" s="756"/>
      <c r="R1340" s="634"/>
      <c r="S1340" s="634"/>
      <c r="T1340" s="634"/>
      <c r="U1340" s="634"/>
      <c r="V1340" s="634"/>
      <c r="W1340" s="634"/>
      <c r="X1340" s="1757"/>
      <c r="Y1340" s="2081" t="str">
        <f>IF(LEN('Ch7'!X470)=0,"None",'Ch7'!X470)</f>
        <v>None</v>
      </c>
      <c r="Z1340" s="2083"/>
      <c r="AA1340" s="1526"/>
      <c r="AB1340" s="634"/>
      <c r="AC1340" s="970"/>
      <c r="AD1340" s="970"/>
      <c r="AE1340" s="970"/>
      <c r="AF1340" s="634"/>
      <c r="AG1340" s="634"/>
      <c r="AH1340" s="634"/>
      <c r="AI1340" s="634"/>
      <c r="AJ1340" s="634"/>
      <c r="AK1340" s="634"/>
      <c r="AL1340" s="1336"/>
      <c r="AM1340" s="1336"/>
      <c r="AN1340" s="1336"/>
      <c r="AO1340" s="1336"/>
      <c r="AP1340" s="1336"/>
      <c r="AQ1340" s="1336"/>
      <c r="AR1340" s="254" t="str">
        <f>SUBSTITUTE(SUBSTITUTE(SUBSTITUTE("vnt"&amp;$B1340&amp;$C1340&amp;$D1340&amp;$E1340,".","_"),"(","_"),")","")</f>
        <v>vnt703_7_1_5</v>
      </c>
      <c r="AS1340" s="254" t="str">
        <f>IF(LEN(X1340)=0,"",X1340)</f>
        <v/>
      </c>
      <c r="AT1340" s="634"/>
      <c r="AU1340" s="634"/>
      <c r="AV1340" s="634"/>
      <c r="AW1340" s="634"/>
      <c r="AX1340" s="634"/>
      <c r="AY1340" s="634"/>
      <c r="AZ1340" s="634"/>
      <c r="BA1340" s="634"/>
      <c r="BB1340" s="634"/>
      <c r="BC1340" s="634"/>
      <c r="BD1340" s="634"/>
      <c r="BE1340" s="634"/>
      <c r="BF1340" s="634"/>
      <c r="BG1340" s="634"/>
      <c r="BH1340" s="634"/>
      <c r="BI1340" s="634"/>
    </row>
    <row r="1341" spans="1:61" x14ac:dyDescent="0.25">
      <c r="A1341" s="2371">
        <v>7</v>
      </c>
      <c r="B1341" s="2385" t="s">
        <v>967</v>
      </c>
      <c r="C1341" s="2374" t="s">
        <v>275</v>
      </c>
      <c r="D1341" s="2374"/>
      <c r="E1341" s="2374"/>
      <c r="F1341" s="2374"/>
      <c r="G1341" s="2373" t="str">
        <f t="shared" ca="1" si="80"/>
        <v/>
      </c>
      <c r="H1341" s="2371" t="s">
        <v>3971</v>
      </c>
      <c r="I1341" s="4"/>
      <c r="J1341" s="637"/>
      <c r="K1341" s="637"/>
      <c r="L1341" s="1786"/>
      <c r="M1341" s="1014"/>
      <c r="N1341" s="1042"/>
      <c r="O1341" s="1042"/>
      <c r="P1341" s="756"/>
      <c r="Q1341" s="756"/>
      <c r="R1341" s="634"/>
      <c r="S1341" s="634"/>
      <c r="T1341" s="634"/>
      <c r="U1341" s="634"/>
      <c r="V1341" s="634"/>
      <c r="W1341" s="634"/>
      <c r="X1341" s="1757"/>
      <c r="Y1341" s="2081"/>
      <c r="Z1341" s="2083"/>
      <c r="AA1341" s="1526"/>
      <c r="AB1341" s="634"/>
      <c r="AC1341" s="970"/>
      <c r="AD1341" s="970"/>
      <c r="AE1341" s="970"/>
      <c r="AF1341" s="634"/>
      <c r="AG1341" s="634"/>
      <c r="AH1341" s="634"/>
      <c r="AI1341" s="634"/>
      <c r="AJ1341" s="634"/>
      <c r="AK1341" s="634"/>
      <c r="AL1341" s="1336"/>
      <c r="AM1341" s="1336"/>
      <c r="AN1341" s="1336"/>
      <c r="AO1341" s="1336"/>
      <c r="AP1341" s="1336"/>
      <c r="AQ1341" s="1336"/>
      <c r="AR1341" s="1336"/>
      <c r="AS1341" s="1336"/>
      <c r="AT1341" s="634"/>
      <c r="AU1341" s="634"/>
      <c r="AV1341" s="634"/>
      <c r="AW1341" s="634"/>
      <c r="AX1341" s="634"/>
      <c r="AY1341" s="634"/>
      <c r="AZ1341" s="634"/>
      <c r="BA1341" s="634"/>
      <c r="BB1341" s="634"/>
      <c r="BC1341" s="634"/>
      <c r="BD1341" s="634"/>
      <c r="BE1341" s="634"/>
      <c r="BF1341" s="634"/>
      <c r="BG1341" s="634"/>
      <c r="BH1341" s="634"/>
      <c r="BI1341" s="634"/>
    </row>
    <row r="1342" spans="1:61" x14ac:dyDescent="0.25">
      <c r="A1342" s="2371">
        <v>7</v>
      </c>
      <c r="B1342" s="2385" t="s">
        <v>967</v>
      </c>
      <c r="C1342" s="2374" t="s">
        <v>277</v>
      </c>
      <c r="D1342" s="2374"/>
      <c r="E1342" s="2374"/>
      <c r="F1342" s="2374"/>
      <c r="G1342" s="2373" t="str">
        <f t="shared" ca="1" si="80"/>
        <v/>
      </c>
      <c r="H1342" s="2371" t="s">
        <v>3971</v>
      </c>
      <c r="I1342" s="4"/>
      <c r="J1342" s="230" t="s">
        <v>277</v>
      </c>
      <c r="K1342" s="639"/>
      <c r="L1342" s="1170" t="s">
        <v>970</v>
      </c>
      <c r="M1342" s="1014"/>
      <c r="N1342" s="1042"/>
      <c r="O1342" s="1042"/>
      <c r="P1342" s="756"/>
      <c r="Q1342" s="756"/>
      <c r="R1342" s="634"/>
      <c r="S1342" s="634"/>
      <c r="T1342" s="634"/>
      <c r="U1342" s="634"/>
      <c r="V1342" s="634"/>
      <c r="W1342" s="634"/>
      <c r="X1342" s="911"/>
      <c r="Y1342" s="634"/>
      <c r="AA1342" s="1526"/>
      <c r="AB1342" s="634"/>
      <c r="AC1342" s="970"/>
      <c r="AD1342" s="970"/>
      <c r="AE1342" s="970"/>
      <c r="AF1342" s="634"/>
      <c r="AG1342" s="634"/>
      <c r="AH1342" s="634"/>
      <c r="AI1342" s="634"/>
      <c r="AJ1342" s="634"/>
      <c r="AK1342" s="634"/>
      <c r="AL1342" s="1336"/>
      <c r="AM1342" s="1336"/>
      <c r="AN1342" s="1336"/>
      <c r="AO1342" s="1336"/>
      <c r="AP1342" s="1336"/>
      <c r="AQ1342" s="1336"/>
      <c r="AR1342" s="1336"/>
      <c r="AS1342" s="1336"/>
      <c r="AT1342" s="634"/>
      <c r="AU1342" s="634"/>
      <c r="AV1342" s="634"/>
      <c r="AW1342" s="634"/>
      <c r="AX1342" s="634"/>
      <c r="AY1342" s="634"/>
      <c r="AZ1342" s="634"/>
      <c r="BA1342" s="634"/>
      <c r="BB1342" s="634"/>
      <c r="BC1342" s="634"/>
      <c r="BD1342" s="634"/>
      <c r="BE1342" s="634"/>
      <c r="BF1342" s="634"/>
      <c r="BG1342" s="634"/>
      <c r="BH1342" s="634"/>
      <c r="BI1342" s="634"/>
    </row>
    <row r="1343" spans="1:61" x14ac:dyDescent="0.25">
      <c r="A1343" s="2371">
        <v>7</v>
      </c>
      <c r="B1343" s="2385" t="s">
        <v>967</v>
      </c>
      <c r="C1343" s="2374" t="s">
        <v>277</v>
      </c>
      <c r="D1343" s="2374" t="s">
        <v>121</v>
      </c>
      <c r="E1343" s="2374"/>
      <c r="F1343" s="2374"/>
      <c r="G1343" s="2373" t="str">
        <f t="shared" ca="1" si="80"/>
        <v/>
      </c>
      <c r="H1343" s="2375" t="s">
        <v>3971</v>
      </c>
      <c r="I1343" s="4"/>
      <c r="J1343" s="639"/>
      <c r="K1343" s="230" t="s">
        <v>121</v>
      </c>
      <c r="L1343" s="1170" t="s">
        <v>4321</v>
      </c>
      <c r="M1343" s="1014"/>
      <c r="N1343" s="1042"/>
      <c r="O1343" s="1042"/>
      <c r="P1343" s="756"/>
      <c r="Q1343" s="756"/>
      <c r="R1343" s="634"/>
      <c r="S1343" s="634"/>
      <c r="T1343" s="634"/>
      <c r="U1343" s="634"/>
      <c r="V1343" s="634"/>
      <c r="W1343" s="634"/>
      <c r="X1343" s="918"/>
      <c r="Y1343" s="988" t="str">
        <f>IF(LEN('Ch7'!X473)=0,"None",'Ch7'!X473)</f>
        <v>None</v>
      </c>
      <c r="Z1343" s="1587"/>
      <c r="AA1343" s="1526"/>
      <c r="AB1343" s="634"/>
      <c r="AC1343" s="970"/>
      <c r="AD1343" s="970"/>
      <c r="AE1343" s="970"/>
      <c r="AF1343" s="634"/>
      <c r="AG1343" s="634"/>
      <c r="AH1343" s="634"/>
      <c r="AI1343" s="634"/>
      <c r="AJ1343" s="634"/>
      <c r="AK1343" s="634"/>
      <c r="AL1343" s="1336"/>
      <c r="AM1343" s="1336"/>
      <c r="AN1343" s="1336"/>
      <c r="AO1343" s="1336"/>
      <c r="AP1343" s="1336"/>
      <c r="AQ1343" s="1336"/>
      <c r="AR1343" s="254" t="str">
        <f>SUBSTITUTE(SUBSTITUTE(SUBSTITUTE("vnt"&amp;$B1343&amp;$C1343&amp;$D1343&amp;$E1343,".","_"),"(","_"),")","")</f>
        <v>vnt703_7_1_6_a</v>
      </c>
      <c r="AS1343" s="254" t="str">
        <f>IF(LEN(X1343)=0,"",X1343)</f>
        <v/>
      </c>
      <c r="AT1343" s="634"/>
      <c r="AU1343" s="634"/>
      <c r="AV1343" s="634"/>
      <c r="AW1343" s="634"/>
      <c r="AX1343" s="634"/>
      <c r="AY1343" s="634"/>
      <c r="AZ1343" s="634"/>
      <c r="BA1343" s="634"/>
      <c r="BB1343" s="634"/>
      <c r="BC1343" s="634"/>
      <c r="BD1343" s="634"/>
      <c r="BE1343" s="634"/>
      <c r="BF1343" s="634"/>
      <c r="BG1343" s="634"/>
      <c r="BH1343" s="634"/>
      <c r="BI1343" s="634"/>
    </row>
    <row r="1344" spans="1:61" x14ac:dyDescent="0.25">
      <c r="A1344" s="2371">
        <v>7</v>
      </c>
      <c r="B1344" s="2385" t="s">
        <v>967</v>
      </c>
      <c r="C1344" s="2374" t="s">
        <v>277</v>
      </c>
      <c r="D1344" s="2374" t="s">
        <v>122</v>
      </c>
      <c r="E1344" s="2374"/>
      <c r="F1344" s="2374"/>
      <c r="G1344" s="2373" t="str">
        <f t="shared" ca="1" si="80"/>
        <v/>
      </c>
      <c r="H1344" s="2375" t="s">
        <v>3971</v>
      </c>
      <c r="I1344" s="4"/>
      <c r="J1344" s="639"/>
      <c r="K1344" s="230" t="s">
        <v>122</v>
      </c>
      <c r="L1344" s="1170" t="s">
        <v>971</v>
      </c>
      <c r="M1344" s="1014"/>
      <c r="N1344" s="1042"/>
      <c r="O1344" s="1042"/>
      <c r="P1344" s="756"/>
      <c r="Q1344" s="756"/>
      <c r="R1344" s="634"/>
      <c r="S1344" s="634"/>
      <c r="T1344" s="634"/>
      <c r="U1344" s="634"/>
      <c r="V1344" s="634"/>
      <c r="W1344" s="634"/>
      <c r="X1344" s="918"/>
      <c r="Y1344" s="988" t="str">
        <f>IF(LEN('Ch7'!X474)=0,"None",'Ch7'!X474)</f>
        <v>None</v>
      </c>
      <c r="Z1344" s="1587"/>
      <c r="AA1344" s="1526"/>
      <c r="AB1344" s="634"/>
      <c r="AC1344" s="970"/>
      <c r="AD1344" s="970"/>
      <c r="AE1344" s="970"/>
      <c r="AF1344" s="634"/>
      <c r="AG1344" s="634"/>
      <c r="AH1344" s="634"/>
      <c r="AI1344" s="634"/>
      <c r="AJ1344" s="634"/>
      <c r="AK1344" s="634"/>
      <c r="AL1344" s="1336"/>
      <c r="AM1344" s="1336"/>
      <c r="AN1344" s="1336"/>
      <c r="AO1344" s="1336"/>
      <c r="AP1344" s="1336"/>
      <c r="AQ1344" s="1336"/>
      <c r="AR1344" s="254" t="str">
        <f>SUBSTITUTE(SUBSTITUTE(SUBSTITUTE("vnt"&amp;$B1344&amp;$C1344&amp;$D1344&amp;$E1344,".","_"),"(","_"),")","")</f>
        <v>vnt703_7_1_6_b</v>
      </c>
      <c r="AS1344" s="254" t="str">
        <f>IF(LEN(X1344)=0,"",X1344)</f>
        <v/>
      </c>
      <c r="AT1344" s="634"/>
      <c r="AU1344" s="634"/>
      <c r="AV1344" s="634"/>
      <c r="AW1344" s="634"/>
      <c r="AX1344" s="634"/>
      <c r="AY1344" s="634"/>
      <c r="AZ1344" s="634"/>
      <c r="BA1344" s="634"/>
      <c r="BB1344" s="634"/>
      <c r="BC1344" s="634"/>
      <c r="BD1344" s="634"/>
      <c r="BE1344" s="634"/>
      <c r="BF1344" s="634"/>
      <c r="BG1344" s="634"/>
      <c r="BH1344" s="634"/>
      <c r="BI1344" s="634"/>
    </row>
    <row r="1345" spans="1:61" x14ac:dyDescent="0.25">
      <c r="A1345" s="2371">
        <v>7</v>
      </c>
      <c r="B1345" s="2385" t="s">
        <v>967</v>
      </c>
      <c r="C1345" s="2374" t="s">
        <v>277</v>
      </c>
      <c r="D1345" s="2376" t="s">
        <v>123</v>
      </c>
      <c r="E1345" s="2376"/>
      <c r="F1345" s="2376"/>
      <c r="G1345" s="2373" t="str">
        <f t="shared" ca="1" si="80"/>
        <v/>
      </c>
      <c r="H1345" s="2379" t="s">
        <v>3971</v>
      </c>
      <c r="I1345" s="4"/>
      <c r="J1345" s="636"/>
      <c r="K1345" s="554" t="s">
        <v>123</v>
      </c>
      <c r="L1345" s="1754" t="s">
        <v>972</v>
      </c>
      <c r="M1345" s="1014"/>
      <c r="N1345" s="1042"/>
      <c r="O1345" s="1042"/>
      <c r="P1345" s="756"/>
      <c r="Q1345" s="756"/>
      <c r="R1345" s="634"/>
      <c r="S1345" s="634"/>
      <c r="T1345" s="634"/>
      <c r="U1345" s="634"/>
      <c r="V1345" s="634"/>
      <c r="W1345" s="634"/>
      <c r="X1345" s="1757"/>
      <c r="Y1345" s="2081" t="str">
        <f>IF(LEN('Ch7'!X475)=0,"None",'Ch7'!X475)</f>
        <v>None</v>
      </c>
      <c r="Z1345" s="2083"/>
      <c r="AA1345" s="1526"/>
      <c r="AB1345" s="634"/>
      <c r="AC1345" s="970"/>
      <c r="AD1345" s="970"/>
      <c r="AE1345" s="970"/>
      <c r="AF1345" s="634"/>
      <c r="AG1345" s="634"/>
      <c r="AH1345" s="634"/>
      <c r="AI1345" s="634"/>
      <c r="AJ1345" s="634"/>
      <c r="AK1345" s="634"/>
      <c r="AL1345" s="1336"/>
      <c r="AM1345" s="1336"/>
      <c r="AN1345" s="1336"/>
      <c r="AO1345" s="1336"/>
      <c r="AP1345" s="1336"/>
      <c r="AQ1345" s="1336"/>
      <c r="AR1345" s="254" t="str">
        <f>SUBSTITUTE(SUBSTITUTE(SUBSTITUTE("vnt"&amp;$B1345&amp;$C1345&amp;$D1345&amp;$E1345,".","_"),"(","_"),")","")</f>
        <v>vnt703_7_1_6_c</v>
      </c>
      <c r="AS1345" s="254" t="str">
        <f>IF(LEN(X1345)=0,"",X1345)</f>
        <v/>
      </c>
      <c r="AT1345" s="634"/>
      <c r="AU1345" s="634"/>
      <c r="AV1345" s="634"/>
      <c r="AW1345" s="634"/>
      <c r="AX1345" s="634"/>
      <c r="AY1345" s="634"/>
      <c r="AZ1345" s="634"/>
      <c r="BA1345" s="634"/>
      <c r="BB1345" s="634"/>
      <c r="BC1345" s="634"/>
      <c r="BD1345" s="634"/>
      <c r="BE1345" s="634"/>
      <c r="BF1345" s="634"/>
      <c r="BG1345" s="634"/>
      <c r="BH1345" s="634"/>
      <c r="BI1345" s="634"/>
    </row>
    <row r="1346" spans="1:61" x14ac:dyDescent="0.25">
      <c r="A1346" s="2371">
        <v>7</v>
      </c>
      <c r="B1346" s="2385" t="s">
        <v>967</v>
      </c>
      <c r="C1346" s="2374" t="s">
        <v>277</v>
      </c>
      <c r="D1346" s="2376" t="s">
        <v>123</v>
      </c>
      <c r="E1346" s="2374"/>
      <c r="F1346" s="2374"/>
      <c r="G1346" s="2373" t="str">
        <f t="shared" ca="1" si="80"/>
        <v/>
      </c>
      <c r="H1346" s="2371" t="s">
        <v>3971</v>
      </c>
      <c r="I1346" s="4"/>
      <c r="J1346" s="637"/>
      <c r="K1346" s="637"/>
      <c r="L1346" s="1755"/>
      <c r="M1346" s="1014"/>
      <c r="N1346" s="1042"/>
      <c r="O1346" s="1042"/>
      <c r="P1346" s="756"/>
      <c r="Q1346" s="756"/>
      <c r="R1346" s="634"/>
      <c r="S1346" s="634"/>
      <c r="T1346" s="634"/>
      <c r="U1346" s="634"/>
      <c r="V1346" s="634"/>
      <c r="W1346" s="634"/>
      <c r="X1346" s="1757"/>
      <c r="Y1346" s="2081"/>
      <c r="Z1346" s="2083"/>
      <c r="AA1346" s="1526"/>
      <c r="AB1346" s="634"/>
      <c r="AC1346" s="970"/>
      <c r="AD1346" s="970"/>
      <c r="AE1346" s="970"/>
      <c r="AF1346" s="634"/>
      <c r="AG1346" s="634"/>
      <c r="AH1346" s="634"/>
      <c r="AI1346" s="634"/>
      <c r="AJ1346" s="634"/>
      <c r="AK1346" s="634"/>
      <c r="AL1346" s="1336"/>
      <c r="AM1346" s="1336"/>
      <c r="AN1346" s="1336"/>
      <c r="AO1346" s="1336"/>
      <c r="AP1346" s="1336"/>
      <c r="AQ1346" s="1336"/>
      <c r="AR1346" s="1336"/>
      <c r="AS1346" s="1336"/>
      <c r="AT1346" s="634"/>
      <c r="AU1346" s="634"/>
      <c r="AV1346" s="634"/>
      <c r="AW1346" s="634"/>
      <c r="AX1346" s="634"/>
      <c r="AY1346" s="634"/>
      <c r="AZ1346" s="634"/>
      <c r="BA1346" s="634"/>
      <c r="BB1346" s="634"/>
      <c r="BC1346" s="634"/>
      <c r="BD1346" s="634"/>
      <c r="BE1346" s="634"/>
      <c r="BF1346" s="634"/>
      <c r="BG1346" s="634"/>
      <c r="BH1346" s="634"/>
      <c r="BI1346" s="634"/>
    </row>
    <row r="1347" spans="1:61" x14ac:dyDescent="0.25">
      <c r="A1347" s="2371">
        <v>7</v>
      </c>
      <c r="B1347" s="2385" t="s">
        <v>967</v>
      </c>
      <c r="C1347" s="2374" t="s">
        <v>383</v>
      </c>
      <c r="D1347" s="2374"/>
      <c r="E1347" s="2374"/>
      <c r="F1347" s="2374"/>
      <c r="G1347" s="2373" t="str">
        <f t="shared" ca="1" si="80"/>
        <v/>
      </c>
      <c r="H1347" s="2371" t="s">
        <v>3971</v>
      </c>
      <c r="I1347" s="4"/>
      <c r="J1347" s="549" t="s">
        <v>383</v>
      </c>
      <c r="K1347" s="641"/>
      <c r="L1347" s="1778" t="s">
        <v>3629</v>
      </c>
      <c r="M1347" s="1014"/>
      <c r="N1347" s="1042"/>
      <c r="O1347" s="1042"/>
      <c r="P1347" s="756"/>
      <c r="Q1347" s="756"/>
      <c r="R1347" s="634"/>
      <c r="S1347" s="634"/>
      <c r="T1347" s="634"/>
      <c r="U1347" s="634"/>
      <c r="V1347" s="634"/>
      <c r="W1347" s="634"/>
      <c r="X1347" s="1757"/>
      <c r="Y1347" s="2081" t="str">
        <f>IF(LEN('Ch7'!X477)=0,"None",'Ch7'!X477)</f>
        <v>None</v>
      </c>
      <c r="Z1347" s="2083"/>
      <c r="AA1347" s="1526"/>
      <c r="AB1347" s="634"/>
      <c r="AC1347" s="970"/>
      <c r="AD1347" s="970"/>
      <c r="AE1347" s="970"/>
      <c r="AF1347" s="634"/>
      <c r="AG1347" s="634"/>
      <c r="AH1347" s="634"/>
      <c r="AI1347" s="634"/>
      <c r="AJ1347" s="634"/>
      <c r="AK1347" s="634"/>
      <c r="AL1347" s="1336"/>
      <c r="AM1347" s="1336"/>
      <c r="AN1347" s="1336"/>
      <c r="AO1347" s="1336"/>
      <c r="AP1347" s="1336"/>
      <c r="AQ1347" s="1336"/>
      <c r="AR1347" s="254" t="str">
        <f>SUBSTITUTE(SUBSTITUTE(SUBSTITUTE("vnt"&amp;$B1347&amp;$C1347&amp;$D1347&amp;$E1347,".","_"),"(","_"),")","")</f>
        <v>vnt703_7_1_7</v>
      </c>
      <c r="AS1347" s="254" t="str">
        <f>IF(LEN(X1347)=0,"",X1347)</f>
        <v/>
      </c>
      <c r="AT1347" s="634"/>
      <c r="AU1347" s="634"/>
      <c r="AV1347" s="634"/>
      <c r="AW1347" s="634"/>
      <c r="AX1347" s="634"/>
      <c r="AY1347" s="634"/>
      <c r="AZ1347" s="634"/>
      <c r="BA1347" s="634"/>
      <c r="BB1347" s="634"/>
      <c r="BC1347" s="634"/>
      <c r="BD1347" s="634"/>
      <c r="BE1347" s="634"/>
      <c r="BF1347" s="634"/>
      <c r="BG1347" s="634"/>
      <c r="BH1347" s="634"/>
      <c r="BI1347" s="634"/>
    </row>
    <row r="1348" spans="1:61" x14ac:dyDescent="0.25">
      <c r="A1348" s="2371">
        <v>7</v>
      </c>
      <c r="B1348" s="2385" t="s">
        <v>967</v>
      </c>
      <c r="C1348" s="2374" t="s">
        <v>383</v>
      </c>
      <c r="D1348" s="2374"/>
      <c r="E1348" s="2374"/>
      <c r="F1348" s="2374"/>
      <c r="G1348" s="2373" t="str">
        <f t="shared" ca="1" si="80"/>
        <v/>
      </c>
      <c r="H1348" s="2371" t="s">
        <v>3971</v>
      </c>
      <c r="I1348" s="4"/>
      <c r="J1348" s="636"/>
      <c r="K1348" s="636"/>
      <c r="L1348" s="1754"/>
      <c r="M1348" s="1014"/>
      <c r="N1348" s="1042"/>
      <c r="O1348" s="1042"/>
      <c r="P1348" s="756"/>
      <c r="Q1348" s="756"/>
      <c r="R1348" s="634"/>
      <c r="S1348" s="634"/>
      <c r="T1348" s="634"/>
      <c r="U1348" s="634"/>
      <c r="V1348" s="634"/>
      <c r="W1348" s="634"/>
      <c r="X1348" s="1757"/>
      <c r="Y1348" s="2081"/>
      <c r="Z1348" s="2083"/>
      <c r="AA1348" s="1526"/>
      <c r="AB1348" s="634"/>
      <c r="AC1348" s="970"/>
      <c r="AD1348" s="970"/>
      <c r="AE1348" s="970"/>
      <c r="AF1348" s="634"/>
      <c r="AG1348" s="634"/>
      <c r="AH1348" s="634"/>
      <c r="AI1348" s="634"/>
      <c r="AJ1348" s="634"/>
      <c r="AK1348" s="634"/>
      <c r="AL1348" s="1336"/>
      <c r="AM1348" s="1336"/>
      <c r="AN1348" s="1336"/>
      <c r="AO1348" s="1336"/>
      <c r="AP1348" s="1336"/>
      <c r="AQ1348" s="1336"/>
      <c r="AR1348" s="1336"/>
      <c r="AS1348" s="1336"/>
      <c r="AT1348" s="634"/>
      <c r="AU1348" s="634"/>
      <c r="AV1348" s="634"/>
      <c r="AW1348" s="634"/>
      <c r="AX1348" s="634"/>
      <c r="AY1348" s="634"/>
      <c r="AZ1348" s="634"/>
      <c r="BA1348" s="634"/>
      <c r="BB1348" s="634"/>
      <c r="BC1348" s="634"/>
      <c r="BD1348" s="634"/>
      <c r="BE1348" s="634"/>
      <c r="BF1348" s="634"/>
      <c r="BG1348" s="634"/>
      <c r="BH1348" s="634"/>
      <c r="BI1348" s="634"/>
    </row>
    <row r="1349" spans="1:61" x14ac:dyDescent="0.25">
      <c r="A1349" s="2371">
        <v>7</v>
      </c>
      <c r="B1349" s="2385" t="s">
        <v>967</v>
      </c>
      <c r="C1349" s="2374" t="s">
        <v>383</v>
      </c>
      <c r="D1349" s="2374"/>
      <c r="E1349" s="2374"/>
      <c r="F1349" s="2374"/>
      <c r="G1349" s="2373" t="str">
        <f t="shared" ca="1" si="80"/>
        <v/>
      </c>
      <c r="H1349" s="2371" t="s">
        <v>3971</v>
      </c>
      <c r="I1349" s="4"/>
      <c r="J1349" s="637"/>
      <c r="K1349" s="637"/>
      <c r="L1349" s="527" t="s">
        <v>3630</v>
      </c>
      <c r="M1349" s="1014"/>
      <c r="N1349" s="1042"/>
      <c r="O1349" s="1042"/>
      <c r="P1349" s="756"/>
      <c r="Q1349" s="756"/>
      <c r="R1349" s="634"/>
      <c r="S1349" s="634"/>
      <c r="T1349" s="634"/>
      <c r="U1349" s="634"/>
      <c r="V1349" s="634"/>
      <c r="W1349" s="634"/>
      <c r="X1349" s="1757"/>
      <c r="Y1349" s="2081"/>
      <c r="Z1349" s="2083"/>
      <c r="AA1349" s="1526"/>
      <c r="AB1349" s="634"/>
      <c r="AC1349" s="970"/>
      <c r="AD1349" s="970"/>
      <c r="AE1349" s="970"/>
      <c r="AF1349" s="634"/>
      <c r="AG1349" s="634"/>
      <c r="AH1349" s="634"/>
      <c r="AI1349" s="634"/>
      <c r="AJ1349" s="634"/>
      <c r="AK1349" s="634"/>
      <c r="AL1349" s="1336"/>
      <c r="AM1349" s="1336"/>
      <c r="AN1349" s="1336"/>
      <c r="AO1349" s="1336"/>
      <c r="AP1349" s="1336"/>
      <c r="AQ1349" s="1336"/>
      <c r="AR1349" s="1336"/>
      <c r="AS1349" s="1336"/>
      <c r="AT1349" s="634"/>
      <c r="AU1349" s="634"/>
      <c r="AV1349" s="634"/>
      <c r="AW1349" s="634"/>
      <c r="AX1349" s="634"/>
      <c r="AY1349" s="634"/>
      <c r="AZ1349" s="634"/>
      <c r="BA1349" s="634"/>
      <c r="BB1349" s="634"/>
      <c r="BC1349" s="634"/>
      <c r="BD1349" s="634"/>
      <c r="BE1349" s="634"/>
      <c r="BF1349" s="634"/>
      <c r="BG1349" s="634"/>
      <c r="BH1349" s="634"/>
      <c r="BI1349" s="634"/>
    </row>
    <row r="1350" spans="1:61" x14ac:dyDescent="0.25">
      <c r="A1350" s="2371">
        <v>7</v>
      </c>
      <c r="B1350" s="2385" t="s">
        <v>967</v>
      </c>
      <c r="C1350" s="2374" t="s">
        <v>428</v>
      </c>
      <c r="D1350" s="2374"/>
      <c r="E1350" s="2374"/>
      <c r="F1350" s="2374"/>
      <c r="G1350" s="2373" t="str">
        <f t="shared" ca="1" si="80"/>
        <v/>
      </c>
      <c r="H1350" s="2371" t="s">
        <v>3971</v>
      </c>
      <c r="I1350" s="4"/>
      <c r="J1350" s="550" t="s">
        <v>428</v>
      </c>
      <c r="K1350" s="280"/>
      <c r="L1350" s="280" t="s">
        <v>973</v>
      </c>
      <c r="M1350" s="1014"/>
      <c r="N1350" s="1042"/>
      <c r="O1350" s="1042"/>
      <c r="P1350" s="756"/>
      <c r="Q1350" s="756"/>
      <c r="R1350" s="634"/>
      <c r="S1350" s="634"/>
      <c r="T1350" s="634"/>
      <c r="U1350" s="634"/>
      <c r="V1350" s="634"/>
      <c r="W1350" s="634"/>
      <c r="X1350" s="918"/>
      <c r="Y1350" s="988" t="str">
        <f>IF(LEN('Ch7'!X480)=0,"None",'Ch7'!X480)</f>
        <v>None</v>
      </c>
      <c r="Z1350" s="1587"/>
      <c r="AA1350" s="1526"/>
      <c r="AB1350" s="634"/>
      <c r="AC1350" s="970"/>
      <c r="AD1350" s="970"/>
      <c r="AE1350" s="970"/>
      <c r="AF1350" s="634"/>
      <c r="AG1350" s="634"/>
      <c r="AH1350" s="634"/>
      <c r="AI1350" s="634"/>
      <c r="AJ1350" s="634"/>
      <c r="AK1350" s="634"/>
      <c r="AL1350" s="1336"/>
      <c r="AM1350" s="1336"/>
      <c r="AN1350" s="1336"/>
      <c r="AO1350" s="1336"/>
      <c r="AP1350" s="1336"/>
      <c r="AQ1350" s="1336"/>
      <c r="AR1350" s="254" t="str">
        <f>SUBSTITUTE(SUBSTITUTE(SUBSTITUTE("vnt"&amp;$B1350&amp;$C1350&amp;$D1350&amp;$E1350,".","_"),"(","_"),")","")</f>
        <v>vnt703_7_1_8</v>
      </c>
      <c r="AS1350" s="254" t="str">
        <f>IF(LEN(X1350)=0,"",X1350)</f>
        <v/>
      </c>
      <c r="AT1350" s="634"/>
      <c r="AU1350" s="634"/>
      <c r="AV1350" s="634"/>
      <c r="AW1350" s="634"/>
      <c r="AX1350" s="634"/>
      <c r="AY1350" s="634"/>
      <c r="AZ1350" s="634"/>
      <c r="BA1350" s="634"/>
      <c r="BB1350" s="634"/>
      <c r="BC1350" s="634"/>
      <c r="BD1350" s="634"/>
      <c r="BE1350" s="634"/>
      <c r="BF1350" s="634"/>
      <c r="BG1350" s="634"/>
      <c r="BH1350" s="634"/>
      <c r="BI1350" s="634"/>
    </row>
    <row r="1351" spans="1:61" x14ac:dyDescent="0.25">
      <c r="A1351" s="2371">
        <v>7</v>
      </c>
      <c r="B1351" s="2385" t="s">
        <v>967</v>
      </c>
      <c r="C1351" s="2374" t="s">
        <v>430</v>
      </c>
      <c r="D1351" s="2374"/>
      <c r="E1351" s="2374"/>
      <c r="F1351" s="2374"/>
      <c r="G1351" s="2373" t="str">
        <f t="shared" ca="1" si="80"/>
        <v/>
      </c>
      <c r="H1351" s="2371" t="s">
        <v>3971</v>
      </c>
      <c r="I1351" s="4"/>
      <c r="J1351" s="230" t="s">
        <v>430</v>
      </c>
      <c r="K1351" s="639"/>
      <c r="L1351" s="1170" t="s">
        <v>974</v>
      </c>
      <c r="M1351" s="1014"/>
      <c r="N1351" s="1042"/>
      <c r="O1351" s="1042"/>
      <c r="P1351" s="756"/>
      <c r="Q1351" s="756"/>
      <c r="R1351" s="634"/>
      <c r="S1351" s="634"/>
      <c r="T1351" s="634"/>
      <c r="U1351" s="634"/>
      <c r="V1351" s="634"/>
      <c r="W1351" s="634"/>
      <c r="X1351" s="918"/>
      <c r="Y1351" s="988" t="str">
        <f>IF(LEN('Ch7'!X481)=0,"None",'Ch7'!X481)</f>
        <v>None</v>
      </c>
      <c r="Z1351" s="1587"/>
      <c r="AA1351" s="1526"/>
      <c r="AB1351" s="634"/>
      <c r="AC1351" s="970"/>
      <c r="AD1351" s="970"/>
      <c r="AE1351" s="970"/>
      <c r="AF1351" s="634"/>
      <c r="AG1351" s="634"/>
      <c r="AH1351" s="634"/>
      <c r="AI1351" s="634"/>
      <c r="AJ1351" s="634"/>
      <c r="AK1351" s="634"/>
      <c r="AL1351" s="1336"/>
      <c r="AM1351" s="1336"/>
      <c r="AN1351" s="1336"/>
      <c r="AO1351" s="1336"/>
      <c r="AP1351" s="1336"/>
      <c r="AQ1351" s="1336"/>
      <c r="AR1351" s="254" t="str">
        <f>SUBSTITUTE(SUBSTITUTE(SUBSTITUTE("vnt"&amp;$B1351&amp;$C1351&amp;$D1351&amp;$E1351,".","_"),"(","_"),")","")</f>
        <v>vnt703_7_1_9</v>
      </c>
      <c r="AS1351" s="254" t="str">
        <f>IF(LEN(X1351)=0,"",X1351)</f>
        <v/>
      </c>
      <c r="AT1351" s="634"/>
      <c r="AU1351" s="634"/>
      <c r="AV1351" s="634"/>
      <c r="AW1351" s="634"/>
      <c r="AX1351" s="634"/>
      <c r="AY1351" s="634"/>
      <c r="AZ1351" s="634"/>
      <c r="BA1351" s="634"/>
      <c r="BB1351" s="634"/>
      <c r="BC1351" s="634"/>
      <c r="BD1351" s="634"/>
      <c r="BE1351" s="634"/>
      <c r="BF1351" s="634"/>
      <c r="BG1351" s="634"/>
      <c r="BH1351" s="634"/>
      <c r="BI1351" s="634"/>
    </row>
    <row r="1352" spans="1:61" ht="15" customHeight="1" x14ac:dyDescent="0.25">
      <c r="A1352" s="2371">
        <v>7</v>
      </c>
      <c r="B1352" s="2385" t="s">
        <v>967</v>
      </c>
      <c r="C1352" s="2374" t="s">
        <v>430</v>
      </c>
      <c r="D1352" s="2374" t="s">
        <v>3969</v>
      </c>
      <c r="E1352" s="2374"/>
      <c r="F1352" s="2374"/>
      <c r="G1352" s="2373" t="str">
        <f t="shared" ca="1" si="80"/>
        <v/>
      </c>
      <c r="H1352" s="2371" t="s">
        <v>3971</v>
      </c>
      <c r="I1352" s="129"/>
      <c r="J1352" s="636"/>
      <c r="K1352" s="636"/>
      <c r="L1352" s="1804" t="s">
        <v>4322</v>
      </c>
      <c r="M1352" s="1010"/>
      <c r="N1352" s="1044"/>
      <c r="O1352" s="1044"/>
      <c r="P1352" s="94"/>
      <c r="Q1352" s="94"/>
      <c r="R1352" s="94"/>
      <c r="S1352" s="94"/>
      <c r="T1352" s="94"/>
      <c r="U1352" s="94"/>
      <c r="V1352" s="94"/>
      <c r="W1352" s="94"/>
      <c r="X1352" s="1757"/>
      <c r="Y1352" s="2081" t="str">
        <f>IF(LEN('Ch7'!X482)=0,"None",'Ch7'!X482)</f>
        <v>None</v>
      </c>
      <c r="Z1352" s="2083"/>
      <c r="AA1352" s="1526"/>
      <c r="AB1352" s="634"/>
      <c r="AC1352" s="970"/>
      <c r="AD1352" s="970"/>
      <c r="AE1352" s="970"/>
      <c r="AF1352" s="634"/>
      <c r="AG1352" s="634"/>
      <c r="AH1352" s="634"/>
      <c r="AI1352" s="634"/>
      <c r="AJ1352" s="634"/>
      <c r="AK1352" s="634"/>
      <c r="AL1352" s="1336"/>
      <c r="AM1352" s="1336"/>
      <c r="AN1352" s="1336"/>
      <c r="AO1352" s="1336"/>
      <c r="AP1352" s="1336"/>
      <c r="AQ1352" s="1336"/>
      <c r="AR1352" s="254" t="str">
        <f>SUBSTITUTE(SUBSTITUTE(SUBSTITUTE("vnt"&amp;$B1352&amp;$C1352&amp;$D1352&amp;$E1352,".","_"),"(","_"),")","")</f>
        <v>vnt703_7_1_9_m</v>
      </c>
      <c r="AS1352" s="254" t="str">
        <f>IF(LEN(X1352)=0,"",X1352)</f>
        <v/>
      </c>
      <c r="AT1352" s="634"/>
      <c r="AU1352" s="634"/>
      <c r="AV1352" s="634"/>
      <c r="AW1352" s="634"/>
      <c r="AX1352" s="634"/>
      <c r="AY1352" s="634"/>
      <c r="AZ1352" s="634"/>
      <c r="BA1352" s="634"/>
      <c r="BB1352" s="634"/>
      <c r="BC1352" s="634"/>
      <c r="BD1352" s="634"/>
      <c r="BE1352" s="634"/>
      <c r="BF1352" s="634"/>
      <c r="BG1352" s="634"/>
      <c r="BH1352" s="634"/>
      <c r="BI1352" s="634"/>
    </row>
    <row r="1353" spans="1:61" x14ac:dyDescent="0.25">
      <c r="A1353" s="2371">
        <v>7</v>
      </c>
      <c r="B1353" s="2385" t="s">
        <v>967</v>
      </c>
      <c r="C1353" s="2374" t="s">
        <v>430</v>
      </c>
      <c r="D1353" s="2374"/>
      <c r="E1353" s="2374"/>
      <c r="F1353" s="2374"/>
      <c r="G1353" s="2373" t="str">
        <f t="shared" ca="1" si="80"/>
        <v/>
      </c>
      <c r="H1353" s="2371" t="s">
        <v>3971</v>
      </c>
      <c r="I1353" s="129"/>
      <c r="J1353" s="636"/>
      <c r="K1353" s="636"/>
      <c r="L1353" s="1804"/>
      <c r="M1353" s="1010"/>
      <c r="N1353" s="1044"/>
      <c r="O1353" s="1044"/>
      <c r="P1353" s="94"/>
      <c r="Q1353" s="94"/>
      <c r="R1353" s="94"/>
      <c r="S1353" s="94"/>
      <c r="T1353" s="94"/>
      <c r="U1353" s="94"/>
      <c r="V1353" s="94"/>
      <c r="W1353" s="94"/>
      <c r="X1353" s="1757"/>
      <c r="Y1353" s="2081"/>
      <c r="Z1353" s="2083"/>
      <c r="AA1353" s="1526"/>
      <c r="AB1353" s="634"/>
      <c r="AC1353" s="970"/>
      <c r="AD1353" s="970"/>
      <c r="AE1353" s="970"/>
      <c r="AF1353" s="634"/>
      <c r="AG1353" s="634"/>
      <c r="AH1353" s="634"/>
      <c r="AI1353" s="634"/>
      <c r="AJ1353" s="634"/>
      <c r="AK1353" s="634"/>
      <c r="AL1353" s="1336"/>
      <c r="AM1353" s="1336"/>
      <c r="AN1353" s="1336"/>
      <c r="AO1353" s="1336"/>
      <c r="AP1353" s="1336"/>
      <c r="AQ1353" s="1336"/>
      <c r="AR1353" s="1336"/>
      <c r="AS1353" s="1336"/>
      <c r="AT1353" s="634"/>
      <c r="AU1353" s="634"/>
      <c r="AV1353" s="634"/>
      <c r="AW1353" s="634"/>
      <c r="AX1353" s="634"/>
      <c r="AY1353" s="634"/>
      <c r="AZ1353" s="634"/>
      <c r="BA1353" s="634"/>
      <c r="BB1353" s="634"/>
      <c r="BC1353" s="634"/>
      <c r="BD1353" s="634"/>
      <c r="BE1353" s="634"/>
      <c r="BF1353" s="634"/>
      <c r="BG1353" s="634"/>
      <c r="BH1353" s="634"/>
      <c r="BI1353" s="634"/>
    </row>
    <row r="1354" spans="1:61" x14ac:dyDescent="0.25">
      <c r="A1354" s="2371">
        <v>7</v>
      </c>
      <c r="B1354" s="2385" t="s">
        <v>967</v>
      </c>
      <c r="C1354" s="2374" t="s">
        <v>430</v>
      </c>
      <c r="D1354" s="2374"/>
      <c r="E1354" s="2374"/>
      <c r="F1354" s="2374"/>
      <c r="G1354" s="2373" t="str">
        <f t="shared" ca="1" si="80"/>
        <v/>
      </c>
      <c r="H1354" s="2371" t="s">
        <v>3971</v>
      </c>
      <c r="I1354" s="129"/>
      <c r="J1354" s="636"/>
      <c r="K1354" s="636"/>
      <c r="L1354" s="1804"/>
      <c r="M1354" s="1010"/>
      <c r="N1354" s="1044"/>
      <c r="O1354" s="1044"/>
      <c r="P1354" s="94"/>
      <c r="Q1354" s="94"/>
      <c r="R1354" s="94"/>
      <c r="S1354" s="94"/>
      <c r="T1354" s="94"/>
      <c r="U1354" s="94"/>
      <c r="V1354" s="94"/>
      <c r="W1354" s="94"/>
      <c r="X1354" s="1757"/>
      <c r="Y1354" s="2081"/>
      <c r="Z1354" s="2083"/>
      <c r="AA1354" s="1526"/>
      <c r="AB1354" s="634"/>
      <c r="AC1354" s="970"/>
      <c r="AD1354" s="970"/>
      <c r="AE1354" s="970"/>
      <c r="AF1354" s="634"/>
      <c r="AG1354" s="634"/>
      <c r="AH1354" s="634"/>
      <c r="AI1354" s="634"/>
      <c r="AJ1354" s="634"/>
      <c r="AK1354" s="634"/>
      <c r="AL1354" s="1336"/>
      <c r="AM1354" s="1336"/>
      <c r="AN1354" s="1336"/>
      <c r="AO1354" s="1336"/>
      <c r="AP1354" s="1336"/>
      <c r="AQ1354" s="1336"/>
      <c r="AR1354" s="1336"/>
      <c r="AS1354" s="1336"/>
      <c r="AT1354" s="634"/>
      <c r="AU1354" s="634"/>
      <c r="AV1354" s="634"/>
      <c r="AW1354" s="634"/>
      <c r="AX1354" s="634"/>
      <c r="AY1354" s="634"/>
      <c r="AZ1354" s="634"/>
      <c r="BA1354" s="634"/>
      <c r="BB1354" s="634"/>
      <c r="BC1354" s="634"/>
      <c r="BD1354" s="634"/>
      <c r="BE1354" s="634"/>
      <c r="BF1354" s="634"/>
      <c r="BG1354" s="634"/>
      <c r="BH1354" s="634"/>
      <c r="BI1354" s="634"/>
    </row>
    <row r="1355" spans="1:61" x14ac:dyDescent="0.25">
      <c r="A1355" s="2371">
        <v>7</v>
      </c>
      <c r="B1355" s="2385" t="s">
        <v>967</v>
      </c>
      <c r="C1355" s="2374" t="s">
        <v>430</v>
      </c>
      <c r="D1355" s="2374"/>
      <c r="E1355" s="2374"/>
      <c r="F1355" s="2374"/>
      <c r="G1355" s="2373" t="str">
        <f t="shared" ca="1" si="80"/>
        <v/>
      </c>
      <c r="H1355" s="2371" t="s">
        <v>3971</v>
      </c>
      <c r="I1355" s="129"/>
      <c r="J1355" s="636"/>
      <c r="K1355" s="636"/>
      <c r="L1355" s="1804"/>
      <c r="M1355" s="1010"/>
      <c r="N1355" s="1044"/>
      <c r="O1355" s="1044"/>
      <c r="P1355" s="94"/>
      <c r="Q1355" s="94"/>
      <c r="R1355" s="94"/>
      <c r="S1355" s="94"/>
      <c r="T1355" s="94"/>
      <c r="U1355" s="94"/>
      <c r="V1355" s="94"/>
      <c r="W1355" s="94"/>
      <c r="X1355" s="1757"/>
      <c r="Y1355" s="2081"/>
      <c r="Z1355" s="2083"/>
      <c r="AA1355" s="1526"/>
      <c r="AB1355" s="634"/>
      <c r="AC1355" s="970"/>
      <c r="AD1355" s="970"/>
      <c r="AE1355" s="970"/>
      <c r="AF1355" s="634"/>
      <c r="AG1355" s="634"/>
      <c r="AH1355" s="634"/>
      <c r="AI1355" s="634"/>
      <c r="AJ1355" s="634"/>
      <c r="AK1355" s="634"/>
      <c r="AL1355" s="1336"/>
      <c r="AM1355" s="1336"/>
      <c r="AN1355" s="1336"/>
      <c r="AO1355" s="1336"/>
      <c r="AP1355" s="1336"/>
      <c r="AQ1355" s="1336"/>
      <c r="AR1355" s="1336"/>
      <c r="AS1355" s="1336"/>
      <c r="AT1355" s="634"/>
      <c r="AU1355" s="634"/>
      <c r="AV1355" s="634"/>
      <c r="AW1355" s="634"/>
      <c r="AX1355" s="634"/>
      <c r="AY1355" s="634"/>
      <c r="AZ1355" s="634"/>
      <c r="BA1355" s="634"/>
      <c r="BB1355" s="634"/>
      <c r="BC1355" s="634"/>
      <c r="BD1355" s="634"/>
      <c r="BE1355" s="634"/>
      <c r="BF1355" s="634"/>
      <c r="BG1355" s="634"/>
      <c r="BH1355" s="634"/>
      <c r="BI1355" s="634"/>
    </row>
    <row r="1356" spans="1:61" x14ac:dyDescent="0.25">
      <c r="A1356" s="2371">
        <v>7</v>
      </c>
      <c r="B1356" s="2385" t="s">
        <v>967</v>
      </c>
      <c r="C1356" s="2374" t="s">
        <v>430</v>
      </c>
      <c r="D1356" s="2374"/>
      <c r="E1356" s="2374"/>
      <c r="F1356" s="2374"/>
      <c r="G1356" s="2373" t="str">
        <f t="shared" ca="1" si="80"/>
        <v/>
      </c>
      <c r="H1356" s="2371" t="s">
        <v>3971</v>
      </c>
      <c r="I1356" s="210"/>
      <c r="J1356" s="637"/>
      <c r="K1356" s="637"/>
      <c r="L1356" s="1861"/>
      <c r="M1356" s="1015"/>
      <c r="N1356" s="1047"/>
      <c r="O1356" s="1047"/>
      <c r="P1356" s="178"/>
      <c r="Q1356" s="178"/>
      <c r="R1356" s="178"/>
      <c r="S1356" s="178"/>
      <c r="T1356" s="178"/>
      <c r="U1356" s="178"/>
      <c r="V1356" s="178"/>
      <c r="W1356" s="178"/>
      <c r="X1356" s="1757"/>
      <c r="Y1356" s="2081"/>
      <c r="Z1356" s="2083"/>
      <c r="AA1356" s="1526"/>
      <c r="AB1356" s="634"/>
      <c r="AC1356" s="970"/>
      <c r="AD1356" s="970"/>
      <c r="AE1356" s="970"/>
      <c r="AF1356" s="634"/>
      <c r="AG1356" s="634"/>
      <c r="AH1356" s="634"/>
      <c r="AI1356" s="634"/>
      <c r="AJ1356" s="634"/>
      <c r="AK1356" s="634"/>
      <c r="AL1356" s="1336"/>
      <c r="AM1356" s="1336"/>
      <c r="AN1356" s="1336"/>
      <c r="AO1356" s="1336"/>
      <c r="AP1356" s="1336"/>
      <c r="AQ1356" s="1336"/>
      <c r="AR1356" s="1336"/>
      <c r="AS1356" s="1336"/>
      <c r="AT1356" s="634"/>
      <c r="AU1356" s="634"/>
      <c r="AV1356" s="634"/>
      <c r="AW1356" s="634"/>
      <c r="AX1356" s="634"/>
      <c r="AY1356" s="634"/>
      <c r="AZ1356" s="634"/>
      <c r="BA1356" s="634"/>
      <c r="BB1356" s="634"/>
      <c r="BC1356" s="634"/>
      <c r="BD1356" s="634"/>
      <c r="BE1356" s="634"/>
      <c r="BF1356" s="634"/>
      <c r="BG1356" s="634"/>
      <c r="BH1356" s="634"/>
      <c r="BI1356" s="634"/>
    </row>
    <row r="1357" spans="1:61" x14ac:dyDescent="0.25">
      <c r="A1357" s="2371">
        <v>7</v>
      </c>
      <c r="B1357" s="2381" t="s">
        <v>975</v>
      </c>
      <c r="C1357" s="2381"/>
      <c r="D1357" s="2374"/>
      <c r="E1357" s="2374"/>
      <c r="F1357" s="2374"/>
      <c r="G1357" s="2373" t="str">
        <f ca="1">IF(N1357&gt;0,"P","")</f>
        <v/>
      </c>
      <c r="H1357" s="2371" t="s">
        <v>3971</v>
      </c>
      <c r="I1357" s="533" t="s">
        <v>975</v>
      </c>
      <c r="J1357" s="641"/>
      <c r="K1357" s="641"/>
      <c r="L1357" s="1864" t="s">
        <v>976</v>
      </c>
      <c r="M1357" s="1762">
        <v>1</v>
      </c>
      <c r="N1357" s="2079">
        <f ca="1">'Ch7'!O487</f>
        <v>0</v>
      </c>
      <c r="O1357" s="2079">
        <f ca="1">M1357*S1357*W1357</f>
        <v>0</v>
      </c>
      <c r="P1357" s="94" t="b">
        <v>1</v>
      </c>
      <c r="Q1357" s="94" t="b">
        <v>1</v>
      </c>
      <c r="R1357" s="634" t="b">
        <v>0</v>
      </c>
      <c r="S1357" s="634" t="b">
        <f ca="1">(S883=2)</f>
        <v>0</v>
      </c>
      <c r="T1357" s="94" t="b">
        <f ca="1">AND(NOT(S1357),W1357=TRUE)</f>
        <v>0</v>
      </c>
      <c r="U1357" s="634"/>
      <c r="V1357" s="634"/>
      <c r="W1357" s="25"/>
      <c r="X1357" s="1756"/>
      <c r="Y1357" s="2081" t="str">
        <f>IF(LEN('Ch7'!X487)=0,"None",'Ch7'!X487)</f>
        <v>None</v>
      </c>
      <c r="Z1357" s="2083"/>
      <c r="AA1357" s="1551" t="str">
        <f>IF(LEN('Photo Review'!I1356)&gt;0,'Photo Review'!I1356,"")</f>
        <v/>
      </c>
      <c r="AB1357" s="634"/>
      <c r="AC1357" s="970" t="b">
        <f ca="1">OR(AD1357:AE1357)</f>
        <v>0</v>
      </c>
      <c r="AD1357" s="970" t="b">
        <f ca="1">T1357</f>
        <v>0</v>
      </c>
      <c r="AE1357" s="970"/>
      <c r="AF1357" s="784"/>
      <c r="AG1357" s="634"/>
      <c r="AH1357" s="634"/>
      <c r="AI1357" s="634"/>
      <c r="AJ1357" s="634"/>
      <c r="AK1357" s="634"/>
      <c r="AL1357" s="254" t="str">
        <f>SUBSTITUTE(SUBSTITUTE(SUBSTITUTE("vpa"&amp;$B1357&amp;$C1357&amp;$D1357&amp;$E1357,".","_"),"(","_"),")","")</f>
        <v xml:space="preserve">vpa703_7_2 </v>
      </c>
      <c r="AM1357" s="254">
        <f>M1357</f>
        <v>1</v>
      </c>
      <c r="AN1357" s="254" t="str">
        <f>SUBSTITUTE(SUBSTITUTE(SUBSTITUTE("vpc"&amp;$B1357&amp;$C1357&amp;$D1357&amp;$E1357,".","_"),"(","_"),")","")</f>
        <v xml:space="preserve">vpc703_7_2 </v>
      </c>
      <c r="AO1357" s="254">
        <f ca="1">O1357</f>
        <v>0</v>
      </c>
      <c r="AP1357" s="254" t="str">
        <f>SUBSTITUTE(SUBSTITUTE(SUBSTITUTE("vch"&amp;$B1357&amp;$C1357&amp;$D1357&amp;$E1357,".","_"),"(","_"),")","")</f>
        <v xml:space="preserve">vch703_7_2 </v>
      </c>
      <c r="AQ1357" s="254" t="str">
        <f>IF(LEN(W1357)=0,"",W1357)</f>
        <v/>
      </c>
      <c r="AR1357" s="254" t="str">
        <f>SUBSTITUTE(SUBSTITUTE(SUBSTITUTE("vnt"&amp;$B1357&amp;$C1357&amp;$D1357&amp;$E1357,".","_"),"(","_"),")","")</f>
        <v xml:space="preserve">vnt703_7_2 </v>
      </c>
      <c r="AS1357" s="254" t="str">
        <f>IF(LEN(X1357)=0,"",X1357)</f>
        <v/>
      </c>
      <c r="AT1357" s="634"/>
      <c r="AU1357" s="634"/>
      <c r="AV1357" s="634"/>
      <c r="AW1357" s="634"/>
      <c r="AX1357" s="634"/>
      <c r="AY1357" s="634"/>
      <c r="AZ1357" s="634"/>
      <c r="BA1357" s="634"/>
      <c r="BB1357" s="634"/>
      <c r="BC1357" s="634"/>
      <c r="BD1357" s="634"/>
      <c r="BE1357" s="634"/>
      <c r="BF1357" s="634"/>
      <c r="BG1357" s="634"/>
      <c r="BH1357" s="634"/>
      <c r="BI1357" s="634"/>
    </row>
    <row r="1358" spans="1:61" x14ac:dyDescent="0.25">
      <c r="A1358" s="2371">
        <v>7</v>
      </c>
      <c r="B1358" s="2381" t="s">
        <v>975</v>
      </c>
      <c r="C1358" s="2381"/>
      <c r="D1358" s="2374"/>
      <c r="E1358" s="2374"/>
      <c r="F1358" s="2374"/>
      <c r="G1358" s="2373" t="str">
        <f ca="1">G1357</f>
        <v/>
      </c>
      <c r="H1358" s="2371" t="s">
        <v>3971</v>
      </c>
      <c r="I1358" s="210"/>
      <c r="J1358" s="637"/>
      <c r="K1358" s="637"/>
      <c r="L1358" s="1843"/>
      <c r="M1358" s="1759"/>
      <c r="N1358" s="2076"/>
      <c r="O1358" s="2076"/>
      <c r="P1358" s="756"/>
      <c r="Q1358" s="756"/>
      <c r="R1358" s="634"/>
      <c r="S1358" s="634"/>
      <c r="T1358" s="634"/>
      <c r="U1358" s="634"/>
      <c r="V1358" s="634"/>
      <c r="W1358" s="634"/>
      <c r="X1358" s="1757"/>
      <c r="Y1358" s="2081"/>
      <c r="Z1358" s="2083"/>
      <c r="AA1358" s="1526"/>
      <c r="AB1358" s="634"/>
      <c r="AC1358" s="970"/>
      <c r="AD1358" s="970"/>
      <c r="AE1358" s="970"/>
      <c r="AF1358" s="634"/>
      <c r="AG1358" s="634"/>
      <c r="AH1358" s="634"/>
      <c r="AI1358" s="634"/>
      <c r="AJ1358" s="634"/>
      <c r="AK1358" s="634"/>
      <c r="AL1358" s="1336"/>
      <c r="AM1358" s="1336"/>
      <c r="AN1358" s="1336"/>
      <c r="AO1358" s="1336"/>
      <c r="AP1358" s="1336"/>
      <c r="AQ1358" s="1336"/>
      <c r="AR1358" s="1336"/>
      <c r="AS1358" s="1336"/>
      <c r="AT1358" s="634"/>
      <c r="AU1358" s="634"/>
      <c r="AV1358" s="634"/>
      <c r="AW1358" s="634"/>
      <c r="AX1358" s="634"/>
      <c r="AY1358" s="634"/>
      <c r="AZ1358" s="634"/>
      <c r="BA1358" s="634"/>
      <c r="BB1358" s="634"/>
      <c r="BC1358" s="634"/>
      <c r="BD1358" s="634"/>
      <c r="BE1358" s="634"/>
      <c r="BF1358" s="634"/>
      <c r="BG1358" s="634"/>
      <c r="BH1358" s="634"/>
      <c r="BI1358" s="634"/>
    </row>
    <row r="1359" spans="1:61" x14ac:dyDescent="0.25">
      <c r="A1359" s="2371">
        <v>7</v>
      </c>
      <c r="B1359" s="2385" t="s">
        <v>977</v>
      </c>
      <c r="C1359" s="2381"/>
      <c r="D1359" s="2374"/>
      <c r="E1359" s="2374"/>
      <c r="F1359" s="2374"/>
      <c r="G1359" s="2373" t="str">
        <f ca="1">IF(N1359&gt;0,"P","")</f>
        <v/>
      </c>
      <c r="H1359" s="2371" t="s">
        <v>3971</v>
      </c>
      <c r="I1359" s="66" t="s">
        <v>977</v>
      </c>
      <c r="J1359" s="639"/>
      <c r="K1359" s="639"/>
      <c r="L1359" s="1796" t="s">
        <v>978</v>
      </c>
      <c r="M1359" s="1014"/>
      <c r="N1359" s="2075">
        <f ca="1">'Ch7'!O489</f>
        <v>0</v>
      </c>
      <c r="O1359" s="2075">
        <f ca="1">INDEX({0,3,4},MATCH(S1361,{0,3,4},1))*S1365</f>
        <v>0</v>
      </c>
      <c r="P1359" s="756"/>
      <c r="Q1359" s="756"/>
      <c r="R1359" s="634"/>
      <c r="S1359" s="634"/>
      <c r="T1359" s="634"/>
      <c r="U1359" s="634"/>
      <c r="V1359" s="634"/>
      <c r="W1359" s="634"/>
      <c r="X1359" s="911"/>
      <c r="Y1359" s="634"/>
      <c r="AA1359" s="1526"/>
      <c r="AB1359" s="634"/>
      <c r="AC1359" s="970"/>
      <c r="AD1359" s="970"/>
      <c r="AE1359" s="970"/>
      <c r="AF1359" s="634"/>
      <c r="AG1359" s="634"/>
      <c r="AH1359" s="634"/>
      <c r="AI1359" s="634"/>
      <c r="AJ1359" s="634"/>
      <c r="AK1359" s="634"/>
      <c r="AL1359" s="1336"/>
      <c r="AM1359" s="1336"/>
      <c r="AN1359" s="254" t="str">
        <f>SUBSTITUTE(SUBSTITUTE(SUBSTITUTE("vpc"&amp;$B1359&amp;$C1359&amp;$D1359&amp;$E1359,".","_"),"(","_"),")","")</f>
        <v>vpc703_7_3</v>
      </c>
      <c r="AO1359" s="254">
        <f ca="1">O1359</f>
        <v>0</v>
      </c>
      <c r="AP1359" s="1336"/>
      <c r="AQ1359" s="1336"/>
      <c r="AR1359" s="1336"/>
      <c r="AS1359" s="1336"/>
      <c r="AT1359" s="634"/>
      <c r="AU1359" s="634"/>
      <c r="AV1359" s="634"/>
      <c r="AW1359" s="634"/>
      <c r="AX1359" s="634"/>
      <c r="AY1359" s="634"/>
      <c r="AZ1359" s="634"/>
      <c r="BA1359" s="634"/>
      <c r="BB1359" s="634"/>
      <c r="BC1359" s="634"/>
      <c r="BD1359" s="634"/>
      <c r="BE1359" s="634"/>
      <c r="BF1359" s="634"/>
      <c r="BG1359" s="634"/>
      <c r="BH1359" s="634"/>
      <c r="BI1359" s="634"/>
    </row>
    <row r="1360" spans="1:61" x14ac:dyDescent="0.25">
      <c r="A1360" s="2371">
        <v>7</v>
      </c>
      <c r="B1360" s="2385" t="s">
        <v>977</v>
      </c>
      <c r="C1360" s="2381"/>
      <c r="D1360" s="2374"/>
      <c r="E1360" s="2374"/>
      <c r="F1360" s="2374"/>
      <c r="G1360" s="2373" t="str">
        <f t="shared" ref="G1360:G1386" ca="1" si="81">G1359</f>
        <v/>
      </c>
      <c r="H1360" s="2371" t="s">
        <v>3971</v>
      </c>
      <c r="I1360" s="4"/>
      <c r="J1360" s="639"/>
      <c r="K1360" s="639"/>
      <c r="L1360" s="1796"/>
      <c r="M1360" s="1014"/>
      <c r="N1360" s="2075"/>
      <c r="O1360" s="2075"/>
      <c r="P1360" s="756"/>
      <c r="Q1360" s="756"/>
      <c r="R1360" s="634"/>
      <c r="S1360" s="634"/>
      <c r="T1360" s="634"/>
      <c r="U1360" s="634"/>
      <c r="V1360" s="634"/>
      <c r="W1360" s="634"/>
      <c r="X1360" s="911"/>
      <c r="Y1360" s="634"/>
      <c r="AA1360" s="1526"/>
      <c r="AB1360" s="634"/>
      <c r="AC1360" s="970"/>
      <c r="AD1360" s="970"/>
      <c r="AE1360" s="970"/>
      <c r="AF1360" s="634"/>
      <c r="AG1360" s="634"/>
      <c r="AH1360" s="634"/>
      <c r="AI1360" s="634"/>
      <c r="AJ1360" s="634"/>
      <c r="AK1360" s="634"/>
      <c r="AL1360" s="1336"/>
      <c r="AM1360" s="1336"/>
      <c r="AN1360" s="1336"/>
      <c r="AO1360" s="1336"/>
      <c r="AP1360" s="1336"/>
      <c r="AQ1360" s="1336"/>
      <c r="AR1360" s="1336"/>
      <c r="AS1360" s="1336"/>
      <c r="AT1360" s="634"/>
      <c r="AU1360" s="634"/>
      <c r="AV1360" s="634"/>
      <c r="AW1360" s="634"/>
      <c r="AX1360" s="634"/>
      <c r="AY1360" s="634"/>
      <c r="AZ1360" s="634"/>
      <c r="BA1360" s="634"/>
      <c r="BB1360" s="634"/>
      <c r="BC1360" s="634"/>
      <c r="BD1360" s="634"/>
      <c r="BE1360" s="634"/>
      <c r="BF1360" s="634"/>
      <c r="BG1360" s="634"/>
      <c r="BH1360" s="634"/>
      <c r="BI1360" s="634"/>
    </row>
    <row r="1361" spans="1:61" x14ac:dyDescent="0.25">
      <c r="A1361" s="2371">
        <v>7</v>
      </c>
      <c r="B1361" s="2385" t="s">
        <v>977</v>
      </c>
      <c r="C1361" s="2383" t="s">
        <v>256</v>
      </c>
      <c r="D1361" s="2374"/>
      <c r="E1361" s="2374"/>
      <c r="F1361" s="2374"/>
      <c r="G1361" s="2373" t="str">
        <f t="shared" ca="1" si="81"/>
        <v/>
      </c>
      <c r="H1361" s="2371" t="s">
        <v>3971</v>
      </c>
      <c r="I1361" s="4"/>
      <c r="J1361" s="639"/>
      <c r="K1361" s="639"/>
      <c r="L1361" s="1173" t="s">
        <v>979</v>
      </c>
      <c r="M1361" s="1014">
        <v>3</v>
      </c>
      <c r="N1361" s="1042"/>
      <c r="O1361" s="1042"/>
      <c r="P1361" s="756"/>
      <c r="Q1361" s="756"/>
      <c r="R1361" s="634" t="s">
        <v>3628</v>
      </c>
      <c r="S1361" s="1">
        <f ca="1">(1*MIN(1,COUNTIF(W1365:W1369,TRUE))+1*S1371*W1371+1*W1374+1*S1376*W1376+1*MIN(1,COUNTIF(W1381:W1383,TRUE))+1*W1385)</f>
        <v>0</v>
      </c>
      <c r="T1361" s="634"/>
      <c r="U1361" s="634"/>
      <c r="V1361" s="634"/>
      <c r="W1361" s="634"/>
      <c r="X1361" s="911"/>
      <c r="Y1361" s="634"/>
      <c r="AA1361" s="1526"/>
      <c r="AB1361" s="634"/>
      <c r="AC1361" s="970"/>
      <c r="AD1361" s="970"/>
      <c r="AE1361" s="970"/>
      <c r="AF1361" s="634"/>
      <c r="AG1361" s="634"/>
      <c r="AH1361" s="634"/>
      <c r="AI1361" s="634"/>
      <c r="AJ1361" s="634"/>
      <c r="AK1361" s="634"/>
      <c r="AL1361" s="254" t="str">
        <f>SUBSTITUTE(SUBSTITUTE(SUBSTITUTE("vpa"&amp;$B1361&amp;$C1361&amp;$D1361&amp;$E1361,".","_"),"(","_"),")","")</f>
        <v>vpa703_7_3_1</v>
      </c>
      <c r="AM1361" s="254">
        <f>M1361</f>
        <v>3</v>
      </c>
      <c r="AN1361" s="1336"/>
      <c r="AO1361" s="1336"/>
      <c r="AP1361" s="1336"/>
      <c r="AQ1361" s="1336"/>
      <c r="AR1361" s="1336"/>
      <c r="AS1361" s="1336"/>
      <c r="AT1361" s="634"/>
      <c r="AU1361" s="634"/>
      <c r="AV1361" s="634"/>
      <c r="AW1361" s="634"/>
      <c r="AX1361" s="634"/>
      <c r="AY1361" s="634"/>
      <c r="AZ1361" s="634"/>
      <c r="BA1361" s="634"/>
      <c r="BB1361" s="634"/>
      <c r="BC1361" s="634"/>
      <c r="BD1361" s="634"/>
      <c r="BE1361" s="634"/>
      <c r="BF1361" s="634"/>
      <c r="BG1361" s="634"/>
      <c r="BH1361" s="634"/>
      <c r="BI1361" s="634"/>
    </row>
    <row r="1362" spans="1:61" x14ac:dyDescent="0.25">
      <c r="A1362" s="2371">
        <v>7</v>
      </c>
      <c r="B1362" s="2385" t="s">
        <v>977</v>
      </c>
      <c r="C1362" s="2383" t="s">
        <v>258</v>
      </c>
      <c r="D1362" s="2374"/>
      <c r="E1362" s="2374"/>
      <c r="F1362" s="2374"/>
      <c r="G1362" s="2373" t="str">
        <f t="shared" ca="1" si="81"/>
        <v/>
      </c>
      <c r="H1362" s="2371" t="s">
        <v>3971</v>
      </c>
      <c r="I1362" s="4"/>
      <c r="J1362" s="639"/>
      <c r="K1362" s="639"/>
      <c r="L1362" s="1173" t="s">
        <v>980</v>
      </c>
      <c r="M1362" s="1014">
        <v>1</v>
      </c>
      <c r="N1362" s="1042"/>
      <c r="O1362" s="1042"/>
      <c r="P1362" s="756"/>
      <c r="Q1362" s="756"/>
      <c r="R1362" s="634"/>
      <c r="S1362" s="634"/>
      <c r="T1362" s="634"/>
      <c r="U1362" s="634"/>
      <c r="V1362" s="634"/>
      <c r="W1362" s="634"/>
      <c r="X1362" s="911"/>
      <c r="Y1362" s="634"/>
      <c r="AA1362" s="1526"/>
      <c r="AB1362" s="634"/>
      <c r="AC1362" s="970"/>
      <c r="AD1362" s="970"/>
      <c r="AE1362" s="970"/>
      <c r="AF1362" s="634"/>
      <c r="AG1362" s="634"/>
      <c r="AH1362" s="634"/>
      <c r="AI1362" s="634"/>
      <c r="AJ1362" s="634"/>
      <c r="AK1362" s="634"/>
      <c r="AL1362" s="254" t="str">
        <f>SUBSTITUTE(SUBSTITUTE(SUBSTITUTE("vpa"&amp;$B1362&amp;$C1362&amp;$D1362&amp;$E1362,".","_"),"(","_"),")","")</f>
        <v>vpa703_7_3_2</v>
      </c>
      <c r="AM1362" s="254">
        <f>M1362</f>
        <v>1</v>
      </c>
      <c r="AN1362" s="1336"/>
      <c r="AO1362" s="1336"/>
      <c r="AP1362" s="1336"/>
      <c r="AQ1362" s="1336"/>
      <c r="AR1362" s="1336"/>
      <c r="AS1362" s="1336"/>
      <c r="AT1362" s="634"/>
      <c r="AU1362" s="634"/>
      <c r="AV1362" s="634"/>
      <c r="AW1362" s="634"/>
      <c r="AX1362" s="634"/>
      <c r="AY1362" s="634"/>
      <c r="AZ1362" s="634"/>
      <c r="BA1362" s="634"/>
      <c r="BB1362" s="634"/>
      <c r="BC1362" s="634"/>
      <c r="BD1362" s="634"/>
      <c r="BE1362" s="634"/>
      <c r="BF1362" s="634"/>
      <c r="BG1362" s="634"/>
      <c r="BH1362" s="634"/>
      <c r="BI1362" s="634"/>
    </row>
    <row r="1363" spans="1:61" x14ac:dyDescent="0.25">
      <c r="A1363" s="2371">
        <v>7</v>
      </c>
      <c r="B1363" s="2385" t="s">
        <v>977</v>
      </c>
      <c r="C1363" s="2383" t="s">
        <v>256</v>
      </c>
      <c r="D1363" s="2374"/>
      <c r="E1363" s="2374"/>
      <c r="F1363" s="2374"/>
      <c r="G1363" s="2373" t="str">
        <f t="shared" ca="1" si="81"/>
        <v/>
      </c>
      <c r="H1363" s="2371" t="s">
        <v>3971</v>
      </c>
      <c r="I1363" s="4"/>
      <c r="J1363" s="234" t="s">
        <v>256</v>
      </c>
      <c r="K1363" s="639"/>
      <c r="L1363" s="1779" t="s">
        <v>981</v>
      </c>
      <c r="M1363" s="1014"/>
      <c r="N1363" s="1042"/>
      <c r="O1363" s="1042"/>
      <c r="P1363" s="756"/>
      <c r="Q1363" s="756"/>
      <c r="R1363" s="634"/>
      <c r="S1363" s="634"/>
      <c r="T1363" s="634"/>
      <c r="U1363" s="634"/>
      <c r="V1363" s="634"/>
      <c r="W1363" s="634"/>
      <c r="X1363" s="911"/>
      <c r="Y1363" s="634"/>
      <c r="AA1363" s="1551" t="str">
        <f>IF(LEN('Photo Review'!I1362)&gt;0,'Photo Review'!I1362,"")</f>
        <v/>
      </c>
      <c r="AB1363" s="634"/>
      <c r="AC1363" s="970"/>
      <c r="AD1363" s="970"/>
      <c r="AE1363" s="970"/>
      <c r="AF1363" s="634"/>
      <c r="AG1363" s="634"/>
      <c r="AH1363" s="634"/>
      <c r="AI1363" s="634"/>
      <c r="AJ1363" s="634"/>
      <c r="AK1363" s="634"/>
      <c r="AL1363" s="1336"/>
      <c r="AM1363" s="1336"/>
      <c r="AN1363" s="1336"/>
      <c r="AO1363" s="1336"/>
      <c r="AP1363" s="1336"/>
      <c r="AQ1363" s="1336"/>
      <c r="AR1363" s="1336"/>
      <c r="AS1363" s="1336"/>
      <c r="AT1363" s="634"/>
      <c r="AU1363" s="634"/>
      <c r="AV1363" s="634"/>
      <c r="AW1363" s="634"/>
      <c r="AX1363" s="634"/>
      <c r="AY1363" s="634"/>
      <c r="AZ1363" s="634"/>
      <c r="BA1363" s="634"/>
      <c r="BB1363" s="634"/>
      <c r="BC1363" s="634"/>
      <c r="BD1363" s="634"/>
      <c r="BE1363" s="634"/>
      <c r="BF1363" s="634"/>
      <c r="BG1363" s="634"/>
      <c r="BH1363" s="634"/>
      <c r="BI1363" s="634"/>
    </row>
    <row r="1364" spans="1:61" x14ac:dyDescent="0.25">
      <c r="A1364" s="2371">
        <v>7</v>
      </c>
      <c r="B1364" s="2385" t="s">
        <v>977</v>
      </c>
      <c r="C1364" s="2383" t="s">
        <v>256</v>
      </c>
      <c r="D1364" s="2374"/>
      <c r="E1364" s="2374"/>
      <c r="F1364" s="2374"/>
      <c r="G1364" s="2373" t="str">
        <f t="shared" ca="1" si="81"/>
        <v/>
      </c>
      <c r="H1364" s="2371" t="s">
        <v>3971</v>
      </c>
      <c r="I1364" s="4"/>
      <c r="J1364" s="639"/>
      <c r="K1364" s="639"/>
      <c r="L1364" s="1779"/>
      <c r="M1364" s="1014"/>
      <c r="N1364" s="1042"/>
      <c r="O1364" s="1042"/>
      <c r="P1364" s="756"/>
      <c r="Q1364" s="756"/>
      <c r="R1364" s="634"/>
      <c r="S1364" s="634"/>
      <c r="T1364" s="634"/>
      <c r="U1364" s="634"/>
      <c r="V1364" s="634"/>
      <c r="W1364" s="634"/>
      <c r="X1364" s="911"/>
      <c r="Y1364" s="634"/>
      <c r="AA1364" s="1526"/>
      <c r="AB1364" s="634"/>
      <c r="AC1364" s="970"/>
      <c r="AD1364" s="970"/>
      <c r="AE1364" s="970"/>
      <c r="AF1364" s="634"/>
      <c r="AG1364" s="634"/>
      <c r="AH1364" s="634"/>
      <c r="AI1364" s="634"/>
      <c r="AJ1364" s="634"/>
      <c r="AK1364" s="634"/>
      <c r="AL1364" s="1336"/>
      <c r="AM1364" s="1336"/>
      <c r="AN1364" s="1336"/>
      <c r="AO1364" s="1336"/>
      <c r="AP1364" s="1336"/>
      <c r="AQ1364" s="1336"/>
      <c r="AR1364" s="1336"/>
      <c r="AS1364" s="1336"/>
      <c r="AT1364" s="634"/>
      <c r="AU1364" s="634"/>
      <c r="AV1364" s="634"/>
      <c r="AW1364" s="634"/>
      <c r="AX1364" s="634"/>
      <c r="AY1364" s="634"/>
      <c r="AZ1364" s="634"/>
      <c r="BA1364" s="634"/>
      <c r="BB1364" s="634"/>
      <c r="BC1364" s="634"/>
      <c r="BD1364" s="634"/>
      <c r="BE1364" s="634"/>
      <c r="BF1364" s="634"/>
      <c r="BG1364" s="634"/>
      <c r="BH1364" s="634"/>
      <c r="BI1364" s="634"/>
    </row>
    <row r="1365" spans="1:61" x14ac:dyDescent="0.25">
      <c r="A1365" s="2371">
        <v>7</v>
      </c>
      <c r="B1365" s="2385" t="s">
        <v>977</v>
      </c>
      <c r="C1365" s="2383" t="s">
        <v>256</v>
      </c>
      <c r="D1365" s="2374" t="s">
        <v>121</v>
      </c>
      <c r="E1365" s="2374"/>
      <c r="F1365" s="2374"/>
      <c r="G1365" s="2373" t="str">
        <f t="shared" ca="1" si="81"/>
        <v/>
      </c>
      <c r="H1365" s="2375" t="s">
        <v>3971</v>
      </c>
      <c r="I1365" s="4"/>
      <c r="J1365" s="639"/>
      <c r="K1365" s="230" t="s">
        <v>121</v>
      </c>
      <c r="L1365" s="1779" t="s">
        <v>982</v>
      </c>
      <c r="M1365" s="1014"/>
      <c r="N1365" s="1042"/>
      <c r="O1365" s="1042"/>
      <c r="P1365" s="94" t="b">
        <v>1</v>
      </c>
      <c r="Q1365" s="94" t="b">
        <v>1</v>
      </c>
      <c r="R1365" s="634" t="b">
        <v>0</v>
      </c>
      <c r="S1365" s="634" t="b">
        <f ca="1">(S883=2)</f>
        <v>0</v>
      </c>
      <c r="T1365" s="94" t="b">
        <f ca="1">AND(NOT(S1365),W1365=TRUE)</f>
        <v>0</v>
      </c>
      <c r="U1365" s="634"/>
      <c r="V1365" s="634"/>
      <c r="W1365" s="25"/>
      <c r="X1365" s="1757"/>
      <c r="Y1365" s="2081" t="str">
        <f>IF(LEN('Ch7'!X495)=0,"None",'Ch7'!X495)</f>
        <v>None</v>
      </c>
      <c r="Z1365" s="2083"/>
      <c r="AA1365" s="1526"/>
      <c r="AB1365" s="634"/>
      <c r="AC1365" s="970" t="b">
        <f ca="1">OR(AD1365:AE1365)</f>
        <v>0</v>
      </c>
      <c r="AD1365" s="970" t="b">
        <f ca="1">T1365</f>
        <v>0</v>
      </c>
      <c r="AE1365" s="970"/>
      <c r="AF1365" s="784"/>
      <c r="AG1365" s="634"/>
      <c r="AH1365" s="634"/>
      <c r="AI1365" s="634"/>
      <c r="AJ1365" s="634"/>
      <c r="AK1365" s="634"/>
      <c r="AL1365" s="1336"/>
      <c r="AM1365" s="1336"/>
      <c r="AN1365" s="1336"/>
      <c r="AO1365" s="1336"/>
      <c r="AP1365" s="254" t="str">
        <f>SUBSTITUTE(SUBSTITUTE(SUBSTITUTE("vch"&amp;$B1365&amp;$C1365&amp;$D1365&amp;$E1365,".","_"),"(","_"),")","")</f>
        <v>vch703_7_3_1_a</v>
      </c>
      <c r="AQ1365" s="254" t="str">
        <f>IF(LEN(W1365)=0,"",W1365)</f>
        <v/>
      </c>
      <c r="AR1365" s="254" t="str">
        <f>SUBSTITUTE(SUBSTITUTE(SUBSTITUTE("vnt"&amp;$B1365&amp;$C1365&amp;$D1365&amp;$E1365,".","_"),"(","_"),")","")</f>
        <v>vnt703_7_3_1_a</v>
      </c>
      <c r="AS1365" s="254" t="str">
        <f>IF(LEN(X1365)=0,"",X1365)</f>
        <v/>
      </c>
      <c r="AT1365" s="634"/>
      <c r="AU1365" s="634"/>
      <c r="AV1365" s="634"/>
      <c r="AW1365" s="634"/>
      <c r="AX1365" s="634"/>
      <c r="AY1365" s="634"/>
      <c r="AZ1365" s="634"/>
      <c r="BA1365" s="634"/>
      <c r="BB1365" s="634"/>
      <c r="BC1365" s="634"/>
      <c r="BD1365" s="634"/>
      <c r="BE1365" s="634"/>
      <c r="BF1365" s="634"/>
      <c r="BG1365" s="634"/>
      <c r="BH1365" s="634"/>
      <c r="BI1365" s="634"/>
    </row>
    <row r="1366" spans="1:61" x14ac:dyDescent="0.25">
      <c r="A1366" s="2371">
        <v>7</v>
      </c>
      <c r="B1366" s="2385" t="s">
        <v>977</v>
      </c>
      <c r="C1366" s="2383" t="s">
        <v>256</v>
      </c>
      <c r="D1366" s="2374" t="s">
        <v>121</v>
      </c>
      <c r="E1366" s="2374"/>
      <c r="F1366" s="2374"/>
      <c r="G1366" s="2373" t="str">
        <f t="shared" ca="1" si="81"/>
        <v/>
      </c>
      <c r="H1366" s="2371" t="s">
        <v>3971</v>
      </c>
      <c r="I1366" s="4"/>
      <c r="J1366" s="639"/>
      <c r="K1366" s="639"/>
      <c r="L1366" s="1779"/>
      <c r="M1366" s="1014"/>
      <c r="N1366" s="1042"/>
      <c r="O1366" s="1042"/>
      <c r="P1366" s="756"/>
      <c r="Q1366" s="756"/>
      <c r="R1366" s="634"/>
      <c r="S1366" s="634"/>
      <c r="T1366" s="634"/>
      <c r="U1366" s="634"/>
      <c r="V1366" s="634"/>
      <c r="W1366" s="634"/>
      <c r="X1366" s="1757"/>
      <c r="Y1366" s="2081"/>
      <c r="Z1366" s="2083"/>
      <c r="AA1366" s="1526"/>
      <c r="AB1366" s="634"/>
      <c r="AC1366" s="970"/>
      <c r="AD1366" s="970"/>
      <c r="AE1366" s="970"/>
      <c r="AF1366" s="634"/>
      <c r="AG1366" s="634"/>
      <c r="AH1366" s="634"/>
      <c r="AI1366" s="634"/>
      <c r="AJ1366" s="634"/>
      <c r="AK1366" s="634"/>
      <c r="AL1366" s="1336"/>
      <c r="AM1366" s="1336"/>
      <c r="AN1366" s="1336"/>
      <c r="AO1366" s="1336"/>
      <c r="AP1366" s="1336"/>
      <c r="AQ1366" s="1336"/>
      <c r="AR1366" s="1336"/>
      <c r="AS1366" s="1336"/>
      <c r="AT1366" s="634"/>
      <c r="AU1366" s="634"/>
      <c r="AV1366" s="634"/>
      <c r="AW1366" s="634"/>
      <c r="AX1366" s="634"/>
      <c r="AY1366" s="634"/>
      <c r="AZ1366" s="634"/>
      <c r="BA1366" s="634"/>
      <c r="BB1366" s="634"/>
      <c r="BC1366" s="634"/>
      <c r="BD1366" s="634"/>
      <c r="BE1366" s="634"/>
      <c r="BF1366" s="634"/>
      <c r="BG1366" s="634"/>
      <c r="BH1366" s="634"/>
      <c r="BI1366" s="634"/>
    </row>
    <row r="1367" spans="1:61" x14ac:dyDescent="0.25">
      <c r="A1367" s="2371">
        <v>7</v>
      </c>
      <c r="B1367" s="2385" t="s">
        <v>977</v>
      </c>
      <c r="C1367" s="2383" t="s">
        <v>256</v>
      </c>
      <c r="D1367" s="2374" t="s">
        <v>122</v>
      </c>
      <c r="E1367" s="2374"/>
      <c r="F1367" s="2374"/>
      <c r="G1367" s="2373" t="str">
        <f t="shared" ca="1" si="81"/>
        <v/>
      </c>
      <c r="H1367" s="2375" t="s">
        <v>3971</v>
      </c>
      <c r="I1367" s="4"/>
      <c r="J1367" s="639"/>
      <c r="K1367" s="230" t="s">
        <v>122</v>
      </c>
      <c r="L1367" s="1170" t="s">
        <v>983</v>
      </c>
      <c r="M1367" s="1014"/>
      <c r="N1367" s="1042"/>
      <c r="O1367" s="1042"/>
      <c r="P1367" s="94" t="b">
        <v>1</v>
      </c>
      <c r="Q1367" s="94" t="b">
        <v>1</v>
      </c>
      <c r="R1367" s="634" t="b">
        <v>0</v>
      </c>
      <c r="S1367" s="634" t="b">
        <f ca="1">(S883=2)</f>
        <v>0</v>
      </c>
      <c r="T1367" s="94" t="b">
        <f ca="1">AND(NOT(S1367),W1367=TRUE)</f>
        <v>0</v>
      </c>
      <c r="U1367" s="634"/>
      <c r="V1367" s="634"/>
      <c r="W1367" s="25"/>
      <c r="X1367" s="918"/>
      <c r="Y1367" s="988" t="str">
        <f>IF(LEN('Ch7'!X497)=0,"None",'Ch7'!X497)</f>
        <v>None</v>
      </c>
      <c r="Z1367" s="1587"/>
      <c r="AA1367" s="1526"/>
      <c r="AB1367" s="634"/>
      <c r="AC1367" s="970" t="b">
        <f ca="1">OR(AD1367:AE1367)</f>
        <v>0</v>
      </c>
      <c r="AD1367" s="970" t="b">
        <f ca="1">T1367</f>
        <v>0</v>
      </c>
      <c r="AE1367" s="970"/>
      <c r="AF1367" s="784"/>
      <c r="AG1367" s="634"/>
      <c r="AH1367" s="634"/>
      <c r="AI1367" s="634"/>
      <c r="AJ1367" s="634"/>
      <c r="AK1367" s="634"/>
      <c r="AL1367" s="1336"/>
      <c r="AM1367" s="1336"/>
      <c r="AN1367" s="1336"/>
      <c r="AO1367" s="1336"/>
      <c r="AP1367" s="254" t="str">
        <f>SUBSTITUTE(SUBSTITUTE(SUBSTITUTE("vch"&amp;$B1367&amp;$C1367&amp;$D1367&amp;$E1367,".","_"),"(","_"),")","")</f>
        <v>vch703_7_3_1_b</v>
      </c>
      <c r="AQ1367" s="254" t="str">
        <f>IF(LEN(W1367)=0,"",W1367)</f>
        <v/>
      </c>
      <c r="AR1367" s="254" t="str">
        <f>SUBSTITUTE(SUBSTITUTE(SUBSTITUTE("vnt"&amp;$B1367&amp;$C1367&amp;$D1367&amp;$E1367,".","_"),"(","_"),")","")</f>
        <v>vnt703_7_3_1_b</v>
      </c>
      <c r="AS1367" s="254" t="str">
        <f>IF(LEN(X1367)=0,"",X1367)</f>
        <v/>
      </c>
      <c r="AT1367" s="634"/>
      <c r="AU1367" s="634"/>
      <c r="AV1367" s="634"/>
      <c r="AW1367" s="634"/>
      <c r="AX1367" s="634"/>
      <c r="AY1367" s="634"/>
      <c r="AZ1367" s="634"/>
      <c r="BA1367" s="634"/>
      <c r="BB1367" s="634"/>
      <c r="BC1367" s="634"/>
      <c r="BD1367" s="634"/>
      <c r="BE1367" s="634"/>
      <c r="BF1367" s="634"/>
      <c r="BG1367" s="634"/>
      <c r="BH1367" s="634"/>
      <c r="BI1367" s="634"/>
    </row>
    <row r="1368" spans="1:61" x14ac:dyDescent="0.25">
      <c r="A1368" s="2371">
        <v>7</v>
      </c>
      <c r="B1368" s="2385" t="s">
        <v>977</v>
      </c>
      <c r="C1368" s="2383" t="s">
        <v>256</v>
      </c>
      <c r="D1368" s="2376" t="s">
        <v>123</v>
      </c>
      <c r="E1368" s="2376"/>
      <c r="F1368" s="2376"/>
      <c r="G1368" s="2373" t="str">
        <f t="shared" ca="1" si="81"/>
        <v/>
      </c>
      <c r="H1368" s="2379" t="s">
        <v>3971</v>
      </c>
      <c r="I1368" s="4"/>
      <c r="J1368" s="639"/>
      <c r="K1368" s="231" t="s">
        <v>123</v>
      </c>
      <c r="L1368" s="1170" t="s">
        <v>984</v>
      </c>
      <c r="M1368" s="1014"/>
      <c r="N1368" s="1042"/>
      <c r="O1368" s="1042"/>
      <c r="P1368" s="94" t="b">
        <v>1</v>
      </c>
      <c r="Q1368" s="94" t="b">
        <v>1</v>
      </c>
      <c r="R1368" s="634" t="b">
        <v>0</v>
      </c>
      <c r="S1368" s="634" t="b">
        <f ca="1">(S883=2)</f>
        <v>0</v>
      </c>
      <c r="T1368" s="94" t="b">
        <f ca="1">AND(NOT(S1368),W1368=TRUE)</f>
        <v>0</v>
      </c>
      <c r="U1368" s="634"/>
      <c r="V1368" s="634"/>
      <c r="W1368" s="25"/>
      <c r="X1368" s="918"/>
      <c r="Y1368" s="988" t="str">
        <f>IF(LEN('Ch7'!X498)=0,"None",'Ch7'!X498)</f>
        <v>None</v>
      </c>
      <c r="Z1368" s="1587"/>
      <c r="AA1368" s="1526"/>
      <c r="AB1368" s="634"/>
      <c r="AC1368" s="970" t="b">
        <f ca="1">OR(AD1368:AE1368)</f>
        <v>0</v>
      </c>
      <c r="AD1368" s="970" t="b">
        <f ca="1">T1368</f>
        <v>0</v>
      </c>
      <c r="AE1368" s="970"/>
      <c r="AF1368" s="784"/>
      <c r="AG1368" s="634"/>
      <c r="AH1368" s="634"/>
      <c r="AI1368" s="634"/>
      <c r="AJ1368" s="634"/>
      <c r="AK1368" s="634"/>
      <c r="AL1368" s="1336"/>
      <c r="AM1368" s="1336"/>
      <c r="AN1368" s="1336"/>
      <c r="AO1368" s="1336"/>
      <c r="AP1368" s="254" t="str">
        <f>SUBSTITUTE(SUBSTITUTE(SUBSTITUTE("vch"&amp;$B1368&amp;$C1368&amp;$D1368&amp;$E1368,".","_"),"(","_"),")","")</f>
        <v>vch703_7_3_1_c</v>
      </c>
      <c r="AQ1368" s="254" t="str">
        <f>IF(LEN(W1368)=0,"",W1368)</f>
        <v/>
      </c>
      <c r="AR1368" s="254" t="str">
        <f>SUBSTITUTE(SUBSTITUTE(SUBSTITUTE("vnt"&amp;$B1368&amp;$C1368&amp;$D1368&amp;$E1368,".","_"),"(","_"),")","")</f>
        <v>vnt703_7_3_1_c</v>
      </c>
      <c r="AS1368" s="254" t="str">
        <f>IF(LEN(X1368)=0,"",X1368)</f>
        <v/>
      </c>
      <c r="AT1368" s="634"/>
      <c r="AU1368" s="634"/>
      <c r="AV1368" s="634"/>
      <c r="AW1368" s="634"/>
      <c r="AX1368" s="634"/>
      <c r="AY1368" s="634"/>
      <c r="AZ1368" s="634"/>
      <c r="BA1368" s="634"/>
      <c r="BB1368" s="634"/>
      <c r="BC1368" s="634"/>
      <c r="BD1368" s="634"/>
      <c r="BE1368" s="634"/>
      <c r="BF1368" s="634"/>
      <c r="BG1368" s="634"/>
      <c r="BH1368" s="634"/>
      <c r="BI1368" s="634"/>
    </row>
    <row r="1369" spans="1:61" x14ac:dyDescent="0.25">
      <c r="A1369" s="2371">
        <v>7</v>
      </c>
      <c r="B1369" s="2385" t="s">
        <v>977</v>
      </c>
      <c r="C1369" s="2383" t="s">
        <v>256</v>
      </c>
      <c r="D1369" s="2374" t="s">
        <v>401</v>
      </c>
      <c r="E1369" s="2374"/>
      <c r="F1369" s="2374"/>
      <c r="G1369" s="2373" t="str">
        <f t="shared" ca="1" si="81"/>
        <v/>
      </c>
      <c r="H1369" s="2371" t="s">
        <v>3971</v>
      </c>
      <c r="I1369" s="4"/>
      <c r="J1369" s="636"/>
      <c r="K1369" s="645" t="s">
        <v>401</v>
      </c>
      <c r="L1369" s="1754" t="s">
        <v>985</v>
      </c>
      <c r="M1369" s="1014"/>
      <c r="N1369" s="1042"/>
      <c r="O1369" s="1042"/>
      <c r="P1369" s="94" t="b">
        <v>1</v>
      </c>
      <c r="Q1369" s="94" t="b">
        <v>1</v>
      </c>
      <c r="R1369" s="634" t="b">
        <v>0</v>
      </c>
      <c r="S1369" s="634" t="b">
        <f ca="1">(S883=2)</f>
        <v>0</v>
      </c>
      <c r="T1369" s="94" t="b">
        <f ca="1">AND(NOT(S1369),W1369=TRUE)</f>
        <v>0</v>
      </c>
      <c r="U1369" s="634"/>
      <c r="V1369" s="634"/>
      <c r="W1369" s="25"/>
      <c r="X1369" s="1757"/>
      <c r="Y1369" s="2081" t="str">
        <f>IF(LEN('Ch7'!X499)=0,"None",'Ch7'!X499)</f>
        <v>None</v>
      </c>
      <c r="Z1369" s="2083"/>
      <c r="AA1369" s="1526"/>
      <c r="AB1369" s="634"/>
      <c r="AC1369" s="970" t="b">
        <f ca="1">OR(AD1369:AE1369)</f>
        <v>0</v>
      </c>
      <c r="AD1369" s="970" t="b">
        <f ca="1">T1369</f>
        <v>0</v>
      </c>
      <c r="AE1369" s="970"/>
      <c r="AF1369" s="784"/>
      <c r="AG1369" s="634"/>
      <c r="AH1369" s="634"/>
      <c r="AI1369" s="634"/>
      <c r="AJ1369" s="634"/>
      <c r="AK1369" s="634"/>
      <c r="AL1369" s="1336"/>
      <c r="AM1369" s="1336"/>
      <c r="AN1369" s="1336"/>
      <c r="AO1369" s="1336"/>
      <c r="AP1369" s="254" t="str">
        <f>SUBSTITUTE(SUBSTITUTE(SUBSTITUTE("vch"&amp;$B1369&amp;$C1369&amp;$D1369&amp;$E1369,".","_"),"(","_"),")","")</f>
        <v>vch703_7_3_1_d</v>
      </c>
      <c r="AQ1369" s="254" t="str">
        <f>IF(LEN(W1369)=0,"",W1369)</f>
        <v/>
      </c>
      <c r="AR1369" s="254" t="str">
        <f>SUBSTITUTE(SUBSTITUTE(SUBSTITUTE("vnt"&amp;$B1369&amp;$C1369&amp;$D1369&amp;$E1369,".","_"),"(","_"),")","")</f>
        <v>vnt703_7_3_1_d</v>
      </c>
      <c r="AS1369" s="254" t="str">
        <f>IF(LEN(X1369)=0,"",X1369)</f>
        <v/>
      </c>
      <c r="AT1369" s="634"/>
      <c r="AU1369" s="634"/>
      <c r="AV1369" s="634"/>
      <c r="AW1369" s="634"/>
      <c r="AX1369" s="634"/>
      <c r="AY1369" s="634"/>
      <c r="AZ1369" s="634"/>
      <c r="BA1369" s="634"/>
      <c r="BB1369" s="634"/>
      <c r="BC1369" s="634"/>
      <c r="BD1369" s="634"/>
      <c r="BE1369" s="634"/>
      <c r="BF1369" s="634"/>
      <c r="BG1369" s="634"/>
      <c r="BH1369" s="634"/>
      <c r="BI1369" s="634"/>
    </row>
    <row r="1370" spans="1:61" x14ac:dyDescent="0.25">
      <c r="A1370" s="2371">
        <v>7</v>
      </c>
      <c r="B1370" s="2385" t="s">
        <v>977</v>
      </c>
      <c r="C1370" s="2383" t="s">
        <v>256</v>
      </c>
      <c r="D1370" s="2374" t="s">
        <v>401</v>
      </c>
      <c r="E1370" s="2374"/>
      <c r="F1370" s="2374"/>
      <c r="G1370" s="2373" t="str">
        <f t="shared" ca="1" si="81"/>
        <v/>
      </c>
      <c r="H1370" s="2371" t="s">
        <v>3971</v>
      </c>
      <c r="I1370" s="4"/>
      <c r="J1370" s="637"/>
      <c r="K1370" s="637"/>
      <c r="L1370" s="1755"/>
      <c r="M1370" s="1014"/>
      <c r="N1370" s="1042"/>
      <c r="O1370" s="1042"/>
      <c r="P1370" s="756"/>
      <c r="Q1370" s="756"/>
      <c r="R1370" s="634"/>
      <c r="S1370" s="634"/>
      <c r="T1370" s="634"/>
      <c r="U1370" s="634"/>
      <c r="V1370" s="634"/>
      <c r="W1370" s="634"/>
      <c r="X1370" s="1757"/>
      <c r="Y1370" s="2081"/>
      <c r="Z1370" s="2083"/>
      <c r="AA1370" s="1526"/>
      <c r="AB1370" s="634"/>
      <c r="AC1370" s="970"/>
      <c r="AD1370" s="970"/>
      <c r="AE1370" s="970"/>
      <c r="AF1370" s="634"/>
      <c r="AG1370" s="634"/>
      <c r="AH1370" s="634"/>
      <c r="AI1370" s="634"/>
      <c r="AJ1370" s="634"/>
      <c r="AK1370" s="634"/>
      <c r="AL1370" s="1336"/>
      <c r="AM1370" s="1336"/>
      <c r="AN1370" s="1336"/>
      <c r="AO1370" s="1336"/>
      <c r="AP1370" s="1336"/>
      <c r="AQ1370" s="1336"/>
      <c r="AR1370" s="1336"/>
      <c r="AS1370" s="1336"/>
      <c r="AT1370" s="634"/>
      <c r="AU1370" s="634"/>
      <c r="AV1370" s="634"/>
      <c r="AW1370" s="634"/>
      <c r="AX1370" s="634"/>
      <c r="AY1370" s="634"/>
      <c r="AZ1370" s="634"/>
      <c r="BA1370" s="634"/>
      <c r="BB1370" s="634"/>
      <c r="BC1370" s="634"/>
      <c r="BD1370" s="634"/>
      <c r="BE1370" s="634"/>
      <c r="BF1370" s="634"/>
      <c r="BG1370" s="634"/>
      <c r="BH1370" s="634"/>
      <c r="BI1370" s="634"/>
    </row>
    <row r="1371" spans="1:61" x14ac:dyDescent="0.25">
      <c r="A1371" s="2371">
        <v>7</v>
      </c>
      <c r="B1371" s="2385" t="s">
        <v>977</v>
      </c>
      <c r="C1371" s="2383" t="s">
        <v>258</v>
      </c>
      <c r="D1371" s="2374"/>
      <c r="E1371" s="2374"/>
      <c r="F1371" s="2374"/>
      <c r="G1371" s="2373" t="str">
        <f t="shared" ca="1" si="81"/>
        <v/>
      </c>
      <c r="H1371" s="2371" t="s">
        <v>3971</v>
      </c>
      <c r="I1371" s="4"/>
      <c r="J1371" s="234" t="s">
        <v>258</v>
      </c>
      <c r="K1371" s="639"/>
      <c r="L1371" s="1779" t="s">
        <v>986</v>
      </c>
      <c r="M1371" s="1014"/>
      <c r="N1371" s="1042"/>
      <c r="O1371" s="1042"/>
      <c r="P1371" s="94" t="b">
        <v>1</v>
      </c>
      <c r="Q1371" s="94" t="b">
        <v>1</v>
      </c>
      <c r="R1371" s="634" t="b">
        <v>0</v>
      </c>
      <c r="S1371" s="634" t="b">
        <f ca="1">AND(S883=2,NOT(W1330=TRUE))</f>
        <v>0</v>
      </c>
      <c r="T1371" s="94" t="b">
        <f ca="1">AND(NOT(S1371),W1371=TRUE)</f>
        <v>0</v>
      </c>
      <c r="U1371" s="634"/>
      <c r="V1371" s="634"/>
      <c r="W1371" s="25"/>
      <c r="X1371" s="1757"/>
      <c r="Y1371" s="2081" t="str">
        <f>IF(LEN('Ch7'!X501)=0,"None",'Ch7'!X501)</f>
        <v>None</v>
      </c>
      <c r="Z1371" s="2083"/>
      <c r="AA1371" s="1551" t="str">
        <f>IF(LEN('Photo Review'!I1370)&gt;0,'Photo Review'!I1370,"")</f>
        <v/>
      </c>
      <c r="AB1371" s="634"/>
      <c r="AC1371" s="970" t="b">
        <f ca="1">OR(AD1371:AE1371)</f>
        <v>0</v>
      </c>
      <c r="AD1371" s="970" t="b">
        <f ca="1">T1371</f>
        <v>0</v>
      </c>
      <c r="AE1371" s="970"/>
      <c r="AF1371" s="784"/>
      <c r="AG1371" s="634"/>
      <c r="AH1371" s="634"/>
      <c r="AI1371" s="634"/>
      <c r="AJ1371" s="634"/>
      <c r="AK1371" s="634"/>
      <c r="AL1371" s="1336"/>
      <c r="AM1371" s="1336"/>
      <c r="AN1371" s="1336"/>
      <c r="AO1371" s="1336"/>
      <c r="AP1371" s="254" t="str">
        <f>SUBSTITUTE(SUBSTITUTE(SUBSTITUTE("vch"&amp;$B1371&amp;$C1371&amp;$D1371&amp;$E1371,".","_"),"(","_"),")","")</f>
        <v>vch703_7_3_2</v>
      </c>
      <c r="AQ1371" s="254" t="str">
        <f>IF(LEN(W1371)=0,"",W1371)</f>
        <v/>
      </c>
      <c r="AR1371" s="254" t="str">
        <f>SUBSTITUTE(SUBSTITUTE(SUBSTITUTE("vnt"&amp;$B1371&amp;$C1371&amp;$D1371&amp;$E1371,".","_"),"(","_"),")","")</f>
        <v>vnt703_7_3_2</v>
      </c>
      <c r="AS1371" s="254" t="str">
        <f>IF(LEN(X1371)=0,"",X1371)</f>
        <v/>
      </c>
      <c r="AT1371" s="634"/>
      <c r="AU1371" s="634"/>
      <c r="AV1371" s="634"/>
      <c r="AW1371" s="634"/>
      <c r="AX1371" s="634"/>
      <c r="AY1371" s="634"/>
      <c r="AZ1371" s="634"/>
      <c r="BA1371" s="634"/>
      <c r="BB1371" s="634"/>
      <c r="BC1371" s="634"/>
      <c r="BD1371" s="634"/>
      <c r="BE1371" s="634"/>
      <c r="BF1371" s="634"/>
      <c r="BG1371" s="634"/>
      <c r="BH1371" s="634"/>
      <c r="BI1371" s="634"/>
    </row>
    <row r="1372" spans="1:61" x14ac:dyDescent="0.25">
      <c r="A1372" s="2371">
        <v>7</v>
      </c>
      <c r="B1372" s="2385" t="s">
        <v>977</v>
      </c>
      <c r="C1372" s="2374" t="s">
        <v>258</v>
      </c>
      <c r="D1372" s="2374"/>
      <c r="E1372" s="2374"/>
      <c r="F1372" s="2374"/>
      <c r="G1372" s="2373" t="str">
        <f t="shared" ca="1" si="81"/>
        <v/>
      </c>
      <c r="H1372" s="2371" t="s">
        <v>3971</v>
      </c>
      <c r="I1372" s="4"/>
      <c r="J1372" s="639"/>
      <c r="K1372" s="639"/>
      <c r="L1372" s="1779"/>
      <c r="M1372" s="1014"/>
      <c r="N1372" s="1042"/>
      <c r="O1372" s="1042"/>
      <c r="P1372" s="756"/>
      <c r="Q1372" s="756"/>
      <c r="R1372" s="634"/>
      <c r="S1372" s="634"/>
      <c r="T1372" s="634"/>
      <c r="U1372" s="634"/>
      <c r="V1372" s="634"/>
      <c r="W1372" s="634"/>
      <c r="X1372" s="1757"/>
      <c r="Y1372" s="2081"/>
      <c r="Z1372" s="2083"/>
      <c r="AA1372" s="1526"/>
      <c r="AB1372" s="634"/>
      <c r="AC1372" s="970"/>
      <c r="AD1372" s="970"/>
      <c r="AE1372" s="970"/>
      <c r="AF1372" s="634"/>
      <c r="AG1372" s="634"/>
      <c r="AH1372" s="634"/>
      <c r="AI1372" s="634"/>
      <c r="AJ1372" s="634"/>
      <c r="AK1372" s="634"/>
      <c r="AL1372" s="1336"/>
      <c r="AM1372" s="1336"/>
      <c r="AN1372" s="1336"/>
      <c r="AO1372" s="1336"/>
      <c r="AP1372" s="1336"/>
      <c r="AQ1372" s="1336"/>
      <c r="AR1372" s="1336"/>
      <c r="AS1372" s="1336"/>
      <c r="AT1372" s="634"/>
      <c r="AU1372" s="634"/>
      <c r="AV1372" s="634"/>
      <c r="AW1372" s="634"/>
      <c r="AX1372" s="634"/>
      <c r="AY1372" s="634"/>
      <c r="AZ1372" s="634"/>
      <c r="BA1372" s="634"/>
      <c r="BB1372" s="634"/>
      <c r="BC1372" s="634"/>
      <c r="BD1372" s="634"/>
      <c r="BE1372" s="634"/>
      <c r="BF1372" s="634"/>
      <c r="BG1372" s="634"/>
      <c r="BH1372" s="634"/>
      <c r="BI1372" s="634"/>
    </row>
    <row r="1373" spans="1:61" x14ac:dyDescent="0.25">
      <c r="A1373" s="2371">
        <v>7</v>
      </c>
      <c r="B1373" s="2385" t="s">
        <v>977</v>
      </c>
      <c r="C1373" s="2374" t="s">
        <v>258</v>
      </c>
      <c r="D1373" s="2374"/>
      <c r="E1373" s="2374"/>
      <c r="F1373" s="2374"/>
      <c r="G1373" s="2373" t="str">
        <f t="shared" ca="1" si="81"/>
        <v/>
      </c>
      <c r="H1373" s="2371" t="s">
        <v>3971</v>
      </c>
      <c r="I1373" s="4"/>
      <c r="J1373" s="637"/>
      <c r="K1373" s="637"/>
      <c r="L1373" s="1186" t="s">
        <v>987</v>
      </c>
      <c r="M1373" s="1014"/>
      <c r="N1373" s="1042"/>
      <c r="O1373" s="1042"/>
      <c r="P1373" s="756"/>
      <c r="Q1373" s="756"/>
      <c r="R1373" s="634"/>
      <c r="S1373" s="634"/>
      <c r="T1373" s="634"/>
      <c r="U1373" s="634"/>
      <c r="V1373" s="634"/>
      <c r="W1373" s="634"/>
      <c r="X1373" s="1757"/>
      <c r="Y1373" s="2081"/>
      <c r="Z1373" s="2083"/>
      <c r="AA1373" s="1526"/>
      <c r="AB1373" s="634"/>
      <c r="AC1373" s="970"/>
      <c r="AD1373" s="970"/>
      <c r="AE1373" s="970"/>
      <c r="AF1373" s="634"/>
      <c r="AG1373" s="634"/>
      <c r="AH1373" s="634"/>
      <c r="AI1373" s="634"/>
      <c r="AJ1373" s="634"/>
      <c r="AK1373" s="634"/>
      <c r="AL1373" s="1336"/>
      <c r="AM1373" s="1336"/>
      <c r="AN1373" s="1336"/>
      <c r="AO1373" s="1336"/>
      <c r="AP1373" s="1336"/>
      <c r="AQ1373" s="1336"/>
      <c r="AR1373" s="1336"/>
      <c r="AS1373" s="1336"/>
      <c r="AT1373" s="634"/>
      <c r="AU1373" s="634"/>
      <c r="AV1373" s="634"/>
      <c r="AW1373" s="634"/>
      <c r="AX1373" s="634"/>
      <c r="AY1373" s="634"/>
      <c r="AZ1373" s="634"/>
      <c r="BA1373" s="634"/>
      <c r="BB1373" s="634"/>
      <c r="BC1373" s="634"/>
      <c r="BD1373" s="634"/>
      <c r="BE1373" s="634"/>
      <c r="BF1373" s="634"/>
      <c r="BG1373" s="634"/>
      <c r="BH1373" s="634"/>
      <c r="BI1373" s="634"/>
    </row>
    <row r="1374" spans="1:61" x14ac:dyDescent="0.25">
      <c r="A1374" s="2371">
        <v>7</v>
      </c>
      <c r="B1374" s="2385" t="s">
        <v>977</v>
      </c>
      <c r="C1374" s="2374" t="s">
        <v>260</v>
      </c>
      <c r="D1374" s="2374"/>
      <c r="E1374" s="2374"/>
      <c r="F1374" s="2374"/>
      <c r="G1374" s="2373" t="str">
        <f t="shared" ca="1" si="81"/>
        <v/>
      </c>
      <c r="H1374" s="2371" t="s">
        <v>3971</v>
      </c>
      <c r="I1374" s="4"/>
      <c r="J1374" s="556" t="s">
        <v>260</v>
      </c>
      <c r="K1374" s="927"/>
      <c r="L1374" s="1787" t="s">
        <v>4323</v>
      </c>
      <c r="M1374" s="1014"/>
      <c r="N1374" s="1042"/>
      <c r="O1374" s="1042"/>
      <c r="P1374" s="94" t="b">
        <v>1</v>
      </c>
      <c r="Q1374" s="94" t="b">
        <v>1</v>
      </c>
      <c r="R1374" s="634" t="b">
        <v>0</v>
      </c>
      <c r="S1374" s="634" t="b">
        <f ca="1">(S883=2)</f>
        <v>0</v>
      </c>
      <c r="T1374" s="94" t="b">
        <f ca="1">AND(NOT(S1374),W1374=TRUE)</f>
        <v>0</v>
      </c>
      <c r="U1374" s="634"/>
      <c r="V1374" s="634"/>
      <c r="W1374" s="25"/>
      <c r="X1374" s="1757"/>
      <c r="Y1374" s="2081" t="str">
        <f>IF(LEN('Ch7'!X504)=0,"None",'Ch7'!X504)</f>
        <v>None</v>
      </c>
      <c r="Z1374" s="2083"/>
      <c r="AA1374" s="1526"/>
      <c r="AB1374" s="634"/>
      <c r="AC1374" s="970" t="b">
        <f ca="1">OR(AD1374:AE1374)</f>
        <v>0</v>
      </c>
      <c r="AD1374" s="970" t="b">
        <f ca="1">T1374</f>
        <v>0</v>
      </c>
      <c r="AE1374" s="970"/>
      <c r="AF1374" s="784"/>
      <c r="AG1374" s="634"/>
      <c r="AH1374" s="634"/>
      <c r="AI1374" s="634"/>
      <c r="AJ1374" s="634"/>
      <c r="AK1374" s="634"/>
      <c r="AL1374" s="1336"/>
      <c r="AM1374" s="1336"/>
      <c r="AN1374" s="1336"/>
      <c r="AO1374" s="1336"/>
      <c r="AP1374" s="254" t="str">
        <f>SUBSTITUTE(SUBSTITUTE(SUBSTITUTE("vch"&amp;$B1374&amp;$C1374&amp;$D1374&amp;$E1374,".","_"),"(","_"),")","")</f>
        <v>vch703_7_3_3</v>
      </c>
      <c r="AQ1374" s="254" t="str">
        <f>IF(LEN(W1374)=0,"",W1374)</f>
        <v/>
      </c>
      <c r="AR1374" s="254" t="str">
        <f>SUBSTITUTE(SUBSTITUTE(SUBSTITUTE("vnt"&amp;$B1374&amp;$C1374&amp;$D1374&amp;$E1374,".","_"),"(","_"),")","")</f>
        <v>vnt703_7_3_3</v>
      </c>
      <c r="AS1374" s="254" t="str">
        <f>IF(LEN(X1374)=0,"",X1374)</f>
        <v/>
      </c>
      <c r="AT1374" s="634"/>
      <c r="AU1374" s="634"/>
      <c r="AV1374" s="634"/>
      <c r="AW1374" s="634"/>
      <c r="AX1374" s="634"/>
      <c r="AY1374" s="634"/>
      <c r="AZ1374" s="634"/>
      <c r="BA1374" s="634"/>
      <c r="BB1374" s="634"/>
      <c r="BC1374" s="634"/>
      <c r="BD1374" s="634"/>
      <c r="BE1374" s="634"/>
      <c r="BF1374" s="634"/>
      <c r="BG1374" s="634"/>
      <c r="BH1374" s="634"/>
      <c r="BI1374" s="634"/>
    </row>
    <row r="1375" spans="1:61" x14ac:dyDescent="0.25">
      <c r="A1375" s="2371">
        <v>7</v>
      </c>
      <c r="B1375" s="2385" t="s">
        <v>977</v>
      </c>
      <c r="C1375" s="2374" t="s">
        <v>260</v>
      </c>
      <c r="G1375" s="2373" t="str">
        <f t="shared" ca="1" si="81"/>
        <v/>
      </c>
      <c r="H1375" s="2371" t="s">
        <v>3971</v>
      </c>
      <c r="I1375"/>
      <c r="J1375" s="911"/>
      <c r="K1375" s="911"/>
      <c r="L1375" s="1787"/>
      <c r="M1375" s="4"/>
      <c r="N1375" s="664"/>
      <c r="O1375" s="664"/>
      <c r="P1375"/>
      <c r="Q1375"/>
      <c r="R1375"/>
      <c r="S1375"/>
      <c r="T1375"/>
      <c r="U1375"/>
      <c r="V1375"/>
      <c r="W1375"/>
      <c r="X1375" s="1757"/>
      <c r="Y1375" s="2081"/>
      <c r="Z1375" s="2083"/>
      <c r="AA1375" s="1526"/>
      <c r="AC1375" s="970"/>
      <c r="AD1375" s="970"/>
      <c r="AE1375" s="970"/>
      <c r="AF1375"/>
      <c r="AG1375"/>
      <c r="AH1375"/>
      <c r="AI1375"/>
      <c r="AJ1375"/>
      <c r="AK1375"/>
      <c r="AL1375" s="1336"/>
      <c r="AM1375" s="1336"/>
      <c r="AN1375" s="1336"/>
      <c r="AO1375" s="1336"/>
      <c r="AP1375" s="1336"/>
      <c r="AQ1375" s="1336"/>
      <c r="AR1375" s="1336"/>
      <c r="AS1375" s="1336"/>
      <c r="AT1375"/>
    </row>
    <row r="1376" spans="1:61" x14ac:dyDescent="0.25">
      <c r="A1376" s="2371">
        <v>7</v>
      </c>
      <c r="B1376" s="2385" t="s">
        <v>977</v>
      </c>
      <c r="C1376" s="2374" t="s">
        <v>269</v>
      </c>
      <c r="D1376" s="2374"/>
      <c r="E1376" s="2374"/>
      <c r="F1376" s="2374"/>
      <c r="G1376" s="2373" t="str">
        <f t="shared" ca="1" si="81"/>
        <v/>
      </c>
      <c r="H1376" s="2371" t="s">
        <v>3971</v>
      </c>
      <c r="I1376" s="4"/>
      <c r="J1376" s="556" t="s">
        <v>269</v>
      </c>
      <c r="K1376" s="641"/>
      <c r="L1376" s="1778" t="s">
        <v>988</v>
      </c>
      <c r="M1376" s="1014"/>
      <c r="N1376" s="1042"/>
      <c r="O1376" s="1042"/>
      <c r="P1376" s="94" t="b">
        <v>1</v>
      </c>
      <c r="Q1376" s="94" t="b">
        <v>1</v>
      </c>
      <c r="R1376" s="634" t="b">
        <v>0</v>
      </c>
      <c r="S1376" s="634" t="b">
        <f ca="1">AND(S883=2,OR(BF886=1,BF886=2,BF886=3))</f>
        <v>0</v>
      </c>
      <c r="T1376" s="94" t="b">
        <f ca="1">AND(NOT(S1376),W1376=TRUE)</f>
        <v>0</v>
      </c>
      <c r="U1376" s="634"/>
      <c r="V1376" s="634"/>
      <c r="W1376" s="25"/>
      <c r="X1376" s="1757"/>
      <c r="Y1376" s="2081" t="str">
        <f>IF(LEN('Ch7'!X506)=0,"None",'Ch7'!X506)</f>
        <v>None</v>
      </c>
      <c r="Z1376" s="2083"/>
      <c r="AA1376" s="1526"/>
      <c r="AB1376" s="634"/>
      <c r="AC1376" s="970" t="b">
        <f ca="1">OR(AD1376:AE1376)</f>
        <v>0</v>
      </c>
      <c r="AD1376" s="970" t="b">
        <f ca="1">T1376</f>
        <v>0</v>
      </c>
      <c r="AE1376" s="970"/>
      <c r="AF1376" s="784"/>
      <c r="AG1376" s="634"/>
      <c r="AH1376" s="634"/>
      <c r="AI1376" s="634"/>
      <c r="AJ1376" s="634"/>
      <c r="AK1376" s="634"/>
      <c r="AL1376" s="1336"/>
      <c r="AM1376" s="1336"/>
      <c r="AN1376" s="1336"/>
      <c r="AO1376" s="1336"/>
      <c r="AP1376" s="254" t="str">
        <f>SUBSTITUTE(SUBSTITUTE(SUBSTITUTE("vch"&amp;$B1376&amp;$C1376&amp;$D1376&amp;$E1376,".","_"),"(","_"),")","")</f>
        <v>vch703_7_3_4</v>
      </c>
      <c r="AQ1376" s="254" t="str">
        <f>IF(LEN(W1376)=0,"",W1376)</f>
        <v/>
      </c>
      <c r="AR1376" s="254" t="str">
        <f>SUBSTITUTE(SUBSTITUTE(SUBSTITUTE("vnt"&amp;$B1376&amp;$C1376&amp;$D1376&amp;$E1376,".","_"),"(","_"),")","")</f>
        <v>vnt703_7_3_4</v>
      </c>
      <c r="AS1376" s="254" t="str">
        <f>IF(LEN(X1376)=0,"",X1376)</f>
        <v/>
      </c>
      <c r="AT1376" s="634"/>
      <c r="AU1376" s="634"/>
      <c r="AV1376" s="634"/>
      <c r="AW1376" s="634"/>
      <c r="AX1376" s="634"/>
      <c r="AY1376" s="634"/>
      <c r="AZ1376" s="634"/>
      <c r="BA1376" s="634"/>
      <c r="BB1376" s="634"/>
      <c r="BC1376" s="634"/>
      <c r="BD1376" s="634"/>
      <c r="BE1376" s="634"/>
      <c r="BF1376" s="634"/>
      <c r="BG1376" s="634"/>
      <c r="BH1376" s="634"/>
      <c r="BI1376" s="634"/>
    </row>
    <row r="1377" spans="1:61" x14ac:dyDescent="0.25">
      <c r="A1377" s="2371">
        <v>7</v>
      </c>
      <c r="B1377" s="2385" t="s">
        <v>977</v>
      </c>
      <c r="C1377" s="2374" t="s">
        <v>269</v>
      </c>
      <c r="D1377" s="2374"/>
      <c r="E1377" s="2374"/>
      <c r="F1377" s="2374"/>
      <c r="G1377" s="2373" t="str">
        <f t="shared" ca="1" si="81"/>
        <v/>
      </c>
      <c r="H1377" s="2371" t="s">
        <v>3971</v>
      </c>
      <c r="I1377" s="4"/>
      <c r="J1377" s="637"/>
      <c r="K1377" s="637"/>
      <c r="L1377" s="1755"/>
      <c r="M1377" s="1014"/>
      <c r="N1377" s="1042"/>
      <c r="O1377" s="1042"/>
      <c r="P1377" s="756"/>
      <c r="Q1377" s="756"/>
      <c r="R1377" s="634"/>
      <c r="S1377" s="634"/>
      <c r="T1377" s="634"/>
      <c r="U1377" s="634"/>
      <c r="V1377" s="634"/>
      <c r="W1377" s="634"/>
      <c r="X1377" s="1757"/>
      <c r="Y1377" s="2081"/>
      <c r="Z1377" s="2083"/>
      <c r="AA1377" s="1526"/>
      <c r="AB1377" s="634"/>
      <c r="AC1377" s="970"/>
      <c r="AD1377" s="970"/>
      <c r="AE1377" s="970"/>
      <c r="AF1377" s="634"/>
      <c r="AG1377" s="634"/>
      <c r="AH1377" s="634"/>
      <c r="AI1377" s="634"/>
      <c r="AJ1377" s="634"/>
      <c r="AK1377" s="634"/>
      <c r="AL1377" s="1336"/>
      <c r="AM1377" s="1336"/>
      <c r="AN1377" s="1336"/>
      <c r="AO1377" s="1336"/>
      <c r="AP1377" s="1336"/>
      <c r="AQ1377" s="1336"/>
      <c r="AR1377" s="1336"/>
      <c r="AS1377" s="1336"/>
      <c r="AT1377" s="634"/>
      <c r="AU1377" s="634"/>
      <c r="AV1377" s="634"/>
      <c r="AW1377" s="634"/>
      <c r="AX1377" s="634"/>
      <c r="AY1377" s="634"/>
      <c r="AZ1377" s="634"/>
      <c r="BA1377" s="634"/>
      <c r="BB1377" s="634"/>
      <c r="BC1377" s="634"/>
      <c r="BD1377" s="634"/>
      <c r="BE1377" s="634"/>
      <c r="BF1377" s="634"/>
      <c r="BG1377" s="634"/>
      <c r="BH1377" s="634"/>
      <c r="BI1377" s="634"/>
    </row>
    <row r="1378" spans="1:61" x14ac:dyDescent="0.25">
      <c r="A1378" s="2371">
        <v>7</v>
      </c>
      <c r="B1378" s="2385" t="s">
        <v>977</v>
      </c>
      <c r="C1378" s="2374" t="s">
        <v>275</v>
      </c>
      <c r="D1378" s="2374"/>
      <c r="E1378" s="2374"/>
      <c r="F1378" s="2374"/>
      <c r="G1378" s="2373" t="str">
        <f t="shared" ca="1" si="81"/>
        <v/>
      </c>
      <c r="H1378" s="2371" t="s">
        <v>3971</v>
      </c>
      <c r="I1378" s="4"/>
      <c r="J1378" s="234" t="s">
        <v>275</v>
      </c>
      <c r="K1378" s="639"/>
      <c r="L1378" s="1779" t="s">
        <v>989</v>
      </c>
      <c r="M1378" s="1014"/>
      <c r="N1378" s="1042"/>
      <c r="O1378" s="1042"/>
      <c r="P1378" s="756"/>
      <c r="Q1378" s="756"/>
      <c r="R1378" s="634"/>
      <c r="S1378" s="634"/>
      <c r="T1378" s="634"/>
      <c r="U1378" s="634"/>
      <c r="V1378" s="634"/>
      <c r="W1378" s="634"/>
      <c r="X1378" s="911"/>
      <c r="Y1378" s="634"/>
      <c r="AA1378" s="1526"/>
      <c r="AB1378" s="634"/>
      <c r="AC1378" s="970"/>
      <c r="AD1378" s="970"/>
      <c r="AE1378" s="970"/>
      <c r="AF1378" s="634"/>
      <c r="AG1378" s="634"/>
      <c r="AH1378" s="634"/>
      <c r="AI1378" s="634"/>
      <c r="AJ1378" s="634"/>
      <c r="AK1378" s="634"/>
      <c r="AL1378" s="1336"/>
      <c r="AM1378" s="1336"/>
      <c r="AN1378" s="1336"/>
      <c r="AO1378" s="1336"/>
      <c r="AP1378" s="1336"/>
      <c r="AQ1378" s="1336"/>
      <c r="AR1378" s="1336"/>
      <c r="AS1378" s="1336"/>
      <c r="AT1378" s="634"/>
      <c r="AU1378" s="634"/>
      <c r="AV1378" s="634"/>
      <c r="AW1378" s="634"/>
      <c r="AX1378" s="634"/>
      <c r="AY1378" s="634"/>
      <c r="AZ1378" s="634"/>
      <c r="BA1378" s="634"/>
      <c r="BB1378" s="634"/>
      <c r="BC1378" s="634"/>
      <c r="BD1378" s="634"/>
      <c r="BE1378" s="634"/>
      <c r="BF1378" s="634"/>
      <c r="BG1378" s="634"/>
      <c r="BH1378" s="634"/>
      <c r="BI1378" s="634"/>
    </row>
    <row r="1379" spans="1:61" x14ac:dyDescent="0.25">
      <c r="A1379" s="2371">
        <v>7</v>
      </c>
      <c r="B1379" s="2385" t="s">
        <v>977</v>
      </c>
      <c r="C1379" s="2374" t="s">
        <v>275</v>
      </c>
      <c r="D1379" s="2374"/>
      <c r="E1379" s="2374"/>
      <c r="F1379" s="2374"/>
      <c r="G1379" s="2373" t="str">
        <f t="shared" ca="1" si="81"/>
        <v/>
      </c>
      <c r="H1379" s="2371" t="s">
        <v>3971</v>
      </c>
      <c r="I1379" s="4"/>
      <c r="J1379" s="639"/>
      <c r="K1379" s="639"/>
      <c r="L1379" s="1779"/>
      <c r="M1379" s="1014"/>
      <c r="N1379" s="1042"/>
      <c r="O1379" s="1042"/>
      <c r="P1379" s="756"/>
      <c r="Q1379" s="756"/>
      <c r="R1379" s="634"/>
      <c r="S1379" s="634"/>
      <c r="T1379" s="634"/>
      <c r="U1379" s="634"/>
      <c r="V1379" s="634"/>
      <c r="W1379" s="634"/>
      <c r="X1379" s="911"/>
      <c r="Y1379" s="634"/>
      <c r="AA1379" s="1526"/>
      <c r="AB1379" s="634"/>
      <c r="AC1379" s="970"/>
      <c r="AD1379" s="970"/>
      <c r="AE1379" s="970"/>
      <c r="AF1379" s="634"/>
      <c r="AG1379" s="634"/>
      <c r="AH1379" s="634"/>
      <c r="AI1379" s="634"/>
      <c r="AJ1379" s="634"/>
      <c r="AK1379" s="634"/>
      <c r="AL1379" s="1336"/>
      <c r="AM1379" s="1336"/>
      <c r="AN1379" s="1336"/>
      <c r="AO1379" s="1336"/>
      <c r="AP1379" s="1336"/>
      <c r="AQ1379" s="1336"/>
      <c r="AR1379" s="1336"/>
      <c r="AS1379" s="1336"/>
      <c r="AT1379" s="634"/>
      <c r="AU1379" s="634"/>
      <c r="AV1379" s="634"/>
      <c r="AW1379" s="634"/>
      <c r="AX1379" s="634"/>
      <c r="AY1379" s="634"/>
      <c r="AZ1379" s="634"/>
      <c r="BA1379" s="634"/>
      <c r="BB1379" s="634"/>
      <c r="BC1379" s="634"/>
      <c r="BD1379" s="634"/>
      <c r="BE1379" s="634"/>
      <c r="BF1379" s="634"/>
      <c r="BG1379" s="634"/>
      <c r="BH1379" s="634"/>
      <c r="BI1379" s="634"/>
    </row>
    <row r="1380" spans="1:61" x14ac:dyDescent="0.25">
      <c r="A1380" s="2371">
        <v>7</v>
      </c>
      <c r="B1380" s="2385" t="s">
        <v>977</v>
      </c>
      <c r="C1380" s="2374" t="s">
        <v>275</v>
      </c>
      <c r="D1380" s="2374"/>
      <c r="E1380" s="2374"/>
      <c r="F1380" s="2374"/>
      <c r="G1380" s="2373" t="str">
        <f t="shared" ca="1" si="81"/>
        <v/>
      </c>
      <c r="H1380" s="2371" t="s">
        <v>3971</v>
      </c>
      <c r="I1380" s="4"/>
      <c r="J1380" s="639"/>
      <c r="K1380" s="639"/>
      <c r="L1380" s="1779"/>
      <c r="M1380" s="1014"/>
      <c r="N1380" s="1042"/>
      <c r="O1380" s="1042"/>
      <c r="P1380" s="756"/>
      <c r="Q1380" s="756"/>
      <c r="R1380" s="634"/>
      <c r="S1380" s="634"/>
      <c r="T1380" s="634"/>
      <c r="U1380" s="634"/>
      <c r="V1380" s="634"/>
      <c r="W1380" s="634"/>
      <c r="X1380" s="911"/>
      <c r="Y1380" s="634"/>
      <c r="AA1380" s="1526"/>
      <c r="AB1380" s="634"/>
      <c r="AC1380" s="970"/>
      <c r="AD1380" s="970"/>
      <c r="AE1380" s="970"/>
      <c r="AF1380" s="634"/>
      <c r="AG1380" s="634"/>
      <c r="AH1380" s="634"/>
      <c r="AI1380" s="634"/>
      <c r="AJ1380" s="634"/>
      <c r="AK1380" s="634"/>
      <c r="AL1380" s="1336"/>
      <c r="AM1380" s="1336"/>
      <c r="AN1380" s="1336"/>
      <c r="AO1380" s="1336"/>
      <c r="AP1380" s="1336"/>
      <c r="AQ1380" s="1336"/>
      <c r="AR1380" s="1336"/>
      <c r="AS1380" s="1336"/>
      <c r="AT1380" s="634"/>
      <c r="AU1380" s="634"/>
      <c r="AV1380" s="634"/>
      <c r="AW1380" s="634"/>
      <c r="AX1380" s="634"/>
      <c r="AY1380" s="634"/>
      <c r="AZ1380" s="634"/>
      <c r="BA1380" s="634"/>
      <c r="BB1380" s="634"/>
      <c r="BC1380" s="634"/>
      <c r="BD1380" s="634"/>
      <c r="BE1380" s="634"/>
      <c r="BF1380" s="634"/>
      <c r="BG1380" s="634"/>
      <c r="BH1380" s="634"/>
      <c r="BI1380" s="634"/>
    </row>
    <row r="1381" spans="1:61" x14ac:dyDescent="0.25">
      <c r="A1381" s="2371">
        <v>7</v>
      </c>
      <c r="B1381" s="2385" t="s">
        <v>977</v>
      </c>
      <c r="C1381" s="2395" t="s">
        <v>275</v>
      </c>
      <c r="D1381" s="2374" t="s">
        <v>121</v>
      </c>
      <c r="E1381" s="2374"/>
      <c r="F1381" s="2374"/>
      <c r="G1381" s="2373" t="str">
        <f t="shared" ca="1" si="81"/>
        <v/>
      </c>
      <c r="H1381" s="2375" t="s">
        <v>3971</v>
      </c>
      <c r="I1381" s="4"/>
      <c r="J1381" s="639"/>
      <c r="K1381" s="230" t="s">
        <v>121</v>
      </c>
      <c r="L1381" s="1779" t="s">
        <v>990</v>
      </c>
      <c r="M1381" s="1014"/>
      <c r="N1381" s="1042"/>
      <c r="O1381" s="1042"/>
      <c r="P1381" s="94" t="b">
        <v>1</v>
      </c>
      <c r="Q1381" s="94" t="b">
        <v>1</v>
      </c>
      <c r="R1381" s="634" t="b">
        <v>0</v>
      </c>
      <c r="S1381" s="634" t="b">
        <f ca="1">(S883=2)</f>
        <v>0</v>
      </c>
      <c r="T1381" s="94" t="b">
        <f ca="1">AND(NOT(S1381),W1381=TRUE)</f>
        <v>0</v>
      </c>
      <c r="U1381" s="634"/>
      <c r="V1381" s="634"/>
      <c r="W1381" s="25"/>
      <c r="X1381" s="1757"/>
      <c r="Y1381" s="2081" t="str">
        <f>IF(LEN('Ch7'!X511)=0,"None",'Ch7'!X511)</f>
        <v>None</v>
      </c>
      <c r="Z1381" s="2083"/>
      <c r="AA1381" s="1526"/>
      <c r="AB1381" s="634"/>
      <c r="AC1381" s="970" t="b">
        <f ca="1">OR(AD1381:AE1381)</f>
        <v>0</v>
      </c>
      <c r="AD1381" s="970" t="b">
        <f ca="1">T1381</f>
        <v>0</v>
      </c>
      <c r="AE1381" s="970"/>
      <c r="AF1381" s="784"/>
      <c r="AG1381" s="634"/>
      <c r="AH1381" s="634"/>
      <c r="AI1381" s="634"/>
      <c r="AJ1381" s="634"/>
      <c r="AK1381" s="634"/>
      <c r="AL1381" s="1336"/>
      <c r="AM1381" s="1336"/>
      <c r="AN1381" s="1336"/>
      <c r="AO1381" s="1336"/>
      <c r="AP1381" s="254" t="str">
        <f>SUBSTITUTE(SUBSTITUTE(SUBSTITUTE("vch"&amp;$B1381&amp;$C1381&amp;$D1381&amp;$E1381,".","_"),"(","_"),")","")</f>
        <v>vch703_7_3_5_a</v>
      </c>
      <c r="AQ1381" s="254" t="str">
        <f>IF(LEN(W1381)=0,"",W1381)</f>
        <v/>
      </c>
      <c r="AR1381" s="254" t="str">
        <f>SUBSTITUTE(SUBSTITUTE(SUBSTITUTE("vnt"&amp;$B1381&amp;$C1381&amp;$D1381&amp;$E1381,".","_"),"(","_"),")","")</f>
        <v>vnt703_7_3_5_a</v>
      </c>
      <c r="AS1381" s="254" t="str">
        <f>IF(LEN(X1381)=0,"",X1381)</f>
        <v/>
      </c>
      <c r="AT1381" s="634"/>
      <c r="AU1381" s="634"/>
      <c r="AV1381" s="634"/>
      <c r="AW1381" s="634"/>
      <c r="AX1381" s="634"/>
      <c r="AY1381" s="634"/>
      <c r="AZ1381" s="634"/>
      <c r="BA1381" s="634"/>
      <c r="BB1381" s="634"/>
      <c r="BC1381" s="634"/>
      <c r="BD1381" s="634"/>
      <c r="BE1381" s="634"/>
      <c r="BF1381" s="634"/>
      <c r="BG1381" s="634"/>
      <c r="BH1381" s="634"/>
      <c r="BI1381" s="634"/>
    </row>
    <row r="1382" spans="1:61" x14ac:dyDescent="0.25">
      <c r="A1382" s="2371">
        <v>7</v>
      </c>
      <c r="B1382" s="2385" t="s">
        <v>977</v>
      </c>
      <c r="C1382" s="2395" t="s">
        <v>275</v>
      </c>
      <c r="D1382" s="2374" t="s">
        <v>121</v>
      </c>
      <c r="E1382" s="2374"/>
      <c r="F1382" s="2374"/>
      <c r="G1382" s="2373" t="str">
        <f t="shared" ca="1" si="81"/>
        <v/>
      </c>
      <c r="H1382" s="2371" t="s">
        <v>3971</v>
      </c>
      <c r="I1382" s="4"/>
      <c r="J1382" s="639"/>
      <c r="K1382" s="639"/>
      <c r="L1382" s="1779"/>
      <c r="M1382" s="1014"/>
      <c r="N1382" s="1042"/>
      <c r="O1382" s="1042"/>
      <c r="P1382" s="756"/>
      <c r="Q1382" s="756"/>
      <c r="R1382" s="634"/>
      <c r="S1382" s="634"/>
      <c r="T1382" s="634"/>
      <c r="U1382" s="634"/>
      <c r="V1382" s="634"/>
      <c r="W1382" s="634"/>
      <c r="X1382" s="1757"/>
      <c r="Y1382" s="2081"/>
      <c r="Z1382" s="2083"/>
      <c r="AA1382" s="1526"/>
      <c r="AB1382" s="634"/>
      <c r="AC1382" s="970"/>
      <c r="AD1382" s="970"/>
      <c r="AE1382" s="970"/>
      <c r="AF1382" s="634"/>
      <c r="AG1382" s="634"/>
      <c r="AH1382" s="634"/>
      <c r="AI1382" s="634"/>
      <c r="AJ1382" s="634"/>
      <c r="AK1382" s="634"/>
      <c r="AL1382" s="1336"/>
      <c r="AM1382" s="1336"/>
      <c r="AN1382" s="1336"/>
      <c r="AO1382" s="1336"/>
      <c r="AP1382" s="1336"/>
      <c r="AQ1382" s="1336"/>
      <c r="AR1382" s="1336"/>
      <c r="AS1382" s="1336"/>
      <c r="AT1382" s="634"/>
      <c r="AU1382" s="634"/>
      <c r="AV1382" s="634"/>
      <c r="AW1382" s="634"/>
      <c r="AX1382" s="634"/>
      <c r="AY1382" s="634"/>
      <c r="AZ1382" s="634"/>
      <c r="BA1382" s="634"/>
      <c r="BB1382" s="634"/>
      <c r="BC1382" s="634"/>
      <c r="BD1382" s="634"/>
      <c r="BE1382" s="634"/>
      <c r="BF1382" s="634"/>
      <c r="BG1382" s="634"/>
      <c r="BH1382" s="634"/>
      <c r="BI1382" s="634"/>
    </row>
    <row r="1383" spans="1:61" x14ac:dyDescent="0.25">
      <c r="A1383" s="2371">
        <v>7</v>
      </c>
      <c r="B1383" s="2385" t="s">
        <v>977</v>
      </c>
      <c r="C1383" s="2395" t="s">
        <v>275</v>
      </c>
      <c r="D1383" s="2374" t="s">
        <v>122</v>
      </c>
      <c r="E1383" s="2374"/>
      <c r="F1383" s="2374"/>
      <c r="G1383" s="2373" t="str">
        <f t="shared" ca="1" si="81"/>
        <v/>
      </c>
      <c r="H1383" s="2375" t="s">
        <v>3971</v>
      </c>
      <c r="I1383" s="4"/>
      <c r="J1383" s="636"/>
      <c r="K1383" s="518" t="s">
        <v>122</v>
      </c>
      <c r="L1383" s="1754" t="s">
        <v>991</v>
      </c>
      <c r="M1383" s="1014"/>
      <c r="N1383" s="1042"/>
      <c r="O1383" s="1042"/>
      <c r="P1383" s="94" t="b">
        <v>1</v>
      </c>
      <c r="Q1383" s="94" t="b">
        <v>1</v>
      </c>
      <c r="R1383" s="634" t="b">
        <v>0</v>
      </c>
      <c r="S1383" s="634" t="b">
        <f ca="1">(S883=2)</f>
        <v>0</v>
      </c>
      <c r="T1383" s="94" t="b">
        <f ca="1">AND(NOT(S1383),W1383=TRUE)</f>
        <v>0</v>
      </c>
      <c r="U1383" s="634"/>
      <c r="V1383" s="634"/>
      <c r="W1383" s="25"/>
      <c r="X1383" s="1757"/>
      <c r="Y1383" s="2081" t="str">
        <f>IF(LEN('Ch7'!X513)=0,"None",'Ch7'!X513)</f>
        <v>None</v>
      </c>
      <c r="Z1383" s="2083"/>
      <c r="AA1383" s="1526"/>
      <c r="AB1383" s="634"/>
      <c r="AC1383" s="970" t="b">
        <f ca="1">OR(AD1383:AE1383)</f>
        <v>0</v>
      </c>
      <c r="AD1383" s="970" t="b">
        <f ca="1">T1383</f>
        <v>0</v>
      </c>
      <c r="AE1383" s="970"/>
      <c r="AF1383" s="784"/>
      <c r="AG1383" s="634"/>
      <c r="AH1383" s="634"/>
      <c r="AI1383" s="634"/>
      <c r="AJ1383" s="634"/>
      <c r="AK1383" s="634"/>
      <c r="AL1383" s="1336"/>
      <c r="AM1383" s="1336"/>
      <c r="AN1383" s="1336"/>
      <c r="AO1383" s="1336"/>
      <c r="AP1383" s="254" t="str">
        <f>SUBSTITUTE(SUBSTITUTE(SUBSTITUTE("vch"&amp;$B1383&amp;$C1383&amp;$D1383&amp;$E1383,".","_"),"(","_"),")","")</f>
        <v>vch703_7_3_5_b</v>
      </c>
      <c r="AQ1383" s="254" t="str">
        <f>IF(LEN(W1383)=0,"",W1383)</f>
        <v/>
      </c>
      <c r="AR1383" s="254" t="str">
        <f>SUBSTITUTE(SUBSTITUTE(SUBSTITUTE("vnt"&amp;$B1383&amp;$C1383&amp;$D1383&amp;$E1383,".","_"),"(","_"),")","")</f>
        <v>vnt703_7_3_5_b</v>
      </c>
      <c r="AS1383" s="254" t="str">
        <f>IF(LEN(X1383)=0,"",X1383)</f>
        <v/>
      </c>
      <c r="AT1383" s="634"/>
      <c r="AU1383" s="634"/>
      <c r="AV1383" s="634"/>
      <c r="AW1383" s="634"/>
      <c r="AX1383" s="634"/>
      <c r="AY1383" s="634"/>
      <c r="AZ1383" s="634"/>
      <c r="BA1383" s="634"/>
      <c r="BB1383" s="634"/>
      <c r="BC1383" s="634"/>
      <c r="BD1383" s="634"/>
      <c r="BE1383" s="634"/>
      <c r="BF1383" s="634"/>
      <c r="BG1383" s="634"/>
      <c r="BH1383" s="634"/>
      <c r="BI1383" s="634"/>
    </row>
    <row r="1384" spans="1:61" x14ac:dyDescent="0.25">
      <c r="A1384" s="2371">
        <v>7</v>
      </c>
      <c r="B1384" s="2385" t="s">
        <v>977</v>
      </c>
      <c r="C1384" s="2395" t="s">
        <v>275</v>
      </c>
      <c r="D1384" s="2374" t="s">
        <v>122</v>
      </c>
      <c r="E1384" s="2374"/>
      <c r="F1384" s="2374"/>
      <c r="G1384" s="2373" t="str">
        <f t="shared" ca="1" si="81"/>
        <v/>
      </c>
      <c r="H1384" s="2371" t="s">
        <v>3971</v>
      </c>
      <c r="I1384" s="4"/>
      <c r="J1384" s="637"/>
      <c r="K1384" s="637"/>
      <c r="L1384" s="1755"/>
      <c r="M1384" s="1014"/>
      <c r="N1384" s="1042"/>
      <c r="O1384" s="1042"/>
      <c r="P1384" s="756"/>
      <c r="Q1384" s="756"/>
      <c r="R1384" s="634"/>
      <c r="S1384" s="634"/>
      <c r="T1384" s="634"/>
      <c r="U1384" s="634"/>
      <c r="V1384" s="634"/>
      <c r="W1384" s="634"/>
      <c r="X1384" s="1757"/>
      <c r="Y1384" s="2081"/>
      <c r="Z1384" s="2083"/>
      <c r="AA1384" s="1526"/>
      <c r="AB1384" s="634"/>
      <c r="AC1384" s="970"/>
      <c r="AD1384" s="970"/>
      <c r="AE1384" s="970"/>
      <c r="AF1384" s="634"/>
      <c r="AG1384" s="634"/>
      <c r="AH1384" s="634"/>
      <c r="AI1384" s="634"/>
      <c r="AJ1384" s="634"/>
      <c r="AK1384" s="634"/>
      <c r="AL1384" s="1336"/>
      <c r="AM1384" s="1336"/>
      <c r="AN1384" s="1336"/>
      <c r="AO1384" s="1336"/>
      <c r="AP1384" s="1336"/>
      <c r="AQ1384" s="1336"/>
      <c r="AR1384" s="1336"/>
      <c r="AS1384" s="1336"/>
      <c r="AT1384" s="634"/>
      <c r="AU1384" s="634"/>
      <c r="AV1384" s="634"/>
      <c r="AW1384" s="634"/>
      <c r="AX1384" s="634"/>
      <c r="AY1384" s="634"/>
      <c r="AZ1384" s="634"/>
      <c r="BA1384" s="634"/>
      <c r="BB1384" s="634"/>
      <c r="BC1384" s="634"/>
      <c r="BD1384" s="634"/>
      <c r="BE1384" s="634"/>
      <c r="BF1384" s="634"/>
      <c r="BG1384" s="634"/>
      <c r="BH1384" s="634"/>
      <c r="BI1384" s="634"/>
    </row>
    <row r="1385" spans="1:61" x14ac:dyDescent="0.25">
      <c r="A1385" s="2371">
        <v>7</v>
      </c>
      <c r="B1385" s="2385" t="s">
        <v>977</v>
      </c>
      <c r="C1385" s="2374" t="s">
        <v>277</v>
      </c>
      <c r="D1385" s="2374"/>
      <c r="E1385" s="2374"/>
      <c r="F1385" s="2374"/>
      <c r="G1385" s="2373" t="str">
        <f t="shared" ca="1" si="81"/>
        <v/>
      </c>
      <c r="H1385" s="2371" t="s">
        <v>3971</v>
      </c>
      <c r="I1385" s="129"/>
      <c r="J1385" s="543" t="s">
        <v>277</v>
      </c>
      <c r="K1385" s="636"/>
      <c r="L1385" s="1754" t="s">
        <v>992</v>
      </c>
      <c r="M1385" s="1010"/>
      <c r="N1385" s="1044"/>
      <c r="O1385" s="1044"/>
      <c r="P1385" s="94" t="b">
        <v>1</v>
      </c>
      <c r="Q1385" s="94" t="b">
        <v>1</v>
      </c>
      <c r="R1385" s="634" t="b">
        <v>0</v>
      </c>
      <c r="S1385" s="634" t="b">
        <f ca="1">(S883=2)</f>
        <v>0</v>
      </c>
      <c r="T1385" s="94" t="b">
        <f ca="1">AND(NOT(S1385),W1385=TRUE)</f>
        <v>0</v>
      </c>
      <c r="U1385" s="634"/>
      <c r="V1385" s="634"/>
      <c r="W1385" s="25"/>
      <c r="X1385" s="1757"/>
      <c r="Y1385" s="2081" t="str">
        <f>IF(LEN('Ch7'!X515)=0,"None",'Ch7'!X515)</f>
        <v>None</v>
      </c>
      <c r="Z1385" s="2083"/>
      <c r="AA1385" s="1526"/>
      <c r="AB1385" s="634"/>
      <c r="AC1385" s="970" t="b">
        <f ca="1">OR(AD1385:AE1385)</f>
        <v>0</v>
      </c>
      <c r="AD1385" s="970" t="b">
        <f ca="1">T1385</f>
        <v>0</v>
      </c>
      <c r="AE1385" s="970"/>
      <c r="AF1385" s="784"/>
      <c r="AG1385" s="634"/>
      <c r="AH1385" s="634"/>
      <c r="AI1385" s="634"/>
      <c r="AJ1385" s="634"/>
      <c r="AK1385" s="634"/>
      <c r="AL1385" s="1336"/>
      <c r="AM1385" s="1336"/>
      <c r="AN1385" s="1336"/>
      <c r="AO1385" s="1336"/>
      <c r="AP1385" s="254" t="str">
        <f>SUBSTITUTE(SUBSTITUTE(SUBSTITUTE("vch"&amp;$B1385&amp;$C1385&amp;$D1385&amp;$E1385,".","_"),"(","_"),")","")</f>
        <v>vch703_7_3_6</v>
      </c>
      <c r="AQ1385" s="254" t="str">
        <f>IF(LEN(W1385)=0,"",W1385)</f>
        <v/>
      </c>
      <c r="AR1385" s="254" t="str">
        <f>SUBSTITUTE(SUBSTITUTE(SUBSTITUTE("vnt"&amp;$B1385&amp;$C1385&amp;$D1385&amp;$E1385,".","_"),"(","_"),")","")</f>
        <v>vnt703_7_3_6</v>
      </c>
      <c r="AS1385" s="254" t="str">
        <f>IF(LEN(X1385)=0,"",X1385)</f>
        <v/>
      </c>
      <c r="AT1385" s="634"/>
      <c r="AU1385" s="634"/>
      <c r="AV1385" s="634"/>
      <c r="AW1385" s="634"/>
      <c r="AX1385" s="634"/>
      <c r="AY1385" s="634"/>
      <c r="AZ1385" s="634"/>
      <c r="BA1385" s="634"/>
      <c r="BB1385" s="634"/>
      <c r="BC1385" s="634"/>
      <c r="BD1385" s="634"/>
      <c r="BE1385" s="634"/>
      <c r="BF1385" s="634"/>
      <c r="BG1385" s="634"/>
      <c r="BH1385" s="634"/>
      <c r="BI1385" s="634"/>
    </row>
    <row r="1386" spans="1:61" x14ac:dyDescent="0.25">
      <c r="A1386" s="2371">
        <v>7</v>
      </c>
      <c r="B1386" s="2385" t="s">
        <v>977</v>
      </c>
      <c r="C1386" s="2374" t="s">
        <v>277</v>
      </c>
      <c r="D1386" s="2374"/>
      <c r="E1386" s="2374"/>
      <c r="F1386" s="2374"/>
      <c r="G1386" s="2373" t="str">
        <f t="shared" ca="1" si="81"/>
        <v/>
      </c>
      <c r="H1386" s="2371" t="s">
        <v>3971</v>
      </c>
      <c r="I1386" s="210"/>
      <c r="J1386" s="637"/>
      <c r="K1386" s="637"/>
      <c r="L1386" s="1755"/>
      <c r="M1386" s="1015"/>
      <c r="N1386" s="1047"/>
      <c r="O1386" s="1047"/>
      <c r="P1386" s="756"/>
      <c r="Q1386" s="756"/>
      <c r="R1386" s="634"/>
      <c r="S1386" s="634"/>
      <c r="T1386" s="634"/>
      <c r="U1386" s="634"/>
      <c r="V1386" s="634"/>
      <c r="W1386" s="634"/>
      <c r="X1386" s="1757"/>
      <c r="Y1386" s="2081"/>
      <c r="Z1386" s="2083"/>
      <c r="AA1386" s="1526"/>
      <c r="AB1386" s="634"/>
      <c r="AC1386" s="970"/>
      <c r="AD1386" s="970"/>
      <c r="AE1386" s="970"/>
      <c r="AF1386" s="634"/>
      <c r="AG1386" s="634"/>
      <c r="AH1386" s="634"/>
      <c r="AI1386" s="634"/>
      <c r="AJ1386" s="634"/>
      <c r="AK1386" s="634"/>
      <c r="AL1386" s="1336"/>
      <c r="AM1386" s="1336"/>
      <c r="AN1386" s="1336"/>
      <c r="AO1386" s="1336"/>
      <c r="AP1386" s="1336"/>
      <c r="AQ1386" s="1336"/>
      <c r="AR1386" s="1336"/>
      <c r="AS1386" s="1336"/>
      <c r="AT1386" s="634"/>
      <c r="AU1386" s="634"/>
      <c r="AV1386" s="634"/>
      <c r="AW1386" s="634"/>
      <c r="AX1386" s="634"/>
      <c r="AY1386" s="634"/>
      <c r="AZ1386" s="634"/>
      <c r="BA1386" s="634"/>
      <c r="BB1386" s="634"/>
      <c r="BC1386" s="634"/>
      <c r="BD1386" s="634"/>
      <c r="BE1386" s="634"/>
      <c r="BF1386" s="634"/>
      <c r="BG1386" s="634"/>
      <c r="BH1386" s="634"/>
      <c r="BI1386" s="634"/>
    </row>
    <row r="1387" spans="1:61" x14ac:dyDescent="0.25">
      <c r="A1387" s="2371">
        <v>7</v>
      </c>
      <c r="B1387" s="2385" t="s">
        <v>993</v>
      </c>
      <c r="C1387" s="2381"/>
      <c r="D1387" s="2374"/>
      <c r="E1387" s="2374"/>
      <c r="F1387" s="2374"/>
      <c r="G1387" s="2373" t="str">
        <f ca="1">IF(N1387&gt;0,"P","")</f>
        <v/>
      </c>
      <c r="H1387" s="2371" t="s">
        <v>3971</v>
      </c>
      <c r="I1387" s="66" t="s">
        <v>993</v>
      </c>
      <c r="J1387" s="639"/>
      <c r="K1387" s="639"/>
      <c r="L1387" s="1852" t="s">
        <v>994</v>
      </c>
      <c r="M1387" s="1767">
        <v>4</v>
      </c>
      <c r="N1387" s="2075">
        <f ca="1">'Ch7'!O517</f>
        <v>0</v>
      </c>
      <c r="O1387" s="2075">
        <f ca="1">M1387*S1387*W1387</f>
        <v>0</v>
      </c>
      <c r="P1387" s="94" t="b">
        <v>1</v>
      </c>
      <c r="Q1387" s="94" t="b">
        <v>1</v>
      </c>
      <c r="R1387" s="634" t="b">
        <v>0</v>
      </c>
      <c r="S1387" s="634" t="b">
        <f ca="1">AND(S883=2,W1330=TRUE,NOT(BI886="Tropical"))</f>
        <v>0</v>
      </c>
      <c r="T1387" s="94" t="b">
        <f ca="1">AND(NOT(S1387),W1387=TRUE)</f>
        <v>0</v>
      </c>
      <c r="U1387" s="634"/>
      <c r="V1387" s="634"/>
      <c r="W1387" s="25"/>
      <c r="X1387" s="911"/>
      <c r="Y1387" s="634"/>
      <c r="AA1387" s="1526"/>
      <c r="AB1387" s="634"/>
      <c r="AC1387" s="970" t="b">
        <f ca="1">OR(AD1387:AE1387)</f>
        <v>0</v>
      </c>
      <c r="AD1387" s="970" t="b">
        <f ca="1">T1387</f>
        <v>0</v>
      </c>
      <c r="AE1387" s="970"/>
      <c r="AF1387" s="784"/>
      <c r="AG1387" s="634"/>
      <c r="AH1387" s="634"/>
      <c r="AI1387" s="634"/>
      <c r="AJ1387" s="634"/>
      <c r="AK1387" s="634"/>
      <c r="AL1387" s="254" t="str">
        <f>SUBSTITUTE(SUBSTITUTE(SUBSTITUTE("vpa"&amp;$B1387&amp;$C1387&amp;$D1387&amp;$E1387,".","_"),"(","_"),")","")</f>
        <v>vpa703_7_4</v>
      </c>
      <c r="AM1387" s="254">
        <f>M1387</f>
        <v>4</v>
      </c>
      <c r="AN1387" s="254" t="str">
        <f>SUBSTITUTE(SUBSTITUTE(SUBSTITUTE("vpc"&amp;$B1387&amp;$C1387&amp;$D1387&amp;$E1387,".","_"),"(","_"),")","")</f>
        <v>vpc703_7_4</v>
      </c>
      <c r="AO1387" s="254">
        <f ca="1">O1387</f>
        <v>0</v>
      </c>
      <c r="AP1387" s="254" t="str">
        <f>SUBSTITUTE(SUBSTITUTE(SUBSTITUTE("vch"&amp;$B1387&amp;$C1387&amp;$D1387&amp;$E1387,".","_"),"(","_"),")","")</f>
        <v>vch703_7_4</v>
      </c>
      <c r="AQ1387" s="254" t="str">
        <f>IF(LEN(W1387)=0,"",W1387)</f>
        <v/>
      </c>
      <c r="AR1387" s="1336"/>
      <c r="AS1387" s="1336"/>
      <c r="AT1387" s="634"/>
      <c r="AU1387" s="634"/>
      <c r="AV1387" s="634"/>
      <c r="AW1387" s="634"/>
      <c r="AX1387" s="634"/>
      <c r="AY1387" s="634"/>
      <c r="AZ1387" s="634"/>
      <c r="BA1387" s="634"/>
      <c r="BB1387" s="634"/>
      <c r="BC1387" s="634"/>
      <c r="BD1387" s="634"/>
      <c r="BE1387" s="634"/>
      <c r="BF1387" s="634"/>
      <c r="BG1387" s="634"/>
      <c r="BH1387" s="634"/>
      <c r="BI1387" s="634"/>
    </row>
    <row r="1388" spans="1:61" x14ac:dyDescent="0.25">
      <c r="A1388" s="2371">
        <v>7</v>
      </c>
      <c r="B1388" s="2385" t="s">
        <v>993</v>
      </c>
      <c r="C1388" s="2381"/>
      <c r="D1388" s="2374"/>
      <c r="E1388" s="2374"/>
      <c r="F1388" s="2374"/>
      <c r="G1388" s="2373" t="str">
        <f t="shared" ref="G1388:G1409" ca="1" si="82">G1387</f>
        <v/>
      </c>
      <c r="H1388" s="2371" t="s">
        <v>3971</v>
      </c>
      <c r="I1388" s="4"/>
      <c r="J1388" s="639"/>
      <c r="K1388" s="639"/>
      <c r="L1388" s="1852"/>
      <c r="M1388" s="1767"/>
      <c r="N1388" s="2075"/>
      <c r="O1388" s="2075"/>
      <c r="P1388" s="756"/>
      <c r="Q1388" s="756"/>
      <c r="R1388" s="634"/>
      <c r="S1388" s="634"/>
      <c r="T1388" s="634"/>
      <c r="U1388" s="634"/>
      <c r="V1388" s="634"/>
      <c r="W1388" s="634"/>
      <c r="X1388" s="911"/>
      <c r="Y1388" s="634"/>
      <c r="AA1388" s="1526"/>
      <c r="AB1388" s="634"/>
      <c r="AC1388" s="970"/>
      <c r="AD1388" s="970"/>
      <c r="AE1388" s="970"/>
      <c r="AF1388" s="634"/>
      <c r="AG1388" s="634"/>
      <c r="AH1388" s="634"/>
      <c r="AI1388" s="634"/>
      <c r="AJ1388" s="634"/>
      <c r="AK1388" s="634"/>
      <c r="AL1388" s="1336"/>
      <c r="AM1388" s="1336"/>
      <c r="AN1388" s="1336"/>
      <c r="AO1388" s="1336"/>
      <c r="AP1388" s="1336"/>
      <c r="AQ1388" s="1336"/>
      <c r="AR1388" s="1336"/>
      <c r="AS1388" s="1336"/>
      <c r="AT1388" s="634"/>
      <c r="AU1388" s="634"/>
      <c r="AV1388" s="634"/>
      <c r="AW1388" s="634"/>
      <c r="AX1388" s="634"/>
      <c r="AY1388" s="634"/>
      <c r="AZ1388" s="634"/>
      <c r="BA1388" s="634"/>
      <c r="BB1388" s="634"/>
      <c r="BC1388" s="634"/>
      <c r="BD1388" s="634"/>
      <c r="BE1388" s="634"/>
      <c r="BF1388" s="634"/>
      <c r="BG1388" s="634"/>
      <c r="BH1388" s="634"/>
      <c r="BI1388" s="634"/>
    </row>
    <row r="1389" spans="1:61" x14ac:dyDescent="0.25">
      <c r="A1389" s="2371">
        <v>7</v>
      </c>
      <c r="B1389" s="2385" t="s">
        <v>993</v>
      </c>
      <c r="C1389" s="2381"/>
      <c r="D1389" s="2374"/>
      <c r="E1389" s="2374"/>
      <c r="F1389" s="2374"/>
      <c r="G1389" s="2373" t="str">
        <f t="shared" ca="1" si="82"/>
        <v/>
      </c>
      <c r="H1389" s="2371" t="s">
        <v>3971</v>
      </c>
      <c r="I1389" s="4"/>
      <c r="J1389" s="639"/>
      <c r="K1389" s="639"/>
      <c r="L1389" s="1170" t="s">
        <v>995</v>
      </c>
      <c r="M1389" s="1014"/>
      <c r="N1389" s="1042"/>
      <c r="O1389" s="1042"/>
      <c r="P1389" s="756"/>
      <c r="Q1389" s="756"/>
      <c r="R1389" s="634"/>
      <c r="S1389" s="634"/>
      <c r="T1389" s="634"/>
      <c r="U1389" s="634"/>
      <c r="V1389" s="634"/>
      <c r="W1389" s="634"/>
      <c r="X1389" s="911"/>
      <c r="Y1389" s="634"/>
      <c r="AA1389" s="1526"/>
      <c r="AB1389" s="634"/>
      <c r="AC1389" s="970"/>
      <c r="AD1389" s="970"/>
      <c r="AE1389" s="970"/>
      <c r="AF1389" s="634"/>
      <c r="AG1389" s="634"/>
      <c r="AH1389" s="634"/>
      <c r="AI1389" s="634"/>
      <c r="AJ1389" s="634"/>
      <c r="AK1389" s="634"/>
      <c r="AL1389" s="1336"/>
      <c r="AM1389" s="1336"/>
      <c r="AN1389" s="1336"/>
      <c r="AO1389" s="1336"/>
      <c r="AP1389" s="1336"/>
      <c r="AQ1389" s="1336"/>
      <c r="AR1389" s="1336"/>
      <c r="AS1389" s="1336"/>
      <c r="AT1389" s="634"/>
      <c r="AU1389" s="634"/>
      <c r="AV1389" s="634"/>
      <c r="AW1389" s="634"/>
      <c r="AX1389" s="634"/>
      <c r="AY1389" s="634"/>
      <c r="AZ1389" s="634"/>
      <c r="BA1389" s="634"/>
      <c r="BB1389" s="634"/>
      <c r="BC1389" s="634"/>
      <c r="BD1389" s="634"/>
      <c r="BE1389" s="634"/>
      <c r="BF1389" s="634"/>
      <c r="BG1389" s="634"/>
      <c r="BH1389" s="634"/>
      <c r="BI1389" s="634"/>
    </row>
    <row r="1390" spans="1:61" x14ac:dyDescent="0.25">
      <c r="A1390" s="2371">
        <v>7</v>
      </c>
      <c r="B1390" s="2385" t="s">
        <v>993</v>
      </c>
      <c r="C1390" s="2374" t="s">
        <v>256</v>
      </c>
      <c r="D1390" s="2374"/>
      <c r="E1390" s="2374"/>
      <c r="F1390" s="2374"/>
      <c r="G1390" s="2373" t="str">
        <f t="shared" ca="1" si="82"/>
        <v/>
      </c>
      <c r="H1390" s="2371" t="s">
        <v>3971</v>
      </c>
      <c r="I1390" s="4"/>
      <c r="J1390" s="543" t="s">
        <v>256</v>
      </c>
      <c r="K1390" s="636"/>
      <c r="L1390" s="1754" t="s">
        <v>996</v>
      </c>
      <c r="M1390" s="1014"/>
      <c r="N1390" s="1042"/>
      <c r="O1390" s="1042"/>
      <c r="P1390" s="756"/>
      <c r="Q1390" s="756"/>
      <c r="R1390" s="634"/>
      <c r="S1390" s="634"/>
      <c r="T1390" s="634"/>
      <c r="U1390" s="634"/>
      <c r="V1390" s="634"/>
      <c r="W1390" s="634"/>
      <c r="X1390" s="1757"/>
      <c r="Y1390" s="2081" t="str">
        <f>IF(LEN('Ch7'!X520)=0,"None",'Ch7'!X520)</f>
        <v>None</v>
      </c>
      <c r="Z1390" s="2083"/>
      <c r="AA1390" s="1526"/>
      <c r="AB1390" s="634"/>
      <c r="AC1390" s="970"/>
      <c r="AD1390" s="970"/>
      <c r="AE1390" s="970"/>
      <c r="AF1390" s="634"/>
      <c r="AG1390" s="634"/>
      <c r="AH1390" s="634"/>
      <c r="AI1390" s="634"/>
      <c r="AJ1390" s="634"/>
      <c r="AK1390" s="634"/>
      <c r="AL1390" s="1336"/>
      <c r="AM1390" s="1336"/>
      <c r="AN1390" s="1336"/>
      <c r="AO1390" s="1336"/>
      <c r="AP1390" s="1336"/>
      <c r="AQ1390" s="1336"/>
      <c r="AR1390" s="254" t="str">
        <f>SUBSTITUTE(SUBSTITUTE(SUBSTITUTE("vnt"&amp;$B1390&amp;$C1390&amp;$D1390&amp;$E1390,".","_"),"(","_"),")","")</f>
        <v>vnt703_7_4_1</v>
      </c>
      <c r="AS1390" s="254" t="str">
        <f>IF(LEN(X1390)=0,"",X1390)</f>
        <v/>
      </c>
      <c r="AT1390" s="634"/>
      <c r="AU1390" s="634"/>
      <c r="AV1390" s="634"/>
      <c r="AW1390" s="634"/>
      <c r="AX1390" s="634"/>
      <c r="AY1390" s="634"/>
      <c r="AZ1390" s="634"/>
      <c r="BA1390" s="634"/>
      <c r="BB1390" s="634"/>
      <c r="BC1390" s="634"/>
      <c r="BD1390" s="634"/>
      <c r="BE1390" s="634"/>
      <c r="BF1390" s="634"/>
      <c r="BG1390" s="634"/>
      <c r="BH1390" s="634"/>
      <c r="BI1390" s="634"/>
    </row>
    <row r="1391" spans="1:61" x14ac:dyDescent="0.25">
      <c r="A1391" s="2371">
        <v>7</v>
      </c>
      <c r="B1391" s="2385" t="s">
        <v>993</v>
      </c>
      <c r="C1391" s="2374" t="s">
        <v>256</v>
      </c>
      <c r="D1391" s="2374"/>
      <c r="E1391" s="2374"/>
      <c r="F1391" s="2374"/>
      <c r="G1391" s="2373" t="str">
        <f t="shared" ca="1" si="82"/>
        <v/>
      </c>
      <c r="H1391" s="2371" t="s">
        <v>3971</v>
      </c>
      <c r="I1391" s="4"/>
      <c r="J1391" s="637"/>
      <c r="K1391" s="637"/>
      <c r="L1391" s="1755"/>
      <c r="M1391" s="1014"/>
      <c r="N1391" s="1042"/>
      <c r="O1391" s="1042"/>
      <c r="P1391" s="756"/>
      <c r="Q1391" s="756"/>
      <c r="R1391" s="634"/>
      <c r="S1391" s="634"/>
      <c r="T1391" s="634"/>
      <c r="U1391" s="634"/>
      <c r="V1391" s="634"/>
      <c r="W1391" s="634"/>
      <c r="X1391" s="1757"/>
      <c r="Y1391" s="2081"/>
      <c r="Z1391" s="2083"/>
      <c r="AA1391" s="1526"/>
      <c r="AB1391" s="634"/>
      <c r="AC1391" s="970"/>
      <c r="AD1391" s="970"/>
      <c r="AE1391" s="970"/>
      <c r="AF1391" s="634"/>
      <c r="AG1391" s="634"/>
      <c r="AH1391" s="634"/>
      <c r="AI1391" s="634"/>
      <c r="AJ1391" s="634"/>
      <c r="AK1391" s="634"/>
      <c r="AL1391" s="1336"/>
      <c r="AM1391" s="1336"/>
      <c r="AN1391" s="1336"/>
      <c r="AO1391" s="1336"/>
      <c r="AP1391" s="1336"/>
      <c r="AQ1391" s="1336"/>
      <c r="AR1391" s="1336"/>
      <c r="AS1391" s="1336"/>
      <c r="AT1391" s="634"/>
      <c r="AU1391" s="634"/>
      <c r="AV1391" s="634"/>
      <c r="AW1391" s="634"/>
      <c r="AX1391" s="634"/>
      <c r="AY1391" s="634"/>
      <c r="AZ1391" s="634"/>
      <c r="BA1391" s="634"/>
      <c r="BB1391" s="634"/>
      <c r="BC1391" s="634"/>
      <c r="BD1391" s="634"/>
      <c r="BE1391" s="634"/>
      <c r="BF1391" s="634"/>
      <c r="BG1391" s="634"/>
      <c r="BH1391" s="634"/>
      <c r="BI1391" s="634"/>
    </row>
    <row r="1392" spans="1:61" x14ac:dyDescent="0.25">
      <c r="A1392" s="2371">
        <v>7</v>
      </c>
      <c r="B1392" s="2385" t="s">
        <v>993</v>
      </c>
      <c r="C1392" s="2374" t="s">
        <v>258</v>
      </c>
      <c r="D1392" s="2374"/>
      <c r="E1392" s="2374"/>
      <c r="F1392" s="2374"/>
      <c r="G1392" s="2373" t="str">
        <f t="shared" ca="1" si="82"/>
        <v/>
      </c>
      <c r="H1392" s="2371" t="s">
        <v>3971</v>
      </c>
      <c r="I1392" s="4"/>
      <c r="J1392" s="234" t="s">
        <v>258</v>
      </c>
      <c r="K1392" s="639"/>
      <c r="L1392" s="1841" t="s">
        <v>997</v>
      </c>
      <c r="M1392" s="1014"/>
      <c r="N1392" s="1042"/>
      <c r="O1392" s="1042"/>
      <c r="P1392" s="756"/>
      <c r="Q1392" s="756"/>
      <c r="R1392" s="634"/>
      <c r="S1392" s="634"/>
      <c r="T1392" s="634"/>
      <c r="U1392" s="634"/>
      <c r="V1392" s="634"/>
      <c r="W1392" s="634"/>
      <c r="X1392" s="911"/>
      <c r="Y1392" s="634"/>
      <c r="AA1392" s="1526"/>
      <c r="AB1392" s="634"/>
      <c r="AC1392" s="970"/>
      <c r="AD1392" s="970"/>
      <c r="AE1392" s="970"/>
      <c r="AF1392" s="634"/>
      <c r="AG1392" s="634"/>
      <c r="AH1392" s="634"/>
      <c r="AI1392" s="634"/>
      <c r="AJ1392" s="634"/>
      <c r="AK1392" s="634"/>
      <c r="AL1392" s="1336"/>
      <c r="AM1392" s="1336"/>
      <c r="AN1392" s="1336"/>
      <c r="AO1392" s="1336"/>
      <c r="AP1392" s="1336"/>
      <c r="AQ1392" s="1336"/>
      <c r="AR1392" s="1336"/>
      <c r="AS1392" s="1336"/>
      <c r="AT1392" s="634"/>
      <c r="AU1392" s="634"/>
      <c r="AV1392" s="634"/>
      <c r="AW1392" s="634"/>
      <c r="AX1392" s="634"/>
      <c r="AY1392" s="634"/>
      <c r="AZ1392" s="634"/>
      <c r="BA1392" s="634"/>
      <c r="BB1392" s="634"/>
      <c r="BC1392" s="634"/>
      <c r="BD1392" s="634"/>
      <c r="BE1392" s="634"/>
      <c r="BF1392" s="634"/>
      <c r="BG1392" s="634"/>
      <c r="BH1392" s="634"/>
      <c r="BI1392" s="634"/>
    </row>
    <row r="1393" spans="1:61" x14ac:dyDescent="0.25">
      <c r="A1393" s="2371">
        <v>7</v>
      </c>
      <c r="B1393" s="2385" t="s">
        <v>993</v>
      </c>
      <c r="C1393" s="2374" t="s">
        <v>258</v>
      </c>
      <c r="D1393" s="2374"/>
      <c r="E1393" s="2374"/>
      <c r="F1393" s="2374"/>
      <c r="G1393" s="2373" t="str">
        <f t="shared" ca="1" si="82"/>
        <v/>
      </c>
      <c r="H1393" s="2371" t="s">
        <v>3971</v>
      </c>
      <c r="I1393" s="4"/>
      <c r="J1393" s="639"/>
      <c r="K1393" s="639"/>
      <c r="L1393" s="1841"/>
      <c r="M1393" s="1014"/>
      <c r="N1393" s="1042"/>
      <c r="O1393" s="1042"/>
      <c r="P1393" s="756"/>
      <c r="Q1393" s="756"/>
      <c r="R1393" s="634"/>
      <c r="S1393" s="634"/>
      <c r="T1393" s="634"/>
      <c r="U1393" s="634"/>
      <c r="V1393" s="634"/>
      <c r="W1393" s="634"/>
      <c r="X1393" s="911"/>
      <c r="Y1393" s="634"/>
      <c r="AA1393" s="1526"/>
      <c r="AB1393" s="634"/>
      <c r="AC1393" s="970"/>
      <c r="AD1393" s="970"/>
      <c r="AE1393" s="970"/>
      <c r="AF1393" s="634"/>
      <c r="AG1393" s="634"/>
      <c r="AH1393" s="634"/>
      <c r="AI1393" s="634"/>
      <c r="AJ1393" s="634"/>
      <c r="AK1393" s="634"/>
      <c r="AL1393" s="1336"/>
      <c r="AM1393" s="1336"/>
      <c r="AN1393" s="1336"/>
      <c r="AO1393" s="1336"/>
      <c r="AP1393" s="1336"/>
      <c r="AQ1393" s="1336"/>
      <c r="AR1393" s="1336"/>
      <c r="AS1393" s="1336"/>
      <c r="AT1393" s="634"/>
      <c r="AU1393" s="634"/>
      <c r="AV1393" s="634"/>
      <c r="AW1393" s="634"/>
      <c r="AX1393" s="634"/>
      <c r="AY1393" s="634"/>
      <c r="AZ1393" s="634"/>
      <c r="BA1393" s="634"/>
      <c r="BB1393" s="634"/>
      <c r="BC1393" s="634"/>
      <c r="BD1393" s="634"/>
      <c r="BE1393" s="634"/>
      <c r="BF1393" s="634"/>
      <c r="BG1393" s="634"/>
      <c r="BH1393" s="634"/>
      <c r="BI1393" s="634"/>
    </row>
    <row r="1394" spans="1:61" x14ac:dyDescent="0.25">
      <c r="A1394" s="2371">
        <v>7</v>
      </c>
      <c r="B1394" s="2385" t="s">
        <v>993</v>
      </c>
      <c r="C1394" s="2374" t="s">
        <v>258</v>
      </c>
      <c r="D1394" s="2374" t="s">
        <v>121</v>
      </c>
      <c r="E1394" s="2374"/>
      <c r="F1394" s="2374"/>
      <c r="G1394" s="2373" t="str">
        <f t="shared" ca="1" si="82"/>
        <v/>
      </c>
      <c r="H1394" s="2375" t="s">
        <v>3971</v>
      </c>
      <c r="I1394" s="4"/>
      <c r="J1394" s="639"/>
      <c r="K1394" s="518" t="s">
        <v>121</v>
      </c>
      <c r="L1394" s="1754" t="s">
        <v>998</v>
      </c>
      <c r="M1394" s="1014"/>
      <c r="N1394" s="1042"/>
      <c r="O1394" s="1042"/>
      <c r="P1394" s="756"/>
      <c r="Q1394" s="756"/>
      <c r="R1394" s="634"/>
      <c r="S1394" s="634"/>
      <c r="T1394" s="634"/>
      <c r="U1394" s="634"/>
      <c r="V1394" s="634"/>
      <c r="W1394" s="634"/>
      <c r="X1394" s="1757"/>
      <c r="Y1394" s="2081" t="str">
        <f>IF(LEN('Ch7'!X524)=0,"None",'Ch7'!X524)</f>
        <v>None</v>
      </c>
      <c r="Z1394" s="2083"/>
      <c r="AA1394" s="1526"/>
      <c r="AB1394" s="634"/>
      <c r="AC1394" s="970"/>
      <c r="AD1394" s="970"/>
      <c r="AE1394" s="970"/>
      <c r="AF1394" s="634"/>
      <c r="AG1394" s="634"/>
      <c r="AH1394" s="634"/>
      <c r="AI1394" s="634"/>
      <c r="AJ1394" s="634"/>
      <c r="AK1394" s="634"/>
      <c r="AL1394" s="1336"/>
      <c r="AM1394" s="1336"/>
      <c r="AN1394" s="1336"/>
      <c r="AO1394" s="1336"/>
      <c r="AP1394" s="1336"/>
      <c r="AQ1394" s="1336"/>
      <c r="AR1394" s="254" t="str">
        <f>SUBSTITUTE(SUBSTITUTE(SUBSTITUTE("vnt"&amp;$B1394&amp;$C1394&amp;$D1394&amp;$E1394,".","_"),"(","_"),")","")</f>
        <v>vnt703_7_4_2_a</v>
      </c>
      <c r="AS1394" s="254" t="str">
        <f>IF(LEN(X1394)=0,"",X1394)</f>
        <v/>
      </c>
      <c r="AT1394" s="634"/>
      <c r="AU1394" s="634"/>
      <c r="AV1394" s="634"/>
      <c r="AW1394" s="634"/>
      <c r="AX1394" s="634"/>
      <c r="AY1394" s="634"/>
      <c r="AZ1394" s="634"/>
      <c r="BA1394" s="634"/>
      <c r="BB1394" s="634"/>
      <c r="BC1394" s="634"/>
      <c r="BD1394" s="634"/>
      <c r="BE1394" s="634"/>
      <c r="BF1394" s="634"/>
      <c r="BG1394" s="634"/>
      <c r="BH1394" s="634"/>
      <c r="BI1394" s="634"/>
    </row>
    <row r="1395" spans="1:61" x14ac:dyDescent="0.25">
      <c r="A1395" s="2371">
        <v>7</v>
      </c>
      <c r="B1395" s="2385" t="s">
        <v>993</v>
      </c>
      <c r="C1395" s="2374" t="s">
        <v>258</v>
      </c>
      <c r="D1395" s="2374" t="s">
        <v>121</v>
      </c>
      <c r="E1395" s="2374"/>
      <c r="F1395" s="2374"/>
      <c r="G1395" s="2373" t="str">
        <f t="shared" ca="1" si="82"/>
        <v/>
      </c>
      <c r="H1395" s="2371" t="s">
        <v>3971</v>
      </c>
      <c r="I1395" s="4"/>
      <c r="J1395" s="639"/>
      <c r="K1395" s="636"/>
      <c r="L1395" s="1754"/>
      <c r="M1395" s="1014"/>
      <c r="N1395" s="1042"/>
      <c r="O1395" s="1042"/>
      <c r="P1395" s="756"/>
      <c r="Q1395" s="756"/>
      <c r="R1395" s="634"/>
      <c r="S1395" s="634"/>
      <c r="T1395" s="634"/>
      <c r="U1395" s="634"/>
      <c r="V1395" s="634"/>
      <c r="W1395" s="634"/>
      <c r="X1395" s="1757"/>
      <c r="Y1395" s="2081"/>
      <c r="Z1395" s="2083"/>
      <c r="AA1395" s="1526"/>
      <c r="AB1395" s="634"/>
      <c r="AC1395" s="970"/>
      <c r="AD1395" s="970"/>
      <c r="AE1395" s="970"/>
      <c r="AF1395" s="634"/>
      <c r="AG1395" s="634"/>
      <c r="AH1395" s="634"/>
      <c r="AI1395" s="634"/>
      <c r="AJ1395" s="634"/>
      <c r="AK1395" s="634"/>
      <c r="AL1395" s="1336"/>
      <c r="AM1395" s="1336"/>
      <c r="AN1395" s="1336"/>
      <c r="AO1395" s="1336"/>
      <c r="AP1395" s="1336"/>
      <c r="AQ1395" s="1336"/>
      <c r="AR1395" s="1336"/>
      <c r="AS1395" s="1336"/>
      <c r="AT1395" s="634"/>
      <c r="AU1395" s="634"/>
      <c r="AV1395" s="634"/>
      <c r="AW1395" s="634"/>
      <c r="AX1395" s="634"/>
      <c r="AY1395" s="634"/>
      <c r="AZ1395" s="634"/>
      <c r="BA1395" s="634"/>
      <c r="BB1395" s="634"/>
      <c r="BC1395" s="634"/>
      <c r="BD1395" s="634"/>
      <c r="BE1395" s="634"/>
      <c r="BF1395" s="634"/>
      <c r="BG1395" s="634"/>
      <c r="BH1395" s="634"/>
      <c r="BI1395" s="634"/>
    </row>
    <row r="1396" spans="1:61" x14ac:dyDescent="0.25">
      <c r="A1396" s="2371">
        <v>7</v>
      </c>
      <c r="B1396" s="2385" t="s">
        <v>993</v>
      </c>
      <c r="C1396" s="2374" t="s">
        <v>258</v>
      </c>
      <c r="D1396" s="2374" t="s">
        <v>121</v>
      </c>
      <c r="E1396" s="2374"/>
      <c r="F1396" s="2374"/>
      <c r="G1396" s="2373" t="str">
        <f t="shared" ca="1" si="82"/>
        <v/>
      </c>
      <c r="H1396" s="2371" t="s">
        <v>3971</v>
      </c>
      <c r="I1396" s="4"/>
      <c r="J1396" s="639"/>
      <c r="K1396" s="637"/>
      <c r="L1396" s="1755"/>
      <c r="M1396" s="1014"/>
      <c r="N1396" s="1042"/>
      <c r="O1396" s="1042"/>
      <c r="P1396" s="756"/>
      <c r="Q1396" s="756"/>
      <c r="R1396" s="634"/>
      <c r="S1396" s="634"/>
      <c r="T1396" s="634"/>
      <c r="U1396" s="634"/>
      <c r="V1396" s="634"/>
      <c r="W1396" s="634"/>
      <c r="X1396" s="1757"/>
      <c r="Y1396" s="2081"/>
      <c r="Z1396" s="2083"/>
      <c r="AA1396" s="1526"/>
      <c r="AB1396" s="634"/>
      <c r="AC1396" s="970"/>
      <c r="AD1396" s="970"/>
      <c r="AE1396" s="970"/>
      <c r="AF1396" s="634"/>
      <c r="AG1396" s="634"/>
      <c r="AH1396" s="634"/>
      <c r="AI1396" s="634"/>
      <c r="AJ1396" s="634"/>
      <c r="AK1396" s="634"/>
      <c r="AL1396" s="1336"/>
      <c r="AM1396" s="1336"/>
      <c r="AN1396" s="1336"/>
      <c r="AO1396" s="1336"/>
      <c r="AP1396" s="1336"/>
      <c r="AQ1396" s="1336"/>
      <c r="AR1396" s="1336"/>
      <c r="AS1396" s="1336"/>
      <c r="AT1396" s="634"/>
      <c r="AU1396" s="634"/>
      <c r="AV1396" s="634"/>
      <c r="AW1396" s="634"/>
      <c r="AX1396" s="634"/>
      <c r="AY1396" s="634"/>
      <c r="AZ1396" s="634"/>
      <c r="BA1396" s="634"/>
      <c r="BB1396" s="634"/>
      <c r="BC1396" s="634"/>
      <c r="BD1396" s="634"/>
      <c r="BE1396" s="634"/>
      <c r="BF1396" s="634"/>
      <c r="BG1396" s="634"/>
      <c r="BH1396" s="634"/>
      <c r="BI1396" s="634"/>
    </row>
    <row r="1397" spans="1:61" x14ac:dyDescent="0.25">
      <c r="A1397" s="2371">
        <v>7</v>
      </c>
      <c r="B1397" s="2385" t="s">
        <v>993</v>
      </c>
      <c r="C1397" s="2374" t="s">
        <v>258</v>
      </c>
      <c r="D1397" s="2374" t="s">
        <v>122</v>
      </c>
      <c r="E1397" s="2374"/>
      <c r="F1397" s="2374"/>
      <c r="G1397" s="2373" t="str">
        <f t="shared" ca="1" si="82"/>
        <v/>
      </c>
      <c r="H1397" s="2375" t="s">
        <v>3971</v>
      </c>
      <c r="I1397" s="4"/>
      <c r="J1397" s="639"/>
      <c r="K1397" s="230" t="s">
        <v>122</v>
      </c>
      <c r="L1397" s="1779" t="s">
        <v>999</v>
      </c>
      <c r="M1397" s="1014"/>
      <c r="N1397" s="1042"/>
      <c r="O1397" s="1042"/>
      <c r="P1397" s="756"/>
      <c r="Q1397" s="756"/>
      <c r="R1397" s="634"/>
      <c r="S1397" s="634"/>
      <c r="T1397" s="634"/>
      <c r="U1397" s="634"/>
      <c r="V1397" s="634"/>
      <c r="W1397" s="634"/>
      <c r="X1397" s="1757"/>
      <c r="Y1397" s="2081" t="str">
        <f>IF(LEN('Ch7'!X527)=0,"None",'Ch7'!X527)</f>
        <v>None</v>
      </c>
      <c r="Z1397" s="2083"/>
      <c r="AA1397" s="1526"/>
      <c r="AB1397" s="634"/>
      <c r="AC1397" s="970"/>
      <c r="AD1397" s="970"/>
      <c r="AE1397" s="970"/>
      <c r="AF1397" s="634"/>
      <c r="AG1397" s="634"/>
      <c r="AH1397" s="634"/>
      <c r="AI1397" s="634"/>
      <c r="AJ1397" s="634"/>
      <c r="AK1397" s="634"/>
      <c r="AL1397" s="1336"/>
      <c r="AM1397" s="1336"/>
      <c r="AN1397" s="1336"/>
      <c r="AO1397" s="1336"/>
      <c r="AP1397" s="1336"/>
      <c r="AQ1397" s="1336"/>
      <c r="AR1397" s="254" t="str">
        <f>SUBSTITUTE(SUBSTITUTE(SUBSTITUTE("vnt"&amp;$B1397&amp;$C1397&amp;$D1397&amp;$E1397,".","_"),"(","_"),")","")</f>
        <v>vnt703_7_4_2_b</v>
      </c>
      <c r="AS1397" s="254" t="str">
        <f>IF(LEN(X1397)=0,"",X1397)</f>
        <v/>
      </c>
      <c r="AT1397" s="634"/>
      <c r="AU1397" s="634"/>
      <c r="AV1397" s="634"/>
      <c r="AW1397" s="634"/>
      <c r="AX1397" s="634"/>
      <c r="AY1397" s="634"/>
      <c r="AZ1397" s="634"/>
      <c r="BA1397" s="634"/>
      <c r="BB1397" s="634"/>
      <c r="BC1397" s="634"/>
      <c r="BD1397" s="634"/>
      <c r="BE1397" s="634"/>
      <c r="BF1397" s="634"/>
      <c r="BG1397" s="634"/>
      <c r="BH1397" s="634"/>
      <c r="BI1397" s="634"/>
    </row>
    <row r="1398" spans="1:61" x14ac:dyDescent="0.25">
      <c r="A1398" s="2371">
        <v>7</v>
      </c>
      <c r="B1398" s="2385" t="s">
        <v>993</v>
      </c>
      <c r="C1398" s="2374" t="s">
        <v>258</v>
      </c>
      <c r="D1398" s="2374" t="s">
        <v>122</v>
      </c>
      <c r="E1398" s="2374"/>
      <c r="F1398" s="2374"/>
      <c r="G1398" s="2373" t="str">
        <f t="shared" ca="1" si="82"/>
        <v/>
      </c>
      <c r="H1398" s="2371" t="s">
        <v>3971</v>
      </c>
      <c r="I1398" s="4"/>
      <c r="J1398" s="639"/>
      <c r="K1398" s="639"/>
      <c r="L1398" s="1779"/>
      <c r="M1398" s="1014"/>
      <c r="N1398" s="1042"/>
      <c r="O1398" s="1042"/>
      <c r="P1398" s="756"/>
      <c r="Q1398" s="756"/>
      <c r="R1398" s="634"/>
      <c r="S1398" s="634"/>
      <c r="T1398" s="634"/>
      <c r="U1398" s="634"/>
      <c r="V1398" s="634"/>
      <c r="W1398" s="634"/>
      <c r="X1398" s="1757"/>
      <c r="Y1398" s="2081"/>
      <c r="Z1398" s="2083"/>
      <c r="AA1398" s="1526"/>
      <c r="AB1398" s="634"/>
      <c r="AC1398" s="970"/>
      <c r="AD1398" s="970"/>
      <c r="AE1398" s="970"/>
      <c r="AF1398" s="634"/>
      <c r="AG1398" s="634"/>
      <c r="AH1398" s="634"/>
      <c r="AI1398" s="634"/>
      <c r="AJ1398" s="634"/>
      <c r="AK1398" s="634"/>
      <c r="AL1398" s="1336"/>
      <c r="AM1398" s="1336"/>
      <c r="AN1398" s="1336"/>
      <c r="AO1398" s="1336"/>
      <c r="AP1398" s="1336"/>
      <c r="AQ1398" s="1336"/>
      <c r="AR1398" s="1336"/>
      <c r="AS1398" s="1336"/>
      <c r="AT1398" s="634"/>
      <c r="AU1398" s="634"/>
      <c r="AV1398" s="634"/>
      <c r="AW1398" s="634"/>
      <c r="AX1398" s="634"/>
      <c r="AY1398" s="634"/>
      <c r="AZ1398" s="634"/>
      <c r="BA1398" s="634"/>
      <c r="BB1398" s="634"/>
      <c r="BC1398" s="634"/>
      <c r="BD1398" s="634"/>
      <c r="BE1398" s="634"/>
      <c r="BF1398" s="634"/>
      <c r="BG1398" s="634"/>
      <c r="BH1398" s="634"/>
      <c r="BI1398" s="634"/>
    </row>
    <row r="1399" spans="1:61" x14ac:dyDescent="0.25">
      <c r="A1399" s="2371">
        <v>7</v>
      </c>
      <c r="B1399" s="2385" t="s">
        <v>993</v>
      </c>
      <c r="C1399" s="2374" t="s">
        <v>258</v>
      </c>
      <c r="D1399" s="2374" t="s">
        <v>122</v>
      </c>
      <c r="E1399" s="2374" t="s">
        <v>844</v>
      </c>
      <c r="F1399" s="2374"/>
      <c r="G1399" s="2373" t="str">
        <f t="shared" ca="1" si="82"/>
        <v/>
      </c>
      <c r="H1399" s="2371" t="s">
        <v>3971</v>
      </c>
      <c r="I1399" s="4"/>
      <c r="J1399" s="639"/>
      <c r="K1399" s="638" t="s">
        <v>844</v>
      </c>
      <c r="L1399" s="1779" t="s">
        <v>1000</v>
      </c>
      <c r="M1399" s="1014"/>
      <c r="N1399" s="1042"/>
      <c r="O1399" s="1042"/>
      <c r="P1399" s="756"/>
      <c r="Q1399" s="756"/>
      <c r="R1399" s="634"/>
      <c r="S1399" s="634"/>
      <c r="T1399" s="634"/>
      <c r="U1399" s="634"/>
      <c r="V1399" s="634"/>
      <c r="W1399" s="634"/>
      <c r="X1399" s="1757"/>
      <c r="Y1399" s="2081"/>
      <c r="Z1399" s="2083"/>
      <c r="AA1399" s="1526"/>
      <c r="AB1399" s="634"/>
      <c r="AC1399" s="970"/>
      <c r="AD1399" s="970"/>
      <c r="AE1399" s="970"/>
      <c r="AF1399" s="634"/>
      <c r="AG1399" s="634"/>
      <c r="AH1399" s="634"/>
      <c r="AI1399" s="634"/>
      <c r="AJ1399" s="634"/>
      <c r="AK1399" s="634"/>
      <c r="AL1399" s="1336"/>
      <c r="AM1399" s="1336"/>
      <c r="AN1399" s="1336"/>
      <c r="AO1399" s="1336"/>
      <c r="AP1399" s="1336"/>
      <c r="AQ1399" s="1336"/>
      <c r="AR1399" s="1336"/>
      <c r="AS1399" s="1336"/>
      <c r="AT1399" s="634"/>
      <c r="AU1399" s="634"/>
      <c r="AV1399" s="634"/>
      <c r="AW1399" s="634"/>
      <c r="AX1399" s="634"/>
      <c r="AY1399" s="634"/>
      <c r="AZ1399" s="634"/>
      <c r="BA1399" s="634"/>
      <c r="BB1399" s="634"/>
      <c r="BC1399" s="634"/>
      <c r="BD1399" s="634"/>
      <c r="BE1399" s="634"/>
      <c r="BF1399" s="634"/>
      <c r="BG1399" s="634"/>
      <c r="BH1399" s="634"/>
      <c r="BI1399" s="634"/>
    </row>
    <row r="1400" spans="1:61" x14ac:dyDescent="0.25">
      <c r="A1400" s="2371">
        <v>7</v>
      </c>
      <c r="B1400" s="2385" t="s">
        <v>993</v>
      </c>
      <c r="C1400" s="2374" t="s">
        <v>258</v>
      </c>
      <c r="D1400" s="2374" t="s">
        <v>122</v>
      </c>
      <c r="E1400" s="2374" t="s">
        <v>844</v>
      </c>
      <c r="F1400" s="2374"/>
      <c r="G1400" s="2373" t="str">
        <f t="shared" ca="1" si="82"/>
        <v/>
      </c>
      <c r="H1400" s="2371" t="s">
        <v>3971</v>
      </c>
      <c r="I1400" s="4"/>
      <c r="J1400" s="639"/>
      <c r="K1400" s="643"/>
      <c r="L1400" s="1779"/>
      <c r="M1400" s="1014"/>
      <c r="N1400" s="1042"/>
      <c r="O1400" s="1042"/>
      <c r="P1400" s="756"/>
      <c r="Q1400" s="756"/>
      <c r="R1400" s="634"/>
      <c r="S1400" s="634"/>
      <c r="T1400" s="634"/>
      <c r="U1400" s="634"/>
      <c r="V1400" s="634"/>
      <c r="W1400" s="634"/>
      <c r="X1400" s="1757"/>
      <c r="Y1400" s="2081"/>
      <c r="Z1400" s="2083"/>
      <c r="AA1400" s="1526"/>
      <c r="AB1400" s="634"/>
      <c r="AC1400" s="970"/>
      <c r="AD1400" s="970"/>
      <c r="AE1400" s="970"/>
      <c r="AF1400" s="634"/>
      <c r="AG1400" s="634"/>
      <c r="AH1400" s="634"/>
      <c r="AI1400" s="634"/>
      <c r="AJ1400" s="634"/>
      <c r="AK1400" s="634"/>
      <c r="AL1400" s="1336"/>
      <c r="AM1400" s="1336"/>
      <c r="AN1400" s="1336"/>
      <c r="AO1400" s="1336"/>
      <c r="AP1400" s="1336"/>
      <c r="AQ1400" s="1336"/>
      <c r="AR1400" s="1336"/>
      <c r="AS1400" s="1336"/>
      <c r="AT1400" s="634"/>
      <c r="AU1400" s="634"/>
      <c r="AV1400" s="634"/>
      <c r="AW1400" s="634"/>
      <c r="AX1400" s="634"/>
      <c r="AY1400" s="634"/>
      <c r="AZ1400" s="634"/>
      <c r="BA1400" s="634"/>
      <c r="BB1400" s="634"/>
      <c r="BC1400" s="634"/>
      <c r="BD1400" s="634"/>
      <c r="BE1400" s="634"/>
      <c r="BF1400" s="634"/>
      <c r="BG1400" s="634"/>
      <c r="BH1400" s="634"/>
      <c r="BI1400" s="634"/>
    </row>
    <row r="1401" spans="1:61" x14ac:dyDescent="0.25">
      <c r="A1401" s="2371">
        <v>7</v>
      </c>
      <c r="B1401" s="2385" t="s">
        <v>993</v>
      </c>
      <c r="C1401" s="2374" t="s">
        <v>258</v>
      </c>
      <c r="D1401" s="2374" t="s">
        <v>122</v>
      </c>
      <c r="E1401" s="2374" t="s">
        <v>1001</v>
      </c>
      <c r="F1401" s="2374"/>
      <c r="G1401" s="2373" t="str">
        <f t="shared" ca="1" si="82"/>
        <v/>
      </c>
      <c r="H1401" s="2371" t="s">
        <v>3971</v>
      </c>
      <c r="I1401" s="4"/>
      <c r="J1401" s="639"/>
      <c r="K1401" s="638" t="s">
        <v>1001</v>
      </c>
      <c r="L1401" s="1779" t="s">
        <v>1002</v>
      </c>
      <c r="M1401" s="1014"/>
      <c r="N1401" s="1042"/>
      <c r="O1401" s="1042"/>
      <c r="P1401" s="756"/>
      <c r="Q1401" s="756"/>
      <c r="R1401" s="634"/>
      <c r="S1401" s="634"/>
      <c r="T1401" s="634"/>
      <c r="U1401" s="634"/>
      <c r="V1401" s="634"/>
      <c r="W1401" s="634"/>
      <c r="X1401" s="1757"/>
      <c r="Y1401" s="2081"/>
      <c r="Z1401" s="2083"/>
      <c r="AA1401" s="1526"/>
      <c r="AB1401" s="634"/>
      <c r="AC1401" s="970"/>
      <c r="AD1401" s="970"/>
      <c r="AE1401" s="970"/>
      <c r="AF1401" s="634"/>
      <c r="AG1401" s="634"/>
      <c r="AH1401" s="634"/>
      <c r="AI1401" s="634"/>
      <c r="AJ1401" s="634"/>
      <c r="AK1401" s="634"/>
      <c r="AL1401" s="1336"/>
      <c r="AM1401" s="1336"/>
      <c r="AN1401" s="1336"/>
      <c r="AO1401" s="1336"/>
      <c r="AP1401" s="1336"/>
      <c r="AQ1401" s="1336"/>
      <c r="AR1401" s="1336"/>
      <c r="AS1401" s="1336"/>
      <c r="AT1401" s="634"/>
      <c r="AU1401" s="634"/>
      <c r="AV1401" s="634"/>
      <c r="AW1401" s="634"/>
      <c r="AX1401" s="634"/>
      <c r="AY1401" s="634"/>
      <c r="AZ1401" s="634"/>
      <c r="BA1401" s="634"/>
      <c r="BB1401" s="634"/>
      <c r="BC1401" s="634"/>
      <c r="BD1401" s="634"/>
      <c r="BE1401" s="634"/>
      <c r="BF1401" s="634"/>
      <c r="BG1401" s="634"/>
      <c r="BH1401" s="634"/>
      <c r="BI1401" s="634"/>
    </row>
    <row r="1402" spans="1:61" x14ac:dyDescent="0.25">
      <c r="A1402" s="2371">
        <v>7</v>
      </c>
      <c r="B1402" s="2385" t="s">
        <v>993</v>
      </c>
      <c r="C1402" s="2374" t="s">
        <v>258</v>
      </c>
      <c r="D1402" s="2374" t="s">
        <v>122</v>
      </c>
      <c r="E1402" s="2374" t="s">
        <v>1001</v>
      </c>
      <c r="F1402" s="2374"/>
      <c r="G1402" s="2373" t="str">
        <f t="shared" ca="1" si="82"/>
        <v/>
      </c>
      <c r="H1402" s="2371" t="s">
        <v>3971</v>
      </c>
      <c r="I1402" s="4"/>
      <c r="J1402" s="639"/>
      <c r="K1402" s="643"/>
      <c r="L1402" s="1779"/>
      <c r="M1402" s="1014"/>
      <c r="N1402" s="1042"/>
      <c r="O1402" s="1042"/>
      <c r="P1402" s="756"/>
      <c r="Q1402" s="756"/>
      <c r="R1402" s="634"/>
      <c r="S1402" s="634"/>
      <c r="T1402" s="634"/>
      <c r="U1402" s="634"/>
      <c r="V1402" s="634"/>
      <c r="W1402" s="634"/>
      <c r="X1402" s="1757"/>
      <c r="Y1402" s="2081"/>
      <c r="Z1402" s="2083"/>
      <c r="AA1402" s="1526"/>
      <c r="AB1402" s="634"/>
      <c r="AC1402" s="970"/>
      <c r="AD1402" s="970"/>
      <c r="AE1402" s="970"/>
      <c r="AF1402" s="634"/>
      <c r="AG1402" s="634"/>
      <c r="AH1402" s="634"/>
      <c r="AI1402" s="634"/>
      <c r="AJ1402" s="634"/>
      <c r="AK1402" s="634"/>
      <c r="AL1402" s="1336"/>
      <c r="AM1402" s="1336"/>
      <c r="AN1402" s="1336"/>
      <c r="AO1402" s="1336"/>
      <c r="AP1402" s="1336"/>
      <c r="AQ1402" s="1336"/>
      <c r="AR1402" s="1336"/>
      <c r="AS1402" s="1336"/>
      <c r="AT1402" s="634"/>
      <c r="AU1402" s="634"/>
      <c r="AV1402" s="634"/>
      <c r="AW1402" s="634"/>
      <c r="AX1402" s="634"/>
      <c r="AY1402" s="634"/>
      <c r="AZ1402" s="634"/>
      <c r="BA1402" s="634"/>
      <c r="BB1402" s="634"/>
      <c r="BC1402" s="634"/>
      <c r="BD1402" s="634"/>
      <c r="BE1402" s="634"/>
      <c r="BF1402" s="634"/>
      <c r="BG1402" s="634"/>
      <c r="BH1402" s="634"/>
      <c r="BI1402" s="634"/>
    </row>
    <row r="1403" spans="1:61" x14ac:dyDescent="0.25">
      <c r="A1403" s="2371">
        <v>7</v>
      </c>
      <c r="B1403" s="2385" t="s">
        <v>993</v>
      </c>
      <c r="C1403" s="2374" t="s">
        <v>258</v>
      </c>
      <c r="D1403" s="2374" t="s">
        <v>122</v>
      </c>
      <c r="E1403" s="2374" t="s">
        <v>1003</v>
      </c>
      <c r="F1403" s="2374"/>
      <c r="G1403" s="2373" t="str">
        <f t="shared" ca="1" si="82"/>
        <v/>
      </c>
      <c r="H1403" s="2371" t="s">
        <v>3971</v>
      </c>
      <c r="I1403" s="4"/>
      <c r="J1403" s="639"/>
      <c r="K1403" s="640" t="s">
        <v>1003</v>
      </c>
      <c r="L1403" s="1754" t="s">
        <v>1004</v>
      </c>
      <c r="M1403" s="1014"/>
      <c r="N1403" s="1042"/>
      <c r="O1403" s="1042"/>
      <c r="P1403" s="756"/>
      <c r="Q1403" s="756"/>
      <c r="R1403" s="634"/>
      <c r="S1403" s="634"/>
      <c r="T1403" s="634"/>
      <c r="U1403" s="634"/>
      <c r="V1403" s="634"/>
      <c r="W1403" s="634"/>
      <c r="X1403" s="1757"/>
      <c r="Y1403" s="2081"/>
      <c r="Z1403" s="2083"/>
      <c r="AA1403" s="1526"/>
      <c r="AB1403" s="634"/>
      <c r="AC1403" s="970"/>
      <c r="AD1403" s="970"/>
      <c r="AE1403" s="970"/>
      <c r="AF1403" s="634"/>
      <c r="AG1403" s="634"/>
      <c r="AH1403" s="634"/>
      <c r="AI1403" s="634"/>
      <c r="AJ1403" s="634"/>
      <c r="AK1403" s="634"/>
      <c r="AL1403" s="1336"/>
      <c r="AM1403" s="1336"/>
      <c r="AN1403" s="1336"/>
      <c r="AO1403" s="1336"/>
      <c r="AP1403" s="1336"/>
      <c r="AQ1403" s="1336"/>
      <c r="AR1403" s="1336"/>
      <c r="AS1403" s="1336"/>
      <c r="AT1403" s="634"/>
      <c r="AU1403" s="634"/>
      <c r="AV1403" s="634"/>
      <c r="AW1403" s="634"/>
      <c r="AX1403" s="634"/>
      <c r="AY1403" s="634"/>
      <c r="AZ1403" s="634"/>
      <c r="BA1403" s="634"/>
      <c r="BB1403" s="634"/>
      <c r="BC1403" s="634"/>
      <c r="BD1403" s="634"/>
      <c r="BE1403" s="634"/>
      <c r="BF1403" s="634"/>
      <c r="BG1403" s="634"/>
      <c r="BH1403" s="634"/>
      <c r="BI1403" s="634"/>
    </row>
    <row r="1404" spans="1:61" x14ac:dyDescent="0.25">
      <c r="A1404" s="2371">
        <v>7</v>
      </c>
      <c r="B1404" s="2385" t="s">
        <v>993</v>
      </c>
      <c r="C1404" s="2374" t="s">
        <v>258</v>
      </c>
      <c r="D1404" s="2374" t="s">
        <v>122</v>
      </c>
      <c r="E1404" s="2374" t="s">
        <v>1003</v>
      </c>
      <c r="F1404" s="2374"/>
      <c r="G1404" s="2373" t="str">
        <f t="shared" ca="1" si="82"/>
        <v/>
      </c>
      <c r="H1404" s="2371" t="s">
        <v>3971</v>
      </c>
      <c r="I1404" s="4"/>
      <c r="J1404" s="639"/>
      <c r="K1404" s="637"/>
      <c r="L1404" s="1755"/>
      <c r="M1404" s="1014"/>
      <c r="N1404" s="1042"/>
      <c r="O1404" s="1042"/>
      <c r="P1404" s="756"/>
      <c r="Q1404" s="756"/>
      <c r="R1404" s="634"/>
      <c r="S1404" s="634"/>
      <c r="T1404" s="634"/>
      <c r="U1404" s="634"/>
      <c r="V1404" s="634"/>
      <c r="W1404" s="634"/>
      <c r="X1404" s="1757"/>
      <c r="Y1404" s="2081"/>
      <c r="Z1404" s="2083"/>
      <c r="AA1404" s="1526"/>
      <c r="AB1404" s="634"/>
      <c r="AC1404" s="970"/>
      <c r="AD1404" s="970"/>
      <c r="AE1404" s="970"/>
      <c r="AF1404" s="634"/>
      <c r="AG1404" s="634"/>
      <c r="AH1404" s="634"/>
      <c r="AI1404" s="634"/>
      <c r="AJ1404" s="634"/>
      <c r="AK1404" s="634"/>
      <c r="AL1404" s="1336"/>
      <c r="AM1404" s="1336"/>
      <c r="AN1404" s="1336"/>
      <c r="AO1404" s="1336"/>
      <c r="AP1404" s="1336"/>
      <c r="AQ1404" s="1336"/>
      <c r="AR1404" s="1336"/>
      <c r="AS1404" s="1336"/>
      <c r="AT1404" s="634"/>
      <c r="AU1404" s="634"/>
      <c r="AV1404" s="634"/>
      <c r="AW1404" s="634"/>
      <c r="AX1404" s="634"/>
      <c r="AY1404" s="634"/>
      <c r="AZ1404" s="634"/>
      <c r="BA1404" s="634"/>
      <c r="BB1404" s="634"/>
      <c r="BC1404" s="634"/>
      <c r="BD1404" s="634"/>
      <c r="BE1404" s="634"/>
      <c r="BF1404" s="634"/>
      <c r="BG1404" s="634"/>
      <c r="BH1404" s="634"/>
      <c r="BI1404" s="634"/>
    </row>
    <row r="1405" spans="1:61" x14ac:dyDescent="0.25">
      <c r="A1405" s="2371">
        <v>7</v>
      </c>
      <c r="B1405" s="2385" t="s">
        <v>993</v>
      </c>
      <c r="C1405" s="2374" t="s">
        <v>258</v>
      </c>
      <c r="D1405" s="2374" t="s">
        <v>123</v>
      </c>
      <c r="E1405" s="2374"/>
      <c r="F1405" s="2374"/>
      <c r="G1405" s="2373" t="str">
        <f t="shared" ca="1" si="82"/>
        <v/>
      </c>
      <c r="H1405" s="2375" t="s">
        <v>3971</v>
      </c>
      <c r="I1405" s="4"/>
      <c r="J1405" s="636"/>
      <c r="K1405" s="518" t="s">
        <v>123</v>
      </c>
      <c r="L1405" s="1754" t="s">
        <v>1005</v>
      </c>
      <c r="M1405" s="1014"/>
      <c r="N1405" s="1042"/>
      <c r="O1405" s="1042"/>
      <c r="P1405" s="756"/>
      <c r="Q1405" s="756"/>
      <c r="R1405" s="634"/>
      <c r="S1405" s="634"/>
      <c r="T1405" s="634"/>
      <c r="U1405" s="634"/>
      <c r="V1405" s="634"/>
      <c r="W1405" s="634"/>
      <c r="X1405" s="1757"/>
      <c r="Y1405" s="2081" t="str">
        <f>IF(LEN('Ch7'!X535)=0,"None",'Ch7'!X535)</f>
        <v>None</v>
      </c>
      <c r="Z1405" s="2083"/>
      <c r="AA1405" s="1526"/>
      <c r="AB1405" s="634"/>
      <c r="AC1405" s="970"/>
      <c r="AD1405" s="970"/>
      <c r="AE1405" s="970"/>
      <c r="AF1405" s="634"/>
      <c r="AG1405" s="634"/>
      <c r="AH1405" s="634"/>
      <c r="AI1405" s="634"/>
      <c r="AJ1405" s="634"/>
      <c r="AK1405" s="634"/>
      <c r="AL1405" s="1336"/>
      <c r="AM1405" s="1336"/>
      <c r="AN1405" s="1336"/>
      <c r="AO1405" s="1336"/>
      <c r="AP1405" s="1336"/>
      <c r="AQ1405" s="1336"/>
      <c r="AR1405" s="254" t="str">
        <f>SUBSTITUTE(SUBSTITUTE(SUBSTITUTE("vnt"&amp;$B1405&amp;$C1405&amp;$D1405&amp;$E1405,".","_"),"(","_"),")","")</f>
        <v>vnt703_7_4_2_c</v>
      </c>
      <c r="AS1405" s="254" t="str">
        <f>IF(LEN(X1405)=0,"",X1405)</f>
        <v/>
      </c>
      <c r="AT1405" s="634"/>
      <c r="AU1405" s="634"/>
      <c r="AV1405" s="634"/>
      <c r="AW1405" s="634"/>
      <c r="AX1405" s="634"/>
      <c r="AY1405" s="634"/>
      <c r="AZ1405" s="634"/>
      <c r="BA1405" s="634"/>
      <c r="BB1405" s="634"/>
      <c r="BC1405" s="634"/>
      <c r="BD1405" s="634"/>
      <c r="BE1405" s="634"/>
      <c r="BF1405" s="634"/>
      <c r="BG1405" s="634"/>
      <c r="BH1405" s="634"/>
      <c r="BI1405" s="634"/>
    </row>
    <row r="1406" spans="1:61" x14ac:dyDescent="0.25">
      <c r="A1406" s="2371">
        <v>7</v>
      </c>
      <c r="B1406" s="2385" t="s">
        <v>993</v>
      </c>
      <c r="C1406" s="2374" t="s">
        <v>258</v>
      </c>
      <c r="D1406" s="2374" t="s">
        <v>123</v>
      </c>
      <c r="E1406" s="2374"/>
      <c r="F1406" s="2374"/>
      <c r="G1406" s="2373" t="str">
        <f t="shared" ca="1" si="82"/>
        <v/>
      </c>
      <c r="H1406" s="2371" t="s">
        <v>3971</v>
      </c>
      <c r="I1406" s="4"/>
      <c r="J1406" s="636"/>
      <c r="K1406" s="636"/>
      <c r="L1406" s="1754"/>
      <c r="M1406" s="1014"/>
      <c r="N1406" s="1042"/>
      <c r="O1406" s="1042"/>
      <c r="P1406" s="756"/>
      <c r="Q1406" s="756"/>
      <c r="R1406" s="634"/>
      <c r="S1406" s="634"/>
      <c r="T1406" s="634"/>
      <c r="U1406" s="634"/>
      <c r="V1406" s="634"/>
      <c r="W1406" s="634"/>
      <c r="X1406" s="1757"/>
      <c r="Y1406" s="2081"/>
      <c r="Z1406" s="2083"/>
      <c r="AA1406" s="1526"/>
      <c r="AB1406" s="634"/>
      <c r="AC1406" s="970"/>
      <c r="AD1406" s="970"/>
      <c r="AE1406" s="970"/>
      <c r="AF1406" s="634"/>
      <c r="AG1406" s="634"/>
      <c r="AH1406" s="634"/>
      <c r="AI1406" s="634"/>
      <c r="AJ1406" s="634"/>
      <c r="AK1406" s="634"/>
      <c r="AL1406" s="1336"/>
      <c r="AM1406" s="1336"/>
      <c r="AN1406" s="1336"/>
      <c r="AO1406" s="1336"/>
      <c r="AP1406" s="1336"/>
      <c r="AQ1406" s="1336"/>
      <c r="AR1406" s="1336"/>
      <c r="AS1406" s="1336"/>
      <c r="AT1406" s="634"/>
      <c r="AU1406" s="634"/>
      <c r="AV1406" s="634"/>
      <c r="AW1406" s="634"/>
      <c r="AX1406" s="634"/>
      <c r="AY1406" s="634"/>
      <c r="AZ1406" s="634"/>
      <c r="BA1406" s="634"/>
      <c r="BB1406" s="634"/>
      <c r="BC1406" s="634"/>
      <c r="BD1406" s="634"/>
      <c r="BE1406" s="634"/>
      <c r="BF1406" s="634"/>
      <c r="BG1406" s="634"/>
      <c r="BH1406" s="634"/>
      <c r="BI1406" s="634"/>
    </row>
    <row r="1407" spans="1:61" x14ac:dyDescent="0.25">
      <c r="A1407" s="2371">
        <v>7</v>
      </c>
      <c r="B1407" s="2385" t="s">
        <v>993</v>
      </c>
      <c r="C1407" s="2374" t="s">
        <v>258</v>
      </c>
      <c r="D1407" s="2374" t="s">
        <v>123</v>
      </c>
      <c r="E1407" s="2374"/>
      <c r="F1407" s="2374"/>
      <c r="G1407" s="2373" t="str">
        <f t="shared" ca="1" si="82"/>
        <v/>
      </c>
      <c r="H1407" s="2371" t="s">
        <v>3971</v>
      </c>
      <c r="I1407" s="4"/>
      <c r="J1407" s="637"/>
      <c r="K1407" s="637"/>
      <c r="L1407" s="1755"/>
      <c r="M1407" s="1014"/>
      <c r="N1407" s="1042"/>
      <c r="O1407" s="1042"/>
      <c r="P1407" s="756"/>
      <c r="Q1407" s="756"/>
      <c r="R1407" s="634"/>
      <c r="S1407" s="634"/>
      <c r="T1407" s="634"/>
      <c r="U1407" s="634"/>
      <c r="V1407" s="634"/>
      <c r="W1407" s="634"/>
      <c r="X1407" s="1757"/>
      <c r="Y1407" s="2081"/>
      <c r="Z1407" s="2083"/>
      <c r="AA1407" s="1526"/>
      <c r="AB1407" s="634"/>
      <c r="AC1407" s="970"/>
      <c r="AD1407" s="970"/>
      <c r="AE1407" s="970"/>
      <c r="AF1407" s="634"/>
      <c r="AG1407" s="634"/>
      <c r="AH1407" s="634"/>
      <c r="AI1407" s="634"/>
      <c r="AJ1407" s="634"/>
      <c r="AK1407" s="634"/>
      <c r="AL1407" s="1336"/>
      <c r="AM1407" s="1336"/>
      <c r="AN1407" s="1336"/>
      <c r="AO1407" s="1336"/>
      <c r="AP1407" s="1336"/>
      <c r="AQ1407" s="1336"/>
      <c r="AR1407" s="1336"/>
      <c r="AS1407" s="1336"/>
      <c r="AT1407" s="634"/>
      <c r="AU1407" s="634"/>
      <c r="AV1407" s="634"/>
      <c r="AW1407" s="634"/>
      <c r="AX1407" s="634"/>
      <c r="AY1407" s="634"/>
      <c r="AZ1407" s="634"/>
      <c r="BA1407" s="634"/>
      <c r="BB1407" s="634"/>
      <c r="BC1407" s="634"/>
      <c r="BD1407" s="634"/>
      <c r="BE1407" s="634"/>
      <c r="BF1407" s="634"/>
      <c r="BG1407" s="634"/>
      <c r="BH1407" s="634"/>
      <c r="BI1407" s="634"/>
    </row>
    <row r="1408" spans="1:61" x14ac:dyDescent="0.25">
      <c r="A1408" s="2371">
        <v>7</v>
      </c>
      <c r="B1408" s="2385" t="s">
        <v>993</v>
      </c>
      <c r="C1408" s="2374" t="s">
        <v>260</v>
      </c>
      <c r="D1408" s="2374"/>
      <c r="E1408" s="2374"/>
      <c r="F1408" s="2374"/>
      <c r="G1408" s="2373" t="str">
        <f t="shared" ca="1" si="82"/>
        <v/>
      </c>
      <c r="H1408" s="2371" t="s">
        <v>3971</v>
      </c>
      <c r="I1408" s="4"/>
      <c r="J1408" s="234" t="s">
        <v>260</v>
      </c>
      <c r="K1408" s="639"/>
      <c r="L1408" s="1779" t="s">
        <v>1006</v>
      </c>
      <c r="M1408" s="1014"/>
      <c r="N1408" s="1042"/>
      <c r="O1408" s="1042"/>
      <c r="P1408" s="756"/>
      <c r="Q1408" s="756"/>
      <c r="R1408" s="634"/>
      <c r="S1408" s="634"/>
      <c r="T1408" s="634"/>
      <c r="U1408" s="634"/>
      <c r="V1408" s="634"/>
      <c r="W1408" s="634"/>
      <c r="X1408" s="1757"/>
      <c r="Y1408" s="2081" t="str">
        <f>IF(LEN('Ch7'!X538)=0,"None",'Ch7'!X538)</f>
        <v>None</v>
      </c>
      <c r="Z1408" s="2083"/>
      <c r="AA1408" s="1526"/>
      <c r="AB1408" s="634"/>
      <c r="AC1408" s="970"/>
      <c r="AD1408" s="970"/>
      <c r="AE1408" s="970"/>
      <c r="AF1408" s="634"/>
      <c r="AG1408" s="634"/>
      <c r="AH1408" s="634"/>
      <c r="AI1408" s="634"/>
      <c r="AJ1408" s="634"/>
      <c r="AK1408" s="634"/>
      <c r="AL1408" s="1336"/>
      <c r="AM1408" s="1336"/>
      <c r="AN1408" s="1336"/>
      <c r="AO1408" s="1336"/>
      <c r="AP1408" s="1336"/>
      <c r="AQ1408" s="1336"/>
      <c r="AR1408" s="254" t="str">
        <f>SUBSTITUTE(SUBSTITUTE(SUBSTITUTE("vnt"&amp;$B1408&amp;$C1408&amp;$D1408&amp;$E1408,".","_"),"(","_"),")","")</f>
        <v>vnt703_7_4_3</v>
      </c>
      <c r="AS1408" s="254" t="str">
        <f>IF(LEN(X1408)=0,"",X1408)</f>
        <v/>
      </c>
      <c r="AT1408" s="634"/>
      <c r="AU1408" s="634"/>
      <c r="AV1408" s="634"/>
      <c r="AW1408" s="634"/>
      <c r="AX1408" s="634"/>
      <c r="AY1408" s="634"/>
      <c r="AZ1408" s="634"/>
      <c r="BA1408" s="634"/>
      <c r="BB1408" s="634"/>
      <c r="BC1408" s="634"/>
      <c r="BD1408" s="634"/>
      <c r="BE1408" s="634"/>
      <c r="BF1408" s="634"/>
      <c r="BG1408" s="634"/>
      <c r="BH1408" s="634"/>
      <c r="BI1408" s="634"/>
    </row>
    <row r="1409" spans="1:61" x14ac:dyDescent="0.25">
      <c r="A1409" s="2371">
        <v>7</v>
      </c>
      <c r="B1409" s="2385" t="s">
        <v>993</v>
      </c>
      <c r="C1409" s="2374" t="s">
        <v>260</v>
      </c>
      <c r="D1409" s="2374"/>
      <c r="E1409" s="2374"/>
      <c r="F1409" s="2374"/>
      <c r="G1409" s="2373" t="str">
        <f t="shared" ca="1" si="82"/>
        <v/>
      </c>
      <c r="H1409" s="2371" t="s">
        <v>3971</v>
      </c>
      <c r="I1409" s="4"/>
      <c r="J1409" s="639"/>
      <c r="K1409" s="639"/>
      <c r="L1409" s="1779"/>
      <c r="M1409" s="1014"/>
      <c r="N1409" s="1042"/>
      <c r="O1409" s="1042"/>
      <c r="P1409" s="756"/>
      <c r="Q1409" s="756"/>
      <c r="R1409" s="634"/>
      <c r="S1409" s="634"/>
      <c r="T1409" s="634"/>
      <c r="U1409" s="634"/>
      <c r="V1409" s="634"/>
      <c r="W1409" s="634"/>
      <c r="X1409" s="1757"/>
      <c r="Y1409" s="2081"/>
      <c r="Z1409" s="2083"/>
      <c r="AA1409" s="1526"/>
      <c r="AB1409" s="634"/>
      <c r="AC1409" s="970"/>
      <c r="AD1409" s="970"/>
      <c r="AE1409" s="970"/>
      <c r="AF1409" s="634"/>
      <c r="AG1409" s="634"/>
      <c r="AH1409" s="634"/>
      <c r="AI1409" s="634"/>
      <c r="AJ1409" s="634"/>
      <c r="AK1409" s="634"/>
      <c r="AL1409" s="1336"/>
      <c r="AM1409" s="1336"/>
      <c r="AN1409" s="1336"/>
      <c r="AO1409" s="1336"/>
      <c r="AP1409" s="1336"/>
      <c r="AQ1409" s="1336"/>
      <c r="AR1409" s="1336"/>
      <c r="AS1409" s="1336"/>
      <c r="AT1409" s="634"/>
      <c r="AU1409" s="634"/>
      <c r="AV1409" s="634"/>
      <c r="AW1409" s="634"/>
      <c r="AX1409" s="634"/>
      <c r="AY1409" s="634"/>
      <c r="AZ1409" s="634"/>
      <c r="BA1409" s="634"/>
      <c r="BB1409" s="634"/>
      <c r="BC1409" s="634"/>
      <c r="BD1409" s="634"/>
      <c r="BE1409" s="634"/>
      <c r="BF1409" s="634"/>
      <c r="BG1409" s="634"/>
      <c r="BH1409" s="634"/>
      <c r="BI1409" s="634"/>
    </row>
    <row r="1410" spans="1:61" ht="18.75" x14ac:dyDescent="0.3">
      <c r="A1410" s="2371">
        <v>7</v>
      </c>
      <c r="B1410" s="2385">
        <v>704</v>
      </c>
      <c r="C1410" s="2381"/>
      <c r="D1410" s="2374"/>
      <c r="E1410" s="2374"/>
      <c r="F1410" s="2374"/>
      <c r="G1410" s="2373" t="s">
        <v>3974</v>
      </c>
      <c r="H1410" s="2371" t="s">
        <v>3971</v>
      </c>
      <c r="I1410" s="14" t="s">
        <v>4858</v>
      </c>
      <c r="J1410" s="84"/>
      <c r="K1410" s="84"/>
      <c r="L1410" s="84"/>
      <c r="M1410" s="390"/>
      <c r="N1410" s="1043"/>
      <c r="O1410" s="1043"/>
      <c r="P1410" s="23"/>
      <c r="Q1410" s="23"/>
      <c r="R1410" s="23"/>
      <c r="S1410" s="23"/>
      <c r="T1410" s="23"/>
      <c r="U1410" s="23"/>
      <c r="V1410" s="23"/>
      <c r="W1410" s="23"/>
      <c r="X1410" s="23"/>
      <c r="Y1410" s="23"/>
      <c r="Z1410" s="1586"/>
      <c r="AA1410" s="1526"/>
      <c r="AB1410" s="634"/>
      <c r="AC1410" s="970"/>
      <c r="AD1410" s="970"/>
      <c r="AE1410" s="970"/>
      <c r="AF1410" s="634"/>
      <c r="AG1410" s="634"/>
      <c r="AH1410" s="634"/>
      <c r="AI1410" s="634"/>
      <c r="AJ1410" s="634"/>
      <c r="AK1410" s="634"/>
      <c r="AL1410" s="1336"/>
      <c r="AM1410" s="1336"/>
      <c r="AN1410" s="1336"/>
      <c r="AO1410" s="1336"/>
      <c r="AP1410" s="1336"/>
      <c r="AQ1410" s="1336"/>
      <c r="AR1410" s="1336"/>
      <c r="AS1410" s="1336"/>
      <c r="AT1410" s="634"/>
      <c r="AU1410" s="634"/>
      <c r="AV1410" s="634"/>
      <c r="AW1410" s="634"/>
      <c r="AX1410" s="634"/>
      <c r="AY1410" s="634"/>
      <c r="AZ1410" s="634"/>
      <c r="BA1410" s="634"/>
      <c r="BB1410" s="634"/>
      <c r="BC1410" s="634"/>
      <c r="BD1410" s="634"/>
      <c r="BE1410" s="634"/>
      <c r="BF1410" s="634"/>
      <c r="BG1410" s="634"/>
      <c r="BH1410" s="634"/>
      <c r="BI1410" s="634"/>
    </row>
    <row r="1411" spans="1:61" ht="15" customHeight="1" x14ac:dyDescent="0.25">
      <c r="A1411" s="2371">
        <v>7</v>
      </c>
      <c r="B1411" s="2385">
        <v>704.1</v>
      </c>
      <c r="C1411" s="2381"/>
      <c r="D1411" s="2374"/>
      <c r="E1411" s="2374"/>
      <c r="F1411" s="2374"/>
      <c r="G1411" s="2373" t="str">
        <f>IF(N1411&gt;0,"P","")</f>
        <v/>
      </c>
      <c r="H1411" s="2371" t="s">
        <v>3973</v>
      </c>
      <c r="I1411" s="64">
        <v>704.1</v>
      </c>
      <c r="J1411" s="929"/>
      <c r="K1411" s="929"/>
      <c r="L1411" s="1833" t="s">
        <v>4324</v>
      </c>
      <c r="M1411" s="1010"/>
      <c r="N1411" s="2075">
        <f>'Ch7'!O541</f>
        <v>0</v>
      </c>
      <c r="O1411" s="1780">
        <f>ROUNDDOWN(IFERROR(IF(AND((W1417-W1419)*2+30&gt;=30,NOT(ISBLANK(W1417)),NOT(ISBLANK(W1419))),(W1417-W1419)*2+30,0),0),0)</f>
        <v>0</v>
      </c>
      <c r="P1411" s="756"/>
      <c r="Q1411" s="756"/>
      <c r="R1411" s="634"/>
      <c r="S1411" s="634"/>
      <c r="T1411" s="634"/>
      <c r="U1411" s="634"/>
      <c r="V1411" s="634"/>
      <c r="W1411" s="634"/>
      <c r="X1411" s="1798"/>
      <c r="Y1411" s="2081" t="str">
        <f>IF(LEN('Ch7'!X541)=0,"None",'Ch7'!X541)</f>
        <v>None</v>
      </c>
      <c r="Z1411" s="2083"/>
      <c r="AA1411" s="1526"/>
      <c r="AB1411" s="634"/>
      <c r="AC1411" s="970"/>
      <c r="AD1411" s="970"/>
      <c r="AE1411" s="970"/>
      <c r="AF1411" s="634"/>
      <c r="AG1411" s="634"/>
      <c r="AH1411" s="634"/>
      <c r="AI1411" s="634"/>
      <c r="AJ1411" s="634"/>
      <c r="AK1411" s="634"/>
      <c r="AL1411" s="1336"/>
      <c r="AM1411" s="1336"/>
      <c r="AN1411" s="254" t="str">
        <f>SUBSTITUTE(SUBSTITUTE(SUBSTITUTE("vpc"&amp;$B1411&amp;$C1411&amp;$D1411&amp;$E1411,".","_"),"(","_"),")","")</f>
        <v>vpc704_1</v>
      </c>
      <c r="AO1411" s="254">
        <f>O1411</f>
        <v>0</v>
      </c>
      <c r="AP1411" s="1336"/>
      <c r="AQ1411" s="1336"/>
      <c r="AR1411" s="254" t="str">
        <f>SUBSTITUTE(SUBSTITUTE(SUBSTITUTE("vnt"&amp;$B1411&amp;$C1411&amp;$D1411&amp;$E1411,".","_"),"(","_"),")","")</f>
        <v>vnt704_1</v>
      </c>
      <c r="AS1411" s="254" t="str">
        <f>IF(LEN(X1411)=0,"",X1411)</f>
        <v/>
      </c>
      <c r="AT1411" s="634"/>
      <c r="AU1411" s="634"/>
      <c r="AV1411" s="634"/>
      <c r="AW1411" s="634"/>
      <c r="AX1411" s="634"/>
      <c r="AY1411" s="634"/>
      <c r="AZ1411" s="634"/>
      <c r="BA1411" s="634"/>
      <c r="BB1411" s="634"/>
      <c r="BC1411" s="634"/>
      <c r="BD1411" s="634"/>
      <c r="BE1411" s="634"/>
      <c r="BF1411" s="634"/>
      <c r="BG1411" s="634"/>
      <c r="BH1411" s="634"/>
      <c r="BI1411" s="634"/>
    </row>
    <row r="1412" spans="1:61" s="868" customFormat="1" x14ac:dyDescent="0.25">
      <c r="A1412" s="2371">
        <v>7</v>
      </c>
      <c r="B1412" s="2385">
        <v>704.1</v>
      </c>
      <c r="C1412" s="2381"/>
      <c r="D1412" s="2374"/>
      <c r="E1412" s="2374"/>
      <c r="F1412" s="2374"/>
      <c r="G1412" s="2373" t="str">
        <f t="shared" ref="G1412:G1421" si="83">G1411</f>
        <v/>
      </c>
      <c r="H1412" s="2371" t="s">
        <v>3973</v>
      </c>
      <c r="I1412" s="4"/>
      <c r="J1412" s="929"/>
      <c r="K1412" s="929"/>
      <c r="L1412" s="1833"/>
      <c r="M1412" s="1010"/>
      <c r="N1412" s="2075"/>
      <c r="O1412" s="1780"/>
      <c r="X1412" s="1799"/>
      <c r="Y1412" s="2081"/>
      <c r="Z1412" s="2083"/>
      <c r="AA1412" s="1526"/>
      <c r="AC1412" s="970"/>
      <c r="AD1412" s="970"/>
      <c r="AE1412" s="970"/>
      <c r="AL1412" s="1336"/>
      <c r="AM1412" s="1336"/>
      <c r="AN1412" s="1336"/>
      <c r="AO1412" s="1336"/>
      <c r="AP1412" s="1336"/>
      <c r="AQ1412" s="1336"/>
      <c r="AR1412" s="1336"/>
      <c r="AS1412" s="1336"/>
    </row>
    <row r="1413" spans="1:61" s="868" customFormat="1" x14ac:dyDescent="0.25">
      <c r="A1413" s="2371">
        <v>7</v>
      </c>
      <c r="B1413" s="2385">
        <v>704.1</v>
      </c>
      <c r="C1413" s="2381"/>
      <c r="D1413" s="2374"/>
      <c r="E1413" s="2374"/>
      <c r="F1413" s="2374"/>
      <c r="G1413" s="2373" t="str">
        <f t="shared" si="83"/>
        <v/>
      </c>
      <c r="H1413" s="2371" t="s">
        <v>3973</v>
      </c>
      <c r="I1413" s="4"/>
      <c r="J1413" s="929"/>
      <c r="K1413" s="929"/>
      <c r="L1413" s="1833"/>
      <c r="M1413" s="1010"/>
      <c r="N1413" s="2075"/>
      <c r="O1413" s="1780"/>
      <c r="X1413" s="1799"/>
      <c r="Y1413" s="2081"/>
      <c r="Z1413" s="2083"/>
      <c r="AA1413" s="1526"/>
      <c r="AC1413" s="970"/>
      <c r="AD1413" s="970"/>
      <c r="AE1413" s="970"/>
      <c r="AL1413" s="1336"/>
      <c r="AM1413" s="1336"/>
      <c r="AN1413" s="1336"/>
      <c r="AO1413" s="1336"/>
      <c r="AP1413" s="1336"/>
      <c r="AQ1413" s="1336"/>
      <c r="AR1413" s="1336"/>
      <c r="AS1413" s="1336"/>
    </row>
    <row r="1414" spans="1:61" x14ac:dyDescent="0.25">
      <c r="A1414" s="2371">
        <v>7</v>
      </c>
      <c r="B1414" s="2385">
        <v>704.1</v>
      </c>
      <c r="C1414" s="2381"/>
      <c r="D1414" s="2374"/>
      <c r="E1414" s="2374"/>
      <c r="F1414" s="2374"/>
      <c r="G1414" s="2373" t="str">
        <f t="shared" si="83"/>
        <v/>
      </c>
      <c r="H1414" s="2371" t="s">
        <v>3973</v>
      </c>
      <c r="I1414" s="4"/>
      <c r="J1414" s="929"/>
      <c r="K1414" s="929"/>
      <c r="L1414" s="1833"/>
      <c r="M1414" s="1010"/>
      <c r="N1414" s="2075"/>
      <c r="O1414" s="1780"/>
      <c r="P1414" s="756"/>
      <c r="Q1414" s="756"/>
      <c r="R1414" s="634"/>
      <c r="S1414" s="634"/>
      <c r="T1414" s="634"/>
      <c r="U1414" s="634"/>
      <c r="V1414" s="634"/>
      <c r="W1414" s="634"/>
      <c r="X1414" s="1799"/>
      <c r="Y1414" s="2081"/>
      <c r="Z1414" s="2083"/>
      <c r="AA1414" s="1526"/>
      <c r="AB1414" s="634"/>
      <c r="AC1414" s="970"/>
      <c r="AD1414" s="970"/>
      <c r="AE1414" s="970"/>
      <c r="AF1414" s="634"/>
      <c r="AG1414" s="634"/>
      <c r="AH1414" s="634"/>
      <c r="AI1414" s="634"/>
      <c r="AJ1414" s="634"/>
      <c r="AK1414" s="634"/>
      <c r="AL1414" s="1336"/>
      <c r="AM1414" s="1336"/>
      <c r="AN1414" s="1336"/>
      <c r="AO1414" s="1336"/>
      <c r="AP1414" s="1336"/>
      <c r="AQ1414" s="1336"/>
      <c r="AR1414" s="1336"/>
      <c r="AS1414" s="1336"/>
      <c r="AT1414" s="634"/>
      <c r="AU1414" s="634"/>
      <c r="AV1414" s="634"/>
      <c r="AW1414" s="634"/>
      <c r="AX1414" s="634"/>
      <c r="AY1414" s="634"/>
      <c r="AZ1414" s="634"/>
      <c r="BA1414" s="634"/>
      <c r="BB1414" s="634"/>
      <c r="BC1414" s="634"/>
      <c r="BD1414" s="634"/>
      <c r="BE1414" s="634"/>
      <c r="BF1414" s="634"/>
      <c r="BG1414" s="634"/>
      <c r="BH1414" s="634"/>
      <c r="BI1414" s="634"/>
    </row>
    <row r="1415" spans="1:61" ht="15" customHeight="1" x14ac:dyDescent="0.25">
      <c r="A1415" s="2371">
        <v>7</v>
      </c>
      <c r="B1415" s="2385">
        <v>704.1</v>
      </c>
      <c r="C1415" s="2381"/>
      <c r="D1415" s="2374"/>
      <c r="E1415" s="2374"/>
      <c r="F1415" s="2374"/>
      <c r="G1415" s="2373" t="str">
        <f t="shared" si="83"/>
        <v/>
      </c>
      <c r="H1415" s="2371" t="s">
        <v>3973</v>
      </c>
      <c r="I1415" s="4"/>
      <c r="J1415" s="929"/>
      <c r="K1415" s="929"/>
      <c r="L1415" s="1787" t="s">
        <v>4325</v>
      </c>
      <c r="M1415" s="1010"/>
      <c r="N1415" s="2075"/>
      <c r="O1415" s="1780"/>
      <c r="P1415" s="756"/>
      <c r="Q1415" s="756"/>
      <c r="R1415" s="634"/>
      <c r="S1415" s="634"/>
      <c r="T1415" s="634"/>
      <c r="U1415" s="634"/>
      <c r="V1415" s="634"/>
      <c r="W1415" s="1408"/>
      <c r="X1415" s="1799"/>
      <c r="Y1415" s="2081"/>
      <c r="Z1415" s="2083"/>
      <c r="AA1415" s="1526"/>
      <c r="AB1415" s="634"/>
      <c r="AC1415" s="970"/>
      <c r="AD1415" s="970"/>
      <c r="AE1415" s="970"/>
      <c r="AF1415" s="634"/>
      <c r="AG1415" s="634"/>
      <c r="AH1415" s="634"/>
      <c r="AI1415" s="634"/>
      <c r="AJ1415" s="634"/>
      <c r="AK1415" s="634"/>
      <c r="AL1415" s="1336"/>
      <c r="AM1415" s="1336"/>
      <c r="AN1415" s="1336"/>
      <c r="AO1415" s="1336"/>
      <c r="AP1415" s="1336"/>
      <c r="AQ1415" s="1336"/>
      <c r="AR1415" s="1336"/>
      <c r="AS1415" s="1336"/>
      <c r="AT1415" s="634"/>
      <c r="AU1415" s="634"/>
      <c r="AV1415" s="634"/>
      <c r="AW1415" s="634"/>
      <c r="AX1415" s="634"/>
      <c r="AY1415" s="634"/>
      <c r="AZ1415" s="634"/>
      <c r="BA1415" s="634"/>
      <c r="BB1415" s="634"/>
      <c r="BC1415" s="634"/>
      <c r="BD1415" s="634"/>
      <c r="BE1415" s="634"/>
      <c r="BF1415" s="634"/>
      <c r="BG1415" s="634"/>
      <c r="BH1415" s="634"/>
      <c r="BI1415" s="634"/>
    </row>
    <row r="1416" spans="1:61" x14ac:dyDescent="0.25">
      <c r="A1416" s="2371">
        <v>7</v>
      </c>
      <c r="B1416" s="2385">
        <v>704.1</v>
      </c>
      <c r="C1416" s="2381"/>
      <c r="D1416" s="2374"/>
      <c r="E1416" s="2374"/>
      <c r="F1416" s="2374"/>
      <c r="G1416" s="2373" t="str">
        <f t="shared" si="83"/>
        <v/>
      </c>
      <c r="H1416" s="2371" t="s">
        <v>3973</v>
      </c>
      <c r="I1416" s="210"/>
      <c r="J1416" s="913"/>
      <c r="K1416" s="913"/>
      <c r="L1416" s="1786"/>
      <c r="M1416" s="1010"/>
      <c r="N1416" s="2075"/>
      <c r="O1416" s="1780"/>
      <c r="P1416" s="756"/>
      <c r="Q1416" s="756"/>
      <c r="R1416" s="634"/>
      <c r="S1416" s="634"/>
      <c r="T1416" s="634"/>
      <c r="U1416" s="634"/>
      <c r="V1416" s="634"/>
      <c r="W1416" s="1409" t="s">
        <v>5237</v>
      </c>
      <c r="X1416" s="1799"/>
      <c r="Y1416" s="2081"/>
      <c r="Z1416" s="2083"/>
      <c r="AA1416" s="1526"/>
      <c r="AB1416" s="634"/>
      <c r="AC1416" s="970"/>
      <c r="AD1416" s="970"/>
      <c r="AE1416" s="970"/>
      <c r="AF1416" s="634"/>
      <c r="AG1416" s="634"/>
      <c r="AH1416" s="634"/>
      <c r="AI1416" s="634"/>
      <c r="AJ1416" s="634"/>
      <c r="AK1416" s="634"/>
      <c r="AL1416" s="1336"/>
      <c r="AM1416" s="1336"/>
      <c r="AN1416" s="1336"/>
      <c r="AO1416" s="1336"/>
      <c r="AP1416" s="1336"/>
      <c r="AQ1416" s="1336"/>
      <c r="AR1416" s="1336"/>
      <c r="AS1416" s="1336"/>
      <c r="AT1416" s="634"/>
      <c r="AU1416" s="634"/>
      <c r="AV1416" s="634"/>
      <c r="AW1416" s="634"/>
      <c r="AX1416" s="634"/>
      <c r="AY1416" s="634"/>
      <c r="AZ1416" s="634"/>
      <c r="BA1416" s="634"/>
      <c r="BB1416" s="634"/>
      <c r="BC1416" s="634"/>
      <c r="BD1416" s="634"/>
      <c r="BE1416" s="634"/>
      <c r="BF1416" s="634"/>
      <c r="BG1416" s="634"/>
      <c r="BH1416" s="634"/>
      <c r="BI1416" s="634"/>
    </row>
    <row r="1417" spans="1:61" ht="15" customHeight="1" x14ac:dyDescent="0.25">
      <c r="A1417" s="2371">
        <v>7</v>
      </c>
      <c r="B1417" s="2385">
        <v>704.2</v>
      </c>
      <c r="C1417" s="2381" t="s">
        <v>4860</v>
      </c>
      <c r="D1417" s="2374"/>
      <c r="E1417" s="2374"/>
      <c r="F1417" s="2374"/>
      <c r="G1417" s="2373" t="str">
        <f t="shared" si="83"/>
        <v/>
      </c>
      <c r="H1417" s="2371" t="s">
        <v>3973</v>
      </c>
      <c r="I1417" s="64">
        <v>704.2</v>
      </c>
      <c r="J1417" s="929"/>
      <c r="K1417" s="929"/>
      <c r="L1417" s="1833" t="s">
        <v>4326</v>
      </c>
      <c r="M1417" s="1010"/>
      <c r="N1417" s="2075"/>
      <c r="O1417" s="1780"/>
      <c r="P1417" s="94" t="b">
        <v>0</v>
      </c>
      <c r="Q1417" s="94" t="b">
        <v>1</v>
      </c>
      <c r="R1417" s="634" t="b">
        <f ca="1">S1417</f>
        <v>0</v>
      </c>
      <c r="S1417" s="634" t="b">
        <f ca="1">(S883=3)</f>
        <v>0</v>
      </c>
      <c r="T1417" s="94" t="b">
        <f ca="1">AND(NOT(S1417),LEN(W1417)&gt;0)</f>
        <v>0</v>
      </c>
      <c r="U1417" s="634"/>
      <c r="V1417" s="634"/>
      <c r="W1417" s="513"/>
      <c r="X1417" s="1799"/>
      <c r="Y1417" s="2081"/>
      <c r="Z1417" s="2083"/>
      <c r="AA1417" s="1526"/>
      <c r="AB1417" s="634"/>
      <c r="AC1417" s="970" t="b">
        <f ca="1">OR(AD1417:AE1417)</f>
        <v>0</v>
      </c>
      <c r="AD1417" s="970" t="b">
        <f ca="1">T1417</f>
        <v>0</v>
      </c>
      <c r="AE1417" s="970" t="b">
        <f ca="1">AND(R1417,OR(W1417="Not Met",W1417=""))</f>
        <v>0</v>
      </c>
      <c r="AF1417" s="784"/>
      <c r="AG1417" s="634"/>
      <c r="AH1417" s="634"/>
      <c r="AI1417" s="634"/>
      <c r="AJ1417" s="634"/>
      <c r="AK1417" s="634"/>
      <c r="AL1417" s="1336"/>
      <c r="AM1417" s="1336"/>
      <c r="AN1417" s="1336"/>
      <c r="AO1417" s="1336"/>
      <c r="AP1417" s="254" t="str">
        <f>SUBSTITUTE(SUBSTITUTE(SUBSTITUTE("vch"&amp;$B1417&amp;$C1417&amp;$D1417&amp;$E1417,".","_"),"(","_"),")","")</f>
        <v>vch704_2_1</v>
      </c>
      <c r="AQ1417" s="254" t="str">
        <f>IF(LEN(W1417)=0,"",W1417)</f>
        <v/>
      </c>
      <c r="AR1417" s="1336"/>
      <c r="AS1417" s="1336"/>
      <c r="AT1417" s="634"/>
      <c r="AU1417" s="634"/>
      <c r="AV1417" s="634"/>
      <c r="AW1417" s="634"/>
      <c r="AX1417" s="634"/>
      <c r="AY1417" s="634"/>
      <c r="AZ1417" s="634"/>
      <c r="BA1417" s="634"/>
      <c r="BB1417" s="634"/>
      <c r="BC1417" s="634"/>
      <c r="BD1417" s="634"/>
      <c r="BE1417" s="634"/>
      <c r="BF1417" s="634"/>
      <c r="BG1417" s="634"/>
      <c r="BH1417" s="634"/>
      <c r="BI1417" s="634"/>
    </row>
    <row r="1418" spans="1:61" x14ac:dyDescent="0.25">
      <c r="A1418" s="2371">
        <v>7</v>
      </c>
      <c r="B1418" s="2385">
        <v>704.2</v>
      </c>
      <c r="C1418" s="2381"/>
      <c r="D1418" s="2374"/>
      <c r="E1418" s="2374"/>
      <c r="F1418" s="2374"/>
      <c r="G1418" s="2373" t="str">
        <f t="shared" si="83"/>
        <v/>
      </c>
      <c r="H1418" s="2371" t="s">
        <v>3973</v>
      </c>
      <c r="I1418" s="4"/>
      <c r="J1418" s="929"/>
      <c r="K1418" s="929"/>
      <c r="L1418" s="1833"/>
      <c r="M1418" s="1014"/>
      <c r="N1418" s="2075"/>
      <c r="O1418" s="1780"/>
      <c r="P1418" s="756"/>
      <c r="Q1418" s="756"/>
      <c r="R1418" s="634"/>
      <c r="S1418" s="634"/>
      <c r="T1418" s="634"/>
      <c r="U1418" s="634"/>
      <c r="V1418" s="634"/>
      <c r="W1418" s="1410" t="s">
        <v>5238</v>
      </c>
      <c r="X1418" s="1799"/>
      <c r="Y1418" s="2081"/>
      <c r="Z1418" s="2083"/>
      <c r="AA1418" s="1526"/>
      <c r="AB1418" s="634"/>
      <c r="AC1418" s="970"/>
      <c r="AD1418" s="970"/>
      <c r="AE1418" s="970"/>
      <c r="AF1418" s="634"/>
      <c r="AG1418" s="634"/>
      <c r="AH1418" s="634"/>
      <c r="AI1418" s="634"/>
      <c r="AJ1418" s="634"/>
      <c r="AK1418" s="634"/>
      <c r="AL1418" s="1336"/>
      <c r="AM1418" s="1336"/>
      <c r="AN1418" s="1336"/>
      <c r="AO1418" s="1336"/>
      <c r="AP1418" s="254"/>
      <c r="AQ1418" s="254"/>
      <c r="AR1418" s="1336"/>
      <c r="AS1418" s="1336"/>
      <c r="AT1418" s="634"/>
      <c r="AU1418" s="634"/>
      <c r="AV1418" s="634"/>
      <c r="AW1418" s="634"/>
      <c r="AX1418" s="634"/>
      <c r="AY1418" s="634"/>
      <c r="AZ1418" s="634"/>
      <c r="BA1418" s="634"/>
      <c r="BB1418" s="634"/>
      <c r="BC1418" s="634"/>
      <c r="BD1418" s="634"/>
      <c r="BE1418" s="634"/>
      <c r="BF1418" s="634"/>
      <c r="BG1418" s="634"/>
      <c r="BH1418" s="634"/>
      <c r="BI1418" s="634"/>
    </row>
    <row r="1419" spans="1:61" x14ac:dyDescent="0.25">
      <c r="A1419" s="2371">
        <v>7</v>
      </c>
      <c r="B1419" s="2385">
        <v>704.2</v>
      </c>
      <c r="C1419" s="2381" t="s">
        <v>4861</v>
      </c>
      <c r="D1419" s="2374"/>
      <c r="E1419" s="2374"/>
      <c r="F1419" s="2374"/>
      <c r="G1419" s="2373" t="str">
        <f t="shared" si="83"/>
        <v/>
      </c>
      <c r="H1419" s="2371" t="s">
        <v>3973</v>
      </c>
      <c r="I1419" s="4"/>
      <c r="J1419" s="929"/>
      <c r="K1419" s="929"/>
      <c r="L1419" s="1833"/>
      <c r="M1419" s="1014"/>
      <c r="N1419" s="2075"/>
      <c r="O1419" s="1780"/>
      <c r="P1419" s="94" t="b">
        <v>0</v>
      </c>
      <c r="Q1419" s="94" t="b">
        <v>1</v>
      </c>
      <c r="R1419" s="1411" t="b">
        <f ca="1">S1419</f>
        <v>0</v>
      </c>
      <c r="S1419" s="1411" t="b">
        <f ca="1">(S883=3)</f>
        <v>0</v>
      </c>
      <c r="T1419" s="94" t="b">
        <f ca="1">AND(NOT(S1419),LEN(W1419)&gt;0)</f>
        <v>0</v>
      </c>
      <c r="U1419" s="634"/>
      <c r="V1419" s="634"/>
      <c r="W1419" s="513"/>
      <c r="X1419" s="1799"/>
      <c r="Y1419" s="2081"/>
      <c r="Z1419" s="2083"/>
      <c r="AA1419" s="1526"/>
      <c r="AB1419" s="634"/>
      <c r="AC1419" s="1411" t="b">
        <f ca="1">OR(AD1419:AE1419)</f>
        <v>0</v>
      </c>
      <c r="AD1419" s="1411" t="b">
        <f ca="1">T1419</f>
        <v>0</v>
      </c>
      <c r="AE1419" s="1411" t="b">
        <f ca="1">AND(R1419,OR(W1419="Not Met",W1419=""))</f>
        <v>0</v>
      </c>
      <c r="AF1419" s="634"/>
      <c r="AG1419" s="634"/>
      <c r="AH1419" s="634"/>
      <c r="AI1419" s="634"/>
      <c r="AJ1419" s="634"/>
      <c r="AK1419" s="634"/>
      <c r="AL1419" s="1336"/>
      <c r="AM1419" s="1336"/>
      <c r="AN1419" s="1336"/>
      <c r="AO1419" s="1336"/>
      <c r="AP1419" s="254" t="str">
        <f>SUBSTITUTE(SUBSTITUTE(SUBSTITUTE("vch"&amp;$B1419&amp;$C1419&amp;$D1419&amp;$E1419,".","_"),"(","_"),")","")</f>
        <v>vch704_2_2</v>
      </c>
      <c r="AQ1419" s="254" t="str">
        <f>IF(LEN(W1419)=0,"",W1419)</f>
        <v/>
      </c>
      <c r="AR1419" s="1336"/>
      <c r="AS1419" s="1336"/>
      <c r="AT1419" s="634"/>
      <c r="AU1419" s="634"/>
      <c r="AV1419" s="634"/>
      <c r="AW1419" s="634"/>
      <c r="AX1419" s="634"/>
      <c r="AY1419" s="634"/>
      <c r="AZ1419" s="634"/>
      <c r="BA1419" s="634"/>
      <c r="BB1419" s="634"/>
      <c r="BC1419" s="634"/>
      <c r="BD1419" s="634"/>
      <c r="BE1419" s="634"/>
      <c r="BF1419" s="634"/>
      <c r="BG1419" s="634"/>
      <c r="BH1419" s="634"/>
      <c r="BI1419" s="634"/>
    </row>
    <row r="1420" spans="1:61" s="868" customFormat="1" x14ac:dyDescent="0.25">
      <c r="A1420" s="2371">
        <v>7</v>
      </c>
      <c r="B1420" s="2385">
        <v>704.2</v>
      </c>
      <c r="C1420" s="2381"/>
      <c r="D1420" s="2374"/>
      <c r="E1420" s="2374"/>
      <c r="F1420" s="2374"/>
      <c r="G1420" s="2373" t="str">
        <f t="shared" si="83"/>
        <v/>
      </c>
      <c r="H1420" s="2371" t="s">
        <v>3973</v>
      </c>
      <c r="I1420" s="4"/>
      <c r="J1420" s="929"/>
      <c r="K1420" s="929"/>
      <c r="L1420" s="1833" t="s">
        <v>4327</v>
      </c>
      <c r="M1420" s="1014"/>
      <c r="N1420" s="2075"/>
      <c r="O1420" s="1780"/>
      <c r="X1420" s="1799"/>
      <c r="Y1420" s="2081"/>
      <c r="Z1420" s="2083"/>
      <c r="AA1420" s="1526"/>
      <c r="AC1420" s="970"/>
      <c r="AD1420" s="970"/>
      <c r="AE1420" s="970"/>
      <c r="AL1420" s="1336"/>
      <c r="AM1420" s="1336"/>
      <c r="AN1420" s="1336"/>
      <c r="AO1420" s="1336"/>
      <c r="AP1420" s="1336"/>
      <c r="AQ1420" s="1336"/>
      <c r="AR1420" s="1336"/>
      <c r="AS1420" s="1336"/>
    </row>
    <row r="1421" spans="1:61" x14ac:dyDescent="0.25">
      <c r="A1421" s="2371">
        <v>7</v>
      </c>
      <c r="B1421" s="2385">
        <v>704.2</v>
      </c>
      <c r="C1421" s="2381"/>
      <c r="D1421" s="2374"/>
      <c r="E1421" s="2374"/>
      <c r="F1421" s="2374"/>
      <c r="G1421" s="2373" t="str">
        <f t="shared" si="83"/>
        <v/>
      </c>
      <c r="H1421" s="2371" t="s">
        <v>3973</v>
      </c>
      <c r="I1421" s="4"/>
      <c r="J1421" s="929"/>
      <c r="K1421" s="929"/>
      <c r="L1421" s="1833"/>
      <c r="M1421" s="1014"/>
      <c r="N1421" s="2075"/>
      <c r="O1421" s="1780"/>
      <c r="P1421" s="756"/>
      <c r="Q1421" s="756"/>
      <c r="R1421" s="634"/>
      <c r="S1421" s="634"/>
      <c r="T1421" s="634"/>
      <c r="U1421" s="634"/>
      <c r="V1421" s="634"/>
      <c r="W1421" s="634"/>
      <c r="X1421" s="1756"/>
      <c r="Y1421" s="2081"/>
      <c r="Z1421" s="2083"/>
      <c r="AA1421" s="1526"/>
      <c r="AB1421" s="634"/>
      <c r="AC1421" s="970"/>
      <c r="AD1421" s="970"/>
      <c r="AE1421" s="970"/>
      <c r="AF1421" s="634"/>
      <c r="AG1421" s="634"/>
      <c r="AH1421" s="634"/>
      <c r="AI1421" s="634"/>
      <c r="AJ1421" s="634"/>
      <c r="AK1421" s="634"/>
      <c r="AL1421" s="1336"/>
      <c r="AM1421" s="1336"/>
      <c r="AN1421" s="1336"/>
      <c r="AO1421" s="1336"/>
      <c r="AP1421" s="1336"/>
      <c r="AQ1421" s="1336"/>
      <c r="AR1421" s="1336"/>
      <c r="AS1421" s="1336"/>
      <c r="AT1421" s="634"/>
      <c r="AU1421" s="634"/>
      <c r="AV1421" s="634"/>
      <c r="AW1421" s="634"/>
      <c r="AX1421" s="634"/>
      <c r="AY1421" s="634"/>
      <c r="AZ1421" s="634"/>
      <c r="BA1421" s="634"/>
      <c r="BB1421" s="634"/>
      <c r="BC1421" s="634"/>
      <c r="BD1421" s="634"/>
      <c r="BE1421" s="634"/>
      <c r="BF1421" s="634"/>
      <c r="BG1421" s="634"/>
      <c r="BH1421" s="634"/>
      <c r="BI1421" s="634"/>
    </row>
    <row r="1422" spans="1:61" ht="18.75" x14ac:dyDescent="0.3">
      <c r="A1422" s="2371">
        <v>7</v>
      </c>
      <c r="B1422" s="2385">
        <v>705</v>
      </c>
      <c r="C1422" s="2381"/>
      <c r="D1422" s="2374"/>
      <c r="E1422" s="2374"/>
      <c r="F1422" s="2374"/>
      <c r="G1422" s="2373" t="s">
        <v>3974</v>
      </c>
      <c r="H1422" s="2371" t="s">
        <v>3971</v>
      </c>
      <c r="I1422" s="14" t="s">
        <v>1007</v>
      </c>
      <c r="J1422" s="84"/>
      <c r="K1422" s="84"/>
      <c r="L1422" s="84"/>
      <c r="M1422" s="390"/>
      <c r="N1422" s="1043"/>
      <c r="O1422" s="1043"/>
      <c r="P1422" s="23"/>
      <c r="Q1422" s="23"/>
      <c r="R1422" s="23"/>
      <c r="S1422" s="23"/>
      <c r="T1422" s="23"/>
      <c r="U1422" s="23"/>
      <c r="V1422" s="23"/>
      <c r="W1422" s="23"/>
      <c r="X1422" s="23"/>
      <c r="Y1422" s="23"/>
      <c r="Z1422" s="1586"/>
      <c r="AA1422" s="1526"/>
      <c r="AB1422" s="634"/>
      <c r="AC1422" s="970"/>
      <c r="AD1422" s="970"/>
      <c r="AE1422" s="970"/>
      <c r="AF1422" s="634"/>
      <c r="AG1422" s="634"/>
      <c r="AH1422" s="634"/>
      <c r="AI1422" s="634"/>
      <c r="AJ1422" s="634"/>
      <c r="AK1422" s="634"/>
      <c r="AL1422" s="1336"/>
      <c r="AM1422" s="1336"/>
      <c r="AN1422" s="1336"/>
      <c r="AO1422" s="1336"/>
      <c r="AP1422" s="1336"/>
      <c r="AQ1422" s="1336"/>
      <c r="AR1422" s="1336"/>
      <c r="AS1422" s="1336"/>
      <c r="AT1422" s="634"/>
      <c r="AU1422" s="634"/>
      <c r="AV1422" s="634"/>
      <c r="AW1422" s="634"/>
      <c r="AX1422" s="634"/>
      <c r="AY1422" s="634"/>
      <c r="AZ1422" s="634"/>
      <c r="BA1422" s="634"/>
      <c r="BB1422" s="634"/>
      <c r="BC1422" s="634"/>
      <c r="BD1422" s="634"/>
      <c r="BE1422" s="634"/>
      <c r="BF1422" s="634"/>
      <c r="BG1422" s="634"/>
      <c r="BH1422" s="634"/>
      <c r="BI1422" s="634"/>
    </row>
    <row r="1423" spans="1:61" x14ac:dyDescent="0.25">
      <c r="A1423" s="2371">
        <v>7</v>
      </c>
      <c r="B1423" s="2385">
        <v>705.2</v>
      </c>
      <c r="C1423" s="2381"/>
      <c r="D1423" s="2374"/>
      <c r="E1423" s="2374"/>
      <c r="F1423" s="2374"/>
      <c r="G1423" s="2363" t="str">
        <f ca="1">IF(COUNTIF(G1427:G1453,"P")&gt;0,"P","")</f>
        <v/>
      </c>
      <c r="H1423" s="2371" t="s">
        <v>3971</v>
      </c>
      <c r="I1423" s="64">
        <v>705.2</v>
      </c>
      <c r="J1423" s="639"/>
      <c r="K1423" s="639"/>
      <c r="L1423" s="1180" t="s">
        <v>1008</v>
      </c>
      <c r="M1423" s="1014"/>
      <c r="N1423" s="1042"/>
      <c r="O1423" s="1042"/>
      <c r="P1423" s="756"/>
      <c r="Q1423" s="756"/>
      <c r="R1423" s="634"/>
      <c r="S1423" s="634"/>
      <c r="T1423" s="634"/>
      <c r="U1423" s="634"/>
      <c r="V1423" s="634"/>
      <c r="W1423" s="634"/>
      <c r="X1423" s="911"/>
      <c r="Y1423" s="634"/>
      <c r="AA1423" s="1526"/>
      <c r="AB1423" s="634"/>
      <c r="AC1423" s="970"/>
      <c r="AD1423" s="970"/>
      <c r="AE1423" s="970"/>
      <c r="AF1423" s="634"/>
      <c r="AG1423" s="634"/>
      <c r="AH1423" s="634"/>
      <c r="AI1423" s="634"/>
      <c r="AJ1423" s="634"/>
      <c r="AK1423" s="634"/>
      <c r="AL1423" s="1336"/>
      <c r="AM1423" s="1336"/>
      <c r="AN1423" s="1336"/>
      <c r="AO1423" s="1336"/>
      <c r="AP1423" s="1336"/>
      <c r="AQ1423" s="1336"/>
      <c r="AR1423" s="1336"/>
      <c r="AS1423" s="1336"/>
      <c r="AT1423" s="634"/>
      <c r="AU1423" s="634"/>
      <c r="AV1423" s="634"/>
      <c r="AW1423" s="634"/>
      <c r="AX1423" s="634"/>
      <c r="AY1423" s="634"/>
      <c r="AZ1423" s="634"/>
      <c r="BA1423" s="634"/>
      <c r="BB1423" s="634"/>
      <c r="BC1423" s="634"/>
      <c r="BD1423" s="634"/>
      <c r="BE1423" s="634"/>
      <c r="BF1423" s="634"/>
      <c r="BG1423" s="634"/>
      <c r="BH1423" s="634"/>
      <c r="BI1423" s="634"/>
    </row>
    <row r="1424" spans="1:61" x14ac:dyDescent="0.25">
      <c r="A1424" s="2371">
        <v>7</v>
      </c>
      <c r="B1424" s="2385" t="s">
        <v>1009</v>
      </c>
      <c r="C1424" s="2381"/>
      <c r="D1424" s="2374"/>
      <c r="E1424" s="2374"/>
      <c r="F1424" s="2374"/>
      <c r="G1424" s="2363" t="str">
        <f ca="1">IF(COUNTIF(G1427:G1443,"P")&gt;0,"P","")</f>
        <v/>
      </c>
      <c r="H1424" s="2371" t="s">
        <v>3973</v>
      </c>
      <c r="I1424" s="66" t="s">
        <v>1009</v>
      </c>
      <c r="J1424" s="639"/>
      <c r="K1424" s="639"/>
      <c r="L1424" s="1180" t="s">
        <v>1010</v>
      </c>
      <c r="M1424" s="1014"/>
      <c r="N1424" s="1042"/>
      <c r="O1424" s="1042"/>
      <c r="P1424" s="756"/>
      <c r="Q1424" s="756"/>
      <c r="R1424" s="634"/>
      <c r="S1424" s="634"/>
      <c r="T1424" s="634"/>
      <c r="U1424" s="634"/>
      <c r="V1424" s="634"/>
      <c r="W1424" s="634"/>
      <c r="X1424" s="911"/>
      <c r="Y1424" s="634"/>
      <c r="AA1424" s="1526"/>
      <c r="AB1424" s="634"/>
      <c r="AC1424" s="970"/>
      <c r="AD1424" s="970"/>
      <c r="AE1424" s="970"/>
      <c r="AF1424" s="634"/>
      <c r="AG1424" s="634"/>
      <c r="AH1424" s="634"/>
      <c r="AI1424" s="634"/>
      <c r="AJ1424" s="634"/>
      <c r="AK1424" s="634"/>
      <c r="AL1424" s="1336"/>
      <c r="AM1424" s="1336"/>
      <c r="AN1424" s="1336"/>
      <c r="AO1424" s="1336"/>
      <c r="AP1424" s="1336"/>
      <c r="AQ1424" s="1336"/>
      <c r="AR1424" s="1336"/>
      <c r="AS1424" s="1336"/>
      <c r="AT1424" s="634"/>
      <c r="AU1424" s="634"/>
      <c r="AV1424" s="634"/>
      <c r="AW1424" s="634"/>
      <c r="AX1424" s="634"/>
      <c r="AY1424" s="634"/>
      <c r="AZ1424" s="634"/>
      <c r="BA1424" s="634"/>
      <c r="BB1424" s="634"/>
      <c r="BC1424" s="634"/>
      <c r="BD1424" s="634"/>
      <c r="BE1424" s="634"/>
      <c r="BF1424" s="634"/>
      <c r="BG1424" s="634"/>
      <c r="BH1424" s="634"/>
      <c r="BI1424" s="634"/>
    </row>
    <row r="1425" spans="1:61" x14ac:dyDescent="0.25">
      <c r="A1425" s="2371">
        <v>7</v>
      </c>
      <c r="B1425" s="2385" t="s">
        <v>1009</v>
      </c>
      <c r="C1425" s="2381"/>
      <c r="D1425" s="2374"/>
      <c r="E1425" s="2374"/>
      <c r="F1425" s="2374"/>
      <c r="G1425" s="2373" t="str">
        <f ca="1">G1424</f>
        <v/>
      </c>
      <c r="H1425" s="2371" t="s">
        <v>3973</v>
      </c>
      <c r="I1425" s="66"/>
      <c r="J1425" s="639"/>
      <c r="K1425" s="639"/>
      <c r="L1425" s="1904" t="s">
        <v>1011</v>
      </c>
      <c r="M1425" s="1014"/>
      <c r="N1425" s="1042"/>
      <c r="O1425" s="1042"/>
      <c r="P1425" s="756"/>
      <c r="Q1425" s="756"/>
      <c r="R1425" s="634"/>
      <c r="S1425" s="634"/>
      <c r="T1425" s="634"/>
      <c r="U1425" s="634"/>
      <c r="V1425" s="634"/>
      <c r="W1425" s="634"/>
      <c r="X1425" s="911"/>
      <c r="Y1425" s="634"/>
      <c r="AA1425" s="1526"/>
      <c r="AB1425" s="634"/>
      <c r="AC1425" s="970"/>
      <c r="AD1425" s="970"/>
      <c r="AE1425" s="970"/>
      <c r="AF1425" s="634"/>
      <c r="AG1425" s="634"/>
      <c r="AH1425" s="634"/>
      <c r="AI1425" s="634"/>
      <c r="AJ1425" s="634"/>
      <c r="AK1425" s="634"/>
      <c r="AL1425" s="1336"/>
      <c r="AM1425" s="1336"/>
      <c r="AN1425" s="1336"/>
      <c r="AO1425" s="1336"/>
      <c r="AP1425" s="1336"/>
      <c r="AQ1425" s="1336"/>
      <c r="AR1425" s="1336"/>
      <c r="AS1425" s="1336"/>
      <c r="AT1425" s="634"/>
      <c r="AU1425" s="634"/>
      <c r="AV1425" s="634"/>
      <c r="AW1425" s="634"/>
      <c r="AX1425" s="634"/>
      <c r="AY1425" s="634"/>
      <c r="AZ1425" s="634"/>
      <c r="BA1425" s="634"/>
      <c r="BB1425" s="634"/>
      <c r="BC1425" s="634"/>
      <c r="BD1425" s="634"/>
      <c r="BE1425" s="634"/>
      <c r="BF1425" s="634"/>
      <c r="BG1425" s="634"/>
      <c r="BH1425" s="634"/>
      <c r="BI1425" s="634"/>
    </row>
    <row r="1426" spans="1:61" x14ac:dyDescent="0.25">
      <c r="A1426" s="2371">
        <v>7</v>
      </c>
      <c r="B1426" s="2385" t="s">
        <v>1009</v>
      </c>
      <c r="C1426" s="2381"/>
      <c r="D1426" s="2374"/>
      <c r="E1426" s="2374"/>
      <c r="F1426" s="2374"/>
      <c r="G1426" s="2373" t="str">
        <f ca="1">G1425</f>
        <v/>
      </c>
      <c r="H1426" s="2371" t="s">
        <v>3973</v>
      </c>
      <c r="I1426" s="66"/>
      <c r="J1426" s="639"/>
      <c r="K1426" s="639"/>
      <c r="L1426" s="1904"/>
      <c r="M1426" s="1014"/>
      <c r="N1426" s="1042"/>
      <c r="O1426" s="1042"/>
      <c r="P1426" s="756"/>
      <c r="Q1426" s="756"/>
      <c r="R1426" s="634"/>
      <c r="S1426" s="634"/>
      <c r="T1426" s="634"/>
      <c r="U1426" s="94"/>
      <c r="V1426" s="634"/>
      <c r="W1426" s="634"/>
      <c r="X1426" s="911"/>
      <c r="Y1426" s="634"/>
      <c r="AA1426" s="1526"/>
      <c r="AB1426" s="634"/>
      <c r="AC1426" s="970"/>
      <c r="AD1426" s="970"/>
      <c r="AE1426" s="970"/>
      <c r="AF1426" s="634"/>
      <c r="AG1426" s="634"/>
      <c r="AH1426" s="634"/>
      <c r="AI1426" s="634"/>
      <c r="AJ1426" s="634"/>
      <c r="AK1426" s="634"/>
      <c r="AL1426" s="1336"/>
      <c r="AM1426" s="1336"/>
      <c r="AN1426" s="1336"/>
      <c r="AO1426" s="1336"/>
      <c r="AP1426" s="1336"/>
      <c r="AQ1426" s="1336"/>
      <c r="AR1426" s="1336"/>
      <c r="AS1426" s="1336"/>
      <c r="AT1426" s="634"/>
      <c r="AU1426" s="634"/>
      <c r="AV1426" s="634"/>
      <c r="AW1426" s="634"/>
      <c r="AX1426" s="634"/>
      <c r="AY1426" s="634"/>
      <c r="AZ1426" s="634"/>
      <c r="BA1426" s="634"/>
      <c r="BB1426" s="634"/>
      <c r="BC1426" s="634"/>
      <c r="BD1426" s="634"/>
      <c r="BE1426" s="634"/>
      <c r="BF1426" s="634"/>
      <c r="BG1426" s="634"/>
      <c r="BH1426" s="634"/>
      <c r="BI1426" s="634"/>
    </row>
    <row r="1427" spans="1:61" ht="15" customHeight="1" x14ac:dyDescent="0.25">
      <c r="A1427" s="2371">
        <v>7</v>
      </c>
      <c r="B1427" s="2385" t="s">
        <v>1012</v>
      </c>
      <c r="C1427" s="2381"/>
      <c r="D1427" s="2374"/>
      <c r="E1427" s="2374"/>
      <c r="F1427" s="2374"/>
      <c r="G1427" s="2373" t="str">
        <f ca="1">IF(N1427&gt;0,"P","")</f>
        <v/>
      </c>
      <c r="H1427" s="2371" t="s">
        <v>3973</v>
      </c>
      <c r="I1427" s="66" t="s">
        <v>1012</v>
      </c>
      <c r="J1427" s="639"/>
      <c r="K1427" s="639"/>
      <c r="L1427" s="1833" t="s">
        <v>4328</v>
      </c>
      <c r="M1427" s="1014"/>
      <c r="N1427" s="2075">
        <f ca="1">'Ch7'!O557</f>
        <v>0</v>
      </c>
      <c r="O1427" s="2075">
        <f ca="1">IFERROR(INDEX({1,2},MATCH(W1427,INDIRECT(U1427),0)),0)*S1427</f>
        <v>0</v>
      </c>
      <c r="P1427" s="94" t="b">
        <v>0</v>
      </c>
      <c r="Q1427" s="94" t="b">
        <v>1</v>
      </c>
      <c r="R1427" s="634" t="b">
        <v>0</v>
      </c>
      <c r="S1427" s="634" t="b">
        <v>1</v>
      </c>
      <c r="T1427" s="94" t="b">
        <v>0</v>
      </c>
      <c r="U1427" s="94" t="str">
        <f>SUBSTITUTE(SUBSTITUTE(SUBSTITUTE("dd"&amp;B1427&amp;C1427&amp;D1427&amp;E1427&amp;F1427,".","_"),"(","_"),")","")</f>
        <v>dd705_2_1_1</v>
      </c>
      <c r="V1427" s="634"/>
      <c r="W1427" s="12"/>
      <c r="X1427" s="1757"/>
      <c r="Y1427" s="2081" t="str">
        <f>IF(LEN('Ch7'!X557)=0,"None",'Ch7'!X557)</f>
        <v>None</v>
      </c>
      <c r="Z1427" s="2083"/>
      <c r="AA1427" s="1526"/>
      <c r="AB1427" s="634"/>
      <c r="AC1427" s="970"/>
      <c r="AD1427" s="970"/>
      <c r="AE1427" s="970"/>
      <c r="AF1427" s="784"/>
      <c r="AG1427" s="634"/>
      <c r="AH1427" s="634"/>
      <c r="AI1427" s="634"/>
      <c r="AJ1427" s="634"/>
      <c r="AK1427" s="634"/>
      <c r="AL1427" s="1336"/>
      <c r="AM1427" s="1336"/>
      <c r="AN1427" s="254" t="str">
        <f>SUBSTITUTE(SUBSTITUTE(SUBSTITUTE("vpc"&amp;$B1427&amp;$C1427&amp;$D1427&amp;$E1427,".","_"),"(","_"),")","")</f>
        <v>vpc705_2_1_1</v>
      </c>
      <c r="AO1427" s="254">
        <f ca="1">O1427</f>
        <v>0</v>
      </c>
      <c r="AP1427" s="254" t="str">
        <f>SUBSTITUTE(SUBSTITUTE(SUBSTITUTE("vch"&amp;$B1427&amp;$C1427&amp;$D1427&amp;$E1427,".","_"),"(","_"),")","")</f>
        <v>vch705_2_1_1</v>
      </c>
      <c r="AQ1427" s="254" t="str">
        <f>IF(LEN(W1427)=0,"",W1427)</f>
        <v/>
      </c>
      <c r="AR1427" s="254" t="str">
        <f>SUBSTITUTE(SUBSTITUTE(SUBSTITUTE("vnt"&amp;$B1427&amp;$C1427&amp;$D1427&amp;$E1427,".","_"),"(","_"),")","")</f>
        <v>vnt705_2_1_1</v>
      </c>
      <c r="AS1427" s="254" t="str">
        <f>IF(LEN(X1427)=0,"",X1427)</f>
        <v/>
      </c>
      <c r="AT1427" s="634"/>
      <c r="AU1427" s="634"/>
      <c r="AV1427" s="634"/>
      <c r="AW1427" s="634"/>
      <c r="AX1427" s="634"/>
      <c r="AY1427" s="634"/>
      <c r="AZ1427" s="634"/>
      <c r="BA1427" s="634"/>
      <c r="BB1427" s="634"/>
      <c r="BC1427" s="634"/>
      <c r="BD1427" s="634"/>
      <c r="BE1427" s="634"/>
      <c r="BF1427" s="634"/>
      <c r="BG1427" s="634"/>
      <c r="BH1427" s="634"/>
      <c r="BI1427" s="634"/>
    </row>
    <row r="1428" spans="1:61" x14ac:dyDescent="0.25">
      <c r="A1428" s="2371">
        <v>7</v>
      </c>
      <c r="B1428" s="2385" t="s">
        <v>1012</v>
      </c>
      <c r="C1428" s="2381"/>
      <c r="D1428" s="2374"/>
      <c r="E1428" s="2374"/>
      <c r="F1428" s="2374"/>
      <c r="G1428" s="2373" t="str">
        <f ca="1">G1427</f>
        <v/>
      </c>
      <c r="H1428" s="2371" t="s">
        <v>3973</v>
      </c>
      <c r="I1428" s="4"/>
      <c r="J1428" s="639"/>
      <c r="K1428" s="639"/>
      <c r="L1428" s="1833"/>
      <c r="M1428" s="1014"/>
      <c r="N1428" s="2075"/>
      <c r="O1428" s="2075"/>
      <c r="P1428" s="756"/>
      <c r="Q1428" s="756"/>
      <c r="R1428" s="634"/>
      <c r="S1428" s="634"/>
      <c r="T1428" s="634"/>
      <c r="U1428" s="634"/>
      <c r="V1428" s="634"/>
      <c r="W1428" s="634"/>
      <c r="X1428" s="1757"/>
      <c r="Y1428" s="2081"/>
      <c r="Z1428" s="2083"/>
      <c r="AA1428" s="1526"/>
      <c r="AB1428" s="634"/>
      <c r="AC1428" s="970"/>
      <c r="AD1428" s="970"/>
      <c r="AE1428" s="970"/>
      <c r="AF1428" s="634"/>
      <c r="AG1428" s="634"/>
      <c r="AH1428" s="634"/>
      <c r="AI1428" s="634"/>
      <c r="AJ1428" s="634"/>
      <c r="AK1428" s="634"/>
      <c r="AL1428" s="1336"/>
      <c r="AM1428" s="1336"/>
      <c r="AN1428" s="1336"/>
      <c r="AO1428" s="1336"/>
      <c r="AP1428" s="1336"/>
      <c r="AQ1428" s="1336"/>
      <c r="AR1428" s="1336"/>
      <c r="AS1428" s="1336"/>
      <c r="AT1428" s="634"/>
      <c r="AU1428" s="634"/>
      <c r="AV1428" s="634"/>
      <c r="AW1428" s="634"/>
      <c r="AX1428" s="634"/>
      <c r="AY1428" s="634"/>
      <c r="AZ1428" s="634"/>
      <c r="BA1428" s="634"/>
      <c r="BB1428" s="634"/>
      <c r="BC1428" s="634"/>
      <c r="BD1428" s="634"/>
      <c r="BE1428" s="634"/>
      <c r="BF1428" s="634"/>
      <c r="BG1428" s="634"/>
      <c r="BH1428" s="634"/>
      <c r="BI1428" s="634"/>
    </row>
    <row r="1429" spans="1:61" x14ac:dyDescent="0.25">
      <c r="A1429" s="2371">
        <v>7</v>
      </c>
      <c r="B1429" s="2385" t="s">
        <v>1012</v>
      </c>
      <c r="C1429" s="2374" t="s">
        <v>256</v>
      </c>
      <c r="D1429" s="2374"/>
      <c r="E1429" s="2374"/>
      <c r="F1429" s="2374"/>
      <c r="G1429" s="2373" t="str">
        <f ca="1">G1428</f>
        <v/>
      </c>
      <c r="H1429" s="2371" t="s">
        <v>3973</v>
      </c>
      <c r="I1429" s="4"/>
      <c r="J1429" s="544" t="s">
        <v>256</v>
      </c>
      <c r="K1429" s="637"/>
      <c r="L1429" s="1163" t="s">
        <v>1013</v>
      </c>
      <c r="M1429" s="1015">
        <v>1</v>
      </c>
      <c r="N1429" s="1042"/>
      <c r="O1429" s="1042"/>
      <c r="P1429" s="756"/>
      <c r="Q1429" s="756"/>
      <c r="R1429" s="634"/>
      <c r="S1429" s="634"/>
      <c r="T1429" s="634"/>
      <c r="U1429" s="634"/>
      <c r="V1429" s="634"/>
      <c r="W1429" s="634"/>
      <c r="X1429" s="1757"/>
      <c r="Y1429" s="2081"/>
      <c r="Z1429" s="2083"/>
      <c r="AA1429" s="1526"/>
      <c r="AB1429" s="634"/>
      <c r="AC1429" s="970"/>
      <c r="AD1429" s="970"/>
      <c r="AE1429" s="970"/>
      <c r="AF1429" s="634"/>
      <c r="AG1429" s="634"/>
      <c r="AH1429" s="634"/>
      <c r="AI1429" s="634"/>
      <c r="AJ1429" s="634"/>
      <c r="AK1429" s="634"/>
      <c r="AL1429" s="254" t="str">
        <f>SUBSTITUTE(SUBSTITUTE(SUBSTITUTE("vpa"&amp;$B1429&amp;$C1429&amp;$D1429&amp;$E1429,".","_"),"(","_"),")","")</f>
        <v>vpa705_2_1_1_1</v>
      </c>
      <c r="AM1429" s="254">
        <f>M1429</f>
        <v>1</v>
      </c>
      <c r="AN1429" s="1336"/>
      <c r="AO1429" s="1336"/>
      <c r="AP1429" s="1336"/>
      <c r="AQ1429" s="1336"/>
      <c r="AR1429" s="1336"/>
      <c r="AS1429" s="1336"/>
      <c r="AT1429" s="634"/>
      <c r="AU1429" s="634"/>
      <c r="AV1429" s="634"/>
      <c r="AW1429" s="634"/>
      <c r="AX1429" s="634"/>
      <c r="AY1429" s="634"/>
      <c r="AZ1429" s="634"/>
      <c r="BA1429" s="634"/>
      <c r="BB1429" s="634"/>
      <c r="BC1429" s="634"/>
      <c r="BD1429" s="634"/>
      <c r="BE1429" s="634"/>
      <c r="BF1429" s="634"/>
      <c r="BG1429" s="634"/>
      <c r="BH1429" s="634"/>
      <c r="BI1429" s="634"/>
    </row>
    <row r="1430" spans="1:61" x14ac:dyDescent="0.25">
      <c r="A1430" s="2371">
        <v>7</v>
      </c>
      <c r="B1430" s="2385" t="s">
        <v>1012</v>
      </c>
      <c r="C1430" s="2374" t="s">
        <v>258</v>
      </c>
      <c r="D1430" s="2374"/>
      <c r="E1430" s="2374"/>
      <c r="F1430" s="2374"/>
      <c r="G1430" s="2373" t="str">
        <f ca="1">G1429</f>
        <v/>
      </c>
      <c r="H1430" s="2371" t="s">
        <v>3973</v>
      </c>
      <c r="I1430" s="210"/>
      <c r="J1430" s="544" t="s">
        <v>258</v>
      </c>
      <c r="K1430" s="637"/>
      <c r="L1430" s="1163" t="s">
        <v>1014</v>
      </c>
      <c r="M1430" s="1015">
        <v>2</v>
      </c>
      <c r="N1430" s="1047"/>
      <c r="O1430" s="1047"/>
      <c r="P1430" s="756"/>
      <c r="Q1430" s="756"/>
      <c r="R1430" s="634"/>
      <c r="S1430" s="634"/>
      <c r="T1430" s="634"/>
      <c r="U1430" s="634"/>
      <c r="V1430" s="634"/>
      <c r="W1430" s="634"/>
      <c r="X1430" s="1757"/>
      <c r="Y1430" s="2081"/>
      <c r="Z1430" s="2083"/>
      <c r="AA1430" s="1526"/>
      <c r="AB1430" s="634"/>
      <c r="AC1430" s="970"/>
      <c r="AD1430" s="970"/>
      <c r="AE1430" s="970"/>
      <c r="AF1430" s="634"/>
      <c r="AG1430" s="634"/>
      <c r="AH1430" s="634"/>
      <c r="AI1430" s="634"/>
      <c r="AJ1430" s="634"/>
      <c r="AK1430" s="634"/>
      <c r="AL1430" s="254" t="str">
        <f>SUBSTITUTE(SUBSTITUTE(SUBSTITUTE("vpa"&amp;$B1430&amp;$C1430&amp;$D1430&amp;$E1430,".","_"),"(","_"),")","")</f>
        <v>vpa705_2_1_1_2</v>
      </c>
      <c r="AM1430" s="254">
        <f>M1430</f>
        <v>2</v>
      </c>
      <c r="AN1430" s="1336"/>
      <c r="AO1430" s="1336"/>
      <c r="AP1430" s="1336"/>
      <c r="AQ1430" s="1336"/>
      <c r="AR1430" s="1336"/>
      <c r="AS1430" s="1336"/>
      <c r="AT1430" s="634"/>
      <c r="AU1430" s="634"/>
      <c r="AV1430" s="634"/>
      <c r="AW1430" s="634"/>
      <c r="AX1430" s="634"/>
      <c r="AY1430" s="634"/>
      <c r="AZ1430" s="634"/>
      <c r="BA1430" s="634"/>
      <c r="BB1430" s="634"/>
      <c r="BC1430" s="634"/>
      <c r="BD1430" s="634"/>
      <c r="BE1430" s="634"/>
      <c r="BF1430" s="634"/>
      <c r="BG1430" s="634"/>
      <c r="BH1430" s="634"/>
      <c r="BI1430" s="634"/>
    </row>
    <row r="1431" spans="1:61" x14ac:dyDescent="0.25">
      <c r="A1431" s="2371">
        <v>7</v>
      </c>
      <c r="B1431" s="2385" t="s">
        <v>1015</v>
      </c>
      <c r="C1431" s="2374"/>
      <c r="D1431" s="2374"/>
      <c r="E1431" s="2374"/>
      <c r="F1431" s="2374"/>
      <c r="G1431" s="2373" t="str">
        <f>IF(N1431&gt;0,"P","")</f>
        <v/>
      </c>
      <c r="H1431" s="2371" t="s">
        <v>3973</v>
      </c>
      <c r="I1431" s="510" t="s">
        <v>1015</v>
      </c>
      <c r="J1431" s="543"/>
      <c r="K1431" s="636"/>
      <c r="L1431" s="1782" t="s">
        <v>1016</v>
      </c>
      <c r="M1431" s="1758">
        <v>1</v>
      </c>
      <c r="N1431" s="1927">
        <f>'Ch7'!O561</f>
        <v>0</v>
      </c>
      <c r="O1431" s="1927">
        <f>M1431*S1431*W1431</f>
        <v>0</v>
      </c>
      <c r="P1431" s="94" t="b">
        <v>0</v>
      </c>
      <c r="Q1431" s="94" t="b">
        <v>1</v>
      </c>
      <c r="R1431" s="634" t="b">
        <v>0</v>
      </c>
      <c r="S1431" s="634" t="b">
        <v>1</v>
      </c>
      <c r="T1431" s="94" t="b">
        <v>0</v>
      </c>
      <c r="U1431" s="634"/>
      <c r="V1431" s="634"/>
      <c r="W1431" s="25"/>
      <c r="X1431" s="1757"/>
      <c r="Y1431" s="2081" t="str">
        <f>IF(LEN('Ch7'!X561)=0,"None",'Ch7'!X561)</f>
        <v>None</v>
      </c>
      <c r="Z1431" s="2083"/>
      <c r="AA1431" s="1551" t="str">
        <f>IF(LEN('Photo Review'!I1430)&gt;0,'Photo Review'!I1430,"")</f>
        <v/>
      </c>
      <c r="AB1431" s="634"/>
      <c r="AC1431" s="970"/>
      <c r="AD1431" s="970"/>
      <c r="AE1431" s="970"/>
      <c r="AF1431" s="784"/>
      <c r="AG1431" s="634"/>
      <c r="AH1431" s="634"/>
      <c r="AI1431" s="634"/>
      <c r="AJ1431" s="634"/>
      <c r="AK1431" s="634"/>
      <c r="AL1431" s="254" t="str">
        <f>SUBSTITUTE(SUBSTITUTE(SUBSTITUTE("vpa"&amp;$B1431&amp;$C1431&amp;$D1431&amp;$E1431,".","_"),"(","_"),")","")</f>
        <v>vpa705_2_1_2</v>
      </c>
      <c r="AM1431" s="254">
        <f>M1431</f>
        <v>1</v>
      </c>
      <c r="AN1431" s="254" t="str">
        <f>SUBSTITUTE(SUBSTITUTE(SUBSTITUTE("vpc"&amp;$B1431&amp;$C1431&amp;$D1431&amp;$E1431,".","_"),"(","_"),")","")</f>
        <v>vpc705_2_1_2</v>
      </c>
      <c r="AO1431" s="254">
        <f>O1431</f>
        <v>0</v>
      </c>
      <c r="AP1431" s="254" t="str">
        <f>SUBSTITUTE(SUBSTITUTE(SUBSTITUTE("vch"&amp;$B1431&amp;$C1431&amp;$D1431&amp;$E1431&amp;$F1431,".","_"),"(","_"),")","")</f>
        <v>vch705_2_1_2</v>
      </c>
      <c r="AQ1431" s="254" t="str">
        <f>IF(LEN(W1431)=0,"",W1431)</f>
        <v/>
      </c>
      <c r="AR1431" s="254" t="str">
        <f>SUBSTITUTE(SUBSTITUTE(SUBSTITUTE("vnt"&amp;$B1431&amp;$C1431&amp;$D1431&amp;$E1431,".","_"),"(","_"),")","")</f>
        <v>vnt705_2_1_2</v>
      </c>
      <c r="AS1431" s="254" t="str">
        <f>IF(LEN(X1431)=0,"",X1431)</f>
        <v/>
      </c>
      <c r="AT1431" s="634"/>
      <c r="AU1431" s="634"/>
      <c r="AV1431" s="634"/>
      <c r="AW1431" s="634"/>
      <c r="AX1431" s="634"/>
      <c r="AY1431" s="634"/>
      <c r="AZ1431" s="634"/>
      <c r="BA1431" s="634"/>
      <c r="BB1431" s="634"/>
      <c r="BC1431" s="634"/>
      <c r="BD1431" s="634"/>
      <c r="BE1431" s="634"/>
      <c r="BF1431" s="634"/>
      <c r="BG1431" s="634"/>
      <c r="BH1431" s="634"/>
      <c r="BI1431" s="634"/>
    </row>
    <row r="1432" spans="1:61" x14ac:dyDescent="0.25">
      <c r="A1432" s="2371">
        <v>7</v>
      </c>
      <c r="B1432" s="2385" t="s">
        <v>1015</v>
      </c>
      <c r="C1432" s="2374"/>
      <c r="D1432" s="2374"/>
      <c r="E1432" s="2374"/>
      <c r="F1432" s="2374"/>
      <c r="G1432" s="2373" t="str">
        <f>G1431</f>
        <v/>
      </c>
      <c r="H1432" s="2371" t="s">
        <v>3973</v>
      </c>
      <c r="I1432" s="210"/>
      <c r="J1432" s="637"/>
      <c r="K1432" s="637"/>
      <c r="L1432" s="1843"/>
      <c r="M1432" s="1759"/>
      <c r="N1432" s="2076"/>
      <c r="O1432" s="2076"/>
      <c r="P1432" s="756"/>
      <c r="Q1432" s="756"/>
      <c r="R1432" s="634"/>
      <c r="S1432" s="634"/>
      <c r="T1432" s="634"/>
      <c r="U1432" s="634"/>
      <c r="V1432" s="634"/>
      <c r="W1432" s="634"/>
      <c r="X1432" s="1757"/>
      <c r="Y1432" s="2081"/>
      <c r="Z1432" s="2083"/>
      <c r="AA1432" s="1526"/>
      <c r="AB1432" s="634"/>
      <c r="AC1432" s="970"/>
      <c r="AD1432" s="970"/>
      <c r="AE1432" s="970"/>
      <c r="AF1432" s="634"/>
      <c r="AG1432" s="634"/>
      <c r="AH1432" s="634"/>
      <c r="AI1432" s="634"/>
      <c r="AJ1432" s="634"/>
      <c r="AK1432" s="634"/>
      <c r="AL1432" s="1336"/>
      <c r="AM1432" s="1336"/>
      <c r="AN1432" s="1336"/>
      <c r="AO1432" s="1336"/>
      <c r="AP1432" s="1336"/>
      <c r="AQ1432" s="1336"/>
      <c r="AR1432" s="1336"/>
      <c r="AS1432" s="1336"/>
      <c r="AT1432" s="634"/>
      <c r="AU1432" s="634"/>
      <c r="AV1432" s="634"/>
      <c r="AW1432" s="634"/>
      <c r="AX1432" s="634"/>
      <c r="AY1432" s="634"/>
      <c r="AZ1432" s="634"/>
      <c r="BA1432" s="634"/>
      <c r="BB1432" s="634"/>
      <c r="BC1432" s="634"/>
      <c r="BD1432" s="634"/>
      <c r="BE1432" s="634"/>
      <c r="BF1432" s="634"/>
      <c r="BG1432" s="634"/>
      <c r="BH1432" s="634"/>
      <c r="BI1432" s="634"/>
    </row>
    <row r="1433" spans="1:61" x14ac:dyDescent="0.25">
      <c r="A1433" s="2371">
        <v>7</v>
      </c>
      <c r="B1433" s="2385" t="s">
        <v>1017</v>
      </c>
      <c r="C1433" s="2374"/>
      <c r="D1433" s="2374"/>
      <c r="E1433" s="2374"/>
      <c r="F1433" s="2374"/>
      <c r="G1433" s="2363" t="str">
        <f ca="1">IF(COUNTIF(G1434:G1438,"P")&gt;0,"P","")</f>
        <v/>
      </c>
      <c r="H1433" s="2371" t="s">
        <v>3973</v>
      </c>
      <c r="I1433" s="66" t="s">
        <v>1017</v>
      </c>
      <c r="J1433" s="639"/>
      <c r="K1433" s="639"/>
      <c r="L1433" s="1180" t="s">
        <v>1018</v>
      </c>
      <c r="M1433" s="1014"/>
      <c r="N1433" s="1042"/>
      <c r="O1433" s="1042"/>
      <c r="P1433" s="756"/>
      <c r="Q1433" s="756"/>
      <c r="R1433" s="634"/>
      <c r="S1433" s="634"/>
      <c r="T1433" s="634"/>
      <c r="U1433" s="634"/>
      <c r="V1433" s="634"/>
      <c r="W1433" s="634"/>
      <c r="X1433" s="911"/>
      <c r="Y1433" s="634"/>
      <c r="AA1433" s="1526"/>
      <c r="AB1433" s="634"/>
      <c r="AC1433" s="970"/>
      <c r="AD1433" s="970"/>
      <c r="AE1433" s="970"/>
      <c r="AF1433" s="634"/>
      <c r="AG1433" s="634"/>
      <c r="AH1433" s="634"/>
      <c r="AI1433" s="634"/>
      <c r="AJ1433" s="634"/>
      <c r="AK1433" s="634"/>
      <c r="AL1433" s="1336"/>
      <c r="AM1433" s="1336"/>
      <c r="AN1433" s="1336"/>
      <c r="AO1433" s="1336"/>
      <c r="AP1433" s="1336"/>
      <c r="AQ1433" s="1336"/>
      <c r="AR1433" s="1336"/>
      <c r="AS1433" s="1336"/>
      <c r="AT1433" s="634"/>
      <c r="AU1433" s="634"/>
      <c r="AV1433" s="634"/>
      <c r="AW1433" s="634"/>
      <c r="AX1433" s="634"/>
      <c r="AY1433" s="634"/>
      <c r="AZ1433" s="634"/>
      <c r="BA1433" s="634"/>
      <c r="BB1433" s="634"/>
      <c r="BC1433" s="634"/>
      <c r="BD1433" s="634"/>
      <c r="BE1433" s="634"/>
      <c r="BF1433" s="634"/>
      <c r="BG1433" s="634"/>
      <c r="BH1433" s="634"/>
      <c r="BI1433" s="634"/>
    </row>
    <row r="1434" spans="1:61" x14ac:dyDescent="0.25">
      <c r="A1434" s="2371">
        <v>7</v>
      </c>
      <c r="B1434" s="2385" t="s">
        <v>1017</v>
      </c>
      <c r="C1434" s="2395" t="s">
        <v>256</v>
      </c>
      <c r="D1434" s="2374"/>
      <c r="E1434" s="2374"/>
      <c r="F1434" s="2374"/>
      <c r="G1434" s="2373" t="str">
        <f ca="1">IF(N1434&gt;0,"P","")</f>
        <v/>
      </c>
      <c r="H1434" s="2371" t="s">
        <v>3973</v>
      </c>
      <c r="I1434" s="4"/>
      <c r="J1434" s="234" t="s">
        <v>256</v>
      </c>
      <c r="K1434" s="639"/>
      <c r="L1434" s="1779" t="s">
        <v>1019</v>
      </c>
      <c r="M1434" s="1014"/>
      <c r="N1434" s="2075">
        <f ca="1">'Ch7'!O564</f>
        <v>0</v>
      </c>
      <c r="O1434" s="2075">
        <f ca="1">IFERROR(INDEX({1,2},MATCH(W1434,INDIRECT(U1434),0)),0)*S1434</f>
        <v>0</v>
      </c>
      <c r="P1434" s="94" t="b">
        <v>0</v>
      </c>
      <c r="Q1434" s="94" t="b">
        <v>1</v>
      </c>
      <c r="R1434" s="634" t="b">
        <v>0</v>
      </c>
      <c r="S1434" s="634" t="b">
        <f ca="1">IF(AY889=INDEX(INDIRECT("ddSingleOrMulti"),2),TRUE,FALSE)</f>
        <v>0</v>
      </c>
      <c r="T1434" s="94" t="b">
        <f ca="1">AND(NOT(S1434),LEN(W1434)&gt;0)</f>
        <v>0</v>
      </c>
      <c r="U1434" s="94" t="str">
        <f>SUBSTITUTE(SUBSTITUTE(SUBSTITUTE("dd"&amp;B1434&amp;C1434&amp;D1434&amp;E1434&amp;F1434,".","_"),"(","_"),")","")</f>
        <v>dd705_2_1_3_1</v>
      </c>
      <c r="V1434" s="634"/>
      <c r="W1434" s="12"/>
      <c r="X1434" s="1757"/>
      <c r="Y1434" s="2081" t="str">
        <f>IF(LEN('Ch7'!X564)=0,"None",'Ch7'!X564)</f>
        <v>None</v>
      </c>
      <c r="Z1434" s="2083"/>
      <c r="AA1434" s="1526"/>
      <c r="AB1434" s="634"/>
      <c r="AC1434" s="970" t="b">
        <f ca="1">OR(AD1434:AE1434)</f>
        <v>0</v>
      </c>
      <c r="AD1434" s="970" t="b">
        <f ca="1">T1434</f>
        <v>0</v>
      </c>
      <c r="AE1434" s="970"/>
      <c r="AF1434" s="784"/>
      <c r="AG1434" s="634"/>
      <c r="AH1434" s="634"/>
      <c r="AI1434" s="634"/>
      <c r="AJ1434" s="634"/>
      <c r="AK1434" s="634"/>
      <c r="AL1434" s="1336"/>
      <c r="AM1434" s="1336"/>
      <c r="AN1434" s="254" t="str">
        <f>SUBSTITUTE(SUBSTITUTE(SUBSTITUTE("vpc"&amp;$B1434&amp;$C1434&amp;$D1434&amp;$E1434,".","_"),"(","_"),")","")</f>
        <v>vpc705_2_1_3_1</v>
      </c>
      <c r="AO1434" s="254">
        <f ca="1">O1434</f>
        <v>0</v>
      </c>
      <c r="AP1434" s="254" t="str">
        <f>SUBSTITUTE(SUBSTITUTE(SUBSTITUTE("vch"&amp;$B1434&amp;$C1434&amp;$D1434&amp;$E1434,".","_"),"(","_"),")","")</f>
        <v>vch705_2_1_3_1</v>
      </c>
      <c r="AQ1434" s="254" t="str">
        <f>IF(LEN(W1434)=0,"",W1434)</f>
        <v/>
      </c>
      <c r="AR1434" s="254" t="str">
        <f>SUBSTITUTE(SUBSTITUTE(SUBSTITUTE("vnt"&amp;$B1434&amp;$C1434&amp;$D1434&amp;$E1434,".","_"),"(","_"),")","")</f>
        <v>vnt705_2_1_3_1</v>
      </c>
      <c r="AS1434" s="254" t="str">
        <f>IF(LEN(X1434)=0,"",X1434)</f>
        <v/>
      </c>
      <c r="AT1434" s="634"/>
      <c r="AU1434" s="634"/>
      <c r="AV1434" s="634"/>
      <c r="AW1434" s="634"/>
      <c r="AX1434" s="634"/>
      <c r="AY1434" s="634"/>
      <c r="AZ1434" s="634"/>
      <c r="BA1434" s="634"/>
      <c r="BB1434" s="634"/>
      <c r="BC1434" s="634"/>
      <c r="BD1434" s="634"/>
      <c r="BE1434" s="634"/>
      <c r="BF1434" s="634"/>
      <c r="BG1434" s="634"/>
      <c r="BH1434" s="634"/>
      <c r="BI1434" s="634"/>
    </row>
    <row r="1435" spans="1:61" x14ac:dyDescent="0.25">
      <c r="A1435" s="2371">
        <v>7</v>
      </c>
      <c r="B1435" s="2385" t="s">
        <v>1017</v>
      </c>
      <c r="C1435" s="2395" t="s">
        <v>256</v>
      </c>
      <c r="D1435" s="2374"/>
      <c r="E1435" s="2374"/>
      <c r="F1435" s="2374"/>
      <c r="G1435" s="2373" t="str">
        <f ca="1">G1434</f>
        <v/>
      </c>
      <c r="H1435" s="2371" t="s">
        <v>3973</v>
      </c>
      <c r="I1435" s="4"/>
      <c r="J1435" s="639"/>
      <c r="K1435" s="639"/>
      <c r="L1435" s="1779"/>
      <c r="M1435" s="1014"/>
      <c r="N1435" s="2075"/>
      <c r="O1435" s="2075"/>
      <c r="P1435" s="756"/>
      <c r="Q1435" s="756"/>
      <c r="R1435" s="634"/>
      <c r="S1435" s="634"/>
      <c r="T1435" s="634"/>
      <c r="U1435" s="634"/>
      <c r="V1435" s="634"/>
      <c r="W1435" s="634"/>
      <c r="X1435" s="1757"/>
      <c r="Y1435" s="2081"/>
      <c r="Z1435" s="2083"/>
      <c r="AA1435" s="1526"/>
      <c r="AB1435" s="634"/>
      <c r="AC1435" s="970"/>
      <c r="AD1435" s="970"/>
      <c r="AE1435" s="970"/>
      <c r="AF1435" s="634"/>
      <c r="AG1435" s="634"/>
      <c r="AH1435" s="634"/>
      <c r="AI1435" s="634"/>
      <c r="AJ1435" s="634"/>
      <c r="AK1435" s="634"/>
      <c r="AL1435" s="1336"/>
      <c r="AM1435" s="1336"/>
      <c r="AN1435" s="1336"/>
      <c r="AO1435" s="1336"/>
      <c r="AP1435" s="1336"/>
      <c r="AQ1435" s="1336"/>
      <c r="AR1435" s="1336"/>
      <c r="AS1435" s="1336"/>
      <c r="AT1435" s="634"/>
      <c r="AU1435" s="634"/>
      <c r="AV1435" s="634"/>
      <c r="AW1435" s="634"/>
      <c r="AX1435" s="634"/>
      <c r="AY1435" s="634"/>
      <c r="AZ1435" s="634"/>
      <c r="BA1435" s="634"/>
      <c r="BB1435" s="634"/>
      <c r="BC1435" s="634"/>
      <c r="BD1435" s="634"/>
      <c r="BE1435" s="634"/>
      <c r="BF1435" s="634"/>
      <c r="BG1435" s="634"/>
      <c r="BH1435" s="634"/>
      <c r="BI1435" s="634"/>
    </row>
    <row r="1436" spans="1:61" x14ac:dyDescent="0.25">
      <c r="A1436" s="2371">
        <v>7</v>
      </c>
      <c r="B1436" s="2385" t="s">
        <v>1017</v>
      </c>
      <c r="C1436" s="2395" t="s">
        <v>256</v>
      </c>
      <c r="D1436" s="2374" t="s">
        <v>121</v>
      </c>
      <c r="E1436" s="2374"/>
      <c r="F1436" s="2374"/>
      <c r="G1436" s="2373" t="str">
        <f ca="1">G1435</f>
        <v/>
      </c>
      <c r="H1436" s="2375" t="s">
        <v>3973</v>
      </c>
      <c r="I1436" s="4"/>
      <c r="J1436" s="639"/>
      <c r="K1436" s="230" t="s">
        <v>121</v>
      </c>
      <c r="L1436" s="1170" t="s">
        <v>1013</v>
      </c>
      <c r="M1436" s="1014">
        <v>1</v>
      </c>
      <c r="N1436" s="1042"/>
      <c r="O1436" s="1042"/>
      <c r="P1436" s="756"/>
      <c r="Q1436" s="756"/>
      <c r="R1436" s="634"/>
      <c r="S1436" s="634"/>
      <c r="T1436" s="634"/>
      <c r="U1436" s="634"/>
      <c r="V1436" s="634"/>
      <c r="W1436" s="634"/>
      <c r="X1436" s="1757"/>
      <c r="Y1436" s="2081"/>
      <c r="Z1436" s="2083"/>
      <c r="AA1436" s="1526"/>
      <c r="AB1436" s="634"/>
      <c r="AC1436" s="970"/>
      <c r="AD1436" s="970"/>
      <c r="AE1436" s="970"/>
      <c r="AF1436" s="634"/>
      <c r="AG1436" s="634"/>
      <c r="AH1436" s="634"/>
      <c r="AI1436" s="634"/>
      <c r="AJ1436" s="634"/>
      <c r="AK1436" s="634"/>
      <c r="AL1436" s="254" t="str">
        <f>SUBSTITUTE(SUBSTITUTE(SUBSTITUTE("vpa"&amp;$B1436&amp;$C1436&amp;$D1436&amp;$E1436,".","_"),"(","_"),")","")</f>
        <v>vpa705_2_1_3_1_a</v>
      </c>
      <c r="AM1436" s="254">
        <f>M1436</f>
        <v>1</v>
      </c>
      <c r="AN1436" s="1336"/>
      <c r="AO1436" s="1336"/>
      <c r="AP1436" s="1336"/>
      <c r="AQ1436" s="1336"/>
      <c r="AR1436" s="1336"/>
      <c r="AS1436" s="1336"/>
      <c r="AT1436" s="634"/>
      <c r="AU1436" s="634"/>
      <c r="AV1436" s="634"/>
      <c r="AW1436" s="634"/>
      <c r="AX1436" s="634"/>
      <c r="AY1436" s="634"/>
      <c r="AZ1436" s="634"/>
      <c r="BA1436" s="634"/>
      <c r="BB1436" s="634"/>
      <c r="BC1436" s="634"/>
      <c r="BD1436" s="634"/>
      <c r="BE1436" s="634"/>
      <c r="BF1436" s="634"/>
      <c r="BG1436" s="634"/>
      <c r="BH1436" s="634"/>
      <c r="BI1436" s="634"/>
    </row>
    <row r="1437" spans="1:61" x14ac:dyDescent="0.25">
      <c r="A1437" s="2371">
        <v>7</v>
      </c>
      <c r="B1437" s="2385" t="s">
        <v>1017</v>
      </c>
      <c r="C1437" s="2395" t="s">
        <v>256</v>
      </c>
      <c r="D1437" s="2374" t="s">
        <v>122</v>
      </c>
      <c r="E1437" s="2374"/>
      <c r="F1437" s="2374"/>
      <c r="G1437" s="2373" t="str">
        <f ca="1">G1436</f>
        <v/>
      </c>
      <c r="H1437" s="2375" t="s">
        <v>3973</v>
      </c>
      <c r="I1437" s="4"/>
      <c r="J1437" s="637"/>
      <c r="K1437" s="530" t="s">
        <v>122</v>
      </c>
      <c r="L1437" s="1163" t="s">
        <v>1014</v>
      </c>
      <c r="M1437" s="1015">
        <v>2</v>
      </c>
      <c r="N1437" s="1047"/>
      <c r="O1437" s="1047"/>
      <c r="P1437" s="756"/>
      <c r="Q1437" s="756"/>
      <c r="R1437" s="634"/>
      <c r="S1437" s="634"/>
      <c r="T1437" s="634"/>
      <c r="U1437" s="634"/>
      <c r="V1437" s="634"/>
      <c r="W1437" s="634"/>
      <c r="X1437" s="1757"/>
      <c r="Y1437" s="2081"/>
      <c r="Z1437" s="2083"/>
      <c r="AA1437" s="1526"/>
      <c r="AB1437" s="634"/>
      <c r="AC1437" s="970"/>
      <c r="AD1437" s="970"/>
      <c r="AE1437" s="970"/>
      <c r="AF1437" s="634"/>
      <c r="AG1437" s="634"/>
      <c r="AH1437" s="634"/>
      <c r="AI1437" s="634"/>
      <c r="AJ1437" s="634"/>
      <c r="AK1437" s="634"/>
      <c r="AL1437" s="254" t="str">
        <f>SUBSTITUTE(SUBSTITUTE(SUBSTITUTE("vpa"&amp;$B1437&amp;$C1437&amp;$D1437&amp;$E1437,".","_"),"(","_"),")","")</f>
        <v>vpa705_2_1_3_1_b</v>
      </c>
      <c r="AM1437" s="254">
        <f>M1437</f>
        <v>2</v>
      </c>
      <c r="AN1437" s="1336"/>
      <c r="AO1437" s="1336"/>
      <c r="AP1437" s="1336"/>
      <c r="AQ1437" s="1336"/>
      <c r="AR1437" s="1336"/>
      <c r="AS1437" s="1336"/>
      <c r="AT1437" s="634"/>
      <c r="AU1437" s="634"/>
      <c r="AV1437" s="634"/>
      <c r="AW1437" s="634"/>
      <c r="AX1437" s="634"/>
      <c r="AY1437" s="634"/>
      <c r="AZ1437" s="634"/>
      <c r="BA1437" s="634"/>
      <c r="BB1437" s="634"/>
      <c r="BC1437" s="634"/>
      <c r="BD1437" s="634"/>
      <c r="BE1437" s="634"/>
      <c r="BF1437" s="634"/>
      <c r="BG1437" s="634"/>
      <c r="BH1437" s="634"/>
      <c r="BI1437" s="634"/>
    </row>
    <row r="1438" spans="1:61" x14ac:dyDescent="0.25">
      <c r="A1438" s="2371">
        <v>7</v>
      </c>
      <c r="B1438" s="2385" t="s">
        <v>1017</v>
      </c>
      <c r="C1438" s="2395" t="s">
        <v>258</v>
      </c>
      <c r="D1438" s="2374"/>
      <c r="E1438" s="2374"/>
      <c r="F1438" s="2374"/>
      <c r="G1438" s="2373" t="str">
        <f ca="1">IF(N1438&gt;0,"P","")</f>
        <v/>
      </c>
      <c r="H1438" s="2371" t="s">
        <v>3973</v>
      </c>
      <c r="I1438" s="4"/>
      <c r="J1438" s="234" t="s">
        <v>258</v>
      </c>
      <c r="K1438" s="639"/>
      <c r="L1438" s="1779" t="s">
        <v>1020</v>
      </c>
      <c r="M1438" s="1014"/>
      <c r="N1438" s="2075">
        <f ca="1">'Ch7'!O568</f>
        <v>0</v>
      </c>
      <c r="O1438" s="2075">
        <f ca="1">IFERROR(INDEX({2,3},MATCH(W1438,INDIRECT(U1438),0)),0)*S1438</f>
        <v>0</v>
      </c>
      <c r="P1438" s="94" t="b">
        <v>0</v>
      </c>
      <c r="Q1438" s="94" t="b">
        <v>1</v>
      </c>
      <c r="R1438" s="634" t="b">
        <v>0</v>
      </c>
      <c r="S1438" s="634" t="b">
        <f ca="1">IF(AY889=INDEX(INDIRECT("ddSingleOrMulti"),2),TRUE,FALSE)</f>
        <v>0</v>
      </c>
      <c r="T1438" s="94" t="b">
        <f ca="1">AND(NOT(S1438),LEN(W1438)&gt;0)</f>
        <v>0</v>
      </c>
      <c r="U1438" s="94" t="str">
        <f>SUBSTITUTE(SUBSTITUTE(SUBSTITUTE("dd"&amp;B1438&amp;C1438&amp;D1438&amp;E1438&amp;F1438,".","_"),"(","_"),")","")</f>
        <v>dd705_2_1_3_2</v>
      </c>
      <c r="V1438" s="634"/>
      <c r="W1438" s="12"/>
      <c r="X1438" s="1757"/>
      <c r="Y1438" s="2081" t="str">
        <f>IF(LEN('Ch7'!X568)=0,"None",'Ch7'!X568)</f>
        <v>None</v>
      </c>
      <c r="Z1438" s="2083"/>
      <c r="AA1438" s="1526"/>
      <c r="AB1438" s="634"/>
      <c r="AC1438" s="970" t="b">
        <f ca="1">OR(AD1438:AE1438)</f>
        <v>0</v>
      </c>
      <c r="AD1438" s="970" t="b">
        <f ca="1">T1438</f>
        <v>0</v>
      </c>
      <c r="AE1438" s="970"/>
      <c r="AF1438" s="784"/>
      <c r="AG1438" s="634"/>
      <c r="AH1438" s="634"/>
      <c r="AI1438" s="634"/>
      <c r="AJ1438" s="634"/>
      <c r="AK1438" s="634"/>
      <c r="AL1438" s="1336"/>
      <c r="AM1438" s="1336"/>
      <c r="AN1438" s="254" t="str">
        <f>SUBSTITUTE(SUBSTITUTE(SUBSTITUTE("vpc"&amp;$B1438&amp;$C1438&amp;$D1438&amp;$E1438,".","_"),"(","_"),")","")</f>
        <v>vpc705_2_1_3_2</v>
      </c>
      <c r="AO1438" s="254">
        <f ca="1">O1438</f>
        <v>0</v>
      </c>
      <c r="AP1438" s="254" t="str">
        <f>SUBSTITUTE(SUBSTITUTE(SUBSTITUTE("vch"&amp;$B1438&amp;$C1438&amp;$D1438&amp;$E1438,".","_"),"(","_"),")","")</f>
        <v>vch705_2_1_3_2</v>
      </c>
      <c r="AQ1438" s="254" t="str">
        <f>IF(LEN(W1438)=0,"",W1438)</f>
        <v/>
      </c>
      <c r="AR1438" s="254" t="str">
        <f>SUBSTITUTE(SUBSTITUTE(SUBSTITUTE("vnt"&amp;$B1438&amp;$C1438&amp;$D1438&amp;$E1438,".","_"),"(","_"),")","")</f>
        <v>vnt705_2_1_3_2</v>
      </c>
      <c r="AS1438" s="254" t="str">
        <f>IF(LEN(X1438)=0,"",X1438)</f>
        <v/>
      </c>
      <c r="AT1438" s="634"/>
      <c r="AU1438" s="634"/>
      <c r="AV1438" s="634"/>
      <c r="AW1438" s="634"/>
      <c r="AX1438" s="634"/>
      <c r="AY1438" s="634"/>
      <c r="AZ1438" s="634"/>
      <c r="BA1438" s="634"/>
      <c r="BB1438" s="634"/>
      <c r="BC1438" s="634"/>
      <c r="BD1438" s="634"/>
      <c r="BE1438" s="634"/>
      <c r="BF1438" s="634"/>
      <c r="BG1438" s="634"/>
      <c r="BH1438" s="634"/>
      <c r="BI1438" s="634"/>
    </row>
    <row r="1439" spans="1:61" x14ac:dyDescent="0.25">
      <c r="A1439" s="2371">
        <v>7</v>
      </c>
      <c r="B1439" s="2385" t="s">
        <v>1017</v>
      </c>
      <c r="C1439" s="2395" t="s">
        <v>258</v>
      </c>
      <c r="D1439" s="2374"/>
      <c r="E1439" s="2374"/>
      <c r="F1439" s="2374"/>
      <c r="G1439" s="2373" t="str">
        <f ca="1">G1438</f>
        <v/>
      </c>
      <c r="H1439" s="2371" t="s">
        <v>3973</v>
      </c>
      <c r="I1439" s="4"/>
      <c r="J1439" s="639"/>
      <c r="K1439" s="639"/>
      <c r="L1439" s="1779"/>
      <c r="M1439" s="1014"/>
      <c r="N1439" s="2075"/>
      <c r="O1439" s="2075"/>
      <c r="P1439" s="756"/>
      <c r="Q1439" s="756"/>
      <c r="R1439" s="634"/>
      <c r="S1439" s="634"/>
      <c r="T1439" s="634"/>
      <c r="U1439" s="634"/>
      <c r="V1439" s="634"/>
      <c r="W1439" s="634"/>
      <c r="X1439" s="1757"/>
      <c r="Y1439" s="2081"/>
      <c r="Z1439" s="2083"/>
      <c r="AA1439" s="1526"/>
      <c r="AB1439" s="634"/>
      <c r="AC1439" s="970"/>
      <c r="AD1439" s="970"/>
      <c r="AE1439" s="970"/>
      <c r="AF1439" s="634"/>
      <c r="AG1439" s="634"/>
      <c r="AH1439" s="634"/>
      <c r="AI1439" s="634"/>
      <c r="AJ1439" s="634"/>
      <c r="AK1439" s="634"/>
      <c r="AL1439" s="1336"/>
      <c r="AM1439" s="1336"/>
      <c r="AN1439" s="1336"/>
      <c r="AO1439" s="1336"/>
      <c r="AP1439" s="1336"/>
      <c r="AQ1439" s="1336"/>
      <c r="AR1439" s="1336"/>
      <c r="AS1439" s="1336"/>
      <c r="AT1439" s="634"/>
      <c r="AU1439" s="634"/>
      <c r="AV1439" s="634"/>
      <c r="AW1439" s="634"/>
      <c r="AX1439" s="634"/>
      <c r="AY1439" s="634"/>
      <c r="AZ1439" s="634"/>
      <c r="BA1439" s="634"/>
      <c r="BB1439" s="634"/>
      <c r="BC1439" s="634"/>
      <c r="BD1439" s="634"/>
      <c r="BE1439" s="634"/>
      <c r="BF1439" s="634"/>
      <c r="BG1439" s="634"/>
      <c r="BH1439" s="634"/>
      <c r="BI1439" s="634"/>
    </row>
    <row r="1440" spans="1:61" x14ac:dyDescent="0.25">
      <c r="A1440" s="2371">
        <v>7</v>
      </c>
      <c r="B1440" s="2385" t="s">
        <v>1017</v>
      </c>
      <c r="C1440" s="2395" t="s">
        <v>258</v>
      </c>
      <c r="D1440" s="2374"/>
      <c r="E1440" s="2374"/>
      <c r="F1440" s="2374"/>
      <c r="G1440" s="2373" t="str">
        <f ca="1">G1439</f>
        <v/>
      </c>
      <c r="H1440" s="2371" t="s">
        <v>3973</v>
      </c>
      <c r="I1440" s="4"/>
      <c r="J1440" s="639"/>
      <c r="K1440" s="639"/>
      <c r="L1440" s="1779"/>
      <c r="M1440" s="1014"/>
      <c r="N1440" s="2075"/>
      <c r="O1440" s="2075"/>
      <c r="P1440" s="756"/>
      <c r="Q1440" s="756"/>
      <c r="R1440" s="634"/>
      <c r="S1440" s="634"/>
      <c r="T1440" s="634"/>
      <c r="U1440" s="634"/>
      <c r="V1440" s="634"/>
      <c r="W1440" s="634"/>
      <c r="X1440" s="1757"/>
      <c r="Y1440" s="2081"/>
      <c r="Z1440" s="2083"/>
      <c r="AA1440" s="1526"/>
      <c r="AB1440" s="634"/>
      <c r="AC1440" s="970"/>
      <c r="AD1440" s="970"/>
      <c r="AE1440" s="970"/>
      <c r="AF1440" s="634"/>
      <c r="AG1440" s="634"/>
      <c r="AH1440" s="634"/>
      <c r="AI1440" s="634"/>
      <c r="AJ1440" s="634"/>
      <c r="AK1440" s="634"/>
      <c r="AL1440" s="1336"/>
      <c r="AM1440" s="1336"/>
      <c r="AN1440" s="1336"/>
      <c r="AO1440" s="1336"/>
      <c r="AP1440" s="1336"/>
      <c r="AQ1440" s="1336"/>
      <c r="AR1440" s="1336"/>
      <c r="AS1440" s="1336"/>
      <c r="AT1440" s="634"/>
      <c r="AU1440" s="634"/>
      <c r="AV1440" s="634"/>
      <c r="AW1440" s="634"/>
      <c r="AX1440" s="634"/>
      <c r="AY1440" s="634"/>
      <c r="AZ1440" s="634"/>
      <c r="BA1440" s="634"/>
      <c r="BB1440" s="634"/>
      <c r="BC1440" s="634"/>
      <c r="BD1440" s="634"/>
      <c r="BE1440" s="634"/>
      <c r="BF1440" s="634"/>
      <c r="BG1440" s="634"/>
      <c r="BH1440" s="634"/>
      <c r="BI1440" s="634"/>
    </row>
    <row r="1441" spans="1:61" x14ac:dyDescent="0.25">
      <c r="A1441" s="2371">
        <v>7</v>
      </c>
      <c r="B1441" s="2385" t="s">
        <v>1017</v>
      </c>
      <c r="C1441" s="2395" t="s">
        <v>258</v>
      </c>
      <c r="D1441" s="2374" t="s">
        <v>121</v>
      </c>
      <c r="E1441" s="2374"/>
      <c r="F1441" s="2374"/>
      <c r="G1441" s="2373" t="str">
        <f ca="1">G1440</f>
        <v/>
      </c>
      <c r="H1441" s="2375" t="s">
        <v>3973</v>
      </c>
      <c r="I1441" s="129"/>
      <c r="J1441" s="636"/>
      <c r="K1441" s="518" t="s">
        <v>121</v>
      </c>
      <c r="L1441" s="1162" t="s">
        <v>1021</v>
      </c>
      <c r="M1441" s="1010">
        <v>2</v>
      </c>
      <c r="N1441" s="1042"/>
      <c r="O1441" s="1042"/>
      <c r="P1441" s="756"/>
      <c r="Q1441" s="756"/>
      <c r="R1441" s="634"/>
      <c r="S1441" s="634"/>
      <c r="T1441" s="634"/>
      <c r="U1441" s="634"/>
      <c r="V1441" s="634"/>
      <c r="W1441" s="634"/>
      <c r="X1441" s="1757"/>
      <c r="Y1441" s="2081"/>
      <c r="Z1441" s="2083"/>
      <c r="AA1441" s="1526"/>
      <c r="AB1441" s="634"/>
      <c r="AC1441" s="970"/>
      <c r="AD1441" s="970"/>
      <c r="AE1441" s="970"/>
      <c r="AF1441" s="634"/>
      <c r="AG1441" s="634"/>
      <c r="AH1441" s="634"/>
      <c r="AI1441" s="634"/>
      <c r="AJ1441" s="634"/>
      <c r="AK1441" s="634"/>
      <c r="AL1441" s="254" t="str">
        <f>SUBSTITUTE(SUBSTITUTE(SUBSTITUTE("vpa"&amp;$B1441&amp;$C1441&amp;$D1441&amp;$E1441,".","_"),"(","_"),")","")</f>
        <v>vpa705_2_1_3_2_a</v>
      </c>
      <c r="AM1441" s="254">
        <f>M1441</f>
        <v>2</v>
      </c>
      <c r="AN1441" s="1336"/>
      <c r="AO1441" s="1336"/>
      <c r="AP1441" s="1336"/>
      <c r="AQ1441" s="1336"/>
      <c r="AR1441" s="1336"/>
      <c r="AS1441" s="1336"/>
      <c r="AT1441" s="634"/>
      <c r="AU1441" s="634"/>
      <c r="AV1441" s="634"/>
      <c r="AW1441" s="634"/>
      <c r="AX1441" s="634"/>
      <c r="AY1441" s="634"/>
      <c r="AZ1441" s="634"/>
      <c r="BA1441" s="634"/>
      <c r="BB1441" s="634"/>
      <c r="BC1441" s="634"/>
      <c r="BD1441" s="634"/>
      <c r="BE1441" s="634"/>
      <c r="BF1441" s="634"/>
      <c r="BG1441" s="634"/>
      <c r="BH1441" s="634"/>
      <c r="BI1441" s="634"/>
    </row>
    <row r="1442" spans="1:61" x14ac:dyDescent="0.25">
      <c r="A1442" s="2371">
        <v>7</v>
      </c>
      <c r="B1442" s="2385" t="s">
        <v>1017</v>
      </c>
      <c r="C1442" s="2395" t="s">
        <v>258</v>
      </c>
      <c r="D1442" s="2374" t="s">
        <v>122</v>
      </c>
      <c r="E1442" s="2374"/>
      <c r="F1442" s="2374"/>
      <c r="G1442" s="2373" t="str">
        <f ca="1">G1441</f>
        <v/>
      </c>
      <c r="H1442" s="2375" t="s">
        <v>3973</v>
      </c>
      <c r="I1442" s="210"/>
      <c r="J1442" s="637"/>
      <c r="K1442" s="530" t="s">
        <v>122</v>
      </c>
      <c r="L1442" s="1163" t="s">
        <v>1022</v>
      </c>
      <c r="M1442" s="1015">
        <v>3</v>
      </c>
      <c r="N1442" s="1047"/>
      <c r="O1442" s="1047"/>
      <c r="P1442" s="756"/>
      <c r="Q1442" s="756"/>
      <c r="R1442" s="634"/>
      <c r="S1442" s="634"/>
      <c r="T1442" s="634"/>
      <c r="U1442" s="634"/>
      <c r="V1442" s="634"/>
      <c r="W1442" s="634"/>
      <c r="X1442" s="1757"/>
      <c r="Y1442" s="2081"/>
      <c r="Z1442" s="2083"/>
      <c r="AA1442" s="1526"/>
      <c r="AB1442" s="634"/>
      <c r="AC1442" s="970"/>
      <c r="AD1442" s="970"/>
      <c r="AE1442" s="970"/>
      <c r="AF1442" s="634"/>
      <c r="AG1442" s="634"/>
      <c r="AH1442" s="634"/>
      <c r="AI1442" s="634"/>
      <c r="AJ1442" s="634"/>
      <c r="AK1442" s="634"/>
      <c r="AL1442" s="254" t="str">
        <f>SUBSTITUTE(SUBSTITUTE(SUBSTITUTE("vpa"&amp;$B1442&amp;$C1442&amp;$D1442&amp;$E1442,".","_"),"(","_"),")","")</f>
        <v>vpa705_2_1_3_2_b</v>
      </c>
      <c r="AM1442" s="254">
        <f>M1442</f>
        <v>3</v>
      </c>
      <c r="AN1442" s="1336"/>
      <c r="AO1442" s="1336"/>
      <c r="AP1442" s="1336"/>
      <c r="AQ1442" s="1336"/>
      <c r="AR1442" s="1336"/>
      <c r="AS1442" s="1336"/>
      <c r="AT1442" s="634"/>
      <c r="AU1442" s="634"/>
      <c r="AV1442" s="634"/>
      <c r="AW1442" s="634"/>
      <c r="AX1442" s="634"/>
      <c r="AY1442" s="634"/>
      <c r="AZ1442" s="634"/>
      <c r="BA1442" s="634"/>
      <c r="BB1442" s="634"/>
      <c r="BC1442" s="634"/>
      <c r="BD1442" s="634"/>
      <c r="BE1442" s="634"/>
      <c r="BF1442" s="634"/>
      <c r="BG1442" s="634"/>
      <c r="BH1442" s="634"/>
      <c r="BI1442" s="634"/>
    </row>
    <row r="1443" spans="1:61" x14ac:dyDescent="0.25">
      <c r="A1443" s="2371">
        <v>7</v>
      </c>
      <c r="B1443" s="2385" t="s">
        <v>1023</v>
      </c>
      <c r="C1443" s="2374"/>
      <c r="D1443" s="2374"/>
      <c r="E1443" s="2374"/>
      <c r="F1443" s="2374"/>
      <c r="G1443" s="2373" t="str">
        <f ca="1">IF(N1443&gt;0,"P","")</f>
        <v/>
      </c>
      <c r="H1443" s="2371" t="s">
        <v>3973</v>
      </c>
      <c r="I1443" s="66" t="s">
        <v>1023</v>
      </c>
      <c r="J1443" s="639"/>
      <c r="K1443" s="639"/>
      <c r="L1443" s="1796" t="s">
        <v>1024</v>
      </c>
      <c r="M1443" s="1014"/>
      <c r="N1443" s="2075">
        <f ca="1">'Ch7'!O573</f>
        <v>0</v>
      </c>
      <c r="O1443" s="2075">
        <f ca="1">IFERROR(INDEX({2,3},MATCH(W1443,INDIRECT(U1443),0)),0)*S1443</f>
        <v>0</v>
      </c>
      <c r="P1443" s="94" t="b">
        <v>0</v>
      </c>
      <c r="Q1443" s="94" t="b">
        <v>1</v>
      </c>
      <c r="R1443" s="634" t="b">
        <v>0</v>
      </c>
      <c r="S1443" s="634" t="b">
        <f ca="1">IF(AY889=INDEX(INDIRECT("ddSingleOrMulti"),2),TRUE,FALSE)</f>
        <v>0</v>
      </c>
      <c r="T1443" s="94" t="b">
        <f ca="1">AND(NOT(S1443),LEN(W1443)&gt;0)</f>
        <v>0</v>
      </c>
      <c r="U1443" s="94" t="str">
        <f>SUBSTITUTE(SUBSTITUTE(SUBSTITUTE("dd"&amp;B1443&amp;C1443&amp;D1443&amp;E1443&amp;F1443,".","_"),"(","_"),")","")</f>
        <v>dd705_2_1_4</v>
      </c>
      <c r="V1443" s="634"/>
      <c r="W1443" s="12"/>
      <c r="X1443" s="1757"/>
      <c r="Y1443" s="2081" t="str">
        <f>IF(LEN('Ch7'!X573)=0,"None",'Ch7'!X573)</f>
        <v>None</v>
      </c>
      <c r="Z1443" s="2083"/>
      <c r="AA1443" s="1526"/>
      <c r="AB1443" s="634"/>
      <c r="AC1443" s="970" t="b">
        <f ca="1">OR(AD1443:AE1443)</f>
        <v>0</v>
      </c>
      <c r="AD1443" s="970" t="b">
        <f ca="1">T1443</f>
        <v>0</v>
      </c>
      <c r="AE1443" s="970"/>
      <c r="AF1443" s="784"/>
      <c r="AG1443" s="634"/>
      <c r="AH1443" s="634"/>
      <c r="AI1443" s="634"/>
      <c r="AJ1443" s="634"/>
      <c r="AK1443" s="634"/>
      <c r="AL1443" s="1336"/>
      <c r="AM1443" s="1336"/>
      <c r="AN1443" s="254" t="str">
        <f>SUBSTITUTE(SUBSTITUTE(SUBSTITUTE("vpc"&amp;$B1443&amp;$C1443&amp;$D1443&amp;$E1443,".","_"),"(","_"),")","")</f>
        <v>vpc705_2_1_4</v>
      </c>
      <c r="AO1443" s="254">
        <f ca="1">O1443</f>
        <v>0</v>
      </c>
      <c r="AP1443" s="254" t="str">
        <f>SUBSTITUTE(SUBSTITUTE(SUBSTITUTE("vch"&amp;$B1443&amp;$C1443&amp;$D1443&amp;$E1443,".","_"),"(","_"),")","")</f>
        <v>vch705_2_1_4</v>
      </c>
      <c r="AQ1443" s="254" t="str">
        <f>IF(LEN(W1443)=0,"",W1443)</f>
        <v/>
      </c>
      <c r="AR1443" s="254" t="str">
        <f>SUBSTITUTE(SUBSTITUTE(SUBSTITUTE("vnt"&amp;$B1443&amp;$C1443&amp;$D1443&amp;$E1443,".","_"),"(","_"),")","")</f>
        <v>vnt705_2_1_4</v>
      </c>
      <c r="AS1443" s="254" t="str">
        <f>IF(LEN(X1443)=0,"",X1443)</f>
        <v/>
      </c>
      <c r="AT1443" s="634"/>
      <c r="AU1443" s="634"/>
      <c r="AV1443" s="634"/>
      <c r="AW1443" s="634"/>
      <c r="AX1443" s="634"/>
      <c r="AY1443" s="634"/>
      <c r="AZ1443" s="634"/>
      <c r="BA1443" s="634"/>
      <c r="BB1443" s="634"/>
      <c r="BC1443" s="634"/>
      <c r="BD1443" s="634"/>
      <c r="BE1443" s="634"/>
      <c r="BF1443" s="634"/>
      <c r="BG1443" s="634"/>
      <c r="BH1443" s="634"/>
      <c r="BI1443" s="634"/>
    </row>
    <row r="1444" spans="1:61" x14ac:dyDescent="0.25">
      <c r="A1444" s="2371">
        <v>7</v>
      </c>
      <c r="B1444" s="2385" t="s">
        <v>1023</v>
      </c>
      <c r="C1444" s="2374"/>
      <c r="D1444" s="2374"/>
      <c r="E1444" s="2374"/>
      <c r="F1444" s="2374"/>
      <c r="G1444" s="2373" t="str">
        <f ca="1">G1443</f>
        <v/>
      </c>
      <c r="H1444" s="2371" t="s">
        <v>3973</v>
      </c>
      <c r="I1444" s="4"/>
      <c r="J1444" s="639"/>
      <c r="K1444" s="639"/>
      <c r="L1444" s="1796"/>
      <c r="M1444" s="1014"/>
      <c r="N1444" s="2075"/>
      <c r="O1444" s="2075"/>
      <c r="P1444" s="756"/>
      <c r="Q1444" s="756"/>
      <c r="R1444" s="634"/>
      <c r="S1444" s="634"/>
      <c r="T1444" s="634"/>
      <c r="U1444" s="634"/>
      <c r="V1444" s="634"/>
      <c r="W1444" s="634"/>
      <c r="X1444" s="1757"/>
      <c r="Y1444" s="2081"/>
      <c r="Z1444" s="2083"/>
      <c r="AA1444" s="1526"/>
      <c r="AB1444" s="634"/>
      <c r="AC1444" s="970"/>
      <c r="AD1444" s="970"/>
      <c r="AE1444" s="970"/>
      <c r="AF1444" s="634"/>
      <c r="AG1444" s="634"/>
      <c r="AH1444" s="634"/>
      <c r="AI1444" s="634"/>
      <c r="AJ1444" s="634"/>
      <c r="AK1444" s="634"/>
      <c r="AL1444" s="1336"/>
      <c r="AM1444" s="1336"/>
      <c r="AN1444" s="1336"/>
      <c r="AO1444" s="1336"/>
      <c r="AP1444" s="1336"/>
      <c r="AQ1444" s="1336"/>
      <c r="AR1444" s="1336"/>
      <c r="AS1444" s="1336"/>
      <c r="AT1444" s="634"/>
      <c r="AU1444" s="634"/>
      <c r="AV1444" s="634"/>
      <c r="AW1444" s="634"/>
      <c r="AX1444" s="634"/>
      <c r="AY1444" s="634"/>
      <c r="AZ1444" s="634"/>
      <c r="BA1444" s="634"/>
      <c r="BB1444" s="634"/>
      <c r="BC1444" s="634"/>
      <c r="BD1444" s="634"/>
      <c r="BE1444" s="634"/>
      <c r="BF1444" s="634"/>
      <c r="BG1444" s="634"/>
      <c r="BH1444" s="634"/>
      <c r="BI1444" s="634"/>
    </row>
    <row r="1445" spans="1:61" x14ac:dyDescent="0.25">
      <c r="A1445" s="2371">
        <v>7</v>
      </c>
      <c r="B1445" s="2385" t="s">
        <v>1023</v>
      </c>
      <c r="C1445" s="2374"/>
      <c r="D1445" s="2374"/>
      <c r="E1445" s="2374"/>
      <c r="F1445" s="2374"/>
      <c r="G1445" s="2373" t="str">
        <f ca="1">G1444</f>
        <v/>
      </c>
      <c r="H1445" s="2371" t="s">
        <v>3973</v>
      </c>
      <c r="I1445" s="4"/>
      <c r="J1445" s="639"/>
      <c r="K1445" s="639"/>
      <c r="L1445" s="1796"/>
      <c r="M1445" s="1014"/>
      <c r="N1445" s="2075"/>
      <c r="O1445" s="2075"/>
      <c r="P1445" s="756"/>
      <c r="Q1445" s="756"/>
      <c r="R1445" s="634"/>
      <c r="S1445" s="634"/>
      <c r="T1445" s="634"/>
      <c r="U1445" s="634"/>
      <c r="V1445" s="634"/>
      <c r="W1445" s="634"/>
      <c r="X1445" s="1757"/>
      <c r="Y1445" s="2081"/>
      <c r="Z1445" s="2083"/>
      <c r="AA1445" s="1526"/>
      <c r="AB1445" s="634"/>
      <c r="AC1445" s="970"/>
      <c r="AD1445" s="970"/>
      <c r="AE1445" s="970"/>
      <c r="AF1445" s="634"/>
      <c r="AG1445" s="634"/>
      <c r="AH1445" s="634"/>
      <c r="AI1445" s="634"/>
      <c r="AJ1445" s="634"/>
      <c r="AK1445" s="634"/>
      <c r="AL1445" s="1336"/>
      <c r="AM1445" s="1336"/>
      <c r="AN1445" s="1336"/>
      <c r="AO1445" s="1336"/>
      <c r="AP1445" s="1336"/>
      <c r="AQ1445" s="1336"/>
      <c r="AR1445" s="1336"/>
      <c r="AS1445" s="1336"/>
      <c r="AT1445" s="634"/>
      <c r="AU1445" s="634"/>
      <c r="AV1445" s="634"/>
      <c r="AW1445" s="634"/>
      <c r="AX1445" s="634"/>
      <c r="AY1445" s="634"/>
      <c r="AZ1445" s="634"/>
      <c r="BA1445" s="634"/>
      <c r="BB1445" s="634"/>
      <c r="BC1445" s="634"/>
      <c r="BD1445" s="634"/>
      <c r="BE1445" s="634"/>
      <c r="BF1445" s="634"/>
      <c r="BG1445" s="634"/>
      <c r="BH1445" s="634"/>
      <c r="BI1445" s="634"/>
    </row>
    <row r="1446" spans="1:61" x14ac:dyDescent="0.25">
      <c r="A1446" s="2371">
        <v>7</v>
      </c>
      <c r="B1446" s="2385" t="s">
        <v>1023</v>
      </c>
      <c r="C1446" s="2395" t="s">
        <v>256</v>
      </c>
      <c r="D1446" s="2374"/>
      <c r="E1446" s="2374"/>
      <c r="F1446" s="2374"/>
      <c r="G1446" s="2373" t="str">
        <f ca="1">G1445</f>
        <v/>
      </c>
      <c r="H1446" s="2371" t="s">
        <v>3973</v>
      </c>
      <c r="I1446" s="4"/>
      <c r="J1446" s="544" t="s">
        <v>256</v>
      </c>
      <c r="K1446" s="637"/>
      <c r="L1446" s="1163" t="s">
        <v>1021</v>
      </c>
      <c r="M1446" s="1014">
        <v>2</v>
      </c>
      <c r="N1446" s="1042"/>
      <c r="O1446" s="1042"/>
      <c r="P1446" s="756"/>
      <c r="Q1446" s="756"/>
      <c r="R1446" s="634"/>
      <c r="S1446" s="634"/>
      <c r="T1446" s="634"/>
      <c r="U1446" s="634"/>
      <c r="V1446" s="634"/>
      <c r="W1446" s="634"/>
      <c r="X1446" s="1757"/>
      <c r="Y1446" s="2081"/>
      <c r="Z1446" s="2083"/>
      <c r="AA1446" s="1526"/>
      <c r="AB1446" s="634"/>
      <c r="AC1446" s="970"/>
      <c r="AD1446" s="970"/>
      <c r="AE1446" s="970"/>
      <c r="AF1446" s="634"/>
      <c r="AG1446" s="634"/>
      <c r="AH1446" s="634"/>
      <c r="AI1446" s="634"/>
      <c r="AJ1446" s="634"/>
      <c r="AK1446" s="634"/>
      <c r="AL1446" s="254" t="str">
        <f>SUBSTITUTE(SUBSTITUTE(SUBSTITUTE("vpa"&amp;$B1446&amp;$C1446&amp;$D1446&amp;$E1446,".","_"),"(","_"),")","")</f>
        <v>vpa705_2_1_4_1</v>
      </c>
      <c r="AM1446" s="254">
        <f>M1446</f>
        <v>2</v>
      </c>
      <c r="AN1446" s="1336"/>
      <c r="AO1446" s="1336"/>
      <c r="AP1446" s="1336"/>
      <c r="AQ1446" s="1336"/>
      <c r="AR1446" s="1336"/>
      <c r="AS1446" s="1336"/>
      <c r="AT1446" s="634"/>
      <c r="AU1446" s="634"/>
      <c r="AV1446" s="634"/>
      <c r="AW1446" s="634"/>
      <c r="AX1446" s="634"/>
      <c r="AY1446" s="634"/>
      <c r="AZ1446" s="634"/>
      <c r="BA1446" s="634"/>
      <c r="BB1446" s="634"/>
      <c r="BC1446" s="634"/>
      <c r="BD1446" s="634"/>
      <c r="BE1446" s="634"/>
      <c r="BF1446" s="634"/>
      <c r="BG1446" s="634"/>
      <c r="BH1446" s="634"/>
      <c r="BI1446" s="634"/>
    </row>
    <row r="1447" spans="1:61" x14ac:dyDescent="0.25">
      <c r="A1447" s="2371">
        <v>7</v>
      </c>
      <c r="B1447" s="2385" t="s">
        <v>1023</v>
      </c>
      <c r="C1447" s="2395" t="s">
        <v>258</v>
      </c>
      <c r="D1447" s="2374"/>
      <c r="E1447" s="2374"/>
      <c r="F1447" s="2374"/>
      <c r="G1447" s="2373" t="str">
        <f ca="1">G1446</f>
        <v/>
      </c>
      <c r="H1447" s="2371" t="s">
        <v>3973</v>
      </c>
      <c r="I1447" s="210"/>
      <c r="J1447" s="544" t="s">
        <v>258</v>
      </c>
      <c r="K1447" s="637"/>
      <c r="L1447" s="1163" t="s">
        <v>1025</v>
      </c>
      <c r="M1447" s="1015">
        <v>3</v>
      </c>
      <c r="N1447" s="1047"/>
      <c r="O1447" s="1047"/>
      <c r="P1447" s="756"/>
      <c r="Q1447" s="756"/>
      <c r="R1447" s="634"/>
      <c r="S1447" s="634"/>
      <c r="T1447" s="634"/>
      <c r="U1447" s="634"/>
      <c r="V1447" s="634"/>
      <c r="W1447" s="634"/>
      <c r="X1447" s="1757"/>
      <c r="Y1447" s="2081"/>
      <c r="Z1447" s="2083"/>
      <c r="AA1447" s="1526"/>
      <c r="AB1447" s="634"/>
      <c r="AC1447" s="970"/>
      <c r="AD1447" s="970"/>
      <c r="AE1447" s="970"/>
      <c r="AF1447" s="634"/>
      <c r="AG1447" s="634"/>
      <c r="AH1447" s="634"/>
      <c r="AI1447" s="634"/>
      <c r="AJ1447" s="634"/>
      <c r="AK1447" s="634"/>
      <c r="AL1447" s="254" t="str">
        <f>SUBSTITUTE(SUBSTITUTE(SUBSTITUTE("vpa"&amp;$B1447&amp;$C1447&amp;$D1447&amp;$E1447,".","_"),"(","_"),")","")</f>
        <v>vpa705_2_1_4_2</v>
      </c>
      <c r="AM1447" s="254">
        <f>M1447</f>
        <v>3</v>
      </c>
      <c r="AN1447" s="1336"/>
      <c r="AO1447" s="1336"/>
      <c r="AP1447" s="1336"/>
      <c r="AQ1447" s="1336"/>
      <c r="AR1447" s="1336"/>
      <c r="AS1447" s="1336"/>
      <c r="AT1447" s="634"/>
      <c r="AU1447" s="634"/>
      <c r="AV1447" s="634"/>
      <c r="AW1447" s="634"/>
      <c r="AX1447" s="634"/>
      <c r="AY1447" s="634"/>
      <c r="AZ1447" s="634"/>
      <c r="BA1447" s="634"/>
      <c r="BB1447" s="634"/>
      <c r="BC1447" s="634"/>
      <c r="BD1447" s="634"/>
      <c r="BE1447" s="634"/>
      <c r="BF1447" s="634"/>
      <c r="BG1447" s="634"/>
      <c r="BH1447" s="634"/>
      <c r="BI1447" s="634"/>
    </row>
    <row r="1448" spans="1:61" x14ac:dyDescent="0.25">
      <c r="A1448" s="2371">
        <v>7</v>
      </c>
      <c r="B1448" s="2385" t="s">
        <v>1026</v>
      </c>
      <c r="C1448" s="2381"/>
      <c r="D1448" s="2374"/>
      <c r="E1448" s="2374"/>
      <c r="F1448" s="2374"/>
      <c r="G1448" s="2373" t="str">
        <f>IF(N1448&gt;0,"P","")</f>
        <v/>
      </c>
      <c r="H1448" s="2371" t="s">
        <v>3971</v>
      </c>
      <c r="I1448" s="533" t="s">
        <v>1026</v>
      </c>
      <c r="J1448" s="641"/>
      <c r="K1448" s="641"/>
      <c r="L1448" s="1864" t="s">
        <v>1027</v>
      </c>
      <c r="M1448" s="1762">
        <v>2</v>
      </c>
      <c r="N1448" s="2079">
        <f>'Ch7'!O578</f>
        <v>0</v>
      </c>
      <c r="O1448" s="2079">
        <f>M1448*S1448*W1448</f>
        <v>0</v>
      </c>
      <c r="P1448" s="94" t="b">
        <v>1</v>
      </c>
      <c r="Q1448" s="94" t="b">
        <v>1</v>
      </c>
      <c r="R1448" s="634" t="b">
        <v>0</v>
      </c>
      <c r="S1448" s="634" t="b">
        <v>1</v>
      </c>
      <c r="T1448" s="94" t="b">
        <v>0</v>
      </c>
      <c r="U1448" s="634"/>
      <c r="V1448" s="634"/>
      <c r="W1448" s="25"/>
      <c r="X1448" s="1757"/>
      <c r="Y1448" s="2081" t="str">
        <f>IF(LEN('Ch7'!X578)=0,"None",'Ch7'!X578)</f>
        <v>None</v>
      </c>
      <c r="Z1448" s="2083"/>
      <c r="AA1448" s="1526"/>
      <c r="AB1448" s="634"/>
      <c r="AC1448" s="970"/>
      <c r="AD1448" s="970"/>
      <c r="AE1448" s="970"/>
      <c r="AF1448" s="784"/>
      <c r="AG1448" s="634"/>
      <c r="AH1448" s="634"/>
      <c r="AI1448" s="634"/>
      <c r="AJ1448" s="634"/>
      <c r="AK1448" s="634"/>
      <c r="AL1448" s="254" t="str">
        <f>SUBSTITUTE(SUBSTITUTE(SUBSTITUTE("vpa"&amp;$B1448&amp;$C1448&amp;$D1448&amp;$E1448,".","_"),"(","_"),")","")</f>
        <v>vpa705_2_2</v>
      </c>
      <c r="AM1448" s="254">
        <f>M1448</f>
        <v>2</v>
      </c>
      <c r="AN1448" s="254" t="str">
        <f>SUBSTITUTE(SUBSTITUTE(SUBSTITUTE("vpc"&amp;$B1448&amp;$C1448&amp;$D1448&amp;$E1448,".","_"),"(","_"),")","")</f>
        <v>vpc705_2_2</v>
      </c>
      <c r="AO1448" s="254">
        <f>O1448</f>
        <v>0</v>
      </c>
      <c r="AP1448" s="254" t="str">
        <f>SUBSTITUTE(SUBSTITUTE(SUBSTITUTE("vch"&amp;$B1448&amp;$C1448&amp;$D1448&amp;$E1448,".","_"),"(","_"),")","")</f>
        <v>vch705_2_2</v>
      </c>
      <c r="AQ1448" s="254" t="str">
        <f>IF(LEN(W1448)=0,"",W1448)</f>
        <v/>
      </c>
      <c r="AR1448" s="254" t="str">
        <f>SUBSTITUTE(SUBSTITUTE(SUBSTITUTE("vnt"&amp;$B1448&amp;$C1448&amp;$D1448&amp;$E1448,".","_"),"(","_"),")","")</f>
        <v>vnt705_2_2</v>
      </c>
      <c r="AS1448" s="254" t="str">
        <f>IF(LEN(X1448)=0,"",X1448)</f>
        <v/>
      </c>
      <c r="AT1448" s="634"/>
      <c r="AU1448" s="634"/>
      <c r="AV1448" s="634"/>
      <c r="AW1448" s="634"/>
      <c r="AX1448" s="634"/>
      <c r="AY1448" s="634"/>
      <c r="AZ1448" s="634"/>
      <c r="BA1448" s="634"/>
      <c r="BB1448" s="634"/>
      <c r="BC1448" s="634"/>
      <c r="BD1448" s="634"/>
      <c r="BE1448" s="634"/>
      <c r="BF1448" s="634"/>
      <c r="BG1448" s="634"/>
      <c r="BH1448" s="634"/>
      <c r="BI1448" s="634"/>
    </row>
    <row r="1449" spans="1:61" x14ac:dyDescent="0.25">
      <c r="A1449" s="2371">
        <v>7</v>
      </c>
      <c r="B1449" s="2385" t="s">
        <v>1026</v>
      </c>
      <c r="C1449" s="2381"/>
      <c r="D1449" s="2374"/>
      <c r="E1449" s="2374"/>
      <c r="F1449" s="2374"/>
      <c r="G1449" s="2373" t="str">
        <f>G1448</f>
        <v/>
      </c>
      <c r="H1449" s="2371" t="s">
        <v>3971</v>
      </c>
      <c r="I1449" s="129"/>
      <c r="J1449" s="636"/>
      <c r="K1449" s="636"/>
      <c r="L1449" s="1782"/>
      <c r="M1449" s="1758"/>
      <c r="N1449" s="1927"/>
      <c r="O1449" s="1927"/>
      <c r="P1449" s="756"/>
      <c r="Q1449" s="756"/>
      <c r="R1449" s="634"/>
      <c r="S1449" s="634"/>
      <c r="T1449" s="634"/>
      <c r="U1449" s="634"/>
      <c r="V1449" s="634"/>
      <c r="W1449" s="634"/>
      <c r="X1449" s="1757"/>
      <c r="Y1449" s="2081"/>
      <c r="Z1449" s="2083"/>
      <c r="AA1449" s="1526"/>
      <c r="AB1449" s="634"/>
      <c r="AC1449" s="970"/>
      <c r="AD1449" s="970"/>
      <c r="AE1449" s="970"/>
      <c r="AF1449" s="634"/>
      <c r="AG1449" s="634"/>
      <c r="AH1449" s="634"/>
      <c r="AI1449" s="634"/>
      <c r="AJ1449" s="634"/>
      <c r="AK1449" s="634"/>
      <c r="AL1449" s="1336"/>
      <c r="AM1449" s="1336"/>
      <c r="AN1449" s="1336"/>
      <c r="AO1449" s="1336"/>
      <c r="AP1449" s="1336"/>
      <c r="AQ1449" s="1336"/>
      <c r="AR1449" s="1336"/>
      <c r="AS1449" s="1336"/>
      <c r="AT1449" s="634"/>
      <c r="AU1449" s="634"/>
      <c r="AV1449" s="634"/>
      <c r="AW1449" s="634"/>
      <c r="AX1449" s="634"/>
      <c r="AY1449" s="634"/>
      <c r="AZ1449" s="634"/>
      <c r="BA1449" s="634"/>
      <c r="BB1449" s="634"/>
      <c r="BC1449" s="634"/>
      <c r="BD1449" s="634"/>
      <c r="BE1449" s="634"/>
      <c r="BF1449" s="634"/>
      <c r="BG1449" s="634"/>
      <c r="BH1449" s="634"/>
      <c r="BI1449" s="634"/>
    </row>
    <row r="1450" spans="1:61" x14ac:dyDescent="0.25">
      <c r="A1450" s="2371">
        <v>7</v>
      </c>
      <c r="B1450" s="2385" t="s">
        <v>1026</v>
      </c>
      <c r="C1450" s="2381"/>
      <c r="D1450" s="2374"/>
      <c r="E1450" s="2374"/>
      <c r="F1450" s="2374"/>
      <c r="G1450" s="2373" t="str">
        <f>G1449</f>
        <v/>
      </c>
      <c r="H1450" s="2371" t="s">
        <v>3971</v>
      </c>
      <c r="I1450" s="210"/>
      <c r="J1450" s="637"/>
      <c r="K1450" s="637"/>
      <c r="L1450" s="1186" t="s">
        <v>931</v>
      </c>
      <c r="M1450" s="1015"/>
      <c r="N1450" s="1047"/>
      <c r="O1450" s="1047"/>
      <c r="P1450" s="756"/>
      <c r="Q1450" s="756"/>
      <c r="R1450" s="634"/>
      <c r="S1450" s="634"/>
      <c r="T1450" s="634"/>
      <c r="U1450" s="634"/>
      <c r="V1450" s="634"/>
      <c r="W1450" s="634"/>
      <c r="X1450" s="1757"/>
      <c r="Y1450" s="2081"/>
      <c r="Z1450" s="2083"/>
      <c r="AA1450" s="1526"/>
      <c r="AB1450" s="634"/>
      <c r="AC1450" s="970"/>
      <c r="AD1450" s="970"/>
      <c r="AE1450" s="970"/>
      <c r="AF1450" s="634"/>
      <c r="AG1450" s="634"/>
      <c r="AH1450" s="634"/>
      <c r="AI1450" s="634"/>
      <c r="AJ1450" s="634"/>
      <c r="AK1450" s="634"/>
      <c r="AL1450" s="1336"/>
      <c r="AM1450" s="1336"/>
      <c r="AN1450" s="1336"/>
      <c r="AO1450" s="1336"/>
      <c r="AP1450" s="1336"/>
      <c r="AQ1450" s="1336"/>
      <c r="AR1450" s="1336"/>
      <c r="AS1450" s="1336"/>
      <c r="AT1450" s="634"/>
      <c r="AU1450" s="634"/>
      <c r="AV1450" s="634"/>
      <c r="AW1450" s="634"/>
      <c r="AX1450" s="634"/>
      <c r="AY1450" s="634"/>
      <c r="AZ1450" s="634"/>
      <c r="BA1450" s="634"/>
      <c r="BB1450" s="634"/>
      <c r="BC1450" s="634"/>
      <c r="BD1450" s="634"/>
      <c r="BE1450" s="634"/>
      <c r="BF1450" s="634"/>
      <c r="BG1450" s="634"/>
      <c r="BH1450" s="634"/>
      <c r="BI1450" s="634"/>
    </row>
    <row r="1451" spans="1:61" x14ac:dyDescent="0.25">
      <c r="A1451" s="2371">
        <v>7</v>
      </c>
      <c r="B1451" s="2385" t="s">
        <v>1028</v>
      </c>
      <c r="C1451" s="2381"/>
      <c r="D1451" s="2374"/>
      <c r="E1451" s="2374"/>
      <c r="F1451" s="2374"/>
      <c r="G1451" s="2373" t="str">
        <f>IF(N1451&gt;0,"P","")</f>
        <v/>
      </c>
      <c r="H1451" s="2371" t="s">
        <v>3973</v>
      </c>
      <c r="I1451" s="533" t="s">
        <v>1028</v>
      </c>
      <c r="J1451" s="641"/>
      <c r="K1451" s="641"/>
      <c r="L1451" s="1864" t="s">
        <v>1029</v>
      </c>
      <c r="M1451" s="1762">
        <v>1</v>
      </c>
      <c r="N1451" s="2079">
        <f>'Ch7'!O581</f>
        <v>0</v>
      </c>
      <c r="O1451" s="2079">
        <f>M1451*S1451*W1451</f>
        <v>0</v>
      </c>
      <c r="P1451" s="94" t="b">
        <v>0</v>
      </c>
      <c r="Q1451" s="94" t="b">
        <v>1</v>
      </c>
      <c r="R1451" s="634" t="b">
        <v>0</v>
      </c>
      <c r="S1451" s="634" t="b">
        <v>1</v>
      </c>
      <c r="T1451" s="94" t="b">
        <v>0</v>
      </c>
      <c r="U1451" s="634"/>
      <c r="V1451" s="634"/>
      <c r="W1451" s="25"/>
      <c r="X1451" s="1757"/>
      <c r="Y1451" s="2081" t="str">
        <f>IF(LEN('Ch7'!X581)=0,"None",'Ch7'!X581)</f>
        <v>None</v>
      </c>
      <c r="Z1451" s="2083"/>
      <c r="AA1451" s="1526"/>
      <c r="AB1451" s="634"/>
      <c r="AC1451" s="970"/>
      <c r="AD1451" s="970"/>
      <c r="AE1451" s="970"/>
      <c r="AF1451" s="784"/>
      <c r="AG1451" s="634"/>
      <c r="AH1451" s="634"/>
      <c r="AI1451" s="634"/>
      <c r="AJ1451" s="634"/>
      <c r="AK1451" s="634"/>
      <c r="AL1451" s="254" t="str">
        <f>SUBSTITUTE(SUBSTITUTE(SUBSTITUTE("vpa"&amp;$B1451&amp;$C1451&amp;$D1451&amp;$E1451,".","_"),"(","_"),")","")</f>
        <v>vpa705_2_3</v>
      </c>
      <c r="AM1451" s="254">
        <f>M1451</f>
        <v>1</v>
      </c>
      <c r="AN1451" s="254" t="str">
        <f>SUBSTITUTE(SUBSTITUTE(SUBSTITUTE("vpc"&amp;$B1451&amp;$C1451&amp;$D1451&amp;$E1451,".","_"),"(","_"),")","")</f>
        <v>vpc705_2_3</v>
      </c>
      <c r="AO1451" s="254">
        <f>O1451</f>
        <v>0</v>
      </c>
      <c r="AP1451" s="254" t="str">
        <f>SUBSTITUTE(SUBSTITUTE(SUBSTITUTE("vch"&amp;$B1451&amp;$C1451&amp;$D1451&amp;$E1451,".","_"),"(","_"),")","")</f>
        <v>vch705_2_3</v>
      </c>
      <c r="AQ1451" s="254" t="str">
        <f>IF(LEN(W1451)=0,"",W1451)</f>
        <v/>
      </c>
      <c r="AR1451" s="254" t="str">
        <f>SUBSTITUTE(SUBSTITUTE(SUBSTITUTE("vnt"&amp;$B1451&amp;$C1451&amp;$D1451&amp;$E1451,".","_"),"(","_"),")","")</f>
        <v>vnt705_2_3</v>
      </c>
      <c r="AS1451" s="254" t="str">
        <f>IF(LEN(X1451)=0,"",X1451)</f>
        <v/>
      </c>
      <c r="AT1451" s="634"/>
      <c r="AU1451" s="634"/>
      <c r="AV1451" s="634"/>
      <c r="AW1451" s="634"/>
      <c r="AX1451" s="634"/>
      <c r="AY1451" s="634"/>
      <c r="AZ1451" s="634"/>
      <c r="BA1451" s="634"/>
      <c r="BB1451" s="634"/>
      <c r="BC1451" s="634"/>
      <c r="BD1451" s="634"/>
      <c r="BE1451" s="634"/>
      <c r="BF1451" s="634"/>
      <c r="BG1451" s="634"/>
      <c r="BH1451" s="634"/>
      <c r="BI1451" s="634"/>
    </row>
    <row r="1452" spans="1:61" x14ac:dyDescent="0.25">
      <c r="A1452" s="2371">
        <v>7</v>
      </c>
      <c r="B1452" s="2385" t="s">
        <v>1028</v>
      </c>
      <c r="C1452" s="2381"/>
      <c r="D1452" s="2374"/>
      <c r="E1452" s="2374"/>
      <c r="F1452" s="2374"/>
      <c r="G1452" s="2373" t="str">
        <f>G1451</f>
        <v/>
      </c>
      <c r="H1452" s="2371" t="s">
        <v>3973</v>
      </c>
      <c r="I1452" s="210"/>
      <c r="J1452" s="637"/>
      <c r="K1452" s="637"/>
      <c r="L1452" s="1843"/>
      <c r="M1452" s="1759"/>
      <c r="N1452" s="2076"/>
      <c r="O1452" s="2076"/>
      <c r="P1452" s="756"/>
      <c r="Q1452" s="756"/>
      <c r="R1452" s="634"/>
      <c r="S1452" s="634"/>
      <c r="T1452" s="634"/>
      <c r="U1452" s="634"/>
      <c r="V1452" s="634"/>
      <c r="W1452" s="634"/>
      <c r="X1452" s="1757"/>
      <c r="Y1452" s="2081"/>
      <c r="Z1452" s="2083"/>
      <c r="AA1452" s="1526"/>
      <c r="AB1452" s="634"/>
      <c r="AC1452" s="970"/>
      <c r="AD1452" s="970"/>
      <c r="AE1452" s="970"/>
      <c r="AF1452" s="634"/>
      <c r="AG1452" s="634"/>
      <c r="AH1452" s="634"/>
      <c r="AI1452" s="634"/>
      <c r="AJ1452" s="634"/>
      <c r="AK1452" s="634"/>
      <c r="AL1452" s="1336"/>
      <c r="AM1452" s="1336"/>
      <c r="AN1452" s="1336"/>
      <c r="AO1452" s="1336"/>
      <c r="AP1452" s="1336"/>
      <c r="AQ1452" s="1336"/>
      <c r="AR1452" s="1336"/>
      <c r="AS1452" s="1336"/>
      <c r="AT1452" s="634"/>
      <c r="AU1452" s="634"/>
      <c r="AV1452" s="634"/>
      <c r="AW1452" s="634"/>
      <c r="AX1452" s="634"/>
      <c r="AY1452" s="634"/>
      <c r="AZ1452" s="634"/>
      <c r="BA1452" s="634"/>
      <c r="BB1452" s="634"/>
      <c r="BC1452" s="634"/>
      <c r="BD1452" s="634"/>
      <c r="BE1452" s="634"/>
      <c r="BF1452" s="634"/>
      <c r="BG1452" s="634"/>
      <c r="BH1452" s="634"/>
      <c r="BI1452" s="634"/>
    </row>
    <row r="1453" spans="1:61" x14ac:dyDescent="0.25">
      <c r="A1453" s="2371">
        <v>7</v>
      </c>
      <c r="B1453" s="2385" t="s">
        <v>1030</v>
      </c>
      <c r="C1453" s="2381"/>
      <c r="D1453" s="2374"/>
      <c r="E1453" s="2374"/>
      <c r="F1453" s="2374"/>
      <c r="G1453" s="2373" t="str">
        <f>IF(N1453&gt;0,"P","")</f>
        <v/>
      </c>
      <c r="H1453" s="2371" t="s">
        <v>3973</v>
      </c>
      <c r="I1453" s="510" t="s">
        <v>1030</v>
      </c>
      <c r="J1453" s="636"/>
      <c r="K1453" s="636"/>
      <c r="L1453" s="1782" t="s">
        <v>1031</v>
      </c>
      <c r="M1453" s="1758">
        <v>1</v>
      </c>
      <c r="N1453" s="1927">
        <f>'Ch7'!O583</f>
        <v>0</v>
      </c>
      <c r="O1453" s="1927">
        <f>IFERROR(IF(AND(NOT(ISBLANK(W1454)),(W1454/W1455)&lt;(1/400)),1,0),0)</f>
        <v>0</v>
      </c>
      <c r="P1453" s="94"/>
      <c r="Q1453" s="94"/>
      <c r="R1453" s="647"/>
      <c r="S1453" s="94"/>
      <c r="T1453" s="94"/>
      <c r="U1453" s="94"/>
      <c r="V1453" s="94"/>
      <c r="W1453" s="94" t="s">
        <v>3632</v>
      </c>
      <c r="X1453" s="1757"/>
      <c r="Y1453" s="2081" t="str">
        <f>IF(LEN('Ch7'!X583)=0,"None",'Ch7'!X583)</f>
        <v>None</v>
      </c>
      <c r="Z1453" s="2084"/>
      <c r="AA1453" s="1526"/>
      <c r="AB1453" s="634"/>
      <c r="AC1453" s="970"/>
      <c r="AD1453" s="970"/>
      <c r="AE1453" s="970"/>
      <c r="AF1453" s="634"/>
      <c r="AG1453" s="634"/>
      <c r="AH1453" s="634"/>
      <c r="AI1453" s="634"/>
      <c r="AJ1453" s="634"/>
      <c r="AK1453" s="634"/>
      <c r="AL1453" s="254" t="str">
        <f>SUBSTITUTE(SUBSTITUTE(SUBSTITUTE("vpa"&amp;$B1453&amp;$C1453&amp;$D1453&amp;$E1453,".","_"),"(","_"),")","")</f>
        <v>vpa705_2_4</v>
      </c>
      <c r="AM1453" s="254">
        <f>M1453</f>
        <v>1</v>
      </c>
      <c r="AN1453" s="254" t="str">
        <f>SUBSTITUTE(SUBSTITUTE(SUBSTITUTE("vpc"&amp;$B1453&amp;$C1453&amp;$D1453&amp;$E1453,".","_"),"(","_"),")","")</f>
        <v>vpc705_2_4</v>
      </c>
      <c r="AO1453" s="254">
        <f>O1453</f>
        <v>0</v>
      </c>
      <c r="AP1453" s="1336"/>
      <c r="AQ1453" s="1336"/>
      <c r="AR1453" s="254" t="str">
        <f>SUBSTITUTE(SUBSTITUTE(SUBSTITUTE("vnt"&amp;$B1453&amp;$C1453&amp;$D1453&amp;$E1453,".","_"),"(","_"),")","")</f>
        <v>vnt705_2_4</v>
      </c>
      <c r="AS1453" s="254" t="str">
        <f>IF(LEN(X1453)=0,"",X1453)</f>
        <v/>
      </c>
      <c r="AT1453" s="634"/>
      <c r="AU1453" s="634"/>
      <c r="AV1453" s="634"/>
      <c r="AW1453" s="634"/>
      <c r="AX1453" s="634"/>
      <c r="AY1453" s="634"/>
      <c r="AZ1453" s="634"/>
      <c r="BA1453" s="634"/>
      <c r="BB1453" s="634"/>
      <c r="BC1453" s="634"/>
      <c r="BD1453" s="634"/>
      <c r="BE1453" s="634"/>
      <c r="BF1453" s="634"/>
      <c r="BG1453" s="634"/>
      <c r="BH1453" s="634"/>
      <c r="BI1453" s="634"/>
    </row>
    <row r="1454" spans="1:61" x14ac:dyDescent="0.25">
      <c r="A1454" s="2371">
        <v>7</v>
      </c>
      <c r="B1454" s="2385" t="s">
        <v>1030</v>
      </c>
      <c r="C1454" s="2381"/>
      <c r="D1454" s="2374"/>
      <c r="E1454" s="2374"/>
      <c r="F1454" s="2374"/>
      <c r="G1454" s="2373" t="str">
        <f>G1453</f>
        <v/>
      </c>
      <c r="H1454" s="2371" t="s">
        <v>3973</v>
      </c>
      <c r="I1454" s="129"/>
      <c r="J1454" s="636"/>
      <c r="K1454" s="636"/>
      <c r="L1454" s="1782"/>
      <c r="M1454" s="1758"/>
      <c r="N1454" s="1927"/>
      <c r="O1454" s="1927"/>
      <c r="P1454" s="94" t="b">
        <v>0</v>
      </c>
      <c r="Q1454" s="94" t="b">
        <v>1</v>
      </c>
      <c r="R1454" s="94" t="b">
        <v>0</v>
      </c>
      <c r="S1454" s="94" t="b">
        <f>AND(OR(W1030="Met",W1030="N/A"),OR(NOT(AY905="None"),NOT(AY910="None")))</f>
        <v>0</v>
      </c>
      <c r="T1454" s="94" t="b">
        <f>OR(AND(NOT(S1454),LEN(W1454)&gt;0),AND(W1454&gt;0,W1030="N/A"))</f>
        <v>0</v>
      </c>
      <c r="U1454" s="94"/>
      <c r="V1454" s="94"/>
      <c r="W1454" s="380"/>
      <c r="X1454" s="1757"/>
      <c r="Y1454" s="2081"/>
      <c r="Z1454" s="2084"/>
      <c r="AA1454" s="1526"/>
      <c r="AB1454" s="634"/>
      <c r="AC1454" s="970" t="b">
        <f>OR(AD1454:AE1454)</f>
        <v>0</v>
      </c>
      <c r="AD1454" s="970" t="b">
        <f>T1454</f>
        <v>0</v>
      </c>
      <c r="AE1454" s="970"/>
      <c r="AF1454" s="784"/>
      <c r="AG1454" s="634"/>
      <c r="AH1454" s="634"/>
      <c r="AI1454" s="634"/>
      <c r="AJ1454" s="634"/>
      <c r="AK1454" s="634"/>
      <c r="AL1454" s="1336"/>
      <c r="AM1454" s="1336"/>
      <c r="AN1454" s="1336"/>
      <c r="AO1454" s="1336"/>
      <c r="AP1454" s="254" t="str">
        <f>SUBSTITUTE(SUBSTITUTE(SUBSTITUTE("vch"&amp;$B1454&amp;$C1454&amp;$D1454&amp;$E1454,".","_"),"(","_"),")","")</f>
        <v>vch705_2_4</v>
      </c>
      <c r="AQ1454" s="254" t="str">
        <f>IF(LEN(W1454)=0,"",W1454)</f>
        <v/>
      </c>
      <c r="AR1454" s="1336"/>
      <c r="AS1454" s="1336"/>
      <c r="AT1454" s="634"/>
      <c r="AU1454" s="634"/>
      <c r="AV1454" s="634"/>
      <c r="AW1454" s="634"/>
      <c r="AX1454" s="634"/>
      <c r="AY1454" s="634"/>
      <c r="AZ1454" s="634"/>
      <c r="BA1454" s="634"/>
      <c r="BB1454" s="634"/>
      <c r="BC1454" s="634"/>
      <c r="BD1454" s="634"/>
      <c r="BE1454" s="634"/>
      <c r="BF1454" s="634"/>
      <c r="BG1454" s="634"/>
      <c r="BH1454" s="634"/>
      <c r="BI1454" s="634"/>
    </row>
    <row r="1455" spans="1:61" ht="15.75" thickBot="1" x14ac:dyDescent="0.3">
      <c r="A1455" s="2371">
        <v>7</v>
      </c>
      <c r="B1455" s="2385" t="s">
        <v>1030</v>
      </c>
      <c r="C1455" s="2381"/>
      <c r="D1455" s="2374"/>
      <c r="E1455" s="2374"/>
      <c r="F1455" s="2374"/>
      <c r="G1455" s="2373" t="str">
        <f>G1454</f>
        <v/>
      </c>
      <c r="H1455" s="2371" t="s">
        <v>3973</v>
      </c>
      <c r="I1455" s="240"/>
      <c r="J1455" s="642"/>
      <c r="K1455" s="642"/>
      <c r="L1455" s="1797"/>
      <c r="M1455" s="1768"/>
      <c r="N1455" s="1928"/>
      <c r="O1455" s="1928"/>
      <c r="P1455" s="99"/>
      <c r="Q1455" s="99"/>
      <c r="R1455" s="99"/>
      <c r="S1455" s="99"/>
      <c r="T1455" s="99"/>
      <c r="U1455" s="99"/>
      <c r="V1455" s="99"/>
      <c r="W1455" s="545">
        <f>AY897</f>
        <v>0</v>
      </c>
      <c r="X1455" s="1771"/>
      <c r="Y1455" s="2082"/>
      <c r="Z1455" s="2086"/>
      <c r="AA1455" s="1526"/>
      <c r="AB1455" s="634"/>
      <c r="AC1455" s="970"/>
      <c r="AD1455" s="970"/>
      <c r="AE1455" s="970"/>
      <c r="AF1455" s="634"/>
      <c r="AG1455" s="634"/>
      <c r="AH1455" s="634"/>
      <c r="AI1455" s="634"/>
      <c r="AJ1455" s="634"/>
      <c r="AK1455" s="634"/>
      <c r="AL1455" s="1336"/>
      <c r="AM1455" s="1336"/>
      <c r="AN1455" s="1336"/>
      <c r="AO1455" s="1336"/>
      <c r="AP1455" s="1336"/>
      <c r="AQ1455" s="1336"/>
      <c r="AR1455" s="1336"/>
      <c r="AS1455" s="1336"/>
      <c r="AT1455" s="634"/>
      <c r="AU1455" s="634"/>
      <c r="AV1455" s="634"/>
      <c r="AW1455" s="634"/>
      <c r="AX1455" s="634"/>
      <c r="AY1455" s="634"/>
      <c r="AZ1455" s="634"/>
      <c r="BA1455" s="634"/>
      <c r="BB1455" s="634"/>
      <c r="BC1455" s="634"/>
      <c r="BD1455" s="634"/>
      <c r="BE1455" s="634"/>
      <c r="BF1455" s="634"/>
      <c r="BG1455" s="634"/>
      <c r="BH1455" s="634"/>
      <c r="BI1455" s="634"/>
    </row>
    <row r="1456" spans="1:61" ht="16.5" thickTop="1" thickBot="1" x14ac:dyDescent="0.3">
      <c r="A1456" s="2371">
        <v>7</v>
      </c>
      <c r="B1456" s="2385">
        <v>705.3</v>
      </c>
      <c r="C1456" s="2381"/>
      <c r="D1456" s="2374"/>
      <c r="E1456" s="2374"/>
      <c r="F1456" s="2374"/>
      <c r="G1456" s="2373" t="str">
        <f>IF(N1456&gt;0,"P","")</f>
        <v/>
      </c>
      <c r="H1456" s="2371" t="s">
        <v>3973</v>
      </c>
      <c r="I1456" s="363">
        <v>705.3</v>
      </c>
      <c r="J1456" s="521"/>
      <c r="K1456" s="521"/>
      <c r="L1456" s="365" t="s">
        <v>1032</v>
      </c>
      <c r="M1456" s="366">
        <v>1</v>
      </c>
      <c r="N1456" s="1050">
        <f>'Ch7'!O586</f>
        <v>0</v>
      </c>
      <c r="O1456" s="1050">
        <f>M1456*S1456*W1456</f>
        <v>0</v>
      </c>
      <c r="P1456" s="94" t="b">
        <v>0</v>
      </c>
      <c r="Q1456" s="94" t="b">
        <v>1</v>
      </c>
      <c r="R1456" s="116" t="b">
        <v>0</v>
      </c>
      <c r="S1456" s="116" t="b">
        <v>1</v>
      </c>
      <c r="T1456" s="116" t="b">
        <v>0</v>
      </c>
      <c r="U1456" s="116"/>
      <c r="V1456" s="116"/>
      <c r="W1456" s="118"/>
      <c r="X1456" s="128"/>
      <c r="Y1456" s="1005" t="str">
        <f>IF(LEN('Ch7'!X586)=0,"None",'Ch7'!X586)</f>
        <v>None</v>
      </c>
      <c r="Z1456" s="1591"/>
      <c r="AA1456" s="1526"/>
      <c r="AB1456" s="634"/>
      <c r="AC1456" s="970"/>
      <c r="AD1456" s="970"/>
      <c r="AE1456" s="970"/>
      <c r="AF1456" s="784"/>
      <c r="AG1456" s="634"/>
      <c r="AH1456" s="634"/>
      <c r="AI1456" s="634"/>
      <c r="AJ1456" s="634"/>
      <c r="AK1456" s="634"/>
      <c r="AL1456" s="254" t="str">
        <f>SUBSTITUTE(SUBSTITUTE(SUBSTITUTE("vpa"&amp;$B1456&amp;$C1456&amp;$D1456&amp;$E1456,".","_"),"(","_"),")","")</f>
        <v>vpa705_3</v>
      </c>
      <c r="AM1456" s="254">
        <f>M1456</f>
        <v>1</v>
      </c>
      <c r="AN1456" s="254" t="str">
        <f>SUBSTITUTE(SUBSTITUTE(SUBSTITUTE("vpc"&amp;$B1456&amp;$C1456&amp;$D1456&amp;$E1456,".","_"),"(","_"),")","")</f>
        <v>vpc705_3</v>
      </c>
      <c r="AO1456" s="254">
        <f>O1456</f>
        <v>0</v>
      </c>
      <c r="AP1456" s="254" t="str">
        <f>SUBSTITUTE(SUBSTITUTE(SUBSTITUTE("vch"&amp;$B1456&amp;$C1456&amp;$D1456&amp;$E1456,".","_"),"(","_"),")","")</f>
        <v>vch705_3</v>
      </c>
      <c r="AQ1456" s="254" t="str">
        <f>IF(LEN(W1456)=0,"",W1456)</f>
        <v/>
      </c>
      <c r="AR1456" s="254" t="str">
        <f>SUBSTITUTE(SUBSTITUTE(SUBSTITUTE("vnt"&amp;$B1456&amp;$C1456&amp;$D1456&amp;$E1456,".","_"),"(","_"),")","")</f>
        <v>vnt705_3</v>
      </c>
      <c r="AS1456" s="254" t="str">
        <f>IF(LEN(X1456)=0,"",X1456)</f>
        <v/>
      </c>
      <c r="AT1456" s="634"/>
      <c r="AU1456" s="634"/>
      <c r="AV1456" s="634"/>
      <c r="AW1456" s="634"/>
      <c r="AX1456" s="634"/>
      <c r="AY1456" s="634"/>
      <c r="AZ1456" s="634"/>
      <c r="BA1456" s="634"/>
      <c r="BB1456" s="634"/>
      <c r="BC1456" s="634"/>
      <c r="BD1456" s="634"/>
      <c r="BE1456" s="634"/>
      <c r="BF1456" s="634"/>
      <c r="BG1456" s="634"/>
      <c r="BH1456" s="634"/>
      <c r="BI1456" s="634"/>
    </row>
    <row r="1457" spans="1:61" ht="15.75" thickTop="1" x14ac:dyDescent="0.25">
      <c r="A1457" s="2371">
        <v>7</v>
      </c>
      <c r="B1457" s="2385">
        <v>705.4</v>
      </c>
      <c r="C1457" s="2381"/>
      <c r="D1457" s="2374"/>
      <c r="E1457" s="2374"/>
      <c r="F1457" s="2374"/>
      <c r="G1457" s="2373" t="str">
        <f>IF(N1457&gt;0,"P","")</f>
        <v/>
      </c>
      <c r="H1457" s="2371" t="s">
        <v>3971</v>
      </c>
      <c r="I1457" s="180">
        <v>705.4</v>
      </c>
      <c r="J1457" s="520"/>
      <c r="K1457" s="520"/>
      <c r="L1457" s="1781" t="s">
        <v>1033</v>
      </c>
      <c r="M1457" s="1772">
        <v>2</v>
      </c>
      <c r="N1457" s="2080">
        <f>'Ch7'!O587</f>
        <v>0</v>
      </c>
      <c r="O1457" s="2080">
        <f>M1457*S1457*W1457</f>
        <v>0</v>
      </c>
      <c r="P1457" s="94" t="b">
        <v>1</v>
      </c>
      <c r="Q1457" s="94" t="b">
        <v>1</v>
      </c>
      <c r="R1457" s="105" t="b">
        <v>0</v>
      </c>
      <c r="S1457" s="105" t="b">
        <v>1</v>
      </c>
      <c r="T1457" s="105" t="b">
        <v>0</v>
      </c>
      <c r="U1457" s="105"/>
      <c r="V1457" s="105"/>
      <c r="W1457" s="117"/>
      <c r="X1457" s="1784"/>
      <c r="Y1457" s="2097" t="str">
        <f>IF(LEN('Ch7'!X587)=0,"None",'Ch7'!X587)</f>
        <v>None</v>
      </c>
      <c r="Z1457" s="2085"/>
      <c r="AA1457" s="1526"/>
      <c r="AB1457" s="634"/>
      <c r="AC1457" s="970"/>
      <c r="AD1457" s="970"/>
      <c r="AE1457" s="970"/>
      <c r="AF1457" s="784"/>
      <c r="AG1457" s="634"/>
      <c r="AH1457" s="634"/>
      <c r="AI1457" s="634"/>
      <c r="AJ1457" s="634"/>
      <c r="AK1457" s="634"/>
      <c r="AL1457" s="254" t="str">
        <f>SUBSTITUTE(SUBSTITUTE(SUBSTITUTE("vpa"&amp;$B1457&amp;$C1457&amp;$D1457&amp;$E1457,".","_"),"(","_"),")","")</f>
        <v>vpa705_4</v>
      </c>
      <c r="AM1457" s="254">
        <f>M1457</f>
        <v>2</v>
      </c>
      <c r="AN1457" s="254" t="str">
        <f>SUBSTITUTE(SUBSTITUTE(SUBSTITUTE("vpc"&amp;$B1457&amp;$C1457&amp;$D1457&amp;$E1457,".","_"),"(","_"),")","")</f>
        <v>vpc705_4</v>
      </c>
      <c r="AO1457" s="254">
        <f>O1457</f>
        <v>0</v>
      </c>
      <c r="AP1457" s="254" t="str">
        <f>SUBSTITUTE(SUBSTITUTE(SUBSTITUTE("vch"&amp;$B1457&amp;$C1457&amp;$D1457&amp;$E1457,".","_"),"(","_"),")","")</f>
        <v>vch705_4</v>
      </c>
      <c r="AQ1457" s="254" t="str">
        <f>IF(LEN(W1457)=0,"",W1457)</f>
        <v/>
      </c>
      <c r="AR1457" s="254" t="str">
        <f>SUBSTITUTE(SUBSTITUTE(SUBSTITUTE("vnt"&amp;$B1457&amp;$C1457&amp;$D1457&amp;$E1457,".","_"),"(","_"),")","")</f>
        <v>vnt705_4</v>
      </c>
      <c r="AS1457" s="254" t="str">
        <f>IF(LEN(X1457)=0,"",X1457)</f>
        <v/>
      </c>
      <c r="AT1457" s="634"/>
      <c r="AU1457" s="634"/>
      <c r="AV1457" s="634"/>
      <c r="AW1457" s="634"/>
      <c r="AX1457" s="634"/>
      <c r="AY1457" s="634"/>
      <c r="AZ1457" s="634"/>
      <c r="BA1457" s="634"/>
      <c r="BB1457" s="634"/>
      <c r="BC1457" s="634"/>
      <c r="BD1457" s="634"/>
      <c r="BE1457" s="634"/>
      <c r="BF1457" s="634"/>
      <c r="BG1457" s="634"/>
      <c r="BH1457" s="634"/>
      <c r="BI1457" s="634"/>
    </row>
    <row r="1458" spans="1:61" x14ac:dyDescent="0.25">
      <c r="A1458" s="2371">
        <v>7</v>
      </c>
      <c r="B1458" s="2385">
        <v>705.4</v>
      </c>
      <c r="C1458" s="2381"/>
      <c r="D1458" s="2374"/>
      <c r="E1458" s="2374"/>
      <c r="F1458" s="2374"/>
      <c r="G1458" s="2373" t="str">
        <f>G1457</f>
        <v/>
      </c>
      <c r="H1458" s="2371" t="s">
        <v>3971</v>
      </c>
      <c r="I1458" s="129"/>
      <c r="J1458" s="636"/>
      <c r="K1458" s="636"/>
      <c r="L1458" s="1782"/>
      <c r="M1458" s="1758"/>
      <c r="N1458" s="1927"/>
      <c r="O1458" s="1927"/>
      <c r="P1458" s="94"/>
      <c r="Q1458" s="94"/>
      <c r="R1458" s="94"/>
      <c r="S1458" s="94"/>
      <c r="T1458" s="94"/>
      <c r="U1458" s="94"/>
      <c r="V1458" s="94"/>
      <c r="W1458" s="94"/>
      <c r="X1458" s="1757"/>
      <c r="Y1458" s="2081"/>
      <c r="Z1458" s="2084"/>
      <c r="AA1458" s="1526"/>
      <c r="AB1458" s="634"/>
      <c r="AC1458" s="970"/>
      <c r="AD1458" s="970"/>
      <c r="AE1458" s="970"/>
      <c r="AF1458" s="634"/>
      <c r="AG1458" s="634"/>
      <c r="AH1458" s="634"/>
      <c r="AI1458" s="634"/>
      <c r="AJ1458" s="634"/>
      <c r="AK1458" s="634"/>
      <c r="AL1458" s="1336"/>
      <c r="AM1458" s="1336"/>
      <c r="AN1458" s="1336"/>
      <c r="AO1458" s="1336"/>
      <c r="AP1458" s="1336"/>
      <c r="AQ1458" s="1336"/>
      <c r="AR1458" s="1336"/>
      <c r="AS1458" s="1336"/>
      <c r="AT1458" s="634"/>
      <c r="AU1458" s="634"/>
      <c r="AV1458" s="634"/>
      <c r="AW1458" s="634"/>
      <c r="AX1458" s="634"/>
      <c r="AY1458" s="634"/>
      <c r="AZ1458" s="634"/>
      <c r="BA1458" s="634"/>
      <c r="BB1458" s="634"/>
      <c r="BC1458" s="634"/>
      <c r="BD1458" s="634"/>
      <c r="BE1458" s="634"/>
      <c r="BF1458" s="634"/>
      <c r="BG1458" s="634"/>
      <c r="BH1458" s="634"/>
      <c r="BI1458" s="634"/>
    </row>
    <row r="1459" spans="1:61" ht="15.75" thickBot="1" x14ac:dyDescent="0.3">
      <c r="A1459" s="2371">
        <v>7</v>
      </c>
      <c r="B1459" s="2385">
        <v>705.4</v>
      </c>
      <c r="C1459" s="2381"/>
      <c r="D1459" s="2374"/>
      <c r="E1459" s="2374"/>
      <c r="F1459" s="2374"/>
      <c r="G1459" s="2373" t="str">
        <f>G1458</f>
        <v/>
      </c>
      <c r="H1459" s="2371" t="s">
        <v>3971</v>
      </c>
      <c r="I1459" s="240"/>
      <c r="J1459" s="642"/>
      <c r="K1459" s="642"/>
      <c r="L1459" s="1797"/>
      <c r="M1459" s="1768"/>
      <c r="N1459" s="1928"/>
      <c r="O1459" s="1928"/>
      <c r="P1459" s="99"/>
      <c r="Q1459" s="99"/>
      <c r="R1459" s="99"/>
      <c r="S1459" s="99"/>
      <c r="T1459" s="99"/>
      <c r="U1459" s="99"/>
      <c r="V1459" s="99"/>
      <c r="W1459" s="99"/>
      <c r="X1459" s="1771"/>
      <c r="Y1459" s="2082"/>
      <c r="Z1459" s="2086"/>
      <c r="AA1459" s="1526"/>
      <c r="AB1459" s="634"/>
      <c r="AC1459" s="970"/>
      <c r="AD1459" s="970"/>
      <c r="AE1459" s="970"/>
      <c r="AF1459" s="634"/>
      <c r="AG1459" s="634"/>
      <c r="AH1459" s="634"/>
      <c r="AI1459" s="634"/>
      <c r="AJ1459" s="634"/>
      <c r="AK1459" s="634"/>
      <c r="AL1459" s="1336"/>
      <c r="AM1459" s="1336"/>
      <c r="AN1459" s="1336"/>
      <c r="AO1459" s="1336"/>
      <c r="AP1459" s="1336"/>
      <c r="AQ1459" s="1336"/>
      <c r="AR1459" s="1336"/>
      <c r="AS1459" s="1336"/>
      <c r="AT1459" s="634"/>
      <c r="AU1459" s="634"/>
      <c r="AV1459" s="634"/>
      <c r="AW1459" s="634"/>
      <c r="AX1459" s="634"/>
      <c r="AY1459" s="634"/>
      <c r="AZ1459" s="634"/>
      <c r="BA1459" s="634"/>
      <c r="BB1459" s="634"/>
      <c r="BC1459" s="634"/>
      <c r="BD1459" s="634"/>
      <c r="BE1459" s="634"/>
      <c r="BF1459" s="634"/>
      <c r="BG1459" s="634"/>
      <c r="BH1459" s="634"/>
      <c r="BI1459" s="634"/>
    </row>
    <row r="1460" spans="1:61" ht="15.75" thickTop="1" x14ac:dyDescent="0.25">
      <c r="A1460" s="2371">
        <v>7</v>
      </c>
      <c r="B1460" s="2385">
        <v>705.5</v>
      </c>
      <c r="C1460" s="2381"/>
      <c r="D1460" s="2374"/>
      <c r="E1460" s="2374"/>
      <c r="F1460" s="2374"/>
      <c r="G1460" s="2363" t="str">
        <f>IF(COUNTIF(G1462:G1475,"P")&gt;0,"P","")</f>
        <v/>
      </c>
      <c r="H1460" s="2371" t="s">
        <v>3971</v>
      </c>
      <c r="I1460" s="64">
        <v>705.5</v>
      </c>
      <c r="J1460" s="639"/>
      <c r="K1460" s="639"/>
      <c r="L1460" s="1180" t="s">
        <v>1034</v>
      </c>
      <c r="M1460" s="1014"/>
      <c r="N1460" s="1042"/>
      <c r="O1460" s="1042"/>
      <c r="P1460" s="756"/>
      <c r="Q1460" s="756"/>
      <c r="R1460" s="634"/>
      <c r="S1460" s="634"/>
      <c r="T1460" s="634"/>
      <c r="U1460" s="634"/>
      <c r="V1460" s="634"/>
      <c r="W1460" s="634"/>
      <c r="X1460" s="911"/>
      <c r="Y1460"/>
      <c r="AA1460" s="1526"/>
      <c r="AB1460" s="634"/>
      <c r="AC1460" s="970"/>
      <c r="AD1460" s="970"/>
      <c r="AE1460" s="970"/>
      <c r="AF1460" s="634"/>
      <c r="AG1460" s="634"/>
      <c r="AH1460" s="634"/>
      <c r="AI1460" s="634"/>
      <c r="AJ1460" s="634"/>
      <c r="AK1460" s="634"/>
      <c r="AL1460" s="1336"/>
      <c r="AM1460" s="1336"/>
      <c r="AN1460" s="1336"/>
      <c r="AO1460" s="1336"/>
      <c r="AP1460" s="1336"/>
      <c r="AQ1460" s="1336"/>
      <c r="AR1460" s="1336"/>
      <c r="AS1460" s="1336"/>
      <c r="AT1460" s="634"/>
      <c r="AU1460" s="634"/>
      <c r="AV1460" s="634"/>
      <c r="AW1460" s="634"/>
      <c r="AX1460" s="634"/>
      <c r="AY1460" s="634"/>
      <c r="AZ1460" s="634"/>
      <c r="BA1460" s="634"/>
      <c r="BB1460" s="634"/>
      <c r="BC1460" s="634"/>
      <c r="BD1460" s="634"/>
      <c r="BE1460" s="634"/>
      <c r="BF1460" s="634"/>
      <c r="BG1460" s="634"/>
      <c r="BH1460" s="634"/>
      <c r="BI1460" s="634"/>
    </row>
    <row r="1461" spans="1:61" ht="15" customHeight="1" x14ac:dyDescent="0.25">
      <c r="A1461" s="2371">
        <v>7</v>
      </c>
      <c r="B1461" s="2385" t="s">
        <v>1035</v>
      </c>
      <c r="C1461" s="2381"/>
      <c r="D1461" s="2374"/>
      <c r="E1461" s="2374"/>
      <c r="F1461" s="2374"/>
      <c r="G1461" s="2363" t="str">
        <f>IF(COUNTIF(G1462:G1465,"P")&gt;0,"P","")</f>
        <v/>
      </c>
      <c r="H1461" s="2371" t="s">
        <v>3971</v>
      </c>
      <c r="I1461" s="510" t="s">
        <v>1035</v>
      </c>
      <c r="J1461" s="929"/>
      <c r="K1461" s="929"/>
      <c r="L1461" s="1168" t="s">
        <v>4329</v>
      </c>
      <c r="M1461" s="1010"/>
      <c r="N1461" s="664"/>
      <c r="O1461" s="1044"/>
      <c r="P1461" s="911"/>
      <c r="Q1461" s="911"/>
      <c r="R1461" s="911"/>
      <c r="S1461" s="911"/>
      <c r="T1461" s="911"/>
      <c r="U1461"/>
      <c r="V1461"/>
      <c r="W1461"/>
      <c r="X1461" s="911"/>
      <c r="Y1461"/>
      <c r="AA1461" s="1526"/>
      <c r="AB1461" s="634"/>
      <c r="AC1461" s="970"/>
      <c r="AD1461" s="970"/>
      <c r="AE1461" s="970"/>
      <c r="AF1461" s="784"/>
      <c r="AG1461" s="634"/>
      <c r="AH1461" s="634"/>
      <c r="AI1461" s="634"/>
      <c r="AJ1461" s="634"/>
      <c r="AK1461" s="634"/>
      <c r="AL1461" s="1336"/>
      <c r="AM1461" s="1336"/>
      <c r="AN1461" s="1336"/>
      <c r="AO1461" s="1336"/>
      <c r="AP1461" s="1336"/>
      <c r="AQ1461" s="1336"/>
      <c r="AR1461" s="1336"/>
      <c r="AS1461" s="1336"/>
      <c r="AT1461" s="634"/>
      <c r="AU1461" s="634"/>
      <c r="AV1461" s="634"/>
      <c r="AW1461" s="634"/>
      <c r="AX1461" s="634"/>
      <c r="AY1461" s="634"/>
      <c r="AZ1461" s="634"/>
      <c r="BA1461" s="634"/>
      <c r="BB1461" s="634"/>
      <c r="BC1461" s="634"/>
      <c r="BD1461" s="634"/>
      <c r="BE1461" s="634"/>
      <c r="BF1461" s="634"/>
      <c r="BG1461" s="634"/>
      <c r="BH1461" s="634"/>
      <c r="BI1461" s="634"/>
    </row>
    <row r="1462" spans="1:61" x14ac:dyDescent="0.25">
      <c r="A1462" s="2371">
        <v>7</v>
      </c>
      <c r="B1462" s="2381" t="s">
        <v>1035</v>
      </c>
      <c r="C1462" s="2382" t="s">
        <v>256</v>
      </c>
      <c r="D1462" s="2374"/>
      <c r="E1462" s="2374"/>
      <c r="F1462" s="2374"/>
      <c r="G1462" s="2373" t="str">
        <f>IF(N1462&gt;0,"P","")</f>
        <v/>
      </c>
      <c r="H1462" s="2371" t="s">
        <v>3971</v>
      </c>
      <c r="I1462" s="129"/>
      <c r="J1462" s="667" t="s">
        <v>256</v>
      </c>
      <c r="K1462" s="929"/>
      <c r="L1462" s="1787" t="s">
        <v>4330</v>
      </c>
      <c r="M1462" s="1758">
        <v>1</v>
      </c>
      <c r="N1462" s="2075">
        <f>'Ch7'!O592</f>
        <v>0</v>
      </c>
      <c r="O1462" s="1927">
        <f>M1462*S1462*W1462</f>
        <v>0</v>
      </c>
      <c r="P1462" s="911" t="b">
        <v>1</v>
      </c>
      <c r="Q1462" s="911" t="b">
        <v>1</v>
      </c>
      <c r="R1462" s="911" t="b">
        <v>0</v>
      </c>
      <c r="S1462" s="911" t="b">
        <v>1</v>
      </c>
      <c r="T1462" s="911" t="b">
        <v>0</v>
      </c>
      <c r="U1462" s="634"/>
      <c r="V1462" s="634"/>
      <c r="W1462" s="25"/>
      <c r="X1462" s="1757"/>
      <c r="Y1462" s="2099" t="str">
        <f>IF(LEN('Ch7'!X592)=0,"None",'Ch7'!X592)</f>
        <v>None</v>
      </c>
      <c r="Z1462" s="2087"/>
      <c r="AA1462" s="1526"/>
      <c r="AB1462" s="634"/>
      <c r="AC1462" s="970"/>
      <c r="AD1462" s="970"/>
      <c r="AE1462" s="970"/>
      <c r="AF1462" s="634"/>
      <c r="AG1462" s="634"/>
      <c r="AH1462" s="634"/>
      <c r="AI1462" s="634"/>
      <c r="AJ1462" s="634"/>
      <c r="AK1462" s="634"/>
      <c r="AL1462" s="254" t="str">
        <f>SUBSTITUTE(SUBSTITUTE(SUBSTITUTE("vpa"&amp;$B1462&amp;$C1462&amp;$D1462&amp;$E1462,".","_"),"(","_"),")","")</f>
        <v>vpa705_5_1_1</v>
      </c>
      <c r="AM1462" s="254">
        <f>M1462</f>
        <v>1</v>
      </c>
      <c r="AN1462" s="254" t="str">
        <f>SUBSTITUTE(SUBSTITUTE(SUBSTITUTE("vpc"&amp;$B1462&amp;$C1462&amp;$D1462&amp;$E1462,".","_"),"(","_"),")","")</f>
        <v>vpc705_5_1_1</v>
      </c>
      <c r="AO1462" s="254">
        <f>O1462</f>
        <v>0</v>
      </c>
      <c r="AP1462" s="254" t="str">
        <f>SUBSTITUTE(SUBSTITUTE(SUBSTITUTE("vch"&amp;$B1462&amp;$C1462&amp;$D1462&amp;$E1462,".","_"),"(","_"),")","")</f>
        <v>vch705_5_1_1</v>
      </c>
      <c r="AQ1462" s="254" t="str">
        <f>IF(LEN(W1462)=0,"",W1462)</f>
        <v/>
      </c>
      <c r="AR1462" s="254" t="str">
        <f>SUBSTITUTE(SUBSTITUTE(SUBSTITUTE("vnt"&amp;$B1462&amp;$C1462&amp;$D1462&amp;$E1462,".","_"),"(","_"),")","")</f>
        <v>vnt705_5_1_1</v>
      </c>
      <c r="AS1462" s="254" t="str">
        <f>IF(LEN(X1462)=0,"",X1462)</f>
        <v/>
      </c>
      <c r="AT1462" s="634"/>
      <c r="AU1462" s="634"/>
      <c r="AV1462" s="634"/>
      <c r="AW1462" s="634"/>
      <c r="AX1462" s="634"/>
      <c r="AY1462" s="634"/>
      <c r="AZ1462" s="634"/>
      <c r="BA1462" s="634"/>
      <c r="BB1462" s="634"/>
      <c r="BC1462" s="634"/>
      <c r="BD1462" s="634"/>
      <c r="BE1462" s="634"/>
      <c r="BF1462" s="634"/>
      <c r="BG1462" s="634"/>
      <c r="BH1462" s="634"/>
      <c r="BI1462" s="634"/>
    </row>
    <row r="1463" spans="1:61" x14ac:dyDescent="0.25">
      <c r="A1463" s="2371">
        <v>7</v>
      </c>
      <c r="B1463" s="2381" t="s">
        <v>1035</v>
      </c>
      <c r="C1463" s="2382" t="s">
        <v>256</v>
      </c>
      <c r="D1463" s="2374"/>
      <c r="E1463" s="2374"/>
      <c r="F1463" s="2374"/>
      <c r="G1463" s="2373" t="str">
        <f>G1462</f>
        <v/>
      </c>
      <c r="H1463" s="2371" t="s">
        <v>3971</v>
      </c>
      <c r="I1463" s="129"/>
      <c r="J1463" s="667"/>
      <c r="K1463" s="929"/>
      <c r="L1463" s="1787"/>
      <c r="M1463" s="1758"/>
      <c r="N1463" s="2075"/>
      <c r="O1463" s="1927"/>
      <c r="P1463" s="911"/>
      <c r="Q1463" s="911"/>
      <c r="R1463" s="911"/>
      <c r="S1463" s="911"/>
      <c r="T1463" s="911"/>
      <c r="U1463" s="634"/>
      <c r="V1463" s="634"/>
      <c r="W1463" s="634"/>
      <c r="X1463" s="1757"/>
      <c r="Y1463" s="2100"/>
      <c r="Z1463" s="2091"/>
      <c r="AA1463" s="1526"/>
      <c r="AB1463" s="634"/>
      <c r="AC1463" s="970"/>
      <c r="AD1463" s="970"/>
      <c r="AE1463" s="970"/>
      <c r="AF1463" s="634"/>
      <c r="AG1463" s="634"/>
      <c r="AH1463" s="634"/>
      <c r="AI1463" s="634"/>
      <c r="AJ1463" s="634"/>
      <c r="AK1463" s="634"/>
      <c r="AL1463" s="1336"/>
      <c r="AM1463" s="1336"/>
      <c r="AN1463" s="1336"/>
      <c r="AO1463" s="1336"/>
      <c r="AP1463" s="1336"/>
      <c r="AQ1463" s="1336"/>
      <c r="AR1463" s="1336"/>
      <c r="AS1463" s="1336"/>
      <c r="AT1463" s="634"/>
      <c r="AU1463" s="634"/>
      <c r="AV1463" s="634"/>
      <c r="AW1463" s="634"/>
      <c r="AX1463" s="634"/>
      <c r="AY1463" s="634"/>
      <c r="AZ1463" s="634"/>
      <c r="BA1463" s="634"/>
      <c r="BB1463" s="634"/>
      <c r="BC1463" s="634"/>
      <c r="BD1463" s="634"/>
      <c r="BE1463" s="634"/>
      <c r="BF1463" s="634"/>
      <c r="BG1463" s="634"/>
      <c r="BH1463" s="634"/>
      <c r="BI1463" s="634"/>
    </row>
    <row r="1464" spans="1:61" s="868" customFormat="1" x14ac:dyDescent="0.25">
      <c r="A1464" s="2371">
        <v>7</v>
      </c>
      <c r="B1464" s="2381" t="s">
        <v>1035</v>
      </c>
      <c r="C1464" s="2382" t="s">
        <v>256</v>
      </c>
      <c r="D1464" s="2374"/>
      <c r="E1464" s="2374"/>
      <c r="F1464" s="2374"/>
      <c r="G1464" s="2373" t="str">
        <f>G1463</f>
        <v/>
      </c>
      <c r="H1464" s="2371" t="s">
        <v>3971</v>
      </c>
      <c r="I1464" s="129"/>
      <c r="J1464" s="684"/>
      <c r="K1464" s="913"/>
      <c r="L1464" s="1786"/>
      <c r="M1464" s="1759"/>
      <c r="N1464" s="2076"/>
      <c r="O1464" s="2076"/>
      <c r="P1464" s="94"/>
      <c r="Q1464" s="94"/>
      <c r="R1464" s="94"/>
      <c r="S1464" s="94"/>
      <c r="T1464" s="94"/>
      <c r="X1464" s="1757"/>
      <c r="Y1464" s="2097"/>
      <c r="Z1464" s="2085"/>
      <c r="AA1464" s="1526"/>
      <c r="AC1464" s="970"/>
      <c r="AD1464" s="970"/>
      <c r="AE1464" s="970"/>
      <c r="AL1464" s="1336"/>
      <c r="AM1464" s="1336"/>
      <c r="AN1464" s="1336"/>
      <c r="AO1464" s="1336"/>
      <c r="AP1464" s="1336"/>
      <c r="AQ1464" s="1336"/>
      <c r="AR1464" s="1336"/>
      <c r="AS1464" s="1336"/>
    </row>
    <row r="1465" spans="1:61" x14ac:dyDescent="0.25">
      <c r="A1465" s="2371">
        <v>7</v>
      </c>
      <c r="B1465" s="2381" t="s">
        <v>1035</v>
      </c>
      <c r="C1465" s="2382" t="s">
        <v>258</v>
      </c>
      <c r="D1465" s="2374"/>
      <c r="E1465" s="2374"/>
      <c r="F1465" s="2374"/>
      <c r="G1465" s="2373" t="str">
        <f>IF(N1465&gt;0,"P","")</f>
        <v/>
      </c>
      <c r="H1465" s="2371" t="s">
        <v>3971</v>
      </c>
      <c r="I1465" s="129"/>
      <c r="J1465" s="667" t="s">
        <v>258</v>
      </c>
      <c r="K1465" s="929"/>
      <c r="L1465" s="1787" t="s">
        <v>4331</v>
      </c>
      <c r="M1465" s="1762">
        <v>1</v>
      </c>
      <c r="N1465" s="2079">
        <f>'Ch7'!O595</f>
        <v>0</v>
      </c>
      <c r="O1465" s="2079">
        <f>M1465*S1465*W1465</f>
        <v>0</v>
      </c>
      <c r="P1465" s="94" t="b">
        <v>1</v>
      </c>
      <c r="Q1465" s="94" t="b">
        <v>1</v>
      </c>
      <c r="R1465" s="94" t="b">
        <v>0</v>
      </c>
      <c r="S1465" s="94" t="b">
        <v>1</v>
      </c>
      <c r="T1465" s="94" t="b">
        <v>0</v>
      </c>
      <c r="U1465" s="634"/>
      <c r="V1465" s="634"/>
      <c r="W1465" s="25"/>
      <c r="X1465" s="1757"/>
      <c r="Y1465" s="2099" t="str">
        <f>IF(LEN('Ch7'!X595)=0,"None",'Ch7'!X595)</f>
        <v>None</v>
      </c>
      <c r="Z1465" s="2087"/>
      <c r="AA1465" s="1526"/>
      <c r="AB1465" s="634"/>
      <c r="AC1465" s="970"/>
      <c r="AD1465" s="970"/>
      <c r="AE1465" s="970"/>
      <c r="AF1465" s="634"/>
      <c r="AG1465" s="634"/>
      <c r="AH1465" s="634"/>
      <c r="AI1465" s="634"/>
      <c r="AJ1465" s="634"/>
      <c r="AK1465" s="634"/>
      <c r="AL1465" s="254" t="str">
        <f>SUBSTITUTE(SUBSTITUTE(SUBSTITUTE("vpa"&amp;$B1465&amp;$C1465&amp;$D1465&amp;$E1465,".","_"),"(","_"),")","")</f>
        <v>vpa705_5_1_2</v>
      </c>
      <c r="AM1465" s="254">
        <f>M1465</f>
        <v>1</v>
      </c>
      <c r="AN1465" s="254" t="str">
        <f>SUBSTITUTE(SUBSTITUTE(SUBSTITUTE("vpc"&amp;$B1465&amp;$C1465&amp;$D1465&amp;$E1465,".","_"),"(","_"),")","")</f>
        <v>vpc705_5_1_2</v>
      </c>
      <c r="AO1465" s="254">
        <f>O1465</f>
        <v>0</v>
      </c>
      <c r="AP1465" s="254" t="str">
        <f>SUBSTITUTE(SUBSTITUTE(SUBSTITUTE("vch"&amp;$B1465&amp;$C1465&amp;$D1465&amp;$E1465,".","_"),"(","_"),")","")</f>
        <v>vch705_5_1_2</v>
      </c>
      <c r="AQ1465" s="254" t="str">
        <f>IF(LEN(W1465)=0,"",W1465)</f>
        <v/>
      </c>
      <c r="AR1465" s="254" t="str">
        <f>SUBSTITUTE(SUBSTITUTE(SUBSTITUTE("vnt"&amp;$B1465&amp;$C1465&amp;$D1465&amp;$E1465,".","_"),"(","_"),")","")</f>
        <v>vnt705_5_1_2</v>
      </c>
      <c r="AS1465" s="254" t="str">
        <f>IF(LEN(X1465)=0,"",X1465)</f>
        <v/>
      </c>
      <c r="AT1465" s="634"/>
      <c r="AU1465" s="634"/>
      <c r="AV1465" s="634"/>
      <c r="AW1465" s="634"/>
      <c r="AX1465" s="634"/>
      <c r="AY1465" s="634"/>
      <c r="AZ1465" s="634"/>
      <c r="BA1465" s="634"/>
      <c r="BB1465" s="634"/>
      <c r="BC1465" s="634"/>
      <c r="BD1465" s="634"/>
      <c r="BE1465" s="634"/>
      <c r="BF1465" s="634"/>
      <c r="BG1465" s="634"/>
      <c r="BH1465" s="634"/>
      <c r="BI1465" s="634"/>
    </row>
    <row r="1466" spans="1:61" x14ac:dyDescent="0.25">
      <c r="A1466" s="2371">
        <v>7</v>
      </c>
      <c r="B1466" s="2381" t="s">
        <v>1035</v>
      </c>
      <c r="C1466" s="2382" t="s">
        <v>258</v>
      </c>
      <c r="D1466" s="2374"/>
      <c r="E1466" s="2374"/>
      <c r="F1466" s="2374"/>
      <c r="G1466" s="2373" t="str">
        <f>G1465</f>
        <v/>
      </c>
      <c r="H1466" s="2371" t="s">
        <v>3971</v>
      </c>
      <c r="I1466" s="210"/>
      <c r="J1466" s="913"/>
      <c r="K1466" s="913"/>
      <c r="L1466" s="1786"/>
      <c r="M1466" s="1759"/>
      <c r="N1466" s="2076"/>
      <c r="O1466" s="2076"/>
      <c r="P1466" s="911"/>
      <c r="Q1466" s="911"/>
      <c r="R1466" s="911"/>
      <c r="S1466" s="911"/>
      <c r="T1466" s="911"/>
      <c r="U1466" s="634"/>
      <c r="V1466" s="634"/>
      <c r="W1466" s="634"/>
      <c r="X1466" s="1757"/>
      <c r="Y1466" s="2097"/>
      <c r="Z1466" s="2085"/>
      <c r="AA1466" s="1526"/>
      <c r="AB1466" s="634"/>
      <c r="AC1466" s="970"/>
      <c r="AD1466" s="970"/>
      <c r="AE1466" s="970"/>
      <c r="AF1466" s="634"/>
      <c r="AG1466" s="634"/>
      <c r="AH1466" s="634"/>
      <c r="AI1466" s="634"/>
      <c r="AJ1466" s="634"/>
      <c r="AK1466" s="634"/>
      <c r="AL1466" s="1336"/>
      <c r="AM1466" s="1336"/>
      <c r="AN1466" s="1336"/>
      <c r="AO1466" s="1336"/>
      <c r="AP1466" s="1336"/>
      <c r="AQ1466" s="1336"/>
      <c r="AR1466" s="1336"/>
      <c r="AS1466" s="1336"/>
      <c r="AT1466" s="634"/>
      <c r="AU1466" s="634"/>
      <c r="AV1466" s="634"/>
      <c r="AW1466" s="634"/>
      <c r="AX1466" s="634"/>
      <c r="AY1466" s="634"/>
      <c r="AZ1466" s="634"/>
      <c r="BA1466" s="634"/>
      <c r="BB1466" s="634"/>
      <c r="BC1466" s="634"/>
      <c r="BD1466" s="634"/>
      <c r="BE1466" s="634"/>
      <c r="BF1466" s="634"/>
      <c r="BG1466" s="634"/>
      <c r="BH1466" s="634"/>
      <c r="BI1466" s="634"/>
    </row>
    <row r="1467" spans="1:61" x14ac:dyDescent="0.25">
      <c r="A1467" s="2371">
        <v>7</v>
      </c>
      <c r="B1467" s="2385" t="s">
        <v>1036</v>
      </c>
      <c r="C1467" s="2374"/>
      <c r="D1467" s="2374"/>
      <c r="E1467" s="2374"/>
      <c r="F1467" s="2374"/>
      <c r="G1467" s="2373" t="str">
        <f>IF(N1467&gt;0,"P","")</f>
        <v/>
      </c>
      <c r="H1467" s="2371" t="s">
        <v>3973</v>
      </c>
      <c r="I1467" s="66" t="s">
        <v>1036</v>
      </c>
      <c r="J1467" s="639"/>
      <c r="K1467" s="639"/>
      <c r="L1467" s="1796" t="s">
        <v>1037</v>
      </c>
      <c r="M1467" s="1767">
        <v>3</v>
      </c>
      <c r="N1467" s="2075">
        <f>'Ch7'!O597</f>
        <v>0</v>
      </c>
      <c r="O1467" s="2075">
        <f>M1467*S1467*W1467</f>
        <v>0</v>
      </c>
      <c r="P1467" s="94" t="b">
        <v>0</v>
      </c>
      <c r="Q1467" s="94" t="b">
        <v>1</v>
      </c>
      <c r="R1467" s="634" t="b">
        <v>0</v>
      </c>
      <c r="S1467" s="634" t="b">
        <v>1</v>
      </c>
      <c r="T1467" s="94" t="b">
        <v>0</v>
      </c>
      <c r="U1467" s="634"/>
      <c r="V1467" s="634"/>
      <c r="W1467" s="25"/>
      <c r="X1467" s="1757"/>
      <c r="Y1467" s="2081" t="str">
        <f>IF(LEN('Ch7'!X597)=0,"None",'Ch7'!X597)</f>
        <v>None</v>
      </c>
      <c r="Z1467" s="2083"/>
      <c r="AA1467" s="1526"/>
      <c r="AB1467" s="634"/>
      <c r="AC1467" s="970"/>
      <c r="AD1467" s="970"/>
      <c r="AE1467" s="970"/>
      <c r="AF1467" s="784"/>
      <c r="AG1467" s="634"/>
      <c r="AH1467" s="634"/>
      <c r="AI1467" s="634"/>
      <c r="AJ1467" s="634"/>
      <c r="AK1467" s="634"/>
      <c r="AL1467" s="254" t="str">
        <f>SUBSTITUTE(SUBSTITUTE(SUBSTITUTE("vpa"&amp;$B1467&amp;$C1467&amp;$D1467&amp;$E1467,".","_"),"(","_"),")","")</f>
        <v>vpa705_5_2</v>
      </c>
      <c r="AM1467" s="254">
        <f>M1467</f>
        <v>3</v>
      </c>
      <c r="AN1467" s="254" t="str">
        <f>SUBSTITUTE(SUBSTITUTE(SUBSTITUTE("vpc"&amp;$B1467&amp;$C1467&amp;$D1467&amp;$E1467,".","_"),"(","_"),")","")</f>
        <v>vpc705_5_2</v>
      </c>
      <c r="AO1467" s="254">
        <f>O1467</f>
        <v>0</v>
      </c>
      <c r="AP1467" s="254" t="str">
        <f>SUBSTITUTE(SUBSTITUTE(SUBSTITUTE("vch"&amp;$B1467&amp;$C1467&amp;$D1467&amp;$E1467,".","_"),"(","_"),")","")</f>
        <v>vch705_5_2</v>
      </c>
      <c r="AQ1467" s="254" t="str">
        <f>IF(LEN(W1467)=0,"",W1467)</f>
        <v/>
      </c>
      <c r="AR1467" s="254" t="str">
        <f>SUBSTITUTE(SUBSTITUTE(SUBSTITUTE("vnt"&amp;$B1467&amp;$C1467&amp;$D1467&amp;$E1467,".","_"),"(","_"),")","")</f>
        <v>vnt705_5_2</v>
      </c>
      <c r="AS1467" s="254" t="str">
        <f>IF(LEN(X1467)=0,"",X1467)</f>
        <v/>
      </c>
      <c r="AT1467" s="634"/>
      <c r="AU1467" s="634"/>
      <c r="AV1467" s="634"/>
      <c r="AW1467" s="634"/>
      <c r="AX1467" s="634"/>
      <c r="AY1467" s="634"/>
      <c r="AZ1467" s="634"/>
      <c r="BA1467" s="634"/>
      <c r="BB1467" s="634"/>
      <c r="BC1467" s="634"/>
      <c r="BD1467" s="634"/>
      <c r="BE1467" s="634"/>
      <c r="BF1467" s="634"/>
      <c r="BG1467" s="634"/>
      <c r="BH1467" s="634"/>
      <c r="BI1467" s="634"/>
    </row>
    <row r="1468" spans="1:61" x14ac:dyDescent="0.25">
      <c r="A1468" s="2371">
        <v>7</v>
      </c>
      <c r="B1468" s="2385" t="s">
        <v>1036</v>
      </c>
      <c r="C1468" s="2374"/>
      <c r="D1468" s="2374"/>
      <c r="E1468" s="2374"/>
      <c r="F1468" s="2374"/>
      <c r="G1468" s="2373" t="str">
        <f t="shared" ref="G1468:G1474" si="84">G1467</f>
        <v/>
      </c>
      <c r="H1468" s="2371" t="s">
        <v>3973</v>
      </c>
      <c r="I1468" s="4"/>
      <c r="J1468" s="639"/>
      <c r="K1468" s="639"/>
      <c r="L1468" s="1796"/>
      <c r="M1468" s="1767"/>
      <c r="N1468" s="2075"/>
      <c r="O1468" s="2075"/>
      <c r="P1468" s="756"/>
      <c r="Q1468" s="756"/>
      <c r="R1468" s="634"/>
      <c r="S1468" s="634"/>
      <c r="T1468" s="634"/>
      <c r="U1468" s="634"/>
      <c r="V1468" s="634"/>
      <c r="W1468" s="634"/>
      <c r="X1468" s="1757"/>
      <c r="Y1468" s="2081"/>
      <c r="Z1468" s="2083"/>
      <c r="AA1468" s="1526"/>
      <c r="AB1468" s="634"/>
      <c r="AC1468" s="970"/>
      <c r="AD1468" s="970"/>
      <c r="AE1468" s="970"/>
      <c r="AF1468" s="634"/>
      <c r="AG1468" s="634"/>
      <c r="AH1468" s="634"/>
      <c r="AI1468" s="634"/>
      <c r="AJ1468" s="634"/>
      <c r="AK1468" s="634"/>
      <c r="AL1468" s="1336"/>
      <c r="AM1468" s="1336"/>
      <c r="AN1468" s="1336"/>
      <c r="AO1468" s="1336"/>
      <c r="AP1468" s="1336"/>
      <c r="AQ1468" s="1336"/>
      <c r="AR1468" s="1336"/>
      <c r="AS1468" s="1336"/>
      <c r="AT1468" s="634"/>
      <c r="AU1468" s="634"/>
      <c r="AV1468" s="634"/>
      <c r="AW1468" s="634"/>
      <c r="AX1468" s="634"/>
      <c r="AY1468" s="634"/>
      <c r="AZ1468" s="634"/>
      <c r="BA1468" s="634"/>
      <c r="BB1468" s="634"/>
      <c r="BC1468" s="634"/>
      <c r="BD1468" s="634"/>
      <c r="BE1468" s="634"/>
      <c r="BF1468" s="634"/>
      <c r="BG1468" s="634"/>
      <c r="BH1468" s="634"/>
      <c r="BI1468" s="634"/>
    </row>
    <row r="1469" spans="1:61" x14ac:dyDescent="0.25">
      <c r="A1469" s="2371">
        <v>7</v>
      </c>
      <c r="B1469" s="2385" t="s">
        <v>1036</v>
      </c>
      <c r="C1469" s="2374" t="s">
        <v>256</v>
      </c>
      <c r="D1469" s="2374"/>
      <c r="E1469" s="2374"/>
      <c r="F1469" s="2374"/>
      <c r="G1469" s="2373" t="str">
        <f t="shared" si="84"/>
        <v/>
      </c>
      <c r="H1469" s="2371" t="s">
        <v>3973</v>
      </c>
      <c r="I1469" s="4"/>
      <c r="J1469" s="544" t="s">
        <v>256</v>
      </c>
      <c r="K1469" s="913"/>
      <c r="L1469" s="1163" t="s">
        <v>1038</v>
      </c>
      <c r="M1469" s="1014"/>
      <c r="N1469" s="1042"/>
      <c r="O1469" s="1042"/>
      <c r="P1469" s="756"/>
      <c r="Q1469" s="756"/>
      <c r="R1469" s="634"/>
      <c r="S1469" s="634"/>
      <c r="T1469" s="634"/>
      <c r="U1469" s="634"/>
      <c r="V1469" s="634"/>
      <c r="W1469" s="634"/>
      <c r="X1469" s="918"/>
      <c r="Y1469" s="988" t="str">
        <f>IF(LEN('Ch7'!X599)=0,"None",'Ch7'!X599)</f>
        <v>None</v>
      </c>
      <c r="Z1469" s="1587"/>
      <c r="AA1469" s="1526"/>
      <c r="AB1469" s="634"/>
      <c r="AC1469" s="970"/>
      <c r="AD1469" s="970"/>
      <c r="AE1469" s="970"/>
      <c r="AF1469" s="634"/>
      <c r="AG1469" s="634"/>
      <c r="AH1469" s="634"/>
      <c r="AI1469" s="634"/>
      <c r="AJ1469" s="634"/>
      <c r="AK1469" s="634"/>
      <c r="AL1469" s="1336"/>
      <c r="AM1469" s="1336"/>
      <c r="AN1469" s="1336"/>
      <c r="AO1469" s="1336"/>
      <c r="AP1469" s="1336"/>
      <c r="AQ1469" s="1336"/>
      <c r="AR1469" s="254" t="str">
        <f t="shared" ref="AR1469:AR1474" si="85">SUBSTITUTE(SUBSTITUTE(SUBSTITUTE("vnt"&amp;$B1469&amp;$C1469&amp;$D1469&amp;$E1469,".","_"),"(","_"),")","")</f>
        <v>vnt705_5_2_1</v>
      </c>
      <c r="AS1469" s="254" t="str">
        <f t="shared" ref="AS1469:AS1474" si="86">IF(LEN(X1469)=0,"",X1469)</f>
        <v/>
      </c>
      <c r="AT1469" s="634"/>
      <c r="AU1469" s="634"/>
      <c r="AV1469" s="634"/>
      <c r="AW1469" s="634"/>
      <c r="AX1469" s="634"/>
      <c r="AY1469" s="634"/>
      <c r="AZ1469" s="634"/>
      <c r="BA1469" s="634"/>
      <c r="BB1469" s="634"/>
      <c r="BC1469" s="634"/>
      <c r="BD1469" s="634"/>
      <c r="BE1469" s="634"/>
      <c r="BF1469" s="634"/>
      <c r="BG1469" s="634"/>
      <c r="BH1469" s="634"/>
      <c r="BI1469" s="634"/>
    </row>
    <row r="1470" spans="1:61" x14ac:dyDescent="0.25">
      <c r="A1470" s="2371">
        <v>7</v>
      </c>
      <c r="B1470" s="2385" t="s">
        <v>1036</v>
      </c>
      <c r="C1470" s="2374" t="s">
        <v>258</v>
      </c>
      <c r="D1470" s="2374"/>
      <c r="E1470" s="2374"/>
      <c r="F1470" s="2374"/>
      <c r="G1470" s="2373" t="str">
        <f t="shared" si="84"/>
        <v/>
      </c>
      <c r="H1470" s="2371" t="s">
        <v>3973</v>
      </c>
      <c r="I1470" s="4"/>
      <c r="J1470" s="544" t="s">
        <v>258</v>
      </c>
      <c r="K1470" s="637"/>
      <c r="L1470" s="1163" t="s">
        <v>1039</v>
      </c>
      <c r="M1470" s="1014"/>
      <c r="N1470" s="1042"/>
      <c r="O1470" s="1042"/>
      <c r="P1470" s="756"/>
      <c r="Q1470" s="756"/>
      <c r="R1470" s="634"/>
      <c r="S1470" s="634"/>
      <c r="T1470" s="634"/>
      <c r="U1470" s="634"/>
      <c r="V1470" s="634"/>
      <c r="W1470" s="634"/>
      <c r="X1470" s="918"/>
      <c r="Y1470" s="988" t="str">
        <f>IF(LEN('Ch7'!X600)=0,"None",'Ch7'!X600)</f>
        <v>None</v>
      </c>
      <c r="Z1470" s="1587"/>
      <c r="AA1470" s="1526"/>
      <c r="AB1470" s="634"/>
      <c r="AC1470" s="970"/>
      <c r="AD1470" s="970"/>
      <c r="AE1470" s="970"/>
      <c r="AF1470" s="634"/>
      <c r="AG1470" s="634"/>
      <c r="AH1470" s="634"/>
      <c r="AI1470" s="634"/>
      <c r="AJ1470" s="634"/>
      <c r="AK1470" s="634"/>
      <c r="AL1470" s="1336"/>
      <c r="AM1470" s="1336"/>
      <c r="AN1470" s="1336"/>
      <c r="AO1470" s="1336"/>
      <c r="AP1470" s="1336"/>
      <c r="AQ1470" s="1336"/>
      <c r="AR1470" s="254" t="str">
        <f t="shared" si="85"/>
        <v>vnt705_5_2_2</v>
      </c>
      <c r="AS1470" s="254" t="str">
        <f t="shared" si="86"/>
        <v/>
      </c>
      <c r="AT1470" s="634"/>
      <c r="AU1470" s="634"/>
      <c r="AV1470" s="634"/>
      <c r="AW1470" s="634"/>
      <c r="AX1470" s="634"/>
      <c r="AY1470" s="634"/>
      <c r="AZ1470" s="634"/>
      <c r="BA1470" s="634"/>
      <c r="BB1470" s="634"/>
      <c r="BC1470" s="634"/>
      <c r="BD1470" s="634"/>
      <c r="BE1470" s="634"/>
      <c r="BF1470" s="634"/>
      <c r="BG1470" s="634"/>
      <c r="BH1470" s="634"/>
      <c r="BI1470" s="634"/>
    </row>
    <row r="1471" spans="1:61" x14ac:dyDescent="0.25">
      <c r="A1471" s="2371">
        <v>7</v>
      </c>
      <c r="B1471" s="2385" t="s">
        <v>1036</v>
      </c>
      <c r="C1471" s="2374" t="s">
        <v>260</v>
      </c>
      <c r="D1471" s="2374"/>
      <c r="E1471" s="2374"/>
      <c r="F1471" s="2374"/>
      <c r="G1471" s="2373" t="str">
        <f t="shared" si="84"/>
        <v/>
      </c>
      <c r="H1471" s="2371" t="s">
        <v>3973</v>
      </c>
      <c r="I1471" s="4"/>
      <c r="J1471" s="555" t="s">
        <v>260</v>
      </c>
      <c r="K1471" s="280"/>
      <c r="L1471" s="280" t="s">
        <v>1040</v>
      </c>
      <c r="M1471" s="1014"/>
      <c r="N1471" s="1042"/>
      <c r="O1471" s="1042"/>
      <c r="P1471" s="756"/>
      <c r="Q1471" s="756"/>
      <c r="R1471" s="634"/>
      <c r="S1471" s="634"/>
      <c r="T1471" s="634"/>
      <c r="U1471" s="634"/>
      <c r="V1471" s="634"/>
      <c r="W1471" s="634"/>
      <c r="X1471" s="918"/>
      <c r="Y1471" s="988" t="str">
        <f>IF(LEN('Ch7'!X601)=0,"None",'Ch7'!X601)</f>
        <v>None</v>
      </c>
      <c r="Z1471" s="1587"/>
      <c r="AA1471" s="1526"/>
      <c r="AB1471" s="634"/>
      <c r="AC1471" s="970"/>
      <c r="AD1471" s="970"/>
      <c r="AE1471" s="970"/>
      <c r="AF1471" s="634"/>
      <c r="AG1471" s="634"/>
      <c r="AH1471" s="634"/>
      <c r="AI1471" s="634"/>
      <c r="AJ1471" s="634"/>
      <c r="AK1471" s="634"/>
      <c r="AL1471" s="1336"/>
      <c r="AM1471" s="1336"/>
      <c r="AN1471" s="1336"/>
      <c r="AO1471" s="1336"/>
      <c r="AP1471" s="1336"/>
      <c r="AQ1471" s="1336"/>
      <c r="AR1471" s="254" t="str">
        <f t="shared" si="85"/>
        <v>vnt705_5_2_3</v>
      </c>
      <c r="AS1471" s="254" t="str">
        <f t="shared" si="86"/>
        <v/>
      </c>
      <c r="AT1471" s="634"/>
      <c r="AU1471" s="634"/>
      <c r="AV1471" s="634"/>
      <c r="AW1471" s="634"/>
      <c r="AX1471" s="634"/>
      <c r="AY1471" s="634"/>
      <c r="AZ1471" s="634"/>
      <c r="BA1471" s="634"/>
      <c r="BB1471" s="634"/>
      <c r="BC1471" s="634"/>
      <c r="BD1471" s="634"/>
      <c r="BE1471" s="634"/>
      <c r="BF1471" s="634"/>
      <c r="BG1471" s="634"/>
      <c r="BH1471" s="634"/>
      <c r="BI1471" s="634"/>
    </row>
    <row r="1472" spans="1:61" x14ac:dyDescent="0.25">
      <c r="A1472" s="2371">
        <v>7</v>
      </c>
      <c r="B1472" s="2385" t="s">
        <v>1036</v>
      </c>
      <c r="C1472" s="2374" t="s">
        <v>269</v>
      </c>
      <c r="D1472" s="2374"/>
      <c r="E1472" s="2374"/>
      <c r="F1472" s="2374"/>
      <c r="G1472" s="2373" t="str">
        <f t="shared" si="84"/>
        <v/>
      </c>
      <c r="H1472" s="2371" t="s">
        <v>3973</v>
      </c>
      <c r="I1472" s="129"/>
      <c r="J1472" s="555" t="s">
        <v>269</v>
      </c>
      <c r="K1472" s="280"/>
      <c r="L1472" s="280" t="s">
        <v>1041</v>
      </c>
      <c r="M1472" s="1010"/>
      <c r="N1472" s="1044"/>
      <c r="O1472" s="1044"/>
      <c r="P1472" s="94"/>
      <c r="Q1472" s="94"/>
      <c r="R1472" s="94"/>
      <c r="S1472" s="94"/>
      <c r="T1472" s="94"/>
      <c r="U1472" s="94"/>
      <c r="V1472" s="94"/>
      <c r="W1472" s="94"/>
      <c r="X1472" s="918"/>
      <c r="Y1472" s="988" t="str">
        <f>IF(LEN('Ch7'!X602)=0,"None",'Ch7'!X602)</f>
        <v>None</v>
      </c>
      <c r="Z1472" s="1587"/>
      <c r="AA1472" s="1526"/>
      <c r="AB1472" s="634"/>
      <c r="AC1472" s="970"/>
      <c r="AD1472" s="970"/>
      <c r="AE1472" s="970"/>
      <c r="AF1472" s="634"/>
      <c r="AG1472" s="634"/>
      <c r="AH1472" s="634"/>
      <c r="AI1472" s="634"/>
      <c r="AJ1472" s="634"/>
      <c r="AK1472" s="634"/>
      <c r="AL1472" s="1336"/>
      <c r="AM1472" s="1336"/>
      <c r="AN1472" s="1336"/>
      <c r="AO1472" s="1336"/>
      <c r="AP1472" s="1336"/>
      <c r="AQ1472" s="1336"/>
      <c r="AR1472" s="254" t="str">
        <f t="shared" si="85"/>
        <v>vnt705_5_2_4</v>
      </c>
      <c r="AS1472" s="254" t="str">
        <f t="shared" si="86"/>
        <v/>
      </c>
      <c r="AT1472" s="634"/>
      <c r="AU1472" s="634"/>
      <c r="AV1472" s="634"/>
      <c r="AW1472" s="634"/>
      <c r="AX1472" s="634"/>
      <c r="AY1472" s="634"/>
      <c r="AZ1472" s="634"/>
      <c r="BA1472" s="634"/>
      <c r="BB1472" s="634"/>
      <c r="BC1472" s="634"/>
      <c r="BD1472" s="634"/>
      <c r="BE1472" s="634"/>
      <c r="BF1472" s="634"/>
      <c r="BG1472" s="634"/>
      <c r="BH1472" s="634"/>
      <c r="BI1472" s="634"/>
    </row>
    <row r="1473" spans="1:61" x14ac:dyDescent="0.25">
      <c r="A1473" s="2371">
        <v>7</v>
      </c>
      <c r="B1473" s="2385" t="s">
        <v>1036</v>
      </c>
      <c r="C1473" s="2374" t="s">
        <v>275</v>
      </c>
      <c r="D1473" s="2374"/>
      <c r="E1473" s="2374"/>
      <c r="F1473" s="2374"/>
      <c r="G1473" s="2373" t="str">
        <f t="shared" si="84"/>
        <v/>
      </c>
      <c r="H1473" s="2371" t="s">
        <v>3973</v>
      </c>
      <c r="I1473" s="129"/>
      <c r="J1473" s="555" t="s">
        <v>275</v>
      </c>
      <c r="K1473" s="280"/>
      <c r="L1473" s="280" t="s">
        <v>1042</v>
      </c>
      <c r="M1473" s="1010"/>
      <c r="N1473" s="1044"/>
      <c r="O1473" s="1044"/>
      <c r="P1473" s="94"/>
      <c r="Q1473" s="94"/>
      <c r="R1473" s="94"/>
      <c r="S1473" s="94"/>
      <c r="T1473" s="94"/>
      <c r="U1473" s="94"/>
      <c r="V1473" s="94"/>
      <c r="W1473" s="94"/>
      <c r="X1473" s="918"/>
      <c r="Y1473" s="988" t="str">
        <f>IF(LEN('Ch7'!X603)=0,"None",'Ch7'!X603)</f>
        <v>None</v>
      </c>
      <c r="Z1473" s="1587"/>
      <c r="AA1473" s="1526"/>
      <c r="AB1473" s="634"/>
      <c r="AC1473" s="970"/>
      <c r="AD1473" s="970"/>
      <c r="AE1473" s="970"/>
      <c r="AF1473" s="634"/>
      <c r="AG1473" s="634"/>
      <c r="AH1473" s="634"/>
      <c r="AI1473" s="634"/>
      <c r="AJ1473" s="634"/>
      <c r="AK1473" s="634"/>
      <c r="AL1473" s="1336"/>
      <c r="AM1473" s="1336"/>
      <c r="AN1473" s="1336"/>
      <c r="AO1473" s="1336"/>
      <c r="AP1473" s="1336"/>
      <c r="AQ1473" s="1336"/>
      <c r="AR1473" s="254" t="str">
        <f t="shared" si="85"/>
        <v>vnt705_5_2_5</v>
      </c>
      <c r="AS1473" s="254" t="str">
        <f t="shared" si="86"/>
        <v/>
      </c>
      <c r="AT1473" s="634"/>
      <c r="AU1473" s="634"/>
      <c r="AV1473" s="634"/>
      <c r="AW1473" s="634"/>
      <c r="AX1473" s="634"/>
      <c r="AY1473" s="634"/>
      <c r="AZ1473" s="634"/>
      <c r="BA1473" s="634"/>
      <c r="BB1473" s="634"/>
      <c r="BC1473" s="634"/>
      <c r="BD1473" s="634"/>
      <c r="BE1473" s="634"/>
      <c r="BF1473" s="634"/>
      <c r="BG1473" s="634"/>
      <c r="BH1473" s="634"/>
      <c r="BI1473" s="634"/>
    </row>
    <row r="1474" spans="1:61" x14ac:dyDescent="0.25">
      <c r="A1474" s="2371">
        <v>7</v>
      </c>
      <c r="B1474" s="2385" t="s">
        <v>1036</v>
      </c>
      <c r="C1474" s="2374" t="s">
        <v>277</v>
      </c>
      <c r="D1474" s="2374"/>
      <c r="E1474" s="2374"/>
      <c r="F1474" s="2374"/>
      <c r="G1474" s="2373" t="str">
        <f t="shared" si="84"/>
        <v/>
      </c>
      <c r="H1474" s="2371" t="s">
        <v>3973</v>
      </c>
      <c r="I1474" s="210"/>
      <c r="J1474" s="544" t="s">
        <v>277</v>
      </c>
      <c r="K1474" s="913"/>
      <c r="L1474" s="1163" t="s">
        <v>1043</v>
      </c>
      <c r="M1474" s="1015"/>
      <c r="N1474" s="1047"/>
      <c r="O1474" s="1047"/>
      <c r="P1474" s="178"/>
      <c r="Q1474" s="178"/>
      <c r="R1474" s="178"/>
      <c r="S1474" s="178"/>
      <c r="T1474" s="178"/>
      <c r="U1474" s="178"/>
      <c r="V1474" s="178"/>
      <c r="W1474" s="178"/>
      <c r="X1474" s="918"/>
      <c r="Y1474" s="988" t="str">
        <f>IF(LEN('Ch7'!X604)=0,"None",'Ch7'!X604)</f>
        <v>None</v>
      </c>
      <c r="Z1474" s="1594"/>
      <c r="AA1474" s="1526"/>
      <c r="AB1474" s="634"/>
      <c r="AC1474" s="970"/>
      <c r="AD1474" s="970"/>
      <c r="AE1474" s="970"/>
      <c r="AF1474" s="634"/>
      <c r="AG1474" s="634"/>
      <c r="AH1474" s="634"/>
      <c r="AI1474" s="634"/>
      <c r="AJ1474" s="634"/>
      <c r="AK1474" s="634"/>
      <c r="AL1474" s="1336"/>
      <c r="AM1474" s="1336"/>
      <c r="AN1474" s="1336"/>
      <c r="AO1474" s="1336"/>
      <c r="AP1474" s="1336"/>
      <c r="AQ1474" s="1336"/>
      <c r="AR1474" s="254" t="str">
        <f t="shared" si="85"/>
        <v>vnt705_5_2_6</v>
      </c>
      <c r="AS1474" s="254" t="str">
        <f t="shared" si="86"/>
        <v/>
      </c>
      <c r="AT1474" s="634"/>
      <c r="AU1474" s="634"/>
      <c r="AV1474" s="634"/>
      <c r="AW1474" s="634"/>
      <c r="AX1474" s="634"/>
      <c r="AY1474" s="634"/>
      <c r="AZ1474" s="634"/>
      <c r="BA1474" s="634"/>
      <c r="BB1474" s="634"/>
      <c r="BC1474" s="634"/>
      <c r="BD1474" s="634"/>
      <c r="BE1474" s="634"/>
      <c r="BF1474" s="634"/>
      <c r="BG1474" s="634"/>
      <c r="BH1474" s="634"/>
      <c r="BI1474" s="634"/>
    </row>
    <row r="1475" spans="1:61" x14ac:dyDescent="0.25">
      <c r="A1475" s="2371">
        <v>7</v>
      </c>
      <c r="B1475" s="2385" t="s">
        <v>4332</v>
      </c>
      <c r="C1475" s="2374"/>
      <c r="D1475" s="2374"/>
      <c r="E1475" s="2374"/>
      <c r="F1475" s="2374"/>
      <c r="G1475" s="2363" t="str">
        <f>IF(COUNTIF(G1476:G1478,"P")&gt;0,"P","")</f>
        <v/>
      </c>
      <c r="H1475" s="2371" t="s">
        <v>3971</v>
      </c>
      <c r="I1475" s="87" t="s">
        <v>4332</v>
      </c>
      <c r="J1475" s="862"/>
      <c r="K1475" s="845"/>
      <c r="L1475" s="1168" t="s">
        <v>4333</v>
      </c>
      <c r="M1475" s="1016"/>
      <c r="N1475" s="665"/>
      <c r="O1475" s="1056"/>
      <c r="P1475" s="94"/>
      <c r="Q1475" s="911"/>
      <c r="R1475" s="911"/>
      <c r="S1475" s="911"/>
      <c r="T1475" s="911"/>
      <c r="U1475"/>
      <c r="V1475"/>
      <c r="W1475"/>
      <c r="X1475" s="911"/>
      <c r="Y1475"/>
      <c r="AA1475" s="1526"/>
      <c r="AC1475" s="970"/>
      <c r="AD1475" s="970"/>
      <c r="AE1475" s="970"/>
      <c r="AF1475"/>
      <c r="AG1475"/>
      <c r="AH1475"/>
      <c r="AI1475"/>
      <c r="AJ1475"/>
      <c r="AK1475"/>
      <c r="AL1475" s="1336"/>
      <c r="AM1475" s="1336"/>
      <c r="AN1475" s="1336"/>
      <c r="AO1475" s="1336"/>
      <c r="AP1475" s="1336"/>
      <c r="AQ1475" s="1336"/>
      <c r="AR1475" s="254"/>
      <c r="AS1475" s="254"/>
      <c r="AT1475"/>
    </row>
    <row r="1476" spans="1:61" x14ac:dyDescent="0.25">
      <c r="A1476" s="2371">
        <v>7</v>
      </c>
      <c r="B1476" s="2385" t="s">
        <v>4332</v>
      </c>
      <c r="C1476" s="2382" t="s">
        <v>256</v>
      </c>
      <c r="D1476" s="2374"/>
      <c r="E1476" s="2374"/>
      <c r="F1476" s="2374"/>
      <c r="G1476" s="2373" t="str">
        <f>IF(N1476&gt;0,"P","")</f>
        <v/>
      </c>
      <c r="H1476" s="2371" t="s">
        <v>3973</v>
      </c>
      <c r="I1476" s="87"/>
      <c r="J1476" s="862" t="s">
        <v>256</v>
      </c>
      <c r="K1476" s="845"/>
      <c r="L1476" s="1787" t="s">
        <v>4334</v>
      </c>
      <c r="M1476" s="1767">
        <v>3</v>
      </c>
      <c r="N1476" s="1927">
        <f>'Ch7'!O606</f>
        <v>0</v>
      </c>
      <c r="O1476" s="2075">
        <f>M1476*S1476*W1476</f>
        <v>0</v>
      </c>
      <c r="P1476" s="911" t="b">
        <v>0</v>
      </c>
      <c r="Q1476" s="911" t="b">
        <v>1</v>
      </c>
      <c r="R1476" s="911" t="b">
        <v>0</v>
      </c>
      <c r="S1476" s="911" t="b">
        <v>1</v>
      </c>
      <c r="T1476" s="911" t="b">
        <v>0</v>
      </c>
      <c r="U1476"/>
      <c r="V1476"/>
      <c r="W1476" s="25"/>
      <c r="X1476" s="1757"/>
      <c r="Y1476" s="2099" t="str">
        <f>IF(LEN('Ch7'!X606)=0,"None",'Ch7'!X606)</f>
        <v>None</v>
      </c>
      <c r="Z1476" s="2087"/>
      <c r="AA1476" s="1526"/>
      <c r="AC1476" s="970"/>
      <c r="AD1476" s="970"/>
      <c r="AE1476" s="970"/>
      <c r="AF1476"/>
      <c r="AG1476"/>
      <c r="AH1476"/>
      <c r="AI1476"/>
      <c r="AJ1476"/>
      <c r="AK1476"/>
      <c r="AL1476" s="254" t="str">
        <f>SUBSTITUTE(SUBSTITUTE(SUBSTITUTE("vpa"&amp;$B1476&amp;$C1476&amp;$D1476&amp;$E1476,".","_"),"(","_"),")","")</f>
        <v>vpa705_5_3_1</v>
      </c>
      <c r="AM1476" s="254">
        <f>M1476</f>
        <v>3</v>
      </c>
      <c r="AN1476" s="254" t="str">
        <f>SUBSTITUTE(SUBSTITUTE(SUBSTITUTE("vpc"&amp;$B1476&amp;$C1476&amp;$D1476&amp;$E1476,".","_"),"(","_"),")","")</f>
        <v>vpc705_5_3_1</v>
      </c>
      <c r="AO1476" s="254">
        <f>O1476</f>
        <v>0</v>
      </c>
      <c r="AP1476" s="254" t="str">
        <f>SUBSTITUTE(SUBSTITUTE(SUBSTITUTE("vch"&amp;$B1476&amp;$C1476&amp;$D1476&amp;$E1476,".","_"),"(","_"),")","")</f>
        <v>vch705_5_3_1</v>
      </c>
      <c r="AQ1476" s="254" t="str">
        <f>IF(LEN(W1476)=0,"",W1476)</f>
        <v/>
      </c>
      <c r="AR1476" s="254" t="str">
        <f>SUBSTITUTE(SUBSTITUTE(SUBSTITUTE("vnt"&amp;$B1476&amp;$C1476&amp;$D1476&amp;$E1476,".","_"),"(","_"),")","")</f>
        <v>vnt705_5_3_1</v>
      </c>
      <c r="AS1476" s="254" t="str">
        <f>IF(LEN(X1476)=0,"",X1476)</f>
        <v/>
      </c>
      <c r="AT1476"/>
    </row>
    <row r="1477" spans="1:61" x14ac:dyDescent="0.25">
      <c r="A1477" s="2371">
        <v>7</v>
      </c>
      <c r="B1477" s="2385" t="s">
        <v>4332</v>
      </c>
      <c r="C1477" s="2382" t="s">
        <v>256</v>
      </c>
      <c r="D1477" s="2374"/>
      <c r="E1477" s="2374"/>
      <c r="F1477" s="2374"/>
      <c r="G1477" s="2373" t="str">
        <f>G1476</f>
        <v/>
      </c>
      <c r="H1477" s="2371" t="s">
        <v>3973</v>
      </c>
      <c r="I1477" s="87"/>
      <c r="J1477" s="863"/>
      <c r="K1477" s="851"/>
      <c r="L1477" s="1786"/>
      <c r="M1477" s="1759"/>
      <c r="N1477" s="2076"/>
      <c r="O1477" s="2076"/>
      <c r="P1477" s="911"/>
      <c r="Q1477" s="911"/>
      <c r="R1477" s="911"/>
      <c r="S1477" s="911"/>
      <c r="T1477" s="911"/>
      <c r="U1477"/>
      <c r="V1477"/>
      <c r="W1477"/>
      <c r="X1477" s="1757"/>
      <c r="Y1477" s="2097"/>
      <c r="Z1477" s="2085"/>
      <c r="AA1477" s="1526"/>
      <c r="AC1477" s="970"/>
      <c r="AD1477" s="970"/>
      <c r="AE1477" s="970"/>
      <c r="AF1477"/>
      <c r="AG1477"/>
      <c r="AH1477"/>
      <c r="AI1477"/>
      <c r="AJ1477"/>
      <c r="AK1477"/>
      <c r="AL1477" s="1336"/>
      <c r="AM1477" s="1336"/>
      <c r="AN1477" s="1336"/>
      <c r="AO1477" s="1336"/>
      <c r="AP1477" s="254"/>
      <c r="AQ1477" s="254"/>
      <c r="AR1477" s="254"/>
      <c r="AS1477" s="254"/>
      <c r="AT1477"/>
    </row>
    <row r="1478" spans="1:61" ht="15.75" thickBot="1" x14ac:dyDescent="0.3">
      <c r="A1478" s="2371">
        <v>7</v>
      </c>
      <c r="B1478" s="2385" t="s">
        <v>4332</v>
      </c>
      <c r="C1478" s="2382" t="s">
        <v>258</v>
      </c>
      <c r="D1478" s="2374"/>
      <c r="E1478" s="2374"/>
      <c r="F1478" s="2374"/>
      <c r="G1478" s="2373" t="str">
        <f>IF(N1478&gt;0,"P","")</f>
        <v/>
      </c>
      <c r="H1478" s="2371" t="s">
        <v>3973</v>
      </c>
      <c r="I1478" s="96"/>
      <c r="J1478" s="902" t="s">
        <v>258</v>
      </c>
      <c r="K1478" s="852"/>
      <c r="L1478" s="1154" t="s">
        <v>4335</v>
      </c>
      <c r="M1478" s="997">
        <v>3</v>
      </c>
      <c r="N1478" s="1058">
        <f>'Ch7'!O608</f>
        <v>0</v>
      </c>
      <c r="O1478" s="1058">
        <f>M1478*S1478*W1478</f>
        <v>0</v>
      </c>
      <c r="P1478" s="99" t="b">
        <v>0</v>
      </c>
      <c r="Q1478" s="99" t="b">
        <v>1</v>
      </c>
      <c r="R1478" s="99" t="b">
        <v>0</v>
      </c>
      <c r="S1478" s="99" t="b">
        <v>1</v>
      </c>
      <c r="T1478" s="99" t="b">
        <v>0</v>
      </c>
      <c r="U1478" s="99"/>
      <c r="V1478" s="99"/>
      <c r="W1478" s="100"/>
      <c r="X1478" s="914"/>
      <c r="Y1478" s="989" t="str">
        <f>IF(LEN('Ch7'!X608)=0,"None",'Ch7'!X608)</f>
        <v>None</v>
      </c>
      <c r="Z1478" s="1595"/>
      <c r="AA1478" s="1526"/>
      <c r="AC1478" s="970"/>
      <c r="AD1478" s="970"/>
      <c r="AE1478" s="970"/>
      <c r="AF1478"/>
      <c r="AG1478"/>
      <c r="AH1478"/>
      <c r="AI1478"/>
      <c r="AJ1478"/>
      <c r="AK1478"/>
      <c r="AL1478" s="254" t="str">
        <f>SUBSTITUTE(SUBSTITUTE(SUBSTITUTE("vpa"&amp;$B1478&amp;$C1478&amp;$D1478&amp;$E1478,".","_"),"(","_"),")","")</f>
        <v>vpa705_5_3_2</v>
      </c>
      <c r="AM1478" s="254">
        <f>M1478</f>
        <v>3</v>
      </c>
      <c r="AN1478" s="254" t="str">
        <f>SUBSTITUTE(SUBSTITUTE(SUBSTITUTE("vpc"&amp;$B1478&amp;$C1478&amp;$D1478&amp;$E1478,".","_"),"(","_"),")","")</f>
        <v>vpc705_5_3_2</v>
      </c>
      <c r="AO1478" s="254">
        <f>O1478</f>
        <v>0</v>
      </c>
      <c r="AP1478" s="254" t="str">
        <f>SUBSTITUTE(SUBSTITUTE(SUBSTITUTE("vch"&amp;$B1478&amp;$C1478&amp;$D1478&amp;$E1478,".","_"),"(","_"),")","")</f>
        <v>vch705_5_3_2</v>
      </c>
      <c r="AQ1478" s="254" t="str">
        <f>IF(LEN(W1478)=0,"",W1478)</f>
        <v/>
      </c>
      <c r="AR1478" s="254" t="str">
        <f>SUBSTITUTE(SUBSTITUTE(SUBSTITUTE("vnt"&amp;$B1478&amp;$C1478&amp;$D1478&amp;$E1478,".","_"),"(","_"),")","")</f>
        <v>vnt705_5_3_2</v>
      </c>
      <c r="AS1478" s="254" t="str">
        <f>IF(LEN(X1478)=0,"",X1478)</f>
        <v/>
      </c>
      <c r="AT1478"/>
    </row>
    <row r="1479" spans="1:61" ht="15.75" thickTop="1" x14ac:dyDescent="0.25">
      <c r="A1479" s="2371">
        <v>7</v>
      </c>
      <c r="B1479" s="2385">
        <v>705.6</v>
      </c>
      <c r="C1479" s="2381"/>
      <c r="D1479" s="2374"/>
      <c r="E1479" s="2374"/>
      <c r="F1479" s="2374"/>
      <c r="G1479" s="2363" t="str">
        <f ca="1">IF(COUNTIF(G1480:G1527,"P")&gt;0,"P","")</f>
        <v/>
      </c>
      <c r="H1479" s="2371" t="s">
        <v>3971</v>
      </c>
      <c r="I1479" s="139">
        <v>705.6</v>
      </c>
      <c r="J1479" s="639"/>
      <c r="K1479" s="639"/>
      <c r="L1479" s="1180" t="s">
        <v>1044</v>
      </c>
      <c r="M1479" s="1014"/>
      <c r="N1479" s="1042"/>
      <c r="O1479" s="1042"/>
      <c r="P1479" s="756"/>
      <c r="Q1479" s="756"/>
      <c r="R1479" s="634"/>
      <c r="S1479" s="634"/>
      <c r="T1479" s="634"/>
      <c r="U1479" s="634"/>
      <c r="V1479" s="634"/>
      <c r="W1479" s="634"/>
      <c r="X1479" s="911"/>
      <c r="Y1479" s="634"/>
      <c r="AA1479" s="1526"/>
      <c r="AB1479" s="634"/>
      <c r="AC1479" s="970"/>
      <c r="AD1479" s="970"/>
      <c r="AE1479" s="970"/>
      <c r="AF1479" s="634"/>
      <c r="AG1479" s="634"/>
      <c r="AH1479" s="634"/>
      <c r="AI1479" s="634"/>
      <c r="AJ1479" s="634"/>
      <c r="AK1479" s="634"/>
      <c r="AL1479" s="1336"/>
      <c r="AM1479" s="1336"/>
      <c r="AN1479" s="1336"/>
      <c r="AO1479" s="1336"/>
      <c r="AP1479" s="1336"/>
      <c r="AQ1479" s="1336"/>
      <c r="AR1479" s="1336"/>
      <c r="AS1479" s="1336"/>
      <c r="AT1479" s="634"/>
      <c r="AU1479" s="634"/>
      <c r="AV1479" s="634"/>
      <c r="AW1479" s="634"/>
      <c r="AX1479" s="634"/>
      <c r="AY1479" s="634"/>
      <c r="AZ1479" s="634"/>
      <c r="BA1479" s="634"/>
      <c r="BB1479" s="634"/>
      <c r="BC1479" s="634"/>
      <c r="BD1479" s="634"/>
      <c r="BE1479" s="634"/>
      <c r="BF1479" s="634"/>
      <c r="BG1479" s="634"/>
      <c r="BH1479" s="634"/>
      <c r="BI1479" s="634"/>
    </row>
    <row r="1480" spans="1:61" ht="15" customHeight="1" x14ac:dyDescent="0.25">
      <c r="A1480" s="2371">
        <v>7</v>
      </c>
      <c r="B1480" s="2385" t="s">
        <v>1045</v>
      </c>
      <c r="C1480" s="2381"/>
      <c r="D1480" s="2374"/>
      <c r="E1480" s="2374"/>
      <c r="F1480" s="2374"/>
      <c r="G1480" s="2373" t="str">
        <f>IF(N1480&gt;0,"P","")</f>
        <v/>
      </c>
      <c r="H1480" s="2371" t="s">
        <v>3971</v>
      </c>
      <c r="I1480" s="510" t="s">
        <v>1045</v>
      </c>
      <c r="J1480" s="636"/>
      <c r="K1480" s="636"/>
      <c r="L1480" s="1833" t="s">
        <v>4336</v>
      </c>
      <c r="M1480" s="1758">
        <v>3</v>
      </c>
      <c r="N1480" s="1927">
        <f>'Ch7'!O610</f>
        <v>0</v>
      </c>
      <c r="O1480" s="1927">
        <f>M1480*S1480</f>
        <v>0</v>
      </c>
      <c r="P1480" s="94" t="b">
        <v>1</v>
      </c>
      <c r="Q1480" s="94" t="b">
        <v>1</v>
      </c>
      <c r="R1480" s="94" t="b">
        <v>0</v>
      </c>
      <c r="S1480" s="94" t="b">
        <f>LEN(W882)&gt;0</f>
        <v>0</v>
      </c>
      <c r="T1480" s="94" t="b">
        <v>0</v>
      </c>
      <c r="U1480" s="94"/>
      <c r="V1480" s="94"/>
      <c r="W1480" s="1873" t="s">
        <v>3621</v>
      </c>
      <c r="X1480" s="1757"/>
      <c r="Y1480" s="2081" t="str">
        <f>IF(LEN('Ch7'!X610)=0,"None",'Ch7'!X610)</f>
        <v>None</v>
      </c>
      <c r="Z1480" s="2083"/>
      <c r="AA1480" s="1526"/>
      <c r="AB1480" s="634"/>
      <c r="AC1480" s="970"/>
      <c r="AD1480" s="970"/>
      <c r="AE1480" s="970"/>
      <c r="AF1480" s="634"/>
      <c r="AG1480" s="634"/>
      <c r="AH1480" s="634"/>
      <c r="AI1480" s="634"/>
      <c r="AJ1480" s="634"/>
      <c r="AK1480" s="634"/>
      <c r="AL1480" s="254" t="str">
        <f>SUBSTITUTE(SUBSTITUTE(SUBSTITUTE("vpa"&amp;$B1480&amp;$C1480&amp;$D1480&amp;$E1480,".","_"),"(","_"),")","")</f>
        <v>vpa705_6_1</v>
      </c>
      <c r="AM1480" s="254">
        <f>M1480</f>
        <v>3</v>
      </c>
      <c r="AN1480" s="254" t="str">
        <f>SUBSTITUTE(SUBSTITUTE(SUBSTITUTE("vpc"&amp;$B1480&amp;$C1480&amp;$D1480&amp;$E1480,".","_"),"(","_"),")","")</f>
        <v>vpc705_6_1</v>
      </c>
      <c r="AO1480" s="254">
        <f>O1480</f>
        <v>0</v>
      </c>
      <c r="AP1480" s="1336"/>
      <c r="AQ1480" s="1336"/>
      <c r="AR1480" s="254" t="str">
        <f>SUBSTITUTE(SUBSTITUTE(SUBSTITUTE("vnt"&amp;$B1480&amp;$C1480&amp;$D1480&amp;$E1480,".","_"),"(","_"),")","")</f>
        <v>vnt705_6_1</v>
      </c>
      <c r="AS1480" s="254" t="str">
        <f>IF(LEN(X1480)=0,"",X1480)</f>
        <v/>
      </c>
      <c r="AT1480" s="634"/>
      <c r="AU1480" s="634"/>
      <c r="AV1480" s="634"/>
      <c r="AW1480" s="634"/>
      <c r="AX1480" s="634"/>
      <c r="AY1480" s="634"/>
      <c r="AZ1480" s="634"/>
      <c r="BA1480" s="634"/>
      <c r="BB1480" s="634"/>
      <c r="BC1480" s="634"/>
      <c r="BD1480" s="634"/>
      <c r="BE1480" s="634"/>
      <c r="BF1480" s="634"/>
      <c r="BG1480" s="634"/>
      <c r="BH1480" s="634"/>
      <c r="BI1480" s="634"/>
    </row>
    <row r="1481" spans="1:61" x14ac:dyDescent="0.25">
      <c r="A1481" s="2371">
        <v>7</v>
      </c>
      <c r="B1481" s="2385" t="s">
        <v>1045</v>
      </c>
      <c r="C1481" s="2381"/>
      <c r="D1481" s="2374"/>
      <c r="E1481" s="2374"/>
      <c r="F1481" s="2374"/>
      <c r="G1481" s="2373" t="str">
        <f>G1480</f>
        <v/>
      </c>
      <c r="H1481" s="2371" t="s">
        <v>3971</v>
      </c>
      <c r="I1481" s="129"/>
      <c r="J1481" s="636"/>
      <c r="K1481" s="636"/>
      <c r="L1481" s="1833"/>
      <c r="M1481" s="1758"/>
      <c r="N1481" s="1927"/>
      <c r="O1481" s="1927"/>
      <c r="P1481" s="94"/>
      <c r="Q1481" s="94"/>
      <c r="R1481" s="94"/>
      <c r="S1481" s="94"/>
      <c r="T1481" s="94"/>
      <c r="U1481" s="94"/>
      <c r="V1481" s="94"/>
      <c r="W1481" s="1873"/>
      <c r="X1481" s="1757"/>
      <c r="Y1481" s="2081"/>
      <c r="Z1481" s="2083"/>
      <c r="AA1481" s="1526"/>
      <c r="AB1481" s="634"/>
      <c r="AC1481" s="970"/>
      <c r="AD1481" s="970"/>
      <c r="AE1481" s="970"/>
      <c r="AF1481" s="634"/>
      <c r="AG1481" s="634"/>
      <c r="AH1481" s="634"/>
      <c r="AI1481" s="634"/>
      <c r="AJ1481" s="634"/>
      <c r="AK1481" s="634"/>
      <c r="AL1481" s="1336"/>
      <c r="AM1481" s="1336"/>
      <c r="AN1481" s="1336"/>
      <c r="AO1481" s="1336"/>
      <c r="AP1481" s="1336"/>
      <c r="AQ1481" s="1336"/>
      <c r="AR1481" s="1336"/>
      <c r="AS1481" s="1336"/>
      <c r="AT1481" s="634"/>
      <c r="AU1481" s="634"/>
      <c r="AV1481" s="634"/>
      <c r="AW1481" s="634"/>
      <c r="AX1481" s="634"/>
      <c r="AY1481" s="634"/>
      <c r="AZ1481" s="634"/>
      <c r="BA1481" s="634"/>
      <c r="BB1481" s="634"/>
      <c r="BC1481" s="634"/>
      <c r="BD1481" s="634"/>
      <c r="BE1481" s="634"/>
      <c r="BF1481" s="634"/>
      <c r="BG1481" s="634"/>
      <c r="BH1481" s="634"/>
      <c r="BI1481" s="634"/>
    </row>
    <row r="1482" spans="1:61" x14ac:dyDescent="0.25">
      <c r="A1482" s="2371">
        <v>7</v>
      </c>
      <c r="B1482" s="2385" t="s">
        <v>1045</v>
      </c>
      <c r="C1482" s="2381"/>
      <c r="D1482" s="2374"/>
      <c r="E1482" s="2374"/>
      <c r="F1482" s="2374"/>
      <c r="G1482" s="2373" t="str">
        <f>G1481</f>
        <v/>
      </c>
      <c r="H1482" s="2371" t="s">
        <v>3971</v>
      </c>
      <c r="I1482" s="129"/>
      <c r="J1482" s="636"/>
      <c r="K1482" s="636"/>
      <c r="L1482" s="1833"/>
      <c r="M1482" s="1758"/>
      <c r="N1482" s="1927"/>
      <c r="O1482" s="1927"/>
      <c r="P1482" s="94"/>
      <c r="Q1482" s="94"/>
      <c r="R1482" s="94"/>
      <c r="S1482" s="94"/>
      <c r="T1482" s="94"/>
      <c r="U1482" s="94"/>
      <c r="V1482" s="94"/>
      <c r="W1482" s="1873"/>
      <c r="X1482" s="1757"/>
      <c r="Y1482" s="2081"/>
      <c r="Z1482" s="2083"/>
      <c r="AA1482" s="1526"/>
      <c r="AB1482" s="634"/>
      <c r="AC1482" s="970"/>
      <c r="AD1482" s="970"/>
      <c r="AE1482" s="970"/>
      <c r="AF1482" s="634"/>
      <c r="AG1482" s="634"/>
      <c r="AH1482" s="634"/>
      <c r="AI1482" s="634"/>
      <c r="AJ1482" s="634"/>
      <c r="AK1482" s="634"/>
      <c r="AL1482" s="1336"/>
      <c r="AM1482" s="1336"/>
      <c r="AN1482" s="1336"/>
      <c r="AO1482" s="1336"/>
      <c r="AP1482" s="1336"/>
      <c r="AQ1482" s="1336"/>
      <c r="AR1482" s="1336"/>
      <c r="AS1482" s="1336"/>
      <c r="AT1482" s="634"/>
      <c r="AU1482" s="634"/>
      <c r="AV1482" s="634"/>
      <c r="AW1482" s="634"/>
      <c r="AX1482" s="634"/>
      <c r="AY1482" s="634"/>
      <c r="AZ1482" s="634"/>
      <c r="BA1482" s="634"/>
      <c r="BB1482" s="634"/>
      <c r="BC1482" s="634"/>
      <c r="BD1482" s="634"/>
      <c r="BE1482" s="634"/>
      <c r="BF1482" s="634"/>
      <c r="BG1482" s="634"/>
      <c r="BH1482" s="634"/>
      <c r="BI1482" s="634"/>
    </row>
    <row r="1483" spans="1:61" x14ac:dyDescent="0.25">
      <c r="A1483" s="2371">
        <v>7</v>
      </c>
      <c r="B1483" s="2385" t="s">
        <v>1045</v>
      </c>
      <c r="C1483" s="2381"/>
      <c r="D1483" s="2374"/>
      <c r="E1483" s="2374"/>
      <c r="F1483" s="2374"/>
      <c r="G1483" s="2373" t="str">
        <f>G1482</f>
        <v/>
      </c>
      <c r="H1483" s="2371" t="s">
        <v>3971</v>
      </c>
      <c r="I1483" s="129"/>
      <c r="J1483" s="636"/>
      <c r="K1483" s="636"/>
      <c r="L1483" s="1833"/>
      <c r="M1483" s="1758"/>
      <c r="N1483" s="1927"/>
      <c r="O1483" s="1927"/>
      <c r="P1483" s="94"/>
      <c r="Q1483" s="94"/>
      <c r="R1483" s="94"/>
      <c r="S1483" s="94"/>
      <c r="T1483" s="94"/>
      <c r="U1483" s="94"/>
      <c r="V1483" s="94"/>
      <c r="W1483" s="1873"/>
      <c r="X1483" s="1757"/>
      <c r="Y1483" s="2081"/>
      <c r="Z1483" s="2083"/>
      <c r="AA1483" s="1526"/>
      <c r="AB1483" s="634"/>
      <c r="AC1483" s="970"/>
      <c r="AD1483" s="970"/>
      <c r="AE1483" s="970"/>
      <c r="AF1483" s="634"/>
      <c r="AG1483" s="634"/>
      <c r="AH1483" s="634"/>
      <c r="AI1483" s="634"/>
      <c r="AJ1483" s="634"/>
      <c r="AK1483" s="634"/>
      <c r="AL1483" s="1336"/>
      <c r="AM1483" s="1336"/>
      <c r="AN1483" s="1336"/>
      <c r="AO1483" s="1336"/>
      <c r="AP1483" s="1336"/>
      <c r="AQ1483" s="1336"/>
      <c r="AR1483" s="1336"/>
      <c r="AS1483" s="1336"/>
      <c r="AT1483" s="634"/>
      <c r="AU1483" s="634"/>
      <c r="AV1483" s="634"/>
      <c r="AW1483" s="634"/>
      <c r="AX1483" s="634"/>
      <c r="AY1483" s="634"/>
      <c r="AZ1483" s="634"/>
      <c r="BA1483" s="634"/>
      <c r="BB1483" s="634"/>
      <c r="BC1483" s="634"/>
      <c r="BD1483" s="634"/>
      <c r="BE1483" s="634"/>
      <c r="BF1483" s="634"/>
      <c r="BG1483" s="634"/>
      <c r="BH1483" s="634"/>
      <c r="BI1483" s="634"/>
    </row>
    <row r="1484" spans="1:61" x14ac:dyDescent="0.25">
      <c r="A1484" s="2371">
        <v>7</v>
      </c>
      <c r="B1484" s="2385" t="s">
        <v>1045</v>
      </c>
      <c r="C1484" s="2381"/>
      <c r="D1484" s="2374"/>
      <c r="E1484" s="2374"/>
      <c r="F1484" s="2374"/>
      <c r="G1484" s="2373" t="str">
        <f>G1483</f>
        <v/>
      </c>
      <c r="H1484" s="2371" t="s">
        <v>3971</v>
      </c>
      <c r="I1484" s="129"/>
      <c r="J1484" s="636"/>
      <c r="K1484" s="636"/>
      <c r="L1484" s="1833"/>
      <c r="M1484" s="1758"/>
      <c r="N1484" s="1927"/>
      <c r="O1484" s="1927"/>
      <c r="P1484" s="94"/>
      <c r="Q1484" s="94"/>
      <c r="R1484" s="94"/>
      <c r="S1484" s="94"/>
      <c r="T1484" s="94"/>
      <c r="U1484" s="94"/>
      <c r="V1484" s="94"/>
      <c r="W1484" s="1873"/>
      <c r="X1484" s="1757"/>
      <c r="Y1484" s="2081"/>
      <c r="Z1484" s="2083"/>
      <c r="AA1484" s="1526"/>
      <c r="AB1484" s="634"/>
      <c r="AC1484" s="970"/>
      <c r="AD1484" s="970"/>
      <c r="AE1484" s="970"/>
      <c r="AF1484" s="634"/>
      <c r="AG1484" s="634"/>
      <c r="AH1484" s="634"/>
      <c r="AI1484" s="634"/>
      <c r="AJ1484" s="634"/>
      <c r="AK1484" s="634"/>
      <c r="AL1484" s="1336"/>
      <c r="AM1484" s="1336"/>
      <c r="AN1484" s="1336"/>
      <c r="AO1484" s="1336"/>
      <c r="AP1484" s="1336"/>
      <c r="AQ1484" s="1336"/>
      <c r="AR1484" s="1336"/>
      <c r="AS1484" s="1336"/>
      <c r="AT1484" s="634"/>
      <c r="AU1484" s="634"/>
      <c r="AV1484" s="634"/>
      <c r="AW1484" s="634"/>
      <c r="AX1484" s="634"/>
      <c r="AY1484" s="634"/>
      <c r="AZ1484" s="634"/>
      <c r="BA1484" s="634"/>
      <c r="BB1484" s="634"/>
      <c r="BC1484" s="634"/>
      <c r="BD1484" s="634"/>
      <c r="BE1484" s="634"/>
      <c r="BF1484" s="634"/>
      <c r="BG1484" s="634"/>
      <c r="BH1484" s="634"/>
      <c r="BI1484" s="634"/>
    </row>
    <row r="1485" spans="1:61" x14ac:dyDescent="0.25">
      <c r="A1485" s="2371">
        <v>7</v>
      </c>
      <c r="B1485" s="2385" t="s">
        <v>1045</v>
      </c>
      <c r="C1485" s="2381"/>
      <c r="D1485" s="2374"/>
      <c r="E1485" s="2374"/>
      <c r="F1485" s="2374"/>
      <c r="G1485" s="2373" t="str">
        <f>G1484</f>
        <v/>
      </c>
      <c r="H1485" s="2371" t="s">
        <v>3971</v>
      </c>
      <c r="I1485" s="210"/>
      <c r="J1485" s="637"/>
      <c r="K1485" s="637"/>
      <c r="L1485" s="1834"/>
      <c r="M1485" s="1759"/>
      <c r="N1485" s="2076"/>
      <c r="O1485" s="2076"/>
      <c r="P1485" s="178"/>
      <c r="Q1485" s="178"/>
      <c r="R1485" s="178"/>
      <c r="S1485" s="178"/>
      <c r="T1485" s="178"/>
      <c r="U1485" s="178"/>
      <c r="V1485" s="178"/>
      <c r="W1485" s="1874"/>
      <c r="X1485" s="1757"/>
      <c r="Y1485" s="2081"/>
      <c r="Z1485" s="2083"/>
      <c r="AA1485" s="1526"/>
      <c r="AB1485" s="634"/>
      <c r="AC1485" s="970"/>
      <c r="AD1485" s="970"/>
      <c r="AE1485" s="970"/>
      <c r="AF1485" s="634"/>
      <c r="AG1485" s="634"/>
      <c r="AH1485" s="634"/>
      <c r="AI1485" s="634"/>
      <c r="AJ1485" s="634"/>
      <c r="AK1485" s="634"/>
      <c r="AL1485" s="1336"/>
      <c r="AM1485" s="1336"/>
      <c r="AN1485" s="1336"/>
      <c r="AO1485" s="1336"/>
      <c r="AP1485" s="1336"/>
      <c r="AQ1485" s="1336"/>
      <c r="AR1485" s="1336"/>
      <c r="AS1485" s="1336"/>
      <c r="AT1485" s="634"/>
      <c r="AU1485" s="634"/>
      <c r="AV1485" s="634"/>
      <c r="AW1485" s="634"/>
      <c r="AX1485" s="634"/>
      <c r="AY1485" s="634"/>
      <c r="AZ1485" s="634"/>
      <c r="BA1485" s="634"/>
      <c r="BB1485" s="634"/>
      <c r="BC1485" s="634"/>
      <c r="BD1485" s="634"/>
      <c r="BE1485" s="634"/>
      <c r="BF1485" s="634"/>
      <c r="BG1485" s="634"/>
      <c r="BH1485" s="634"/>
      <c r="BI1485" s="634"/>
    </row>
    <row r="1486" spans="1:61" x14ac:dyDescent="0.25">
      <c r="A1486" s="2371">
        <v>7</v>
      </c>
      <c r="B1486" s="2385" t="s">
        <v>3619</v>
      </c>
      <c r="C1486" s="2381"/>
      <c r="D1486" s="2374"/>
      <c r="E1486" s="2374"/>
      <c r="F1486" s="2374"/>
      <c r="G1486" s="2363" t="str">
        <f ca="1">IF(COUNTIF(G1493:G1507,"P")&gt;0,"P","")</f>
        <v/>
      </c>
      <c r="H1486" s="2371" t="s">
        <v>3973</v>
      </c>
      <c r="I1486" s="66" t="s">
        <v>3619</v>
      </c>
      <c r="J1486" s="639"/>
      <c r="K1486" s="639"/>
      <c r="L1486" s="1180" t="s">
        <v>3620</v>
      </c>
      <c r="M1486" s="1014"/>
      <c r="N1486" s="1042"/>
      <c r="O1486" s="1042"/>
      <c r="P1486" s="756"/>
      <c r="Q1486" s="756"/>
      <c r="R1486" s="634"/>
      <c r="S1486" s="634"/>
      <c r="T1486" s="634"/>
      <c r="U1486" s="634"/>
      <c r="V1486" s="634"/>
      <c r="W1486" s="634"/>
      <c r="X1486" s="911"/>
      <c r="Y1486" s="634"/>
      <c r="AA1486" s="1526"/>
      <c r="AB1486" s="634"/>
      <c r="AC1486" s="970"/>
      <c r="AD1486" s="970"/>
      <c r="AE1486" s="970"/>
      <c r="AF1486" s="634"/>
      <c r="AG1486" s="634"/>
      <c r="AH1486" s="634"/>
      <c r="AI1486" s="634"/>
      <c r="AJ1486" s="634"/>
      <c r="AK1486" s="634"/>
      <c r="AL1486" s="1336"/>
      <c r="AM1486" s="1336"/>
      <c r="AN1486" s="1336"/>
      <c r="AO1486" s="1336"/>
      <c r="AP1486" s="1336"/>
      <c r="AQ1486" s="1336"/>
      <c r="AR1486" s="1336"/>
      <c r="AS1486" s="1336"/>
      <c r="AT1486" s="634"/>
      <c r="AU1486" s="634"/>
      <c r="AV1486" s="634"/>
      <c r="AW1486" s="634"/>
      <c r="AX1486" s="634"/>
      <c r="AY1486" s="634"/>
      <c r="AZ1486" s="634"/>
      <c r="BA1486" s="634"/>
      <c r="BB1486" s="634"/>
      <c r="BC1486" s="634"/>
      <c r="BD1486" s="634"/>
      <c r="BE1486" s="634"/>
      <c r="BF1486" s="634"/>
      <c r="BG1486" s="634"/>
      <c r="BH1486" s="634"/>
      <c r="BI1486" s="634"/>
    </row>
    <row r="1487" spans="1:61" ht="15" customHeight="1" x14ac:dyDescent="0.25">
      <c r="A1487" s="2371">
        <v>7</v>
      </c>
      <c r="B1487" s="2381" t="s">
        <v>1047</v>
      </c>
      <c r="C1487" s="2381"/>
      <c r="D1487" s="2374"/>
      <c r="E1487" s="2374"/>
      <c r="F1487" s="2374"/>
      <c r="G1487" s="2363" t="str">
        <f>IF(COUNTIF(G1493:G1496,"P")&gt;0,"P","")</f>
        <v/>
      </c>
      <c r="H1487" s="2371" t="s">
        <v>3973</v>
      </c>
      <c r="I1487" s="66" t="s">
        <v>1047</v>
      </c>
      <c r="J1487" s="639"/>
      <c r="K1487" s="639"/>
      <c r="L1487" s="1796" t="s">
        <v>4831</v>
      </c>
      <c r="M1487" s="1014"/>
      <c r="N1487" s="1042"/>
      <c r="O1487" s="1042"/>
      <c r="P1487" s="756"/>
      <c r="Q1487" s="756"/>
      <c r="R1487" s="634"/>
      <c r="S1487" s="634"/>
      <c r="T1487" s="634"/>
      <c r="U1487" s="634"/>
      <c r="V1487" s="634"/>
      <c r="W1487" s="634"/>
      <c r="X1487" s="911"/>
      <c r="Y1487" s="634"/>
      <c r="AA1487" s="1526"/>
      <c r="AB1487" s="634"/>
      <c r="AC1487" s="970"/>
      <c r="AD1487" s="970"/>
      <c r="AE1487" s="970"/>
      <c r="AF1487" s="634"/>
      <c r="AG1487" s="634"/>
      <c r="AH1487" s="634"/>
      <c r="AI1487" s="634"/>
      <c r="AJ1487" s="634"/>
      <c r="AK1487" s="634"/>
      <c r="AL1487" s="1336"/>
      <c r="AM1487" s="1336"/>
      <c r="AN1487" s="1336"/>
      <c r="AO1487" s="1336"/>
      <c r="AP1487" s="1336"/>
      <c r="AQ1487" s="1336"/>
      <c r="AR1487" s="1336"/>
      <c r="AS1487" s="1336"/>
      <c r="AT1487" s="634"/>
      <c r="AU1487" s="634"/>
      <c r="AV1487" s="634"/>
      <c r="AW1487" s="634"/>
      <c r="AX1487" s="634"/>
      <c r="AY1487" s="634"/>
      <c r="AZ1487" s="634"/>
      <c r="BA1487" s="634"/>
      <c r="BB1487" s="634"/>
      <c r="BC1487" s="634"/>
      <c r="BD1487" s="634"/>
      <c r="BE1487" s="634"/>
      <c r="BF1487" s="634"/>
      <c r="BG1487" s="634"/>
      <c r="BH1487" s="634"/>
      <c r="BI1487" s="634"/>
    </row>
    <row r="1488" spans="1:61" x14ac:dyDescent="0.25">
      <c r="A1488" s="2371">
        <v>7</v>
      </c>
      <c r="B1488" s="2381" t="s">
        <v>1047</v>
      </c>
      <c r="C1488" s="2381"/>
      <c r="D1488" s="2374"/>
      <c r="E1488" s="2374"/>
      <c r="F1488" s="2374"/>
      <c r="G1488" s="2373" t="str">
        <f>G1487</f>
        <v/>
      </c>
      <c r="H1488" s="2371" t="s">
        <v>3973</v>
      </c>
      <c r="I1488" s="4"/>
      <c r="J1488" s="639"/>
      <c r="K1488" s="639"/>
      <c r="L1488" s="1796"/>
      <c r="M1488" s="1014"/>
      <c r="N1488" s="1042"/>
      <c r="O1488" s="1042"/>
      <c r="P1488" s="756"/>
      <c r="Q1488" s="756"/>
      <c r="R1488" s="634"/>
      <c r="S1488" s="634"/>
      <c r="T1488" s="634"/>
      <c r="U1488" s="634"/>
      <c r="V1488" s="634"/>
      <c r="W1488" s="634"/>
      <c r="X1488" s="911"/>
      <c r="Y1488" s="634"/>
      <c r="AA1488" s="1526"/>
      <c r="AB1488" s="634"/>
      <c r="AC1488" s="970"/>
      <c r="AD1488" s="970"/>
      <c r="AE1488" s="970"/>
      <c r="AF1488" s="634"/>
      <c r="AG1488" s="634"/>
      <c r="AH1488" s="634"/>
      <c r="AI1488" s="634"/>
      <c r="AJ1488" s="634"/>
      <c r="AK1488" s="634"/>
      <c r="AL1488" s="1336"/>
      <c r="AM1488" s="1336"/>
      <c r="AN1488" s="1336"/>
      <c r="AO1488" s="1336"/>
      <c r="AP1488" s="1336"/>
      <c r="AQ1488" s="1336"/>
      <c r="AR1488" s="1336"/>
      <c r="AS1488" s="1336"/>
      <c r="AT1488" s="634"/>
      <c r="AU1488" s="634"/>
      <c r="AV1488" s="634"/>
      <c r="AW1488" s="634"/>
      <c r="AX1488" s="634"/>
      <c r="AY1488" s="634"/>
      <c r="AZ1488" s="634"/>
      <c r="BA1488" s="634"/>
      <c r="BB1488" s="634"/>
      <c r="BC1488" s="634"/>
      <c r="BD1488" s="634"/>
      <c r="BE1488" s="634"/>
      <c r="BF1488" s="634"/>
      <c r="BG1488" s="634"/>
      <c r="BH1488" s="634"/>
      <c r="BI1488" s="634"/>
    </row>
    <row r="1489" spans="1:61" x14ac:dyDescent="0.25">
      <c r="A1489" s="2371">
        <v>7</v>
      </c>
      <c r="B1489" s="2381" t="s">
        <v>1047</v>
      </c>
      <c r="C1489" s="2381"/>
      <c r="D1489" s="2374"/>
      <c r="E1489" s="2374"/>
      <c r="F1489" s="2374"/>
      <c r="G1489" s="2373" t="str">
        <f>G1488</f>
        <v/>
      </c>
      <c r="H1489" s="2371" t="s">
        <v>3973</v>
      </c>
      <c r="I1489" s="4"/>
      <c r="J1489" s="639"/>
      <c r="K1489" s="639"/>
      <c r="L1489" s="1796"/>
      <c r="M1489" s="1014"/>
      <c r="N1489" s="1042"/>
      <c r="O1489" s="1042"/>
      <c r="P1489" s="756"/>
      <c r="Q1489" s="756"/>
      <c r="R1489" s="634"/>
      <c r="S1489" s="634"/>
      <c r="T1489" s="634"/>
      <c r="U1489" s="634"/>
      <c r="V1489" s="634"/>
      <c r="W1489" s="634"/>
      <c r="X1489" s="911"/>
      <c r="Y1489" s="634"/>
      <c r="AA1489" s="1526"/>
      <c r="AB1489" s="634"/>
      <c r="AC1489" s="970"/>
      <c r="AD1489" s="970"/>
      <c r="AE1489" s="970"/>
      <c r="AF1489" s="634"/>
      <c r="AG1489" s="634"/>
      <c r="AH1489" s="634"/>
      <c r="AI1489" s="634"/>
      <c r="AJ1489" s="634"/>
      <c r="AK1489" s="634"/>
      <c r="AL1489" s="1336"/>
      <c r="AM1489" s="1336"/>
      <c r="AN1489" s="1336"/>
      <c r="AO1489" s="1336"/>
      <c r="AP1489" s="1336"/>
      <c r="AQ1489" s="1336"/>
      <c r="AR1489" s="1336"/>
      <c r="AS1489" s="1336"/>
      <c r="AT1489" s="634"/>
      <c r="AU1489" s="634"/>
      <c r="AV1489" s="634"/>
      <c r="AW1489" s="634"/>
      <c r="AX1489" s="634"/>
      <c r="AY1489" s="634"/>
      <c r="AZ1489" s="634"/>
      <c r="BA1489" s="634"/>
      <c r="BB1489" s="634"/>
      <c r="BC1489" s="634"/>
      <c r="BD1489" s="634"/>
      <c r="BE1489" s="634"/>
      <c r="BF1489" s="634"/>
      <c r="BG1489" s="634"/>
      <c r="BH1489" s="634"/>
      <c r="BI1489" s="634"/>
    </row>
    <row r="1490" spans="1:61" ht="15" customHeight="1" x14ac:dyDescent="0.25">
      <c r="A1490" s="2371">
        <v>7</v>
      </c>
      <c r="B1490" s="2381" t="s">
        <v>1047</v>
      </c>
      <c r="C1490" s="2381"/>
      <c r="D1490" s="2374"/>
      <c r="E1490" s="2374"/>
      <c r="F1490" s="2374"/>
      <c r="G1490" s="2373" t="str">
        <f>G1489</f>
        <v/>
      </c>
      <c r="H1490" s="2371" t="s">
        <v>3973</v>
      </c>
      <c r="I1490" s="4"/>
      <c r="J1490" s="639"/>
      <c r="K1490" s="639"/>
      <c r="L1490" s="1851" t="s">
        <v>4337</v>
      </c>
      <c r="M1490" s="1014"/>
      <c r="N1490" s="1042"/>
      <c r="O1490" s="1042"/>
      <c r="P1490" s="756"/>
      <c r="Q1490" s="756"/>
      <c r="R1490" s="634"/>
      <c r="S1490" s="634"/>
      <c r="T1490" s="634"/>
      <c r="U1490" s="634"/>
      <c r="V1490" s="634"/>
      <c r="W1490" s="634"/>
      <c r="X1490" s="911"/>
      <c r="Y1490" s="634"/>
      <c r="AA1490" s="1526"/>
      <c r="AB1490" s="634"/>
      <c r="AC1490" s="970"/>
      <c r="AD1490" s="970"/>
      <c r="AE1490" s="970"/>
      <c r="AF1490" s="634"/>
      <c r="AG1490" s="634"/>
      <c r="AH1490" s="634"/>
      <c r="AI1490" s="634"/>
      <c r="AJ1490" s="634"/>
      <c r="AK1490" s="634"/>
      <c r="AL1490" s="1336"/>
      <c r="AM1490" s="1336"/>
      <c r="AN1490" s="1336"/>
      <c r="AO1490" s="1336"/>
      <c r="AP1490" s="1336"/>
      <c r="AQ1490" s="1336"/>
      <c r="AR1490" s="1336"/>
      <c r="AS1490" s="1336"/>
      <c r="AT1490" s="634"/>
      <c r="AU1490" s="634"/>
      <c r="AV1490" s="634"/>
      <c r="AW1490" s="634"/>
      <c r="AX1490" s="634"/>
      <c r="AY1490" s="634"/>
      <c r="AZ1490" s="634"/>
      <c r="BA1490" s="634"/>
      <c r="BB1490" s="634"/>
      <c r="BC1490" s="634"/>
      <c r="BD1490" s="634"/>
      <c r="BE1490" s="634"/>
      <c r="BF1490" s="634"/>
      <c r="BG1490" s="634"/>
      <c r="BH1490" s="634"/>
      <c r="BI1490" s="634"/>
    </row>
    <row r="1491" spans="1:61" x14ac:dyDescent="0.25">
      <c r="A1491" s="2371">
        <v>7</v>
      </c>
      <c r="B1491" s="2381" t="s">
        <v>1047</v>
      </c>
      <c r="C1491" s="2381"/>
      <c r="D1491" s="2374"/>
      <c r="E1491" s="2374"/>
      <c r="F1491" s="2374"/>
      <c r="G1491" s="2373" t="str">
        <f>G1490</f>
        <v/>
      </c>
      <c r="H1491" s="2371" t="s">
        <v>3973</v>
      </c>
      <c r="I1491" s="4"/>
      <c r="J1491" s="639"/>
      <c r="K1491" s="639"/>
      <c r="L1491" s="1851"/>
      <c r="M1491" s="1014"/>
      <c r="N1491" s="1042"/>
      <c r="O1491" s="1042"/>
      <c r="P1491" s="756"/>
      <c r="Q1491" s="756"/>
      <c r="R1491" s="634"/>
      <c r="S1491" s="634"/>
      <c r="T1491" s="634"/>
      <c r="U1491" s="634"/>
      <c r="V1491" s="634"/>
      <c r="W1491" s="634"/>
      <c r="X1491" s="911"/>
      <c r="Y1491" s="634"/>
      <c r="AA1491" s="1526"/>
      <c r="AB1491" s="634"/>
      <c r="AC1491" s="970"/>
      <c r="AD1491" s="970"/>
      <c r="AE1491" s="970"/>
      <c r="AF1491" s="634"/>
      <c r="AG1491" s="634"/>
      <c r="AH1491" s="634"/>
      <c r="AI1491" s="634"/>
      <c r="AJ1491" s="634"/>
      <c r="AK1491" s="634"/>
      <c r="AL1491" s="1336"/>
      <c r="AM1491" s="1336"/>
      <c r="AN1491" s="1336"/>
      <c r="AO1491" s="1336"/>
      <c r="AP1491" s="1336"/>
      <c r="AQ1491" s="1336"/>
      <c r="AR1491" s="1336"/>
      <c r="AS1491" s="1336"/>
      <c r="AT1491" s="634"/>
      <c r="AU1491" s="634"/>
      <c r="AV1491" s="634"/>
      <c r="AW1491" s="634"/>
      <c r="AX1491" s="634"/>
      <c r="AY1491" s="634"/>
      <c r="AZ1491" s="634"/>
      <c r="BA1491" s="634"/>
      <c r="BB1491" s="634"/>
      <c r="BC1491" s="634"/>
      <c r="BD1491" s="634"/>
      <c r="BE1491" s="634"/>
      <c r="BF1491" s="634"/>
      <c r="BG1491" s="634"/>
      <c r="BH1491" s="634"/>
      <c r="BI1491" s="634"/>
    </row>
    <row r="1492" spans="1:61" x14ac:dyDescent="0.25">
      <c r="A1492" s="2371">
        <v>7</v>
      </c>
      <c r="B1492" s="2381" t="s">
        <v>1047</v>
      </c>
      <c r="C1492" s="2381"/>
      <c r="D1492" s="2374"/>
      <c r="E1492" s="2374"/>
      <c r="F1492" s="2374"/>
      <c r="G1492" s="2373" t="str">
        <f>G1491</f>
        <v/>
      </c>
      <c r="H1492" s="2371" t="s">
        <v>3973</v>
      </c>
      <c r="I1492" s="4"/>
      <c r="J1492" s="639"/>
      <c r="K1492" s="639"/>
      <c r="L1492" s="1173" t="s">
        <v>3622</v>
      </c>
      <c r="M1492" s="1014"/>
      <c r="N1492" s="1042"/>
      <c r="O1492" s="1042"/>
      <c r="P1492" s="756"/>
      <c r="Q1492" s="756"/>
      <c r="R1492" s="634"/>
      <c r="S1492" s="634"/>
      <c r="T1492" s="634"/>
      <c r="U1492" s="634"/>
      <c r="V1492" s="634"/>
      <c r="W1492" s="634" t="s">
        <v>3763</v>
      </c>
      <c r="X1492" s="911"/>
      <c r="Y1492" s="634"/>
      <c r="AA1492" s="1526"/>
      <c r="AB1492" s="634"/>
      <c r="AC1492" s="970"/>
      <c r="AD1492" s="970"/>
      <c r="AE1492" s="970"/>
      <c r="AF1492" s="634"/>
      <c r="AG1492" s="634"/>
      <c r="AH1492" s="634"/>
      <c r="AI1492" s="634"/>
      <c r="AJ1492" s="634"/>
      <c r="AK1492" s="634"/>
      <c r="AL1492" s="1336"/>
      <c r="AM1492" s="1336"/>
      <c r="AN1492" s="1336"/>
      <c r="AO1492" s="1336"/>
      <c r="AP1492" s="1336"/>
      <c r="AQ1492" s="1336"/>
      <c r="AR1492" s="1336"/>
      <c r="AS1492" s="1336"/>
      <c r="AT1492" s="634"/>
      <c r="AU1492" s="634"/>
      <c r="AV1492" s="634"/>
      <c r="AW1492" s="634"/>
      <c r="AX1492" s="634"/>
      <c r="AY1492" s="634"/>
      <c r="AZ1492" s="634"/>
      <c r="BA1492" s="634"/>
      <c r="BB1492" s="634"/>
      <c r="BC1492" s="634"/>
      <c r="BD1492" s="634"/>
      <c r="BE1492" s="634"/>
      <c r="BF1492" s="634"/>
      <c r="BG1492" s="634"/>
      <c r="BH1492" s="634"/>
      <c r="BI1492" s="634"/>
    </row>
    <row r="1493" spans="1:61" x14ac:dyDescent="0.25">
      <c r="A1493" s="2371">
        <v>7</v>
      </c>
      <c r="B1493" s="2381" t="s">
        <v>1047</v>
      </c>
      <c r="C1493" s="2374" t="s">
        <v>256</v>
      </c>
      <c r="D1493" s="2374" t="s">
        <v>4860</v>
      </c>
      <c r="E1493" s="2374"/>
      <c r="F1493" s="2374"/>
      <c r="G1493" s="2373" t="str">
        <f>IF(N1493&gt;0,"P","")</f>
        <v/>
      </c>
      <c r="H1493" s="2371" t="s">
        <v>3973</v>
      </c>
      <c r="I1493" s="4"/>
      <c r="J1493" s="543" t="s">
        <v>256</v>
      </c>
      <c r="K1493" s="1081"/>
      <c r="L1493" s="1162" t="s">
        <v>1048</v>
      </c>
      <c r="M1493" s="1758">
        <v>3</v>
      </c>
      <c r="N1493" s="2075">
        <f>'Ch7'!O623</f>
        <v>0</v>
      </c>
      <c r="O1493" s="1774">
        <f>IF(OR(LEN(W1493)&gt;0,LEN(W1495)&gt;0),M1493,0)</f>
        <v>0</v>
      </c>
      <c r="P1493" s="94" t="b">
        <v>0</v>
      </c>
      <c r="Q1493" s="94" t="b">
        <v>1</v>
      </c>
      <c r="R1493" s="1079" t="b">
        <v>0</v>
      </c>
      <c r="S1493" s="1079" t="b">
        <f ca="1">AND(OR(S955,AND(OR(AND(BF886=2,BG886="Dry"),BI886="Tropical"),S955,O1102&gt;0)),LEN(W1495)=0)</f>
        <v>0</v>
      </c>
      <c r="T1493" s="94" t="b">
        <f ca="1">AND(OR(NOT(S1493),AND(W1081=TRUE,BF886&lt;=2,W1493&gt;5),AND(W1081=TRUE,BF886&gt;=3,W1493&gt;3)),LEN(W1493)&gt;0)</f>
        <v>0</v>
      </c>
      <c r="U1493" s="634"/>
      <c r="V1493" s="634"/>
      <c r="W1493" s="384"/>
      <c r="X1493" s="1757"/>
      <c r="Y1493" s="2077" t="str">
        <f>IF(LEN('Ch7'!X623)=0,"None",'Ch7'!X623)</f>
        <v>None</v>
      </c>
      <c r="Z1493" s="2083"/>
      <c r="AA1493" s="1526"/>
      <c r="AB1493" s="634"/>
      <c r="AC1493" s="970" t="b">
        <f ca="1">OR(AD1493:AE1493)</f>
        <v>0</v>
      </c>
      <c r="AD1493" s="970" t="b">
        <f ca="1">T1493</f>
        <v>0</v>
      </c>
      <c r="AE1493" s="970"/>
      <c r="AF1493" s="634"/>
      <c r="AG1493" s="634"/>
      <c r="AH1493" s="634"/>
      <c r="AI1493" s="634"/>
      <c r="AJ1493" s="634"/>
      <c r="AK1493" s="634"/>
      <c r="AL1493" s="254" t="str">
        <f>SUBSTITUTE(SUBSTITUTE(SUBSTITUTE("vpa"&amp;$B1493&amp;$C1493&amp;$D1493&amp;$E1493,".","_"),"(","_"),")","")</f>
        <v>vpa705_6_2_1_1_1</v>
      </c>
      <c r="AM1493" s="254">
        <f>M1493</f>
        <v>3</v>
      </c>
      <c r="AN1493" s="254" t="str">
        <f>SUBSTITUTE(SUBSTITUTE(SUBSTITUTE("vpc"&amp;$B1493&amp;$C1493&amp;$D1493&amp;$E1493,".","_"),"(","_"),")","")</f>
        <v>vpc705_6_2_1_1_1</v>
      </c>
      <c r="AO1493" s="254">
        <f>O1493</f>
        <v>0</v>
      </c>
      <c r="AP1493" s="254" t="str">
        <f>SUBSTITUTE(SUBSTITUTE(SUBSTITUTE("vch"&amp;$B1493&amp;$C1493&amp;$D1493&amp;$E1493,".","_"),"(","_"),")","")</f>
        <v>vch705_6_2_1_1_1</v>
      </c>
      <c r="AQ1493" s="254" t="str">
        <f>IF(LEN(W1493)=0,"",W1493)</f>
        <v/>
      </c>
      <c r="AR1493" s="254" t="str">
        <f>SUBSTITUTE(SUBSTITUTE(SUBSTITUTE("vnt"&amp;$B1493&amp;$C1493&amp;$D1493&amp;$E1493,".","_"),"(","_"),")","")</f>
        <v>vnt705_6_2_1_1_1</v>
      </c>
      <c r="AS1493" s="254" t="str">
        <f>IF(LEN(X1493)=0,"",X1493)</f>
        <v/>
      </c>
      <c r="AT1493" s="634"/>
      <c r="AU1493" s="634"/>
      <c r="AV1493" s="634"/>
      <c r="AW1493" s="634"/>
      <c r="AX1493" s="634"/>
      <c r="AY1493" s="634"/>
      <c r="AZ1493" s="634"/>
      <c r="BA1493" s="634"/>
      <c r="BB1493" s="634"/>
      <c r="BC1493" s="634"/>
      <c r="BD1493" s="634"/>
      <c r="BE1493" s="634"/>
      <c r="BF1493" s="634"/>
      <c r="BG1493" s="634"/>
      <c r="BH1493" s="634"/>
      <c r="BI1493" s="634"/>
    </row>
    <row r="1494" spans="1:61" s="1079" customFormat="1" x14ac:dyDescent="0.25">
      <c r="A1494" s="2371">
        <v>7</v>
      </c>
      <c r="B1494" s="2381" t="s">
        <v>1047</v>
      </c>
      <c r="C1494" s="2374" t="s">
        <v>256</v>
      </c>
      <c r="D1494" s="2374"/>
      <c r="E1494" s="585"/>
      <c r="F1494" s="585"/>
      <c r="G1494" s="2373" t="str">
        <f>G1493</f>
        <v/>
      </c>
      <c r="H1494" s="2371" t="s">
        <v>3973</v>
      </c>
      <c r="I1494" s="4"/>
      <c r="L1494" s="1148"/>
      <c r="M1494" s="1758"/>
      <c r="N1494" s="2075"/>
      <c r="O1494" s="1774"/>
      <c r="T1494" s="1479"/>
      <c r="W1494" s="1079" t="s">
        <v>4089</v>
      </c>
      <c r="X1494" s="1757"/>
      <c r="Y1494" s="2077"/>
      <c r="Z1494" s="2083"/>
      <c r="AA1494" s="1526"/>
      <c r="AL1494" s="1336"/>
      <c r="AM1494" s="1336"/>
      <c r="AN1494" s="1336"/>
      <c r="AO1494" s="1336"/>
      <c r="AP1494" s="254"/>
      <c r="AQ1494" s="254"/>
      <c r="AR1494" s="1336"/>
      <c r="AS1494" s="1336"/>
    </row>
    <row r="1495" spans="1:61" s="1079" customFormat="1" x14ac:dyDescent="0.25">
      <c r="A1495" s="2371">
        <v>7</v>
      </c>
      <c r="B1495" s="2381" t="s">
        <v>1047</v>
      </c>
      <c r="C1495" s="2374" t="s">
        <v>256</v>
      </c>
      <c r="D1495" s="2374" t="s">
        <v>4861</v>
      </c>
      <c r="E1495" s="585"/>
      <c r="F1495" s="585"/>
      <c r="G1495" s="2373" t="str">
        <f>G1494</f>
        <v/>
      </c>
      <c r="H1495" s="2371" t="s">
        <v>3973</v>
      </c>
      <c r="I1495" s="4"/>
      <c r="J1495" s="178"/>
      <c r="K1495" s="178"/>
      <c r="L1495" s="1210"/>
      <c r="M1495" s="1759"/>
      <c r="N1495" s="2076"/>
      <c r="O1495" s="1764"/>
      <c r="P1495" s="94" t="b">
        <v>0</v>
      </c>
      <c r="Q1495" s="94" t="b">
        <v>1</v>
      </c>
      <c r="R1495" s="1079" t="b">
        <v>0</v>
      </c>
      <c r="S1495" s="1079" t="b">
        <f ca="1">AND(OR(S955,AND(OR(AND(BF886=2,BG886="Dry"),BI886="Tropical"),S955,O1102&gt;0)),LEN(W1493)=0)</f>
        <v>0</v>
      </c>
      <c r="T1495" s="94" t="b">
        <f ca="1">AND(OR(NOT(S1495),AND(W1081=TRUE,BF886&lt;=2,W1495&gt;0.33),AND(W1081=TRUE,BF886&gt;=3,W1495&gt;0.23)),LEN(W1495)&gt;0)</f>
        <v>0</v>
      </c>
      <c r="W1495" s="384"/>
      <c r="X1495" s="1757"/>
      <c r="Y1495" s="2077"/>
      <c r="Z1495" s="2083"/>
      <c r="AA1495" s="1526"/>
      <c r="AC1495" s="1079" t="b">
        <f ca="1">OR(AD1495:AE1495)</f>
        <v>0</v>
      </c>
      <c r="AD1495" s="1079" t="b">
        <f ca="1">T1495</f>
        <v>0</v>
      </c>
      <c r="AL1495" s="1336"/>
      <c r="AM1495" s="1336"/>
      <c r="AN1495" s="1336"/>
      <c r="AO1495" s="1336"/>
      <c r="AP1495" s="254" t="str">
        <f>SUBSTITUTE(SUBSTITUTE(SUBSTITUTE("vch"&amp;$B1495&amp;$C1495&amp;$D1495&amp;$E1495,".","_"),"(","_"),")","")</f>
        <v>vch705_6_2_1_1_2</v>
      </c>
      <c r="AQ1495" s="254" t="str">
        <f>IF(LEN(W1495)=0,"",W1495)</f>
        <v/>
      </c>
      <c r="AR1495" s="1336"/>
      <c r="AS1495" s="1336"/>
    </row>
    <row r="1496" spans="1:61" x14ac:dyDescent="0.25">
      <c r="A1496" s="2371">
        <v>7</v>
      </c>
      <c r="B1496" s="2381" t="s">
        <v>1047</v>
      </c>
      <c r="C1496" s="2374" t="s">
        <v>258</v>
      </c>
      <c r="D1496" s="2374"/>
      <c r="E1496" s="2374"/>
      <c r="F1496" s="2374"/>
      <c r="G1496" s="2373" t="str">
        <f>IF(N1496&gt;0,"P","")</f>
        <v/>
      </c>
      <c r="H1496" s="2371" t="s">
        <v>3973</v>
      </c>
      <c r="I1496" s="4"/>
      <c r="J1496" s="234" t="s">
        <v>258</v>
      </c>
      <c r="K1496" s="639"/>
      <c r="L1496" s="1170" t="s">
        <v>1049</v>
      </c>
      <c r="M1496" s="1014">
        <v>5</v>
      </c>
      <c r="N1496" s="1042">
        <f>'Ch7'!O626</f>
        <v>0</v>
      </c>
      <c r="O1496" s="1042">
        <f>M1496*S1496*W1496</f>
        <v>0</v>
      </c>
      <c r="P1496" s="94" t="b">
        <v>0</v>
      </c>
      <c r="Q1496" s="94" t="b">
        <v>1</v>
      </c>
      <c r="R1496" s="634" t="b">
        <v>0</v>
      </c>
      <c r="S1496" s="769" t="b">
        <f>O1493&gt;0</f>
        <v>0</v>
      </c>
      <c r="T1496" s="94" t="b">
        <f>AND(NOT(S1496),W1496=TRUE)</f>
        <v>0</v>
      </c>
      <c r="U1496" s="634"/>
      <c r="V1496" s="634"/>
      <c r="W1496" s="25"/>
      <c r="X1496" s="1798"/>
      <c r="Y1496" s="2081" t="str">
        <f>IF(LEN('Ch7'!X626)=0,"None",'Ch7'!X626)</f>
        <v>None</v>
      </c>
      <c r="Z1496" s="2083"/>
      <c r="AA1496" s="1526"/>
      <c r="AB1496" s="634"/>
      <c r="AC1496" s="970" t="b">
        <f>OR(AD1496:AE1496)</f>
        <v>0</v>
      </c>
      <c r="AD1496" s="970" t="b">
        <f>T1496</f>
        <v>0</v>
      </c>
      <c r="AE1496" s="970" t="b">
        <f>AND(W1496=TRUE,LEN(X1496)=0)</f>
        <v>0</v>
      </c>
      <c r="AF1496" s="784"/>
      <c r="AG1496" s="634"/>
      <c r="AH1496" s="634"/>
      <c r="AI1496" s="634"/>
      <c r="AJ1496" s="634"/>
      <c r="AK1496" s="634"/>
      <c r="AL1496" s="254" t="str">
        <f>SUBSTITUTE(SUBSTITUTE(SUBSTITUTE("vpa"&amp;$B1496&amp;$C1496&amp;$D1496&amp;$E1496,".","_"),"(","_"),")","")</f>
        <v>vpa705_6_2_1_2</v>
      </c>
      <c r="AM1496" s="254">
        <f>M1496</f>
        <v>5</v>
      </c>
      <c r="AN1496" s="254" t="str">
        <f>SUBSTITUTE(SUBSTITUTE(SUBSTITUTE("vpc"&amp;$B1496&amp;$C1496&amp;$D1496&amp;$E1496,".","_"),"(","_"),")","")</f>
        <v>vpc705_6_2_1_2</v>
      </c>
      <c r="AO1496" s="254">
        <f>O1496</f>
        <v>0</v>
      </c>
      <c r="AP1496" s="254" t="str">
        <f>SUBSTITUTE(SUBSTITUTE(SUBSTITUTE("vch"&amp;$B1496&amp;$C1496&amp;$D1496&amp;$E1496,".","_"),"(","_"),")","")</f>
        <v>vch705_6_2_1_2</v>
      </c>
      <c r="AQ1496" s="254" t="str">
        <f>IF(LEN(W1496)=0,"",W1496)</f>
        <v/>
      </c>
      <c r="AR1496" s="254" t="str">
        <f>SUBSTITUTE(SUBSTITUTE(SUBSTITUTE("vnt"&amp;$B1496&amp;$C1496&amp;$D1496&amp;$E1496,".","_"),"(","_"),")","")</f>
        <v>vnt705_6_2_1_2</v>
      </c>
      <c r="AS1496" s="254" t="str">
        <f>IF(LEN(X1496)=0,"",X1496)</f>
        <v/>
      </c>
      <c r="AT1496" s="634"/>
      <c r="AU1496" s="634"/>
      <c r="AV1496" s="634"/>
      <c r="AW1496" s="634"/>
      <c r="AX1496" s="634"/>
      <c r="AY1496" s="634"/>
      <c r="AZ1496" s="634"/>
      <c r="BA1496" s="634"/>
      <c r="BB1496" s="634"/>
      <c r="BC1496" s="634"/>
      <c r="BD1496" s="634"/>
      <c r="BE1496" s="634"/>
      <c r="BF1496" s="634"/>
      <c r="BG1496" s="634"/>
      <c r="BH1496" s="634"/>
      <c r="BI1496" s="634"/>
    </row>
    <row r="1497" spans="1:61" x14ac:dyDescent="0.25">
      <c r="A1497" s="2371">
        <v>7</v>
      </c>
      <c r="B1497" s="2381" t="s">
        <v>1047</v>
      </c>
      <c r="C1497" s="2374" t="s">
        <v>258</v>
      </c>
      <c r="D1497" s="2374"/>
      <c r="E1497" s="2374"/>
      <c r="F1497" s="2374"/>
      <c r="G1497" s="2373" t="str">
        <f>G1496</f>
        <v/>
      </c>
      <c r="H1497" s="2371" t="s">
        <v>3973</v>
      </c>
      <c r="I1497" s="129"/>
      <c r="J1497" s="543"/>
      <c r="K1497" s="636"/>
      <c r="L1497" s="1855" t="s">
        <v>3623</v>
      </c>
      <c r="M1497" s="1014"/>
      <c r="N1497" s="1042"/>
      <c r="O1497" s="1042"/>
      <c r="P1497" s="756"/>
      <c r="Q1497" s="756"/>
      <c r="R1497" s="634"/>
      <c r="S1497" s="634"/>
      <c r="T1497" s="634"/>
      <c r="U1497" s="634"/>
      <c r="V1497" s="634"/>
      <c r="W1497" s="634"/>
      <c r="X1497" s="1799"/>
      <c r="Y1497" s="2081"/>
      <c r="Z1497" s="2083"/>
      <c r="AA1497" s="1526"/>
      <c r="AB1497" s="634"/>
      <c r="AC1497" s="970"/>
      <c r="AD1497" s="970"/>
      <c r="AE1497" s="970"/>
      <c r="AF1497" s="634"/>
      <c r="AG1497" s="634"/>
      <c r="AH1497" s="634"/>
      <c r="AI1497" s="634"/>
      <c r="AJ1497" s="634"/>
      <c r="AK1497" s="634"/>
      <c r="AL1497" s="1336"/>
      <c r="AM1497" s="1336"/>
      <c r="AN1497" s="1336"/>
      <c r="AO1497" s="1336"/>
      <c r="AP1497" s="1336"/>
      <c r="AQ1497" s="1336"/>
      <c r="AR1497" s="1336"/>
      <c r="AS1497" s="1336"/>
      <c r="AT1497" s="634"/>
      <c r="AU1497" s="634"/>
      <c r="AV1497" s="634"/>
      <c r="AW1497" s="634"/>
      <c r="AX1497" s="634"/>
      <c r="AY1497" s="634"/>
      <c r="AZ1497" s="634"/>
      <c r="BA1497" s="634"/>
      <c r="BB1497" s="634"/>
      <c r="BC1497" s="634"/>
      <c r="BD1497" s="634"/>
      <c r="BE1497" s="634"/>
      <c r="BF1497" s="634"/>
      <c r="BG1497" s="634"/>
      <c r="BH1497" s="634"/>
      <c r="BI1497" s="634"/>
    </row>
    <row r="1498" spans="1:61" x14ac:dyDescent="0.25">
      <c r="A1498" s="2371">
        <v>7</v>
      </c>
      <c r="B1498" s="2381" t="s">
        <v>1047</v>
      </c>
      <c r="C1498" s="2374" t="s">
        <v>258</v>
      </c>
      <c r="D1498" s="2374"/>
      <c r="E1498" s="2374"/>
      <c r="F1498" s="2374"/>
      <c r="G1498" s="2373" t="str">
        <f>G1497</f>
        <v/>
      </c>
      <c r="H1498" s="2371" t="s">
        <v>3973</v>
      </c>
      <c r="I1498" s="210"/>
      <c r="J1498" s="544"/>
      <c r="K1498" s="637"/>
      <c r="L1498" s="1861"/>
      <c r="M1498" s="4"/>
      <c r="N1498" s="1042"/>
      <c r="O1498" s="664"/>
      <c r="P1498" s="756"/>
      <c r="Q1498" s="756"/>
      <c r="R1498" s="634"/>
      <c r="S1498" s="634"/>
      <c r="T1498" s="634"/>
      <c r="U1498" s="634"/>
      <c r="V1498" s="634"/>
      <c r="W1498" s="634"/>
      <c r="X1498" s="1756"/>
      <c r="Y1498" s="2081"/>
      <c r="Z1498" s="2083"/>
      <c r="AA1498" s="1526"/>
      <c r="AB1498" s="634"/>
      <c r="AC1498" s="970"/>
      <c r="AD1498" s="970"/>
      <c r="AE1498" s="970"/>
      <c r="AF1498" s="634"/>
      <c r="AG1498" s="634"/>
      <c r="AH1498" s="634"/>
      <c r="AI1498" s="634"/>
      <c r="AJ1498" s="634"/>
      <c r="AK1498" s="634"/>
      <c r="AL1498" s="1336"/>
      <c r="AM1498" s="1336"/>
      <c r="AN1498" s="1336"/>
      <c r="AO1498" s="1336"/>
      <c r="AP1498" s="1336"/>
      <c r="AQ1498" s="1336"/>
      <c r="AR1498" s="1336"/>
      <c r="AS1498" s="1336"/>
      <c r="AT1498" s="634"/>
      <c r="AU1498" s="634"/>
      <c r="AV1498" s="634"/>
      <c r="AW1498" s="634"/>
      <c r="AX1498" s="634"/>
      <c r="AY1498" s="634"/>
      <c r="AZ1498" s="634"/>
      <c r="BA1498" s="634"/>
      <c r="BB1498" s="634"/>
      <c r="BC1498" s="634"/>
      <c r="BD1498" s="634"/>
      <c r="BE1498" s="634"/>
      <c r="BF1498" s="634"/>
      <c r="BG1498" s="634"/>
      <c r="BH1498" s="634"/>
      <c r="BI1498" s="634"/>
    </row>
    <row r="1499" spans="1:61" ht="15" customHeight="1" x14ac:dyDescent="0.25">
      <c r="A1499" s="2371">
        <v>7</v>
      </c>
      <c r="B1499" s="2385" t="s">
        <v>1050</v>
      </c>
      <c r="C1499" s="2374"/>
      <c r="D1499" s="2374"/>
      <c r="E1499" s="2374"/>
      <c r="F1499" s="2374"/>
      <c r="G1499" s="2363" t="str">
        <f>IF(COUNTIF(G1502:G1504,"P")&gt;0,"P","")</f>
        <v/>
      </c>
      <c r="H1499" s="2371" t="s">
        <v>3973</v>
      </c>
      <c r="I1499" s="66" t="s">
        <v>1050</v>
      </c>
      <c r="J1499" s="639"/>
      <c r="K1499" s="639"/>
      <c r="L1499" s="1796" t="s">
        <v>4338</v>
      </c>
      <c r="M1499" s="4"/>
      <c r="N1499" s="664"/>
      <c r="O1499" s="664"/>
      <c r="P1499" s="911"/>
      <c r="Q1499" s="911"/>
      <c r="R1499" s="911"/>
      <c r="S1499" s="911"/>
      <c r="T1499" s="911"/>
      <c r="U1499" s="634"/>
      <c r="V1499" s="634"/>
      <c r="W1499"/>
      <c r="X1499" s="911"/>
      <c r="Y1499"/>
      <c r="AA1499" s="1526"/>
      <c r="AB1499" s="634"/>
      <c r="AC1499" s="970"/>
      <c r="AD1499" s="970"/>
      <c r="AE1499" s="970"/>
      <c r="AF1499" s="784"/>
      <c r="AG1499" s="634"/>
      <c r="AH1499" s="634"/>
      <c r="AI1499" s="634"/>
      <c r="AJ1499" s="634"/>
      <c r="AK1499" s="634"/>
      <c r="AL1499" s="254"/>
      <c r="AM1499" s="254"/>
      <c r="AN1499" s="254"/>
      <c r="AO1499" s="254"/>
      <c r="AP1499" s="254"/>
      <c r="AQ1499" s="254"/>
      <c r="AR1499" s="254"/>
      <c r="AS1499" s="254"/>
      <c r="AT1499" s="634"/>
      <c r="AU1499" s="634"/>
      <c r="AV1499" s="634"/>
      <c r="AW1499" s="634"/>
      <c r="AX1499" s="634"/>
      <c r="AY1499" s="634"/>
      <c r="AZ1499" s="634"/>
      <c r="BA1499" s="634"/>
      <c r="BB1499" s="634"/>
      <c r="BC1499" s="634"/>
      <c r="BD1499" s="634"/>
      <c r="BE1499" s="634"/>
      <c r="BF1499" s="634"/>
      <c r="BG1499" s="634"/>
      <c r="BH1499" s="634"/>
      <c r="BI1499" s="634"/>
    </row>
    <row r="1500" spans="1:61" x14ac:dyDescent="0.25">
      <c r="A1500" s="2371">
        <v>7</v>
      </c>
      <c r="B1500" s="2385" t="s">
        <v>1050</v>
      </c>
      <c r="C1500" s="2374"/>
      <c r="D1500" s="2374"/>
      <c r="E1500" s="2374"/>
      <c r="F1500" s="2374"/>
      <c r="G1500" s="2373" t="str">
        <f t="shared" ref="G1500:G1506" si="87">G1499</f>
        <v/>
      </c>
      <c r="H1500" s="2371" t="s">
        <v>3973</v>
      </c>
      <c r="I1500" s="4"/>
      <c r="J1500" s="639"/>
      <c r="K1500" s="639"/>
      <c r="L1500" s="1796"/>
      <c r="M1500" s="1014"/>
      <c r="N1500" s="664"/>
      <c r="O1500" s="1042"/>
      <c r="P1500" s="911"/>
      <c r="Q1500" s="911"/>
      <c r="R1500" s="911"/>
      <c r="S1500" s="911"/>
      <c r="T1500" s="911"/>
      <c r="U1500" s="634"/>
      <c r="V1500" s="634"/>
      <c r="W1500" s="634"/>
      <c r="X1500" s="911"/>
      <c r="Y1500"/>
      <c r="AA1500" s="1526"/>
      <c r="AB1500" s="634"/>
      <c r="AC1500" s="970"/>
      <c r="AD1500" s="970"/>
      <c r="AE1500" s="970"/>
      <c r="AF1500" s="634"/>
      <c r="AG1500" s="634"/>
      <c r="AH1500" s="634"/>
      <c r="AI1500" s="634"/>
      <c r="AJ1500" s="634"/>
      <c r="AK1500" s="634"/>
      <c r="AL1500" s="1336"/>
      <c r="AM1500" s="1336"/>
      <c r="AN1500" s="1336"/>
      <c r="AO1500" s="1336"/>
      <c r="AP1500" s="1336"/>
      <c r="AQ1500" s="1336"/>
      <c r="AR1500" s="1336"/>
      <c r="AS1500" s="1336"/>
      <c r="AT1500" s="634"/>
      <c r="AU1500" s="634"/>
      <c r="AV1500" s="634"/>
      <c r="AW1500" s="634"/>
      <c r="AX1500" s="634"/>
      <c r="AY1500" s="634"/>
      <c r="AZ1500" s="634"/>
      <c r="BA1500" s="634"/>
      <c r="BB1500" s="634"/>
      <c r="BC1500" s="634"/>
      <c r="BD1500" s="634"/>
      <c r="BE1500" s="634"/>
      <c r="BF1500" s="634"/>
      <c r="BG1500" s="634"/>
      <c r="BH1500" s="634"/>
      <c r="BI1500" s="634"/>
    </row>
    <row r="1501" spans="1:61" x14ac:dyDescent="0.25">
      <c r="A1501" s="2371">
        <v>7</v>
      </c>
      <c r="B1501" s="2385" t="s">
        <v>1050</v>
      </c>
      <c r="C1501" s="2374"/>
      <c r="D1501" s="2374"/>
      <c r="E1501" s="2374"/>
      <c r="F1501" s="2374"/>
      <c r="G1501" s="2373" t="str">
        <f t="shared" si="87"/>
        <v/>
      </c>
      <c r="H1501" s="2371" t="s">
        <v>3973</v>
      </c>
      <c r="I1501" s="4"/>
      <c r="J1501" s="639"/>
      <c r="K1501" s="639"/>
      <c r="L1501" s="1796"/>
      <c r="M1501" s="1014"/>
      <c r="N1501" s="664"/>
      <c r="O1501" s="1042"/>
      <c r="P1501" s="911"/>
      <c r="Q1501" s="911"/>
      <c r="R1501" s="911"/>
      <c r="S1501" s="911"/>
      <c r="T1501" s="911"/>
      <c r="U1501" s="634"/>
      <c r="V1501" s="634"/>
      <c r="W1501" s="634"/>
      <c r="X1501" s="911"/>
      <c r="Y1501"/>
      <c r="AA1501" s="1526"/>
      <c r="AB1501" s="634"/>
      <c r="AC1501" s="970"/>
      <c r="AD1501" s="970"/>
      <c r="AE1501" s="970"/>
      <c r="AF1501" s="634"/>
      <c r="AG1501" s="634"/>
      <c r="AH1501" s="634"/>
      <c r="AI1501" s="634"/>
      <c r="AJ1501" s="634"/>
      <c r="AK1501" s="634"/>
      <c r="AL1501" s="1336"/>
      <c r="AM1501" s="1336"/>
      <c r="AN1501" s="1336"/>
      <c r="AO1501" s="1336"/>
      <c r="AP1501" s="1336"/>
      <c r="AQ1501" s="1336"/>
      <c r="AR1501" s="1336"/>
      <c r="AS1501" s="1336"/>
      <c r="AT1501" s="634"/>
      <c r="AU1501" s="634"/>
      <c r="AV1501" s="634"/>
      <c r="AW1501" s="634"/>
      <c r="AX1501" s="634"/>
      <c r="AY1501" s="634"/>
      <c r="AZ1501" s="634"/>
      <c r="BA1501" s="634"/>
      <c r="BB1501" s="634"/>
      <c r="BC1501" s="634"/>
      <c r="BD1501" s="634"/>
      <c r="BE1501" s="634"/>
      <c r="BF1501" s="634"/>
      <c r="BG1501" s="634"/>
      <c r="BH1501" s="634"/>
      <c r="BI1501" s="634"/>
    </row>
    <row r="1502" spans="1:61" x14ac:dyDescent="0.25">
      <c r="A1502" s="2371">
        <v>7</v>
      </c>
      <c r="B1502" s="2385" t="s">
        <v>1050</v>
      </c>
      <c r="C1502" s="2374" t="s">
        <v>256</v>
      </c>
      <c r="D1502" s="2374"/>
      <c r="E1502" s="2374"/>
      <c r="F1502" s="2374"/>
      <c r="G1502" s="2373" t="str">
        <f>IF(N1502&gt;0,"P","")</f>
        <v/>
      </c>
      <c r="H1502" s="2371" t="s">
        <v>3973</v>
      </c>
      <c r="I1502" s="4"/>
      <c r="J1502" s="543" t="s">
        <v>256</v>
      </c>
      <c r="K1502" s="636"/>
      <c r="L1502" s="1754" t="s">
        <v>1051</v>
      </c>
      <c r="M1502" s="1758">
        <v>5</v>
      </c>
      <c r="N1502" s="2076">
        <f>'Ch7'!O632</f>
        <v>0</v>
      </c>
      <c r="O1502" s="1927">
        <f>M1502*S1502*W1502</f>
        <v>0</v>
      </c>
      <c r="P1502" s="911" t="b">
        <v>0</v>
      </c>
      <c r="Q1502" s="911" t="b">
        <v>1</v>
      </c>
      <c r="R1502" s="911" t="b">
        <v>0</v>
      </c>
      <c r="S1502" s="911" t="b">
        <v>1</v>
      </c>
      <c r="T1502" s="911" t="b">
        <v>0</v>
      </c>
      <c r="U1502" s="634"/>
      <c r="V1502" s="634"/>
      <c r="W1502" s="25"/>
      <c r="X1502" s="1757"/>
      <c r="Y1502" s="2099" t="str">
        <f>IF(LEN('Ch7'!X632)=0,"None",'Ch7'!X632)</f>
        <v>None</v>
      </c>
      <c r="Z1502" s="2087"/>
      <c r="AA1502" s="1526"/>
      <c r="AB1502" s="634"/>
      <c r="AC1502" s="970"/>
      <c r="AD1502" s="970"/>
      <c r="AE1502" s="970"/>
      <c r="AF1502" s="634"/>
      <c r="AG1502" s="634"/>
      <c r="AH1502" s="634"/>
      <c r="AI1502" s="634"/>
      <c r="AJ1502" s="634"/>
      <c r="AK1502" s="634"/>
      <c r="AL1502" s="254" t="str">
        <f>SUBSTITUTE(SUBSTITUTE(SUBSTITUTE("vpa"&amp;$B1502&amp;$C1502&amp;$D1502&amp;$E1502,".","_"),"(","_"),")","")</f>
        <v>vpa705_6_2_2_1</v>
      </c>
      <c r="AM1502" s="254">
        <f>M1502</f>
        <v>5</v>
      </c>
      <c r="AN1502" s="254" t="str">
        <f>SUBSTITUTE(SUBSTITUTE(SUBSTITUTE("vpc"&amp;$B1502&amp;$C1502&amp;$D1502&amp;$E1502,".","_"),"(","_"),")","")</f>
        <v>vpc705_6_2_2_1</v>
      </c>
      <c r="AO1502" s="254">
        <f>O1502</f>
        <v>0</v>
      </c>
      <c r="AP1502" s="254" t="str">
        <f>SUBSTITUTE(SUBSTITUTE(SUBSTITUTE("vch"&amp;$B1502&amp;$C1502&amp;$D1502&amp;$E1502,".","_"),"(","_"),")","")</f>
        <v>vch705_6_2_2_1</v>
      </c>
      <c r="AQ1502" s="254" t="str">
        <f>IF(LEN(W1502)=0,"",W1502)</f>
        <v/>
      </c>
      <c r="AR1502" s="254" t="str">
        <f>SUBSTITUTE(SUBSTITUTE(SUBSTITUTE("vnt"&amp;$B1502&amp;$C1502&amp;$D1502&amp;$E1502,".","_"),"(","_"),")","")</f>
        <v>vnt705_6_2_2_1</v>
      </c>
      <c r="AS1502" s="254" t="str">
        <f>IF(LEN(X1502)=0,"",X1502)</f>
        <v/>
      </c>
      <c r="AT1502" s="634"/>
      <c r="AU1502" s="634"/>
      <c r="AV1502" s="634"/>
      <c r="AW1502" s="634"/>
      <c r="AX1502" s="634"/>
      <c r="AY1502" s="634"/>
      <c r="AZ1502" s="634"/>
      <c r="BA1502" s="634"/>
      <c r="BB1502" s="634"/>
      <c r="BC1502" s="634"/>
      <c r="BD1502" s="634"/>
      <c r="BE1502" s="634"/>
      <c r="BF1502" s="634"/>
      <c r="BG1502" s="634"/>
      <c r="BH1502" s="634"/>
      <c r="BI1502" s="634"/>
    </row>
    <row r="1503" spans="1:61" x14ac:dyDescent="0.25">
      <c r="A1503" s="2371">
        <v>7</v>
      </c>
      <c r="B1503" s="2385" t="s">
        <v>1050</v>
      </c>
      <c r="C1503" s="2374" t="s">
        <v>256</v>
      </c>
      <c r="D1503" s="2374"/>
      <c r="E1503" s="2374"/>
      <c r="F1503" s="2374"/>
      <c r="G1503" s="2373" t="str">
        <f t="shared" si="87"/>
        <v/>
      </c>
      <c r="H1503" s="2371" t="s">
        <v>3973</v>
      </c>
      <c r="I1503" s="4"/>
      <c r="J1503" s="544"/>
      <c r="K1503" s="637"/>
      <c r="L1503" s="1755"/>
      <c r="M1503" s="1759"/>
      <c r="N1503" s="2076"/>
      <c r="O1503" s="2076"/>
      <c r="P1503" s="911"/>
      <c r="Q1503" s="911"/>
      <c r="R1503" s="911"/>
      <c r="S1503" s="911"/>
      <c r="T1503" s="911"/>
      <c r="U1503" s="634"/>
      <c r="V1503" s="634"/>
      <c r="W1503" s="634"/>
      <c r="X1503" s="1757"/>
      <c r="Y1503" s="2097"/>
      <c r="Z1503" s="2085"/>
      <c r="AA1503" s="1526"/>
      <c r="AB1503" s="634"/>
      <c r="AC1503" s="970"/>
      <c r="AD1503" s="970"/>
      <c r="AE1503" s="970"/>
      <c r="AF1503" s="634"/>
      <c r="AG1503" s="634"/>
      <c r="AH1503" s="634"/>
      <c r="AI1503" s="634"/>
      <c r="AJ1503" s="634"/>
      <c r="AK1503" s="634"/>
      <c r="AL1503" s="1336"/>
      <c r="AM1503" s="1336"/>
      <c r="AN1503" s="1336"/>
      <c r="AO1503" s="1336"/>
      <c r="AP1503" s="1336"/>
      <c r="AQ1503" s="1336"/>
      <c r="AR1503" s="1336"/>
      <c r="AS1503" s="1336"/>
      <c r="AT1503" s="634"/>
      <c r="AU1503" s="634"/>
      <c r="AV1503" s="634"/>
      <c r="AW1503" s="634"/>
      <c r="AX1503" s="634"/>
      <c r="AY1503" s="634"/>
      <c r="AZ1503" s="634"/>
      <c r="BA1503" s="634"/>
      <c r="BB1503" s="634"/>
      <c r="BC1503" s="634"/>
      <c r="BD1503" s="634"/>
      <c r="BE1503" s="634"/>
      <c r="BF1503" s="634"/>
      <c r="BG1503" s="634"/>
      <c r="BH1503" s="634"/>
      <c r="BI1503" s="634"/>
    </row>
    <row r="1504" spans="1:61" x14ac:dyDescent="0.25">
      <c r="A1504" s="2371">
        <v>7</v>
      </c>
      <c r="B1504" s="2385" t="s">
        <v>1050</v>
      </c>
      <c r="C1504" s="2374" t="s">
        <v>258</v>
      </c>
      <c r="D1504" s="2374"/>
      <c r="E1504" s="2374"/>
      <c r="F1504" s="2374"/>
      <c r="G1504" s="2373" t="str">
        <f>IF(N1504&gt;0,"P","")</f>
        <v/>
      </c>
      <c r="H1504" s="2371" t="s">
        <v>3973</v>
      </c>
      <c r="I1504" s="4"/>
      <c r="J1504" s="234" t="s">
        <v>258</v>
      </c>
      <c r="K1504" s="639"/>
      <c r="L1504" s="1170" t="s">
        <v>1052</v>
      </c>
      <c r="M1504" s="1762">
        <v>3</v>
      </c>
      <c r="N1504" s="2079">
        <f>'Ch7'!O634</f>
        <v>0</v>
      </c>
      <c r="O1504" s="2079">
        <f>M1504*S1504*W1504</f>
        <v>0</v>
      </c>
      <c r="P1504" s="911" t="b">
        <v>0</v>
      </c>
      <c r="Q1504" s="911" t="b">
        <v>1</v>
      </c>
      <c r="R1504" s="911" t="b">
        <v>0</v>
      </c>
      <c r="S1504" s="911" t="b">
        <v>1</v>
      </c>
      <c r="T1504" s="911" t="b">
        <v>0</v>
      </c>
      <c r="U1504" s="94"/>
      <c r="V1504" s="634"/>
      <c r="W1504" s="25"/>
      <c r="X1504" s="1798"/>
      <c r="Y1504" s="2099" t="str">
        <f>IF(LEN('Ch7'!X634)=0,"None",'Ch7'!X634)</f>
        <v>None</v>
      </c>
      <c r="Z1504" s="2087"/>
      <c r="AA1504" s="1526"/>
      <c r="AB1504" s="634"/>
      <c r="AC1504" s="970" t="b">
        <f>OR(AD1504:AE1504)</f>
        <v>0</v>
      </c>
      <c r="AD1504" s="970" t="b">
        <v>0</v>
      </c>
      <c r="AE1504" s="970" t="b">
        <f>AND(W1504=TRUE,LEN(X1504)=0)</f>
        <v>0</v>
      </c>
      <c r="AF1504" s="911"/>
      <c r="AG1504" s="634"/>
      <c r="AH1504" s="634"/>
      <c r="AI1504" s="634"/>
      <c r="AJ1504" s="634"/>
      <c r="AK1504" s="634"/>
      <c r="AL1504" s="254" t="str">
        <f>SUBSTITUTE(SUBSTITUTE(SUBSTITUTE("vpa"&amp;$B1504&amp;$C1504&amp;$D1504&amp;$E1504,".","_"),"(","_"),")","")</f>
        <v>vpa705_6_2_2_2</v>
      </c>
      <c r="AM1504" s="254">
        <f>M1504</f>
        <v>3</v>
      </c>
      <c r="AN1504" s="254" t="str">
        <f>SUBSTITUTE(SUBSTITUTE(SUBSTITUTE("vpc"&amp;$B1504&amp;$C1504&amp;$D1504&amp;$E1504,".","_"),"(","_"),")","")</f>
        <v>vpc705_6_2_2_2</v>
      </c>
      <c r="AO1504" s="254">
        <f>O1504</f>
        <v>0</v>
      </c>
      <c r="AP1504" s="254" t="str">
        <f>SUBSTITUTE(SUBSTITUTE(SUBSTITUTE("vch"&amp;$B1504&amp;$C1504&amp;$D1504&amp;$E1504,".","_"),"(","_"),")","")</f>
        <v>vch705_6_2_2_2</v>
      </c>
      <c r="AQ1504" s="254" t="str">
        <f>IF(LEN(W1504)=0,"",W1504)</f>
        <v/>
      </c>
      <c r="AR1504" s="254" t="str">
        <f>SUBSTITUTE(SUBSTITUTE(SUBSTITUTE("vnt"&amp;$B1504&amp;$C1504&amp;$D1504&amp;$E1504,".","_"),"(","_"),")","")</f>
        <v>vnt705_6_2_2_2</v>
      </c>
      <c r="AS1504" s="254" t="str">
        <f>IF(LEN(X1504)=0,"",X1504)</f>
        <v/>
      </c>
      <c r="AT1504" s="634"/>
      <c r="AU1504" s="634"/>
      <c r="AV1504" s="634"/>
      <c r="AW1504" s="634"/>
      <c r="AX1504" s="634"/>
      <c r="AY1504" s="634"/>
      <c r="AZ1504" s="634"/>
      <c r="BA1504" s="634"/>
      <c r="BB1504" s="634"/>
      <c r="BC1504" s="634"/>
      <c r="BD1504" s="634"/>
      <c r="BE1504" s="634"/>
      <c r="BF1504" s="634"/>
      <c r="BG1504" s="634"/>
      <c r="BH1504" s="634"/>
      <c r="BI1504" s="634"/>
    </row>
    <row r="1505" spans="1:61" x14ac:dyDescent="0.25">
      <c r="A1505" s="2371">
        <v>7</v>
      </c>
      <c r="B1505" s="2385" t="s">
        <v>1050</v>
      </c>
      <c r="C1505" s="2374"/>
      <c r="D1505" s="2374"/>
      <c r="E1505" s="2374"/>
      <c r="F1505" s="2374"/>
      <c r="G1505" s="2373" t="str">
        <f t="shared" si="87"/>
        <v/>
      </c>
      <c r="H1505" s="2371" t="s">
        <v>3973</v>
      </c>
      <c r="I1505" s="129"/>
      <c r="J1505" s="543"/>
      <c r="K1505" s="636"/>
      <c r="L1505" s="1855" t="s">
        <v>3624</v>
      </c>
      <c r="M1505" s="1758"/>
      <c r="N1505" s="1927"/>
      <c r="O1505" s="1927"/>
      <c r="P1505" s="911"/>
      <c r="Q1505" s="911"/>
      <c r="R1505" s="911"/>
      <c r="S1505" s="911"/>
      <c r="T1505" s="911"/>
      <c r="U1505" s="634"/>
      <c r="V1505" s="634"/>
      <c r="W1505" s="634"/>
      <c r="X1505" s="1799"/>
      <c r="Y1505" s="2100"/>
      <c r="Z1505" s="2091"/>
      <c r="AA1505" s="1526"/>
      <c r="AB1505" s="634"/>
      <c r="AC1505" s="970"/>
      <c r="AD1505" s="970"/>
      <c r="AE1505" s="970"/>
      <c r="AF1505" s="634"/>
      <c r="AG1505" s="634"/>
      <c r="AH1505" s="634"/>
      <c r="AI1505" s="634"/>
      <c r="AJ1505" s="634"/>
      <c r="AK1505" s="634"/>
      <c r="AL1505" s="1336"/>
      <c r="AM1505" s="1336"/>
      <c r="AN1505" s="1336"/>
      <c r="AO1505" s="1336"/>
      <c r="AP1505" s="1336"/>
      <c r="AQ1505" s="1336"/>
      <c r="AR1505" s="1336"/>
      <c r="AS1505" s="1336"/>
      <c r="AT1505" s="634"/>
      <c r="AU1505" s="634"/>
      <c r="AV1505" s="634"/>
      <c r="AW1505" s="634"/>
      <c r="AX1505" s="634"/>
      <c r="AY1505" s="634"/>
      <c r="AZ1505" s="634"/>
      <c r="BA1505" s="634"/>
      <c r="BB1505" s="634"/>
      <c r="BC1505" s="634"/>
      <c r="BD1505" s="634"/>
      <c r="BE1505" s="634"/>
      <c r="BF1505" s="634"/>
      <c r="BG1505" s="634"/>
      <c r="BH1505" s="634"/>
      <c r="BI1505" s="634"/>
    </row>
    <row r="1506" spans="1:61" x14ac:dyDescent="0.25">
      <c r="A1506" s="2371">
        <v>7</v>
      </c>
      <c r="B1506" s="2385" t="s">
        <v>1050</v>
      </c>
      <c r="C1506" s="2374"/>
      <c r="D1506" s="2374"/>
      <c r="E1506" s="2374"/>
      <c r="F1506" s="2374"/>
      <c r="G1506" s="2373" t="str">
        <f t="shared" si="87"/>
        <v/>
      </c>
      <c r="H1506" s="2371" t="s">
        <v>3973</v>
      </c>
      <c r="I1506" s="210"/>
      <c r="J1506" s="544"/>
      <c r="K1506" s="637"/>
      <c r="L1506" s="1861"/>
      <c r="M1506" s="1759"/>
      <c r="N1506" s="2076"/>
      <c r="O1506" s="2076"/>
      <c r="P1506" s="911"/>
      <c r="Q1506" s="911"/>
      <c r="R1506" s="911"/>
      <c r="S1506" s="911"/>
      <c r="T1506" s="911"/>
      <c r="U1506" s="634"/>
      <c r="V1506" s="634"/>
      <c r="W1506" s="634"/>
      <c r="X1506" s="1756"/>
      <c r="Y1506" s="2097"/>
      <c r="Z1506" s="2085"/>
      <c r="AA1506" s="1526"/>
      <c r="AB1506" s="634"/>
      <c r="AC1506" s="970"/>
      <c r="AD1506" s="970"/>
      <c r="AE1506" s="970"/>
      <c r="AF1506" s="634"/>
      <c r="AG1506" s="634"/>
      <c r="AH1506" s="634"/>
      <c r="AI1506" s="634"/>
      <c r="AJ1506" s="634"/>
      <c r="AK1506" s="634"/>
      <c r="AL1506" s="1336"/>
      <c r="AM1506" s="1336"/>
      <c r="AN1506" s="1336"/>
      <c r="AO1506" s="1336"/>
      <c r="AP1506" s="1336"/>
      <c r="AQ1506" s="1336"/>
      <c r="AR1506" s="1336"/>
      <c r="AS1506" s="1336"/>
      <c r="AT1506" s="634"/>
      <c r="AU1506" s="634"/>
      <c r="AV1506" s="634"/>
      <c r="AW1506" s="634"/>
      <c r="AX1506" s="634"/>
      <c r="AY1506" s="634"/>
      <c r="AZ1506" s="634"/>
      <c r="BA1506" s="634"/>
      <c r="BB1506" s="634"/>
      <c r="BC1506" s="634"/>
      <c r="BD1506" s="634"/>
      <c r="BE1506" s="634"/>
      <c r="BF1506" s="634"/>
      <c r="BG1506" s="634"/>
      <c r="BH1506" s="634"/>
      <c r="BI1506" s="634"/>
    </row>
    <row r="1507" spans="1:61" x14ac:dyDescent="0.25">
      <c r="A1507" s="2371">
        <v>7</v>
      </c>
      <c r="B1507" s="2385" t="s">
        <v>1053</v>
      </c>
      <c r="C1507" s="2374"/>
      <c r="D1507" s="2374"/>
      <c r="E1507" s="2374"/>
      <c r="F1507" s="2374"/>
      <c r="G1507" s="2373" t="str">
        <f ca="1">IF(N1507&gt;0,"P","")</f>
        <v/>
      </c>
      <c r="H1507" s="2371" t="s">
        <v>3973</v>
      </c>
      <c r="I1507" s="66" t="s">
        <v>1053</v>
      </c>
      <c r="J1507" s="639"/>
      <c r="K1507" s="639"/>
      <c r="L1507" s="1180" t="s">
        <v>1054</v>
      </c>
      <c r="M1507" s="1014"/>
      <c r="N1507" s="2075">
        <f ca="1">'Ch7'!O637</f>
        <v>0</v>
      </c>
      <c r="O1507" s="2075">
        <f ca="1">IFERROR(INDEX({3,5},MATCH(W1507,INDIRECT(U1507),0)),0)*S1507</f>
        <v>0</v>
      </c>
      <c r="P1507" s="94" t="b">
        <v>0</v>
      </c>
      <c r="Q1507" s="94" t="b">
        <v>1</v>
      </c>
      <c r="R1507" s="634" t="b">
        <v>0</v>
      </c>
      <c r="S1507" s="634" t="b">
        <f>AND(OR(AY909&lt;&gt;INDEX(ddHDucts,2),AY913&lt;&gt;INDEX(ddCDucts,2)),LEN(W1234)=0)</f>
        <v>1</v>
      </c>
      <c r="T1507" s="94" t="b">
        <f>AND(NOT(S1507),LEN(W1507)&gt;0)</f>
        <v>0</v>
      </c>
      <c r="U1507" s="94" t="str">
        <f>SUBSTITUTE(SUBSTITUTE(SUBSTITUTE("dd"&amp;B1507&amp;C1507&amp;D1507&amp;E1507&amp;F1507,".","_"),"(","_"),")","")</f>
        <v>dd705_6_2_3</v>
      </c>
      <c r="V1507" s="634"/>
      <c r="W1507" s="12"/>
      <c r="X1507" s="1757"/>
      <c r="Y1507" s="2081" t="str">
        <f>IF(LEN('Ch7'!X637)=0,"None",'Ch7'!X637)</f>
        <v>None</v>
      </c>
      <c r="Z1507" s="2083"/>
      <c r="AA1507" s="1526"/>
      <c r="AB1507" s="634"/>
      <c r="AC1507" s="970"/>
      <c r="AD1507" s="970"/>
      <c r="AE1507" s="970"/>
      <c r="AF1507" s="784"/>
      <c r="AG1507" s="634"/>
      <c r="AH1507" s="634"/>
      <c r="AI1507" s="634"/>
      <c r="AJ1507" s="634"/>
      <c r="AK1507" s="634"/>
      <c r="AL1507" s="1336"/>
      <c r="AM1507" s="1336"/>
      <c r="AN1507" s="254" t="str">
        <f>SUBSTITUTE(SUBSTITUTE(SUBSTITUTE("vpc"&amp;$B1507&amp;$C1507&amp;$D1507&amp;$E1507,".","_"),"(","_"),")","")</f>
        <v>vpc705_6_2_3</v>
      </c>
      <c r="AO1507" s="254">
        <f ca="1">O1507</f>
        <v>0</v>
      </c>
      <c r="AP1507" s="254" t="str">
        <f>SUBSTITUTE(SUBSTITUTE(SUBSTITUTE("vch"&amp;$B1507&amp;$C1507&amp;$D1507&amp;$E1507,".","_"),"(","_"),")","")</f>
        <v>vch705_6_2_3</v>
      </c>
      <c r="AQ1507" s="254" t="str">
        <f>IF(LEN(W1507)=0,"",W1507)</f>
        <v/>
      </c>
      <c r="AR1507" s="254" t="str">
        <f>SUBSTITUTE(SUBSTITUTE(SUBSTITUTE("vnt"&amp;$B1507&amp;$C1507&amp;$D1507&amp;$E1507,".","_"),"(","_"),")","")</f>
        <v>vnt705_6_2_3</v>
      </c>
      <c r="AS1507" s="254" t="str">
        <f>IF(LEN(X1507)=0,"",X1507)</f>
        <v/>
      </c>
      <c r="AT1507" s="634"/>
      <c r="AU1507" s="634"/>
      <c r="AV1507" s="634"/>
      <c r="AW1507" s="634"/>
      <c r="AX1507" s="634"/>
      <c r="AY1507" s="634"/>
      <c r="AZ1507" s="634"/>
      <c r="BA1507" s="634"/>
      <c r="BB1507" s="634"/>
      <c r="BC1507" s="634"/>
      <c r="BD1507" s="634"/>
      <c r="BE1507" s="634"/>
      <c r="BF1507" s="634"/>
      <c r="BG1507" s="634"/>
      <c r="BH1507" s="634"/>
      <c r="BI1507" s="634"/>
    </row>
    <row r="1508" spans="1:61" x14ac:dyDescent="0.25">
      <c r="A1508" s="2371">
        <v>7</v>
      </c>
      <c r="B1508" s="2385" t="s">
        <v>1053</v>
      </c>
      <c r="C1508" s="2374"/>
      <c r="D1508" s="2374"/>
      <c r="E1508" s="2374"/>
      <c r="F1508" s="2374"/>
      <c r="G1508" s="2373" t="str">
        <f ca="1">G1507</f>
        <v/>
      </c>
      <c r="H1508" s="2371" t="s">
        <v>3973</v>
      </c>
      <c r="I1508" s="4"/>
      <c r="J1508" s="639"/>
      <c r="K1508" s="639"/>
      <c r="L1508" s="1173" t="s">
        <v>1055</v>
      </c>
      <c r="M1508" s="1014"/>
      <c r="N1508" s="2075"/>
      <c r="O1508" s="2075"/>
      <c r="P1508" s="756"/>
      <c r="Q1508" s="756"/>
      <c r="R1508" s="634"/>
      <c r="S1508" s="634"/>
      <c r="T1508" s="634"/>
      <c r="U1508" s="634"/>
      <c r="V1508" s="634"/>
      <c r="W1508" s="634"/>
      <c r="X1508" s="1757"/>
      <c r="Y1508" s="2081"/>
      <c r="Z1508" s="2083"/>
      <c r="AA1508" s="1526"/>
      <c r="AB1508" s="634"/>
      <c r="AC1508" s="970"/>
      <c r="AD1508" s="970"/>
      <c r="AE1508" s="970"/>
      <c r="AF1508" s="634"/>
      <c r="AG1508" s="634"/>
      <c r="AH1508" s="634"/>
      <c r="AI1508" s="634"/>
      <c r="AJ1508" s="634"/>
      <c r="AK1508" s="634"/>
      <c r="AL1508" s="1336"/>
      <c r="AM1508" s="1336"/>
      <c r="AN1508" s="1336"/>
      <c r="AO1508" s="1336"/>
      <c r="AP1508" s="1336"/>
      <c r="AQ1508" s="1336"/>
      <c r="AR1508" s="1336"/>
      <c r="AS1508" s="1336"/>
      <c r="AT1508" s="634"/>
      <c r="AU1508" s="634"/>
      <c r="AV1508" s="634"/>
      <c r="AW1508" s="634"/>
      <c r="AX1508" s="634"/>
      <c r="AY1508" s="634"/>
      <c r="AZ1508" s="634"/>
      <c r="BA1508" s="634"/>
      <c r="BB1508" s="634"/>
      <c r="BC1508" s="634"/>
      <c r="BD1508" s="634"/>
      <c r="BE1508" s="634"/>
      <c r="BF1508" s="634"/>
      <c r="BG1508" s="634"/>
      <c r="BH1508" s="634"/>
      <c r="BI1508" s="634"/>
    </row>
    <row r="1509" spans="1:61" x14ac:dyDescent="0.25">
      <c r="A1509" s="2371">
        <v>7</v>
      </c>
      <c r="B1509" s="2385" t="s">
        <v>1053</v>
      </c>
      <c r="C1509" s="2374"/>
      <c r="D1509" s="2374"/>
      <c r="E1509" s="2374"/>
      <c r="F1509" s="2374"/>
      <c r="G1509" s="2373" t="str">
        <f ca="1">G1508</f>
        <v/>
      </c>
      <c r="H1509" s="2371" t="s">
        <v>3973</v>
      </c>
      <c r="I1509" s="4"/>
      <c r="J1509" s="639"/>
      <c r="K1509" s="639"/>
      <c r="L1509" s="1173" t="s">
        <v>3547</v>
      </c>
      <c r="M1509" s="1014"/>
      <c r="N1509" s="2075"/>
      <c r="O1509" s="2075"/>
      <c r="P1509" s="756"/>
      <c r="Q1509" s="756"/>
      <c r="R1509" s="634"/>
      <c r="S1509" s="634"/>
      <c r="T1509" s="634"/>
      <c r="U1509" s="634"/>
      <c r="V1509" s="634"/>
      <c r="W1509" s="634"/>
      <c r="X1509" s="1757"/>
      <c r="Y1509" s="2081"/>
      <c r="Z1509" s="2083"/>
      <c r="AA1509" s="1526"/>
      <c r="AB1509" s="634"/>
      <c r="AC1509" s="970"/>
      <c r="AD1509" s="970"/>
      <c r="AE1509" s="970"/>
      <c r="AF1509" s="634"/>
      <c r="AG1509" s="634"/>
      <c r="AH1509" s="634"/>
      <c r="AI1509" s="634"/>
      <c r="AJ1509" s="634"/>
      <c r="AK1509" s="634"/>
      <c r="AL1509" s="1336"/>
      <c r="AM1509" s="1336"/>
      <c r="AN1509" s="1336"/>
      <c r="AO1509" s="1336"/>
      <c r="AP1509" s="1336"/>
      <c r="AQ1509" s="1336"/>
      <c r="AR1509" s="1336"/>
      <c r="AS1509" s="1336"/>
      <c r="AT1509" s="634"/>
      <c r="AU1509" s="634"/>
      <c r="AV1509" s="634"/>
      <c r="AW1509" s="634"/>
      <c r="AX1509" s="634"/>
      <c r="AY1509" s="634"/>
      <c r="AZ1509" s="634"/>
      <c r="BA1509" s="634"/>
      <c r="BB1509" s="634"/>
      <c r="BC1509" s="634"/>
      <c r="BD1509" s="634"/>
      <c r="BE1509" s="634"/>
      <c r="BF1509" s="634"/>
      <c r="BG1509" s="634"/>
      <c r="BH1509" s="634"/>
      <c r="BI1509" s="634"/>
    </row>
    <row r="1510" spans="1:61" x14ac:dyDescent="0.25">
      <c r="A1510" s="2371">
        <v>7</v>
      </c>
      <c r="B1510" s="2385" t="s">
        <v>1053</v>
      </c>
      <c r="C1510" s="2374" t="s">
        <v>256</v>
      </c>
      <c r="D1510" s="2374"/>
      <c r="E1510" s="2374"/>
      <c r="F1510" s="2374"/>
      <c r="G1510" s="2373" t="str">
        <f ca="1">G1509</f>
        <v/>
      </c>
      <c r="H1510" s="2371" t="s">
        <v>3973</v>
      </c>
      <c r="I1510" s="4"/>
      <c r="J1510" s="544" t="s">
        <v>256</v>
      </c>
      <c r="K1510" s="637"/>
      <c r="L1510" s="1163" t="s">
        <v>3548</v>
      </c>
      <c r="M1510" s="1015">
        <v>3</v>
      </c>
      <c r="N1510" s="1042"/>
      <c r="O1510" s="1042"/>
      <c r="P1510" s="756"/>
      <c r="Q1510" s="756"/>
      <c r="R1510" s="634"/>
      <c r="S1510" s="634"/>
      <c r="T1510" s="634"/>
      <c r="U1510" s="634"/>
      <c r="V1510" s="634"/>
      <c r="W1510" s="634"/>
      <c r="X1510" s="1757"/>
      <c r="Y1510" s="2081"/>
      <c r="Z1510" s="2083"/>
      <c r="AA1510" s="1526"/>
      <c r="AB1510" s="634"/>
      <c r="AC1510" s="970"/>
      <c r="AD1510" s="970"/>
      <c r="AE1510" s="970"/>
      <c r="AF1510" s="634"/>
      <c r="AG1510" s="634"/>
      <c r="AH1510" s="634"/>
      <c r="AI1510" s="634"/>
      <c r="AJ1510" s="634"/>
      <c r="AK1510" s="634"/>
      <c r="AL1510" s="254" t="str">
        <f>SUBSTITUTE(SUBSTITUTE(SUBSTITUTE("vpa"&amp;$B1510&amp;$C1510&amp;$D1510&amp;$E1510,".","_"),"(","_"),")","")</f>
        <v>vpa705_6_2_3_1</v>
      </c>
      <c r="AM1510" s="254">
        <f>M1510</f>
        <v>3</v>
      </c>
      <c r="AN1510" s="1336"/>
      <c r="AO1510" s="1336"/>
      <c r="AP1510" s="1336"/>
      <c r="AQ1510" s="1336"/>
      <c r="AR1510" s="1336"/>
      <c r="AS1510" s="1336"/>
      <c r="AT1510" s="634"/>
      <c r="AU1510" s="634"/>
      <c r="AV1510" s="634"/>
      <c r="AW1510" s="634"/>
      <c r="AX1510" s="634"/>
      <c r="AY1510" s="634"/>
      <c r="AZ1510" s="634"/>
      <c r="BA1510" s="634"/>
      <c r="BB1510" s="634"/>
      <c r="BC1510" s="634"/>
      <c r="BD1510" s="634"/>
      <c r="BE1510" s="634"/>
      <c r="BF1510" s="634"/>
      <c r="BG1510" s="634"/>
      <c r="BH1510" s="634"/>
      <c r="BI1510" s="634"/>
    </row>
    <row r="1511" spans="1:61" x14ac:dyDescent="0.25">
      <c r="A1511" s="2371">
        <v>7</v>
      </c>
      <c r="B1511" s="2385" t="s">
        <v>1053</v>
      </c>
      <c r="C1511" s="2374" t="s">
        <v>258</v>
      </c>
      <c r="D1511" s="2374"/>
      <c r="E1511" s="2374"/>
      <c r="F1511" s="2374"/>
      <c r="G1511" s="2373" t="str">
        <f ca="1">G1510</f>
        <v/>
      </c>
      <c r="H1511" s="2371" t="s">
        <v>3973</v>
      </c>
      <c r="I1511" s="129"/>
      <c r="J1511" s="543" t="s">
        <v>258</v>
      </c>
      <c r="K1511" s="636"/>
      <c r="L1511" s="1754" t="s">
        <v>3549</v>
      </c>
      <c r="M1511" s="1758">
        <v>5</v>
      </c>
      <c r="N1511" s="1042"/>
      <c r="O1511" s="1042"/>
      <c r="P1511" s="756"/>
      <c r="Q1511" s="756"/>
      <c r="R1511" s="634"/>
      <c r="S1511" s="634"/>
      <c r="T1511" s="634"/>
      <c r="U1511" s="634"/>
      <c r="V1511" s="634"/>
      <c r="W1511" s="634"/>
      <c r="X1511" s="1757"/>
      <c r="Y1511" s="2081"/>
      <c r="Z1511" s="2083"/>
      <c r="AA1511" s="1526"/>
      <c r="AB1511" s="634"/>
      <c r="AC1511" s="970"/>
      <c r="AD1511" s="970"/>
      <c r="AE1511" s="970"/>
      <c r="AF1511" s="634"/>
      <c r="AG1511" s="634"/>
      <c r="AH1511" s="634"/>
      <c r="AI1511" s="634"/>
      <c r="AJ1511" s="634"/>
      <c r="AK1511" s="634"/>
      <c r="AL1511" s="254" t="str">
        <f>SUBSTITUTE(SUBSTITUTE(SUBSTITUTE("vpa"&amp;$B1511&amp;$C1511&amp;$D1511&amp;$E1511,".","_"),"(","_"),")","")</f>
        <v>vpa705_6_2_3_2</v>
      </c>
      <c r="AM1511" s="254">
        <f>M1511</f>
        <v>5</v>
      </c>
      <c r="AN1511" s="1336"/>
      <c r="AO1511" s="1336"/>
      <c r="AP1511" s="1336"/>
      <c r="AQ1511" s="1336"/>
      <c r="AR1511" s="1336"/>
      <c r="AS1511" s="1336"/>
      <c r="AT1511" s="634"/>
      <c r="AU1511" s="634"/>
      <c r="AV1511" s="634"/>
      <c r="AW1511" s="634"/>
      <c r="AX1511" s="634"/>
      <c r="AY1511" s="634"/>
      <c r="AZ1511" s="634"/>
      <c r="BA1511" s="634"/>
      <c r="BB1511" s="634"/>
      <c r="BC1511" s="634"/>
      <c r="BD1511" s="634"/>
      <c r="BE1511" s="634"/>
      <c r="BF1511" s="634"/>
      <c r="BG1511" s="634"/>
      <c r="BH1511" s="634"/>
      <c r="BI1511" s="634"/>
    </row>
    <row r="1512" spans="1:61" x14ac:dyDescent="0.25">
      <c r="A1512" s="2371">
        <v>7</v>
      </c>
      <c r="B1512" s="2385" t="s">
        <v>1053</v>
      </c>
      <c r="C1512" s="2381"/>
      <c r="D1512" s="2374"/>
      <c r="E1512" s="2374"/>
      <c r="F1512" s="2374"/>
      <c r="G1512" s="2373" t="str">
        <f ca="1">G1511</f>
        <v/>
      </c>
      <c r="H1512" s="2371" t="s">
        <v>3973</v>
      </c>
      <c r="I1512" s="210"/>
      <c r="J1512" s="178"/>
      <c r="K1512" s="637"/>
      <c r="L1512" s="1755"/>
      <c r="M1512" s="1759"/>
      <c r="N1512" s="1047"/>
      <c r="O1512" s="1047"/>
      <c r="P1512" s="756"/>
      <c r="Q1512" s="756"/>
      <c r="R1512" s="634"/>
      <c r="S1512" s="634"/>
      <c r="T1512" s="634"/>
      <c r="U1512" s="634"/>
      <c r="V1512" s="634"/>
      <c r="W1512" s="634"/>
      <c r="X1512" s="1757"/>
      <c r="Y1512" s="2081"/>
      <c r="Z1512" s="2083"/>
      <c r="AA1512" s="1526"/>
      <c r="AB1512" s="634"/>
      <c r="AC1512" s="970"/>
      <c r="AD1512" s="970"/>
      <c r="AE1512" s="970"/>
      <c r="AF1512" s="634"/>
      <c r="AG1512" s="634"/>
      <c r="AH1512" s="634"/>
      <c r="AI1512" s="634"/>
      <c r="AJ1512" s="634"/>
      <c r="AK1512" s="634"/>
      <c r="AL1512" s="1336"/>
      <c r="AM1512" s="1336"/>
      <c r="AN1512" s="1336"/>
      <c r="AO1512" s="1336"/>
      <c r="AP1512" s="1336"/>
      <c r="AQ1512" s="1336"/>
      <c r="AR1512" s="1336"/>
      <c r="AS1512" s="1336"/>
      <c r="AT1512" s="634"/>
      <c r="AU1512" s="634"/>
      <c r="AV1512" s="634"/>
      <c r="AW1512" s="634"/>
      <c r="AX1512" s="634"/>
      <c r="AY1512" s="634"/>
      <c r="AZ1512" s="634"/>
      <c r="BA1512" s="634"/>
      <c r="BB1512" s="634"/>
      <c r="BC1512" s="634"/>
      <c r="BD1512" s="634"/>
      <c r="BE1512" s="634"/>
      <c r="BF1512" s="634"/>
      <c r="BG1512" s="634"/>
      <c r="BH1512" s="634"/>
      <c r="BI1512" s="634"/>
    </row>
    <row r="1513" spans="1:61" x14ac:dyDescent="0.25">
      <c r="A1513" s="2371">
        <v>7</v>
      </c>
      <c r="B1513" s="2385" t="s">
        <v>3546</v>
      </c>
      <c r="C1513" s="2381"/>
      <c r="D1513" s="2374"/>
      <c r="E1513" s="2374"/>
      <c r="F1513" s="2374"/>
      <c r="G1513" s="2373" t="str">
        <f>IF(N1513&gt;0,"P","")</f>
        <v/>
      </c>
      <c r="H1513" s="2371" t="s">
        <v>3972</v>
      </c>
      <c r="I1513" s="66" t="s">
        <v>3546</v>
      </c>
      <c r="J1513" s="639"/>
      <c r="K1513" s="639"/>
      <c r="L1513" s="1884" t="s">
        <v>3550</v>
      </c>
      <c r="M1513" s="1767">
        <v>1</v>
      </c>
      <c r="N1513" s="2075">
        <f>'Ch7'!O643</f>
        <v>0</v>
      </c>
      <c r="O1513" s="2075">
        <f>M1513*S1513*W1513*NOT(W1515)</f>
        <v>0</v>
      </c>
      <c r="P1513" s="94" t="b">
        <v>1</v>
      </c>
      <c r="Q1513" s="94" t="b">
        <v>0</v>
      </c>
      <c r="R1513" s="634" t="b">
        <v>0</v>
      </c>
      <c r="S1513" s="634" t="b">
        <v>1</v>
      </c>
      <c r="T1513" s="94" t="b">
        <v>0</v>
      </c>
      <c r="U1513" s="634"/>
      <c r="V1513" s="634"/>
      <c r="W1513" s="25"/>
      <c r="X1513" s="911"/>
      <c r="Y1513" s="634"/>
      <c r="AA1513" s="1526"/>
      <c r="AB1513" s="634"/>
      <c r="AC1513" s="970"/>
      <c r="AD1513" s="970"/>
      <c r="AE1513" s="970"/>
      <c r="AF1513" s="784"/>
      <c r="AG1513" s="634"/>
      <c r="AH1513" s="634"/>
      <c r="AI1513" s="634"/>
      <c r="AJ1513" s="634"/>
      <c r="AK1513" s="634"/>
      <c r="AL1513" s="254" t="str">
        <f>SUBSTITUTE(SUBSTITUTE(SUBSTITUTE("vpa"&amp;$B1513&amp;$C1513&amp;$D1513&amp;$E1513,".","_"),"(","_"),")","")</f>
        <v>vpa705_6_3</v>
      </c>
      <c r="AM1513" s="254">
        <f>M1513</f>
        <v>1</v>
      </c>
      <c r="AN1513" s="254" t="str">
        <f>SUBSTITUTE(SUBSTITUTE(SUBSTITUTE("vpc"&amp;$B1513&amp;$C1513&amp;$D1513&amp;$E1513,".","_"),"(","_"),")","")</f>
        <v>vpc705_6_3</v>
      </c>
      <c r="AO1513" s="254">
        <f>O1513</f>
        <v>0</v>
      </c>
      <c r="AP1513" s="254" t="str">
        <f>SUBSTITUTE(SUBSTITUTE(SUBSTITUTE("vch"&amp;$B1513&amp;$C1513&amp;$D1513&amp;$E1513,".","_"),"(","_"),")","")</f>
        <v>vch705_6_3</v>
      </c>
      <c r="AQ1513" s="254" t="str">
        <f>IF(LEN(W1513)=0,"",W1513)</f>
        <v/>
      </c>
      <c r="AR1513" s="1336"/>
      <c r="AS1513" s="1336"/>
      <c r="AT1513" s="634"/>
      <c r="AU1513" s="634"/>
      <c r="AV1513" s="634"/>
      <c r="AW1513" s="634"/>
      <c r="AX1513" s="634"/>
      <c r="AY1513" s="634"/>
      <c r="AZ1513" s="634"/>
      <c r="BA1513" s="634"/>
      <c r="BB1513" s="634"/>
      <c r="BC1513" s="634"/>
      <c r="BD1513" s="634"/>
      <c r="BE1513" s="634"/>
      <c r="BF1513" s="634"/>
      <c r="BG1513" s="634"/>
      <c r="BH1513" s="634"/>
      <c r="BI1513" s="634"/>
    </row>
    <row r="1514" spans="1:61" x14ac:dyDescent="0.25">
      <c r="A1514" s="2371">
        <v>7</v>
      </c>
      <c r="B1514" s="2385" t="s">
        <v>3546</v>
      </c>
      <c r="C1514" s="2381"/>
      <c r="D1514" s="2374"/>
      <c r="E1514" s="2374"/>
      <c r="F1514" s="2374"/>
      <c r="G1514" s="2373" t="str">
        <f t="shared" ref="G1514:G1523" si="88">G1513</f>
        <v/>
      </c>
      <c r="H1514" s="2371" t="s">
        <v>3972</v>
      </c>
      <c r="I1514" s="4"/>
      <c r="J1514" s="639"/>
      <c r="K1514" s="639"/>
      <c r="L1514" s="1884"/>
      <c r="M1514" s="1767"/>
      <c r="N1514" s="2075"/>
      <c r="O1514" s="2075"/>
      <c r="P1514" s="756"/>
      <c r="Q1514" s="756"/>
      <c r="R1514" s="634"/>
      <c r="S1514" s="634"/>
      <c r="T1514" s="634"/>
      <c r="U1514" s="634"/>
      <c r="V1514" s="634"/>
      <c r="W1514" s="777" t="s">
        <v>4102</v>
      </c>
      <c r="X1514" s="911"/>
      <c r="Y1514" s="634"/>
      <c r="AA1514" s="1526"/>
      <c r="AB1514" s="634"/>
      <c r="AC1514" s="970"/>
      <c r="AD1514" s="970"/>
      <c r="AE1514" s="970"/>
      <c r="AF1514" s="634"/>
      <c r="AG1514" s="634"/>
      <c r="AH1514" s="634"/>
      <c r="AI1514" s="634"/>
      <c r="AJ1514" s="634"/>
      <c r="AK1514" s="634"/>
      <c r="AL1514" s="1336"/>
      <c r="AM1514" s="1336"/>
      <c r="AN1514" s="1336"/>
      <c r="AO1514" s="1336"/>
      <c r="AP1514" s="254"/>
      <c r="AQ1514" s="254"/>
      <c r="AR1514" s="1336"/>
      <c r="AS1514" s="1336"/>
      <c r="AT1514" s="634"/>
      <c r="AU1514" s="634"/>
      <c r="AV1514" s="634"/>
      <c r="AW1514" s="634"/>
      <c r="AX1514" s="634"/>
      <c r="AY1514" s="634"/>
      <c r="AZ1514" s="634"/>
      <c r="BA1514" s="634"/>
      <c r="BB1514" s="634"/>
      <c r="BC1514" s="634"/>
      <c r="BD1514" s="634"/>
      <c r="BE1514" s="634"/>
      <c r="BF1514" s="634"/>
      <c r="BG1514" s="634"/>
      <c r="BH1514" s="634"/>
      <c r="BI1514" s="634"/>
    </row>
    <row r="1515" spans="1:61" x14ac:dyDescent="0.25">
      <c r="A1515" s="2371">
        <v>7</v>
      </c>
      <c r="B1515" s="2385" t="s">
        <v>3546</v>
      </c>
      <c r="C1515" s="2374" t="s">
        <v>256</v>
      </c>
      <c r="D1515" s="2374"/>
      <c r="E1515" s="2374"/>
      <c r="F1515" s="2374"/>
      <c r="G1515" s="2373" t="str">
        <f t="shared" si="88"/>
        <v/>
      </c>
      <c r="H1515" s="2371" t="s">
        <v>3972</v>
      </c>
      <c r="I1515" s="4"/>
      <c r="J1515" s="639"/>
      <c r="K1515" s="639"/>
      <c r="L1515" s="1173" t="s">
        <v>1055</v>
      </c>
      <c r="M1515" s="1014"/>
      <c r="N1515" s="1042"/>
      <c r="O1515" s="1042"/>
      <c r="P1515" s="94" t="b">
        <v>1</v>
      </c>
      <c r="Q1515" s="94" t="b">
        <v>0</v>
      </c>
      <c r="R1515" s="777" t="b">
        <v>0</v>
      </c>
      <c r="S1515" s="777" t="b">
        <v>1</v>
      </c>
      <c r="T1515" s="94" t="b">
        <v>0</v>
      </c>
      <c r="U1515" s="634"/>
      <c r="V1515" s="634"/>
      <c r="W1515" s="25"/>
      <c r="X1515" s="911"/>
      <c r="Y1515" s="634"/>
      <c r="AA1515" s="1526"/>
      <c r="AB1515" s="634"/>
      <c r="AC1515" s="970"/>
      <c r="AD1515" s="970"/>
      <c r="AE1515" s="970"/>
      <c r="AF1515" s="784"/>
      <c r="AG1515" s="634"/>
      <c r="AH1515" s="634"/>
      <c r="AI1515" s="634"/>
      <c r="AJ1515" s="634"/>
      <c r="AK1515" s="634"/>
      <c r="AL1515" s="1336"/>
      <c r="AM1515" s="1336"/>
      <c r="AN1515" s="1336"/>
      <c r="AO1515" s="1336"/>
      <c r="AP1515" s="254" t="str">
        <f>SUBSTITUTE(SUBSTITUTE(SUBSTITUTE("vch"&amp;$B1515&amp;$C1515&amp;$D1515&amp;$E1515,".","_"),"(","_"),")","")</f>
        <v>vch705_6_3_1</v>
      </c>
      <c r="AQ1515" s="254" t="str">
        <f>IF(LEN(W1515)=0,"",W1515)</f>
        <v/>
      </c>
      <c r="AR1515" s="1336"/>
      <c r="AS1515" s="1336"/>
      <c r="AT1515" s="634"/>
      <c r="AU1515" s="634"/>
      <c r="AV1515" s="634"/>
      <c r="AW1515" s="634"/>
      <c r="AX1515" s="634"/>
      <c r="AY1515" s="634"/>
      <c r="AZ1515" s="634"/>
      <c r="BA1515" s="634"/>
      <c r="BB1515" s="634"/>
      <c r="BC1515" s="634"/>
      <c r="BD1515" s="634"/>
      <c r="BE1515" s="634"/>
      <c r="BF1515" s="634"/>
      <c r="BG1515" s="634"/>
      <c r="BH1515" s="634"/>
      <c r="BI1515" s="634"/>
    </row>
    <row r="1516" spans="1:61" x14ac:dyDescent="0.25">
      <c r="A1516" s="2371">
        <v>7</v>
      </c>
      <c r="B1516" s="2385" t="s">
        <v>3546</v>
      </c>
      <c r="C1516" s="2374"/>
      <c r="D1516" s="2374" t="s">
        <v>121</v>
      </c>
      <c r="E1516" s="2374"/>
      <c r="F1516" s="2374"/>
      <c r="G1516" s="2373" t="str">
        <f t="shared" si="88"/>
        <v/>
      </c>
      <c r="H1516" s="2375" t="s">
        <v>3972</v>
      </c>
      <c r="I1516" s="4"/>
      <c r="J1516" s="639"/>
      <c r="K1516" s="230" t="s">
        <v>121</v>
      </c>
      <c r="L1516" s="1170" t="s">
        <v>1056</v>
      </c>
      <c r="M1516" s="1014"/>
      <c r="N1516" s="1042"/>
      <c r="O1516" s="1042"/>
      <c r="P1516" s="756"/>
      <c r="Q1516" s="756"/>
      <c r="R1516" s="634"/>
      <c r="S1516" s="634"/>
      <c r="T1516" s="634"/>
      <c r="U1516" s="634"/>
      <c r="V1516" s="634"/>
      <c r="W1516" s="634"/>
      <c r="X1516" s="918"/>
      <c r="Y1516" s="988" t="str">
        <f>IF(LEN('Ch7'!X646)=0,"None",'Ch7'!X646)</f>
        <v>None</v>
      </c>
      <c r="Z1516" s="1587"/>
      <c r="AA1516" s="1526"/>
      <c r="AB1516" s="634"/>
      <c r="AC1516" s="970"/>
      <c r="AD1516" s="970"/>
      <c r="AE1516" s="970"/>
      <c r="AF1516" s="634"/>
      <c r="AG1516" s="634"/>
      <c r="AH1516" s="634"/>
      <c r="AI1516" s="634"/>
      <c r="AJ1516" s="634"/>
      <c r="AK1516" s="634"/>
      <c r="AL1516" s="1336"/>
      <c r="AM1516" s="1336"/>
      <c r="AN1516" s="1336"/>
      <c r="AO1516" s="1336"/>
      <c r="AP1516" s="1336"/>
      <c r="AQ1516" s="1336"/>
      <c r="AR1516" s="254" t="str">
        <f t="shared" ref="AR1516:AR1522" si="89">SUBSTITUTE(SUBSTITUTE(SUBSTITUTE("vnt"&amp;$B1516&amp;$C1516&amp;$D1516&amp;$E1516,".","_"),"(","_"),")","")</f>
        <v>vnt705_6_3_a</v>
      </c>
      <c r="AS1516" s="254" t="str">
        <f t="shared" ref="AS1516:AS1522" si="90">IF(LEN(X1516)=0,"",X1516)</f>
        <v/>
      </c>
      <c r="AT1516" s="634"/>
      <c r="AU1516" s="634"/>
      <c r="AV1516" s="634"/>
      <c r="AW1516" s="634"/>
      <c r="AX1516" s="634"/>
      <c r="AY1516" s="634"/>
      <c r="AZ1516" s="634"/>
      <c r="BA1516" s="634"/>
      <c r="BB1516" s="634"/>
      <c r="BC1516" s="634"/>
      <c r="BD1516" s="634"/>
      <c r="BE1516" s="634"/>
      <c r="BF1516" s="634"/>
      <c r="BG1516" s="634"/>
      <c r="BH1516" s="634"/>
      <c r="BI1516" s="634"/>
    </row>
    <row r="1517" spans="1:61" x14ac:dyDescent="0.25">
      <c r="A1517" s="2371">
        <v>7</v>
      </c>
      <c r="B1517" s="2385" t="s">
        <v>3546</v>
      </c>
      <c r="C1517" s="2374"/>
      <c r="D1517" s="2374" t="s">
        <v>122</v>
      </c>
      <c r="E1517" s="2374"/>
      <c r="F1517" s="2374"/>
      <c r="G1517" s="2373" t="str">
        <f t="shared" si="88"/>
        <v/>
      </c>
      <c r="H1517" s="2375" t="s">
        <v>3972</v>
      </c>
      <c r="I1517" s="4"/>
      <c r="J1517" s="639"/>
      <c r="K1517" s="230" t="s">
        <v>122</v>
      </c>
      <c r="L1517" s="1156" t="s">
        <v>4339</v>
      </c>
      <c r="M1517" s="1014"/>
      <c r="N1517" s="1042"/>
      <c r="O1517" s="1042"/>
      <c r="P1517" s="756"/>
      <c r="Q1517" s="756"/>
      <c r="R1517" s="634"/>
      <c r="S1517" s="634"/>
      <c r="T1517" s="634"/>
      <c r="U1517" s="634"/>
      <c r="V1517" s="634"/>
      <c r="W1517" s="634"/>
      <c r="X1517" s="918"/>
      <c r="Y1517" s="988" t="str">
        <f>IF(LEN('Ch7'!X647)=0,"None",'Ch7'!X647)</f>
        <v>None</v>
      </c>
      <c r="Z1517" s="1587"/>
      <c r="AA1517" s="1526"/>
      <c r="AB1517" s="634"/>
      <c r="AC1517" s="970"/>
      <c r="AD1517" s="970"/>
      <c r="AE1517" s="970"/>
      <c r="AF1517" s="634"/>
      <c r="AG1517" s="634"/>
      <c r="AH1517" s="634"/>
      <c r="AI1517" s="634"/>
      <c r="AJ1517" s="634"/>
      <c r="AK1517" s="634"/>
      <c r="AL1517" s="1336"/>
      <c r="AM1517" s="1336"/>
      <c r="AN1517" s="1336"/>
      <c r="AO1517" s="1336"/>
      <c r="AP1517" s="1336"/>
      <c r="AQ1517" s="1336"/>
      <c r="AR1517" s="254" t="str">
        <f t="shared" si="89"/>
        <v>vnt705_6_3_b</v>
      </c>
      <c r="AS1517" s="254" t="str">
        <f t="shared" si="90"/>
        <v/>
      </c>
      <c r="AT1517" s="634"/>
      <c r="AU1517" s="634"/>
      <c r="AV1517" s="634"/>
      <c r="AW1517" s="634"/>
      <c r="AX1517" s="634"/>
      <c r="AY1517" s="634"/>
      <c r="AZ1517" s="634"/>
      <c r="BA1517" s="634"/>
      <c r="BB1517" s="634"/>
      <c r="BC1517" s="634"/>
      <c r="BD1517" s="634"/>
      <c r="BE1517" s="634"/>
      <c r="BF1517" s="634"/>
      <c r="BG1517" s="634"/>
      <c r="BH1517" s="634"/>
      <c r="BI1517" s="634"/>
    </row>
    <row r="1518" spans="1:61" x14ac:dyDescent="0.25">
      <c r="A1518" s="2371">
        <v>7</v>
      </c>
      <c r="B1518" s="2385" t="s">
        <v>3546</v>
      </c>
      <c r="C1518" s="2374"/>
      <c r="D1518" s="2376" t="s">
        <v>123</v>
      </c>
      <c r="E1518" s="2376"/>
      <c r="F1518" s="2376"/>
      <c r="G1518" s="2373" t="str">
        <f t="shared" si="88"/>
        <v/>
      </c>
      <c r="H1518" s="2379" t="s">
        <v>3972</v>
      </c>
      <c r="I1518" s="4"/>
      <c r="J1518" s="639"/>
      <c r="K1518" s="231" t="s">
        <v>123</v>
      </c>
      <c r="L1518" s="1170" t="s">
        <v>1057</v>
      </c>
      <c r="M1518" s="1014"/>
      <c r="N1518" s="1042"/>
      <c r="O1518" s="1042"/>
      <c r="P1518" s="756"/>
      <c r="Q1518" s="756"/>
      <c r="R1518" s="634"/>
      <c r="S1518" s="634"/>
      <c r="T1518" s="634"/>
      <c r="U1518" s="634"/>
      <c r="V1518" s="634"/>
      <c r="W1518" s="634"/>
      <c r="X1518" s="918"/>
      <c r="Y1518" s="988" t="str">
        <f>IF(LEN('Ch7'!X648)=0,"None",'Ch7'!X648)</f>
        <v>None</v>
      </c>
      <c r="Z1518" s="1587"/>
      <c r="AA1518" s="1526"/>
      <c r="AB1518" s="634"/>
      <c r="AC1518" s="970"/>
      <c r="AD1518" s="970"/>
      <c r="AE1518" s="970"/>
      <c r="AF1518" s="634"/>
      <c r="AG1518" s="634"/>
      <c r="AH1518" s="634"/>
      <c r="AI1518" s="634"/>
      <c r="AJ1518" s="634"/>
      <c r="AK1518" s="634"/>
      <c r="AL1518" s="1336"/>
      <c r="AM1518" s="1336"/>
      <c r="AN1518" s="1336"/>
      <c r="AO1518" s="1336"/>
      <c r="AP1518" s="1336"/>
      <c r="AQ1518" s="1336"/>
      <c r="AR1518" s="254" t="str">
        <f t="shared" si="89"/>
        <v>vnt705_6_3_c</v>
      </c>
      <c r="AS1518" s="254" t="str">
        <f t="shared" si="90"/>
        <v/>
      </c>
      <c r="AT1518" s="634"/>
      <c r="AU1518" s="634"/>
      <c r="AV1518" s="634"/>
      <c r="AW1518" s="634"/>
      <c r="AX1518" s="634"/>
      <c r="AY1518" s="634"/>
      <c r="AZ1518" s="634"/>
      <c r="BA1518" s="634"/>
      <c r="BB1518" s="634"/>
      <c r="BC1518" s="634"/>
      <c r="BD1518" s="634"/>
      <c r="BE1518" s="634"/>
      <c r="BF1518" s="634"/>
      <c r="BG1518" s="634"/>
      <c r="BH1518" s="634"/>
      <c r="BI1518" s="634"/>
    </row>
    <row r="1519" spans="1:61" x14ac:dyDescent="0.25">
      <c r="A1519" s="2371">
        <v>7</v>
      </c>
      <c r="B1519" s="2385" t="s">
        <v>3546</v>
      </c>
      <c r="C1519" s="2374"/>
      <c r="D1519" s="2374" t="s">
        <v>401</v>
      </c>
      <c r="E1519" s="2374"/>
      <c r="F1519" s="2374"/>
      <c r="G1519" s="2373" t="str">
        <f t="shared" si="88"/>
        <v/>
      </c>
      <c r="H1519" s="2371" t="s">
        <v>3972</v>
      </c>
      <c r="I1519" s="4"/>
      <c r="J1519" s="639"/>
      <c r="K1519" s="644" t="s">
        <v>401</v>
      </c>
      <c r="L1519" s="1170" t="s">
        <v>1058</v>
      </c>
      <c r="M1519" s="1014"/>
      <c r="N1519" s="1042"/>
      <c r="O1519" s="1042"/>
      <c r="P1519" s="756"/>
      <c r="Q1519" s="756"/>
      <c r="R1519" s="634"/>
      <c r="S1519" s="634"/>
      <c r="T1519" s="634"/>
      <c r="U1519" s="634"/>
      <c r="V1519" s="634"/>
      <c r="W1519" s="634"/>
      <c r="X1519" s="918"/>
      <c r="Y1519" s="988" t="str">
        <f>IF(LEN('Ch7'!X649)=0,"None",'Ch7'!X649)</f>
        <v>None</v>
      </c>
      <c r="Z1519" s="1587"/>
      <c r="AA1519" s="1526"/>
      <c r="AB1519" s="634"/>
      <c r="AC1519" s="970"/>
      <c r="AD1519" s="970"/>
      <c r="AE1519" s="970"/>
      <c r="AF1519" s="634"/>
      <c r="AG1519" s="634"/>
      <c r="AH1519" s="634"/>
      <c r="AI1519" s="634"/>
      <c r="AJ1519" s="634"/>
      <c r="AK1519" s="634"/>
      <c r="AL1519" s="1336"/>
      <c r="AM1519" s="1336"/>
      <c r="AN1519" s="1336"/>
      <c r="AO1519" s="1336"/>
      <c r="AP1519" s="1336"/>
      <c r="AQ1519" s="1336"/>
      <c r="AR1519" s="254" t="str">
        <f t="shared" si="89"/>
        <v>vnt705_6_3_d</v>
      </c>
      <c r="AS1519" s="254" t="str">
        <f t="shared" si="90"/>
        <v/>
      </c>
      <c r="AT1519" s="634"/>
      <c r="AU1519" s="634"/>
      <c r="AV1519" s="634"/>
      <c r="AW1519" s="634"/>
      <c r="AX1519" s="634"/>
      <c r="AY1519" s="634"/>
      <c r="AZ1519" s="634"/>
      <c r="BA1519" s="634"/>
      <c r="BB1519" s="634"/>
      <c r="BC1519" s="634"/>
      <c r="BD1519" s="634"/>
      <c r="BE1519" s="634"/>
      <c r="BF1519" s="634"/>
      <c r="BG1519" s="634"/>
      <c r="BH1519" s="634"/>
      <c r="BI1519" s="634"/>
    </row>
    <row r="1520" spans="1:61" x14ac:dyDescent="0.25">
      <c r="A1520" s="2371">
        <v>7</v>
      </c>
      <c r="B1520" s="2385" t="s">
        <v>3546</v>
      </c>
      <c r="C1520" s="2374"/>
      <c r="D1520" s="2374" t="s">
        <v>539</v>
      </c>
      <c r="E1520" s="2374"/>
      <c r="F1520" s="2374"/>
      <c r="G1520" s="2373" t="str">
        <f t="shared" si="88"/>
        <v/>
      </c>
      <c r="H1520" s="2371" t="s">
        <v>3972</v>
      </c>
      <c r="I1520" s="4"/>
      <c r="J1520" s="639"/>
      <c r="K1520" s="644" t="s">
        <v>539</v>
      </c>
      <c r="L1520" s="1170" t="s">
        <v>1059</v>
      </c>
      <c r="M1520" s="1014"/>
      <c r="N1520" s="1042"/>
      <c r="O1520" s="1042"/>
      <c r="P1520" s="756"/>
      <c r="Q1520" s="756"/>
      <c r="R1520" s="634"/>
      <c r="S1520" s="634"/>
      <c r="T1520" s="634"/>
      <c r="U1520" s="634"/>
      <c r="V1520" s="634"/>
      <c r="W1520" s="634"/>
      <c r="X1520" s="918"/>
      <c r="Y1520" s="988" t="str">
        <f>IF(LEN('Ch7'!X650)=0,"None",'Ch7'!X650)</f>
        <v>None</v>
      </c>
      <c r="Z1520" s="1587"/>
      <c r="AA1520" s="1526"/>
      <c r="AB1520" s="634"/>
      <c r="AC1520" s="970"/>
      <c r="AD1520" s="970"/>
      <c r="AE1520" s="970"/>
      <c r="AF1520" s="634"/>
      <c r="AG1520" s="634"/>
      <c r="AH1520" s="634"/>
      <c r="AI1520" s="634"/>
      <c r="AJ1520" s="634"/>
      <c r="AK1520" s="634"/>
      <c r="AL1520" s="1336"/>
      <c r="AM1520" s="1336"/>
      <c r="AN1520" s="1336"/>
      <c r="AO1520" s="1336"/>
      <c r="AP1520" s="1336"/>
      <c r="AQ1520" s="1336"/>
      <c r="AR1520" s="254" t="str">
        <f t="shared" si="89"/>
        <v>vnt705_6_3_e</v>
      </c>
      <c r="AS1520" s="254" t="str">
        <f t="shared" si="90"/>
        <v/>
      </c>
      <c r="AT1520" s="634"/>
      <c r="AU1520" s="634"/>
      <c r="AV1520" s="634"/>
      <c r="AW1520" s="634"/>
      <c r="AX1520" s="634"/>
      <c r="AY1520" s="634"/>
      <c r="AZ1520" s="634"/>
      <c r="BA1520" s="634"/>
      <c r="BB1520" s="634"/>
      <c r="BC1520" s="634"/>
      <c r="BD1520" s="634"/>
      <c r="BE1520" s="634"/>
      <c r="BF1520" s="634"/>
      <c r="BG1520" s="634"/>
      <c r="BH1520" s="634"/>
      <c r="BI1520" s="634"/>
    </row>
    <row r="1521" spans="1:61" x14ac:dyDescent="0.25">
      <c r="A1521" s="2371">
        <v>7</v>
      </c>
      <c r="B1521" s="2385" t="s">
        <v>3546</v>
      </c>
      <c r="C1521" s="2374"/>
      <c r="D1521" s="2376" t="s">
        <v>604</v>
      </c>
      <c r="E1521" s="2376"/>
      <c r="F1521" s="2376"/>
      <c r="G1521" s="2373" t="str">
        <f t="shared" si="88"/>
        <v/>
      </c>
      <c r="H1521" s="2379" t="s">
        <v>3972</v>
      </c>
      <c r="I1521" s="4"/>
      <c r="J1521" s="639"/>
      <c r="K1521" s="231" t="s">
        <v>604</v>
      </c>
      <c r="L1521" s="1170" t="s">
        <v>1060</v>
      </c>
      <c r="M1521" s="1014"/>
      <c r="N1521" s="1042"/>
      <c r="O1521" s="1042"/>
      <c r="P1521" s="756"/>
      <c r="Q1521" s="756"/>
      <c r="R1521" s="634"/>
      <c r="S1521" s="634"/>
      <c r="T1521" s="634"/>
      <c r="U1521" s="634"/>
      <c r="V1521" s="634"/>
      <c r="W1521" s="634"/>
      <c r="X1521" s="918"/>
      <c r="Y1521" s="988" t="str">
        <f>IF(LEN('Ch7'!X651)=0,"None",'Ch7'!X651)</f>
        <v>None</v>
      </c>
      <c r="Z1521" s="1587"/>
      <c r="AA1521" s="1526"/>
      <c r="AB1521" s="634"/>
      <c r="AC1521" s="970"/>
      <c r="AD1521" s="970"/>
      <c r="AE1521" s="970"/>
      <c r="AF1521" s="634"/>
      <c r="AG1521" s="634"/>
      <c r="AH1521" s="634"/>
      <c r="AI1521" s="634"/>
      <c r="AJ1521" s="634"/>
      <c r="AK1521" s="634"/>
      <c r="AL1521" s="1336"/>
      <c r="AM1521" s="1336"/>
      <c r="AN1521" s="1336"/>
      <c r="AO1521" s="1336"/>
      <c r="AP1521" s="1336"/>
      <c r="AQ1521" s="1336"/>
      <c r="AR1521" s="254" t="str">
        <f t="shared" si="89"/>
        <v>vnt705_6_3_f</v>
      </c>
      <c r="AS1521" s="254" t="str">
        <f t="shared" si="90"/>
        <v/>
      </c>
      <c r="AT1521" s="634"/>
      <c r="AU1521" s="634"/>
      <c r="AV1521" s="634"/>
      <c r="AW1521" s="634"/>
      <c r="AX1521" s="634"/>
      <c r="AY1521" s="634"/>
      <c r="AZ1521" s="634"/>
      <c r="BA1521" s="634"/>
      <c r="BB1521" s="634"/>
      <c r="BC1521" s="634"/>
      <c r="BD1521" s="634"/>
      <c r="BE1521" s="634"/>
      <c r="BF1521" s="634"/>
      <c r="BG1521" s="634"/>
      <c r="BH1521" s="634"/>
      <c r="BI1521" s="634"/>
    </row>
    <row r="1522" spans="1:61" x14ac:dyDescent="0.25">
      <c r="A1522" s="2371">
        <v>7</v>
      </c>
      <c r="B1522" s="2385" t="s">
        <v>3546</v>
      </c>
      <c r="C1522" s="2374"/>
      <c r="D1522" s="2374" t="s">
        <v>606</v>
      </c>
      <c r="E1522" s="2374"/>
      <c r="F1522" s="2374"/>
      <c r="G1522" s="2373" t="str">
        <f t="shared" si="88"/>
        <v/>
      </c>
      <c r="H1522" s="2371" t="s">
        <v>3972</v>
      </c>
      <c r="I1522" s="129"/>
      <c r="J1522" s="636"/>
      <c r="K1522" s="645" t="s">
        <v>606</v>
      </c>
      <c r="L1522" s="1793" t="s">
        <v>1061</v>
      </c>
      <c r="M1522" s="1014"/>
      <c r="N1522" s="1042"/>
      <c r="O1522" s="1042"/>
      <c r="P1522" s="756"/>
      <c r="Q1522" s="756"/>
      <c r="R1522" s="634"/>
      <c r="S1522" s="634"/>
      <c r="T1522" s="634"/>
      <c r="U1522" s="634"/>
      <c r="V1522" s="634"/>
      <c r="W1522" s="634"/>
      <c r="X1522" s="1757"/>
      <c r="Y1522" s="2081" t="str">
        <f>IF(LEN('Ch7'!X652)=0,"None",'Ch7'!X652)</f>
        <v>None</v>
      </c>
      <c r="Z1522" s="2083"/>
      <c r="AA1522" s="1526"/>
      <c r="AB1522" s="634"/>
      <c r="AC1522" s="970"/>
      <c r="AD1522" s="970"/>
      <c r="AE1522" s="970"/>
      <c r="AF1522" s="634"/>
      <c r="AG1522" s="634"/>
      <c r="AH1522" s="634"/>
      <c r="AI1522" s="634"/>
      <c r="AJ1522" s="634"/>
      <c r="AK1522" s="634"/>
      <c r="AL1522" s="1336"/>
      <c r="AM1522" s="1336"/>
      <c r="AN1522" s="1336"/>
      <c r="AO1522" s="1336"/>
      <c r="AP1522" s="1336"/>
      <c r="AQ1522" s="1336"/>
      <c r="AR1522" s="254" t="str">
        <f t="shared" si="89"/>
        <v>vnt705_6_3_g</v>
      </c>
      <c r="AS1522" s="254" t="str">
        <f t="shared" si="90"/>
        <v/>
      </c>
      <c r="AT1522" s="634"/>
      <c r="AU1522" s="634"/>
      <c r="AV1522" s="634"/>
      <c r="AW1522" s="634"/>
      <c r="AX1522" s="634"/>
      <c r="AY1522" s="634"/>
      <c r="AZ1522" s="634"/>
      <c r="BA1522" s="634"/>
      <c r="BB1522" s="634"/>
      <c r="BC1522" s="634"/>
      <c r="BD1522" s="634"/>
      <c r="BE1522" s="634"/>
      <c r="BF1522" s="634"/>
      <c r="BG1522" s="634"/>
      <c r="BH1522" s="634"/>
      <c r="BI1522" s="634"/>
    </row>
    <row r="1523" spans="1:61" x14ac:dyDescent="0.25">
      <c r="A1523" s="2371">
        <v>7</v>
      </c>
      <c r="B1523" s="2385" t="s">
        <v>3546</v>
      </c>
      <c r="C1523" s="2374"/>
      <c r="D1523" s="2374" t="s">
        <v>606</v>
      </c>
      <c r="E1523" s="2374"/>
      <c r="F1523" s="2374"/>
      <c r="G1523" s="2373" t="str">
        <f t="shared" si="88"/>
        <v/>
      </c>
      <c r="H1523" s="2371" t="s">
        <v>3972</v>
      </c>
      <c r="I1523" s="210"/>
      <c r="J1523" s="637"/>
      <c r="K1523" s="646"/>
      <c r="L1523" s="1761"/>
      <c r="M1523" s="1014"/>
      <c r="N1523" s="1042"/>
      <c r="O1523" s="1042"/>
      <c r="P1523" s="756"/>
      <c r="Q1523" s="756"/>
      <c r="R1523" s="634"/>
      <c r="S1523" s="634"/>
      <c r="T1523" s="634"/>
      <c r="U1523" s="634"/>
      <c r="V1523" s="634"/>
      <c r="W1523" s="634"/>
      <c r="X1523" s="1757"/>
      <c r="Y1523" s="2081"/>
      <c r="Z1523" s="2083"/>
      <c r="AA1523" s="1526"/>
      <c r="AB1523" s="634"/>
      <c r="AC1523" s="970"/>
      <c r="AD1523" s="970"/>
      <c r="AE1523" s="970"/>
      <c r="AF1523" s="634"/>
      <c r="AG1523" s="634"/>
      <c r="AH1523" s="634"/>
      <c r="AI1523" s="634"/>
      <c r="AJ1523" s="634"/>
      <c r="AK1523" s="634"/>
      <c r="AL1523" s="1336"/>
      <c r="AM1523" s="1336"/>
      <c r="AN1523" s="1336"/>
      <c r="AO1523" s="1336"/>
      <c r="AP1523" s="1336"/>
      <c r="AQ1523" s="1336"/>
      <c r="AR1523" s="1336"/>
      <c r="AS1523" s="1336"/>
      <c r="AT1523" s="634"/>
      <c r="AU1523" s="634"/>
      <c r="AV1523" s="634"/>
      <c r="AW1523" s="634"/>
      <c r="AX1523" s="634"/>
      <c r="AY1523" s="634"/>
      <c r="AZ1523" s="634"/>
      <c r="BA1523" s="634"/>
      <c r="BB1523" s="634"/>
      <c r="BC1523" s="634"/>
      <c r="BD1523" s="634"/>
      <c r="BE1523" s="634"/>
      <c r="BF1523" s="634"/>
      <c r="BG1523" s="634"/>
      <c r="BH1523" s="634"/>
      <c r="BI1523" s="634"/>
    </row>
    <row r="1524" spans="1:61" x14ac:dyDescent="0.25">
      <c r="A1524" s="2371">
        <v>7</v>
      </c>
      <c r="B1524" s="2385" t="s">
        <v>1062</v>
      </c>
      <c r="C1524" s="2381"/>
      <c r="D1524" s="2374"/>
      <c r="E1524" s="2374"/>
      <c r="F1524" s="2374"/>
      <c r="G1524" s="2363" t="str">
        <f ca="1">IF(COUNTIF(G1525,"P")&gt;0,"P","")</f>
        <v/>
      </c>
      <c r="H1524" s="2371" t="s">
        <v>3971</v>
      </c>
      <c r="I1524" s="66" t="s">
        <v>1062</v>
      </c>
      <c r="J1524" s="639"/>
      <c r="K1524" s="639"/>
      <c r="L1524" s="235" t="s">
        <v>1063</v>
      </c>
      <c r="M1524" s="1014"/>
      <c r="N1524" s="1042"/>
      <c r="O1524" s="1042"/>
      <c r="P1524" s="756"/>
      <c r="Q1524" s="756"/>
      <c r="R1524" s="634"/>
      <c r="S1524" s="634"/>
      <c r="T1524" s="634"/>
      <c r="U1524" s="634"/>
      <c r="V1524" s="634"/>
      <c r="W1524" s="634"/>
      <c r="X1524" s="911"/>
      <c r="Y1524" s="634"/>
      <c r="AA1524" s="1526"/>
      <c r="AB1524" s="634"/>
      <c r="AC1524" s="970"/>
      <c r="AD1524" s="970"/>
      <c r="AE1524" s="970"/>
      <c r="AF1524" s="634"/>
      <c r="AG1524" s="634"/>
      <c r="AH1524" s="634"/>
      <c r="AI1524" s="634"/>
      <c r="AJ1524" s="634"/>
      <c r="AK1524" s="634"/>
      <c r="AL1524" s="1336"/>
      <c r="AM1524" s="1336"/>
      <c r="AN1524" s="1336"/>
      <c r="AO1524" s="1336"/>
      <c r="AP1524" s="1336"/>
      <c r="AQ1524" s="1336"/>
      <c r="AR1524" s="1336"/>
      <c r="AS1524" s="1336"/>
      <c r="AT1524" s="634"/>
      <c r="AU1524" s="634"/>
      <c r="AV1524" s="634"/>
      <c r="AW1524" s="634"/>
      <c r="AX1524" s="634"/>
      <c r="AY1524" s="634"/>
      <c r="AZ1524" s="634"/>
      <c r="BA1524" s="634"/>
      <c r="BB1524" s="634"/>
      <c r="BC1524" s="634"/>
      <c r="BD1524" s="634"/>
      <c r="BE1524" s="634"/>
      <c r="BF1524" s="634"/>
      <c r="BG1524" s="634"/>
      <c r="BH1524" s="634"/>
      <c r="BI1524" s="634"/>
    </row>
    <row r="1525" spans="1:61" x14ac:dyDescent="0.25">
      <c r="A1525" s="2371">
        <v>7</v>
      </c>
      <c r="B1525" s="2385" t="s">
        <v>1064</v>
      </c>
      <c r="C1525" s="2381"/>
      <c r="D1525" s="2374"/>
      <c r="E1525" s="2374"/>
      <c r="F1525" s="2374"/>
      <c r="G1525" s="2373" t="str">
        <f ca="1">IF(N1525&gt;0,"P","")</f>
        <v/>
      </c>
      <c r="H1525" s="2371" t="s">
        <v>3971</v>
      </c>
      <c r="I1525" s="510" t="s">
        <v>1064</v>
      </c>
      <c r="J1525" s="636"/>
      <c r="K1525" s="636"/>
      <c r="L1525" s="1902" t="s">
        <v>1065</v>
      </c>
      <c r="M1525" s="1758">
        <v>1</v>
      </c>
      <c r="N1525" s="1927">
        <f ca="1">'Ch7'!O655</f>
        <v>0</v>
      </c>
      <c r="O1525" s="1927">
        <f ca="1">M1525*S1525*W1525</f>
        <v>0</v>
      </c>
      <c r="P1525" s="94" t="b">
        <v>1</v>
      </c>
      <c r="Q1525" s="94" t="b">
        <v>1</v>
      </c>
      <c r="R1525" s="94" t="b">
        <v>0</v>
      </c>
      <c r="S1525" s="94" t="b">
        <f ca="1">IF(AY889=INDEX(INDIRECT("ddSingleOrMulti"),1),TRUE,FALSE)</f>
        <v>1</v>
      </c>
      <c r="T1525" s="94" t="b">
        <f ca="1">AND(NOT(S1525),W1525=TRUE)</f>
        <v>0</v>
      </c>
      <c r="U1525" s="94"/>
      <c r="V1525" s="94"/>
      <c r="W1525" s="25"/>
      <c r="X1525" s="1757"/>
      <c r="Y1525" s="2081" t="str">
        <f>IF(LEN('Ch7'!X655)=0,"None",'Ch7'!X655)</f>
        <v>None</v>
      </c>
      <c r="Z1525" s="2083"/>
      <c r="AA1525" s="1526"/>
      <c r="AB1525" s="634"/>
      <c r="AC1525" s="970" t="b">
        <f ca="1">OR(AD1525:AE1525)</f>
        <v>0</v>
      </c>
      <c r="AD1525" s="970" t="b">
        <f ca="1">T1525</f>
        <v>0</v>
      </c>
      <c r="AE1525" s="970"/>
      <c r="AF1525" s="634"/>
      <c r="AG1525" s="634"/>
      <c r="AH1525" s="634"/>
      <c r="AI1525" s="634"/>
      <c r="AJ1525" s="634"/>
      <c r="AK1525" s="634"/>
      <c r="AL1525" s="254" t="str">
        <f>SUBSTITUTE(SUBSTITUTE(SUBSTITUTE("vpa"&amp;$B1525&amp;$C1525&amp;$D1525&amp;$E1525,".","_"),"(","_"),")","")</f>
        <v>vpa705_6_4_1</v>
      </c>
      <c r="AM1525" s="254">
        <f>M1525</f>
        <v>1</v>
      </c>
      <c r="AN1525" s="254" t="str">
        <f>SUBSTITUTE(SUBSTITUTE(SUBSTITUTE("vpc"&amp;$B1525&amp;$C1525&amp;$D1525&amp;$E1525,".","_"),"(","_"),")","")</f>
        <v>vpc705_6_4_1</v>
      </c>
      <c r="AO1525" s="254">
        <f ca="1">O1525</f>
        <v>0</v>
      </c>
      <c r="AP1525" s="254" t="str">
        <f>SUBSTITUTE(SUBSTITUTE(SUBSTITUTE("vch"&amp;$B1525&amp;$C1525&amp;$D1525&amp;$E1525,".","_"),"(","_"),")","")</f>
        <v>vch705_6_4_1</v>
      </c>
      <c r="AQ1525" s="254" t="str">
        <f>IF(LEN(W1525)=0,"",W1525)</f>
        <v/>
      </c>
      <c r="AR1525" s="254" t="str">
        <f>SUBSTITUTE(SUBSTITUTE(SUBSTITUTE("vnt"&amp;$B1525&amp;$C1525&amp;$D1525&amp;$E1525,".","_"),"(","_"),")","")</f>
        <v>vnt705_6_4_1</v>
      </c>
      <c r="AS1525" s="254" t="str">
        <f>IF(LEN(X1525)=0,"",X1525)</f>
        <v/>
      </c>
      <c r="AT1525" s="634"/>
      <c r="AU1525" s="634"/>
      <c r="AV1525" s="634"/>
      <c r="AW1525" s="634"/>
      <c r="AX1525" s="634"/>
      <c r="AY1525" s="634"/>
      <c r="AZ1525" s="634"/>
      <c r="BA1525" s="634"/>
      <c r="BB1525" s="634"/>
      <c r="BC1525" s="634"/>
      <c r="BD1525" s="634"/>
      <c r="BE1525" s="634"/>
      <c r="BF1525" s="634"/>
      <c r="BG1525" s="634"/>
      <c r="BH1525" s="634"/>
      <c r="BI1525" s="634"/>
    </row>
    <row r="1526" spans="1:61" x14ac:dyDescent="0.25">
      <c r="A1526" s="2371">
        <v>7</v>
      </c>
      <c r="B1526" s="2385" t="s">
        <v>1064</v>
      </c>
      <c r="C1526" s="2381"/>
      <c r="D1526" s="2374"/>
      <c r="E1526" s="2374"/>
      <c r="F1526" s="2374"/>
      <c r="G1526" s="2373" t="str">
        <f ca="1">G1525</f>
        <v/>
      </c>
      <c r="H1526" s="2371" t="s">
        <v>3971</v>
      </c>
      <c r="I1526" s="534"/>
      <c r="J1526" s="637"/>
      <c r="K1526" s="637"/>
      <c r="L1526" s="1903"/>
      <c r="M1526" s="1759"/>
      <c r="N1526" s="2076"/>
      <c r="O1526" s="2076"/>
      <c r="P1526" s="178"/>
      <c r="Q1526" s="178"/>
      <c r="R1526" s="178"/>
      <c r="S1526" s="178"/>
      <c r="T1526" s="178"/>
      <c r="U1526" s="178"/>
      <c r="V1526" s="178"/>
      <c r="W1526" s="538"/>
      <c r="X1526" s="1757"/>
      <c r="Y1526" s="2081"/>
      <c r="Z1526" s="2083"/>
      <c r="AA1526" s="1526"/>
      <c r="AB1526" s="634"/>
      <c r="AC1526" s="970"/>
      <c r="AD1526" s="970"/>
      <c r="AE1526" s="970"/>
      <c r="AF1526" s="634"/>
      <c r="AG1526" s="634"/>
      <c r="AH1526" s="634"/>
      <c r="AI1526" s="634"/>
      <c r="AJ1526" s="634"/>
      <c r="AK1526" s="634"/>
      <c r="AL1526" s="1336"/>
      <c r="AM1526" s="1336"/>
      <c r="AN1526" s="1336"/>
      <c r="AO1526" s="1336"/>
      <c r="AP1526" s="1336"/>
      <c r="AQ1526" s="1336"/>
      <c r="AR1526" s="1336"/>
      <c r="AS1526" s="1336"/>
      <c r="AT1526" s="634"/>
      <c r="AU1526" s="634"/>
      <c r="AV1526" s="634"/>
      <c r="AW1526" s="634"/>
      <c r="AX1526" s="634"/>
      <c r="AY1526" s="634"/>
      <c r="AZ1526" s="634"/>
      <c r="BA1526" s="634"/>
      <c r="BB1526" s="634"/>
      <c r="BC1526" s="634"/>
      <c r="BD1526" s="634"/>
      <c r="BE1526" s="634"/>
      <c r="BF1526" s="634"/>
      <c r="BG1526" s="634"/>
      <c r="BH1526" s="634"/>
      <c r="BI1526" s="634"/>
    </row>
    <row r="1527" spans="1:61" ht="15" customHeight="1" x14ac:dyDescent="0.25">
      <c r="A1527" s="2371">
        <v>7</v>
      </c>
      <c r="B1527" s="2385" t="s">
        <v>1066</v>
      </c>
      <c r="C1527" s="2381"/>
      <c r="D1527" s="2374"/>
      <c r="E1527" s="2374"/>
      <c r="F1527" s="2374"/>
      <c r="G1527" s="2373" t="str">
        <f ca="1">IF(N1527&gt;0,"P","")</f>
        <v/>
      </c>
      <c r="H1527" s="2371" t="s">
        <v>3971</v>
      </c>
      <c r="I1527" s="510" t="s">
        <v>1066</v>
      </c>
      <c r="J1527" s="636"/>
      <c r="K1527" s="636"/>
      <c r="L1527" s="1835" t="s">
        <v>4340</v>
      </c>
      <c r="M1527" s="1758">
        <v>2</v>
      </c>
      <c r="N1527" s="1927">
        <f ca="1">'Ch7'!O657</f>
        <v>0</v>
      </c>
      <c r="O1527" s="1927">
        <f ca="1">M1527*S1527*W1527</f>
        <v>0</v>
      </c>
      <c r="P1527" s="94" t="b">
        <v>1</v>
      </c>
      <c r="Q1527" s="94" t="b">
        <v>1</v>
      </c>
      <c r="R1527" s="94" t="b">
        <v>0</v>
      </c>
      <c r="S1527" s="94" t="b">
        <f ca="1">IF(AY889=INDEX(INDIRECT("ddSingleOrMulti"),2),TRUE,FALSE)</f>
        <v>0</v>
      </c>
      <c r="T1527" s="94" t="b">
        <f ca="1">AND(NOT(S1527),W1527=TRUE)</f>
        <v>0</v>
      </c>
      <c r="U1527" s="94"/>
      <c r="V1527" s="94"/>
      <c r="W1527" s="25"/>
      <c r="X1527" s="1757"/>
      <c r="Y1527" s="2081" t="str">
        <f>IF(LEN('Ch7'!X657)=0,"None",'Ch7'!X657)</f>
        <v>None</v>
      </c>
      <c r="Z1527" s="2084"/>
      <c r="AA1527" s="1526"/>
      <c r="AB1527" s="634"/>
      <c r="AC1527" s="970" t="b">
        <f ca="1">OR(AD1527:AE1527)</f>
        <v>0</v>
      </c>
      <c r="AD1527" s="970" t="b">
        <f ca="1">T1527</f>
        <v>0</v>
      </c>
      <c r="AE1527" s="970"/>
      <c r="AF1527" s="634"/>
      <c r="AG1527" s="634"/>
      <c r="AH1527" s="634"/>
      <c r="AI1527" s="634"/>
      <c r="AJ1527" s="634"/>
      <c r="AK1527" s="634"/>
      <c r="AL1527" s="254" t="str">
        <f>SUBSTITUTE(SUBSTITUTE(SUBSTITUTE("vpa"&amp;$B1527&amp;$C1527&amp;$D1527&amp;$E1527,".","_"),"(","_"),")","")</f>
        <v>vpa705_6_4_2</v>
      </c>
      <c r="AM1527" s="254">
        <f>M1527</f>
        <v>2</v>
      </c>
      <c r="AN1527" s="254" t="str">
        <f>SUBSTITUTE(SUBSTITUTE(SUBSTITUTE("vpc"&amp;$B1527&amp;$C1527&amp;$D1527&amp;$E1527,".","_"),"(","_"),")","")</f>
        <v>vpc705_6_4_2</v>
      </c>
      <c r="AO1527" s="254">
        <f ca="1">O1527</f>
        <v>0</v>
      </c>
      <c r="AP1527" s="254" t="str">
        <f>SUBSTITUTE(SUBSTITUTE(SUBSTITUTE("vch"&amp;$B1527&amp;$C1527&amp;$D1527&amp;$E1527,".","_"),"(","_"),")","")</f>
        <v>vch705_6_4_2</v>
      </c>
      <c r="AQ1527" s="254" t="str">
        <f>IF(LEN(W1527)=0,"",W1527)</f>
        <v/>
      </c>
      <c r="AR1527" s="254" t="str">
        <f>SUBSTITUTE(SUBSTITUTE(SUBSTITUTE("vnt"&amp;$B1527&amp;$C1527&amp;$D1527&amp;$E1527,".","_"),"(","_"),")","")</f>
        <v>vnt705_6_4_2</v>
      </c>
      <c r="AS1527" s="254" t="str">
        <f>IF(LEN(X1527)=0,"",X1527)</f>
        <v/>
      </c>
      <c r="AT1527" s="634"/>
      <c r="AU1527" s="634"/>
      <c r="AV1527" s="634"/>
      <c r="AW1527" s="634"/>
      <c r="AX1527" s="634"/>
      <c r="AY1527" s="634"/>
      <c r="AZ1527" s="634"/>
      <c r="BA1527" s="634"/>
      <c r="BB1527" s="634"/>
      <c r="BC1527" s="634"/>
      <c r="BD1527" s="634"/>
      <c r="BE1527" s="634"/>
      <c r="BF1527" s="634"/>
      <c r="BG1527" s="634"/>
      <c r="BH1527" s="634"/>
      <c r="BI1527" s="634"/>
    </row>
    <row r="1528" spans="1:61" ht="15.75" thickBot="1" x14ac:dyDescent="0.3">
      <c r="A1528" s="2371">
        <v>7</v>
      </c>
      <c r="B1528" s="2385" t="s">
        <v>1066</v>
      </c>
      <c r="C1528" s="2381"/>
      <c r="D1528" s="2374"/>
      <c r="E1528" s="2374"/>
      <c r="F1528" s="2374"/>
      <c r="G1528" s="2373" t="str">
        <f ca="1">G1527</f>
        <v/>
      </c>
      <c r="H1528" s="2371" t="s">
        <v>3971</v>
      </c>
      <c r="I1528" s="240"/>
      <c r="J1528" s="642"/>
      <c r="K1528" s="642"/>
      <c r="L1528" s="1900"/>
      <c r="M1528" s="1768"/>
      <c r="N1528" s="1928"/>
      <c r="O1528" s="1928"/>
      <c r="P1528" s="99"/>
      <c r="Q1528" s="99"/>
      <c r="R1528" s="99"/>
      <c r="S1528" s="99"/>
      <c r="T1528" s="99"/>
      <c r="U1528" s="99"/>
      <c r="V1528" s="99"/>
      <c r="W1528" s="99"/>
      <c r="X1528" s="1771"/>
      <c r="Y1528" s="2082"/>
      <c r="Z1528" s="2086"/>
      <c r="AA1528" s="1526"/>
      <c r="AB1528" s="634"/>
      <c r="AC1528" s="970"/>
      <c r="AD1528" s="970"/>
      <c r="AE1528" s="970"/>
      <c r="AF1528" s="634"/>
      <c r="AG1528" s="634"/>
      <c r="AH1528" s="634"/>
      <c r="AI1528" s="634"/>
      <c r="AJ1528" s="634"/>
      <c r="AK1528" s="634"/>
      <c r="AL1528" s="1336"/>
      <c r="AM1528" s="1336"/>
      <c r="AN1528" s="1336"/>
      <c r="AO1528" s="1336"/>
      <c r="AP1528" s="1336"/>
      <c r="AQ1528" s="1336"/>
      <c r="AR1528" s="1336"/>
      <c r="AS1528" s="1336"/>
      <c r="AT1528" s="634"/>
      <c r="AU1528" s="634"/>
      <c r="AV1528" s="634"/>
      <c r="AW1528" s="634"/>
      <c r="AX1528" s="634"/>
      <c r="AY1528" s="634"/>
      <c r="AZ1528" s="634"/>
      <c r="BA1528" s="634"/>
      <c r="BB1528" s="634"/>
      <c r="BC1528" s="634"/>
      <c r="BD1528" s="634"/>
      <c r="BE1528" s="634"/>
      <c r="BF1528" s="634"/>
      <c r="BG1528" s="634"/>
      <c r="BH1528" s="634"/>
      <c r="BI1528" s="634"/>
    </row>
    <row r="1529" spans="1:61" ht="15.75" thickTop="1" x14ac:dyDescent="0.25">
      <c r="A1529" s="2371">
        <v>7</v>
      </c>
      <c r="B1529" s="2385">
        <v>705.7</v>
      </c>
      <c r="C1529" s="2381"/>
      <c r="D1529" s="2374"/>
      <c r="E1529" s="2374"/>
      <c r="F1529" s="2374"/>
      <c r="G1529" s="2373" t="str">
        <f ca="1">IF(N1529&gt;0,"P","")</f>
        <v/>
      </c>
      <c r="H1529" s="2371" t="s">
        <v>3973</v>
      </c>
      <c r="I1529" s="64">
        <v>705.7</v>
      </c>
      <c r="J1529" s="639"/>
      <c r="K1529" s="639"/>
      <c r="L1529" s="1901" t="s">
        <v>1067</v>
      </c>
      <c r="M1529" s="1767">
        <v>1</v>
      </c>
      <c r="N1529" s="2075">
        <f ca="1">'Ch7'!O659</f>
        <v>0</v>
      </c>
      <c r="O1529" s="2075">
        <f ca="1">M1529*S1529*W1529</f>
        <v>0</v>
      </c>
      <c r="P1529" s="94" t="b">
        <v>0</v>
      </c>
      <c r="Q1529" s="94" t="b">
        <v>1</v>
      </c>
      <c r="R1529" s="634" t="b">
        <v>0</v>
      </c>
      <c r="S1529" s="634" t="b">
        <f ca="1">IF(AY889=INDEX(INDIRECT("ddSingleOrMulti"),2),TRUE,FALSE)</f>
        <v>0</v>
      </c>
      <c r="T1529" s="94" t="b">
        <f ca="1">AND(NOT(S1529),W1529=TRUE)</f>
        <v>0</v>
      </c>
      <c r="U1529" s="634"/>
      <c r="V1529" s="634"/>
      <c r="W1529" s="25"/>
      <c r="X1529" s="1756"/>
      <c r="Y1529" s="2097" t="str">
        <f>IF(LEN('Ch7'!X659)=0,"None",'Ch7'!X659)</f>
        <v>None</v>
      </c>
      <c r="Z1529" s="2085"/>
      <c r="AA1529" s="1526"/>
      <c r="AB1529" s="634"/>
      <c r="AC1529" s="970" t="b">
        <f ca="1">OR(AD1529:AE1529)</f>
        <v>0</v>
      </c>
      <c r="AD1529" s="970" t="b">
        <f ca="1">T1529</f>
        <v>0</v>
      </c>
      <c r="AE1529" s="970"/>
      <c r="AF1529" s="634"/>
      <c r="AG1529" s="634"/>
      <c r="AH1529" s="634"/>
      <c r="AI1529" s="634"/>
      <c r="AJ1529" s="634"/>
      <c r="AK1529" s="634"/>
      <c r="AL1529" s="254" t="str">
        <f>SUBSTITUTE(SUBSTITUTE(SUBSTITUTE("vpa"&amp;$B1529&amp;$C1529&amp;$D1529&amp;$E1529,".","_"),"(","_"),")","")</f>
        <v>vpa705_7</v>
      </c>
      <c r="AM1529" s="254">
        <f>M1529</f>
        <v>1</v>
      </c>
      <c r="AN1529" s="254" t="str">
        <f>SUBSTITUTE(SUBSTITUTE(SUBSTITUTE("vpc"&amp;$B1529&amp;$C1529&amp;$D1529&amp;$E1529,".","_"),"(","_"),")","")</f>
        <v>vpc705_7</v>
      </c>
      <c r="AO1529" s="254">
        <f ca="1">O1529</f>
        <v>0</v>
      </c>
      <c r="AP1529" s="254" t="str">
        <f>SUBSTITUTE(SUBSTITUTE(SUBSTITUTE("vch"&amp;$B1529&amp;$C1529&amp;$D1529&amp;$E1529,".","_"),"(","_"),")","")</f>
        <v>vch705_7</v>
      </c>
      <c r="AQ1529" s="254" t="str">
        <f>IF(LEN(W1529)=0,"",W1529)</f>
        <v/>
      </c>
      <c r="AR1529" s="254" t="str">
        <f>SUBSTITUTE(SUBSTITUTE(SUBSTITUTE("vnt"&amp;$B1529&amp;$C1529&amp;$D1529&amp;$E1529,".","_"),"(","_"),")","")</f>
        <v>vnt705_7</v>
      </c>
      <c r="AS1529" s="254" t="str">
        <f>IF(LEN(X1529)=0,"",X1529)</f>
        <v/>
      </c>
      <c r="AT1529" s="634"/>
      <c r="AU1529" s="634"/>
      <c r="AV1529" s="634"/>
      <c r="AW1529" s="634"/>
      <c r="AX1529" s="634"/>
      <c r="AY1529" s="634"/>
      <c r="AZ1529" s="634"/>
      <c r="BA1529" s="634"/>
      <c r="BB1529" s="634"/>
      <c r="BC1529" s="634"/>
      <c r="BD1529" s="634"/>
      <c r="BE1529" s="634"/>
      <c r="BF1529" s="634"/>
      <c r="BG1529" s="634"/>
      <c r="BH1529" s="634"/>
      <c r="BI1529" s="634"/>
    </row>
    <row r="1530" spans="1:61" x14ac:dyDescent="0.25">
      <c r="A1530" s="2371">
        <v>7</v>
      </c>
      <c r="B1530" s="2385">
        <v>705.7</v>
      </c>
      <c r="C1530" s="2381"/>
      <c r="D1530" s="2374"/>
      <c r="E1530" s="2374"/>
      <c r="F1530" s="2374"/>
      <c r="G1530" s="2373" t="str">
        <f ca="1">G1529</f>
        <v/>
      </c>
      <c r="H1530" s="2371" t="s">
        <v>3973</v>
      </c>
      <c r="I1530" s="4"/>
      <c r="J1530" s="639"/>
      <c r="K1530" s="639"/>
      <c r="L1530" s="1901"/>
      <c r="M1530" s="1767"/>
      <c r="N1530" s="2075"/>
      <c r="O1530" s="2075"/>
      <c r="P1530" s="756"/>
      <c r="Q1530" s="756"/>
      <c r="R1530" s="634"/>
      <c r="S1530" s="634"/>
      <c r="T1530" s="634"/>
      <c r="U1530" s="634"/>
      <c r="V1530" s="634"/>
      <c r="W1530" s="634"/>
      <c r="X1530" s="1757"/>
      <c r="Y1530" s="2081"/>
      <c r="Z1530" s="2083"/>
      <c r="AA1530" s="1526"/>
      <c r="AB1530" s="634"/>
      <c r="AC1530" s="970"/>
      <c r="AD1530" s="970"/>
      <c r="AE1530" s="970"/>
      <c r="AF1530" s="634"/>
      <c r="AG1530" s="634"/>
      <c r="AH1530" s="634"/>
      <c r="AI1530" s="634"/>
      <c r="AJ1530" s="634"/>
      <c r="AK1530" s="634"/>
      <c r="AL1530" s="1336"/>
      <c r="AM1530" s="1336"/>
      <c r="AN1530" s="1336"/>
      <c r="AO1530" s="1336"/>
      <c r="AP1530" s="1336"/>
      <c r="AQ1530" s="1336"/>
      <c r="AR1530" s="1336"/>
      <c r="AS1530" s="1336"/>
      <c r="AT1530" s="634"/>
      <c r="AU1530" s="634"/>
      <c r="AV1530" s="634"/>
      <c r="AW1530" s="634"/>
      <c r="AX1530" s="634"/>
      <c r="AY1530" s="634"/>
      <c r="AZ1530" s="634"/>
      <c r="BA1530" s="634"/>
      <c r="BB1530" s="634"/>
      <c r="BC1530" s="634"/>
      <c r="BD1530" s="634"/>
      <c r="BE1530" s="634"/>
      <c r="BF1530" s="634"/>
      <c r="BG1530" s="634"/>
      <c r="BH1530" s="634"/>
      <c r="BI1530" s="634"/>
    </row>
    <row r="1531" spans="1:61" x14ac:dyDescent="0.25">
      <c r="A1531" s="2371">
        <v>7</v>
      </c>
      <c r="B1531" s="2385">
        <v>705.7</v>
      </c>
      <c r="C1531" s="2381"/>
      <c r="D1531" s="2374"/>
      <c r="E1531" s="2374"/>
      <c r="F1531" s="2374"/>
      <c r="G1531" s="2373" t="str">
        <f ca="1">G1530</f>
        <v/>
      </c>
      <c r="H1531" s="2371" t="s">
        <v>3973</v>
      </c>
      <c r="I1531" s="4"/>
      <c r="J1531" s="639"/>
      <c r="K1531" s="639"/>
      <c r="L1531" s="1901"/>
      <c r="M1531" s="1767"/>
      <c r="N1531" s="2075"/>
      <c r="O1531" s="2075"/>
      <c r="P1531" s="756"/>
      <c r="Q1531" s="756"/>
      <c r="R1531" s="634"/>
      <c r="S1531" s="634"/>
      <c r="T1531" s="634"/>
      <c r="U1531" s="634"/>
      <c r="V1531" s="634"/>
      <c r="W1531" s="634"/>
      <c r="X1531" s="1757"/>
      <c r="Y1531" s="2081"/>
      <c r="Z1531" s="2083"/>
      <c r="AA1531" s="1526"/>
      <c r="AB1531" s="634"/>
      <c r="AC1531" s="970"/>
      <c r="AD1531" s="970"/>
      <c r="AE1531" s="970"/>
      <c r="AF1531" s="634"/>
      <c r="AG1531" s="634"/>
      <c r="AH1531" s="634"/>
      <c r="AI1531" s="634"/>
      <c r="AJ1531" s="634"/>
      <c r="AK1531" s="634"/>
      <c r="AL1531" s="1336"/>
      <c r="AM1531" s="1336"/>
      <c r="AN1531" s="1336"/>
      <c r="AO1531" s="1336"/>
      <c r="AP1531" s="1336"/>
      <c r="AQ1531" s="1336"/>
      <c r="AR1531" s="1336"/>
      <c r="AS1531" s="1336"/>
      <c r="AT1531" s="634"/>
      <c r="AU1531" s="634"/>
      <c r="AV1531" s="634"/>
      <c r="AW1531" s="634"/>
      <c r="AX1531" s="634"/>
      <c r="AY1531" s="634"/>
      <c r="AZ1531" s="634"/>
      <c r="BA1531" s="634"/>
      <c r="BB1531" s="634"/>
      <c r="BC1531" s="634"/>
      <c r="BD1531" s="634"/>
      <c r="BE1531" s="634"/>
      <c r="BF1531" s="634"/>
      <c r="BG1531" s="634"/>
      <c r="BH1531" s="634"/>
      <c r="BI1531" s="634"/>
    </row>
    <row r="1532" spans="1:61" x14ac:dyDescent="0.25">
      <c r="A1532" s="2371">
        <v>7</v>
      </c>
      <c r="B1532" s="2385">
        <v>705.7</v>
      </c>
      <c r="C1532" s="2381"/>
      <c r="D1532" s="2374"/>
      <c r="E1532" s="2374"/>
      <c r="F1532" s="2374"/>
      <c r="G1532" s="2373" t="str">
        <f ca="1">G1531</f>
        <v/>
      </c>
      <c r="H1532" s="2371" t="s">
        <v>3973</v>
      </c>
      <c r="I1532" s="4"/>
      <c r="J1532" s="639"/>
      <c r="K1532" s="639"/>
      <c r="L1532" s="1901"/>
      <c r="M1532" s="1767"/>
      <c r="N1532" s="2075"/>
      <c r="O1532" s="2075"/>
      <c r="P1532" s="756"/>
      <c r="Q1532" s="756"/>
      <c r="R1532" s="634"/>
      <c r="S1532" s="634"/>
      <c r="T1532" s="634"/>
      <c r="U1532" s="634"/>
      <c r="V1532" s="634"/>
      <c r="W1532" s="634"/>
      <c r="X1532" s="1757"/>
      <c r="Y1532" s="2081"/>
      <c r="Z1532" s="2083"/>
      <c r="AA1532" s="1526"/>
      <c r="AB1532" s="634"/>
      <c r="AC1532" s="970"/>
      <c r="AD1532" s="970"/>
      <c r="AE1532" s="970"/>
      <c r="AF1532" s="634"/>
      <c r="AG1532" s="634"/>
      <c r="AH1532" s="634"/>
      <c r="AI1532" s="634"/>
      <c r="AJ1532" s="634"/>
      <c r="AK1532" s="634"/>
      <c r="AL1532" s="1336"/>
      <c r="AM1532" s="1336"/>
      <c r="AN1532" s="1336"/>
      <c r="AO1532" s="1336"/>
      <c r="AP1532" s="1336"/>
      <c r="AQ1532" s="1336"/>
      <c r="AR1532" s="1336"/>
      <c r="AS1532" s="1336"/>
      <c r="AT1532" s="634"/>
      <c r="AU1532" s="634"/>
      <c r="AV1532" s="634"/>
      <c r="AW1532" s="634"/>
      <c r="AX1532" s="634"/>
      <c r="AY1532" s="634"/>
      <c r="AZ1532" s="634"/>
      <c r="BA1532" s="634"/>
      <c r="BB1532" s="634"/>
      <c r="BC1532" s="634"/>
      <c r="BD1532" s="634"/>
      <c r="BE1532" s="634"/>
      <c r="BF1532" s="634"/>
      <c r="BG1532" s="634"/>
      <c r="BH1532" s="634"/>
      <c r="BI1532" s="634"/>
    </row>
    <row r="1533" spans="1:61" ht="18.75" x14ac:dyDescent="0.3">
      <c r="A1533" s="2371">
        <v>7</v>
      </c>
      <c r="B1533" s="2385">
        <v>706</v>
      </c>
      <c r="C1533" s="2381"/>
      <c r="D1533" s="2374"/>
      <c r="E1533" s="2374"/>
      <c r="F1533" s="2374"/>
      <c r="G1533" s="2373" t="s">
        <v>3974</v>
      </c>
      <c r="H1533" s="2371" t="s">
        <v>3971</v>
      </c>
      <c r="I1533" s="14" t="s">
        <v>1068</v>
      </c>
      <c r="J1533" s="84"/>
      <c r="K1533" s="84"/>
      <c r="L1533" s="84"/>
      <c r="M1533" s="390"/>
      <c r="N1533" s="1043"/>
      <c r="O1533" s="1043"/>
      <c r="P1533" s="23"/>
      <c r="Q1533" s="23"/>
      <c r="R1533" s="23"/>
      <c r="S1533" s="23"/>
      <c r="T1533" s="23"/>
      <c r="U1533" s="23"/>
      <c r="V1533" s="23"/>
      <c r="W1533" s="23"/>
      <c r="X1533" s="23"/>
      <c r="Y1533" s="23"/>
      <c r="Z1533" s="1586"/>
      <c r="AA1533" s="1526"/>
      <c r="AB1533" s="634"/>
      <c r="AC1533" s="970"/>
      <c r="AD1533" s="970"/>
      <c r="AE1533" s="970"/>
      <c r="AF1533" s="634"/>
      <c r="AG1533" s="634"/>
      <c r="AH1533" s="634"/>
      <c r="AI1533" s="634"/>
      <c r="AJ1533" s="634"/>
      <c r="AK1533" s="634"/>
      <c r="AL1533" s="1336"/>
      <c r="AM1533" s="1336"/>
      <c r="AN1533" s="1336"/>
      <c r="AO1533" s="1336"/>
      <c r="AP1533" s="1336"/>
      <c r="AQ1533" s="1336"/>
      <c r="AR1533" s="1336"/>
      <c r="AS1533" s="1336"/>
      <c r="AT1533" s="634"/>
      <c r="AU1533" s="634"/>
      <c r="AV1533" s="634"/>
      <c r="AW1533" s="634"/>
      <c r="AX1533" s="634"/>
      <c r="AY1533" s="634"/>
      <c r="AZ1533" s="634"/>
      <c r="BA1533" s="634"/>
      <c r="BB1533" s="634"/>
      <c r="BC1533" s="634"/>
      <c r="BD1533" s="634"/>
      <c r="BE1533" s="634"/>
      <c r="BF1533" s="634"/>
      <c r="BG1533" s="634"/>
      <c r="BH1533" s="634"/>
      <c r="BI1533" s="634"/>
    </row>
    <row r="1534" spans="1:61" ht="15" customHeight="1" x14ac:dyDescent="0.25">
      <c r="A1534" s="2371">
        <v>7</v>
      </c>
      <c r="B1534" s="2385">
        <v>706.1</v>
      </c>
      <c r="C1534" s="2381"/>
      <c r="D1534" s="2374"/>
      <c r="E1534" s="2374"/>
      <c r="F1534" s="2374"/>
      <c r="G1534" s="2373" t="str">
        <f>IF(N1534&gt;0,"P","")</f>
        <v/>
      </c>
      <c r="H1534" s="2371" t="s">
        <v>3973</v>
      </c>
      <c r="I1534" s="64">
        <v>706.1</v>
      </c>
      <c r="J1534" s="639"/>
      <c r="K1534" s="639"/>
      <c r="L1534" s="1833" t="s">
        <v>4341</v>
      </c>
      <c r="M1534" s="1767" t="s">
        <v>793</v>
      </c>
      <c r="N1534" s="2075">
        <f>'Ch7'!O664</f>
        <v>0</v>
      </c>
      <c r="O1534" s="2075">
        <f>MIN(3,(M1536*S1536*W1536+M1537*S1537*W1537+M1538*S1538*W1538+M1539*S1539*W1539+M1541*S1541*W1541))</f>
        <v>0</v>
      </c>
      <c r="P1534" s="756"/>
      <c r="Q1534" s="756"/>
      <c r="R1534" s="634"/>
      <c r="S1534" s="634"/>
      <c r="T1534" s="634"/>
      <c r="U1534" s="634"/>
      <c r="V1534" s="634"/>
      <c r="W1534" s="634"/>
      <c r="X1534" s="911"/>
      <c r="Y1534" s="634"/>
      <c r="AA1534" s="1526"/>
      <c r="AB1534" s="634"/>
      <c r="AC1534" s="970"/>
      <c r="AD1534" s="970"/>
      <c r="AE1534" s="970"/>
      <c r="AF1534" s="634"/>
      <c r="AG1534" s="634"/>
      <c r="AH1534" s="634"/>
      <c r="AI1534" s="634"/>
      <c r="AJ1534" s="634"/>
      <c r="AK1534" s="634"/>
      <c r="AL1534" s="254" t="str">
        <f>SUBSTITUTE(SUBSTITUTE(SUBSTITUTE("vpa"&amp;$B1534&amp;$C1534&amp;$D1534&amp;$E1534,".","_"),"(","_"),")","")</f>
        <v>vpa706_1</v>
      </c>
      <c r="AM1534" s="254" t="str">
        <f>M1534</f>
        <v>3 Max</v>
      </c>
      <c r="AN1534" s="254" t="str">
        <f>SUBSTITUTE(SUBSTITUTE(SUBSTITUTE("vpc"&amp;$B1534&amp;$C1534&amp;$D1534&amp;$E1534,".","_"),"(","_"),")","")</f>
        <v>vpc706_1</v>
      </c>
      <c r="AO1534" s="254">
        <f>O1534</f>
        <v>0</v>
      </c>
      <c r="AP1534" s="1336"/>
      <c r="AQ1534" s="1336"/>
      <c r="AR1534" s="1336"/>
      <c r="AS1534" s="1336"/>
      <c r="AT1534" s="634"/>
      <c r="AU1534" s="634"/>
      <c r="AV1534" s="634"/>
      <c r="AW1534" s="634"/>
      <c r="AX1534" s="634"/>
      <c r="AY1534" s="634"/>
      <c r="AZ1534" s="634"/>
      <c r="BA1534" s="634"/>
      <c r="BB1534" s="634"/>
      <c r="BC1534" s="634"/>
      <c r="BD1534" s="634"/>
      <c r="BE1534" s="634"/>
      <c r="BF1534" s="634"/>
      <c r="BG1534" s="634"/>
      <c r="BH1534" s="634"/>
      <c r="BI1534" s="634"/>
    </row>
    <row r="1535" spans="1:61" x14ac:dyDescent="0.25">
      <c r="A1535" s="2371">
        <v>7</v>
      </c>
      <c r="B1535" s="2385">
        <v>706.1</v>
      </c>
      <c r="C1535" s="2381"/>
      <c r="D1535" s="2374"/>
      <c r="E1535" s="2374"/>
      <c r="F1535" s="2374"/>
      <c r="G1535" s="2373" t="str">
        <f t="shared" ref="G1535:G1541" si="91">G1534</f>
        <v/>
      </c>
      <c r="H1535" s="2371" t="s">
        <v>3973</v>
      </c>
      <c r="I1535" s="4"/>
      <c r="J1535" s="639"/>
      <c r="K1535" s="639"/>
      <c r="L1535" s="1833"/>
      <c r="M1535" s="1767"/>
      <c r="N1535" s="2075"/>
      <c r="O1535" s="2075"/>
      <c r="P1535" s="756"/>
      <c r="Q1535" s="756"/>
      <c r="R1535" s="634"/>
      <c r="S1535" s="634"/>
      <c r="T1535" s="634"/>
      <c r="U1535" s="634"/>
      <c r="V1535" s="634"/>
      <c r="W1535" s="634"/>
      <c r="X1535" s="911"/>
      <c r="Y1535" s="634"/>
      <c r="AA1535" s="1526"/>
      <c r="AB1535" s="634"/>
      <c r="AC1535" s="970"/>
      <c r="AD1535" s="970"/>
      <c r="AE1535" s="970"/>
      <c r="AF1535" s="634"/>
      <c r="AG1535" s="634"/>
      <c r="AH1535" s="634"/>
      <c r="AI1535" s="634"/>
      <c r="AJ1535" s="634"/>
      <c r="AK1535" s="634"/>
      <c r="AL1535" s="1336"/>
      <c r="AM1535" s="1336"/>
      <c r="AN1535" s="1336"/>
      <c r="AO1535" s="1336"/>
      <c r="AP1535" s="1336"/>
      <c r="AQ1535" s="1336"/>
      <c r="AR1535" s="1336"/>
      <c r="AS1535" s="1336"/>
      <c r="AT1535" s="634"/>
      <c r="AU1535" s="634"/>
      <c r="AV1535" s="634"/>
      <c r="AW1535" s="634"/>
      <c r="AX1535" s="634"/>
      <c r="AY1535" s="634"/>
      <c r="AZ1535" s="634"/>
      <c r="BA1535" s="634"/>
      <c r="BB1535" s="634"/>
      <c r="BC1535" s="634"/>
      <c r="BD1535" s="634"/>
      <c r="BE1535" s="634"/>
      <c r="BF1535" s="634"/>
      <c r="BG1535" s="634"/>
      <c r="BH1535" s="634"/>
      <c r="BI1535" s="634"/>
    </row>
    <row r="1536" spans="1:61" x14ac:dyDescent="0.25">
      <c r="A1536" s="2371">
        <v>7</v>
      </c>
      <c r="B1536" s="2385">
        <v>706.1</v>
      </c>
      <c r="C1536" s="2374" t="s">
        <v>256</v>
      </c>
      <c r="D1536" s="2374"/>
      <c r="E1536" s="2374"/>
      <c r="F1536" s="2374"/>
      <c r="G1536" s="2373" t="str">
        <f t="shared" si="91"/>
        <v/>
      </c>
      <c r="H1536" s="2371" t="s">
        <v>3973</v>
      </c>
      <c r="I1536" s="4"/>
      <c r="J1536" s="544" t="s">
        <v>256</v>
      </c>
      <c r="K1536" s="637"/>
      <c r="L1536" s="1163" t="s">
        <v>1069</v>
      </c>
      <c r="M1536" s="1015">
        <v>1</v>
      </c>
      <c r="N1536" s="1042"/>
      <c r="O1536" s="1042"/>
      <c r="P1536" s="756"/>
      <c r="Q1536" s="94" t="b">
        <v>1</v>
      </c>
      <c r="R1536" s="634" t="b">
        <v>0</v>
      </c>
      <c r="S1536" s="634" t="b">
        <v>1</v>
      </c>
      <c r="T1536" s="94" t="b">
        <v>0</v>
      </c>
      <c r="U1536" s="634"/>
      <c r="V1536" s="634"/>
      <c r="W1536" s="25"/>
      <c r="X1536" s="918"/>
      <c r="Y1536" s="988" t="str">
        <f>IF(LEN('Ch7'!X666)=0,"None",'Ch7'!X666)</f>
        <v>None</v>
      </c>
      <c r="Z1536" s="1587"/>
      <c r="AA1536" s="1526"/>
      <c r="AB1536" s="634"/>
      <c r="AC1536" s="970"/>
      <c r="AD1536" s="970"/>
      <c r="AE1536" s="970"/>
      <c r="AF1536" s="784"/>
      <c r="AG1536" s="634"/>
      <c r="AH1536" s="634"/>
      <c r="AI1536" s="634"/>
      <c r="AJ1536" s="634"/>
      <c r="AK1536" s="634"/>
      <c r="AL1536" s="254" t="str">
        <f>SUBSTITUTE(SUBSTITUTE(SUBSTITUTE("vpa"&amp;$B1536&amp;$C1536&amp;$D1536&amp;$E1536,".","_"),"(","_"),")","")</f>
        <v>vpa706_1_1</v>
      </c>
      <c r="AM1536" s="254">
        <f>M1536</f>
        <v>1</v>
      </c>
      <c r="AN1536" s="1336"/>
      <c r="AO1536" s="1336"/>
      <c r="AP1536" s="254" t="str">
        <f>SUBSTITUTE(SUBSTITUTE(SUBSTITUTE("vch"&amp;$B1536&amp;$C1536&amp;$D1536&amp;$E1536,".","_"),"(","_"),")","")</f>
        <v>vch706_1_1</v>
      </c>
      <c r="AQ1536" s="254" t="str">
        <f>IF(LEN(W1536)=0,"",W1536)</f>
        <v/>
      </c>
      <c r="AR1536" s="254" t="str">
        <f>SUBSTITUTE(SUBSTITUTE(SUBSTITUTE("vnt"&amp;$B1536&amp;$C1536&amp;$D1536&amp;$E1536,".","_"),"(","_"),")","")</f>
        <v>vnt706_1_1</v>
      </c>
      <c r="AS1536" s="254" t="str">
        <f>IF(LEN(X1536)=0,"",X1536)</f>
        <v/>
      </c>
      <c r="AT1536" s="634"/>
      <c r="AU1536" s="634"/>
      <c r="AV1536" s="634"/>
      <c r="AW1536" s="634"/>
      <c r="AX1536" s="634"/>
      <c r="AY1536" s="634"/>
      <c r="AZ1536" s="634"/>
      <c r="BA1536" s="634"/>
      <c r="BB1536" s="634"/>
      <c r="BC1536" s="634"/>
      <c r="BD1536" s="634"/>
      <c r="BE1536" s="634"/>
      <c r="BF1536" s="634"/>
      <c r="BG1536" s="634"/>
      <c r="BH1536" s="634"/>
      <c r="BI1536" s="634"/>
    </row>
    <row r="1537" spans="1:61" x14ac:dyDescent="0.25">
      <c r="A1537" s="2371">
        <v>7</v>
      </c>
      <c r="B1537" s="2385">
        <v>706.1</v>
      </c>
      <c r="C1537" s="2374" t="s">
        <v>258</v>
      </c>
      <c r="D1537" s="2374"/>
      <c r="E1537" s="2374"/>
      <c r="F1537" s="2374"/>
      <c r="G1537" s="2373" t="str">
        <f t="shared" si="91"/>
        <v/>
      </c>
      <c r="H1537" s="2371" t="s">
        <v>3973</v>
      </c>
      <c r="I1537" s="4"/>
      <c r="J1537" s="555" t="s">
        <v>258</v>
      </c>
      <c r="K1537" s="280"/>
      <c r="L1537" s="280" t="s">
        <v>1070</v>
      </c>
      <c r="M1537" s="1036">
        <v>1</v>
      </c>
      <c r="N1537" s="1042"/>
      <c r="O1537" s="1042"/>
      <c r="P1537" s="756"/>
      <c r="Q1537" s="94" t="b">
        <v>1</v>
      </c>
      <c r="R1537" s="634" t="b">
        <v>0</v>
      </c>
      <c r="S1537" s="634" t="b">
        <v>1</v>
      </c>
      <c r="T1537" s="94" t="b">
        <v>0</v>
      </c>
      <c r="U1537" s="634"/>
      <c r="V1537" s="634"/>
      <c r="W1537" s="25"/>
      <c r="X1537" s="918"/>
      <c r="Y1537" s="988" t="str">
        <f>IF(LEN('Ch7'!X667)=0,"None",'Ch7'!X667)</f>
        <v>None</v>
      </c>
      <c r="Z1537" s="1587"/>
      <c r="AA1537" s="1526"/>
      <c r="AB1537" s="634"/>
      <c r="AC1537" s="970"/>
      <c r="AD1537" s="970"/>
      <c r="AE1537" s="970"/>
      <c r="AF1537" s="784"/>
      <c r="AG1537" s="634"/>
      <c r="AH1537" s="634"/>
      <c r="AI1537" s="634"/>
      <c r="AJ1537" s="634"/>
      <c r="AK1537" s="634"/>
      <c r="AL1537" s="254" t="str">
        <f>SUBSTITUTE(SUBSTITUTE(SUBSTITUTE("vpa"&amp;$B1537&amp;$C1537&amp;$D1537&amp;$E1537,".","_"),"(","_"),")","")</f>
        <v>vpa706_1_2</v>
      </c>
      <c r="AM1537" s="254">
        <f>M1537</f>
        <v>1</v>
      </c>
      <c r="AN1537" s="1336"/>
      <c r="AO1537" s="1336"/>
      <c r="AP1537" s="254" t="str">
        <f>SUBSTITUTE(SUBSTITUTE(SUBSTITUTE("vch"&amp;$B1537&amp;$C1537&amp;$D1537&amp;$E1537,".","_"),"(","_"),")","")</f>
        <v>vch706_1_2</v>
      </c>
      <c r="AQ1537" s="254" t="str">
        <f>IF(LEN(W1537)=0,"",W1537)</f>
        <v/>
      </c>
      <c r="AR1537" s="254" t="str">
        <f>SUBSTITUTE(SUBSTITUTE(SUBSTITUTE("vnt"&amp;$B1537&amp;$C1537&amp;$D1537&amp;$E1537,".","_"),"(","_"),")","")</f>
        <v>vnt706_1_2</v>
      </c>
      <c r="AS1537" s="254" t="str">
        <f>IF(LEN(X1537)=0,"",X1537)</f>
        <v/>
      </c>
      <c r="AT1537" s="634"/>
      <c r="AU1537" s="634"/>
      <c r="AV1537" s="634"/>
      <c r="AW1537" s="634"/>
      <c r="AX1537" s="634"/>
      <c r="AY1537" s="634"/>
      <c r="AZ1537" s="634"/>
      <c r="BA1537" s="634"/>
      <c r="BB1537" s="634"/>
      <c r="BC1537" s="634"/>
      <c r="BD1537" s="634"/>
      <c r="BE1537" s="634"/>
      <c r="BF1537" s="634"/>
      <c r="BG1537" s="634"/>
      <c r="BH1537" s="634"/>
      <c r="BI1537" s="634"/>
    </row>
    <row r="1538" spans="1:61" x14ac:dyDescent="0.25">
      <c r="A1538" s="2371">
        <v>7</v>
      </c>
      <c r="B1538" s="2385">
        <v>706.1</v>
      </c>
      <c r="C1538" s="2374" t="s">
        <v>260</v>
      </c>
      <c r="D1538" s="2374"/>
      <c r="E1538" s="2374"/>
      <c r="F1538" s="2374"/>
      <c r="G1538" s="2373" t="str">
        <f t="shared" si="91"/>
        <v/>
      </c>
      <c r="H1538" s="2371" t="s">
        <v>3973</v>
      </c>
      <c r="I1538" s="4"/>
      <c r="J1538" s="555" t="s">
        <v>260</v>
      </c>
      <c r="K1538" s="280"/>
      <c r="L1538" s="280" t="s">
        <v>1071</v>
      </c>
      <c r="M1538" s="1036">
        <v>3</v>
      </c>
      <c r="N1538" s="1042"/>
      <c r="O1538" s="1042"/>
      <c r="P1538" s="756"/>
      <c r="Q1538" s="94" t="b">
        <v>1</v>
      </c>
      <c r="R1538" s="634" t="b">
        <v>0</v>
      </c>
      <c r="S1538" s="634" t="b">
        <v>1</v>
      </c>
      <c r="T1538" s="94" t="b">
        <v>0</v>
      </c>
      <c r="U1538" s="634"/>
      <c r="V1538" s="634"/>
      <c r="W1538" s="25"/>
      <c r="X1538" s="918"/>
      <c r="Y1538" s="988" t="str">
        <f>IF(LEN('Ch7'!X668)=0,"None",'Ch7'!X668)</f>
        <v>None</v>
      </c>
      <c r="Z1538" s="1587"/>
      <c r="AA1538" s="1526"/>
      <c r="AB1538" s="634"/>
      <c r="AC1538" s="970"/>
      <c r="AD1538" s="970"/>
      <c r="AE1538" s="970"/>
      <c r="AF1538" s="784"/>
      <c r="AG1538" s="634"/>
      <c r="AH1538" s="634"/>
      <c r="AI1538" s="634"/>
      <c r="AJ1538" s="634"/>
      <c r="AK1538" s="634"/>
      <c r="AL1538" s="254" t="str">
        <f>SUBSTITUTE(SUBSTITUTE(SUBSTITUTE("vpa"&amp;$B1538&amp;$C1538&amp;$D1538&amp;$E1538,".","_"),"(","_"),")","")</f>
        <v>vpa706_1_3</v>
      </c>
      <c r="AM1538" s="254">
        <f>M1538</f>
        <v>3</v>
      </c>
      <c r="AN1538" s="1336"/>
      <c r="AO1538" s="1336"/>
      <c r="AP1538" s="254" t="str">
        <f>SUBSTITUTE(SUBSTITUTE(SUBSTITUTE("vch"&amp;$B1538&amp;$C1538&amp;$D1538&amp;$E1538,".","_"),"(","_"),")","")</f>
        <v>vch706_1_3</v>
      </c>
      <c r="AQ1538" s="254" t="str">
        <f>IF(LEN(W1538)=0,"",W1538)</f>
        <v/>
      </c>
      <c r="AR1538" s="254" t="str">
        <f>SUBSTITUTE(SUBSTITUTE(SUBSTITUTE("vnt"&amp;$B1538&amp;$C1538&amp;$D1538&amp;$E1538,".","_"),"(","_"),")","")</f>
        <v>vnt706_1_3</v>
      </c>
      <c r="AS1538" s="254" t="str">
        <f>IF(LEN(X1538)=0,"",X1538)</f>
        <v/>
      </c>
      <c r="AT1538" s="634"/>
      <c r="AU1538" s="634"/>
      <c r="AV1538" s="634"/>
      <c r="AW1538" s="634"/>
      <c r="AX1538" s="634"/>
      <c r="AY1538" s="634"/>
      <c r="AZ1538" s="634"/>
      <c r="BA1538" s="634"/>
      <c r="BB1538" s="634"/>
      <c r="BC1538" s="634"/>
      <c r="BD1538" s="634"/>
      <c r="BE1538" s="634"/>
      <c r="BF1538" s="634"/>
      <c r="BG1538" s="634"/>
      <c r="BH1538" s="634"/>
      <c r="BI1538" s="634"/>
    </row>
    <row r="1539" spans="1:61" x14ac:dyDescent="0.25">
      <c r="A1539" s="2371">
        <v>7</v>
      </c>
      <c r="B1539" s="2385">
        <v>706.1</v>
      </c>
      <c r="C1539" s="2374" t="s">
        <v>269</v>
      </c>
      <c r="D1539" s="2374"/>
      <c r="E1539" s="2374"/>
      <c r="F1539" s="2374"/>
      <c r="G1539" s="2373" t="str">
        <f t="shared" si="91"/>
        <v/>
      </c>
      <c r="H1539" s="2371" t="s">
        <v>3973</v>
      </c>
      <c r="I1539" s="4"/>
      <c r="J1539" s="556" t="s">
        <v>269</v>
      </c>
      <c r="K1539" s="641"/>
      <c r="L1539" s="1760" t="s">
        <v>1072</v>
      </c>
      <c r="M1539" s="1762">
        <v>1</v>
      </c>
      <c r="N1539" s="1042"/>
      <c r="O1539" s="1042"/>
      <c r="P1539" s="756"/>
      <c r="Q1539" s="94" t="b">
        <v>1</v>
      </c>
      <c r="R1539" s="634" t="b">
        <v>0</v>
      </c>
      <c r="S1539" s="634" t="b">
        <v>1</v>
      </c>
      <c r="T1539" s="94" t="b">
        <v>0</v>
      </c>
      <c r="U1539" s="634"/>
      <c r="V1539" s="634"/>
      <c r="W1539" s="25"/>
      <c r="X1539" s="1757"/>
      <c r="Y1539" s="2081" t="str">
        <f>IF(LEN('Ch7'!X669)=0,"None",'Ch7'!X669)</f>
        <v>None</v>
      </c>
      <c r="Z1539" s="2083"/>
      <c r="AA1539" s="1526"/>
      <c r="AB1539" s="634"/>
      <c r="AC1539" s="970"/>
      <c r="AD1539" s="970"/>
      <c r="AE1539" s="970"/>
      <c r="AF1539" s="784"/>
      <c r="AG1539" s="634"/>
      <c r="AH1539" s="634"/>
      <c r="AI1539" s="634"/>
      <c r="AJ1539" s="634"/>
      <c r="AK1539" s="634"/>
      <c r="AL1539" s="254" t="str">
        <f>SUBSTITUTE(SUBSTITUTE(SUBSTITUTE("vpa"&amp;$B1539&amp;$C1539&amp;$D1539&amp;$E1539,".","_"),"(","_"),")","")</f>
        <v>vpa706_1_4</v>
      </c>
      <c r="AM1539" s="254">
        <f>M1539</f>
        <v>1</v>
      </c>
      <c r="AN1539" s="1336"/>
      <c r="AO1539" s="1336"/>
      <c r="AP1539" s="254" t="str">
        <f>SUBSTITUTE(SUBSTITUTE(SUBSTITUTE("vch"&amp;$B1539&amp;$C1539&amp;$D1539&amp;$E1539,".","_"),"(","_"),")","")</f>
        <v>vch706_1_4</v>
      </c>
      <c r="AQ1539" s="254" t="str">
        <f>IF(LEN(W1539)=0,"",W1539)</f>
        <v/>
      </c>
      <c r="AR1539" s="254" t="str">
        <f>SUBSTITUTE(SUBSTITUTE(SUBSTITUTE("vnt"&amp;$B1539&amp;$C1539&amp;$D1539&amp;$E1539,".","_"),"(","_"),")","")</f>
        <v>vnt706_1_4</v>
      </c>
      <c r="AS1539" s="254" t="str">
        <f>IF(LEN(X1539)=0,"",X1539)</f>
        <v/>
      </c>
      <c r="AT1539" s="634"/>
      <c r="AU1539" s="634"/>
      <c r="AV1539" s="634"/>
      <c r="AW1539" s="634"/>
      <c r="AX1539" s="634"/>
      <c r="AY1539" s="634"/>
      <c r="AZ1539" s="634"/>
      <c r="BA1539" s="634"/>
      <c r="BB1539" s="634"/>
      <c r="BC1539" s="634"/>
      <c r="BD1539" s="634"/>
      <c r="BE1539" s="634"/>
      <c r="BF1539" s="634"/>
      <c r="BG1539" s="634"/>
      <c r="BH1539" s="634"/>
      <c r="BI1539" s="634"/>
    </row>
    <row r="1540" spans="1:61" x14ac:dyDescent="0.25">
      <c r="A1540" s="2371">
        <v>7</v>
      </c>
      <c r="B1540" s="2385">
        <v>706.1</v>
      </c>
      <c r="C1540" s="2374" t="s">
        <v>269</v>
      </c>
      <c r="D1540" s="2374"/>
      <c r="E1540" s="2374"/>
      <c r="F1540" s="2374"/>
      <c r="G1540" s="2373" t="str">
        <f t="shared" si="91"/>
        <v/>
      </c>
      <c r="H1540" s="2371" t="s">
        <v>3973</v>
      </c>
      <c r="I1540" s="4"/>
      <c r="J1540" s="544"/>
      <c r="K1540" s="637"/>
      <c r="L1540" s="1761"/>
      <c r="M1540" s="1759"/>
      <c r="N1540" s="1042"/>
      <c r="O1540" s="1042"/>
      <c r="P1540" s="756"/>
      <c r="Q1540" s="756"/>
      <c r="R1540" s="634"/>
      <c r="S1540" s="634"/>
      <c r="T1540" s="634"/>
      <c r="U1540" s="634"/>
      <c r="V1540" s="634"/>
      <c r="W1540" s="634"/>
      <c r="X1540" s="1757"/>
      <c r="Y1540" s="2081"/>
      <c r="Z1540" s="2083"/>
      <c r="AA1540" s="1526"/>
      <c r="AB1540" s="634"/>
      <c r="AC1540" s="970"/>
      <c r="AD1540" s="970"/>
      <c r="AE1540" s="970"/>
      <c r="AF1540" s="634"/>
      <c r="AG1540" s="634"/>
      <c r="AH1540" s="634"/>
      <c r="AI1540" s="634"/>
      <c r="AJ1540" s="634"/>
      <c r="AK1540" s="634"/>
      <c r="AL1540" s="1336"/>
      <c r="AM1540" s="1336"/>
      <c r="AN1540" s="1336"/>
      <c r="AO1540" s="1336"/>
      <c r="AP1540" s="1336"/>
      <c r="AQ1540" s="1336"/>
      <c r="AR1540" s="1336"/>
      <c r="AS1540" s="1336"/>
      <c r="AT1540" s="634"/>
      <c r="AU1540" s="634"/>
      <c r="AV1540" s="634"/>
      <c r="AW1540" s="634"/>
      <c r="AX1540" s="634"/>
      <c r="AY1540" s="634"/>
      <c r="AZ1540" s="634"/>
      <c r="BA1540" s="634"/>
      <c r="BB1540" s="634"/>
      <c r="BC1540" s="634"/>
      <c r="BD1540" s="634"/>
      <c r="BE1540" s="634"/>
      <c r="BF1540" s="634"/>
      <c r="BG1540" s="634"/>
      <c r="BH1540" s="634"/>
      <c r="BI1540" s="634"/>
    </row>
    <row r="1541" spans="1:61" ht="15.75" thickBot="1" x14ac:dyDescent="0.3">
      <c r="A1541" s="2371">
        <v>7</v>
      </c>
      <c r="B1541" s="2385">
        <v>706.1</v>
      </c>
      <c r="C1541" s="2374" t="s">
        <v>275</v>
      </c>
      <c r="D1541" s="2374"/>
      <c r="E1541" s="2374"/>
      <c r="F1541" s="2374"/>
      <c r="G1541" s="2373" t="str">
        <f t="shared" si="91"/>
        <v/>
      </c>
      <c r="H1541" s="2371" t="s">
        <v>3973</v>
      </c>
      <c r="I1541" s="240"/>
      <c r="J1541" s="546" t="s">
        <v>275</v>
      </c>
      <c r="K1541" s="642"/>
      <c r="L1541" s="1171" t="s">
        <v>1073</v>
      </c>
      <c r="M1541" s="1011">
        <v>1</v>
      </c>
      <c r="N1541" s="1045"/>
      <c r="O1541" s="1045"/>
      <c r="P1541" s="94" t="b">
        <v>0</v>
      </c>
      <c r="Q1541" s="94" t="b">
        <v>1</v>
      </c>
      <c r="R1541" s="99" t="b">
        <v>0</v>
      </c>
      <c r="S1541" s="99" t="b">
        <v>1</v>
      </c>
      <c r="T1541" s="99" t="b">
        <v>0</v>
      </c>
      <c r="U1541" s="99"/>
      <c r="V1541" s="99"/>
      <c r="W1541" s="100"/>
      <c r="X1541" s="914"/>
      <c r="Y1541" s="989" t="str">
        <f>IF(LEN('Ch7'!X671)=0,"None",'Ch7'!X671)</f>
        <v>None</v>
      </c>
      <c r="Z1541" s="1595"/>
      <c r="AA1541" s="1526"/>
      <c r="AB1541" s="634"/>
      <c r="AC1541" s="970"/>
      <c r="AD1541" s="970"/>
      <c r="AE1541" s="970"/>
      <c r="AF1541" s="784"/>
      <c r="AG1541" s="634"/>
      <c r="AH1541" s="634"/>
      <c r="AI1541" s="634"/>
      <c r="AJ1541" s="634"/>
      <c r="AK1541" s="634"/>
      <c r="AL1541" s="254" t="str">
        <f>SUBSTITUTE(SUBSTITUTE(SUBSTITUTE("vpa"&amp;$B1541&amp;$C1541&amp;$D1541&amp;$E1541,".","_"),"(","_"),")","")</f>
        <v>vpa706_1_5</v>
      </c>
      <c r="AM1541" s="254">
        <f>M1541</f>
        <v>1</v>
      </c>
      <c r="AN1541" s="1336"/>
      <c r="AO1541" s="1336"/>
      <c r="AP1541" s="254" t="str">
        <f>SUBSTITUTE(SUBSTITUTE(SUBSTITUTE("vch"&amp;$B1541&amp;$C1541&amp;$D1541&amp;$E1541,".","_"),"(","_"),")","")</f>
        <v>vch706_1_5</v>
      </c>
      <c r="AQ1541" s="254" t="str">
        <f>IF(LEN(W1541)=0,"",W1541)</f>
        <v/>
      </c>
      <c r="AR1541" s="254" t="str">
        <f>SUBSTITUTE(SUBSTITUTE(SUBSTITUTE("vnt"&amp;$B1541&amp;$C1541&amp;$D1541&amp;$E1541,".","_"),"(","_"),")","")</f>
        <v>vnt706_1_5</v>
      </c>
      <c r="AS1541" s="254" t="str">
        <f>IF(LEN(X1541)=0,"",X1541)</f>
        <v/>
      </c>
      <c r="AT1541" s="634"/>
      <c r="AU1541" s="634"/>
      <c r="AV1541" s="634"/>
      <c r="AW1541" s="634"/>
      <c r="AX1541" s="634"/>
      <c r="AY1541" s="634"/>
      <c r="AZ1541" s="634"/>
      <c r="BA1541" s="634"/>
      <c r="BB1541" s="634"/>
      <c r="BC1541" s="634"/>
      <c r="BD1541" s="634"/>
      <c r="BE1541" s="634"/>
      <c r="BF1541" s="634"/>
      <c r="BG1541" s="634"/>
      <c r="BH1541" s="634"/>
      <c r="BI1541" s="634"/>
    </row>
    <row r="1542" spans="1:61" ht="15.75" thickTop="1" x14ac:dyDescent="0.25">
      <c r="A1542" s="2371">
        <v>7</v>
      </c>
      <c r="B1542" s="2385">
        <v>706.2</v>
      </c>
      <c r="C1542" s="2374"/>
      <c r="D1542" s="2374"/>
      <c r="E1542" s="2374"/>
      <c r="F1542" s="2374"/>
      <c r="G1542" s="2363" t="str">
        <f ca="1">IF(COUNTIF(G1544:G1549,"P")&gt;0,"P","")</f>
        <v/>
      </c>
      <c r="H1542" s="2371" t="s">
        <v>3973</v>
      </c>
      <c r="I1542" s="64">
        <v>706.2</v>
      </c>
      <c r="J1542" s="639"/>
      <c r="K1542" s="639"/>
      <c r="L1542" s="1884" t="s">
        <v>1074</v>
      </c>
      <c r="M1542" s="1014"/>
      <c r="N1542" s="1042"/>
      <c r="O1542" s="1042"/>
      <c r="P1542" s="756"/>
      <c r="Q1542" s="756"/>
      <c r="R1542" s="634"/>
      <c r="S1542" s="634"/>
      <c r="T1542" s="634"/>
      <c r="U1542" s="634"/>
      <c r="V1542" s="634"/>
      <c r="W1542" s="634"/>
      <c r="X1542" s="911"/>
      <c r="Y1542" s="634"/>
      <c r="AA1542" s="1526"/>
      <c r="AB1542" s="634"/>
      <c r="AC1542" s="970"/>
      <c r="AD1542" s="970"/>
      <c r="AE1542" s="970"/>
      <c r="AF1542" s="634"/>
      <c r="AG1542" s="634"/>
      <c r="AH1542" s="634"/>
      <c r="AI1542" s="634"/>
      <c r="AJ1542" s="634"/>
      <c r="AK1542" s="634"/>
      <c r="AL1542" s="1336"/>
      <c r="AM1542" s="1336"/>
      <c r="AN1542" s="1336"/>
      <c r="AO1542" s="1336"/>
      <c r="AP1542" s="1336"/>
      <c r="AQ1542" s="1336"/>
      <c r="AR1542" s="1336"/>
      <c r="AS1542" s="1336"/>
      <c r="AT1542" s="634"/>
      <c r="AU1542" s="634"/>
      <c r="AV1542" s="634"/>
      <c r="AW1542" s="634"/>
      <c r="AX1542" s="634"/>
      <c r="AY1542" s="634"/>
      <c r="AZ1542" s="634"/>
      <c r="BA1542" s="634"/>
      <c r="BB1542" s="634"/>
      <c r="BC1542" s="634"/>
      <c r="BD1542" s="634"/>
      <c r="BE1542" s="634"/>
      <c r="BF1542" s="634"/>
      <c r="BG1542" s="634"/>
      <c r="BH1542" s="634"/>
      <c r="BI1542" s="634"/>
    </row>
    <row r="1543" spans="1:61" x14ac:dyDescent="0.25">
      <c r="A1543" s="2371">
        <v>7</v>
      </c>
      <c r="B1543" s="2385">
        <v>706.2</v>
      </c>
      <c r="C1543" s="2374"/>
      <c r="D1543" s="2374"/>
      <c r="E1543" s="2374"/>
      <c r="F1543" s="2374"/>
      <c r="G1543" s="2373" t="str">
        <f ca="1">G1542</f>
        <v/>
      </c>
      <c r="H1543" s="2371" t="s">
        <v>3973</v>
      </c>
      <c r="I1543" s="64"/>
      <c r="J1543" s="639"/>
      <c r="K1543" s="639"/>
      <c r="L1543" s="1884"/>
      <c r="M1543" s="1014"/>
      <c r="N1543" s="1042"/>
      <c r="O1543" s="1042"/>
      <c r="P1543" s="756"/>
      <c r="Q1543" s="756"/>
      <c r="R1543" s="634"/>
      <c r="S1543" s="634"/>
      <c r="T1543" s="634"/>
      <c r="U1543" s="634"/>
      <c r="V1543" s="634"/>
      <c r="W1543" s="634"/>
      <c r="X1543" s="911"/>
      <c r="Y1543" s="634"/>
      <c r="AA1543" s="1526"/>
      <c r="AB1543" s="634"/>
      <c r="AC1543" s="970"/>
      <c r="AD1543" s="970"/>
      <c r="AE1543" s="970"/>
      <c r="AF1543" s="634"/>
      <c r="AG1543" s="634"/>
      <c r="AH1543" s="634"/>
      <c r="AI1543" s="634"/>
      <c r="AJ1543" s="634"/>
      <c r="AK1543" s="634"/>
      <c r="AL1543" s="1336"/>
      <c r="AM1543" s="1336"/>
      <c r="AN1543" s="1336"/>
      <c r="AO1543" s="1336"/>
      <c r="AP1543" s="1336"/>
      <c r="AQ1543" s="1336"/>
      <c r="AR1543" s="1336"/>
      <c r="AS1543" s="1336"/>
      <c r="AT1543" s="634"/>
      <c r="AU1543" s="634"/>
      <c r="AV1543" s="634"/>
      <c r="AW1543" s="634"/>
      <c r="AX1543" s="634"/>
      <c r="AY1543" s="634"/>
      <c r="AZ1543" s="634"/>
      <c r="BA1543" s="634"/>
      <c r="BB1543" s="634"/>
      <c r="BC1543" s="634"/>
      <c r="BD1543" s="634"/>
      <c r="BE1543" s="634"/>
      <c r="BF1543" s="634"/>
      <c r="BG1543" s="634"/>
      <c r="BH1543" s="634"/>
      <c r="BI1543" s="634"/>
    </row>
    <row r="1544" spans="1:61" ht="15" customHeight="1" x14ac:dyDescent="0.25">
      <c r="A1544" s="2371">
        <v>7</v>
      </c>
      <c r="B1544" s="2385">
        <v>706.2</v>
      </c>
      <c r="C1544" s="2374" t="s">
        <v>256</v>
      </c>
      <c r="D1544" s="2374"/>
      <c r="E1544" s="2374"/>
      <c r="F1544" s="2374"/>
      <c r="G1544" s="2373" t="str">
        <f>IF(N1544&gt;0,"P","")</f>
        <v/>
      </c>
      <c r="H1544" s="2371" t="s">
        <v>3973</v>
      </c>
      <c r="I1544" s="4"/>
      <c r="J1544" s="543" t="s">
        <v>256</v>
      </c>
      <c r="K1544" s="636"/>
      <c r="L1544" s="1787" t="s">
        <v>4342</v>
      </c>
      <c r="M1544" s="1758">
        <v>1</v>
      </c>
      <c r="N1544" s="1927">
        <f>'Ch7'!O674</f>
        <v>0</v>
      </c>
      <c r="O1544" s="1927">
        <f>M1544*S1544*W1544</f>
        <v>0</v>
      </c>
      <c r="P1544" s="94" t="b">
        <v>0</v>
      </c>
      <c r="Q1544" s="94" t="b">
        <v>1</v>
      </c>
      <c r="R1544" s="634" t="b">
        <v>0</v>
      </c>
      <c r="S1544" s="634" t="b">
        <v>1</v>
      </c>
      <c r="T1544" s="94" t="b">
        <v>0</v>
      </c>
      <c r="U1544" s="634"/>
      <c r="V1544" s="634"/>
      <c r="W1544" s="25"/>
      <c r="X1544" s="1757"/>
      <c r="Y1544" s="2081" t="str">
        <f>IF(LEN('Ch7'!X674)=0,"None",'Ch7'!X674)</f>
        <v>None</v>
      </c>
      <c r="Z1544" s="2083"/>
      <c r="AA1544" s="1526"/>
      <c r="AB1544" s="634"/>
      <c r="AC1544" s="970" t="b">
        <f>OR(AD1544:AE1544)</f>
        <v>0</v>
      </c>
      <c r="AD1544" s="970" t="b">
        <f>T1544</f>
        <v>0</v>
      </c>
      <c r="AE1544" s="970" t="b">
        <f>AND(R1544,NOT(W1544))</f>
        <v>0</v>
      </c>
      <c r="AF1544" s="784"/>
      <c r="AG1544" s="634"/>
      <c r="AH1544" s="634"/>
      <c r="AI1544" s="634"/>
      <c r="AJ1544" s="634"/>
      <c r="AK1544" s="634"/>
      <c r="AL1544" s="254" t="str">
        <f>SUBSTITUTE(SUBSTITUTE(SUBSTITUTE("vpa"&amp;$B1544&amp;$C1544&amp;$D1544&amp;$E1544,".","_"),"(","_"),")","")</f>
        <v>vpa706_2_1</v>
      </c>
      <c r="AM1544" s="254">
        <f>M1544</f>
        <v>1</v>
      </c>
      <c r="AN1544" s="254" t="str">
        <f>SUBSTITUTE(SUBSTITUTE(SUBSTITUTE("vpc"&amp;$B1544&amp;$C1544&amp;$D1544&amp;$E1544,".","_"),"(","_"),")","")</f>
        <v>vpc706_2_1</v>
      </c>
      <c r="AO1544" s="254">
        <f>O1544</f>
        <v>0</v>
      </c>
      <c r="AP1544" s="254" t="str">
        <f>SUBSTITUTE(SUBSTITUTE(SUBSTITUTE("vch"&amp;$B1544&amp;$C1544&amp;$D1544&amp;$E1544,".","_"),"(","_"),")","")</f>
        <v>vch706_2_1</v>
      </c>
      <c r="AQ1544" s="254" t="str">
        <f>IF(LEN(W1544)=0,"",W1544)</f>
        <v/>
      </c>
      <c r="AR1544" s="254" t="str">
        <f>SUBSTITUTE(SUBSTITUTE(SUBSTITUTE("vnt"&amp;$B1544&amp;$C1544&amp;$D1544&amp;$E1544,".","_"),"(","_"),")","")</f>
        <v>vnt706_2_1</v>
      </c>
      <c r="AS1544" s="254" t="str">
        <f>IF(LEN(X1544)=0,"",X1544)</f>
        <v/>
      </c>
      <c r="AT1544" s="634"/>
      <c r="AU1544" s="634"/>
      <c r="AV1544" s="634"/>
      <c r="AW1544" s="634"/>
      <c r="AX1544" s="634"/>
      <c r="AY1544" s="634"/>
      <c r="AZ1544" s="634"/>
      <c r="BA1544" s="634"/>
      <c r="BB1544" s="634"/>
      <c r="BC1544" s="634"/>
      <c r="BD1544" s="634"/>
      <c r="BE1544" s="634"/>
      <c r="BF1544" s="634"/>
      <c r="BG1544" s="634"/>
      <c r="BH1544" s="634"/>
      <c r="BI1544" s="634"/>
    </row>
    <row r="1545" spans="1:61" x14ac:dyDescent="0.25">
      <c r="A1545" s="2371">
        <v>7</v>
      </c>
      <c r="B1545" s="2385">
        <v>706.2</v>
      </c>
      <c r="C1545" s="2374" t="s">
        <v>256</v>
      </c>
      <c r="D1545" s="2374"/>
      <c r="E1545" s="2374"/>
      <c r="F1545" s="2374"/>
      <c r="G1545" s="2373" t="str">
        <f>G1544</f>
        <v/>
      </c>
      <c r="H1545" s="2371" t="s">
        <v>3973</v>
      </c>
      <c r="I1545" s="4"/>
      <c r="J1545" s="636"/>
      <c r="K1545" s="636"/>
      <c r="L1545" s="1787"/>
      <c r="M1545" s="1758"/>
      <c r="N1545" s="1927"/>
      <c r="O1545" s="1927"/>
      <c r="P1545" s="756"/>
      <c r="Q1545" s="756"/>
      <c r="R1545" s="634"/>
      <c r="S1545" s="634"/>
      <c r="T1545" s="634"/>
      <c r="U1545" s="634"/>
      <c r="V1545" s="634"/>
      <c r="W1545" s="634"/>
      <c r="X1545" s="1757"/>
      <c r="Y1545" s="2081"/>
      <c r="Z1545" s="2083"/>
      <c r="AA1545" s="1526"/>
      <c r="AB1545" s="634"/>
      <c r="AC1545" s="970"/>
      <c r="AD1545" s="970"/>
      <c r="AE1545" s="970"/>
      <c r="AF1545" s="634"/>
      <c r="AG1545" s="634"/>
      <c r="AH1545" s="634"/>
      <c r="AI1545" s="634"/>
      <c r="AJ1545" s="634"/>
      <c r="AK1545" s="634"/>
      <c r="AL1545" s="1336"/>
      <c r="AM1545" s="1336"/>
      <c r="AN1545" s="1336"/>
      <c r="AO1545" s="1336"/>
      <c r="AP1545" s="1336"/>
      <c r="AQ1545" s="1336"/>
      <c r="AR1545" s="1336"/>
      <c r="AS1545" s="1336"/>
      <c r="AT1545" s="634"/>
      <c r="AU1545" s="634"/>
      <c r="AV1545" s="634"/>
      <c r="AW1545" s="634"/>
      <c r="AX1545" s="634"/>
      <c r="AY1545" s="634"/>
      <c r="AZ1545" s="634"/>
      <c r="BA1545" s="634"/>
      <c r="BB1545" s="634"/>
      <c r="BC1545" s="634"/>
      <c r="BD1545" s="634"/>
      <c r="BE1545" s="634"/>
      <c r="BF1545" s="634"/>
      <c r="BG1545" s="634"/>
      <c r="BH1545" s="634"/>
      <c r="BI1545" s="634"/>
    </row>
    <row r="1546" spans="1:61" s="868" customFormat="1" x14ac:dyDescent="0.25">
      <c r="A1546" s="2371">
        <v>7</v>
      </c>
      <c r="B1546" s="2385">
        <v>706.2</v>
      </c>
      <c r="C1546" s="2374" t="s">
        <v>256</v>
      </c>
      <c r="D1546" s="2374"/>
      <c r="E1546" s="2374"/>
      <c r="F1546" s="2374"/>
      <c r="G1546" s="2373" t="str">
        <f>G1545</f>
        <v/>
      </c>
      <c r="H1546" s="2371" t="s">
        <v>3973</v>
      </c>
      <c r="I1546" s="4"/>
      <c r="J1546" s="885"/>
      <c r="K1546" s="885"/>
      <c r="L1546" s="1787"/>
      <c r="M1546" s="1758"/>
      <c r="N1546" s="1927"/>
      <c r="O1546" s="1927"/>
      <c r="X1546" s="1757"/>
      <c r="Y1546" s="2081"/>
      <c r="Z1546" s="2083"/>
      <c r="AA1546" s="1526"/>
      <c r="AC1546" s="970"/>
      <c r="AD1546" s="970"/>
      <c r="AE1546" s="970"/>
      <c r="AL1546" s="1336"/>
      <c r="AM1546" s="1336"/>
      <c r="AN1546" s="1336"/>
      <c r="AO1546" s="1336"/>
      <c r="AP1546" s="1336"/>
      <c r="AQ1546" s="1336"/>
      <c r="AR1546" s="1336"/>
      <c r="AS1546" s="1336"/>
    </row>
    <row r="1547" spans="1:61" s="868" customFormat="1" x14ac:dyDescent="0.25">
      <c r="A1547" s="2371">
        <v>7</v>
      </c>
      <c r="B1547" s="2385">
        <v>706.2</v>
      </c>
      <c r="C1547" s="2374" t="s">
        <v>256</v>
      </c>
      <c r="D1547" s="2374"/>
      <c r="E1547" s="2374"/>
      <c r="F1547" s="2374"/>
      <c r="G1547" s="2373" t="str">
        <f>G1546</f>
        <v/>
      </c>
      <c r="H1547" s="2371" t="s">
        <v>3973</v>
      </c>
      <c r="I1547" s="4"/>
      <c r="J1547" s="885"/>
      <c r="K1547" s="885"/>
      <c r="L1547" s="1787"/>
      <c r="M1547" s="1758"/>
      <c r="N1547" s="1927"/>
      <c r="O1547" s="1927"/>
      <c r="X1547" s="1757"/>
      <c r="Y1547" s="2081"/>
      <c r="Z1547" s="2083"/>
      <c r="AA1547" s="1526"/>
      <c r="AC1547" s="970"/>
      <c r="AD1547" s="970"/>
      <c r="AE1547" s="970"/>
      <c r="AL1547" s="1336"/>
      <c r="AM1547" s="1336"/>
      <c r="AN1547" s="1336"/>
      <c r="AO1547" s="1336"/>
      <c r="AP1547" s="1336"/>
      <c r="AQ1547" s="1336"/>
      <c r="AR1547" s="1336"/>
      <c r="AS1547" s="1336"/>
    </row>
    <row r="1548" spans="1:61" x14ac:dyDescent="0.25">
      <c r="A1548" s="2371">
        <v>7</v>
      </c>
      <c r="B1548" s="2385">
        <v>706.2</v>
      </c>
      <c r="C1548" s="2374" t="s">
        <v>256</v>
      </c>
      <c r="D1548" s="2374"/>
      <c r="E1548" s="2374"/>
      <c r="F1548" s="2374"/>
      <c r="G1548" s="2373" t="str">
        <f>G1547</f>
        <v/>
      </c>
      <c r="H1548" s="2371" t="s">
        <v>3973</v>
      </c>
      <c r="I1548" s="4"/>
      <c r="J1548" s="637"/>
      <c r="K1548" s="637"/>
      <c r="L1548" s="1786"/>
      <c r="M1548" s="1759"/>
      <c r="N1548" s="2076"/>
      <c r="O1548" s="2076"/>
      <c r="P1548" s="756"/>
      <c r="Q1548" s="756"/>
      <c r="R1548" s="634"/>
      <c r="S1548" s="634"/>
      <c r="T1548" s="634"/>
      <c r="U1548" s="634"/>
      <c r="V1548" s="634"/>
      <c r="W1548" s="634"/>
      <c r="X1548" s="1757"/>
      <c r="Y1548" s="2081"/>
      <c r="Z1548" s="2083"/>
      <c r="AA1548" s="1526"/>
      <c r="AB1548" s="634"/>
      <c r="AC1548" s="970"/>
      <c r="AD1548" s="970"/>
      <c r="AE1548" s="970"/>
      <c r="AF1548" s="634"/>
      <c r="AG1548" s="634"/>
      <c r="AH1548" s="634"/>
      <c r="AI1548" s="634"/>
      <c r="AJ1548" s="634"/>
      <c r="AK1548" s="634"/>
      <c r="AL1548" s="1336"/>
      <c r="AM1548" s="1336"/>
      <c r="AN1548" s="1336"/>
      <c r="AO1548" s="1336"/>
      <c r="AP1548" s="1336"/>
      <c r="AQ1548" s="1336"/>
      <c r="AR1548" s="1336"/>
      <c r="AS1548" s="1336"/>
      <c r="AT1548" s="634"/>
      <c r="AU1548" s="634"/>
      <c r="AV1548" s="634"/>
      <c r="AW1548" s="634"/>
      <c r="AX1548" s="634"/>
      <c r="AY1548" s="634"/>
      <c r="AZ1548" s="634"/>
      <c r="BA1548" s="634"/>
      <c r="BB1548" s="634"/>
      <c r="BC1548" s="634"/>
      <c r="BD1548" s="634"/>
      <c r="BE1548" s="634"/>
      <c r="BF1548" s="634"/>
      <c r="BG1548" s="634"/>
      <c r="BH1548" s="634"/>
      <c r="BI1548" s="634"/>
    </row>
    <row r="1549" spans="1:61" x14ac:dyDescent="0.25">
      <c r="A1549" s="2371">
        <v>7</v>
      </c>
      <c r="B1549" s="2385">
        <v>706.2</v>
      </c>
      <c r="C1549" s="2374" t="s">
        <v>258</v>
      </c>
      <c r="D1549" s="2374"/>
      <c r="E1549" s="2374"/>
      <c r="F1549" s="2374"/>
      <c r="G1549" s="2373" t="str">
        <f ca="1">IF(N1549&gt;0,"P","")</f>
        <v/>
      </c>
      <c r="H1549" s="2371" t="s">
        <v>3973</v>
      </c>
      <c r="I1549" s="129"/>
      <c r="J1549" s="543" t="s">
        <v>258</v>
      </c>
      <c r="K1549" s="636"/>
      <c r="L1549" s="1754" t="s">
        <v>1075</v>
      </c>
      <c r="M1549" s="1010"/>
      <c r="N1549" s="1927">
        <f ca="1">'Ch7'!O679</f>
        <v>0</v>
      </c>
      <c r="O1549" s="1927">
        <f ca="1">IFERROR(INDEX({1,2},MATCH(W1549,INDIRECT(U1549),0)),0)</f>
        <v>0</v>
      </c>
      <c r="P1549" s="94" t="b">
        <v>0</v>
      </c>
      <c r="Q1549" s="94" t="b">
        <v>1</v>
      </c>
      <c r="R1549" s="94" t="b">
        <v>0</v>
      </c>
      <c r="S1549" s="94" t="b">
        <v>1</v>
      </c>
      <c r="T1549" s="94" t="b">
        <v>0</v>
      </c>
      <c r="U1549" s="94" t="str">
        <f>SUBSTITUTE(SUBSTITUTE(SUBSTITUTE("dd"&amp;B1549&amp;C1549&amp;D1549&amp;E1549&amp;F1549,".","_"),"(","_"),")","")</f>
        <v>dd706_2_2</v>
      </c>
      <c r="V1549" s="94"/>
      <c r="W1549" s="12"/>
      <c r="X1549" s="1757"/>
      <c r="Y1549" s="2081" t="str">
        <f>IF(LEN('Ch7'!X679)=0,"None",'Ch7'!X679)</f>
        <v>None</v>
      </c>
      <c r="Z1549" s="2084"/>
      <c r="AA1549" s="1526"/>
      <c r="AB1549" s="634"/>
      <c r="AC1549" s="970" t="b">
        <f>OR(AD1549:AE1549)</f>
        <v>0</v>
      </c>
      <c r="AD1549" s="970" t="b">
        <f>T1549</f>
        <v>0</v>
      </c>
      <c r="AE1549" s="970" t="b">
        <f>AND(R1549,OR(W1549="Not Met",W1549=""))</f>
        <v>0</v>
      </c>
      <c r="AF1549" s="784"/>
      <c r="AG1549" s="634"/>
      <c r="AH1549" s="634"/>
      <c r="AI1549" s="634"/>
      <c r="AJ1549" s="634"/>
      <c r="AK1549" s="634"/>
      <c r="AL1549" s="1336"/>
      <c r="AM1549" s="1336"/>
      <c r="AN1549" s="254" t="str">
        <f>SUBSTITUTE(SUBSTITUTE(SUBSTITUTE("vpc"&amp;$B1549&amp;$C1549&amp;$D1549&amp;$E1549,".","_"),"(","_"),")","")</f>
        <v>vpc706_2_2</v>
      </c>
      <c r="AO1549" s="254">
        <f ca="1">O1549</f>
        <v>0</v>
      </c>
      <c r="AP1549" s="254" t="str">
        <f>SUBSTITUTE(SUBSTITUTE(SUBSTITUTE("vch"&amp;$B1549&amp;$C1549&amp;$D1549&amp;$E1549,".","_"),"(","_"),")","")</f>
        <v>vch706_2_2</v>
      </c>
      <c r="AQ1549" s="254" t="str">
        <f>IF(LEN(W1549)=0,"",W1549)</f>
        <v/>
      </c>
      <c r="AR1549" s="254" t="str">
        <f>SUBSTITUTE(SUBSTITUTE(SUBSTITUTE("vnt"&amp;$B1549&amp;$C1549&amp;$D1549&amp;$E1549,".","_"),"(","_"),")","")</f>
        <v>vnt706_2_2</v>
      </c>
      <c r="AS1549" s="254" t="str">
        <f>IF(LEN(X1549)=0,"",X1549)</f>
        <v/>
      </c>
      <c r="AT1549" s="634"/>
      <c r="AU1549" s="634"/>
      <c r="AV1549" s="634"/>
      <c r="AW1549" s="634"/>
      <c r="AX1549" s="634"/>
      <c r="AY1549" s="634"/>
      <c r="AZ1549" s="634"/>
      <c r="BA1549" s="634"/>
      <c r="BB1549" s="634"/>
      <c r="BC1549" s="634"/>
      <c r="BD1549" s="634"/>
      <c r="BE1549" s="634"/>
      <c r="BF1549" s="634"/>
      <c r="BG1549" s="634"/>
      <c r="BH1549" s="634"/>
      <c r="BI1549" s="634"/>
    </row>
    <row r="1550" spans="1:61" x14ac:dyDescent="0.25">
      <c r="A1550" s="2371">
        <v>7</v>
      </c>
      <c r="B1550" s="2385">
        <v>706.2</v>
      </c>
      <c r="C1550" s="2374" t="s">
        <v>258</v>
      </c>
      <c r="D1550" s="2374"/>
      <c r="E1550" s="2374"/>
      <c r="F1550" s="2374"/>
      <c r="G1550" s="2373" t="str">
        <f t="shared" ref="G1550:G1555" ca="1" si="92">G1549</f>
        <v/>
      </c>
      <c r="H1550" s="2371" t="s">
        <v>3973</v>
      </c>
      <c r="I1550" s="129"/>
      <c r="J1550" s="636"/>
      <c r="K1550" s="636"/>
      <c r="L1550" s="1754"/>
      <c r="M1550" s="1010"/>
      <c r="N1550" s="1927"/>
      <c r="O1550" s="1927"/>
      <c r="P1550" s="94"/>
      <c r="Q1550" s="94"/>
      <c r="R1550" s="94"/>
      <c r="S1550" s="94"/>
      <c r="T1550" s="94"/>
      <c r="U1550" s="94"/>
      <c r="V1550" s="94"/>
      <c r="W1550" s="94"/>
      <c r="X1550" s="1757"/>
      <c r="Y1550" s="2081"/>
      <c r="Z1550" s="2084"/>
      <c r="AA1550" s="1526"/>
      <c r="AB1550" s="634"/>
      <c r="AC1550" s="970"/>
      <c r="AD1550" s="970"/>
      <c r="AE1550" s="970"/>
      <c r="AF1550" s="634"/>
      <c r="AG1550" s="634"/>
      <c r="AH1550" s="634"/>
      <c r="AI1550" s="634"/>
      <c r="AJ1550" s="634"/>
      <c r="AK1550" s="634"/>
      <c r="AL1550" s="1336"/>
      <c r="AM1550" s="1336"/>
      <c r="AN1550" s="1336"/>
      <c r="AO1550" s="1336"/>
      <c r="AP1550" s="1336"/>
      <c r="AQ1550" s="1336"/>
      <c r="AR1550" s="1336"/>
      <c r="AS1550" s="1336"/>
      <c r="AT1550" s="634"/>
      <c r="AU1550" s="634"/>
      <c r="AV1550" s="634"/>
      <c r="AW1550" s="634"/>
      <c r="AX1550" s="634"/>
      <c r="AY1550" s="634"/>
      <c r="AZ1550" s="634"/>
      <c r="BA1550" s="634"/>
      <c r="BB1550" s="634"/>
      <c r="BC1550" s="634"/>
      <c r="BD1550" s="634"/>
      <c r="BE1550" s="634"/>
      <c r="BF1550" s="634"/>
      <c r="BG1550" s="634"/>
      <c r="BH1550" s="634"/>
      <c r="BI1550" s="634"/>
    </row>
    <row r="1551" spans="1:61" x14ac:dyDescent="0.25">
      <c r="A1551" s="2371">
        <v>7</v>
      </c>
      <c r="B1551" s="2385">
        <v>706.2</v>
      </c>
      <c r="C1551" s="2374" t="s">
        <v>258</v>
      </c>
      <c r="D1551" s="2374"/>
      <c r="E1551" s="2374"/>
      <c r="F1551" s="2374"/>
      <c r="G1551" s="2373" t="str">
        <f t="shared" ca="1" si="92"/>
        <v/>
      </c>
      <c r="H1551" s="2371" t="s">
        <v>3973</v>
      </c>
      <c r="I1551" s="129"/>
      <c r="J1551" s="636"/>
      <c r="K1551" s="636"/>
      <c r="L1551" s="1754"/>
      <c r="M1551" s="1010"/>
      <c r="N1551" s="1927"/>
      <c r="O1551" s="1927"/>
      <c r="P1551" s="94"/>
      <c r="Q1551" s="94"/>
      <c r="R1551" s="94"/>
      <c r="S1551" s="94"/>
      <c r="T1551" s="94"/>
      <c r="U1551" s="94"/>
      <c r="V1551" s="94"/>
      <c r="W1551" s="94"/>
      <c r="X1551" s="1757"/>
      <c r="Y1551" s="2081"/>
      <c r="Z1551" s="2084"/>
      <c r="AA1551" s="1526"/>
      <c r="AB1551" s="634"/>
      <c r="AC1551" s="970"/>
      <c r="AD1551" s="970"/>
      <c r="AE1551" s="970"/>
      <c r="AF1551" s="634"/>
      <c r="AG1551" s="634"/>
      <c r="AH1551" s="634"/>
      <c r="AI1551" s="634"/>
      <c r="AJ1551" s="634"/>
      <c r="AK1551" s="634"/>
      <c r="AL1551" s="1336"/>
      <c r="AM1551" s="1336"/>
      <c r="AN1551" s="1336"/>
      <c r="AO1551" s="1336"/>
      <c r="AP1551" s="1336"/>
      <c r="AQ1551" s="1336"/>
      <c r="AR1551" s="1336"/>
      <c r="AS1551" s="1336"/>
      <c r="AT1551" s="634"/>
      <c r="AU1551" s="634"/>
      <c r="AV1551" s="634"/>
      <c r="AW1551" s="634"/>
      <c r="AX1551" s="634"/>
      <c r="AY1551" s="634"/>
      <c r="AZ1551" s="634"/>
      <c r="BA1551" s="634"/>
      <c r="BB1551" s="634"/>
      <c r="BC1551" s="634"/>
      <c r="BD1551" s="634"/>
      <c r="BE1551" s="634"/>
      <c r="BF1551" s="634"/>
      <c r="BG1551" s="634"/>
      <c r="BH1551" s="634"/>
      <c r="BI1551" s="634"/>
    </row>
    <row r="1552" spans="1:61" x14ac:dyDescent="0.25">
      <c r="A1552" s="2371">
        <v>7</v>
      </c>
      <c r="B1552" s="2385">
        <v>706.2</v>
      </c>
      <c r="C1552" s="2374" t="s">
        <v>258</v>
      </c>
      <c r="D1552" s="2374" t="s">
        <v>121</v>
      </c>
      <c r="E1552" s="2374"/>
      <c r="F1552" s="2374"/>
      <c r="G1552" s="2373" t="str">
        <f t="shared" ca="1" si="92"/>
        <v/>
      </c>
      <c r="H1552" s="2371" t="s">
        <v>3973</v>
      </c>
      <c r="I1552" s="129"/>
      <c r="J1552" s="636"/>
      <c r="K1552" s="518" t="s">
        <v>121</v>
      </c>
      <c r="L1552" s="1754" t="s">
        <v>1076</v>
      </c>
      <c r="M1552" s="1758">
        <v>1</v>
      </c>
      <c r="N1552" s="1044"/>
      <c r="O1552" s="1044"/>
      <c r="P1552" s="94"/>
      <c r="Q1552" s="94"/>
      <c r="R1552" s="94"/>
      <c r="S1552" s="94"/>
      <c r="T1552" s="94"/>
      <c r="U1552" s="94"/>
      <c r="V1552" s="94"/>
      <c r="W1552" s="94"/>
      <c r="X1552" s="1757"/>
      <c r="Y1552" s="2081"/>
      <c r="Z1552" s="2084"/>
      <c r="AA1552" s="1526"/>
      <c r="AB1552" s="634"/>
      <c r="AC1552" s="970"/>
      <c r="AD1552" s="970"/>
      <c r="AE1552" s="970"/>
      <c r="AF1552" s="634"/>
      <c r="AG1552" s="634"/>
      <c r="AH1552" s="634"/>
      <c r="AI1552" s="634"/>
      <c r="AJ1552" s="634"/>
      <c r="AK1552" s="634"/>
      <c r="AL1552" s="254" t="str">
        <f>SUBSTITUTE(SUBSTITUTE(SUBSTITUTE("vpa"&amp;$B1552&amp;$C1552&amp;$D1552&amp;$E1552,".","_"),"(","_"),")","")</f>
        <v>vpa706_2_2_a</v>
      </c>
      <c r="AM1552" s="254">
        <f>M1552</f>
        <v>1</v>
      </c>
      <c r="AN1552" s="1336"/>
      <c r="AO1552" s="1336"/>
      <c r="AP1552" s="1336"/>
      <c r="AQ1552" s="1336"/>
      <c r="AR1552" s="1336"/>
      <c r="AS1552" s="1336"/>
      <c r="AT1552" s="634"/>
      <c r="AU1552" s="634"/>
      <c r="AV1552" s="634"/>
      <c r="AW1552" s="634"/>
      <c r="AX1552" s="634"/>
      <c r="AY1552" s="634"/>
      <c r="AZ1552" s="634"/>
      <c r="BA1552" s="634"/>
      <c r="BB1552" s="634"/>
      <c r="BC1552" s="634"/>
      <c r="BD1552" s="634"/>
      <c r="BE1552" s="634"/>
      <c r="BF1552" s="634"/>
      <c r="BG1552" s="634"/>
      <c r="BH1552" s="634"/>
      <c r="BI1552" s="634"/>
    </row>
    <row r="1553" spans="1:61" x14ac:dyDescent="0.25">
      <c r="A1553" s="2371">
        <v>7</v>
      </c>
      <c r="B1553" s="2385">
        <v>706.2</v>
      </c>
      <c r="C1553" s="2374" t="s">
        <v>258</v>
      </c>
      <c r="D1553" s="2374" t="s">
        <v>121</v>
      </c>
      <c r="E1553" s="2374"/>
      <c r="F1553" s="2374"/>
      <c r="G1553" s="2373" t="str">
        <f t="shared" ca="1" si="92"/>
        <v/>
      </c>
      <c r="H1553" s="2371" t="s">
        <v>3973</v>
      </c>
      <c r="I1553" s="129"/>
      <c r="J1553" s="636"/>
      <c r="K1553" s="530"/>
      <c r="L1553" s="1755"/>
      <c r="M1553" s="1759"/>
      <c r="N1553" s="1044"/>
      <c r="O1553" s="1044"/>
      <c r="P1553" s="94"/>
      <c r="Q1553" s="94"/>
      <c r="R1553" s="94"/>
      <c r="S1553" s="94"/>
      <c r="T1553" s="94"/>
      <c r="U1553" s="94"/>
      <c r="V1553" s="94"/>
      <c r="W1553" s="94"/>
      <c r="X1553" s="1757"/>
      <c r="Y1553" s="2081"/>
      <c r="Z1553" s="2084"/>
      <c r="AA1553" s="1526"/>
      <c r="AB1553" s="634"/>
      <c r="AC1553" s="970"/>
      <c r="AD1553" s="970"/>
      <c r="AE1553" s="970"/>
      <c r="AF1553" s="634"/>
      <c r="AG1553" s="634"/>
      <c r="AH1553" s="634"/>
      <c r="AI1553" s="634"/>
      <c r="AJ1553" s="634"/>
      <c r="AK1553" s="634"/>
      <c r="AL1553" s="1336"/>
      <c r="AM1553" s="1336"/>
      <c r="AN1553" s="1336"/>
      <c r="AO1553" s="1336"/>
      <c r="AP1553" s="1336"/>
      <c r="AQ1553" s="1336"/>
      <c r="AR1553" s="1336"/>
      <c r="AS1553" s="1336"/>
      <c r="AT1553" s="634"/>
      <c r="AU1553" s="634"/>
      <c r="AV1553" s="634"/>
      <c r="AW1553" s="634"/>
      <c r="AX1553" s="634"/>
      <c r="AY1553" s="634"/>
      <c r="AZ1553" s="634"/>
      <c r="BA1553" s="634"/>
      <c r="BB1553" s="634"/>
      <c r="BC1553" s="634"/>
      <c r="BD1553" s="634"/>
      <c r="BE1553" s="634"/>
      <c r="BF1553" s="634"/>
      <c r="BG1553" s="634"/>
      <c r="BH1553" s="634"/>
      <c r="BI1553" s="634"/>
    </row>
    <row r="1554" spans="1:61" x14ac:dyDescent="0.25">
      <c r="A1554" s="2371">
        <v>7</v>
      </c>
      <c r="B1554" s="2385">
        <v>706.2</v>
      </c>
      <c r="C1554" s="2374" t="s">
        <v>258</v>
      </c>
      <c r="D1554" s="2374" t="s">
        <v>122</v>
      </c>
      <c r="E1554" s="2374"/>
      <c r="F1554" s="2374"/>
      <c r="G1554" s="2373" t="str">
        <f t="shared" ca="1" si="92"/>
        <v/>
      </c>
      <c r="H1554" s="2371" t="s">
        <v>3973</v>
      </c>
      <c r="I1554" s="129"/>
      <c r="J1554" s="636"/>
      <c r="K1554" s="518" t="s">
        <v>122</v>
      </c>
      <c r="L1554" s="1754" t="s">
        <v>1077</v>
      </c>
      <c r="M1554" s="1758">
        <v>2</v>
      </c>
      <c r="N1554" s="1044"/>
      <c r="O1554" s="1044"/>
      <c r="P1554" s="94"/>
      <c r="Q1554" s="94"/>
      <c r="R1554" s="94"/>
      <c r="S1554" s="94"/>
      <c r="T1554" s="94"/>
      <c r="U1554" s="94"/>
      <c r="V1554" s="94"/>
      <c r="W1554" s="94"/>
      <c r="X1554" s="1757"/>
      <c r="Y1554" s="2081"/>
      <c r="Z1554" s="2084"/>
      <c r="AA1554" s="1526"/>
      <c r="AB1554" s="634"/>
      <c r="AC1554" s="970"/>
      <c r="AD1554" s="970"/>
      <c r="AE1554" s="970"/>
      <c r="AF1554" s="634"/>
      <c r="AG1554" s="634"/>
      <c r="AH1554" s="634"/>
      <c r="AI1554" s="634"/>
      <c r="AJ1554" s="634"/>
      <c r="AK1554" s="634"/>
      <c r="AL1554" s="254" t="str">
        <f>SUBSTITUTE(SUBSTITUTE(SUBSTITUTE("vpa"&amp;$B1554&amp;$C1554&amp;$D1554&amp;$E1554,".","_"),"(","_"),")","")</f>
        <v>vpa706_2_2_b</v>
      </c>
      <c r="AM1554" s="254">
        <f>M1554</f>
        <v>2</v>
      </c>
      <c r="AN1554" s="1336"/>
      <c r="AO1554" s="1336"/>
      <c r="AP1554" s="1336"/>
      <c r="AQ1554" s="1336"/>
      <c r="AR1554" s="1336"/>
      <c r="AS1554" s="1336"/>
      <c r="AT1554" s="634"/>
      <c r="AU1554" s="634"/>
      <c r="AV1554" s="634"/>
      <c r="AW1554" s="634"/>
      <c r="AX1554" s="634"/>
      <c r="AY1554" s="634"/>
      <c r="AZ1554" s="634"/>
      <c r="BA1554" s="634"/>
      <c r="BB1554" s="634"/>
      <c r="BC1554" s="634"/>
      <c r="BD1554" s="634"/>
      <c r="BE1554" s="634"/>
      <c r="BF1554" s="634"/>
      <c r="BG1554" s="634"/>
      <c r="BH1554" s="634"/>
      <c r="BI1554" s="634"/>
    </row>
    <row r="1555" spans="1:61" ht="15.75" thickBot="1" x14ac:dyDescent="0.3">
      <c r="A1555" s="2371">
        <v>7</v>
      </c>
      <c r="B1555" s="2385">
        <v>706.2</v>
      </c>
      <c r="C1555" s="2374" t="s">
        <v>258</v>
      </c>
      <c r="D1555" s="2374" t="s">
        <v>122</v>
      </c>
      <c r="E1555" s="2374"/>
      <c r="F1555" s="2374"/>
      <c r="G1555" s="2373" t="str">
        <f t="shared" ca="1" si="92"/>
        <v/>
      </c>
      <c r="H1555" s="2371" t="s">
        <v>3973</v>
      </c>
      <c r="I1555" s="240"/>
      <c r="J1555" s="642"/>
      <c r="K1555" s="642"/>
      <c r="L1555" s="1783"/>
      <c r="M1555" s="1768"/>
      <c r="N1555" s="1045"/>
      <c r="O1555" s="1045"/>
      <c r="P1555" s="99"/>
      <c r="Q1555" s="99"/>
      <c r="R1555" s="99"/>
      <c r="S1555" s="99"/>
      <c r="T1555" s="99"/>
      <c r="U1555" s="99"/>
      <c r="V1555" s="99"/>
      <c r="W1555" s="99"/>
      <c r="X1555" s="1771"/>
      <c r="Y1555" s="2082"/>
      <c r="Z1555" s="2086"/>
      <c r="AA1555" s="1526"/>
      <c r="AB1555" s="634"/>
      <c r="AC1555" s="970"/>
      <c r="AD1555" s="970"/>
      <c r="AE1555" s="970"/>
      <c r="AF1555" s="634"/>
      <c r="AG1555" s="634"/>
      <c r="AH1555" s="634"/>
      <c r="AI1555" s="634"/>
      <c r="AJ1555" s="634"/>
      <c r="AK1555" s="634"/>
      <c r="AL1555" s="1336"/>
      <c r="AM1555" s="1336"/>
      <c r="AN1555" s="1336"/>
      <c r="AO1555" s="1336"/>
      <c r="AP1555" s="1336"/>
      <c r="AQ1555" s="1336"/>
      <c r="AR1555" s="1336"/>
      <c r="AS1555" s="1336"/>
      <c r="AT1555" s="634"/>
      <c r="AU1555" s="634"/>
      <c r="AV1555" s="634"/>
      <c r="AW1555" s="634"/>
      <c r="AX1555" s="634"/>
      <c r="AY1555" s="634"/>
      <c r="AZ1555" s="634"/>
      <c r="BA1555" s="634"/>
      <c r="BB1555" s="634"/>
      <c r="BC1555" s="634"/>
      <c r="BD1555" s="634"/>
      <c r="BE1555" s="634"/>
      <c r="BF1555" s="634"/>
      <c r="BG1555" s="634"/>
      <c r="BH1555" s="634"/>
      <c r="BI1555" s="634"/>
    </row>
    <row r="1556" spans="1:61" ht="15.75" thickTop="1" x14ac:dyDescent="0.25">
      <c r="A1556" s="2371">
        <v>7</v>
      </c>
      <c r="B1556" s="2385">
        <v>706.3</v>
      </c>
      <c r="C1556" s="2374"/>
      <c r="D1556" s="2374"/>
      <c r="E1556" s="2374"/>
      <c r="F1556" s="2374"/>
      <c r="G1556" s="2373" t="str">
        <f>IF(N1556&gt;0,"P","")</f>
        <v/>
      </c>
      <c r="H1556" s="2371" t="s">
        <v>3973</v>
      </c>
      <c r="I1556" s="64">
        <v>706.3</v>
      </c>
      <c r="J1556" s="639"/>
      <c r="K1556" s="639"/>
      <c r="L1556" s="1884" t="s">
        <v>1078</v>
      </c>
      <c r="M1556" s="1014"/>
      <c r="N1556" s="2075">
        <f>'Ch7'!O686</f>
        <v>0</v>
      </c>
      <c r="O1556" s="2075">
        <f>IFERROR(INDEX({0,1,2},MATCH((1*S1564*W1564+1*S1565*W1565+1*S1566*W1566+1*S1567*W1567+1*S1568*W1568+1*S1569*W1569+2*S1570*W1570+2*S1571*W1571),{0,3,6},1)),0)</f>
        <v>0</v>
      </c>
      <c r="P1556" s="756"/>
      <c r="Q1556" s="756"/>
      <c r="R1556" s="634"/>
      <c r="S1556" s="634"/>
      <c r="T1556" s="634"/>
      <c r="U1556" s="634"/>
      <c r="V1556" s="634"/>
      <c r="W1556" s="634"/>
      <c r="X1556" s="1756"/>
      <c r="Y1556" s="2097" t="str">
        <f>IF(LEN('Ch7'!X686)=0,"None",'Ch7'!X686)</f>
        <v>None</v>
      </c>
      <c r="Z1556" s="2085"/>
      <c r="AA1556" s="1526"/>
      <c r="AB1556" s="634"/>
      <c r="AC1556" s="970"/>
      <c r="AD1556" s="970"/>
      <c r="AE1556" s="970"/>
      <c r="AF1556" s="634"/>
      <c r="AG1556" s="634"/>
      <c r="AH1556" s="634"/>
      <c r="AI1556" s="634"/>
      <c r="AJ1556" s="634"/>
      <c r="AK1556" s="634"/>
      <c r="AL1556" s="1336"/>
      <c r="AM1556" s="1336"/>
      <c r="AN1556" s="254" t="str">
        <f>SUBSTITUTE(SUBSTITUTE(SUBSTITUTE("vpc"&amp;$B1556&amp;$C1556&amp;$D1556&amp;$E1556,".","_"),"(","_"),")","")</f>
        <v>vpc706_3</v>
      </c>
      <c r="AO1556" s="254">
        <f>O1556</f>
        <v>0</v>
      </c>
      <c r="AP1556" s="1336"/>
      <c r="AQ1556" s="1336"/>
      <c r="AR1556" s="254" t="str">
        <f>SUBSTITUTE(SUBSTITUTE(SUBSTITUTE("vnt"&amp;$B1556&amp;$C1556&amp;$D1556&amp;$E1556,".","_"),"(","_"),")","")</f>
        <v>vnt706_3</v>
      </c>
      <c r="AS1556" s="254" t="str">
        <f>IF(LEN(X1556)=0,"",X1556)</f>
        <v/>
      </c>
      <c r="AT1556" s="634"/>
      <c r="AU1556" s="634"/>
      <c r="AV1556" s="634"/>
      <c r="AW1556" s="634"/>
      <c r="AX1556" s="634"/>
      <c r="AY1556" s="634"/>
      <c r="AZ1556" s="634"/>
      <c r="BA1556" s="634"/>
      <c r="BB1556" s="634"/>
      <c r="BC1556" s="634"/>
      <c r="BD1556" s="634"/>
      <c r="BE1556" s="634"/>
      <c r="BF1556" s="634"/>
      <c r="BG1556" s="634"/>
      <c r="BH1556" s="634"/>
      <c r="BI1556" s="634"/>
    </row>
    <row r="1557" spans="1:61" x14ac:dyDescent="0.25">
      <c r="A1557" s="2371">
        <v>7</v>
      </c>
      <c r="B1557" s="2385">
        <v>706.3</v>
      </c>
      <c r="C1557" s="2374"/>
      <c r="D1557" s="2374"/>
      <c r="E1557" s="2374"/>
      <c r="F1557" s="2374"/>
      <c r="G1557" s="2373" t="str">
        <f t="shared" ref="G1557:G1571" si="93">G1556</f>
        <v/>
      </c>
      <c r="H1557" s="2371" t="s">
        <v>3973</v>
      </c>
      <c r="I1557" s="64"/>
      <c r="J1557" s="639"/>
      <c r="K1557" s="639"/>
      <c r="L1557" s="1884"/>
      <c r="M1557" s="1014"/>
      <c r="N1557" s="2075"/>
      <c r="O1557" s="2075"/>
      <c r="P1557" s="756"/>
      <c r="Q1557" s="756"/>
      <c r="R1557" s="634"/>
      <c r="S1557" s="634"/>
      <c r="T1557" s="634"/>
      <c r="U1557" s="634"/>
      <c r="V1557" s="634"/>
      <c r="W1557" s="634"/>
      <c r="X1557" s="1757"/>
      <c r="Y1557" s="2081"/>
      <c r="Z1557" s="2083"/>
      <c r="AA1557" s="1526"/>
      <c r="AB1557" s="634"/>
      <c r="AC1557" s="970"/>
      <c r="AD1557" s="970"/>
      <c r="AE1557" s="970"/>
      <c r="AF1557" s="634"/>
      <c r="AG1557" s="634"/>
      <c r="AH1557" s="634"/>
      <c r="AI1557" s="634"/>
      <c r="AJ1557" s="634"/>
      <c r="AK1557" s="634"/>
      <c r="AL1557" s="1336"/>
      <c r="AM1557" s="1336"/>
      <c r="AN1557" s="1336"/>
      <c r="AO1557" s="1336"/>
      <c r="AP1557" s="1336"/>
      <c r="AQ1557" s="1336"/>
      <c r="AR1557" s="1336"/>
      <c r="AS1557" s="1336"/>
      <c r="AT1557" s="634"/>
      <c r="AU1557" s="634"/>
      <c r="AV1557" s="634"/>
      <c r="AW1557" s="634"/>
      <c r="AX1557" s="634"/>
      <c r="AY1557" s="634"/>
      <c r="AZ1557" s="634"/>
      <c r="BA1557" s="634"/>
      <c r="BB1557" s="634"/>
      <c r="BC1557" s="634"/>
      <c r="BD1557" s="634"/>
      <c r="BE1557" s="634"/>
      <c r="BF1557" s="634"/>
      <c r="BG1557" s="634"/>
      <c r="BH1557" s="634"/>
      <c r="BI1557" s="634"/>
    </row>
    <row r="1558" spans="1:61" x14ac:dyDescent="0.25">
      <c r="A1558" s="2371">
        <v>7</v>
      </c>
      <c r="B1558" s="2385">
        <v>706.3</v>
      </c>
      <c r="C1558" s="2374"/>
      <c r="D1558" s="2374" t="s">
        <v>121</v>
      </c>
      <c r="E1558" s="2374"/>
      <c r="F1558" s="2374"/>
      <c r="G1558" s="2373" t="str">
        <f t="shared" si="93"/>
        <v/>
      </c>
      <c r="H1558" s="2371" t="s">
        <v>3973</v>
      </c>
      <c r="I1558" s="4"/>
      <c r="J1558" s="639"/>
      <c r="K1558" s="639"/>
      <c r="L1558" s="1185" t="s">
        <v>1079</v>
      </c>
      <c r="M1558" s="1014">
        <v>1</v>
      </c>
      <c r="N1558" s="1042"/>
      <c r="O1558" s="1042"/>
      <c r="P1558" s="756"/>
      <c r="Q1558" s="756"/>
      <c r="R1558" s="634"/>
      <c r="S1558" s="634"/>
      <c r="T1558" s="634"/>
      <c r="U1558" s="634"/>
      <c r="V1558" s="634"/>
      <c r="W1558" s="634"/>
      <c r="X1558" s="1757"/>
      <c r="Y1558" s="2081"/>
      <c r="Z1558" s="2083"/>
      <c r="AA1558" s="1526"/>
      <c r="AB1558" s="634"/>
      <c r="AC1558" s="970"/>
      <c r="AD1558" s="970"/>
      <c r="AE1558" s="970"/>
      <c r="AF1558" s="634"/>
      <c r="AG1558" s="634"/>
      <c r="AH1558" s="634"/>
      <c r="AI1558" s="634"/>
      <c r="AJ1558" s="634"/>
      <c r="AK1558" s="634"/>
      <c r="AL1558" s="254" t="str">
        <f>SUBSTITUTE(SUBSTITUTE(SUBSTITUTE("vpa"&amp;$B1558&amp;$C1558&amp;$D1558&amp;$E1558,".","_"),"(","_"),")","")</f>
        <v>vpa706_3_a</v>
      </c>
      <c r="AM1558" s="254">
        <f>M1558</f>
        <v>1</v>
      </c>
      <c r="AN1558" s="1336"/>
      <c r="AO1558" s="1336"/>
      <c r="AP1558" s="1336"/>
      <c r="AQ1558" s="1336"/>
      <c r="AR1558" s="1336"/>
      <c r="AS1558" s="1336"/>
      <c r="AT1558" s="634"/>
      <c r="AU1558" s="634"/>
      <c r="AV1558" s="634"/>
      <c r="AW1558" s="634"/>
      <c r="AX1558" s="634"/>
      <c r="AY1558" s="634"/>
      <c r="AZ1558" s="634"/>
      <c r="BA1558" s="634"/>
      <c r="BB1558" s="634"/>
      <c r="BC1558" s="634"/>
      <c r="BD1558" s="634"/>
      <c r="BE1558" s="634"/>
      <c r="BF1558" s="634"/>
      <c r="BG1558" s="634"/>
      <c r="BH1558" s="634"/>
      <c r="BI1558" s="634"/>
    </row>
    <row r="1559" spans="1:61" x14ac:dyDescent="0.25">
      <c r="A1559" s="2371">
        <v>7</v>
      </c>
      <c r="B1559" s="2385">
        <v>706.3</v>
      </c>
      <c r="C1559" s="2374"/>
      <c r="D1559" s="2374" t="s">
        <v>122</v>
      </c>
      <c r="E1559" s="2374"/>
      <c r="F1559" s="2374"/>
      <c r="G1559" s="2373" t="str">
        <f t="shared" si="93"/>
        <v/>
      </c>
      <c r="H1559" s="2371" t="s">
        <v>3973</v>
      </c>
      <c r="I1559" s="4"/>
      <c r="J1559" s="639"/>
      <c r="K1559" s="639"/>
      <c r="L1559" s="1185" t="s">
        <v>1080</v>
      </c>
      <c r="M1559" s="1014">
        <v>2</v>
      </c>
      <c r="N1559" s="1042"/>
      <c r="O1559" s="1042"/>
      <c r="P1559" s="756"/>
      <c r="Q1559" s="756"/>
      <c r="R1559" s="634"/>
      <c r="S1559" s="634"/>
      <c r="T1559" s="634"/>
      <c r="U1559" s="634"/>
      <c r="V1559" s="634"/>
      <c r="W1559" s="634"/>
      <c r="X1559" s="1757"/>
      <c r="Y1559" s="2081"/>
      <c r="Z1559" s="2083"/>
      <c r="AA1559" s="1526"/>
      <c r="AB1559" s="634"/>
      <c r="AC1559" s="970"/>
      <c r="AD1559" s="970"/>
      <c r="AE1559" s="970"/>
      <c r="AF1559" s="634"/>
      <c r="AG1559" s="634"/>
      <c r="AH1559" s="634"/>
      <c r="AI1559" s="634"/>
      <c r="AJ1559" s="634"/>
      <c r="AK1559" s="634"/>
      <c r="AL1559" s="254" t="str">
        <f>SUBSTITUTE(SUBSTITUTE(SUBSTITUTE("vpa"&amp;$B1559&amp;$C1559&amp;$D1559&amp;$E1559,".","_"),"(","_"),")","")</f>
        <v>vpa706_3_b</v>
      </c>
      <c r="AM1559" s="254">
        <f>M1559</f>
        <v>2</v>
      </c>
      <c r="AN1559" s="1336"/>
      <c r="AO1559" s="1336"/>
      <c r="AP1559" s="1336"/>
      <c r="AQ1559" s="1336"/>
      <c r="AR1559" s="1336"/>
      <c r="AS1559" s="1336"/>
      <c r="AT1559" s="634"/>
      <c r="AU1559" s="634"/>
      <c r="AV1559" s="634"/>
      <c r="AW1559" s="634"/>
      <c r="AX1559" s="634"/>
      <c r="AY1559" s="634"/>
      <c r="AZ1559" s="634"/>
      <c r="BA1559" s="634"/>
      <c r="BB1559" s="634"/>
      <c r="BC1559" s="634"/>
      <c r="BD1559" s="634"/>
      <c r="BE1559" s="634"/>
      <c r="BF1559" s="634"/>
      <c r="BG1559" s="634"/>
      <c r="BH1559" s="634"/>
      <c r="BI1559" s="634"/>
    </row>
    <row r="1560" spans="1:61" x14ac:dyDescent="0.25">
      <c r="A1560" s="2371">
        <v>7</v>
      </c>
      <c r="B1560" s="2385">
        <v>706.3</v>
      </c>
      <c r="C1560" s="2381"/>
      <c r="D1560" s="2374"/>
      <c r="E1560" s="2374"/>
      <c r="F1560" s="2374"/>
      <c r="G1560" s="2373" t="str">
        <f t="shared" si="93"/>
        <v/>
      </c>
      <c r="H1560" s="2371" t="s">
        <v>3973</v>
      </c>
      <c r="I1560" s="4"/>
      <c r="J1560" s="634"/>
      <c r="K1560" s="237"/>
      <c r="L1560" s="1851" t="s">
        <v>1081</v>
      </c>
      <c r="M1560" s="1014"/>
      <c r="N1560" s="1042"/>
      <c r="O1560" s="1042"/>
      <c r="P1560" s="756"/>
      <c r="Q1560" s="756"/>
      <c r="R1560" s="634"/>
      <c r="S1560" s="634"/>
      <c r="T1560" s="634"/>
      <c r="U1560" s="634"/>
      <c r="V1560" s="634"/>
      <c r="W1560" s="634"/>
      <c r="X1560" s="1757"/>
      <c r="Y1560" s="2081"/>
      <c r="Z1560" s="2083"/>
      <c r="AA1560" s="1526"/>
      <c r="AB1560" s="634"/>
      <c r="AC1560" s="970"/>
      <c r="AD1560" s="970"/>
      <c r="AE1560" s="970"/>
      <c r="AF1560" s="634"/>
      <c r="AG1560" s="634"/>
      <c r="AH1560" s="634"/>
      <c r="AI1560" s="634"/>
      <c r="AJ1560" s="634"/>
      <c r="AK1560" s="634"/>
      <c r="AL1560" s="1336"/>
      <c r="AM1560" s="1336"/>
      <c r="AN1560" s="1336"/>
      <c r="AO1560" s="1336"/>
      <c r="AP1560" s="1336"/>
      <c r="AQ1560" s="1336"/>
      <c r="AR1560" s="1336"/>
      <c r="AS1560" s="1336"/>
      <c r="AT1560" s="634"/>
      <c r="AU1560" s="634"/>
      <c r="AV1560" s="634"/>
      <c r="AW1560" s="634"/>
      <c r="AX1560" s="634"/>
      <c r="AY1560" s="634"/>
      <c r="AZ1560" s="634"/>
      <c r="BA1560" s="634"/>
      <c r="BB1560" s="634"/>
      <c r="BC1560" s="634"/>
      <c r="BD1560" s="634"/>
      <c r="BE1560" s="634"/>
      <c r="BF1560" s="634"/>
      <c r="BG1560" s="634"/>
      <c r="BH1560" s="634"/>
      <c r="BI1560" s="634"/>
    </row>
    <row r="1561" spans="1:61" x14ac:dyDescent="0.25">
      <c r="A1561" s="2371">
        <v>7</v>
      </c>
      <c r="B1561" s="2385">
        <v>706.3</v>
      </c>
      <c r="C1561" s="2381"/>
      <c r="D1561" s="2374"/>
      <c r="E1561" s="2374"/>
      <c r="F1561" s="2374"/>
      <c r="G1561" s="2373" t="str">
        <f t="shared" si="93"/>
        <v/>
      </c>
      <c r="H1561" s="2371" t="s">
        <v>3973</v>
      </c>
      <c r="I1561" s="4"/>
      <c r="J1561" s="634"/>
      <c r="K1561" s="237"/>
      <c r="L1561" s="1851"/>
      <c r="M1561" s="1014"/>
      <c r="N1561" s="1042"/>
      <c r="O1561" s="1042"/>
      <c r="P1561" s="756"/>
      <c r="Q1561" s="756"/>
      <c r="R1561" s="634"/>
      <c r="S1561" s="634"/>
      <c r="T1561" s="634"/>
      <c r="U1561" s="634"/>
      <c r="V1561" s="634"/>
      <c r="W1561" s="634"/>
      <c r="X1561" s="1757"/>
      <c r="Y1561" s="2081"/>
      <c r="Z1561" s="2083"/>
      <c r="AA1561" s="1526"/>
      <c r="AB1561" s="634"/>
      <c r="AC1561" s="970"/>
      <c r="AD1561" s="970"/>
      <c r="AE1561" s="970"/>
      <c r="AF1561" s="634"/>
      <c r="AG1561" s="634"/>
      <c r="AH1561" s="634"/>
      <c r="AI1561" s="634"/>
      <c r="AJ1561" s="634"/>
      <c r="AK1561" s="634"/>
      <c r="AL1561" s="1336"/>
      <c r="AM1561" s="1336"/>
      <c r="AN1561" s="1336"/>
      <c r="AO1561" s="1336"/>
      <c r="AP1561" s="1336"/>
      <c r="AQ1561" s="1336"/>
      <c r="AR1561" s="1336"/>
      <c r="AS1561" s="1336"/>
      <c r="AT1561" s="634"/>
      <c r="AU1561" s="634"/>
      <c r="AV1561" s="634"/>
      <c r="AW1561" s="634"/>
      <c r="AX1561" s="634"/>
      <c r="AY1561" s="634"/>
      <c r="AZ1561" s="634"/>
      <c r="BA1561" s="634"/>
      <c r="BB1561" s="634"/>
      <c r="BC1561" s="634"/>
      <c r="BD1561" s="634"/>
      <c r="BE1561" s="634"/>
      <c r="BF1561" s="634"/>
      <c r="BG1561" s="634"/>
      <c r="BH1561" s="634"/>
      <c r="BI1561" s="634"/>
    </row>
    <row r="1562" spans="1:61" x14ac:dyDescent="0.25">
      <c r="A1562" s="2371">
        <v>7</v>
      </c>
      <c r="B1562" s="2385">
        <v>706.3</v>
      </c>
      <c r="C1562" s="2381"/>
      <c r="D1562" s="2374"/>
      <c r="E1562" s="2374"/>
      <c r="F1562" s="2374"/>
      <c r="G1562" s="2373" t="str">
        <f t="shared" si="93"/>
        <v/>
      </c>
      <c r="H1562" s="2371" t="s">
        <v>3973</v>
      </c>
      <c r="I1562" s="4"/>
      <c r="J1562" s="639"/>
      <c r="K1562" s="634"/>
      <c r="L1562" s="1851" t="s">
        <v>1082</v>
      </c>
      <c r="M1562" s="1014"/>
      <c r="N1562" s="1042"/>
      <c r="O1562" s="1042"/>
      <c r="P1562" s="756"/>
      <c r="Q1562" s="756"/>
      <c r="R1562" s="634"/>
      <c r="S1562" s="634"/>
      <c r="T1562" s="634"/>
      <c r="U1562" s="634"/>
      <c r="V1562" s="634"/>
      <c r="W1562" s="634"/>
      <c r="X1562" s="1757"/>
      <c r="Y1562" s="2081"/>
      <c r="Z1562" s="2083"/>
      <c r="AA1562" s="1526"/>
      <c r="AB1562" s="634"/>
      <c r="AC1562" s="970"/>
      <c r="AD1562" s="970"/>
      <c r="AE1562" s="970"/>
      <c r="AF1562" s="634"/>
      <c r="AG1562" s="634"/>
      <c r="AH1562" s="634"/>
      <c r="AI1562" s="634"/>
      <c r="AJ1562" s="634"/>
      <c r="AK1562" s="634"/>
      <c r="AL1562" s="1336"/>
      <c r="AM1562" s="1336"/>
      <c r="AN1562" s="1336"/>
      <c r="AO1562" s="1336"/>
      <c r="AP1562" s="1336"/>
      <c r="AQ1562" s="1336"/>
      <c r="AR1562" s="1336"/>
      <c r="AS1562" s="1336"/>
      <c r="AT1562" s="634"/>
      <c r="AU1562" s="634"/>
      <c r="AV1562" s="634"/>
      <c r="AW1562" s="634"/>
      <c r="AX1562" s="634"/>
      <c r="AY1562" s="634"/>
      <c r="AZ1562" s="634"/>
      <c r="BA1562" s="634"/>
      <c r="BB1562" s="634"/>
      <c r="BC1562" s="634"/>
      <c r="BD1562" s="634"/>
      <c r="BE1562" s="634"/>
      <c r="BF1562" s="634"/>
      <c r="BG1562" s="634"/>
      <c r="BH1562" s="634"/>
      <c r="BI1562" s="634"/>
    </row>
    <row r="1563" spans="1:61" x14ac:dyDescent="0.25">
      <c r="A1563" s="2371">
        <v>7</v>
      </c>
      <c r="B1563" s="2385">
        <v>706.3</v>
      </c>
      <c r="C1563" s="2381"/>
      <c r="D1563" s="2374"/>
      <c r="E1563" s="2374"/>
      <c r="F1563" s="2374"/>
      <c r="G1563" s="2373" t="str">
        <f t="shared" si="93"/>
        <v/>
      </c>
      <c r="H1563" s="2371" t="s">
        <v>3973</v>
      </c>
      <c r="I1563" s="4"/>
      <c r="J1563" s="639"/>
      <c r="K1563" s="634"/>
      <c r="L1563" s="1851"/>
      <c r="M1563" s="1014"/>
      <c r="N1563" s="1042"/>
      <c r="O1563" s="1042"/>
      <c r="P1563" s="756"/>
      <c r="Q1563" s="756"/>
      <c r="R1563" s="634"/>
      <c r="S1563" s="634"/>
      <c r="T1563" s="634"/>
      <c r="U1563" s="634"/>
      <c r="V1563" s="634"/>
      <c r="W1563" s="634"/>
      <c r="X1563" s="1757"/>
      <c r="Y1563" s="2081"/>
      <c r="Z1563" s="2083"/>
      <c r="AA1563" s="1526"/>
      <c r="AB1563" s="634"/>
      <c r="AC1563" s="970"/>
      <c r="AD1563" s="970"/>
      <c r="AE1563" s="970"/>
      <c r="AF1563" s="634"/>
      <c r="AG1563" s="634"/>
      <c r="AH1563" s="634"/>
      <c r="AI1563" s="634"/>
      <c r="AJ1563" s="634"/>
      <c r="AK1563" s="634"/>
      <c r="AL1563" s="1336"/>
      <c r="AM1563" s="1336"/>
      <c r="AN1563" s="1336"/>
      <c r="AO1563" s="1336"/>
      <c r="AP1563" s="1336"/>
      <c r="AQ1563" s="1336"/>
      <c r="AR1563" s="1336"/>
      <c r="AS1563" s="1336"/>
      <c r="AT1563" s="634"/>
      <c r="AU1563" s="634"/>
      <c r="AV1563" s="634"/>
      <c r="AW1563" s="634"/>
      <c r="AX1563" s="634"/>
      <c r="AY1563" s="634"/>
      <c r="AZ1563" s="634"/>
      <c r="BA1563" s="634"/>
      <c r="BB1563" s="634"/>
      <c r="BC1563" s="634"/>
      <c r="BD1563" s="634"/>
      <c r="BE1563" s="634"/>
      <c r="BF1563" s="634"/>
      <c r="BG1563" s="634"/>
      <c r="BH1563" s="634"/>
      <c r="BI1563" s="634"/>
    </row>
    <row r="1564" spans="1:61" x14ac:dyDescent="0.25">
      <c r="A1564" s="2371">
        <v>7</v>
      </c>
      <c r="B1564" s="2385">
        <v>706.3</v>
      </c>
      <c r="C1564" s="2374" t="s">
        <v>256</v>
      </c>
      <c r="D1564" s="2374"/>
      <c r="E1564" s="2374"/>
      <c r="F1564" s="2374"/>
      <c r="G1564" s="2373" t="str">
        <f t="shared" si="93"/>
        <v/>
      </c>
      <c r="H1564" s="2371" t="s">
        <v>3973</v>
      </c>
      <c r="I1564" s="4"/>
      <c r="J1564" s="544" t="s">
        <v>256</v>
      </c>
      <c r="K1564" s="637"/>
      <c r="L1564" s="1163" t="s">
        <v>963</v>
      </c>
      <c r="M1564" s="1014"/>
      <c r="N1564" s="1042"/>
      <c r="O1564" s="1042"/>
      <c r="P1564" s="94" t="b">
        <v>0</v>
      </c>
      <c r="Q1564" s="94" t="b">
        <v>1</v>
      </c>
      <c r="R1564" s="634" t="b">
        <v>0</v>
      </c>
      <c r="S1564" s="634" t="b">
        <f>IFERROR(NOT(OR(W1599:W1600,W1611)),TRUE)</f>
        <v>1</v>
      </c>
      <c r="T1564" s="94" t="b">
        <f t="shared" ref="T1564:T1571" si="94">AND(NOT(S1564),W1564=TRUE)</f>
        <v>0</v>
      </c>
      <c r="U1564" s="634"/>
      <c r="V1564" s="634"/>
      <c r="W1564" s="25"/>
      <c r="X1564" s="918"/>
      <c r="Y1564" s="988" t="str">
        <f>IF(LEN('Ch7'!X694)=0,"None",'Ch7'!X694)</f>
        <v>None</v>
      </c>
      <c r="Z1564" s="1587"/>
      <c r="AA1564" s="1526"/>
      <c r="AB1564" s="634"/>
      <c r="AC1564" s="970" t="b">
        <f t="shared" ref="AC1564:AC1571" si="95">OR(AD1564:AE1564)</f>
        <v>0</v>
      </c>
      <c r="AD1564" s="970" t="b">
        <f t="shared" ref="AD1564:AD1571" si="96">T1564</f>
        <v>0</v>
      </c>
      <c r="AE1564" s="970"/>
      <c r="AF1564" s="784"/>
      <c r="AG1564" s="634"/>
      <c r="AH1564" s="634"/>
      <c r="AI1564" s="634"/>
      <c r="AJ1564" s="634"/>
      <c r="AK1564" s="634"/>
      <c r="AL1564" s="1336"/>
      <c r="AM1564" s="1336"/>
      <c r="AN1564" s="1336"/>
      <c r="AO1564" s="1336"/>
      <c r="AP1564" s="254" t="str">
        <f t="shared" ref="AP1564:AP1571" si="97">SUBSTITUTE(SUBSTITUTE(SUBSTITUTE("vch"&amp;$B1564&amp;$C1564&amp;$D1564&amp;$E1564,".","_"),"(","_"),")","")</f>
        <v>vch706_3_1</v>
      </c>
      <c r="AQ1564" s="254" t="str">
        <f t="shared" ref="AQ1564:AQ1571" si="98">IF(LEN(W1564)=0,"",W1564)</f>
        <v/>
      </c>
      <c r="AR1564" s="254" t="str">
        <f t="shared" ref="AR1564:AR1571" si="99">SUBSTITUTE(SUBSTITUTE(SUBSTITUTE("vnt"&amp;$B1564&amp;$C1564&amp;$D1564&amp;$E1564,".","_"),"(","_"),")","")</f>
        <v>vnt706_3_1</v>
      </c>
      <c r="AS1564" s="254" t="str">
        <f>IF(LEN(X1564)=0,"",X1564)</f>
        <v/>
      </c>
      <c r="AT1564" s="634"/>
      <c r="AU1564" s="634"/>
      <c r="AV1564" s="634"/>
      <c r="AW1564" s="634"/>
      <c r="AX1564" s="634"/>
      <c r="AY1564" s="634"/>
      <c r="AZ1564" s="634"/>
      <c r="BA1564" s="634"/>
      <c r="BB1564" s="634"/>
      <c r="BC1564" s="634"/>
      <c r="BD1564" s="634"/>
      <c r="BE1564" s="634"/>
      <c r="BF1564" s="634"/>
      <c r="BG1564" s="634"/>
      <c r="BH1564" s="634"/>
      <c r="BI1564" s="634"/>
    </row>
    <row r="1565" spans="1:61" x14ac:dyDescent="0.25">
      <c r="A1565" s="2371">
        <v>7</v>
      </c>
      <c r="B1565" s="2385">
        <v>706.3</v>
      </c>
      <c r="C1565" s="2374" t="s">
        <v>258</v>
      </c>
      <c r="D1565" s="2374"/>
      <c r="E1565" s="2374"/>
      <c r="F1565" s="2374"/>
      <c r="G1565" s="2373" t="str">
        <f t="shared" si="93"/>
        <v/>
      </c>
      <c r="H1565" s="2371" t="s">
        <v>3973</v>
      </c>
      <c r="I1565" s="4"/>
      <c r="J1565" s="555" t="s">
        <v>258</v>
      </c>
      <c r="K1565" s="280"/>
      <c r="L1565" s="280" t="s">
        <v>1083</v>
      </c>
      <c r="M1565" s="1014"/>
      <c r="N1565" s="1042"/>
      <c r="O1565" s="1042"/>
      <c r="P1565" s="94" t="b">
        <v>0</v>
      </c>
      <c r="Q1565" s="94" t="b">
        <v>1</v>
      </c>
      <c r="R1565" s="634" t="b">
        <v>0</v>
      </c>
      <c r="S1565" s="634" t="b">
        <f>IFERROR(NOT(OR(W1599:W1600,W1611)),TRUE)</f>
        <v>1</v>
      </c>
      <c r="T1565" s="94" t="b">
        <f t="shared" si="94"/>
        <v>0</v>
      </c>
      <c r="U1565" s="634"/>
      <c r="V1565" s="634"/>
      <c r="W1565" s="25"/>
      <c r="X1565" s="918"/>
      <c r="Y1565" s="988" t="str">
        <f>IF(LEN('Ch7'!X695)=0,"None",'Ch7'!X695)</f>
        <v>None</v>
      </c>
      <c r="Z1565" s="1587"/>
      <c r="AA1565" s="1526"/>
      <c r="AB1565" s="634"/>
      <c r="AC1565" s="970" t="b">
        <f t="shared" si="95"/>
        <v>0</v>
      </c>
      <c r="AD1565" s="970" t="b">
        <f t="shared" si="96"/>
        <v>0</v>
      </c>
      <c r="AE1565" s="970"/>
      <c r="AF1565" s="784"/>
      <c r="AG1565" s="634"/>
      <c r="AH1565" s="634"/>
      <c r="AI1565" s="634"/>
      <c r="AJ1565" s="634"/>
      <c r="AK1565" s="634"/>
      <c r="AL1565" s="1336"/>
      <c r="AM1565" s="1336"/>
      <c r="AN1565" s="1336"/>
      <c r="AO1565" s="1336"/>
      <c r="AP1565" s="254" t="str">
        <f t="shared" si="97"/>
        <v>vch706_3_2</v>
      </c>
      <c r="AQ1565" s="254" t="str">
        <f t="shared" si="98"/>
        <v/>
      </c>
      <c r="AR1565" s="254" t="str">
        <f t="shared" si="99"/>
        <v>vnt706_3_2</v>
      </c>
      <c r="AS1565" s="254" t="str">
        <f t="shared" ref="AS1565:AS1571" si="100">IF(LEN(X1565)=0,"",X1565)</f>
        <v/>
      </c>
      <c r="AT1565" s="634"/>
      <c r="AU1565" s="634"/>
      <c r="AV1565" s="634"/>
      <c r="AW1565" s="634"/>
      <c r="AX1565" s="634"/>
      <c r="AY1565" s="634"/>
      <c r="AZ1565" s="634"/>
      <c r="BA1565" s="634"/>
      <c r="BB1565" s="634"/>
      <c r="BC1565" s="634"/>
      <c r="BD1565" s="634"/>
      <c r="BE1565" s="634"/>
      <c r="BF1565" s="634"/>
      <c r="BG1565" s="634"/>
      <c r="BH1565" s="634"/>
      <c r="BI1565" s="634"/>
    </row>
    <row r="1566" spans="1:61" x14ac:dyDescent="0.25">
      <c r="A1566" s="2371">
        <v>7</v>
      </c>
      <c r="B1566" s="2385">
        <v>706.3</v>
      </c>
      <c r="C1566" s="2374" t="s">
        <v>260</v>
      </c>
      <c r="D1566" s="2374"/>
      <c r="E1566" s="2374"/>
      <c r="F1566" s="2374"/>
      <c r="G1566" s="2373" t="str">
        <f t="shared" si="93"/>
        <v/>
      </c>
      <c r="H1566" s="2371" t="s">
        <v>3973</v>
      </c>
      <c r="I1566" s="4"/>
      <c r="J1566" s="555" t="s">
        <v>260</v>
      </c>
      <c r="K1566" s="280"/>
      <c r="L1566" s="280" t="s">
        <v>964</v>
      </c>
      <c r="M1566" s="1014"/>
      <c r="N1566" s="1042"/>
      <c r="O1566" s="1042"/>
      <c r="P1566" s="94" t="b">
        <v>0</v>
      </c>
      <c r="Q1566" s="94" t="b">
        <v>1</v>
      </c>
      <c r="R1566" s="634" t="b">
        <v>0</v>
      </c>
      <c r="S1566" s="634" t="b">
        <f>IFERROR(NOT(OR(W1599:W1600,W1611)),TRUE)</f>
        <v>1</v>
      </c>
      <c r="T1566" s="94" t="b">
        <f t="shared" si="94"/>
        <v>0</v>
      </c>
      <c r="U1566" s="634"/>
      <c r="V1566" s="634"/>
      <c r="W1566" s="25"/>
      <c r="X1566" s="918"/>
      <c r="Y1566" s="988" t="str">
        <f>IF(LEN('Ch7'!X696)=0,"None",'Ch7'!X696)</f>
        <v>None</v>
      </c>
      <c r="Z1566" s="1587"/>
      <c r="AA1566" s="1526"/>
      <c r="AB1566" s="634"/>
      <c r="AC1566" s="970" t="b">
        <f t="shared" si="95"/>
        <v>0</v>
      </c>
      <c r="AD1566" s="970" t="b">
        <f t="shared" si="96"/>
        <v>0</v>
      </c>
      <c r="AE1566" s="970"/>
      <c r="AF1566" s="784"/>
      <c r="AG1566" s="634"/>
      <c r="AH1566" s="634"/>
      <c r="AI1566" s="634"/>
      <c r="AJ1566" s="634"/>
      <c r="AK1566" s="634"/>
      <c r="AL1566" s="1336"/>
      <c r="AM1566" s="1336"/>
      <c r="AN1566" s="1336"/>
      <c r="AO1566" s="1336"/>
      <c r="AP1566" s="254" t="str">
        <f t="shared" si="97"/>
        <v>vch706_3_3</v>
      </c>
      <c r="AQ1566" s="254" t="str">
        <f t="shared" si="98"/>
        <v/>
      </c>
      <c r="AR1566" s="254" t="str">
        <f t="shared" si="99"/>
        <v>vnt706_3_3</v>
      </c>
      <c r="AS1566" s="254" t="str">
        <f t="shared" si="100"/>
        <v/>
      </c>
      <c r="AT1566" s="634"/>
      <c r="AU1566" s="634"/>
      <c r="AV1566" s="634"/>
      <c r="AW1566" s="634"/>
      <c r="AX1566" s="634"/>
      <c r="AY1566" s="634"/>
      <c r="AZ1566" s="634"/>
      <c r="BA1566" s="634"/>
      <c r="BB1566" s="634"/>
      <c r="BC1566" s="634"/>
      <c r="BD1566" s="634"/>
      <c r="BE1566" s="634"/>
      <c r="BF1566" s="634"/>
      <c r="BG1566" s="634"/>
      <c r="BH1566" s="634"/>
      <c r="BI1566" s="634"/>
    </row>
    <row r="1567" spans="1:61" x14ac:dyDescent="0.25">
      <c r="A1567" s="2371">
        <v>7</v>
      </c>
      <c r="B1567" s="2385">
        <v>706.3</v>
      </c>
      <c r="C1567" s="2374" t="s">
        <v>269</v>
      </c>
      <c r="D1567" s="2374"/>
      <c r="E1567" s="2374"/>
      <c r="F1567" s="2374"/>
      <c r="G1567" s="2373" t="str">
        <f t="shared" si="93"/>
        <v/>
      </c>
      <c r="H1567" s="2371" t="s">
        <v>3973</v>
      </c>
      <c r="I1567" s="4"/>
      <c r="J1567" s="555" t="s">
        <v>269</v>
      </c>
      <c r="K1567" s="280"/>
      <c r="L1567" s="280" t="s">
        <v>1084</v>
      </c>
      <c r="M1567" s="1014"/>
      <c r="N1567" s="1042"/>
      <c r="O1567" s="1042"/>
      <c r="P1567" s="94" t="b">
        <v>0</v>
      </c>
      <c r="Q1567" s="94" t="b">
        <v>1</v>
      </c>
      <c r="R1567" s="634" t="b">
        <v>0</v>
      </c>
      <c r="S1567" s="634" t="b">
        <f>IFERROR(NOT(OR(W1599:W1600,W1611)),TRUE)</f>
        <v>1</v>
      </c>
      <c r="T1567" s="94" t="b">
        <f t="shared" si="94"/>
        <v>0</v>
      </c>
      <c r="U1567" s="634"/>
      <c r="V1567" s="634"/>
      <c r="W1567" s="25"/>
      <c r="X1567" s="918"/>
      <c r="Y1567" s="988" t="str">
        <f>IF(LEN('Ch7'!X697)=0,"None",'Ch7'!X697)</f>
        <v>None</v>
      </c>
      <c r="Z1567" s="1587"/>
      <c r="AA1567" s="1526"/>
      <c r="AB1567" s="634"/>
      <c r="AC1567" s="970" t="b">
        <f t="shared" si="95"/>
        <v>0</v>
      </c>
      <c r="AD1567" s="970" t="b">
        <f t="shared" si="96"/>
        <v>0</v>
      </c>
      <c r="AE1567" s="970"/>
      <c r="AF1567" s="784"/>
      <c r="AG1567" s="634"/>
      <c r="AH1567" s="634"/>
      <c r="AI1567" s="634"/>
      <c r="AJ1567" s="634"/>
      <c r="AK1567" s="634"/>
      <c r="AL1567" s="1336"/>
      <c r="AM1567" s="1336"/>
      <c r="AN1567" s="1336"/>
      <c r="AO1567" s="1336"/>
      <c r="AP1567" s="254" t="str">
        <f t="shared" si="97"/>
        <v>vch706_3_4</v>
      </c>
      <c r="AQ1567" s="254" t="str">
        <f t="shared" si="98"/>
        <v/>
      </c>
      <c r="AR1567" s="254" t="str">
        <f t="shared" si="99"/>
        <v>vnt706_3_4</v>
      </c>
      <c r="AS1567" s="254" t="str">
        <f t="shared" si="100"/>
        <v/>
      </c>
      <c r="AT1567" s="634"/>
      <c r="AU1567" s="634"/>
      <c r="AV1567" s="634"/>
      <c r="AW1567" s="634"/>
      <c r="AX1567" s="634"/>
      <c r="AY1567" s="634"/>
      <c r="AZ1567" s="634"/>
      <c r="BA1567" s="634"/>
      <c r="BB1567" s="634"/>
      <c r="BC1567" s="634"/>
      <c r="BD1567" s="634"/>
      <c r="BE1567" s="634"/>
      <c r="BF1567" s="634"/>
      <c r="BG1567" s="634"/>
      <c r="BH1567" s="634"/>
      <c r="BI1567" s="634"/>
    </row>
    <row r="1568" spans="1:61" x14ac:dyDescent="0.25">
      <c r="A1568" s="2371">
        <v>7</v>
      </c>
      <c r="B1568" s="2385">
        <v>706.3</v>
      </c>
      <c r="C1568" s="2374" t="s">
        <v>275</v>
      </c>
      <c r="D1568" s="2374"/>
      <c r="E1568" s="2374"/>
      <c r="F1568" s="2374"/>
      <c r="G1568" s="2373" t="str">
        <f t="shared" si="93"/>
        <v/>
      </c>
      <c r="H1568" s="2371" t="s">
        <v>3973</v>
      </c>
      <c r="I1568" s="4"/>
      <c r="J1568" s="555" t="s">
        <v>275</v>
      </c>
      <c r="K1568" s="280"/>
      <c r="L1568" s="280" t="s">
        <v>1085</v>
      </c>
      <c r="M1568" s="1014"/>
      <c r="N1568" s="1042"/>
      <c r="O1568" s="1042"/>
      <c r="P1568" s="94" t="b">
        <v>0</v>
      </c>
      <c r="Q1568" s="94" t="b">
        <v>1</v>
      </c>
      <c r="R1568" s="634" t="b">
        <v>0</v>
      </c>
      <c r="S1568" s="634" t="b">
        <f>IFERROR(NOT(OR(W1599:W1600,W1611)),TRUE)</f>
        <v>1</v>
      </c>
      <c r="T1568" s="94" t="b">
        <f t="shared" si="94"/>
        <v>0</v>
      </c>
      <c r="U1568" s="634"/>
      <c r="V1568" s="634"/>
      <c r="W1568" s="25"/>
      <c r="X1568" s="918"/>
      <c r="Y1568" s="988" t="str">
        <f>IF(LEN('Ch7'!X698)=0,"None",'Ch7'!X698)</f>
        <v>None</v>
      </c>
      <c r="Z1568" s="1587"/>
      <c r="AA1568" s="1526"/>
      <c r="AB1568" s="634"/>
      <c r="AC1568" s="970" t="b">
        <f t="shared" si="95"/>
        <v>0</v>
      </c>
      <c r="AD1568" s="970" t="b">
        <f t="shared" si="96"/>
        <v>0</v>
      </c>
      <c r="AE1568" s="970"/>
      <c r="AF1568" s="784"/>
      <c r="AG1568" s="634"/>
      <c r="AH1568" s="634"/>
      <c r="AI1568" s="634"/>
      <c r="AJ1568" s="634"/>
      <c r="AK1568" s="634"/>
      <c r="AL1568" s="1336"/>
      <c r="AM1568" s="1336"/>
      <c r="AN1568" s="1336"/>
      <c r="AO1568" s="1336"/>
      <c r="AP1568" s="254" t="str">
        <f t="shared" si="97"/>
        <v>vch706_3_5</v>
      </c>
      <c r="AQ1568" s="254" t="str">
        <f t="shared" si="98"/>
        <v/>
      </c>
      <c r="AR1568" s="254" t="str">
        <f t="shared" si="99"/>
        <v>vnt706_3_5</v>
      </c>
      <c r="AS1568" s="254" t="str">
        <f t="shared" si="100"/>
        <v/>
      </c>
      <c r="AT1568" s="634"/>
      <c r="AU1568" s="634"/>
      <c r="AV1568" s="634"/>
      <c r="AW1568" s="634"/>
      <c r="AX1568" s="634"/>
      <c r="AY1568" s="634"/>
      <c r="AZ1568" s="634"/>
      <c r="BA1568" s="634"/>
      <c r="BB1568" s="634"/>
      <c r="BC1568" s="634"/>
      <c r="BD1568" s="634"/>
      <c r="BE1568" s="634"/>
      <c r="BF1568" s="634"/>
      <c r="BG1568" s="634"/>
      <c r="BH1568" s="634"/>
      <c r="BI1568" s="634"/>
    </row>
    <row r="1569" spans="1:61" x14ac:dyDescent="0.25">
      <c r="A1569" s="2371">
        <v>7</v>
      </c>
      <c r="B1569" s="2385">
        <v>706.3</v>
      </c>
      <c r="C1569" s="2374" t="s">
        <v>277</v>
      </c>
      <c r="D1569" s="2374"/>
      <c r="E1569" s="2374"/>
      <c r="F1569" s="2374"/>
      <c r="G1569" s="2373" t="str">
        <f t="shared" si="93"/>
        <v/>
      </c>
      <c r="H1569" s="2371" t="s">
        <v>3973</v>
      </c>
      <c r="I1569" s="4"/>
      <c r="J1569" s="555" t="s">
        <v>277</v>
      </c>
      <c r="K1569" s="280"/>
      <c r="L1569" s="280" t="s">
        <v>1086</v>
      </c>
      <c r="M1569" s="1014"/>
      <c r="N1569" s="1042"/>
      <c r="O1569" s="1042"/>
      <c r="P1569" s="94" t="b">
        <v>0</v>
      </c>
      <c r="Q1569" s="94" t="b">
        <v>1</v>
      </c>
      <c r="R1569" s="634" t="b">
        <v>0</v>
      </c>
      <c r="S1569" s="634" t="b">
        <f>IFERROR(NOT(OR(W1599:W1600,W1611)),TRUE)</f>
        <v>1</v>
      </c>
      <c r="T1569" s="94" t="b">
        <f t="shared" si="94"/>
        <v>0</v>
      </c>
      <c r="U1569" s="634"/>
      <c r="V1569" s="634"/>
      <c r="W1569" s="25"/>
      <c r="X1569" s="918"/>
      <c r="Y1569" s="988" t="str">
        <f>IF(LEN('Ch7'!X699)=0,"None",'Ch7'!X699)</f>
        <v>None</v>
      </c>
      <c r="Z1569" s="1587"/>
      <c r="AA1569" s="1526"/>
      <c r="AB1569" s="634"/>
      <c r="AC1569" s="970" t="b">
        <f t="shared" si="95"/>
        <v>0</v>
      </c>
      <c r="AD1569" s="970" t="b">
        <f t="shared" si="96"/>
        <v>0</v>
      </c>
      <c r="AE1569" s="970"/>
      <c r="AF1569" s="784"/>
      <c r="AG1569" s="634"/>
      <c r="AH1569" s="634"/>
      <c r="AI1569" s="634"/>
      <c r="AJ1569" s="634"/>
      <c r="AK1569" s="634"/>
      <c r="AL1569" s="1336"/>
      <c r="AM1569" s="1336"/>
      <c r="AN1569" s="1336"/>
      <c r="AO1569" s="1336"/>
      <c r="AP1569" s="254" t="str">
        <f t="shared" si="97"/>
        <v>vch706_3_6</v>
      </c>
      <c r="AQ1569" s="254" t="str">
        <f t="shared" si="98"/>
        <v/>
      </c>
      <c r="AR1569" s="254" t="str">
        <f t="shared" si="99"/>
        <v>vnt706_3_6</v>
      </c>
      <c r="AS1569" s="254" t="str">
        <f t="shared" si="100"/>
        <v/>
      </c>
      <c r="AT1569" s="634"/>
      <c r="AU1569" s="634"/>
      <c r="AV1569" s="634"/>
      <c r="AW1569" s="634"/>
      <c r="AX1569" s="634"/>
      <c r="AY1569" s="634"/>
      <c r="AZ1569" s="634"/>
      <c r="BA1569" s="634"/>
      <c r="BB1569" s="634"/>
      <c r="BC1569" s="634"/>
      <c r="BD1569" s="634"/>
      <c r="BE1569" s="634"/>
      <c r="BF1569" s="634"/>
      <c r="BG1569" s="634"/>
      <c r="BH1569" s="634"/>
      <c r="BI1569" s="634"/>
    </row>
    <row r="1570" spans="1:61" x14ac:dyDescent="0.25">
      <c r="A1570" s="2371">
        <v>7</v>
      </c>
      <c r="B1570" s="2385">
        <v>706.3</v>
      </c>
      <c r="C1570" s="2374" t="s">
        <v>383</v>
      </c>
      <c r="D1570" s="2374"/>
      <c r="E1570" s="2374"/>
      <c r="F1570" s="2374"/>
      <c r="G1570" s="2373" t="str">
        <f t="shared" si="93"/>
        <v/>
      </c>
      <c r="H1570" s="2371" t="s">
        <v>3973</v>
      </c>
      <c r="I1570" s="4"/>
      <c r="J1570" s="555" t="s">
        <v>383</v>
      </c>
      <c r="K1570" s="280"/>
      <c r="L1570" s="280" t="s">
        <v>1087</v>
      </c>
      <c r="M1570" s="1014"/>
      <c r="N1570" s="1042"/>
      <c r="O1570" s="1042"/>
      <c r="P1570" s="94" t="b">
        <v>0</v>
      </c>
      <c r="Q1570" s="94" t="b">
        <v>1</v>
      </c>
      <c r="R1570" s="634" t="b">
        <v>0</v>
      </c>
      <c r="S1570" s="634" t="b">
        <f>IFERROR(NOT(OR(W1599:W1600,W1611)),TRUE)</f>
        <v>1</v>
      </c>
      <c r="T1570" s="94" t="b">
        <f t="shared" si="94"/>
        <v>0</v>
      </c>
      <c r="U1570" s="634"/>
      <c r="V1570" s="634"/>
      <c r="W1570" s="25"/>
      <c r="X1570" s="918"/>
      <c r="Y1570" s="988" t="str">
        <f>IF(LEN('Ch7'!X700)=0,"None",'Ch7'!X700)</f>
        <v>None</v>
      </c>
      <c r="Z1570" s="1587"/>
      <c r="AA1570" s="1526"/>
      <c r="AB1570" s="634"/>
      <c r="AC1570" s="970" t="b">
        <f t="shared" si="95"/>
        <v>0</v>
      </c>
      <c r="AD1570" s="970" t="b">
        <f t="shared" si="96"/>
        <v>0</v>
      </c>
      <c r="AE1570" s="970"/>
      <c r="AF1570" s="784"/>
      <c r="AG1570" s="634"/>
      <c r="AH1570" s="634"/>
      <c r="AI1570" s="634"/>
      <c r="AJ1570" s="634"/>
      <c r="AK1570" s="634"/>
      <c r="AL1570" s="1336"/>
      <c r="AM1570" s="1336"/>
      <c r="AN1570" s="1336"/>
      <c r="AO1570" s="1336"/>
      <c r="AP1570" s="254" t="str">
        <f t="shared" si="97"/>
        <v>vch706_3_7</v>
      </c>
      <c r="AQ1570" s="254" t="str">
        <f t="shared" si="98"/>
        <v/>
      </c>
      <c r="AR1570" s="254" t="str">
        <f t="shared" si="99"/>
        <v>vnt706_3_7</v>
      </c>
      <c r="AS1570" s="254" t="str">
        <f t="shared" si="100"/>
        <v/>
      </c>
      <c r="AT1570" s="634"/>
      <c r="AU1570" s="634"/>
      <c r="AV1570" s="634"/>
      <c r="AW1570" s="634"/>
      <c r="AX1570" s="634"/>
      <c r="AY1570" s="634"/>
      <c r="AZ1570" s="634"/>
      <c r="BA1570" s="634"/>
      <c r="BB1570" s="634"/>
      <c r="BC1570" s="634"/>
      <c r="BD1570" s="634"/>
      <c r="BE1570" s="634"/>
      <c r="BF1570" s="634"/>
      <c r="BG1570" s="634"/>
      <c r="BH1570" s="634"/>
      <c r="BI1570" s="634"/>
    </row>
    <row r="1571" spans="1:61" ht="15.75" thickBot="1" x14ac:dyDescent="0.3">
      <c r="A1571" s="2371">
        <v>7</v>
      </c>
      <c r="B1571" s="2385">
        <v>706.3</v>
      </c>
      <c r="C1571" s="2374" t="s">
        <v>428</v>
      </c>
      <c r="D1571" s="2374"/>
      <c r="E1571" s="2374"/>
      <c r="F1571" s="2374"/>
      <c r="G1571" s="2373" t="str">
        <f t="shared" si="93"/>
        <v/>
      </c>
      <c r="H1571" s="2371" t="s">
        <v>3973</v>
      </c>
      <c r="I1571" s="240"/>
      <c r="J1571" s="546" t="s">
        <v>428</v>
      </c>
      <c r="K1571" s="642"/>
      <c r="L1571" s="1171" t="s">
        <v>1088</v>
      </c>
      <c r="M1571" s="1011"/>
      <c r="N1571" s="1045"/>
      <c r="O1571" s="1045"/>
      <c r="P1571" s="94" t="b">
        <v>0</v>
      </c>
      <c r="Q1571" s="94" t="b">
        <v>1</v>
      </c>
      <c r="R1571" s="99" t="b">
        <v>0</v>
      </c>
      <c r="S1571" s="99" t="b">
        <f>IFERROR(NOT(OR(W1599:W1600,W1611)),TRUE)</f>
        <v>1</v>
      </c>
      <c r="T1571" s="99" t="b">
        <f t="shared" si="94"/>
        <v>0</v>
      </c>
      <c r="U1571" s="99"/>
      <c r="V1571" s="99"/>
      <c r="W1571" s="100"/>
      <c r="X1571" s="914"/>
      <c r="Y1571" s="989" t="str">
        <f>IF(LEN('Ch7'!X701)=0,"None",'Ch7'!X701)</f>
        <v>None</v>
      </c>
      <c r="Z1571" s="1595"/>
      <c r="AA1571" s="1526"/>
      <c r="AB1571" s="634"/>
      <c r="AC1571" s="970" t="b">
        <f t="shared" si="95"/>
        <v>0</v>
      </c>
      <c r="AD1571" s="970" t="b">
        <f t="shared" si="96"/>
        <v>0</v>
      </c>
      <c r="AE1571" s="970"/>
      <c r="AF1571" s="784"/>
      <c r="AG1571" s="634"/>
      <c r="AH1571" s="634"/>
      <c r="AI1571" s="634"/>
      <c r="AJ1571" s="634"/>
      <c r="AK1571" s="634"/>
      <c r="AL1571" s="1336"/>
      <c r="AM1571" s="1336"/>
      <c r="AN1571" s="1336"/>
      <c r="AO1571" s="1336"/>
      <c r="AP1571" s="254" t="str">
        <f t="shared" si="97"/>
        <v>vch706_3_8</v>
      </c>
      <c r="AQ1571" s="254" t="str">
        <f t="shared" si="98"/>
        <v/>
      </c>
      <c r="AR1571" s="254" t="str">
        <f t="shared" si="99"/>
        <v>vnt706_3_8</v>
      </c>
      <c r="AS1571" s="254" t="str">
        <f t="shared" si="100"/>
        <v/>
      </c>
      <c r="AT1571" s="634"/>
      <c r="AU1571" s="634"/>
      <c r="AV1571" s="634"/>
      <c r="AW1571" s="634"/>
      <c r="AX1571" s="634"/>
      <c r="AY1571" s="634"/>
      <c r="AZ1571" s="634"/>
      <c r="BA1571" s="634"/>
      <c r="BB1571" s="634"/>
      <c r="BC1571" s="634"/>
      <c r="BD1571" s="634"/>
      <c r="BE1571" s="634"/>
      <c r="BF1571" s="634"/>
      <c r="BG1571" s="634"/>
      <c r="BH1571" s="634"/>
      <c r="BI1571" s="634"/>
    </row>
    <row r="1572" spans="1:61" ht="15.75" thickTop="1" x14ac:dyDescent="0.25">
      <c r="A1572" s="2371">
        <v>7</v>
      </c>
      <c r="B1572" s="2385">
        <v>706.4</v>
      </c>
      <c r="C1572" s="2374"/>
      <c r="D1572" s="2374"/>
      <c r="E1572" s="2374"/>
      <c r="F1572" s="2374"/>
      <c r="G1572" s="2363" t="str">
        <f>IF(COUNTIF(G1574:G1578,"P")&gt;0,"P","")</f>
        <v/>
      </c>
      <c r="H1572" s="2371" t="s">
        <v>3973</v>
      </c>
      <c r="I1572" s="64">
        <v>706.4</v>
      </c>
      <c r="J1572" s="639"/>
      <c r="K1572" s="639"/>
      <c r="L1572" s="1180" t="s">
        <v>1089</v>
      </c>
      <c r="M1572" s="1014"/>
      <c r="N1572" s="1042"/>
      <c r="O1572" s="1042"/>
      <c r="P1572" s="756"/>
      <c r="Q1572" s="756"/>
      <c r="R1572" s="634"/>
      <c r="S1572" s="634"/>
      <c r="T1572" s="634"/>
      <c r="U1572" s="634"/>
      <c r="V1572" s="634"/>
      <c r="W1572" s="634"/>
      <c r="X1572" s="911"/>
      <c r="Y1572" s="634"/>
      <c r="AA1572" s="1526"/>
      <c r="AB1572" s="634"/>
      <c r="AC1572" s="970"/>
      <c r="AD1572" s="970"/>
      <c r="AE1572" s="970"/>
      <c r="AF1572" s="634"/>
      <c r="AG1572" s="634"/>
      <c r="AH1572" s="634"/>
      <c r="AI1572" s="634"/>
      <c r="AJ1572" s="634"/>
      <c r="AK1572" s="634"/>
      <c r="AL1572" s="1336"/>
      <c r="AM1572" s="1336"/>
      <c r="AN1572" s="1336"/>
      <c r="AO1572" s="1336"/>
      <c r="AP1572" s="1336"/>
      <c r="AQ1572" s="1336"/>
      <c r="AR1572" s="1336"/>
      <c r="AS1572" s="1336"/>
      <c r="AT1572" s="634"/>
      <c r="AU1572" s="634"/>
      <c r="AV1572" s="634"/>
      <c r="AW1572" s="634"/>
      <c r="AX1572" s="634"/>
      <c r="AY1572" s="634"/>
      <c r="AZ1572" s="634"/>
      <c r="BA1572" s="634"/>
      <c r="BB1572" s="634"/>
      <c r="BC1572" s="634"/>
      <c r="BD1572" s="634"/>
      <c r="BE1572" s="634"/>
      <c r="BF1572" s="634"/>
      <c r="BG1572" s="634"/>
      <c r="BH1572" s="634"/>
      <c r="BI1572" s="634"/>
    </row>
    <row r="1573" spans="1:61" x14ac:dyDescent="0.25">
      <c r="A1573" s="2371">
        <v>7</v>
      </c>
      <c r="B1573" s="2385" t="s">
        <v>1090</v>
      </c>
      <c r="C1573" s="2374"/>
      <c r="D1573" s="2374"/>
      <c r="E1573" s="2374"/>
      <c r="F1573" s="2374"/>
      <c r="G1573" s="2363" t="str">
        <f>IF(COUNTIF(G1574:G1576,"P")&gt;0,"P","")</f>
        <v/>
      </c>
      <c r="H1573" s="2371" t="s">
        <v>3973</v>
      </c>
      <c r="I1573" s="64" t="s">
        <v>1090</v>
      </c>
      <c r="J1573" s="639"/>
      <c r="K1573" s="639"/>
      <c r="L1573" s="1180" t="s">
        <v>1091</v>
      </c>
      <c r="M1573" s="1014"/>
      <c r="N1573" s="1042"/>
      <c r="O1573" s="1042"/>
      <c r="P1573" s="756"/>
      <c r="Q1573" s="756"/>
      <c r="R1573" s="634"/>
      <c r="S1573" s="634"/>
      <c r="T1573" s="634"/>
      <c r="U1573" s="634"/>
      <c r="V1573" s="634"/>
      <c r="W1573" s="634"/>
      <c r="X1573" s="911"/>
      <c r="Y1573" s="634"/>
      <c r="AA1573" s="1526"/>
      <c r="AB1573" s="634"/>
      <c r="AC1573" s="970"/>
      <c r="AD1573" s="970"/>
      <c r="AE1573" s="970"/>
      <c r="AF1573" s="634"/>
      <c r="AG1573" s="634"/>
      <c r="AH1573" s="634"/>
      <c r="AI1573" s="634"/>
      <c r="AJ1573" s="634"/>
      <c r="AK1573" s="634"/>
      <c r="AL1573" s="1336"/>
      <c r="AM1573" s="1336"/>
      <c r="AN1573" s="1336"/>
      <c r="AO1573" s="1336"/>
      <c r="AP1573" s="1336"/>
      <c r="AQ1573" s="1336"/>
      <c r="AR1573" s="1336"/>
      <c r="AS1573" s="1336"/>
      <c r="AT1573" s="634"/>
      <c r="AU1573" s="634"/>
      <c r="AV1573" s="634"/>
      <c r="AW1573" s="634"/>
      <c r="AX1573" s="634"/>
      <c r="AY1573" s="634"/>
      <c r="AZ1573" s="634"/>
      <c r="BA1573" s="634"/>
      <c r="BB1573" s="634"/>
      <c r="BC1573" s="634"/>
      <c r="BD1573" s="634"/>
      <c r="BE1573" s="634"/>
      <c r="BF1573" s="634"/>
      <c r="BG1573" s="634"/>
      <c r="BH1573" s="634"/>
      <c r="BI1573" s="634"/>
    </row>
    <row r="1574" spans="1:61" x14ac:dyDescent="0.25">
      <c r="A1574" s="2371">
        <v>7</v>
      </c>
      <c r="B1574" s="2385" t="s">
        <v>1090</v>
      </c>
      <c r="C1574" s="2374" t="s">
        <v>256</v>
      </c>
      <c r="D1574" s="2374"/>
      <c r="E1574" s="2374"/>
      <c r="F1574" s="2374"/>
      <c r="G1574" s="2373" t="str">
        <f>IF(N1574&gt;0,"P","")</f>
        <v/>
      </c>
      <c r="H1574" s="2371" t="s">
        <v>3973</v>
      </c>
      <c r="I1574" s="4"/>
      <c r="J1574" s="543" t="s">
        <v>256</v>
      </c>
      <c r="K1574" s="636"/>
      <c r="L1574" s="1754" t="s">
        <v>1092</v>
      </c>
      <c r="M1574" s="1758">
        <v>1</v>
      </c>
      <c r="N1574" s="1927">
        <f>'Ch7'!O704</f>
        <v>0</v>
      </c>
      <c r="O1574" s="1927">
        <f>M1574*S1574*W1574</f>
        <v>0</v>
      </c>
      <c r="P1574" s="94" t="b">
        <v>1</v>
      </c>
      <c r="Q1574" s="94" t="b">
        <v>1</v>
      </c>
      <c r="R1574" s="634" t="b">
        <v>0</v>
      </c>
      <c r="S1574" s="634" t="b">
        <v>1</v>
      </c>
      <c r="T1574" s="94" t="b">
        <v>0</v>
      </c>
      <c r="U1574" s="634"/>
      <c r="V1574" s="634"/>
      <c r="W1574" s="25"/>
      <c r="X1574" s="1757"/>
      <c r="Y1574" s="2081" t="str">
        <f>IF(LEN('Ch7'!X704)=0,"None",'Ch7'!X704)</f>
        <v>None</v>
      </c>
      <c r="Z1574" s="2083"/>
      <c r="AA1574" s="1526"/>
      <c r="AB1574" s="634"/>
      <c r="AC1574" s="970"/>
      <c r="AD1574" s="970"/>
      <c r="AE1574" s="970"/>
      <c r="AF1574" s="784"/>
      <c r="AG1574" s="634"/>
      <c r="AH1574" s="634"/>
      <c r="AI1574" s="634"/>
      <c r="AJ1574" s="634"/>
      <c r="AK1574" s="634"/>
      <c r="AL1574" s="254" t="str">
        <f>SUBSTITUTE(SUBSTITUTE(SUBSTITUTE("vpa"&amp;$B1574&amp;$C1574&amp;$D1574&amp;$E1574,".","_"),"(","_"),")","")</f>
        <v>vpa706_4_1_1</v>
      </c>
      <c r="AM1574" s="254">
        <f>M1574</f>
        <v>1</v>
      </c>
      <c r="AN1574" s="254" t="str">
        <f>SUBSTITUTE(SUBSTITUTE(SUBSTITUTE("vpc"&amp;$B1574&amp;$C1574&amp;$D1574&amp;$E1574,".","_"),"(","_"),")","")</f>
        <v>vpc706_4_1_1</v>
      </c>
      <c r="AO1574" s="254">
        <f>O1574</f>
        <v>0</v>
      </c>
      <c r="AP1574" s="254" t="str">
        <f>SUBSTITUTE(SUBSTITUTE(SUBSTITUTE("vch"&amp;$B1574&amp;$C1574&amp;$D1574&amp;$E1574,".","_"),"(","_"),")","")</f>
        <v>vch706_4_1_1</v>
      </c>
      <c r="AQ1574" s="254" t="str">
        <f>IF(LEN(W1574)=0,"",W1574)</f>
        <v/>
      </c>
      <c r="AR1574" s="254" t="str">
        <f>SUBSTITUTE(SUBSTITUTE(SUBSTITUTE("vnt"&amp;$B1574&amp;$C1574&amp;$D1574&amp;$E1574,".","_"),"(","_"),")","")</f>
        <v>vnt706_4_1_1</v>
      </c>
      <c r="AS1574" s="254" t="str">
        <f>IF(LEN(X1574)=0,"",X1574)</f>
        <v/>
      </c>
      <c r="AT1574" s="634"/>
      <c r="AU1574" s="634"/>
      <c r="AV1574" s="634"/>
      <c r="AW1574" s="634"/>
      <c r="AX1574" s="634"/>
      <c r="AY1574" s="634"/>
      <c r="AZ1574" s="634"/>
      <c r="BA1574" s="634"/>
      <c r="BB1574" s="634"/>
      <c r="BC1574" s="634"/>
      <c r="BD1574" s="634"/>
      <c r="BE1574" s="634"/>
      <c r="BF1574" s="634"/>
      <c r="BG1574" s="634"/>
      <c r="BH1574" s="634"/>
      <c r="BI1574" s="634"/>
    </row>
    <row r="1575" spans="1:61" x14ac:dyDescent="0.25">
      <c r="A1575" s="2371">
        <v>7</v>
      </c>
      <c r="B1575" s="2385" t="s">
        <v>1090</v>
      </c>
      <c r="C1575" s="2374" t="s">
        <v>256</v>
      </c>
      <c r="D1575" s="2374"/>
      <c r="E1575" s="2374"/>
      <c r="F1575" s="2374"/>
      <c r="G1575" s="2373" t="str">
        <f>G1574</f>
        <v/>
      </c>
      <c r="H1575" s="2371" t="s">
        <v>3973</v>
      </c>
      <c r="I1575" s="4"/>
      <c r="J1575" s="544"/>
      <c r="K1575" s="637"/>
      <c r="L1575" s="1755"/>
      <c r="M1575" s="1759"/>
      <c r="N1575" s="2076"/>
      <c r="O1575" s="2076"/>
      <c r="P1575" s="756"/>
      <c r="Q1575" s="756"/>
      <c r="R1575" s="634"/>
      <c r="S1575" s="634"/>
      <c r="T1575" s="634"/>
      <c r="U1575" s="634"/>
      <c r="V1575" s="634"/>
      <c r="W1575" s="634"/>
      <c r="X1575" s="1757"/>
      <c r="Y1575" s="2081"/>
      <c r="Z1575" s="2083"/>
      <c r="AA1575" s="1526"/>
      <c r="AB1575" s="634"/>
      <c r="AC1575" s="970"/>
      <c r="AD1575" s="970"/>
      <c r="AE1575" s="970"/>
      <c r="AF1575" s="634"/>
      <c r="AG1575" s="634"/>
      <c r="AH1575" s="634"/>
      <c r="AI1575" s="634"/>
      <c r="AJ1575" s="634"/>
      <c r="AK1575" s="634"/>
      <c r="AL1575" s="1336"/>
      <c r="AM1575" s="1336"/>
      <c r="AN1575" s="1336"/>
      <c r="AO1575" s="1336"/>
      <c r="AP1575" s="1336"/>
      <c r="AQ1575" s="1336"/>
      <c r="AR1575" s="1336"/>
      <c r="AS1575" s="1336"/>
      <c r="AT1575" s="634"/>
      <c r="AU1575" s="634"/>
      <c r="AV1575" s="634"/>
      <c r="AW1575" s="634"/>
      <c r="AX1575" s="634"/>
      <c r="AY1575" s="634"/>
      <c r="AZ1575" s="634"/>
      <c r="BA1575" s="634"/>
      <c r="BB1575" s="634"/>
      <c r="BC1575" s="634"/>
      <c r="BD1575" s="634"/>
      <c r="BE1575" s="634"/>
      <c r="BF1575" s="634"/>
      <c r="BG1575" s="634"/>
      <c r="BH1575" s="634"/>
      <c r="BI1575" s="634"/>
    </row>
    <row r="1576" spans="1:61" x14ac:dyDescent="0.25">
      <c r="A1576" s="2371">
        <v>7</v>
      </c>
      <c r="B1576" s="2385" t="s">
        <v>1090</v>
      </c>
      <c r="C1576" s="2374" t="s">
        <v>258</v>
      </c>
      <c r="D1576" s="2374"/>
      <c r="E1576" s="2374"/>
      <c r="F1576" s="2374"/>
      <c r="G1576" s="2373" t="str">
        <f>IF(N1576&gt;0,"P","")</f>
        <v/>
      </c>
      <c r="H1576" s="2371" t="s">
        <v>3973</v>
      </c>
      <c r="I1576" s="129"/>
      <c r="J1576" s="543" t="s">
        <v>258</v>
      </c>
      <c r="K1576" s="636"/>
      <c r="L1576" s="1754" t="s">
        <v>1093</v>
      </c>
      <c r="M1576" s="1758">
        <v>3</v>
      </c>
      <c r="N1576" s="1927">
        <f>'Ch7'!O706</f>
        <v>0</v>
      </c>
      <c r="O1576" s="1927">
        <f>M1576*S1576*W1576</f>
        <v>0</v>
      </c>
      <c r="P1576" s="94" t="b">
        <v>1</v>
      </c>
      <c r="Q1576" s="94" t="b">
        <v>1</v>
      </c>
      <c r="R1576" s="94" t="b">
        <v>0</v>
      </c>
      <c r="S1576" s="94" t="b">
        <v>1</v>
      </c>
      <c r="T1576" s="94" t="b">
        <v>0</v>
      </c>
      <c r="U1576" s="94"/>
      <c r="V1576" s="94"/>
      <c r="W1576" s="25"/>
      <c r="X1576" s="1757"/>
      <c r="Y1576" s="2081" t="str">
        <f>IF(LEN('Ch7'!X706)=0,"None",'Ch7'!X706)</f>
        <v>None</v>
      </c>
      <c r="Z1576" s="2083"/>
      <c r="AA1576" s="1526"/>
      <c r="AB1576" s="634"/>
      <c r="AC1576" s="970"/>
      <c r="AD1576" s="970"/>
      <c r="AE1576" s="970"/>
      <c r="AF1576" s="784"/>
      <c r="AG1576" s="634"/>
      <c r="AH1576" s="634"/>
      <c r="AI1576" s="634"/>
      <c r="AJ1576" s="634"/>
      <c r="AK1576" s="634"/>
      <c r="AL1576" s="254" t="str">
        <f>SUBSTITUTE(SUBSTITUTE(SUBSTITUTE("vpa"&amp;$B1576&amp;$C1576&amp;$D1576&amp;$E1576,".","_"),"(","_"),")","")</f>
        <v>vpa706_4_1_2</v>
      </c>
      <c r="AM1576" s="254">
        <f>M1576</f>
        <v>3</v>
      </c>
      <c r="AN1576" s="254" t="str">
        <f>SUBSTITUTE(SUBSTITUTE(SUBSTITUTE("vpc"&amp;$B1576&amp;$C1576&amp;$D1576&amp;$E1576,".","_"),"(","_"),")","")</f>
        <v>vpc706_4_1_2</v>
      </c>
      <c r="AO1576" s="254">
        <f>O1576</f>
        <v>0</v>
      </c>
      <c r="AP1576" s="254" t="str">
        <f>SUBSTITUTE(SUBSTITUTE(SUBSTITUTE("vch"&amp;$B1576&amp;$C1576&amp;$D1576&amp;$E1576,".","_"),"(","_"),")","")</f>
        <v>vch706_4_1_2</v>
      </c>
      <c r="AQ1576" s="254" t="str">
        <f>IF(LEN(W1576)=0,"",W1576)</f>
        <v/>
      </c>
      <c r="AR1576" s="254" t="str">
        <f>SUBSTITUTE(SUBSTITUTE(SUBSTITUTE("vnt"&amp;$B1576&amp;$C1576&amp;$D1576&amp;$E1576,".","_"),"(","_"),")","")</f>
        <v>vnt706_4_1_2</v>
      </c>
      <c r="AS1576" s="254" t="str">
        <f>IF(LEN(X1576)=0,"",X1576)</f>
        <v/>
      </c>
      <c r="AT1576" s="634"/>
      <c r="AU1576" s="634"/>
      <c r="AV1576" s="634"/>
      <c r="AW1576" s="634"/>
      <c r="AX1576" s="634"/>
      <c r="AY1576" s="634"/>
      <c r="AZ1576" s="634"/>
      <c r="BA1576" s="634"/>
      <c r="BB1576" s="634"/>
      <c r="BC1576" s="634"/>
      <c r="BD1576" s="634"/>
      <c r="BE1576" s="634"/>
      <c r="BF1576" s="634"/>
      <c r="BG1576" s="634"/>
      <c r="BH1576" s="634"/>
      <c r="BI1576" s="634"/>
    </row>
    <row r="1577" spans="1:61" x14ac:dyDescent="0.25">
      <c r="A1577" s="2371">
        <v>7</v>
      </c>
      <c r="B1577" s="2385" t="s">
        <v>1090</v>
      </c>
      <c r="C1577" s="2374" t="s">
        <v>258</v>
      </c>
      <c r="D1577" s="2374"/>
      <c r="E1577" s="2374"/>
      <c r="F1577" s="2374"/>
      <c r="G1577" s="2373" t="str">
        <f>G1576</f>
        <v/>
      </c>
      <c r="H1577" s="2371" t="s">
        <v>3973</v>
      </c>
      <c r="I1577" s="210"/>
      <c r="J1577" s="637"/>
      <c r="K1577" s="637"/>
      <c r="L1577" s="1755"/>
      <c r="M1577" s="1759"/>
      <c r="N1577" s="2076"/>
      <c r="O1577" s="2076"/>
      <c r="P1577" s="178"/>
      <c r="Q1577" s="178"/>
      <c r="R1577" s="178"/>
      <c r="S1577" s="178"/>
      <c r="T1577" s="178"/>
      <c r="U1577" s="178"/>
      <c r="V1577" s="178"/>
      <c r="W1577" s="178"/>
      <c r="X1577" s="1757"/>
      <c r="Y1577" s="2081"/>
      <c r="Z1577" s="2083"/>
      <c r="AA1577" s="1526"/>
      <c r="AB1577" s="634"/>
      <c r="AC1577" s="970"/>
      <c r="AD1577" s="970"/>
      <c r="AE1577" s="970"/>
      <c r="AF1577" s="634"/>
      <c r="AG1577" s="634"/>
      <c r="AH1577" s="634"/>
      <c r="AI1577" s="634"/>
      <c r="AJ1577" s="634"/>
      <c r="AK1577" s="634"/>
      <c r="AL1577" s="1336"/>
      <c r="AM1577" s="1336"/>
      <c r="AN1577" s="1336"/>
      <c r="AO1577" s="1336"/>
      <c r="AP1577" s="1336"/>
      <c r="AQ1577" s="1336"/>
      <c r="AR1577" s="1336"/>
      <c r="AS1577" s="1336"/>
      <c r="AT1577" s="634"/>
      <c r="AU1577" s="634"/>
      <c r="AV1577" s="634"/>
      <c r="AW1577" s="634"/>
      <c r="AX1577" s="634"/>
      <c r="AY1577" s="634"/>
      <c r="AZ1577" s="634"/>
      <c r="BA1577" s="634"/>
      <c r="BB1577" s="634"/>
      <c r="BC1577" s="634"/>
      <c r="BD1577" s="634"/>
      <c r="BE1577" s="634"/>
      <c r="BF1577" s="634"/>
      <c r="BG1577" s="634"/>
      <c r="BH1577" s="634"/>
      <c r="BI1577" s="634"/>
    </row>
    <row r="1578" spans="1:61" x14ac:dyDescent="0.25">
      <c r="A1578" s="2371">
        <v>7</v>
      </c>
      <c r="B1578" s="2385" t="s">
        <v>1094</v>
      </c>
      <c r="C1578" s="2374"/>
      <c r="D1578" s="2374"/>
      <c r="E1578" s="2374"/>
      <c r="F1578" s="2374"/>
      <c r="G1578" s="2373" t="str">
        <f>IF(N1578&gt;0,"P","")</f>
        <v/>
      </c>
      <c r="H1578" s="2371" t="s">
        <v>3973</v>
      </c>
      <c r="I1578" s="192" t="s">
        <v>1094</v>
      </c>
      <c r="J1578" s="641"/>
      <c r="K1578" s="641"/>
      <c r="L1578" s="1864" t="s">
        <v>1095</v>
      </c>
      <c r="M1578" s="1762">
        <v>1</v>
      </c>
      <c r="N1578" s="2079">
        <f>'Ch7'!O708</f>
        <v>0</v>
      </c>
      <c r="O1578" s="2079">
        <f>M1578*S1578*W1578</f>
        <v>0</v>
      </c>
      <c r="P1578" s="94" t="b">
        <v>1</v>
      </c>
      <c r="Q1578" s="94" t="b">
        <v>1</v>
      </c>
      <c r="R1578" s="195" t="b">
        <v>0</v>
      </c>
      <c r="S1578" s="195" t="b">
        <v>1</v>
      </c>
      <c r="T1578" s="195" t="b">
        <v>0</v>
      </c>
      <c r="U1578" s="195"/>
      <c r="V1578" s="195"/>
      <c r="W1578" s="25"/>
      <c r="X1578" s="1757"/>
      <c r="Y1578" s="2081" t="str">
        <f>IF(LEN('Ch7'!X708)=0,"None",'Ch7'!X708)</f>
        <v>None</v>
      </c>
      <c r="Z1578" s="2084"/>
      <c r="AA1578" s="1526"/>
      <c r="AB1578" s="634"/>
      <c r="AC1578" s="970"/>
      <c r="AD1578" s="970"/>
      <c r="AE1578" s="970"/>
      <c r="AF1578" s="784"/>
      <c r="AG1578" s="634"/>
      <c r="AH1578" s="634"/>
      <c r="AI1578" s="634"/>
      <c r="AJ1578" s="634"/>
      <c r="AK1578" s="634"/>
      <c r="AL1578" s="254" t="str">
        <f>SUBSTITUTE(SUBSTITUTE(SUBSTITUTE("vpa"&amp;$B1578&amp;$C1578&amp;$D1578&amp;$E1578,".","_"),"(","_"),")","")</f>
        <v>vpa706_4_2</v>
      </c>
      <c r="AM1578" s="254">
        <f>M1578</f>
        <v>1</v>
      </c>
      <c r="AN1578" s="254" t="str">
        <f>SUBSTITUTE(SUBSTITUTE(SUBSTITUTE("vpc"&amp;$B1578&amp;$C1578&amp;$D1578&amp;$E1578,".","_"),"(","_"),")","")</f>
        <v>vpc706_4_2</v>
      </c>
      <c r="AO1578" s="254">
        <f>O1578</f>
        <v>0</v>
      </c>
      <c r="AP1578" s="254" t="str">
        <f>SUBSTITUTE(SUBSTITUTE(SUBSTITUTE("vch"&amp;$B1578&amp;$C1578&amp;$D1578&amp;$E1578,".","_"),"(","_"),")","")</f>
        <v>vch706_4_2</v>
      </c>
      <c r="AQ1578" s="254" t="str">
        <f>IF(LEN(W1578)=0,"",W1578)</f>
        <v/>
      </c>
      <c r="AR1578" s="254" t="str">
        <f>SUBSTITUTE(SUBSTITUTE(SUBSTITUTE("vnt"&amp;$B1578&amp;$C1578&amp;$D1578&amp;$E1578,".","_"),"(","_"),")","")</f>
        <v>vnt706_4_2</v>
      </c>
      <c r="AS1578" s="254" t="str">
        <f>IF(LEN(X1578)=0,"",X1578)</f>
        <v/>
      </c>
      <c r="AT1578" s="634"/>
      <c r="AU1578" s="634"/>
      <c r="AV1578" s="634"/>
      <c r="AW1578" s="634"/>
      <c r="AX1578" s="634"/>
      <c r="AY1578" s="634"/>
      <c r="AZ1578" s="634"/>
      <c r="BA1578" s="634"/>
      <c r="BB1578" s="634"/>
      <c r="BC1578" s="634"/>
      <c r="BD1578" s="634"/>
      <c r="BE1578" s="634"/>
      <c r="BF1578" s="634"/>
      <c r="BG1578" s="634"/>
      <c r="BH1578" s="634"/>
      <c r="BI1578" s="634"/>
    </row>
    <row r="1579" spans="1:61" ht="15.75" thickBot="1" x14ac:dyDescent="0.3">
      <c r="A1579" s="2371">
        <v>7</v>
      </c>
      <c r="B1579" s="2385" t="s">
        <v>1094</v>
      </c>
      <c r="C1579" s="2374"/>
      <c r="D1579" s="2374"/>
      <c r="E1579" s="2374"/>
      <c r="F1579" s="2374"/>
      <c r="G1579" s="2373" t="str">
        <f>G1578</f>
        <v/>
      </c>
      <c r="H1579" s="2371" t="s">
        <v>3973</v>
      </c>
      <c r="I1579" s="240"/>
      <c r="J1579" s="642"/>
      <c r="K1579" s="642"/>
      <c r="L1579" s="1797"/>
      <c r="M1579" s="1768"/>
      <c r="N1579" s="1928"/>
      <c r="O1579" s="1928"/>
      <c r="P1579" s="99"/>
      <c r="Q1579" s="99"/>
      <c r="R1579" s="99"/>
      <c r="S1579" s="99"/>
      <c r="T1579" s="99"/>
      <c r="U1579" s="99"/>
      <c r="V1579" s="99"/>
      <c r="W1579" s="99"/>
      <c r="X1579" s="1771"/>
      <c r="Y1579" s="2082"/>
      <c r="Z1579" s="2086"/>
      <c r="AA1579" s="1526"/>
      <c r="AB1579" s="634"/>
      <c r="AC1579" s="970"/>
      <c r="AD1579" s="970"/>
      <c r="AE1579" s="970"/>
      <c r="AF1579" s="634"/>
      <c r="AG1579" s="634"/>
      <c r="AH1579" s="634"/>
      <c r="AI1579" s="634"/>
      <c r="AJ1579" s="634"/>
      <c r="AK1579" s="634"/>
      <c r="AL1579" s="1336"/>
      <c r="AM1579" s="1336"/>
      <c r="AN1579" s="1336"/>
      <c r="AO1579" s="1336"/>
      <c r="AP1579" s="1336"/>
      <c r="AQ1579" s="1336"/>
      <c r="AR1579" s="1336"/>
      <c r="AS1579" s="1336"/>
      <c r="AT1579" s="634"/>
      <c r="AU1579" s="634"/>
      <c r="AV1579" s="634"/>
      <c r="AW1579" s="634"/>
      <c r="AX1579" s="634"/>
      <c r="AY1579" s="634"/>
      <c r="AZ1579" s="634"/>
      <c r="BA1579" s="634"/>
      <c r="BB1579" s="634"/>
      <c r="BC1579" s="634"/>
      <c r="BD1579" s="634"/>
      <c r="BE1579" s="634"/>
      <c r="BF1579" s="634"/>
      <c r="BG1579" s="634"/>
      <c r="BH1579" s="634"/>
      <c r="BI1579" s="634"/>
    </row>
    <row r="1580" spans="1:61" ht="15.75" customHeight="1" thickTop="1" x14ac:dyDescent="0.25">
      <c r="A1580" s="2371">
        <v>7</v>
      </c>
      <c r="B1580" s="2385">
        <v>706.5</v>
      </c>
      <c r="C1580" s="2374"/>
      <c r="D1580" s="2374"/>
      <c r="E1580" s="2374"/>
      <c r="F1580" s="2374"/>
      <c r="G1580" s="2363" t="str">
        <f ca="1">IF(COUNTIF(G1581:G1585,"P")&gt;0,"P","")</f>
        <v/>
      </c>
      <c r="H1580" s="2371" t="s">
        <v>3973</v>
      </c>
      <c r="I1580" s="106">
        <v>706.5</v>
      </c>
      <c r="J1580" s="667"/>
      <c r="K1580" s="667"/>
      <c r="L1580" s="1168" t="s">
        <v>4349</v>
      </c>
      <c r="M1580" s="4"/>
      <c r="N1580" s="664"/>
      <c r="O1580" s="664"/>
      <c r="P1580" s="911"/>
      <c r="Q1580" s="911"/>
      <c r="R1580" s="911"/>
      <c r="S1580" s="911"/>
      <c r="T1580" s="911"/>
      <c r="U1580" s="105"/>
      <c r="V1580" s="105"/>
      <c r="X1580" s="1784"/>
      <c r="Y1580" s="2129" t="str">
        <f>IF(LEN('Ch7'!X710)=0,"None",'Ch7'!X710)</f>
        <v>None</v>
      </c>
      <c r="Z1580" s="2089"/>
      <c r="AA1580" s="1526"/>
      <c r="AB1580" s="634"/>
      <c r="AC1580" s="970"/>
      <c r="AD1580" s="970"/>
      <c r="AE1580" s="970"/>
      <c r="AF1580" s="634"/>
      <c r="AG1580" s="634"/>
      <c r="AH1580" s="634"/>
      <c r="AI1580" s="634"/>
      <c r="AJ1580" s="634"/>
      <c r="AK1580" s="634"/>
      <c r="AL1580" s="254"/>
      <c r="AM1580" s="254"/>
      <c r="AN1580" s="254"/>
      <c r="AO1580" s="254"/>
      <c r="AP1580" s="254"/>
      <c r="AQ1580" s="254"/>
      <c r="AR1580" s="254" t="str">
        <f>SUBSTITUTE(SUBSTITUTE(SUBSTITUTE("vnt"&amp;$B1580&amp;$C1580&amp;$D1580&amp;$E1580,".","_"),"(","_"),")","")</f>
        <v>vnt706_5</v>
      </c>
      <c r="AS1580" s="254" t="str">
        <f>IF(LEN(X1580)=0,"",X1580)</f>
        <v/>
      </c>
      <c r="AT1580" s="634"/>
      <c r="AU1580" s="634"/>
      <c r="AV1580" s="634"/>
      <c r="AW1580" s="634"/>
      <c r="AX1580" s="634"/>
      <c r="AY1580" s="634"/>
      <c r="AZ1580" s="634"/>
      <c r="BA1580" s="634"/>
      <c r="BB1580" s="634"/>
      <c r="BC1580" s="634"/>
      <c r="BD1580" s="634"/>
      <c r="BE1580" s="634"/>
      <c r="BF1580" s="634"/>
      <c r="BG1580" s="634"/>
      <c r="BH1580" s="634"/>
      <c r="BI1580" s="634"/>
    </row>
    <row r="1581" spans="1:61" x14ac:dyDescent="0.25">
      <c r="A1581" s="2371">
        <v>7</v>
      </c>
      <c r="B1581" s="2385">
        <v>706.5</v>
      </c>
      <c r="C1581" s="2374" t="s">
        <v>256</v>
      </c>
      <c r="D1581" s="2374"/>
      <c r="E1581" s="2374"/>
      <c r="F1581" s="2374"/>
      <c r="G1581" s="2373" t="str">
        <f>IF(N1581&gt;0,"P","")</f>
        <v/>
      </c>
      <c r="H1581" s="2371" t="s">
        <v>3973</v>
      </c>
      <c r="I1581" s="129"/>
      <c r="J1581" s="667" t="s">
        <v>256</v>
      </c>
      <c r="K1581" s="667"/>
      <c r="L1581" s="1156" t="s">
        <v>4343</v>
      </c>
      <c r="M1581" s="1767">
        <v>1</v>
      </c>
      <c r="N1581" s="1927">
        <f>'Ch7'!O711</f>
        <v>0</v>
      </c>
      <c r="O1581" s="2075">
        <f>M1581*S1581*W1581</f>
        <v>0</v>
      </c>
      <c r="P1581" s="911" t="b">
        <v>0</v>
      </c>
      <c r="Q1581" s="911" t="b">
        <v>1</v>
      </c>
      <c r="R1581" s="911" t="b">
        <v>0</v>
      </c>
      <c r="S1581" s="911" t="b">
        <v>1</v>
      </c>
      <c r="T1581" s="911" t="b">
        <v>0</v>
      </c>
      <c r="W1581" s="360"/>
      <c r="X1581" s="1757"/>
      <c r="Y1581" s="2100"/>
      <c r="Z1581" s="2091"/>
      <c r="AA1581" s="1526"/>
      <c r="AB1581" s="634"/>
      <c r="AC1581" s="970"/>
      <c r="AD1581" s="970"/>
      <c r="AE1581" s="970"/>
      <c r="AF1581" s="784"/>
      <c r="AG1581" s="634"/>
      <c r="AH1581" s="634"/>
      <c r="AI1581" s="634"/>
      <c r="AJ1581" s="634"/>
      <c r="AK1581" s="634"/>
      <c r="AL1581" s="254" t="str">
        <f>SUBSTITUTE(SUBSTITUTE(SUBSTITUTE("vpa"&amp;$B1581&amp;$C1581&amp;$D1581&amp;$E1581,".","_"),"(","_"),")","")</f>
        <v>vpa706_5_1</v>
      </c>
      <c r="AM1581" s="254">
        <f>M1581</f>
        <v>1</v>
      </c>
      <c r="AN1581" s="254" t="str">
        <f>SUBSTITUTE(SUBSTITUTE(SUBSTITUTE("vpc"&amp;$B1581&amp;$C1581&amp;$D1581&amp;$E1581,".","_"),"(","_"),")","")</f>
        <v>vpc706_5_1</v>
      </c>
      <c r="AO1581" s="254">
        <f>O1581</f>
        <v>0</v>
      </c>
      <c r="AP1581" s="254" t="str">
        <f>SUBSTITUTE(SUBSTITUTE(SUBSTITUTE("vch"&amp;$B1581&amp;$C1581&amp;$D1581&amp;$E1581,".","_"),"(","_"),")","")</f>
        <v>vch706_5_1</v>
      </c>
      <c r="AQ1581" s="254" t="str">
        <f>IF(LEN(W1581)=0,"",W1581)</f>
        <v/>
      </c>
      <c r="AR1581" s="1336"/>
      <c r="AS1581" s="1336"/>
      <c r="AT1581" s="634"/>
      <c r="AU1581" s="634"/>
      <c r="AV1581" s="634"/>
      <c r="AW1581" s="634"/>
      <c r="AX1581" s="634"/>
      <c r="AY1581" s="634"/>
      <c r="AZ1581" s="634"/>
      <c r="BA1581" s="634"/>
      <c r="BB1581" s="634"/>
      <c r="BC1581" s="634"/>
      <c r="BD1581" s="634"/>
      <c r="BE1581" s="634"/>
      <c r="BF1581" s="634"/>
      <c r="BG1581" s="634"/>
      <c r="BH1581" s="634"/>
      <c r="BI1581" s="634"/>
    </row>
    <row r="1582" spans="1:61" x14ac:dyDescent="0.25">
      <c r="A1582" s="2371">
        <v>7</v>
      </c>
      <c r="B1582" s="2385">
        <v>706.5</v>
      </c>
      <c r="C1582" s="2374" t="s">
        <v>256</v>
      </c>
      <c r="D1582" s="2374"/>
      <c r="E1582" s="2374"/>
      <c r="F1582" s="2374"/>
      <c r="G1582" s="2373" t="str">
        <f t="shared" ref="G1582:G1594" si="101">G1581</f>
        <v/>
      </c>
      <c r="H1582" s="2371" t="s">
        <v>3973</v>
      </c>
      <c r="I1582" s="129"/>
      <c r="J1582" s="684"/>
      <c r="K1582" s="684"/>
      <c r="L1582" s="1153"/>
      <c r="M1582" s="1759"/>
      <c r="N1582" s="2076"/>
      <c r="O1582" s="2076"/>
      <c r="P1582" s="911"/>
      <c r="Q1582" s="911"/>
      <c r="R1582" s="911"/>
      <c r="S1582" s="1">
        <f ca="1">IF(AY889=INDEX(INDIRECT("ddSingleOrMulti"),1),1,AY890)</f>
        <v>1</v>
      </c>
      <c r="T1582" s="911"/>
      <c r="U1582" s="94"/>
      <c r="V1582" s="94"/>
      <c r="W1582" s="94" t="str">
        <f ca="1">"kW per "&amp;IF(AY889=INDEX(INDIRECT("ddSingleOrMulti"),1),"1 unit:",AY890&amp;" units:")</f>
        <v>kW per 1 unit:</v>
      </c>
      <c r="X1582" s="1757"/>
      <c r="Y1582" s="2100"/>
      <c r="Z1582" s="2091"/>
      <c r="AA1582" s="1526"/>
      <c r="AB1582" s="634"/>
      <c r="AC1582" s="970"/>
      <c r="AD1582" s="970"/>
      <c r="AE1582" s="970"/>
      <c r="AF1582" s="634"/>
      <c r="AG1582" s="634"/>
      <c r="AH1582" s="634"/>
      <c r="AI1582" s="634"/>
      <c r="AJ1582" s="634"/>
      <c r="AK1582" s="634"/>
      <c r="AL1582" s="1336"/>
      <c r="AM1582" s="1336"/>
      <c r="AN1582" s="1336"/>
      <c r="AO1582" s="1336"/>
      <c r="AP1582" s="1336"/>
      <c r="AQ1582" s="1336"/>
      <c r="AR1582" s="1336"/>
      <c r="AS1582" s="1336"/>
      <c r="AT1582" s="634"/>
      <c r="AU1582" s="634"/>
      <c r="AV1582" s="634"/>
      <c r="AW1582" s="634"/>
      <c r="AX1582" s="634"/>
      <c r="AY1582" s="634"/>
      <c r="AZ1582" s="634"/>
      <c r="BA1582" s="634"/>
      <c r="BB1582" s="634"/>
      <c r="BC1582" s="634"/>
      <c r="BD1582" s="634"/>
      <c r="BE1582" s="634"/>
      <c r="BF1582" s="634"/>
      <c r="BG1582" s="634"/>
      <c r="BH1582" s="634"/>
      <c r="BI1582" s="634"/>
    </row>
    <row r="1583" spans="1:61" x14ac:dyDescent="0.25">
      <c r="A1583" s="2371">
        <v>7</v>
      </c>
      <c r="B1583" s="2385">
        <v>706.5</v>
      </c>
      <c r="C1583" s="2374" t="s">
        <v>258</v>
      </c>
      <c r="D1583" s="2374"/>
      <c r="E1583" s="2374"/>
      <c r="F1583" s="2374"/>
      <c r="G1583" s="2373" t="str">
        <f ca="1">IF(N1583&gt;0,"P","")</f>
        <v/>
      </c>
      <c r="H1583" s="2371" t="s">
        <v>3973</v>
      </c>
      <c r="I1583" s="129"/>
      <c r="J1583" s="667" t="s">
        <v>258</v>
      </c>
      <c r="K1583" s="667"/>
      <c r="L1583" s="1156" t="s">
        <v>4344</v>
      </c>
      <c r="M1583" s="1846" t="s">
        <v>4350</v>
      </c>
      <c r="N1583" s="1927">
        <f ca="1">'Ch7'!O713</f>
        <v>0</v>
      </c>
      <c r="O1583" s="2075">
        <f ca="1">IFERROR(ROUNDDOWN(2*W1583/S1582,0),0)*S1583</f>
        <v>0</v>
      </c>
      <c r="P1583" s="911" t="b">
        <v>0</v>
      </c>
      <c r="Q1583" s="911" t="b">
        <v>1</v>
      </c>
      <c r="R1583" s="911" t="b">
        <v>0</v>
      </c>
      <c r="S1583" s="911" t="b">
        <v>1</v>
      </c>
      <c r="T1583" s="911" t="b">
        <v>0</v>
      </c>
      <c r="U1583" s="94"/>
      <c r="V1583" s="94"/>
      <c r="W1583" s="376"/>
      <c r="X1583" s="1757"/>
      <c r="Y1583" s="2100"/>
      <c r="Z1583" s="2091"/>
      <c r="AA1583" s="1551" t="str">
        <f>IF(LEN('Photo Review'!I1582)&gt;0,'Photo Review'!I1582,"")</f>
        <v/>
      </c>
      <c r="AB1583" s="634"/>
      <c r="AC1583" s="970"/>
      <c r="AD1583" s="970"/>
      <c r="AE1583" s="970"/>
      <c r="AF1583" s="634"/>
      <c r="AG1583" s="634"/>
      <c r="AH1583" s="634"/>
      <c r="AI1583" s="634"/>
      <c r="AJ1583" s="634"/>
      <c r="AK1583" s="634"/>
      <c r="AL1583" s="254" t="str">
        <f>SUBSTITUTE(SUBSTITUTE(SUBSTITUTE("vpa"&amp;$B1583&amp;$C1583&amp;$D1583&amp;$E1583,".","_"),"(","_"),")","")</f>
        <v>vpa706_5_2</v>
      </c>
      <c r="AM1583" s="254" t="str">
        <f>M1583</f>
        <v>2 per kW</v>
      </c>
      <c r="AN1583" s="254" t="str">
        <f>SUBSTITUTE(SUBSTITUTE(SUBSTITUTE("vpc"&amp;$B1583&amp;$C1583&amp;$D1583&amp;$E1583,".","_"),"(","_"),")","")</f>
        <v>vpc706_5_2</v>
      </c>
      <c r="AO1583" s="254">
        <f ca="1">O1583</f>
        <v>0</v>
      </c>
      <c r="AP1583" s="254" t="str">
        <f>SUBSTITUTE(SUBSTITUTE(SUBSTITUTE("vch"&amp;$B1583&amp;$C1583&amp;$D1583&amp;$E1583,".","_"),"(","_"),")","")</f>
        <v>vch706_5_2</v>
      </c>
      <c r="AQ1583" s="254" t="str">
        <f>IF(LEN(W1583)=0,"",W1583)</f>
        <v/>
      </c>
      <c r="AR1583" s="1336"/>
      <c r="AS1583" s="1336"/>
      <c r="AT1583" s="634"/>
      <c r="AU1583" s="634"/>
      <c r="AV1583" s="634"/>
      <c r="AW1583" s="634"/>
      <c r="AX1583" s="634"/>
      <c r="AY1583" s="634"/>
      <c r="AZ1583" s="634"/>
      <c r="BA1583" s="634"/>
      <c r="BB1583" s="634"/>
      <c r="BC1583" s="634"/>
      <c r="BD1583" s="634"/>
      <c r="BE1583" s="634"/>
      <c r="BF1583" s="634"/>
      <c r="BG1583" s="634"/>
      <c r="BH1583" s="634"/>
      <c r="BI1583" s="634"/>
    </row>
    <row r="1584" spans="1:61" s="868" customFormat="1" x14ac:dyDescent="0.25">
      <c r="A1584" s="2371">
        <v>7</v>
      </c>
      <c r="B1584" s="2385">
        <v>706.5</v>
      </c>
      <c r="C1584" s="2374" t="s">
        <v>258</v>
      </c>
      <c r="D1584" s="2374"/>
      <c r="E1584" s="2374"/>
      <c r="F1584" s="2374"/>
      <c r="G1584" s="2373" t="str">
        <f t="shared" ca="1" si="101"/>
        <v/>
      </c>
      <c r="H1584" s="2371" t="s">
        <v>3973</v>
      </c>
      <c r="I1584" s="129"/>
      <c r="J1584" s="684"/>
      <c r="K1584" s="684"/>
      <c r="L1584" s="1153"/>
      <c r="M1584" s="1865"/>
      <c r="N1584" s="2076"/>
      <c r="O1584" s="2076"/>
      <c r="P1584" s="911"/>
      <c r="Q1584" s="911"/>
      <c r="R1584" s="911"/>
      <c r="S1584" s="911"/>
      <c r="T1584" s="911"/>
      <c r="U1584" s="94"/>
      <c r="V1584" s="94"/>
      <c r="W1584" s="911" t="str">
        <f ca="1">"kWh of strg. per "&amp;IF(AY889=INDEX(INDIRECT("ddSingleOrMulti"),1),"1 unit:",AY890&amp;" units:")</f>
        <v>kWh of strg. per 1 unit:</v>
      </c>
      <c r="X1584" s="1757"/>
      <c r="Y1584" s="2100"/>
      <c r="Z1584" s="2091"/>
      <c r="AA1584" s="1526"/>
      <c r="AC1584" s="970"/>
      <c r="AD1584" s="970"/>
      <c r="AE1584" s="970"/>
      <c r="AL1584" s="1336"/>
      <c r="AM1584" s="1336"/>
      <c r="AN1584" s="1336"/>
      <c r="AO1584" s="1336"/>
      <c r="AP1584" s="1336"/>
      <c r="AQ1584" s="1336"/>
      <c r="AR1584" s="1336"/>
      <c r="AS1584" s="1336"/>
    </row>
    <row r="1585" spans="1:61" s="868" customFormat="1" ht="15" customHeight="1" x14ac:dyDescent="0.25">
      <c r="A1585" s="2371">
        <v>7</v>
      </c>
      <c r="B1585" s="2385">
        <v>706.5</v>
      </c>
      <c r="C1585" s="2374" t="s">
        <v>260</v>
      </c>
      <c r="D1585" s="2374"/>
      <c r="E1585" s="2374"/>
      <c r="F1585" s="2374"/>
      <c r="G1585" s="2373" t="str">
        <f ca="1">IF(N1585&gt;0,"P","")</f>
        <v/>
      </c>
      <c r="H1585" s="2371" t="s">
        <v>3973</v>
      </c>
      <c r="I1585" s="129"/>
      <c r="J1585" s="667" t="s">
        <v>260</v>
      </c>
      <c r="K1585" s="667"/>
      <c r="L1585" s="1787" t="s">
        <v>4345</v>
      </c>
      <c r="M1585" s="1846" t="s">
        <v>4351</v>
      </c>
      <c r="N1585" s="1927">
        <f ca="1">'Ch7'!O715</f>
        <v>0</v>
      </c>
      <c r="O1585" s="2075">
        <f ca="1">IFERROR(ROUNDDOWN(W1585/2/S1582,0),0)*S1585</f>
        <v>0</v>
      </c>
      <c r="P1585" s="911" t="b">
        <v>0</v>
      </c>
      <c r="Q1585" s="911" t="b">
        <v>1</v>
      </c>
      <c r="R1585" s="911" t="b">
        <v>0</v>
      </c>
      <c r="S1585" s="911" t="b">
        <f>(W1583&gt;0)</f>
        <v>0</v>
      </c>
      <c r="T1585" s="94" t="b">
        <f>AND(NOT(S1585),LEN(W1585)&gt;0)</f>
        <v>0</v>
      </c>
      <c r="U1585" s="94"/>
      <c r="V1585" s="94"/>
      <c r="W1585" s="904"/>
      <c r="X1585" s="1757"/>
      <c r="Y1585" s="2100"/>
      <c r="Z1585" s="2091"/>
      <c r="AA1585" s="1526"/>
      <c r="AC1585" s="970" t="b">
        <f>OR(AD1585:AE1585)</f>
        <v>0</v>
      </c>
      <c r="AD1585" s="970" t="b">
        <f>T1585</f>
        <v>0</v>
      </c>
      <c r="AE1585" s="970"/>
      <c r="AL1585" s="254" t="str">
        <f>SUBSTITUTE(SUBSTITUTE(SUBSTITUTE("vpa"&amp;$B1585&amp;$C1585&amp;$D1585&amp;$E1585,".","_"),"(","_"),")","")</f>
        <v>vpa706_5_3</v>
      </c>
      <c r="AM1585" s="254" t="str">
        <f>M1585</f>
        <v>2 per kW,
1 per 2 kWh</v>
      </c>
      <c r="AN1585" s="254" t="str">
        <f>SUBSTITUTE(SUBSTITUTE(SUBSTITUTE("vpc"&amp;$B1585&amp;$C1585&amp;$D1585&amp;$E1585,".","_"),"(","_"),")","")</f>
        <v>vpc706_5_3</v>
      </c>
      <c r="AO1585" s="254">
        <f ca="1">O1585</f>
        <v>0</v>
      </c>
      <c r="AP1585" s="254" t="str">
        <f>SUBSTITUTE(SUBSTITUTE(SUBSTITUTE("vch"&amp;$B1585&amp;$C1585&amp;$D1585&amp;$E1585,".","_"),"(","_"),")","")</f>
        <v>vch706_5_3</v>
      </c>
      <c r="AQ1585" s="254" t="str">
        <f>IF(LEN(W1585)=0,"",W1585)</f>
        <v/>
      </c>
      <c r="AR1585" s="1336"/>
      <c r="AS1585" s="1336"/>
    </row>
    <row r="1586" spans="1:61" s="868" customFormat="1" x14ac:dyDescent="0.25">
      <c r="A1586" s="2371">
        <v>7</v>
      </c>
      <c r="B1586" s="2385">
        <v>706.5</v>
      </c>
      <c r="C1586" s="2374" t="s">
        <v>260</v>
      </c>
      <c r="D1586" s="2374"/>
      <c r="E1586" s="2374"/>
      <c r="F1586" s="2374"/>
      <c r="G1586" s="2373" t="str">
        <f t="shared" ca="1" si="101"/>
        <v/>
      </c>
      <c r="H1586" s="2371" t="s">
        <v>3973</v>
      </c>
      <c r="I1586" s="129"/>
      <c r="J1586" s="667"/>
      <c r="K1586" s="667"/>
      <c r="L1586" s="1787"/>
      <c r="M1586" s="1846"/>
      <c r="N1586" s="1927"/>
      <c r="O1586" s="2075"/>
      <c r="P1586" s="911"/>
      <c r="Q1586" s="911"/>
      <c r="R1586" s="911"/>
      <c r="S1586" s="911"/>
      <c r="T1586" s="911"/>
      <c r="U1586" s="94"/>
      <c r="V1586" s="94"/>
      <c r="W1586" s="94"/>
      <c r="X1586" s="1757"/>
      <c r="Y1586" s="2100"/>
      <c r="Z1586" s="2091"/>
      <c r="AA1586" s="1526"/>
      <c r="AC1586" s="970"/>
      <c r="AD1586" s="970"/>
      <c r="AE1586" s="970"/>
      <c r="AL1586" s="1336"/>
      <c r="AM1586" s="1336"/>
      <c r="AN1586" s="1336"/>
      <c r="AO1586" s="1336"/>
      <c r="AP1586" s="1336"/>
      <c r="AQ1586" s="1336"/>
      <c r="AR1586" s="1336"/>
      <c r="AS1586" s="1336"/>
    </row>
    <row r="1587" spans="1:61" s="868" customFormat="1" ht="15" customHeight="1" x14ac:dyDescent="0.25">
      <c r="A1587" s="2371">
        <v>7</v>
      </c>
      <c r="B1587" s="2385">
        <v>706.5</v>
      </c>
      <c r="C1587" s="2381"/>
      <c r="D1587" s="2374"/>
      <c r="E1587" s="2374"/>
      <c r="F1587" s="2374"/>
      <c r="G1587" s="2373" t="str">
        <f ca="1">G1580</f>
        <v/>
      </c>
      <c r="H1587" s="2371" t="s">
        <v>3973</v>
      </c>
      <c r="I1587" s="129"/>
      <c r="J1587" s="667"/>
      <c r="K1587" s="667"/>
      <c r="L1587" s="1796" t="s">
        <v>4884</v>
      </c>
      <c r="M1587" s="1019"/>
      <c r="N1587" s="1044"/>
      <c r="O1587" s="1044"/>
      <c r="P1587" s="94"/>
      <c r="Q1587" s="94"/>
      <c r="R1587" s="94"/>
      <c r="S1587" s="94"/>
      <c r="T1587" s="94"/>
      <c r="U1587" s="94"/>
      <c r="V1587" s="94"/>
      <c r="W1587" s="94"/>
      <c r="X1587" s="1757"/>
      <c r="Y1587" s="2100"/>
      <c r="Z1587" s="2091"/>
      <c r="AA1587" s="1526"/>
      <c r="AC1587" s="970"/>
      <c r="AD1587" s="970"/>
      <c r="AE1587" s="970"/>
      <c r="AL1587" s="1336"/>
      <c r="AM1587" s="1336"/>
      <c r="AN1587" s="1336"/>
      <c r="AO1587" s="1336"/>
      <c r="AP1587" s="1336"/>
      <c r="AQ1587" s="1336"/>
      <c r="AR1587" s="1336"/>
      <c r="AS1587" s="1336"/>
    </row>
    <row r="1588" spans="1:61" s="868" customFormat="1" x14ac:dyDescent="0.25">
      <c r="A1588" s="2371">
        <v>7</v>
      </c>
      <c r="B1588" s="2385">
        <v>706.5</v>
      </c>
      <c r="C1588" s="2381"/>
      <c r="D1588" s="2374"/>
      <c r="E1588" s="2374"/>
      <c r="F1588" s="2374"/>
      <c r="G1588" s="2373" t="str">
        <f t="shared" ca="1" si="101"/>
        <v/>
      </c>
      <c r="H1588" s="2371" t="s">
        <v>3973</v>
      </c>
      <c r="I1588" s="129"/>
      <c r="J1588" s="667"/>
      <c r="K1588" s="667"/>
      <c r="L1588" s="1796"/>
      <c r="M1588" s="1019"/>
      <c r="N1588" s="1044"/>
      <c r="O1588" s="1044"/>
      <c r="P1588" s="94"/>
      <c r="Q1588" s="94"/>
      <c r="R1588" s="94"/>
      <c r="S1588" s="94"/>
      <c r="T1588" s="94"/>
      <c r="U1588" s="94"/>
      <c r="V1588" s="94"/>
      <c r="W1588" s="94"/>
      <c r="X1588" s="1757"/>
      <c r="Y1588" s="2100"/>
      <c r="Z1588" s="2091"/>
      <c r="AA1588" s="1532"/>
      <c r="AC1588" s="970"/>
      <c r="AD1588" s="970"/>
      <c r="AE1588" s="970"/>
      <c r="AL1588" s="1336"/>
      <c r="AM1588" s="1336"/>
      <c r="AN1588" s="1336"/>
      <c r="AO1588" s="1336"/>
      <c r="AP1588" s="1336"/>
      <c r="AQ1588" s="1336"/>
      <c r="AR1588" s="1336"/>
      <c r="AS1588" s="1336"/>
    </row>
    <row r="1589" spans="1:61" s="868" customFormat="1" x14ac:dyDescent="0.25">
      <c r="A1589" s="2371">
        <v>7</v>
      </c>
      <c r="B1589" s="2385">
        <v>706.5</v>
      </c>
      <c r="C1589" s="2381"/>
      <c r="D1589" s="2374"/>
      <c r="E1589" s="2374"/>
      <c r="F1589" s="2374"/>
      <c r="G1589" s="2373" t="str">
        <f t="shared" ca="1" si="101"/>
        <v/>
      </c>
      <c r="H1589" s="2371" t="s">
        <v>3973</v>
      </c>
      <c r="I1589" s="129"/>
      <c r="J1589" s="667"/>
      <c r="K1589" s="667"/>
      <c r="L1589" s="1796"/>
      <c r="M1589" s="1019"/>
      <c r="N1589" s="1044"/>
      <c r="O1589" s="1044"/>
      <c r="P1589" s="94"/>
      <c r="Q1589" s="94"/>
      <c r="R1589" s="94"/>
      <c r="S1589" s="94"/>
      <c r="T1589" s="94"/>
      <c r="U1589" s="94"/>
      <c r="V1589" s="94"/>
      <c r="W1589" s="94"/>
      <c r="X1589" s="1757"/>
      <c r="Y1589" s="2100"/>
      <c r="Z1589" s="2091"/>
      <c r="AA1589" s="1532"/>
      <c r="AC1589" s="970"/>
      <c r="AD1589" s="970"/>
      <c r="AE1589" s="970"/>
      <c r="AL1589" s="1336"/>
      <c r="AM1589" s="1336"/>
      <c r="AN1589" s="1336"/>
      <c r="AO1589" s="1336"/>
      <c r="AP1589" s="1336"/>
      <c r="AQ1589" s="1336"/>
      <c r="AR1589" s="1336"/>
      <c r="AS1589" s="1336"/>
    </row>
    <row r="1590" spans="1:61" s="1336" customFormat="1" x14ac:dyDescent="0.25">
      <c r="A1590" s="2371">
        <v>7</v>
      </c>
      <c r="B1590" s="2385">
        <v>706.5</v>
      </c>
      <c r="C1590" s="2381"/>
      <c r="D1590" s="2374"/>
      <c r="E1590" s="2374"/>
      <c r="F1590" s="2374"/>
      <c r="G1590" s="2373" t="str">
        <f t="shared" ca="1" si="101"/>
        <v/>
      </c>
      <c r="H1590" s="2371" t="s">
        <v>3973</v>
      </c>
      <c r="I1590" s="129"/>
      <c r="J1590" s="667"/>
      <c r="K1590" s="667"/>
      <c r="L1590" s="1796"/>
      <c r="M1590" s="1337"/>
      <c r="N1590" s="1338"/>
      <c r="O1590" s="1338"/>
      <c r="P1590" s="94"/>
      <c r="Q1590" s="94"/>
      <c r="R1590" s="94"/>
      <c r="S1590" s="94"/>
      <c r="T1590" s="94"/>
      <c r="U1590" s="94"/>
      <c r="V1590" s="94"/>
      <c r="W1590" s="94"/>
      <c r="X1590" s="1757"/>
      <c r="Y1590" s="2100"/>
      <c r="Z1590" s="2091"/>
      <c r="AA1590" s="1526"/>
    </row>
    <row r="1591" spans="1:61" s="1336" customFormat="1" x14ac:dyDescent="0.25">
      <c r="A1591" s="2371">
        <v>7</v>
      </c>
      <c r="B1591" s="2385">
        <v>706.5</v>
      </c>
      <c r="C1591" s="2381"/>
      <c r="D1591" s="2374"/>
      <c r="E1591" s="2374"/>
      <c r="F1591" s="2374"/>
      <c r="G1591" s="2373" t="str">
        <f t="shared" ca="1" si="101"/>
        <v/>
      </c>
      <c r="H1591" s="2371" t="s">
        <v>3973</v>
      </c>
      <c r="I1591" s="129"/>
      <c r="J1591" s="667"/>
      <c r="K1591" s="667"/>
      <c r="L1591" s="1796"/>
      <c r="M1591" s="1337"/>
      <c r="N1591" s="1338"/>
      <c r="O1591" s="1338"/>
      <c r="P1591" s="94"/>
      <c r="Q1591" s="94"/>
      <c r="R1591" s="94"/>
      <c r="S1591" s="94"/>
      <c r="T1591" s="94"/>
      <c r="U1591" s="94"/>
      <c r="V1591" s="94"/>
      <c r="W1591" s="94"/>
      <c r="X1591" s="1757"/>
      <c r="Y1591" s="2100"/>
      <c r="Z1591" s="2091"/>
      <c r="AA1591" s="1526"/>
    </row>
    <row r="1592" spans="1:61" ht="15" customHeight="1" x14ac:dyDescent="0.25">
      <c r="A1592" s="2371">
        <v>7</v>
      </c>
      <c r="B1592" s="2385">
        <v>706.5</v>
      </c>
      <c r="C1592" s="2381"/>
      <c r="D1592" s="2374"/>
      <c r="E1592" s="2374"/>
      <c r="F1592" s="2374"/>
      <c r="G1592" s="2373" t="str">
        <f ca="1">G1589</f>
        <v/>
      </c>
      <c r="H1592" s="2371" t="s">
        <v>3973</v>
      </c>
      <c r="I1592" s="129"/>
      <c r="J1592" s="667"/>
      <c r="K1592" s="667"/>
      <c r="L1592" s="1796"/>
      <c r="M1592" s="1019"/>
      <c r="N1592" s="1044"/>
      <c r="O1592" s="1044"/>
      <c r="P1592" s="94"/>
      <c r="Q1592" s="94"/>
      <c r="R1592" s="94"/>
      <c r="S1592" s="94"/>
      <c r="T1592" s="94"/>
      <c r="U1592" s="94"/>
      <c r="V1592" s="94"/>
      <c r="W1592" s="94"/>
      <c r="X1592" s="1757"/>
      <c r="Y1592" s="2100"/>
      <c r="Z1592" s="2091"/>
      <c r="AA1592" s="1526"/>
      <c r="AB1592" s="634"/>
      <c r="AC1592" s="970"/>
      <c r="AD1592" s="970"/>
      <c r="AE1592" s="970"/>
      <c r="AF1592" s="634"/>
      <c r="AG1592" s="634"/>
      <c r="AH1592" s="634"/>
      <c r="AI1592" s="634"/>
      <c r="AJ1592" s="634"/>
      <c r="AK1592" s="634"/>
      <c r="AL1592" s="1336"/>
      <c r="AM1592" s="1336"/>
      <c r="AN1592" s="1336"/>
      <c r="AO1592" s="1336"/>
      <c r="AP1592" s="1336"/>
      <c r="AQ1592" s="1336"/>
      <c r="AR1592" s="1336"/>
      <c r="AS1592" s="1336"/>
      <c r="AT1592" s="634"/>
      <c r="AU1592" s="634"/>
      <c r="AV1592" s="634"/>
      <c r="AW1592" s="634"/>
      <c r="AX1592" s="634"/>
      <c r="AY1592" s="634"/>
      <c r="AZ1592" s="634"/>
      <c r="BA1592" s="634"/>
      <c r="BB1592" s="634"/>
      <c r="BC1592" s="634"/>
      <c r="BD1592" s="634"/>
      <c r="BE1592" s="634"/>
      <c r="BF1592" s="634"/>
      <c r="BG1592" s="634"/>
      <c r="BH1592" s="634"/>
      <c r="BI1592" s="634"/>
    </row>
    <row r="1593" spans="1:61" s="868" customFormat="1" x14ac:dyDescent="0.25">
      <c r="A1593" s="2371">
        <v>7</v>
      </c>
      <c r="B1593" s="2385">
        <v>706.5</v>
      </c>
      <c r="C1593" s="2381"/>
      <c r="D1593" s="2374"/>
      <c r="E1593" s="2374"/>
      <c r="F1593" s="2374"/>
      <c r="G1593" s="2373" t="str">
        <f t="shared" ca="1" si="101"/>
        <v/>
      </c>
      <c r="H1593" s="2371" t="s">
        <v>3973</v>
      </c>
      <c r="I1593" s="129"/>
      <c r="J1593" s="667"/>
      <c r="K1593" s="667"/>
      <c r="L1593" s="1906" t="s">
        <v>4347</v>
      </c>
      <c r="M1593" s="1010"/>
      <c r="N1593" s="1044"/>
      <c r="O1593" s="1044"/>
      <c r="P1593" s="94"/>
      <c r="Q1593" s="94"/>
      <c r="R1593" s="94"/>
      <c r="S1593" s="94"/>
      <c r="T1593" s="94"/>
      <c r="U1593" s="94"/>
      <c r="V1593" s="94"/>
      <c r="W1593" s="94"/>
      <c r="X1593" s="1757"/>
      <c r="Y1593" s="2100"/>
      <c r="Z1593" s="2091"/>
      <c r="AA1593" s="1526"/>
      <c r="AC1593" s="970"/>
      <c r="AD1593" s="970"/>
      <c r="AE1593" s="970"/>
      <c r="AL1593" s="1336"/>
      <c r="AM1593" s="1336"/>
      <c r="AN1593" s="1336"/>
      <c r="AO1593" s="1336"/>
      <c r="AP1593" s="1336"/>
      <c r="AQ1593" s="1336"/>
      <c r="AR1593" s="1336"/>
      <c r="AS1593" s="1336"/>
    </row>
    <row r="1594" spans="1:61" s="868" customFormat="1" ht="15.75" thickBot="1" x14ac:dyDescent="0.3">
      <c r="A1594" s="2371">
        <v>7</v>
      </c>
      <c r="B1594" s="2385">
        <v>706.5</v>
      </c>
      <c r="C1594" s="2381"/>
      <c r="D1594" s="2374"/>
      <c r="E1594" s="2374"/>
      <c r="F1594" s="2374"/>
      <c r="G1594" s="2373" t="str">
        <f t="shared" ca="1" si="101"/>
        <v/>
      </c>
      <c r="H1594" s="2371" t="s">
        <v>3973</v>
      </c>
      <c r="I1594" s="129"/>
      <c r="J1594" s="673"/>
      <c r="K1594" s="673"/>
      <c r="L1594" s="1907"/>
      <c r="M1594" s="1011"/>
      <c r="N1594" s="1044"/>
      <c r="O1594" s="1045"/>
      <c r="P1594" s="94"/>
      <c r="Q1594" s="94"/>
      <c r="R1594" s="94"/>
      <c r="S1594" s="94"/>
      <c r="T1594" s="94"/>
      <c r="U1594" s="94"/>
      <c r="V1594" s="94"/>
      <c r="W1594" s="112"/>
      <c r="X1594" s="1771"/>
      <c r="Y1594" s="2102"/>
      <c r="Z1594" s="2090"/>
      <c r="AA1594" s="1526"/>
      <c r="AC1594" s="970"/>
      <c r="AD1594" s="970"/>
      <c r="AE1594" s="970"/>
      <c r="AL1594" s="1336"/>
      <c r="AM1594" s="1336"/>
      <c r="AN1594" s="1336"/>
      <c r="AO1594" s="1336"/>
      <c r="AP1594" s="1336"/>
      <c r="AQ1594" s="1336"/>
      <c r="AR1594" s="1336"/>
      <c r="AS1594" s="1336"/>
    </row>
    <row r="1595" spans="1:61" ht="15.75" thickTop="1" x14ac:dyDescent="0.25">
      <c r="A1595" s="2371">
        <v>7</v>
      </c>
      <c r="B1595" s="2385">
        <v>706.6</v>
      </c>
      <c r="C1595" s="2381"/>
      <c r="D1595" s="2374"/>
      <c r="E1595" s="2374"/>
      <c r="F1595" s="2374"/>
      <c r="G1595" s="2373" t="str">
        <f ca="1">IF(N1595&gt;0,"P","")</f>
        <v/>
      </c>
      <c r="H1595" s="2371" t="s">
        <v>3971</v>
      </c>
      <c r="I1595" s="180">
        <v>706.6</v>
      </c>
      <c r="J1595" s="520"/>
      <c r="K1595" s="520"/>
      <c r="L1595" s="1781" t="s">
        <v>1096</v>
      </c>
      <c r="M1595" s="1772">
        <v>2</v>
      </c>
      <c r="N1595" s="2080">
        <f ca="1">'Ch7'!O725</f>
        <v>0</v>
      </c>
      <c r="O1595" s="2080">
        <f ca="1">M1595*S1595*W1595</f>
        <v>0</v>
      </c>
      <c r="P1595" s="94" t="b">
        <v>1</v>
      </c>
      <c r="Q1595" s="94" t="b">
        <v>1</v>
      </c>
      <c r="R1595" s="105" t="b">
        <v>0</v>
      </c>
      <c r="S1595" s="105" t="b">
        <f ca="1">AY889=INDEX(INDIRECT("ddSingleOrMulti"),2)</f>
        <v>0</v>
      </c>
      <c r="T1595" s="105" t="b">
        <f ca="1">AND(NOT(S1595),W1595=TRUE)</f>
        <v>0</v>
      </c>
      <c r="U1595" s="105"/>
      <c r="V1595" s="105"/>
      <c r="W1595" s="117"/>
      <c r="X1595" s="1784"/>
      <c r="Y1595" s="2097" t="str">
        <f>IF(LEN('Ch7'!X725)=0,"None",'Ch7'!X725)</f>
        <v>None</v>
      </c>
      <c r="Z1595" s="2085"/>
      <c r="AA1595" s="1551" t="str">
        <f>IF(LEN('Photo Review'!I1594)&gt;0,'Photo Review'!I1594,"")</f>
        <v/>
      </c>
      <c r="AB1595" s="634"/>
      <c r="AC1595" s="970" t="b">
        <f ca="1">OR(AD1595:AE1595)</f>
        <v>0</v>
      </c>
      <c r="AD1595" s="970" t="b">
        <f ca="1">T1595</f>
        <v>0</v>
      </c>
      <c r="AE1595" s="970"/>
      <c r="AF1595" s="784"/>
      <c r="AG1595" s="634"/>
      <c r="AH1595" s="634"/>
      <c r="AI1595" s="634"/>
      <c r="AJ1595" s="634"/>
      <c r="AK1595" s="634"/>
      <c r="AL1595" s="254" t="str">
        <f>SUBSTITUTE(SUBSTITUTE(SUBSTITUTE("vpa"&amp;$B1595&amp;$C1595&amp;$D1595&amp;$E1595,".","_"),"(","_"),")","")</f>
        <v>vpa706_6</v>
      </c>
      <c r="AM1595" s="254">
        <f>M1595</f>
        <v>2</v>
      </c>
      <c r="AN1595" s="254" t="str">
        <f>SUBSTITUTE(SUBSTITUTE(SUBSTITUTE("vpc"&amp;$B1595&amp;$C1595&amp;$D1595&amp;$E1595,".","_"),"(","_"),")","")</f>
        <v>vpc706_6</v>
      </c>
      <c r="AO1595" s="254">
        <f ca="1">O1595</f>
        <v>0</v>
      </c>
      <c r="AP1595" s="254" t="str">
        <f>SUBSTITUTE(SUBSTITUTE(SUBSTITUTE("vch"&amp;$B1595&amp;$C1595&amp;$D1595&amp;$E1595,".","_"),"(","_"),")","")</f>
        <v>vch706_6</v>
      </c>
      <c r="AQ1595" s="254" t="str">
        <f>IF(LEN(W1595)=0,"",W1595)</f>
        <v/>
      </c>
      <c r="AR1595" s="254" t="str">
        <f>SUBSTITUTE(SUBSTITUTE(SUBSTITUTE("vnt"&amp;$B1595&amp;$C1595&amp;$D1595&amp;$E1595,".","_"),"(","_"),")","")</f>
        <v>vnt706_6</v>
      </c>
      <c r="AS1595" s="254" t="str">
        <f>IF(LEN(X1595)=0,"",X1595)</f>
        <v/>
      </c>
      <c r="AT1595" s="634"/>
      <c r="AU1595" s="634"/>
      <c r="AV1595" s="634"/>
      <c r="AW1595" s="634"/>
      <c r="AX1595" s="634"/>
      <c r="AY1595" s="634"/>
      <c r="AZ1595" s="634"/>
      <c r="BA1595" s="634"/>
      <c r="BB1595" s="634"/>
      <c r="BC1595" s="634"/>
      <c r="BD1595" s="634"/>
      <c r="BE1595" s="634"/>
      <c r="BF1595" s="634"/>
      <c r="BG1595" s="634"/>
      <c r="BH1595" s="634"/>
      <c r="BI1595" s="634"/>
    </row>
    <row r="1596" spans="1:61" ht="15.75" thickBot="1" x14ac:dyDescent="0.3">
      <c r="A1596" s="2371">
        <v>7</v>
      </c>
      <c r="B1596" s="2385">
        <v>706.6</v>
      </c>
      <c r="C1596" s="2381"/>
      <c r="D1596" s="2374"/>
      <c r="E1596" s="2374"/>
      <c r="F1596" s="2374"/>
      <c r="G1596" s="2373" t="str">
        <f ca="1">G1595</f>
        <v/>
      </c>
      <c r="H1596" s="2371" t="s">
        <v>3971</v>
      </c>
      <c r="I1596" s="240"/>
      <c r="J1596" s="642"/>
      <c r="K1596" s="642"/>
      <c r="L1596" s="1797"/>
      <c r="M1596" s="1768"/>
      <c r="N1596" s="1928"/>
      <c r="O1596" s="1928"/>
      <c r="P1596" s="99"/>
      <c r="Q1596" s="99"/>
      <c r="R1596" s="99"/>
      <c r="S1596" s="99"/>
      <c r="T1596" s="99"/>
      <c r="U1596" s="99"/>
      <c r="V1596" s="99"/>
      <c r="W1596" s="99"/>
      <c r="X1596" s="1771"/>
      <c r="Y1596" s="2082"/>
      <c r="Z1596" s="2086"/>
      <c r="AA1596" s="1526"/>
      <c r="AB1596" s="634"/>
      <c r="AC1596" s="970"/>
      <c r="AD1596" s="970"/>
      <c r="AE1596" s="970"/>
      <c r="AF1596" s="634"/>
      <c r="AG1596" s="634"/>
      <c r="AH1596" s="634"/>
      <c r="AI1596" s="634"/>
      <c r="AJ1596" s="634"/>
      <c r="AK1596" s="634"/>
      <c r="AL1596" s="1336"/>
      <c r="AM1596" s="1336"/>
      <c r="AN1596" s="1336"/>
      <c r="AO1596" s="1336"/>
      <c r="AP1596" s="1336"/>
      <c r="AQ1596" s="1336"/>
      <c r="AR1596" s="1336"/>
      <c r="AS1596" s="1336"/>
      <c r="AT1596" s="634"/>
      <c r="AU1596" s="634"/>
      <c r="AV1596" s="634"/>
      <c r="AW1596" s="634"/>
      <c r="AX1596" s="634"/>
      <c r="AY1596" s="634"/>
      <c r="AZ1596" s="634"/>
      <c r="BA1596" s="634"/>
      <c r="BB1596" s="634"/>
      <c r="BC1596" s="634"/>
      <c r="BD1596" s="634"/>
      <c r="BE1596" s="634"/>
      <c r="BF1596" s="634"/>
      <c r="BG1596" s="634"/>
      <c r="BH1596" s="634"/>
      <c r="BI1596" s="634"/>
    </row>
    <row r="1597" spans="1:61" ht="15.75" thickTop="1" x14ac:dyDescent="0.25">
      <c r="A1597" s="2371">
        <v>7</v>
      </c>
      <c r="B1597" s="2385">
        <v>706.7</v>
      </c>
      <c r="C1597" s="2381"/>
      <c r="D1597" s="2374"/>
      <c r="E1597" s="2374"/>
      <c r="F1597" s="2374"/>
      <c r="G1597" s="2363" t="str">
        <f>IF(COUNTIF(G1599:G1600,"P")&gt;0,"P","")</f>
        <v/>
      </c>
      <c r="H1597" s="2371" t="s">
        <v>3973</v>
      </c>
      <c r="I1597" s="64">
        <v>706.7</v>
      </c>
      <c r="J1597" s="639"/>
      <c r="K1597" s="639"/>
      <c r="L1597" s="1796" t="s">
        <v>1097</v>
      </c>
      <c r="M1597" s="1014"/>
      <c r="N1597" s="1042"/>
      <c r="O1597" s="1042"/>
      <c r="P1597" s="756"/>
      <c r="Q1597" s="756"/>
      <c r="R1597" s="634"/>
      <c r="S1597" s="634"/>
      <c r="T1597" s="634"/>
      <c r="U1597" s="634"/>
      <c r="V1597" s="634"/>
      <c r="W1597" s="634"/>
      <c r="X1597" s="911"/>
      <c r="Y1597" s="634"/>
      <c r="AA1597" s="1526"/>
      <c r="AB1597" s="634"/>
      <c r="AC1597" s="970"/>
      <c r="AD1597" s="970"/>
      <c r="AE1597" s="970"/>
      <c r="AF1597" s="634"/>
      <c r="AG1597" s="634"/>
      <c r="AH1597" s="634"/>
      <c r="AI1597" s="634"/>
      <c r="AJ1597" s="634"/>
      <c r="AK1597" s="634"/>
      <c r="AL1597" s="1336"/>
      <c r="AM1597" s="1336"/>
      <c r="AN1597" s="1336"/>
      <c r="AO1597" s="1336"/>
      <c r="AP1597" s="1336"/>
      <c r="AQ1597" s="1336"/>
      <c r="AR1597" s="1336"/>
      <c r="AS1597" s="1336"/>
      <c r="AT1597" s="634"/>
      <c r="AU1597" s="634"/>
      <c r="AV1597" s="634"/>
      <c r="AW1597" s="634"/>
      <c r="AX1597" s="634"/>
      <c r="AY1597" s="634"/>
      <c r="AZ1597" s="634"/>
      <c r="BA1597" s="634"/>
      <c r="BB1597" s="634"/>
      <c r="BC1597" s="634"/>
      <c r="BD1597" s="634"/>
      <c r="BE1597" s="634"/>
      <c r="BF1597" s="634"/>
      <c r="BG1597" s="634"/>
      <c r="BH1597" s="634"/>
      <c r="BI1597" s="634"/>
    </row>
    <row r="1598" spans="1:61" x14ac:dyDescent="0.25">
      <c r="A1598" s="2371">
        <v>7</v>
      </c>
      <c r="B1598" s="2385">
        <v>706.7</v>
      </c>
      <c r="C1598" s="2381"/>
      <c r="D1598" s="2374"/>
      <c r="E1598" s="2374"/>
      <c r="F1598" s="2374"/>
      <c r="G1598" s="2373" t="str">
        <f>G1597</f>
        <v/>
      </c>
      <c r="H1598" s="2371" t="s">
        <v>3973</v>
      </c>
      <c r="I1598" s="4"/>
      <c r="J1598" s="639"/>
      <c r="K1598" s="639"/>
      <c r="L1598" s="1796"/>
      <c r="M1598" s="1014"/>
      <c r="N1598" s="1042"/>
      <c r="O1598" s="1042"/>
      <c r="P1598" s="756"/>
      <c r="Q1598" s="756"/>
      <c r="R1598" s="634"/>
      <c r="S1598" s="634"/>
      <c r="T1598" s="634"/>
      <c r="U1598" s="634"/>
      <c r="V1598" s="634"/>
      <c r="W1598" s="634"/>
      <c r="X1598" s="911"/>
      <c r="Y1598" s="634"/>
      <c r="AA1598" s="1526"/>
      <c r="AB1598" s="634"/>
      <c r="AC1598" s="970"/>
      <c r="AD1598" s="970"/>
      <c r="AE1598" s="970"/>
      <c r="AF1598" s="634"/>
      <c r="AG1598" s="634"/>
      <c r="AH1598" s="634"/>
      <c r="AI1598" s="634"/>
      <c r="AJ1598" s="634"/>
      <c r="AK1598" s="634"/>
      <c r="AL1598" s="1336"/>
      <c r="AM1598" s="1336"/>
      <c r="AN1598" s="1336"/>
      <c r="AO1598" s="1336"/>
      <c r="AP1598" s="1336"/>
      <c r="AQ1598" s="1336"/>
      <c r="AR1598" s="1336"/>
      <c r="AS1598" s="1336"/>
      <c r="AT1598" s="634"/>
      <c r="AU1598" s="634"/>
      <c r="AV1598" s="634"/>
      <c r="AW1598" s="634"/>
      <c r="AX1598" s="634"/>
      <c r="AY1598" s="634"/>
      <c r="AZ1598" s="634"/>
      <c r="BA1598" s="634"/>
      <c r="BB1598" s="634"/>
      <c r="BC1598" s="634"/>
      <c r="BD1598" s="634"/>
      <c r="BE1598" s="634"/>
      <c r="BF1598" s="634"/>
      <c r="BG1598" s="634"/>
      <c r="BH1598" s="634"/>
      <c r="BI1598" s="634"/>
    </row>
    <row r="1599" spans="1:61" x14ac:dyDescent="0.25">
      <c r="A1599" s="2371">
        <v>7</v>
      </c>
      <c r="B1599" s="2385">
        <v>706.7</v>
      </c>
      <c r="C1599" s="2374" t="s">
        <v>256</v>
      </c>
      <c r="D1599" s="2374"/>
      <c r="E1599" s="2374"/>
      <c r="F1599" s="2374"/>
      <c r="G1599" s="2373" t="str">
        <f>IF(N1599&gt;0,"P","")</f>
        <v/>
      </c>
      <c r="H1599" s="2371" t="s">
        <v>3973</v>
      </c>
      <c r="I1599" s="4"/>
      <c r="J1599" s="544" t="s">
        <v>256</v>
      </c>
      <c r="K1599" s="637"/>
      <c r="L1599" s="1163" t="s">
        <v>1098</v>
      </c>
      <c r="M1599" s="1015">
        <v>1</v>
      </c>
      <c r="N1599" s="1047">
        <f>'Ch7'!O729</f>
        <v>0</v>
      </c>
      <c r="O1599" s="1047">
        <f>M1599*S1599*W1599</f>
        <v>0</v>
      </c>
      <c r="P1599" s="94" t="b">
        <v>0</v>
      </c>
      <c r="Q1599" s="94" t="b">
        <v>1</v>
      </c>
      <c r="R1599" s="634" t="b">
        <v>0</v>
      </c>
      <c r="S1599" s="634" t="b">
        <f>IFERROR(NOT(OR(W1564:W1571,W1611)),TRUE)</f>
        <v>1</v>
      </c>
      <c r="T1599" s="94" t="b">
        <f>AND(NOT(S1599),W1599=TRUE)</f>
        <v>0</v>
      </c>
      <c r="U1599" s="634"/>
      <c r="V1599" s="634"/>
      <c r="W1599" s="25"/>
      <c r="X1599" s="918"/>
      <c r="Y1599" s="988" t="str">
        <f>IF(LEN('Ch7'!X729)=0,"None",'Ch7'!X729)</f>
        <v>None</v>
      </c>
      <c r="Z1599" s="1587"/>
      <c r="AA1599" s="1526"/>
      <c r="AB1599" s="634"/>
      <c r="AC1599" s="970" t="b">
        <f>OR(AD1599:AE1599)</f>
        <v>0</v>
      </c>
      <c r="AD1599" s="970" t="b">
        <f>T1599</f>
        <v>0</v>
      </c>
      <c r="AE1599" s="970"/>
      <c r="AF1599" s="784"/>
      <c r="AG1599" s="634"/>
      <c r="AH1599" s="634"/>
      <c r="AI1599" s="634"/>
      <c r="AJ1599" s="634"/>
      <c r="AK1599" s="634"/>
      <c r="AL1599" s="254" t="str">
        <f>SUBSTITUTE(SUBSTITUTE(SUBSTITUTE("vpa"&amp;$B1599&amp;$C1599&amp;$D1599&amp;$E1599,".","_"),"(","_"),")","")</f>
        <v>vpa706_7_1</v>
      </c>
      <c r="AM1599" s="254">
        <f>M1599</f>
        <v>1</v>
      </c>
      <c r="AN1599" s="254" t="str">
        <f>SUBSTITUTE(SUBSTITUTE(SUBSTITUTE("vpc"&amp;$B1599&amp;$C1599&amp;$D1599&amp;$E1599,".","_"),"(","_"),")","")</f>
        <v>vpc706_7_1</v>
      </c>
      <c r="AO1599" s="254">
        <f>O1599</f>
        <v>0</v>
      </c>
      <c r="AP1599" s="254" t="str">
        <f>SUBSTITUTE(SUBSTITUTE(SUBSTITUTE("vch"&amp;$B1599&amp;$C1599&amp;$D1599&amp;$E1599,".","_"),"(","_"),")","")</f>
        <v>vch706_7_1</v>
      </c>
      <c r="AQ1599" s="254" t="str">
        <f>IF(LEN(W1599)=0,"",W1599)</f>
        <v/>
      </c>
      <c r="AR1599" s="254" t="str">
        <f>SUBSTITUTE(SUBSTITUTE(SUBSTITUTE("vnt"&amp;$B1599&amp;$C1599&amp;$D1599&amp;$E1599,".","_"),"(","_"),")","")</f>
        <v>vnt706_7_1</v>
      </c>
      <c r="AS1599" s="254" t="str">
        <f>IF(LEN(X1599)=0,"",X1599)</f>
        <v/>
      </c>
      <c r="AT1599" s="634"/>
      <c r="AU1599" s="634"/>
      <c r="AV1599" s="634"/>
      <c r="AW1599" s="634"/>
      <c r="AX1599" s="634"/>
      <c r="AY1599" s="634"/>
      <c r="AZ1599" s="634"/>
      <c r="BA1599" s="634"/>
      <c r="BB1599" s="634"/>
      <c r="BC1599" s="634"/>
      <c r="BD1599" s="634"/>
      <c r="BE1599" s="634"/>
      <c r="BF1599" s="634"/>
      <c r="BG1599" s="634"/>
      <c r="BH1599" s="634"/>
      <c r="BI1599" s="634"/>
    </row>
    <row r="1600" spans="1:61" x14ac:dyDescent="0.25">
      <c r="A1600" s="2371">
        <v>7</v>
      </c>
      <c r="B1600" s="2385">
        <v>706.7</v>
      </c>
      <c r="C1600" s="2374" t="s">
        <v>258</v>
      </c>
      <c r="D1600" s="2374"/>
      <c r="E1600" s="2374"/>
      <c r="F1600" s="2374"/>
      <c r="G1600" s="2373" t="str">
        <f>IF(N1600&gt;0,"P","")</f>
        <v/>
      </c>
      <c r="H1600" s="2371" t="s">
        <v>3973</v>
      </c>
      <c r="I1600" s="129"/>
      <c r="J1600" s="543" t="s">
        <v>258</v>
      </c>
      <c r="K1600" s="636"/>
      <c r="L1600" s="1162" t="s">
        <v>1099</v>
      </c>
      <c r="M1600" s="1010">
        <v>1</v>
      </c>
      <c r="N1600" s="1044">
        <f>'Ch7'!O730</f>
        <v>0</v>
      </c>
      <c r="O1600" s="1044">
        <f>M1600*S1600*W1600</f>
        <v>0</v>
      </c>
      <c r="P1600" s="94" t="b">
        <v>0</v>
      </c>
      <c r="Q1600" s="94" t="b">
        <v>1</v>
      </c>
      <c r="R1600" s="94" t="b">
        <v>0</v>
      </c>
      <c r="S1600" s="94" t="b">
        <f>IFERROR(NOT(OR(W1564:W1571,W1611)),TRUE)</f>
        <v>1</v>
      </c>
      <c r="T1600" s="94" t="b">
        <f>AND(NOT(S1600),W1600=TRUE)</f>
        <v>0</v>
      </c>
      <c r="U1600" s="94"/>
      <c r="V1600" s="94"/>
      <c r="W1600" s="25"/>
      <c r="X1600" s="1757"/>
      <c r="Y1600" s="2081" t="str">
        <f>IF(LEN('Ch7'!X730)=0,"None",'Ch7'!X730)</f>
        <v>None</v>
      </c>
      <c r="Z1600" s="2084"/>
      <c r="AA1600" s="1526"/>
      <c r="AB1600" s="634"/>
      <c r="AC1600" s="970" t="b">
        <f>OR(AD1600:AE1600)</f>
        <v>0</v>
      </c>
      <c r="AD1600" s="970" t="b">
        <f>T1600</f>
        <v>0</v>
      </c>
      <c r="AE1600" s="970"/>
      <c r="AF1600" s="784"/>
      <c r="AG1600" s="634"/>
      <c r="AH1600" s="634"/>
      <c r="AI1600" s="634"/>
      <c r="AJ1600" s="634"/>
      <c r="AK1600" s="634"/>
      <c r="AL1600" s="254" t="str">
        <f>SUBSTITUTE(SUBSTITUTE(SUBSTITUTE("vpa"&amp;$B1600&amp;$C1600&amp;$D1600&amp;$E1600,".","_"),"(","_"),")","")</f>
        <v>vpa706_7_2</v>
      </c>
      <c r="AM1600" s="254">
        <f>M1600</f>
        <v>1</v>
      </c>
      <c r="AN1600" s="254" t="str">
        <f>SUBSTITUTE(SUBSTITUTE(SUBSTITUTE("vpc"&amp;$B1600&amp;$C1600&amp;$D1600&amp;$E1600,".","_"),"(","_"),")","")</f>
        <v>vpc706_7_2</v>
      </c>
      <c r="AO1600" s="254">
        <f>O1600</f>
        <v>0</v>
      </c>
      <c r="AP1600" s="254" t="str">
        <f>SUBSTITUTE(SUBSTITUTE(SUBSTITUTE("vch"&amp;$B1600&amp;$C1600&amp;$D1600&amp;$E1600,".","_"),"(","_"),")","")</f>
        <v>vch706_7_2</v>
      </c>
      <c r="AQ1600" s="254" t="str">
        <f>IF(LEN(W1600)=0,"",W1600)</f>
        <v/>
      </c>
      <c r="AR1600" s="254" t="str">
        <f>SUBSTITUTE(SUBSTITUTE(SUBSTITUTE("vnt"&amp;$B1600&amp;$C1600&amp;$D1600&amp;$E1600,".","_"),"(","_"),")","")</f>
        <v>vnt706_7_2</v>
      </c>
      <c r="AS1600" s="254" t="str">
        <f>IF(LEN(X1600)=0,"",X1600)</f>
        <v/>
      </c>
      <c r="AT1600" s="634"/>
      <c r="AU1600" s="634"/>
      <c r="AV1600" s="634"/>
      <c r="AW1600" s="634"/>
      <c r="AX1600" s="634"/>
      <c r="AY1600" s="634"/>
      <c r="AZ1600" s="634"/>
      <c r="BA1600" s="634"/>
      <c r="BB1600" s="634"/>
      <c r="BC1600" s="634"/>
      <c r="BD1600" s="634"/>
      <c r="BE1600" s="634"/>
      <c r="BF1600" s="634"/>
      <c r="BG1600" s="634"/>
      <c r="BH1600" s="634"/>
      <c r="BI1600" s="634"/>
    </row>
    <row r="1601" spans="1:61" x14ac:dyDescent="0.25">
      <c r="A1601" s="2371">
        <v>7</v>
      </c>
      <c r="B1601" s="2385">
        <v>706.7</v>
      </c>
      <c r="C1601" s="2381"/>
      <c r="D1601" s="2374"/>
      <c r="E1601" s="2374"/>
      <c r="F1601" s="2374"/>
      <c r="G1601" s="2373" t="str">
        <f t="shared" ref="G1601:G1621" si="102">G1600</f>
        <v/>
      </c>
      <c r="H1601" s="2371" t="s">
        <v>3973</v>
      </c>
      <c r="I1601" s="129"/>
      <c r="J1601" s="636"/>
      <c r="K1601" s="636"/>
      <c r="L1601" s="1782" t="s">
        <v>1100</v>
      </c>
      <c r="M1601" s="1010"/>
      <c r="N1601" s="1044"/>
      <c r="O1601" s="1044"/>
      <c r="P1601" s="94"/>
      <c r="Q1601" s="94"/>
      <c r="R1601" s="94"/>
      <c r="S1601" s="94"/>
      <c r="T1601" s="94"/>
      <c r="U1601" s="94"/>
      <c r="V1601" s="94"/>
      <c r="W1601" s="94"/>
      <c r="X1601" s="1757"/>
      <c r="Y1601" s="2081"/>
      <c r="Z1601" s="2084"/>
      <c r="AA1601" s="1526"/>
      <c r="AB1601" s="634"/>
      <c r="AC1601" s="970"/>
      <c r="AD1601" s="970"/>
      <c r="AE1601" s="970"/>
      <c r="AF1601" s="634"/>
      <c r="AG1601" s="634"/>
      <c r="AH1601" s="634"/>
      <c r="AI1601" s="634"/>
      <c r="AJ1601" s="634"/>
      <c r="AK1601" s="634"/>
      <c r="AL1601" s="1336"/>
      <c r="AM1601" s="1336"/>
      <c r="AN1601" s="1336"/>
      <c r="AO1601" s="1336"/>
      <c r="AP1601" s="1336"/>
      <c r="AQ1601" s="1336"/>
      <c r="AR1601" s="1336"/>
      <c r="AS1601" s="1336"/>
      <c r="AT1601" s="634"/>
      <c r="AU1601" s="634"/>
      <c r="AV1601" s="634"/>
      <c r="AW1601" s="634"/>
      <c r="AX1601" s="634"/>
      <c r="AY1601" s="634"/>
      <c r="AZ1601" s="634"/>
      <c r="BA1601" s="634"/>
      <c r="BB1601" s="634"/>
      <c r="BC1601" s="634"/>
      <c r="BD1601" s="634"/>
      <c r="BE1601" s="634"/>
      <c r="BF1601" s="634"/>
      <c r="BG1601" s="634"/>
      <c r="BH1601" s="634"/>
      <c r="BI1601" s="634"/>
    </row>
    <row r="1602" spans="1:61" ht="15.75" thickBot="1" x14ac:dyDescent="0.3">
      <c r="A1602" s="2371">
        <v>7</v>
      </c>
      <c r="B1602" s="2385">
        <v>706.7</v>
      </c>
      <c r="C1602" s="2381"/>
      <c r="D1602" s="2374"/>
      <c r="E1602" s="2374"/>
      <c r="F1602" s="2374"/>
      <c r="G1602" s="2373" t="str">
        <f t="shared" si="102"/>
        <v/>
      </c>
      <c r="H1602" s="2371" t="s">
        <v>3973</v>
      </c>
      <c r="I1602" s="240"/>
      <c r="J1602" s="642"/>
      <c r="K1602" s="642"/>
      <c r="L1602" s="1797"/>
      <c r="M1602" s="1011"/>
      <c r="N1602" s="1045"/>
      <c r="O1602" s="1045"/>
      <c r="P1602" s="99"/>
      <c r="Q1602" s="99"/>
      <c r="R1602" s="99"/>
      <c r="S1602" s="99"/>
      <c r="T1602" s="99"/>
      <c r="U1602" s="99"/>
      <c r="V1602" s="99"/>
      <c r="W1602" s="99"/>
      <c r="X1602" s="1771"/>
      <c r="Y1602" s="2082"/>
      <c r="Z1602" s="2086"/>
      <c r="AA1602" s="1526"/>
      <c r="AB1602" s="634"/>
      <c r="AC1602" s="970"/>
      <c r="AD1602" s="970"/>
      <c r="AE1602" s="970"/>
      <c r="AF1602" s="634"/>
      <c r="AG1602" s="634"/>
      <c r="AH1602" s="634"/>
      <c r="AI1602" s="634"/>
      <c r="AJ1602" s="634"/>
      <c r="AK1602" s="634"/>
      <c r="AL1602" s="1336"/>
      <c r="AM1602" s="1336"/>
      <c r="AN1602" s="1336"/>
      <c r="AO1602" s="1336"/>
      <c r="AP1602" s="1336"/>
      <c r="AQ1602" s="1336"/>
      <c r="AR1602" s="1336"/>
      <c r="AS1602" s="1336"/>
      <c r="AT1602" s="634"/>
      <c r="AU1602" s="634"/>
      <c r="AV1602" s="634"/>
      <c r="AW1602" s="634"/>
      <c r="AX1602" s="634"/>
      <c r="AY1602" s="634"/>
      <c r="AZ1602" s="634"/>
      <c r="BA1602" s="634"/>
      <c r="BB1602" s="634"/>
      <c r="BC1602" s="634"/>
      <c r="BD1602" s="634"/>
      <c r="BE1602" s="634"/>
      <c r="BF1602" s="634"/>
      <c r="BG1602" s="634"/>
      <c r="BH1602" s="634"/>
      <c r="BI1602" s="634"/>
    </row>
    <row r="1603" spans="1:61" ht="15.75" customHeight="1" thickTop="1" x14ac:dyDescent="0.25">
      <c r="A1603" s="2371">
        <v>7</v>
      </c>
      <c r="B1603" s="2385">
        <v>706.8</v>
      </c>
      <c r="C1603" s="2381"/>
      <c r="D1603" s="2374"/>
      <c r="E1603" s="2374"/>
      <c r="F1603" s="2374"/>
      <c r="G1603" s="2373" t="str">
        <f>IF(N1603&gt;0,"P","")</f>
        <v/>
      </c>
      <c r="H1603" s="2371" t="s">
        <v>3971</v>
      </c>
      <c r="I1603" s="180">
        <v>706.8</v>
      </c>
      <c r="J1603" s="520"/>
      <c r="K1603" s="520"/>
      <c r="L1603" s="1899" t="s">
        <v>4352</v>
      </c>
      <c r="M1603" s="1772">
        <v>2</v>
      </c>
      <c r="N1603" s="2080">
        <f>'Ch7'!O733</f>
        <v>0</v>
      </c>
      <c r="O1603" s="2080">
        <f>M1603*S1603*W1603</f>
        <v>0</v>
      </c>
      <c r="P1603" s="911" t="b">
        <v>1</v>
      </c>
      <c r="Q1603" s="911" t="b">
        <v>1</v>
      </c>
      <c r="R1603" s="105" t="b">
        <v>0</v>
      </c>
      <c r="S1603" s="105" t="b">
        <v>1</v>
      </c>
      <c r="T1603" s="105" t="b">
        <v>0</v>
      </c>
      <c r="U1603" s="105"/>
      <c r="V1603" s="105"/>
      <c r="W1603" s="25"/>
      <c r="X1603" s="1784"/>
      <c r="Y1603" s="2097" t="str">
        <f>IF(LEN('Ch7'!X733)=0,"None",'Ch7'!X733)</f>
        <v>None</v>
      </c>
      <c r="Z1603" s="2085"/>
      <c r="AA1603" s="1526"/>
      <c r="AB1603" s="634"/>
      <c r="AC1603" s="970"/>
      <c r="AD1603" s="970"/>
      <c r="AE1603" s="970"/>
      <c r="AF1603" s="784"/>
      <c r="AG1603" s="634"/>
      <c r="AH1603" s="634"/>
      <c r="AI1603" s="634"/>
      <c r="AJ1603" s="634"/>
      <c r="AK1603" s="634"/>
      <c r="AL1603" s="254" t="str">
        <f>SUBSTITUTE(SUBSTITUTE(SUBSTITUTE("vpa"&amp;$B1603&amp;$C1603&amp;$D1603&amp;$E1603,".","_"),"(","_"),")","")</f>
        <v>vpa706_8</v>
      </c>
      <c r="AM1603" s="254">
        <f>M1603</f>
        <v>2</v>
      </c>
      <c r="AN1603" s="254" t="str">
        <f>SUBSTITUTE(SUBSTITUTE(SUBSTITUTE("vpc"&amp;$B1603&amp;$C1603&amp;$D1603&amp;$E1603,".","_"),"(","_"),")","")</f>
        <v>vpc706_8</v>
      </c>
      <c r="AO1603" s="254">
        <f>O1603</f>
        <v>0</v>
      </c>
      <c r="AP1603" s="254" t="str">
        <f>SUBSTITUTE(SUBSTITUTE(SUBSTITUTE("vch"&amp;$B1603&amp;$C1603&amp;$D1603&amp;$E1603,".","_"),"(","_"),")","")</f>
        <v>vch706_8</v>
      </c>
      <c r="AQ1603" s="254" t="str">
        <f>IF(LEN(W1603)=0,"",W1603)</f>
        <v/>
      </c>
      <c r="AR1603" s="254" t="str">
        <f>SUBSTITUTE(SUBSTITUTE(SUBSTITUTE("vnt"&amp;$B1603&amp;$C1603&amp;$D1603&amp;$E1603,".","_"),"(","_"),")","")</f>
        <v>vnt706_8</v>
      </c>
      <c r="AS1603" s="254" t="str">
        <f>IF(LEN(X1603)=0,"",X1603)</f>
        <v/>
      </c>
      <c r="AT1603" s="634"/>
      <c r="AU1603" s="634"/>
      <c r="AV1603" s="634"/>
      <c r="AW1603" s="634"/>
      <c r="AX1603" s="634"/>
      <c r="AY1603" s="634"/>
      <c r="AZ1603" s="634"/>
      <c r="BA1603" s="634"/>
      <c r="BB1603" s="634"/>
      <c r="BC1603" s="634"/>
      <c r="BD1603" s="634"/>
      <c r="BE1603" s="634"/>
      <c r="BF1603" s="634"/>
      <c r="BG1603" s="634"/>
      <c r="BH1603" s="634"/>
      <c r="BI1603" s="634"/>
    </row>
    <row r="1604" spans="1:61" x14ac:dyDescent="0.25">
      <c r="A1604" s="2371">
        <v>7</v>
      </c>
      <c r="B1604" s="2385">
        <v>706.8</v>
      </c>
      <c r="C1604" s="2381"/>
      <c r="D1604" s="2374"/>
      <c r="E1604" s="2374"/>
      <c r="F1604" s="2374"/>
      <c r="G1604" s="2373" t="str">
        <f t="shared" si="102"/>
        <v/>
      </c>
      <c r="H1604" s="2371" t="s">
        <v>3971</v>
      </c>
      <c r="I1604" s="4"/>
      <c r="J1604" s="929"/>
      <c r="K1604" s="929"/>
      <c r="L1604" s="1833"/>
      <c r="M1604" s="1758"/>
      <c r="N1604" s="1927"/>
      <c r="O1604" s="1927"/>
      <c r="P1604" s="911"/>
      <c r="Q1604" s="911"/>
      <c r="R1604" s="911"/>
      <c r="S1604" s="911"/>
      <c r="T1604" s="911"/>
      <c r="U1604" s="94"/>
      <c r="V1604" s="94"/>
      <c r="W1604" s="94"/>
      <c r="X1604" s="1757"/>
      <c r="Y1604" s="2081"/>
      <c r="Z1604" s="2084"/>
      <c r="AA1604" s="1526"/>
      <c r="AB1604" s="634"/>
      <c r="AC1604" s="970"/>
      <c r="AD1604" s="970"/>
      <c r="AE1604" s="970"/>
      <c r="AF1604" s="634"/>
      <c r="AG1604" s="634"/>
      <c r="AH1604" s="634"/>
      <c r="AI1604" s="634"/>
      <c r="AJ1604" s="634"/>
      <c r="AK1604" s="634"/>
      <c r="AL1604" s="1336"/>
      <c r="AM1604" s="1336"/>
      <c r="AN1604" s="1336"/>
      <c r="AO1604" s="1336"/>
      <c r="AP1604" s="1336"/>
      <c r="AQ1604" s="1336"/>
      <c r="AR1604" s="1336"/>
      <c r="AS1604" s="1336"/>
      <c r="AT1604" s="634"/>
      <c r="AU1604" s="634"/>
      <c r="AV1604" s="634"/>
      <c r="AW1604" s="634"/>
      <c r="AX1604" s="634"/>
      <c r="AY1604" s="634"/>
      <c r="AZ1604" s="634"/>
      <c r="BA1604" s="634"/>
      <c r="BB1604" s="634"/>
      <c r="BC1604" s="634"/>
      <c r="BD1604" s="634"/>
      <c r="BE1604" s="634"/>
      <c r="BF1604" s="634"/>
      <c r="BG1604" s="634"/>
      <c r="BH1604" s="634"/>
      <c r="BI1604" s="634"/>
    </row>
    <row r="1605" spans="1:61" ht="15.75" thickBot="1" x14ac:dyDescent="0.3">
      <c r="A1605" s="2371">
        <v>7</v>
      </c>
      <c r="B1605" s="2385">
        <v>706.8</v>
      </c>
      <c r="C1605" s="2381"/>
      <c r="D1605" s="2374"/>
      <c r="E1605" s="2374"/>
      <c r="F1605" s="2374"/>
      <c r="G1605" s="2373" t="str">
        <f t="shared" si="102"/>
        <v/>
      </c>
      <c r="H1605" s="2371" t="s">
        <v>3971</v>
      </c>
      <c r="I1605" s="240"/>
      <c r="J1605" s="928"/>
      <c r="K1605" s="928"/>
      <c r="L1605" s="1900"/>
      <c r="M1605" s="1768"/>
      <c r="N1605" s="1928"/>
      <c r="O1605" s="1928"/>
      <c r="P1605" s="99"/>
      <c r="Q1605" s="99"/>
      <c r="R1605" s="99"/>
      <c r="S1605" s="99"/>
      <c r="T1605" s="99"/>
      <c r="U1605" s="99"/>
      <c r="V1605" s="99"/>
      <c r="W1605" s="99"/>
      <c r="X1605" s="1771"/>
      <c r="Y1605" s="2082"/>
      <c r="Z1605" s="2086"/>
      <c r="AA1605" s="1526"/>
      <c r="AB1605" s="634"/>
      <c r="AC1605" s="970"/>
      <c r="AD1605" s="970"/>
      <c r="AE1605" s="970"/>
      <c r="AF1605" s="634"/>
      <c r="AG1605" s="634"/>
      <c r="AH1605" s="634"/>
      <c r="AI1605" s="634"/>
      <c r="AJ1605" s="634"/>
      <c r="AK1605" s="634"/>
      <c r="AL1605" s="1336"/>
      <c r="AM1605" s="1336"/>
      <c r="AN1605" s="1336"/>
      <c r="AO1605" s="1336"/>
      <c r="AP1605" s="1336"/>
      <c r="AQ1605" s="1336"/>
      <c r="AR1605" s="1336"/>
      <c r="AS1605" s="1336"/>
      <c r="AT1605" s="634"/>
      <c r="AU1605" s="634"/>
      <c r="AV1605" s="634"/>
      <c r="AW1605" s="634"/>
      <c r="AX1605" s="634"/>
      <c r="AY1605" s="634"/>
      <c r="AZ1605" s="634"/>
      <c r="BA1605" s="634"/>
      <c r="BB1605" s="634"/>
      <c r="BC1605" s="634"/>
      <c r="BD1605" s="634"/>
      <c r="BE1605" s="634"/>
      <c r="BF1605" s="634"/>
      <c r="BG1605" s="634"/>
      <c r="BH1605" s="634"/>
      <c r="BI1605" s="634"/>
    </row>
    <row r="1606" spans="1:61" ht="15.75" thickTop="1" x14ac:dyDescent="0.25">
      <c r="A1606" s="2371">
        <v>7</v>
      </c>
      <c r="B1606" s="2385">
        <v>706.9</v>
      </c>
      <c r="C1606" s="2381"/>
      <c r="D1606" s="2374"/>
      <c r="E1606" s="2374"/>
      <c r="F1606" s="2374"/>
      <c r="G1606" s="2373" t="str">
        <f>IF(N1606&gt;0,"P","")</f>
        <v/>
      </c>
      <c r="H1606" s="2371" t="s">
        <v>3971</v>
      </c>
      <c r="I1606" s="87" t="s">
        <v>4353</v>
      </c>
      <c r="J1606" s="845"/>
      <c r="K1606" s="845"/>
      <c r="L1606" s="1833" t="s">
        <v>4354</v>
      </c>
      <c r="M1606" s="1772">
        <v>1</v>
      </c>
      <c r="N1606" s="2080">
        <f>'Ch7'!O736</f>
        <v>0</v>
      </c>
      <c r="O1606" s="2080">
        <f>M1606*S1606*W1606</f>
        <v>0</v>
      </c>
      <c r="P1606" s="105" t="b">
        <v>1</v>
      </c>
      <c r="Q1606" s="105" t="b">
        <v>1</v>
      </c>
      <c r="R1606" s="105" t="b">
        <v>0</v>
      </c>
      <c r="S1606" s="105" t="b">
        <v>1</v>
      </c>
      <c r="T1606" s="105" t="b">
        <v>0</v>
      </c>
      <c r="U1606"/>
      <c r="V1606"/>
      <c r="W1606" s="25"/>
      <c r="X1606" s="1815"/>
      <c r="Y1606" s="2129" t="str">
        <f>IF(LEN('Ch7'!X736)=0,"None",'Ch7'!X736)</f>
        <v>None</v>
      </c>
      <c r="Z1606" s="2089"/>
      <c r="AA1606" s="1526"/>
      <c r="AC1606" s="970"/>
      <c r="AD1606" s="970"/>
      <c r="AE1606" s="970"/>
      <c r="AF1606"/>
      <c r="AG1606"/>
      <c r="AH1606"/>
      <c r="AI1606"/>
      <c r="AJ1606"/>
      <c r="AK1606"/>
      <c r="AL1606" s="254" t="str">
        <f>SUBSTITUTE(SUBSTITUTE(SUBSTITUTE("vpa"&amp;$B1606&amp;$C1606&amp;$D1606&amp;$E1606,".","_"),"(","_"),")","")</f>
        <v>vpa706_9</v>
      </c>
      <c r="AM1606" s="254">
        <f>M1606</f>
        <v>1</v>
      </c>
      <c r="AN1606" s="254" t="str">
        <f>SUBSTITUTE(SUBSTITUTE(SUBSTITUTE("vpc"&amp;$B1606&amp;$C1606&amp;$D1606&amp;$E1606,".","_"),"(","_"),")","")</f>
        <v>vpc706_9</v>
      </c>
      <c r="AO1606" s="254">
        <f>O1606</f>
        <v>0</v>
      </c>
      <c r="AP1606" s="254" t="str">
        <f>SUBSTITUTE(SUBSTITUTE(SUBSTITUTE("vch"&amp;$B1606&amp;$C1606&amp;$D1606&amp;$E1606,".","_"),"(","_"),")","")</f>
        <v>vch706_9</v>
      </c>
      <c r="AQ1606" s="254" t="str">
        <f>IF(LEN(W1606)=0,"",W1606)</f>
        <v/>
      </c>
      <c r="AR1606" s="254" t="str">
        <f>SUBSTITUTE(SUBSTITUTE(SUBSTITUTE("vnt"&amp;$B1606&amp;$C1606&amp;$D1606&amp;$E1606,".","_"),"(","_"),")","")</f>
        <v>vnt706_9</v>
      </c>
      <c r="AS1606" s="254" t="str">
        <f>IF(LEN(X1606)=0,"",X1606)</f>
        <v/>
      </c>
      <c r="AT1606"/>
    </row>
    <row r="1607" spans="1:61" x14ac:dyDescent="0.25">
      <c r="A1607" s="2371">
        <v>7</v>
      </c>
      <c r="B1607" s="2385">
        <v>706.9</v>
      </c>
      <c r="C1607" s="2381"/>
      <c r="D1607" s="2374"/>
      <c r="E1607" s="2374"/>
      <c r="F1607" s="2374"/>
      <c r="G1607" s="2373" t="str">
        <f>G1606</f>
        <v/>
      </c>
      <c r="H1607" s="2371" t="s">
        <v>3971</v>
      </c>
      <c r="I1607" s="90"/>
      <c r="J1607" s="845"/>
      <c r="K1607" s="845"/>
      <c r="L1607" s="1833"/>
      <c r="M1607" s="1758"/>
      <c r="N1607" s="1927"/>
      <c r="O1607" s="1927"/>
      <c r="P1607" s="911"/>
      <c r="Q1607" s="911"/>
      <c r="R1607" s="911"/>
      <c r="S1607" s="911"/>
      <c r="T1607" s="911"/>
      <c r="U1607"/>
      <c r="V1607"/>
      <c r="W1607"/>
      <c r="X1607" s="1799"/>
      <c r="Y1607" s="2100"/>
      <c r="Z1607" s="2091"/>
      <c r="AA1607" s="1526"/>
      <c r="AC1607" s="970"/>
      <c r="AD1607" s="970"/>
      <c r="AE1607" s="970"/>
      <c r="AF1607"/>
      <c r="AG1607"/>
      <c r="AH1607"/>
      <c r="AI1607"/>
      <c r="AJ1607"/>
      <c r="AK1607"/>
      <c r="AL1607" s="1336"/>
      <c r="AM1607" s="1336"/>
      <c r="AN1607" s="1336"/>
      <c r="AO1607" s="1336"/>
      <c r="AP1607" s="1336"/>
      <c r="AQ1607" s="1336"/>
      <c r="AR1607" s="1336"/>
      <c r="AS1607" s="1336"/>
      <c r="AT1607"/>
    </row>
    <row r="1608" spans="1:61" x14ac:dyDescent="0.25">
      <c r="A1608" s="2371">
        <v>7</v>
      </c>
      <c r="B1608" s="2385">
        <v>706.9</v>
      </c>
      <c r="C1608" s="2381"/>
      <c r="D1608" s="2374"/>
      <c r="E1608" s="2374"/>
      <c r="F1608" s="2374"/>
      <c r="G1608" s="2373" t="str">
        <f>G1607</f>
        <v/>
      </c>
      <c r="H1608" s="2371" t="s">
        <v>3971</v>
      </c>
      <c r="I1608" s="90"/>
      <c r="J1608" s="845"/>
      <c r="K1608" s="845"/>
      <c r="L1608" s="1833"/>
      <c r="M1608" s="1758"/>
      <c r="N1608" s="1927"/>
      <c r="O1608" s="1927"/>
      <c r="P1608" s="911"/>
      <c r="Q1608" s="911"/>
      <c r="R1608" s="911"/>
      <c r="S1608" s="911"/>
      <c r="T1608" s="911"/>
      <c r="U1608"/>
      <c r="V1608"/>
      <c r="W1608"/>
      <c r="X1608" s="1799"/>
      <c r="Y1608" s="2100"/>
      <c r="Z1608" s="2091"/>
      <c r="AA1608" s="1526"/>
      <c r="AC1608" s="970"/>
      <c r="AD1608" s="970"/>
      <c r="AE1608" s="970"/>
      <c r="AF1608"/>
      <c r="AG1608"/>
      <c r="AH1608"/>
      <c r="AI1608"/>
      <c r="AJ1608"/>
      <c r="AK1608"/>
      <c r="AL1608" s="1336"/>
      <c r="AM1608" s="1336"/>
      <c r="AN1608" s="1336"/>
      <c r="AO1608" s="1336"/>
      <c r="AP1608" s="1336"/>
      <c r="AQ1608" s="1336"/>
      <c r="AR1608" s="1336"/>
      <c r="AS1608" s="1336"/>
      <c r="AT1608"/>
    </row>
    <row r="1609" spans="1:61" x14ac:dyDescent="0.25">
      <c r="A1609" s="2371">
        <v>7</v>
      </c>
      <c r="B1609" s="2385">
        <v>706.9</v>
      </c>
      <c r="C1609" s="2381"/>
      <c r="D1609" s="2374"/>
      <c r="E1609" s="2374"/>
      <c r="F1609" s="2374"/>
      <c r="G1609" s="2373" t="str">
        <f>G1608</f>
        <v/>
      </c>
      <c r="H1609" s="2371" t="s">
        <v>3971</v>
      </c>
      <c r="I1609" s="90"/>
      <c r="J1609" s="845"/>
      <c r="K1609" s="845"/>
      <c r="L1609" s="1833"/>
      <c r="M1609" s="1758"/>
      <c r="N1609" s="1927"/>
      <c r="O1609" s="1927"/>
      <c r="P1609" s="911"/>
      <c r="Q1609" s="911"/>
      <c r="R1609" s="911"/>
      <c r="S1609" s="911"/>
      <c r="T1609" s="911"/>
      <c r="U1609"/>
      <c r="V1609"/>
      <c r="W1609"/>
      <c r="X1609" s="1799"/>
      <c r="Y1609" s="2100"/>
      <c r="Z1609" s="2091"/>
      <c r="AA1609" s="1526"/>
      <c r="AC1609" s="970"/>
      <c r="AD1609" s="970"/>
      <c r="AE1609" s="970"/>
      <c r="AF1609"/>
      <c r="AG1609"/>
      <c r="AH1609"/>
      <c r="AI1609"/>
      <c r="AJ1609"/>
      <c r="AK1609"/>
      <c r="AL1609" s="1336"/>
      <c r="AM1609" s="1336"/>
      <c r="AN1609" s="1336"/>
      <c r="AO1609" s="1336"/>
      <c r="AP1609" s="1336"/>
      <c r="AQ1609" s="1336"/>
      <c r="AR1609" s="1336"/>
      <c r="AS1609" s="1336"/>
      <c r="AT1609"/>
    </row>
    <row r="1610" spans="1:61" ht="15.75" thickBot="1" x14ac:dyDescent="0.3">
      <c r="A1610" s="2371">
        <v>7</v>
      </c>
      <c r="B1610" s="2385">
        <v>706.9</v>
      </c>
      <c r="C1610" s="2381"/>
      <c r="D1610" s="2374"/>
      <c r="E1610" s="2374"/>
      <c r="F1610" s="2374"/>
      <c r="G1610" s="2373" t="str">
        <f>G1609</f>
        <v/>
      </c>
      <c r="H1610" s="2371" t="s">
        <v>3971</v>
      </c>
      <c r="I1610" s="103"/>
      <c r="J1610" s="852"/>
      <c r="K1610" s="852"/>
      <c r="L1610" s="1900"/>
      <c r="M1610" s="1768"/>
      <c r="N1610" s="1928"/>
      <c r="O1610" s="1928"/>
      <c r="P1610" s="99"/>
      <c r="Q1610" s="99"/>
      <c r="R1610" s="99"/>
      <c r="S1610" s="99"/>
      <c r="T1610" s="99"/>
      <c r="U1610" s="99"/>
      <c r="V1610" s="99"/>
      <c r="W1610" s="112"/>
      <c r="X1610" s="1800"/>
      <c r="Y1610" s="2102"/>
      <c r="Z1610" s="2090"/>
      <c r="AA1610" s="1526"/>
      <c r="AC1610" s="970"/>
      <c r="AD1610" s="970"/>
      <c r="AE1610" s="970"/>
      <c r="AF1610"/>
      <c r="AG1610"/>
      <c r="AH1610"/>
      <c r="AI1610"/>
      <c r="AJ1610"/>
      <c r="AK1610"/>
      <c r="AL1610" s="1336"/>
      <c r="AM1610" s="1336"/>
      <c r="AN1610" s="1336"/>
      <c r="AO1610" s="1336"/>
      <c r="AP1610" s="1336"/>
      <c r="AQ1610" s="1336"/>
      <c r="AR1610" s="1336"/>
      <c r="AS1610" s="1336"/>
      <c r="AT1610"/>
    </row>
    <row r="1611" spans="1:61" ht="15" customHeight="1" thickTop="1" x14ac:dyDescent="0.25">
      <c r="A1611" s="2371">
        <v>7</v>
      </c>
      <c r="B1611" s="2385" t="s">
        <v>4355</v>
      </c>
      <c r="C1611" s="2381"/>
      <c r="D1611" s="2374"/>
      <c r="E1611" s="2374"/>
      <c r="F1611" s="2374"/>
      <c r="G1611" s="2373" t="str">
        <f>IF(N1611&gt;0,"P","")</f>
        <v/>
      </c>
      <c r="H1611" s="2371" t="s">
        <v>3973</v>
      </c>
      <c r="I1611" s="78" t="s">
        <v>4355</v>
      </c>
      <c r="J1611" s="929"/>
      <c r="K1611" s="929"/>
      <c r="L1611" s="1796" t="s">
        <v>4356</v>
      </c>
      <c r="M1611" s="1767">
        <v>1</v>
      </c>
      <c r="N1611" s="2075">
        <f>'Ch7'!O741</f>
        <v>0</v>
      </c>
      <c r="O1611" s="2075">
        <f>M1611*S1611*W1611</f>
        <v>0</v>
      </c>
      <c r="P1611" s="911" t="b">
        <v>0</v>
      </c>
      <c r="Q1611" s="911" t="b">
        <v>1</v>
      </c>
      <c r="R1611" s="911" t="b">
        <v>0</v>
      </c>
      <c r="S1611" s="911" t="b">
        <f>IFERROR(NOT(OR(W1564:W1571,W1599:W1600)),TRUE)</f>
        <v>1</v>
      </c>
      <c r="T1611" s="911" t="b">
        <f>AND(NOT(S1611),W1611=TRUE)</f>
        <v>0</v>
      </c>
      <c r="U1611" s="634"/>
      <c r="V1611" s="634"/>
      <c r="W1611" s="117"/>
      <c r="X1611" s="1756"/>
      <c r="Y1611" s="2098" t="str">
        <f>IF(LEN('Ch7'!X741)=0,"None",'Ch7'!X741)</f>
        <v>None</v>
      </c>
      <c r="Z1611" s="2088"/>
      <c r="AA1611" s="1526"/>
      <c r="AB1611" s="634"/>
      <c r="AC1611" s="970" t="b">
        <f>OR(AD1611:AE1611)</f>
        <v>0</v>
      </c>
      <c r="AD1611" s="970" t="b">
        <f>T1611</f>
        <v>0</v>
      </c>
      <c r="AE1611" s="970"/>
      <c r="AF1611" s="784"/>
      <c r="AG1611" s="634"/>
      <c r="AH1611" s="634"/>
      <c r="AI1611" s="634"/>
      <c r="AJ1611" s="634"/>
      <c r="AK1611" s="634"/>
      <c r="AL1611" s="254" t="str">
        <f>SUBSTITUTE(SUBSTITUTE(SUBSTITUTE("vpa"&amp;$B1611&amp;$C1611&amp;$D1611&amp;$E1611,".","_"),"(","_"),")","")</f>
        <v>vpa706_10</v>
      </c>
      <c r="AM1611" s="254">
        <f>M1611</f>
        <v>1</v>
      </c>
      <c r="AN1611" s="254" t="str">
        <f>SUBSTITUTE(SUBSTITUTE(SUBSTITUTE("vpc"&amp;$B1611&amp;$C1611&amp;$D1611&amp;$E1611,".","_"),"(","_"),")","")</f>
        <v>vpc706_10</v>
      </c>
      <c r="AO1611" s="254">
        <f>O1611</f>
        <v>0</v>
      </c>
      <c r="AP1611" s="254" t="str">
        <f>SUBSTITUTE(SUBSTITUTE(SUBSTITUTE("vch"&amp;$B1611&amp;$C1611&amp;$D1611&amp;$E1611,".","_"),"(","_"),")","")</f>
        <v>vch706_10</v>
      </c>
      <c r="AQ1611" s="254" t="str">
        <f>IF(LEN(W1611)=0,"",W1611)</f>
        <v/>
      </c>
      <c r="AR1611" s="254" t="str">
        <f>SUBSTITUTE(SUBSTITUTE(SUBSTITUTE("vnt"&amp;$B1611&amp;$C1611&amp;$D1611&amp;$E1611,".","_"),"(","_"),")","")</f>
        <v>vnt706_10</v>
      </c>
      <c r="AS1611" s="254" t="str">
        <f>IF(LEN(X1611)=0,"",X1611)</f>
        <v/>
      </c>
      <c r="AT1611" s="634"/>
      <c r="AU1611" s="634"/>
      <c r="AV1611" s="634"/>
      <c r="AW1611" s="634"/>
      <c r="AX1611" s="634"/>
      <c r="AY1611" s="634"/>
      <c r="AZ1611" s="634"/>
      <c r="BA1611" s="634"/>
      <c r="BB1611" s="634"/>
      <c r="BC1611" s="634"/>
      <c r="BD1611" s="634"/>
      <c r="BE1611" s="634"/>
      <c r="BF1611" s="634"/>
      <c r="BG1611" s="634"/>
      <c r="BH1611" s="634"/>
      <c r="BI1611" s="634"/>
    </row>
    <row r="1612" spans="1:61" ht="15" customHeight="1" x14ac:dyDescent="0.25">
      <c r="A1612" s="2371">
        <v>7</v>
      </c>
      <c r="B1612" s="2385" t="s">
        <v>4355</v>
      </c>
      <c r="C1612" s="2381"/>
      <c r="D1612" s="2374"/>
      <c r="E1612" s="2374"/>
      <c r="F1612" s="2374"/>
      <c r="G1612" s="2373" t="str">
        <f t="shared" si="102"/>
        <v/>
      </c>
      <c r="H1612" s="2371" t="s">
        <v>3973</v>
      </c>
      <c r="I1612" s="4"/>
      <c r="J1612" s="929"/>
      <c r="K1612" s="929"/>
      <c r="L1612" s="1796"/>
      <c r="M1612" s="1767"/>
      <c r="N1612" s="2075"/>
      <c r="O1612" s="2075"/>
      <c r="P1612" s="911"/>
      <c r="Q1612" s="911"/>
      <c r="R1612" s="911"/>
      <c r="S1612" s="911"/>
      <c r="T1612" s="911"/>
      <c r="U1612" s="634"/>
      <c r="V1612" s="634"/>
      <c r="W1612" s="634"/>
      <c r="X1612" s="1757"/>
      <c r="Y1612" s="2081"/>
      <c r="Z1612" s="2084"/>
      <c r="AA1612" s="1526"/>
      <c r="AB1612" s="634"/>
      <c r="AC1612" s="970"/>
      <c r="AD1612" s="970"/>
      <c r="AE1612" s="970"/>
      <c r="AF1612" s="634"/>
      <c r="AG1612" s="634"/>
      <c r="AH1612" s="634"/>
      <c r="AI1612" s="634"/>
      <c r="AJ1612" s="634"/>
      <c r="AK1612" s="634"/>
      <c r="AL1612" s="1336"/>
      <c r="AM1612" s="1336"/>
      <c r="AN1612" s="1336"/>
      <c r="AO1612" s="1336"/>
      <c r="AP1612" s="1336"/>
      <c r="AQ1612" s="1336"/>
      <c r="AR1612" s="1336"/>
      <c r="AS1612" s="1336"/>
      <c r="AT1612" s="634"/>
      <c r="AU1612" s="634"/>
      <c r="AV1612" s="634"/>
      <c r="AW1612" s="634"/>
      <c r="AX1612" s="634"/>
      <c r="AY1612" s="634"/>
      <c r="AZ1612" s="634"/>
      <c r="BA1612" s="634"/>
      <c r="BB1612" s="634"/>
      <c r="BC1612" s="634"/>
      <c r="BD1612" s="634"/>
      <c r="BE1612" s="634"/>
      <c r="BF1612" s="634"/>
      <c r="BG1612" s="634"/>
      <c r="BH1612" s="634"/>
      <c r="BI1612" s="634"/>
    </row>
    <row r="1613" spans="1:61" ht="15" customHeight="1" x14ac:dyDescent="0.25">
      <c r="A1613" s="2371">
        <v>7</v>
      </c>
      <c r="B1613" s="2385" t="s">
        <v>4355</v>
      </c>
      <c r="C1613" s="2381"/>
      <c r="D1613" s="2374"/>
      <c r="E1613" s="2374"/>
      <c r="F1613" s="2374"/>
      <c r="G1613" s="2373" t="str">
        <f t="shared" si="102"/>
        <v/>
      </c>
      <c r="H1613" s="2371" t="s">
        <v>3973</v>
      </c>
      <c r="I1613" s="4"/>
      <c r="J1613" s="929"/>
      <c r="K1613" s="929"/>
      <c r="L1613" s="1796"/>
      <c r="M1613" s="1767"/>
      <c r="N1613" s="2075"/>
      <c r="O1613" s="2075"/>
      <c r="P1613" s="911"/>
      <c r="Q1613" s="911"/>
      <c r="R1613" s="911"/>
      <c r="S1613" s="911"/>
      <c r="T1613" s="911"/>
      <c r="U1613" s="634"/>
      <c r="V1613" s="634"/>
      <c r="W1613" s="634"/>
      <c r="X1613" s="1757"/>
      <c r="Y1613" s="2081"/>
      <c r="Z1613" s="2084"/>
      <c r="AA1613" s="1526"/>
      <c r="AB1613" s="634"/>
      <c r="AC1613" s="970"/>
      <c r="AD1613" s="970"/>
      <c r="AE1613" s="970"/>
      <c r="AF1613" s="634"/>
      <c r="AG1613" s="634"/>
      <c r="AH1613" s="634"/>
      <c r="AI1613" s="634"/>
      <c r="AJ1613" s="634"/>
      <c r="AK1613" s="634"/>
      <c r="AL1613" s="1336"/>
      <c r="AM1613" s="1336"/>
      <c r="AN1613" s="1336"/>
      <c r="AO1613" s="1336"/>
      <c r="AP1613" s="1336"/>
      <c r="AQ1613" s="1336"/>
      <c r="AR1613" s="1336"/>
      <c r="AS1613" s="1336"/>
      <c r="AT1613" s="634"/>
      <c r="AU1613" s="634"/>
      <c r="AV1613" s="634"/>
      <c r="AW1613" s="634"/>
      <c r="AX1613" s="634"/>
      <c r="AY1613" s="634"/>
      <c r="AZ1613" s="634"/>
      <c r="BA1613" s="634"/>
      <c r="BB1613" s="634"/>
      <c r="BC1613" s="634"/>
      <c r="BD1613" s="634"/>
      <c r="BE1613" s="634"/>
      <c r="BF1613" s="634"/>
      <c r="BG1613" s="634"/>
      <c r="BH1613" s="634"/>
      <c r="BI1613" s="634"/>
    </row>
    <row r="1614" spans="1:61" ht="15" customHeight="1" x14ac:dyDescent="0.25">
      <c r="A1614" s="2371">
        <v>7</v>
      </c>
      <c r="B1614" s="2385" t="s">
        <v>4355</v>
      </c>
      <c r="C1614" s="2381"/>
      <c r="D1614" s="2374"/>
      <c r="E1614" s="2374"/>
      <c r="F1614" s="2374"/>
      <c r="G1614" s="2373" t="str">
        <f t="shared" si="102"/>
        <v/>
      </c>
      <c r="H1614" s="2371" t="s">
        <v>3973</v>
      </c>
      <c r="I1614" s="4"/>
      <c r="J1614" s="929"/>
      <c r="K1614" s="929"/>
      <c r="L1614" s="1796" t="s">
        <v>4357</v>
      </c>
      <c r="M1614" s="1018"/>
      <c r="N1614" s="1042"/>
      <c r="O1614" s="1042"/>
      <c r="P1614" s="911"/>
      <c r="Q1614" s="911"/>
      <c r="R1614" s="911"/>
      <c r="S1614" s="911"/>
      <c r="T1614" s="911"/>
      <c r="U1614" s="634"/>
      <c r="V1614" s="634"/>
      <c r="W1614" s="634"/>
      <c r="X1614" s="1757"/>
      <c r="Y1614" s="2081"/>
      <c r="Z1614" s="2084"/>
      <c r="AA1614" s="1526"/>
      <c r="AB1614" s="634"/>
      <c r="AC1614" s="970"/>
      <c r="AD1614" s="970"/>
      <c r="AE1614" s="970"/>
      <c r="AF1614" s="634"/>
      <c r="AG1614" s="634"/>
      <c r="AH1614" s="634"/>
      <c r="AI1614" s="634"/>
      <c r="AJ1614" s="634"/>
      <c r="AK1614" s="634"/>
      <c r="AL1614" s="1336"/>
      <c r="AM1614" s="1336"/>
      <c r="AN1614" s="1336"/>
      <c r="AO1614" s="1336"/>
      <c r="AP1614" s="1336"/>
      <c r="AQ1614" s="1336"/>
      <c r="AR1614" s="1336"/>
      <c r="AS1614" s="1336"/>
      <c r="AT1614" s="634"/>
      <c r="AU1614" s="634"/>
      <c r="AV1614" s="634"/>
      <c r="AW1614" s="634"/>
      <c r="AX1614" s="634"/>
      <c r="AY1614" s="634"/>
      <c r="AZ1614" s="634"/>
      <c r="BA1614" s="634"/>
      <c r="BB1614" s="634"/>
      <c r="BC1614" s="634"/>
      <c r="BD1614" s="634"/>
      <c r="BE1614" s="634"/>
      <c r="BF1614" s="634"/>
      <c r="BG1614" s="634"/>
      <c r="BH1614" s="634"/>
      <c r="BI1614" s="634"/>
    </row>
    <row r="1615" spans="1:61" ht="15.75" thickBot="1" x14ac:dyDescent="0.3">
      <c r="A1615" s="2371">
        <v>7</v>
      </c>
      <c r="B1615" s="2385" t="s">
        <v>4355</v>
      </c>
      <c r="C1615" s="2381"/>
      <c r="D1615" s="2374"/>
      <c r="E1615" s="2374"/>
      <c r="F1615" s="2374"/>
      <c r="G1615" s="2373" t="str">
        <f t="shared" si="102"/>
        <v/>
      </c>
      <c r="H1615" s="2371" t="s">
        <v>3973</v>
      </c>
      <c r="I1615" s="4"/>
      <c r="J1615" s="929"/>
      <c r="K1615" s="929"/>
      <c r="L1615" s="1796"/>
      <c r="M1615" s="1018"/>
      <c r="N1615" s="1045"/>
      <c r="O1615" s="1042"/>
      <c r="P1615" s="911"/>
      <c r="Q1615" s="911"/>
      <c r="R1615" s="911"/>
      <c r="S1615" s="911"/>
      <c r="T1615" s="911"/>
      <c r="U1615" s="99"/>
      <c r="V1615" s="99"/>
      <c r="W1615" s="112"/>
      <c r="X1615" s="1757"/>
      <c r="Y1615" s="2082"/>
      <c r="Z1615" s="2086"/>
      <c r="AA1615" s="1526"/>
      <c r="AB1615" s="634"/>
      <c r="AC1615" s="970"/>
      <c r="AD1615" s="970"/>
      <c r="AE1615" s="970"/>
      <c r="AF1615" s="634"/>
      <c r="AG1615" s="634"/>
      <c r="AH1615" s="634"/>
      <c r="AI1615" s="634"/>
      <c r="AJ1615" s="634"/>
      <c r="AK1615" s="634"/>
      <c r="AL1615" s="1336"/>
      <c r="AM1615" s="1336"/>
      <c r="AN1615" s="1336"/>
      <c r="AO1615" s="1336"/>
      <c r="AP1615" s="1336"/>
      <c r="AQ1615" s="1336"/>
      <c r="AR1615" s="1336"/>
      <c r="AS1615" s="1336"/>
      <c r="AT1615" s="634"/>
      <c r="AU1615" s="634"/>
      <c r="AV1615" s="634"/>
      <c r="AW1615" s="634"/>
      <c r="AX1615" s="634"/>
      <c r="AY1615" s="634"/>
      <c r="AZ1615" s="634"/>
      <c r="BA1615" s="634"/>
      <c r="BB1615" s="634"/>
      <c r="BC1615" s="634"/>
      <c r="BD1615" s="634"/>
      <c r="BE1615" s="634"/>
      <c r="BF1615" s="634"/>
      <c r="BG1615" s="634"/>
      <c r="BH1615" s="634"/>
      <c r="BI1615" s="634"/>
    </row>
    <row r="1616" spans="1:61" ht="15.75" thickTop="1" x14ac:dyDescent="0.25">
      <c r="A1616" s="2371">
        <v>7</v>
      </c>
      <c r="B1616" s="2385">
        <v>706.11</v>
      </c>
      <c r="C1616" s="2385"/>
      <c r="G1616" s="2373" t="str">
        <f>IF(N1616&gt;0,"P","")</f>
        <v/>
      </c>
      <c r="H1616" s="2371" t="s">
        <v>3971</v>
      </c>
      <c r="I1616" s="682" t="s">
        <v>4364</v>
      </c>
      <c r="J1616" s="682"/>
      <c r="K1616" s="682"/>
      <c r="L1616" s="1899" t="s">
        <v>4372</v>
      </c>
      <c r="M1616" s="1772">
        <v>2</v>
      </c>
      <c r="N1616" s="2080">
        <f>'Ch7'!O746</f>
        <v>0</v>
      </c>
      <c r="O1616" s="2080">
        <f>M1616*S1616*W1616</f>
        <v>0</v>
      </c>
      <c r="P1616" s="105" t="b">
        <v>1</v>
      </c>
      <c r="Q1616" s="105" t="b">
        <v>1</v>
      </c>
      <c r="R1616" s="105" t="b">
        <v>0</v>
      </c>
      <c r="S1616" s="105" t="b">
        <v>1</v>
      </c>
      <c r="T1616" s="105" t="b">
        <v>0</v>
      </c>
      <c r="U1616"/>
      <c r="V1616"/>
      <c r="W1616" s="117"/>
      <c r="X1616" s="1784"/>
      <c r="Y1616" s="2100" t="str">
        <f>IF(LEN('Ch7'!X746)=0,"None",'Ch7'!X746)</f>
        <v>None</v>
      </c>
      <c r="Z1616" s="2089"/>
      <c r="AA1616" s="1526"/>
      <c r="AC1616" s="970"/>
      <c r="AD1616" s="970"/>
      <c r="AE1616" s="970"/>
      <c r="AF1616"/>
      <c r="AG1616"/>
      <c r="AH1616"/>
      <c r="AI1616"/>
      <c r="AJ1616"/>
      <c r="AK1616"/>
      <c r="AL1616" s="254" t="str">
        <f>SUBSTITUTE(SUBSTITUTE(SUBSTITUTE("vpa"&amp;$B1616&amp;$C1616&amp;$D1616&amp;$E1616,".","_"),"(","_"),")","")</f>
        <v>vpa706_11</v>
      </c>
      <c r="AM1616" s="254">
        <f>M1616</f>
        <v>2</v>
      </c>
      <c r="AN1616" s="254" t="str">
        <f>SUBSTITUTE(SUBSTITUTE(SUBSTITUTE("vpc"&amp;$B1616&amp;$C1616&amp;$D1616&amp;$E1616,".","_"),"(","_"),")","")</f>
        <v>vpc706_11</v>
      </c>
      <c r="AO1616" s="254">
        <f>O1616</f>
        <v>0</v>
      </c>
      <c r="AP1616" s="254" t="str">
        <f>SUBSTITUTE(SUBSTITUTE(SUBSTITUTE("vch"&amp;$B1616&amp;$C1616&amp;$D1616&amp;$E1616,".","_"),"(","_"),")","")</f>
        <v>vch706_11</v>
      </c>
      <c r="AQ1616" s="254" t="str">
        <f>IF(LEN(W1616)=0,"",W1616)</f>
        <v/>
      </c>
      <c r="AR1616" s="254" t="str">
        <f>SUBSTITUTE(SUBSTITUTE(SUBSTITUTE("vnt"&amp;$B1616&amp;$C1616&amp;$D1616&amp;$E1616,".","_"),"(","_"),")","")</f>
        <v>vnt706_11</v>
      </c>
      <c r="AS1616" s="254" t="str">
        <f>IF(LEN(X1616)=0,"",X1616)</f>
        <v/>
      </c>
      <c r="AT1616"/>
    </row>
    <row r="1617" spans="1:46" ht="15.75" thickBot="1" x14ac:dyDescent="0.3">
      <c r="A1617" s="2371">
        <v>7</v>
      </c>
      <c r="B1617" s="2385">
        <v>706.11</v>
      </c>
      <c r="C1617" s="2385"/>
      <c r="G1617" s="2373" t="str">
        <f t="shared" si="102"/>
        <v/>
      </c>
      <c r="H1617" s="2371" t="s">
        <v>3971</v>
      </c>
      <c r="I1617" s="673"/>
      <c r="J1617" s="673"/>
      <c r="K1617" s="673"/>
      <c r="L1617" s="1900"/>
      <c r="M1617" s="1768"/>
      <c r="N1617" s="1928"/>
      <c r="O1617" s="1928"/>
      <c r="P1617" s="99"/>
      <c r="Q1617" s="99"/>
      <c r="R1617" s="99"/>
      <c r="S1617" s="99"/>
      <c r="T1617" s="99"/>
      <c r="U1617" s="99"/>
      <c r="V1617" s="99"/>
      <c r="W1617" s="112"/>
      <c r="X1617" s="1771"/>
      <c r="Y1617" s="2102"/>
      <c r="Z1617" s="2090"/>
      <c r="AA1617" s="1526"/>
      <c r="AC1617" s="970"/>
      <c r="AD1617" s="970"/>
      <c r="AE1617" s="970"/>
      <c r="AF1617"/>
      <c r="AG1617"/>
      <c r="AH1617"/>
      <c r="AI1617"/>
      <c r="AJ1617"/>
      <c r="AK1617"/>
      <c r="AL1617" s="1336"/>
      <c r="AM1617" s="1336"/>
      <c r="AN1617" s="1336"/>
      <c r="AO1617" s="1336"/>
      <c r="AP1617" s="1336"/>
      <c r="AQ1617" s="1336"/>
      <c r="AR1617" s="1336"/>
      <c r="AS1617" s="1336"/>
      <c r="AT1617"/>
    </row>
    <row r="1618" spans="1:46" ht="15.75" thickTop="1" x14ac:dyDescent="0.25">
      <c r="A1618" s="2371">
        <v>7</v>
      </c>
      <c r="B1618" s="2385">
        <v>706.12</v>
      </c>
      <c r="C1618" s="2385"/>
      <c r="G1618" s="2373" t="str">
        <f>IF(N1618&gt;0,"P","")</f>
        <v/>
      </c>
      <c r="H1618" s="2371" t="s">
        <v>3971</v>
      </c>
      <c r="I1618" s="682" t="s">
        <v>4365</v>
      </c>
      <c r="J1618" s="682"/>
      <c r="K1618" s="682"/>
      <c r="L1618" s="1899" t="s">
        <v>5589</v>
      </c>
      <c r="M1618" s="1772">
        <v>1</v>
      </c>
      <c r="N1618" s="2080">
        <f>'Ch7'!O748</f>
        <v>0</v>
      </c>
      <c r="O1618" s="2080">
        <f>M1618*S1618*W1618</f>
        <v>0</v>
      </c>
      <c r="P1618" s="105" t="b">
        <v>1</v>
      </c>
      <c r="Q1618" s="105" t="b">
        <v>1</v>
      </c>
      <c r="R1618" s="105" t="b">
        <v>0</v>
      </c>
      <c r="S1618" s="105" t="b">
        <v>1</v>
      </c>
      <c r="T1618" s="105" t="b">
        <v>0</v>
      </c>
      <c r="U1618"/>
      <c r="V1618"/>
      <c r="W1618" s="117"/>
      <c r="X1618" s="1784"/>
      <c r="Y1618" s="2129" t="str">
        <f>IF(LEN('Ch7'!X748)=0,"None",'Ch7'!X748)</f>
        <v>None</v>
      </c>
      <c r="Z1618" s="2089"/>
      <c r="AA1618" s="1526"/>
      <c r="AC1618" s="970"/>
      <c r="AD1618" s="970"/>
      <c r="AE1618" s="970"/>
      <c r="AF1618"/>
      <c r="AG1618"/>
      <c r="AH1618"/>
      <c r="AI1618"/>
      <c r="AJ1618"/>
      <c r="AK1618"/>
      <c r="AL1618" s="254" t="str">
        <f>SUBSTITUTE(SUBSTITUTE(SUBSTITUTE("vpa"&amp;$B1618&amp;$C1618&amp;$D1618&amp;$E1618,".","_"),"(","_"),")","")</f>
        <v>vpa706_12</v>
      </c>
      <c r="AM1618" s="254">
        <f>M1618</f>
        <v>1</v>
      </c>
      <c r="AN1618" s="254" t="str">
        <f>SUBSTITUTE(SUBSTITUTE(SUBSTITUTE("vpc"&amp;$B1618&amp;$C1618&amp;$D1618&amp;$E1618,".","_"),"(","_"),")","")</f>
        <v>vpc706_12</v>
      </c>
      <c r="AO1618" s="254">
        <f>O1618</f>
        <v>0</v>
      </c>
      <c r="AP1618" s="254" t="str">
        <f>SUBSTITUTE(SUBSTITUTE(SUBSTITUTE("vch"&amp;$B1618&amp;$C1618&amp;$D1618&amp;$E1618,".","_"),"(","_"),")","")</f>
        <v>vch706_12</v>
      </c>
      <c r="AQ1618" s="254" t="str">
        <f>IF(LEN(W1618)=0,"",W1618)</f>
        <v/>
      </c>
      <c r="AR1618" s="254" t="str">
        <f>SUBSTITUTE(SUBSTITUTE(SUBSTITUTE("vnt"&amp;$B1618&amp;$C1618&amp;$D1618&amp;$E1618,".","_"),"(","_"),")","")</f>
        <v>vnt706_12</v>
      </c>
      <c r="AS1618" s="254" t="str">
        <f>IF(LEN(X1618)=0,"",X1618)</f>
        <v/>
      </c>
      <c r="AT1618"/>
    </row>
    <row r="1619" spans="1:46" x14ac:dyDescent="0.25">
      <c r="A1619" s="2371">
        <v>7</v>
      </c>
      <c r="B1619" s="2385">
        <v>706.12</v>
      </c>
      <c r="C1619" s="2385"/>
      <c r="G1619" s="2373" t="str">
        <f t="shared" si="102"/>
        <v/>
      </c>
      <c r="H1619" s="2371" t="s">
        <v>3971</v>
      </c>
      <c r="I1619" s="667"/>
      <c r="J1619" s="667"/>
      <c r="K1619" s="667"/>
      <c r="L1619" s="1833"/>
      <c r="M1619" s="1767"/>
      <c r="N1619" s="1927"/>
      <c r="O1619" s="2075"/>
      <c r="P1619" s="911"/>
      <c r="Q1619" s="911"/>
      <c r="R1619" s="911"/>
      <c r="S1619" s="911"/>
      <c r="T1619" s="911"/>
      <c r="U1619"/>
      <c r="V1619"/>
      <c r="W1619"/>
      <c r="X1619" s="1757"/>
      <c r="Y1619" s="2100"/>
      <c r="Z1619" s="2091"/>
      <c r="AA1619" s="1526"/>
      <c r="AC1619" s="970"/>
      <c r="AD1619" s="970"/>
      <c r="AE1619" s="970"/>
      <c r="AF1619"/>
      <c r="AG1619"/>
      <c r="AH1619"/>
      <c r="AI1619"/>
      <c r="AJ1619"/>
      <c r="AK1619"/>
      <c r="AL1619" s="1336"/>
      <c r="AM1619" s="1336"/>
      <c r="AN1619" s="1336"/>
      <c r="AO1619" s="1336"/>
      <c r="AP1619" s="1336"/>
      <c r="AQ1619" s="1336"/>
      <c r="AR1619" s="1336"/>
      <c r="AS1619" s="1336"/>
      <c r="AT1619"/>
    </row>
    <row r="1620" spans="1:46" x14ac:dyDescent="0.25">
      <c r="A1620" s="2371">
        <v>7</v>
      </c>
      <c r="B1620" s="2385">
        <v>706.12</v>
      </c>
      <c r="C1620" s="2385"/>
      <c r="G1620" s="2373" t="str">
        <f t="shared" si="102"/>
        <v/>
      </c>
      <c r="H1620" s="2371" t="s">
        <v>3971</v>
      </c>
      <c r="I1620" s="667"/>
      <c r="J1620" s="667"/>
      <c r="K1620" s="667"/>
      <c r="L1620" s="1833"/>
      <c r="M1620" s="1767"/>
      <c r="N1620" s="1927"/>
      <c r="O1620" s="2075"/>
      <c r="P1620" s="911"/>
      <c r="Q1620" s="911"/>
      <c r="R1620" s="911"/>
      <c r="S1620" s="911"/>
      <c r="T1620" s="911"/>
      <c r="U1620"/>
      <c r="V1620"/>
      <c r="W1620"/>
      <c r="X1620" s="1757"/>
      <c r="Y1620" s="2100"/>
      <c r="Z1620" s="2091"/>
      <c r="AA1620" s="1526"/>
      <c r="AC1620" s="970"/>
      <c r="AD1620" s="970"/>
      <c r="AE1620" s="970"/>
      <c r="AF1620"/>
      <c r="AG1620"/>
      <c r="AH1620"/>
      <c r="AI1620"/>
      <c r="AJ1620"/>
      <c r="AK1620"/>
      <c r="AL1620" s="1336"/>
      <c r="AM1620" s="1336"/>
      <c r="AN1620" s="1336"/>
      <c r="AO1620" s="1336"/>
      <c r="AP1620" s="1336"/>
      <c r="AQ1620" s="1336"/>
      <c r="AR1620" s="1336"/>
      <c r="AS1620" s="1336"/>
      <c r="AT1620"/>
    </row>
    <row r="1621" spans="1:46" ht="15.75" thickBot="1" x14ac:dyDescent="0.3">
      <c r="A1621" s="2371">
        <v>7</v>
      </c>
      <c r="B1621" s="2385">
        <v>706.12</v>
      </c>
      <c r="C1621" s="2385"/>
      <c r="G1621" s="2373" t="str">
        <f t="shared" si="102"/>
        <v/>
      </c>
      <c r="H1621" s="2371" t="s">
        <v>3971</v>
      </c>
      <c r="I1621" s="673"/>
      <c r="J1621" s="673"/>
      <c r="K1621" s="673"/>
      <c r="L1621" s="1900"/>
      <c r="M1621" s="1768"/>
      <c r="N1621" s="1928"/>
      <c r="O1621" s="1928"/>
      <c r="P1621" s="99"/>
      <c r="Q1621" s="99"/>
      <c r="R1621" s="99"/>
      <c r="S1621" s="99"/>
      <c r="T1621" s="99"/>
      <c r="U1621" s="99"/>
      <c r="V1621" s="99"/>
      <c r="W1621" s="112"/>
      <c r="X1621" s="1771"/>
      <c r="Y1621" s="2102"/>
      <c r="Z1621" s="2090"/>
      <c r="AA1621" s="1526"/>
      <c r="AC1621" s="970"/>
      <c r="AD1621" s="970"/>
      <c r="AE1621" s="970"/>
      <c r="AF1621"/>
      <c r="AG1621"/>
      <c r="AH1621"/>
      <c r="AI1621"/>
      <c r="AJ1621"/>
      <c r="AK1621"/>
      <c r="AL1621" s="1336"/>
      <c r="AM1621" s="1336"/>
      <c r="AN1621" s="1336"/>
      <c r="AO1621" s="1336"/>
      <c r="AP1621" s="1336"/>
      <c r="AQ1621" s="1336"/>
      <c r="AR1621" s="1336"/>
      <c r="AS1621" s="1336"/>
      <c r="AT1621"/>
    </row>
    <row r="1622" spans="1:46" ht="15.75" thickTop="1" x14ac:dyDescent="0.25">
      <c r="A1622" s="2371">
        <v>7</v>
      </c>
      <c r="B1622" s="2385">
        <v>706.13</v>
      </c>
      <c r="C1622" s="2385"/>
      <c r="G1622" s="2373" t="str">
        <f ca="1">IF(N1622&gt;0,"P","")</f>
        <v/>
      </c>
      <c r="H1622" s="2371" t="s">
        <v>3973</v>
      </c>
      <c r="I1622" s="682" t="s">
        <v>4366</v>
      </c>
      <c r="J1622" s="682"/>
      <c r="K1622" s="682"/>
      <c r="L1622" s="1899" t="s">
        <v>4371</v>
      </c>
      <c r="M1622" s="181"/>
      <c r="N1622" s="2080">
        <f ca="1">'Ch7'!O752</f>
        <v>0</v>
      </c>
      <c r="O1622" s="2080">
        <f ca="1">IFERROR(INDEX({1,2},MATCH(W1622,INDIRECT(U1622),0)),0)</f>
        <v>0</v>
      </c>
      <c r="P1622" s="105" t="b">
        <v>0</v>
      </c>
      <c r="Q1622" s="105" t="b">
        <v>1</v>
      </c>
      <c r="R1622" s="105" t="b">
        <v>0</v>
      </c>
      <c r="S1622" s="105" t="b">
        <v>1</v>
      </c>
      <c r="T1622" s="105" t="b">
        <v>0</v>
      </c>
      <c r="U1622" s="105" t="str">
        <f>SUBSTITUTE(SUBSTITUTE(SUBSTITUTE("dd"&amp;B1622&amp;C1622&amp;D1622&amp;E1622&amp;F1622,".","_"),"(","_"),")","")</f>
        <v>dd706_13</v>
      </c>
      <c r="V1622"/>
      <c r="W1622" s="12"/>
      <c r="X1622" s="1784"/>
      <c r="Y1622" s="2129" t="str">
        <f>IF(LEN('Ch7'!X752)=0,"None",'Ch7'!X752)</f>
        <v>None</v>
      </c>
      <c r="Z1622" s="2089"/>
      <c r="AA1622" s="1526"/>
      <c r="AC1622" s="970"/>
      <c r="AD1622" s="970"/>
      <c r="AE1622" s="970"/>
      <c r="AF1622"/>
      <c r="AG1622"/>
      <c r="AH1622"/>
      <c r="AI1622"/>
      <c r="AJ1622"/>
      <c r="AK1622"/>
      <c r="AL1622" s="1336"/>
      <c r="AM1622" s="1336"/>
      <c r="AN1622" s="254" t="str">
        <f>SUBSTITUTE(SUBSTITUTE(SUBSTITUTE("vpc"&amp;$B1622&amp;$C1622&amp;$D1622&amp;$E1622,".","_"),"(","_"),")","")</f>
        <v>vpc706_13</v>
      </c>
      <c r="AO1622" s="254">
        <f ca="1">O1622</f>
        <v>0</v>
      </c>
      <c r="AP1622" s="254" t="str">
        <f>SUBSTITUTE(SUBSTITUTE(SUBSTITUTE("vch"&amp;$B1622&amp;$C1622&amp;$D1622&amp;$E1622,".","_"),"(","_"),")","")</f>
        <v>vch706_13</v>
      </c>
      <c r="AQ1622" s="254" t="str">
        <f>IF(LEN(W1622)=0,"",W1622)</f>
        <v/>
      </c>
      <c r="AR1622" s="254" t="str">
        <f>SUBSTITUTE(SUBSTITUTE(SUBSTITUTE("vnt"&amp;$B1622&amp;$C1622&amp;$D1622&amp;$E1622,".","_"),"(","_"),")","")</f>
        <v>vnt706_13</v>
      </c>
      <c r="AS1622" s="254" t="str">
        <f>IF(LEN(X1622)=0,"",X1622)</f>
        <v/>
      </c>
      <c r="AT1622"/>
    </row>
    <row r="1623" spans="1:46" x14ac:dyDescent="0.25">
      <c r="A1623" s="2371">
        <v>7</v>
      </c>
      <c r="B1623" s="2385">
        <v>706.13</v>
      </c>
      <c r="C1623" s="2385"/>
      <c r="G1623" s="2373" t="str">
        <f ca="1">G1622</f>
        <v/>
      </c>
      <c r="H1623" s="2371" t="s">
        <v>3973</v>
      </c>
      <c r="I1623" s="667"/>
      <c r="J1623" s="667"/>
      <c r="K1623" s="667"/>
      <c r="L1623" s="1833"/>
      <c r="M1623" s="4"/>
      <c r="N1623" s="1927"/>
      <c r="O1623" s="2075"/>
      <c r="P1623" s="911"/>
      <c r="Q1623" s="911"/>
      <c r="R1623" s="911"/>
      <c r="S1623" s="911"/>
      <c r="T1623" s="911"/>
      <c r="U1623" s="911"/>
      <c r="V1623"/>
      <c r="W1623"/>
      <c r="X1623" s="1757"/>
      <c r="Y1623" s="2100"/>
      <c r="Z1623" s="2091"/>
      <c r="AA1623" s="1526"/>
      <c r="AC1623" s="970"/>
      <c r="AD1623" s="970"/>
      <c r="AE1623" s="970"/>
      <c r="AF1623"/>
      <c r="AG1623"/>
      <c r="AH1623"/>
      <c r="AI1623"/>
      <c r="AJ1623"/>
      <c r="AK1623"/>
      <c r="AL1623" s="1336"/>
      <c r="AM1623" s="1336"/>
      <c r="AN1623" s="1336"/>
      <c r="AO1623" s="1336"/>
      <c r="AP1623" s="1336"/>
      <c r="AQ1623" s="1336"/>
      <c r="AR1623" s="1336"/>
      <c r="AS1623" s="1336"/>
      <c r="AT1623"/>
    </row>
    <row r="1624" spans="1:46" x14ac:dyDescent="0.25">
      <c r="A1624" s="2371">
        <v>7</v>
      </c>
      <c r="B1624" s="2385">
        <v>706.13</v>
      </c>
      <c r="C1624" s="2385" t="s">
        <v>256</v>
      </c>
      <c r="G1624" s="2373" t="str">
        <f ca="1">G1623</f>
        <v/>
      </c>
      <c r="H1624" s="2371" t="s">
        <v>3973</v>
      </c>
      <c r="I1624" s="667"/>
      <c r="J1624" s="684" t="s">
        <v>256</v>
      </c>
      <c r="K1624" s="684"/>
      <c r="L1624" s="1153" t="s">
        <v>4358</v>
      </c>
      <c r="M1624" s="1037">
        <v>1</v>
      </c>
      <c r="N1624" s="664"/>
      <c r="O1624" s="1042"/>
      <c r="P1624" s="911"/>
      <c r="Q1624" s="911"/>
      <c r="R1624" s="911"/>
      <c r="S1624" s="911"/>
      <c r="T1624" s="911"/>
      <c r="U1624" s="911"/>
      <c r="V1624"/>
      <c r="W1624"/>
      <c r="X1624" s="1757"/>
      <c r="Y1624" s="2100"/>
      <c r="Z1624" s="2091"/>
      <c r="AA1624" s="1526"/>
      <c r="AC1624" s="970"/>
      <c r="AD1624" s="970"/>
      <c r="AE1624" s="970"/>
      <c r="AF1624"/>
      <c r="AG1624"/>
      <c r="AH1624"/>
      <c r="AI1624"/>
      <c r="AJ1624"/>
      <c r="AK1624"/>
      <c r="AL1624" s="254" t="str">
        <f>SUBSTITUTE(SUBSTITUTE(SUBSTITUTE("vpa"&amp;$B1624&amp;$C1624&amp;$D1624&amp;$E1624,".","_"),"(","_"),")","")</f>
        <v>vpa706_13_1</v>
      </c>
      <c r="AM1624" s="254">
        <f>M1624</f>
        <v>1</v>
      </c>
      <c r="AN1624" s="1336"/>
      <c r="AO1624" s="1336"/>
      <c r="AP1624" s="1336"/>
      <c r="AQ1624" s="1336"/>
      <c r="AR1624" s="1336"/>
      <c r="AS1624" s="1336"/>
      <c r="AT1624"/>
    </row>
    <row r="1625" spans="1:46" ht="15.75" thickBot="1" x14ac:dyDescent="0.3">
      <c r="A1625" s="2371">
        <v>7</v>
      </c>
      <c r="B1625" s="2385">
        <v>706.13</v>
      </c>
      <c r="C1625" s="2385" t="s">
        <v>258</v>
      </c>
      <c r="G1625" s="2373" t="str">
        <f ca="1">G1624</f>
        <v/>
      </c>
      <c r="H1625" s="2371" t="s">
        <v>3973</v>
      </c>
      <c r="I1625" s="673"/>
      <c r="J1625" s="673" t="s">
        <v>258</v>
      </c>
      <c r="K1625" s="673"/>
      <c r="L1625" s="1154" t="s">
        <v>4359</v>
      </c>
      <c r="M1625" s="658">
        <v>2</v>
      </c>
      <c r="N1625" s="1052"/>
      <c r="O1625" s="1052"/>
      <c r="P1625" s="99"/>
      <c r="Q1625" s="99"/>
      <c r="R1625" s="99"/>
      <c r="S1625" s="99"/>
      <c r="T1625" s="99"/>
      <c r="U1625" s="99"/>
      <c r="V1625" s="99"/>
      <c r="W1625" s="112"/>
      <c r="X1625" s="1771"/>
      <c r="Y1625" s="2102"/>
      <c r="Z1625" s="2090"/>
      <c r="AA1625" s="1526"/>
      <c r="AC1625" s="970"/>
      <c r="AD1625" s="970"/>
      <c r="AE1625" s="970"/>
      <c r="AF1625"/>
      <c r="AG1625"/>
      <c r="AH1625"/>
      <c r="AI1625"/>
      <c r="AJ1625"/>
      <c r="AK1625"/>
      <c r="AL1625" s="254" t="str">
        <f>SUBSTITUTE(SUBSTITUTE(SUBSTITUTE("vpa"&amp;$B1625&amp;$C1625&amp;$D1625&amp;$E1625,".","_"),"(","_"),")","")</f>
        <v>vpa706_13_2</v>
      </c>
      <c r="AM1625" s="254">
        <f>M1625</f>
        <v>2</v>
      </c>
      <c r="AN1625" s="1336"/>
      <c r="AO1625" s="1336"/>
      <c r="AP1625" s="1336"/>
      <c r="AQ1625" s="1336"/>
      <c r="AR1625" s="1336"/>
      <c r="AS1625" s="1336"/>
      <c r="AT1625"/>
    </row>
    <row r="1626" spans="1:46" ht="15.75" thickTop="1" x14ac:dyDescent="0.25">
      <c r="A1626" s="2371">
        <v>7</v>
      </c>
      <c r="B1626" s="2385">
        <v>706.14</v>
      </c>
      <c r="C1626" s="2385"/>
      <c r="G1626" s="2363" t="str">
        <f ca="1">IF(COUNTIF(G1627:G1631,"P")&gt;0,"P","")</f>
        <v/>
      </c>
      <c r="H1626" s="2371" t="s">
        <v>3971</v>
      </c>
      <c r="I1626" s="667" t="s">
        <v>4367</v>
      </c>
      <c r="J1626" s="667"/>
      <c r="K1626" s="667"/>
      <c r="L1626" s="1168" t="s">
        <v>4370</v>
      </c>
      <c r="M1626" s="4"/>
      <c r="N1626" s="1048"/>
      <c r="O1626" s="664"/>
      <c r="P1626" s="911"/>
      <c r="Q1626" s="911"/>
      <c r="R1626" s="911"/>
      <c r="S1626" s="911"/>
      <c r="T1626" s="911"/>
      <c r="U1626" s="911"/>
      <c r="V1626"/>
      <c r="W1626"/>
      <c r="X1626" s="911"/>
      <c r="Y1626"/>
      <c r="AA1626" s="1526"/>
      <c r="AC1626" s="970"/>
      <c r="AD1626" s="970"/>
      <c r="AE1626" s="970"/>
      <c r="AF1626"/>
      <c r="AG1626"/>
      <c r="AH1626"/>
      <c r="AI1626"/>
      <c r="AJ1626"/>
      <c r="AK1626"/>
      <c r="AL1626" s="1336"/>
      <c r="AM1626" s="1336"/>
      <c r="AN1626" s="1336"/>
      <c r="AO1626" s="1336"/>
      <c r="AP1626" s="1336"/>
      <c r="AQ1626" s="1336"/>
      <c r="AR1626" s="1336"/>
      <c r="AS1626" s="1336"/>
      <c r="AT1626"/>
    </row>
    <row r="1627" spans="1:46" x14ac:dyDescent="0.25">
      <c r="A1627" s="2371">
        <v>7</v>
      </c>
      <c r="B1627" s="2385">
        <v>706.14</v>
      </c>
      <c r="C1627" s="2385" t="s">
        <v>256</v>
      </c>
      <c r="G1627" s="2373" t="str">
        <f ca="1">IF(N1627&gt;0,"P","")</f>
        <v/>
      </c>
      <c r="H1627" s="2371" t="s">
        <v>3971</v>
      </c>
      <c r="I1627" s="667"/>
      <c r="J1627" s="667" t="s">
        <v>256</v>
      </c>
      <c r="K1627" s="667"/>
      <c r="L1627" s="1787" t="s">
        <v>4360</v>
      </c>
      <c r="M1627" s="1767">
        <v>3</v>
      </c>
      <c r="N1627" s="1927">
        <f ca="1">'Ch7'!O757</f>
        <v>0</v>
      </c>
      <c r="O1627" s="2075">
        <f ca="1">M1627*S1627*W1627</f>
        <v>0</v>
      </c>
      <c r="P1627" s="911" t="b">
        <v>1</v>
      </c>
      <c r="Q1627" s="911" t="b">
        <v>1</v>
      </c>
      <c r="R1627" s="911" t="b">
        <v>0</v>
      </c>
      <c r="S1627" s="911" t="b">
        <f ca="1">IF(AY889=INDEX(INDIRECT("ddSingleOrMulti"),2),TRUE,FALSE)</f>
        <v>0</v>
      </c>
      <c r="T1627" s="911" t="b">
        <v>0</v>
      </c>
      <c r="U1627" s="911"/>
      <c r="V1627"/>
      <c r="W1627" s="25"/>
      <c r="X1627" s="1757"/>
      <c r="Y1627" s="2099" t="str">
        <f>IF(LEN('Ch7'!X757)=0,"None",'Ch7'!X757)</f>
        <v>None</v>
      </c>
      <c r="Z1627" s="2087"/>
      <c r="AA1627" s="1526"/>
      <c r="AC1627" s="970" t="b">
        <f>OR(AD1627:AE1627)</f>
        <v>0</v>
      </c>
      <c r="AD1627" s="970" t="b">
        <f>T1627</f>
        <v>0</v>
      </c>
      <c r="AE1627" s="970"/>
      <c r="AF1627"/>
      <c r="AG1627"/>
      <c r="AH1627"/>
      <c r="AI1627"/>
      <c r="AJ1627"/>
      <c r="AK1627"/>
      <c r="AL1627" s="254" t="str">
        <f>SUBSTITUTE(SUBSTITUTE(SUBSTITUTE("vpa"&amp;$B1627&amp;$C1627&amp;$D1627&amp;$E1627,".","_"),"(","_"),")","")</f>
        <v>vpa706_14_1</v>
      </c>
      <c r="AM1627" s="254">
        <f>M1627</f>
        <v>3</v>
      </c>
      <c r="AN1627" s="254" t="str">
        <f>SUBSTITUTE(SUBSTITUTE(SUBSTITUTE("vpc"&amp;$B1627&amp;$C1627&amp;$D1627&amp;$E1627,".","_"),"(","_"),")","")</f>
        <v>vpc706_14_1</v>
      </c>
      <c r="AO1627" s="254">
        <f ca="1">O1627</f>
        <v>0</v>
      </c>
      <c r="AP1627" s="254" t="str">
        <f>SUBSTITUTE(SUBSTITUTE(SUBSTITUTE("vch"&amp;$B1627&amp;$C1627&amp;$D1627&amp;$E1627,".","_"),"(","_"),")","")</f>
        <v>vch706_14_1</v>
      </c>
      <c r="AQ1627" s="254" t="str">
        <f>IF(LEN(W1627)=0,"",W1627)</f>
        <v/>
      </c>
      <c r="AR1627" s="254" t="str">
        <f>SUBSTITUTE(SUBSTITUTE(SUBSTITUTE("vnt"&amp;$B1627&amp;$C1627&amp;$D1627&amp;$E1627,".","_"),"(","_"),")","")</f>
        <v>vnt706_14_1</v>
      </c>
      <c r="AS1627" s="254" t="str">
        <f>IF(LEN(X1627)=0,"",X1627)</f>
        <v/>
      </c>
      <c r="AT1627"/>
    </row>
    <row r="1628" spans="1:46" x14ac:dyDescent="0.25">
      <c r="A1628" s="2371">
        <v>7</v>
      </c>
      <c r="B1628" s="2385">
        <v>706.14</v>
      </c>
      <c r="C1628" s="2385" t="s">
        <v>256</v>
      </c>
      <c r="G1628" s="2373" t="str">
        <f ca="1">G1627</f>
        <v/>
      </c>
      <c r="H1628" s="2371" t="s">
        <v>3971</v>
      </c>
      <c r="I1628" s="667"/>
      <c r="J1628" s="667"/>
      <c r="K1628" s="667"/>
      <c r="L1628" s="1787"/>
      <c r="M1628" s="1767"/>
      <c r="N1628" s="1927"/>
      <c r="O1628" s="2075"/>
      <c r="P1628" s="911"/>
      <c r="Q1628" s="911"/>
      <c r="R1628" s="911"/>
      <c r="S1628" s="911"/>
      <c r="T1628" s="911"/>
      <c r="U1628" s="911"/>
      <c r="V1628"/>
      <c r="W1628"/>
      <c r="X1628" s="1757"/>
      <c r="Y1628" s="2100"/>
      <c r="Z1628" s="2091"/>
      <c r="AA1628" s="1526"/>
      <c r="AC1628" s="970"/>
      <c r="AD1628" s="970"/>
      <c r="AE1628" s="970"/>
      <c r="AF1628"/>
      <c r="AG1628"/>
      <c r="AH1628"/>
      <c r="AI1628"/>
      <c r="AJ1628"/>
      <c r="AK1628"/>
      <c r="AL1628" s="1336"/>
      <c r="AM1628" s="1336"/>
      <c r="AN1628" s="1336"/>
      <c r="AO1628" s="1336"/>
      <c r="AP1628" s="1336"/>
      <c r="AQ1628" s="1336"/>
      <c r="AR1628" s="1336"/>
      <c r="AS1628" s="1336"/>
      <c r="AT1628"/>
    </row>
    <row r="1629" spans="1:46" x14ac:dyDescent="0.25">
      <c r="A1629" s="2371">
        <v>7</v>
      </c>
      <c r="B1629" s="2385">
        <v>706.14</v>
      </c>
      <c r="C1629" s="2385" t="s">
        <v>256</v>
      </c>
      <c r="G1629" s="2373" t="str">
        <f ca="1">G1628</f>
        <v/>
      </c>
      <c r="H1629" s="2371" t="s">
        <v>3971</v>
      </c>
      <c r="I1629" s="667"/>
      <c r="J1629" s="667"/>
      <c r="K1629" s="667"/>
      <c r="L1629" s="1787"/>
      <c r="M1629" s="1767"/>
      <c r="N1629" s="1927"/>
      <c r="O1629" s="2075"/>
      <c r="P1629" s="911"/>
      <c r="Q1629" s="911"/>
      <c r="R1629" s="911"/>
      <c r="S1629" s="911"/>
      <c r="T1629" s="911"/>
      <c r="U1629" s="911"/>
      <c r="V1629"/>
      <c r="W1629"/>
      <c r="X1629" s="1757"/>
      <c r="Y1629" s="2100"/>
      <c r="Z1629" s="2091"/>
      <c r="AA1629" s="1526"/>
      <c r="AC1629" s="970"/>
      <c r="AD1629" s="970"/>
      <c r="AE1629" s="970"/>
      <c r="AF1629"/>
      <c r="AG1629"/>
      <c r="AH1629"/>
      <c r="AI1629"/>
      <c r="AJ1629"/>
      <c r="AK1629"/>
      <c r="AL1629" s="1336"/>
      <c r="AM1629" s="1336"/>
      <c r="AN1629" s="1336"/>
      <c r="AO1629" s="1336"/>
      <c r="AP1629" s="1336"/>
      <c r="AQ1629" s="1336"/>
      <c r="AR1629" s="1336"/>
      <c r="AS1629" s="1336"/>
      <c r="AT1629"/>
    </row>
    <row r="1630" spans="1:46" x14ac:dyDescent="0.25">
      <c r="A1630" s="2371">
        <v>7</v>
      </c>
      <c r="B1630" s="2385">
        <v>706.14</v>
      </c>
      <c r="C1630" s="2385" t="s">
        <v>256</v>
      </c>
      <c r="G1630" s="2373" t="str">
        <f ca="1">G1629</f>
        <v/>
      </c>
      <c r="H1630" s="2371" t="s">
        <v>3971</v>
      </c>
      <c r="I1630" s="667"/>
      <c r="J1630" s="684"/>
      <c r="K1630" s="684"/>
      <c r="L1630" s="1786"/>
      <c r="M1630" s="1759"/>
      <c r="N1630" s="2076"/>
      <c r="O1630" s="2076"/>
      <c r="P1630" s="911"/>
      <c r="Q1630" s="911"/>
      <c r="R1630" s="911"/>
      <c r="S1630" s="911"/>
      <c r="T1630" s="911"/>
      <c r="U1630" s="911"/>
      <c r="V1630"/>
      <c r="W1630"/>
      <c r="X1630" s="1757"/>
      <c r="Y1630" s="2097"/>
      <c r="Z1630" s="2085"/>
      <c r="AA1630" s="1526"/>
      <c r="AC1630" s="970"/>
      <c r="AD1630" s="970"/>
      <c r="AE1630" s="970"/>
      <c r="AF1630"/>
      <c r="AG1630"/>
      <c r="AH1630"/>
      <c r="AI1630"/>
      <c r="AJ1630"/>
      <c r="AK1630"/>
      <c r="AL1630" s="1336"/>
      <c r="AM1630" s="1336"/>
      <c r="AN1630" s="1336"/>
      <c r="AO1630" s="1336"/>
      <c r="AP1630" s="1336"/>
      <c r="AQ1630" s="1336"/>
      <c r="AR1630" s="1336"/>
      <c r="AS1630" s="1336"/>
      <c r="AT1630"/>
    </row>
    <row r="1631" spans="1:46" x14ac:dyDescent="0.25">
      <c r="A1631" s="2371">
        <v>7</v>
      </c>
      <c r="B1631" s="2385">
        <v>706.14</v>
      </c>
      <c r="C1631" s="2385" t="s">
        <v>258</v>
      </c>
      <c r="G1631" s="2373" t="str">
        <f>IF(N1631&gt;0,"P","")</f>
        <v/>
      </c>
      <c r="H1631" s="2371" t="s">
        <v>3973</v>
      </c>
      <c r="I1631" s="667"/>
      <c r="J1631" s="667" t="s">
        <v>258</v>
      </c>
      <c r="K1631" s="667"/>
      <c r="L1631" s="1787" t="s">
        <v>4361</v>
      </c>
      <c r="M1631" s="1767">
        <v>1</v>
      </c>
      <c r="N1631" s="2079">
        <f>'Ch7'!O761</f>
        <v>0</v>
      </c>
      <c r="O1631" s="2075">
        <f>M1631*S1631*W1631</f>
        <v>0</v>
      </c>
      <c r="P1631" s="911" t="b">
        <v>0</v>
      </c>
      <c r="Q1631" s="911" t="b">
        <v>1</v>
      </c>
      <c r="R1631" s="911" t="b">
        <v>0</v>
      </c>
      <c r="S1631" s="911" t="b">
        <v>1</v>
      </c>
      <c r="T1631" s="911" t="b">
        <v>0</v>
      </c>
      <c r="U1631" s="911"/>
      <c r="V1631"/>
      <c r="W1631" s="25"/>
      <c r="X1631" s="1757"/>
      <c r="Y1631" s="2099" t="str">
        <f>IF(LEN('Ch7'!X761)=0,"None",'Ch7'!X761)</f>
        <v>None</v>
      </c>
      <c r="Z1631" s="2087"/>
      <c r="AA1631" s="1526"/>
      <c r="AC1631" s="970"/>
      <c r="AD1631" s="970"/>
      <c r="AE1631" s="970"/>
      <c r="AF1631"/>
      <c r="AG1631"/>
      <c r="AH1631"/>
      <c r="AI1631"/>
      <c r="AJ1631"/>
      <c r="AK1631"/>
      <c r="AL1631" s="254" t="str">
        <f>SUBSTITUTE(SUBSTITUTE(SUBSTITUTE("vpa"&amp;$B1631&amp;$C1631&amp;$D1631&amp;$E1631,".","_"),"(","_"),")","")</f>
        <v>vpa706_14_2</v>
      </c>
      <c r="AM1631" s="254">
        <f>M1631</f>
        <v>1</v>
      </c>
      <c r="AN1631" s="254" t="str">
        <f>SUBSTITUTE(SUBSTITUTE(SUBSTITUTE("vpc"&amp;$B1631&amp;$C1631&amp;$D1631&amp;$E1631,".","_"),"(","_"),")","")</f>
        <v>vpc706_14_2</v>
      </c>
      <c r="AO1631" s="254">
        <f>O1631</f>
        <v>0</v>
      </c>
      <c r="AP1631" s="254" t="str">
        <f>SUBSTITUTE(SUBSTITUTE(SUBSTITUTE("vch"&amp;$B1631&amp;$C1631&amp;$D1631&amp;$E1631,".","_"),"(","_"),")","")</f>
        <v>vch706_14_2</v>
      </c>
      <c r="AQ1631" s="254" t="str">
        <f>IF(LEN(W1631)=0,"",W1631)</f>
        <v/>
      </c>
      <c r="AR1631" s="254" t="str">
        <f>SUBSTITUTE(SUBSTITUTE(SUBSTITUTE("vnt"&amp;$B1631&amp;$C1631&amp;$D1631&amp;$E1631,".","_"),"(","_"),")","")</f>
        <v>vnt706_14_2</v>
      </c>
      <c r="AS1631" s="254" t="str">
        <f>IF(LEN(X1631)=0,"",X1631)</f>
        <v/>
      </c>
      <c r="AT1631"/>
    </row>
    <row r="1632" spans="1:46" ht="15.75" thickBot="1" x14ac:dyDescent="0.3">
      <c r="A1632" s="2371">
        <v>7</v>
      </c>
      <c r="B1632" s="2385">
        <v>706.14</v>
      </c>
      <c r="C1632" s="2385" t="s">
        <v>258</v>
      </c>
      <c r="G1632" s="2373" t="str">
        <f>G1631</f>
        <v/>
      </c>
      <c r="H1632" s="2371" t="s">
        <v>3973</v>
      </c>
      <c r="I1632" s="673"/>
      <c r="J1632" s="673"/>
      <c r="K1632" s="673"/>
      <c r="L1632" s="1766"/>
      <c r="M1632" s="1768"/>
      <c r="N1632" s="1928"/>
      <c r="O1632" s="1928"/>
      <c r="P1632" s="99"/>
      <c r="Q1632" s="99"/>
      <c r="R1632" s="99"/>
      <c r="S1632" s="99"/>
      <c r="T1632" s="99"/>
      <c r="U1632" s="99"/>
      <c r="V1632" s="99"/>
      <c r="W1632" s="112"/>
      <c r="X1632" s="1771"/>
      <c r="Y1632" s="2102"/>
      <c r="Z1632" s="2090"/>
      <c r="AA1632" s="1526"/>
      <c r="AC1632" s="970"/>
      <c r="AD1632" s="970"/>
      <c r="AE1632" s="970"/>
      <c r="AF1632"/>
      <c r="AG1632"/>
      <c r="AH1632"/>
      <c r="AI1632"/>
      <c r="AJ1632"/>
      <c r="AK1632"/>
      <c r="AL1632" s="1336"/>
      <c r="AM1632" s="1336"/>
      <c r="AN1632" s="1336"/>
      <c r="AO1632" s="1336"/>
      <c r="AP1632" s="1336"/>
      <c r="AQ1632" s="1336"/>
      <c r="AR1632" s="1336"/>
      <c r="AS1632" s="1336"/>
      <c r="AT1632"/>
    </row>
    <row r="1633" spans="1:61" ht="15.75" thickTop="1" x14ac:dyDescent="0.25">
      <c r="A1633" s="2371">
        <v>7</v>
      </c>
      <c r="B1633" s="2385">
        <v>706.15</v>
      </c>
      <c r="C1633" s="2385"/>
      <c r="G1633" s="2363" t="str">
        <f ca="1">IF(COUNTIF(G1636:G1637,"P")&gt;0,"P","")</f>
        <v/>
      </c>
      <c r="H1633" s="2371" t="s">
        <v>3971</v>
      </c>
      <c r="I1633" s="667" t="s">
        <v>4368</v>
      </c>
      <c r="J1633" s="667"/>
      <c r="K1633" s="667"/>
      <c r="L1633" s="1833" t="s">
        <v>4369</v>
      </c>
      <c r="M1633" s="4"/>
      <c r="N1633" s="664"/>
      <c r="O1633" s="664"/>
      <c r="P1633" s="911"/>
      <c r="Q1633" s="911"/>
      <c r="R1633" s="911"/>
      <c r="S1633" s="911"/>
      <c r="T1633" s="911"/>
      <c r="U1633"/>
      <c r="V1633"/>
      <c r="W1633"/>
      <c r="X1633" s="911"/>
      <c r="Y1633"/>
      <c r="AA1633" s="1526"/>
      <c r="AC1633" s="970"/>
      <c r="AD1633" s="970"/>
      <c r="AE1633" s="970"/>
      <c r="AF1633"/>
      <c r="AG1633"/>
      <c r="AH1633"/>
      <c r="AI1633"/>
      <c r="AJ1633"/>
      <c r="AK1633"/>
      <c r="AL1633" s="1336"/>
      <c r="AM1633" s="1336"/>
      <c r="AN1633" s="1336"/>
      <c r="AO1633" s="1336"/>
      <c r="AP1633" s="1336"/>
      <c r="AQ1633" s="1336"/>
      <c r="AR1633" s="1336"/>
      <c r="AS1633" s="1336"/>
      <c r="AT1633"/>
    </row>
    <row r="1634" spans="1:61" x14ac:dyDescent="0.25">
      <c r="A1634" s="2371">
        <v>7</v>
      </c>
      <c r="B1634" s="2385">
        <v>706.15</v>
      </c>
      <c r="C1634" s="2385"/>
      <c r="G1634" s="2373" t="str">
        <f ca="1">G1633</f>
        <v/>
      </c>
      <c r="H1634" s="2371" t="s">
        <v>3971</v>
      </c>
      <c r="I1634" s="667"/>
      <c r="J1634" s="667"/>
      <c r="K1634" s="667"/>
      <c r="L1634" s="1833"/>
      <c r="M1634" s="4"/>
      <c r="N1634" s="664"/>
      <c r="O1634" s="664"/>
      <c r="P1634" s="911"/>
      <c r="Q1634" s="911"/>
      <c r="R1634" s="911"/>
      <c r="S1634" s="911"/>
      <c r="T1634" s="911"/>
      <c r="U1634"/>
      <c r="V1634"/>
      <c r="W1634"/>
      <c r="X1634" s="911"/>
      <c r="Y1634"/>
      <c r="AA1634" s="1526"/>
      <c r="AC1634" s="970"/>
      <c r="AD1634" s="970"/>
      <c r="AE1634" s="970"/>
      <c r="AF1634"/>
      <c r="AG1634"/>
      <c r="AH1634"/>
      <c r="AI1634"/>
      <c r="AJ1634"/>
      <c r="AK1634"/>
      <c r="AL1634" s="1336"/>
      <c r="AM1634" s="1336"/>
      <c r="AN1634" s="1336"/>
      <c r="AO1634" s="1336"/>
      <c r="AP1634" s="1336"/>
      <c r="AQ1634" s="1336"/>
      <c r="AR1634" s="1336"/>
      <c r="AS1634" s="1336"/>
      <c r="AT1634"/>
    </row>
    <row r="1635" spans="1:61" x14ac:dyDescent="0.25">
      <c r="A1635" s="2371">
        <v>7</v>
      </c>
      <c r="B1635" s="2385">
        <v>706.15</v>
      </c>
      <c r="C1635" s="2385"/>
      <c r="G1635" s="2373" t="str">
        <f ca="1">G1634</f>
        <v/>
      </c>
      <c r="H1635" s="2371" t="s">
        <v>3971</v>
      </c>
      <c r="I1635" s="667"/>
      <c r="J1635" s="667"/>
      <c r="K1635" s="667"/>
      <c r="L1635" s="1833"/>
      <c r="M1635" s="4"/>
      <c r="N1635" s="665"/>
      <c r="O1635" s="664"/>
      <c r="P1635" s="911"/>
      <c r="Q1635" s="911"/>
      <c r="R1635" s="911"/>
      <c r="S1635" s="911"/>
      <c r="T1635" s="911"/>
      <c r="U1635"/>
      <c r="V1635"/>
      <c r="W1635"/>
      <c r="X1635" s="911"/>
      <c r="Y1635"/>
      <c r="AA1635" s="1526"/>
      <c r="AC1635" s="970"/>
      <c r="AD1635" s="970"/>
      <c r="AE1635" s="970"/>
      <c r="AF1635"/>
      <c r="AG1635"/>
      <c r="AH1635"/>
      <c r="AI1635"/>
      <c r="AJ1635"/>
      <c r="AK1635"/>
      <c r="AL1635" s="1336"/>
      <c r="AM1635" s="1336"/>
      <c r="AN1635" s="1336"/>
      <c r="AO1635" s="1336"/>
      <c r="AP1635" s="1336"/>
      <c r="AQ1635" s="1336"/>
      <c r="AR1635" s="1336"/>
      <c r="AS1635" s="1336"/>
      <c r="AT1635"/>
    </row>
    <row r="1636" spans="1:61" x14ac:dyDescent="0.25">
      <c r="A1636" s="2371">
        <v>7</v>
      </c>
      <c r="B1636" s="2385">
        <v>706.15</v>
      </c>
      <c r="C1636" s="2385" t="s">
        <v>256</v>
      </c>
      <c r="G1636" s="2373" t="str">
        <f ca="1">IF(N1636&gt;0,"P","")</f>
        <v/>
      </c>
      <c r="H1636" s="2371" t="s">
        <v>3971</v>
      </c>
      <c r="I1636" s="667"/>
      <c r="J1636" s="684" t="s">
        <v>256</v>
      </c>
      <c r="K1636" s="684"/>
      <c r="L1636" s="1153" t="s">
        <v>4362</v>
      </c>
      <c r="M1636" s="1015">
        <v>2</v>
      </c>
      <c r="N1636" s="1044">
        <f ca="1">'Ch7'!O766</f>
        <v>0</v>
      </c>
      <c r="O1636" s="1047">
        <f ca="1">M1636*S1636*W1636</f>
        <v>0</v>
      </c>
      <c r="P1636" s="911" t="b">
        <v>1</v>
      </c>
      <c r="Q1636" s="911" t="b">
        <v>1</v>
      </c>
      <c r="R1636" s="911" t="b">
        <v>0</v>
      </c>
      <c r="S1636" s="911" t="b">
        <f ca="1">IF(AY889=INDEX(INDIRECT("ddSingleOrMulti"),2),TRUE,FALSE)</f>
        <v>0</v>
      </c>
      <c r="T1636" s="911" t="b">
        <v>0</v>
      </c>
      <c r="U1636"/>
      <c r="V1636"/>
      <c r="W1636" s="25"/>
      <c r="X1636" s="918"/>
      <c r="Y1636" s="988" t="str">
        <f>IF(LEN('Ch7'!X766)=0,"None",'Ch7'!X766)</f>
        <v>None</v>
      </c>
      <c r="Z1636" s="1587"/>
      <c r="AA1636" s="1526"/>
      <c r="AC1636" s="970" t="b">
        <f>OR(AD1636:AE1636)</f>
        <v>0</v>
      </c>
      <c r="AD1636" s="970" t="b">
        <f>T1636</f>
        <v>0</v>
      </c>
      <c r="AE1636" s="970"/>
      <c r="AF1636"/>
      <c r="AG1636"/>
      <c r="AH1636"/>
      <c r="AI1636"/>
      <c r="AJ1636"/>
      <c r="AK1636"/>
      <c r="AL1636" s="254" t="str">
        <f>SUBSTITUTE(SUBSTITUTE(SUBSTITUTE("vpa"&amp;$B1636&amp;$C1636&amp;$D1636&amp;$E1636,".","_"),"(","_"),")","")</f>
        <v>vpa706_15_1</v>
      </c>
      <c r="AM1636" s="254">
        <f>M1636</f>
        <v>2</v>
      </c>
      <c r="AN1636" s="254" t="str">
        <f>SUBSTITUTE(SUBSTITUTE(SUBSTITUTE("vpc"&amp;$B1636&amp;$C1636&amp;$D1636&amp;$E1636,".","_"),"(","_"),")","")</f>
        <v>vpc706_15_1</v>
      </c>
      <c r="AO1636" s="254">
        <f ca="1">O1636</f>
        <v>0</v>
      </c>
      <c r="AP1636" s="254" t="str">
        <f>SUBSTITUTE(SUBSTITUTE(SUBSTITUTE("vch"&amp;$B1636&amp;$C1636&amp;$D1636&amp;$E1636,".","_"),"(","_"),")","")</f>
        <v>vch706_15_1</v>
      </c>
      <c r="AQ1636" s="254" t="str">
        <f>IF(LEN(W1636)=0,"",W1636)</f>
        <v/>
      </c>
      <c r="AR1636" s="254" t="str">
        <f>SUBSTITUTE(SUBSTITUTE(SUBSTITUTE("vnt"&amp;$B1636&amp;$C1636&amp;$D1636&amp;$E1636,".","_"),"(","_"),")","")</f>
        <v>vnt706_15_1</v>
      </c>
      <c r="AS1636" s="254" t="str">
        <f>IF(LEN(X1636)=0,"",X1636)</f>
        <v/>
      </c>
      <c r="AT1636"/>
    </row>
    <row r="1637" spans="1:61" x14ac:dyDescent="0.25">
      <c r="A1637" s="2371">
        <v>7</v>
      </c>
      <c r="B1637" s="2385">
        <v>706.15</v>
      </c>
      <c r="C1637" s="2385" t="s">
        <v>258</v>
      </c>
      <c r="G1637" s="2373" t="str">
        <f ca="1">IF(N1637&gt;0,"P","")</f>
        <v/>
      </c>
      <c r="H1637" s="2371" t="s">
        <v>3971</v>
      </c>
      <c r="I1637" s="667"/>
      <c r="J1637" s="667" t="s">
        <v>258</v>
      </c>
      <c r="K1637" s="667"/>
      <c r="L1637" s="1156" t="s">
        <v>4363</v>
      </c>
      <c r="M1637" s="1016">
        <v>2</v>
      </c>
      <c r="N1637" s="1056">
        <f ca="1">'Ch7'!O767</f>
        <v>0</v>
      </c>
      <c r="O1637" s="1056">
        <f ca="1">M1637*S1637*W1637</f>
        <v>0</v>
      </c>
      <c r="P1637" s="94" t="b">
        <v>1</v>
      </c>
      <c r="Q1637" s="94" t="b">
        <v>1</v>
      </c>
      <c r="R1637" s="94" t="b">
        <v>0</v>
      </c>
      <c r="S1637" s="94" t="b">
        <f ca="1">IF(AY889=INDEX(INDIRECT("ddSingleOrMulti"),2),TRUE,FALSE)</f>
        <v>0</v>
      </c>
      <c r="T1637" s="94" t="b">
        <v>0</v>
      </c>
      <c r="U1637"/>
      <c r="V1637"/>
      <c r="W1637" s="25"/>
      <c r="X1637" s="918"/>
      <c r="Y1637" s="988" t="str">
        <f>IF(LEN('Ch7'!X767)=0,"None",'Ch7'!X767)</f>
        <v>None</v>
      </c>
      <c r="Z1637" s="1587"/>
      <c r="AA1637" s="1526"/>
      <c r="AC1637" s="970" t="b">
        <f>OR(AD1637:AE1637)</f>
        <v>0</v>
      </c>
      <c r="AD1637" s="970" t="b">
        <f>T1637</f>
        <v>0</v>
      </c>
      <c r="AE1637" s="970"/>
      <c r="AF1637"/>
      <c r="AG1637"/>
      <c r="AH1637"/>
      <c r="AI1637"/>
      <c r="AJ1637"/>
      <c r="AK1637"/>
      <c r="AL1637" s="254" t="str">
        <f>SUBSTITUTE(SUBSTITUTE(SUBSTITUTE("vpa"&amp;$B1637&amp;$C1637&amp;$D1637&amp;$E1637,".","_"),"(","_"),")","")</f>
        <v>vpa706_15_2</v>
      </c>
      <c r="AM1637" s="254">
        <f>M1637</f>
        <v>2</v>
      </c>
      <c r="AN1637" s="254" t="str">
        <f>SUBSTITUTE(SUBSTITUTE(SUBSTITUTE("vpc"&amp;$B1637&amp;$C1637&amp;$D1637&amp;$E1637,".","_"),"(","_"),")","")</f>
        <v>vpc706_15_2</v>
      </c>
      <c r="AO1637" s="254">
        <f ca="1">O1637</f>
        <v>0</v>
      </c>
      <c r="AP1637" s="254" t="str">
        <f>SUBSTITUTE(SUBSTITUTE(SUBSTITUTE("vch"&amp;$B1637&amp;$C1637&amp;$D1637&amp;$E1637,".","_"),"(","_"),")","")</f>
        <v>vch706_15_2</v>
      </c>
      <c r="AQ1637" s="254" t="str">
        <f>IF(LEN(W1637)=0,"",W1637)</f>
        <v/>
      </c>
      <c r="AR1637" s="254" t="str">
        <f>SUBSTITUTE(SUBSTITUTE(SUBSTITUTE("vnt"&amp;$B1637&amp;$C1637&amp;$D1637&amp;$E1637,".","_"),"(","_"),")","")</f>
        <v>vnt706_15_2</v>
      </c>
      <c r="AS1637" s="254" t="str">
        <f>IF(LEN(X1637)=0,"",X1637)</f>
        <v/>
      </c>
      <c r="AT1637"/>
    </row>
    <row r="1638" spans="1:61" ht="18.75" x14ac:dyDescent="0.3">
      <c r="A1638" s="2371">
        <v>8</v>
      </c>
      <c r="B1638" s="2396">
        <v>801</v>
      </c>
      <c r="C1638" s="2371"/>
      <c r="D1638" s="2371"/>
      <c r="E1638" s="2371"/>
      <c r="F1638" s="2371"/>
      <c r="G1638" s="2373" t="s">
        <v>3974</v>
      </c>
      <c r="H1638" s="2371" t="s">
        <v>3971</v>
      </c>
      <c r="I1638" s="22" t="s">
        <v>772</v>
      </c>
      <c r="J1638" s="22"/>
      <c r="K1638" s="22"/>
      <c r="L1638" s="1208"/>
      <c r="M1638" s="1059"/>
      <c r="N1638" s="1051"/>
      <c r="O1638" s="1051"/>
      <c r="P1638" s="648" t="s">
        <v>247</v>
      </c>
      <c r="Q1638" s="648" t="s">
        <v>247</v>
      </c>
      <c r="R1638" s="648" t="s">
        <v>247</v>
      </c>
      <c r="S1638" s="648" t="s">
        <v>247</v>
      </c>
      <c r="T1638" s="648" t="s">
        <v>247</v>
      </c>
      <c r="U1638" s="648" t="s">
        <v>247</v>
      </c>
      <c r="V1638" s="648" t="s">
        <v>247</v>
      </c>
      <c r="W1638" s="23"/>
      <c r="X1638" s="23"/>
      <c r="Y1638" s="23"/>
      <c r="Z1638" s="1586"/>
      <c r="AA1638" s="1526"/>
      <c r="AB1638" s="866" t="s">
        <v>247</v>
      </c>
      <c r="AC1638" s="866" t="s">
        <v>247</v>
      </c>
      <c r="AD1638" s="866" t="s">
        <v>247</v>
      </c>
      <c r="AE1638" s="866" t="s">
        <v>247</v>
      </c>
      <c r="AF1638" s="866" t="s">
        <v>247</v>
      </c>
      <c r="AG1638" s="866" t="s">
        <v>247</v>
      </c>
      <c r="AH1638" s="866" t="s">
        <v>247</v>
      </c>
      <c r="AI1638" s="866" t="s">
        <v>247</v>
      </c>
      <c r="AJ1638" s="866" t="s">
        <v>247</v>
      </c>
      <c r="AK1638" s="866" t="s">
        <v>247</v>
      </c>
      <c r="AL1638" s="1334"/>
      <c r="AM1638" s="1334"/>
      <c r="AN1638" s="1334"/>
      <c r="AO1638" s="1334"/>
      <c r="AP1638" s="1334"/>
      <c r="AQ1638" s="1334"/>
      <c r="AR1638" s="1334"/>
      <c r="AS1638" s="1334"/>
      <c r="AT1638" s="866" t="s">
        <v>247</v>
      </c>
      <c r="AU1638" s="866" t="s">
        <v>247</v>
      </c>
      <c r="AV1638" s="866" t="s">
        <v>247</v>
      </c>
      <c r="AW1638" s="866" t="s">
        <v>247</v>
      </c>
      <c r="AX1638" s="866" t="s">
        <v>247</v>
      </c>
      <c r="AY1638" s="866" t="s">
        <v>247</v>
      </c>
      <c r="AZ1638" s="866" t="s">
        <v>247</v>
      </c>
      <c r="BA1638" s="866" t="s">
        <v>247</v>
      </c>
      <c r="BB1638" s="866" t="s">
        <v>247</v>
      </c>
      <c r="BC1638" s="866" t="s">
        <v>247</v>
      </c>
      <c r="BD1638" s="866" t="s">
        <v>247</v>
      </c>
      <c r="BE1638" s="866" t="s">
        <v>247</v>
      </c>
      <c r="BF1638" s="866" t="s">
        <v>247</v>
      </c>
      <c r="BG1638" s="866" t="s">
        <v>247</v>
      </c>
      <c r="BH1638" s="866" t="s">
        <v>247</v>
      </c>
      <c r="BI1638" s="866" t="s">
        <v>247</v>
      </c>
    </row>
    <row r="1639" spans="1:61" x14ac:dyDescent="0.25">
      <c r="A1639" s="2371">
        <v>8</v>
      </c>
      <c r="B1639" s="2396" t="s">
        <v>773</v>
      </c>
      <c r="C1639" s="2374"/>
      <c r="D1639" s="2374"/>
      <c r="E1639" s="2374"/>
      <c r="F1639" s="2374"/>
      <c r="G1639" s="2371"/>
      <c r="H1639" s="2371"/>
      <c r="I1639" s="78" t="s">
        <v>773</v>
      </c>
      <c r="J1639" s="164"/>
      <c r="K1639" s="4"/>
      <c r="L1639" s="1796" t="s">
        <v>4374</v>
      </c>
      <c r="M1639" s="1010"/>
      <c r="N1639" s="664"/>
      <c r="O1639" s="1044"/>
      <c r="P1639" s="911"/>
      <c r="Q1639" s="911"/>
      <c r="R1639" s="911"/>
      <c r="S1639" s="911"/>
      <c r="T1639" s="911"/>
      <c r="U1639" s="911"/>
      <c r="V1639" s="911"/>
      <c r="W1639" s="911"/>
      <c r="X1639" s="911"/>
      <c r="Y1639"/>
      <c r="AA1639" s="1526"/>
      <c r="AB1639" s="648"/>
      <c r="AC1639" s="970"/>
      <c r="AD1639" s="970"/>
      <c r="AE1639" s="970"/>
      <c r="AF1639" s="648"/>
      <c r="AG1639" s="648"/>
      <c r="AH1639" s="648"/>
      <c r="AI1639" s="648"/>
      <c r="AJ1639" s="648"/>
      <c r="AK1639" s="648"/>
      <c r="AL1639" s="1336"/>
      <c r="AM1639" s="1336"/>
      <c r="AN1639" s="1336"/>
      <c r="AO1639" s="1336"/>
      <c r="AP1639" s="1336"/>
      <c r="AQ1639" s="1336"/>
      <c r="AR1639" s="1336"/>
      <c r="AS1639" s="1336"/>
      <c r="AT1639" s="648"/>
      <c r="AU1639" s="648"/>
      <c r="AV1639" s="648"/>
      <c r="AW1639" s="648"/>
      <c r="AX1639" s="648"/>
      <c r="AY1639" s="648"/>
      <c r="AZ1639" s="648"/>
      <c r="BA1639" s="648"/>
      <c r="BB1639" s="648"/>
      <c r="BC1639" s="648"/>
      <c r="BD1639" s="648"/>
      <c r="BE1639" s="648"/>
      <c r="BF1639" s="648"/>
      <c r="BG1639" s="648"/>
      <c r="BH1639" s="648"/>
    </row>
    <row r="1640" spans="1:61" s="868" customFormat="1" x14ac:dyDescent="0.25">
      <c r="A1640" s="2371">
        <v>8</v>
      </c>
      <c r="B1640" s="2396" t="s">
        <v>773</v>
      </c>
      <c r="C1640" s="2374"/>
      <c r="D1640" s="2374"/>
      <c r="E1640" s="2374"/>
      <c r="F1640" s="2374"/>
      <c r="G1640" s="2371"/>
      <c r="H1640" s="2371"/>
      <c r="I1640" s="78"/>
      <c r="J1640" s="164"/>
      <c r="K1640" s="4"/>
      <c r="L1640" s="1796"/>
      <c r="M1640" s="1010"/>
      <c r="N1640" s="664"/>
      <c r="O1640" s="1044"/>
      <c r="P1640" s="911"/>
      <c r="Q1640" s="911"/>
      <c r="R1640" s="911"/>
      <c r="S1640" s="911"/>
      <c r="T1640" s="911"/>
      <c r="U1640" s="911"/>
      <c r="V1640" s="911"/>
      <c r="W1640" s="911"/>
      <c r="X1640" s="911"/>
      <c r="Y1640"/>
      <c r="Z1640" s="731"/>
      <c r="AA1640" s="1526"/>
      <c r="AC1640" s="970"/>
      <c r="AD1640" s="970"/>
      <c r="AE1640" s="970"/>
      <c r="AL1640" s="1336"/>
      <c r="AM1640" s="1336"/>
      <c r="AN1640" s="1336"/>
      <c r="AO1640" s="1336"/>
      <c r="AP1640" s="1336"/>
      <c r="AQ1640" s="1336"/>
      <c r="AR1640" s="1336"/>
      <c r="AS1640" s="1336"/>
      <c r="AX1640" s="663" t="str">
        <f>'Overview (Verification)'!A10</f>
        <v>Builder Name:</v>
      </c>
      <c r="AY1640" s="752">
        <f>IF(LEN('Overview (Verification)'!P10)=0,0,'Overview (Verification)'!P10)</f>
        <v>0</v>
      </c>
      <c r="AZ1640" s="648"/>
      <c r="BA1640" s="648"/>
      <c r="BB1640" s="648"/>
      <c r="BC1640" s="648"/>
      <c r="BD1640" s="648"/>
      <c r="BE1640" s="648"/>
      <c r="BF1640" s="648"/>
      <c r="BG1640" s="648"/>
      <c r="BH1640" s="648"/>
    </row>
    <row r="1641" spans="1:61" s="868" customFormat="1" x14ac:dyDescent="0.25">
      <c r="A1641" s="2371">
        <v>8</v>
      </c>
      <c r="B1641" s="2396" t="s">
        <v>773</v>
      </c>
      <c r="C1641" s="2374"/>
      <c r="D1641" s="2374"/>
      <c r="E1641" s="2374"/>
      <c r="F1641" s="2374"/>
      <c r="G1641" s="2371"/>
      <c r="H1641" s="2371"/>
      <c r="I1641" s="910"/>
      <c r="J1641" s="524"/>
      <c r="K1641" s="210"/>
      <c r="L1641" s="1843"/>
      <c r="M1641" s="1010"/>
      <c r="N1641" s="664"/>
      <c r="O1641" s="1044"/>
      <c r="P1641" s="911"/>
      <c r="Q1641" s="911"/>
      <c r="R1641" s="911"/>
      <c r="S1641" s="911"/>
      <c r="T1641" s="911"/>
      <c r="U1641" s="911"/>
      <c r="V1641" s="911"/>
      <c r="W1641" s="911"/>
      <c r="X1641" s="911"/>
      <c r="Y1641" s="94"/>
      <c r="Z1641" s="1588"/>
      <c r="AA1641" s="1526"/>
      <c r="AC1641" s="970"/>
      <c r="AD1641" s="970"/>
      <c r="AE1641" s="970"/>
      <c r="AL1641" s="1336"/>
      <c r="AM1641" s="1336"/>
      <c r="AN1641" s="1336"/>
      <c r="AO1641" s="1336"/>
      <c r="AP1641" s="1336"/>
      <c r="AQ1641" s="1336"/>
      <c r="AR1641" s="1336"/>
      <c r="AS1641" s="1336"/>
      <c r="AX1641" s="663" t="str">
        <f>'Overview (Verification)'!A11</f>
        <v>Physical Address of Home:</v>
      </c>
      <c r="AY1641" s="752">
        <f>IF(LEN('Overview (Verification)'!P11)=0,0,'Overview (Verification)'!P11)</f>
        <v>0</v>
      </c>
      <c r="AZ1641" s="648"/>
      <c r="BA1641" s="648"/>
      <c r="BB1641" s="648"/>
      <c r="BC1641" s="648"/>
      <c r="BD1641" s="648"/>
      <c r="BE1641" s="648"/>
      <c r="BF1641" s="648"/>
      <c r="BG1641" s="648"/>
      <c r="BH1641" s="648"/>
    </row>
    <row r="1642" spans="1:61" s="868" customFormat="1" x14ac:dyDescent="0.25">
      <c r="A1642" s="2371">
        <v>8</v>
      </c>
      <c r="B1642" s="2396">
        <v>801.1</v>
      </c>
      <c r="C1642" s="2374"/>
      <c r="D1642" s="2374"/>
      <c r="E1642" s="2374"/>
      <c r="F1642" s="2374"/>
      <c r="G1642" s="2373" t="s">
        <v>3974</v>
      </c>
      <c r="H1642" s="2371" t="s">
        <v>3971</v>
      </c>
      <c r="I1642" s="64">
        <v>801.1</v>
      </c>
      <c r="J1642" s="164"/>
      <c r="K1642" s="4"/>
      <c r="L1642" s="1922" t="s">
        <v>4823</v>
      </c>
      <c r="M1642" s="1010"/>
      <c r="N1642" s="664"/>
      <c r="O1642" s="1044"/>
      <c r="P1642" s="94" t="b">
        <v>1</v>
      </c>
      <c r="Q1642" s="94" t="b">
        <v>0</v>
      </c>
      <c r="R1642" s="94" t="b">
        <v>1</v>
      </c>
      <c r="S1642" s="582" t="b">
        <v>1</v>
      </c>
      <c r="T1642" s="582" t="b">
        <v>0</v>
      </c>
      <c r="U1642" s="94" t="str">
        <f>SUBSTITUTE(SUBSTITUTE(SUBSTITUTE("dd"&amp;B1642&amp;C1642&amp;D1642&amp;E1642&amp;F1642,".","_"),"(","_"),")","")</f>
        <v>dd801_1</v>
      </c>
      <c r="V1642" s="911"/>
      <c r="W1642" s="12"/>
      <c r="X1642" s="1757"/>
      <c r="Y1642" s="2099" t="str">
        <f>IF(LEN('Ch8'!X13)=0,"None",'Ch8'!X13)</f>
        <v>None</v>
      </c>
      <c r="Z1642" s="2087"/>
      <c r="AA1642" s="1526"/>
      <c r="AC1642" s="970"/>
      <c r="AD1642" s="970"/>
      <c r="AE1642" s="970"/>
      <c r="AL1642" s="1336"/>
      <c r="AM1642" s="1336"/>
      <c r="AN1642" s="1336"/>
      <c r="AO1642" s="1336"/>
      <c r="AP1642" s="254" t="str">
        <f>SUBSTITUTE(SUBSTITUTE(SUBSTITUTE("vch"&amp;$B1642&amp;$C1642&amp;$D1642&amp;$E1642,".","_"),"(","_"),")","")</f>
        <v>vch801_1</v>
      </c>
      <c r="AQ1642" s="254" t="str">
        <f>IF(LEN(W1642)=0,"",W1642)</f>
        <v/>
      </c>
      <c r="AR1642" s="254" t="str">
        <f>SUBSTITUTE(SUBSTITUTE(SUBSTITUTE("vnt"&amp;$B1642&amp;$C1642&amp;$D1642&amp;$E1642,".","_"),"(","_"),")","")</f>
        <v>vnt801_1</v>
      </c>
      <c r="AS1642" s="254" t="str">
        <f>IF(LEN(X1642)=0,"",X1642)</f>
        <v/>
      </c>
      <c r="AX1642" s="663" t="str">
        <f>'Overview (Verification)'!A12</f>
        <v>Community/Lot #:</v>
      </c>
      <c r="AY1642" s="752">
        <f>IF(LEN('Overview (Verification)'!P12)=0,0,'Overview (Verification)'!P12)</f>
        <v>0</v>
      </c>
      <c r="AZ1642" s="648"/>
      <c r="BA1642" s="648"/>
      <c r="BB1642" s="648"/>
      <c r="BC1642" s="648"/>
      <c r="BD1642" s="648"/>
      <c r="BE1642" s="648"/>
      <c r="BF1642" s="648"/>
      <c r="BG1642" s="648"/>
      <c r="BH1642" s="648"/>
    </row>
    <row r="1643" spans="1:61" s="868" customFormat="1" x14ac:dyDescent="0.25">
      <c r="A1643" s="2371">
        <v>8</v>
      </c>
      <c r="B1643" s="2396">
        <v>801.1</v>
      </c>
      <c r="C1643" s="2374"/>
      <c r="D1643" s="2374"/>
      <c r="E1643" s="2374"/>
      <c r="F1643" s="2374"/>
      <c r="G1643" s="2373" t="s">
        <v>3974</v>
      </c>
      <c r="H1643" s="2371" t="s">
        <v>3971</v>
      </c>
      <c r="I1643" s="78"/>
      <c r="J1643" s="164"/>
      <c r="K1643" s="4"/>
      <c r="L1643" s="1922"/>
      <c r="M1643" s="1010"/>
      <c r="N1643" s="664"/>
      <c r="O1643" s="1044"/>
      <c r="P1643" s="94"/>
      <c r="Q1643" s="94"/>
      <c r="R1643" s="94" t="s">
        <v>3381</v>
      </c>
      <c r="S1643" s="94">
        <f ca="1">IFERROR(MATCH(W1642,INDIRECT(U1642),0),0)</f>
        <v>0</v>
      </c>
      <c r="T1643" s="94"/>
      <c r="U1643" s="94"/>
      <c r="V1643" s="911"/>
      <c r="W1643" s="911"/>
      <c r="X1643" s="1757"/>
      <c r="Y1643" s="2100"/>
      <c r="Z1643" s="2091"/>
      <c r="AA1643" s="1526"/>
      <c r="AC1643" s="970"/>
      <c r="AD1643" s="970"/>
      <c r="AE1643" s="970"/>
      <c r="AL1643" s="1336"/>
      <c r="AM1643" s="1336"/>
      <c r="AN1643" s="1336"/>
      <c r="AO1643" s="1336"/>
      <c r="AP1643" s="1336"/>
      <c r="AQ1643" s="1336"/>
      <c r="AR1643" s="1336"/>
      <c r="AS1643" s="1336"/>
      <c r="AX1643" s="663" t="str">
        <f>'Overview (Verification)'!A13</f>
        <v>City:</v>
      </c>
      <c r="AY1643" s="752">
        <f>IF(LEN('Overview (Verification)'!P13)=0,0,'Overview (Verification)'!P13)</f>
        <v>0</v>
      </c>
      <c r="AZ1643" s="648"/>
      <c r="BA1643" s="648"/>
      <c r="BB1643" s="648"/>
      <c r="BC1643" s="648"/>
      <c r="BD1643" s="648"/>
      <c r="BE1643" s="648"/>
      <c r="BF1643" s="648"/>
      <c r="BG1643" s="648"/>
      <c r="BH1643" s="648"/>
    </row>
    <row r="1644" spans="1:61" s="868" customFormat="1" x14ac:dyDescent="0.25">
      <c r="A1644" s="2371">
        <v>8</v>
      </c>
      <c r="B1644" s="2396">
        <v>801.1</v>
      </c>
      <c r="C1644" s="2374"/>
      <c r="D1644" s="2374"/>
      <c r="E1644" s="2374"/>
      <c r="F1644" s="2374"/>
      <c r="G1644" s="2373" t="s">
        <v>3974</v>
      </c>
      <c r="H1644" s="2371" t="s">
        <v>3971</v>
      </c>
      <c r="I1644" s="78"/>
      <c r="J1644" s="164"/>
      <c r="K1644" s="4"/>
      <c r="L1644" s="1922"/>
      <c r="M1644" s="1010"/>
      <c r="N1644" s="664"/>
      <c r="O1644" s="1044"/>
      <c r="P1644" s="94"/>
      <c r="Q1644" s="94"/>
      <c r="R1644" s="94"/>
      <c r="S1644" s="94"/>
      <c r="T1644" s="94"/>
      <c r="U1644" s="94"/>
      <c r="V1644" s="911"/>
      <c r="W1644" s="911"/>
      <c r="X1644" s="1757"/>
      <c r="Y1644" s="2100"/>
      <c r="Z1644" s="2091"/>
      <c r="AA1644" s="1526"/>
      <c r="AC1644" s="970"/>
      <c r="AD1644" s="970"/>
      <c r="AE1644" s="970"/>
      <c r="AL1644" s="1336"/>
      <c r="AM1644" s="1336"/>
      <c r="AN1644" s="1336"/>
      <c r="AO1644" s="1336"/>
      <c r="AP1644" s="1336"/>
      <c r="AQ1644" s="1336"/>
      <c r="AR1644" s="1336"/>
      <c r="AS1644" s="1336"/>
      <c r="AX1644" s="663" t="str">
        <f>'Overview (Verification)'!A14</f>
        <v>State:</v>
      </c>
      <c r="AY1644" s="752">
        <f>IF(LEN('Overview (Verification)'!P14)=0,0,'Overview (Verification)'!P14)</f>
        <v>0</v>
      </c>
      <c r="AZ1644" s="648"/>
      <c r="BA1644" s="648"/>
      <c r="BB1644" s="648"/>
      <c r="BC1644" s="752" t="str">
        <f>'Overview (Verification)'!T14</f>
        <v>State</v>
      </c>
      <c r="BD1644" s="752" t="str">
        <f>'Overview (Verification)'!U14</f>
        <v>County</v>
      </c>
      <c r="BE1644" s="752" t="str">
        <f>'Overview (Verification)'!V14</f>
        <v>Radon</v>
      </c>
      <c r="BF1644" s="752" t="str">
        <f>'Overview (Verification)'!W14</f>
        <v>Climate</v>
      </c>
      <c r="BG1644" s="752" t="str">
        <f>'Overview (Verification)'!X14</f>
        <v>Moist</v>
      </c>
      <c r="BH1644" s="752" t="str">
        <f>'Overview (Verification)'!Y14</f>
        <v>WarmHumid</v>
      </c>
    </row>
    <row r="1645" spans="1:61" s="868" customFormat="1" x14ac:dyDescent="0.25">
      <c r="A1645" s="2371">
        <v>8</v>
      </c>
      <c r="B1645" s="2396">
        <v>801.1</v>
      </c>
      <c r="C1645" s="2374"/>
      <c r="D1645" s="2374"/>
      <c r="E1645" s="2374"/>
      <c r="F1645" s="2374"/>
      <c r="G1645" s="2373" t="s">
        <v>3974</v>
      </c>
      <c r="H1645" s="2371" t="s">
        <v>3971</v>
      </c>
      <c r="I1645" s="78"/>
      <c r="J1645" s="164"/>
      <c r="K1645" s="4"/>
      <c r="L1645" s="1922"/>
      <c r="M1645" s="1010"/>
      <c r="N1645" s="664"/>
      <c r="O1645" s="1044"/>
      <c r="P1645" s="94"/>
      <c r="Q1645" s="94"/>
      <c r="R1645" s="94"/>
      <c r="S1645" s="94"/>
      <c r="T1645" s="94"/>
      <c r="U1645" s="94"/>
      <c r="V1645" s="911"/>
      <c r="W1645" s="911"/>
      <c r="X1645" s="1757"/>
      <c r="Y1645" s="2100"/>
      <c r="Z1645" s="2091"/>
      <c r="AA1645" s="1526"/>
      <c r="AC1645" s="970"/>
      <c r="AD1645" s="970"/>
      <c r="AE1645" s="970"/>
      <c r="AL1645" s="1336"/>
      <c r="AM1645" s="1336"/>
      <c r="AN1645" s="1336"/>
      <c r="AO1645" s="1336"/>
      <c r="AP1645" s="1336"/>
      <c r="AQ1645" s="1336"/>
      <c r="AR1645" s="1336"/>
      <c r="AS1645" s="1336"/>
      <c r="AX1645" s="663" t="str">
        <f>'Overview (Verification)'!A15</f>
        <v>County:</v>
      </c>
      <c r="AY1645" s="752">
        <f>IF(LEN('Overview (Verification)'!P15)=0,0,'Overview (Verification)'!P15)</f>
        <v>0</v>
      </c>
      <c r="AZ1645" s="648"/>
      <c r="BA1645" s="648"/>
      <c r="BB1645" s="648"/>
      <c r="BC1645" s="752" t="str">
        <f>'Overview (Verification)'!T15</f>
        <v/>
      </c>
      <c r="BD1645" s="752" t="str">
        <f>'Overview (Verification)'!U15</f>
        <v/>
      </c>
      <c r="BE1645" s="752" t="str">
        <f>'Overview (Verification)'!V15</f>
        <v>!!</v>
      </c>
      <c r="BF1645" s="752" t="str">
        <f>'Overview (Verification)'!W15</f>
        <v>!!</v>
      </c>
      <c r="BG1645" s="752" t="str">
        <f>'Overview (Verification)'!X15</f>
        <v>!!</v>
      </c>
      <c r="BH1645" s="752" t="str">
        <f>'Overview (Verification)'!Y15</f>
        <v>!!</v>
      </c>
    </row>
    <row r="1646" spans="1:61" s="868" customFormat="1" x14ac:dyDescent="0.25">
      <c r="A1646" s="2371">
        <v>8</v>
      </c>
      <c r="B1646" s="2396">
        <v>801.1</v>
      </c>
      <c r="C1646" s="2374"/>
      <c r="D1646" s="2374"/>
      <c r="E1646" s="2374"/>
      <c r="F1646" s="2374"/>
      <c r="G1646" s="2373" t="s">
        <v>3974</v>
      </c>
      <c r="H1646" s="2371" t="s">
        <v>3971</v>
      </c>
      <c r="I1646" s="78"/>
      <c r="J1646" s="164"/>
      <c r="K1646" s="4"/>
      <c r="L1646" s="1922"/>
      <c r="M1646" s="1010"/>
      <c r="N1646" s="664"/>
      <c r="O1646" s="1044"/>
      <c r="P1646" s="94"/>
      <c r="Q1646" s="94"/>
      <c r="R1646" s="94"/>
      <c r="S1646" s="94"/>
      <c r="T1646" s="94"/>
      <c r="U1646" s="94"/>
      <c r="V1646" s="911"/>
      <c r="W1646" s="911"/>
      <c r="X1646" s="1757"/>
      <c r="Y1646" s="2100"/>
      <c r="Z1646" s="2091"/>
      <c r="AA1646" s="1526"/>
      <c r="AC1646" s="970"/>
      <c r="AD1646" s="970"/>
      <c r="AE1646" s="970"/>
      <c r="AL1646" s="1336"/>
      <c r="AM1646" s="1336"/>
      <c r="AN1646" s="1336"/>
      <c r="AO1646" s="1336"/>
      <c r="AP1646" s="1336"/>
      <c r="AQ1646" s="1336"/>
      <c r="AR1646" s="1336"/>
      <c r="AS1646" s="1336"/>
      <c r="AX1646" s="663" t="str">
        <f>'Overview (Verification)'!A16</f>
        <v>Zip:</v>
      </c>
      <c r="AY1646" s="752">
        <f>IF(LEN('Overview (Verification)'!P16)=0,0,'Overview (Verification)'!P16)</f>
        <v>0</v>
      </c>
      <c r="AZ1646" s="648"/>
      <c r="BA1646" s="648"/>
      <c r="BB1646" s="648"/>
      <c r="BC1646" s="648"/>
      <c r="BD1646" s="648"/>
      <c r="BE1646" s="648"/>
      <c r="BF1646" s="648"/>
      <c r="BG1646" s="648"/>
      <c r="BH1646" s="648"/>
    </row>
    <row r="1647" spans="1:61" s="868" customFormat="1" ht="15.75" thickBot="1" x14ac:dyDescent="0.3">
      <c r="A1647" s="2371">
        <v>8</v>
      </c>
      <c r="B1647" s="2396">
        <v>801.1</v>
      </c>
      <c r="C1647" s="2374"/>
      <c r="D1647" s="2374"/>
      <c r="E1647" s="2374"/>
      <c r="F1647" s="2374"/>
      <c r="G1647" s="2373" t="s">
        <v>3974</v>
      </c>
      <c r="H1647" s="2371" t="s">
        <v>3971</v>
      </c>
      <c r="I1647" s="359"/>
      <c r="J1647" s="481"/>
      <c r="K1647" s="240"/>
      <c r="L1647" s="1923"/>
      <c r="M1647" s="1011"/>
      <c r="N1647" s="1052"/>
      <c r="O1647" s="1045"/>
      <c r="P1647" s="99"/>
      <c r="Q1647" s="99"/>
      <c r="R1647" s="99"/>
      <c r="S1647" s="99"/>
      <c r="T1647" s="99"/>
      <c r="U1647" s="99"/>
      <c r="V1647" s="99"/>
      <c r="W1647" s="99"/>
      <c r="X1647" s="1757"/>
      <c r="Y1647" s="2100"/>
      <c r="Z1647" s="2091"/>
      <c r="AA1647" s="1526"/>
      <c r="AC1647" s="970"/>
      <c r="AD1647" s="970"/>
      <c r="AE1647" s="970"/>
      <c r="AL1647" s="1336"/>
      <c r="AM1647" s="1336"/>
      <c r="AN1647" s="1336"/>
      <c r="AO1647" s="1336"/>
      <c r="AP1647" s="1336"/>
      <c r="AQ1647" s="1336"/>
      <c r="AR1647" s="1336"/>
      <c r="AS1647" s="1336"/>
      <c r="AX1647" s="649"/>
      <c r="AY1647" s="752"/>
      <c r="AZ1647" s="648"/>
      <c r="BA1647" s="648"/>
      <c r="BB1647" s="648"/>
      <c r="BC1647" s="648"/>
      <c r="BD1647" s="648"/>
      <c r="BE1647" s="648"/>
      <c r="BF1647" s="648"/>
      <c r="BG1647" s="648"/>
      <c r="BH1647" s="648"/>
    </row>
    <row r="1648" spans="1:61" s="868" customFormat="1" ht="19.5" thickTop="1" x14ac:dyDescent="0.3">
      <c r="A1648" s="2371">
        <v>8</v>
      </c>
      <c r="B1648" s="2385" t="s">
        <v>4397</v>
      </c>
      <c r="C1648" s="2374"/>
      <c r="D1648" s="2374"/>
      <c r="E1648" s="2374"/>
      <c r="F1648" s="2374"/>
      <c r="G1648" s="2373" t="s">
        <v>3974</v>
      </c>
      <c r="H1648" s="2371" t="s">
        <v>3971</v>
      </c>
      <c r="I1648" s="14" t="s">
        <v>4398</v>
      </c>
      <c r="J1648" s="14"/>
      <c r="K1648" s="23"/>
      <c r="L1648" s="229"/>
      <c r="M1648" s="498"/>
      <c r="N1648" s="1054"/>
      <c r="O1648" s="1043"/>
      <c r="P1648" s="23"/>
      <c r="Q1648" s="23"/>
      <c r="R1648" s="23"/>
      <c r="S1648" s="23"/>
      <c r="T1648" s="23"/>
      <c r="U1648" s="23"/>
      <c r="V1648" s="23"/>
      <c r="W1648" s="23"/>
      <c r="X1648" s="23"/>
      <c r="Y1648" s="23"/>
      <c r="Z1648" s="1586"/>
      <c r="AA1648" s="1526"/>
      <c r="AC1648" s="970"/>
      <c r="AD1648" s="970"/>
      <c r="AE1648" s="970"/>
      <c r="AL1648" s="1336"/>
      <c r="AM1648" s="1336"/>
      <c r="AN1648" s="1336"/>
      <c r="AO1648" s="1336"/>
      <c r="AP1648" s="1336"/>
      <c r="AQ1648" s="1336"/>
      <c r="AR1648" s="1336"/>
      <c r="AS1648" s="1336"/>
      <c r="AX1648" s="663" t="str">
        <f>'Overview (Verification)'!A18</f>
        <v>Single-Family or Multifamily:</v>
      </c>
      <c r="AY1648" s="752" t="str">
        <f>IF(LEN('Overview (Verification)'!P18)=0,0,'Overview (Verification)'!P18)</f>
        <v>Single-Family</v>
      </c>
      <c r="AZ1648" s="648"/>
      <c r="BA1648" s="648"/>
      <c r="BB1648" s="648"/>
      <c r="BC1648" s="648"/>
      <c r="BD1648" s="648"/>
      <c r="BE1648" s="648"/>
      <c r="BF1648" s="648"/>
      <c r="BG1648" s="648"/>
      <c r="BH1648" s="648"/>
    </row>
    <row r="1649" spans="1:60" ht="15" customHeight="1" x14ac:dyDescent="0.25">
      <c r="A1649" s="2371">
        <v>8</v>
      </c>
      <c r="B1649" s="2385">
        <v>802.1</v>
      </c>
      <c r="C1649" s="2374"/>
      <c r="D1649" s="2374"/>
      <c r="E1649" s="2374"/>
      <c r="F1649" s="2374"/>
      <c r="G1649" s="2373" t="str">
        <f ca="1">IF(N1649&gt;0,"P","")</f>
        <v/>
      </c>
      <c r="H1649" s="2371" t="s">
        <v>3971</v>
      </c>
      <c r="I1649" s="64">
        <v>802.1</v>
      </c>
      <c r="J1649" s="4"/>
      <c r="K1649" s="4"/>
      <c r="L1649" s="1796" t="s">
        <v>4396</v>
      </c>
      <c r="M1649" s="1014"/>
      <c r="N1649" s="2075">
        <f ca="1">'Ch8'!O20</f>
        <v>0</v>
      </c>
      <c r="O1649" s="1780">
        <f ca="1">IFERROR(INDEX({8,12,20,24,28,9},MATCH(W1650,INDIRECT(U1650),0)),0)*S1650*NOT(T1650)</f>
        <v>0</v>
      </c>
      <c r="P1649" s="1500"/>
      <c r="Q1649" s="1500"/>
      <c r="R1649" s="1500"/>
      <c r="S1649" s="1500"/>
      <c r="T1649" s="1500"/>
      <c r="U1649" s="1500"/>
      <c r="V1649" s="648"/>
      <c r="W1649" s="648"/>
      <c r="X1649" s="911"/>
      <c r="Y1649" s="648"/>
      <c r="AA1649" s="1526"/>
      <c r="AB1649" s="648"/>
      <c r="AC1649" s="970"/>
      <c r="AD1649" s="970"/>
      <c r="AE1649" s="970"/>
      <c r="AF1649" s="648"/>
      <c r="AG1649" s="648"/>
      <c r="AH1649" s="648"/>
      <c r="AI1649" s="648"/>
      <c r="AJ1649" s="648"/>
      <c r="AK1649" s="648"/>
      <c r="AL1649" s="1336"/>
      <c r="AM1649" s="1336"/>
      <c r="AN1649" s="254" t="str">
        <f>SUBSTITUTE(SUBSTITUTE(SUBSTITUTE("vpc"&amp;$B1649&amp;$C1649&amp;$D1649&amp;$E1649,".","_"),"(","_"),")","")</f>
        <v>vpc802_1</v>
      </c>
      <c r="AO1649" s="254">
        <f ca="1">O1649</f>
        <v>0</v>
      </c>
      <c r="AP1649" s="1336"/>
      <c r="AQ1649" s="1336"/>
      <c r="AR1649" s="1336"/>
      <c r="AS1649" s="1336"/>
      <c r="AT1649" s="648"/>
      <c r="AU1649" s="648"/>
      <c r="AV1649" s="648"/>
      <c r="AW1649" s="648"/>
      <c r="AX1649" s="663" t="str">
        <f>'Overview (Verification)'!A19</f>
        <v>Number of Units:</v>
      </c>
      <c r="AY1649" s="752">
        <f>IF(LEN('Overview (Verification)'!P19)=0,0,'Overview (Verification)'!P19)</f>
        <v>0</v>
      </c>
      <c r="AZ1649" s="648"/>
      <c r="BA1649" s="648"/>
      <c r="BB1649" s="648"/>
      <c r="BC1649" s="648"/>
      <c r="BD1649" s="648"/>
      <c r="BE1649" s="648"/>
      <c r="BF1649" s="648"/>
      <c r="BG1649" s="648"/>
      <c r="BH1649" s="648"/>
    </row>
    <row r="1650" spans="1:60" x14ac:dyDescent="0.25">
      <c r="A1650" s="2371">
        <v>8</v>
      </c>
      <c r="B1650" s="2385">
        <v>802.1</v>
      </c>
      <c r="C1650" s="2374"/>
      <c r="D1650" s="2374"/>
      <c r="E1650" s="2374"/>
      <c r="F1650" s="2374"/>
      <c r="G1650" s="2373" t="str">
        <f t="shared" ref="G1650:G1678" ca="1" si="103">G1649</f>
        <v/>
      </c>
      <c r="H1650" s="2371" t="s">
        <v>3971</v>
      </c>
      <c r="I1650" s="64"/>
      <c r="J1650" s="4"/>
      <c r="K1650" s="4"/>
      <c r="L1650" s="1796"/>
      <c r="M1650" s="1014"/>
      <c r="N1650" s="2075"/>
      <c r="O1650" s="1780"/>
      <c r="P1650" s="1500" t="b">
        <v>1</v>
      </c>
      <c r="Q1650" s="1500" t="b">
        <v>1</v>
      </c>
      <c r="R1650" s="1500" t="b">
        <v>0</v>
      </c>
      <c r="S1650" s="1500" t="b">
        <f ca="1">AND(S1652,S1653=TRUE,S1643=2)</f>
        <v>0</v>
      </c>
      <c r="T1650" s="94" t="b">
        <f ca="1">OR(IF(AND(NOT(S1650),LEN(W1650)&gt;0),TRUE,FALSE),AND(W1650=INDEX(INDIRECT(U1650),6),NOT(AY1648=INDEX(ddSingleOrMulti,2))))</f>
        <v>0</v>
      </c>
      <c r="U1650" s="94" t="str">
        <f>SUBSTITUTE(SUBSTITUTE(SUBSTITUTE("dd"&amp;B1650&amp;C1650&amp;D1650&amp;E1650&amp;F1650,".","_"),"(","_"),")","")</f>
        <v>dd802_1</v>
      </c>
      <c r="V1650" s="648"/>
      <c r="W1650" s="12"/>
      <c r="X1650" s="911"/>
      <c r="Y1650" s="648"/>
      <c r="AA1650" s="1526"/>
      <c r="AB1650" s="648"/>
      <c r="AC1650" s="970" t="b">
        <f ca="1">OR(AD1650:AE1650)</f>
        <v>0</v>
      </c>
      <c r="AD1650" s="970" t="b">
        <f ca="1">T1650</f>
        <v>0</v>
      </c>
      <c r="AE1650" s="970"/>
      <c r="AF1650" s="784"/>
      <c r="AG1650" s="648"/>
      <c r="AH1650" s="648"/>
      <c r="AI1650" s="648"/>
      <c r="AJ1650" s="648"/>
      <c r="AK1650" s="648"/>
      <c r="AL1650" s="254"/>
      <c r="AM1650" s="254"/>
      <c r="AN1650" s="254"/>
      <c r="AO1650" s="254"/>
      <c r="AP1650" s="254" t="str">
        <f>SUBSTITUTE(SUBSTITUTE(SUBSTITUTE("vch"&amp;$B1650&amp;$C1650&amp;$D1650&amp;$E1650,".","_"),"(","_"),")","")</f>
        <v>vch802_1</v>
      </c>
      <c r="AQ1650" s="254" t="str">
        <f>IF(LEN(W1650)=0,"",W1650)</f>
        <v/>
      </c>
      <c r="AR1650" s="254"/>
      <c r="AS1650" s="254"/>
      <c r="AT1650" s="648"/>
      <c r="AU1650" s="648"/>
      <c r="AV1650" s="648"/>
      <c r="AW1650" s="648"/>
      <c r="AX1650" s="1100" t="str">
        <f>'Overview (Verification)'!A20</f>
        <v>Building includes commercial space pursuing Commercial Space certification?</v>
      </c>
      <c r="AY1650" s="1101">
        <f>IF(LEN('Overview (Verification)'!P20)=0,0,'Overview (Verification)'!P20)</f>
        <v>0</v>
      </c>
      <c r="AZ1650" s="648"/>
      <c r="BA1650" s="648"/>
      <c r="BB1650" s="648"/>
      <c r="BC1650" s="648"/>
      <c r="BD1650" s="648"/>
      <c r="BE1650" s="648"/>
      <c r="BF1650" s="648"/>
      <c r="BG1650" s="648"/>
      <c r="BH1650" s="648"/>
    </row>
    <row r="1651" spans="1:60" x14ac:dyDescent="0.25">
      <c r="A1651" s="2371">
        <v>8</v>
      </c>
      <c r="B1651" s="2385">
        <v>802.1</v>
      </c>
      <c r="C1651" s="2374"/>
      <c r="D1651" s="2374"/>
      <c r="E1651" s="2374"/>
      <c r="F1651" s="2374"/>
      <c r="G1651" s="2373" t="str">
        <f t="shared" ca="1" si="103"/>
        <v/>
      </c>
      <c r="H1651" s="2371" t="s">
        <v>3971</v>
      </c>
      <c r="I1651" s="64"/>
      <c r="J1651" s="4"/>
      <c r="K1651" s="4"/>
      <c r="L1651" s="1796"/>
      <c r="M1651" s="1014"/>
      <c r="N1651" s="2075"/>
      <c r="O1651" s="1780"/>
      <c r="P1651" s="648"/>
      <c r="Q1651" s="648"/>
      <c r="R1651" s="648"/>
      <c r="S1651" s="778"/>
      <c r="T1651" s="648"/>
      <c r="U1651" s="648"/>
      <c r="V1651" s="648"/>
      <c r="W1651" s="648"/>
      <c r="X1651" s="911"/>
      <c r="Y1651" s="648"/>
      <c r="AA1651" s="1526"/>
      <c r="AB1651" s="648"/>
      <c r="AC1651" s="970"/>
      <c r="AD1651" s="970"/>
      <c r="AE1651" s="970"/>
      <c r="AF1651" s="648"/>
      <c r="AG1651" s="648"/>
      <c r="AH1651" s="648"/>
      <c r="AI1651" s="648"/>
      <c r="AJ1651" s="648"/>
      <c r="AK1651" s="648"/>
      <c r="AL1651" s="1336"/>
      <c r="AM1651" s="1336"/>
      <c r="AN1651" s="1336"/>
      <c r="AO1651" s="1336"/>
      <c r="AP1651" s="1336"/>
      <c r="AQ1651" s="1336"/>
      <c r="AR1651" s="1336"/>
      <c r="AS1651" s="1336"/>
      <c r="AT1651" s="648"/>
      <c r="AU1651" s="648"/>
      <c r="AV1651" s="648"/>
      <c r="AW1651" s="648"/>
      <c r="AZ1651" s="648"/>
      <c r="BA1651" s="648"/>
      <c r="BB1651" s="648"/>
      <c r="BC1651" s="648"/>
      <c r="BD1651" s="648"/>
      <c r="BE1651" s="648"/>
      <c r="BF1651" s="648"/>
      <c r="BG1651" s="648"/>
      <c r="BH1651" s="648"/>
    </row>
    <row r="1652" spans="1:60" x14ac:dyDescent="0.25">
      <c r="A1652" s="2371">
        <v>8</v>
      </c>
      <c r="B1652" s="2385">
        <v>802.1</v>
      </c>
      <c r="C1652" s="2374"/>
      <c r="D1652" s="2374"/>
      <c r="E1652" s="2374"/>
      <c r="F1652" s="2374"/>
      <c r="G1652" s="2373" t="str">
        <f t="shared" ca="1" si="103"/>
        <v/>
      </c>
      <c r="H1652" s="2371" t="s">
        <v>3971</v>
      </c>
      <c r="I1652" s="64"/>
      <c r="J1652" s="4"/>
      <c r="K1652" s="4"/>
      <c r="L1652" s="1796"/>
      <c r="M1652" s="1014"/>
      <c r="N1652" s="2075"/>
      <c r="O1652" s="1780"/>
      <c r="P1652" s="648"/>
      <c r="Q1652" s="648"/>
      <c r="R1652" s="648"/>
      <c r="S1652" s="1" t="b">
        <f>S1513</f>
        <v>1</v>
      </c>
      <c r="T1652" s="648"/>
      <c r="U1652" s="648"/>
      <c r="V1652" s="648"/>
      <c r="W1652" s="648"/>
      <c r="X1652" s="911"/>
      <c r="Y1652" s="648"/>
      <c r="AA1652" s="1526"/>
      <c r="AB1652" s="648"/>
      <c r="AC1652" s="970"/>
      <c r="AD1652" s="970"/>
      <c r="AE1652" s="970"/>
      <c r="AF1652" s="648"/>
      <c r="AG1652" s="648"/>
      <c r="AH1652" s="648"/>
      <c r="AI1652" s="648"/>
      <c r="AJ1652" s="648"/>
      <c r="AK1652" s="648"/>
      <c r="AL1652" s="1336"/>
      <c r="AM1652" s="1336"/>
      <c r="AN1652" s="1336"/>
      <c r="AO1652" s="1336"/>
      <c r="AP1652" s="1336"/>
      <c r="AQ1652" s="1336"/>
      <c r="AR1652" s="1336"/>
      <c r="AS1652" s="1336"/>
      <c r="AT1652" s="648"/>
      <c r="AU1652" s="648"/>
      <c r="AV1652" s="648"/>
      <c r="AW1652" s="648"/>
      <c r="AZ1652" s="648"/>
      <c r="BA1652" s="648"/>
      <c r="BB1652" s="648"/>
      <c r="BC1652" s="648"/>
      <c r="BD1652" s="648"/>
      <c r="BE1652" s="648"/>
      <c r="BF1652" s="648"/>
      <c r="BG1652" s="648"/>
      <c r="BH1652" s="648"/>
    </row>
    <row r="1653" spans="1:60" x14ac:dyDescent="0.25">
      <c r="A1653" s="2371">
        <v>8</v>
      </c>
      <c r="B1653" s="2385">
        <v>802.1</v>
      </c>
      <c r="C1653" s="2374"/>
      <c r="D1653" s="2374"/>
      <c r="E1653" s="2374"/>
      <c r="F1653" s="2374"/>
      <c r="G1653" s="2373" t="str">
        <f t="shared" ca="1" si="103"/>
        <v/>
      </c>
      <c r="H1653" s="2371" t="s">
        <v>3971</v>
      </c>
      <c r="I1653" s="64"/>
      <c r="J1653" s="4"/>
      <c r="K1653" s="4"/>
      <c r="L1653" s="1796"/>
      <c r="M1653" s="1014"/>
      <c r="N1653" s="2075"/>
      <c r="O1653" s="1780"/>
      <c r="P1653" s="648"/>
      <c r="Q1653" s="648"/>
      <c r="R1653" s="648"/>
      <c r="S1653" s="1">
        <f>W1513</f>
        <v>0</v>
      </c>
      <c r="T1653" s="648"/>
      <c r="U1653" s="648"/>
      <c r="V1653" s="648"/>
      <c r="W1653" s="648"/>
      <c r="X1653" s="911"/>
      <c r="Y1653" s="648"/>
      <c r="AA1653" s="1526"/>
      <c r="AB1653" s="648"/>
      <c r="AC1653" s="970"/>
      <c r="AD1653" s="970"/>
      <c r="AE1653" s="970"/>
      <c r="AF1653" s="648"/>
      <c r="AG1653" s="648"/>
      <c r="AH1653" s="648"/>
      <c r="AI1653" s="648"/>
      <c r="AJ1653" s="648"/>
      <c r="AK1653" s="648"/>
      <c r="AL1653" s="1336"/>
      <c r="AM1653" s="1336"/>
      <c r="AN1653" s="1336"/>
      <c r="AO1653" s="1336"/>
      <c r="AP1653" s="1336"/>
      <c r="AQ1653" s="1336"/>
      <c r="AR1653" s="1336"/>
      <c r="AS1653" s="1336"/>
      <c r="AT1653" s="648"/>
      <c r="AU1653" s="648"/>
      <c r="AV1653" s="648"/>
      <c r="AW1653" s="648"/>
      <c r="AX1653" s="663" t="str">
        <f>'Overview (Verification)'!A23</f>
        <v>Project Name:</v>
      </c>
      <c r="AY1653" s="752">
        <f>IF(LEN('Overview (Verification)'!P23)=0,0,'Overview (Verification)'!P23)</f>
        <v>0</v>
      </c>
      <c r="AZ1653" s="648"/>
      <c r="BA1653" s="648"/>
      <c r="BB1653" s="648"/>
      <c r="BC1653" s="648"/>
      <c r="BD1653" s="648"/>
      <c r="BE1653" s="648"/>
      <c r="BF1653" s="648"/>
      <c r="BG1653" s="648"/>
      <c r="BH1653" s="648"/>
    </row>
    <row r="1654" spans="1:60" x14ac:dyDescent="0.25">
      <c r="A1654" s="2371">
        <v>8</v>
      </c>
      <c r="B1654" s="2385">
        <v>802.1</v>
      </c>
      <c r="C1654" s="2374"/>
      <c r="D1654" s="2374"/>
      <c r="E1654" s="2374"/>
      <c r="F1654" s="2374"/>
      <c r="G1654" s="2373" t="str">
        <f t="shared" ca="1" si="103"/>
        <v/>
      </c>
      <c r="H1654" s="2371" t="s">
        <v>3971</v>
      </c>
      <c r="I1654" s="64"/>
      <c r="J1654" s="4"/>
      <c r="K1654" s="4"/>
      <c r="L1654" s="1924" t="s">
        <v>774</v>
      </c>
      <c r="M1654" s="1014"/>
      <c r="N1654" s="1042"/>
      <c r="O1654" s="1506"/>
      <c r="P1654" s="648"/>
      <c r="Q1654" s="648"/>
      <c r="R1654" s="648"/>
      <c r="S1654" s="648"/>
      <c r="T1654" s="648"/>
      <c r="U1654" s="648"/>
      <c r="V1654" s="648"/>
      <c r="W1654" s="648"/>
      <c r="X1654" s="911"/>
      <c r="Y1654" s="648"/>
      <c r="AA1654" s="1526"/>
      <c r="AB1654" s="648"/>
      <c r="AC1654" s="970"/>
      <c r="AD1654" s="970"/>
      <c r="AE1654" s="970"/>
      <c r="AF1654" s="648"/>
      <c r="AG1654" s="648"/>
      <c r="AH1654" s="648"/>
      <c r="AI1654" s="648"/>
      <c r="AJ1654" s="648"/>
      <c r="AK1654" s="648"/>
      <c r="AL1654" s="1336"/>
      <c r="AM1654" s="1336"/>
      <c r="AN1654" s="1336"/>
      <c r="AO1654" s="1336"/>
      <c r="AP1654" s="1336"/>
      <c r="AQ1654" s="1336"/>
      <c r="AR1654" s="1336"/>
      <c r="AS1654" s="1336"/>
      <c r="AT1654" s="648"/>
      <c r="AU1654" s="648"/>
      <c r="AV1654" s="648"/>
      <c r="AW1654" s="648"/>
      <c r="AX1654" s="649"/>
      <c r="AY1654" s="752"/>
      <c r="AZ1654" s="648"/>
      <c r="BA1654" s="648"/>
      <c r="BB1654" s="648"/>
      <c r="BC1654" s="648"/>
      <c r="BD1654" s="648"/>
      <c r="BE1654" s="648"/>
      <c r="BF1654" s="648"/>
      <c r="BG1654" s="648"/>
      <c r="BH1654" s="648"/>
    </row>
    <row r="1655" spans="1:60" x14ac:dyDescent="0.25">
      <c r="A1655" s="2371">
        <v>8</v>
      </c>
      <c r="B1655" s="2385">
        <v>802.1</v>
      </c>
      <c r="C1655" s="2374"/>
      <c r="D1655" s="2374"/>
      <c r="E1655" s="2374"/>
      <c r="F1655" s="2374"/>
      <c r="G1655" s="2373" t="str">
        <f t="shared" ca="1" si="103"/>
        <v/>
      </c>
      <c r="H1655" s="2371" t="s">
        <v>3971</v>
      </c>
      <c r="I1655" s="64"/>
      <c r="J1655" s="4"/>
      <c r="K1655" s="4"/>
      <c r="L1655" s="1924"/>
      <c r="M1655" s="1014"/>
      <c r="N1655" s="1042"/>
      <c r="O1655" s="1506"/>
      <c r="P1655" s="648"/>
      <c r="Q1655" s="648"/>
      <c r="R1655" s="648"/>
      <c r="S1655" s="648"/>
      <c r="T1655" s="648"/>
      <c r="U1655" s="648"/>
      <c r="V1655" s="648"/>
      <c r="W1655" s="648"/>
      <c r="X1655" s="911"/>
      <c r="Y1655" s="648"/>
      <c r="AA1655" s="1526"/>
      <c r="AB1655" s="648"/>
      <c r="AC1655" s="970"/>
      <c r="AD1655" s="970"/>
      <c r="AE1655" s="970"/>
      <c r="AF1655" s="648"/>
      <c r="AG1655" s="648"/>
      <c r="AH1655" s="648"/>
      <c r="AI1655" s="648"/>
      <c r="AJ1655" s="648"/>
      <c r="AK1655" s="648"/>
      <c r="AL1655" s="1336"/>
      <c r="AM1655" s="1336"/>
      <c r="AN1655" s="1336"/>
      <c r="AO1655" s="1336"/>
      <c r="AP1655" s="1336"/>
      <c r="AQ1655" s="1336"/>
      <c r="AR1655" s="1336"/>
      <c r="AS1655" s="1336"/>
      <c r="AT1655" s="648"/>
      <c r="AU1655" s="648"/>
      <c r="AV1655" s="648"/>
      <c r="AW1655" s="648"/>
      <c r="AX1655" s="663" t="str">
        <f>'Overview (Verification)'!A25</f>
        <v>Above grade plane finished floor area:</v>
      </c>
      <c r="AY1655" s="752">
        <f>IF(LEN('Overview (Verification)'!P25)=0,0,'Overview (Verification)'!P25)</f>
        <v>0</v>
      </c>
      <c r="AZ1655" s="648"/>
      <c r="BA1655" s="648"/>
      <c r="BB1655" s="648"/>
      <c r="BC1655" s="648"/>
      <c r="BD1655" s="648"/>
      <c r="BE1655" s="648"/>
      <c r="BF1655" s="648"/>
      <c r="BG1655" s="648"/>
      <c r="BH1655" s="648"/>
    </row>
    <row r="1656" spans="1:60" x14ac:dyDescent="0.25">
      <c r="A1656" s="2371">
        <v>8</v>
      </c>
      <c r="B1656" s="2385">
        <v>802.1</v>
      </c>
      <c r="C1656" s="2374"/>
      <c r="D1656" s="2374"/>
      <c r="E1656" s="2374"/>
      <c r="F1656" s="2374"/>
      <c r="G1656" s="2373" t="str">
        <f t="shared" ca="1" si="103"/>
        <v/>
      </c>
      <c r="H1656" s="2371" t="s">
        <v>3971</v>
      </c>
      <c r="I1656" s="64"/>
      <c r="J1656" s="4"/>
      <c r="K1656" s="4"/>
      <c r="L1656" s="1924"/>
      <c r="M1656" s="1014"/>
      <c r="N1656" s="1042"/>
      <c r="O1656" s="1506"/>
      <c r="P1656" s="648"/>
      <c r="Q1656" s="648"/>
      <c r="R1656" s="648"/>
      <c r="S1656" s="648"/>
      <c r="T1656" s="648"/>
      <c r="U1656" s="648"/>
      <c r="V1656" s="648"/>
      <c r="W1656" s="648"/>
      <c r="X1656" s="911"/>
      <c r="Y1656" s="648"/>
      <c r="AA1656" s="1526"/>
      <c r="AB1656" s="648"/>
      <c r="AC1656" s="970"/>
      <c r="AD1656" s="970"/>
      <c r="AE1656" s="970"/>
      <c r="AF1656" s="648"/>
      <c r="AG1656" s="648"/>
      <c r="AH1656" s="648"/>
      <c r="AI1656" s="648"/>
      <c r="AJ1656" s="648"/>
      <c r="AK1656" s="648"/>
      <c r="AL1656" s="1336"/>
      <c r="AM1656" s="1336"/>
      <c r="AN1656" s="1336"/>
      <c r="AO1656" s="1336"/>
      <c r="AP1656" s="1336"/>
      <c r="AQ1656" s="1336"/>
      <c r="AR1656" s="1336"/>
      <c r="AS1656" s="1336"/>
      <c r="AT1656" s="648"/>
      <c r="AU1656" s="648"/>
      <c r="AV1656" s="648"/>
      <c r="AW1656" s="648"/>
      <c r="AX1656" s="663" t="str">
        <f>'Overview (Verification)'!A26</f>
        <v>Total conditioned floor area:</v>
      </c>
      <c r="AY1656" s="752">
        <f>IF(LEN('Overview (Verification)'!P26)=0,0,'Overview (Verification)'!P26)</f>
        <v>0</v>
      </c>
      <c r="AZ1656" s="648"/>
      <c r="BA1656" s="648"/>
      <c r="BB1656" s="648"/>
      <c r="BC1656" s="648"/>
      <c r="BD1656" s="648"/>
      <c r="BE1656" s="648"/>
      <c r="BF1656" s="648"/>
      <c r="BG1656" s="648"/>
      <c r="BH1656" s="648"/>
    </row>
    <row r="1657" spans="1:60" x14ac:dyDescent="0.25">
      <c r="A1657" s="2371">
        <v>8</v>
      </c>
      <c r="B1657" s="2385">
        <v>802.1</v>
      </c>
      <c r="C1657" s="2374"/>
      <c r="D1657" s="2374"/>
      <c r="E1657" s="2374"/>
      <c r="F1657" s="2374"/>
      <c r="G1657" s="2373" t="str">
        <f t="shared" ca="1" si="103"/>
        <v/>
      </c>
      <c r="H1657" s="2371" t="s">
        <v>3971</v>
      </c>
      <c r="I1657" s="64"/>
      <c r="J1657" s="4"/>
      <c r="K1657" s="4"/>
      <c r="L1657" s="1924" t="s">
        <v>775</v>
      </c>
      <c r="M1657" s="1014"/>
      <c r="N1657" s="1042"/>
      <c r="O1657" s="1506"/>
      <c r="P1657" s="648"/>
      <c r="Q1657" s="648"/>
      <c r="R1657" s="648"/>
      <c r="S1657" s="648"/>
      <c r="T1657" s="648"/>
      <c r="U1657" s="648"/>
      <c r="V1657" s="648"/>
      <c r="W1657" s="648"/>
      <c r="X1657" s="911"/>
      <c r="Y1657" s="648"/>
      <c r="AA1657" s="1526"/>
      <c r="AB1657" s="648"/>
      <c r="AC1657" s="970"/>
      <c r="AD1657" s="970"/>
      <c r="AE1657" s="970"/>
      <c r="AF1657" s="648"/>
      <c r="AG1657" s="648"/>
      <c r="AH1657" s="648"/>
      <c r="AI1657" s="648"/>
      <c r="AJ1657" s="648"/>
      <c r="AK1657" s="648"/>
      <c r="AL1657" s="1336"/>
      <c r="AM1657" s="1336"/>
      <c r="AN1657" s="1336"/>
      <c r="AO1657" s="1336"/>
      <c r="AP1657" s="1336"/>
      <c r="AQ1657" s="1336"/>
      <c r="AR1657" s="1336"/>
      <c r="AS1657" s="1336"/>
      <c r="AT1657" s="648"/>
      <c r="AU1657" s="648"/>
      <c r="AV1657" s="648"/>
      <c r="AW1657" s="648"/>
      <c r="AX1657" s="663" t="str">
        <f>'Overview (Verification)'!A27</f>
        <v>Stories above grade:</v>
      </c>
      <c r="AY1657" s="752">
        <f>IF(LEN('Overview (Verification)'!P27)=0,0,'Overview (Verification)'!P27)</f>
        <v>0</v>
      </c>
      <c r="AZ1657" s="648"/>
      <c r="BA1657" s="648"/>
      <c r="BB1657" s="648"/>
      <c r="BC1657" s="648"/>
      <c r="BD1657" s="648"/>
      <c r="BE1657" s="648"/>
      <c r="BF1657" s="648"/>
      <c r="BG1657" s="648"/>
      <c r="BH1657" s="648"/>
    </row>
    <row r="1658" spans="1:60" x14ac:dyDescent="0.25">
      <c r="A1658" s="2371">
        <v>8</v>
      </c>
      <c r="B1658" s="2385">
        <v>802.1</v>
      </c>
      <c r="C1658" s="2374"/>
      <c r="D1658" s="2374"/>
      <c r="E1658" s="2374"/>
      <c r="F1658" s="2374"/>
      <c r="G1658" s="2373" t="str">
        <f t="shared" ca="1" si="103"/>
        <v/>
      </c>
      <c r="H1658" s="2371" t="s">
        <v>3971</v>
      </c>
      <c r="I1658" s="64"/>
      <c r="J1658" s="4"/>
      <c r="K1658" s="4"/>
      <c r="L1658" s="1924"/>
      <c r="M1658" s="1014"/>
      <c r="N1658" s="1042"/>
      <c r="O1658" s="1506"/>
      <c r="P1658" s="648"/>
      <c r="Q1658" s="648"/>
      <c r="R1658" s="648"/>
      <c r="S1658" s="648"/>
      <c r="T1658" s="648"/>
      <c r="U1658" s="648"/>
      <c r="V1658" s="648"/>
      <c r="W1658" s="648"/>
      <c r="X1658" s="911"/>
      <c r="Y1658" s="648"/>
      <c r="AA1658" s="1526"/>
      <c r="AB1658" s="648"/>
      <c r="AC1658" s="970"/>
      <c r="AD1658" s="970"/>
      <c r="AE1658" s="970"/>
      <c r="AF1658" s="648"/>
      <c r="AG1658" s="648"/>
      <c r="AH1658" s="648"/>
      <c r="AI1658" s="648"/>
      <c r="AJ1658" s="648"/>
      <c r="AK1658" s="648"/>
      <c r="AL1658" s="1336"/>
      <c r="AM1658" s="1336"/>
      <c r="AN1658" s="1336"/>
      <c r="AO1658" s="1336"/>
      <c r="AP1658" s="1336"/>
      <c r="AQ1658" s="1336"/>
      <c r="AR1658" s="1336"/>
      <c r="AS1658" s="1336"/>
      <c r="AT1658" s="648"/>
      <c r="AU1658" s="648"/>
      <c r="AV1658" s="648"/>
      <c r="AW1658" s="648"/>
      <c r="AX1658" s="1605" t="str">
        <f>'Overview (Verification)'!A28</f>
        <v>Project Elevation (ft. above sea level):</v>
      </c>
      <c r="AY1658" s="1606">
        <f>IF(LEN('Overview (Verification)'!P28)=0,0,'Overview (Verification)'!P28)</f>
        <v>0</v>
      </c>
    </row>
    <row r="1659" spans="1:60" x14ac:dyDescent="0.25">
      <c r="A1659" s="2371">
        <v>8</v>
      </c>
      <c r="B1659" s="2385">
        <v>802.1</v>
      </c>
      <c r="C1659" s="2374"/>
      <c r="D1659" s="2374"/>
      <c r="E1659" s="2374"/>
      <c r="F1659" s="2374"/>
      <c r="G1659" s="2373" t="str">
        <f t="shared" ca="1" si="103"/>
        <v/>
      </c>
      <c r="H1659" s="2371" t="s">
        <v>3971</v>
      </c>
      <c r="I1659" s="64"/>
      <c r="J1659" s="4"/>
      <c r="K1659" s="4"/>
      <c r="L1659" s="1924"/>
      <c r="M1659" s="1014"/>
      <c r="N1659" s="1042"/>
      <c r="O1659" s="1506"/>
      <c r="P1659" s="648"/>
      <c r="Q1659" s="648"/>
      <c r="R1659" s="648"/>
      <c r="S1659" s="648"/>
      <c r="T1659" s="648"/>
      <c r="U1659" s="648"/>
      <c r="V1659" s="648"/>
      <c r="W1659" s="648"/>
      <c r="X1659" s="911"/>
      <c r="Y1659" s="648"/>
      <c r="AA1659" s="1526"/>
      <c r="AB1659" s="648"/>
      <c r="AC1659" s="970"/>
      <c r="AD1659" s="970"/>
      <c r="AE1659" s="970"/>
      <c r="AF1659" s="648"/>
      <c r="AG1659" s="648"/>
      <c r="AH1659" s="648"/>
      <c r="AI1659" s="648"/>
      <c r="AJ1659" s="648"/>
      <c r="AK1659" s="648"/>
      <c r="AL1659" s="1336"/>
      <c r="AM1659" s="1336"/>
      <c r="AN1659" s="1336"/>
      <c r="AO1659" s="1336"/>
      <c r="AP1659" s="1336"/>
      <c r="AQ1659" s="1336"/>
      <c r="AR1659" s="1336"/>
      <c r="AS1659" s="1336"/>
      <c r="AT1659" s="648"/>
      <c r="AU1659" s="648"/>
      <c r="AV1659" s="648"/>
      <c r="AW1659" s="648"/>
      <c r="AX1659" s="648"/>
      <c r="AY1659" s="752"/>
      <c r="AZ1659" s="648"/>
      <c r="BA1659" s="648"/>
      <c r="BB1659" s="648"/>
      <c r="BC1659" s="648"/>
      <c r="BD1659" s="648"/>
      <c r="BE1659" s="648"/>
      <c r="BF1659" s="648"/>
      <c r="BG1659" s="648"/>
      <c r="BH1659" s="648"/>
    </row>
    <row r="1660" spans="1:60" x14ac:dyDescent="0.25">
      <c r="A1660" s="2371">
        <v>8</v>
      </c>
      <c r="B1660" s="2385">
        <v>802.1</v>
      </c>
      <c r="C1660" s="2374"/>
      <c r="D1660" s="2374"/>
      <c r="E1660" s="2374"/>
      <c r="F1660" s="2374"/>
      <c r="G1660" s="2373" t="str">
        <f t="shared" ca="1" si="103"/>
        <v/>
      </c>
      <c r="H1660" s="2371" t="s">
        <v>3971</v>
      </c>
      <c r="I1660" s="64"/>
      <c r="J1660" s="4"/>
      <c r="K1660" s="4"/>
      <c r="L1660" s="1179" t="s">
        <v>776</v>
      </c>
      <c r="M1660" s="1014"/>
      <c r="N1660" s="1042"/>
      <c r="O1660" s="1506"/>
      <c r="P1660" s="648"/>
      <c r="Q1660" s="648"/>
      <c r="R1660" s="648"/>
      <c r="S1660" s="648"/>
      <c r="T1660" s="648"/>
      <c r="U1660" s="648"/>
      <c r="V1660" s="648"/>
      <c r="W1660" s="648"/>
      <c r="X1660" s="911"/>
      <c r="Y1660" s="648"/>
      <c r="AA1660" s="1526"/>
      <c r="AB1660" s="648"/>
      <c r="AC1660" s="970"/>
      <c r="AD1660" s="970"/>
      <c r="AE1660" s="970"/>
      <c r="AF1660" s="648"/>
      <c r="AG1660" s="648"/>
      <c r="AH1660" s="648"/>
      <c r="AI1660" s="648"/>
      <c r="AJ1660" s="648"/>
      <c r="AK1660" s="648"/>
      <c r="AL1660" s="1336"/>
      <c r="AM1660" s="1336"/>
      <c r="AN1660" s="1336"/>
      <c r="AO1660" s="1336"/>
      <c r="AP1660" s="1336"/>
      <c r="AQ1660" s="1336"/>
      <c r="AR1660" s="1336"/>
      <c r="AS1660" s="1336"/>
      <c r="AT1660" s="648"/>
      <c r="AU1660" s="648"/>
      <c r="AV1660" s="648"/>
      <c r="AW1660" s="648"/>
      <c r="AX1660" s="663" t="str">
        <f>'Overview (Verification)'!A30</f>
        <v xml:space="preserve">Project Description (optional): </v>
      </c>
      <c r="AY1660" s="752">
        <f>IF(LEN('Overview (Verification)'!P30)=0,0,'Overview (Verification)'!P30)</f>
        <v>0</v>
      </c>
      <c r="AZ1660" s="648"/>
      <c r="BA1660" s="648"/>
      <c r="BB1660" s="648"/>
      <c r="BC1660" s="648"/>
      <c r="BD1660" s="648"/>
      <c r="BE1660" s="648"/>
      <c r="BF1660" s="648"/>
      <c r="BG1660" s="648"/>
      <c r="BH1660" s="648"/>
    </row>
    <row r="1661" spans="1:60" x14ac:dyDescent="0.25">
      <c r="A1661" s="2371">
        <v>8</v>
      </c>
      <c r="B1661" s="2385">
        <v>802.1</v>
      </c>
      <c r="C1661" s="2374"/>
      <c r="D1661" s="2374"/>
      <c r="E1661" s="2374"/>
      <c r="F1661" s="2374"/>
      <c r="G1661" s="2373" t="str">
        <f t="shared" ca="1" si="103"/>
        <v/>
      </c>
      <c r="H1661" s="2371" t="s">
        <v>3971</v>
      </c>
      <c r="I1661" s="64"/>
      <c r="J1661" s="4"/>
      <c r="K1661" s="4"/>
      <c r="L1661" s="1202" t="s">
        <v>4586</v>
      </c>
      <c r="M1661" s="1014"/>
      <c r="N1661" s="1042"/>
      <c r="O1661" s="1506"/>
      <c r="P1661" s="648"/>
      <c r="Q1661" s="648"/>
      <c r="R1661" s="648"/>
      <c r="S1661" s="648"/>
      <c r="T1661" s="648"/>
      <c r="U1661" s="648"/>
      <c r="V1661" s="648"/>
      <c r="W1661" s="648"/>
      <c r="X1661" s="911"/>
      <c r="Y1661" s="648"/>
      <c r="AA1661" s="1526"/>
      <c r="AB1661" s="648"/>
      <c r="AC1661" s="970"/>
      <c r="AD1661" s="970"/>
      <c r="AE1661" s="970"/>
      <c r="AF1661" s="648"/>
      <c r="AG1661" s="648"/>
      <c r="AH1661" s="648"/>
      <c r="AI1661" s="648"/>
      <c r="AJ1661" s="648"/>
      <c r="AK1661" s="648"/>
      <c r="AL1661" s="1336"/>
      <c r="AM1661" s="1336"/>
      <c r="AN1661" s="1336"/>
      <c r="AO1661" s="1336"/>
      <c r="AP1661" s="1336"/>
      <c r="AQ1661" s="1336"/>
      <c r="AR1661" s="1336"/>
      <c r="AS1661" s="1336"/>
      <c r="AT1661" s="648"/>
      <c r="AU1661" s="648"/>
      <c r="AV1661" s="648"/>
      <c r="AW1661" s="648"/>
      <c r="AX1661" s="648"/>
      <c r="AY1661" s="752"/>
      <c r="AZ1661" s="648"/>
      <c r="BA1661" s="648"/>
      <c r="BB1661" s="648"/>
      <c r="BC1661" s="648"/>
      <c r="BD1661" s="648"/>
      <c r="BE1661" s="648"/>
      <c r="BF1661" s="648"/>
      <c r="BG1661" s="648"/>
      <c r="BH1661" s="648"/>
    </row>
    <row r="1662" spans="1:60" x14ac:dyDescent="0.25">
      <c r="A1662" s="2371">
        <v>8</v>
      </c>
      <c r="B1662" s="2385">
        <v>802.1</v>
      </c>
      <c r="C1662" s="2374"/>
      <c r="D1662" s="2374"/>
      <c r="E1662" s="2374"/>
      <c r="F1662" s="2374"/>
      <c r="G1662" s="2373" t="str">
        <f t="shared" ca="1" si="103"/>
        <v/>
      </c>
      <c r="H1662" s="2371" t="s">
        <v>3971</v>
      </c>
      <c r="I1662" s="64"/>
      <c r="J1662" s="4"/>
      <c r="K1662" s="4"/>
      <c r="L1662" s="1202" t="s">
        <v>4587</v>
      </c>
      <c r="M1662" s="1014"/>
      <c r="N1662" s="1042"/>
      <c r="O1662" s="1506"/>
      <c r="P1662" s="648"/>
      <c r="Q1662" s="648"/>
      <c r="R1662" s="648"/>
      <c r="S1662" s="648"/>
      <c r="T1662" s="648"/>
      <c r="U1662" s="648"/>
      <c r="V1662" s="648"/>
      <c r="W1662" s="648"/>
      <c r="X1662" s="911"/>
      <c r="Y1662" s="648"/>
      <c r="AA1662" s="1526"/>
      <c r="AB1662" s="648"/>
      <c r="AC1662" s="970"/>
      <c r="AD1662" s="970"/>
      <c r="AE1662" s="970"/>
      <c r="AF1662" s="648"/>
      <c r="AG1662" s="648"/>
      <c r="AH1662" s="648"/>
      <c r="AI1662" s="648"/>
      <c r="AJ1662" s="648"/>
      <c r="AK1662" s="648"/>
      <c r="AL1662" s="1336"/>
      <c r="AM1662" s="1336"/>
      <c r="AN1662" s="1336"/>
      <c r="AO1662" s="1336"/>
      <c r="AP1662" s="1336"/>
      <c r="AQ1662" s="1336"/>
      <c r="AR1662" s="1336"/>
      <c r="AS1662" s="1336"/>
      <c r="AT1662" s="648"/>
      <c r="AU1662" s="648"/>
      <c r="AV1662" s="648"/>
      <c r="AW1662" s="648"/>
      <c r="AX1662" s="663" t="str">
        <f>'Overview (Verification)'!A32</f>
        <v>Foundation Type:</v>
      </c>
      <c r="AY1662" s="752">
        <f>IF(LEN('Overview (Verification)'!P32)=0,0,'Overview (Verification)'!P32)</f>
        <v>0</v>
      </c>
      <c r="AZ1662" s="648"/>
      <c r="BA1662" s="648"/>
      <c r="BB1662" s="648"/>
      <c r="BC1662" s="648"/>
      <c r="BD1662" s="648"/>
      <c r="BE1662" s="648"/>
      <c r="BF1662" s="648"/>
      <c r="BG1662" s="648"/>
      <c r="BH1662" s="648"/>
    </row>
    <row r="1663" spans="1:60" x14ac:dyDescent="0.25">
      <c r="A1663" s="2371">
        <v>8</v>
      </c>
      <c r="B1663" s="2385">
        <v>802.1</v>
      </c>
      <c r="C1663" s="2374" t="s">
        <v>256</v>
      </c>
      <c r="D1663" s="2374"/>
      <c r="E1663" s="2374"/>
      <c r="F1663" s="2397"/>
      <c r="G1663" s="2373" t="str">
        <f t="shared" ca="1" si="103"/>
        <v/>
      </c>
      <c r="H1663" s="2371" t="s">
        <v>3971</v>
      </c>
      <c r="I1663" s="64"/>
      <c r="J1663" s="183" t="s">
        <v>256</v>
      </c>
      <c r="K1663" s="129"/>
      <c r="L1663" s="1754" t="s">
        <v>777</v>
      </c>
      <c r="M1663" s="1758">
        <v>8</v>
      </c>
      <c r="N1663" s="1042"/>
      <c r="O1663" s="1506"/>
      <c r="P1663" s="648"/>
      <c r="Q1663" s="648"/>
      <c r="R1663" s="648"/>
      <c r="S1663" s="648"/>
      <c r="T1663" s="648"/>
      <c r="U1663" s="648"/>
      <c r="V1663" s="648"/>
      <c r="W1663" s="648"/>
      <c r="X1663" s="1757"/>
      <c r="Y1663" s="2081" t="str">
        <f>IF(LEN('Ch8'!X34)=0,"None",'Ch8'!X34)</f>
        <v>None</v>
      </c>
      <c r="Z1663" s="2083"/>
      <c r="AA1663" s="1526"/>
      <c r="AB1663" s="648"/>
      <c r="AC1663" s="970"/>
      <c r="AD1663" s="970"/>
      <c r="AE1663" s="970"/>
      <c r="AF1663" s="648"/>
      <c r="AG1663" s="648"/>
      <c r="AH1663" s="648"/>
      <c r="AI1663" s="648"/>
      <c r="AJ1663" s="648"/>
      <c r="AK1663" s="648"/>
      <c r="AL1663" s="254" t="str">
        <f>SUBSTITUTE(SUBSTITUTE(SUBSTITUTE("vpa"&amp;$B1663&amp;$C1663&amp;$D1663&amp;$E1663,".","_"),"(","_"),")","")</f>
        <v>vpa802_1_1</v>
      </c>
      <c r="AM1663" s="254">
        <f>M1663</f>
        <v>8</v>
      </c>
      <c r="AN1663" s="1336"/>
      <c r="AO1663" s="1336"/>
      <c r="AP1663" s="1336"/>
      <c r="AQ1663" s="1336"/>
      <c r="AR1663" s="254" t="str">
        <f>SUBSTITUTE(SUBSTITUTE(SUBSTITUTE("vnt"&amp;$B1663&amp;$C1663&amp;$D1663&amp;$E1663,".","_"),"(","_"),")","")</f>
        <v>vnt802_1_1</v>
      </c>
      <c r="AS1663" s="254" t="str">
        <f>IF(LEN(X1663)=0,"",X1663)</f>
        <v/>
      </c>
      <c r="AT1663" s="648"/>
      <c r="AU1663" s="648"/>
      <c r="AV1663" s="648"/>
      <c r="AW1663" s="648"/>
      <c r="AX1663" s="649"/>
      <c r="AY1663" s="752"/>
      <c r="AZ1663" s="648"/>
      <c r="BA1663" s="648"/>
      <c r="BB1663" s="648"/>
      <c r="BC1663" s="648"/>
      <c r="BD1663" s="648"/>
      <c r="BE1663" s="648"/>
      <c r="BF1663" s="648"/>
      <c r="BG1663" s="648"/>
      <c r="BH1663" s="648"/>
    </row>
    <row r="1664" spans="1:60" x14ac:dyDescent="0.25">
      <c r="A1664" s="2371">
        <v>8</v>
      </c>
      <c r="B1664" s="2385">
        <v>802.1</v>
      </c>
      <c r="C1664" s="2374" t="s">
        <v>256</v>
      </c>
      <c r="D1664" s="2374"/>
      <c r="E1664" s="2374"/>
      <c r="F1664" s="2397"/>
      <c r="G1664" s="2373" t="str">
        <f t="shared" ca="1" si="103"/>
        <v/>
      </c>
      <c r="H1664" s="2371" t="s">
        <v>3971</v>
      </c>
      <c r="I1664" s="64"/>
      <c r="J1664" s="206"/>
      <c r="K1664" s="210"/>
      <c r="L1664" s="1755"/>
      <c r="M1664" s="1759"/>
      <c r="N1664" s="1042"/>
      <c r="O1664" s="1506"/>
      <c r="P1664" s="648"/>
      <c r="Q1664" s="648"/>
      <c r="R1664" s="648"/>
      <c r="S1664" s="648"/>
      <c r="T1664" s="648"/>
      <c r="U1664" s="648"/>
      <c r="V1664" s="648"/>
      <c r="W1664" s="648"/>
      <c r="X1664" s="1757"/>
      <c r="Y1664" s="2081"/>
      <c r="Z1664" s="2083"/>
      <c r="AA1664" s="1526"/>
      <c r="AB1664" s="648"/>
      <c r="AC1664" s="970"/>
      <c r="AD1664" s="970"/>
      <c r="AE1664" s="970"/>
      <c r="AF1664" s="648"/>
      <c r="AG1664" s="648"/>
      <c r="AH1664" s="648"/>
      <c r="AI1664" s="648"/>
      <c r="AJ1664" s="648"/>
      <c r="AK1664" s="648"/>
      <c r="AL1664" s="1336"/>
      <c r="AM1664" s="1336"/>
      <c r="AN1664" s="1336"/>
      <c r="AO1664" s="1336"/>
      <c r="AP1664" s="1336"/>
      <c r="AQ1664" s="1336"/>
      <c r="AR1664" s="1336"/>
      <c r="AS1664" s="1336"/>
      <c r="AT1664" s="648"/>
      <c r="AU1664" s="648"/>
      <c r="AV1664" s="648"/>
      <c r="AW1664" s="648"/>
      <c r="AX1664" s="663" t="str">
        <f>'Overview (Verification)'!A34</f>
        <v>Type of Heating System (main system):</v>
      </c>
      <c r="AY1664" s="752">
        <f>IF(LEN('Overview (Verification)'!P34)=0,0,'Overview (Verification)'!P34)</f>
        <v>0</v>
      </c>
      <c r="AZ1664" s="648"/>
      <c r="BA1664" s="648"/>
      <c r="BB1664" s="648"/>
      <c r="BC1664" s="648"/>
      <c r="BD1664" s="648"/>
      <c r="BE1664" s="648"/>
      <c r="BF1664" s="648"/>
      <c r="BG1664" s="648"/>
      <c r="BH1664" s="648"/>
    </row>
    <row r="1665" spans="1:60" x14ac:dyDescent="0.25">
      <c r="A1665" s="2371">
        <v>8</v>
      </c>
      <c r="B1665" s="2385">
        <v>802.1</v>
      </c>
      <c r="C1665" s="2374" t="s">
        <v>258</v>
      </c>
      <c r="D1665" s="2374"/>
      <c r="E1665" s="2374"/>
      <c r="F1665" s="2397"/>
      <c r="G1665" s="2373" t="str">
        <f t="shared" ca="1" si="103"/>
        <v/>
      </c>
      <c r="H1665" s="2371" t="s">
        <v>3971</v>
      </c>
      <c r="I1665" s="64"/>
      <c r="J1665" s="183" t="s">
        <v>258</v>
      </c>
      <c r="K1665" s="129"/>
      <c r="L1665" s="1754" t="s">
        <v>778</v>
      </c>
      <c r="M1665" s="1758">
        <v>12</v>
      </c>
      <c r="N1665" s="1042"/>
      <c r="O1665" s="1506"/>
      <c r="P1665" s="648"/>
      <c r="Q1665" s="648"/>
      <c r="R1665" s="648"/>
      <c r="S1665" s="648"/>
      <c r="T1665" s="648"/>
      <c r="U1665" s="648"/>
      <c r="V1665" s="648"/>
      <c r="W1665" s="648"/>
      <c r="X1665" s="1757"/>
      <c r="Y1665" s="2081"/>
      <c r="Z1665" s="2083"/>
      <c r="AA1665" s="1526"/>
      <c r="AB1665" s="648"/>
      <c r="AC1665" s="970"/>
      <c r="AD1665" s="970"/>
      <c r="AE1665" s="970"/>
      <c r="AF1665" s="648"/>
      <c r="AG1665" s="648"/>
      <c r="AH1665" s="648"/>
      <c r="AI1665" s="648"/>
      <c r="AJ1665" s="648"/>
      <c r="AK1665" s="648"/>
      <c r="AL1665" s="254" t="str">
        <f>SUBSTITUTE(SUBSTITUTE(SUBSTITUTE("vpa"&amp;$B1665&amp;$C1665&amp;$D1665&amp;$E1665,".","_"),"(","_"),")","")</f>
        <v>vpa802_1_2</v>
      </c>
      <c r="AM1665" s="254">
        <f>M1665</f>
        <v>12</v>
      </c>
      <c r="AN1665" s="1336"/>
      <c r="AO1665" s="1336"/>
      <c r="AP1665" s="1336"/>
      <c r="AQ1665" s="1336"/>
      <c r="AR1665" s="1336"/>
      <c r="AS1665" s="1336"/>
      <c r="AT1665" s="648"/>
      <c r="AU1665" s="648"/>
      <c r="AV1665" s="648"/>
      <c r="AW1665" s="648"/>
      <c r="AX1665" s="663" t="str">
        <f>'Overview (Verification)'!A35</f>
        <v>Type of Heating System (system 2):</v>
      </c>
      <c r="AY1665" s="752">
        <f>IF(LEN('Overview (Verification)'!P35)=0,0,'Overview (Verification)'!P35)</f>
        <v>0</v>
      </c>
      <c r="AZ1665" s="648"/>
      <c r="BA1665" s="648"/>
      <c r="BB1665" s="648"/>
      <c r="BC1665" s="648"/>
      <c r="BD1665" s="648"/>
      <c r="BE1665" s="648"/>
      <c r="BF1665" s="648"/>
      <c r="BG1665" s="648"/>
      <c r="BH1665" s="648"/>
    </row>
    <row r="1666" spans="1:60" x14ac:dyDescent="0.25">
      <c r="A1666" s="2371">
        <v>8</v>
      </c>
      <c r="B1666" s="2385">
        <v>802.1</v>
      </c>
      <c r="C1666" s="2374" t="s">
        <v>258</v>
      </c>
      <c r="D1666" s="2374"/>
      <c r="E1666" s="2374"/>
      <c r="F1666" s="2397"/>
      <c r="G1666" s="2373" t="str">
        <f t="shared" ca="1" si="103"/>
        <v/>
      </c>
      <c r="H1666" s="2371" t="s">
        <v>3971</v>
      </c>
      <c r="I1666" s="64"/>
      <c r="J1666" s="206"/>
      <c r="K1666" s="210"/>
      <c r="L1666" s="1755"/>
      <c r="M1666" s="1759"/>
      <c r="N1666" s="1042"/>
      <c r="O1666" s="1506"/>
      <c r="P1666" s="648"/>
      <c r="Q1666" s="648"/>
      <c r="R1666" s="648"/>
      <c r="S1666" s="648"/>
      <c r="T1666" s="648"/>
      <c r="U1666" s="648"/>
      <c r="V1666" s="648"/>
      <c r="W1666" s="648"/>
      <c r="X1666" s="1757"/>
      <c r="Y1666" s="2081"/>
      <c r="Z1666" s="2083"/>
      <c r="AA1666" s="1526"/>
      <c r="AB1666" s="648"/>
      <c r="AC1666" s="970"/>
      <c r="AD1666" s="970"/>
      <c r="AE1666" s="970"/>
      <c r="AF1666" s="648"/>
      <c r="AG1666" s="648"/>
      <c r="AH1666" s="648"/>
      <c r="AI1666" s="648"/>
      <c r="AJ1666" s="648"/>
      <c r="AK1666" s="648"/>
      <c r="AL1666" s="1336"/>
      <c r="AM1666" s="1336"/>
      <c r="AN1666" s="1336"/>
      <c r="AO1666" s="1336"/>
      <c r="AP1666" s="1336"/>
      <c r="AQ1666" s="1336"/>
      <c r="AR1666" s="1336"/>
      <c r="AS1666" s="1336"/>
      <c r="AT1666" s="648"/>
      <c r="AU1666" s="648"/>
      <c r="AV1666" s="648"/>
      <c r="AW1666" s="648"/>
      <c r="AX1666" s="663" t="str">
        <f>'Overview (Verification)'!A36</f>
        <v>Type of Heating System (system 3):</v>
      </c>
      <c r="AY1666" s="752">
        <f>IF(LEN('Overview (Verification)'!P36)=0,0,'Overview (Verification)'!P36)</f>
        <v>0</v>
      </c>
      <c r="AZ1666" s="648"/>
      <c r="BA1666" s="648"/>
      <c r="BB1666" s="648"/>
      <c r="BC1666" s="648"/>
      <c r="BD1666" s="648"/>
      <c r="BE1666" s="648"/>
      <c r="BF1666" s="648"/>
      <c r="BG1666" s="648"/>
      <c r="BH1666" s="648"/>
    </row>
    <row r="1667" spans="1:60" x14ac:dyDescent="0.25">
      <c r="A1667" s="2371">
        <v>8</v>
      </c>
      <c r="B1667" s="2385">
        <v>802.1</v>
      </c>
      <c r="C1667" s="2374" t="s">
        <v>260</v>
      </c>
      <c r="D1667" s="2374"/>
      <c r="E1667" s="2374"/>
      <c r="F1667" s="2397"/>
      <c r="G1667" s="2373" t="str">
        <f t="shared" ca="1" si="103"/>
        <v/>
      </c>
      <c r="H1667" s="2371" t="s">
        <v>3971</v>
      </c>
      <c r="I1667" s="64"/>
      <c r="J1667" s="183" t="s">
        <v>260</v>
      </c>
      <c r="K1667" s="129"/>
      <c r="L1667" s="1754" t="s">
        <v>779</v>
      </c>
      <c r="M1667" s="1758">
        <v>20</v>
      </c>
      <c r="N1667" s="1042"/>
      <c r="O1667" s="1506"/>
      <c r="P1667" s="648"/>
      <c r="Q1667" s="648"/>
      <c r="R1667" s="648"/>
      <c r="S1667" s="648"/>
      <c r="T1667" s="648"/>
      <c r="U1667" s="648"/>
      <c r="V1667" s="648"/>
      <c r="W1667" s="648"/>
      <c r="X1667" s="1757"/>
      <c r="Y1667" s="2081"/>
      <c r="Z1667" s="2083"/>
      <c r="AA1667" s="1526"/>
      <c r="AB1667" s="648"/>
      <c r="AC1667" s="970"/>
      <c r="AD1667" s="970"/>
      <c r="AE1667" s="970"/>
      <c r="AF1667" s="648"/>
      <c r="AG1667" s="648"/>
      <c r="AH1667" s="648"/>
      <c r="AI1667" s="648"/>
      <c r="AJ1667" s="648"/>
      <c r="AK1667" s="648"/>
      <c r="AL1667" s="254" t="str">
        <f>SUBSTITUTE(SUBSTITUTE(SUBSTITUTE("vpa"&amp;$B1667&amp;$C1667&amp;$D1667&amp;$E1667,".","_"),"(","_"),")","")</f>
        <v>vpa802_1_3</v>
      </c>
      <c r="AM1667" s="254">
        <f>M1667</f>
        <v>20</v>
      </c>
      <c r="AN1667" s="1336"/>
      <c r="AO1667" s="1336"/>
      <c r="AP1667" s="1336"/>
      <c r="AQ1667" s="1336"/>
      <c r="AR1667" s="1336"/>
      <c r="AS1667" s="1336"/>
      <c r="AT1667" s="648"/>
      <c r="AU1667" s="648"/>
      <c r="AV1667" s="648"/>
      <c r="AW1667" s="648"/>
      <c r="AX1667" s="663" t="str">
        <f>'Overview (Verification)'!A37</f>
        <v>Primary Heating Fuel:</v>
      </c>
      <c r="AY1667" s="752">
        <f>IF(LEN('Overview (Verification)'!P37)=0,0,'Overview (Verification)'!P37)</f>
        <v>0</v>
      </c>
      <c r="AZ1667" s="648"/>
      <c r="BA1667" s="648"/>
      <c r="BB1667" s="648"/>
      <c r="BC1667" s="648"/>
      <c r="BD1667" s="648"/>
      <c r="BE1667" s="648"/>
      <c r="BF1667" s="648"/>
      <c r="BG1667" s="648"/>
      <c r="BH1667" s="648"/>
    </row>
    <row r="1668" spans="1:60" x14ac:dyDescent="0.25">
      <c r="A1668" s="2371">
        <v>8</v>
      </c>
      <c r="B1668" s="2385">
        <v>802.1</v>
      </c>
      <c r="C1668" s="2374" t="s">
        <v>260</v>
      </c>
      <c r="D1668" s="2374"/>
      <c r="E1668" s="2374"/>
      <c r="F1668" s="2397"/>
      <c r="G1668" s="2373" t="str">
        <f t="shared" ca="1" si="103"/>
        <v/>
      </c>
      <c r="H1668" s="2371" t="s">
        <v>3971</v>
      </c>
      <c r="I1668" s="64"/>
      <c r="J1668" s="206"/>
      <c r="K1668" s="210"/>
      <c r="L1668" s="1755"/>
      <c r="M1668" s="1759"/>
      <c r="N1668" s="1042"/>
      <c r="O1668" s="1506"/>
      <c r="P1668" s="648"/>
      <c r="Q1668" s="648"/>
      <c r="R1668" s="648"/>
      <c r="S1668" s="648"/>
      <c r="T1668" s="648"/>
      <c r="U1668" s="648"/>
      <c r="V1668" s="648"/>
      <c r="W1668" s="648"/>
      <c r="X1668" s="1757"/>
      <c r="Y1668" s="2081"/>
      <c r="Z1668" s="2083"/>
      <c r="AA1668" s="1526"/>
      <c r="AB1668" s="648"/>
      <c r="AC1668" s="970"/>
      <c r="AD1668" s="970"/>
      <c r="AE1668" s="970"/>
      <c r="AF1668" s="648"/>
      <c r="AG1668" s="648"/>
      <c r="AH1668" s="648"/>
      <c r="AI1668" s="648"/>
      <c r="AJ1668" s="648"/>
      <c r="AK1668" s="648"/>
      <c r="AL1668" s="1336"/>
      <c r="AM1668" s="1336"/>
      <c r="AN1668" s="1336"/>
      <c r="AO1668" s="1336"/>
      <c r="AP1668" s="1336"/>
      <c r="AQ1668" s="1336"/>
      <c r="AR1668" s="1336"/>
      <c r="AS1668" s="1336"/>
      <c r="AT1668" s="648"/>
      <c r="AU1668" s="648"/>
      <c r="AV1668" s="648"/>
      <c r="AW1668" s="648"/>
      <c r="AX1668" s="663" t="str">
        <f>'Overview (Verification)'!A38</f>
        <v>Heating Ducts:</v>
      </c>
      <c r="AY1668" s="752">
        <f>IF(LEN('Overview (Verification)'!P38)=0,0,'Overview (Verification)'!P38)</f>
        <v>0</v>
      </c>
      <c r="AZ1668" s="648"/>
      <c r="BA1668" s="648"/>
      <c r="BB1668" s="648"/>
      <c r="BC1668" s="648"/>
      <c r="BD1668" s="648"/>
      <c r="BE1668" s="648"/>
      <c r="BF1668" s="648"/>
      <c r="BG1668" s="648"/>
      <c r="BH1668" s="648"/>
    </row>
    <row r="1669" spans="1:60" x14ac:dyDescent="0.25">
      <c r="A1669" s="2371">
        <v>8</v>
      </c>
      <c r="B1669" s="2385">
        <v>802.1</v>
      </c>
      <c r="C1669" s="2374" t="s">
        <v>269</v>
      </c>
      <c r="D1669" s="2374"/>
      <c r="E1669" s="2374"/>
      <c r="F1669" s="2397"/>
      <c r="G1669" s="2373" t="str">
        <f t="shared" ca="1" si="103"/>
        <v/>
      </c>
      <c r="H1669" s="2371" t="s">
        <v>3971</v>
      </c>
      <c r="I1669" s="64"/>
      <c r="J1669" s="27" t="s">
        <v>269</v>
      </c>
      <c r="K1669" s="4"/>
      <c r="L1669" s="1779" t="s">
        <v>780</v>
      </c>
      <c r="M1669" s="1767">
        <v>24</v>
      </c>
      <c r="N1669" s="1042"/>
      <c r="O1669" s="1506"/>
      <c r="P1669" s="648"/>
      <c r="Q1669" s="648"/>
      <c r="R1669" s="648"/>
      <c r="S1669" s="648"/>
      <c r="T1669" s="648"/>
      <c r="U1669" s="648"/>
      <c r="V1669" s="648"/>
      <c r="W1669" s="648"/>
      <c r="X1669" s="1757"/>
      <c r="Y1669" s="2081"/>
      <c r="Z1669" s="2083"/>
      <c r="AA1669" s="1526"/>
      <c r="AB1669" s="648"/>
      <c r="AC1669" s="970"/>
      <c r="AD1669" s="970"/>
      <c r="AE1669" s="970"/>
      <c r="AF1669" s="648"/>
      <c r="AG1669" s="648"/>
      <c r="AH1669" s="648"/>
      <c r="AI1669" s="648"/>
      <c r="AJ1669" s="648"/>
      <c r="AK1669" s="648"/>
      <c r="AL1669" s="254" t="str">
        <f>SUBSTITUTE(SUBSTITUTE(SUBSTITUTE("vpa"&amp;$B1669&amp;$C1669&amp;$D1669&amp;$E1669,".","_"),"(","_"),")","")</f>
        <v>vpa802_1_4</v>
      </c>
      <c r="AM1669" s="254">
        <f>M1669</f>
        <v>24</v>
      </c>
      <c r="AN1669" s="1336"/>
      <c r="AO1669" s="1336"/>
      <c r="AP1669" s="1336"/>
      <c r="AQ1669" s="1336"/>
      <c r="AR1669" s="1336"/>
      <c r="AS1669" s="1336"/>
      <c r="AT1669" s="648"/>
      <c r="AU1669" s="648"/>
      <c r="AV1669" s="648"/>
      <c r="AW1669" s="648"/>
      <c r="AX1669" s="663" t="str">
        <f>'Overview (Verification)'!A39</f>
        <v>Type of Cooling System (main system):</v>
      </c>
      <c r="AY1669" s="752">
        <f>IF(LEN('Overview (Verification)'!P39)=0,0,'Overview (Verification)'!P39)</f>
        <v>0</v>
      </c>
      <c r="AZ1669" s="648"/>
      <c r="BA1669" s="648"/>
      <c r="BB1669" s="648"/>
      <c r="BC1669" s="648"/>
      <c r="BD1669" s="648"/>
      <c r="BE1669" s="648"/>
      <c r="BF1669" s="648"/>
      <c r="BG1669" s="648"/>
      <c r="BH1669" s="648"/>
    </row>
    <row r="1670" spans="1:60" x14ac:dyDescent="0.25">
      <c r="A1670" s="2371">
        <v>8</v>
      </c>
      <c r="B1670" s="2385">
        <v>802.1</v>
      </c>
      <c r="C1670" s="2374" t="s">
        <v>269</v>
      </c>
      <c r="D1670" s="2374"/>
      <c r="E1670" s="2374"/>
      <c r="F1670" s="2397"/>
      <c r="G1670" s="2373" t="str">
        <f t="shared" ca="1" si="103"/>
        <v/>
      </c>
      <c r="H1670" s="2371" t="s">
        <v>3971</v>
      </c>
      <c r="I1670" s="64"/>
      <c r="J1670" s="4"/>
      <c r="K1670" s="4"/>
      <c r="L1670" s="1779"/>
      <c r="M1670" s="1767"/>
      <c r="N1670" s="1042"/>
      <c r="O1670" s="1506"/>
      <c r="P1670" s="648"/>
      <c r="Q1670" s="648"/>
      <c r="R1670" s="648"/>
      <c r="S1670" s="648"/>
      <c r="T1670" s="648"/>
      <c r="U1670" s="648"/>
      <c r="V1670" s="648"/>
      <c r="W1670" s="648"/>
      <c r="X1670" s="1757"/>
      <c r="Y1670" s="2081"/>
      <c r="Z1670" s="2083"/>
      <c r="AA1670" s="1526"/>
      <c r="AB1670" s="648"/>
      <c r="AC1670" s="970"/>
      <c r="AD1670" s="970"/>
      <c r="AE1670" s="970"/>
      <c r="AF1670" s="648"/>
      <c r="AG1670" s="648"/>
      <c r="AH1670" s="648"/>
      <c r="AI1670" s="648"/>
      <c r="AJ1670" s="648"/>
      <c r="AK1670" s="648"/>
      <c r="AL1670" s="1336"/>
      <c r="AM1670" s="1336"/>
      <c r="AN1670" s="1336"/>
      <c r="AO1670" s="1336"/>
      <c r="AP1670" s="1336"/>
      <c r="AQ1670" s="1336"/>
      <c r="AR1670" s="1336"/>
      <c r="AS1670" s="1336"/>
      <c r="AT1670" s="648"/>
      <c r="AU1670" s="648"/>
      <c r="AV1670" s="648"/>
      <c r="AW1670" s="648"/>
      <c r="AX1670" s="663" t="str">
        <f>'Overview (Verification)'!A40</f>
        <v>Type of Cooling System (system 2):</v>
      </c>
      <c r="AY1670" s="752">
        <f>IF(LEN('Overview (Verification)'!P40)=0,0,'Overview (Verification)'!P40)</f>
        <v>0</v>
      </c>
      <c r="AZ1670" s="648"/>
      <c r="BA1670" s="648"/>
      <c r="BB1670" s="648"/>
      <c r="BC1670" s="648"/>
      <c r="BD1670" s="648"/>
      <c r="BE1670" s="648"/>
      <c r="BF1670" s="648"/>
      <c r="BG1670" s="648"/>
      <c r="BH1670" s="648"/>
    </row>
    <row r="1671" spans="1:60" x14ac:dyDescent="0.25">
      <c r="A1671" s="2371">
        <v>8</v>
      </c>
      <c r="B1671" s="2385">
        <v>802.1</v>
      </c>
      <c r="C1671" s="2374" t="s">
        <v>269</v>
      </c>
      <c r="D1671" s="2374"/>
      <c r="E1671" s="2374"/>
      <c r="F1671" s="2397"/>
      <c r="G1671" s="2373" t="str">
        <f t="shared" ca="1" si="103"/>
        <v/>
      </c>
      <c r="H1671" s="2371" t="s">
        <v>3971</v>
      </c>
      <c r="I1671" s="64"/>
      <c r="J1671" s="4"/>
      <c r="K1671" s="4"/>
      <c r="L1671" s="1779"/>
      <c r="M1671" s="1767"/>
      <c r="N1671" s="1042"/>
      <c r="O1671" s="1506"/>
      <c r="P1671" s="648"/>
      <c r="Q1671" s="648"/>
      <c r="R1671" s="648"/>
      <c r="S1671" s="648"/>
      <c r="T1671" s="648"/>
      <c r="U1671" s="648"/>
      <c r="V1671" s="648"/>
      <c r="W1671" s="648"/>
      <c r="X1671" s="1757"/>
      <c r="Y1671" s="2081"/>
      <c r="Z1671" s="2083"/>
      <c r="AA1671" s="1526"/>
      <c r="AB1671" s="648"/>
      <c r="AC1671" s="970"/>
      <c r="AD1671" s="970"/>
      <c r="AE1671" s="970"/>
      <c r="AF1671" s="648"/>
      <c r="AG1671" s="648"/>
      <c r="AH1671" s="648"/>
      <c r="AI1671" s="648"/>
      <c r="AJ1671" s="648"/>
      <c r="AK1671" s="648"/>
      <c r="AL1671" s="1336"/>
      <c r="AM1671" s="1336"/>
      <c r="AN1671" s="1336"/>
      <c r="AO1671" s="1336"/>
      <c r="AP1671" s="1336"/>
      <c r="AQ1671" s="1336"/>
      <c r="AR1671" s="1336"/>
      <c r="AS1671" s="1336"/>
      <c r="AT1671" s="648"/>
      <c r="AU1671" s="648"/>
      <c r="AV1671" s="648"/>
      <c r="AW1671" s="648"/>
      <c r="AX1671" s="663" t="str">
        <f>'Overview (Verification)'!A41</f>
        <v>Type of Cooling System (system 3):</v>
      </c>
      <c r="AY1671" s="752">
        <f>IF(LEN('Overview (Verification)'!P41)=0,0,'Overview (Verification)'!P41)</f>
        <v>0</v>
      </c>
      <c r="AZ1671" s="648"/>
      <c r="BA1671" s="648"/>
      <c r="BB1671" s="648"/>
      <c r="BC1671" s="648"/>
      <c r="BD1671" s="648"/>
      <c r="BE1671" s="648"/>
      <c r="BF1671" s="648"/>
      <c r="BG1671" s="648"/>
      <c r="BH1671" s="648"/>
    </row>
    <row r="1672" spans="1:60" x14ac:dyDescent="0.25">
      <c r="A1672" s="2371">
        <v>8</v>
      </c>
      <c r="B1672" s="2385">
        <v>802.1</v>
      </c>
      <c r="C1672" s="2374" t="s">
        <v>269</v>
      </c>
      <c r="D1672" s="2374" t="s">
        <v>121</v>
      </c>
      <c r="E1672" s="2374"/>
      <c r="F1672" s="2397"/>
      <c r="G1672" s="2373" t="str">
        <f t="shared" ca="1" si="103"/>
        <v/>
      </c>
      <c r="H1672" s="2375" t="s">
        <v>3971</v>
      </c>
      <c r="I1672" s="4"/>
      <c r="J1672" s="129"/>
      <c r="K1672" s="183" t="s">
        <v>121</v>
      </c>
      <c r="L1672" s="1754" t="s">
        <v>781</v>
      </c>
      <c r="M1672" s="1758" t="s">
        <v>782</v>
      </c>
      <c r="N1672" s="1042"/>
      <c r="O1672" s="1506"/>
      <c r="P1672" s="648"/>
      <c r="Q1672" s="648"/>
      <c r="R1672" s="648"/>
      <c r="S1672" s="648"/>
      <c r="T1672" s="648"/>
      <c r="U1672" s="648"/>
      <c r="V1672" s="648"/>
      <c r="W1672" s="648"/>
      <c r="X1672" s="1757"/>
      <c r="Y1672" s="2081"/>
      <c r="Z1672" s="2083"/>
      <c r="AA1672" s="1526"/>
      <c r="AB1672" s="648"/>
      <c r="AC1672" s="970"/>
      <c r="AD1672" s="970"/>
      <c r="AE1672" s="970"/>
      <c r="AF1672" s="648"/>
      <c r="AG1672" s="648"/>
      <c r="AH1672" s="648"/>
      <c r="AI1672" s="648"/>
      <c r="AJ1672" s="648"/>
      <c r="AK1672" s="648"/>
      <c r="AL1672" s="254" t="str">
        <f>SUBSTITUTE(SUBSTITUTE(SUBSTITUTE("vpa"&amp;$B1672&amp;$C1672&amp;$D1672&amp;$E1672,".","_"),"(","_"),")","")</f>
        <v>vpa802_1_4_a</v>
      </c>
      <c r="AM1672" s="254" t="str">
        <f>M1672</f>
        <v>4 Additional</v>
      </c>
      <c r="AN1672" s="1336"/>
      <c r="AO1672" s="1336"/>
      <c r="AP1672" s="1336"/>
      <c r="AQ1672" s="1336"/>
      <c r="AR1672" s="1336"/>
      <c r="AS1672" s="1336"/>
      <c r="AT1672" s="648"/>
      <c r="AU1672" s="648"/>
      <c r="AV1672" s="648"/>
      <c r="AW1672" s="648"/>
      <c r="AX1672" s="663" t="str">
        <f>'Overview (Verification)'!A42</f>
        <v>Cooling Ducts:</v>
      </c>
      <c r="AY1672" s="752">
        <f>IF(LEN('Overview (Verification)'!P42)=0,0,'Overview (Verification)'!P42)</f>
        <v>0</v>
      </c>
      <c r="AZ1672" s="648"/>
      <c r="BA1672" s="648"/>
      <c r="BB1672" s="648"/>
      <c r="BC1672" s="648"/>
      <c r="BD1672" s="648"/>
      <c r="BE1672" s="648"/>
      <c r="BF1672" s="648"/>
      <c r="BG1672" s="648"/>
      <c r="BH1672" s="648"/>
    </row>
    <row r="1673" spans="1:60" x14ac:dyDescent="0.25">
      <c r="A1673" s="2371">
        <v>8</v>
      </c>
      <c r="B1673" s="2385">
        <v>802.1</v>
      </c>
      <c r="C1673" s="2374" t="s">
        <v>269</v>
      </c>
      <c r="D1673" s="2374" t="s">
        <v>121</v>
      </c>
      <c r="E1673" s="2374"/>
      <c r="F1673" s="2397"/>
      <c r="G1673" s="2373" t="str">
        <f t="shared" ca="1" si="103"/>
        <v/>
      </c>
      <c r="H1673" s="2375" t="s">
        <v>3971</v>
      </c>
      <c r="I1673" s="64"/>
      <c r="J1673" s="210"/>
      <c r="K1673" s="210"/>
      <c r="L1673" s="1755"/>
      <c r="M1673" s="1759"/>
      <c r="N1673" s="1042"/>
      <c r="O1673" s="1506"/>
      <c r="P1673" s="648"/>
      <c r="Q1673" s="648"/>
      <c r="R1673" s="648"/>
      <c r="S1673" s="648"/>
      <c r="T1673" s="648"/>
      <c r="U1673" s="648"/>
      <c r="V1673" s="648"/>
      <c r="W1673" s="648"/>
      <c r="X1673" s="1757"/>
      <c r="Y1673" s="2081"/>
      <c r="Z1673" s="2083"/>
      <c r="AA1673" s="1526"/>
      <c r="AB1673" s="648"/>
      <c r="AC1673" s="970"/>
      <c r="AD1673" s="970"/>
      <c r="AE1673" s="970"/>
      <c r="AF1673" s="648"/>
      <c r="AG1673" s="648"/>
      <c r="AH1673" s="648"/>
      <c r="AI1673" s="648"/>
      <c r="AJ1673" s="648"/>
      <c r="AK1673" s="648"/>
      <c r="AL1673" s="1336"/>
      <c r="AM1673" s="1336"/>
      <c r="AN1673" s="1336"/>
      <c r="AO1673" s="1336"/>
      <c r="AP1673" s="1336"/>
      <c r="AQ1673" s="1336"/>
      <c r="AR1673" s="1336"/>
      <c r="AS1673" s="1336"/>
      <c r="AT1673" s="648"/>
      <c r="AU1673" s="648"/>
      <c r="AV1673" s="648"/>
      <c r="AW1673" s="648"/>
      <c r="AX1673" s="663"/>
      <c r="AY1673" s="752"/>
      <c r="AZ1673" s="648"/>
      <c r="BA1673" s="648"/>
      <c r="BB1673" s="648"/>
      <c r="BC1673" s="648"/>
      <c r="BD1673" s="648"/>
      <c r="BE1673" s="648"/>
      <c r="BF1673" s="648"/>
      <c r="BG1673" s="648"/>
      <c r="BH1673" s="648"/>
    </row>
    <row r="1674" spans="1:60" x14ac:dyDescent="0.25">
      <c r="A1674" s="2371">
        <v>8</v>
      </c>
      <c r="B1674" s="2385">
        <v>802.1</v>
      </c>
      <c r="C1674" s="2374" t="s">
        <v>275</v>
      </c>
      <c r="D1674" s="2374"/>
      <c r="E1674" s="2374"/>
      <c r="F1674" s="2397"/>
      <c r="G1674" s="2373" t="str">
        <f t="shared" ca="1" si="103"/>
        <v/>
      </c>
      <c r="H1674" s="2371" t="s">
        <v>3971</v>
      </c>
      <c r="I1674" s="64"/>
      <c r="J1674" s="183" t="s">
        <v>275</v>
      </c>
      <c r="K1674" s="129"/>
      <c r="L1674" s="1754" t="s">
        <v>783</v>
      </c>
      <c r="M1674" s="1758">
        <v>9</v>
      </c>
      <c r="N1674" s="1044"/>
      <c r="O1674" s="1504"/>
      <c r="P1674" s="648"/>
      <c r="Q1674" s="648"/>
      <c r="R1674" s="648"/>
      <c r="S1674" s="648"/>
      <c r="T1674" s="648"/>
      <c r="U1674" s="648"/>
      <c r="V1674" s="648"/>
      <c r="W1674" s="648"/>
      <c r="X1674" s="1757"/>
      <c r="Y1674" s="2081" t="str">
        <f>IF(LEN('Ch8'!X45)=0,"None",'Ch8'!X45)</f>
        <v>None</v>
      </c>
      <c r="Z1674" s="2083"/>
      <c r="AA1674" s="1526"/>
      <c r="AB1674" s="648"/>
      <c r="AC1674" s="970"/>
      <c r="AD1674" s="970"/>
      <c r="AE1674" s="970"/>
      <c r="AF1674" s="648"/>
      <c r="AG1674" s="648"/>
      <c r="AH1674" s="648"/>
      <c r="AI1674" s="648"/>
      <c r="AJ1674" s="648"/>
      <c r="AK1674" s="648"/>
      <c r="AL1674" s="254" t="str">
        <f>SUBSTITUTE(SUBSTITUTE(SUBSTITUTE("vpa"&amp;$B1674&amp;$C1674&amp;$D1674&amp;$E1674,".","_"),"(","_"),")","")</f>
        <v>vpa802_1_5</v>
      </c>
      <c r="AM1674" s="254">
        <f>M1674</f>
        <v>9</v>
      </c>
      <c r="AN1674" s="1336"/>
      <c r="AO1674" s="1336"/>
      <c r="AP1674" s="1336"/>
      <c r="AQ1674" s="1336"/>
      <c r="AR1674" s="254" t="str">
        <f>SUBSTITUTE(SUBSTITUTE(SUBSTITUTE("vnt"&amp;$B1674&amp;$C1674&amp;$D1674&amp;$E1674,".","_"),"(","_"),")","")</f>
        <v>vnt802_1_5</v>
      </c>
      <c r="AS1674" s="254" t="str">
        <f>IF(LEN(X1674)=0,"",X1674)</f>
        <v/>
      </c>
      <c r="AT1674" s="648"/>
      <c r="AU1674" s="648"/>
      <c r="AV1674" s="648"/>
      <c r="AW1674" s="648"/>
      <c r="AX1674" s="663" t="str">
        <f>'Overview (Verification)'!A44</f>
        <v>Maximum window and door SHGC:</v>
      </c>
      <c r="AY1674" s="752">
        <f>IF(LEN('Overview (Verification)'!P44)=0,0,'Overview (Verification)'!P44)</f>
        <v>0</v>
      </c>
      <c r="AZ1674" s="648"/>
      <c r="BA1674" s="648"/>
      <c r="BB1674" s="648"/>
      <c r="BC1674" s="648"/>
      <c r="BD1674" s="648"/>
      <c r="BE1674" s="648"/>
      <c r="BF1674" s="648"/>
      <c r="BG1674" s="648"/>
      <c r="BH1674" s="648"/>
    </row>
    <row r="1675" spans="1:60" x14ac:dyDescent="0.25">
      <c r="A1675" s="2371">
        <v>8</v>
      </c>
      <c r="B1675" s="2385">
        <v>802.1</v>
      </c>
      <c r="C1675" s="2374" t="s">
        <v>275</v>
      </c>
      <c r="D1675" s="2374"/>
      <c r="E1675" s="2374"/>
      <c r="F1675" s="2397"/>
      <c r="G1675" s="2373" t="str">
        <f t="shared" ca="1" si="103"/>
        <v/>
      </c>
      <c r="H1675" s="2371" t="s">
        <v>3971</v>
      </c>
      <c r="I1675" s="64"/>
      <c r="J1675" s="129"/>
      <c r="K1675" s="129"/>
      <c r="L1675" s="1754"/>
      <c r="M1675" s="1758"/>
      <c r="N1675" s="1044"/>
      <c r="O1675" s="1504"/>
      <c r="P1675" s="648"/>
      <c r="Q1675" s="648"/>
      <c r="R1675" s="648"/>
      <c r="S1675" s="648"/>
      <c r="T1675" s="648"/>
      <c r="U1675" s="648"/>
      <c r="V1675" s="648"/>
      <c r="W1675" s="648"/>
      <c r="X1675" s="1757"/>
      <c r="Y1675" s="2081"/>
      <c r="Z1675" s="2083"/>
      <c r="AA1675" s="1526"/>
      <c r="AB1675" s="648"/>
      <c r="AC1675" s="970"/>
      <c r="AD1675" s="970"/>
      <c r="AE1675" s="970"/>
      <c r="AF1675" s="648"/>
      <c r="AG1675" s="648"/>
      <c r="AH1675" s="648"/>
      <c r="AI1675" s="648"/>
      <c r="AJ1675" s="648"/>
      <c r="AK1675" s="648"/>
      <c r="AL1675" s="1336"/>
      <c r="AM1675" s="1336"/>
      <c r="AN1675" s="1336"/>
      <c r="AO1675" s="1336"/>
      <c r="AP1675" s="1336"/>
      <c r="AQ1675" s="1336"/>
      <c r="AR1675" s="1336"/>
      <c r="AS1675" s="1336"/>
      <c r="AT1675" s="648"/>
      <c r="AU1675" s="648"/>
      <c r="AV1675" s="648"/>
      <c r="AW1675" s="648"/>
      <c r="AX1675" s="663" t="str">
        <f>'Overview (Verification)'!A45</f>
        <v>Maximum skylight SHGC:</v>
      </c>
      <c r="AY1675" s="752">
        <f>IF(LEN('Overview (Verification)'!P45)=0,0,'Overview (Verification)'!P45)</f>
        <v>0</v>
      </c>
      <c r="AZ1675" s="648"/>
      <c r="BA1675" s="648"/>
      <c r="BB1675" s="648"/>
      <c r="BC1675" s="648"/>
      <c r="BD1675" s="648"/>
      <c r="BE1675" s="648"/>
      <c r="BF1675" s="648"/>
      <c r="BG1675" s="648"/>
      <c r="BH1675" s="648"/>
    </row>
    <row r="1676" spans="1:60" x14ac:dyDescent="0.25">
      <c r="A1676" s="2371">
        <v>8</v>
      </c>
      <c r="B1676" s="2385">
        <v>802.1</v>
      </c>
      <c r="C1676" s="2374" t="s">
        <v>275</v>
      </c>
      <c r="D1676" s="2374"/>
      <c r="E1676" s="2374"/>
      <c r="F1676" s="2397"/>
      <c r="G1676" s="2373" t="str">
        <f t="shared" ca="1" si="103"/>
        <v/>
      </c>
      <c r="H1676" s="2371" t="s">
        <v>3971</v>
      </c>
      <c r="I1676" s="64"/>
      <c r="J1676" s="129"/>
      <c r="K1676" s="129"/>
      <c r="L1676" s="1754"/>
      <c r="M1676" s="1758"/>
      <c r="N1676" s="1044"/>
      <c r="O1676" s="1504"/>
      <c r="P1676" s="648"/>
      <c r="Q1676" s="648"/>
      <c r="R1676" s="648"/>
      <c r="S1676" s="648"/>
      <c r="T1676" s="648"/>
      <c r="U1676" s="648"/>
      <c r="V1676" s="648"/>
      <c r="W1676" s="648"/>
      <c r="X1676" s="1757"/>
      <c r="Y1676" s="2081"/>
      <c r="Z1676" s="2083"/>
      <c r="AA1676" s="1526"/>
      <c r="AB1676" s="648"/>
      <c r="AC1676" s="970"/>
      <c r="AD1676" s="970"/>
      <c r="AE1676" s="970"/>
      <c r="AF1676" s="648"/>
      <c r="AG1676" s="648"/>
      <c r="AH1676" s="648"/>
      <c r="AI1676" s="648"/>
      <c r="AJ1676" s="648"/>
      <c r="AK1676" s="648"/>
      <c r="AL1676" s="1336"/>
      <c r="AM1676" s="1336"/>
      <c r="AN1676" s="1336"/>
      <c r="AO1676" s="1336"/>
      <c r="AP1676" s="1336"/>
      <c r="AQ1676" s="1336"/>
      <c r="AR1676" s="1336"/>
      <c r="AS1676" s="1336"/>
      <c r="AT1676" s="648"/>
      <c r="AU1676" s="648"/>
      <c r="AV1676" s="648"/>
      <c r="AW1676" s="648"/>
      <c r="AX1676" s="663" t="str">
        <f>'Overview (Verification)'!A46</f>
        <v>Maximum window and door U-value:</v>
      </c>
      <c r="AY1676" s="752">
        <f>IF(LEN('Overview (Verification)'!P46)=0,0,'Overview (Verification)'!P46)</f>
        <v>0</v>
      </c>
      <c r="AZ1676" s="648"/>
      <c r="BA1676" s="648"/>
      <c r="BB1676" s="648"/>
      <c r="BC1676" s="648"/>
      <c r="BD1676" s="648"/>
      <c r="BE1676" s="648"/>
      <c r="BF1676" s="648"/>
      <c r="BG1676" s="648"/>
      <c r="BH1676" s="648"/>
    </row>
    <row r="1677" spans="1:60" x14ac:dyDescent="0.25">
      <c r="A1677" s="2371">
        <v>8</v>
      </c>
      <c r="B1677" s="2385">
        <v>802.1</v>
      </c>
      <c r="C1677" s="2374" t="s">
        <v>275</v>
      </c>
      <c r="D1677" s="2374"/>
      <c r="E1677" s="2374"/>
      <c r="F1677" s="2397"/>
      <c r="G1677" s="2373" t="str">
        <f t="shared" ca="1" si="103"/>
        <v/>
      </c>
      <c r="H1677" s="2371" t="s">
        <v>3971</v>
      </c>
      <c r="I1677" s="64"/>
      <c r="J1677" s="129"/>
      <c r="K1677" s="129"/>
      <c r="L1677" s="1754"/>
      <c r="M1677" s="1758"/>
      <c r="N1677" s="1044"/>
      <c r="O1677" s="1504"/>
      <c r="P1677" s="648"/>
      <c r="Q1677" s="648"/>
      <c r="R1677" s="648"/>
      <c r="S1677" s="648"/>
      <c r="T1677" s="648"/>
      <c r="U1677" s="648"/>
      <c r="V1677" s="648"/>
      <c r="W1677" s="648"/>
      <c r="X1677" s="1757"/>
      <c r="Y1677" s="2081"/>
      <c r="Z1677" s="2083"/>
      <c r="AA1677" s="1526"/>
      <c r="AB1677" s="648"/>
      <c r="AC1677" s="970"/>
      <c r="AD1677" s="970"/>
      <c r="AE1677" s="970"/>
      <c r="AF1677" s="648"/>
      <c r="AG1677" s="648"/>
      <c r="AH1677" s="648"/>
      <c r="AI1677" s="648"/>
      <c r="AJ1677" s="648"/>
      <c r="AK1677" s="648"/>
      <c r="AL1677" s="1336"/>
      <c r="AM1677" s="1336"/>
      <c r="AN1677" s="1336"/>
      <c r="AO1677" s="1336"/>
      <c r="AP1677" s="1336"/>
      <c r="AQ1677" s="1336"/>
      <c r="AR1677" s="1336"/>
      <c r="AS1677" s="1336"/>
      <c r="AT1677" s="648"/>
      <c r="AU1677" s="648"/>
      <c r="AV1677" s="648"/>
      <c r="AW1677" s="648"/>
      <c r="AX1677" s="663" t="str">
        <f>'Overview (Verification)'!A47</f>
        <v>Maximum skylight U-value:</v>
      </c>
      <c r="AY1677" s="752">
        <f>IF(LEN('Overview (Verification)'!P47)=0,0,'Overview (Verification)'!P47)</f>
        <v>0</v>
      </c>
      <c r="AZ1677" s="648"/>
      <c r="BA1677" s="648"/>
      <c r="BB1677" s="648"/>
      <c r="BC1677" s="648"/>
      <c r="BD1677" s="648"/>
      <c r="BE1677" s="648"/>
      <c r="BF1677" s="648"/>
      <c r="BG1677" s="648"/>
      <c r="BH1677" s="648"/>
    </row>
    <row r="1678" spans="1:60" x14ac:dyDescent="0.25">
      <c r="A1678" s="2371">
        <v>8</v>
      </c>
      <c r="B1678" s="2385">
        <v>802.1</v>
      </c>
      <c r="C1678" s="2374" t="s">
        <v>275</v>
      </c>
      <c r="D1678" s="2374"/>
      <c r="E1678" s="2374"/>
      <c r="F1678" s="2397"/>
      <c r="G1678" s="2373" t="str">
        <f t="shared" ca="1" si="103"/>
        <v/>
      </c>
      <c r="H1678" s="2371" t="s">
        <v>3971</v>
      </c>
      <c r="I1678" s="64"/>
      <c r="J1678" s="210"/>
      <c r="K1678" s="210"/>
      <c r="L1678" s="1755"/>
      <c r="M1678" s="1759"/>
      <c r="N1678" s="1047"/>
      <c r="O1678" s="1502"/>
      <c r="P1678" s="648"/>
      <c r="Q1678" s="648"/>
      <c r="R1678" s="648"/>
      <c r="S1678" s="648"/>
      <c r="T1678" s="648"/>
      <c r="U1678" s="648"/>
      <c r="V1678" s="648"/>
      <c r="W1678" s="648"/>
      <c r="X1678" s="1757"/>
      <c r="Y1678" s="2081"/>
      <c r="Z1678" s="2083"/>
      <c r="AA1678" s="1526"/>
      <c r="AB1678" s="648"/>
      <c r="AC1678" s="970"/>
      <c r="AD1678" s="970"/>
      <c r="AE1678" s="970"/>
      <c r="AF1678" s="648"/>
      <c r="AG1678" s="648"/>
      <c r="AH1678" s="648"/>
      <c r="AI1678" s="648"/>
      <c r="AJ1678" s="648"/>
      <c r="AK1678" s="648"/>
      <c r="AL1678" s="1336"/>
      <c r="AM1678" s="1336"/>
      <c r="AN1678" s="1336"/>
      <c r="AO1678" s="1336"/>
      <c r="AP1678" s="1336"/>
      <c r="AQ1678" s="1336"/>
      <c r="AR1678" s="1336"/>
      <c r="AS1678" s="1336"/>
      <c r="AT1678" s="648"/>
      <c r="AU1678" s="648"/>
      <c r="AV1678" s="648"/>
      <c r="AW1678" s="648"/>
      <c r="AX1678" s="663" t="str">
        <f>'Overview (Verification)'!A48</f>
        <v>Renewable Energy:</v>
      </c>
      <c r="AY1678" s="752">
        <f>IF(LEN('Overview (Verification)'!P48)=0,0,'Overview (Verification)'!P48)</f>
        <v>0</v>
      </c>
      <c r="AZ1678" s="648"/>
      <c r="BA1678" s="648"/>
      <c r="BB1678" s="648"/>
      <c r="BC1678" s="648"/>
      <c r="BD1678" s="648"/>
      <c r="BE1678" s="648"/>
      <c r="BF1678" s="648"/>
      <c r="BG1678" s="648"/>
      <c r="BH1678" s="648"/>
    </row>
    <row r="1679" spans="1:60" x14ac:dyDescent="0.25">
      <c r="A1679" s="2371">
        <v>8</v>
      </c>
      <c r="B1679" s="2385">
        <v>802.1</v>
      </c>
      <c r="C1679" s="2374" t="s">
        <v>277</v>
      </c>
      <c r="D1679" s="2374"/>
      <c r="E1679" s="2374"/>
      <c r="F1679" s="2397"/>
      <c r="G1679" s="2373" t="str">
        <f ca="1">IF(N1679&gt;0,"P","")</f>
        <v/>
      </c>
      <c r="H1679" s="2371" t="s">
        <v>3971</v>
      </c>
      <c r="I1679" s="130"/>
      <c r="J1679" s="183" t="s">
        <v>277</v>
      </c>
      <c r="K1679" s="129"/>
      <c r="L1679" s="1754" t="s">
        <v>784</v>
      </c>
      <c r="M1679" s="1758" t="s">
        <v>795</v>
      </c>
      <c r="N1679" s="1927">
        <f ca="1">'Ch8'!O50</f>
        <v>0</v>
      </c>
      <c r="O1679" s="1774">
        <f ca="1">1*S1679*W1679</f>
        <v>0</v>
      </c>
      <c r="P1679" s="1500" t="b">
        <v>1</v>
      </c>
      <c r="Q1679" s="1500" t="b">
        <v>1</v>
      </c>
      <c r="R1679" s="94" t="b">
        <v>0</v>
      </c>
      <c r="S1679" s="94" t="b">
        <f ca="1">AND(S1650,NOT(W1650=""),S1643=2)</f>
        <v>0</v>
      </c>
      <c r="T1679" s="94" t="b">
        <f ca="1">IF(AND(NOT(S1679),W1679=TRUE),TRUE,FALSE)</f>
        <v>0</v>
      </c>
      <c r="U1679" s="94"/>
      <c r="V1679" s="94"/>
      <c r="W1679" s="25"/>
      <c r="X1679" s="1757"/>
      <c r="Y1679" s="2081" t="str">
        <f>IF(LEN('Ch8'!X50)=0,"None",'Ch8'!X50)</f>
        <v>None</v>
      </c>
      <c r="Z1679" s="2084"/>
      <c r="AA1679" s="1526"/>
      <c r="AB1679" s="648"/>
      <c r="AC1679" s="970" t="b">
        <f ca="1">OR(AD1679:AE1679)</f>
        <v>0</v>
      </c>
      <c r="AD1679" s="970" t="b">
        <f ca="1">T1679</f>
        <v>0</v>
      </c>
      <c r="AE1679" s="970"/>
      <c r="AF1679" s="784"/>
      <c r="AG1679" s="648"/>
      <c r="AH1679" s="648"/>
      <c r="AI1679" s="648"/>
      <c r="AJ1679" s="648"/>
      <c r="AK1679" s="648"/>
      <c r="AL1679" s="254" t="str">
        <f>SUBSTITUTE(SUBSTITUTE(SUBSTITUTE("vpa"&amp;$B1679&amp;$C1679&amp;$D1679&amp;$E1679,".","_"),"(","_"),")","")</f>
        <v>vpa802_1_6</v>
      </c>
      <c r="AM1679" s="254" t="str">
        <f>M1679</f>
        <v>1 Additional</v>
      </c>
      <c r="AN1679" s="254" t="str">
        <f>SUBSTITUTE(SUBSTITUTE(SUBSTITUTE("vpc"&amp;$B1679&amp;$C1679&amp;$D1679&amp;$E1679,".","_"),"(","_"),")","")</f>
        <v>vpc802_1_6</v>
      </c>
      <c r="AO1679" s="254">
        <f ca="1">O1679</f>
        <v>0</v>
      </c>
      <c r="AP1679" s="254" t="str">
        <f>SUBSTITUTE(SUBSTITUTE(SUBSTITUTE("vch"&amp;$B1679&amp;$C1679&amp;$D1679&amp;$E1679,".","_"),"(","_"),")","")</f>
        <v>vch802_1_6</v>
      </c>
      <c r="AQ1679" s="254" t="str">
        <f>IF(LEN(W1679)=0,"",W1679)</f>
        <v/>
      </c>
      <c r="AR1679" s="254" t="str">
        <f>SUBSTITUTE(SUBSTITUTE(SUBSTITUTE("vnt"&amp;$B1679&amp;$C1679&amp;$D1679&amp;$E1679,".","_"),"(","_"),")","")</f>
        <v>vnt802_1_6</v>
      </c>
      <c r="AS1679" s="254" t="str">
        <f>IF(LEN(X1679)=0,"",X1679)</f>
        <v/>
      </c>
      <c r="AT1679" s="648"/>
      <c r="AU1679" s="648"/>
      <c r="AV1679" s="648"/>
      <c r="AW1679" s="648"/>
      <c r="AX1679" s="663" t="str">
        <f>'Overview (Verification)'!A49</f>
        <v>Thermal Envelope Insulation:</v>
      </c>
      <c r="AY1679" s="752">
        <f>IF(LEN('Overview (Verification)'!P49)=0,0,'Overview (Verification)'!P49)</f>
        <v>0</v>
      </c>
      <c r="AZ1679" s="648"/>
      <c r="BA1679" s="648"/>
      <c r="BB1679" s="648"/>
      <c r="BC1679" s="648"/>
      <c r="BD1679" s="648"/>
      <c r="BE1679" s="648"/>
      <c r="BF1679" s="648"/>
      <c r="BG1679" s="648"/>
      <c r="BH1679" s="648"/>
    </row>
    <row r="1680" spans="1:60" x14ac:dyDescent="0.25">
      <c r="A1680" s="2371">
        <v>8</v>
      </c>
      <c r="B1680" s="2385">
        <v>802.1</v>
      </c>
      <c r="C1680" s="2374" t="s">
        <v>277</v>
      </c>
      <c r="D1680" s="2374"/>
      <c r="E1680" s="2374"/>
      <c r="F1680" s="2397"/>
      <c r="G1680" s="2373" t="str">
        <f ca="1">G1679</f>
        <v/>
      </c>
      <c r="H1680" s="2371" t="s">
        <v>3971</v>
      </c>
      <c r="I1680" s="130"/>
      <c r="J1680" s="129"/>
      <c r="K1680" s="129"/>
      <c r="L1680" s="1754"/>
      <c r="M1680" s="1758"/>
      <c r="N1680" s="1927"/>
      <c r="O1680" s="1774"/>
      <c r="P1680" s="94"/>
      <c r="Q1680" s="94"/>
      <c r="R1680" s="94"/>
      <c r="S1680" s="94"/>
      <c r="T1680" s="94"/>
      <c r="U1680" s="94"/>
      <c r="V1680" s="94"/>
      <c r="W1680" s="94"/>
      <c r="X1680" s="1757"/>
      <c r="Y1680" s="2081"/>
      <c r="Z1680" s="2084"/>
      <c r="AA1680" s="1526"/>
      <c r="AB1680" s="648"/>
      <c r="AC1680" s="970"/>
      <c r="AD1680" s="970"/>
      <c r="AE1680" s="970"/>
      <c r="AF1680" s="648"/>
      <c r="AG1680" s="648"/>
      <c r="AH1680" s="648"/>
      <c r="AI1680" s="648"/>
      <c r="AJ1680" s="648"/>
      <c r="AK1680" s="648"/>
      <c r="AL1680" s="1336"/>
      <c r="AM1680" s="1336"/>
      <c r="AN1680" s="1336"/>
      <c r="AO1680" s="1336"/>
      <c r="AP1680" s="1336"/>
      <c r="AQ1680" s="1336"/>
      <c r="AR1680" s="1336"/>
      <c r="AS1680" s="1336"/>
      <c r="AT1680" s="648"/>
      <c r="AU1680" s="648"/>
      <c r="AV1680" s="648"/>
      <c r="AW1680" s="648"/>
      <c r="AX1680" s="663" t="str">
        <f>'Overview (Verification)'!A50</f>
        <v>Attic Type:</v>
      </c>
      <c r="AY1680" s="752">
        <f>IF(LEN('Overview (Verification)'!P50)=0,0,'Overview (Verification)'!P50)</f>
        <v>0</v>
      </c>
      <c r="AZ1680" s="648"/>
      <c r="BA1680" s="648"/>
      <c r="BB1680" s="648"/>
      <c r="BC1680" s="648"/>
      <c r="BD1680" s="648"/>
      <c r="BE1680" s="648"/>
      <c r="BF1680" s="648"/>
      <c r="BG1680" s="648"/>
      <c r="BH1680" s="648"/>
    </row>
    <row r="1681" spans="1:60" ht="15.75" thickBot="1" x14ac:dyDescent="0.3">
      <c r="A1681" s="2371">
        <v>8</v>
      </c>
      <c r="B1681" s="2385">
        <v>802.1</v>
      </c>
      <c r="C1681" s="2374" t="s">
        <v>277</v>
      </c>
      <c r="D1681" s="2374"/>
      <c r="E1681" s="2374"/>
      <c r="F1681" s="2397"/>
      <c r="G1681" s="2373" t="str">
        <f ca="1">G1680</f>
        <v/>
      </c>
      <c r="H1681" s="2371" t="s">
        <v>3971</v>
      </c>
      <c r="I1681" s="189"/>
      <c r="J1681" s="240"/>
      <c r="K1681" s="240"/>
      <c r="L1681" s="1783"/>
      <c r="M1681" s="1768"/>
      <c r="N1681" s="1928"/>
      <c r="O1681" s="1775"/>
      <c r="P1681" s="99"/>
      <c r="Q1681" s="99"/>
      <c r="R1681" s="99"/>
      <c r="S1681" s="99"/>
      <c r="T1681" s="99"/>
      <c r="U1681" s="99"/>
      <c r="V1681" s="99"/>
      <c r="W1681" s="99"/>
      <c r="X1681" s="1771"/>
      <c r="Y1681" s="2082"/>
      <c r="Z1681" s="2086"/>
      <c r="AA1681" s="1526"/>
      <c r="AB1681" s="648"/>
      <c r="AC1681" s="970"/>
      <c r="AD1681" s="970"/>
      <c r="AE1681" s="970"/>
      <c r="AF1681" s="648"/>
      <c r="AG1681" s="648"/>
      <c r="AH1681" s="648"/>
      <c r="AI1681" s="648"/>
      <c r="AJ1681" s="648"/>
      <c r="AK1681" s="648"/>
      <c r="AL1681" s="1336"/>
      <c r="AM1681" s="1336"/>
      <c r="AN1681" s="1336"/>
      <c r="AO1681" s="1336"/>
      <c r="AP1681" s="1336"/>
      <c r="AQ1681" s="1336"/>
      <c r="AR1681" s="1336"/>
      <c r="AS1681" s="1336"/>
      <c r="AT1681" s="648"/>
      <c r="AU1681" s="648"/>
      <c r="AV1681" s="648"/>
      <c r="AW1681" s="648"/>
      <c r="AX1681" s="663" t="str">
        <f>'Overview (Verification)'!A51</f>
        <v>Attached Garage:</v>
      </c>
      <c r="AY1681" s="752">
        <f>IF(LEN('Overview (Verification)'!P51)=0,0,'Overview (Verification)'!P51)</f>
        <v>0</v>
      </c>
      <c r="AZ1681" s="648"/>
      <c r="BA1681" s="648"/>
      <c r="BB1681" s="648"/>
      <c r="BC1681" s="648"/>
      <c r="BD1681" s="648"/>
      <c r="BE1681" s="648"/>
      <c r="BF1681" s="648"/>
      <c r="BG1681" s="648"/>
      <c r="BH1681" s="648"/>
    </row>
    <row r="1682" spans="1:60" ht="15.75" thickTop="1" x14ac:dyDescent="0.25">
      <c r="A1682" s="2371">
        <v>8</v>
      </c>
      <c r="B1682" s="2385">
        <v>802.2</v>
      </c>
      <c r="C1682" s="2374"/>
      <c r="D1682" s="2374"/>
      <c r="E1682" s="2374"/>
      <c r="F1682" s="2397"/>
      <c r="G1682" s="2363" t="str">
        <f ca="1">IF(COUNTIF(G1684:G1685,"P")&gt;0,"P","")</f>
        <v/>
      </c>
      <c r="H1682" s="2371" t="s">
        <v>3973</v>
      </c>
      <c r="I1682" s="64">
        <v>802.2</v>
      </c>
      <c r="J1682" s="4"/>
      <c r="K1682" s="4"/>
      <c r="L1682" s="1796" t="s">
        <v>4375</v>
      </c>
      <c r="M1682" s="1014"/>
      <c r="N1682" s="1042"/>
      <c r="O1682" s="1506"/>
      <c r="P1682" s="1500"/>
      <c r="Q1682" s="1500"/>
      <c r="R1682" s="1500"/>
      <c r="S1682" s="1500"/>
      <c r="T1682" s="1500"/>
      <c r="U1682" s="648"/>
      <c r="V1682" s="648"/>
      <c r="W1682" s="648"/>
      <c r="X1682" s="911"/>
      <c r="Y1682" s="648"/>
      <c r="AA1682" s="1526"/>
      <c r="AB1682" s="648"/>
      <c r="AC1682" s="970"/>
      <c r="AD1682" s="970"/>
      <c r="AE1682" s="970"/>
      <c r="AF1682" s="648"/>
      <c r="AG1682" s="648"/>
      <c r="AH1682" s="648"/>
      <c r="AI1682" s="648"/>
      <c r="AJ1682" s="648"/>
      <c r="AK1682" s="648"/>
      <c r="AL1682" s="1336"/>
      <c r="AM1682" s="1336"/>
      <c r="AN1682" s="1336"/>
      <c r="AO1682" s="1336"/>
      <c r="AP1682" s="1336"/>
      <c r="AQ1682" s="1336"/>
      <c r="AR1682" s="1336"/>
      <c r="AS1682" s="1336"/>
      <c r="AT1682" s="648"/>
      <c r="AU1682" s="648"/>
      <c r="AV1682" s="648"/>
      <c r="AW1682" s="648"/>
      <c r="AX1682" s="663" t="str">
        <f>'Overview (Verification)'!A52</f>
        <v>Recessed Lighting:</v>
      </c>
      <c r="AY1682" s="752">
        <f>IF(LEN('Overview (Verification)'!P52)=0,0,'Overview (Verification)'!P52)</f>
        <v>0</v>
      </c>
      <c r="AZ1682" s="648"/>
      <c r="BA1682" s="648"/>
      <c r="BB1682" s="648"/>
      <c r="BC1682" s="648"/>
      <c r="BD1682" s="648"/>
      <c r="BE1682" s="648"/>
      <c r="BF1682" s="648"/>
      <c r="BG1682" s="648"/>
      <c r="BH1682" s="648"/>
    </row>
    <row r="1683" spans="1:60" x14ac:dyDescent="0.25">
      <c r="A1683" s="2371">
        <v>8</v>
      </c>
      <c r="B1683" s="2385">
        <v>802.2</v>
      </c>
      <c r="C1683" s="2374"/>
      <c r="D1683" s="2374"/>
      <c r="E1683" s="2374"/>
      <c r="F1683" s="2397"/>
      <c r="G1683" s="2373" t="str">
        <f ca="1">G1682</f>
        <v/>
      </c>
      <c r="H1683" s="2371" t="s">
        <v>3973</v>
      </c>
      <c r="I1683" s="64"/>
      <c r="J1683" s="4"/>
      <c r="K1683" s="4"/>
      <c r="L1683" s="1796"/>
      <c r="M1683" s="1014"/>
      <c r="N1683" s="1042"/>
      <c r="O1683" s="1506"/>
      <c r="P1683" s="1500"/>
      <c r="Q1683" s="1500"/>
      <c r="R1683" s="1500"/>
      <c r="S1683" s="1500"/>
      <c r="T1683" s="1500"/>
      <c r="U1683" s="648"/>
      <c r="V1683" s="648"/>
      <c r="W1683" s="648"/>
      <c r="X1683" s="911"/>
      <c r="Y1683" s="648"/>
      <c r="AA1683" s="1526"/>
      <c r="AB1683" s="648"/>
      <c r="AC1683" s="970"/>
      <c r="AD1683" s="970"/>
      <c r="AE1683" s="970"/>
      <c r="AF1683" s="648"/>
      <c r="AG1683" s="648"/>
      <c r="AH1683" s="648"/>
      <c r="AI1683" s="648"/>
      <c r="AJ1683" s="648"/>
      <c r="AK1683" s="648"/>
      <c r="AL1683" s="1336"/>
      <c r="AM1683" s="1336"/>
      <c r="AN1683" s="1336"/>
      <c r="AO1683" s="1336"/>
      <c r="AP1683" s="1336"/>
      <c r="AQ1683" s="1336"/>
      <c r="AR1683" s="1336"/>
      <c r="AS1683" s="1336"/>
      <c r="AT1683" s="648"/>
      <c r="AU1683" s="648"/>
      <c r="AV1683" s="648"/>
      <c r="AW1683" s="648"/>
      <c r="AX1683" s="649"/>
      <c r="AY1683" s="752"/>
    </row>
    <row r="1684" spans="1:60" x14ac:dyDescent="0.25">
      <c r="A1684" s="2371">
        <v>8</v>
      </c>
      <c r="B1684" s="2385">
        <v>802.2</v>
      </c>
      <c r="C1684" s="2374" t="s">
        <v>256</v>
      </c>
      <c r="D1684" s="2374"/>
      <c r="E1684" s="2374"/>
      <c r="F1684" s="2397"/>
      <c r="G1684" s="2373" t="str">
        <f ca="1">IF(N1684&gt;0,"P","")</f>
        <v/>
      </c>
      <c r="H1684" s="2371" t="s">
        <v>3973</v>
      </c>
      <c r="I1684" s="64"/>
      <c r="J1684" s="206" t="s">
        <v>256</v>
      </c>
      <c r="K1684" s="210"/>
      <c r="L1684" s="1163" t="s">
        <v>785</v>
      </c>
      <c r="M1684" s="1015">
        <v>2</v>
      </c>
      <c r="N1684" s="1047">
        <f ca="1">'Ch8'!O55</f>
        <v>0</v>
      </c>
      <c r="O1684" s="1502">
        <f ca="1">2*S1684*W1684</f>
        <v>0</v>
      </c>
      <c r="P1684" s="94" t="b">
        <v>0</v>
      </c>
      <c r="Q1684" s="1500" t="b">
        <v>1</v>
      </c>
      <c r="R1684" s="1500" t="b">
        <v>0</v>
      </c>
      <c r="S1684" s="1500" t="b">
        <f ca="1">S1643=2</f>
        <v>0</v>
      </c>
      <c r="T1684" s="94" t="b">
        <f ca="1">IF(AND(NOT(S1684),W1684=TRUE),TRUE,FALSE)</f>
        <v>0</v>
      </c>
      <c r="U1684" s="648"/>
      <c r="V1684" s="648"/>
      <c r="W1684" s="25"/>
      <c r="X1684" s="918"/>
      <c r="Y1684" s="988" t="str">
        <f>IF(LEN('Ch8'!X55)=0,"None",'Ch8'!X55)</f>
        <v>None</v>
      </c>
      <c r="Z1684" s="1587"/>
      <c r="AA1684" s="1526"/>
      <c r="AB1684" s="648"/>
      <c r="AC1684" s="970" t="b">
        <f ca="1">OR(AD1684:AE1684)</f>
        <v>0</v>
      </c>
      <c r="AD1684" s="970" t="b">
        <f ca="1">T1684</f>
        <v>0</v>
      </c>
      <c r="AE1684" s="970"/>
      <c r="AF1684" s="784"/>
      <c r="AG1684" s="648"/>
      <c r="AH1684" s="648"/>
      <c r="AI1684" s="648"/>
      <c r="AJ1684" s="648"/>
      <c r="AK1684" s="648"/>
      <c r="AL1684" s="254" t="str">
        <f>SUBSTITUTE(SUBSTITUTE(SUBSTITUTE("vpa"&amp;$B1684&amp;$C1684&amp;$D1684&amp;$E1684,".","_"),"(","_"),")","")</f>
        <v>vpa802_2_1</v>
      </c>
      <c r="AM1684" s="254">
        <f>M1684</f>
        <v>2</v>
      </c>
      <c r="AN1684" s="254" t="str">
        <f>SUBSTITUTE(SUBSTITUTE(SUBSTITUTE("vpc"&amp;$B1684&amp;$C1684&amp;$D1684&amp;$E1684,".","_"),"(","_"),")","")</f>
        <v>vpc802_2_1</v>
      </c>
      <c r="AO1684" s="254">
        <f ca="1">O1684</f>
        <v>0</v>
      </c>
      <c r="AP1684" s="254" t="str">
        <f>SUBSTITUTE(SUBSTITUTE(SUBSTITUTE("vch"&amp;$B1684&amp;$C1684&amp;$D1684&amp;$E1684,".","_"),"(","_"),")","")</f>
        <v>vch802_2_1</v>
      </c>
      <c r="AQ1684" s="254" t="str">
        <f>IF(LEN(W1684)=0,"",W1684)</f>
        <v/>
      </c>
      <c r="AR1684" s="254" t="str">
        <f>SUBSTITUTE(SUBSTITUTE(SUBSTITUTE("vnt"&amp;$B1684&amp;$C1684&amp;$D1684&amp;$E1684,".","_"),"(","_"),")","")</f>
        <v>vnt802_2_1</v>
      </c>
      <c r="AS1684" s="254" t="str">
        <f>IF(LEN(X1684)=0,"",X1684)</f>
        <v/>
      </c>
      <c r="AT1684" s="648"/>
      <c r="AU1684" s="648"/>
      <c r="AV1684" s="648"/>
      <c r="AW1684" s="648"/>
      <c r="AX1684" s="663" t="str">
        <f>'Overview (Verification)'!A54</f>
        <v>Special Design Features:</v>
      </c>
      <c r="AY1684" s="752"/>
    </row>
    <row r="1685" spans="1:60" x14ac:dyDescent="0.25">
      <c r="A1685" s="2371">
        <v>8</v>
      </c>
      <c r="B1685" s="2385">
        <v>802.2</v>
      </c>
      <c r="C1685" s="2374" t="s">
        <v>258</v>
      </c>
      <c r="D1685" s="2374"/>
      <c r="E1685" s="2374"/>
      <c r="F1685" s="2397"/>
      <c r="G1685" s="2373" t="str">
        <f ca="1">IF(N1685&gt;0,"P","")</f>
        <v/>
      </c>
      <c r="H1685" s="2371" t="s">
        <v>3973</v>
      </c>
      <c r="I1685" s="130"/>
      <c r="J1685" s="206" t="s">
        <v>258</v>
      </c>
      <c r="K1685" s="210"/>
      <c r="L1685" s="1163" t="s">
        <v>4399</v>
      </c>
      <c r="M1685" s="1015">
        <v>13</v>
      </c>
      <c r="N1685" s="1927">
        <f ca="1">'Ch8'!O56</f>
        <v>0</v>
      </c>
      <c r="O1685" s="1774">
        <f ca="1">IFERROR(INDEX({13,18},MATCH(W1685,INDIRECT(U1685),0)),0)</f>
        <v>0</v>
      </c>
      <c r="P1685" s="94" t="b">
        <v>0</v>
      </c>
      <c r="Q1685" s="1500" t="b">
        <v>1</v>
      </c>
      <c r="R1685" s="94" t="b">
        <v>0</v>
      </c>
      <c r="S1685" s="94" t="b">
        <f ca="1">S1643=2</f>
        <v>0</v>
      </c>
      <c r="T1685" s="94" t="b">
        <f ca="1">IF(AND(NOT(S1685),LEN(W1685)&gt;0),TRUE,FALSE)</f>
        <v>0</v>
      </c>
      <c r="U1685" s="94" t="str">
        <f>SUBSTITUTE(SUBSTITUTE(SUBSTITUTE("dd"&amp;B1685&amp;C1685&amp;D1685&amp;E1685&amp;F1685,".","_"),"(","_"),")","")</f>
        <v>dd802_2_2</v>
      </c>
      <c r="V1685" s="94"/>
      <c r="W1685" s="12"/>
      <c r="X1685" s="1757"/>
      <c r="Y1685" s="2081" t="str">
        <f>IF(LEN('Ch8'!X56)=0,"None",'Ch8'!X56)</f>
        <v>None</v>
      </c>
      <c r="Z1685" s="2084"/>
      <c r="AA1685" s="1526"/>
      <c r="AB1685" s="648"/>
      <c r="AC1685" s="970" t="b">
        <f ca="1">OR(AD1685:AE1685)</f>
        <v>0</v>
      </c>
      <c r="AD1685" s="970" t="b">
        <f ca="1">T1685</f>
        <v>0</v>
      </c>
      <c r="AE1685" s="970"/>
      <c r="AF1685" s="784"/>
      <c r="AG1685" s="648"/>
      <c r="AH1685" s="648"/>
      <c r="AI1685" s="648"/>
      <c r="AJ1685" s="648"/>
      <c r="AK1685" s="648"/>
      <c r="AL1685" s="254" t="str">
        <f>SUBSTITUTE(SUBSTITUTE(SUBSTITUTE("vpa"&amp;$B1685&amp;$C1685&amp;$D1685&amp;$E1685,".","_"),"(","_"),")","")</f>
        <v>vpa802_2_2</v>
      </c>
      <c r="AM1685" s="254">
        <f>M1685</f>
        <v>13</v>
      </c>
      <c r="AN1685" s="254" t="str">
        <f>SUBSTITUTE(SUBSTITUTE(SUBSTITUTE("vpc"&amp;$B1685&amp;$C1685&amp;$D1685&amp;$E1685,".","_"),"(","_"),")","")</f>
        <v>vpc802_2_2</v>
      </c>
      <c r="AO1685" s="254">
        <f ca="1">O1685</f>
        <v>0</v>
      </c>
      <c r="AP1685" s="254" t="str">
        <f>SUBSTITUTE(SUBSTITUTE(SUBSTITUTE("vch"&amp;$B1685&amp;$C1685&amp;$D1685&amp;$E1685,".","_"),"(","_"),")","")</f>
        <v>vch802_2_2</v>
      </c>
      <c r="AQ1685" s="254" t="str">
        <f>IF(LEN(W1685)=0,"",W1685)</f>
        <v/>
      </c>
      <c r="AR1685" s="254" t="str">
        <f>SUBSTITUTE(SUBSTITUTE(SUBSTITUTE("vnt"&amp;$B1685&amp;$C1685&amp;$D1685&amp;$E1685,".","_"),"(","_"),")","")</f>
        <v>vnt802_2_2</v>
      </c>
      <c r="AS1685" s="254" t="str">
        <f>IF(LEN(X1685)=0,"",X1685)</f>
        <v/>
      </c>
      <c r="AT1685" s="648"/>
      <c r="AU1685" s="648"/>
      <c r="AV1685" s="648"/>
      <c r="AW1685" s="648"/>
      <c r="AX1685" s="663" t="str">
        <f>'Overview (Verification)'!A55</f>
        <v>Passive Solar:</v>
      </c>
      <c r="AY1685" s="752">
        <f>IF(LEN('Overview (Verification)'!P55)=0,0,'Overview (Verification)'!P55)</f>
        <v>0</v>
      </c>
    </row>
    <row r="1686" spans="1:60" x14ac:dyDescent="0.25">
      <c r="A1686" s="2371">
        <v>8</v>
      </c>
      <c r="B1686" s="2385">
        <v>802.2</v>
      </c>
      <c r="C1686" s="2374" t="s">
        <v>260</v>
      </c>
      <c r="D1686" s="2374"/>
      <c r="E1686" s="2374"/>
      <c r="F1686" s="2397"/>
      <c r="G1686" s="2373" t="str">
        <f ca="1">G1685</f>
        <v/>
      </c>
      <c r="H1686" s="2371" t="s">
        <v>3973</v>
      </c>
      <c r="I1686" s="130"/>
      <c r="J1686" s="183" t="s">
        <v>260</v>
      </c>
      <c r="K1686" s="129"/>
      <c r="L1686" s="1170" t="s">
        <v>4400</v>
      </c>
      <c r="M1686" s="1010">
        <v>18</v>
      </c>
      <c r="N1686" s="1927"/>
      <c r="O1686" s="1774"/>
      <c r="P1686" s="94"/>
      <c r="Q1686" s="94"/>
      <c r="R1686" s="94"/>
      <c r="S1686" s="94"/>
      <c r="T1686" s="94"/>
      <c r="U1686" s="94"/>
      <c r="V1686" s="94"/>
      <c r="W1686" s="94"/>
      <c r="X1686" s="1757"/>
      <c r="Y1686" s="2081"/>
      <c r="Z1686" s="2084"/>
      <c r="AA1686" s="1526"/>
      <c r="AB1686" s="648"/>
      <c r="AC1686" s="970"/>
      <c r="AD1686" s="970"/>
      <c r="AE1686" s="970"/>
      <c r="AF1686" s="648"/>
      <c r="AG1686" s="648"/>
      <c r="AH1686" s="648"/>
      <c r="AI1686" s="648"/>
      <c r="AJ1686" s="648"/>
      <c r="AK1686" s="648"/>
      <c r="AL1686" s="254" t="str">
        <f>SUBSTITUTE(SUBSTITUTE(SUBSTITUTE("vpa"&amp;$B1686&amp;$C1686&amp;$D1686&amp;$E1686,".","_"),"(","_"),")","")</f>
        <v>vpa802_2_3</v>
      </c>
      <c r="AM1686" s="254">
        <f>M1686</f>
        <v>18</v>
      </c>
      <c r="AN1686" s="1336"/>
      <c r="AO1686" s="1336"/>
      <c r="AP1686" s="1336"/>
      <c r="AQ1686" s="1336"/>
      <c r="AR1686" s="1336"/>
      <c r="AS1686" s="1336"/>
      <c r="AT1686" s="648"/>
      <c r="AU1686" s="648"/>
      <c r="AV1686" s="648"/>
      <c r="AW1686" s="648"/>
      <c r="AX1686" s="663" t="str">
        <f>'Overview (Verification)'!A56</f>
        <v>Mass Walls:</v>
      </c>
      <c r="AY1686" s="752">
        <f>IF(LEN('Overview (Verification)'!P56)=0,0,'Overview (Verification)'!P56)</f>
        <v>0</v>
      </c>
    </row>
    <row r="1687" spans="1:60" x14ac:dyDescent="0.25">
      <c r="A1687" s="2371">
        <v>8</v>
      </c>
      <c r="B1687" s="2385">
        <v>802.2</v>
      </c>
      <c r="C1687" s="2374"/>
      <c r="D1687" s="2374"/>
      <c r="E1687" s="2374"/>
      <c r="F1687" s="2374"/>
      <c r="G1687" s="2373" t="str">
        <f ca="1">G1686</f>
        <v/>
      </c>
      <c r="H1687" s="2371" t="s">
        <v>3973</v>
      </c>
      <c r="I1687" s="130"/>
      <c r="J1687" s="183"/>
      <c r="K1687" s="129"/>
      <c r="L1687" s="1849" t="s">
        <v>3586</v>
      </c>
      <c r="M1687" s="1010"/>
      <c r="N1687" s="1044"/>
      <c r="O1687" s="1504"/>
      <c r="P1687" s="94"/>
      <c r="Q1687" s="94"/>
      <c r="R1687" s="94"/>
      <c r="S1687" s="94"/>
      <c r="T1687" s="94"/>
      <c r="U1687" s="94"/>
      <c r="V1687" s="94"/>
      <c r="W1687" s="94"/>
      <c r="X1687" s="1757"/>
      <c r="Y1687" s="2081"/>
      <c r="Z1687" s="2084"/>
      <c r="AA1687" s="1526"/>
      <c r="AB1687" s="648"/>
      <c r="AC1687" s="970"/>
      <c r="AD1687" s="970"/>
      <c r="AE1687" s="970"/>
      <c r="AF1687" s="648"/>
      <c r="AG1687" s="648"/>
      <c r="AH1687" s="648"/>
      <c r="AI1687" s="648"/>
      <c r="AJ1687" s="648"/>
      <c r="AK1687" s="648"/>
      <c r="AL1687" s="1336"/>
      <c r="AM1687" s="1336"/>
      <c r="AN1687" s="1336"/>
      <c r="AO1687" s="1336"/>
      <c r="AP1687" s="1336"/>
      <c r="AQ1687" s="1336"/>
      <c r="AR1687" s="1336"/>
      <c r="AS1687" s="1336"/>
      <c r="AT1687" s="648"/>
      <c r="AU1687" s="648"/>
      <c r="AV1687" s="648"/>
      <c r="AW1687" s="648"/>
      <c r="AX1687" s="663" t="str">
        <f>'Overview (Verification)'!A57</f>
        <v>Radiant/Hydronic:</v>
      </c>
      <c r="AY1687" s="752">
        <f>IF(LEN('Overview (Verification)'!P57)=0,0,'Overview (Verification)'!P57)</f>
        <v>0</v>
      </c>
    </row>
    <row r="1688" spans="1:60" x14ac:dyDescent="0.25">
      <c r="A1688" s="2371">
        <v>8</v>
      </c>
      <c r="B1688" s="2385">
        <v>802.2</v>
      </c>
      <c r="C1688" s="2374"/>
      <c r="D1688" s="2374"/>
      <c r="E1688" s="2374"/>
      <c r="F1688" s="2374"/>
      <c r="G1688" s="2373" t="str">
        <f ca="1">G1687</f>
        <v/>
      </c>
      <c r="H1688" s="2371" t="s">
        <v>3973</v>
      </c>
      <c r="I1688" s="130"/>
      <c r="J1688" s="183"/>
      <c r="K1688" s="129"/>
      <c r="L1688" s="1859"/>
      <c r="M1688" s="1010"/>
      <c r="N1688" s="1044"/>
      <c r="O1688" s="1504"/>
      <c r="P1688" s="94"/>
      <c r="Q1688" s="94"/>
      <c r="R1688" s="94"/>
      <c r="S1688" s="94"/>
      <c r="T1688" s="94"/>
      <c r="U1688" s="94"/>
      <c r="V1688" s="94"/>
      <c r="W1688" s="94"/>
      <c r="X1688" s="1757"/>
      <c r="Y1688" s="2081"/>
      <c r="Z1688" s="2084"/>
      <c r="AA1688" s="1526"/>
      <c r="AB1688" s="648"/>
      <c r="AC1688" s="970"/>
      <c r="AD1688" s="970"/>
      <c r="AE1688" s="970"/>
      <c r="AF1688" s="648"/>
      <c r="AG1688" s="648"/>
      <c r="AH1688" s="648"/>
      <c r="AI1688" s="648"/>
      <c r="AJ1688" s="648"/>
      <c r="AK1688" s="648"/>
      <c r="AL1688" s="1336"/>
      <c r="AM1688" s="1336"/>
      <c r="AN1688" s="1336"/>
      <c r="AO1688" s="1336"/>
      <c r="AP1688" s="1336"/>
      <c r="AQ1688" s="1336"/>
      <c r="AR1688" s="1336"/>
      <c r="AS1688" s="1336"/>
      <c r="AT1688" s="648"/>
      <c r="AU1688" s="648"/>
      <c r="AV1688" s="648"/>
      <c r="AW1688" s="648"/>
      <c r="AX1688" s="663" t="str">
        <f>'Overview (Verification)'!A58</f>
        <v>Tankless Water Heater:</v>
      </c>
      <c r="AY1688" s="752">
        <f>IF(LEN('Overview (Verification)'!P58)=0,0,'Overview (Verification)'!P58)</f>
        <v>0</v>
      </c>
    </row>
    <row r="1689" spans="1:60" x14ac:dyDescent="0.25">
      <c r="A1689" s="2371">
        <v>8</v>
      </c>
      <c r="B1689" s="2385">
        <v>802.2</v>
      </c>
      <c r="C1689" s="2374"/>
      <c r="D1689" s="2374"/>
      <c r="E1689" s="2374"/>
      <c r="F1689" s="2374"/>
      <c r="G1689" s="2373" t="str">
        <f ca="1">G1688</f>
        <v/>
      </c>
      <c r="H1689" s="2371" t="s">
        <v>3973</v>
      </c>
      <c r="I1689" s="130"/>
      <c r="J1689" s="94"/>
      <c r="K1689" s="94"/>
      <c r="L1689" s="1855" t="s">
        <v>3587</v>
      </c>
      <c r="M1689" s="512"/>
      <c r="N1689" s="1044"/>
      <c r="O1689" s="1504"/>
      <c r="P1689" s="94"/>
      <c r="Q1689" s="94"/>
      <c r="R1689" s="94"/>
      <c r="S1689" s="94"/>
      <c r="T1689" s="94"/>
      <c r="U1689" s="94"/>
      <c r="V1689" s="94"/>
      <c r="W1689" s="94"/>
      <c r="X1689" s="1757"/>
      <c r="Y1689" s="2081"/>
      <c r="Z1689" s="2084"/>
      <c r="AA1689" s="1526"/>
      <c r="AB1689" s="648"/>
      <c r="AC1689" s="970"/>
      <c r="AD1689" s="970"/>
      <c r="AE1689" s="970"/>
      <c r="AF1689" s="648"/>
      <c r="AG1689" s="648"/>
      <c r="AH1689" s="648"/>
      <c r="AI1689" s="648"/>
      <c r="AJ1689" s="648"/>
      <c r="AK1689" s="648"/>
      <c r="AL1689" s="1336"/>
      <c r="AM1689" s="1336"/>
      <c r="AN1689" s="1336"/>
      <c r="AO1689" s="1336"/>
      <c r="AP1689" s="1336"/>
      <c r="AQ1689" s="1336"/>
      <c r="AR1689" s="1336"/>
      <c r="AS1689" s="1336"/>
      <c r="AT1689" s="648"/>
      <c r="AU1689" s="648"/>
      <c r="AV1689" s="648"/>
      <c r="AW1689" s="648"/>
      <c r="AX1689" s="663" t="str">
        <f>'Overview (Verification)'!A59</f>
        <v>Composting Toilet:</v>
      </c>
      <c r="AY1689" s="752">
        <f>IF(LEN('Overview (Verification)'!P59)=0,0,'Overview (Verification)'!P59)</f>
        <v>0</v>
      </c>
    </row>
    <row r="1690" spans="1:60" ht="15.75" thickBot="1" x14ac:dyDescent="0.3">
      <c r="A1690" s="2371">
        <v>8</v>
      </c>
      <c r="B1690" s="2385">
        <v>802.2</v>
      </c>
      <c r="C1690" s="2374"/>
      <c r="D1690" s="2374"/>
      <c r="E1690" s="2374"/>
      <c r="F1690" s="2374"/>
      <c r="G1690" s="2373" t="str">
        <f ca="1">G1689</f>
        <v/>
      </c>
      <c r="H1690" s="2371" t="s">
        <v>3973</v>
      </c>
      <c r="I1690" s="189"/>
      <c r="J1690" s="99"/>
      <c r="K1690" s="99"/>
      <c r="L1690" s="2101"/>
      <c r="M1690" s="511"/>
      <c r="N1690" s="1045"/>
      <c r="O1690" s="1505"/>
      <c r="P1690" s="99"/>
      <c r="Q1690" s="99"/>
      <c r="R1690" s="99"/>
      <c r="S1690" s="99"/>
      <c r="T1690" s="99"/>
      <c r="U1690" s="99"/>
      <c r="V1690" s="99"/>
      <c r="W1690" s="99"/>
      <c r="X1690" s="1771"/>
      <c r="Y1690" s="2082"/>
      <c r="Z1690" s="2086"/>
      <c r="AA1690" s="1526"/>
      <c r="AB1690" s="648"/>
      <c r="AC1690" s="970"/>
      <c r="AD1690" s="970"/>
      <c r="AE1690" s="970"/>
      <c r="AF1690" s="648"/>
      <c r="AG1690" s="648"/>
      <c r="AH1690" s="648"/>
      <c r="AI1690" s="648"/>
      <c r="AJ1690" s="648"/>
      <c r="AK1690" s="648"/>
      <c r="AL1690" s="1336"/>
      <c r="AM1690" s="1336"/>
      <c r="AN1690" s="1336"/>
      <c r="AO1690" s="1336"/>
      <c r="AP1690" s="1336"/>
      <c r="AQ1690" s="1336"/>
      <c r="AR1690" s="1336"/>
      <c r="AS1690" s="1336"/>
      <c r="AT1690" s="648"/>
      <c r="AU1690" s="648"/>
      <c r="AV1690" s="648"/>
      <c r="AW1690" s="648"/>
      <c r="AX1690" s="649"/>
      <c r="AY1690" s="752"/>
    </row>
    <row r="1691" spans="1:60" ht="15.75" thickTop="1" x14ac:dyDescent="0.25">
      <c r="A1691" s="2371">
        <v>8</v>
      </c>
      <c r="B1691" s="2396">
        <v>802.3</v>
      </c>
      <c r="C1691" s="2380"/>
      <c r="D1691" s="2380"/>
      <c r="E1691" s="2380"/>
      <c r="F1691" s="2380"/>
      <c r="G1691" s="2363" t="str">
        <f ca="1">IF(COUNTIF(G1693:G1699,"P")&gt;0,"P","")</f>
        <v/>
      </c>
      <c r="H1691" s="2371" t="s">
        <v>3973</v>
      </c>
      <c r="I1691" s="943">
        <v>802.3</v>
      </c>
      <c r="J1691" s="667"/>
      <c r="K1691" s="862"/>
      <c r="L1691" s="1187" t="s">
        <v>4401</v>
      </c>
      <c r="M1691" s="1014"/>
      <c r="N1691" s="664"/>
      <c r="O1691" s="1506"/>
      <c r="P1691" s="1500"/>
      <c r="Q1691" s="1500"/>
      <c r="R1691" s="1500"/>
      <c r="S1691" s="1500"/>
      <c r="T1691" s="1500"/>
      <c r="U1691"/>
      <c r="V1691"/>
      <c r="W1691"/>
      <c r="X1691" s="911"/>
      <c r="Y1691"/>
      <c r="AA1691" s="1526"/>
      <c r="AC1691" s="970"/>
      <c r="AD1691" s="970"/>
      <c r="AE1691" s="970"/>
      <c r="AF1691"/>
      <c r="AG1691"/>
      <c r="AH1691"/>
      <c r="AI1691"/>
      <c r="AJ1691"/>
      <c r="AK1691"/>
      <c r="AL1691" s="1336"/>
      <c r="AM1691" s="1336"/>
      <c r="AN1691" s="1336"/>
      <c r="AO1691" s="1336"/>
      <c r="AP1691" s="1336"/>
      <c r="AQ1691" s="1336"/>
      <c r="AR1691" s="1336"/>
      <c r="AS1691" s="1336"/>
      <c r="AT1691"/>
      <c r="AX1691" s="663" t="str">
        <f>'Overview (Verification)'!A61</f>
        <v>Local Energy Code:</v>
      </c>
      <c r="AY1691" s="752">
        <f>IF(LEN('Overview (Verification)'!P61)=0,0,'Overview (Verification)'!P61)</f>
        <v>0</v>
      </c>
    </row>
    <row r="1692" spans="1:60" x14ac:dyDescent="0.25">
      <c r="A1692" s="2371">
        <v>8</v>
      </c>
      <c r="B1692" s="2396">
        <v>802.3</v>
      </c>
      <c r="C1692" s="2382" t="s">
        <v>256</v>
      </c>
      <c r="D1692" s="2382"/>
      <c r="E1692" s="2380"/>
      <c r="G1692" s="2363" t="str">
        <f ca="1">IF(COUNTIF(G1693:G1695,"P")&gt;0,"P","")</f>
        <v/>
      </c>
      <c r="H1692" s="2371" t="s">
        <v>3973</v>
      </c>
      <c r="I1692" s="943"/>
      <c r="J1692" s="667" t="s">
        <v>256</v>
      </c>
      <c r="K1692" s="862"/>
      <c r="L1692" s="942" t="s">
        <v>4402</v>
      </c>
      <c r="M1692" s="1014"/>
      <c r="N1692" s="664"/>
      <c r="O1692" s="1506"/>
      <c r="P1692" s="1500"/>
      <c r="Q1692" s="1500"/>
      <c r="R1692" s="1500"/>
      <c r="S1692" s="1500"/>
      <c r="T1692" s="1500"/>
      <c r="U1692"/>
      <c r="V1692"/>
      <c r="W1692"/>
      <c r="X1692" s="911"/>
      <c r="Y1692"/>
      <c r="AA1692" s="1526"/>
      <c r="AC1692" s="970"/>
      <c r="AD1692" s="970"/>
      <c r="AE1692" s="970"/>
      <c r="AF1692"/>
      <c r="AG1692"/>
      <c r="AH1692"/>
      <c r="AI1692"/>
      <c r="AJ1692"/>
      <c r="AK1692"/>
      <c r="AL1692" s="1336"/>
      <c r="AM1692" s="1336"/>
      <c r="AN1692" s="1336"/>
      <c r="AO1692" s="1336"/>
      <c r="AP1692" s="1336"/>
      <c r="AQ1692" s="1336"/>
      <c r="AR1692" s="1336"/>
      <c r="AS1692" s="1336"/>
      <c r="AT1692"/>
      <c r="AX1692" s="663" t="str">
        <f>'Overview (Verification)'!A62</f>
        <v>Local Building Code:</v>
      </c>
      <c r="AY1692" s="752">
        <f>IF(LEN('Overview (Verification)'!P62)=0,0,'Overview (Verification)'!P62)</f>
        <v>0</v>
      </c>
    </row>
    <row r="1693" spans="1:60" ht="15" customHeight="1" x14ac:dyDescent="0.25">
      <c r="A1693" s="2371">
        <v>8</v>
      </c>
      <c r="B1693" s="2396">
        <v>802.3</v>
      </c>
      <c r="C1693" s="2382" t="s">
        <v>256</v>
      </c>
      <c r="D1693" s="2382" t="s">
        <v>121</v>
      </c>
      <c r="E1693" s="2380"/>
      <c r="G1693" s="2373" t="str">
        <f ca="1">IF(N1693&gt;0,"P","")</f>
        <v/>
      </c>
      <c r="H1693" s="2371" t="s">
        <v>3973</v>
      </c>
      <c r="I1693" s="943"/>
      <c r="J1693" s="667"/>
      <c r="K1693" s="862" t="s">
        <v>121</v>
      </c>
      <c r="L1693" s="1779" t="s">
        <v>4403</v>
      </c>
      <c r="M1693" s="1865" t="s">
        <v>4406</v>
      </c>
      <c r="N1693" s="2076">
        <f ca="1">'Ch8'!O64</f>
        <v>0</v>
      </c>
      <c r="O1693" s="1780">
        <f ca="1">W1693*2*S1693</f>
        <v>0</v>
      </c>
      <c r="P1693" s="1500" t="b">
        <v>0</v>
      </c>
      <c r="Q1693" s="1500" t="b">
        <v>1</v>
      </c>
      <c r="R1693" s="1500" t="b">
        <v>0</v>
      </c>
      <c r="S1693" s="1500" t="b">
        <f ca="1">AND(AY1648=INDEX(INDIRECT("ddSingleOrMulti"),1),S1643=2)</f>
        <v>0</v>
      </c>
      <c r="T1693" s="1500" t="b">
        <f ca="1">IF(AND(NOT(S1693),LEN(W1693)&gt;0),TRUE,FALSE)</f>
        <v>0</v>
      </c>
      <c r="U1693"/>
      <c r="V1693"/>
      <c r="W1693" s="944"/>
      <c r="X1693" s="1757"/>
      <c r="Y1693" s="2099" t="str">
        <f>IF(LEN('Ch8'!X64)=0,"None",'Ch8'!X64)</f>
        <v>None</v>
      </c>
      <c r="Z1693" s="2087"/>
      <c r="AA1693" s="1526"/>
      <c r="AC1693" s="970" t="b">
        <f ca="1">OR(AD1693:AE1693)</f>
        <v>0</v>
      </c>
      <c r="AD1693" s="970" t="b">
        <f ca="1">T1693</f>
        <v>0</v>
      </c>
      <c r="AE1693" s="970"/>
      <c r="AF1693"/>
      <c r="AG1693"/>
      <c r="AH1693"/>
      <c r="AI1693"/>
      <c r="AJ1693"/>
      <c r="AK1693"/>
      <c r="AL1693" s="254" t="str">
        <f>SUBSTITUTE(SUBSTITUTE(SUBSTITUTE("vpa"&amp;$B1693&amp;$C1693&amp;$D1693&amp;$E1693,".","_"),"(","_"),")","")</f>
        <v>vpa802_3_1_a</v>
      </c>
      <c r="AM1693" s="254" t="str">
        <f>M1693</f>
        <v>2 per unique meter</v>
      </c>
      <c r="AN1693" s="254" t="str">
        <f>SUBSTITUTE(SUBSTITUTE(SUBSTITUTE("vpc"&amp;$B1693&amp;$C1693&amp;$D1693&amp;$E1693,".","_"),"(","_"),")","")</f>
        <v>vpc802_3_1_a</v>
      </c>
      <c r="AO1693" s="254">
        <f ca="1">O1693</f>
        <v>0</v>
      </c>
      <c r="AP1693" s="254" t="str">
        <f>SUBSTITUTE(SUBSTITUTE(SUBSTITUTE("vch"&amp;$B1693&amp;$C1693&amp;$D1693&amp;$E1693,".","_"),"(","_"),")","")</f>
        <v>vch802_3_1_a</v>
      </c>
      <c r="AQ1693" s="254" t="str">
        <f>IF(LEN(W1693)=0,"",W1693)</f>
        <v/>
      </c>
      <c r="AR1693" s="254" t="str">
        <f>SUBSTITUTE(SUBSTITUTE(SUBSTITUTE("vnt"&amp;$B1693&amp;$C1693&amp;$D1693&amp;$E1693,".","_"),"(","_"),")","")</f>
        <v>vnt802_3_1_a</v>
      </c>
      <c r="AS1693" s="254" t="str">
        <f>IF(LEN(X1693)=0,"",X1693)</f>
        <v/>
      </c>
      <c r="AT1693"/>
    </row>
    <row r="1694" spans="1:60" x14ac:dyDescent="0.25">
      <c r="A1694" s="2371">
        <v>8</v>
      </c>
      <c r="B1694" s="2396">
        <v>802.3</v>
      </c>
      <c r="C1694" s="2382" t="s">
        <v>256</v>
      </c>
      <c r="D1694" s="2382" t="s">
        <v>121</v>
      </c>
      <c r="E1694" s="2380"/>
      <c r="G1694" s="2373" t="str">
        <f ca="1">G1693</f>
        <v/>
      </c>
      <c r="H1694" s="2371" t="s">
        <v>3973</v>
      </c>
      <c r="I1694" s="943"/>
      <c r="J1694" s="667"/>
      <c r="K1694" s="863"/>
      <c r="L1694" s="1755"/>
      <c r="M1694" s="1865"/>
      <c r="N1694" s="2076"/>
      <c r="O1694" s="1764"/>
      <c r="P1694" s="1500"/>
      <c r="Q1694" s="1500"/>
      <c r="R1694" s="1500"/>
      <c r="S1694" s="1500"/>
      <c r="T1694" s="1500"/>
      <c r="U1694"/>
      <c r="V1694"/>
      <c r="W1694"/>
      <c r="X1694" s="1757"/>
      <c r="Y1694" s="2097"/>
      <c r="Z1694" s="2085"/>
      <c r="AA1694" s="1526"/>
      <c r="AC1694" s="970"/>
      <c r="AD1694" s="970"/>
      <c r="AE1694" s="970"/>
      <c r="AF1694"/>
      <c r="AG1694"/>
      <c r="AH1694"/>
      <c r="AI1694"/>
      <c r="AJ1694"/>
      <c r="AK1694"/>
      <c r="AL1694" s="1336"/>
      <c r="AM1694" s="1336"/>
      <c r="AN1694" s="1336"/>
      <c r="AO1694" s="1336"/>
      <c r="AP1694" s="1336"/>
      <c r="AQ1694" s="1336"/>
      <c r="AR1694" s="1336"/>
      <c r="AS1694" s="1336"/>
      <c r="AT1694"/>
    </row>
    <row r="1695" spans="1:60" ht="15" customHeight="1" x14ac:dyDescent="0.25">
      <c r="A1695" s="2371">
        <v>8</v>
      </c>
      <c r="B1695" s="2396">
        <v>802.3</v>
      </c>
      <c r="C1695" s="2382" t="s">
        <v>256</v>
      </c>
      <c r="D1695" s="2382" t="s">
        <v>122</v>
      </c>
      <c r="E1695" s="2380"/>
      <c r="G1695" s="2373" t="str">
        <f ca="1">IF(N1695&gt;0,"P","")</f>
        <v/>
      </c>
      <c r="H1695" s="2371" t="s">
        <v>3973</v>
      </c>
      <c r="I1695" s="943"/>
      <c r="J1695" s="667"/>
      <c r="K1695" s="862" t="s">
        <v>122</v>
      </c>
      <c r="L1695" s="1779" t="s">
        <v>4404</v>
      </c>
      <c r="M1695" s="1880" t="s">
        <v>4407</v>
      </c>
      <c r="N1695" s="2079">
        <f ca="1">'Ch8'!O66</f>
        <v>0</v>
      </c>
      <c r="O1695" s="1780">
        <f ca="1">W1695*2*S1695</f>
        <v>0</v>
      </c>
      <c r="P1695" s="1500" t="b">
        <v>0</v>
      </c>
      <c r="Q1695" s="1500" t="b">
        <v>1</v>
      </c>
      <c r="R1695" s="1500" t="b">
        <v>0</v>
      </c>
      <c r="S1695" s="1500" t="b">
        <f ca="1">AND(AY1648=INDEX(INDIRECT("ddSingleOrMulti"),1),S1643=2)</f>
        <v>0</v>
      </c>
      <c r="T1695" s="1500" t="b">
        <f ca="1">IF(AND(NOT(S1695),LEN(W1695)&gt;0),TRUE,FALSE)</f>
        <v>0</v>
      </c>
      <c r="U1695"/>
      <c r="V1695"/>
      <c r="W1695" s="945"/>
      <c r="X1695" s="1757"/>
      <c r="Y1695" s="2081" t="str">
        <f>IF(LEN('Ch8'!X66)=0,"None",'Ch8'!X66)</f>
        <v>None</v>
      </c>
      <c r="Z1695" s="2083"/>
      <c r="AA1695" s="1526"/>
      <c r="AC1695" s="970" t="b">
        <f ca="1">OR(AD1695:AE1695)</f>
        <v>0</v>
      </c>
      <c r="AD1695" s="970" t="b">
        <f ca="1">T1695</f>
        <v>0</v>
      </c>
      <c r="AE1695" s="970"/>
      <c r="AF1695"/>
      <c r="AG1695"/>
      <c r="AH1695"/>
      <c r="AI1695"/>
      <c r="AJ1695"/>
      <c r="AK1695"/>
      <c r="AL1695" s="254" t="str">
        <f>SUBSTITUTE(SUBSTITUTE(SUBSTITUTE("vpa"&amp;$B1695&amp;$C1695&amp;$D1695&amp;$E1695,".","_"),"(","_"),")","")</f>
        <v>vpa802_3_1_b</v>
      </c>
      <c r="AM1695" s="254" t="str">
        <f>M1695</f>
        <v>2 per sensor package</v>
      </c>
      <c r="AN1695" s="254" t="str">
        <f>SUBSTITUTE(SUBSTITUTE(SUBSTITUTE("vpc"&amp;$B1695&amp;$C1695&amp;$D1695&amp;$E1695,".","_"),"(","_"),")","")</f>
        <v>vpc802_3_1_b</v>
      </c>
      <c r="AO1695" s="254">
        <f ca="1">O1695</f>
        <v>0</v>
      </c>
      <c r="AP1695" s="254" t="str">
        <f>SUBSTITUTE(SUBSTITUTE(SUBSTITUTE("vch"&amp;$B1695&amp;$C1695&amp;$D1695&amp;$E1695,".","_"),"(","_"),")","")</f>
        <v>vch802_3_1_b</v>
      </c>
      <c r="AQ1695" s="254" t="str">
        <f>IF(LEN(W1695)=0,"",W1695)</f>
        <v/>
      </c>
      <c r="AR1695" s="254" t="str">
        <f>SUBSTITUTE(SUBSTITUTE(SUBSTITUTE("vnt"&amp;$B1695&amp;$C1695&amp;$D1695&amp;$E1695,".","_"),"(","_"),")","")</f>
        <v>vnt802_3_1_b</v>
      </c>
      <c r="AS1695" s="254" t="str">
        <f>IF(LEN(X1695)=0,"",X1695)</f>
        <v/>
      </c>
      <c r="AT1695"/>
    </row>
    <row r="1696" spans="1:60" x14ac:dyDescent="0.25">
      <c r="A1696" s="2371">
        <v>8</v>
      </c>
      <c r="B1696" s="2396">
        <v>802.3</v>
      </c>
      <c r="C1696" s="2382" t="s">
        <v>256</v>
      </c>
      <c r="D1696" s="2382" t="s">
        <v>122</v>
      </c>
      <c r="E1696" s="2380"/>
      <c r="G1696" s="2373" t="str">
        <f ca="1">G1695</f>
        <v/>
      </c>
      <c r="H1696" s="2371" t="s">
        <v>3973</v>
      </c>
      <c r="I1696" s="943"/>
      <c r="J1696" s="667"/>
      <c r="K1696" s="862"/>
      <c r="L1696" s="1779"/>
      <c r="M1696" s="1788"/>
      <c r="N1696" s="1927"/>
      <c r="O1696" s="1780"/>
      <c r="P1696" s="911"/>
      <c r="Q1696" s="911"/>
      <c r="R1696" s="911"/>
      <c r="S1696" s="911"/>
      <c r="T1696" s="911"/>
      <c r="U1696"/>
      <c r="V1696"/>
      <c r="W1696"/>
      <c r="X1696" s="1757"/>
      <c r="Y1696" s="2081"/>
      <c r="Z1696" s="2083"/>
      <c r="AA1696" s="1526"/>
      <c r="AC1696" s="970"/>
      <c r="AD1696" s="970"/>
      <c r="AE1696" s="970"/>
      <c r="AF1696"/>
      <c r="AG1696"/>
      <c r="AH1696"/>
      <c r="AI1696"/>
      <c r="AJ1696"/>
      <c r="AK1696"/>
      <c r="AL1696" s="1336"/>
      <c r="AM1696" s="1336"/>
      <c r="AN1696" s="1336"/>
      <c r="AO1696" s="1336"/>
      <c r="AP1696" s="1336"/>
      <c r="AQ1696" s="1336"/>
      <c r="AR1696" s="1336"/>
      <c r="AS1696" s="1336"/>
      <c r="AT1696"/>
    </row>
    <row r="1697" spans="1:60" x14ac:dyDescent="0.25">
      <c r="A1697" s="2371">
        <v>8</v>
      </c>
      <c r="B1697" s="2396">
        <v>802.3</v>
      </c>
      <c r="C1697" s="2382" t="s">
        <v>256</v>
      </c>
      <c r="D1697" s="2382" t="s">
        <v>122</v>
      </c>
      <c r="E1697" s="2380"/>
      <c r="G1697" s="2373" t="str">
        <f ca="1">G1696</f>
        <v/>
      </c>
      <c r="H1697" s="2371" t="s">
        <v>3973</v>
      </c>
      <c r="I1697" s="943"/>
      <c r="J1697" s="667"/>
      <c r="K1697" s="862"/>
      <c r="L1697" s="1779"/>
      <c r="M1697" s="1788"/>
      <c r="N1697" s="1927"/>
      <c r="O1697" s="1780"/>
      <c r="P1697" s="911"/>
      <c r="Q1697" s="911"/>
      <c r="R1697" s="911"/>
      <c r="S1697" s="911"/>
      <c r="T1697" s="911"/>
      <c r="U1697"/>
      <c r="V1697"/>
      <c r="W1697"/>
      <c r="X1697" s="1757"/>
      <c r="Y1697" s="2081"/>
      <c r="Z1697" s="2083"/>
      <c r="AA1697" s="1526"/>
      <c r="AC1697" s="970"/>
      <c r="AD1697" s="970"/>
      <c r="AE1697" s="970"/>
      <c r="AF1697"/>
      <c r="AG1697"/>
      <c r="AH1697"/>
      <c r="AI1697"/>
      <c r="AJ1697"/>
      <c r="AK1697"/>
      <c r="AL1697" s="1336"/>
      <c r="AM1697" s="1336"/>
      <c r="AN1697" s="1336"/>
      <c r="AO1697" s="1336"/>
      <c r="AP1697" s="1336"/>
      <c r="AQ1697" s="1336"/>
      <c r="AR1697" s="1336"/>
      <c r="AS1697" s="1336"/>
      <c r="AT1697"/>
    </row>
    <row r="1698" spans="1:60" x14ac:dyDescent="0.25">
      <c r="A1698" s="2371">
        <v>8</v>
      </c>
      <c r="B1698" s="2396">
        <v>802.3</v>
      </c>
      <c r="C1698" s="2382" t="s">
        <v>256</v>
      </c>
      <c r="D1698" s="2382" t="s">
        <v>122</v>
      </c>
      <c r="E1698" s="2380"/>
      <c r="G1698" s="2373" t="str">
        <f ca="1">G1697</f>
        <v/>
      </c>
      <c r="H1698" s="2371" t="s">
        <v>3973</v>
      </c>
      <c r="I1698" s="943"/>
      <c r="J1698" s="684"/>
      <c r="K1698" s="863"/>
      <c r="L1698" s="1755"/>
      <c r="M1698" s="1865"/>
      <c r="N1698" s="2076"/>
      <c r="O1698" s="1764"/>
      <c r="P1698" s="911"/>
      <c r="Q1698" s="911"/>
      <c r="R1698" s="911"/>
      <c r="S1698" s="911"/>
      <c r="T1698" s="911"/>
      <c r="U1698"/>
      <c r="V1698"/>
      <c r="W1698"/>
      <c r="X1698" s="1757"/>
      <c r="Y1698" s="2081"/>
      <c r="Z1698" s="2083"/>
      <c r="AA1698" s="1526"/>
      <c r="AC1698" s="970"/>
      <c r="AD1698" s="970"/>
      <c r="AE1698" s="970"/>
      <c r="AF1698"/>
      <c r="AG1698"/>
      <c r="AH1698"/>
      <c r="AI1698"/>
      <c r="AJ1698"/>
      <c r="AK1698"/>
      <c r="AL1698" s="1336"/>
      <c r="AM1698" s="1336"/>
      <c r="AN1698" s="1336"/>
      <c r="AO1698" s="1336"/>
      <c r="AP1698" s="1336"/>
      <c r="AQ1698" s="1336"/>
      <c r="AR1698" s="1336"/>
      <c r="AS1698" s="1336"/>
      <c r="AT1698"/>
    </row>
    <row r="1699" spans="1:60" x14ac:dyDescent="0.25">
      <c r="A1699" s="2371">
        <v>8</v>
      </c>
      <c r="B1699" s="2396">
        <v>802.3</v>
      </c>
      <c r="C1699" s="2382" t="s">
        <v>258</v>
      </c>
      <c r="D1699" s="2382"/>
      <c r="E1699" s="2380"/>
      <c r="G1699" s="2363" t="str">
        <f ca="1">IF(COUNTIF(G1702:G1704,"P")&gt;0,"P","")</f>
        <v/>
      </c>
      <c r="H1699" s="2371" t="s">
        <v>3973</v>
      </c>
      <c r="I1699" s="943"/>
      <c r="J1699" s="667" t="s">
        <v>258</v>
      </c>
      <c r="K1699" s="862"/>
      <c r="L1699" s="1157" t="s">
        <v>4405</v>
      </c>
      <c r="M1699" s="129"/>
      <c r="N1699" s="664"/>
      <c r="O1699" s="1500"/>
      <c r="P1699" s="1"/>
      <c r="Q1699" s="385" t="s">
        <v>4827</v>
      </c>
      <c r="R1699" s="6">
        <f ca="1">SUM(O1649:O1698)+SUM(O1709:O1864)</f>
        <v>0</v>
      </c>
      <c r="S1699" s="1500"/>
      <c r="T1699" s="1500"/>
      <c r="U1699"/>
      <c r="V1699"/>
      <c r="W1699"/>
      <c r="X1699" s="911"/>
      <c r="Y1699"/>
      <c r="AA1699" s="1526"/>
      <c r="AC1699" s="970"/>
      <c r="AD1699" s="970"/>
      <c r="AE1699" s="970"/>
      <c r="AF1699"/>
      <c r="AG1699"/>
      <c r="AH1699"/>
      <c r="AI1699"/>
      <c r="AJ1699"/>
      <c r="AK1699"/>
      <c r="AL1699" s="1336"/>
      <c r="AM1699" s="1336"/>
      <c r="AN1699" s="1336"/>
      <c r="AO1699" s="1336"/>
      <c r="AP1699" s="1336"/>
      <c r="AQ1699" s="1336"/>
      <c r="AR1699" s="1336"/>
      <c r="AS1699" s="1336"/>
      <c r="AT1699"/>
    </row>
    <row r="1700" spans="1:60" x14ac:dyDescent="0.25">
      <c r="A1700" s="2371">
        <v>8</v>
      </c>
      <c r="B1700" s="2396">
        <v>802.3</v>
      </c>
      <c r="C1700" s="2382" t="s">
        <v>258</v>
      </c>
      <c r="D1700" s="2382"/>
      <c r="E1700" s="2380"/>
      <c r="G1700" s="2373" t="str">
        <f ca="1">G1699</f>
        <v/>
      </c>
      <c r="H1700" s="2371" t="s">
        <v>3973</v>
      </c>
      <c r="I1700" s="943"/>
      <c r="J1700" s="667"/>
      <c r="K1700" s="911"/>
      <c r="L1700" s="1796" t="s">
        <v>4409</v>
      </c>
      <c r="M1700" s="2343" t="s">
        <v>4830</v>
      </c>
      <c r="N1700" s="664"/>
      <c r="O1700" s="1500"/>
      <c r="P1700" s="1"/>
      <c r="Q1700" s="385" t="s">
        <v>4828</v>
      </c>
      <c r="R1700" s="1" t="b">
        <f ca="1">OR(O1702&lt;R1703,O1704&lt;R1705)</f>
        <v>0</v>
      </c>
      <c r="S1700" s="1500"/>
      <c r="T1700" s="1500"/>
      <c r="U1700"/>
      <c r="V1700"/>
      <c r="W1700"/>
      <c r="X1700" s="911"/>
      <c r="Y1700"/>
      <c r="AA1700" s="1526"/>
      <c r="AC1700" s="970"/>
      <c r="AD1700" s="970"/>
      <c r="AE1700" s="970"/>
      <c r="AF1700"/>
      <c r="AG1700"/>
      <c r="AH1700"/>
      <c r="AI1700"/>
      <c r="AJ1700"/>
      <c r="AK1700"/>
      <c r="AL1700" s="1336"/>
      <c r="AM1700" s="1336"/>
      <c r="AN1700" s="1336"/>
      <c r="AO1700" s="1336"/>
      <c r="AP1700" s="1336"/>
      <c r="AQ1700" s="1336"/>
      <c r="AR1700" s="1336"/>
      <c r="AS1700" s="1336"/>
      <c r="AT1700"/>
    </row>
    <row r="1701" spans="1:60" x14ac:dyDescent="0.25">
      <c r="A1701" s="2371">
        <v>8</v>
      </c>
      <c r="B1701" s="2396">
        <v>802.3</v>
      </c>
      <c r="C1701" s="2382" t="s">
        <v>258</v>
      </c>
      <c r="D1701" s="2382"/>
      <c r="E1701" s="2380"/>
      <c r="G1701" s="2373" t="str">
        <f ca="1">G1700</f>
        <v/>
      </c>
      <c r="H1701" s="2371" t="s">
        <v>3973</v>
      </c>
      <c r="I1701" s="943"/>
      <c r="J1701" s="667"/>
      <c r="K1701" s="911"/>
      <c r="L1701" s="1796"/>
      <c r="M1701" s="1919"/>
      <c r="N1701" s="664"/>
      <c r="O1701" s="1500"/>
      <c r="P1701" s="1500"/>
      <c r="Q1701" s="1500"/>
      <c r="R1701" s="1500"/>
      <c r="S1701" s="1500"/>
      <c r="T1701" s="1500"/>
      <c r="U1701"/>
      <c r="V1701"/>
      <c r="W1701"/>
      <c r="X1701" s="911"/>
      <c r="Y1701"/>
      <c r="AA1701" s="1526"/>
      <c r="AC1701" s="970"/>
      <c r="AD1701" s="970"/>
      <c r="AE1701" s="970"/>
      <c r="AF1701"/>
      <c r="AG1701"/>
      <c r="AH1701"/>
      <c r="AI1701"/>
      <c r="AJ1701"/>
      <c r="AK1701"/>
      <c r="AL1701" s="1336"/>
      <c r="AM1701" s="1336"/>
      <c r="AN1701" s="1336"/>
      <c r="AO1701" s="1336"/>
      <c r="AP1701" s="1336"/>
      <c r="AQ1701" s="1336"/>
      <c r="AR1701" s="1336"/>
      <c r="AS1701" s="1336"/>
      <c r="AT1701"/>
    </row>
    <row r="1702" spans="1:60" ht="15" customHeight="1" x14ac:dyDescent="0.25">
      <c r="A1702" s="2371">
        <v>8</v>
      </c>
      <c r="B1702" s="2396">
        <v>802.3</v>
      </c>
      <c r="C1702" s="2382" t="s">
        <v>258</v>
      </c>
      <c r="D1702" s="2382" t="s">
        <v>121</v>
      </c>
      <c r="E1702" s="2380"/>
      <c r="G1702" s="2373" t="str">
        <f ca="1">IF(N1702&gt;0,"P","")</f>
        <v/>
      </c>
      <c r="H1702" s="2371" t="s">
        <v>3973</v>
      </c>
      <c r="I1702" s="943"/>
      <c r="J1702" s="667"/>
      <c r="K1702" s="862" t="s">
        <v>121</v>
      </c>
      <c r="L1702" s="1779" t="s">
        <v>4403</v>
      </c>
      <c r="M1702" s="1865" t="s">
        <v>4408</v>
      </c>
      <c r="N1702" s="2076">
        <f ca="1">'Ch8'!O73</f>
        <v>0</v>
      </c>
      <c r="O1702" s="1780">
        <f ca="1">IF((R1705+R1703)&lt;=R1699,R1703,IF(R1703&lt;=R1705,MIN(R1699/2,R1703),(R1699-O1704)))</f>
        <v>0</v>
      </c>
      <c r="P1702" s="1500" t="b">
        <v>0</v>
      </c>
      <c r="Q1702" s="1500" t="b">
        <v>1</v>
      </c>
      <c r="R1702" s="1500" t="b">
        <v>0</v>
      </c>
      <c r="S1702" s="1500" t="b">
        <f ca="1">AND(AY1648=INDEX(INDIRECT("ddSingleOrMulti"),2),S1643=2)</f>
        <v>0</v>
      </c>
      <c r="T1702" s="1500" t="b">
        <f ca="1">IF(AND(NOT(S1702),LEN(W1702)&gt;0),TRUE,FALSE)</f>
        <v>0</v>
      </c>
      <c r="U1702"/>
      <c r="V1702"/>
      <c r="W1702" s="944"/>
      <c r="X1702" s="1757"/>
      <c r="Y1702" s="2099" t="str">
        <f>IF(LEN('Ch8'!X73)=0,"None",'Ch8'!X73)</f>
        <v>None</v>
      </c>
      <c r="Z1702" s="2087"/>
      <c r="AA1702" s="1526"/>
      <c r="AC1702" s="970" t="b">
        <f ca="1">OR(AD1702:AE1702)</f>
        <v>0</v>
      </c>
      <c r="AD1702" s="970" t="b">
        <f ca="1">T1702</f>
        <v>0</v>
      </c>
      <c r="AE1702" s="970"/>
      <c r="AF1702"/>
      <c r="AG1702"/>
      <c r="AH1702"/>
      <c r="AI1702"/>
      <c r="AJ1702"/>
      <c r="AK1702"/>
      <c r="AL1702" s="254" t="str">
        <f>SUBSTITUTE(SUBSTITUTE(SUBSTITUTE("vpa"&amp;$B1702&amp;$C1702&amp;$D1702&amp;$E1702,".","_"),"(","_"),")","")</f>
        <v>vpa802_3_2_a</v>
      </c>
      <c r="AM1702" s="254" t="str">
        <f>M1702</f>
        <v>2 per unique use meter</v>
      </c>
      <c r="AN1702" s="254" t="str">
        <f>SUBSTITUTE(SUBSTITUTE(SUBSTITUTE("vpc"&amp;$B1702&amp;$C1702&amp;$D1702&amp;$E1702,".","_"),"(","_"),")","")</f>
        <v>vpc802_3_2_a</v>
      </c>
      <c r="AO1702" s="254">
        <f ca="1">O1702</f>
        <v>0</v>
      </c>
      <c r="AP1702" s="254" t="str">
        <f>SUBSTITUTE(SUBSTITUTE(SUBSTITUTE("vch"&amp;$B1702&amp;$C1702&amp;$D1702&amp;$E1702,".","_"),"(","_"),")","")</f>
        <v>vch802_3_2_a</v>
      </c>
      <c r="AQ1702" s="254" t="str">
        <f>IF(LEN(W1702)=0,"",W1702)</f>
        <v/>
      </c>
      <c r="AR1702" s="254" t="str">
        <f>SUBSTITUTE(SUBSTITUTE(SUBSTITUTE("vnt"&amp;$B1702&amp;$C1702&amp;$D1702&amp;$E1702,".","_"),"(","_"),")","")</f>
        <v>vnt802_3_2_a</v>
      </c>
      <c r="AS1702" s="254" t="str">
        <f>IF(LEN(X1702)=0,"",X1702)</f>
        <v/>
      </c>
      <c r="AT1702"/>
    </row>
    <row r="1703" spans="1:60" x14ac:dyDescent="0.25">
      <c r="A1703" s="2371">
        <v>8</v>
      </c>
      <c r="B1703" s="2396">
        <v>802.3</v>
      </c>
      <c r="C1703" s="2382" t="s">
        <v>258</v>
      </c>
      <c r="D1703" s="2382" t="s">
        <v>121</v>
      </c>
      <c r="E1703" s="2380"/>
      <c r="G1703" s="2373" t="str">
        <f ca="1">G1702</f>
        <v/>
      </c>
      <c r="H1703" s="2371" t="s">
        <v>3973</v>
      </c>
      <c r="I1703" s="943"/>
      <c r="J1703" s="667"/>
      <c r="K1703" s="863"/>
      <c r="L1703" s="1755"/>
      <c r="M1703" s="1865"/>
      <c r="N1703" s="2076"/>
      <c r="O1703" s="1764"/>
      <c r="P1703" s="1"/>
      <c r="Q1703" s="385" t="s">
        <v>4829</v>
      </c>
      <c r="R1703" s="6">
        <f ca="1">W1702*2*S1702</f>
        <v>0</v>
      </c>
      <c r="S1703" s="1500"/>
      <c r="T1703" s="1500"/>
      <c r="U1703"/>
      <c r="V1703"/>
      <c r="W1703"/>
      <c r="X1703" s="1757"/>
      <c r="Y1703" s="2097"/>
      <c r="Z1703" s="2085"/>
      <c r="AA1703" s="1526"/>
      <c r="AC1703" s="970"/>
      <c r="AD1703" s="970"/>
      <c r="AE1703" s="970"/>
      <c r="AF1703"/>
      <c r="AG1703"/>
      <c r="AH1703"/>
      <c r="AI1703"/>
      <c r="AJ1703"/>
      <c r="AK1703"/>
      <c r="AL1703" s="1336"/>
      <c r="AM1703" s="1336"/>
      <c r="AN1703" s="1336"/>
      <c r="AO1703" s="1336"/>
      <c r="AP1703" s="1336"/>
      <c r="AQ1703" s="1336"/>
      <c r="AR1703" s="1336"/>
      <c r="AS1703" s="1336"/>
      <c r="AT1703"/>
    </row>
    <row r="1704" spans="1:60" ht="15" customHeight="1" x14ac:dyDescent="0.25">
      <c r="A1704" s="2371">
        <v>8</v>
      </c>
      <c r="B1704" s="2396">
        <v>802.3</v>
      </c>
      <c r="C1704" s="2382" t="s">
        <v>258</v>
      </c>
      <c r="D1704" s="2382" t="s">
        <v>122</v>
      </c>
      <c r="E1704" s="2380"/>
      <c r="G1704" s="2373" t="str">
        <f ca="1">IF(N1704&gt;0,"P","")</f>
        <v/>
      </c>
      <c r="H1704" s="2371" t="s">
        <v>3973</v>
      </c>
      <c r="I1704" s="943"/>
      <c r="J1704" s="667"/>
      <c r="K1704" s="862" t="s">
        <v>122</v>
      </c>
      <c r="L1704" s="1779" t="s">
        <v>4404</v>
      </c>
      <c r="M1704" s="1880" t="s">
        <v>4407</v>
      </c>
      <c r="N1704" s="2079">
        <f ca="1">'Ch8'!O75</f>
        <v>0</v>
      </c>
      <c r="O1704" s="1780">
        <f ca="1">IF((R1705+R1703)&lt;=R1699,R1705,IF(R1705&lt;=R1703,MIN(R1699/2,R1705),(R1699-O1702)))</f>
        <v>0</v>
      </c>
      <c r="P1704" s="94" t="b">
        <v>0</v>
      </c>
      <c r="Q1704" s="94" t="b">
        <v>1</v>
      </c>
      <c r="R1704" s="94" t="b">
        <v>0</v>
      </c>
      <c r="S1704" s="94" t="b">
        <f ca="1">AND(AY1648=INDEX(INDIRECT("ddSingleOrMulti"),2),S1643=2)</f>
        <v>0</v>
      </c>
      <c r="T1704" s="94" t="b">
        <f ca="1">IF(AND(NOT(S1704),LEN(W1704)&gt;0),TRUE,FALSE)</f>
        <v>0</v>
      </c>
      <c r="U1704"/>
      <c r="V1704"/>
      <c r="W1704" s="945"/>
      <c r="X1704" s="1757"/>
      <c r="Y1704" s="2099" t="str">
        <f>IF(LEN('Ch8'!X75)=0,"None",'Ch8'!X75)</f>
        <v>None</v>
      </c>
      <c r="Z1704" s="2087"/>
      <c r="AA1704" s="1526"/>
      <c r="AC1704" s="970" t="b">
        <f ca="1">OR(AD1704:AE1704)</f>
        <v>0</v>
      </c>
      <c r="AD1704" s="970" t="b">
        <f ca="1">T1704</f>
        <v>0</v>
      </c>
      <c r="AE1704" s="970"/>
      <c r="AF1704"/>
      <c r="AG1704"/>
      <c r="AH1704"/>
      <c r="AI1704"/>
      <c r="AJ1704"/>
      <c r="AK1704"/>
      <c r="AL1704" s="254" t="str">
        <f>SUBSTITUTE(SUBSTITUTE(SUBSTITUTE("vpa"&amp;$B1704&amp;$C1704&amp;$D1704&amp;$E1704,".","_"),"(","_"),")","")</f>
        <v>vpa802_3_2_b</v>
      </c>
      <c r="AM1704" s="254" t="str">
        <f>M1704</f>
        <v>2 per sensor package</v>
      </c>
      <c r="AN1704" s="254" t="str">
        <f>SUBSTITUTE(SUBSTITUTE(SUBSTITUTE("vpc"&amp;$B1704&amp;$C1704&amp;$D1704&amp;$E1704,".","_"),"(","_"),")","")</f>
        <v>vpc802_3_2_b</v>
      </c>
      <c r="AO1704" s="254">
        <f ca="1">O1704</f>
        <v>0</v>
      </c>
      <c r="AP1704" s="254" t="str">
        <f>SUBSTITUTE(SUBSTITUTE(SUBSTITUTE("vch"&amp;$B1704&amp;$C1704&amp;$D1704&amp;$E1704,".","_"),"(","_"),")","")</f>
        <v>vch802_3_2_b</v>
      </c>
      <c r="AQ1704" s="254" t="str">
        <f>IF(LEN(W1704)=0,"",W1704)</f>
        <v/>
      </c>
      <c r="AR1704" s="254" t="str">
        <f>SUBSTITUTE(SUBSTITUTE(SUBSTITUTE("vnt"&amp;$B1704&amp;$C1704&amp;$D1704&amp;$E1704,".","_"),"(","_"),")","")</f>
        <v>vnt802_3_2_b</v>
      </c>
      <c r="AS1704" s="254" t="str">
        <f>IF(LEN(X1704)=0,"",X1704)</f>
        <v/>
      </c>
      <c r="AT1704"/>
    </row>
    <row r="1705" spans="1:60" x14ac:dyDescent="0.25">
      <c r="A1705" s="2371">
        <v>8</v>
      </c>
      <c r="B1705" s="2396">
        <v>802.3</v>
      </c>
      <c r="C1705" s="2382" t="s">
        <v>258</v>
      </c>
      <c r="D1705" s="2382" t="s">
        <v>122</v>
      </c>
      <c r="E1705" s="2380"/>
      <c r="G1705" s="2373" t="str">
        <f ca="1">G1704</f>
        <v/>
      </c>
      <c r="H1705" s="2371" t="s">
        <v>3973</v>
      </c>
      <c r="I1705" s="943"/>
      <c r="J1705" s="667"/>
      <c r="K1705" s="862"/>
      <c r="L1705" s="1779"/>
      <c r="M1705" s="1788"/>
      <c r="N1705" s="1927"/>
      <c r="O1705" s="1780"/>
      <c r="P1705" s="1"/>
      <c r="Q1705" s="385" t="s">
        <v>4829</v>
      </c>
      <c r="R1705" s="6">
        <f ca="1">W1704*2*S1704</f>
        <v>0</v>
      </c>
      <c r="S1705" s="94"/>
      <c r="T1705" s="94"/>
      <c r="U1705"/>
      <c r="V1705"/>
      <c r="W1705"/>
      <c r="X1705" s="1757"/>
      <c r="Y1705" s="2100"/>
      <c r="Z1705" s="2091"/>
      <c r="AA1705" s="1526"/>
      <c r="AC1705" s="970"/>
      <c r="AD1705" s="970"/>
      <c r="AE1705" s="970"/>
      <c r="AF1705"/>
      <c r="AG1705"/>
      <c r="AH1705"/>
      <c r="AI1705"/>
      <c r="AJ1705"/>
      <c r="AK1705"/>
      <c r="AL1705" s="1336"/>
      <c r="AM1705" s="1336"/>
      <c r="AN1705" s="1336"/>
      <c r="AO1705" s="1336"/>
      <c r="AP1705" s="1336"/>
      <c r="AQ1705" s="1336"/>
      <c r="AR1705" s="1336"/>
      <c r="AS1705" s="1336"/>
      <c r="AT1705"/>
    </row>
    <row r="1706" spans="1:60" x14ac:dyDescent="0.25">
      <c r="A1706" s="2371">
        <v>8</v>
      </c>
      <c r="B1706" s="2396">
        <v>802.3</v>
      </c>
      <c r="C1706" s="2382" t="s">
        <v>258</v>
      </c>
      <c r="D1706" s="2382" t="s">
        <v>122</v>
      </c>
      <c r="E1706" s="2380"/>
      <c r="G1706" s="2373" t="str">
        <f ca="1">G1705</f>
        <v/>
      </c>
      <c r="H1706" s="2371" t="s">
        <v>3973</v>
      </c>
      <c r="I1706" s="943"/>
      <c r="J1706" s="667"/>
      <c r="K1706" s="862"/>
      <c r="L1706" s="1779"/>
      <c r="M1706" s="1788"/>
      <c r="N1706" s="1927"/>
      <c r="O1706" s="1780"/>
      <c r="P1706" s="94"/>
      <c r="Q1706" s="94"/>
      <c r="R1706" s="94"/>
      <c r="S1706"/>
      <c r="T1706"/>
      <c r="U1706"/>
      <c r="V1706"/>
      <c r="W1706"/>
      <c r="X1706" s="1757"/>
      <c r="Y1706" s="2100"/>
      <c r="Z1706" s="2091"/>
      <c r="AA1706" s="1526"/>
      <c r="AC1706" s="970"/>
      <c r="AD1706" s="970"/>
      <c r="AE1706" s="970"/>
      <c r="AF1706"/>
      <c r="AG1706"/>
      <c r="AH1706"/>
      <c r="AI1706"/>
      <c r="AJ1706"/>
      <c r="AK1706"/>
      <c r="AL1706" s="1336"/>
      <c r="AM1706" s="1336"/>
      <c r="AN1706" s="1336"/>
      <c r="AO1706" s="1336"/>
      <c r="AP1706" s="1336"/>
      <c r="AQ1706" s="1336"/>
      <c r="AR1706" s="1336"/>
      <c r="AS1706" s="1336"/>
      <c r="AT1706"/>
    </row>
    <row r="1707" spans="1:60" ht="15.75" thickBot="1" x14ac:dyDescent="0.3">
      <c r="A1707" s="2371">
        <v>8</v>
      </c>
      <c r="B1707" s="2396">
        <v>802.3</v>
      </c>
      <c r="C1707" s="2382" t="s">
        <v>258</v>
      </c>
      <c r="D1707" s="2382" t="s">
        <v>122</v>
      </c>
      <c r="E1707" s="2380"/>
      <c r="G1707" s="2373" t="str">
        <f ca="1">G1706</f>
        <v/>
      </c>
      <c r="H1707" s="2371" t="s">
        <v>3973</v>
      </c>
      <c r="I1707" s="948"/>
      <c r="J1707" s="673"/>
      <c r="K1707" s="902"/>
      <c r="L1707" s="1783"/>
      <c r="M1707" s="1915"/>
      <c r="N1707" s="1928"/>
      <c r="O1707" s="1775"/>
      <c r="P1707" s="99"/>
      <c r="Q1707" s="99"/>
      <c r="R1707" s="99"/>
      <c r="S1707" s="99"/>
      <c r="T1707" s="99"/>
      <c r="U1707" s="99"/>
      <c r="V1707" s="99"/>
      <c r="W1707" s="112"/>
      <c r="X1707" s="1771"/>
      <c r="Y1707" s="2102"/>
      <c r="Z1707" s="2090"/>
      <c r="AA1707" s="1526"/>
      <c r="AC1707" s="970"/>
      <c r="AD1707" s="970"/>
      <c r="AE1707" s="970"/>
      <c r="AF1707"/>
      <c r="AG1707"/>
      <c r="AH1707"/>
      <c r="AI1707"/>
      <c r="AJ1707"/>
      <c r="AK1707"/>
      <c r="AL1707" s="1336"/>
      <c r="AM1707" s="1336"/>
      <c r="AN1707" s="1336"/>
      <c r="AO1707" s="1336"/>
      <c r="AP1707" s="1336"/>
      <c r="AQ1707" s="1336"/>
      <c r="AR1707" s="1336"/>
      <c r="AS1707" s="1336"/>
      <c r="AT1707"/>
    </row>
    <row r="1708" spans="1:60" ht="15.75" thickTop="1" x14ac:dyDescent="0.25">
      <c r="A1708" s="2371">
        <v>8</v>
      </c>
      <c r="B1708" s="2385" t="s">
        <v>4410</v>
      </c>
      <c r="C1708" s="2374"/>
      <c r="D1708" s="2374"/>
      <c r="E1708" s="2374"/>
      <c r="F1708" s="2374"/>
      <c r="G1708" s="2363" t="str">
        <f ca="1">IF(COUNTIF(G1709:G1726,"P")&gt;0,"P","")</f>
        <v/>
      </c>
      <c r="H1708" s="2371" t="s">
        <v>3973</v>
      </c>
      <c r="I1708" s="64">
        <v>802.4</v>
      </c>
      <c r="J1708" s="164"/>
      <c r="K1708" s="4"/>
      <c r="L1708" s="1180" t="s">
        <v>4411</v>
      </c>
      <c r="M1708" s="489"/>
      <c r="N1708" s="1042"/>
      <c r="O1708" s="1506"/>
      <c r="P1708" s="648"/>
      <c r="Q1708" s="648"/>
      <c r="R1708" s="648"/>
      <c r="S1708" s="648"/>
      <c r="T1708" s="648"/>
      <c r="U1708" s="648"/>
      <c r="V1708" s="648"/>
      <c r="W1708" s="648" t="s">
        <v>3588</v>
      </c>
      <c r="X1708" s="911"/>
      <c r="Y1708" s="648"/>
      <c r="AA1708" s="1526"/>
      <c r="AB1708" s="648"/>
      <c r="AC1708" s="970"/>
      <c r="AD1708" s="970"/>
      <c r="AE1708" s="970"/>
      <c r="AF1708" s="648"/>
      <c r="AG1708" s="648"/>
      <c r="AH1708" s="648"/>
      <c r="AI1708" s="648"/>
      <c r="AJ1708" s="648"/>
      <c r="AK1708" s="648"/>
      <c r="AL1708" s="1336"/>
      <c r="AM1708" s="1336"/>
      <c r="AN1708" s="1336"/>
      <c r="AO1708" s="1336"/>
      <c r="AP1708" s="1336"/>
      <c r="AQ1708" s="1336"/>
      <c r="AR1708" s="1336"/>
      <c r="AS1708" s="1336"/>
      <c r="AT1708" s="648"/>
      <c r="AU1708" s="648"/>
      <c r="AV1708" s="648"/>
      <c r="AW1708" s="648"/>
      <c r="AZ1708" s="648"/>
      <c r="BA1708" s="648"/>
      <c r="BB1708" s="648"/>
      <c r="BC1708" s="648"/>
      <c r="BD1708" s="648"/>
      <c r="BE1708" s="648"/>
      <c r="BF1708" s="648"/>
      <c r="BG1708" s="648"/>
      <c r="BH1708" s="648"/>
    </row>
    <row r="1709" spans="1:60" ht="15" customHeight="1" x14ac:dyDescent="0.25">
      <c r="A1709" s="2371">
        <v>8</v>
      </c>
      <c r="B1709" s="2385" t="s">
        <v>4410</v>
      </c>
      <c r="C1709" s="2374" t="s">
        <v>256</v>
      </c>
      <c r="D1709" s="2374"/>
      <c r="E1709" s="2374"/>
      <c r="F1709" s="2374"/>
      <c r="G1709" s="2373" t="str">
        <f ca="1">IF(N1709&gt;0,"P","")</f>
        <v/>
      </c>
      <c r="H1709" s="2371" t="s">
        <v>3973</v>
      </c>
      <c r="I1709" s="64"/>
      <c r="J1709" s="78" t="s">
        <v>256</v>
      </c>
      <c r="K1709" s="4"/>
      <c r="L1709" s="1779" t="s">
        <v>4414</v>
      </c>
      <c r="M1709" s="1845" t="s">
        <v>786</v>
      </c>
      <c r="N1709" s="2075">
        <f ca="1">'Ch8'!O80</f>
        <v>0</v>
      </c>
      <c r="O1709" s="1780">
        <f ca="1">IFERROR(INDEX({4,5,6,7},MATCH(W1709,INDIRECT(U1709),0)),0)*S1709</f>
        <v>0</v>
      </c>
      <c r="P1709" s="94" t="b">
        <v>0</v>
      </c>
      <c r="Q1709" s="1500" t="b">
        <v>1</v>
      </c>
      <c r="R1709" s="1500" t="b">
        <v>0</v>
      </c>
      <c r="S1709" s="1500" t="b">
        <f ca="1">S1643=2</f>
        <v>0</v>
      </c>
      <c r="T1709" s="94" t="b">
        <f ca="1">IF(AND(NOT(S1709),LEN(W1709)&gt;0),TRUE,FALSE)</f>
        <v>0</v>
      </c>
      <c r="U1709" s="94" t="str">
        <f>SUBSTITUTE(SUBSTITUTE(SUBSTITUTE("dd"&amp;B1709&amp;C1709&amp;D1709&amp;E1709&amp;F1709,".","_"),"(","_"),")","")</f>
        <v>dd802_4_1</v>
      </c>
      <c r="V1709" s="648"/>
      <c r="W1709" s="12"/>
      <c r="X1709" s="1757"/>
      <c r="Y1709" s="2081" t="str">
        <f>IF(LEN('Ch8'!X80)=0,"None",'Ch8'!X80)</f>
        <v>None</v>
      </c>
      <c r="Z1709" s="2083"/>
      <c r="AA1709" s="1526"/>
      <c r="AB1709" s="648"/>
      <c r="AC1709" s="970" t="b">
        <f ca="1">OR(AD1709:AE1709)</f>
        <v>0</v>
      </c>
      <c r="AD1709" s="970" t="b">
        <f ca="1">T1709</f>
        <v>0</v>
      </c>
      <c r="AE1709" s="970"/>
      <c r="AF1709" s="784"/>
      <c r="AG1709" s="648"/>
      <c r="AH1709" s="648"/>
      <c r="AI1709" s="648"/>
      <c r="AJ1709" s="648"/>
      <c r="AK1709" s="648"/>
      <c r="AL1709" s="254" t="str">
        <f>SUBSTITUTE(SUBSTITUTE(SUBSTITUTE("vpa"&amp;$B1709&amp;$C1709&amp;$D1709&amp;$E1709,".","_"),"(","_"),")","")</f>
        <v>vpa802_4_1</v>
      </c>
      <c r="AM1709" s="254" t="str">
        <f>M1709</f>
        <v xml:space="preserve">4 for first compartment </v>
      </c>
      <c r="AN1709" s="254" t="str">
        <f>SUBSTITUTE(SUBSTITUTE(SUBSTITUTE("vpc"&amp;$B1709&amp;$C1709&amp;$D1709&amp;$E1709,".","_"),"(","_"),")","")</f>
        <v>vpc802_4_1</v>
      </c>
      <c r="AO1709" s="254">
        <f ca="1">O1709</f>
        <v>0</v>
      </c>
      <c r="AP1709" s="254" t="str">
        <f>SUBSTITUTE(SUBSTITUTE(SUBSTITUTE("vch"&amp;$B1709&amp;$C1709&amp;$D1709&amp;$E1709,".","_"),"(","_"),")","")</f>
        <v>vch802_4_1</v>
      </c>
      <c r="AQ1709" s="254" t="str">
        <f>IF(LEN(W1709)=0,"",W1709)</f>
        <v/>
      </c>
      <c r="AR1709" s="254" t="str">
        <f>SUBSTITUTE(SUBSTITUTE(SUBSTITUTE("vnt"&amp;$B1709&amp;$C1709&amp;$D1709&amp;$E1709,".","_"),"(","_"),")","")</f>
        <v>vnt802_4_1</v>
      </c>
      <c r="AS1709" s="254" t="str">
        <f>IF(LEN(X1709)=0,"",X1709)</f>
        <v/>
      </c>
      <c r="AT1709" s="648"/>
      <c r="AU1709" s="648"/>
      <c r="AV1709" s="648"/>
      <c r="AW1709" s="648"/>
      <c r="AZ1709" s="648"/>
      <c r="BA1709" s="648"/>
      <c r="BB1709" s="648"/>
      <c r="BC1709" s="648"/>
      <c r="BD1709" s="648"/>
      <c r="BE1709" s="648"/>
      <c r="BF1709" s="648"/>
      <c r="BG1709" s="648"/>
      <c r="BH1709" s="648"/>
    </row>
    <row r="1710" spans="1:60" x14ac:dyDescent="0.25">
      <c r="A1710" s="2371">
        <v>8</v>
      </c>
      <c r="B1710" s="2385" t="s">
        <v>4410</v>
      </c>
      <c r="C1710" s="2374" t="s">
        <v>256</v>
      </c>
      <c r="D1710" s="2374"/>
      <c r="E1710" s="2374"/>
      <c r="F1710" s="2374"/>
      <c r="G1710" s="2373" t="str">
        <f t="shared" ref="G1710:G1720" ca="1" si="104">G1709</f>
        <v/>
      </c>
      <c r="H1710" s="2371" t="s">
        <v>3973</v>
      </c>
      <c r="I1710" s="64"/>
      <c r="J1710" s="164"/>
      <c r="K1710" s="4"/>
      <c r="L1710" s="1779"/>
      <c r="M1710" s="1845"/>
      <c r="N1710" s="2075"/>
      <c r="O1710" s="1780"/>
      <c r="P1710" s="1500"/>
      <c r="Q1710" s="1500"/>
      <c r="R1710" s="1500"/>
      <c r="S1710" s="1500"/>
      <c r="T1710" s="1500"/>
      <c r="U1710" s="1500"/>
      <c r="V1710" s="648"/>
      <c r="W1710" s="648"/>
      <c r="X1710" s="1757"/>
      <c r="Y1710" s="2081"/>
      <c r="Z1710" s="2083"/>
      <c r="AA1710" s="1526"/>
      <c r="AB1710" s="648"/>
      <c r="AC1710" s="970"/>
      <c r="AD1710" s="970"/>
      <c r="AE1710" s="970"/>
      <c r="AF1710" s="648"/>
      <c r="AG1710" s="648"/>
      <c r="AH1710" s="648"/>
      <c r="AI1710" s="648"/>
      <c r="AJ1710" s="648"/>
      <c r="AK1710" s="648"/>
      <c r="AL1710" s="1336"/>
      <c r="AM1710" s="1336"/>
      <c r="AN1710" s="1336"/>
      <c r="AO1710" s="1336"/>
      <c r="AP1710" s="1336"/>
      <c r="AQ1710" s="1336"/>
      <c r="AR1710" s="1336"/>
      <c r="AS1710" s="1336"/>
      <c r="AT1710" s="648"/>
      <c r="AU1710" s="648"/>
      <c r="AV1710" s="648"/>
      <c r="AW1710" s="648"/>
      <c r="AZ1710" s="648"/>
      <c r="BA1710" s="648"/>
      <c r="BB1710" s="648"/>
      <c r="BC1710" s="648"/>
      <c r="BD1710" s="648"/>
      <c r="BE1710" s="648"/>
      <c r="BF1710" s="648"/>
      <c r="BG1710" s="648"/>
      <c r="BH1710" s="648"/>
    </row>
    <row r="1711" spans="1:60" s="868" customFormat="1" ht="15" customHeight="1" x14ac:dyDescent="0.25">
      <c r="A1711" s="2371">
        <v>8</v>
      </c>
      <c r="B1711" s="2385" t="s">
        <v>4410</v>
      </c>
      <c r="C1711" s="2374" t="s">
        <v>256</v>
      </c>
      <c r="D1711" s="2374" t="s">
        <v>256</v>
      </c>
      <c r="E1711" s="2374"/>
      <c r="F1711" s="2374"/>
      <c r="G1711" s="2373" t="str">
        <f t="shared" ca="1" si="104"/>
        <v/>
      </c>
      <c r="H1711" s="2371" t="s">
        <v>3973</v>
      </c>
      <c r="I1711" s="64"/>
      <c r="J1711" s="164"/>
      <c r="K1711" s="4"/>
      <c r="L1711" s="1779"/>
      <c r="M1711" s="1845" t="s">
        <v>787</v>
      </c>
      <c r="N1711" s="2075"/>
      <c r="O1711" s="1780"/>
      <c r="P1711" s="1500"/>
      <c r="Q1711" s="1500"/>
      <c r="R1711" s="1500"/>
      <c r="S1711" s="1500"/>
      <c r="T1711" s="1500"/>
      <c r="U1711" s="1500"/>
      <c r="X1711" s="1757"/>
      <c r="Y1711" s="2081"/>
      <c r="Z1711" s="2083"/>
      <c r="AA1711" s="1526"/>
      <c r="AC1711" s="970"/>
      <c r="AD1711" s="970"/>
      <c r="AE1711" s="970"/>
      <c r="AL1711" s="254" t="str">
        <f>SUBSTITUTE(SUBSTITUTE(SUBSTITUTE("vpa"&amp;$B1711&amp;$C1711&amp;$D1711&amp;$E1711,".","_"),"(","_"),")","")</f>
        <v>vpa802_4_1_1</v>
      </c>
      <c r="AM1711" s="254" t="str">
        <f>M1711</f>
        <v>1 for each additional compartment in dwelling</v>
      </c>
      <c r="AN1711" s="1336"/>
      <c r="AO1711" s="1336"/>
      <c r="AP1711" s="1336"/>
      <c r="AQ1711" s="1336"/>
      <c r="AR1711" s="1336"/>
      <c r="AS1711" s="1336"/>
    </row>
    <row r="1712" spans="1:60" ht="15" customHeight="1" x14ac:dyDescent="0.25">
      <c r="A1712" s="2371">
        <v>8</v>
      </c>
      <c r="B1712" s="2385" t="s">
        <v>4410</v>
      </c>
      <c r="C1712" s="2374" t="s">
        <v>256</v>
      </c>
      <c r="D1712" s="2374"/>
      <c r="E1712" s="2374"/>
      <c r="F1712" s="2374"/>
      <c r="G1712" s="2373" t="str">
        <f t="shared" ca="1" si="104"/>
        <v/>
      </c>
      <c r="H1712" s="2371" t="s">
        <v>3973</v>
      </c>
      <c r="I1712" s="64"/>
      <c r="J1712" s="164"/>
      <c r="K1712" s="4"/>
      <c r="L1712" s="1779"/>
      <c r="M1712" s="1845"/>
      <c r="N1712" s="2075"/>
      <c r="O1712" s="1780"/>
      <c r="P1712" s="1500"/>
      <c r="Q1712" s="1500"/>
      <c r="R1712" s="1500"/>
      <c r="S1712" s="1500"/>
      <c r="T1712" s="1500"/>
      <c r="U1712" s="1500"/>
      <c r="V1712" s="648"/>
      <c r="W1712" s="648"/>
      <c r="X1712" s="1757"/>
      <c r="Y1712" s="2081"/>
      <c r="Z1712" s="2083"/>
      <c r="AA1712" s="1526"/>
      <c r="AB1712" s="648"/>
      <c r="AC1712" s="970"/>
      <c r="AD1712" s="970"/>
      <c r="AE1712" s="970"/>
      <c r="AF1712" s="648"/>
      <c r="AG1712" s="648"/>
      <c r="AH1712" s="648"/>
      <c r="AI1712" s="648"/>
      <c r="AJ1712" s="648"/>
      <c r="AK1712" s="648"/>
      <c r="AL1712" s="1336"/>
      <c r="AM1712" s="1336"/>
      <c r="AN1712" s="1336"/>
      <c r="AO1712" s="1336"/>
      <c r="AP1712" s="1336"/>
      <c r="AQ1712" s="1336"/>
      <c r="AR1712" s="1336"/>
      <c r="AS1712" s="1336"/>
      <c r="AT1712" s="648"/>
      <c r="AU1712" s="648"/>
      <c r="AV1712" s="648"/>
      <c r="AW1712" s="648"/>
      <c r="AZ1712" s="648"/>
      <c r="BA1712" s="648"/>
      <c r="BB1712" s="648"/>
      <c r="BC1712" s="648"/>
      <c r="BD1712" s="648"/>
      <c r="BE1712" s="648"/>
      <c r="BF1712" s="648"/>
      <c r="BG1712" s="648"/>
      <c r="BH1712" s="648"/>
    </row>
    <row r="1713" spans="1:60" x14ac:dyDescent="0.25">
      <c r="A1713" s="2371">
        <v>8</v>
      </c>
      <c r="B1713" s="2385" t="s">
        <v>4410</v>
      </c>
      <c r="C1713" s="2374" t="s">
        <v>256</v>
      </c>
      <c r="D1713" s="2374"/>
      <c r="E1713" s="2374"/>
      <c r="F1713" s="2374"/>
      <c r="G1713" s="2373" t="str">
        <f t="shared" ca="1" si="104"/>
        <v/>
      </c>
      <c r="H1713" s="2371" t="s">
        <v>3973</v>
      </c>
      <c r="I1713" s="64"/>
      <c r="J1713" s="164"/>
      <c r="K1713" s="4"/>
      <c r="L1713" s="1779"/>
      <c r="M1713" s="1845"/>
      <c r="N1713" s="2075"/>
      <c r="O1713" s="1780"/>
      <c r="P1713" s="1500"/>
      <c r="Q1713" s="1500"/>
      <c r="R1713" s="1500"/>
      <c r="S1713" s="1500"/>
      <c r="T1713" s="1500"/>
      <c r="U1713" s="1500"/>
      <c r="V1713" s="648"/>
      <c r="W1713" s="648"/>
      <c r="X1713" s="1757"/>
      <c r="Y1713" s="2081"/>
      <c r="Z1713" s="2083"/>
      <c r="AA1713" s="1526"/>
      <c r="AB1713" s="648"/>
      <c r="AC1713" s="970"/>
      <c r="AD1713" s="970"/>
      <c r="AE1713" s="970"/>
      <c r="AF1713" s="648"/>
      <c r="AG1713" s="648"/>
      <c r="AH1713" s="648"/>
      <c r="AI1713" s="648"/>
      <c r="AJ1713" s="648"/>
      <c r="AK1713" s="648"/>
      <c r="AL1713" s="1336"/>
      <c r="AM1713" s="1336"/>
      <c r="AN1713" s="1336"/>
      <c r="AO1713" s="1336"/>
      <c r="AP1713" s="1336"/>
      <c r="AQ1713" s="1336"/>
      <c r="AR1713" s="1336"/>
      <c r="AS1713" s="1336"/>
      <c r="AT1713" s="648"/>
      <c r="AU1713" s="648"/>
      <c r="AV1713" s="648"/>
      <c r="AW1713" s="648"/>
      <c r="AZ1713" s="648"/>
      <c r="BA1713" s="648"/>
      <c r="BB1713" s="648"/>
      <c r="BC1713" s="648"/>
      <c r="BD1713" s="648"/>
      <c r="BE1713" s="648"/>
      <c r="BF1713" s="648"/>
      <c r="BG1713" s="648"/>
      <c r="BH1713" s="648"/>
    </row>
    <row r="1714" spans="1:60" s="1066" customFormat="1" x14ac:dyDescent="0.25">
      <c r="A1714" s="2371">
        <v>8</v>
      </c>
      <c r="B1714" s="2385" t="s">
        <v>4410</v>
      </c>
      <c r="C1714" s="2374" t="s">
        <v>256</v>
      </c>
      <c r="D1714" s="2374"/>
      <c r="E1714" s="2374"/>
      <c r="F1714" s="2374"/>
      <c r="G1714" s="2373" t="str">
        <f t="shared" ca="1" si="104"/>
        <v/>
      </c>
      <c r="H1714" s="2371" t="s">
        <v>3973</v>
      </c>
      <c r="I1714" s="64"/>
      <c r="J1714" s="164"/>
      <c r="K1714" s="4"/>
      <c r="L1714" s="1779"/>
      <c r="M1714" s="1845"/>
      <c r="N1714" s="2075"/>
      <c r="O1714" s="1780"/>
      <c r="P1714" s="1500"/>
      <c r="Q1714" s="1500"/>
      <c r="R1714" s="1500"/>
      <c r="S1714" s="1500"/>
      <c r="T1714" s="1500"/>
      <c r="U1714" s="1500"/>
      <c r="X1714" s="1757"/>
      <c r="Y1714" s="2081"/>
      <c r="Z1714" s="2083"/>
      <c r="AA1714" s="1526"/>
      <c r="AL1714" s="1336"/>
      <c r="AM1714" s="1336"/>
      <c r="AN1714" s="1336"/>
      <c r="AO1714" s="1336"/>
      <c r="AP1714" s="1336"/>
      <c r="AQ1714" s="1336"/>
      <c r="AR1714" s="1336"/>
      <c r="AS1714" s="1336"/>
    </row>
    <row r="1715" spans="1:60" x14ac:dyDescent="0.25">
      <c r="A1715" s="2371">
        <v>8</v>
      </c>
      <c r="B1715" s="2385" t="s">
        <v>4410</v>
      </c>
      <c r="C1715" s="2374" t="s">
        <v>256</v>
      </c>
      <c r="D1715" s="2374"/>
      <c r="E1715" s="2374"/>
      <c r="F1715" s="2374"/>
      <c r="G1715" s="2373" t="str">
        <f t="shared" ca="1" si="104"/>
        <v/>
      </c>
      <c r="H1715" s="2371" t="s">
        <v>3973</v>
      </c>
      <c r="I1715" s="64"/>
      <c r="J1715" s="164"/>
      <c r="K1715" s="4"/>
      <c r="L1715" s="1779"/>
      <c r="M1715" s="1845"/>
      <c r="N1715" s="2075"/>
      <c r="O1715" s="1780"/>
      <c r="P1715" s="1500"/>
      <c r="Q1715" s="1500"/>
      <c r="R1715" s="1500"/>
      <c r="S1715" s="1500"/>
      <c r="T1715" s="1500"/>
      <c r="U1715" s="1500"/>
      <c r="V1715" s="648"/>
      <c r="W1715" s="648"/>
      <c r="X1715" s="1757"/>
      <c r="Y1715" s="2081"/>
      <c r="Z1715" s="2083"/>
      <c r="AA1715" s="1526"/>
      <c r="AB1715" s="648"/>
      <c r="AC1715" s="970"/>
      <c r="AD1715" s="970"/>
      <c r="AE1715" s="970"/>
      <c r="AF1715" s="648"/>
      <c r="AG1715" s="648"/>
      <c r="AH1715" s="648"/>
      <c r="AI1715" s="648"/>
      <c r="AJ1715" s="648"/>
      <c r="AK1715" s="648"/>
      <c r="AL1715" s="1336"/>
      <c r="AM1715" s="1336"/>
      <c r="AN1715" s="1336"/>
      <c r="AO1715" s="1336"/>
      <c r="AP1715" s="1336"/>
      <c r="AQ1715" s="1336"/>
      <c r="AR1715" s="1336"/>
      <c r="AS1715" s="1336"/>
      <c r="AT1715" s="648"/>
      <c r="AU1715" s="648"/>
      <c r="AV1715" s="648"/>
      <c r="AW1715" s="648"/>
      <c r="AZ1715" s="648"/>
      <c r="BA1715" s="648"/>
      <c r="BB1715" s="648"/>
      <c r="BC1715" s="648"/>
      <c r="BD1715" s="648"/>
      <c r="BE1715" s="648"/>
      <c r="BF1715" s="648"/>
      <c r="BG1715" s="648"/>
      <c r="BH1715" s="648"/>
    </row>
    <row r="1716" spans="1:60" s="868" customFormat="1" x14ac:dyDescent="0.25">
      <c r="A1716" s="2371">
        <v>8</v>
      </c>
      <c r="B1716" s="2385" t="s">
        <v>4410</v>
      </c>
      <c r="C1716" s="2374" t="s">
        <v>256</v>
      </c>
      <c r="D1716" s="2374"/>
      <c r="E1716" s="2374"/>
      <c r="F1716" s="2374"/>
      <c r="G1716" s="2373" t="str">
        <f t="shared" ca="1" si="104"/>
        <v/>
      </c>
      <c r="H1716" s="2371" t="s">
        <v>3973</v>
      </c>
      <c r="I1716" s="64"/>
      <c r="J1716" s="164"/>
      <c r="K1716" s="4"/>
      <c r="L1716" s="1779"/>
      <c r="M1716" s="1845"/>
      <c r="N1716" s="2075"/>
      <c r="O1716" s="1780"/>
      <c r="P1716" s="1500"/>
      <c r="Q1716" s="1500"/>
      <c r="R1716" s="1500"/>
      <c r="S1716" s="1500"/>
      <c r="T1716" s="1500"/>
      <c r="U1716" s="1500"/>
      <c r="X1716" s="1757"/>
      <c r="Y1716" s="2081"/>
      <c r="Z1716" s="2083"/>
      <c r="AA1716" s="1526"/>
      <c r="AC1716" s="970"/>
      <c r="AD1716" s="970"/>
      <c r="AE1716" s="970"/>
      <c r="AL1716" s="1336"/>
      <c r="AM1716" s="1336"/>
      <c r="AN1716" s="1336"/>
      <c r="AO1716" s="1336"/>
      <c r="AP1716" s="1336"/>
      <c r="AQ1716" s="1336"/>
      <c r="AR1716" s="1336"/>
      <c r="AS1716" s="1336"/>
    </row>
    <row r="1717" spans="1:60" x14ac:dyDescent="0.25">
      <c r="A1717" s="2371">
        <v>8</v>
      </c>
      <c r="B1717" s="2385" t="s">
        <v>4410</v>
      </c>
      <c r="C1717" s="2374" t="s">
        <v>256</v>
      </c>
      <c r="D1717" s="2374"/>
      <c r="E1717" s="2374"/>
      <c r="F1717" s="2374"/>
      <c r="G1717" s="2373" t="str">
        <f t="shared" ca="1" si="104"/>
        <v/>
      </c>
      <c r="H1717" s="2371" t="s">
        <v>3973</v>
      </c>
      <c r="I1717" s="64"/>
      <c r="J1717" s="164"/>
      <c r="K1717" s="4"/>
      <c r="L1717" s="1779"/>
      <c r="M1717" s="1845"/>
      <c r="N1717" s="2075"/>
      <c r="O1717" s="1780"/>
      <c r="P1717" s="1500"/>
      <c r="Q1717" s="1500"/>
      <c r="R1717" s="1500"/>
      <c r="S1717" s="1500"/>
      <c r="T1717" s="1500"/>
      <c r="U1717" s="1500"/>
      <c r="V1717" s="648"/>
      <c r="W1717" s="648"/>
      <c r="X1717" s="1757"/>
      <c r="Y1717" s="2081"/>
      <c r="Z1717" s="2083"/>
      <c r="AA1717" s="1526"/>
      <c r="AB1717" s="648"/>
      <c r="AC1717" s="970"/>
      <c r="AD1717" s="970"/>
      <c r="AE1717" s="970"/>
      <c r="AF1717" s="648"/>
      <c r="AG1717" s="648"/>
      <c r="AH1717" s="648"/>
      <c r="AI1717" s="648"/>
      <c r="AJ1717" s="648"/>
      <c r="AK1717" s="648"/>
      <c r="AL1717" s="1336"/>
      <c r="AM1717" s="1336"/>
      <c r="AN1717" s="1336"/>
      <c r="AO1717" s="1336"/>
      <c r="AP1717" s="1336"/>
      <c r="AQ1717" s="1336"/>
      <c r="AR1717" s="1336"/>
      <c r="AS1717" s="1336"/>
      <c r="AT1717" s="648"/>
      <c r="AU1717" s="648"/>
      <c r="AV1717" s="648"/>
      <c r="AW1717" s="648"/>
      <c r="AZ1717" s="648"/>
      <c r="BA1717" s="648"/>
      <c r="BB1717" s="648"/>
      <c r="BC1717" s="648"/>
      <c r="BD1717" s="648"/>
      <c r="BE1717" s="648"/>
      <c r="BF1717" s="648"/>
      <c r="BG1717" s="648"/>
      <c r="BH1717" s="648"/>
    </row>
    <row r="1718" spans="1:60" ht="15" customHeight="1" x14ac:dyDescent="0.25">
      <c r="A1718" s="2371">
        <v>8</v>
      </c>
      <c r="B1718" s="2385" t="s">
        <v>4410</v>
      </c>
      <c r="C1718" s="2374" t="s">
        <v>256</v>
      </c>
      <c r="D1718" s="2374" t="s">
        <v>258</v>
      </c>
      <c r="E1718" s="2374"/>
      <c r="F1718" s="2374"/>
      <c r="G1718" s="2373" t="str">
        <f t="shared" ca="1" si="104"/>
        <v/>
      </c>
      <c r="H1718" s="2371" t="s">
        <v>3973</v>
      </c>
      <c r="I1718" s="64"/>
      <c r="J1718" s="164"/>
      <c r="K1718" s="4"/>
      <c r="L1718" s="1851" t="s">
        <v>4415</v>
      </c>
      <c r="M1718" s="1758" t="s">
        <v>788</v>
      </c>
      <c r="N1718" s="1044"/>
      <c r="O1718" s="1504"/>
      <c r="P1718" s="1500"/>
      <c r="Q1718" s="1500"/>
      <c r="R1718" s="1500"/>
      <c r="S1718" s="1500"/>
      <c r="T1718" s="1500"/>
      <c r="U1718" s="1500"/>
      <c r="V1718" s="648"/>
      <c r="W1718" s="648"/>
      <c r="X1718" s="1757"/>
      <c r="Y1718" s="2081"/>
      <c r="Z1718" s="2083"/>
      <c r="AA1718" s="1526"/>
      <c r="AB1718" s="648"/>
      <c r="AC1718" s="970"/>
      <c r="AD1718" s="970"/>
      <c r="AE1718" s="970"/>
      <c r="AF1718" s="648"/>
      <c r="AG1718" s="648"/>
      <c r="AH1718" s="648"/>
      <c r="AI1718" s="648"/>
      <c r="AJ1718" s="648"/>
      <c r="AK1718" s="648"/>
      <c r="AL1718" s="254" t="str">
        <f>SUBSTITUTE(SUBSTITUTE(SUBSTITUTE("vpa"&amp;$B1718&amp;$C1718&amp;$D1718&amp;$E1718,".","_"),"(","_"),")","")</f>
        <v>vpa802_4_1_2</v>
      </c>
      <c r="AM1718" s="254" t="str">
        <f>M1718</f>
        <v>7 Max</v>
      </c>
      <c r="AN1718" s="1336"/>
      <c r="AO1718" s="1336"/>
      <c r="AP1718" s="1336"/>
      <c r="AQ1718" s="1336"/>
      <c r="AR1718" s="1336"/>
      <c r="AS1718" s="1336"/>
      <c r="AT1718" s="648"/>
      <c r="AU1718" s="648"/>
      <c r="AV1718" s="648"/>
      <c r="AW1718" s="648"/>
      <c r="AZ1718" s="648"/>
      <c r="BA1718" s="648"/>
      <c r="BB1718" s="648"/>
      <c r="BC1718" s="648"/>
      <c r="BD1718" s="648"/>
      <c r="BE1718" s="648"/>
      <c r="BF1718" s="648"/>
      <c r="BG1718" s="648"/>
      <c r="BH1718" s="648"/>
    </row>
    <row r="1719" spans="1:60" x14ac:dyDescent="0.25">
      <c r="A1719" s="2371">
        <v>8</v>
      </c>
      <c r="B1719" s="2385" t="s">
        <v>4410</v>
      </c>
      <c r="C1719" s="2374" t="s">
        <v>256</v>
      </c>
      <c r="D1719" s="2374"/>
      <c r="E1719" s="2374"/>
      <c r="F1719" s="2374"/>
      <c r="G1719" s="2373" t="str">
        <f t="shared" ca="1" si="104"/>
        <v/>
      </c>
      <c r="H1719" s="2371" t="s">
        <v>3973</v>
      </c>
      <c r="I1719" s="64"/>
      <c r="J1719" s="164"/>
      <c r="K1719" s="4"/>
      <c r="L1719" s="1851"/>
      <c r="M1719" s="1758"/>
      <c r="N1719" s="1044"/>
      <c r="O1719" s="1504"/>
      <c r="P1719" s="1500"/>
      <c r="Q1719" s="1500"/>
      <c r="R1719" s="1500"/>
      <c r="S1719" s="1500"/>
      <c r="T1719" s="1500"/>
      <c r="U1719" s="1500"/>
      <c r="V1719" s="648"/>
      <c r="W1719" s="648"/>
      <c r="X1719" s="1757"/>
      <c r="Y1719" s="2081"/>
      <c r="Z1719" s="2083"/>
      <c r="AA1719" s="1526"/>
      <c r="AB1719" s="648"/>
      <c r="AC1719" s="970"/>
      <c r="AD1719" s="970"/>
      <c r="AE1719" s="970"/>
      <c r="AF1719" s="648"/>
      <c r="AG1719" s="648"/>
      <c r="AH1719" s="648"/>
      <c r="AI1719" s="648"/>
      <c r="AJ1719" s="648"/>
      <c r="AK1719" s="648"/>
      <c r="AL1719" s="1336"/>
      <c r="AM1719" s="1336"/>
      <c r="AN1719" s="1336"/>
      <c r="AO1719" s="1336"/>
      <c r="AP1719" s="1336"/>
      <c r="AQ1719" s="1336"/>
      <c r="AR1719" s="1336"/>
      <c r="AS1719" s="1336"/>
      <c r="AT1719" s="648"/>
      <c r="AU1719" s="648"/>
      <c r="AV1719" s="648"/>
      <c r="AW1719" s="648"/>
      <c r="AZ1719" s="648"/>
      <c r="BA1719" s="648"/>
      <c r="BB1719" s="648"/>
      <c r="BC1719" s="648"/>
      <c r="BD1719" s="648"/>
      <c r="BE1719" s="648"/>
      <c r="BF1719" s="648"/>
      <c r="BG1719" s="648"/>
      <c r="BH1719" s="648"/>
    </row>
    <row r="1720" spans="1:60" x14ac:dyDescent="0.25">
      <c r="A1720" s="2371">
        <v>8</v>
      </c>
      <c r="B1720" s="2385" t="s">
        <v>4410</v>
      </c>
      <c r="C1720" s="2374" t="s">
        <v>256</v>
      </c>
      <c r="D1720" s="2374"/>
      <c r="E1720" s="2374"/>
      <c r="F1720" s="2374"/>
      <c r="G1720" s="2373" t="str">
        <f t="shared" ca="1" si="104"/>
        <v/>
      </c>
      <c r="H1720" s="2371" t="s">
        <v>3973</v>
      </c>
      <c r="I1720" s="64"/>
      <c r="J1720" s="524"/>
      <c r="K1720" s="210"/>
      <c r="L1720" s="1918"/>
      <c r="M1720" s="1759"/>
      <c r="N1720" s="1047"/>
      <c r="O1720" s="1502"/>
      <c r="P1720" s="1500"/>
      <c r="Q1720" s="1500"/>
      <c r="R1720" s="1500"/>
      <c r="S1720" s="1500"/>
      <c r="T1720" s="1500"/>
      <c r="U1720" s="1500"/>
      <c r="V1720" s="648"/>
      <c r="W1720" s="648"/>
      <c r="X1720" s="1757"/>
      <c r="Y1720" s="2081"/>
      <c r="Z1720" s="2083"/>
      <c r="AA1720" s="1526"/>
      <c r="AB1720" s="648"/>
      <c r="AC1720" s="970"/>
      <c r="AD1720" s="970"/>
      <c r="AE1720" s="970"/>
      <c r="AF1720" s="648"/>
      <c r="AG1720" s="648"/>
      <c r="AH1720" s="648"/>
      <c r="AI1720" s="648"/>
      <c r="AJ1720" s="648"/>
      <c r="AK1720" s="648"/>
      <c r="AL1720" s="1336"/>
      <c r="AM1720" s="1336"/>
      <c r="AN1720" s="1336"/>
      <c r="AO1720" s="1336"/>
      <c r="AP1720" s="1336"/>
      <c r="AQ1720" s="1336"/>
      <c r="AR1720" s="1336"/>
      <c r="AS1720" s="1336"/>
      <c r="AT1720" s="648"/>
      <c r="AU1720" s="648"/>
      <c r="AV1720" s="648"/>
      <c r="AW1720" s="648"/>
      <c r="AX1720" s="648"/>
      <c r="AY1720" s="648"/>
      <c r="AZ1720" s="648"/>
      <c r="BA1720" s="648"/>
      <c r="BB1720" s="648"/>
      <c r="BC1720" s="648"/>
      <c r="BD1720" s="648"/>
      <c r="BE1720" s="648"/>
      <c r="BF1720" s="648"/>
      <c r="BG1720" s="648"/>
      <c r="BH1720" s="648"/>
    </row>
    <row r="1721" spans="1:60" ht="15" customHeight="1" x14ac:dyDescent="0.25">
      <c r="A1721" s="2371">
        <v>8</v>
      </c>
      <c r="B1721" s="2385" t="s">
        <v>4410</v>
      </c>
      <c r="C1721" s="2374" t="s">
        <v>258</v>
      </c>
      <c r="D1721" s="2374"/>
      <c r="E1721" s="2374"/>
      <c r="F1721" s="2374"/>
      <c r="G1721" s="2373" t="str">
        <f ca="1">IF(N1721&gt;0,"P","")</f>
        <v/>
      </c>
      <c r="H1721" s="2371" t="s">
        <v>3973</v>
      </c>
      <c r="I1721" s="64"/>
      <c r="J1721" s="78" t="s">
        <v>258</v>
      </c>
      <c r="K1721" s="4"/>
      <c r="L1721" s="1779" t="s">
        <v>5854</v>
      </c>
      <c r="M1721" s="1014"/>
      <c r="N1721" s="2079">
        <f ca="1">'Ch8'!O92</f>
        <v>0</v>
      </c>
      <c r="O1721" s="1780">
        <f ca="1">IFERROR(INDEX({6,10},MATCH(W1721,INDIRECT(U1721),0)),0)*S1721</f>
        <v>0</v>
      </c>
      <c r="P1721" s="94" t="b">
        <v>0</v>
      </c>
      <c r="Q1721" s="1500" t="b">
        <v>1</v>
      </c>
      <c r="R1721" s="1500" t="b">
        <v>0</v>
      </c>
      <c r="S1721" s="1500" t="b">
        <f ca="1">AND(LEN(W1709)&gt;0,S1643=2)</f>
        <v>0</v>
      </c>
      <c r="T1721" s="94" t="b">
        <f ca="1">IF(AND(NOT(S1721),LEN(W1721)&gt;0),TRUE,FALSE)</f>
        <v>0</v>
      </c>
      <c r="U1721" s="94" t="str">
        <f>SUBSTITUTE(SUBSTITUTE(SUBSTITUTE("dd"&amp;B1721&amp;C1721&amp;D1721&amp;E1721&amp;F1721,".","_"),"(","_"),")","")</f>
        <v>dd802_4_2</v>
      </c>
      <c r="V1721" s="648"/>
      <c r="W1721" s="12"/>
      <c r="X1721" s="1757"/>
      <c r="Y1721" s="2081" t="str">
        <f>IF(LEN('Ch8'!X92)=0,"None",'Ch8'!X92)</f>
        <v>None</v>
      </c>
      <c r="Z1721" s="2083"/>
      <c r="AA1721" s="1526"/>
      <c r="AB1721" s="648"/>
      <c r="AC1721" s="970" t="b">
        <f ca="1">OR(AD1721:AE1721)</f>
        <v>0</v>
      </c>
      <c r="AD1721" s="970" t="b">
        <f ca="1">T1721</f>
        <v>0</v>
      </c>
      <c r="AE1721" s="970"/>
      <c r="AF1721" s="784"/>
      <c r="AG1721" s="648"/>
      <c r="AH1721" s="648"/>
      <c r="AI1721" s="648"/>
      <c r="AJ1721" s="648"/>
      <c r="AK1721" s="648"/>
      <c r="AL1721" s="1336"/>
      <c r="AM1721" s="1336"/>
      <c r="AN1721" s="254" t="str">
        <f>SUBSTITUTE(SUBSTITUTE(SUBSTITUTE("vpc"&amp;$B1721&amp;$C1721&amp;$D1721&amp;$E1721,".","_"),"(","_"),")","")</f>
        <v>vpc802_4_2</v>
      </c>
      <c r="AO1721" s="254">
        <f ca="1">O1721</f>
        <v>0</v>
      </c>
      <c r="AP1721" s="254" t="str">
        <f>SUBSTITUTE(SUBSTITUTE(SUBSTITUTE("vch"&amp;$B1721&amp;$C1721&amp;$D1721&amp;$E1721,".","_"),"(","_"),")","")</f>
        <v>vch802_4_2</v>
      </c>
      <c r="AQ1721" s="254" t="str">
        <f>IF(LEN(W1721)=0,"",W1721)</f>
        <v/>
      </c>
      <c r="AR1721" s="254" t="str">
        <f>SUBSTITUTE(SUBSTITUTE(SUBSTITUTE("vnt"&amp;$B1721&amp;$C1721&amp;$D1721&amp;$E1721,".","_"),"(","_"),")","")</f>
        <v>vnt802_4_2</v>
      </c>
      <c r="AS1721" s="254" t="str">
        <f>IF(LEN(X1721)=0,"",X1721)</f>
        <v/>
      </c>
      <c r="AT1721" s="648"/>
      <c r="AU1721" s="648"/>
      <c r="AV1721" s="648"/>
      <c r="AW1721" s="648"/>
      <c r="AX1721" s="648"/>
      <c r="AY1721" s="648"/>
      <c r="AZ1721" s="648"/>
      <c r="BA1721" s="648"/>
      <c r="BB1721" s="648"/>
      <c r="BC1721" s="648"/>
      <c r="BD1721" s="648"/>
      <c r="BE1721" s="648"/>
      <c r="BF1721" s="648"/>
      <c r="BG1721" s="648"/>
      <c r="BH1721" s="648"/>
    </row>
    <row r="1722" spans="1:60" x14ac:dyDescent="0.25">
      <c r="A1722" s="2371">
        <v>8</v>
      </c>
      <c r="B1722" s="2385" t="s">
        <v>4410</v>
      </c>
      <c r="C1722" s="2374" t="s">
        <v>258</v>
      </c>
      <c r="D1722" s="2374"/>
      <c r="E1722" s="2374"/>
      <c r="F1722" s="2374"/>
      <c r="G1722" s="2373" t="str">
        <f ca="1">G1721</f>
        <v/>
      </c>
      <c r="H1722" s="2371" t="s">
        <v>3973</v>
      </c>
      <c r="I1722" s="64"/>
      <c r="J1722" s="78"/>
      <c r="K1722" s="4"/>
      <c r="L1722" s="1779"/>
      <c r="M1722" s="1014"/>
      <c r="N1722" s="2075"/>
      <c r="O1722" s="1780"/>
      <c r="P1722" s="94"/>
      <c r="Q1722" s="1500"/>
      <c r="R1722" s="1500"/>
      <c r="S1722" s="1500"/>
      <c r="T1722" s="94"/>
      <c r="U1722" s="94"/>
      <c r="V1722" s="648"/>
      <c r="W1722" s="648"/>
      <c r="X1722" s="1757"/>
      <c r="Y1722" s="2081"/>
      <c r="Z1722" s="2083"/>
      <c r="AA1722" s="1526"/>
      <c r="AB1722" s="648"/>
      <c r="AC1722" s="970"/>
      <c r="AD1722" s="970"/>
      <c r="AE1722" s="970"/>
      <c r="AF1722" s="648"/>
      <c r="AG1722" s="648"/>
      <c r="AH1722" s="648"/>
      <c r="AI1722" s="648"/>
      <c r="AJ1722" s="648"/>
      <c r="AK1722" s="648"/>
      <c r="AL1722" s="1336"/>
      <c r="AM1722" s="1336"/>
      <c r="AN1722" s="254"/>
      <c r="AO1722" s="254"/>
      <c r="AP1722" s="254"/>
      <c r="AQ1722" s="254"/>
      <c r="AR1722" s="254"/>
      <c r="AS1722" s="254"/>
      <c r="AT1722" s="648"/>
      <c r="AU1722" s="648"/>
      <c r="AV1722" s="648"/>
      <c r="AW1722" s="648"/>
      <c r="AX1722" s="648"/>
      <c r="AY1722" s="648"/>
      <c r="AZ1722" s="648"/>
      <c r="BA1722" s="648"/>
      <c r="BB1722" s="648"/>
      <c r="BC1722" s="648"/>
      <c r="BD1722" s="648"/>
      <c r="BE1722" s="648"/>
      <c r="BF1722" s="648"/>
      <c r="BG1722" s="648"/>
      <c r="BH1722" s="648"/>
    </row>
    <row r="1723" spans="1:60" x14ac:dyDescent="0.25">
      <c r="A1723" s="2371">
        <v>8</v>
      </c>
      <c r="B1723" s="2385" t="s">
        <v>4410</v>
      </c>
      <c r="C1723" s="2374" t="s">
        <v>258</v>
      </c>
      <c r="D1723" s="2374"/>
      <c r="E1723" s="2374"/>
      <c r="F1723" s="2374"/>
      <c r="G1723" s="2373" t="str">
        <f ca="1">G1722</f>
        <v/>
      </c>
      <c r="H1723" s="2375" t="s">
        <v>3973</v>
      </c>
      <c r="I1723" s="64"/>
      <c r="J1723" s="164"/>
      <c r="K1723" s="4"/>
      <c r="L1723" s="1779"/>
      <c r="M1723" s="1014"/>
      <c r="N1723" s="2075"/>
      <c r="O1723" s="1780"/>
      <c r="P1723" s="1500"/>
      <c r="Q1723" s="1500"/>
      <c r="R1723" s="1500"/>
      <c r="S1723" s="1500"/>
      <c r="T1723" s="1500"/>
      <c r="U1723" s="1500"/>
      <c r="V1723" s="648"/>
      <c r="W1723" s="648"/>
      <c r="X1723" s="1757"/>
      <c r="Y1723" s="2081"/>
      <c r="Z1723" s="2083"/>
      <c r="AA1723" s="1526"/>
      <c r="AB1723" s="648"/>
      <c r="AC1723" s="970"/>
      <c r="AD1723" s="970"/>
      <c r="AE1723" s="970"/>
      <c r="AF1723" s="648"/>
      <c r="AG1723" s="648"/>
      <c r="AH1723" s="648"/>
      <c r="AI1723" s="648"/>
      <c r="AJ1723" s="648"/>
      <c r="AK1723" s="648"/>
      <c r="AL1723" s="1336"/>
      <c r="AM1723" s="1336"/>
      <c r="AN1723" s="1336"/>
      <c r="AO1723" s="1336"/>
      <c r="AP1723" s="1336"/>
      <c r="AQ1723" s="1336"/>
      <c r="AR1723" s="1336"/>
      <c r="AS1723" s="1336"/>
      <c r="AT1723" s="648"/>
      <c r="AU1723" s="648"/>
      <c r="AV1723" s="648"/>
      <c r="AW1723" s="648"/>
      <c r="AX1723" s="648"/>
      <c r="AY1723" s="648"/>
      <c r="AZ1723" s="648"/>
      <c r="BA1723" s="648"/>
      <c r="BB1723" s="648"/>
      <c r="BC1723" s="648"/>
      <c r="BD1723" s="648"/>
      <c r="BE1723" s="648"/>
      <c r="BF1723" s="648"/>
      <c r="BG1723" s="648"/>
      <c r="BH1723" s="648"/>
    </row>
    <row r="1724" spans="1:60" x14ac:dyDescent="0.25">
      <c r="A1724" s="2371">
        <v>8</v>
      </c>
      <c r="B1724" s="2385" t="s">
        <v>4410</v>
      </c>
      <c r="C1724" s="2374" t="s">
        <v>258</v>
      </c>
      <c r="D1724" s="2374" t="s">
        <v>121</v>
      </c>
      <c r="E1724" s="2374"/>
      <c r="F1724" s="2374"/>
      <c r="G1724" s="2373" t="str">
        <f ca="1">G1723</f>
        <v/>
      </c>
      <c r="H1724" s="2375" t="s">
        <v>3973</v>
      </c>
      <c r="I1724" s="4"/>
      <c r="J1724" s="164"/>
      <c r="K1724" s="27" t="s">
        <v>121</v>
      </c>
      <c r="L1724" s="1157" t="s">
        <v>4416</v>
      </c>
      <c r="M1724" s="1014" t="s">
        <v>789</v>
      </c>
      <c r="N1724" s="1042"/>
      <c r="O1724" s="1506"/>
      <c r="P1724" s="1500"/>
      <c r="Q1724" s="1500"/>
      <c r="R1724" s="1500"/>
      <c r="S1724" s="1500"/>
      <c r="T1724" s="1500"/>
      <c r="U1724" s="1500"/>
      <c r="V1724" s="648"/>
      <c r="W1724" s="648"/>
      <c r="X1724" s="1757"/>
      <c r="Y1724" s="2081"/>
      <c r="Z1724" s="2083"/>
      <c r="AA1724" s="1526"/>
      <c r="AB1724" s="648"/>
      <c r="AC1724" s="970"/>
      <c r="AD1724" s="970"/>
      <c r="AE1724" s="970"/>
      <c r="AF1724" s="648"/>
      <c r="AG1724" s="648"/>
      <c r="AH1724" s="648"/>
      <c r="AI1724" s="648"/>
      <c r="AJ1724" s="648"/>
      <c r="AK1724" s="648"/>
      <c r="AL1724" s="254" t="str">
        <f>SUBSTITUTE(SUBSTITUTE(SUBSTITUTE("vpa"&amp;$B1724&amp;$C1724&amp;$D1724&amp;$E1724,".","_"),"(","_"),")","")</f>
        <v>vpa802_4_2_a</v>
      </c>
      <c r="AM1724" s="254" t="str">
        <f>M1724</f>
        <v xml:space="preserve">6 Additional </v>
      </c>
      <c r="AN1724" s="1336"/>
      <c r="AO1724" s="1336"/>
      <c r="AP1724" s="1336"/>
      <c r="AQ1724" s="1336"/>
      <c r="AR1724" s="1336"/>
      <c r="AS1724" s="1336"/>
      <c r="AT1724" s="648"/>
      <c r="AU1724" s="648"/>
      <c r="AV1724" s="648"/>
      <c r="AW1724" s="648"/>
      <c r="AX1724" s="648"/>
      <c r="AY1724" s="648"/>
      <c r="AZ1724" s="648"/>
      <c r="BA1724" s="648"/>
      <c r="BB1724" s="648"/>
      <c r="BC1724" s="648"/>
      <c r="BD1724" s="648"/>
      <c r="BE1724" s="648"/>
      <c r="BF1724" s="648"/>
      <c r="BG1724" s="648"/>
      <c r="BH1724" s="648"/>
    </row>
    <row r="1725" spans="1:60" x14ac:dyDescent="0.25">
      <c r="A1725" s="2371">
        <v>8</v>
      </c>
      <c r="B1725" s="2385" t="s">
        <v>4410</v>
      </c>
      <c r="C1725" s="2374" t="s">
        <v>258</v>
      </c>
      <c r="D1725" s="2374" t="s">
        <v>122</v>
      </c>
      <c r="E1725" s="2374"/>
      <c r="F1725" s="2374"/>
      <c r="G1725" s="2373" t="str">
        <f ca="1">G1724</f>
        <v/>
      </c>
      <c r="H1725" s="2375" t="s">
        <v>3973</v>
      </c>
      <c r="I1725" s="4"/>
      <c r="J1725" s="524"/>
      <c r="K1725" s="206" t="s">
        <v>122</v>
      </c>
      <c r="L1725" s="1158" t="s">
        <v>4417</v>
      </c>
      <c r="M1725" s="1015" t="s">
        <v>790</v>
      </c>
      <c r="N1725" s="1047"/>
      <c r="O1725" s="1502"/>
      <c r="P1725" s="1500"/>
      <c r="Q1725" s="1500"/>
      <c r="R1725" s="1500"/>
      <c r="S1725" s="1500"/>
      <c r="T1725" s="1500"/>
      <c r="U1725" s="1500"/>
      <c r="V1725" s="648"/>
      <c r="W1725" s="648"/>
      <c r="X1725" s="1757"/>
      <c r="Y1725" s="2081"/>
      <c r="Z1725" s="2083"/>
      <c r="AA1725" s="1526"/>
      <c r="AB1725" s="648"/>
      <c r="AC1725" s="970"/>
      <c r="AD1725" s="970"/>
      <c r="AE1725" s="970"/>
      <c r="AF1725" s="648"/>
      <c r="AG1725" s="648"/>
      <c r="AH1725" s="648"/>
      <c r="AI1725" s="648"/>
      <c r="AJ1725" s="648"/>
      <c r="AK1725" s="648"/>
      <c r="AL1725" s="254" t="str">
        <f>SUBSTITUTE(SUBSTITUTE(SUBSTITUTE("vpa"&amp;$B1725&amp;$C1725&amp;$D1725&amp;$E1725,".","_"),"(","_"),")","")</f>
        <v>vpa802_4_2_b</v>
      </c>
      <c r="AM1725" s="254" t="str">
        <f>M1725</f>
        <v xml:space="preserve">10 Additional </v>
      </c>
      <c r="AN1725" s="1336"/>
      <c r="AO1725" s="1336"/>
      <c r="AP1725" s="1336"/>
      <c r="AQ1725" s="1336"/>
      <c r="AR1725" s="1336"/>
      <c r="AS1725" s="1336"/>
      <c r="AT1725" s="648"/>
      <c r="AU1725" s="648"/>
      <c r="AV1725" s="648"/>
      <c r="AW1725" s="648"/>
      <c r="AX1725" s="648"/>
      <c r="AY1725" s="648"/>
      <c r="AZ1725" s="648"/>
      <c r="BA1725" s="648"/>
      <c r="BB1725" s="648"/>
      <c r="BC1725" s="648"/>
      <c r="BD1725" s="648"/>
      <c r="BE1725" s="648"/>
      <c r="BF1725" s="648"/>
      <c r="BG1725" s="648"/>
      <c r="BH1725" s="648"/>
    </row>
    <row r="1726" spans="1:60" ht="15" customHeight="1" x14ac:dyDescent="0.25">
      <c r="A1726" s="2371">
        <v>8</v>
      </c>
      <c r="B1726" s="2385" t="s">
        <v>4410</v>
      </c>
      <c r="C1726" s="2374" t="s">
        <v>260</v>
      </c>
      <c r="D1726" s="2374"/>
      <c r="E1726" s="2374"/>
      <c r="F1726" s="2374"/>
      <c r="G1726" s="2373" t="str">
        <f ca="1">IF(N1726&gt;0,"P","")</f>
        <v/>
      </c>
      <c r="H1726" s="2371" t="s">
        <v>3973</v>
      </c>
      <c r="I1726" s="64"/>
      <c r="J1726" s="78" t="s">
        <v>260</v>
      </c>
      <c r="K1726" s="4"/>
      <c r="L1726" s="1170" t="s">
        <v>791</v>
      </c>
      <c r="M1726" s="1788" t="s">
        <v>3596</v>
      </c>
      <c r="N1726" s="1927">
        <f ca="1">'Ch8'!O97</f>
        <v>0</v>
      </c>
      <c r="O1726" s="1774">
        <f ca="1">IFERROR(MATCH(W1726,INDIRECT(U1726),0),0)*S1726</f>
        <v>0</v>
      </c>
      <c r="P1726" s="94" t="b">
        <v>0</v>
      </c>
      <c r="Q1726" s="1500" t="b">
        <v>1</v>
      </c>
      <c r="R1726" s="94" t="b">
        <v>0</v>
      </c>
      <c r="S1726" s="94" t="b">
        <f ca="1">S1643=2</f>
        <v>0</v>
      </c>
      <c r="T1726" s="94" t="b">
        <f ca="1">IF(AND(NOT(S1726),LEN(W1726)&gt;0),TRUE,FALSE)</f>
        <v>0</v>
      </c>
      <c r="U1726" s="94" t="str">
        <f>SUBSTITUTE(SUBSTITUTE(SUBSTITUTE("dd"&amp;B1726&amp;C1726&amp;D1726&amp;E1726&amp;F1726,".","_"),"(","_"),")","")</f>
        <v>dd802_4_3</v>
      </c>
      <c r="V1726" s="94"/>
      <c r="W1726" s="12"/>
      <c r="X1726" s="1757"/>
      <c r="Y1726" s="2081" t="str">
        <f>IF(LEN('Ch8'!X97)=0,"None",'Ch8'!X97)</f>
        <v>None</v>
      </c>
      <c r="Z1726" s="2084"/>
      <c r="AA1726" s="1526"/>
      <c r="AB1726" s="648"/>
      <c r="AC1726" s="970" t="b">
        <f ca="1">OR(AD1726:AE1726)</f>
        <v>0</v>
      </c>
      <c r="AD1726" s="970" t="b">
        <f ca="1">T1726</f>
        <v>0</v>
      </c>
      <c r="AE1726" s="970"/>
      <c r="AF1726" s="784"/>
      <c r="AG1726" s="648"/>
      <c r="AH1726" s="648"/>
      <c r="AI1726" s="648"/>
      <c r="AJ1726" s="648"/>
      <c r="AK1726" s="648"/>
      <c r="AL1726" s="254" t="str">
        <f>SUBSTITUTE(SUBSTITUTE(SUBSTITUTE("vpa"&amp;$B1726&amp;$C1726&amp;$D1726&amp;$E1726,".","_"),"(","_"),")","")</f>
        <v>vpa802_4_3</v>
      </c>
      <c r="AM1726" s="254" t="str">
        <f>M1726</f>
        <v>1
3 Max</v>
      </c>
      <c r="AN1726" s="254" t="str">
        <f>SUBSTITUTE(SUBSTITUTE(SUBSTITUTE("vpc"&amp;$B1726&amp;$C1726&amp;$D1726&amp;$E1726,".","_"),"(","_"),")","")</f>
        <v>vpc802_4_3</v>
      </c>
      <c r="AO1726" s="254">
        <f ca="1">O1726</f>
        <v>0</v>
      </c>
      <c r="AP1726" s="254" t="str">
        <f>SUBSTITUTE(SUBSTITUTE(SUBSTITUTE("vch"&amp;$B1726&amp;$C1726&amp;$D1726&amp;$E1726,".","_"),"(","_"),")","")</f>
        <v>vch802_4_3</v>
      </c>
      <c r="AQ1726" s="254" t="str">
        <f>IF(LEN(W1726)=0,"",W1726)</f>
        <v/>
      </c>
      <c r="AR1726" s="254" t="str">
        <f>SUBSTITUTE(SUBSTITUTE(SUBSTITUTE("vnt"&amp;$B1726&amp;$C1726&amp;$D1726&amp;$E1726,".","_"),"(","_"),")","")</f>
        <v>vnt802_4_3</v>
      </c>
      <c r="AS1726" s="254" t="str">
        <f>IF(LEN(X1726)=0,"",X1726)</f>
        <v/>
      </c>
      <c r="AT1726" s="648"/>
      <c r="AU1726" s="648"/>
      <c r="AV1726" s="648"/>
      <c r="AW1726" s="648"/>
      <c r="AX1726" s="648"/>
      <c r="AY1726" s="648"/>
      <c r="AZ1726" s="648"/>
      <c r="BA1726" s="648"/>
      <c r="BB1726" s="648"/>
      <c r="BC1726" s="648"/>
      <c r="BD1726" s="648"/>
      <c r="BE1726" s="648"/>
      <c r="BF1726" s="648"/>
      <c r="BG1726" s="648"/>
      <c r="BH1726" s="648"/>
    </row>
    <row r="1727" spans="1:60" ht="15.75" thickBot="1" x14ac:dyDescent="0.3">
      <c r="A1727" s="2371">
        <v>8</v>
      </c>
      <c r="B1727" s="2385" t="s">
        <v>4410</v>
      </c>
      <c r="C1727" s="2374" t="s">
        <v>260</v>
      </c>
      <c r="D1727" s="2374"/>
      <c r="E1727" s="2374"/>
      <c r="F1727" s="2374"/>
      <c r="G1727" s="2373" t="str">
        <f ca="1">G1726</f>
        <v/>
      </c>
      <c r="H1727" s="2371" t="s">
        <v>3973</v>
      </c>
      <c r="I1727" s="189"/>
      <c r="J1727" s="481"/>
      <c r="K1727" s="240"/>
      <c r="L1727" s="1194" t="s">
        <v>792</v>
      </c>
      <c r="M1727" s="1915"/>
      <c r="N1727" s="1928"/>
      <c r="O1727" s="1775"/>
      <c r="P1727" s="99"/>
      <c r="Q1727" s="99"/>
      <c r="R1727" s="99"/>
      <c r="S1727" s="99"/>
      <c r="T1727" s="99"/>
      <c r="U1727" s="99"/>
      <c r="V1727" s="99"/>
      <c r="W1727" s="99"/>
      <c r="X1727" s="1771"/>
      <c r="Y1727" s="2082"/>
      <c r="Z1727" s="2086"/>
      <c r="AA1727" s="1526"/>
      <c r="AB1727" s="648"/>
      <c r="AC1727" s="970"/>
      <c r="AD1727" s="970"/>
      <c r="AE1727" s="970"/>
      <c r="AF1727" s="648"/>
      <c r="AG1727" s="648"/>
      <c r="AH1727" s="648"/>
      <c r="AI1727" s="648"/>
      <c r="AJ1727" s="648"/>
      <c r="AK1727" s="648"/>
      <c r="AL1727" s="1336"/>
      <c r="AM1727" s="1336"/>
      <c r="AN1727" s="1336"/>
      <c r="AO1727" s="1336"/>
      <c r="AP1727" s="1336"/>
      <c r="AQ1727" s="1336"/>
      <c r="AR1727" s="1336"/>
      <c r="AS1727" s="1336"/>
      <c r="AT1727" s="648"/>
      <c r="AU1727" s="648"/>
      <c r="AV1727" s="648"/>
      <c r="AW1727" s="648"/>
      <c r="AX1727" s="648"/>
      <c r="AY1727" s="648"/>
      <c r="AZ1727" s="648"/>
      <c r="BA1727" s="648"/>
      <c r="BB1727" s="648"/>
      <c r="BC1727" s="648"/>
      <c r="BD1727" s="648"/>
      <c r="BE1727" s="648"/>
      <c r="BF1727" s="648"/>
      <c r="BG1727" s="648"/>
      <c r="BH1727" s="648"/>
    </row>
    <row r="1728" spans="1:60" ht="15.75" thickTop="1" x14ac:dyDescent="0.25">
      <c r="A1728" s="2371">
        <v>8</v>
      </c>
      <c r="B1728" s="2385" t="s">
        <v>4420</v>
      </c>
      <c r="C1728" s="2374"/>
      <c r="D1728" s="2374"/>
      <c r="E1728" s="2374"/>
      <c r="F1728" s="2374"/>
      <c r="G1728" s="2363" t="str">
        <f ca="1">IF(COUNTIF(G1729:G1746,"P")&gt;0,"P","")</f>
        <v/>
      </c>
      <c r="H1728" s="2371" t="s">
        <v>3973</v>
      </c>
      <c r="I1728" s="180">
        <v>802.5</v>
      </c>
      <c r="J1728" s="952"/>
      <c r="K1728" s="181"/>
      <c r="L1728" s="1189" t="s">
        <v>4418</v>
      </c>
      <c r="M1728" s="1009"/>
      <c r="N1728" s="1046"/>
      <c r="O1728" s="1503"/>
      <c r="P1728" s="105"/>
      <c r="Q1728" s="105"/>
      <c r="R1728" s="105"/>
      <c r="S1728" s="105"/>
      <c r="T1728" s="105"/>
      <c r="U1728" s="105"/>
      <c r="V1728" s="105"/>
      <c r="W1728" s="105"/>
      <c r="X1728" s="105"/>
      <c r="Y1728" s="648"/>
      <c r="AA1728" s="1526"/>
      <c r="AB1728" s="648"/>
      <c r="AC1728" s="970"/>
      <c r="AD1728" s="970"/>
      <c r="AE1728" s="970"/>
      <c r="AF1728" s="648"/>
      <c r="AG1728" s="648"/>
      <c r="AH1728" s="648"/>
      <c r="AI1728" s="648"/>
      <c r="AJ1728" s="648"/>
      <c r="AK1728" s="648"/>
      <c r="AL1728" s="1336"/>
      <c r="AM1728" s="1336"/>
      <c r="AN1728" s="1336"/>
      <c r="AO1728" s="1336"/>
      <c r="AP1728" s="1336"/>
      <c r="AQ1728" s="1336"/>
      <c r="AR1728" s="1336"/>
      <c r="AS1728" s="1336"/>
      <c r="AT1728" s="648"/>
      <c r="AU1728" s="648"/>
      <c r="AV1728" s="648"/>
      <c r="AW1728" s="648"/>
      <c r="AX1728" s="648"/>
      <c r="AY1728" s="648"/>
      <c r="AZ1728" s="648"/>
      <c r="BA1728" s="648"/>
      <c r="BB1728" s="648"/>
      <c r="BC1728" s="648"/>
      <c r="BD1728" s="648"/>
      <c r="BE1728" s="648"/>
      <c r="BF1728" s="648"/>
      <c r="BG1728" s="648"/>
      <c r="BH1728" s="648"/>
    </row>
    <row r="1729" spans="1:60" ht="15" customHeight="1" x14ac:dyDescent="0.25">
      <c r="A1729" s="2371">
        <v>8</v>
      </c>
      <c r="B1729" s="2385" t="s">
        <v>4412</v>
      </c>
      <c r="C1729" s="2374" t="s">
        <v>2971</v>
      </c>
      <c r="D1729" s="2374"/>
      <c r="E1729" s="2374"/>
      <c r="F1729" s="2374"/>
      <c r="G1729" s="2373" t="str">
        <f ca="1">IF(N1729&gt;0,"P","")</f>
        <v/>
      </c>
      <c r="H1729" s="2371" t="s">
        <v>3973</v>
      </c>
      <c r="I1729" s="64" t="s">
        <v>4412</v>
      </c>
      <c r="J1729" s="164"/>
      <c r="K1729" s="4"/>
      <c r="L1729" s="1796" t="s">
        <v>4419</v>
      </c>
      <c r="M1729" s="1010"/>
      <c r="N1729" s="1927">
        <f ca="1">'Ch8'!O100</f>
        <v>0</v>
      </c>
      <c r="O1729" s="1780">
        <f ca="1">(S1730*S1732+IFERROR(INDEX({0,0,6,8,12},MATCH(W1731,INDIRECT(U1731),0)),0))*S1729</f>
        <v>0</v>
      </c>
      <c r="P1729" s="1500" t="b">
        <v>0</v>
      </c>
      <c r="Q1729" s="1500" t="b">
        <v>1</v>
      </c>
      <c r="R1729" s="1500" t="b">
        <v>0</v>
      </c>
      <c r="S1729" s="1500" t="b">
        <f ca="1">S1643=2</f>
        <v>0</v>
      </c>
      <c r="T1729" s="1500" t="b">
        <f ca="1">IF(AND(NOT(S1729),LEN(W1729)&gt;0),TRUE,FALSE)</f>
        <v>0</v>
      </c>
      <c r="U1729" s="1500" t="str">
        <f>SUBSTITUTE(SUBSTITUTE(SUBSTITUTE("dd"&amp;B1729&amp;C1729&amp;D1729&amp;E1729&amp;F1729,".","_"),"(","_"),")","")</f>
        <v>dd802_5_1a</v>
      </c>
      <c r="V1729" s="94"/>
      <c r="W1729" s="12"/>
      <c r="X1729" s="1757"/>
      <c r="Y1729" s="2099" t="str">
        <f>IF(LEN('Ch8'!X100)=0,"None",'Ch8'!X100)</f>
        <v>None</v>
      </c>
      <c r="Z1729" s="2087"/>
      <c r="AA1729" s="1526"/>
      <c r="AB1729" s="648"/>
      <c r="AC1729" s="970" t="b">
        <f ca="1">OR(AD1729:AE1729)</f>
        <v>0</v>
      </c>
      <c r="AD1729" s="970" t="b">
        <f ca="1">T1729</f>
        <v>0</v>
      </c>
      <c r="AE1729" s="970"/>
      <c r="AF1729" s="911"/>
      <c r="AG1729" s="648"/>
      <c r="AH1729" s="648"/>
      <c r="AI1729" s="648"/>
      <c r="AJ1729" s="648"/>
      <c r="AK1729" s="648"/>
      <c r="AL1729" s="1336"/>
      <c r="AM1729" s="1336"/>
      <c r="AN1729" s="254" t="str">
        <f>SUBSTITUTE(SUBSTITUTE(SUBSTITUTE("vpc"&amp;$B1729&amp;$C1729&amp;$D1729&amp;$E1729,".","_"),"(","_"),")","")</f>
        <v>vpc802_5_1a</v>
      </c>
      <c r="AO1729" s="254">
        <f ca="1">O1729</f>
        <v>0</v>
      </c>
      <c r="AP1729" s="254" t="str">
        <f>SUBSTITUTE(SUBSTITUTE(SUBSTITUTE("vch"&amp;$B1729&amp;$C1729&amp;$D1729&amp;$E1729,".","_"),"(","_"),")","")</f>
        <v>vch802_5_1a</v>
      </c>
      <c r="AQ1729" s="254" t="str">
        <f>IF(LEN(W1729)=0,"",W1729)</f>
        <v/>
      </c>
      <c r="AR1729" s="254" t="str">
        <f>SUBSTITUTE(SUBSTITUTE(SUBSTITUTE("vnt"&amp;$B1729&amp;$C1729&amp;$D1729&amp;$E1729,".","_"),"(","_"),")","")</f>
        <v>vnt802_5_1a</v>
      </c>
      <c r="AS1729" s="254" t="str">
        <f>IF(LEN(X1729)=0,"",X1729)</f>
        <v/>
      </c>
      <c r="AT1729" s="648"/>
      <c r="AU1729" s="648"/>
      <c r="AV1729" s="648"/>
      <c r="AW1729" s="648"/>
      <c r="AX1729" s="648"/>
      <c r="AY1729" s="648"/>
      <c r="AZ1729" s="648"/>
      <c r="BA1729" s="648"/>
      <c r="BB1729" s="648"/>
      <c r="BC1729" s="648"/>
      <c r="BD1729" s="648"/>
      <c r="BE1729" s="648"/>
      <c r="BF1729" s="648"/>
      <c r="BG1729" s="648"/>
      <c r="BH1729" s="648"/>
    </row>
    <row r="1730" spans="1:60" s="868" customFormat="1" x14ac:dyDescent="0.25">
      <c r="A1730" s="2371">
        <v>8</v>
      </c>
      <c r="B1730" s="2385" t="s">
        <v>4412</v>
      </c>
      <c r="C1730" s="2374"/>
      <c r="D1730" s="2374"/>
      <c r="E1730" s="2374"/>
      <c r="F1730" s="2374"/>
      <c r="G1730" s="2373" t="str">
        <f t="shared" ref="G1730:G1740" ca="1" si="105">G1729</f>
        <v/>
      </c>
      <c r="H1730" s="2371" t="s">
        <v>3973</v>
      </c>
      <c r="I1730" s="64"/>
      <c r="J1730" s="164"/>
      <c r="K1730" s="4"/>
      <c r="L1730" s="1796"/>
      <c r="M1730" s="1010"/>
      <c r="N1730" s="1927"/>
      <c r="O1730" s="1780"/>
      <c r="P1730" s="1500"/>
      <c r="Q1730" s="1500"/>
      <c r="R1730" s="1500"/>
      <c r="S1730" s="1">
        <f ca="1">IFERROR(MATCH(W1729,INDIRECT(U1729),0),0)</f>
        <v>0</v>
      </c>
      <c r="T1730" s="1500"/>
      <c r="U1730" s="1500"/>
      <c r="V1730" s="94"/>
      <c r="W1730" s="94"/>
      <c r="X1730" s="1757"/>
      <c r="Y1730" s="2100"/>
      <c r="Z1730" s="2091"/>
      <c r="AA1730" s="1526"/>
      <c r="AC1730" s="970"/>
      <c r="AD1730" s="970"/>
      <c r="AE1730" s="970"/>
      <c r="AF1730" s="911"/>
      <c r="AL1730" s="1336"/>
      <c r="AM1730" s="1336"/>
      <c r="AN1730" s="1336"/>
      <c r="AO1730" s="1336"/>
      <c r="AP1730" s="1336"/>
      <c r="AQ1730" s="1336"/>
      <c r="AR1730" s="1336"/>
      <c r="AS1730" s="1336"/>
    </row>
    <row r="1731" spans="1:60" x14ac:dyDescent="0.25">
      <c r="A1731" s="2371">
        <v>8</v>
      </c>
      <c r="B1731" s="2385" t="s">
        <v>4412</v>
      </c>
      <c r="C1731" s="2374" t="s">
        <v>2972</v>
      </c>
      <c r="D1731" s="2374"/>
      <c r="E1731" s="2374"/>
      <c r="F1731" s="2374"/>
      <c r="G1731" s="2373" t="str">
        <f t="shared" ca="1" si="105"/>
        <v/>
      </c>
      <c r="H1731" s="2371" t="s">
        <v>3973</v>
      </c>
      <c r="I1731" s="64"/>
      <c r="J1731" s="164"/>
      <c r="K1731" s="4"/>
      <c r="L1731" s="1796"/>
      <c r="M1731" s="1014"/>
      <c r="N1731" s="1927"/>
      <c r="O1731" s="1780"/>
      <c r="P1731" s="1500" t="b">
        <v>0</v>
      </c>
      <c r="Q1731" s="1500" t="b">
        <v>1</v>
      </c>
      <c r="R1731" s="178" t="b">
        <v>0</v>
      </c>
      <c r="S1731" s="178" t="b">
        <f ca="1">AND(LEN(W1729)&gt;0,S1643=2)</f>
        <v>0</v>
      </c>
      <c r="T1731" s="1500" t="b">
        <f ca="1">IF(AND(NOT(S1731),LEN(W1731)&gt;0),TRUE,FALSE)</f>
        <v>0</v>
      </c>
      <c r="U1731" s="1500" t="str">
        <f>SUBSTITUTE(SUBSTITUTE(SUBSTITUTE("dd"&amp;B1731&amp;C1731&amp;D1731&amp;E1731&amp;F1731,".","_"),"(","_"),")","")</f>
        <v>dd802_5_1b</v>
      </c>
      <c r="V1731" s="648"/>
      <c r="W1731" s="12"/>
      <c r="X1731" s="1757"/>
      <c r="Y1731" s="2100"/>
      <c r="Z1731" s="2091"/>
      <c r="AA1731" s="1526"/>
      <c r="AB1731" s="648"/>
      <c r="AC1731" s="970" t="b">
        <f ca="1">OR(AD1731:AE1731)</f>
        <v>0</v>
      </c>
      <c r="AD1731" s="970" t="b">
        <f ca="1">T1731</f>
        <v>0</v>
      </c>
      <c r="AE1731" s="970"/>
      <c r="AF1731" s="911"/>
      <c r="AG1731" s="648"/>
      <c r="AH1731" s="648"/>
      <c r="AI1731" s="648"/>
      <c r="AJ1731" s="648"/>
      <c r="AK1731" s="648"/>
      <c r="AL1731" s="1336"/>
      <c r="AM1731" s="1336"/>
      <c r="AN1731" s="1336"/>
      <c r="AO1731" s="1336"/>
      <c r="AP1731" s="254" t="str">
        <f>SUBSTITUTE(SUBSTITUTE(SUBSTITUTE("vch"&amp;$B1731&amp;$C1731&amp;$D1731&amp;$E1731,".","_"),"(","_"),")","")</f>
        <v>vch802_5_1b</v>
      </c>
      <c r="AQ1731" s="254" t="str">
        <f>IF(LEN(W1731)=0,"",W1731)</f>
        <v/>
      </c>
      <c r="AR1731" s="1336"/>
      <c r="AS1731" s="1336"/>
      <c r="AT1731" s="648"/>
      <c r="AU1731" s="648"/>
      <c r="AV1731" s="648"/>
      <c r="AW1731" s="648"/>
      <c r="AX1731" s="648"/>
      <c r="AY1731" s="648"/>
      <c r="AZ1731" s="648"/>
      <c r="BA1731" s="648"/>
      <c r="BB1731" s="648"/>
      <c r="BC1731" s="648"/>
      <c r="BD1731" s="648"/>
      <c r="BE1731" s="648"/>
      <c r="BF1731" s="648"/>
      <c r="BG1731" s="648"/>
      <c r="BH1731" s="648"/>
    </row>
    <row r="1732" spans="1:60" ht="15" customHeight="1" x14ac:dyDescent="0.25">
      <c r="A1732" s="2371">
        <v>8</v>
      </c>
      <c r="B1732" s="2385" t="s">
        <v>4412</v>
      </c>
      <c r="C1732" s="2374" t="s">
        <v>256</v>
      </c>
      <c r="D1732" s="2374"/>
      <c r="E1732" s="2374"/>
      <c r="F1732" s="2374"/>
      <c r="G1732" s="2373" t="str">
        <f t="shared" ca="1" si="105"/>
        <v/>
      </c>
      <c r="H1732" s="2371" t="s">
        <v>3973</v>
      </c>
      <c r="I1732" s="64"/>
      <c r="J1732" s="78" t="s">
        <v>256</v>
      </c>
      <c r="K1732" s="4"/>
      <c r="L1732" s="1170" t="s">
        <v>4430</v>
      </c>
      <c r="M1732" s="1788" t="s">
        <v>3596</v>
      </c>
      <c r="N1732" s="664"/>
      <c r="O1732" s="1506"/>
      <c r="P1732" s="1500"/>
      <c r="Q1732" s="1500"/>
      <c r="R1732" s="1500"/>
      <c r="S1732" s="1">
        <f ca="1">MIN(2,(IFERROR(MATCH(W1731,INDIRECT(U1731),0),0)))</f>
        <v>0</v>
      </c>
      <c r="T1732" s="1500"/>
      <c r="U1732" s="1500"/>
      <c r="V1732" s="648"/>
      <c r="W1732"/>
      <c r="X1732" s="1757"/>
      <c r="Y1732" s="2100"/>
      <c r="Z1732" s="2091"/>
      <c r="AA1732" s="1526"/>
      <c r="AB1732" s="648"/>
      <c r="AC1732" s="970"/>
      <c r="AD1732" s="970"/>
      <c r="AE1732" s="970"/>
      <c r="AF1732" s="911"/>
      <c r="AG1732" s="648"/>
      <c r="AH1732" s="648"/>
      <c r="AI1732" s="648"/>
      <c r="AJ1732" s="648"/>
      <c r="AK1732" s="648"/>
      <c r="AL1732" s="254" t="str">
        <f>SUBSTITUTE(SUBSTITUTE(SUBSTITUTE("vpa"&amp;$B1732&amp;$C1732&amp;$D1732&amp;$E1732,".","_"),"(","_"),")","")</f>
        <v>vpa802_5_1_1</v>
      </c>
      <c r="AM1732" s="254" t="str">
        <f>M1732</f>
        <v>1
3 Max</v>
      </c>
      <c r="AN1732" s="1336"/>
      <c r="AO1732" s="1336"/>
      <c r="AP1732" s="1336"/>
      <c r="AQ1732" s="1336"/>
      <c r="AR1732" s="1336"/>
      <c r="AS1732" s="1336"/>
      <c r="AT1732" s="648"/>
      <c r="AU1732" s="648"/>
      <c r="AV1732" s="648"/>
      <c r="AW1732" s="648"/>
      <c r="AX1732" s="648"/>
      <c r="AY1732" s="648"/>
      <c r="AZ1732" s="648"/>
      <c r="BA1732" s="648"/>
      <c r="BB1732" s="648"/>
      <c r="BC1732" s="648"/>
      <c r="BD1732" s="648"/>
      <c r="BE1732" s="648"/>
      <c r="BF1732" s="648"/>
      <c r="BG1732" s="648"/>
      <c r="BH1732" s="648"/>
    </row>
    <row r="1733" spans="1:60" ht="15" customHeight="1" x14ac:dyDescent="0.25">
      <c r="A1733" s="2371">
        <v>8</v>
      </c>
      <c r="B1733" s="2385" t="s">
        <v>4412</v>
      </c>
      <c r="C1733" s="2374" t="s">
        <v>256</v>
      </c>
      <c r="D1733" s="2374"/>
      <c r="E1733" s="2374"/>
      <c r="F1733" s="2374"/>
      <c r="G1733" s="2373" t="str">
        <f t="shared" ca="1" si="105"/>
        <v/>
      </c>
      <c r="H1733" s="2371" t="s">
        <v>3973</v>
      </c>
      <c r="I1733" s="64"/>
      <c r="J1733" s="164"/>
      <c r="K1733" s="4"/>
      <c r="L1733" s="1851" t="s">
        <v>4432</v>
      </c>
      <c r="M1733" s="1758"/>
      <c r="N1733" s="664"/>
      <c r="O1733" s="1500"/>
      <c r="P1733" s="1500"/>
      <c r="Q1733" s="1500"/>
      <c r="R1733" s="1500"/>
      <c r="S1733" s="1500"/>
      <c r="T1733" s="1500"/>
      <c r="U1733" s="1500"/>
      <c r="V1733" s="648"/>
      <c r="W1733"/>
      <c r="X1733" s="1757"/>
      <c r="Y1733" s="2100"/>
      <c r="Z1733" s="2091"/>
      <c r="AA1733" s="1526"/>
      <c r="AB1733" s="648"/>
      <c r="AC1733" s="970"/>
      <c r="AD1733" s="970"/>
      <c r="AE1733" s="970"/>
      <c r="AF1733" s="911"/>
      <c r="AG1733" s="648"/>
      <c r="AH1733" s="648"/>
      <c r="AI1733" s="648"/>
      <c r="AJ1733" s="648"/>
      <c r="AK1733" s="648"/>
      <c r="AL1733" s="1336"/>
      <c r="AM1733" s="1336"/>
      <c r="AN1733" s="1336"/>
      <c r="AO1733" s="1336"/>
      <c r="AP1733" s="1336"/>
      <c r="AQ1733" s="1336"/>
      <c r="AR1733" s="1336"/>
      <c r="AS1733" s="1336"/>
      <c r="AT1733" s="648"/>
      <c r="AU1733" s="648"/>
      <c r="AV1733" s="648"/>
      <c r="AW1733" s="648"/>
      <c r="AX1733" s="648"/>
      <c r="AY1733" s="648"/>
      <c r="AZ1733" s="648"/>
      <c r="BA1733" s="648"/>
      <c r="BB1733" s="648"/>
      <c r="BC1733" s="648"/>
      <c r="BD1733" s="648"/>
      <c r="BE1733" s="648"/>
      <c r="BF1733" s="648"/>
      <c r="BG1733" s="648"/>
      <c r="BH1733" s="648"/>
    </row>
    <row r="1734" spans="1:60" x14ac:dyDescent="0.25">
      <c r="A1734" s="2371">
        <v>8</v>
      </c>
      <c r="B1734" s="2385" t="s">
        <v>4412</v>
      </c>
      <c r="C1734" s="2374" t="s">
        <v>256</v>
      </c>
      <c r="D1734" s="2374"/>
      <c r="E1734" s="2374"/>
      <c r="F1734" s="2374"/>
      <c r="G1734" s="2373" t="str">
        <f t="shared" ca="1" si="105"/>
        <v/>
      </c>
      <c r="H1734" s="2371" t="s">
        <v>3973</v>
      </c>
      <c r="I1734" s="64"/>
      <c r="J1734" s="164"/>
      <c r="K1734" s="4"/>
      <c r="L1734" s="1851"/>
      <c r="M1734" s="1758"/>
      <c r="N1734" s="664"/>
      <c r="O1734" s="1500"/>
      <c r="P1734" s="1500"/>
      <c r="Q1734" s="1500"/>
      <c r="R1734" s="1500"/>
      <c r="S1734" s="1500"/>
      <c r="T1734" s="1500"/>
      <c r="U1734" s="1500"/>
      <c r="V1734" s="648"/>
      <c r="W1734"/>
      <c r="X1734" s="1757"/>
      <c r="Y1734" s="2100"/>
      <c r="Z1734" s="2091"/>
      <c r="AA1734" s="1526"/>
      <c r="AB1734" s="648"/>
      <c r="AC1734" s="970"/>
      <c r="AD1734" s="970"/>
      <c r="AE1734" s="970"/>
      <c r="AF1734" s="911"/>
      <c r="AG1734" s="648"/>
      <c r="AH1734" s="648"/>
      <c r="AI1734" s="648"/>
      <c r="AJ1734" s="648"/>
      <c r="AK1734" s="648"/>
      <c r="AL1734" s="1336"/>
      <c r="AM1734" s="1336"/>
      <c r="AN1734" s="1336"/>
      <c r="AO1734" s="1336"/>
      <c r="AP1734" s="1336"/>
      <c r="AQ1734" s="1336"/>
      <c r="AR1734" s="1336"/>
      <c r="AS1734" s="1336"/>
      <c r="AT1734" s="648"/>
      <c r="AU1734" s="648"/>
      <c r="AV1734" s="648"/>
      <c r="AW1734" s="648"/>
      <c r="AX1734" s="648"/>
      <c r="AY1734" s="648"/>
      <c r="AZ1734" s="648"/>
      <c r="BA1734" s="648"/>
      <c r="BB1734" s="648"/>
      <c r="BC1734" s="648"/>
      <c r="BD1734" s="648"/>
      <c r="BE1734" s="648"/>
      <c r="BF1734" s="648"/>
      <c r="BG1734" s="648"/>
      <c r="BH1734" s="648"/>
    </row>
    <row r="1735" spans="1:60" x14ac:dyDescent="0.25">
      <c r="A1735" s="2371">
        <v>8</v>
      </c>
      <c r="B1735" s="2385" t="s">
        <v>4412</v>
      </c>
      <c r="C1735" s="2374" t="s">
        <v>256</v>
      </c>
      <c r="D1735" s="2374"/>
      <c r="E1735" s="2374"/>
      <c r="F1735" s="2374"/>
      <c r="G1735" s="2373" t="str">
        <f t="shared" ca="1" si="105"/>
        <v/>
      </c>
      <c r="H1735" s="2371" t="s">
        <v>3973</v>
      </c>
      <c r="I1735" s="64"/>
      <c r="J1735" s="524"/>
      <c r="K1735" s="210"/>
      <c r="L1735" s="1918"/>
      <c r="M1735" s="1759"/>
      <c r="N1735" s="664"/>
      <c r="O1735" s="1500"/>
      <c r="P1735" s="1500"/>
      <c r="Q1735" s="1500"/>
      <c r="R1735" s="1500"/>
      <c r="S1735" s="1500"/>
      <c r="T1735" s="1500"/>
      <c r="U1735" s="1500"/>
      <c r="V1735" s="648"/>
      <c r="W1735"/>
      <c r="X1735" s="1757"/>
      <c r="Y1735" s="2100"/>
      <c r="Z1735" s="2091"/>
      <c r="AA1735" s="1526"/>
      <c r="AB1735" s="648"/>
      <c r="AC1735" s="970"/>
      <c r="AD1735" s="970"/>
      <c r="AE1735" s="970"/>
      <c r="AF1735" s="911"/>
      <c r="AG1735" s="648"/>
      <c r="AH1735" s="648"/>
      <c r="AI1735" s="648"/>
      <c r="AJ1735" s="648"/>
      <c r="AK1735" s="648"/>
      <c r="AL1735" s="1336"/>
      <c r="AM1735" s="1336"/>
      <c r="AN1735" s="1336"/>
      <c r="AO1735" s="1336"/>
      <c r="AP1735" s="1336"/>
      <c r="AQ1735" s="1336"/>
      <c r="AR1735" s="1336"/>
      <c r="AS1735" s="1336"/>
      <c r="AT1735" s="648"/>
      <c r="AU1735" s="648"/>
      <c r="AV1735" s="648"/>
      <c r="AW1735" s="648"/>
      <c r="AX1735" s="648"/>
      <c r="AY1735" s="648"/>
      <c r="AZ1735" s="648"/>
      <c r="BA1735" s="648"/>
      <c r="BB1735" s="648"/>
      <c r="BC1735" s="648"/>
      <c r="BD1735" s="648"/>
      <c r="BE1735" s="648"/>
      <c r="BF1735" s="648"/>
      <c r="BG1735" s="648"/>
      <c r="BH1735" s="648"/>
    </row>
    <row r="1736" spans="1:60" x14ac:dyDescent="0.25">
      <c r="A1736" s="2371">
        <v>8</v>
      </c>
      <c r="B1736" s="2385" t="s">
        <v>4412</v>
      </c>
      <c r="C1736" s="2374" t="s">
        <v>258</v>
      </c>
      <c r="D1736" s="2374"/>
      <c r="E1736" s="2374"/>
      <c r="F1736" s="2374"/>
      <c r="G1736" s="2373" t="str">
        <f t="shared" ca="1" si="105"/>
        <v/>
      </c>
      <c r="H1736" s="2371" t="s">
        <v>3973</v>
      </c>
      <c r="I1736" s="64"/>
      <c r="J1736" s="691" t="s">
        <v>258</v>
      </c>
      <c r="K1736" s="954"/>
      <c r="L1736" s="280" t="s">
        <v>4431</v>
      </c>
      <c r="M1736" s="1037" t="s">
        <v>4433</v>
      </c>
      <c r="N1736" s="664"/>
      <c r="O1736" s="1500"/>
      <c r="P1736" s="1500"/>
      <c r="Q1736" s="1500"/>
      <c r="R1736" s="1500"/>
      <c r="S1736" s="1500"/>
      <c r="T1736" s="1500"/>
      <c r="U1736" s="1500"/>
      <c r="V1736"/>
      <c r="W1736"/>
      <c r="X1736" s="1757"/>
      <c r="Y1736" s="2100"/>
      <c r="Z1736" s="2091"/>
      <c r="AA1736" s="1526"/>
      <c r="AB1736" s="648"/>
      <c r="AC1736" s="970"/>
      <c r="AD1736" s="970"/>
      <c r="AE1736" s="970"/>
      <c r="AF1736" s="911"/>
      <c r="AG1736" s="648"/>
      <c r="AH1736" s="648"/>
      <c r="AI1736" s="648"/>
      <c r="AJ1736" s="648"/>
      <c r="AK1736" s="648"/>
      <c r="AL1736" s="254" t="str">
        <f>SUBSTITUTE(SUBSTITUTE(SUBSTITUTE("vpa"&amp;$B1736&amp;$C1736&amp;$D1736&amp;$E1736,".","_"),"(","_"),")","")</f>
        <v>vpa802_5_1_2</v>
      </c>
      <c r="AM1736" s="254" t="str">
        <f>M1736</f>
        <v xml:space="preserve">2 (6 Max) </v>
      </c>
      <c r="AN1736" s="1336"/>
      <c r="AO1736" s="1336"/>
      <c r="AP1736" s="1336"/>
      <c r="AQ1736" s="1336"/>
      <c r="AR1736" s="1336"/>
      <c r="AS1736" s="1336"/>
      <c r="AT1736" s="648"/>
      <c r="AU1736" s="648"/>
      <c r="AV1736" s="648"/>
      <c r="AW1736" s="648"/>
      <c r="AX1736" s="94"/>
      <c r="AY1736" s="94"/>
      <c r="AZ1736" s="648"/>
      <c r="BA1736" s="648"/>
      <c r="BB1736" s="648"/>
      <c r="BC1736" s="648"/>
      <c r="BD1736" s="648"/>
      <c r="BE1736" s="648"/>
      <c r="BF1736" s="648"/>
      <c r="BG1736" s="648"/>
      <c r="BH1736" s="648"/>
    </row>
    <row r="1737" spans="1:60" x14ac:dyDescent="0.25">
      <c r="A1737" s="2371">
        <v>8</v>
      </c>
      <c r="B1737" s="2385" t="s">
        <v>4412</v>
      </c>
      <c r="C1737" s="2374" t="s">
        <v>260</v>
      </c>
      <c r="D1737" s="2380"/>
      <c r="E1737" s="2380"/>
      <c r="F1737" s="2380"/>
      <c r="G1737" s="2373" t="str">
        <f t="shared" ca="1" si="105"/>
        <v/>
      </c>
      <c r="H1737" s="2371" t="s">
        <v>3973</v>
      </c>
      <c r="I1737" s="911"/>
      <c r="J1737" s="684" t="s">
        <v>260</v>
      </c>
      <c r="K1737" s="851"/>
      <c r="L1737" s="1158" t="s">
        <v>4427</v>
      </c>
      <c r="M1737" s="1037" t="s">
        <v>789</v>
      </c>
      <c r="N1737" s="664"/>
      <c r="O1737" s="1500"/>
      <c r="P1737" s="1500"/>
      <c r="Q1737" s="1500"/>
      <c r="R1737" s="1500"/>
      <c r="S1737" s="1500"/>
      <c r="T1737" s="1500"/>
      <c r="U1737" s="1500"/>
      <c r="V1737"/>
      <c r="W1737"/>
      <c r="X1737" s="1757"/>
      <c r="Y1737" s="2100"/>
      <c r="Z1737" s="2091"/>
      <c r="AA1737" s="1526"/>
      <c r="AC1737" s="970"/>
      <c r="AD1737" s="970"/>
      <c r="AE1737" s="970"/>
      <c r="AF1737" s="911"/>
      <c r="AG1737"/>
      <c r="AH1737"/>
      <c r="AI1737"/>
      <c r="AJ1737"/>
      <c r="AK1737"/>
      <c r="AL1737" s="254" t="str">
        <f>SUBSTITUTE(SUBSTITUTE(SUBSTITUTE("vpa"&amp;$B1737&amp;$C1737&amp;$D1737&amp;$E1737,".","_"),"(","_"),")","")</f>
        <v>vpa802_5_1_3</v>
      </c>
      <c r="AM1737" s="254" t="str">
        <f>M1737</f>
        <v xml:space="preserve">6 Additional </v>
      </c>
      <c r="AN1737" s="1336"/>
      <c r="AO1737" s="1336"/>
      <c r="AP1737" s="1336"/>
      <c r="AQ1737" s="1336"/>
      <c r="AR1737" s="1336"/>
      <c r="AS1737" s="1336"/>
      <c r="AT1737"/>
    </row>
    <row r="1738" spans="1:60" x14ac:dyDescent="0.25">
      <c r="A1738" s="2371">
        <v>8</v>
      </c>
      <c r="B1738" s="2385" t="s">
        <v>4412</v>
      </c>
      <c r="C1738" s="2374" t="s">
        <v>269</v>
      </c>
      <c r="D1738" s="2380"/>
      <c r="E1738" s="2380"/>
      <c r="F1738" s="2380"/>
      <c r="G1738" s="2373" t="str">
        <f t="shared" ca="1" si="105"/>
        <v/>
      </c>
      <c r="H1738" s="2371" t="s">
        <v>3973</v>
      </c>
      <c r="I1738" s="911"/>
      <c r="J1738" s="667" t="s">
        <v>269</v>
      </c>
      <c r="K1738" s="845"/>
      <c r="L1738" s="1779" t="s">
        <v>4428</v>
      </c>
      <c r="M1738" s="1762" t="s">
        <v>4434</v>
      </c>
      <c r="N1738" s="664"/>
      <c r="O1738" s="1500"/>
      <c r="P1738" s="1500"/>
      <c r="Q1738" s="1500"/>
      <c r="R1738" s="1500"/>
      <c r="S1738" s="1500"/>
      <c r="T1738" s="1500"/>
      <c r="U1738" s="1500"/>
      <c r="V1738"/>
      <c r="W1738"/>
      <c r="X1738" s="1757"/>
      <c r="Y1738" s="2100"/>
      <c r="Z1738" s="2091"/>
      <c r="AA1738" s="1526"/>
      <c r="AC1738" s="970"/>
      <c r="AD1738" s="970"/>
      <c r="AE1738" s="970"/>
      <c r="AF1738" s="911"/>
      <c r="AG1738"/>
      <c r="AH1738"/>
      <c r="AI1738"/>
      <c r="AJ1738"/>
      <c r="AK1738"/>
      <c r="AL1738" s="254" t="str">
        <f>SUBSTITUTE(SUBSTITUTE(SUBSTITUTE("vpa"&amp;$B1738&amp;$C1738&amp;$D1738&amp;$E1738,".","_"),"(","_"),")","")</f>
        <v>vpa802_5_1_4</v>
      </c>
      <c r="AM1738" s="254" t="str">
        <f>M1738</f>
        <v xml:space="preserve">8 Additional </v>
      </c>
      <c r="AN1738" s="1336"/>
      <c r="AO1738" s="1336"/>
      <c r="AP1738" s="1336"/>
      <c r="AQ1738" s="1336"/>
      <c r="AR1738" s="1336"/>
      <c r="AS1738" s="1336"/>
      <c r="AT1738"/>
    </row>
    <row r="1739" spans="1:60" x14ac:dyDescent="0.25">
      <c r="A1739" s="2371">
        <v>8</v>
      </c>
      <c r="B1739" s="2385" t="s">
        <v>4412</v>
      </c>
      <c r="C1739" s="2374" t="s">
        <v>269</v>
      </c>
      <c r="D1739" s="2380"/>
      <c r="E1739" s="2380"/>
      <c r="F1739" s="2380"/>
      <c r="G1739" s="2373" t="str">
        <f t="shared" ca="1" si="105"/>
        <v/>
      </c>
      <c r="H1739" s="2371" t="s">
        <v>3973</v>
      </c>
      <c r="I1739" s="911"/>
      <c r="J1739" s="684"/>
      <c r="K1739" s="851"/>
      <c r="L1739" s="1755"/>
      <c r="M1739" s="1759"/>
      <c r="N1739" s="664"/>
      <c r="O1739" s="1500"/>
      <c r="P1739" s="1500"/>
      <c r="Q1739" s="1500"/>
      <c r="R1739" s="1500"/>
      <c r="S1739" s="1500"/>
      <c r="T1739" s="1500"/>
      <c r="U1739" s="1500"/>
      <c r="V1739"/>
      <c r="W1739"/>
      <c r="X1739" s="1757"/>
      <c r="Y1739" s="2100"/>
      <c r="Z1739" s="2091"/>
      <c r="AA1739" s="1526"/>
      <c r="AC1739" s="970"/>
      <c r="AD1739" s="970"/>
      <c r="AE1739" s="970"/>
      <c r="AF1739"/>
      <c r="AG1739"/>
      <c r="AH1739"/>
      <c r="AI1739"/>
      <c r="AJ1739"/>
      <c r="AK1739"/>
      <c r="AL1739" s="1336"/>
      <c r="AM1739" s="1336"/>
      <c r="AN1739" s="1336"/>
      <c r="AO1739" s="1336"/>
      <c r="AP1739" s="1336"/>
      <c r="AQ1739" s="1336"/>
      <c r="AR1739" s="1336"/>
      <c r="AS1739" s="1336"/>
      <c r="AT1739"/>
    </row>
    <row r="1740" spans="1:60" x14ac:dyDescent="0.25">
      <c r="A1740" s="2371">
        <v>8</v>
      </c>
      <c r="B1740" s="2385" t="s">
        <v>4412</v>
      </c>
      <c r="C1740" s="2374" t="s">
        <v>275</v>
      </c>
      <c r="D1740" s="2380"/>
      <c r="E1740" s="2380"/>
      <c r="F1740" s="2380"/>
      <c r="G1740" s="2373" t="str">
        <f t="shared" ca="1" si="105"/>
        <v/>
      </c>
      <c r="H1740" s="2371" t="s">
        <v>3973</v>
      </c>
      <c r="I1740" s="178"/>
      <c r="J1740" s="684" t="s">
        <v>275</v>
      </c>
      <c r="K1740" s="851"/>
      <c r="L1740" s="1158" t="s">
        <v>4429</v>
      </c>
      <c r="M1740" s="1037" t="s">
        <v>4435</v>
      </c>
      <c r="N1740" s="1041"/>
      <c r="O1740" s="178"/>
      <c r="P1740" s="178"/>
      <c r="Q1740" s="178"/>
      <c r="R1740" s="178"/>
      <c r="S1740" s="178"/>
      <c r="T1740" s="178"/>
      <c r="U1740" s="178"/>
      <c r="V1740"/>
      <c r="W1740"/>
      <c r="X1740" s="1757"/>
      <c r="Y1740" s="2097"/>
      <c r="Z1740" s="2085"/>
      <c r="AA1740" s="1526"/>
      <c r="AC1740" s="970"/>
      <c r="AD1740" s="970"/>
      <c r="AE1740" s="970"/>
      <c r="AF1740"/>
      <c r="AG1740"/>
      <c r="AH1740"/>
      <c r="AI1740"/>
      <c r="AJ1740"/>
      <c r="AK1740"/>
      <c r="AL1740" s="254" t="str">
        <f>SUBSTITUTE(SUBSTITUTE(SUBSTITUTE("vpa"&amp;$B1740&amp;$C1740&amp;$D1740&amp;$E1740,".","_"),"(","_"),")","")</f>
        <v>vpa802_5_1_5</v>
      </c>
      <c r="AM1740" s="254" t="str">
        <f>M1740</f>
        <v xml:space="preserve">12 Additional </v>
      </c>
      <c r="AN1740" s="1336"/>
      <c r="AO1740" s="1336"/>
      <c r="AP1740" s="1336"/>
      <c r="AQ1740" s="1336"/>
      <c r="AR1740" s="1336"/>
      <c r="AS1740" s="1336"/>
      <c r="AT1740"/>
    </row>
    <row r="1741" spans="1:60" s="868" customFormat="1" x14ac:dyDescent="0.25">
      <c r="A1741" s="2371">
        <v>8</v>
      </c>
      <c r="B1741" s="2385" t="s">
        <v>4413</v>
      </c>
      <c r="C1741" s="2380"/>
      <c r="D1741" s="2380"/>
      <c r="E1741" s="2380"/>
      <c r="F1741" s="2380"/>
      <c r="G1741" s="2373" t="str">
        <f ca="1">IF(N1741&gt;0,"P","")</f>
        <v/>
      </c>
      <c r="H1741" s="2371" t="s">
        <v>3973</v>
      </c>
      <c r="I1741" s="943" t="s">
        <v>4413</v>
      </c>
      <c r="J1741" s="667"/>
      <c r="K1741" s="862"/>
      <c r="L1741" s="1796" t="s">
        <v>4421</v>
      </c>
      <c r="M1741" s="1014"/>
      <c r="N1741" s="1927">
        <f ca="1">'Ch8'!O112</f>
        <v>0</v>
      </c>
      <c r="O1741" s="1780">
        <f ca="1">IFERROR(INDEX({3,4},MATCH(W1741,INDIRECT(U1741),0)),0)*S1741</f>
        <v>0</v>
      </c>
      <c r="P1741" s="1500" t="b">
        <v>0</v>
      </c>
      <c r="Q1741" s="1500" t="b">
        <v>1</v>
      </c>
      <c r="R1741" s="1500" t="b">
        <v>0</v>
      </c>
      <c r="S1741" s="1500" t="b">
        <f ca="1">S1643=2</f>
        <v>0</v>
      </c>
      <c r="T1741" s="94" t="b">
        <f ca="1">IF(AND(NOT(S1741),LEN(W1741)&gt;0),TRUE,FALSE)</f>
        <v>0</v>
      </c>
      <c r="U1741" s="94" t="str">
        <f>SUBSTITUTE(SUBSTITUTE(SUBSTITUTE("dd"&amp;B1741&amp;C1741&amp;D1741&amp;E1741&amp;F1741,".","_"),"(","_"),")","")</f>
        <v>dd802_5_2</v>
      </c>
      <c r="W1741" s="12"/>
      <c r="X1741" s="1756"/>
      <c r="Y1741" s="2099" t="str">
        <f>IF(LEN('Ch8'!X112)=0,"None",'Ch8'!X112)</f>
        <v>None</v>
      </c>
      <c r="Z1741" s="2087"/>
      <c r="AA1741" s="1526"/>
      <c r="AC1741" s="970" t="b">
        <f ca="1">OR(AD1741:AE1741)</f>
        <v>0</v>
      </c>
      <c r="AD1741" s="970" t="b">
        <f ca="1">T1741</f>
        <v>0</v>
      </c>
      <c r="AE1741" s="970"/>
      <c r="AL1741" s="1336"/>
      <c r="AM1741" s="1336"/>
      <c r="AN1741" s="254" t="str">
        <f>SUBSTITUTE(SUBSTITUTE(SUBSTITUTE("vpc"&amp;$B1741&amp;$C1741&amp;$D1741&amp;$E1741,".","_"),"(","_"),")","")</f>
        <v>vpc802_5_2</v>
      </c>
      <c r="AO1741" s="254">
        <f ca="1">O1741</f>
        <v>0</v>
      </c>
      <c r="AP1741" s="254" t="str">
        <f>SUBSTITUTE(SUBSTITUTE(SUBSTITUTE("vch"&amp;$B1741&amp;$C1741&amp;$D1741&amp;$E1741,".","_"),"(","_"),")","")</f>
        <v>vch802_5_2</v>
      </c>
      <c r="AQ1741" s="254" t="str">
        <f>IF(LEN(W1741)=0,"",W1741)</f>
        <v/>
      </c>
      <c r="AR1741" s="254" t="str">
        <f>SUBSTITUTE(SUBSTITUTE(SUBSTITUTE("vnt"&amp;$B1741&amp;$C1741&amp;$D1741&amp;$E1741,".","_"),"(","_"),")","")</f>
        <v>vnt802_5_2</v>
      </c>
      <c r="AS1741" s="254" t="str">
        <f>IF(LEN(X1741)=0,"",X1741)</f>
        <v/>
      </c>
    </row>
    <row r="1742" spans="1:60" s="868" customFormat="1" x14ac:dyDescent="0.25">
      <c r="A1742" s="2371">
        <v>8</v>
      </c>
      <c r="B1742" s="2385" t="s">
        <v>4413</v>
      </c>
      <c r="C1742" s="2380"/>
      <c r="D1742" s="2380"/>
      <c r="E1742" s="2380"/>
      <c r="F1742" s="2380"/>
      <c r="G1742" s="2373" t="str">
        <f ca="1">G1741</f>
        <v/>
      </c>
      <c r="H1742" s="2371" t="s">
        <v>3973</v>
      </c>
      <c r="I1742" s="943"/>
      <c r="J1742" s="667"/>
      <c r="K1742" s="862"/>
      <c r="L1742" s="1796"/>
      <c r="M1742" s="1014"/>
      <c r="N1742" s="1927"/>
      <c r="O1742" s="1780"/>
      <c r="P1742" s="1500"/>
      <c r="Q1742" s="1500"/>
      <c r="R1742" s="1500"/>
      <c r="S1742" s="1500"/>
      <c r="T1742" s="1500"/>
      <c r="U1742" s="1500"/>
      <c r="X1742" s="1757"/>
      <c r="Y1742" s="2100"/>
      <c r="Z1742" s="2091"/>
      <c r="AA1742" s="1526"/>
      <c r="AC1742" s="970"/>
      <c r="AD1742" s="970"/>
      <c r="AE1742" s="970"/>
      <c r="AL1742" s="1336"/>
      <c r="AM1742" s="1336"/>
      <c r="AN1742" s="1336"/>
      <c r="AO1742" s="1336"/>
      <c r="AP1742" s="1336"/>
      <c r="AQ1742" s="1336"/>
      <c r="AR1742" s="1336"/>
      <c r="AS1742" s="1336"/>
    </row>
    <row r="1743" spans="1:60" s="868" customFormat="1" x14ac:dyDescent="0.25">
      <c r="A1743" s="2371">
        <v>8</v>
      </c>
      <c r="B1743" s="2385" t="s">
        <v>4413</v>
      </c>
      <c r="C1743" s="2380"/>
      <c r="D1743" s="2380"/>
      <c r="E1743" s="2380"/>
      <c r="F1743" s="2380"/>
      <c r="G1743" s="2373" t="str">
        <f ca="1">G1742</f>
        <v/>
      </c>
      <c r="H1743" s="2371" t="s">
        <v>3973</v>
      </c>
      <c r="I1743" s="943"/>
      <c r="J1743" s="667"/>
      <c r="K1743" s="862"/>
      <c r="L1743" s="1796"/>
      <c r="M1743" s="1014"/>
      <c r="N1743" s="1927"/>
      <c r="O1743" s="1780"/>
      <c r="P1743" s="1500"/>
      <c r="Q1743" s="1500"/>
      <c r="R1743" s="1500"/>
      <c r="S1743" s="1500"/>
      <c r="T1743" s="1500"/>
      <c r="U1743" s="1500"/>
      <c r="X1743" s="1757"/>
      <c r="Y1743" s="2100"/>
      <c r="Z1743" s="2091"/>
      <c r="AA1743" s="1526"/>
      <c r="AC1743" s="970"/>
      <c r="AD1743" s="970"/>
      <c r="AE1743" s="970"/>
      <c r="AL1743" s="1336"/>
      <c r="AM1743" s="1336"/>
      <c r="AN1743" s="1336"/>
      <c r="AO1743" s="1336"/>
      <c r="AP1743" s="1336"/>
      <c r="AQ1743" s="1336"/>
      <c r="AR1743" s="1336"/>
      <c r="AS1743" s="1336"/>
    </row>
    <row r="1744" spans="1:60" s="868" customFormat="1" x14ac:dyDescent="0.25">
      <c r="A1744" s="2371">
        <v>8</v>
      </c>
      <c r="B1744" s="2385" t="s">
        <v>4413</v>
      </c>
      <c r="C1744" s="2374" t="s">
        <v>256</v>
      </c>
      <c r="D1744" s="2380"/>
      <c r="E1744" s="2380"/>
      <c r="F1744" s="2380"/>
      <c r="G1744" s="2373" t="str">
        <f ca="1">G1743</f>
        <v/>
      </c>
      <c r="H1744" s="2371" t="s">
        <v>3973</v>
      </c>
      <c r="I1744" s="943"/>
      <c r="J1744" s="667" t="s">
        <v>256</v>
      </c>
      <c r="K1744" s="862"/>
      <c r="L1744" s="1157" t="s">
        <v>4422</v>
      </c>
      <c r="M1744" s="1014">
        <v>3</v>
      </c>
      <c r="N1744" s="664"/>
      <c r="O1744" s="1506"/>
      <c r="P1744" s="94"/>
      <c r="Q1744" s="94"/>
      <c r="R1744" s="94"/>
      <c r="S1744" s="94"/>
      <c r="T1744" s="94"/>
      <c r="U1744" s="94"/>
      <c r="X1744" s="1757"/>
      <c r="Y1744" s="2100"/>
      <c r="Z1744" s="2091"/>
      <c r="AA1744" s="1526"/>
      <c r="AC1744" s="970"/>
      <c r="AD1744" s="970"/>
      <c r="AE1744" s="970"/>
      <c r="AL1744" s="254" t="str">
        <f>SUBSTITUTE(SUBSTITUTE(SUBSTITUTE("vpa"&amp;$B1744&amp;$C1744&amp;$D1744&amp;$E1744,".","_"),"(","_"),")","")</f>
        <v>vpa802_5_2_1</v>
      </c>
      <c r="AM1744" s="254">
        <f>M1744</f>
        <v>3</v>
      </c>
      <c r="AN1744" s="1336"/>
      <c r="AO1744" s="1336"/>
      <c r="AP1744" s="1336"/>
      <c r="AQ1744" s="1336"/>
      <c r="AR1744" s="1336"/>
      <c r="AS1744" s="1336"/>
    </row>
    <row r="1745" spans="1:60" s="868" customFormat="1" x14ac:dyDescent="0.25">
      <c r="A1745" s="2371">
        <v>8</v>
      </c>
      <c r="B1745" s="2385" t="s">
        <v>4413</v>
      </c>
      <c r="C1745" s="2374" t="s">
        <v>258</v>
      </c>
      <c r="D1745" s="2380"/>
      <c r="E1745" s="2380"/>
      <c r="F1745" s="2380"/>
      <c r="G1745" s="2373" t="str">
        <f ca="1">G1744</f>
        <v/>
      </c>
      <c r="H1745" s="2371" t="s">
        <v>3973</v>
      </c>
      <c r="I1745" s="949"/>
      <c r="J1745" s="684" t="s">
        <v>258</v>
      </c>
      <c r="K1745" s="863"/>
      <c r="L1745" s="1158" t="s">
        <v>4423</v>
      </c>
      <c r="M1745" s="1015" t="s">
        <v>4426</v>
      </c>
      <c r="N1745" s="1041"/>
      <c r="O1745" s="1502"/>
      <c r="P1745" s="178"/>
      <c r="Q1745" s="178"/>
      <c r="R1745" s="178"/>
      <c r="S1745" s="178"/>
      <c r="T1745" s="178"/>
      <c r="U1745" s="178"/>
      <c r="X1745" s="1757"/>
      <c r="Y1745" s="2097"/>
      <c r="Z1745" s="2085"/>
      <c r="AA1745" s="1526"/>
      <c r="AC1745" s="970"/>
      <c r="AD1745" s="970"/>
      <c r="AE1745" s="970"/>
      <c r="AL1745" s="254" t="str">
        <f>SUBSTITUTE(SUBSTITUTE(SUBSTITUTE("vpa"&amp;$B1745&amp;$C1745&amp;$D1745&amp;$E1745,".","_"),"(","_"),")","")</f>
        <v>vpa802_5_2_2</v>
      </c>
      <c r="AM1745" s="254" t="str">
        <f>M1745</f>
        <v xml:space="preserve">1 Additional </v>
      </c>
      <c r="AN1745" s="1336"/>
      <c r="AO1745" s="1336"/>
      <c r="AP1745" s="1336"/>
      <c r="AQ1745" s="1336"/>
      <c r="AR1745" s="1336"/>
      <c r="AS1745" s="1336"/>
    </row>
    <row r="1746" spans="1:60" ht="15" customHeight="1" x14ac:dyDescent="0.25">
      <c r="A1746" s="2371">
        <v>8</v>
      </c>
      <c r="B1746" s="2385" t="s">
        <v>4424</v>
      </c>
      <c r="C1746" s="2374"/>
      <c r="D1746" s="2374"/>
      <c r="E1746" s="2374"/>
      <c r="F1746" s="2374"/>
      <c r="G1746" s="2373" t="str">
        <f ca="1">IF(N1746&gt;0,"P","")</f>
        <v/>
      </c>
      <c r="H1746" s="2371" t="s">
        <v>3973</v>
      </c>
      <c r="I1746" s="64" t="s">
        <v>4424</v>
      </c>
      <c r="J1746" s="164"/>
      <c r="K1746" s="4"/>
      <c r="L1746" s="1796" t="s">
        <v>4425</v>
      </c>
      <c r="M1746" s="1788" t="s">
        <v>3596</v>
      </c>
      <c r="N1746" s="1927">
        <f ca="1">'Ch8'!O117</f>
        <v>0</v>
      </c>
      <c r="O1746" s="1774">
        <f ca="1">IFERROR(MATCH(W1746,INDIRECT(U1746),0),0)*S1746</f>
        <v>0</v>
      </c>
      <c r="P1746" s="94" t="b">
        <v>0</v>
      </c>
      <c r="Q1746" s="1500" t="b">
        <v>1</v>
      </c>
      <c r="R1746" s="94" t="b">
        <v>0</v>
      </c>
      <c r="S1746" s="94" t="b">
        <f ca="1">S1643=2</f>
        <v>0</v>
      </c>
      <c r="T1746" s="94" t="b">
        <f ca="1">IF(AND(NOT(S1746),LEN(W1746)&gt;0),TRUE,FALSE)</f>
        <v>0</v>
      </c>
      <c r="U1746" s="94" t="str">
        <f>SUBSTITUTE(SUBSTITUTE(SUBSTITUTE("dd"&amp;B1746&amp;C1746&amp;D1746&amp;E1746&amp;F1746,".","_"),"(","_"),")","")</f>
        <v>dd802_5_3</v>
      </c>
      <c r="V1746" s="94"/>
      <c r="W1746" s="12"/>
      <c r="X1746" s="1756"/>
      <c r="Y1746" s="2081" t="str">
        <f>IF(LEN('Ch8'!X117)=0,"None",'Ch8'!X117)</f>
        <v>None</v>
      </c>
      <c r="Z1746" s="2084"/>
      <c r="AA1746" s="1526"/>
      <c r="AB1746" s="648"/>
      <c r="AC1746" s="970" t="b">
        <f ca="1">OR(AD1746:AE1746)</f>
        <v>0</v>
      </c>
      <c r="AD1746" s="970" t="b">
        <f ca="1">T1746</f>
        <v>0</v>
      </c>
      <c r="AE1746" s="970"/>
      <c r="AF1746" s="784"/>
      <c r="AG1746" s="648"/>
      <c r="AH1746" s="648"/>
      <c r="AI1746" s="648"/>
      <c r="AJ1746" s="648"/>
      <c r="AK1746" s="648"/>
      <c r="AL1746" s="254" t="str">
        <f>SUBSTITUTE(SUBSTITUTE(SUBSTITUTE("vpa"&amp;$B1746&amp;$C1746&amp;$D1746&amp;$E1746,".","_"),"(","_"),")","")</f>
        <v>vpa802_5_3</v>
      </c>
      <c r="AM1746" s="254" t="str">
        <f>M1746</f>
        <v>1
3 Max</v>
      </c>
      <c r="AN1746" s="254" t="str">
        <f>SUBSTITUTE(SUBSTITUTE(SUBSTITUTE("vpc"&amp;$B1746&amp;$C1746&amp;$D1746&amp;$E1746,".","_"),"(","_"),")","")</f>
        <v>vpc802_5_3</v>
      </c>
      <c r="AO1746" s="254">
        <f ca="1">O1746</f>
        <v>0</v>
      </c>
      <c r="AP1746" s="254" t="str">
        <f>SUBSTITUTE(SUBSTITUTE(SUBSTITUTE("vch"&amp;$B1746&amp;$C1746&amp;$D1746&amp;$E1746,".","_"),"(","_"),")","")</f>
        <v>vch802_5_3</v>
      </c>
      <c r="AQ1746" s="254" t="str">
        <f>IF(LEN(W1746)=0,"",W1746)</f>
        <v/>
      </c>
      <c r="AR1746" s="254" t="str">
        <f>SUBSTITUTE(SUBSTITUTE(SUBSTITUTE("vnt"&amp;$B1746&amp;$C1746&amp;$D1746&amp;$E1746,".","_"),"(","_"),")","")</f>
        <v>vnt802_5_3</v>
      </c>
      <c r="AS1746" s="254" t="str">
        <f>IF(LEN(X1746)=0,"",X1746)</f>
        <v/>
      </c>
      <c r="AT1746" s="648"/>
      <c r="AU1746" s="648"/>
      <c r="AV1746" s="648"/>
      <c r="AW1746" s="648"/>
      <c r="AX1746" s="648"/>
      <c r="AY1746" s="648"/>
      <c r="AZ1746" s="648"/>
      <c r="BA1746" s="648"/>
      <c r="BB1746" s="648"/>
      <c r="BC1746" s="648"/>
      <c r="BD1746" s="648"/>
      <c r="BE1746" s="648"/>
      <c r="BF1746" s="648"/>
      <c r="BG1746" s="648"/>
      <c r="BH1746" s="648"/>
    </row>
    <row r="1747" spans="1:60" x14ac:dyDescent="0.25">
      <c r="A1747" s="2371">
        <v>8</v>
      </c>
      <c r="B1747" s="2385" t="s">
        <v>4424</v>
      </c>
      <c r="C1747" s="2374"/>
      <c r="D1747" s="2374"/>
      <c r="E1747" s="2374"/>
      <c r="F1747" s="2374"/>
      <c r="G1747" s="2373" t="str">
        <f ca="1">G1746</f>
        <v/>
      </c>
      <c r="H1747" s="2371" t="s">
        <v>3973</v>
      </c>
      <c r="I1747" s="64"/>
      <c r="J1747" s="164"/>
      <c r="K1747" s="4"/>
      <c r="L1747" s="1796"/>
      <c r="M1747" s="1788"/>
      <c r="N1747" s="1927"/>
      <c r="O1747" s="1774"/>
      <c r="P1747" s="94"/>
      <c r="Q1747" s="94"/>
      <c r="R1747" s="94"/>
      <c r="S1747" s="94"/>
      <c r="T1747" s="94"/>
      <c r="U1747" s="94"/>
      <c r="V1747" s="94"/>
      <c r="W1747" s="94"/>
      <c r="X1747" s="1757"/>
      <c r="Y1747" s="2081"/>
      <c r="Z1747" s="2084"/>
      <c r="AA1747" s="1526"/>
      <c r="AB1747" s="648"/>
      <c r="AC1747" s="970"/>
      <c r="AD1747" s="970"/>
      <c r="AE1747" s="970"/>
      <c r="AF1747" s="648"/>
      <c r="AG1747" s="648"/>
      <c r="AH1747" s="648"/>
      <c r="AI1747" s="648"/>
      <c r="AJ1747" s="648"/>
      <c r="AK1747" s="648"/>
      <c r="AL1747" s="1336"/>
      <c r="AM1747" s="1336"/>
      <c r="AN1747" s="1336"/>
      <c r="AO1747" s="1336"/>
      <c r="AP1747" s="1336"/>
      <c r="AQ1747" s="1336"/>
      <c r="AR1747" s="1336"/>
      <c r="AS1747" s="1336"/>
      <c r="AT1747" s="648"/>
      <c r="AU1747" s="648"/>
      <c r="AV1747" s="648"/>
      <c r="AW1747" s="648"/>
      <c r="AX1747" s="648"/>
      <c r="AY1747" s="648"/>
      <c r="AZ1747" s="648"/>
      <c r="BA1747" s="648"/>
      <c r="BB1747" s="648"/>
      <c r="BC1747" s="648"/>
      <c r="BD1747" s="648"/>
      <c r="BE1747" s="648"/>
      <c r="BF1747" s="648"/>
      <c r="BG1747" s="648"/>
      <c r="BH1747" s="648"/>
    </row>
    <row r="1748" spans="1:60" ht="15.75" thickBot="1" x14ac:dyDescent="0.3">
      <c r="A1748" s="2371">
        <v>8</v>
      </c>
      <c r="B1748" s="2385" t="s">
        <v>4424</v>
      </c>
      <c r="C1748" s="2374"/>
      <c r="D1748" s="2374"/>
      <c r="E1748" s="2374"/>
      <c r="F1748" s="2374"/>
      <c r="G1748" s="2373" t="str">
        <f ca="1">G1747</f>
        <v/>
      </c>
      <c r="H1748" s="2371" t="s">
        <v>3973</v>
      </c>
      <c r="I1748" s="189"/>
      <c r="J1748" s="481"/>
      <c r="K1748" s="240"/>
      <c r="L1748" s="1194" t="s">
        <v>794</v>
      </c>
      <c r="M1748" s="1915"/>
      <c r="N1748" s="1928"/>
      <c r="O1748" s="1775"/>
      <c r="P1748" s="99"/>
      <c r="Q1748" s="99"/>
      <c r="R1748" s="99"/>
      <c r="S1748" s="99"/>
      <c r="T1748" s="99"/>
      <c r="U1748" s="99"/>
      <c r="V1748" s="99"/>
      <c r="W1748" s="99"/>
      <c r="X1748" s="1771"/>
      <c r="Y1748" s="2082"/>
      <c r="Z1748" s="2086"/>
      <c r="AA1748" s="1526"/>
      <c r="AB1748" s="648"/>
      <c r="AC1748" s="970"/>
      <c r="AD1748" s="970"/>
      <c r="AE1748" s="970"/>
      <c r="AF1748" s="648"/>
      <c r="AG1748" s="648"/>
      <c r="AH1748" s="648"/>
      <c r="AI1748" s="648"/>
      <c r="AJ1748" s="648"/>
      <c r="AK1748" s="648"/>
      <c r="AL1748" s="1336"/>
      <c r="AM1748" s="1336"/>
      <c r="AN1748" s="1336"/>
      <c r="AO1748" s="1336"/>
      <c r="AP1748" s="1336"/>
      <c r="AQ1748" s="1336"/>
      <c r="AR1748" s="1336"/>
      <c r="AS1748" s="1336"/>
      <c r="AT1748" s="648"/>
      <c r="AU1748" s="648"/>
      <c r="AV1748" s="648"/>
      <c r="AW1748" s="648"/>
      <c r="AX1748" s="648"/>
      <c r="AY1748" s="648"/>
      <c r="AZ1748" s="648"/>
      <c r="BA1748" s="648"/>
      <c r="BB1748" s="648"/>
      <c r="BC1748" s="648"/>
      <c r="BD1748" s="648"/>
      <c r="BE1748" s="648"/>
      <c r="BF1748" s="648"/>
      <c r="BG1748" s="648"/>
      <c r="BH1748" s="648"/>
    </row>
    <row r="1749" spans="1:60" ht="15.75" customHeight="1" thickTop="1" x14ac:dyDescent="0.25">
      <c r="A1749" s="2371">
        <v>8</v>
      </c>
      <c r="B1749" s="2385" t="s">
        <v>4436</v>
      </c>
      <c r="C1749" s="2374"/>
      <c r="D1749" s="2374"/>
      <c r="E1749" s="2374"/>
      <c r="F1749" s="2374"/>
      <c r="G1749" s="2373" t="s">
        <v>3974</v>
      </c>
      <c r="H1749" s="2371" t="s">
        <v>3973</v>
      </c>
      <c r="I1749" s="64" t="s">
        <v>4436</v>
      </c>
      <c r="J1749" s="164"/>
      <c r="K1749" s="4"/>
      <c r="L1749" s="1884" t="s">
        <v>4437</v>
      </c>
      <c r="M1749" s="1014"/>
      <c r="N1749" s="1042"/>
      <c r="O1749" s="1506"/>
      <c r="P1749" s="648"/>
      <c r="Q1749" s="648"/>
      <c r="R1749" s="648"/>
      <c r="S1749" s="648"/>
      <c r="T1749" s="648"/>
      <c r="U1749" s="648"/>
      <c r="V1749" s="648"/>
      <c r="W1749" s="648"/>
      <c r="X1749" s="911"/>
      <c r="Y1749" s="648"/>
      <c r="AA1749" s="1526"/>
      <c r="AB1749" s="648"/>
      <c r="AC1749" s="970"/>
      <c r="AD1749" s="970"/>
      <c r="AE1749" s="970"/>
      <c r="AF1749" s="648"/>
      <c r="AG1749" s="648"/>
      <c r="AH1749" s="648"/>
      <c r="AI1749" s="648"/>
      <c r="AJ1749" s="648"/>
      <c r="AK1749" s="648"/>
      <c r="AL1749" s="1336"/>
      <c r="AM1749" s="1336"/>
      <c r="AN1749" s="1336"/>
      <c r="AO1749" s="1336"/>
      <c r="AP1749" s="1336"/>
      <c r="AQ1749" s="1336"/>
      <c r="AR1749" s="1336"/>
      <c r="AS1749" s="1336"/>
      <c r="AT1749" s="648"/>
      <c r="AU1749" s="648"/>
      <c r="AV1749" s="94"/>
      <c r="AW1749" s="94"/>
      <c r="AX1749" s="648"/>
      <c r="AY1749" s="648"/>
      <c r="AZ1749" s="94"/>
      <c r="BA1749" s="94"/>
      <c r="BB1749" s="94"/>
      <c r="BC1749" s="94"/>
      <c r="BD1749" s="94"/>
      <c r="BE1749" s="94"/>
      <c r="BF1749" s="94"/>
      <c r="BG1749" s="94"/>
      <c r="BH1749" s="94"/>
    </row>
    <row r="1750" spans="1:60" x14ac:dyDescent="0.25">
      <c r="A1750" s="2371">
        <v>8</v>
      </c>
      <c r="B1750" s="2385" t="s">
        <v>4436</v>
      </c>
      <c r="C1750" s="2374"/>
      <c r="D1750" s="2374"/>
      <c r="E1750" s="2374"/>
      <c r="F1750" s="2374"/>
      <c r="G1750" s="2373" t="s">
        <v>3974</v>
      </c>
      <c r="H1750" s="2371" t="s">
        <v>3973</v>
      </c>
      <c r="I1750" s="64"/>
      <c r="J1750" s="164"/>
      <c r="K1750" s="4"/>
      <c r="L1750" s="1884"/>
      <c r="M1750" s="1014"/>
      <c r="N1750" s="1042"/>
      <c r="O1750" s="1506"/>
      <c r="P1750" s="648"/>
      <c r="Q1750" s="648"/>
      <c r="R1750" s="648"/>
      <c r="S1750" s="648"/>
      <c r="T1750" s="648"/>
      <c r="U1750" s="648"/>
      <c r="V1750" s="648"/>
      <c r="W1750" s="648"/>
      <c r="X1750" s="911"/>
      <c r="Y1750" s="648"/>
      <c r="AA1750" s="1526"/>
      <c r="AB1750" s="648"/>
      <c r="AC1750" s="970"/>
      <c r="AD1750" s="970"/>
      <c r="AE1750" s="970"/>
      <c r="AF1750" s="648"/>
      <c r="AG1750" s="648"/>
      <c r="AH1750" s="648"/>
      <c r="AI1750" s="648"/>
      <c r="AJ1750" s="648"/>
      <c r="AK1750" s="648"/>
      <c r="AL1750" s="1336"/>
      <c r="AM1750" s="1336"/>
      <c r="AN1750" s="1336"/>
      <c r="AO1750" s="1336"/>
      <c r="AP1750" s="1336"/>
      <c r="AQ1750" s="1336"/>
      <c r="AR1750" s="1336"/>
      <c r="AS1750" s="1336"/>
      <c r="AT1750" s="648"/>
      <c r="AU1750" s="648"/>
      <c r="AV1750" s="648"/>
      <c r="AW1750" s="648"/>
      <c r="AX1750" s="648"/>
      <c r="AY1750" s="648"/>
      <c r="AZ1750" s="648"/>
      <c r="BA1750" s="648"/>
      <c r="BB1750" s="648"/>
      <c r="BC1750" s="648"/>
      <c r="BD1750" s="648"/>
      <c r="BE1750" s="648"/>
      <c r="BF1750" s="648"/>
      <c r="BG1750" s="648"/>
      <c r="BH1750" s="648"/>
    </row>
    <row r="1751" spans="1:60" ht="15" customHeight="1" x14ac:dyDescent="0.25">
      <c r="A1751" s="2371">
        <v>8</v>
      </c>
      <c r="B1751" s="2385" t="s">
        <v>4436</v>
      </c>
      <c r="C1751" s="2374" t="s">
        <v>256</v>
      </c>
      <c r="D1751" s="2374"/>
      <c r="E1751" s="2374"/>
      <c r="F1751" s="2397"/>
      <c r="G1751" s="2373" t="s">
        <v>3974</v>
      </c>
      <c r="H1751" s="2371" t="s">
        <v>3973</v>
      </c>
      <c r="I1751" s="64"/>
      <c r="J1751" s="78" t="s">
        <v>256</v>
      </c>
      <c r="K1751" s="4"/>
      <c r="L1751" s="1841" t="s">
        <v>4440</v>
      </c>
      <c r="M1751" s="1911" t="str">
        <f ca="1">IF(O1760&gt;0,"Met","Gold/Emerald not available")</f>
        <v>Gold/Emerald not available</v>
      </c>
      <c r="N1751" s="1044"/>
      <c r="O1751" s="1504"/>
      <c r="P1751" s="648"/>
      <c r="Q1751" s="648"/>
      <c r="R1751" s="648"/>
      <c r="S1751" s="648"/>
      <c r="T1751" s="648"/>
      <c r="U1751" s="648"/>
      <c r="V1751" s="648"/>
      <c r="W1751" s="648"/>
      <c r="X1751" s="1757"/>
      <c r="Y1751" s="2081" t="str">
        <f>IF(LEN('Ch8'!X122)=0,"None",'Ch8'!X122)</f>
        <v>None</v>
      </c>
      <c r="Z1751" s="2083"/>
      <c r="AA1751" s="1526"/>
      <c r="AB1751" s="648"/>
      <c r="AC1751" s="970"/>
      <c r="AD1751" s="970"/>
      <c r="AE1751" s="970"/>
      <c r="AF1751" s="648"/>
      <c r="AG1751" s="648"/>
      <c r="AH1751" s="648"/>
      <c r="AI1751" s="648"/>
      <c r="AJ1751" s="648"/>
      <c r="AK1751" s="648"/>
      <c r="AL1751" s="1336"/>
      <c r="AM1751" s="1336"/>
      <c r="AN1751" s="1336"/>
      <c r="AO1751" s="1336"/>
      <c r="AP1751" s="1336"/>
      <c r="AQ1751" s="1336"/>
      <c r="AR1751" s="254" t="str">
        <f>SUBSTITUTE(SUBSTITUTE(SUBSTITUTE("vnt"&amp;$B1751&amp;$C1751&amp;$D1751&amp;$E1751,".","_"),"(","_"),")","")</f>
        <v>vnt802_5_4_1</v>
      </c>
      <c r="AS1751" s="254" t="str">
        <f>IF(LEN(X1751)=0,"",X1751)</f>
        <v/>
      </c>
      <c r="AT1751" s="648"/>
      <c r="AU1751" s="648"/>
      <c r="AV1751" s="648"/>
      <c r="AW1751" s="648"/>
      <c r="AX1751" s="648"/>
      <c r="AY1751" s="648"/>
      <c r="AZ1751" s="648"/>
      <c r="BA1751" s="648"/>
      <c r="BB1751" s="648"/>
      <c r="BC1751" s="648"/>
      <c r="BD1751" s="648"/>
      <c r="BE1751" s="648"/>
      <c r="BF1751" s="648"/>
      <c r="BG1751" s="648"/>
      <c r="BH1751" s="648"/>
    </row>
    <row r="1752" spans="1:60" x14ac:dyDescent="0.25">
      <c r="A1752" s="2371">
        <v>8</v>
      </c>
      <c r="B1752" s="2385" t="s">
        <v>4436</v>
      </c>
      <c r="C1752" s="2374" t="s">
        <v>256</v>
      </c>
      <c r="D1752" s="2390"/>
      <c r="E1752" s="2390"/>
      <c r="F1752" s="2398"/>
      <c r="G1752" s="2377" t="s">
        <v>3974</v>
      </c>
      <c r="H1752" s="2399" t="s">
        <v>3973</v>
      </c>
      <c r="I1752" s="64"/>
      <c r="J1752" s="910"/>
      <c r="K1752" s="210"/>
      <c r="L1752" s="1761"/>
      <c r="M1752" s="1912"/>
      <c r="N1752" s="1047"/>
      <c r="O1752" s="1502"/>
      <c r="P1752" s="94"/>
      <c r="Q1752" s="94"/>
      <c r="R1752" s="94"/>
      <c r="S1752" s="94"/>
      <c r="T1752" s="94"/>
      <c r="U1752" s="94"/>
      <c r="V1752" s="94"/>
      <c r="W1752" s="94"/>
      <c r="X1752" s="1757"/>
      <c r="Y1752" s="2081"/>
      <c r="Z1752" s="2083"/>
      <c r="AA1752" s="1526"/>
      <c r="AB1752" s="94"/>
      <c r="AC1752" s="94"/>
      <c r="AD1752" s="94"/>
      <c r="AE1752" s="94"/>
      <c r="AF1752" s="94"/>
      <c r="AG1752" s="94"/>
      <c r="AH1752" s="94"/>
      <c r="AI1752" s="94"/>
      <c r="AJ1752" s="94"/>
      <c r="AK1752" s="94"/>
      <c r="AL1752" s="94"/>
      <c r="AM1752" s="94"/>
      <c r="AN1752" s="94"/>
      <c r="AO1752" s="94"/>
      <c r="AP1752" s="94"/>
      <c r="AQ1752" s="94"/>
      <c r="AR1752" s="1336"/>
      <c r="AS1752" s="1336"/>
      <c r="AT1752" s="648"/>
      <c r="AU1752" s="648"/>
      <c r="AV1752" s="648"/>
      <c r="AW1752" s="648"/>
      <c r="AX1752" s="648"/>
      <c r="AY1752" s="648"/>
      <c r="AZ1752" s="648"/>
      <c r="BA1752" s="648"/>
      <c r="BB1752" s="648"/>
      <c r="BC1752" s="648"/>
      <c r="BD1752" s="648"/>
      <c r="BE1752" s="648"/>
      <c r="BF1752" s="648"/>
      <c r="BG1752" s="648"/>
      <c r="BH1752" s="648"/>
    </row>
    <row r="1753" spans="1:60" ht="15" customHeight="1" x14ac:dyDescent="0.25">
      <c r="A1753" s="2371">
        <v>8</v>
      </c>
      <c r="B1753" s="2385" t="s">
        <v>4436</v>
      </c>
      <c r="C1753" s="2374" t="s">
        <v>258</v>
      </c>
      <c r="D1753" s="2374"/>
      <c r="E1753" s="2374"/>
      <c r="F1753" s="2397"/>
      <c r="G1753" s="2373" t="str">
        <f ca="1">IF(N1753&gt;0,"P","")</f>
        <v/>
      </c>
      <c r="H1753" s="2371" t="s">
        <v>3973</v>
      </c>
      <c r="I1753" s="64"/>
      <c r="J1753" s="78" t="s">
        <v>258</v>
      </c>
      <c r="K1753" s="4"/>
      <c r="L1753" s="1779" t="s">
        <v>4898</v>
      </c>
      <c r="M1753" s="1845" t="s">
        <v>4442</v>
      </c>
      <c r="N1753" s="2075">
        <f ca="1">'Ch8'!O124</f>
        <v>0</v>
      </c>
      <c r="O1753" s="1780">
        <f ca="1">IFERROR(4*MATCH(W1753,INDIRECT(U1753),0),0)*S1753</f>
        <v>0</v>
      </c>
      <c r="P1753" s="94" t="b">
        <v>0</v>
      </c>
      <c r="Q1753" s="1500" t="b">
        <v>1</v>
      </c>
      <c r="R1753" s="1500" t="b">
        <v>0</v>
      </c>
      <c r="S1753" s="1500" t="b">
        <f ca="1">S1643=2</f>
        <v>0</v>
      </c>
      <c r="T1753" s="94" t="b">
        <f ca="1">IF(AND(NOT(S1753),LEN(W1753)&gt;0),TRUE,FALSE)</f>
        <v>0</v>
      </c>
      <c r="U1753" s="94" t="str">
        <f>SUBSTITUTE(SUBSTITUTE(SUBSTITUTE("dd"&amp;B1753&amp;C1753&amp;D1753&amp;E1753&amp;F1753,".","_"),"(","_"),")","")</f>
        <v>dd802_5_4_2</v>
      </c>
      <c r="V1753" s="648"/>
      <c r="W1753" s="12"/>
      <c r="X1753" s="1757"/>
      <c r="Y1753" s="2081" t="str">
        <f>IF(LEN('Ch8'!X124)=0,"None",'Ch8'!X124)</f>
        <v>None</v>
      </c>
      <c r="Z1753" s="2083"/>
      <c r="AA1753" s="1526"/>
      <c r="AB1753" s="648"/>
      <c r="AC1753" s="970" t="b">
        <f ca="1">OR(AD1753:AE1753)</f>
        <v>0</v>
      </c>
      <c r="AD1753" s="970" t="b">
        <f ca="1">T1753</f>
        <v>0</v>
      </c>
      <c r="AE1753" s="970"/>
      <c r="AF1753" s="784"/>
      <c r="AG1753" s="648"/>
      <c r="AH1753" s="648"/>
      <c r="AI1753" s="648"/>
      <c r="AJ1753" s="648"/>
      <c r="AK1753" s="648"/>
      <c r="AL1753" s="254" t="str">
        <f>SUBSTITUTE(SUBSTITUTE(SUBSTITUTE("vpa"&amp;$B1753&amp;$C1753&amp;$D1753&amp;$E1753,".","_"),"(","_"),")","")</f>
        <v>vpa802_5_4_2</v>
      </c>
      <c r="AM1753" s="254" t="str">
        <f>M1753</f>
        <v>4 
12 Max</v>
      </c>
      <c r="AN1753" s="254" t="str">
        <f>SUBSTITUTE(SUBSTITUTE(SUBSTITUTE("vpc"&amp;$B1753&amp;$C1753&amp;$D1753&amp;$E1753,".","_"),"(","_"),")","")</f>
        <v>vpc802_5_4_2</v>
      </c>
      <c r="AO1753" s="254">
        <f ca="1">O1753</f>
        <v>0</v>
      </c>
      <c r="AP1753" s="254" t="str">
        <f>SUBSTITUTE(SUBSTITUTE(SUBSTITUTE("vch"&amp;$B1753&amp;$C1753&amp;$D1753&amp;$E1753,".","_"),"(","_"),")","")</f>
        <v>vch802_5_4_2</v>
      </c>
      <c r="AQ1753" s="254" t="str">
        <f>IF(LEN(W1753)=0,"",W1753)</f>
        <v/>
      </c>
      <c r="AR1753" s="254" t="str">
        <f>SUBSTITUTE(SUBSTITUTE(SUBSTITUTE("vnt"&amp;$B1753&amp;$C1753&amp;$D1753&amp;$E1753,".","_"),"(","_"),")","")</f>
        <v>vnt802_5_4_2</v>
      </c>
      <c r="AS1753" s="254" t="str">
        <f>IF(LEN(X1753)=0,"",X1753)</f>
        <v/>
      </c>
      <c r="AT1753" s="648"/>
      <c r="AU1753" s="648"/>
      <c r="AV1753" s="648"/>
      <c r="AW1753" s="648"/>
      <c r="AX1753" s="648"/>
      <c r="AY1753" s="648"/>
      <c r="AZ1753" s="648"/>
      <c r="BA1753" s="648"/>
      <c r="BB1753" s="648"/>
      <c r="BC1753" s="648"/>
      <c r="BD1753" s="648"/>
      <c r="BE1753" s="648"/>
      <c r="BF1753" s="648"/>
      <c r="BG1753" s="648"/>
      <c r="BH1753" s="648"/>
    </row>
    <row r="1754" spans="1:60" x14ac:dyDescent="0.25">
      <c r="A1754" s="2371">
        <v>8</v>
      </c>
      <c r="B1754" s="2385" t="s">
        <v>4436</v>
      </c>
      <c r="C1754" s="2374" t="s">
        <v>258</v>
      </c>
      <c r="D1754" s="2374"/>
      <c r="E1754" s="2374"/>
      <c r="F1754" s="2397"/>
      <c r="G1754" s="2373" t="str">
        <f t="shared" ref="G1754:G1759" ca="1" si="106">G1753</f>
        <v/>
      </c>
      <c r="H1754" s="2371" t="s">
        <v>3973</v>
      </c>
      <c r="I1754" s="64"/>
      <c r="J1754" s="164"/>
      <c r="K1754" s="4"/>
      <c r="L1754" s="1779"/>
      <c r="M1754" s="1845"/>
      <c r="N1754" s="2075"/>
      <c r="O1754" s="1780"/>
      <c r="P1754" s="1500"/>
      <c r="Q1754" s="1500"/>
      <c r="R1754" s="1500"/>
      <c r="S1754" s="1500"/>
      <c r="T1754" s="1500"/>
      <c r="U1754" s="1500"/>
      <c r="V1754" s="648"/>
      <c r="W1754" s="648"/>
      <c r="X1754" s="1757"/>
      <c r="Y1754" s="2081"/>
      <c r="Z1754" s="2083"/>
      <c r="AA1754" s="1526"/>
      <c r="AB1754" s="648"/>
      <c r="AC1754" s="970"/>
      <c r="AD1754" s="970"/>
      <c r="AE1754" s="970"/>
      <c r="AF1754" s="648"/>
      <c r="AG1754" s="648"/>
      <c r="AH1754" s="648"/>
      <c r="AI1754" s="648"/>
      <c r="AJ1754" s="648"/>
      <c r="AK1754" s="648"/>
      <c r="AL1754" s="1336"/>
      <c r="AM1754" s="1336"/>
      <c r="AN1754" s="1336"/>
      <c r="AO1754" s="1336"/>
      <c r="AP1754" s="1336"/>
      <c r="AQ1754" s="1336"/>
      <c r="AR1754" s="1336"/>
      <c r="AS1754" s="1336"/>
      <c r="AT1754" s="648"/>
      <c r="AU1754" s="648"/>
      <c r="AV1754" s="648"/>
      <c r="AW1754" s="648"/>
      <c r="AX1754" s="648"/>
      <c r="AY1754" s="648"/>
      <c r="AZ1754" s="648"/>
      <c r="BA1754" s="648"/>
      <c r="BB1754" s="648"/>
      <c r="BC1754" s="648"/>
      <c r="BD1754" s="648"/>
      <c r="BE1754" s="648"/>
      <c r="BF1754" s="648"/>
      <c r="BG1754" s="648"/>
      <c r="BH1754" s="648"/>
    </row>
    <row r="1755" spans="1:60" s="868" customFormat="1" x14ac:dyDescent="0.25">
      <c r="A1755" s="2371">
        <v>8</v>
      </c>
      <c r="B1755" s="2385" t="s">
        <v>4436</v>
      </c>
      <c r="C1755" s="2374" t="s">
        <v>258</v>
      </c>
      <c r="D1755" s="2374"/>
      <c r="E1755" s="2374"/>
      <c r="F1755" s="2397"/>
      <c r="G1755" s="2373" t="str">
        <f t="shared" ca="1" si="106"/>
        <v/>
      </c>
      <c r="H1755" s="2371" t="s">
        <v>3973</v>
      </c>
      <c r="I1755" s="64"/>
      <c r="J1755" s="164"/>
      <c r="K1755" s="4"/>
      <c r="L1755" s="1779"/>
      <c r="M1755" s="1845"/>
      <c r="N1755" s="2075"/>
      <c r="O1755" s="1780"/>
      <c r="P1755" s="1500"/>
      <c r="Q1755" s="1500"/>
      <c r="R1755" s="1500"/>
      <c r="S1755" s="1500"/>
      <c r="T1755" s="1500"/>
      <c r="U1755" s="1500"/>
      <c r="X1755" s="1757"/>
      <c r="Y1755" s="2081"/>
      <c r="Z1755" s="2083"/>
      <c r="AA1755" s="1526"/>
      <c r="AC1755" s="970"/>
      <c r="AD1755" s="970"/>
      <c r="AE1755" s="970"/>
      <c r="AL1755" s="1336"/>
      <c r="AM1755" s="1336"/>
      <c r="AN1755" s="1336"/>
      <c r="AO1755" s="1336"/>
      <c r="AP1755" s="1336"/>
      <c r="AQ1755" s="1336"/>
      <c r="AR1755" s="1336"/>
      <c r="AS1755" s="1336"/>
    </row>
    <row r="1756" spans="1:60" x14ac:dyDescent="0.25">
      <c r="A1756" s="2371">
        <v>8</v>
      </c>
      <c r="B1756" s="2385" t="s">
        <v>4436</v>
      </c>
      <c r="C1756" s="2374" t="s">
        <v>258</v>
      </c>
      <c r="D1756" s="2374"/>
      <c r="E1756" s="2374"/>
      <c r="F1756" s="2397"/>
      <c r="G1756" s="2373" t="str">
        <f t="shared" ca="1" si="106"/>
        <v/>
      </c>
      <c r="H1756" s="2371" t="s">
        <v>3973</v>
      </c>
      <c r="I1756" s="64"/>
      <c r="J1756" s="164"/>
      <c r="K1756" s="4"/>
      <c r="L1756" s="1779"/>
      <c r="M1756" s="1845"/>
      <c r="N1756" s="2075"/>
      <c r="O1756" s="1780"/>
      <c r="P1756" s="1500"/>
      <c r="Q1756" s="1500"/>
      <c r="R1756" s="1500"/>
      <c r="S1756" s="1500"/>
      <c r="T1756" s="1500"/>
      <c r="U1756" s="1500"/>
      <c r="V1756" s="648"/>
      <c r="W1756" s="648"/>
      <c r="X1756" s="1757"/>
      <c r="Y1756" s="2081"/>
      <c r="Z1756" s="2083"/>
      <c r="AA1756" s="1526"/>
      <c r="AB1756" s="648"/>
      <c r="AC1756" s="970"/>
      <c r="AD1756" s="970"/>
      <c r="AE1756" s="970"/>
      <c r="AF1756" s="648"/>
      <c r="AG1756" s="648"/>
      <c r="AH1756" s="648"/>
      <c r="AI1756" s="648"/>
      <c r="AJ1756" s="648"/>
      <c r="AK1756" s="648"/>
      <c r="AL1756" s="1336"/>
      <c r="AM1756" s="1336"/>
      <c r="AN1756" s="1336"/>
      <c r="AO1756" s="1336"/>
      <c r="AP1756" s="1336"/>
      <c r="AQ1756" s="1336"/>
      <c r="AR1756" s="1336"/>
      <c r="AS1756" s="1336"/>
      <c r="AT1756" s="648"/>
      <c r="AU1756" s="648"/>
      <c r="AV1756" s="648"/>
      <c r="AW1756" s="648"/>
      <c r="AX1756" s="648"/>
      <c r="AY1756" s="648"/>
      <c r="AZ1756" s="648"/>
      <c r="BA1756" s="648"/>
      <c r="BB1756" s="648"/>
      <c r="BC1756" s="648"/>
      <c r="BD1756" s="648"/>
      <c r="BE1756" s="648"/>
      <c r="BF1756" s="648"/>
      <c r="BG1756" s="648"/>
      <c r="BH1756" s="648"/>
    </row>
    <row r="1757" spans="1:60" ht="15" customHeight="1" x14ac:dyDescent="0.25">
      <c r="A1757" s="2371">
        <v>8</v>
      </c>
      <c r="B1757" s="2385" t="s">
        <v>4436</v>
      </c>
      <c r="C1757" s="2374" t="s">
        <v>258</v>
      </c>
      <c r="D1757" s="2374"/>
      <c r="E1757" s="2374"/>
      <c r="F1757" s="2397"/>
      <c r="G1757" s="2373" t="str">
        <f t="shared" ca="1" si="106"/>
        <v/>
      </c>
      <c r="H1757" s="2371" t="s">
        <v>3973</v>
      </c>
      <c r="I1757" s="64"/>
      <c r="J1757" s="164"/>
      <c r="K1757" s="4"/>
      <c r="L1757" s="1851" t="s">
        <v>4441</v>
      </c>
      <c r="M1757" s="1014"/>
      <c r="N1757" s="1042"/>
      <c r="O1757" s="1506"/>
      <c r="P1757" s="1500"/>
      <c r="Q1757" s="1500"/>
      <c r="R1757" s="1500"/>
      <c r="S1757" s="1500"/>
      <c r="T1757" s="1500"/>
      <c r="U1757" s="1500"/>
      <c r="V1757" s="648"/>
      <c r="W1757" s="648"/>
      <c r="X1757" s="1757"/>
      <c r="Y1757" s="2081"/>
      <c r="Z1757" s="2083"/>
      <c r="AA1757" s="1526"/>
      <c r="AB1757" s="648"/>
      <c r="AC1757" s="970"/>
      <c r="AD1757" s="970"/>
      <c r="AE1757" s="970"/>
      <c r="AF1757" s="648"/>
      <c r="AG1757" s="648"/>
      <c r="AH1757" s="648"/>
      <c r="AI1757" s="648"/>
      <c r="AJ1757" s="648"/>
      <c r="AK1757" s="648"/>
      <c r="AL1757" s="1336"/>
      <c r="AM1757" s="1336"/>
      <c r="AN1757" s="1336"/>
      <c r="AO1757" s="1336"/>
      <c r="AP1757" s="1336"/>
      <c r="AQ1757" s="1336"/>
      <c r="AR1757" s="1336"/>
      <c r="AS1757" s="1336"/>
      <c r="AT1757" s="648"/>
      <c r="AU1757" s="648"/>
      <c r="AV1757" s="648"/>
      <c r="AW1757" s="648"/>
      <c r="AX1757" s="648"/>
      <c r="AY1757" s="648"/>
      <c r="AZ1757" s="648"/>
      <c r="BA1757" s="648"/>
      <c r="BB1757" s="648"/>
      <c r="BC1757" s="648"/>
      <c r="BD1757" s="648"/>
      <c r="BE1757" s="648"/>
      <c r="BF1757" s="648"/>
      <c r="BG1757" s="648"/>
      <c r="BH1757" s="648"/>
    </row>
    <row r="1758" spans="1:60" x14ac:dyDescent="0.25">
      <c r="A1758" s="2371">
        <v>8</v>
      </c>
      <c r="B1758" s="2385" t="s">
        <v>4436</v>
      </c>
      <c r="C1758" s="2374" t="s">
        <v>258</v>
      </c>
      <c r="D1758" s="2374"/>
      <c r="E1758" s="2374"/>
      <c r="F1758" s="2397"/>
      <c r="G1758" s="2373" t="str">
        <f t="shared" ca="1" si="106"/>
        <v/>
      </c>
      <c r="H1758" s="2371" t="s">
        <v>3973</v>
      </c>
      <c r="I1758" s="64"/>
      <c r="J1758" s="164"/>
      <c r="K1758" s="4"/>
      <c r="L1758" s="1851"/>
      <c r="M1758" s="1014"/>
      <c r="N1758" s="1042"/>
      <c r="O1758" s="1506"/>
      <c r="P1758" s="1500"/>
      <c r="Q1758" s="1500"/>
      <c r="R1758" s="1500"/>
      <c r="S1758" s="1500"/>
      <c r="T1758" s="1500"/>
      <c r="U1758" s="1500"/>
      <c r="V1758" s="648"/>
      <c r="W1758" s="648"/>
      <c r="X1758" s="1757"/>
      <c r="Y1758" s="2081"/>
      <c r="Z1758" s="2083"/>
      <c r="AA1758" s="1526"/>
      <c r="AB1758" s="648"/>
      <c r="AC1758" s="970"/>
      <c r="AD1758" s="970"/>
      <c r="AE1758" s="970"/>
      <c r="AF1758" s="648"/>
      <c r="AG1758" s="648"/>
      <c r="AH1758" s="648"/>
      <c r="AI1758" s="648"/>
      <c r="AJ1758" s="648"/>
      <c r="AK1758" s="648"/>
      <c r="AL1758" s="1336"/>
      <c r="AM1758" s="1336"/>
      <c r="AN1758" s="1336"/>
      <c r="AO1758" s="1336"/>
      <c r="AP1758" s="1336"/>
      <c r="AQ1758" s="1336"/>
      <c r="AR1758" s="1336"/>
      <c r="AS1758" s="1336"/>
      <c r="AT1758" s="648"/>
      <c r="AU1758" s="648"/>
      <c r="AV1758" s="648"/>
      <c r="AW1758" s="648"/>
      <c r="AX1758" s="648"/>
      <c r="AY1758" s="648"/>
      <c r="AZ1758" s="648"/>
      <c r="BA1758" s="648"/>
      <c r="BB1758" s="648"/>
      <c r="BC1758" s="648"/>
      <c r="BD1758" s="648"/>
      <c r="BE1758" s="648"/>
      <c r="BF1758" s="648"/>
      <c r="BG1758" s="648"/>
      <c r="BH1758" s="648"/>
    </row>
    <row r="1759" spans="1:60" x14ac:dyDescent="0.25">
      <c r="A1759" s="2371">
        <v>8</v>
      </c>
      <c r="B1759" s="2385" t="s">
        <v>4436</v>
      </c>
      <c r="C1759" s="2374" t="s">
        <v>258</v>
      </c>
      <c r="D1759" s="2374"/>
      <c r="E1759" s="2374"/>
      <c r="F1759" s="2397"/>
      <c r="G1759" s="2373" t="str">
        <f t="shared" ca="1" si="106"/>
        <v/>
      </c>
      <c r="H1759" s="2371" t="s">
        <v>3973</v>
      </c>
      <c r="I1759" s="64"/>
      <c r="J1759" s="524"/>
      <c r="K1759" s="210"/>
      <c r="L1759" s="1918"/>
      <c r="M1759" s="1015"/>
      <c r="N1759" s="1047"/>
      <c r="O1759" s="1502"/>
      <c r="P1759" s="1500"/>
      <c r="Q1759" s="1500"/>
      <c r="R1759" s="1500"/>
      <c r="S1759" s="1500"/>
      <c r="T1759" s="1500"/>
      <c r="U1759" s="1500"/>
      <c r="V1759" s="648"/>
      <c r="W1759" s="648"/>
      <c r="X1759" s="1757"/>
      <c r="Y1759" s="2081"/>
      <c r="Z1759" s="2083"/>
      <c r="AA1759" s="1526"/>
      <c r="AB1759" s="648"/>
      <c r="AC1759" s="970"/>
      <c r="AD1759" s="970"/>
      <c r="AE1759" s="970"/>
      <c r="AF1759" s="648"/>
      <c r="AG1759" s="648"/>
      <c r="AH1759" s="648"/>
      <c r="AI1759" s="648"/>
      <c r="AJ1759" s="648"/>
      <c r="AK1759" s="648"/>
      <c r="AL1759" s="1336"/>
      <c r="AM1759" s="1336"/>
      <c r="AN1759" s="1336"/>
      <c r="AO1759" s="1336"/>
      <c r="AP1759" s="1336"/>
      <c r="AQ1759" s="1336"/>
      <c r="AR1759" s="1336"/>
      <c r="AS1759" s="1336"/>
      <c r="AT1759" s="648"/>
      <c r="AU1759" s="648"/>
      <c r="AV1759" s="648"/>
      <c r="AW1759" s="648"/>
      <c r="AX1759" s="648"/>
      <c r="AY1759" s="648"/>
      <c r="AZ1759" s="648"/>
      <c r="BA1759" s="648"/>
      <c r="BB1759" s="648"/>
      <c r="BC1759" s="648"/>
      <c r="BD1759" s="648"/>
      <c r="BE1759" s="648"/>
      <c r="BF1759" s="648"/>
      <c r="BG1759" s="648"/>
      <c r="BH1759" s="648"/>
    </row>
    <row r="1760" spans="1:60" x14ac:dyDescent="0.25">
      <c r="A1760" s="2371">
        <v>8</v>
      </c>
      <c r="B1760" s="2385" t="s">
        <v>4436</v>
      </c>
      <c r="C1760" s="2374" t="s">
        <v>260</v>
      </c>
      <c r="D1760" s="2374"/>
      <c r="E1760" s="2374"/>
      <c r="F1760" s="2397"/>
      <c r="G1760" s="2373" t="str">
        <f ca="1">IF(N1760&gt;0,"P","")</f>
        <v/>
      </c>
      <c r="H1760" s="2371" t="s">
        <v>3973</v>
      </c>
      <c r="I1760" s="64"/>
      <c r="J1760" s="910" t="s">
        <v>260</v>
      </c>
      <c r="K1760" s="210"/>
      <c r="L1760" s="1163" t="s">
        <v>4438</v>
      </c>
      <c r="M1760" s="369">
        <f ca="1">17-O1753</f>
        <v>17</v>
      </c>
      <c r="N1760" s="1047">
        <f ca="1">'Ch8'!O131</f>
        <v>0</v>
      </c>
      <c r="O1760" s="1502">
        <f ca="1">M1760*W1760*S1760</f>
        <v>0</v>
      </c>
      <c r="P1760" s="94" t="b">
        <v>0</v>
      </c>
      <c r="Q1760" s="1500" t="b">
        <v>1</v>
      </c>
      <c r="R1760" s="1500" t="b">
        <v>0</v>
      </c>
      <c r="S1760" s="1500" t="b">
        <f ca="1">AND(LEN(W1753)&gt;0,S1643=2)</f>
        <v>0</v>
      </c>
      <c r="T1760" s="94" t="b">
        <f ca="1">IF(AND(NOT(S1760),W1760=TRUE),TRUE,FALSE)</f>
        <v>0</v>
      </c>
      <c r="U1760" s="1500"/>
      <c r="V1760" s="648"/>
      <c r="W1760" s="25"/>
      <c r="X1760" s="918"/>
      <c r="Y1760" s="988" t="str">
        <f>IF(LEN('Ch8'!X131)=0,"None",'Ch8'!X131)</f>
        <v>None</v>
      </c>
      <c r="Z1760" s="1587"/>
      <c r="AA1760" s="1526"/>
      <c r="AB1760" s="648"/>
      <c r="AC1760" s="970" t="b">
        <f ca="1">OR(AD1760:AE1760)</f>
        <v>0</v>
      </c>
      <c r="AD1760" s="970" t="b">
        <f ca="1">T1760</f>
        <v>0</v>
      </c>
      <c r="AE1760" s="970"/>
      <c r="AF1760" s="784"/>
      <c r="AG1760" s="648"/>
      <c r="AH1760" s="648"/>
      <c r="AI1760" s="648"/>
      <c r="AJ1760" s="648"/>
      <c r="AK1760" s="648"/>
      <c r="AL1760" s="254" t="str">
        <f>SUBSTITUTE(SUBSTITUTE(SUBSTITUTE("vpa"&amp;$B1760&amp;$C1760&amp;$D1760&amp;$E1760,".","_"),"(","_"),")","")</f>
        <v>vpa802_5_4_3</v>
      </c>
      <c r="AM1760" s="254">
        <f ca="1">M1760</f>
        <v>17</v>
      </c>
      <c r="AN1760" s="254" t="str">
        <f>SUBSTITUTE(SUBSTITUTE(SUBSTITUTE("vpc"&amp;$B1760&amp;$C1760&amp;$D1760&amp;$E1760,".","_"),"(","_"),")","")</f>
        <v>vpc802_5_4_3</v>
      </c>
      <c r="AO1760" s="254">
        <f ca="1">O1760</f>
        <v>0</v>
      </c>
      <c r="AP1760" s="254" t="str">
        <f>SUBSTITUTE(SUBSTITUTE(SUBSTITUTE("vch"&amp;$B1760&amp;$C1760&amp;$D1760&amp;$E1760,".","_"),"(","_"),")","")</f>
        <v>vch802_5_4_3</v>
      </c>
      <c r="AQ1760" s="254" t="str">
        <f>IF(LEN(W1760)=0,"",W1760)</f>
        <v/>
      </c>
      <c r="AR1760" s="254" t="str">
        <f>SUBSTITUTE(SUBSTITUTE(SUBSTITUTE("vnt"&amp;$B1760&amp;$C1760&amp;$D1760&amp;$E1760,".","_"),"(","_"),")","")</f>
        <v>vnt802_5_4_3</v>
      </c>
      <c r="AS1760" s="254" t="str">
        <f>IF(LEN(X1760)=0,"",X1760)</f>
        <v/>
      </c>
      <c r="AT1760" s="648"/>
      <c r="AU1760" s="648"/>
      <c r="AV1760" s="648"/>
      <c r="AW1760" s="648"/>
      <c r="AX1760" s="648"/>
      <c r="AY1760" s="648"/>
      <c r="AZ1760" s="648"/>
      <c r="BA1760" s="648"/>
      <c r="BB1760" s="648"/>
      <c r="BC1760" s="648"/>
      <c r="BD1760" s="648"/>
      <c r="BE1760" s="648"/>
      <c r="BF1760" s="648"/>
      <c r="BG1760" s="648"/>
      <c r="BH1760" s="648"/>
    </row>
    <row r="1761" spans="1:60" ht="15" customHeight="1" x14ac:dyDescent="0.25">
      <c r="A1761" s="2371">
        <v>8</v>
      </c>
      <c r="B1761" s="2385" t="s">
        <v>4436</v>
      </c>
      <c r="C1761" s="2374" t="s">
        <v>269</v>
      </c>
      <c r="D1761" s="2374"/>
      <c r="E1761" s="2374"/>
      <c r="F1761" s="2397"/>
      <c r="G1761" s="2363" t="str">
        <f ca="1">IF(COUNTIF(G1763:G1769,"P")&gt;0,"P","")</f>
        <v/>
      </c>
      <c r="H1761" s="2371" t="s">
        <v>3973</v>
      </c>
      <c r="I1761" s="64"/>
      <c r="J1761" s="78" t="s">
        <v>269</v>
      </c>
      <c r="K1761" s="4"/>
      <c r="L1761" s="1779" t="s">
        <v>4439</v>
      </c>
      <c r="M1761" s="1014"/>
      <c r="N1761" s="1042"/>
      <c r="O1761" s="1506"/>
      <c r="P1761" s="1500"/>
      <c r="Q1761" s="1500"/>
      <c r="R1761" s="1500"/>
      <c r="S1761" s="1500"/>
      <c r="T1761" s="1500"/>
      <c r="U1761" s="1500"/>
      <c r="V1761" s="648"/>
      <c r="W1761" s="648"/>
      <c r="X1761" s="911"/>
      <c r="Y1761" s="648"/>
      <c r="AA1761" s="1526"/>
      <c r="AB1761" s="648"/>
      <c r="AC1761" s="970"/>
      <c r="AD1761" s="970"/>
      <c r="AE1761" s="970"/>
      <c r="AF1761" s="648"/>
      <c r="AG1761" s="648"/>
      <c r="AH1761" s="648"/>
      <c r="AI1761" s="648"/>
      <c r="AJ1761" s="648"/>
      <c r="AK1761" s="648"/>
      <c r="AL1761" s="1336"/>
      <c r="AM1761" s="1336"/>
      <c r="AN1761" s="1336"/>
      <c r="AO1761" s="1336"/>
      <c r="AP1761" s="1336"/>
      <c r="AQ1761" s="1336"/>
      <c r="AR1761" s="1336"/>
      <c r="AS1761" s="1336"/>
      <c r="AT1761" s="648"/>
      <c r="AU1761" s="648"/>
      <c r="AV1761" s="648"/>
      <c r="AW1761" s="648"/>
      <c r="AX1761" s="648"/>
      <c r="AY1761" s="648"/>
      <c r="AZ1761" s="648"/>
      <c r="BA1761" s="648"/>
      <c r="BB1761" s="648"/>
      <c r="BC1761" s="648"/>
      <c r="BD1761" s="648"/>
      <c r="BE1761" s="648"/>
      <c r="BF1761" s="648"/>
      <c r="BG1761" s="648"/>
      <c r="BH1761" s="648"/>
    </row>
    <row r="1762" spans="1:60" x14ac:dyDescent="0.25">
      <c r="A1762" s="2371">
        <v>8</v>
      </c>
      <c r="B1762" s="2385" t="s">
        <v>4436</v>
      </c>
      <c r="C1762" s="2374" t="s">
        <v>269</v>
      </c>
      <c r="D1762" s="2374"/>
      <c r="E1762" s="2374"/>
      <c r="F1762" s="2397"/>
      <c r="G1762" s="2373" t="str">
        <f ca="1">G1761</f>
        <v/>
      </c>
      <c r="H1762" s="2371" t="s">
        <v>3973</v>
      </c>
      <c r="I1762" s="64"/>
      <c r="J1762" s="164"/>
      <c r="K1762" s="4"/>
      <c r="L1762" s="1779"/>
      <c r="M1762" s="1014"/>
      <c r="N1762" s="1042"/>
      <c r="O1762" s="1506"/>
      <c r="P1762" s="1500"/>
      <c r="Q1762" s="1500"/>
      <c r="R1762" s="1500"/>
      <c r="S1762" s="1500"/>
      <c r="T1762" s="1500"/>
      <c r="U1762" s="1500"/>
      <c r="V1762" s="648"/>
      <c r="W1762" s="648"/>
      <c r="X1762" s="911"/>
      <c r="Y1762" s="648"/>
      <c r="AA1762" s="1526"/>
      <c r="AB1762" s="648"/>
      <c r="AC1762" s="970"/>
      <c r="AD1762" s="970"/>
      <c r="AE1762" s="970"/>
      <c r="AF1762" s="648"/>
      <c r="AG1762" s="648"/>
      <c r="AH1762" s="648"/>
      <c r="AI1762" s="648"/>
      <c r="AJ1762" s="648"/>
      <c r="AK1762" s="648"/>
      <c r="AL1762" s="1336"/>
      <c r="AM1762" s="1336"/>
      <c r="AN1762" s="1336"/>
      <c r="AO1762" s="1336"/>
      <c r="AP1762" s="1336"/>
      <c r="AQ1762" s="1336"/>
      <c r="AR1762" s="1336"/>
      <c r="AS1762" s="1336"/>
      <c r="AT1762" s="648"/>
      <c r="AU1762" s="648"/>
      <c r="AV1762" s="648"/>
      <c r="AW1762" s="648"/>
      <c r="AX1762" s="648"/>
      <c r="AY1762" s="648"/>
      <c r="AZ1762" s="648"/>
      <c r="BA1762" s="648"/>
      <c r="BB1762" s="648"/>
      <c r="BC1762" s="648"/>
      <c r="BD1762" s="648"/>
      <c r="BE1762" s="648"/>
      <c r="BF1762" s="648"/>
      <c r="BG1762" s="648"/>
      <c r="BH1762" s="648"/>
    </row>
    <row r="1763" spans="1:60" ht="15" customHeight="1" x14ac:dyDescent="0.25">
      <c r="A1763" s="2371">
        <v>8</v>
      </c>
      <c r="B1763" s="2385" t="s">
        <v>4436</v>
      </c>
      <c r="C1763" s="2374" t="s">
        <v>269</v>
      </c>
      <c r="D1763" s="2374" t="s">
        <v>121</v>
      </c>
      <c r="E1763" s="2374"/>
      <c r="F1763" s="2397"/>
      <c r="G1763" s="2373" t="str">
        <f ca="1">IF(N1763&gt;0,"P","")</f>
        <v/>
      </c>
      <c r="H1763" s="2375" t="s">
        <v>3973</v>
      </c>
      <c r="I1763" s="4"/>
      <c r="J1763" s="164"/>
      <c r="K1763" s="27" t="s">
        <v>121</v>
      </c>
      <c r="L1763" s="1170" t="s">
        <v>4447</v>
      </c>
      <c r="M1763" s="1867" t="s">
        <v>4443</v>
      </c>
      <c r="N1763" s="1927">
        <f ca="1">'Ch8'!O134</f>
        <v>0</v>
      </c>
      <c r="O1763" s="1774">
        <f ca="1">IFERROR(MATCH(W1763,INDIRECT(U1763),0),0)*S1763*2</f>
        <v>0</v>
      </c>
      <c r="P1763" s="94" t="b">
        <v>0</v>
      </c>
      <c r="Q1763" s="1500" t="b">
        <v>1</v>
      </c>
      <c r="R1763" s="1500" t="b">
        <v>0</v>
      </c>
      <c r="S1763" s="1500" t="b">
        <f ca="1">AND(W1760=TRUE,S1760,S1643=2)</f>
        <v>0</v>
      </c>
      <c r="T1763" s="94" t="b">
        <f ca="1">IF(AND(NOT(S1763),LEN(W1763)&gt;0),TRUE,FALSE)</f>
        <v>0</v>
      </c>
      <c r="U1763" s="94" t="str">
        <f>SUBSTITUTE(SUBSTITUTE(SUBSTITUTE("dd"&amp;B1763&amp;C1763&amp;D1763&amp;E1763&amp;F1763,".","_"),"(","_"),")","")</f>
        <v>dd802_5_4_4_a</v>
      </c>
      <c r="V1763" s="648"/>
      <c r="W1763" s="12"/>
      <c r="X1763" s="1757"/>
      <c r="Y1763" s="2081" t="str">
        <f>IF(LEN('Ch8'!X134)=0,"None",'Ch8'!X134)</f>
        <v>None</v>
      </c>
      <c r="Z1763" s="2083"/>
      <c r="AA1763" s="1526"/>
      <c r="AB1763" s="648"/>
      <c r="AC1763" s="970" t="b">
        <f ca="1">OR(AD1763:AE1763)</f>
        <v>0</v>
      </c>
      <c r="AD1763" s="970" t="b">
        <f ca="1">T1763</f>
        <v>0</v>
      </c>
      <c r="AE1763" s="970"/>
      <c r="AF1763" s="784"/>
      <c r="AG1763" s="648"/>
      <c r="AH1763" s="648"/>
      <c r="AI1763" s="648"/>
      <c r="AJ1763" s="648"/>
      <c r="AK1763" s="648"/>
      <c r="AL1763" s="254" t="str">
        <f>SUBSTITUTE(SUBSTITUTE(SUBSTITUTE("vpa"&amp;$B1763&amp;$C1763&amp;$D1763&amp;$E1763,".","_"),"(","_"),")","")</f>
        <v>vpa802_5_4_4_a</v>
      </c>
      <c r="AM1763" s="254" t="str">
        <f>M1763</f>
        <v>2 Additional
6 Max</v>
      </c>
      <c r="AN1763" s="254" t="str">
        <f>SUBSTITUTE(SUBSTITUTE(SUBSTITUTE("vpc"&amp;$B1763&amp;$C1763&amp;$D1763&amp;$E1763,".","_"),"(","_"),")","")</f>
        <v>vpc802_5_4_4_a</v>
      </c>
      <c r="AO1763" s="254">
        <f ca="1">O1763</f>
        <v>0</v>
      </c>
      <c r="AP1763" s="254" t="str">
        <f>SUBSTITUTE(SUBSTITUTE(SUBSTITUTE("vch"&amp;$B1763&amp;$C1763&amp;$D1763&amp;$E1763,".","_"),"(","_"),")","")</f>
        <v>vch802_5_4_4_a</v>
      </c>
      <c r="AQ1763" s="254" t="str">
        <f>IF(LEN(W1763)=0,"",W1763)</f>
        <v/>
      </c>
      <c r="AR1763" s="254" t="str">
        <f>SUBSTITUTE(SUBSTITUTE(SUBSTITUTE("vnt"&amp;$B1763&amp;$C1763&amp;$D1763&amp;$E1763,".","_"),"(","_"),")","")</f>
        <v>vnt802_5_4_4_a</v>
      </c>
      <c r="AS1763" s="254" t="str">
        <f>IF(LEN(X1763)=0,"",X1763)</f>
        <v/>
      </c>
      <c r="AT1763" s="648"/>
      <c r="AU1763" s="648"/>
      <c r="AV1763" s="648"/>
      <c r="AW1763" s="648"/>
      <c r="AX1763" s="648"/>
      <c r="AY1763" s="648"/>
      <c r="AZ1763" s="648"/>
      <c r="BA1763" s="648"/>
      <c r="BB1763" s="648"/>
      <c r="BC1763" s="648"/>
      <c r="BD1763" s="648"/>
      <c r="BE1763" s="648"/>
      <c r="BF1763" s="648"/>
      <c r="BG1763" s="648"/>
      <c r="BH1763" s="648"/>
    </row>
    <row r="1764" spans="1:60" ht="15" customHeight="1" x14ac:dyDescent="0.25">
      <c r="A1764" s="2371">
        <v>8</v>
      </c>
      <c r="B1764" s="2385" t="s">
        <v>4436</v>
      </c>
      <c r="C1764" s="2374" t="s">
        <v>269</v>
      </c>
      <c r="D1764" s="2374" t="s">
        <v>121</v>
      </c>
      <c r="E1764" s="2374"/>
      <c r="F1764" s="2397"/>
      <c r="G1764" s="2373" t="str">
        <f ca="1">G1763</f>
        <v/>
      </c>
      <c r="H1764" s="2375" t="s">
        <v>3973</v>
      </c>
      <c r="I1764" s="4"/>
      <c r="J1764" s="164"/>
      <c r="K1764" s="4"/>
      <c r="L1764" s="1851" t="s">
        <v>4448</v>
      </c>
      <c r="M1764" s="1920"/>
      <c r="N1764" s="1927"/>
      <c r="O1764" s="1774"/>
      <c r="P1764" s="1500"/>
      <c r="Q1764" s="1500"/>
      <c r="R1764" s="1500"/>
      <c r="S1764" s="1500"/>
      <c r="T1764" s="1500"/>
      <c r="U1764" s="1500"/>
      <c r="V1764" s="648"/>
      <c r="W1764" s="648"/>
      <c r="X1764" s="1757"/>
      <c r="Y1764" s="2081"/>
      <c r="Z1764" s="2083"/>
      <c r="AA1764" s="1526"/>
      <c r="AB1764" s="648"/>
      <c r="AC1764" s="970"/>
      <c r="AD1764" s="970"/>
      <c r="AE1764" s="970"/>
      <c r="AF1764" s="648"/>
      <c r="AG1764" s="648"/>
      <c r="AH1764" s="648"/>
      <c r="AI1764" s="648"/>
      <c r="AJ1764" s="648"/>
      <c r="AK1764" s="648"/>
      <c r="AL1764" s="1336"/>
      <c r="AM1764" s="1336"/>
      <c r="AN1764" s="1336"/>
      <c r="AO1764" s="1336"/>
      <c r="AP1764" s="1336"/>
      <c r="AQ1764" s="1336"/>
      <c r="AR1764" s="1336"/>
      <c r="AS1764" s="1336"/>
      <c r="AT1764" s="648"/>
      <c r="AU1764" s="648"/>
      <c r="AV1764" s="648"/>
      <c r="AW1764" s="648"/>
      <c r="AX1764" s="648"/>
      <c r="AY1764" s="648"/>
      <c r="AZ1764" s="648"/>
      <c r="BA1764" s="648"/>
      <c r="BB1764" s="648"/>
      <c r="BC1764" s="648"/>
      <c r="BD1764" s="648"/>
      <c r="BE1764" s="648"/>
      <c r="BF1764" s="648"/>
      <c r="BG1764" s="648"/>
      <c r="BH1764" s="648"/>
    </row>
    <row r="1765" spans="1:60" x14ac:dyDescent="0.25">
      <c r="A1765" s="2371">
        <v>8</v>
      </c>
      <c r="B1765" s="2385" t="s">
        <v>4436</v>
      </c>
      <c r="C1765" s="2374" t="s">
        <v>269</v>
      </c>
      <c r="D1765" s="2374" t="s">
        <v>121</v>
      </c>
      <c r="E1765" s="2374"/>
      <c r="F1765" s="2397"/>
      <c r="G1765" s="2373" t="str">
        <f ca="1">G1764</f>
        <v/>
      </c>
      <c r="H1765" s="2375" t="s">
        <v>3973</v>
      </c>
      <c r="I1765" s="4"/>
      <c r="J1765" s="164"/>
      <c r="K1765" s="4"/>
      <c r="L1765" s="1851"/>
      <c r="M1765" s="1920"/>
      <c r="N1765" s="1927"/>
      <c r="O1765" s="1774"/>
      <c r="P1765" s="1500"/>
      <c r="Q1765" s="1500"/>
      <c r="R1765" s="1500"/>
      <c r="S1765" s="1500"/>
      <c r="T1765" s="1500"/>
      <c r="U1765" s="1500"/>
      <c r="V1765" s="648"/>
      <c r="W1765" s="648"/>
      <c r="X1765" s="1757"/>
      <c r="Y1765" s="2081"/>
      <c r="Z1765" s="2083"/>
      <c r="AA1765" s="1526"/>
      <c r="AB1765" s="648"/>
      <c r="AC1765" s="970"/>
      <c r="AD1765" s="970"/>
      <c r="AE1765" s="970"/>
      <c r="AF1765" s="648"/>
      <c r="AG1765" s="648"/>
      <c r="AH1765" s="648"/>
      <c r="AI1765" s="648"/>
      <c r="AJ1765" s="648"/>
      <c r="AK1765" s="648"/>
      <c r="AL1765" s="1336"/>
      <c r="AM1765" s="1336"/>
      <c r="AN1765" s="1336"/>
      <c r="AO1765" s="1336"/>
      <c r="AP1765" s="1336"/>
      <c r="AQ1765" s="1336"/>
      <c r="AR1765" s="1336"/>
      <c r="AS1765" s="1336"/>
      <c r="AT1765" s="648"/>
      <c r="AU1765" s="648"/>
      <c r="AV1765" s="648"/>
      <c r="AW1765" s="648"/>
      <c r="AX1765" s="648"/>
      <c r="AY1765" s="648"/>
      <c r="AZ1765" s="648"/>
      <c r="BA1765" s="648"/>
      <c r="BB1765" s="648"/>
      <c r="BC1765" s="648"/>
      <c r="BD1765" s="648"/>
      <c r="BE1765" s="648"/>
      <c r="BF1765" s="648"/>
      <c r="BG1765" s="648"/>
      <c r="BH1765" s="648"/>
    </row>
    <row r="1766" spans="1:60" x14ac:dyDescent="0.25">
      <c r="A1766" s="2371">
        <v>8</v>
      </c>
      <c r="B1766" s="2385" t="s">
        <v>4436</v>
      </c>
      <c r="C1766" s="2374" t="s">
        <v>269</v>
      </c>
      <c r="D1766" s="2374" t="s">
        <v>121</v>
      </c>
      <c r="E1766" s="2374"/>
      <c r="F1766" s="2397"/>
      <c r="G1766" s="2373" t="str">
        <f ca="1">G1765</f>
        <v/>
      </c>
      <c r="H1766" s="2375" t="s">
        <v>3973</v>
      </c>
      <c r="I1766" s="4"/>
      <c r="J1766" s="164"/>
      <c r="K1766" s="210"/>
      <c r="L1766" s="1918"/>
      <c r="M1766" s="1921"/>
      <c r="N1766" s="2076"/>
      <c r="O1766" s="1764"/>
      <c r="P1766" s="1500"/>
      <c r="Q1766" s="1500"/>
      <c r="R1766" s="1500"/>
      <c r="S1766" s="1500"/>
      <c r="T1766" s="1500"/>
      <c r="U1766" s="1500"/>
      <c r="V1766" s="648"/>
      <c r="W1766" s="648"/>
      <c r="X1766" s="1757"/>
      <c r="Y1766" s="2081"/>
      <c r="Z1766" s="2083"/>
      <c r="AA1766" s="1526"/>
      <c r="AB1766" s="648"/>
      <c r="AC1766" s="970"/>
      <c r="AD1766" s="970"/>
      <c r="AE1766" s="970"/>
      <c r="AF1766" s="648"/>
      <c r="AG1766" s="648"/>
      <c r="AH1766" s="648"/>
      <c r="AI1766" s="648"/>
      <c r="AJ1766" s="648"/>
      <c r="AK1766" s="648"/>
      <c r="AL1766" s="1336"/>
      <c r="AM1766" s="1336"/>
      <c r="AN1766" s="1336"/>
      <c r="AO1766" s="1336"/>
      <c r="AP1766" s="1336"/>
      <c r="AQ1766" s="1336"/>
      <c r="AR1766" s="1336"/>
      <c r="AS1766" s="1336"/>
      <c r="AT1766" s="648"/>
      <c r="AU1766" s="648"/>
      <c r="AV1766" s="648"/>
      <c r="AW1766" s="648"/>
      <c r="AX1766" s="648"/>
      <c r="AY1766" s="648"/>
      <c r="AZ1766" s="648"/>
      <c r="BA1766" s="648"/>
      <c r="BB1766" s="648"/>
      <c r="BC1766" s="648"/>
      <c r="BD1766" s="648"/>
      <c r="BE1766" s="648"/>
      <c r="BF1766" s="648"/>
      <c r="BG1766" s="648"/>
      <c r="BH1766" s="648"/>
    </row>
    <row r="1767" spans="1:60" ht="15" customHeight="1" x14ac:dyDescent="0.25">
      <c r="A1767" s="2371">
        <v>8</v>
      </c>
      <c r="B1767" s="2385" t="s">
        <v>4436</v>
      </c>
      <c r="C1767" s="2374" t="s">
        <v>269</v>
      </c>
      <c r="D1767" s="2374" t="s">
        <v>122</v>
      </c>
      <c r="E1767" s="2374"/>
      <c r="F1767" s="2397"/>
      <c r="G1767" s="2373" t="str">
        <f ca="1">IF(N1767&gt;0,"P","")</f>
        <v/>
      </c>
      <c r="H1767" s="2375" t="s">
        <v>3973</v>
      </c>
      <c r="I1767" s="4"/>
      <c r="J1767" s="164"/>
      <c r="K1767" s="27" t="s">
        <v>122</v>
      </c>
      <c r="L1767" s="1779" t="s">
        <v>4446</v>
      </c>
      <c r="M1767" s="1758" t="s">
        <v>4444</v>
      </c>
      <c r="N1767" s="1927">
        <f ca="1">'Ch8'!O138</f>
        <v>0</v>
      </c>
      <c r="O1767" s="1774">
        <f ca="1">2*W1767*S1767</f>
        <v>0</v>
      </c>
      <c r="P1767" s="94" t="b">
        <v>0</v>
      </c>
      <c r="Q1767" s="1500" t="b">
        <v>1</v>
      </c>
      <c r="R1767" s="1500" t="b">
        <v>0</v>
      </c>
      <c r="S1767" s="1500" t="b">
        <f ca="1">AND(W1760=TRUE,S1760,S1643=2)</f>
        <v>0</v>
      </c>
      <c r="T1767" s="94" t="b">
        <f ca="1">IF(AND(NOT(S1767),W1767=TRUE),TRUE,FALSE)</f>
        <v>0</v>
      </c>
      <c r="U1767" s="1500"/>
      <c r="V1767" s="648"/>
      <c r="W1767" s="25"/>
      <c r="X1767" s="1757"/>
      <c r="Y1767" s="2081" t="str">
        <f>IF(LEN('Ch8'!X138)=0,"None",'Ch8'!X138)</f>
        <v>None</v>
      </c>
      <c r="Z1767" s="2083"/>
      <c r="AA1767" s="1526"/>
      <c r="AB1767" s="648"/>
      <c r="AC1767" s="970" t="b">
        <f ca="1">OR(AD1767:AE1767)</f>
        <v>0</v>
      </c>
      <c r="AD1767" s="970" t="b">
        <f ca="1">T1767</f>
        <v>0</v>
      </c>
      <c r="AE1767" s="970"/>
      <c r="AF1767" s="784"/>
      <c r="AG1767" s="648"/>
      <c r="AH1767" s="648"/>
      <c r="AI1767" s="648"/>
      <c r="AJ1767" s="648"/>
      <c r="AK1767" s="648"/>
      <c r="AL1767" s="254" t="str">
        <f>SUBSTITUTE(SUBSTITUTE(SUBSTITUTE("vpa"&amp;$B1767&amp;$C1767&amp;$D1767&amp;$E1767,".","_"),"(","_"),")","")</f>
        <v>vpa802_5_4_4_b</v>
      </c>
      <c r="AM1767" s="254" t="str">
        <f>M1767</f>
        <v>2 Additional</v>
      </c>
      <c r="AN1767" s="254" t="str">
        <f>SUBSTITUTE(SUBSTITUTE(SUBSTITUTE("vpc"&amp;$B1767&amp;$C1767&amp;$D1767&amp;$E1767,".","_"),"(","_"),")","")</f>
        <v>vpc802_5_4_4_b</v>
      </c>
      <c r="AO1767" s="254">
        <f ca="1">O1767</f>
        <v>0</v>
      </c>
      <c r="AP1767" s="254" t="str">
        <f>SUBSTITUTE(SUBSTITUTE(SUBSTITUTE("vch"&amp;$B1767&amp;$C1767&amp;$D1767&amp;$E1767,".","_"),"(","_"),")","")</f>
        <v>vch802_5_4_4_b</v>
      </c>
      <c r="AQ1767" s="254" t="str">
        <f>IF(LEN(W1767)=0,"",W1767)</f>
        <v/>
      </c>
      <c r="AR1767" s="254" t="str">
        <f>SUBSTITUTE(SUBSTITUTE(SUBSTITUTE("vnt"&amp;$B1767&amp;$C1767&amp;$D1767&amp;$E1767,".","_"),"(","_"),")","")</f>
        <v>vnt802_5_4_4_b</v>
      </c>
      <c r="AS1767" s="254" t="str">
        <f>IF(LEN(X1767)=0,"",X1767)</f>
        <v/>
      </c>
      <c r="AT1767" s="648"/>
      <c r="AU1767" s="648"/>
      <c r="AV1767" s="648"/>
      <c r="AW1767" s="648"/>
      <c r="AX1767" s="648"/>
      <c r="AY1767" s="648"/>
      <c r="AZ1767" s="648"/>
      <c r="BA1767" s="648"/>
      <c r="BB1767" s="648"/>
      <c r="BC1767" s="648"/>
      <c r="BD1767" s="648"/>
      <c r="BE1767" s="648"/>
      <c r="BF1767" s="648"/>
      <c r="BG1767" s="648"/>
      <c r="BH1767" s="648"/>
    </row>
    <row r="1768" spans="1:60" x14ac:dyDescent="0.25">
      <c r="A1768" s="2371">
        <v>8</v>
      </c>
      <c r="B1768" s="2385" t="s">
        <v>4436</v>
      </c>
      <c r="C1768" s="2374" t="s">
        <v>269</v>
      </c>
      <c r="D1768" s="2374" t="s">
        <v>122</v>
      </c>
      <c r="E1768" s="2374"/>
      <c r="F1768" s="2397"/>
      <c r="G1768" s="2373" t="str">
        <f ca="1">G1767</f>
        <v/>
      </c>
      <c r="H1768" s="2375" t="s">
        <v>3973</v>
      </c>
      <c r="I1768" s="4"/>
      <c r="J1768" s="164"/>
      <c r="K1768" s="206"/>
      <c r="L1768" s="1755"/>
      <c r="M1768" s="1759"/>
      <c r="N1768" s="2076"/>
      <c r="O1768" s="1764"/>
      <c r="P1768" s="1500"/>
      <c r="Q1768" s="1500"/>
      <c r="R1768" s="1500"/>
      <c r="S1768" s="1500"/>
      <c r="T1768" s="1500"/>
      <c r="U1768" s="1500"/>
      <c r="V1768" s="648"/>
      <c r="W1768" s="648"/>
      <c r="X1768" s="1757"/>
      <c r="Y1768" s="2081"/>
      <c r="Z1768" s="2083"/>
      <c r="AA1768" s="1526"/>
      <c r="AB1768" s="648"/>
      <c r="AC1768" s="970"/>
      <c r="AD1768" s="970"/>
      <c r="AE1768" s="970"/>
      <c r="AF1768" s="648"/>
      <c r="AG1768" s="648"/>
      <c r="AH1768" s="648"/>
      <c r="AI1768" s="648"/>
      <c r="AJ1768" s="648"/>
      <c r="AK1768" s="648"/>
      <c r="AL1768" s="1336"/>
      <c r="AM1768" s="1336"/>
      <c r="AN1768" s="1336"/>
      <c r="AO1768" s="1336"/>
      <c r="AP1768" s="1336"/>
      <c r="AQ1768" s="1336"/>
      <c r="AR1768" s="1336"/>
      <c r="AS1768" s="1336"/>
      <c r="AT1768" s="648"/>
      <c r="AU1768" s="648"/>
      <c r="AV1768" s="648"/>
      <c r="AW1768" s="648"/>
      <c r="AX1768" s="648"/>
      <c r="AY1768" s="648"/>
      <c r="AZ1768" s="648"/>
      <c r="BA1768" s="648"/>
      <c r="BB1768" s="648"/>
      <c r="BC1768" s="648"/>
      <c r="BD1768" s="648"/>
      <c r="BE1768" s="648"/>
      <c r="BF1768" s="648"/>
      <c r="BG1768" s="648"/>
      <c r="BH1768" s="648"/>
    </row>
    <row r="1769" spans="1:60" ht="15" customHeight="1" x14ac:dyDescent="0.25">
      <c r="A1769" s="2371">
        <v>8</v>
      </c>
      <c r="B1769" s="2385" t="s">
        <v>4436</v>
      </c>
      <c r="C1769" s="2374" t="s">
        <v>269</v>
      </c>
      <c r="D1769" s="2374" t="s">
        <v>123</v>
      </c>
      <c r="E1769" s="2374"/>
      <c r="F1769" s="2397"/>
      <c r="G1769" s="2373" t="str">
        <f ca="1">IF(N1769&gt;0,"P","")</f>
        <v/>
      </c>
      <c r="H1769" s="2375" t="s">
        <v>3973</v>
      </c>
      <c r="I1769" s="4"/>
      <c r="J1769" s="164"/>
      <c r="K1769" s="27" t="s">
        <v>123</v>
      </c>
      <c r="L1769" s="1779" t="s">
        <v>4449</v>
      </c>
      <c r="M1769" s="1762" t="s">
        <v>4445</v>
      </c>
      <c r="N1769" s="2079">
        <f ca="1">'Ch8'!O140</f>
        <v>0</v>
      </c>
      <c r="O1769" s="1763">
        <f ca="1">12*S1769*W1769</f>
        <v>0</v>
      </c>
      <c r="P1769" s="94" t="b">
        <v>0</v>
      </c>
      <c r="Q1769" s="94" t="b">
        <v>1</v>
      </c>
      <c r="R1769" s="94" t="b">
        <v>0</v>
      </c>
      <c r="S1769" s="94" t="b">
        <f ca="1">AND(W1760=TRUE,S1760,S1643=2)</f>
        <v>0</v>
      </c>
      <c r="T1769" s="94" t="b">
        <f ca="1">IF(AND(NOT(S1769),W1769=TRUE),TRUE,FALSE)</f>
        <v>0</v>
      </c>
      <c r="U1769" s="94"/>
      <c r="V1769" s="94"/>
      <c r="W1769" s="360"/>
      <c r="X1769" s="1757"/>
      <c r="Y1769" s="2099" t="str">
        <f>IF(LEN('Ch8'!X140)=0,"None",'Ch8'!X140)</f>
        <v>None</v>
      </c>
      <c r="Z1769" s="2087"/>
      <c r="AA1769" s="1526"/>
      <c r="AB1769" s="648"/>
      <c r="AC1769" s="970" t="b">
        <f ca="1">OR(AD1769:AE1769)</f>
        <v>0</v>
      </c>
      <c r="AD1769" s="970" t="b">
        <f ca="1">T1769</f>
        <v>0</v>
      </c>
      <c r="AE1769" s="970"/>
      <c r="AF1769" s="784"/>
      <c r="AG1769" s="648"/>
      <c r="AH1769" s="648"/>
      <c r="AI1769" s="648"/>
      <c r="AJ1769" s="648"/>
      <c r="AK1769" s="648"/>
      <c r="AL1769" s="254" t="str">
        <f>SUBSTITUTE(SUBSTITUTE(SUBSTITUTE("vpa"&amp;$B1769&amp;$C1769&amp;$D1769&amp;$E1769,".","_"),"(","_"),")","")</f>
        <v>vpa802_5_4_4_c</v>
      </c>
      <c r="AM1769" s="254" t="str">
        <f>M1769</f>
        <v>12 Additional</v>
      </c>
      <c r="AN1769" s="254" t="str">
        <f>SUBSTITUTE(SUBSTITUTE(SUBSTITUTE("vpc"&amp;$B1769&amp;$C1769&amp;$D1769&amp;$E1769,".","_"),"(","_"),")","")</f>
        <v>vpc802_5_4_4_c</v>
      </c>
      <c r="AO1769" s="254">
        <f ca="1">O1769</f>
        <v>0</v>
      </c>
      <c r="AP1769" s="254" t="str">
        <f>SUBSTITUTE(SUBSTITUTE(SUBSTITUTE("vch"&amp;$B1769&amp;$C1769&amp;$D1769&amp;$E1769,".","_"),"(","_"),")","")</f>
        <v>vch802_5_4_4_c</v>
      </c>
      <c r="AQ1769" s="254" t="str">
        <f>IF(LEN(W1769)=0,"",W1769)</f>
        <v/>
      </c>
      <c r="AR1769" s="254" t="str">
        <f>SUBSTITUTE(SUBSTITUTE(SUBSTITUTE("vnt"&amp;$B1769&amp;$C1769&amp;$D1769&amp;$E1769,".","_"),"(","_"),")","")</f>
        <v>vnt802_5_4_4_c</v>
      </c>
      <c r="AS1769" s="254" t="str">
        <f>IF(LEN(X1769)=0,"",X1769)</f>
        <v/>
      </c>
      <c r="AT1769" s="648"/>
      <c r="AU1769" s="648"/>
      <c r="AV1769" s="648"/>
      <c r="AW1769" s="648"/>
      <c r="AX1769" s="648"/>
      <c r="AY1769" s="648"/>
      <c r="AZ1769" s="648"/>
      <c r="BA1769" s="648"/>
      <c r="BB1769" s="648"/>
      <c r="BC1769" s="648"/>
      <c r="BD1769" s="648"/>
      <c r="BE1769" s="648"/>
      <c r="BF1769" s="648"/>
      <c r="BG1769" s="648"/>
      <c r="BH1769" s="648"/>
    </row>
    <row r="1770" spans="1:60" ht="15.75" thickBot="1" x14ac:dyDescent="0.3">
      <c r="A1770" s="2371">
        <v>8</v>
      </c>
      <c r="B1770" s="2385" t="s">
        <v>4436</v>
      </c>
      <c r="C1770" s="2374" t="s">
        <v>269</v>
      </c>
      <c r="D1770" s="2374" t="s">
        <v>123</v>
      </c>
      <c r="G1770" s="2373" t="str">
        <f ca="1">G1769</f>
        <v/>
      </c>
      <c r="H1770" s="2375" t="s">
        <v>3973</v>
      </c>
      <c r="I1770" s="99"/>
      <c r="J1770" s="99"/>
      <c r="K1770" s="99"/>
      <c r="L1770" s="1783"/>
      <c r="M1770" s="1768"/>
      <c r="N1770" s="1928"/>
      <c r="O1770" s="1775"/>
      <c r="P1770" s="99"/>
      <c r="Q1770" s="99"/>
      <c r="R1770" s="99"/>
      <c r="S1770" s="99"/>
      <c r="T1770" s="99"/>
      <c r="U1770" s="99"/>
      <c r="V1770" s="99"/>
      <c r="W1770" s="99"/>
      <c r="X1770" s="1771"/>
      <c r="Y1770" s="2102"/>
      <c r="Z1770" s="2090"/>
      <c r="AA1770" s="1526"/>
      <c r="AC1770" s="970"/>
      <c r="AD1770" s="970"/>
      <c r="AE1770" s="970"/>
      <c r="AF1770"/>
      <c r="AG1770"/>
      <c r="AH1770"/>
      <c r="AI1770"/>
      <c r="AJ1770"/>
      <c r="AK1770"/>
      <c r="AL1770" s="1336"/>
      <c r="AM1770" s="1336"/>
      <c r="AN1770" s="1336"/>
      <c r="AO1770" s="1336"/>
      <c r="AP1770" s="1336"/>
      <c r="AQ1770" s="1336"/>
      <c r="AR1770" s="1336"/>
      <c r="AS1770" s="1336"/>
      <c r="AT1770"/>
    </row>
    <row r="1771" spans="1:60" ht="15.75" thickTop="1" x14ac:dyDescent="0.25">
      <c r="A1771" s="2371">
        <v>8</v>
      </c>
      <c r="B1771" s="2385">
        <v>802.6</v>
      </c>
      <c r="C1771" s="2374"/>
      <c r="D1771" s="2374"/>
      <c r="E1771" s="2374"/>
      <c r="F1771" s="2374"/>
      <c r="G1771" s="2363" t="s">
        <v>3974</v>
      </c>
      <c r="H1771" s="2371" t="s">
        <v>3973</v>
      </c>
      <c r="I1771" s="64">
        <v>802.6</v>
      </c>
      <c r="J1771" s="164"/>
      <c r="K1771" s="4"/>
      <c r="L1771" s="1180" t="s">
        <v>4377</v>
      </c>
      <c r="M1771" s="1010"/>
      <c r="N1771" s="1044"/>
      <c r="O1771" s="1504"/>
      <c r="P1771" s="911"/>
      <c r="Q1771" s="911"/>
      <c r="R1771" s="911"/>
      <c r="S1771" s="911"/>
      <c r="T1771" s="911"/>
      <c r="U1771" s="911"/>
      <c r="V1771" s="94"/>
      <c r="W1771" s="105"/>
      <c r="X1771" s="911"/>
      <c r="Y1771" s="648"/>
      <c r="AA1771" s="1526"/>
      <c r="AB1771" s="648"/>
      <c r="AC1771" s="970"/>
      <c r="AD1771" s="970"/>
      <c r="AE1771" s="970"/>
      <c r="AF1771" s="648"/>
      <c r="AG1771" s="648"/>
      <c r="AH1771" s="648"/>
      <c r="AI1771" s="648"/>
      <c r="AJ1771" s="648"/>
      <c r="AK1771" s="648"/>
      <c r="AL1771" s="1336"/>
      <c r="AM1771" s="1336"/>
      <c r="AN1771" s="1336"/>
      <c r="AO1771" s="1336"/>
      <c r="AP1771" s="1336"/>
      <c r="AQ1771" s="1336"/>
      <c r="AR1771" s="1336"/>
      <c r="AS1771" s="1336"/>
      <c r="AT1771" s="648"/>
      <c r="AU1771" s="648"/>
      <c r="AV1771" s="648"/>
      <c r="AW1771" s="648"/>
      <c r="AX1771" s="648"/>
      <c r="AY1771" s="648"/>
      <c r="AZ1771" s="648"/>
      <c r="BA1771" s="648"/>
      <c r="BB1771" s="648"/>
      <c r="BC1771" s="648"/>
      <c r="BD1771" s="648"/>
      <c r="BE1771" s="648"/>
      <c r="BF1771" s="648"/>
      <c r="BG1771" s="648"/>
      <c r="BH1771" s="648"/>
    </row>
    <row r="1772" spans="1:60" ht="15" customHeight="1" x14ac:dyDescent="0.25">
      <c r="A1772" s="2371">
        <v>8</v>
      </c>
      <c r="B1772" s="2385" t="s">
        <v>4376</v>
      </c>
      <c r="C1772" s="2374"/>
      <c r="D1772" s="2374"/>
      <c r="E1772" s="2374"/>
      <c r="F1772" s="2374"/>
      <c r="G1772" s="2373" t="s">
        <v>3974</v>
      </c>
      <c r="H1772" s="2371" t="s">
        <v>3973</v>
      </c>
      <c r="I1772" s="64" t="s">
        <v>4376</v>
      </c>
      <c r="J1772" s="164"/>
      <c r="K1772" s="4"/>
      <c r="L1772" s="1796" t="s">
        <v>4450</v>
      </c>
      <c r="M1772" s="1837" t="str">
        <f>IF(R1772,"Mandatory","N/A")</f>
        <v>Mandatory</v>
      </c>
      <c r="N1772" s="664"/>
      <c r="O1772" s="1504"/>
      <c r="P1772" s="94" t="b">
        <v>0</v>
      </c>
      <c r="Q1772" s="1500" t="b">
        <v>1</v>
      </c>
      <c r="R1772" s="94" t="b">
        <f>NOT(W1787=TRUE)</f>
        <v>1</v>
      </c>
      <c r="S1772" s="1500" t="b">
        <v>1</v>
      </c>
      <c r="T1772" s="1500" t="b">
        <v>0</v>
      </c>
      <c r="U1772" s="94" t="str">
        <f>SUBSTITUTE(SUBSTITUTE(SUBSTITUTE("dd"&amp;B1772&amp;C1772&amp;D1772&amp;E1772&amp;F1772,".","_"),"(","_"),")","")</f>
        <v>dd802_6_1</v>
      </c>
      <c r="V1772" s="94"/>
      <c r="W1772" s="12"/>
      <c r="X1772" s="1757"/>
      <c r="Y1772" s="2099" t="str">
        <f>IF(LEN('Ch8'!X143)=0,"None",'Ch8'!X143)</f>
        <v>None</v>
      </c>
      <c r="Z1772" s="2087"/>
      <c r="AA1772" s="1526"/>
      <c r="AB1772" s="648"/>
      <c r="AC1772" s="970" t="b">
        <f>OR(AD1772:AE1772)</f>
        <v>1</v>
      </c>
      <c r="AD1772" s="970" t="b">
        <f>T1772</f>
        <v>0</v>
      </c>
      <c r="AE1772" s="970" t="b">
        <f>AND(R1772,NOT(W1772="Met"),NOT(W1772="N/A"))</f>
        <v>1</v>
      </c>
      <c r="AF1772" s="784"/>
      <c r="AG1772" s="648"/>
      <c r="AH1772" s="648"/>
      <c r="AI1772" s="648"/>
      <c r="AJ1772" s="648"/>
      <c r="AK1772" s="648"/>
      <c r="AL1772" s="254" t="str">
        <f>SUBSTITUTE(SUBSTITUTE(SUBSTITUTE("vpa"&amp;$B1772&amp;$C1772&amp;$D1772&amp;$E1772,".","_"),"(","_"),")","")</f>
        <v>vpa802_6_1</v>
      </c>
      <c r="AM1772" s="254" t="str">
        <f>M1772</f>
        <v>Mandatory</v>
      </c>
      <c r="AN1772" s="1336"/>
      <c r="AO1772" s="1336"/>
      <c r="AP1772" s="254" t="str">
        <f>SUBSTITUTE(SUBSTITUTE(SUBSTITUTE("vch"&amp;$B1772&amp;$C1772&amp;$D1772&amp;$E1772,".","_"),"(","_"),")","")</f>
        <v>vch802_6_1</v>
      </c>
      <c r="AQ1772" s="254" t="str">
        <f>IF(LEN(W1772)=0,"",W1772)</f>
        <v/>
      </c>
      <c r="AR1772" s="254" t="str">
        <f>SUBSTITUTE(SUBSTITUTE(SUBSTITUTE("vnt"&amp;$B1772&amp;$C1772&amp;$D1772&amp;$E1772,".","_"),"(","_"),")","")</f>
        <v>vnt802_6_1</v>
      </c>
      <c r="AS1772" s="254" t="str">
        <f>IF(LEN(X1772)=0,"",X1772)</f>
        <v/>
      </c>
      <c r="AT1772" s="648"/>
      <c r="AU1772" s="648"/>
      <c r="AV1772" s="648"/>
      <c r="AW1772" s="648"/>
      <c r="AX1772" s="648"/>
      <c r="AY1772" s="648"/>
      <c r="AZ1772" s="648"/>
      <c r="BA1772" s="648"/>
      <c r="BB1772" s="648"/>
      <c r="BC1772" s="648"/>
      <c r="BD1772" s="648"/>
      <c r="BE1772" s="648"/>
      <c r="BF1772" s="648"/>
      <c r="BG1772" s="648"/>
      <c r="BH1772" s="648"/>
    </row>
    <row r="1773" spans="1:60" x14ac:dyDescent="0.25">
      <c r="A1773" s="2371">
        <v>8</v>
      </c>
      <c r="B1773" s="2385" t="s">
        <v>4376</v>
      </c>
      <c r="C1773" s="2374"/>
      <c r="D1773" s="2374"/>
      <c r="E1773" s="2374"/>
      <c r="F1773" s="2374"/>
      <c r="G1773" s="2373" t="s">
        <v>3974</v>
      </c>
      <c r="H1773" s="2371" t="s">
        <v>3973</v>
      </c>
      <c r="I1773" s="215"/>
      <c r="J1773" s="524"/>
      <c r="K1773" s="210"/>
      <c r="L1773" s="1843"/>
      <c r="M1773" s="1844"/>
      <c r="N1773" s="1041"/>
      <c r="O1773" s="1502"/>
      <c r="P1773" s="178"/>
      <c r="Q1773" s="178"/>
      <c r="R1773" s="178"/>
      <c r="S1773" s="178"/>
      <c r="T1773" s="178"/>
      <c r="U1773" s="178"/>
      <c r="V1773" s="178"/>
      <c r="W1773" s="94"/>
      <c r="X1773" s="1757"/>
      <c r="Y1773" s="2097"/>
      <c r="Z1773" s="2085"/>
      <c r="AA1773" s="1526"/>
      <c r="AB1773" s="648"/>
      <c r="AC1773" s="970"/>
      <c r="AD1773" s="970"/>
      <c r="AE1773" s="970"/>
      <c r="AF1773" s="648"/>
      <c r="AG1773" s="648"/>
      <c r="AH1773" s="648"/>
      <c r="AI1773" s="648"/>
      <c r="AJ1773" s="648"/>
      <c r="AK1773" s="648"/>
      <c r="AL1773" s="1336"/>
      <c r="AM1773" s="1336"/>
      <c r="AN1773" s="1336"/>
      <c r="AO1773" s="1336"/>
      <c r="AP1773" s="1336"/>
      <c r="AQ1773" s="1336"/>
      <c r="AR1773" s="1336"/>
      <c r="AS1773" s="1336"/>
      <c r="AT1773" s="648"/>
      <c r="AU1773" s="648"/>
      <c r="AV1773" s="648"/>
      <c r="AW1773" s="648"/>
      <c r="AX1773" s="648"/>
      <c r="AY1773" s="648"/>
      <c r="AZ1773" s="648"/>
      <c r="BA1773" s="648"/>
      <c r="BB1773" s="648"/>
      <c r="BC1773" s="648"/>
      <c r="BD1773" s="648"/>
      <c r="BE1773" s="648"/>
      <c r="BF1773" s="648"/>
      <c r="BG1773" s="648"/>
      <c r="BH1773" s="648"/>
    </row>
    <row r="1774" spans="1:60" x14ac:dyDescent="0.25">
      <c r="A1774" s="2371">
        <v>8</v>
      </c>
      <c r="B1774" s="2385" t="s">
        <v>4378</v>
      </c>
      <c r="C1774" s="2374"/>
      <c r="D1774" s="2374"/>
      <c r="E1774" s="2374"/>
      <c r="F1774" s="2374"/>
      <c r="G1774" s="2373" t="str">
        <f ca="1">IF(N1774&gt;0,"P","")</f>
        <v/>
      </c>
      <c r="H1774" s="2371" t="s">
        <v>3973</v>
      </c>
      <c r="I1774" s="64" t="s">
        <v>4378</v>
      </c>
      <c r="J1774" s="164"/>
      <c r="K1774" s="4"/>
      <c r="L1774" s="1864" t="s">
        <v>4451</v>
      </c>
      <c r="M1774" s="1758">
        <v>6</v>
      </c>
      <c r="N1774" s="2076">
        <f ca="1">'Ch8'!O145</f>
        <v>0</v>
      </c>
      <c r="O1774" s="1774">
        <f ca="1">6*S1774*W1774</f>
        <v>0</v>
      </c>
      <c r="P1774" s="94" t="b">
        <v>0</v>
      </c>
      <c r="Q1774" s="1500" t="b">
        <v>1</v>
      </c>
      <c r="R1774" s="94" t="b">
        <v>0</v>
      </c>
      <c r="S1774" s="94" t="b">
        <f ca="1">AND(NOT(W1787=TRUE),S1643=2)</f>
        <v>0</v>
      </c>
      <c r="T1774" s="94" t="b">
        <f ca="1">IF(AND(NOT(S1774),W1774=TRUE),TRUE,FALSE)</f>
        <v>0</v>
      </c>
      <c r="U1774" s="94"/>
      <c r="V1774"/>
      <c r="W1774" s="25"/>
      <c r="X1774" s="1757"/>
      <c r="Y1774" s="2081" t="str">
        <f>IF(LEN('Ch8'!X145)=0,"None",'Ch8'!X145)</f>
        <v>None</v>
      </c>
      <c r="Z1774" s="2083"/>
      <c r="AA1774" s="1526"/>
      <c r="AB1774" s="648"/>
      <c r="AC1774" s="970" t="b">
        <f ca="1">OR(AD1774:AE1774)</f>
        <v>0</v>
      </c>
      <c r="AD1774" s="970" t="b">
        <f ca="1">T1774</f>
        <v>0</v>
      </c>
      <c r="AE1774" s="970"/>
      <c r="AF1774" s="911"/>
      <c r="AG1774" s="648"/>
      <c r="AH1774" s="648"/>
      <c r="AI1774" s="648"/>
      <c r="AJ1774" s="648"/>
      <c r="AK1774" s="648"/>
      <c r="AL1774" s="254" t="str">
        <f>SUBSTITUTE(SUBSTITUTE(SUBSTITUTE("vpa"&amp;$B1774&amp;$C1774&amp;$D1774&amp;$E1774,".","_"),"(","_"),")","")</f>
        <v>vpa802_6_2</v>
      </c>
      <c r="AM1774" s="254">
        <f>M1774</f>
        <v>6</v>
      </c>
      <c r="AN1774" s="254" t="str">
        <f>SUBSTITUTE(SUBSTITUTE(SUBSTITUTE("vpc"&amp;$B1774&amp;$C1774&amp;$D1774&amp;$E1774,".","_"),"(","_"),")","")</f>
        <v>vpc802_6_2</v>
      </c>
      <c r="AO1774" s="254">
        <f ca="1">O1774</f>
        <v>0</v>
      </c>
      <c r="AP1774" s="254" t="str">
        <f>SUBSTITUTE(SUBSTITUTE(SUBSTITUTE("vch"&amp;$B1774&amp;$C1774&amp;$D1774&amp;$E1774,".","_"),"(","_"),")","")</f>
        <v>vch802_6_2</v>
      </c>
      <c r="AQ1774" s="254" t="str">
        <f>IF(LEN(W1774)=0,"",W1774)</f>
        <v/>
      </c>
      <c r="AR1774" s="254" t="str">
        <f>SUBSTITUTE(SUBSTITUTE(SUBSTITUTE("vnt"&amp;$B1774&amp;$C1774&amp;$D1774&amp;$E1774,".","_"),"(","_"),")","")</f>
        <v>vnt802_6_2</v>
      </c>
      <c r="AS1774" s="254" t="str">
        <f>IF(LEN(X1774)=0,"",X1774)</f>
        <v/>
      </c>
      <c r="AT1774" s="648"/>
      <c r="AU1774" s="648"/>
      <c r="AV1774" s="648"/>
      <c r="AW1774" s="648"/>
      <c r="AX1774" s="648"/>
      <c r="AY1774" s="648"/>
      <c r="AZ1774" s="648"/>
      <c r="BA1774" s="648"/>
      <c r="BB1774" s="648"/>
      <c r="BC1774" s="648"/>
      <c r="BD1774" s="648"/>
      <c r="BE1774" s="648"/>
      <c r="BF1774" s="648"/>
      <c r="BG1774" s="648"/>
      <c r="BH1774" s="648"/>
    </row>
    <row r="1775" spans="1:60" x14ac:dyDescent="0.25">
      <c r="A1775" s="2371">
        <v>8</v>
      </c>
      <c r="B1775" s="2385" t="s">
        <v>4378</v>
      </c>
      <c r="C1775" s="2374"/>
      <c r="D1775" s="2374"/>
      <c r="E1775" s="2374"/>
      <c r="F1775" s="2374"/>
      <c r="G1775" s="2373" t="str">
        <f ca="1">G1774</f>
        <v/>
      </c>
      <c r="H1775" s="2371" t="s">
        <v>3973</v>
      </c>
      <c r="I1775" s="64"/>
      <c r="J1775" s="164"/>
      <c r="K1775" s="4"/>
      <c r="L1775" s="1796"/>
      <c r="M1775" s="1758"/>
      <c r="N1775" s="2076"/>
      <c r="O1775" s="1774"/>
      <c r="P1775" s="94"/>
      <c r="Q1775" s="94"/>
      <c r="R1775" s="94"/>
      <c r="S1775" s="94"/>
      <c r="T1775" s="94"/>
      <c r="U1775" s="94"/>
      <c r="V1775"/>
      <c r="W1775"/>
      <c r="X1775" s="1757"/>
      <c r="Y1775" s="2081"/>
      <c r="Z1775" s="2083"/>
      <c r="AA1775" s="1526"/>
      <c r="AC1775" s="970"/>
      <c r="AD1775" s="970"/>
      <c r="AE1775" s="970"/>
      <c r="AF1775"/>
      <c r="AG1775"/>
      <c r="AH1775"/>
      <c r="AI1775"/>
      <c r="AJ1775"/>
      <c r="AK1775"/>
      <c r="AL1775" s="1336"/>
      <c r="AM1775" s="1336"/>
      <c r="AN1775" s="1336"/>
      <c r="AO1775" s="1336"/>
      <c r="AP1775" s="1336"/>
      <c r="AQ1775" s="1336"/>
      <c r="AR1775" s="1336"/>
      <c r="AS1775" s="1336"/>
      <c r="AT1775"/>
    </row>
    <row r="1776" spans="1:60" x14ac:dyDescent="0.25">
      <c r="A1776" s="2371">
        <v>8</v>
      </c>
      <c r="B1776" s="2385" t="s">
        <v>4378</v>
      </c>
      <c r="C1776" s="2374"/>
      <c r="D1776" s="2374"/>
      <c r="E1776" s="2374"/>
      <c r="F1776" s="2374"/>
      <c r="G1776" s="2373" t="str">
        <f ca="1">G1775</f>
        <v/>
      </c>
      <c r="H1776" s="2371" t="s">
        <v>3973</v>
      </c>
      <c r="I1776" s="215"/>
      <c r="J1776" s="524"/>
      <c r="K1776" s="210"/>
      <c r="L1776" s="1843"/>
      <c r="M1776" s="1759"/>
      <c r="N1776" s="2076"/>
      <c r="O1776" s="1764"/>
      <c r="P1776" s="178"/>
      <c r="Q1776" s="178"/>
      <c r="R1776" s="178"/>
      <c r="S1776" s="178"/>
      <c r="T1776" s="178"/>
      <c r="U1776" s="178"/>
      <c r="V1776"/>
      <c r="W1776"/>
      <c r="X1776" s="1757"/>
      <c r="Y1776" s="2081"/>
      <c r="Z1776" s="2083"/>
      <c r="AA1776" s="1526"/>
      <c r="AC1776" s="970"/>
      <c r="AD1776" s="970"/>
      <c r="AE1776" s="970"/>
      <c r="AF1776"/>
      <c r="AG1776"/>
      <c r="AH1776"/>
      <c r="AI1776"/>
      <c r="AJ1776"/>
      <c r="AK1776"/>
      <c r="AL1776" s="1336"/>
      <c r="AM1776" s="1336"/>
      <c r="AN1776" s="1336"/>
      <c r="AO1776" s="1336"/>
      <c r="AP1776" s="1336"/>
      <c r="AQ1776" s="1336"/>
      <c r="AR1776" s="1336"/>
      <c r="AS1776" s="1336"/>
      <c r="AT1776"/>
    </row>
    <row r="1777" spans="1:60" x14ac:dyDescent="0.25">
      <c r="A1777" s="2371">
        <v>8</v>
      </c>
      <c r="B1777" s="2385" t="s">
        <v>4379</v>
      </c>
      <c r="C1777" s="2374"/>
      <c r="D1777" s="2374"/>
      <c r="E1777" s="2374"/>
      <c r="F1777" s="2374"/>
      <c r="G1777" s="2363" t="str">
        <f ca="1">IF(COUNTIF(G1778:G1780,"P")&gt;0,"P","")</f>
        <v/>
      </c>
      <c r="H1777" s="2371" t="s">
        <v>3973</v>
      </c>
      <c r="I1777" s="64" t="s">
        <v>4379</v>
      </c>
      <c r="J1777" s="164"/>
      <c r="K1777" s="4"/>
      <c r="L1777" s="1180" t="s">
        <v>4452</v>
      </c>
      <c r="M1777" s="1014"/>
      <c r="N1777" s="1042"/>
      <c r="O1777" s="1506"/>
      <c r="P1777" s="1500"/>
      <c r="Q1777" s="1500"/>
      <c r="R1777" s="1500"/>
      <c r="S1777" s="1500"/>
      <c r="T1777" s="1500"/>
      <c r="U1777" s="1500"/>
      <c r="V1777" s="648"/>
      <c r="W1777" s="648"/>
      <c r="X1777" s="911"/>
      <c r="Y1777" s="648"/>
      <c r="AA1777" s="1526"/>
      <c r="AB1777" s="648"/>
      <c r="AC1777" s="970"/>
      <c r="AD1777" s="970"/>
      <c r="AE1777" s="970"/>
      <c r="AF1777" s="648"/>
      <c r="AG1777" s="648"/>
      <c r="AH1777" s="648"/>
      <c r="AI1777" s="648"/>
      <c r="AJ1777" s="648"/>
      <c r="AK1777" s="648"/>
      <c r="AL1777" s="1336"/>
      <c r="AM1777" s="1336"/>
      <c r="AN1777" s="1336"/>
      <c r="AO1777" s="1336"/>
      <c r="AP1777" s="1336"/>
      <c r="AQ1777" s="1336"/>
      <c r="AR1777" s="1336"/>
      <c r="AS1777" s="1336"/>
      <c r="AT1777" s="648"/>
      <c r="AU1777" s="648"/>
      <c r="AV1777" s="648"/>
      <c r="AW1777" s="648"/>
      <c r="AX1777" s="648"/>
      <c r="AY1777" s="648"/>
      <c r="AZ1777" s="648"/>
      <c r="BA1777" s="648"/>
      <c r="BB1777" s="648"/>
      <c r="BC1777" s="648"/>
      <c r="BD1777" s="648"/>
      <c r="BE1777" s="648"/>
      <c r="BF1777" s="648"/>
      <c r="BG1777" s="648"/>
      <c r="BH1777" s="648"/>
    </row>
    <row r="1778" spans="1:60" x14ac:dyDescent="0.25">
      <c r="A1778" s="2371">
        <v>8</v>
      </c>
      <c r="B1778" s="2385" t="s">
        <v>4379</v>
      </c>
      <c r="C1778" s="2374" t="s">
        <v>256</v>
      </c>
      <c r="D1778" s="2374"/>
      <c r="E1778" s="2374"/>
      <c r="F1778" s="2374"/>
      <c r="G1778" s="2373" t="str">
        <f ca="1">IF(N1778&gt;0,"P","")</f>
        <v/>
      </c>
      <c r="H1778" s="2371" t="s">
        <v>3973</v>
      </c>
      <c r="I1778" s="64"/>
      <c r="J1778" s="910" t="s">
        <v>256</v>
      </c>
      <c r="K1778" s="210"/>
      <c r="L1778" s="1163" t="s">
        <v>796</v>
      </c>
      <c r="M1778" s="1015">
        <v>4</v>
      </c>
      <c r="N1778" s="1047">
        <f ca="1">'Ch8'!O149</f>
        <v>0</v>
      </c>
      <c r="O1778" s="1502">
        <f ca="1">M1778*S1778*W1778</f>
        <v>0</v>
      </c>
      <c r="P1778" s="94" t="b">
        <v>0</v>
      </c>
      <c r="Q1778" s="1500" t="b">
        <v>1</v>
      </c>
      <c r="R1778" s="1500" t="b">
        <v>0</v>
      </c>
      <c r="S1778" s="1500" t="b">
        <f ca="1">AND(NOT(W1787=TRUE),S1643=2)</f>
        <v>0</v>
      </c>
      <c r="T1778" s="94" t="b">
        <f ca="1">IF(AND(NOT(S1778),W1778=TRUE),TRUE,FALSE)</f>
        <v>0</v>
      </c>
      <c r="U1778" s="1500"/>
      <c r="V1778" s="648"/>
      <c r="W1778" s="25"/>
      <c r="X1778" s="918"/>
      <c r="Y1778" s="988" t="str">
        <f>IF(LEN('Ch8'!X149)=0,"None",'Ch8'!X149)</f>
        <v>None</v>
      </c>
      <c r="Z1778" s="1587"/>
      <c r="AA1778" s="1526"/>
      <c r="AB1778" s="648"/>
      <c r="AC1778" s="970" t="b">
        <f ca="1">OR(AD1778:AE1778)</f>
        <v>0</v>
      </c>
      <c r="AD1778" s="970" t="b">
        <f ca="1">T1778</f>
        <v>0</v>
      </c>
      <c r="AE1778" s="970"/>
      <c r="AF1778" s="784"/>
      <c r="AG1778" s="648"/>
      <c r="AH1778" s="648"/>
      <c r="AI1778" s="648"/>
      <c r="AJ1778" s="648"/>
      <c r="AK1778" s="648"/>
      <c r="AL1778" s="254" t="str">
        <f>SUBSTITUTE(SUBSTITUTE(SUBSTITUTE("vpa"&amp;$B1778&amp;$C1778&amp;$D1778&amp;$E1778,".","_"),"(","_"),")","")</f>
        <v>vpa802_6_3_1</v>
      </c>
      <c r="AM1778" s="254">
        <f>M1778</f>
        <v>4</v>
      </c>
      <c r="AN1778" s="254" t="str">
        <f>SUBSTITUTE(SUBSTITUTE(SUBSTITUTE("vpc"&amp;$B1778&amp;$C1778&amp;$D1778&amp;$E1778,".","_"),"(","_"),")","")</f>
        <v>vpc802_6_3_1</v>
      </c>
      <c r="AO1778" s="254">
        <f ca="1">O1778</f>
        <v>0</v>
      </c>
      <c r="AP1778" s="254" t="str">
        <f>SUBSTITUTE(SUBSTITUTE(SUBSTITUTE("vch"&amp;$B1778&amp;$C1778&amp;$D1778&amp;$E1778,".","_"),"(","_"),")","")</f>
        <v>vch802_6_3_1</v>
      </c>
      <c r="AQ1778" s="254" t="str">
        <f>IF(LEN(W1778)=0,"",W1778)</f>
        <v/>
      </c>
      <c r="AR1778" s="254" t="str">
        <f>SUBSTITUTE(SUBSTITUTE(SUBSTITUTE("vnt"&amp;$B1778&amp;$C1778&amp;$D1778&amp;$E1778,".","_"),"(","_"),")","")</f>
        <v>vnt802_6_3_1</v>
      </c>
      <c r="AS1778" s="254" t="str">
        <f>IF(LEN(X1778)=0,"",X1778)</f>
        <v/>
      </c>
      <c r="AT1778" s="648"/>
      <c r="AU1778" s="648"/>
      <c r="AV1778" s="648"/>
      <c r="AW1778" s="648"/>
      <c r="AX1778" s="648"/>
      <c r="AY1778" s="648"/>
      <c r="AZ1778" s="648"/>
      <c r="BA1778" s="648"/>
      <c r="BB1778" s="648"/>
      <c r="BC1778" s="648"/>
      <c r="BD1778" s="648"/>
      <c r="BE1778" s="648"/>
      <c r="BF1778" s="648"/>
      <c r="BG1778" s="648"/>
      <c r="BH1778" s="648"/>
    </row>
    <row r="1779" spans="1:60" x14ac:dyDescent="0.25">
      <c r="A1779" s="2371">
        <v>8</v>
      </c>
      <c r="B1779" s="2385" t="s">
        <v>4379</v>
      </c>
      <c r="C1779" s="2374" t="s">
        <v>258</v>
      </c>
      <c r="D1779" s="2374"/>
      <c r="E1779" s="2374"/>
      <c r="F1779" s="2374"/>
      <c r="G1779" s="2373" t="str">
        <f ca="1">IF(N1779&gt;0,"P","")</f>
        <v/>
      </c>
      <c r="H1779" s="2371" t="s">
        <v>3973</v>
      </c>
      <c r="I1779" s="64"/>
      <c r="J1779" s="910" t="s">
        <v>258</v>
      </c>
      <c r="K1779" s="210"/>
      <c r="L1779" s="1163" t="s">
        <v>797</v>
      </c>
      <c r="M1779" s="1015">
        <v>4</v>
      </c>
      <c r="N1779" s="1047">
        <f ca="1">'Ch8'!O150</f>
        <v>0</v>
      </c>
      <c r="O1779" s="1502">
        <f ca="1">M1779*S1779*W1779</f>
        <v>0</v>
      </c>
      <c r="P1779" s="94" t="b">
        <v>0</v>
      </c>
      <c r="Q1779" s="1500" t="b">
        <v>1</v>
      </c>
      <c r="R1779" s="1500" t="b">
        <v>0</v>
      </c>
      <c r="S1779" s="1500" t="b">
        <f ca="1">AND(NOT(W1787=TRUE),S1643=2)</f>
        <v>0</v>
      </c>
      <c r="T1779" s="94" t="b">
        <f ca="1">IF(AND(NOT(S1779),W1779=TRUE),TRUE,FALSE)</f>
        <v>0</v>
      </c>
      <c r="U1779" s="1500"/>
      <c r="V1779" s="648"/>
      <c r="W1779" s="25"/>
      <c r="X1779" s="918"/>
      <c r="Y1779" s="988" t="str">
        <f>IF(LEN('Ch8'!X150)=0,"None",'Ch8'!X150)</f>
        <v>None</v>
      </c>
      <c r="Z1779" s="1587"/>
      <c r="AA1779" s="1526"/>
      <c r="AB1779" s="648"/>
      <c r="AC1779" s="970" t="b">
        <f ca="1">OR(AD1779:AE1779)</f>
        <v>0</v>
      </c>
      <c r="AD1779" s="970" t="b">
        <f ca="1">T1779</f>
        <v>0</v>
      </c>
      <c r="AE1779" s="970"/>
      <c r="AF1779" s="784"/>
      <c r="AG1779" s="648"/>
      <c r="AH1779" s="648"/>
      <c r="AI1779" s="648"/>
      <c r="AJ1779" s="648"/>
      <c r="AK1779" s="648"/>
      <c r="AL1779" s="254" t="str">
        <f>SUBSTITUTE(SUBSTITUTE(SUBSTITUTE("vpa"&amp;$B1779&amp;$C1779&amp;$D1779&amp;$E1779,".","_"),"(","_"),")","")</f>
        <v>vpa802_6_3_2</v>
      </c>
      <c r="AM1779" s="254">
        <f>M1779</f>
        <v>4</v>
      </c>
      <c r="AN1779" s="254" t="str">
        <f>SUBSTITUTE(SUBSTITUTE(SUBSTITUTE("vpc"&amp;$B1779&amp;$C1779&amp;$D1779&amp;$E1779,".","_"),"(","_"),")","")</f>
        <v>vpc802_6_3_2</v>
      </c>
      <c r="AO1779" s="254">
        <f ca="1">O1779</f>
        <v>0</v>
      </c>
      <c r="AP1779" s="254" t="str">
        <f>SUBSTITUTE(SUBSTITUTE(SUBSTITUTE("vch"&amp;$B1779&amp;$C1779&amp;$D1779&amp;$E1779,".","_"),"(","_"),")","")</f>
        <v>vch802_6_3_2</v>
      </c>
      <c r="AQ1779" s="254" t="str">
        <f>IF(LEN(W1779)=0,"",W1779)</f>
        <v/>
      </c>
      <c r="AR1779" s="254" t="str">
        <f>SUBSTITUTE(SUBSTITUTE(SUBSTITUTE("vnt"&amp;$B1779&amp;$C1779&amp;$D1779&amp;$E1779,".","_"),"(","_"),")","")</f>
        <v>vnt802_6_3_2</v>
      </c>
      <c r="AS1779" s="254" t="str">
        <f>IF(LEN(X1779)=0,"",X1779)</f>
        <v/>
      </c>
      <c r="AT1779" s="648"/>
      <c r="AU1779" s="648"/>
      <c r="AV1779" s="648"/>
      <c r="AW1779" s="648"/>
      <c r="AX1779" s="648"/>
      <c r="AY1779" s="648"/>
      <c r="AZ1779" s="648"/>
      <c r="BA1779" s="648"/>
      <c r="BB1779" s="648"/>
      <c r="BC1779" s="648"/>
      <c r="BD1779" s="648"/>
      <c r="BE1779" s="648"/>
      <c r="BF1779" s="648"/>
      <c r="BG1779" s="648"/>
      <c r="BH1779" s="648"/>
    </row>
    <row r="1780" spans="1:60" ht="15" customHeight="1" x14ac:dyDescent="0.25">
      <c r="A1780" s="2371">
        <v>8</v>
      </c>
      <c r="B1780" s="2385" t="s">
        <v>4379</v>
      </c>
      <c r="C1780" s="2374" t="s">
        <v>260</v>
      </c>
      <c r="D1780" s="2374"/>
      <c r="E1780" s="2374"/>
      <c r="F1780" s="2374"/>
      <c r="G1780" s="2373" t="str">
        <f ca="1">IF(N1780&gt;0,"P","")</f>
        <v/>
      </c>
      <c r="H1780" s="2371" t="s">
        <v>3973</v>
      </c>
      <c r="I1780" s="64"/>
      <c r="J1780" s="78" t="s">
        <v>260</v>
      </c>
      <c r="K1780" s="4"/>
      <c r="L1780" s="1779" t="s">
        <v>798</v>
      </c>
      <c r="M1780" s="1758">
        <v>5</v>
      </c>
      <c r="N1780" s="1927">
        <f ca="1">'Ch8'!O151</f>
        <v>0</v>
      </c>
      <c r="O1780" s="1774">
        <f ca="1">M1780*S1780*W1780</f>
        <v>0</v>
      </c>
      <c r="P1780" s="94" t="b">
        <v>0</v>
      </c>
      <c r="Q1780" s="1500" t="b">
        <v>1</v>
      </c>
      <c r="R1780" s="94" t="b">
        <v>0</v>
      </c>
      <c r="S1780" s="94" t="b">
        <f ca="1">AND(W1778=TRUE,NOT(W1787=TRUE),S1643=2)</f>
        <v>0</v>
      </c>
      <c r="T1780" s="94" t="b">
        <f ca="1">IF(AND(NOT(S1780),W1780=TRUE),TRUE,FALSE)</f>
        <v>0</v>
      </c>
      <c r="U1780" s="94"/>
      <c r="V1780" s="94"/>
      <c r="W1780" s="25"/>
      <c r="X1780" s="1757"/>
      <c r="Y1780" s="2081" t="str">
        <f>IF(LEN('Ch8'!X151)=0,"None",'Ch8'!X151)</f>
        <v>None</v>
      </c>
      <c r="Z1780" s="2083"/>
      <c r="AA1780" s="1526"/>
      <c r="AB1780" s="648"/>
      <c r="AC1780" s="970" t="b">
        <f ca="1">OR(AD1780:AE1780)</f>
        <v>0</v>
      </c>
      <c r="AD1780" s="970" t="b">
        <f ca="1">T1780</f>
        <v>0</v>
      </c>
      <c r="AE1780" s="970"/>
      <c r="AF1780" s="784"/>
      <c r="AG1780" s="648"/>
      <c r="AH1780" s="648"/>
      <c r="AI1780" s="648"/>
      <c r="AJ1780" s="648"/>
      <c r="AK1780" s="648"/>
      <c r="AL1780" s="254" t="str">
        <f>SUBSTITUTE(SUBSTITUTE(SUBSTITUTE("vpa"&amp;$B1780&amp;$C1780&amp;$D1780&amp;$E1780,".","_"),"(","_"),")","")</f>
        <v>vpa802_6_3_3</v>
      </c>
      <c r="AM1780" s="254">
        <f>M1780</f>
        <v>5</v>
      </c>
      <c r="AN1780" s="254" t="str">
        <f>SUBSTITUTE(SUBSTITUTE(SUBSTITUTE("vpc"&amp;$B1780&amp;$C1780&amp;$D1780&amp;$E1780,".","_"),"(","_"),")","")</f>
        <v>vpc802_6_3_3</v>
      </c>
      <c r="AO1780" s="254">
        <f ca="1">O1780</f>
        <v>0</v>
      </c>
      <c r="AP1780" s="254" t="str">
        <f>SUBSTITUTE(SUBSTITUTE(SUBSTITUTE("vch"&amp;$B1780&amp;$C1780&amp;$D1780&amp;$E1780,".","_"),"(","_"),")","")</f>
        <v>vch802_6_3_3</v>
      </c>
      <c r="AQ1780" s="254" t="str">
        <f>IF(LEN(W1780)=0,"",W1780)</f>
        <v/>
      </c>
      <c r="AR1780" s="254" t="str">
        <f>SUBSTITUTE(SUBSTITUTE(SUBSTITUTE("vnt"&amp;$B1780&amp;$C1780&amp;$D1780&amp;$E1780,".","_"),"(","_"),")","")</f>
        <v>vnt802_6_3_3</v>
      </c>
      <c r="AS1780" s="254" t="str">
        <f>IF(LEN(X1780)=0,"",X1780)</f>
        <v/>
      </c>
      <c r="AT1780" s="648"/>
      <c r="AU1780" s="648"/>
      <c r="AV1780" s="648"/>
      <c r="AW1780" s="648"/>
      <c r="AX1780" s="648"/>
      <c r="AY1780" s="648"/>
      <c r="AZ1780" s="648"/>
      <c r="BA1780" s="648"/>
      <c r="BB1780" s="648"/>
      <c r="BC1780" s="648"/>
      <c r="BD1780" s="648"/>
      <c r="BE1780" s="648"/>
      <c r="BF1780" s="648"/>
      <c r="BG1780" s="648"/>
      <c r="BH1780" s="648"/>
    </row>
    <row r="1781" spans="1:60" x14ac:dyDescent="0.25">
      <c r="A1781" s="2371">
        <v>8</v>
      </c>
      <c r="B1781" s="2385" t="s">
        <v>4379</v>
      </c>
      <c r="C1781" s="2374" t="s">
        <v>260</v>
      </c>
      <c r="D1781" s="2374"/>
      <c r="E1781" s="2374"/>
      <c r="F1781" s="2374"/>
      <c r="G1781" s="2373" t="str">
        <f ca="1">G1780</f>
        <v/>
      </c>
      <c r="H1781" s="2371" t="s">
        <v>3973</v>
      </c>
      <c r="I1781" s="215"/>
      <c r="J1781" s="524"/>
      <c r="K1781" s="210"/>
      <c r="L1781" s="1755"/>
      <c r="M1781" s="1759"/>
      <c r="N1781" s="2076"/>
      <c r="O1781" s="1764"/>
      <c r="P1781" s="178"/>
      <c r="Q1781" s="178"/>
      <c r="R1781" s="178"/>
      <c r="S1781" s="178"/>
      <c r="T1781" s="178"/>
      <c r="U1781" s="178"/>
      <c r="V1781" s="178"/>
      <c r="W1781" s="178"/>
      <c r="X1781" s="1757"/>
      <c r="Y1781" s="2081"/>
      <c r="Z1781" s="2083"/>
      <c r="AA1781" s="1526"/>
      <c r="AB1781" s="648"/>
      <c r="AC1781" s="970"/>
      <c r="AD1781" s="970"/>
      <c r="AE1781" s="970"/>
      <c r="AF1781" s="648"/>
      <c r="AG1781" s="648"/>
      <c r="AH1781" s="648"/>
      <c r="AI1781" s="648"/>
      <c r="AJ1781" s="648"/>
      <c r="AK1781" s="648"/>
      <c r="AL1781" s="1336"/>
      <c r="AM1781" s="1336"/>
      <c r="AN1781" s="1336"/>
      <c r="AO1781" s="1336"/>
      <c r="AP1781" s="1336"/>
      <c r="AQ1781" s="1336"/>
      <c r="AR1781" s="1336"/>
      <c r="AS1781" s="1336"/>
      <c r="AT1781" s="648"/>
      <c r="AU1781" s="648"/>
      <c r="AV1781" s="648"/>
      <c r="AW1781" s="648"/>
      <c r="AX1781" s="648"/>
      <c r="AY1781" s="648"/>
      <c r="AZ1781" s="648"/>
      <c r="BA1781" s="648"/>
      <c r="BB1781" s="648"/>
      <c r="BC1781" s="648"/>
      <c r="BD1781" s="648"/>
      <c r="BE1781" s="648"/>
      <c r="BF1781" s="648"/>
      <c r="BG1781" s="648"/>
      <c r="BH1781" s="648"/>
    </row>
    <row r="1782" spans="1:60" ht="15" customHeight="1" x14ac:dyDescent="0.25">
      <c r="A1782" s="2371">
        <v>8</v>
      </c>
      <c r="B1782" s="2385" t="s">
        <v>4380</v>
      </c>
      <c r="C1782" s="2374"/>
      <c r="D1782" s="2374"/>
      <c r="E1782" s="2374"/>
      <c r="F1782" s="2374"/>
      <c r="G1782" s="2363" t="str">
        <f ca="1">IF(COUNTIF(G1785:G1787,"P")&gt;0,"P","")</f>
        <v/>
      </c>
      <c r="H1782" s="2371" t="s">
        <v>3973</v>
      </c>
      <c r="I1782" s="64" t="s">
        <v>4380</v>
      </c>
      <c r="J1782" s="164"/>
      <c r="K1782" s="4"/>
      <c r="L1782" s="1884" t="s">
        <v>4381</v>
      </c>
      <c r="M1782" s="1014"/>
      <c r="N1782" s="1042"/>
      <c r="O1782" s="1506"/>
      <c r="P1782" s="1500"/>
      <c r="Q1782" s="1500"/>
      <c r="R1782" s="1500"/>
      <c r="S1782" s="1500"/>
      <c r="T1782" s="1500"/>
      <c r="U1782" s="1500"/>
      <c r="V1782" s="648"/>
      <c r="W1782" s="648"/>
      <c r="X1782" s="911"/>
      <c r="Y1782" s="648"/>
      <c r="AA1782" s="1526"/>
      <c r="AB1782" s="648"/>
      <c r="AC1782" s="970"/>
      <c r="AD1782" s="970"/>
      <c r="AE1782" s="970"/>
      <c r="AF1782" s="648"/>
      <c r="AG1782" s="648"/>
      <c r="AH1782" s="648"/>
      <c r="AI1782" s="648"/>
      <c r="AJ1782" s="648"/>
      <c r="AK1782" s="648"/>
      <c r="AL1782" s="1336"/>
      <c r="AM1782" s="1336"/>
      <c r="AN1782" s="1336"/>
      <c r="AO1782" s="1336"/>
      <c r="AP1782" s="1336"/>
      <c r="AQ1782" s="1336"/>
      <c r="AR1782" s="1336"/>
      <c r="AS1782" s="1336"/>
      <c r="AT1782" s="648"/>
      <c r="AU1782" s="648"/>
      <c r="AV1782" s="648"/>
      <c r="AW1782" s="648"/>
      <c r="AX1782" s="648"/>
      <c r="AY1782" s="648"/>
      <c r="AZ1782" s="648"/>
      <c r="BA1782" s="648"/>
      <c r="BB1782" s="648"/>
      <c r="BC1782" s="648"/>
      <c r="BD1782" s="648"/>
      <c r="BE1782" s="648"/>
      <c r="BF1782" s="648"/>
      <c r="BG1782" s="648"/>
      <c r="BH1782" s="648"/>
    </row>
    <row r="1783" spans="1:60" x14ac:dyDescent="0.25">
      <c r="A1783" s="2371">
        <v>8</v>
      </c>
      <c r="B1783" s="2385" t="s">
        <v>4380</v>
      </c>
      <c r="C1783" s="2374"/>
      <c r="D1783" s="2374"/>
      <c r="E1783" s="2374"/>
      <c r="F1783" s="2374"/>
      <c r="G1783" s="2373" t="str">
        <f ca="1">G1782</f>
        <v/>
      </c>
      <c r="H1783" s="2371" t="s">
        <v>3973</v>
      </c>
      <c r="I1783" s="64"/>
      <c r="J1783" s="164"/>
      <c r="K1783" s="4"/>
      <c r="L1783" s="1884"/>
      <c r="M1783" s="1014"/>
      <c r="N1783" s="1042"/>
      <c r="O1783" s="1506"/>
      <c r="P1783" s="1500"/>
      <c r="Q1783" s="1500"/>
      <c r="R1783" s="1500"/>
      <c r="S1783" s="1500"/>
      <c r="T1783" s="1500"/>
      <c r="U1783" s="1500"/>
      <c r="V1783" s="648"/>
      <c r="W1783" s="648"/>
      <c r="X1783" s="911"/>
      <c r="Y1783" s="648"/>
      <c r="AA1783" s="1526"/>
      <c r="AB1783" s="648"/>
      <c r="AC1783" s="970"/>
      <c r="AD1783" s="970"/>
      <c r="AE1783" s="970"/>
      <c r="AF1783" s="648"/>
      <c r="AG1783" s="648"/>
      <c r="AH1783" s="648"/>
      <c r="AI1783" s="648"/>
      <c r="AJ1783" s="648"/>
      <c r="AK1783" s="648"/>
      <c r="AL1783" s="1336"/>
      <c r="AM1783" s="1336"/>
      <c r="AN1783" s="1336"/>
      <c r="AO1783" s="1336"/>
      <c r="AP1783" s="1336"/>
      <c r="AQ1783" s="1336"/>
      <c r="AR1783" s="1336"/>
      <c r="AS1783" s="1336"/>
      <c r="AT1783" s="648"/>
      <c r="AU1783" s="648"/>
      <c r="AV1783" s="648"/>
      <c r="AW1783" s="648"/>
      <c r="AX1783" s="648"/>
      <c r="AY1783" s="648"/>
      <c r="AZ1783" s="648"/>
      <c r="BA1783" s="648"/>
      <c r="BB1783" s="648"/>
      <c r="BC1783" s="648"/>
      <c r="BD1783" s="648"/>
      <c r="BE1783" s="648"/>
      <c r="BF1783" s="648"/>
      <c r="BG1783" s="648"/>
      <c r="BH1783" s="648"/>
    </row>
    <row r="1784" spans="1:60" x14ac:dyDescent="0.25">
      <c r="A1784" s="2371">
        <v>8</v>
      </c>
      <c r="B1784" s="2385" t="s">
        <v>4380</v>
      </c>
      <c r="C1784" s="2374"/>
      <c r="D1784" s="2374"/>
      <c r="E1784" s="2374"/>
      <c r="F1784" s="2374"/>
      <c r="G1784" s="2373" t="str">
        <f ca="1">G1783</f>
        <v/>
      </c>
      <c r="H1784" s="2371" t="s">
        <v>3973</v>
      </c>
      <c r="I1784" s="64"/>
      <c r="J1784" s="164"/>
      <c r="K1784" s="4"/>
      <c r="L1784" s="1173" t="s">
        <v>799</v>
      </c>
      <c r="M1784" s="1014"/>
      <c r="N1784" s="1042"/>
      <c r="O1784" s="1506"/>
      <c r="P1784" s="1500"/>
      <c r="Q1784" s="1500"/>
      <c r="R1784" s="1500"/>
      <c r="S1784" s="1500"/>
      <c r="T1784" s="1500"/>
      <c r="U1784" s="1500"/>
      <c r="V1784" s="648"/>
      <c r="W1784" s="648"/>
      <c r="X1784" s="911"/>
      <c r="Y1784" s="648"/>
      <c r="AA1784" s="1526"/>
      <c r="AB1784" s="648"/>
      <c r="AC1784" s="970"/>
      <c r="AD1784" s="970"/>
      <c r="AE1784" s="970"/>
      <c r="AF1784" s="648"/>
      <c r="AG1784" s="648"/>
      <c r="AH1784" s="648"/>
      <c r="AI1784" s="648"/>
      <c r="AJ1784" s="648"/>
      <c r="AK1784" s="648"/>
      <c r="AL1784" s="1336"/>
      <c r="AM1784" s="1336"/>
      <c r="AN1784" s="1336"/>
      <c r="AO1784" s="1336"/>
      <c r="AP1784" s="1336"/>
      <c r="AQ1784" s="1336"/>
      <c r="AR1784" s="1336"/>
      <c r="AS1784" s="1336"/>
      <c r="AT1784" s="648"/>
      <c r="AU1784" s="648"/>
      <c r="AV1784" s="648"/>
      <c r="AW1784" s="648"/>
      <c r="AX1784" s="648"/>
      <c r="AY1784" s="648"/>
      <c r="AZ1784" s="648"/>
      <c r="BA1784" s="648"/>
      <c r="BB1784" s="648"/>
      <c r="BC1784" s="648"/>
      <c r="BD1784" s="648"/>
      <c r="BE1784" s="648"/>
      <c r="BF1784" s="648"/>
      <c r="BG1784" s="648"/>
      <c r="BH1784" s="648"/>
    </row>
    <row r="1785" spans="1:60" x14ac:dyDescent="0.25">
      <c r="A1785" s="2371">
        <v>8</v>
      </c>
      <c r="B1785" s="2385" t="s">
        <v>4380</v>
      </c>
      <c r="C1785" s="2374" t="s">
        <v>256</v>
      </c>
      <c r="D1785" s="2374"/>
      <c r="E1785" s="2374"/>
      <c r="F1785" s="2374"/>
      <c r="G1785" s="2373" t="str">
        <f ca="1">IF(N1785&gt;0,"P","")</f>
        <v/>
      </c>
      <c r="H1785" s="2371" t="s">
        <v>3973</v>
      </c>
      <c r="I1785" s="64"/>
      <c r="J1785" s="78" t="s">
        <v>256</v>
      </c>
      <c r="K1785" s="4"/>
      <c r="L1785" s="1779" t="s">
        <v>4453</v>
      </c>
      <c r="M1785" s="1758">
        <v>10</v>
      </c>
      <c r="N1785" s="2076">
        <f ca="1">'Ch8'!O156</f>
        <v>0</v>
      </c>
      <c r="O1785" s="1774">
        <f ca="1">M1785*S1785*W1785</f>
        <v>0</v>
      </c>
      <c r="P1785" s="94" t="b">
        <v>0</v>
      </c>
      <c r="Q1785" s="1500" t="b">
        <v>1</v>
      </c>
      <c r="R1785" s="1500" t="b">
        <v>0</v>
      </c>
      <c r="S1785" s="1500" t="b">
        <f ca="1">AND(NOT(W1787=TRUE),S1643=2)</f>
        <v>0</v>
      </c>
      <c r="T1785" s="94" t="b">
        <f ca="1">IF(AND(NOT(S1785),W1785=TRUE),TRUE,FALSE)</f>
        <v>0</v>
      </c>
      <c r="U1785" s="1500"/>
      <c r="V1785" s="648"/>
      <c r="W1785" s="25"/>
      <c r="X1785" s="918"/>
      <c r="Y1785" s="988" t="str">
        <f>IF(LEN('Ch8'!X156)=0,"None",'Ch8'!X156)</f>
        <v>None</v>
      </c>
      <c r="Z1785" s="1587"/>
      <c r="AA1785" s="1526"/>
      <c r="AB1785" s="648"/>
      <c r="AC1785" s="970" t="b">
        <f ca="1">OR(AD1785:AE1785)</f>
        <v>0</v>
      </c>
      <c r="AD1785" s="970" t="b">
        <f ca="1">T1785</f>
        <v>0</v>
      </c>
      <c r="AE1785" s="970"/>
      <c r="AF1785" s="784"/>
      <c r="AG1785" s="648"/>
      <c r="AH1785" s="648"/>
      <c r="AI1785" s="648"/>
      <c r="AJ1785" s="648"/>
      <c r="AK1785" s="648"/>
      <c r="AL1785" s="254" t="str">
        <f>SUBSTITUTE(SUBSTITUTE(SUBSTITUTE("vpa"&amp;$B1785&amp;$C1785&amp;$D1785&amp;$E1785,".","_"),"(","_"),")","")</f>
        <v>vpa802_6_4_1</v>
      </c>
      <c r="AM1785" s="254">
        <f>M1785</f>
        <v>10</v>
      </c>
      <c r="AN1785" s="254" t="str">
        <f>SUBSTITUTE(SUBSTITUTE(SUBSTITUTE("vpc"&amp;$B1785&amp;$C1785&amp;$D1785&amp;$E1785,".","_"),"(","_"),")","")</f>
        <v>vpc802_6_4_1</v>
      </c>
      <c r="AO1785" s="254">
        <f ca="1">O1785</f>
        <v>0</v>
      </c>
      <c r="AP1785" s="254" t="str">
        <f>SUBSTITUTE(SUBSTITUTE(SUBSTITUTE("vch"&amp;$B1785&amp;$C1785&amp;$D1785&amp;$E1785,".","_"),"(","_"),")","")</f>
        <v>vch802_6_4_1</v>
      </c>
      <c r="AQ1785" s="254" t="str">
        <f>IF(LEN(W1785)=0,"",W1785)</f>
        <v/>
      </c>
      <c r="AR1785" s="254" t="str">
        <f>SUBSTITUTE(SUBSTITUTE(SUBSTITUTE("vnt"&amp;$B1785&amp;$C1785&amp;$D1785&amp;$E1785,".","_"),"(","_"),")","")</f>
        <v>vnt802_6_4_1</v>
      </c>
      <c r="AS1785" s="254" t="str">
        <f>IF(LEN(X1785)=0,"",X1785)</f>
        <v/>
      </c>
      <c r="AT1785" s="648"/>
      <c r="AU1785" s="648"/>
      <c r="AV1785" s="648"/>
      <c r="AW1785" s="648"/>
      <c r="AX1785" s="648"/>
      <c r="AY1785" s="648"/>
      <c r="AZ1785" s="648"/>
      <c r="BA1785" s="648"/>
      <c r="BB1785" s="648"/>
      <c r="BC1785" s="648"/>
      <c r="BD1785" s="648"/>
      <c r="BE1785" s="648"/>
      <c r="BF1785" s="648"/>
      <c r="BG1785" s="648"/>
      <c r="BH1785" s="648"/>
    </row>
    <row r="1786" spans="1:60" x14ac:dyDescent="0.25">
      <c r="A1786" s="2371">
        <v>8</v>
      </c>
      <c r="B1786" s="2385" t="s">
        <v>4380</v>
      </c>
      <c r="C1786" s="2374" t="s">
        <v>256</v>
      </c>
      <c r="G1786" s="2373" t="str">
        <f ca="1">G1785</f>
        <v/>
      </c>
      <c r="H1786" s="2371" t="s">
        <v>3973</v>
      </c>
      <c r="I1786" s="911"/>
      <c r="J1786" s="178"/>
      <c r="K1786" s="178"/>
      <c r="L1786" s="1755"/>
      <c r="M1786" s="1759"/>
      <c r="N1786" s="2076"/>
      <c r="O1786" s="1764"/>
      <c r="P1786" s="1500"/>
      <c r="Q1786" s="1500"/>
      <c r="R1786" s="1500"/>
      <c r="S1786" s="1500"/>
      <c r="T1786" s="1500"/>
      <c r="U1786" s="1500"/>
      <c r="V1786"/>
      <c r="W1786"/>
      <c r="X1786" s="911"/>
      <c r="Y1786"/>
      <c r="AA1786" s="1526"/>
      <c r="AC1786" s="970"/>
      <c r="AD1786" s="970"/>
      <c r="AE1786" s="970"/>
      <c r="AF1786"/>
      <c r="AG1786"/>
      <c r="AH1786"/>
      <c r="AI1786"/>
      <c r="AJ1786"/>
      <c r="AK1786"/>
      <c r="AL1786" s="1336"/>
      <c r="AM1786" s="1336"/>
      <c r="AN1786" s="1336"/>
      <c r="AO1786" s="1336"/>
      <c r="AP1786" s="1336"/>
      <c r="AQ1786" s="1336"/>
      <c r="AR1786" s="1336"/>
      <c r="AS1786" s="1336"/>
      <c r="AT1786"/>
    </row>
    <row r="1787" spans="1:60" ht="15" customHeight="1" x14ac:dyDescent="0.25">
      <c r="A1787" s="2371">
        <v>8</v>
      </c>
      <c r="B1787" s="2385" t="s">
        <v>4380</v>
      </c>
      <c r="C1787" s="2374" t="s">
        <v>258</v>
      </c>
      <c r="D1787" s="2374"/>
      <c r="E1787" s="2374"/>
      <c r="F1787" s="2374"/>
      <c r="G1787" s="2373" t="str">
        <f ca="1">IF(N1787&gt;0,"P","")</f>
        <v/>
      </c>
      <c r="H1787" s="2371" t="s">
        <v>3973</v>
      </c>
      <c r="I1787" s="64"/>
      <c r="J1787" s="78" t="s">
        <v>258</v>
      </c>
      <c r="K1787" s="4"/>
      <c r="L1787" s="1779" t="s">
        <v>4454</v>
      </c>
      <c r="M1787" s="1758">
        <v>15</v>
      </c>
      <c r="N1787" s="1927">
        <f ca="1">'Ch8'!O158</f>
        <v>0</v>
      </c>
      <c r="O1787" s="1774">
        <f ca="1">M1787*S1787*W1787</f>
        <v>0</v>
      </c>
      <c r="P1787" s="94" t="b">
        <v>0</v>
      </c>
      <c r="Q1787" s="1500" t="b">
        <v>1</v>
      </c>
      <c r="R1787" s="94" t="b">
        <v>0</v>
      </c>
      <c r="S1787" s="94" t="b">
        <f ca="1">AND(NOT(W1774=TRUE),NOT(W1778=TRUE),NOT(W1779=TRUE),NOT(W1780=TRUE),NOT(W1772="Met"),NOT(W1785=TRUE),NOT(W1793=TRUE),S1789,S1643=2)</f>
        <v>0</v>
      </c>
      <c r="T1787" s="94" t="b">
        <f ca="1">IF(AND(NOT(S1787),W1787=TRUE),TRUE,FALSE)</f>
        <v>0</v>
      </c>
      <c r="U1787" s="94"/>
      <c r="V1787" s="94"/>
      <c r="W1787" s="25"/>
      <c r="X1787" s="1757"/>
      <c r="Y1787" s="2081" t="str">
        <f>IF(LEN('Ch8'!X158)=0,"None",'Ch8'!X158)</f>
        <v>None</v>
      </c>
      <c r="Z1787" s="2083"/>
      <c r="AA1787" s="1526"/>
      <c r="AB1787" s="648"/>
      <c r="AC1787" s="970" t="b">
        <f ca="1">OR(AD1787:AE1787)</f>
        <v>0</v>
      </c>
      <c r="AD1787" s="970" t="b">
        <f ca="1">T1787</f>
        <v>0</v>
      </c>
      <c r="AE1787" s="970"/>
      <c r="AF1787" s="784"/>
      <c r="AG1787" s="648"/>
      <c r="AH1787" s="648"/>
      <c r="AI1787" s="648"/>
      <c r="AJ1787" s="648"/>
      <c r="AK1787" s="648"/>
      <c r="AL1787" s="254" t="str">
        <f>SUBSTITUTE(SUBSTITUTE(SUBSTITUTE("vpa"&amp;$B1787&amp;$C1787&amp;$D1787&amp;$E1787,".","_"),"(","_"),")","")</f>
        <v>vpa802_6_4_2</v>
      </c>
      <c r="AM1787" s="254">
        <f>M1787</f>
        <v>15</v>
      </c>
      <c r="AN1787" s="254" t="str">
        <f>SUBSTITUTE(SUBSTITUTE(SUBSTITUTE("vpc"&amp;$B1787&amp;$C1787&amp;$D1787&amp;$E1787,".","_"),"(","_"),")","")</f>
        <v>vpc802_6_4_2</v>
      </c>
      <c r="AO1787" s="254">
        <f ca="1">O1787</f>
        <v>0</v>
      </c>
      <c r="AP1787" s="254" t="str">
        <f>SUBSTITUTE(SUBSTITUTE(SUBSTITUTE("vch"&amp;$B1787&amp;$C1787&amp;$D1787&amp;$E1787,".","_"),"(","_"),")","")</f>
        <v>vch802_6_4_2</v>
      </c>
      <c r="AQ1787" s="254" t="str">
        <f>IF(LEN(W1787)=0,"",W1787)</f>
        <v/>
      </c>
      <c r="AR1787" s="254" t="str">
        <f>SUBSTITUTE(SUBSTITUTE(SUBSTITUTE("vnt"&amp;$B1787&amp;$C1787&amp;$D1787&amp;$E1787,".","_"),"(","_"),")","")</f>
        <v>vnt802_6_4_2</v>
      </c>
      <c r="AS1787" s="254" t="str">
        <f>IF(LEN(X1787)=0,"",X1787)</f>
        <v/>
      </c>
      <c r="AT1787" s="648"/>
      <c r="AU1787" s="648"/>
      <c r="AV1787" s="648"/>
      <c r="AW1787" s="648"/>
      <c r="AX1787" s="648"/>
      <c r="AY1787" s="648"/>
      <c r="AZ1787" s="648"/>
      <c r="BA1787" s="648"/>
      <c r="BB1787" s="648"/>
      <c r="BC1787" s="648"/>
      <c r="BD1787" s="648"/>
      <c r="BE1787" s="648"/>
      <c r="BF1787" s="648"/>
      <c r="BG1787" s="648"/>
      <c r="BH1787" s="648"/>
    </row>
    <row r="1788" spans="1:60" x14ac:dyDescent="0.25">
      <c r="A1788" s="2371">
        <v>8</v>
      </c>
      <c r="B1788" s="2385" t="s">
        <v>4380</v>
      </c>
      <c r="C1788" s="2374" t="s">
        <v>258</v>
      </c>
      <c r="D1788" s="2374"/>
      <c r="E1788" s="2374"/>
      <c r="F1788" s="2374"/>
      <c r="G1788" s="2373" t="str">
        <f ca="1">G1787</f>
        <v/>
      </c>
      <c r="H1788" s="2371" t="s">
        <v>3973</v>
      </c>
      <c r="I1788" s="64"/>
      <c r="J1788" s="164"/>
      <c r="K1788" s="4"/>
      <c r="L1788" s="1779"/>
      <c r="M1788" s="1758"/>
      <c r="N1788" s="1927"/>
      <c r="O1788" s="1774"/>
      <c r="P1788" s="911"/>
      <c r="Q1788" s="911"/>
      <c r="R1788" s="911"/>
      <c r="S1788" s="911"/>
      <c r="T1788" s="911"/>
      <c r="U1788" s="911"/>
      <c r="V1788" s="94"/>
      <c r="W1788" s="94"/>
      <c r="X1788" s="1757"/>
      <c r="Y1788" s="2081"/>
      <c r="Z1788" s="2083"/>
      <c r="AA1788" s="1526"/>
      <c r="AB1788" s="648"/>
      <c r="AC1788" s="970"/>
      <c r="AD1788" s="970"/>
      <c r="AE1788" s="970"/>
      <c r="AF1788" s="648"/>
      <c r="AG1788" s="648"/>
      <c r="AH1788" s="648"/>
      <c r="AI1788" s="648"/>
      <c r="AJ1788" s="648"/>
      <c r="AK1788" s="648"/>
      <c r="AL1788" s="1336"/>
      <c r="AM1788" s="1336"/>
      <c r="AN1788" s="1336"/>
      <c r="AO1788" s="1336"/>
      <c r="AP1788" s="1336"/>
      <c r="AQ1788" s="1336"/>
      <c r="AR1788" s="1336"/>
      <c r="AS1788" s="1336"/>
      <c r="AT1788" s="648"/>
      <c r="AU1788" s="648"/>
      <c r="AV1788" s="648"/>
      <c r="AW1788" s="648"/>
      <c r="AX1788" s="648"/>
      <c r="AY1788" s="648"/>
      <c r="AZ1788" s="648"/>
      <c r="BA1788" s="648"/>
      <c r="BB1788" s="648"/>
      <c r="BC1788" s="648"/>
      <c r="BD1788" s="648"/>
      <c r="BE1788" s="648"/>
      <c r="BF1788" s="648"/>
      <c r="BG1788" s="648"/>
      <c r="BH1788" s="648"/>
    </row>
    <row r="1789" spans="1:60" ht="15" customHeight="1" x14ac:dyDescent="0.25">
      <c r="A1789" s="2371">
        <v>8</v>
      </c>
      <c r="B1789" s="2385" t="s">
        <v>4380</v>
      </c>
      <c r="C1789" s="2374" t="s">
        <v>258</v>
      </c>
      <c r="D1789" s="2374"/>
      <c r="E1789" s="2374"/>
      <c r="F1789" s="2374"/>
      <c r="G1789" s="2373" t="str">
        <f ca="1">G1788</f>
        <v/>
      </c>
      <c r="H1789" s="2371" t="s">
        <v>3973</v>
      </c>
      <c r="I1789" s="130"/>
      <c r="J1789" s="129"/>
      <c r="K1789" s="129"/>
      <c r="L1789" s="1804" t="s">
        <v>5625</v>
      </c>
      <c r="M1789" s="1010"/>
      <c r="N1789" s="1044"/>
      <c r="O1789" s="1504"/>
      <c r="P1789" s="911"/>
      <c r="Q1789" s="911"/>
      <c r="R1789" s="911"/>
      <c r="S1789" s="1" t="b">
        <f ca="1">IFERROR(AND(MATCH(W147,INDIRECT(U147),0)=3,SUM(O149:O170)&gt;=5),FALSE)</f>
        <v>0</v>
      </c>
      <c r="T1789" s="911"/>
      <c r="U1789" s="911"/>
      <c r="V1789" s="94"/>
      <c r="W1789" s="94"/>
      <c r="X1789" s="1757"/>
      <c r="Y1789" s="2081"/>
      <c r="Z1789" s="2083"/>
      <c r="AA1789" s="1526"/>
      <c r="AB1789" s="648"/>
      <c r="AC1789" s="970"/>
      <c r="AD1789" s="970"/>
      <c r="AE1789" s="970"/>
      <c r="AF1789" s="648"/>
      <c r="AG1789" s="648"/>
      <c r="AH1789" s="648"/>
      <c r="AI1789" s="648"/>
      <c r="AJ1789" s="648"/>
      <c r="AK1789" s="648"/>
      <c r="AL1789" s="1336"/>
      <c r="AM1789" s="1336"/>
      <c r="AN1789" s="1336"/>
      <c r="AO1789" s="1336"/>
      <c r="AP1789" s="1336"/>
      <c r="AQ1789" s="1336"/>
      <c r="AR1789" s="1336"/>
      <c r="AS1789" s="1336"/>
      <c r="AT1789" s="648"/>
      <c r="AU1789" s="648"/>
      <c r="AV1789" s="648"/>
      <c r="AW1789" s="648"/>
      <c r="AX1789" s="648"/>
      <c r="AY1789" s="648"/>
      <c r="AZ1789" s="648"/>
      <c r="BA1789" s="648"/>
      <c r="BB1789" s="648"/>
      <c r="BC1789" s="648"/>
      <c r="BD1789" s="648"/>
      <c r="BE1789" s="648"/>
      <c r="BF1789" s="648"/>
      <c r="BG1789" s="648"/>
      <c r="BH1789" s="648"/>
    </row>
    <row r="1790" spans="1:60" x14ac:dyDescent="0.25">
      <c r="A1790" s="2371">
        <v>8</v>
      </c>
      <c r="B1790" s="2385" t="s">
        <v>4380</v>
      </c>
      <c r="C1790" s="2374" t="s">
        <v>258</v>
      </c>
      <c r="D1790" s="2374"/>
      <c r="E1790" s="2374"/>
      <c r="F1790" s="2374"/>
      <c r="G1790" s="2373" t="str">
        <f ca="1">G1789</f>
        <v/>
      </c>
      <c r="H1790" s="2371" t="s">
        <v>3973</v>
      </c>
      <c r="I1790" s="215"/>
      <c r="J1790" s="210"/>
      <c r="K1790" s="210"/>
      <c r="L1790" s="1861"/>
      <c r="M1790" s="1015"/>
      <c r="N1790" s="1047"/>
      <c r="O1790" s="1502"/>
      <c r="P1790" s="178"/>
      <c r="Q1790" s="178"/>
      <c r="R1790" s="178"/>
      <c r="S1790" s="178"/>
      <c r="T1790" s="178"/>
      <c r="U1790" s="178"/>
      <c r="V1790" s="178"/>
      <c r="W1790" s="178"/>
      <c r="X1790" s="1757"/>
      <c r="Y1790" s="2081"/>
      <c r="Z1790" s="2083"/>
      <c r="AA1790" s="1526"/>
      <c r="AB1790" s="648"/>
      <c r="AC1790" s="970"/>
      <c r="AD1790" s="970"/>
      <c r="AE1790" s="970"/>
      <c r="AF1790" s="648"/>
      <c r="AG1790" s="648"/>
      <c r="AH1790" s="648"/>
      <c r="AI1790" s="648"/>
      <c r="AJ1790" s="648"/>
      <c r="AK1790" s="648"/>
      <c r="AL1790" s="1336"/>
      <c r="AM1790" s="1336"/>
      <c r="AN1790" s="1336"/>
      <c r="AO1790" s="1336"/>
      <c r="AP1790" s="1336"/>
      <c r="AQ1790" s="1336"/>
      <c r="AR1790" s="1336"/>
      <c r="AS1790" s="1336"/>
      <c r="AT1790" s="648"/>
      <c r="AU1790" s="648"/>
      <c r="AV1790" s="648"/>
      <c r="AW1790" s="648"/>
      <c r="AX1790" s="648"/>
      <c r="AY1790" s="648"/>
      <c r="AZ1790" s="648"/>
      <c r="BA1790" s="648"/>
      <c r="BB1790" s="648"/>
      <c r="BC1790" s="648"/>
      <c r="BD1790" s="648"/>
      <c r="BE1790" s="648"/>
      <c r="BF1790" s="648"/>
      <c r="BG1790" s="648"/>
      <c r="BH1790" s="648"/>
    </row>
    <row r="1791" spans="1:60" ht="15" customHeight="1" x14ac:dyDescent="0.25">
      <c r="A1791" s="2371">
        <v>8</v>
      </c>
      <c r="B1791" s="2385" t="s">
        <v>4382</v>
      </c>
      <c r="G1791" s="2363" t="str">
        <f ca="1">IF(COUNTIF(G1793:G1800,"P")&gt;0,"P","")</f>
        <v/>
      </c>
      <c r="H1791" s="2371" t="s">
        <v>3973</v>
      </c>
      <c r="I1791" s="64" t="s">
        <v>4382</v>
      </c>
      <c r="J1791" s="911"/>
      <c r="K1791" s="911"/>
      <c r="L1791" s="1796" t="s">
        <v>4455</v>
      </c>
      <c r="M1791" s="4"/>
      <c r="N1791" s="1927"/>
      <c r="O1791" s="1500"/>
      <c r="P1791" s="911"/>
      <c r="Q1791" s="911"/>
      <c r="R1791" s="911"/>
      <c r="S1791" s="911"/>
      <c r="T1791" s="911"/>
      <c r="U1791" s="195"/>
      <c r="V1791" s="195"/>
      <c r="W1791"/>
      <c r="X1791" s="911"/>
      <c r="Y1791"/>
      <c r="AA1791" s="1526"/>
      <c r="AB1791" s="648"/>
      <c r="AC1791" s="970"/>
      <c r="AD1791" s="970"/>
      <c r="AE1791" s="970"/>
      <c r="AF1791" s="784"/>
      <c r="AG1791" s="648"/>
      <c r="AH1791" s="648"/>
      <c r="AI1791" s="648"/>
      <c r="AJ1791" s="648"/>
      <c r="AK1791" s="648"/>
      <c r="AL1791" s="1336"/>
      <c r="AM1791" s="1336"/>
      <c r="AN1791" s="1336"/>
      <c r="AO1791" s="1336"/>
      <c r="AP1791" s="1336"/>
      <c r="AQ1791" s="1336"/>
      <c r="AR1791" s="1336"/>
      <c r="AS1791" s="1336"/>
      <c r="AT1791" s="648"/>
      <c r="AU1791" s="648"/>
      <c r="AV1791" s="648"/>
      <c r="AW1791" s="648"/>
      <c r="AX1791" s="648"/>
      <c r="AY1791" s="648"/>
      <c r="AZ1791" s="648"/>
      <c r="BA1791" s="648"/>
      <c r="BB1791" s="648"/>
      <c r="BC1791" s="648"/>
      <c r="BD1791" s="648"/>
      <c r="BE1791" s="648"/>
      <c r="BF1791" s="648"/>
      <c r="BG1791" s="648"/>
      <c r="BH1791" s="648"/>
    </row>
    <row r="1792" spans="1:60" s="94" customFormat="1" ht="15" customHeight="1" x14ac:dyDescent="0.25">
      <c r="A1792" s="2371">
        <v>8</v>
      </c>
      <c r="B1792" s="2385" t="s">
        <v>4382</v>
      </c>
      <c r="C1792" s="585"/>
      <c r="D1792" s="585"/>
      <c r="E1792" s="585"/>
      <c r="F1792" s="585"/>
      <c r="G1792" s="2377" t="str">
        <f ca="1">G1791</f>
        <v/>
      </c>
      <c r="H1792" s="2399" t="s">
        <v>3973</v>
      </c>
      <c r="I1792" s="911"/>
      <c r="J1792" s="911"/>
      <c r="K1792" s="911"/>
      <c r="L1792" s="1796"/>
      <c r="M1792" s="4"/>
      <c r="N1792" s="1927"/>
      <c r="O1792" s="1500"/>
      <c r="P1792" s="911"/>
      <c r="Q1792" s="911"/>
      <c r="R1792" s="911"/>
      <c r="S1792" s="911"/>
      <c r="T1792" s="911"/>
      <c r="X1792" s="911"/>
      <c r="Y1792"/>
      <c r="Z1792" s="731"/>
      <c r="AA1792" s="1526"/>
      <c r="AC1792" s="970"/>
      <c r="AD1792" s="970"/>
      <c r="AE1792" s="970"/>
      <c r="AL1792" s="1336"/>
      <c r="AM1792" s="1336"/>
      <c r="AN1792" s="1336"/>
      <c r="AO1792" s="1336"/>
      <c r="AP1792" s="1336"/>
      <c r="AQ1792" s="1336"/>
      <c r="AR1792" s="1336"/>
      <c r="AS1792" s="1336"/>
    </row>
    <row r="1793" spans="1:60" s="94" customFormat="1" ht="15" customHeight="1" x14ac:dyDescent="0.25">
      <c r="A1793" s="2371">
        <v>8</v>
      </c>
      <c r="B1793" s="2385" t="s">
        <v>4382</v>
      </c>
      <c r="C1793" s="2374" t="s">
        <v>256</v>
      </c>
      <c r="D1793" s="2374"/>
      <c r="E1793" s="2374"/>
      <c r="F1793" s="2374"/>
      <c r="G1793" s="2373" t="str">
        <f ca="1">IF(N1793&gt;0,"P","")</f>
        <v/>
      </c>
      <c r="H1793" s="2371" t="s">
        <v>3973</v>
      </c>
      <c r="I1793" s="64"/>
      <c r="J1793" s="668" t="s">
        <v>256</v>
      </c>
      <c r="K1793" s="850"/>
      <c r="L1793" s="1754" t="s">
        <v>4456</v>
      </c>
      <c r="M1793" s="1010">
        <v>3</v>
      </c>
      <c r="N1793" s="1044">
        <f ca="1">'Ch8'!O164</f>
        <v>0</v>
      </c>
      <c r="O1793" s="1504">
        <f ca="1">M1793*S1793*W1793</f>
        <v>0</v>
      </c>
      <c r="P1793" s="94" t="b">
        <v>0</v>
      </c>
      <c r="Q1793" s="94" t="b">
        <v>1</v>
      </c>
      <c r="R1793" s="94" t="b">
        <v>0</v>
      </c>
      <c r="S1793" s="94" t="b">
        <f ca="1">AND(NOT(W1787=TRUE),S1643=2)</f>
        <v>0</v>
      </c>
      <c r="T1793" s="94" t="b">
        <f ca="1">IF(AND(NOT(S1793),W1793=TRUE),TRUE,FALSE)</f>
        <v>0</v>
      </c>
      <c r="W1793" s="25"/>
      <c r="X1793" s="1757"/>
      <c r="Y1793" s="2099" t="str">
        <f>IF(LEN('Ch8'!X164)=0,"None",'Ch8'!X164)</f>
        <v>None</v>
      </c>
      <c r="Z1793" s="2087"/>
      <c r="AA1793" s="1526"/>
      <c r="AC1793" s="970" t="b">
        <f ca="1">OR(AD1793:AE1793)</f>
        <v>0</v>
      </c>
      <c r="AD1793" s="970" t="b">
        <f ca="1">T1793</f>
        <v>0</v>
      </c>
      <c r="AE1793" s="970"/>
      <c r="AF1793" s="911"/>
      <c r="AL1793" s="254" t="str">
        <f>SUBSTITUTE(SUBSTITUTE(SUBSTITUTE("vpa"&amp;$B1793&amp;$C1793&amp;$D1793&amp;$E1793,".","_"),"(","_"),")","")</f>
        <v>vpa802_6_5_1</v>
      </c>
      <c r="AM1793" s="254">
        <f>M1793</f>
        <v>3</v>
      </c>
      <c r="AN1793" s="254" t="str">
        <f>SUBSTITUTE(SUBSTITUTE(SUBSTITUTE("vpc"&amp;$B1793&amp;$C1793&amp;$D1793&amp;$E1793,".","_"),"(","_"),")","")</f>
        <v>vpc802_6_5_1</v>
      </c>
      <c r="AO1793" s="254">
        <f ca="1">O1793</f>
        <v>0</v>
      </c>
      <c r="AP1793" s="254" t="str">
        <f>SUBSTITUTE(SUBSTITUTE(SUBSTITUTE("vch"&amp;$B1793&amp;$C1793&amp;$D1793&amp;$E1793,".","_"),"(","_"),")","")</f>
        <v>vch802_6_5_1</v>
      </c>
      <c r="AQ1793" s="254" t="str">
        <f>IF(LEN(W1793)=0,"",W1793)</f>
        <v/>
      </c>
      <c r="AR1793" s="254" t="str">
        <f>SUBSTITUTE(SUBSTITUTE(SUBSTITUTE("vnt"&amp;$B1793&amp;$C1793&amp;$D1793&amp;$E1793,".","_"),"(","_"),")","")</f>
        <v>vnt802_6_5_1</v>
      </c>
      <c r="AS1793" s="254" t="str">
        <f>IF(LEN(X1793)=0,"",X1793)</f>
        <v/>
      </c>
    </row>
    <row r="1794" spans="1:60" ht="15" customHeight="1" x14ac:dyDescent="0.25">
      <c r="A1794" s="2371">
        <v>8</v>
      </c>
      <c r="B1794" s="2385" t="s">
        <v>4382</v>
      </c>
      <c r="C1794" s="2374" t="s">
        <v>256</v>
      </c>
      <c r="D1794" s="2374"/>
      <c r="E1794" s="2374"/>
      <c r="F1794" s="2374"/>
      <c r="G1794" s="2377" t="str">
        <f ca="1">G1793</f>
        <v/>
      </c>
      <c r="H1794" s="2399" t="s">
        <v>3973</v>
      </c>
      <c r="I1794" s="64"/>
      <c r="J1794" s="684"/>
      <c r="K1794" s="851"/>
      <c r="L1794" s="1755"/>
      <c r="M1794" s="1015"/>
      <c r="N1794" s="1041"/>
      <c r="O1794" s="1502"/>
      <c r="P1794" s="94"/>
      <c r="Q1794" s="94"/>
      <c r="R1794" s="94"/>
      <c r="S1794" s="94"/>
      <c r="T1794" s="94"/>
      <c r="U1794"/>
      <c r="V1794"/>
      <c r="W1794"/>
      <c r="X1794" s="1757"/>
      <c r="Y1794" s="2097"/>
      <c r="Z1794" s="2085"/>
      <c r="AA1794" s="1526"/>
      <c r="AC1794" s="970"/>
      <c r="AD1794" s="970"/>
      <c r="AE1794" s="970"/>
      <c r="AF1794"/>
      <c r="AG1794"/>
      <c r="AH1794"/>
      <c r="AI1794"/>
      <c r="AJ1794"/>
      <c r="AK1794"/>
      <c r="AL1794" s="1336"/>
      <c r="AM1794" s="1336"/>
      <c r="AN1794" s="1336"/>
      <c r="AO1794" s="1336"/>
      <c r="AP1794" s="1336"/>
      <c r="AQ1794" s="1336"/>
      <c r="AR1794" s="1336"/>
      <c r="AS1794" s="1336"/>
      <c r="AT1794"/>
    </row>
    <row r="1795" spans="1:60" ht="15" customHeight="1" x14ac:dyDescent="0.25">
      <c r="A1795" s="2371">
        <v>8</v>
      </c>
      <c r="B1795" s="2385" t="s">
        <v>4382</v>
      </c>
      <c r="C1795" s="2374" t="s">
        <v>258</v>
      </c>
      <c r="D1795" s="2374"/>
      <c r="E1795" s="2374"/>
      <c r="F1795" s="2374"/>
      <c r="G1795" s="2373" t="str">
        <f ca="1">IF(N1795&gt;0,"P","")</f>
        <v/>
      </c>
      <c r="H1795" s="2371" t="s">
        <v>3973</v>
      </c>
      <c r="I1795" s="64"/>
      <c r="J1795" s="693" t="s">
        <v>258</v>
      </c>
      <c r="K1795" s="849"/>
      <c r="L1795" s="1778" t="s">
        <v>4457</v>
      </c>
      <c r="M1795" s="1016">
        <v>3</v>
      </c>
      <c r="N1795" s="1056">
        <f ca="1">'Ch8'!O166</f>
        <v>0</v>
      </c>
      <c r="O1795" s="1501">
        <f ca="1">M1795*S1795*W1795</f>
        <v>0</v>
      </c>
      <c r="P1795" s="94" t="b">
        <v>0</v>
      </c>
      <c r="Q1795" s="94" t="b">
        <v>1</v>
      </c>
      <c r="R1795" s="94" t="b">
        <v>0</v>
      </c>
      <c r="S1795" s="94" t="b">
        <f ca="1">AND(NOT(W1787=TRUE),S1643=2)</f>
        <v>0</v>
      </c>
      <c r="T1795" s="94" t="b">
        <f ca="1">IF(AND(NOT(S1795),W1795=TRUE),TRUE,FALSE)</f>
        <v>0</v>
      </c>
      <c r="U1795"/>
      <c r="V1795"/>
      <c r="W1795" s="25"/>
      <c r="X1795" s="1757"/>
      <c r="Y1795" s="2099" t="str">
        <f>IF(LEN('Ch8'!X166)=0,"None",'Ch8'!X166)</f>
        <v>None</v>
      </c>
      <c r="Z1795" s="2087"/>
      <c r="AA1795" s="1526"/>
      <c r="AC1795" s="970" t="b">
        <f ca="1">OR(AD1795:AE1795)</f>
        <v>0</v>
      </c>
      <c r="AD1795" s="970" t="b">
        <f ca="1">T1795</f>
        <v>0</v>
      </c>
      <c r="AE1795" s="970"/>
      <c r="AF1795"/>
      <c r="AG1795"/>
      <c r="AH1795"/>
      <c r="AI1795"/>
      <c r="AJ1795"/>
      <c r="AK1795"/>
      <c r="AL1795" s="254" t="str">
        <f>SUBSTITUTE(SUBSTITUTE(SUBSTITUTE("vpa"&amp;$B1795&amp;$C1795&amp;$D1795&amp;$E1795,".","_"),"(","_"),")","")</f>
        <v>vpa802_6_5_2</v>
      </c>
      <c r="AM1795" s="254">
        <f>M1795</f>
        <v>3</v>
      </c>
      <c r="AN1795" s="254" t="str">
        <f>SUBSTITUTE(SUBSTITUTE(SUBSTITUTE("vpc"&amp;$B1795&amp;$C1795&amp;$D1795&amp;$E1795,".","_"),"(","_"),")","")</f>
        <v>vpc802_6_5_2</v>
      </c>
      <c r="AO1795" s="254">
        <f ca="1">O1795</f>
        <v>0</v>
      </c>
      <c r="AP1795" s="254" t="str">
        <f>SUBSTITUTE(SUBSTITUTE(SUBSTITUTE("vch"&amp;$B1795&amp;$C1795&amp;$D1795&amp;$E1795,".","_"),"(","_"),")","")</f>
        <v>vch802_6_5_2</v>
      </c>
      <c r="AQ1795" s="254" t="str">
        <f>IF(LEN(W1795)=0,"",W1795)</f>
        <v/>
      </c>
      <c r="AR1795" s="254" t="str">
        <f>SUBSTITUTE(SUBSTITUTE(SUBSTITUTE("vnt"&amp;$B1795&amp;$C1795&amp;$D1795&amp;$E1795,".","_"),"(","_"),")","")</f>
        <v>vnt802_6_5_2</v>
      </c>
      <c r="AS1795" s="254" t="str">
        <f>IF(LEN(X1795)=0,"",X1795)</f>
        <v/>
      </c>
      <c r="AT1795"/>
    </row>
    <row r="1796" spans="1:60" ht="15" customHeight="1" x14ac:dyDescent="0.25">
      <c r="A1796" s="2371">
        <v>8</v>
      </c>
      <c r="B1796" s="2385" t="s">
        <v>4382</v>
      </c>
      <c r="C1796" s="2374" t="s">
        <v>258</v>
      </c>
      <c r="D1796" s="2374"/>
      <c r="E1796" s="2374"/>
      <c r="F1796" s="2374"/>
      <c r="G1796" s="2377" t="str">
        <f ca="1">G1795</f>
        <v/>
      </c>
      <c r="H1796" s="2399" t="s">
        <v>3973</v>
      </c>
      <c r="I1796" s="64"/>
      <c r="J1796" s="684"/>
      <c r="K1796" s="851"/>
      <c r="L1796" s="1755"/>
      <c r="M1796" s="1015"/>
      <c r="N1796" s="1041"/>
      <c r="O1796" s="1502"/>
      <c r="P1796" s="94"/>
      <c r="Q1796" s="94"/>
      <c r="R1796" s="94"/>
      <c r="S1796" s="94"/>
      <c r="T1796" s="94"/>
      <c r="U1796"/>
      <c r="V1796"/>
      <c r="W1796"/>
      <c r="X1796" s="1757"/>
      <c r="Y1796" s="2097"/>
      <c r="Z1796" s="2085"/>
      <c r="AA1796" s="1526"/>
      <c r="AC1796" s="970"/>
      <c r="AD1796" s="970"/>
      <c r="AE1796" s="970"/>
      <c r="AF1796"/>
      <c r="AG1796"/>
      <c r="AH1796"/>
      <c r="AI1796"/>
      <c r="AJ1796"/>
      <c r="AK1796"/>
      <c r="AL1796" s="1336"/>
      <c r="AM1796" s="1336"/>
      <c r="AN1796" s="1336"/>
      <c r="AO1796" s="1336"/>
      <c r="AP1796" s="1336"/>
      <c r="AQ1796" s="1336"/>
      <c r="AR1796" s="1336"/>
      <c r="AS1796" s="1336"/>
      <c r="AT1796"/>
    </row>
    <row r="1797" spans="1:60" ht="15" customHeight="1" x14ac:dyDescent="0.25">
      <c r="A1797" s="2371">
        <v>8</v>
      </c>
      <c r="B1797" s="2385" t="s">
        <v>4382</v>
      </c>
      <c r="C1797" s="2374" t="s">
        <v>260</v>
      </c>
      <c r="D1797" s="2374"/>
      <c r="E1797" s="2374"/>
      <c r="F1797" s="2374"/>
      <c r="G1797" s="2373" t="str">
        <f ca="1">IF(N1797&gt;0,"P","")</f>
        <v/>
      </c>
      <c r="H1797" s="2371" t="s">
        <v>3973</v>
      </c>
      <c r="I1797" s="64"/>
      <c r="J1797" s="691" t="s">
        <v>260</v>
      </c>
      <c r="K1797" s="954"/>
      <c r="L1797" s="279" t="s">
        <v>4458</v>
      </c>
      <c r="M1797" s="1036">
        <v>3</v>
      </c>
      <c r="N1797" s="1049">
        <f ca="1">'Ch8'!O168</f>
        <v>0</v>
      </c>
      <c r="O1797" s="1507">
        <f ca="1">M1797*S1797*W1797</f>
        <v>0</v>
      </c>
      <c r="P1797" s="94" t="b">
        <v>0</v>
      </c>
      <c r="Q1797" s="94" t="b">
        <v>1</v>
      </c>
      <c r="R1797" s="94" t="b">
        <v>0</v>
      </c>
      <c r="S1797" s="94" t="b">
        <f ca="1">AND(NOT(W1787=TRUE),S1643=2)</f>
        <v>0</v>
      </c>
      <c r="T1797" s="94" t="b">
        <f ca="1">IF(AND(NOT(S1797),W1797=TRUE),TRUE,FALSE)</f>
        <v>0</v>
      </c>
      <c r="U1797"/>
      <c r="V1797"/>
      <c r="W1797" s="25"/>
      <c r="X1797" s="918"/>
      <c r="Y1797" s="988" t="str">
        <f>IF(LEN('Ch8'!X168)=0,"None",'Ch8'!X168)</f>
        <v>None</v>
      </c>
      <c r="Z1797" s="1594"/>
      <c r="AA1797" s="1526"/>
      <c r="AC1797" s="970" t="b">
        <f ca="1">OR(AD1797:AE1797)</f>
        <v>0</v>
      </c>
      <c r="AD1797" s="970" t="b">
        <f ca="1">T1797</f>
        <v>0</v>
      </c>
      <c r="AE1797" s="970"/>
      <c r="AF1797"/>
      <c r="AG1797"/>
      <c r="AH1797"/>
      <c r="AI1797"/>
      <c r="AJ1797"/>
      <c r="AK1797"/>
      <c r="AL1797" s="254" t="str">
        <f>SUBSTITUTE(SUBSTITUTE(SUBSTITUTE("vpa"&amp;$B1797&amp;$C1797&amp;$D1797&amp;$E1797,".","_"),"(","_"),")","")</f>
        <v>vpa802_6_5_3</v>
      </c>
      <c r="AM1797" s="254">
        <f>M1797</f>
        <v>3</v>
      </c>
      <c r="AN1797" s="254" t="str">
        <f>SUBSTITUTE(SUBSTITUTE(SUBSTITUTE("vpc"&amp;$B1797&amp;$C1797&amp;$D1797&amp;$E1797,".","_"),"(","_"),")","")</f>
        <v>vpc802_6_5_3</v>
      </c>
      <c r="AO1797" s="254">
        <f ca="1">O1797</f>
        <v>0</v>
      </c>
      <c r="AP1797" s="254" t="str">
        <f>SUBSTITUTE(SUBSTITUTE(SUBSTITUTE("vch"&amp;$B1797&amp;$C1797&amp;$D1797&amp;$E1797,".","_"),"(","_"),")","")</f>
        <v>vch802_6_5_3</v>
      </c>
      <c r="AQ1797" s="254" t="str">
        <f>IF(LEN(W1797)=0,"",W1797)</f>
        <v/>
      </c>
      <c r="AR1797" s="254" t="str">
        <f>SUBSTITUTE(SUBSTITUTE(SUBSTITUTE("vnt"&amp;$B1797&amp;$C1797&amp;$D1797&amp;$E1797,".","_"),"(","_"),")","")</f>
        <v>vnt802_6_5_3</v>
      </c>
      <c r="AS1797" s="254" t="str">
        <f>IF(LEN(X1797)=0,"",X1797)</f>
        <v/>
      </c>
      <c r="AT1797"/>
    </row>
    <row r="1798" spans="1:60" ht="15" customHeight="1" x14ac:dyDescent="0.25">
      <c r="A1798" s="2371">
        <v>8</v>
      </c>
      <c r="B1798" s="2385" t="s">
        <v>4382</v>
      </c>
      <c r="C1798" s="2374" t="s">
        <v>269</v>
      </c>
      <c r="D1798" s="2374"/>
      <c r="E1798" s="2374"/>
      <c r="F1798" s="2374"/>
      <c r="G1798" s="2373" t="str">
        <f ca="1">IF(N1798&gt;0,"P","")</f>
        <v/>
      </c>
      <c r="H1798" s="2371" t="s">
        <v>3973</v>
      </c>
      <c r="I1798" s="64"/>
      <c r="J1798" s="693" t="s">
        <v>269</v>
      </c>
      <c r="K1798" s="849"/>
      <c r="L1798" s="1778" t="s">
        <v>4459</v>
      </c>
      <c r="M1798" s="1016">
        <v>3</v>
      </c>
      <c r="N1798" s="1056">
        <f ca="1">'Ch8'!O169</f>
        <v>0</v>
      </c>
      <c r="O1798" s="1501">
        <f ca="1">M1798*S1798*W1798</f>
        <v>0</v>
      </c>
      <c r="P1798" s="94" t="b">
        <v>0</v>
      </c>
      <c r="Q1798" s="94" t="b">
        <v>1</v>
      </c>
      <c r="R1798" s="94" t="b">
        <v>0</v>
      </c>
      <c r="S1798" s="94" t="b">
        <f ca="1">AND(NOT(W1787=TRUE),S1643=2)</f>
        <v>0</v>
      </c>
      <c r="T1798" s="94" t="b">
        <f ca="1">IF(AND(NOT(S1798),W1798=TRUE),TRUE,FALSE)</f>
        <v>0</v>
      </c>
      <c r="U1798"/>
      <c r="V1798"/>
      <c r="W1798" s="25"/>
      <c r="X1798" s="1757"/>
      <c r="Y1798" s="2099" t="str">
        <f>IF(LEN('Ch8'!X169)=0,"None",'Ch8'!X169)</f>
        <v>None</v>
      </c>
      <c r="Z1798" s="2087"/>
      <c r="AA1798" s="1526"/>
      <c r="AC1798" s="970" t="b">
        <f ca="1">OR(AD1798:AE1798)</f>
        <v>0</v>
      </c>
      <c r="AD1798" s="970" t="b">
        <f ca="1">T1798</f>
        <v>0</v>
      </c>
      <c r="AE1798" s="970"/>
      <c r="AF1798"/>
      <c r="AG1798"/>
      <c r="AH1798"/>
      <c r="AI1798"/>
      <c r="AJ1798"/>
      <c r="AK1798"/>
      <c r="AL1798" s="254" t="str">
        <f>SUBSTITUTE(SUBSTITUTE(SUBSTITUTE("vpa"&amp;$B1798&amp;$C1798&amp;$D1798&amp;$E1798,".","_"),"(","_"),")","")</f>
        <v>vpa802_6_5_4</v>
      </c>
      <c r="AM1798" s="254">
        <f>M1798</f>
        <v>3</v>
      </c>
      <c r="AN1798" s="254" t="str">
        <f>SUBSTITUTE(SUBSTITUTE(SUBSTITUTE("vpc"&amp;$B1798&amp;$C1798&amp;$D1798&amp;$E1798,".","_"),"(","_"),")","")</f>
        <v>vpc802_6_5_4</v>
      </c>
      <c r="AO1798" s="254">
        <f ca="1">O1798</f>
        <v>0</v>
      </c>
      <c r="AP1798" s="254" t="str">
        <f>SUBSTITUTE(SUBSTITUTE(SUBSTITUTE("vch"&amp;$B1798&amp;$C1798&amp;$D1798&amp;$E1798,".","_"),"(","_"),")","")</f>
        <v>vch802_6_5_4</v>
      </c>
      <c r="AQ1798" s="254" t="str">
        <f>IF(LEN(W1798)=0,"",W1798)</f>
        <v/>
      </c>
      <c r="AR1798" s="254" t="str">
        <f>SUBSTITUTE(SUBSTITUTE(SUBSTITUTE("vnt"&amp;$B1798&amp;$C1798&amp;$D1798&amp;$E1798,".","_"),"(","_"),")","")</f>
        <v>vnt802_6_5_4</v>
      </c>
      <c r="AS1798" s="254" t="str">
        <f>IF(LEN(X1798)=0,"",X1798)</f>
        <v/>
      </c>
      <c r="AT1798"/>
    </row>
    <row r="1799" spans="1:60" ht="15" customHeight="1" x14ac:dyDescent="0.25">
      <c r="A1799" s="2371">
        <v>8</v>
      </c>
      <c r="B1799" s="2385" t="s">
        <v>4382</v>
      </c>
      <c r="C1799" s="2374" t="s">
        <v>269</v>
      </c>
      <c r="D1799" s="2374"/>
      <c r="E1799" s="2374"/>
      <c r="F1799" s="2374"/>
      <c r="G1799" s="2377" t="str">
        <f ca="1">G1798</f>
        <v/>
      </c>
      <c r="H1799" s="2399" t="s">
        <v>3973</v>
      </c>
      <c r="I1799" s="64"/>
      <c r="J1799" s="684"/>
      <c r="K1799" s="851"/>
      <c r="L1799" s="1755"/>
      <c r="M1799" s="1015"/>
      <c r="N1799" s="1041"/>
      <c r="O1799" s="1502"/>
      <c r="P1799" s="94"/>
      <c r="Q1799" s="94"/>
      <c r="R1799" s="94"/>
      <c r="S1799" s="94"/>
      <c r="T1799" s="94"/>
      <c r="U1799"/>
      <c r="V1799"/>
      <c r="W1799"/>
      <c r="X1799" s="1757"/>
      <c r="Y1799" s="2097"/>
      <c r="Z1799" s="2085"/>
      <c r="AA1799" s="1526"/>
      <c r="AC1799" s="970"/>
      <c r="AD1799" s="970"/>
      <c r="AE1799" s="970"/>
      <c r="AF1799"/>
      <c r="AG1799"/>
      <c r="AH1799"/>
      <c r="AI1799"/>
      <c r="AJ1799"/>
      <c r="AK1799"/>
      <c r="AL1799" s="1336"/>
      <c r="AM1799" s="1336"/>
      <c r="AN1799" s="1336"/>
      <c r="AO1799" s="1336"/>
      <c r="AP1799" s="1336"/>
      <c r="AQ1799" s="1336"/>
      <c r="AR1799" s="1336"/>
      <c r="AS1799" s="1336"/>
      <c r="AT1799"/>
    </row>
    <row r="1800" spans="1:60" ht="15" customHeight="1" x14ac:dyDescent="0.25">
      <c r="A1800" s="2371">
        <v>8</v>
      </c>
      <c r="B1800" s="2385" t="s">
        <v>4382</v>
      </c>
      <c r="C1800" s="2374" t="s">
        <v>275</v>
      </c>
      <c r="D1800" s="2374"/>
      <c r="E1800" s="2374"/>
      <c r="F1800" s="2374"/>
      <c r="G1800" s="2373" t="str">
        <f ca="1">IF(N1800&gt;0,"P","")</f>
        <v/>
      </c>
      <c r="H1800" s="2371" t="s">
        <v>3973</v>
      </c>
      <c r="I1800" s="64"/>
      <c r="J1800" s="667" t="s">
        <v>275</v>
      </c>
      <c r="K1800" s="845"/>
      <c r="L1800" s="1779" t="s">
        <v>4460</v>
      </c>
      <c r="M1800" s="1010">
        <v>3</v>
      </c>
      <c r="N1800" s="1044">
        <f ca="1">'Ch8'!O171</f>
        <v>0</v>
      </c>
      <c r="O1800" s="1504">
        <f ca="1">M1800*S1800*W1800</f>
        <v>0</v>
      </c>
      <c r="P1800" s="94" t="b">
        <v>0</v>
      </c>
      <c r="Q1800" s="94" t="b">
        <v>1</v>
      </c>
      <c r="R1800" s="94" t="b">
        <v>0</v>
      </c>
      <c r="S1800" s="94" t="b">
        <f ca="1">AND(NOT(W1787=TRUE),S1643=2)</f>
        <v>0</v>
      </c>
      <c r="T1800" s="94" t="b">
        <f ca="1">IF(AND(NOT(S1800),W1800=TRUE),TRUE,FALSE)</f>
        <v>0</v>
      </c>
      <c r="U1800"/>
      <c r="V1800"/>
      <c r="W1800" s="25"/>
      <c r="X1800" s="1757"/>
      <c r="Y1800" s="2099" t="str">
        <f>IF(LEN('Ch8'!X171)=0,"None",'Ch8'!X171)</f>
        <v>None</v>
      </c>
      <c r="Z1800" s="2087"/>
      <c r="AA1800" s="1526"/>
      <c r="AC1800" s="970" t="b">
        <f ca="1">OR(AD1800:AE1800)</f>
        <v>0</v>
      </c>
      <c r="AD1800" s="970" t="b">
        <f ca="1">T1800</f>
        <v>0</v>
      </c>
      <c r="AE1800" s="970"/>
      <c r="AF1800"/>
      <c r="AG1800"/>
      <c r="AH1800"/>
      <c r="AI1800"/>
      <c r="AJ1800"/>
      <c r="AK1800"/>
      <c r="AL1800" s="254" t="str">
        <f>SUBSTITUTE(SUBSTITUTE(SUBSTITUTE("vpa"&amp;$B1800&amp;$C1800&amp;$D1800&amp;$E1800,".","_"),"(","_"),")","")</f>
        <v>vpa802_6_5_5</v>
      </c>
      <c r="AM1800" s="254">
        <f>M1800</f>
        <v>3</v>
      </c>
      <c r="AN1800" s="254" t="str">
        <f>SUBSTITUTE(SUBSTITUTE(SUBSTITUTE("vpc"&amp;$B1800&amp;$C1800&amp;$D1800&amp;$E1800,".","_"),"(","_"),")","")</f>
        <v>vpc802_6_5_5</v>
      </c>
      <c r="AO1800" s="254">
        <f ca="1">O1800</f>
        <v>0</v>
      </c>
      <c r="AP1800" s="254" t="str">
        <f>SUBSTITUTE(SUBSTITUTE(SUBSTITUTE("vch"&amp;$B1800&amp;$C1800&amp;$D1800&amp;$E1800,".","_"),"(","_"),")","")</f>
        <v>vch802_6_5_5</v>
      </c>
      <c r="AQ1800" s="254" t="str">
        <f>IF(LEN(W1800)=0,"",W1800)</f>
        <v/>
      </c>
      <c r="AR1800" s="254" t="str">
        <f>SUBSTITUTE(SUBSTITUTE(SUBSTITUTE("vnt"&amp;$B1800&amp;$C1800&amp;$D1800&amp;$E1800,".","_"),"(","_"),")","")</f>
        <v>vnt802_6_5_5</v>
      </c>
      <c r="AS1800" s="254" t="str">
        <f>IF(LEN(X1800)=0,"",X1800)</f>
        <v/>
      </c>
      <c r="AT1800"/>
    </row>
    <row r="1801" spans="1:60" ht="15.75" thickBot="1" x14ac:dyDescent="0.3">
      <c r="A1801" s="2371">
        <v>8</v>
      </c>
      <c r="B1801" s="2385" t="s">
        <v>4382</v>
      </c>
      <c r="C1801" s="2374" t="s">
        <v>275</v>
      </c>
      <c r="D1801" s="2374"/>
      <c r="E1801" s="2374"/>
      <c r="F1801" s="2374"/>
      <c r="G1801" s="2377" t="str">
        <f ca="1">G1800</f>
        <v/>
      </c>
      <c r="H1801" s="2399" t="s">
        <v>3973</v>
      </c>
      <c r="I1801" s="64"/>
      <c r="J1801" s="845"/>
      <c r="K1801" s="845"/>
      <c r="L1801" s="1779"/>
      <c r="M1801" s="1010"/>
      <c r="N1801" s="664"/>
      <c r="O1801" s="1504"/>
      <c r="P1801"/>
      <c r="Q1801"/>
      <c r="R1801"/>
      <c r="S1801"/>
      <c r="T1801"/>
      <c r="U1801"/>
      <c r="V1801"/>
      <c r="W1801"/>
      <c r="X1801" s="1757"/>
      <c r="Y1801" s="2102"/>
      <c r="Z1801" s="2090"/>
      <c r="AA1801" s="1526"/>
      <c r="AC1801" s="970"/>
      <c r="AD1801" s="970"/>
      <c r="AE1801" s="970"/>
      <c r="AF1801"/>
      <c r="AG1801"/>
      <c r="AH1801"/>
      <c r="AI1801"/>
      <c r="AJ1801"/>
      <c r="AK1801"/>
      <c r="AL1801" s="1336"/>
      <c r="AM1801" s="1336"/>
      <c r="AN1801" s="1336"/>
      <c r="AO1801" s="1336"/>
      <c r="AP1801" s="1336"/>
      <c r="AQ1801" s="1336"/>
      <c r="AR1801" s="1336"/>
      <c r="AS1801" s="1336"/>
      <c r="AT1801"/>
    </row>
    <row r="1802" spans="1:60" ht="15.75" customHeight="1" thickTop="1" x14ac:dyDescent="0.25">
      <c r="A1802" s="2371">
        <v>8</v>
      </c>
      <c r="B1802" s="2394">
        <v>802.7</v>
      </c>
      <c r="C1802" s="2390"/>
      <c r="D1802" s="2390"/>
      <c r="E1802" s="2390"/>
      <c r="F1802" s="2390"/>
      <c r="G1802" s="2363" t="str">
        <f ca="1">IF(COUNTIF(G1804:G1815,"P")&gt;0,"P","")</f>
        <v/>
      </c>
      <c r="H1802" s="2399" t="s">
        <v>3973</v>
      </c>
      <c r="I1802" s="180">
        <v>802.7</v>
      </c>
      <c r="J1802" s="952"/>
      <c r="K1802" s="181"/>
      <c r="L1802" s="1913" t="s">
        <v>4383</v>
      </c>
      <c r="M1802" s="1009"/>
      <c r="N1802" s="1046"/>
      <c r="O1802" s="1503"/>
      <c r="P1802" s="105"/>
      <c r="Q1802" s="105"/>
      <c r="R1802" s="105"/>
      <c r="S1802" s="105"/>
      <c r="T1802" s="105"/>
      <c r="U1802" s="105"/>
      <c r="V1802" s="105"/>
      <c r="W1802" s="105"/>
      <c r="X1802" s="105"/>
      <c r="Y1802" s="648"/>
      <c r="AA1802" s="1526"/>
      <c r="AB1802" s="648"/>
      <c r="AC1802" s="970"/>
      <c r="AD1802" s="970"/>
      <c r="AE1802" s="970"/>
      <c r="AF1802" s="648"/>
      <c r="AG1802" s="648"/>
      <c r="AH1802" s="648"/>
      <c r="AI1802" s="648"/>
      <c r="AJ1802" s="648"/>
      <c r="AK1802" s="648"/>
      <c r="AL1802" s="1336"/>
      <c r="AM1802" s="1336"/>
      <c r="AN1802" s="1336"/>
      <c r="AO1802" s="1336"/>
      <c r="AP1802" s="1336"/>
      <c r="AQ1802" s="1336"/>
      <c r="AR1802" s="1336"/>
      <c r="AS1802" s="1336"/>
      <c r="AT1802" s="648"/>
      <c r="AU1802" s="648"/>
      <c r="AV1802" s="648"/>
      <c r="AW1802" s="648"/>
      <c r="AX1802" s="648"/>
      <c r="AY1802" s="648"/>
      <c r="AZ1802" s="648"/>
      <c r="BA1802" s="648"/>
      <c r="BB1802" s="648"/>
      <c r="BC1802" s="648"/>
      <c r="BD1802" s="648"/>
      <c r="BE1802" s="648"/>
      <c r="BF1802" s="648"/>
      <c r="BG1802" s="648"/>
      <c r="BH1802" s="648"/>
    </row>
    <row r="1803" spans="1:60" x14ac:dyDescent="0.25">
      <c r="A1803" s="2371">
        <v>8</v>
      </c>
      <c r="B1803" s="2394">
        <v>802.7</v>
      </c>
      <c r="C1803" s="2390"/>
      <c r="D1803" s="2390"/>
      <c r="E1803" s="2390"/>
      <c r="F1803" s="2390"/>
      <c r="G1803" s="2373" t="str">
        <f ca="1">G1802</f>
        <v/>
      </c>
      <c r="H1803" s="2399" t="s">
        <v>3973</v>
      </c>
      <c r="I1803" s="64"/>
      <c r="J1803" s="164"/>
      <c r="K1803" s="4"/>
      <c r="L1803" s="2130"/>
      <c r="M1803" s="1010"/>
      <c r="N1803" s="1044"/>
      <c r="O1803" s="1504"/>
      <c r="P1803" s="94"/>
      <c r="Q1803" s="94"/>
      <c r="R1803" s="94"/>
      <c r="S1803" s="94"/>
      <c r="T1803" s="94"/>
      <c r="U1803" s="94"/>
      <c r="V1803" s="94"/>
      <c r="W1803" s="94"/>
      <c r="X1803" s="911"/>
      <c r="Y1803" s="648"/>
      <c r="AA1803" s="1526"/>
      <c r="AB1803" s="648"/>
      <c r="AC1803" s="970"/>
      <c r="AD1803" s="970"/>
      <c r="AE1803" s="970"/>
      <c r="AF1803" s="648"/>
      <c r="AG1803" s="648"/>
      <c r="AH1803" s="648"/>
      <c r="AI1803" s="648"/>
      <c r="AJ1803" s="648"/>
      <c r="AK1803" s="648"/>
      <c r="AL1803" s="1336"/>
      <c r="AM1803" s="1336"/>
      <c r="AN1803" s="1336"/>
      <c r="AO1803" s="1336"/>
      <c r="AP1803" s="1336"/>
      <c r="AQ1803" s="1336"/>
      <c r="AR1803" s="1336"/>
      <c r="AS1803" s="1336"/>
      <c r="AT1803" s="648"/>
      <c r="AU1803" s="648"/>
      <c r="AV1803" s="648"/>
      <c r="AW1803" s="648"/>
      <c r="AX1803" s="648"/>
      <c r="AY1803" s="648"/>
      <c r="AZ1803" s="648"/>
      <c r="BA1803" s="648"/>
      <c r="BB1803" s="648"/>
      <c r="BC1803" s="648"/>
      <c r="BD1803" s="648"/>
      <c r="BE1803" s="648"/>
      <c r="BF1803" s="648"/>
      <c r="BG1803" s="648"/>
      <c r="BH1803" s="648"/>
    </row>
    <row r="1804" spans="1:60" x14ac:dyDescent="0.25">
      <c r="A1804" s="2371">
        <v>8</v>
      </c>
      <c r="B1804" s="2394" t="s">
        <v>4384</v>
      </c>
      <c r="C1804" s="2390"/>
      <c r="D1804" s="2390"/>
      <c r="E1804" s="2390"/>
      <c r="F1804" s="2390"/>
      <c r="G1804" s="2373" t="str">
        <f ca="1">IF(N1804&gt;0,"P","")</f>
        <v/>
      </c>
      <c r="H1804" s="2399" t="s">
        <v>3973</v>
      </c>
      <c r="I1804" s="64" t="s">
        <v>4384</v>
      </c>
      <c r="J1804" s="164"/>
      <c r="K1804" s="4"/>
      <c r="L1804" s="1200" t="s">
        <v>4385</v>
      </c>
      <c r="M1804" s="1010"/>
      <c r="N1804" s="1044">
        <f ca="1">'Ch8'!O175</f>
        <v>0</v>
      </c>
      <c r="O1804" s="1504">
        <f ca="1">IFERROR(INDEX({5,5,10,15,25},MATCH(W1804,INDIRECT(U1804),0)),0)*S1804</f>
        <v>0</v>
      </c>
      <c r="P1804" s="94" t="b">
        <v>0</v>
      </c>
      <c r="Q1804" s="1500" t="b">
        <v>1</v>
      </c>
      <c r="R1804" s="94" t="b">
        <v>0</v>
      </c>
      <c r="S1804" s="94" t="b">
        <f ca="1">S1643=2</f>
        <v>0</v>
      </c>
      <c r="T1804" s="94" t="b">
        <f ca="1">IF(AND(NOT(S1804),LEN(W1804)&gt;0),TRUE,FALSE)</f>
        <v>0</v>
      </c>
      <c r="U1804" s="94" t="str">
        <f>SUBSTITUTE(SUBSTITUTE(SUBSTITUTE("dd"&amp;B1804&amp;C1804&amp;D1804&amp;E1804&amp;F1804,".","_"),"(","_"),")","")</f>
        <v>dd802_7_1</v>
      </c>
      <c r="V1804" s="94"/>
      <c r="W1804" s="12"/>
      <c r="X1804" s="1757"/>
      <c r="Y1804" s="2081" t="str">
        <f>IF(LEN('Ch8'!X175)=0,"None",'Ch8'!X175)</f>
        <v>None</v>
      </c>
      <c r="Z1804" s="2083"/>
      <c r="AA1804" s="1526"/>
      <c r="AB1804" s="648"/>
      <c r="AC1804" s="970" t="b">
        <f ca="1">OR(AD1804:AE1804)</f>
        <v>0</v>
      </c>
      <c r="AD1804" s="970" t="b">
        <f ca="1">T1804</f>
        <v>0</v>
      </c>
      <c r="AE1804" s="970"/>
      <c r="AF1804" s="648"/>
      <c r="AG1804" s="648"/>
      <c r="AH1804" s="648"/>
      <c r="AI1804" s="648"/>
      <c r="AJ1804" s="648"/>
      <c r="AK1804" s="648"/>
      <c r="AL1804" s="1336"/>
      <c r="AM1804" s="1336"/>
      <c r="AN1804" s="254" t="str">
        <f>SUBSTITUTE(SUBSTITUTE(SUBSTITUTE("vpc"&amp;$B1804&amp;$C1804&amp;$D1804&amp;$E1804,".","_"),"(","_"),")","")</f>
        <v>vpc802_7_1</v>
      </c>
      <c r="AO1804" s="254">
        <f ca="1">O1804</f>
        <v>0</v>
      </c>
      <c r="AP1804" s="254" t="str">
        <f>SUBSTITUTE(SUBSTITUTE(SUBSTITUTE("vch"&amp;$B1804&amp;$C1804&amp;$D1804&amp;$E1804,".","_"),"(","_"),")","")</f>
        <v>vch802_7_1</v>
      </c>
      <c r="AQ1804" s="254" t="str">
        <f>IF(LEN(W1804)=0,"",W1804)</f>
        <v/>
      </c>
      <c r="AR1804" s="254" t="str">
        <f>SUBSTITUTE(SUBSTITUTE(SUBSTITUTE("vnt"&amp;$B1804&amp;$C1804&amp;$D1804&amp;$E1804,".","_"),"(","_"),")","")</f>
        <v>vnt802_7_1</v>
      </c>
      <c r="AS1804" s="254" t="str">
        <f>IF(LEN(X1804)=0,"",X1804)</f>
        <v/>
      </c>
      <c r="AT1804" s="648"/>
      <c r="AU1804" s="648"/>
      <c r="AV1804" s="648"/>
      <c r="AW1804" s="648"/>
      <c r="AX1804" s="648"/>
      <c r="AY1804" s="648"/>
      <c r="AZ1804" s="648"/>
      <c r="BA1804" s="648"/>
      <c r="BB1804" s="648"/>
      <c r="BC1804" s="648"/>
      <c r="BD1804" s="648"/>
      <c r="BE1804" s="648"/>
      <c r="BF1804" s="648"/>
      <c r="BG1804" s="648"/>
      <c r="BH1804" s="648"/>
    </row>
    <row r="1805" spans="1:60" x14ac:dyDescent="0.25">
      <c r="A1805" s="2371">
        <v>8</v>
      </c>
      <c r="B1805" s="2394" t="s">
        <v>4384</v>
      </c>
      <c r="C1805" s="2374" t="s">
        <v>256</v>
      </c>
      <c r="D1805" s="2374"/>
      <c r="E1805" s="2374"/>
      <c r="F1805" s="2397"/>
      <c r="G1805" s="2373" t="str">
        <f t="shared" ref="G1805:G1814" ca="1" si="107">G1804</f>
        <v/>
      </c>
      <c r="H1805" s="2371" t="s">
        <v>3973</v>
      </c>
      <c r="I1805" s="130"/>
      <c r="J1805" s="206" t="s">
        <v>256</v>
      </c>
      <c r="K1805" s="210"/>
      <c r="L1805" s="1163" t="s">
        <v>800</v>
      </c>
      <c r="M1805" s="1015">
        <v>5</v>
      </c>
      <c r="N1805" s="1044"/>
      <c r="O1805" s="1504"/>
      <c r="P1805" s="94"/>
      <c r="Q1805" s="94"/>
      <c r="R1805" s="94"/>
      <c r="S1805" s="94"/>
      <c r="T1805" s="94"/>
      <c r="U1805" s="94"/>
      <c r="V1805" s="94"/>
      <c r="W1805" s="94"/>
      <c r="X1805" s="1757"/>
      <c r="Y1805" s="2081"/>
      <c r="Z1805" s="2083"/>
      <c r="AA1805" s="1526"/>
      <c r="AB1805" s="648"/>
      <c r="AC1805" s="970"/>
      <c r="AD1805" s="970"/>
      <c r="AE1805" s="970"/>
      <c r="AF1805" s="648"/>
      <c r="AG1805" s="648"/>
      <c r="AH1805" s="648"/>
      <c r="AI1805" s="648"/>
      <c r="AJ1805" s="648"/>
      <c r="AK1805" s="648"/>
      <c r="AL1805" s="254" t="str">
        <f>SUBSTITUTE(SUBSTITUTE(SUBSTITUTE("vpa"&amp;$B1805&amp;$C1805&amp;$D1805&amp;$E1805,".","_"),"(","_"),")","")</f>
        <v>vpa802_7_1_1</v>
      </c>
      <c r="AM1805" s="254">
        <f>M1805</f>
        <v>5</v>
      </c>
      <c r="AN1805" s="1336"/>
      <c r="AO1805" s="1336"/>
      <c r="AP1805" s="1336"/>
      <c r="AQ1805" s="1336"/>
      <c r="AR1805" s="1336"/>
      <c r="AS1805" s="1336"/>
      <c r="AT1805" s="648"/>
      <c r="AU1805" s="648"/>
      <c r="AV1805" s="648"/>
      <c r="AW1805" s="648"/>
      <c r="AX1805" s="648"/>
      <c r="AY1805" s="648"/>
      <c r="AZ1805" s="648"/>
      <c r="BA1805" s="648"/>
      <c r="BB1805" s="648"/>
      <c r="BC1805" s="648"/>
      <c r="BD1805" s="648"/>
      <c r="BE1805" s="648"/>
      <c r="BF1805" s="648"/>
      <c r="BG1805" s="648"/>
      <c r="BH1805" s="648"/>
    </row>
    <row r="1806" spans="1:60" x14ac:dyDescent="0.25">
      <c r="A1806" s="2371">
        <v>8</v>
      </c>
      <c r="B1806" s="2394" t="s">
        <v>4384</v>
      </c>
      <c r="C1806" s="2374" t="s">
        <v>258</v>
      </c>
      <c r="D1806" s="2374"/>
      <c r="E1806" s="2374"/>
      <c r="F1806" s="2397"/>
      <c r="G1806" s="2373" t="str">
        <f t="shared" ca="1" si="107"/>
        <v/>
      </c>
      <c r="H1806" s="2371" t="s">
        <v>3973</v>
      </c>
      <c r="I1806" s="130"/>
      <c r="J1806" s="183" t="s">
        <v>258</v>
      </c>
      <c r="K1806" s="129"/>
      <c r="L1806" s="1754" t="s">
        <v>801</v>
      </c>
      <c r="M1806" s="1010"/>
      <c r="N1806" s="1044"/>
      <c r="O1806" s="1504"/>
      <c r="P1806" s="94"/>
      <c r="Q1806" s="94"/>
      <c r="R1806" s="94"/>
      <c r="S1806" s="94"/>
      <c r="T1806" s="94"/>
      <c r="U1806" s="94"/>
      <c r="V1806" s="94"/>
      <c r="W1806" s="94"/>
      <c r="X1806" s="1757"/>
      <c r="Y1806" s="2081"/>
      <c r="Z1806" s="2083"/>
      <c r="AA1806" s="1526"/>
      <c r="AB1806" s="648"/>
      <c r="AC1806" s="970"/>
      <c r="AD1806" s="970"/>
      <c r="AE1806" s="970"/>
      <c r="AF1806" s="648"/>
      <c r="AG1806" s="648"/>
      <c r="AH1806" s="648"/>
      <c r="AI1806" s="648"/>
      <c r="AJ1806" s="648"/>
      <c r="AK1806" s="648"/>
      <c r="AL1806" s="1336"/>
      <c r="AM1806" s="1336"/>
      <c r="AN1806" s="1336"/>
      <c r="AO1806" s="1336"/>
      <c r="AP1806" s="1336"/>
      <c r="AQ1806" s="1336"/>
      <c r="AR1806" s="1336"/>
      <c r="AS1806" s="1336"/>
      <c r="AT1806" s="648"/>
      <c r="AU1806" s="648"/>
      <c r="AV1806" s="648"/>
      <c r="AW1806" s="648"/>
      <c r="AX1806" s="648"/>
      <c r="AY1806" s="648"/>
      <c r="AZ1806" s="648"/>
      <c r="BA1806" s="648"/>
      <c r="BB1806" s="648"/>
      <c r="BC1806" s="648"/>
      <c r="BD1806" s="648"/>
      <c r="BE1806" s="648"/>
      <c r="BF1806" s="648"/>
      <c r="BG1806" s="648"/>
      <c r="BH1806" s="648"/>
    </row>
    <row r="1807" spans="1:60" x14ac:dyDescent="0.25">
      <c r="A1807" s="2371">
        <v>8</v>
      </c>
      <c r="B1807" s="2394" t="s">
        <v>4384</v>
      </c>
      <c r="C1807" s="2374" t="s">
        <v>258</v>
      </c>
      <c r="D1807" s="2374"/>
      <c r="E1807" s="2374"/>
      <c r="F1807" s="2397"/>
      <c r="G1807" s="2373" t="str">
        <f t="shared" ca="1" si="107"/>
        <v/>
      </c>
      <c r="H1807" s="2371" t="s">
        <v>3973</v>
      </c>
      <c r="I1807" s="130"/>
      <c r="J1807" s="129"/>
      <c r="K1807" s="129"/>
      <c r="L1807" s="1754"/>
      <c r="M1807" s="1010"/>
      <c r="N1807" s="1044"/>
      <c r="O1807" s="1504"/>
      <c r="P1807" s="94"/>
      <c r="Q1807" s="94"/>
      <c r="R1807" s="94"/>
      <c r="S1807" s="94"/>
      <c r="T1807" s="94"/>
      <c r="U1807" s="94"/>
      <c r="V1807" s="94"/>
      <c r="W1807" s="94"/>
      <c r="X1807" s="1757"/>
      <c r="Y1807" s="2081"/>
      <c r="Z1807" s="2083"/>
      <c r="AA1807" s="1526"/>
      <c r="AB1807" s="648"/>
      <c r="AC1807" s="970"/>
      <c r="AD1807" s="970"/>
      <c r="AE1807" s="970"/>
      <c r="AF1807" s="648"/>
      <c r="AG1807" s="648"/>
      <c r="AH1807" s="648"/>
      <c r="AI1807" s="648"/>
      <c r="AJ1807" s="648"/>
      <c r="AK1807" s="648"/>
      <c r="AL1807" s="1336"/>
      <c r="AM1807" s="1336"/>
      <c r="AN1807" s="1336"/>
      <c r="AO1807" s="1336"/>
      <c r="AP1807" s="1336"/>
      <c r="AQ1807" s="1336"/>
      <c r="AR1807" s="1336"/>
      <c r="AS1807" s="1336"/>
      <c r="AT1807" s="648"/>
      <c r="AU1807" s="648"/>
      <c r="AV1807" s="648"/>
      <c r="AW1807" s="648"/>
      <c r="AX1807" s="648"/>
      <c r="AY1807" s="648"/>
      <c r="AZ1807" s="648"/>
      <c r="BA1807" s="648"/>
      <c r="BB1807" s="648"/>
      <c r="BC1807" s="648"/>
      <c r="BD1807" s="648"/>
      <c r="BE1807" s="648"/>
      <c r="BF1807" s="648"/>
      <c r="BG1807" s="648"/>
      <c r="BH1807" s="648"/>
    </row>
    <row r="1808" spans="1:60" x14ac:dyDescent="0.25">
      <c r="A1808" s="2371">
        <v>8</v>
      </c>
      <c r="B1808" s="2394" t="s">
        <v>4384</v>
      </c>
      <c r="C1808" s="2374" t="s">
        <v>258</v>
      </c>
      <c r="D1808" s="2374" t="s">
        <v>121</v>
      </c>
      <c r="E1808" s="2374"/>
      <c r="F1808" s="2397"/>
      <c r="G1808" s="2373" t="str">
        <f t="shared" ca="1" si="107"/>
        <v/>
      </c>
      <c r="H1808" s="2375" t="s">
        <v>3973</v>
      </c>
      <c r="I1808" s="129"/>
      <c r="J1808" s="129"/>
      <c r="K1808" s="206" t="s">
        <v>121</v>
      </c>
      <c r="L1808" s="1163" t="s">
        <v>802</v>
      </c>
      <c r="M1808" s="1015">
        <v>5</v>
      </c>
      <c r="N1808" s="1044"/>
      <c r="O1808" s="1504"/>
      <c r="P1808" s="94"/>
      <c r="Q1808" s="94"/>
      <c r="R1808" s="94"/>
      <c r="S1808" s="94"/>
      <c r="T1808" s="94"/>
      <c r="U1808" s="94"/>
      <c r="V1808" s="94"/>
      <c r="W1808" s="94"/>
      <c r="X1808" s="1757"/>
      <c r="Y1808" s="2081"/>
      <c r="Z1808" s="2083"/>
      <c r="AA1808" s="1526"/>
      <c r="AB1808" s="648"/>
      <c r="AC1808" s="970"/>
      <c r="AD1808" s="970"/>
      <c r="AE1808" s="970"/>
      <c r="AF1808" s="648"/>
      <c r="AG1808" s="648"/>
      <c r="AH1808" s="648"/>
      <c r="AI1808" s="648"/>
      <c r="AJ1808" s="648"/>
      <c r="AK1808" s="648"/>
      <c r="AL1808" s="254" t="str">
        <f>SUBSTITUTE(SUBSTITUTE(SUBSTITUTE("vpa"&amp;$B1808&amp;$C1808&amp;$D1808&amp;$E1808,".","_"),"(","_"),")","")</f>
        <v>vpa802_7_1_2_a</v>
      </c>
      <c r="AM1808" s="254">
        <f>M1808</f>
        <v>5</v>
      </c>
      <c r="AN1808" s="1336"/>
      <c r="AO1808" s="1336"/>
      <c r="AP1808" s="1336"/>
      <c r="AQ1808" s="1336"/>
      <c r="AR1808" s="1336"/>
      <c r="AS1808" s="1336"/>
      <c r="AT1808" s="648"/>
      <c r="AU1808" s="648"/>
      <c r="AV1808" s="648"/>
      <c r="AW1808" s="648"/>
      <c r="AX1808" s="648"/>
      <c r="AY1808" s="648"/>
      <c r="AZ1808" s="648"/>
      <c r="BA1808" s="648"/>
      <c r="BB1808" s="648"/>
      <c r="BC1808" s="648"/>
      <c r="BD1808" s="648"/>
      <c r="BE1808" s="648"/>
      <c r="BF1808" s="648"/>
      <c r="BG1808" s="648"/>
      <c r="BH1808" s="648"/>
    </row>
    <row r="1809" spans="1:60" x14ac:dyDescent="0.25">
      <c r="A1809" s="2371">
        <v>8</v>
      </c>
      <c r="B1809" s="2394" t="s">
        <v>4384</v>
      </c>
      <c r="C1809" s="2374" t="s">
        <v>258</v>
      </c>
      <c r="D1809" s="2374" t="s">
        <v>122</v>
      </c>
      <c r="E1809" s="2374"/>
      <c r="F1809" s="2397"/>
      <c r="G1809" s="2373" t="str">
        <f t="shared" ca="1" si="107"/>
        <v/>
      </c>
      <c r="H1809" s="2375" t="s">
        <v>3973</v>
      </c>
      <c r="I1809" s="129"/>
      <c r="J1809" s="129"/>
      <c r="K1809" s="206" t="s">
        <v>122</v>
      </c>
      <c r="L1809" s="1163" t="s">
        <v>803</v>
      </c>
      <c r="M1809" s="1015">
        <v>10</v>
      </c>
      <c r="N1809" s="1044"/>
      <c r="O1809" s="1504"/>
      <c r="P1809" s="94"/>
      <c r="Q1809" s="94"/>
      <c r="R1809" s="94"/>
      <c r="S1809" s="94"/>
      <c r="T1809" s="94"/>
      <c r="U1809" s="94"/>
      <c r="V1809" s="94"/>
      <c r="W1809" s="94"/>
      <c r="X1809" s="1757"/>
      <c r="Y1809" s="2081"/>
      <c r="Z1809" s="2083"/>
      <c r="AA1809" s="1526"/>
      <c r="AB1809" s="648"/>
      <c r="AC1809" s="970"/>
      <c r="AD1809" s="970"/>
      <c r="AE1809" s="970"/>
      <c r="AF1809" s="648"/>
      <c r="AG1809" s="648"/>
      <c r="AH1809" s="648"/>
      <c r="AI1809" s="648"/>
      <c r="AJ1809" s="648"/>
      <c r="AK1809" s="648"/>
      <c r="AL1809" s="254" t="str">
        <f>SUBSTITUTE(SUBSTITUTE(SUBSTITUTE("vpa"&amp;$B1809&amp;$C1809&amp;$D1809&amp;$E1809,".","_"),"(","_"),")","")</f>
        <v>vpa802_7_1_2_b</v>
      </c>
      <c r="AM1809" s="254">
        <f>M1809</f>
        <v>10</v>
      </c>
      <c r="AN1809" s="1336"/>
      <c r="AO1809" s="1336"/>
      <c r="AP1809" s="1336"/>
      <c r="AQ1809" s="1336"/>
      <c r="AR1809" s="1336"/>
      <c r="AS1809" s="1336"/>
      <c r="AT1809" s="648"/>
      <c r="AU1809" s="648"/>
      <c r="AV1809" s="648"/>
      <c r="AW1809" s="648"/>
      <c r="AX1809" s="648"/>
      <c r="AY1809" s="648"/>
      <c r="AZ1809" s="648"/>
      <c r="BA1809" s="648"/>
      <c r="BB1809" s="648"/>
      <c r="BC1809" s="648"/>
      <c r="BD1809" s="648"/>
      <c r="BE1809" s="648"/>
      <c r="BF1809" s="648"/>
      <c r="BG1809" s="648"/>
      <c r="BH1809" s="648"/>
    </row>
    <row r="1810" spans="1:60" x14ac:dyDescent="0.25">
      <c r="A1810" s="2371">
        <v>8</v>
      </c>
      <c r="B1810" s="2394" t="s">
        <v>4384</v>
      </c>
      <c r="C1810" s="2374" t="s">
        <v>258</v>
      </c>
      <c r="D1810" s="2374" t="s">
        <v>123</v>
      </c>
      <c r="E1810" s="2374"/>
      <c r="F1810" s="2397"/>
      <c r="G1810" s="2373" t="str">
        <f t="shared" ca="1" si="107"/>
        <v/>
      </c>
      <c r="H1810" s="2375" t="s">
        <v>3973</v>
      </c>
      <c r="I1810" s="129"/>
      <c r="J1810" s="129"/>
      <c r="K1810" s="183" t="s">
        <v>123</v>
      </c>
      <c r="L1810" s="1754" t="s">
        <v>804</v>
      </c>
      <c r="M1810" s="1758">
        <v>15</v>
      </c>
      <c r="N1810" s="1044"/>
      <c r="O1810" s="1504"/>
      <c r="P1810" s="94"/>
      <c r="Q1810" s="94"/>
      <c r="R1810" s="94"/>
      <c r="S1810" s="94"/>
      <c r="T1810" s="94"/>
      <c r="U1810" s="94"/>
      <c r="V1810" s="94"/>
      <c r="W1810" s="94"/>
      <c r="X1810" s="1757"/>
      <c r="Y1810" s="2081"/>
      <c r="Z1810" s="2083"/>
      <c r="AA1810" s="1526"/>
      <c r="AB1810" s="648"/>
      <c r="AC1810" s="970"/>
      <c r="AD1810" s="970"/>
      <c r="AE1810" s="970"/>
      <c r="AF1810" s="648"/>
      <c r="AG1810" s="648"/>
      <c r="AH1810" s="648"/>
      <c r="AI1810" s="648"/>
      <c r="AJ1810" s="648"/>
      <c r="AK1810" s="648"/>
      <c r="AL1810" s="254" t="str">
        <f>SUBSTITUTE(SUBSTITUTE(SUBSTITUTE("vpa"&amp;$B1810&amp;$C1810&amp;$D1810&amp;$E1810,".","_"),"(","_"),")","")</f>
        <v>vpa802_7_1_2_c</v>
      </c>
      <c r="AM1810" s="254">
        <f>M1810</f>
        <v>15</v>
      </c>
      <c r="AN1810" s="1336"/>
      <c r="AO1810" s="1336"/>
      <c r="AP1810" s="1336"/>
      <c r="AQ1810" s="1336"/>
      <c r="AR1810" s="1336"/>
      <c r="AS1810" s="1336"/>
      <c r="AT1810" s="648"/>
      <c r="AU1810" s="648"/>
      <c r="AV1810" s="648"/>
      <c r="AW1810" s="648"/>
      <c r="AX1810" s="648"/>
      <c r="AY1810" s="648"/>
      <c r="AZ1810" s="648"/>
      <c r="BA1810" s="648"/>
      <c r="BB1810" s="648"/>
      <c r="BC1810" s="648"/>
      <c r="BD1810" s="648"/>
      <c r="BE1810" s="648"/>
      <c r="BF1810" s="648"/>
      <c r="BG1810" s="648"/>
      <c r="BH1810" s="648"/>
    </row>
    <row r="1811" spans="1:60" x14ac:dyDescent="0.25">
      <c r="A1811" s="2371">
        <v>8</v>
      </c>
      <c r="B1811" s="2394" t="s">
        <v>4384</v>
      </c>
      <c r="C1811" s="2374" t="s">
        <v>258</v>
      </c>
      <c r="D1811" s="2374" t="s">
        <v>123</v>
      </c>
      <c r="E1811" s="2374"/>
      <c r="F1811" s="2397"/>
      <c r="G1811" s="2373" t="str">
        <f t="shared" ca="1" si="107"/>
        <v/>
      </c>
      <c r="H1811" s="2375" t="s">
        <v>3973</v>
      </c>
      <c r="I1811" s="129"/>
      <c r="J1811" s="129"/>
      <c r="K1811" s="210"/>
      <c r="L1811" s="1755"/>
      <c r="M1811" s="1759"/>
      <c r="N1811" s="1044"/>
      <c r="O1811" s="1504"/>
      <c r="P1811" s="94"/>
      <c r="Q1811" s="94"/>
      <c r="R1811" s="94"/>
      <c r="S1811" s="94"/>
      <c r="T1811" s="94"/>
      <c r="U1811" s="94"/>
      <c r="V1811" s="94"/>
      <c r="W1811" s="94"/>
      <c r="X1811" s="1757"/>
      <c r="Y1811" s="2081"/>
      <c r="Z1811" s="2083"/>
      <c r="AA1811" s="1526"/>
      <c r="AB1811" s="648"/>
      <c r="AC1811" s="970"/>
      <c r="AD1811" s="970"/>
      <c r="AE1811" s="970"/>
      <c r="AF1811" s="648"/>
      <c r="AG1811" s="648"/>
      <c r="AH1811" s="648"/>
      <c r="AI1811" s="648"/>
      <c r="AJ1811" s="648"/>
      <c r="AK1811" s="648"/>
      <c r="AL1811" s="1336"/>
      <c r="AM1811" s="1336"/>
      <c r="AN1811" s="1336"/>
      <c r="AO1811" s="1336"/>
      <c r="AP1811" s="1336"/>
      <c r="AQ1811" s="1336"/>
      <c r="AR1811" s="1336"/>
      <c r="AS1811" s="1336"/>
      <c r="AT1811" s="648"/>
      <c r="AU1811" s="648"/>
      <c r="AV1811" s="648"/>
      <c r="AW1811" s="648"/>
      <c r="AX1811" s="648"/>
      <c r="AY1811" s="648"/>
      <c r="AZ1811" s="648"/>
      <c r="BA1811" s="648"/>
      <c r="BB1811" s="648"/>
      <c r="BC1811" s="648"/>
      <c r="BD1811" s="648"/>
      <c r="BE1811" s="648"/>
      <c r="BF1811" s="648"/>
      <c r="BG1811" s="648"/>
      <c r="BH1811" s="648"/>
    </row>
    <row r="1812" spans="1:60" x14ac:dyDescent="0.25">
      <c r="A1812" s="2371">
        <v>8</v>
      </c>
      <c r="B1812" s="2394" t="s">
        <v>4384</v>
      </c>
      <c r="C1812" s="2374" t="s">
        <v>258</v>
      </c>
      <c r="D1812" s="2374" t="s">
        <v>401</v>
      </c>
      <c r="E1812" s="2374"/>
      <c r="F1812" s="2397"/>
      <c r="G1812" s="2373" t="str">
        <f t="shared" ca="1" si="107"/>
        <v/>
      </c>
      <c r="H1812" s="2375" t="s">
        <v>3973</v>
      </c>
      <c r="I1812" s="129"/>
      <c r="J1812" s="129"/>
      <c r="K1812" s="183" t="s">
        <v>401</v>
      </c>
      <c r="L1812" s="1754" t="s">
        <v>805</v>
      </c>
      <c r="M1812" s="1758">
        <v>25</v>
      </c>
      <c r="N1812" s="1044"/>
      <c r="O1812" s="1504"/>
      <c r="P1812" s="94"/>
      <c r="Q1812" s="94"/>
      <c r="R1812" s="94"/>
      <c r="S1812" s="94"/>
      <c r="T1812" s="94"/>
      <c r="U1812" s="94"/>
      <c r="V1812" s="94"/>
      <c r="W1812" s="94"/>
      <c r="X1812" s="1757"/>
      <c r="Y1812" s="2081"/>
      <c r="Z1812" s="2083"/>
      <c r="AA1812" s="1526"/>
      <c r="AB1812" s="648"/>
      <c r="AC1812" s="970"/>
      <c r="AD1812" s="970"/>
      <c r="AE1812" s="970"/>
      <c r="AF1812" s="648"/>
      <c r="AG1812" s="648"/>
      <c r="AH1812" s="648"/>
      <c r="AI1812" s="648"/>
      <c r="AJ1812" s="648"/>
      <c r="AK1812" s="648"/>
      <c r="AL1812" s="254" t="str">
        <f>SUBSTITUTE(SUBSTITUTE(SUBSTITUTE("vpa"&amp;$B1812&amp;$C1812&amp;$D1812&amp;$E1812,".","_"),"(","_"),")","")</f>
        <v>vpa802_7_1_2_d</v>
      </c>
      <c r="AM1812" s="254">
        <f>M1812</f>
        <v>25</v>
      </c>
      <c r="AN1812" s="1336"/>
      <c r="AO1812" s="1336"/>
      <c r="AP1812" s="1336"/>
      <c r="AQ1812" s="1336"/>
      <c r="AR1812" s="1336"/>
      <c r="AS1812" s="1336"/>
      <c r="AT1812" s="648"/>
      <c r="AU1812" s="648"/>
      <c r="AV1812" s="648"/>
      <c r="AW1812" s="648"/>
      <c r="AX1812" s="648"/>
      <c r="AY1812" s="648"/>
      <c r="AZ1812" s="648"/>
      <c r="BA1812" s="648"/>
      <c r="BB1812" s="648"/>
      <c r="BC1812" s="648"/>
      <c r="BD1812" s="648"/>
      <c r="BE1812" s="648"/>
      <c r="BF1812" s="648"/>
      <c r="BG1812" s="648"/>
      <c r="BH1812" s="648"/>
    </row>
    <row r="1813" spans="1:60" x14ac:dyDescent="0.25">
      <c r="A1813" s="2371">
        <v>8</v>
      </c>
      <c r="B1813" s="2394" t="s">
        <v>4384</v>
      </c>
      <c r="C1813" s="2374" t="s">
        <v>258</v>
      </c>
      <c r="D1813" s="2374" t="s">
        <v>401</v>
      </c>
      <c r="E1813" s="2374"/>
      <c r="F1813" s="2397"/>
      <c r="G1813" s="2373" t="str">
        <f t="shared" ca="1" si="107"/>
        <v/>
      </c>
      <c r="H1813" s="2375" t="s">
        <v>3973</v>
      </c>
      <c r="I1813" s="130"/>
      <c r="J1813" s="129"/>
      <c r="K1813" s="129"/>
      <c r="L1813" s="1754"/>
      <c r="M1813" s="1758"/>
      <c r="N1813" s="1044"/>
      <c r="O1813" s="1504"/>
      <c r="P1813" s="94"/>
      <c r="Q1813" s="94"/>
      <c r="R1813" s="94"/>
      <c r="S1813" s="94"/>
      <c r="T1813" s="94"/>
      <c r="U1813" s="94"/>
      <c r="V1813" s="94"/>
      <c r="W1813" s="94"/>
      <c r="X1813" s="1757"/>
      <c r="Y1813" s="2081"/>
      <c r="Z1813" s="2083"/>
      <c r="AA1813" s="1526"/>
      <c r="AB1813" s="648"/>
      <c r="AC1813" s="970"/>
      <c r="AD1813" s="970"/>
      <c r="AE1813" s="970"/>
      <c r="AF1813" s="648"/>
      <c r="AG1813" s="648"/>
      <c r="AH1813" s="648"/>
      <c r="AI1813" s="648"/>
      <c r="AJ1813" s="648"/>
      <c r="AK1813" s="648"/>
      <c r="AL1813" s="1336"/>
      <c r="AM1813" s="1336"/>
      <c r="AN1813" s="1336"/>
      <c r="AO1813" s="1336"/>
      <c r="AP1813" s="1336"/>
      <c r="AQ1813" s="1336"/>
      <c r="AR1813" s="1336"/>
      <c r="AS1813" s="1336"/>
      <c r="AT1813" s="648"/>
      <c r="AU1813" s="648"/>
      <c r="AV1813" s="648"/>
      <c r="AW1813" s="648"/>
      <c r="AX1813" s="648"/>
      <c r="AY1813" s="648"/>
      <c r="AZ1813" s="648"/>
      <c r="BA1813" s="648"/>
      <c r="BB1813" s="648"/>
      <c r="BC1813" s="648"/>
      <c r="BD1813" s="648"/>
      <c r="BE1813" s="648"/>
      <c r="BF1813" s="648"/>
      <c r="BG1813" s="648"/>
      <c r="BH1813" s="648"/>
    </row>
    <row r="1814" spans="1:60" x14ac:dyDescent="0.25">
      <c r="A1814" s="2371">
        <v>8</v>
      </c>
      <c r="B1814" s="2394" t="s">
        <v>4384</v>
      </c>
      <c r="C1814" s="2374" t="s">
        <v>258</v>
      </c>
      <c r="D1814" s="2374" t="s">
        <v>401</v>
      </c>
      <c r="E1814" s="2374"/>
      <c r="F1814" s="2397"/>
      <c r="G1814" s="2373" t="str">
        <f t="shared" ca="1" si="107"/>
        <v/>
      </c>
      <c r="H1814" s="2375" t="s">
        <v>3973</v>
      </c>
      <c r="I1814" s="215"/>
      <c r="J1814" s="210"/>
      <c r="K1814" s="210"/>
      <c r="L1814" s="1755"/>
      <c r="M1814" s="1759"/>
      <c r="N1814" s="1047"/>
      <c r="O1814" s="1502"/>
      <c r="P1814" s="178"/>
      <c r="Q1814" s="178"/>
      <c r="R1814" s="178"/>
      <c r="S1814" s="178"/>
      <c r="T1814" s="178"/>
      <c r="U1814" s="178"/>
      <c r="V1814" s="178"/>
      <c r="W1814" s="178"/>
      <c r="X1814" s="1757"/>
      <c r="Y1814" s="2081"/>
      <c r="Z1814" s="2083"/>
      <c r="AA1814" s="1526"/>
      <c r="AB1814" s="648"/>
      <c r="AC1814" s="970"/>
      <c r="AD1814" s="970"/>
      <c r="AE1814" s="970"/>
      <c r="AF1814" s="648"/>
      <c r="AG1814" s="648"/>
      <c r="AH1814" s="648"/>
      <c r="AI1814" s="648"/>
      <c r="AJ1814" s="648"/>
      <c r="AK1814" s="648"/>
      <c r="AL1814" s="1336"/>
      <c r="AM1814" s="1336"/>
      <c r="AN1814" s="1336"/>
      <c r="AO1814" s="1336"/>
      <c r="AP1814" s="1336"/>
      <c r="AQ1814" s="1336"/>
      <c r="AR1814" s="1336"/>
      <c r="AS1814" s="1336"/>
      <c r="AT1814" s="648"/>
      <c r="AU1814" s="648"/>
      <c r="AV1814" s="648"/>
      <c r="AW1814" s="648"/>
      <c r="AX1814" s="648"/>
      <c r="AY1814" s="648"/>
      <c r="AZ1814" s="648"/>
      <c r="BA1814" s="648"/>
      <c r="BB1814" s="648"/>
      <c r="BC1814" s="648"/>
      <c r="BD1814" s="648"/>
      <c r="BE1814" s="648"/>
      <c r="BF1814" s="648"/>
      <c r="BG1814" s="648"/>
      <c r="BH1814" s="648"/>
    </row>
    <row r="1815" spans="1:60" ht="15" customHeight="1" x14ac:dyDescent="0.25">
      <c r="A1815" s="2371">
        <v>8</v>
      </c>
      <c r="B1815" s="2385" t="s">
        <v>4386</v>
      </c>
      <c r="C1815" s="2374"/>
      <c r="D1815" s="2374"/>
      <c r="E1815" s="2374"/>
      <c r="F1815" s="2397"/>
      <c r="G1815" s="2373" t="str">
        <f ca="1">IF(N1815&gt;0,"P","")</f>
        <v/>
      </c>
      <c r="H1815" s="2371" t="s">
        <v>3973</v>
      </c>
      <c r="I1815" s="64" t="s">
        <v>4386</v>
      </c>
      <c r="J1815" s="164"/>
      <c r="K1815" s="4"/>
      <c r="L1815" s="1796" t="s">
        <v>4387</v>
      </c>
      <c r="M1815" s="1014"/>
      <c r="N1815" s="2075">
        <f ca="1">'Ch8'!O186</f>
        <v>0</v>
      </c>
      <c r="O1815" s="1780">
        <f ca="1">MAX(IFERROR(5*MATCH(W1818,INDIRECT(U1818),0),0)*S1818,M1820*S1820*W1820)*S1818</f>
        <v>0</v>
      </c>
      <c r="P1815" s="1500"/>
      <c r="Q1815" s="1500"/>
      <c r="R1815" s="1500"/>
      <c r="S1815" s="1500"/>
      <c r="T1815" s="1500"/>
      <c r="U1815" s="1500"/>
      <c r="V1815" s="648"/>
      <c r="W1815" s="648"/>
      <c r="X1815" s="911"/>
      <c r="Y1815" s="648"/>
      <c r="AA1815" s="1526"/>
      <c r="AB1815" s="648"/>
      <c r="AC1815" s="970"/>
      <c r="AD1815" s="970"/>
      <c r="AE1815" s="970"/>
      <c r="AF1815" s="648"/>
      <c r="AG1815" s="648"/>
      <c r="AH1815" s="648"/>
      <c r="AI1815" s="648"/>
      <c r="AJ1815" s="648"/>
      <c r="AK1815" s="648"/>
      <c r="AL1815" s="1336"/>
      <c r="AM1815" s="1336"/>
      <c r="AN1815" s="254" t="str">
        <f>SUBSTITUTE(SUBSTITUTE(SUBSTITUTE("vpc"&amp;$B1815&amp;$C1815&amp;$D1815&amp;$E1815,".","_"),"(","_"),")","")</f>
        <v>vpc802_7_2</v>
      </c>
      <c r="AO1815" s="254">
        <f ca="1">O1815</f>
        <v>0</v>
      </c>
      <c r="AP1815" s="1336"/>
      <c r="AQ1815" s="1336"/>
      <c r="AR1815" s="1336"/>
      <c r="AS1815" s="1336"/>
      <c r="AT1815" s="648"/>
      <c r="AU1815" s="648"/>
      <c r="AV1815" s="648"/>
      <c r="AW1815" s="648"/>
      <c r="AX1815" s="648"/>
      <c r="AY1815" s="648"/>
      <c r="AZ1815" s="648"/>
      <c r="BA1815" s="648"/>
      <c r="BB1815" s="648"/>
      <c r="BC1815" s="648"/>
      <c r="BD1815" s="648"/>
      <c r="BE1815" s="648"/>
      <c r="BF1815" s="648"/>
      <c r="BG1815" s="648"/>
      <c r="BH1815" s="648"/>
    </row>
    <row r="1816" spans="1:60" x14ac:dyDescent="0.25">
      <c r="A1816" s="2371">
        <v>8</v>
      </c>
      <c r="B1816" s="2385" t="s">
        <v>4386</v>
      </c>
      <c r="C1816" s="2374"/>
      <c r="D1816" s="2374"/>
      <c r="E1816" s="2374"/>
      <c r="F1816" s="2397"/>
      <c r="G1816" s="2373" t="str">
        <f t="shared" ref="G1816:G1822" ca="1" si="108">G1815</f>
        <v/>
      </c>
      <c r="H1816" s="2371" t="s">
        <v>3973</v>
      </c>
      <c r="I1816" s="64"/>
      <c r="J1816" s="164"/>
      <c r="K1816" s="4"/>
      <c r="L1816" s="1796"/>
      <c r="M1816" s="1014"/>
      <c r="N1816" s="2075"/>
      <c r="O1816" s="1780"/>
      <c r="P1816" s="1500"/>
      <c r="Q1816" s="1500"/>
      <c r="R1816" s="1500"/>
      <c r="S1816" s="1500"/>
      <c r="T1816" s="1500"/>
      <c r="U1816" s="1500"/>
      <c r="V1816" s="648"/>
      <c r="W1816" s="648"/>
      <c r="X1816" s="911"/>
      <c r="Y1816" s="648"/>
      <c r="AA1816" s="1526"/>
      <c r="AB1816" s="648"/>
      <c r="AC1816" s="970"/>
      <c r="AD1816" s="970"/>
      <c r="AE1816" s="970"/>
      <c r="AF1816" s="648"/>
      <c r="AG1816" s="648"/>
      <c r="AH1816" s="648"/>
      <c r="AI1816" s="648"/>
      <c r="AJ1816" s="648"/>
      <c r="AK1816" s="648"/>
      <c r="AL1816" s="1336"/>
      <c r="AM1816" s="1336"/>
      <c r="AN1816" s="1336"/>
      <c r="AO1816" s="1336"/>
      <c r="AP1816" s="1336"/>
      <c r="AQ1816" s="1336"/>
      <c r="AR1816" s="1336"/>
      <c r="AS1816" s="1336"/>
      <c r="AT1816" s="648"/>
      <c r="AU1816" s="648"/>
      <c r="AV1816" s="648"/>
      <c r="AW1816" s="648"/>
      <c r="AX1816" s="648"/>
      <c r="AY1816" s="648"/>
      <c r="AZ1816" s="648"/>
      <c r="BA1816" s="648"/>
      <c r="BB1816" s="648"/>
      <c r="BC1816" s="648"/>
      <c r="BD1816" s="648"/>
      <c r="BE1816" s="648"/>
      <c r="BF1816" s="648"/>
      <c r="BG1816" s="648"/>
      <c r="BH1816" s="648"/>
    </row>
    <row r="1817" spans="1:60" x14ac:dyDescent="0.25">
      <c r="A1817" s="2371">
        <v>8</v>
      </c>
      <c r="B1817" s="2385" t="s">
        <v>4386</v>
      </c>
      <c r="C1817" s="2374"/>
      <c r="D1817" s="2374"/>
      <c r="E1817" s="2374"/>
      <c r="F1817" s="2397"/>
      <c r="G1817" s="2373" t="str">
        <f t="shared" ca="1" si="108"/>
        <v/>
      </c>
      <c r="H1817" s="2371" t="s">
        <v>3973</v>
      </c>
      <c r="I1817" s="64"/>
      <c r="J1817" s="164"/>
      <c r="K1817" s="4"/>
      <c r="L1817" s="1796"/>
      <c r="M1817" s="1014"/>
      <c r="N1817" s="2075"/>
      <c r="O1817" s="1780"/>
      <c r="P1817" s="1500"/>
      <c r="Q1817" s="1500"/>
      <c r="R1817" s="1500"/>
      <c r="S1817" s="1500"/>
      <c r="T1817" s="1500"/>
      <c r="U1817" s="1500"/>
      <c r="V1817" s="648"/>
      <c r="W1817" s="648"/>
      <c r="X1817" s="911"/>
      <c r="Y1817" s="648"/>
      <c r="AA1817" s="1526"/>
      <c r="AB1817" s="648"/>
      <c r="AC1817" s="970"/>
      <c r="AD1817" s="970"/>
      <c r="AE1817" s="970"/>
      <c r="AF1817" s="648"/>
      <c r="AG1817" s="648"/>
      <c r="AH1817" s="648"/>
      <c r="AI1817" s="648"/>
      <c r="AJ1817" s="648"/>
      <c r="AK1817" s="648"/>
      <c r="AL1817" s="1336"/>
      <c r="AM1817" s="1336"/>
      <c r="AN1817" s="1336"/>
      <c r="AO1817" s="1336"/>
      <c r="AP1817" s="1336"/>
      <c r="AQ1817" s="1336"/>
      <c r="AR1817" s="1336"/>
      <c r="AS1817" s="1336"/>
      <c r="AT1817" s="648"/>
      <c r="AU1817" s="648"/>
      <c r="AV1817" s="648"/>
      <c r="AW1817" s="648"/>
      <c r="AX1817" s="648"/>
      <c r="AY1817" s="648"/>
      <c r="AZ1817" s="648"/>
      <c r="BA1817" s="648"/>
      <c r="BB1817" s="648"/>
      <c r="BC1817" s="648"/>
      <c r="BD1817" s="648"/>
      <c r="BE1817" s="648"/>
      <c r="BF1817" s="648"/>
      <c r="BG1817" s="648"/>
      <c r="BH1817" s="648"/>
    </row>
    <row r="1818" spans="1:60" ht="15" customHeight="1" x14ac:dyDescent="0.25">
      <c r="A1818" s="2371">
        <v>8</v>
      </c>
      <c r="B1818" s="2385" t="s">
        <v>4386</v>
      </c>
      <c r="C1818" s="2374" t="s">
        <v>256</v>
      </c>
      <c r="D1818" s="2374"/>
      <c r="E1818" s="2374"/>
      <c r="F1818" s="2397"/>
      <c r="G1818" s="2373" t="str">
        <f t="shared" ca="1" si="108"/>
        <v/>
      </c>
      <c r="H1818" s="2371" t="s">
        <v>3973</v>
      </c>
      <c r="I1818" s="64"/>
      <c r="J1818" s="183" t="s">
        <v>256</v>
      </c>
      <c r="K1818" s="129"/>
      <c r="L1818" s="1162" t="s">
        <v>806</v>
      </c>
      <c r="M1818" s="1788" t="s">
        <v>3608</v>
      </c>
      <c r="N1818" s="1042"/>
      <c r="O1818" s="1506"/>
      <c r="P1818" s="94" t="b">
        <v>0</v>
      </c>
      <c r="Q1818" s="1500" t="b">
        <v>1</v>
      </c>
      <c r="R1818" s="1500" t="b">
        <v>0</v>
      </c>
      <c r="S1818" s="1500" t="b">
        <f ca="1">S1643=2</f>
        <v>0</v>
      </c>
      <c r="T1818" s="94" t="b">
        <f ca="1">IF(AND(NOT(S1818),LEN(W1818)&gt;0),TRUE,FALSE)</f>
        <v>0</v>
      </c>
      <c r="U1818" s="94" t="str">
        <f>SUBSTITUTE(SUBSTITUTE(SUBSTITUTE("dd"&amp;B1818&amp;C1818&amp;D1818&amp;E1818&amp;F1818,".","_"),"(","_"),")","")</f>
        <v>dd802_7_2_1</v>
      </c>
      <c r="V1818" s="648"/>
      <c r="W1818" s="12"/>
      <c r="X1818" s="1757"/>
      <c r="Y1818" s="2081" t="str">
        <f>IF(LEN('Ch8'!X189)=0,"None",'Ch8'!X189)</f>
        <v>None</v>
      </c>
      <c r="Z1818" s="2083"/>
      <c r="AA1818" s="1526"/>
      <c r="AB1818" s="648"/>
      <c r="AC1818" s="970" t="b">
        <f ca="1">OR(AD1818:AE1818)</f>
        <v>0</v>
      </c>
      <c r="AD1818" s="970" t="b">
        <f ca="1">T1818</f>
        <v>0</v>
      </c>
      <c r="AE1818" s="970"/>
      <c r="AF1818" s="648"/>
      <c r="AG1818" s="648"/>
      <c r="AH1818" s="648"/>
      <c r="AI1818" s="648"/>
      <c r="AJ1818" s="648"/>
      <c r="AK1818" s="648"/>
      <c r="AL1818" s="254" t="str">
        <f>SUBSTITUTE(SUBSTITUTE(SUBSTITUTE("vpa"&amp;$B1818&amp;$C1818&amp;$D1818&amp;$E1818,".","_"),"(","_"),")","")</f>
        <v>vpa802_7_2_1</v>
      </c>
      <c r="AM1818" s="254" t="str">
        <f>M1818</f>
        <v>5
15 Max</v>
      </c>
      <c r="AN1818" s="1336"/>
      <c r="AO1818" s="1336"/>
      <c r="AP1818" s="254" t="str">
        <f>SUBSTITUTE(SUBSTITUTE(SUBSTITUTE("vch"&amp;$B1818&amp;$C1818&amp;$D1818&amp;$E1818,".","_"),"(","_"),")","")</f>
        <v>vch802_7_2_1</v>
      </c>
      <c r="AQ1818" s="254" t="str">
        <f>IF(LEN(W1818)=0,"",W1818)</f>
        <v/>
      </c>
      <c r="AR1818" s="254" t="str">
        <f>SUBSTITUTE(SUBSTITUTE(SUBSTITUTE("vnt"&amp;$B1818&amp;$C1818&amp;$D1818&amp;$E1818,".","_"),"(","_"),")","")</f>
        <v>vnt802_7_2_1</v>
      </c>
      <c r="AS1818" s="254" t="str">
        <f>IF(LEN(X1818)=0,"",X1818)</f>
        <v/>
      </c>
      <c r="AT1818" s="648"/>
      <c r="AU1818" s="648"/>
      <c r="AV1818" s="648"/>
      <c r="AW1818" s="648"/>
      <c r="AX1818" s="648"/>
      <c r="AY1818" s="648"/>
      <c r="AZ1818" s="648"/>
      <c r="BA1818" s="648"/>
      <c r="BB1818" s="648"/>
      <c r="BC1818" s="648"/>
      <c r="BD1818" s="648"/>
      <c r="BE1818" s="648"/>
      <c r="BF1818" s="648"/>
      <c r="BG1818" s="648"/>
      <c r="BH1818" s="648"/>
    </row>
    <row r="1819" spans="1:60" x14ac:dyDescent="0.25">
      <c r="A1819" s="2371">
        <v>8</v>
      </c>
      <c r="B1819" s="2385" t="s">
        <v>4386</v>
      </c>
      <c r="C1819" s="2374" t="s">
        <v>256</v>
      </c>
      <c r="D1819" s="2374"/>
      <c r="E1819" s="2374"/>
      <c r="F1819" s="2397"/>
      <c r="G1819" s="2373" t="str">
        <f t="shared" ca="1" si="108"/>
        <v/>
      </c>
      <c r="H1819" s="2371" t="s">
        <v>3973</v>
      </c>
      <c r="I1819" s="64"/>
      <c r="J1819" s="210"/>
      <c r="K1819" s="210"/>
      <c r="L1819" s="1186" t="s">
        <v>807</v>
      </c>
      <c r="M1819" s="1759"/>
      <c r="N1819" s="1042"/>
      <c r="O1819" s="1506"/>
      <c r="P1819" s="1500"/>
      <c r="Q1819" s="1500"/>
      <c r="R1819" s="1500"/>
      <c r="S1819" s="1500"/>
      <c r="T1819" s="1500"/>
      <c r="U1819" s="1500"/>
      <c r="V1819" s="648"/>
      <c r="W1819" s="648"/>
      <c r="X1819" s="1757"/>
      <c r="Y1819" s="2081"/>
      <c r="Z1819" s="2083"/>
      <c r="AA1819" s="1526"/>
      <c r="AB1819" s="648"/>
      <c r="AC1819" s="970"/>
      <c r="AD1819" s="970"/>
      <c r="AE1819" s="970"/>
      <c r="AF1819" s="648"/>
      <c r="AG1819" s="648"/>
      <c r="AH1819" s="648"/>
      <c r="AI1819" s="648"/>
      <c r="AJ1819" s="648"/>
      <c r="AK1819" s="648"/>
      <c r="AL1819" s="1336"/>
      <c r="AM1819" s="1336"/>
      <c r="AN1819" s="1336"/>
      <c r="AO1819" s="1336"/>
      <c r="AP1819" s="1336"/>
      <c r="AQ1819" s="1336"/>
      <c r="AR1819" s="1336"/>
      <c r="AS1819" s="1336"/>
      <c r="AT1819" s="648"/>
      <c r="AU1819" s="648"/>
      <c r="AV1819" s="648"/>
      <c r="AW1819" s="648"/>
      <c r="AX1819" s="648"/>
      <c r="AY1819" s="648"/>
      <c r="AZ1819" s="648"/>
      <c r="BA1819" s="648"/>
      <c r="BB1819" s="648"/>
      <c r="BC1819" s="648"/>
      <c r="BD1819" s="648"/>
      <c r="BE1819" s="648"/>
      <c r="BF1819" s="648"/>
      <c r="BG1819" s="648"/>
      <c r="BH1819" s="648"/>
    </row>
    <row r="1820" spans="1:60" ht="15.75" thickBot="1" x14ac:dyDescent="0.3">
      <c r="A1820" s="2371">
        <v>8</v>
      </c>
      <c r="B1820" s="2385" t="s">
        <v>4386</v>
      </c>
      <c r="C1820" s="2374" t="s">
        <v>258</v>
      </c>
      <c r="D1820" s="2374"/>
      <c r="E1820" s="2374"/>
      <c r="F1820" s="2397"/>
      <c r="G1820" s="2373" t="str">
        <f t="shared" ca="1" si="108"/>
        <v/>
      </c>
      <c r="H1820" s="2371" t="s">
        <v>3973</v>
      </c>
      <c r="I1820" s="189"/>
      <c r="J1820" s="190" t="s">
        <v>258</v>
      </c>
      <c r="K1820" s="240"/>
      <c r="L1820" s="1171" t="s">
        <v>808</v>
      </c>
      <c r="M1820" s="1011">
        <v>25</v>
      </c>
      <c r="N1820" s="1045"/>
      <c r="O1820" s="1505"/>
      <c r="P1820" s="94" t="b">
        <v>0</v>
      </c>
      <c r="Q1820" s="1500" t="b">
        <v>1</v>
      </c>
      <c r="R1820" s="99" t="b">
        <v>0</v>
      </c>
      <c r="S1820" s="99" t="b">
        <f ca="1">S1643=2</f>
        <v>0</v>
      </c>
      <c r="T1820" s="94" t="b">
        <f ca="1">IF(AND(NOT(S1820),W1820=TRUE),TRUE,FALSE)</f>
        <v>0</v>
      </c>
      <c r="U1820" s="99"/>
      <c r="V1820" s="99"/>
      <c r="W1820" s="100"/>
      <c r="X1820" s="914"/>
      <c r="Y1820" s="989" t="str">
        <f>IF(LEN('Ch8'!X191)=0,"None",'Ch8'!X191)</f>
        <v>None</v>
      </c>
      <c r="Z1820" s="1595"/>
      <c r="AA1820" s="1526"/>
      <c r="AB1820" s="648"/>
      <c r="AC1820" s="970" t="b">
        <f ca="1">OR(AD1820:AE1820)</f>
        <v>0</v>
      </c>
      <c r="AD1820" s="970" t="b">
        <f ca="1">T1820</f>
        <v>0</v>
      </c>
      <c r="AE1820" s="970"/>
      <c r="AF1820" s="784"/>
      <c r="AG1820" s="648"/>
      <c r="AH1820" s="648"/>
      <c r="AI1820" s="648"/>
      <c r="AJ1820" s="648"/>
      <c r="AK1820" s="648"/>
      <c r="AL1820" s="254" t="str">
        <f>SUBSTITUTE(SUBSTITUTE(SUBSTITUTE("vpa"&amp;$B1820&amp;$C1820&amp;$D1820&amp;$E1820,".","_"),"(","_"),")","")</f>
        <v>vpa802_7_2_2</v>
      </c>
      <c r="AM1820" s="254">
        <f>M1820</f>
        <v>25</v>
      </c>
      <c r="AN1820" s="1336"/>
      <c r="AO1820" s="1336"/>
      <c r="AP1820" s="254" t="str">
        <f>SUBSTITUTE(SUBSTITUTE(SUBSTITUTE("vch"&amp;$B1820&amp;$C1820&amp;$D1820&amp;$E1820,".","_"),"(","_"),")","")</f>
        <v>vch802_7_2_2</v>
      </c>
      <c r="AQ1820" s="254" t="str">
        <f>IF(LEN(W1820)=0,"",W1820)</f>
        <v/>
      </c>
      <c r="AR1820" s="254" t="str">
        <f>SUBSTITUTE(SUBSTITUTE(SUBSTITUTE("vnt"&amp;$B1820&amp;$C1820&amp;$D1820&amp;$E1820,".","_"),"(","_"),")","")</f>
        <v>vnt802_7_2_2</v>
      </c>
      <c r="AS1820" s="254" t="str">
        <f>IF(LEN(X1820)=0,"",X1820)</f>
        <v/>
      </c>
      <c r="AT1820" s="648"/>
      <c r="AU1820" s="648"/>
      <c r="AV1820" s="648"/>
      <c r="AW1820" s="648"/>
      <c r="AX1820" s="648"/>
      <c r="AY1820" s="648"/>
      <c r="AZ1820" s="648"/>
      <c r="BA1820" s="648"/>
      <c r="BB1820" s="648"/>
      <c r="BC1820" s="648"/>
      <c r="BD1820" s="648"/>
      <c r="BE1820" s="648"/>
      <c r="BF1820" s="648"/>
      <c r="BG1820" s="648"/>
      <c r="BH1820" s="648"/>
    </row>
    <row r="1821" spans="1:60" ht="15.75" customHeight="1" thickTop="1" x14ac:dyDescent="0.25">
      <c r="A1821" s="2371">
        <v>8</v>
      </c>
      <c r="B1821" s="2385">
        <v>802.8</v>
      </c>
      <c r="C1821" s="2374"/>
      <c r="D1821" s="2374"/>
      <c r="E1821" s="2374"/>
      <c r="F1821" s="2374"/>
      <c r="G1821" s="2373" t="str">
        <f ca="1">IF(N1821&gt;0,"P","")</f>
        <v/>
      </c>
      <c r="H1821" s="2371" t="s">
        <v>3973</v>
      </c>
      <c r="I1821" s="78">
        <v>802.8</v>
      </c>
      <c r="J1821" s="77"/>
      <c r="K1821" s="4"/>
      <c r="L1821" s="1796" t="s">
        <v>4461</v>
      </c>
      <c r="M1821" s="1772">
        <v>1</v>
      </c>
      <c r="N1821" s="2080">
        <f ca="1">'Ch8'!O192</f>
        <v>0</v>
      </c>
      <c r="O1821" s="1773">
        <f ca="1">M1821*S1821*W1821</f>
        <v>0</v>
      </c>
      <c r="P1821" s="94" t="b">
        <v>0</v>
      </c>
      <c r="Q1821" s="94" t="b">
        <v>1</v>
      </c>
      <c r="R1821" s="94" t="b">
        <v>0</v>
      </c>
      <c r="S1821" s="94" t="b">
        <f ca="1">S1643=2</f>
        <v>0</v>
      </c>
      <c r="T1821" s="94" t="b">
        <f ca="1">IF(AND(NOT(S1821),W1821=TRUE),TRUE,FALSE)</f>
        <v>0</v>
      </c>
      <c r="U1821" s="94"/>
      <c r="V1821" s="94"/>
      <c r="W1821" s="117"/>
      <c r="X1821" s="1756"/>
      <c r="Y1821" s="2097" t="str">
        <f>IF(LEN('Ch8'!X192)=0,"None",'Ch8'!X192)</f>
        <v>None</v>
      </c>
      <c r="Z1821" s="2085"/>
      <c r="AA1821" s="1526"/>
      <c r="AB1821" s="648"/>
      <c r="AC1821" s="970" t="b">
        <f ca="1">OR(AD1821:AE1821)</f>
        <v>0</v>
      </c>
      <c r="AD1821" s="970" t="b">
        <f ca="1">T1821</f>
        <v>0</v>
      </c>
      <c r="AE1821" s="970"/>
      <c r="AF1821" s="784"/>
      <c r="AG1821" s="648"/>
      <c r="AH1821" s="648"/>
      <c r="AI1821" s="648"/>
      <c r="AJ1821" s="648"/>
      <c r="AK1821" s="648"/>
      <c r="AL1821" s="254" t="str">
        <f>SUBSTITUTE(SUBSTITUTE(SUBSTITUTE("vpa"&amp;$B1821&amp;$C1821&amp;$D1821&amp;$E1821,".","_"),"(","_"),")","")</f>
        <v>vpa802_8</v>
      </c>
      <c r="AM1821" s="254">
        <f>M1821</f>
        <v>1</v>
      </c>
      <c r="AN1821" s="254" t="str">
        <f>SUBSTITUTE(SUBSTITUTE(SUBSTITUTE("vpc"&amp;$B1821&amp;$C1821&amp;$D1821&amp;$E1821,".","_"),"(","_"),")","")</f>
        <v>vpc802_8</v>
      </c>
      <c r="AO1821" s="254">
        <f ca="1">O1821</f>
        <v>0</v>
      </c>
      <c r="AP1821" s="254" t="str">
        <f>SUBSTITUTE(SUBSTITUTE(SUBSTITUTE("vch"&amp;$B1821&amp;$C1821&amp;$D1821&amp;$E1821,".","_"),"(","_"),")","")</f>
        <v>vch802_8</v>
      </c>
      <c r="AQ1821" s="254" t="str">
        <f>IF(LEN(W1821)=0,"",W1821)</f>
        <v/>
      </c>
      <c r="AR1821" s="254" t="str">
        <f>SUBSTITUTE(SUBSTITUTE(SUBSTITUTE("vnt"&amp;$B1821&amp;$C1821&amp;$D1821&amp;$E1821,".","_"),"(","_"),")","")</f>
        <v>vnt802_8</v>
      </c>
      <c r="AS1821" s="254" t="str">
        <f>IF(LEN(X1821)=0,"",X1821)</f>
        <v/>
      </c>
      <c r="AT1821" s="648"/>
      <c r="AU1821" s="648"/>
      <c r="AV1821" s="648"/>
      <c r="AW1821" s="648"/>
      <c r="AX1821" s="648"/>
      <c r="AY1821" s="648"/>
      <c r="AZ1821" s="648"/>
      <c r="BA1821" s="648"/>
      <c r="BB1821" s="648"/>
      <c r="BC1821" s="648"/>
      <c r="BD1821" s="648"/>
      <c r="BE1821" s="648"/>
      <c r="BF1821" s="648"/>
      <c r="BG1821" s="648"/>
      <c r="BH1821" s="648"/>
    </row>
    <row r="1822" spans="1:60" ht="15.75" thickBot="1" x14ac:dyDescent="0.3">
      <c r="A1822" s="2371">
        <v>8</v>
      </c>
      <c r="B1822" s="2385">
        <v>802.8</v>
      </c>
      <c r="C1822" s="2374"/>
      <c r="D1822" s="2374"/>
      <c r="E1822" s="2374"/>
      <c r="F1822" s="2374"/>
      <c r="G1822" s="2373" t="str">
        <f t="shared" ca="1" si="108"/>
        <v/>
      </c>
      <c r="H1822" s="2371" t="s">
        <v>3973</v>
      </c>
      <c r="I1822" s="359"/>
      <c r="J1822" s="958"/>
      <c r="K1822" s="240"/>
      <c r="L1822" s="1797"/>
      <c r="M1822" s="1768"/>
      <c r="N1822" s="1928"/>
      <c r="O1822" s="1775"/>
      <c r="P1822" s="99"/>
      <c r="Q1822" s="99"/>
      <c r="R1822" s="99"/>
      <c r="S1822" s="99"/>
      <c r="T1822" s="99"/>
      <c r="U1822" s="99"/>
      <c r="V1822" s="99"/>
      <c r="W1822" s="99"/>
      <c r="X1822" s="1771"/>
      <c r="Y1822" s="2082"/>
      <c r="Z1822" s="2086"/>
      <c r="AA1822" s="1526"/>
      <c r="AB1822" s="648"/>
      <c r="AC1822" s="970"/>
      <c r="AD1822" s="970"/>
      <c r="AE1822" s="970"/>
      <c r="AF1822" s="648"/>
      <c r="AG1822" s="648"/>
      <c r="AH1822" s="648"/>
      <c r="AI1822" s="648"/>
      <c r="AJ1822" s="648"/>
      <c r="AK1822" s="648"/>
      <c r="AL1822" s="1336"/>
      <c r="AM1822" s="1336"/>
      <c r="AN1822" s="1336"/>
      <c r="AO1822" s="1336"/>
      <c r="AP1822" s="1336"/>
      <c r="AQ1822" s="1336"/>
      <c r="AR1822" s="1336"/>
      <c r="AS1822" s="1336"/>
      <c r="AT1822" s="648"/>
      <c r="AU1822" s="648"/>
      <c r="AV1822" s="648"/>
      <c r="AW1822" s="648"/>
      <c r="AX1822" s="648"/>
      <c r="AY1822" s="648"/>
      <c r="AZ1822" s="648"/>
      <c r="BA1822" s="648"/>
      <c r="BB1822" s="648"/>
      <c r="BC1822" s="648"/>
      <c r="BD1822" s="648"/>
      <c r="BE1822" s="648"/>
      <c r="BF1822" s="648"/>
      <c r="BG1822" s="648"/>
      <c r="BH1822" s="648"/>
    </row>
    <row r="1823" spans="1:60" ht="15.75" thickTop="1" x14ac:dyDescent="0.25">
      <c r="A1823" s="2371">
        <v>8</v>
      </c>
      <c r="B1823" s="2400">
        <v>802.9</v>
      </c>
      <c r="E1823" s="2382"/>
      <c r="G1823" s="2363" t="str">
        <f>IF(COUNTIF(G1825:G1836,"P")&gt;0,"P","")</f>
        <v>P</v>
      </c>
      <c r="H1823" s="2399" t="s">
        <v>3973</v>
      </c>
      <c r="I1823" s="959">
        <v>802.9</v>
      </c>
      <c r="J1823" s="862"/>
      <c r="K1823" s="845"/>
      <c r="L1823" s="1165" t="s">
        <v>4462</v>
      </c>
      <c r="M1823" s="1009"/>
      <c r="N1823" s="664"/>
      <c r="O1823" s="1503"/>
      <c r="P1823" s="1500"/>
      <c r="Q1823" s="1500"/>
      <c r="R1823" s="1500"/>
      <c r="S1823" s="1500"/>
      <c r="T1823" s="1500"/>
      <c r="U1823" s="1500"/>
      <c r="V1823" s="911"/>
      <c r="W1823"/>
      <c r="X1823" s="911"/>
      <c r="Y1823"/>
      <c r="AA1823" s="1526"/>
      <c r="AC1823" s="970"/>
      <c r="AD1823" s="970"/>
      <c r="AE1823" s="970"/>
      <c r="AF1823"/>
      <c r="AG1823"/>
      <c r="AH1823"/>
      <c r="AI1823"/>
      <c r="AJ1823"/>
      <c r="AK1823"/>
      <c r="AL1823" s="1336"/>
      <c r="AM1823" s="1336"/>
      <c r="AN1823" s="1336"/>
      <c r="AO1823" s="1336"/>
      <c r="AP1823" s="1336"/>
      <c r="AQ1823" s="1336"/>
      <c r="AR1823" s="1336"/>
      <c r="AS1823" s="1336"/>
      <c r="AT1823"/>
    </row>
    <row r="1824" spans="1:60" x14ac:dyDescent="0.25">
      <c r="A1824" s="2371">
        <v>8</v>
      </c>
      <c r="B1824" s="2400" t="s">
        <v>4463</v>
      </c>
      <c r="E1824" s="2382"/>
      <c r="G1824" s="2373" t="str">
        <f>IF(N1824&gt;0,"P","")</f>
        <v/>
      </c>
      <c r="H1824" s="2399" t="s">
        <v>3973</v>
      </c>
      <c r="I1824" s="959" t="s">
        <v>4463</v>
      </c>
      <c r="J1824" s="862"/>
      <c r="K1824" s="845"/>
      <c r="L1824" s="1796" t="s">
        <v>4464</v>
      </c>
      <c r="M1824" s="1014"/>
      <c r="N1824" s="2075">
        <v>0</v>
      </c>
      <c r="O1824" s="1780">
        <f ca="1">IFERROR(INDEX({5,2},MATCH(W1824,INDIRECT(U1824),0)),0)*S1824</f>
        <v>0</v>
      </c>
      <c r="P1824" s="1500" t="b">
        <v>0</v>
      </c>
      <c r="Q1824" s="1500" t="b">
        <v>1</v>
      </c>
      <c r="R1824" s="1500" t="b">
        <v>0</v>
      </c>
      <c r="S1824" s="1500" t="b">
        <f ca="1">S1643=2</f>
        <v>0</v>
      </c>
      <c r="T1824" s="1500" t="b">
        <f ca="1">IF(AND(NOT(S1824),LEN(W1824)&gt;0),TRUE,FALSE)</f>
        <v>0</v>
      </c>
      <c r="U1824" s="1500" t="str">
        <f>SUBSTITUTE(SUBSTITUTE(SUBSTITUTE("dd"&amp;B1824&amp;C1824&amp;D1824&amp;E1824&amp;F1824,".","_"),"(","_"),")","")</f>
        <v>dd802_9_1</v>
      </c>
      <c r="V1824" s="911"/>
      <c r="W1824" s="12"/>
      <c r="X1824" s="1757"/>
      <c r="Y1824" s="2099" t="str">
        <f>IF(LEN('Ch8'!X195)=0,"None",'Ch8'!X195)</f>
        <v>None</v>
      </c>
      <c r="Z1824" s="2087"/>
      <c r="AA1824" s="1526"/>
      <c r="AC1824" s="970" t="b">
        <f ca="1">OR(AD1824:AE1824)</f>
        <v>0</v>
      </c>
      <c r="AD1824" s="970" t="b">
        <f ca="1">T1824</f>
        <v>0</v>
      </c>
      <c r="AE1824" s="970"/>
      <c r="AF1824"/>
      <c r="AG1824"/>
      <c r="AH1824"/>
      <c r="AI1824"/>
      <c r="AJ1824"/>
      <c r="AK1824"/>
      <c r="AL1824" s="1336"/>
      <c r="AM1824" s="1336"/>
      <c r="AN1824" s="254" t="str">
        <f>SUBSTITUTE(SUBSTITUTE(SUBSTITUTE("vpc"&amp;$B1824&amp;$C1824&amp;$D1824&amp;$E1824,".","_"),"(","_"),")","")</f>
        <v>vpc802_9_1</v>
      </c>
      <c r="AO1824" s="254">
        <f ca="1">O1824</f>
        <v>0</v>
      </c>
      <c r="AP1824" s="254" t="str">
        <f>SUBSTITUTE(SUBSTITUTE(SUBSTITUTE("vch"&amp;$B1824&amp;$C1824&amp;$D1824&amp;$E1824,".","_"),"(","_"),")","")</f>
        <v>vch802_9_1</v>
      </c>
      <c r="AQ1824" s="254" t="str">
        <f>IF(LEN(W1824)=0,"",W1824)</f>
        <v/>
      </c>
      <c r="AR1824" s="254" t="str">
        <f>SUBSTITUTE(SUBSTITUTE(SUBSTITUTE("vnt"&amp;$B1824&amp;$C1824&amp;$D1824&amp;$E1824,".","_"),"(","_"),")","")</f>
        <v>vnt802_9_1</v>
      </c>
      <c r="AS1824" s="254" t="str">
        <f>IF(LEN(X1824)=0,"",X1824)</f>
        <v/>
      </c>
      <c r="AT1824"/>
    </row>
    <row r="1825" spans="1:46" x14ac:dyDescent="0.25">
      <c r="A1825" s="2371">
        <v>8</v>
      </c>
      <c r="B1825" s="2400" t="s">
        <v>4463</v>
      </c>
      <c r="E1825" s="2382"/>
      <c r="G1825" s="2373" t="str">
        <f t="shared" ref="G1825:G1831" si="109">G1824</f>
        <v/>
      </c>
      <c r="H1825" s="2371" t="s">
        <v>3973</v>
      </c>
      <c r="I1825" s="959"/>
      <c r="J1825" s="862"/>
      <c r="K1825" s="845"/>
      <c r="L1825" s="1796"/>
      <c r="M1825" s="1014"/>
      <c r="N1825" s="2075"/>
      <c r="O1825" s="1780"/>
      <c r="P1825" s="911"/>
      <c r="Q1825" s="911"/>
      <c r="R1825" s="911"/>
      <c r="S1825" s="911"/>
      <c r="T1825" s="911"/>
      <c r="U1825" s="911"/>
      <c r="V1825" s="911"/>
      <c r="W1825"/>
      <c r="X1825" s="1757"/>
      <c r="Y1825" s="2100"/>
      <c r="Z1825" s="2091"/>
      <c r="AA1825" s="1526"/>
      <c r="AC1825" s="970"/>
      <c r="AD1825" s="970"/>
      <c r="AE1825" s="970"/>
      <c r="AF1825"/>
      <c r="AG1825"/>
      <c r="AH1825"/>
      <c r="AI1825"/>
      <c r="AJ1825"/>
      <c r="AK1825"/>
      <c r="AL1825" s="1336"/>
      <c r="AM1825" s="1336"/>
      <c r="AN1825" s="1336"/>
      <c r="AO1825" s="1336"/>
      <c r="AP1825" s="1336"/>
      <c r="AQ1825" s="1336"/>
      <c r="AR1825" s="1336"/>
      <c r="AS1825" s="1336"/>
      <c r="AT1825"/>
    </row>
    <row r="1826" spans="1:46" x14ac:dyDescent="0.25">
      <c r="A1826" s="2371">
        <v>8</v>
      </c>
      <c r="B1826" s="2400" t="s">
        <v>4463</v>
      </c>
      <c r="E1826" s="2382"/>
      <c r="G1826" s="2373" t="str">
        <f t="shared" si="109"/>
        <v/>
      </c>
      <c r="H1826" s="2371" t="s">
        <v>3973</v>
      </c>
      <c r="I1826" s="959"/>
      <c r="J1826" s="862"/>
      <c r="K1826" s="845"/>
      <c r="L1826" s="1796"/>
      <c r="M1826" s="1014"/>
      <c r="N1826" s="2075"/>
      <c r="O1826" s="1780"/>
      <c r="P1826" s="911"/>
      <c r="Q1826" s="911"/>
      <c r="R1826" s="911"/>
      <c r="S1826" s="911"/>
      <c r="T1826" s="911"/>
      <c r="U1826" s="911"/>
      <c r="V1826" s="911"/>
      <c r="W1826"/>
      <c r="X1826" s="1757"/>
      <c r="Y1826" s="2100"/>
      <c r="Z1826" s="2091"/>
      <c r="AA1826" s="1526"/>
      <c r="AC1826" s="970"/>
      <c r="AD1826" s="970"/>
      <c r="AE1826" s="970"/>
      <c r="AF1826"/>
      <c r="AG1826"/>
      <c r="AH1826"/>
      <c r="AI1826"/>
      <c r="AJ1826"/>
      <c r="AK1826"/>
      <c r="AL1826" s="1336"/>
      <c r="AM1826" s="1336"/>
      <c r="AN1826" s="1336"/>
      <c r="AO1826" s="1336"/>
      <c r="AP1826" s="1336"/>
      <c r="AQ1826" s="1336"/>
      <c r="AR1826" s="1336"/>
      <c r="AS1826" s="1336"/>
      <c r="AT1826"/>
    </row>
    <row r="1827" spans="1:46" x14ac:dyDescent="0.25">
      <c r="A1827" s="2371">
        <v>8</v>
      </c>
      <c r="B1827" s="2400" t="s">
        <v>4463</v>
      </c>
      <c r="E1827" s="2382"/>
      <c r="G1827" s="2373" t="str">
        <f t="shared" si="109"/>
        <v/>
      </c>
      <c r="H1827" s="2371" t="s">
        <v>3973</v>
      </c>
      <c r="I1827" s="959"/>
      <c r="J1827" s="862"/>
      <c r="K1827" s="845"/>
      <c r="L1827" s="1796"/>
      <c r="M1827" s="1014"/>
      <c r="N1827" s="2075"/>
      <c r="O1827" s="1780"/>
      <c r="P1827" s="911"/>
      <c r="Q1827" s="911"/>
      <c r="R1827" s="911"/>
      <c r="S1827" s="911"/>
      <c r="T1827" s="911"/>
      <c r="U1827" s="911"/>
      <c r="V1827" s="911"/>
      <c r="W1827"/>
      <c r="X1827" s="1757"/>
      <c r="Y1827" s="2100"/>
      <c r="Z1827" s="2091"/>
      <c r="AA1827" s="1526"/>
      <c r="AC1827" s="970"/>
      <c r="AD1827" s="970"/>
      <c r="AE1827" s="970"/>
      <c r="AF1827"/>
      <c r="AG1827"/>
      <c r="AH1827"/>
      <c r="AI1827"/>
      <c r="AJ1827"/>
      <c r="AK1827"/>
      <c r="AL1827" s="1336"/>
      <c r="AM1827" s="1336"/>
      <c r="AN1827" s="1336"/>
      <c r="AO1827" s="1336"/>
      <c r="AP1827" s="1336"/>
      <c r="AQ1827" s="1336"/>
      <c r="AR1827" s="1336"/>
      <c r="AS1827" s="1336"/>
      <c r="AT1827"/>
    </row>
    <row r="1828" spans="1:46" x14ac:dyDescent="0.25">
      <c r="A1828" s="2371">
        <v>8</v>
      </c>
      <c r="B1828" s="2400" t="s">
        <v>4463</v>
      </c>
      <c r="E1828" s="2382"/>
      <c r="G1828" s="2373" t="str">
        <f t="shared" si="109"/>
        <v/>
      </c>
      <c r="H1828" s="2371" t="s">
        <v>3973</v>
      </c>
      <c r="I1828" s="959"/>
      <c r="J1828" s="862"/>
      <c r="K1828" s="845"/>
      <c r="L1828" s="1796"/>
      <c r="M1828" s="1014"/>
      <c r="N1828" s="2075"/>
      <c r="O1828" s="1780"/>
      <c r="P1828" s="911"/>
      <c r="Q1828" s="911"/>
      <c r="R1828" s="911"/>
      <c r="S1828" s="911"/>
      <c r="T1828" s="911"/>
      <c r="U1828" s="911"/>
      <c r="V1828" s="911"/>
      <c r="W1828"/>
      <c r="X1828" s="1757"/>
      <c r="Y1828" s="2100"/>
      <c r="Z1828" s="2091"/>
      <c r="AA1828" s="1526"/>
      <c r="AC1828" s="970"/>
      <c r="AD1828" s="970"/>
      <c r="AE1828" s="970"/>
      <c r="AF1828"/>
      <c r="AG1828"/>
      <c r="AH1828"/>
      <c r="AI1828"/>
      <c r="AJ1828"/>
      <c r="AK1828"/>
      <c r="AL1828" s="1336"/>
      <c r="AM1828" s="1336"/>
      <c r="AN1828" s="1336"/>
      <c r="AO1828" s="1336"/>
      <c r="AP1828" s="1336"/>
      <c r="AQ1828" s="1336"/>
      <c r="AR1828" s="1336"/>
      <c r="AS1828" s="1336"/>
      <c r="AT1828"/>
    </row>
    <row r="1829" spans="1:46" x14ac:dyDescent="0.25">
      <c r="A1829" s="2371">
        <v>8</v>
      </c>
      <c r="B1829" s="2400" t="s">
        <v>4463</v>
      </c>
      <c r="E1829" s="2382"/>
      <c r="G1829" s="2373" t="str">
        <f t="shared" si="109"/>
        <v/>
      </c>
      <c r="H1829" s="2371" t="s">
        <v>3973</v>
      </c>
      <c r="I1829" s="959"/>
      <c r="J1829" s="862"/>
      <c r="K1829" s="845"/>
      <c r="L1829" s="1796"/>
      <c r="M1829" s="1014"/>
      <c r="N1829" s="1042"/>
      <c r="O1829" s="1506"/>
      <c r="P1829" s="911"/>
      <c r="Q1829" s="911"/>
      <c r="R1829" s="911"/>
      <c r="S1829" s="911"/>
      <c r="T1829" s="911"/>
      <c r="U1829" s="911"/>
      <c r="V1829" s="911"/>
      <c r="W1829"/>
      <c r="X1829" s="1757"/>
      <c r="Y1829" s="2100"/>
      <c r="Z1829" s="2091"/>
      <c r="AA1829" s="1526"/>
      <c r="AC1829" s="970"/>
      <c r="AD1829" s="970"/>
      <c r="AE1829" s="970"/>
      <c r="AF1829"/>
      <c r="AG1829"/>
      <c r="AH1829"/>
      <c r="AI1829"/>
      <c r="AJ1829"/>
      <c r="AK1829"/>
      <c r="AL1829" s="1336"/>
      <c r="AM1829" s="1336"/>
      <c r="AN1829" s="1336"/>
      <c r="AO1829" s="1336"/>
      <c r="AP1829" s="1336"/>
      <c r="AQ1829" s="1336"/>
      <c r="AR1829" s="1336"/>
      <c r="AS1829" s="1336"/>
      <c r="AT1829"/>
    </row>
    <row r="1830" spans="1:46" x14ac:dyDescent="0.25">
      <c r="A1830" s="2371">
        <v>8</v>
      </c>
      <c r="B1830" s="2400" t="s">
        <v>4463</v>
      </c>
      <c r="C1830" s="2382" t="s">
        <v>256</v>
      </c>
      <c r="G1830" s="2373" t="str">
        <f t="shared" si="109"/>
        <v/>
      </c>
      <c r="H1830" s="2371" t="s">
        <v>3973</v>
      </c>
      <c r="I1830" s="959"/>
      <c r="J1830" s="863" t="s">
        <v>256</v>
      </c>
      <c r="K1830" s="851"/>
      <c r="L1830" s="1158" t="s">
        <v>4465</v>
      </c>
      <c r="M1830" s="1015">
        <v>5</v>
      </c>
      <c r="N1830" s="1042"/>
      <c r="O1830" s="1506"/>
      <c r="P1830" s="911"/>
      <c r="Q1830" s="911"/>
      <c r="R1830" s="911"/>
      <c r="S1830" s="911"/>
      <c r="T1830" s="911"/>
      <c r="U1830" s="911"/>
      <c r="V1830" s="911"/>
      <c r="W1830"/>
      <c r="X1830" s="1757"/>
      <c r="Y1830" s="2100"/>
      <c r="Z1830" s="2091"/>
      <c r="AA1830" s="1526"/>
      <c r="AC1830" s="970"/>
      <c r="AD1830" s="970"/>
      <c r="AE1830" s="970"/>
      <c r="AF1830"/>
      <c r="AG1830"/>
      <c r="AH1830"/>
      <c r="AI1830"/>
      <c r="AJ1830"/>
      <c r="AK1830"/>
      <c r="AL1830" s="254" t="str">
        <f>SUBSTITUTE(SUBSTITUTE(SUBSTITUTE("vpa"&amp;$B1830&amp;$C1830&amp;$D1830&amp;$E1830,".","_"),"(","_"),")","")</f>
        <v>vpa802_9_1_1</v>
      </c>
      <c r="AM1830" s="254">
        <f>M1830</f>
        <v>5</v>
      </c>
      <c r="AN1830" s="1336"/>
      <c r="AO1830" s="1336"/>
      <c r="AP1830" s="1336"/>
      <c r="AQ1830" s="1336"/>
      <c r="AR1830" s="1336"/>
      <c r="AS1830" s="1336"/>
      <c r="AT1830"/>
    </row>
    <row r="1831" spans="1:46" x14ac:dyDescent="0.25">
      <c r="A1831" s="2371">
        <v>8</v>
      </c>
      <c r="B1831" s="2400" t="s">
        <v>4463</v>
      </c>
      <c r="C1831" s="2382" t="s">
        <v>258</v>
      </c>
      <c r="G1831" s="2373" t="str">
        <f t="shared" si="109"/>
        <v/>
      </c>
      <c r="H1831" s="2371" t="s">
        <v>3973</v>
      </c>
      <c r="I1831" s="962"/>
      <c r="J1831" s="863" t="s">
        <v>258</v>
      </c>
      <c r="K1831" s="851"/>
      <c r="L1831" s="1158" t="s">
        <v>4466</v>
      </c>
      <c r="M1831" s="1015">
        <v>2</v>
      </c>
      <c r="N1831" s="1047"/>
      <c r="O1831" s="1502"/>
      <c r="P1831" s="911"/>
      <c r="Q1831" s="911"/>
      <c r="R1831" s="911"/>
      <c r="S1831" s="911"/>
      <c r="T1831" s="911"/>
      <c r="U1831" s="911"/>
      <c r="V1831" s="911"/>
      <c r="W1831"/>
      <c r="X1831" s="1757"/>
      <c r="Y1831" s="2097"/>
      <c r="Z1831" s="2085"/>
      <c r="AA1831" s="1526"/>
      <c r="AC1831" s="970"/>
      <c r="AD1831" s="970"/>
      <c r="AE1831" s="970"/>
      <c r="AF1831"/>
      <c r="AG1831"/>
      <c r="AH1831"/>
      <c r="AI1831"/>
      <c r="AJ1831"/>
      <c r="AK1831"/>
      <c r="AL1831" s="254" t="str">
        <f>SUBSTITUTE(SUBSTITUTE(SUBSTITUTE("vpa"&amp;$B1831&amp;$C1831&amp;$D1831&amp;$E1831,".","_"),"(","_"),")","")</f>
        <v>vpa802_9_1_2</v>
      </c>
      <c r="AM1831" s="254">
        <f>M1831</f>
        <v>2</v>
      </c>
      <c r="AN1831" s="1336"/>
      <c r="AO1831" s="1336"/>
      <c r="AP1831" s="1336"/>
      <c r="AQ1831" s="1336"/>
      <c r="AR1831" s="1336"/>
      <c r="AS1831" s="1336"/>
      <c r="AT1831"/>
    </row>
    <row r="1832" spans="1:46" x14ac:dyDescent="0.25">
      <c r="A1832" s="2371">
        <v>8</v>
      </c>
      <c r="B1832" s="2400" t="s">
        <v>4467</v>
      </c>
      <c r="C1832" s="2382"/>
      <c r="G1832" s="2373" t="str">
        <f>IF(N1832&gt;0,"P","")</f>
        <v/>
      </c>
      <c r="H1832" s="2399" t="s">
        <v>3973</v>
      </c>
      <c r="I1832" s="959" t="s">
        <v>4467</v>
      </c>
      <c r="J1832" s="862"/>
      <c r="K1832" s="845"/>
      <c r="L1832" s="1796" t="s">
        <v>4468</v>
      </c>
      <c r="M1832" s="129"/>
      <c r="N1832" s="2079">
        <v>0</v>
      </c>
      <c r="O1832" s="1763">
        <f ca="1">IFERROR(INDEX({3,1},MATCH(W1832,INDIRECT(U1832),0)),0)*S1832</f>
        <v>0</v>
      </c>
      <c r="P1832" s="94" t="b">
        <v>0</v>
      </c>
      <c r="Q1832" s="94" t="b">
        <v>1</v>
      </c>
      <c r="R1832" s="94" t="b">
        <v>0</v>
      </c>
      <c r="S1832" s="94" t="b">
        <f ca="1">S1643=2</f>
        <v>0</v>
      </c>
      <c r="T1832" s="94" t="b">
        <f ca="1">IF(AND(NOT(S1832),LEN(W1832)&gt;0),TRUE,FALSE)</f>
        <v>0</v>
      </c>
      <c r="U1832" s="94" t="str">
        <f>SUBSTITUTE(SUBSTITUTE(SUBSTITUTE("dd"&amp;B1832&amp;C1832&amp;D1832&amp;E1832&amp;F1832,".","_"),"(","_"),")","")</f>
        <v>dd802_9_2</v>
      </c>
      <c r="V1832" s="911"/>
      <c r="W1832" s="12"/>
      <c r="X1832" s="1757"/>
      <c r="Y1832" s="2099" t="str">
        <f>IF(LEN('Ch8'!X203)=0,"None",'Ch8'!X203)</f>
        <v>None</v>
      </c>
      <c r="Z1832" s="2087"/>
      <c r="AA1832" s="1526"/>
      <c r="AC1832" s="970" t="b">
        <f ca="1">OR(AD1832:AE1832)</f>
        <v>0</v>
      </c>
      <c r="AD1832" s="970" t="b">
        <f ca="1">T1832</f>
        <v>0</v>
      </c>
      <c r="AE1832" s="970"/>
      <c r="AF1832"/>
      <c r="AG1832"/>
      <c r="AH1832"/>
      <c r="AI1832"/>
      <c r="AJ1832"/>
      <c r="AK1832"/>
      <c r="AL1832" s="1336"/>
      <c r="AM1832" s="1336"/>
      <c r="AN1832" s="254" t="str">
        <f>SUBSTITUTE(SUBSTITUTE(SUBSTITUTE("vpc"&amp;$B1832&amp;$C1832&amp;$D1832&amp;$E1832,".","_"),"(","_"),")","")</f>
        <v>vpc802_9_2</v>
      </c>
      <c r="AO1832" s="254">
        <f ca="1">O1832</f>
        <v>0</v>
      </c>
      <c r="AP1832" s="254" t="str">
        <f>SUBSTITUTE(SUBSTITUTE(SUBSTITUTE("vch"&amp;$B1832&amp;$C1832&amp;$D1832&amp;$E1832,".","_"),"(","_"),")","")</f>
        <v>vch802_9_2</v>
      </c>
      <c r="AQ1832" s="254" t="str">
        <f>IF(LEN(W1832)=0,"",W1832)</f>
        <v/>
      </c>
      <c r="AR1832" s="254" t="str">
        <f>SUBSTITUTE(SUBSTITUTE(SUBSTITUTE("vnt"&amp;$B1832&amp;$C1832&amp;$D1832&amp;$E1832,".","_"),"(","_"),")","")</f>
        <v>vnt802_9_2</v>
      </c>
      <c r="AS1832" s="254" t="str">
        <f>IF(LEN(X1832)=0,"",X1832)</f>
        <v/>
      </c>
      <c r="AT1832"/>
    </row>
    <row r="1833" spans="1:46" x14ac:dyDescent="0.25">
      <c r="A1833" s="2371">
        <v>8</v>
      </c>
      <c r="B1833" s="2400" t="s">
        <v>4467</v>
      </c>
      <c r="C1833" s="2382"/>
      <c r="G1833" s="2373" t="str">
        <f>G1832</f>
        <v/>
      </c>
      <c r="H1833" s="2371" t="s">
        <v>3973</v>
      </c>
      <c r="I1833" s="959"/>
      <c r="J1833" s="862"/>
      <c r="K1833" s="845"/>
      <c r="L1833" s="1796"/>
      <c r="M1833" s="129"/>
      <c r="N1833" s="2075"/>
      <c r="O1833" s="1774"/>
      <c r="P1833" s="94"/>
      <c r="Q1833" s="94"/>
      <c r="R1833" s="94"/>
      <c r="S1833" s="94"/>
      <c r="T1833" s="94"/>
      <c r="U1833" s="94"/>
      <c r="V1833" s="911"/>
      <c r="W1833"/>
      <c r="X1833" s="1757"/>
      <c r="Y1833" s="2100"/>
      <c r="Z1833" s="2091"/>
      <c r="AA1833" s="1526"/>
      <c r="AC1833" s="970"/>
      <c r="AD1833" s="970"/>
      <c r="AE1833" s="970"/>
      <c r="AF1833"/>
      <c r="AG1833"/>
      <c r="AH1833"/>
      <c r="AI1833"/>
      <c r="AJ1833"/>
      <c r="AK1833"/>
      <c r="AL1833" s="1336"/>
      <c r="AM1833" s="1336"/>
      <c r="AN1833" s="1336"/>
      <c r="AO1833" s="1336"/>
      <c r="AP1833" s="1336"/>
      <c r="AQ1833" s="1336"/>
      <c r="AR1833" s="1336"/>
      <c r="AS1833" s="1336"/>
      <c r="AT1833"/>
    </row>
    <row r="1834" spans="1:46" x14ac:dyDescent="0.25">
      <c r="A1834" s="2371">
        <v>8</v>
      </c>
      <c r="B1834" s="2400" t="s">
        <v>4467</v>
      </c>
      <c r="C1834" s="2382" t="s">
        <v>256</v>
      </c>
      <c r="G1834" s="2373" t="str">
        <f>G1833</f>
        <v/>
      </c>
      <c r="H1834" s="2371" t="s">
        <v>3973</v>
      </c>
      <c r="I1834" s="959"/>
      <c r="J1834" s="863" t="s">
        <v>256</v>
      </c>
      <c r="K1834" s="851"/>
      <c r="L1834" s="1158" t="s">
        <v>4469</v>
      </c>
      <c r="M1834" s="1015">
        <v>3</v>
      </c>
      <c r="N1834" s="1042"/>
      <c r="O1834" s="1504"/>
      <c r="P1834" s="94"/>
      <c r="Q1834" s="94"/>
      <c r="R1834" s="94"/>
      <c r="S1834" s="94"/>
      <c r="T1834" s="94"/>
      <c r="U1834" s="94"/>
      <c r="V1834" s="911"/>
      <c r="W1834"/>
      <c r="X1834" s="1757"/>
      <c r="Y1834" s="2100"/>
      <c r="Z1834" s="2091"/>
      <c r="AA1834" s="1526"/>
      <c r="AC1834" s="970"/>
      <c r="AD1834" s="970"/>
      <c r="AE1834" s="970"/>
      <c r="AF1834"/>
      <c r="AG1834"/>
      <c r="AH1834"/>
      <c r="AI1834"/>
      <c r="AJ1834"/>
      <c r="AK1834"/>
      <c r="AL1834" s="254" t="str">
        <f>SUBSTITUTE(SUBSTITUTE(SUBSTITUTE("vpa"&amp;$B1834&amp;$C1834&amp;$D1834&amp;$E1834,".","_"),"(","_"),")","")</f>
        <v>vpa802_9_2_1</v>
      </c>
      <c r="AM1834" s="254">
        <f>M1834</f>
        <v>3</v>
      </c>
      <c r="AN1834" s="1336"/>
      <c r="AO1834" s="1336"/>
      <c r="AP1834" s="1336"/>
      <c r="AQ1834" s="1336"/>
      <c r="AR1834" s="1336"/>
      <c r="AS1834" s="1336"/>
      <c r="AT1834"/>
    </row>
    <row r="1835" spans="1:46" ht="15.75" thickBot="1" x14ac:dyDescent="0.3">
      <c r="A1835" s="2371">
        <v>8</v>
      </c>
      <c r="B1835" s="2400" t="s">
        <v>4467</v>
      </c>
      <c r="C1835" s="2382" t="s">
        <v>258</v>
      </c>
      <c r="G1835" s="2373" t="str">
        <f>G1834</f>
        <v/>
      </c>
      <c r="H1835" s="2371" t="s">
        <v>3973</v>
      </c>
      <c r="I1835" s="961"/>
      <c r="J1835" s="902" t="s">
        <v>258</v>
      </c>
      <c r="K1835" s="852"/>
      <c r="L1835" s="1161" t="s">
        <v>4470</v>
      </c>
      <c r="M1835" s="1011">
        <v>1</v>
      </c>
      <c r="N1835" s="1045"/>
      <c r="O1835" s="1505"/>
      <c r="P1835" s="99"/>
      <c r="Q1835" s="99"/>
      <c r="R1835" s="99"/>
      <c r="S1835" s="99"/>
      <c r="T1835" s="99"/>
      <c r="U1835" s="99"/>
      <c r="V1835" s="99"/>
      <c r="W1835" s="112"/>
      <c r="X1835" s="1771"/>
      <c r="Y1835" s="2102"/>
      <c r="Z1835" s="2090"/>
      <c r="AA1835" s="1526"/>
      <c r="AC1835" s="970"/>
      <c r="AD1835" s="970"/>
      <c r="AE1835" s="970"/>
      <c r="AF1835"/>
      <c r="AG1835"/>
      <c r="AH1835"/>
      <c r="AI1835"/>
      <c r="AJ1835"/>
      <c r="AK1835"/>
      <c r="AL1835" s="254" t="str">
        <f>SUBSTITUTE(SUBSTITUTE(SUBSTITUTE("vpa"&amp;$B1835&amp;$C1835&amp;$D1835&amp;$E1835,".","_"),"(","_"),")","")</f>
        <v>vpa802_9_2_2</v>
      </c>
      <c r="AM1835" s="254">
        <f>M1835</f>
        <v>1</v>
      </c>
      <c r="AN1835" s="1336"/>
      <c r="AO1835" s="1336"/>
      <c r="AP1835" s="1336"/>
      <c r="AQ1835" s="1336"/>
      <c r="AR1835" s="1336"/>
      <c r="AS1835" s="1336"/>
      <c r="AT1835"/>
    </row>
    <row r="1836" spans="1:46" ht="15.75" thickTop="1" x14ac:dyDescent="0.25">
      <c r="A1836" s="2371">
        <v>8</v>
      </c>
      <c r="B1836" s="2400">
        <v>802.1</v>
      </c>
      <c r="C1836" s="2382"/>
      <c r="G1836" s="2373" t="s">
        <v>3974</v>
      </c>
      <c r="H1836" s="2371" t="s">
        <v>3973</v>
      </c>
      <c r="I1836" s="959" t="s">
        <v>4475</v>
      </c>
      <c r="J1836" s="862"/>
      <c r="K1836" s="845"/>
      <c r="L1836" s="1165" t="s">
        <v>4471</v>
      </c>
      <c r="M1836" s="1010"/>
      <c r="N1836" s="1042"/>
      <c r="O1836" s="1504"/>
      <c r="P1836" s="1500"/>
      <c r="Q1836" s="1500"/>
      <c r="R1836" s="1500"/>
      <c r="S1836" s="1500"/>
      <c r="T1836" s="1500"/>
      <c r="U1836" s="1500"/>
      <c r="V1836" s="911"/>
      <c r="W1836"/>
      <c r="X1836" s="911"/>
      <c r="Y1836"/>
      <c r="AA1836" s="1526"/>
      <c r="AC1836" s="970"/>
      <c r="AD1836" s="970"/>
      <c r="AE1836" s="970"/>
      <c r="AF1836"/>
      <c r="AG1836"/>
      <c r="AH1836"/>
      <c r="AI1836"/>
      <c r="AJ1836"/>
      <c r="AK1836"/>
      <c r="AL1836" s="1336"/>
      <c r="AM1836" s="1336"/>
      <c r="AN1836" s="1336"/>
      <c r="AO1836" s="1336"/>
      <c r="AP1836" s="1336"/>
      <c r="AQ1836" s="1336"/>
      <c r="AR1836" s="1336"/>
      <c r="AS1836" s="1336"/>
      <c r="AT1836"/>
    </row>
    <row r="1837" spans="1:46" x14ac:dyDescent="0.25">
      <c r="A1837" s="2371">
        <v>8</v>
      </c>
      <c r="B1837" s="2400" t="s">
        <v>4472</v>
      </c>
      <c r="C1837" s="2382"/>
      <c r="G1837" s="2373" t="s">
        <v>3974</v>
      </c>
      <c r="H1837" s="2371" t="s">
        <v>3973</v>
      </c>
      <c r="I1837" s="959" t="s">
        <v>4472</v>
      </c>
      <c r="J1837" s="862"/>
      <c r="K1837" s="845"/>
      <c r="L1837" s="1796" t="s">
        <v>4473</v>
      </c>
      <c r="M1837" s="1837" t="str">
        <f>IF(R1837,"Mandatory","N/A")</f>
        <v>Mandatory</v>
      </c>
      <c r="N1837" s="129"/>
      <c r="O1837" s="1504"/>
      <c r="P1837" s="1500" t="b">
        <v>0</v>
      </c>
      <c r="Q1837" s="1500" t="b">
        <v>1</v>
      </c>
      <c r="R1837" s="1500" t="b">
        <f>S1837</f>
        <v>1</v>
      </c>
      <c r="S1837" s="1500" t="b">
        <v>1</v>
      </c>
      <c r="T1837" s="94" t="b">
        <f>IF(AND(NOT(S1837),LEN(W1837)&gt;0),TRUE,FALSE)</f>
        <v>0</v>
      </c>
      <c r="U1837" s="94" t="str">
        <f>SUBSTITUTE(SUBSTITUTE(SUBSTITUTE("dd"&amp;B1837&amp;C1837&amp;D1837&amp;E1837&amp;F1837,".","_"),"(","_"),")","")</f>
        <v>dd802_10_1</v>
      </c>
      <c r="V1837" s="911"/>
      <c r="W1837" s="1412"/>
      <c r="X1837" s="1757"/>
      <c r="Y1837" s="2077" t="str">
        <f>IF(LEN('Ch8'!X208)=0,"None",'Ch8'!X208)</f>
        <v>None</v>
      </c>
      <c r="AA1837" s="1526"/>
      <c r="AC1837" s="1411" t="b">
        <f>OR(AD1837:AE1837)</f>
        <v>1</v>
      </c>
      <c r="AD1837" s="1411" t="b">
        <f>T1837</f>
        <v>0</v>
      </c>
      <c r="AE1837" s="1411" t="b">
        <f>AND(R1837,NOT(W1837="Met"),NOT(W1837="N/A"))</f>
        <v>1</v>
      </c>
      <c r="AF1837"/>
      <c r="AG1837"/>
      <c r="AH1837"/>
      <c r="AI1837"/>
      <c r="AJ1837"/>
      <c r="AK1837"/>
      <c r="AL1837" s="254" t="str">
        <f>SUBSTITUTE(SUBSTITUTE(SUBSTITUTE("vpa"&amp;$B1837&amp;$C1837&amp;$D1837&amp;$E1837,".","_"),"(","_"),")","")</f>
        <v>vpa802_10_1</v>
      </c>
      <c r="AM1837" s="254" t="str">
        <f>M1837</f>
        <v>Mandatory</v>
      </c>
      <c r="AN1837" s="1336"/>
      <c r="AO1837" s="1336"/>
      <c r="AP1837" s="254" t="str">
        <f>SUBSTITUTE(SUBSTITUTE(SUBSTITUTE("vch"&amp;$B1837&amp;$C1837&amp;$D1837&amp;$E1837,".","_"),"(","_"),")","")</f>
        <v>vch802_10_1</v>
      </c>
      <c r="AQ1837" s="254" t="str">
        <f>IF(LEN(W1837)=0,"",W1837)</f>
        <v/>
      </c>
      <c r="AR1837" s="254" t="str">
        <f>SUBSTITUTE(SUBSTITUTE(SUBSTITUTE("vnt"&amp;$B1837&amp;$C1837&amp;$D1837&amp;$E1837,".","_"),"(","_"),")","")</f>
        <v>vnt802_10_1</v>
      </c>
      <c r="AS1837" s="254" t="str">
        <f>IF(LEN(X1837)=0,"",X1837)</f>
        <v/>
      </c>
      <c r="AT1837"/>
    </row>
    <row r="1838" spans="1:46" x14ac:dyDescent="0.25">
      <c r="A1838" s="2371">
        <v>8</v>
      </c>
      <c r="B1838" s="2400" t="s">
        <v>4472</v>
      </c>
      <c r="C1838" s="2382"/>
      <c r="G1838" s="2373" t="s">
        <v>3974</v>
      </c>
      <c r="H1838" s="2371" t="s">
        <v>3973</v>
      </c>
      <c r="I1838" s="959"/>
      <c r="J1838" s="862"/>
      <c r="K1838" s="845"/>
      <c r="L1838" s="1796"/>
      <c r="M1838" s="1837"/>
      <c r="N1838" s="4"/>
      <c r="O1838" s="1506"/>
      <c r="P1838" s="1500"/>
      <c r="Q1838" s="1500"/>
      <c r="R1838" s="1500"/>
      <c r="S1838" s="1500"/>
      <c r="T1838" s="1500"/>
      <c r="U1838" s="1500"/>
      <c r="V1838" s="911"/>
      <c r="W1838"/>
      <c r="X1838" s="1757"/>
      <c r="Y1838" s="2077"/>
      <c r="AA1838" s="1526"/>
      <c r="AC1838" s="970"/>
      <c r="AD1838" s="970"/>
      <c r="AE1838" s="970"/>
      <c r="AF1838"/>
      <c r="AG1838"/>
      <c r="AH1838"/>
      <c r="AI1838"/>
      <c r="AJ1838"/>
      <c r="AK1838"/>
      <c r="AL1838" s="1336"/>
      <c r="AM1838" s="1336"/>
      <c r="AN1838" s="1336"/>
      <c r="AO1838" s="1336"/>
      <c r="AP1838" s="1336"/>
      <c r="AQ1838" s="1336"/>
      <c r="AR1838" s="1336"/>
      <c r="AS1838" s="1336"/>
      <c r="AT1838"/>
    </row>
    <row r="1839" spans="1:46" x14ac:dyDescent="0.25">
      <c r="A1839" s="2371">
        <v>8</v>
      </c>
      <c r="B1839" s="2400" t="s">
        <v>4472</v>
      </c>
      <c r="C1839" s="2382"/>
      <c r="G1839" s="2373" t="s">
        <v>3974</v>
      </c>
      <c r="H1839" s="2371" t="s">
        <v>3973</v>
      </c>
      <c r="I1839" s="959"/>
      <c r="J1839" s="862"/>
      <c r="K1839" s="845"/>
      <c r="L1839" s="1796"/>
      <c r="M1839" s="1837"/>
      <c r="N1839" s="4"/>
      <c r="O1839" s="1506"/>
      <c r="P1839" s="1500"/>
      <c r="Q1839" s="1500"/>
      <c r="R1839" s="1500"/>
      <c r="S1839" s="1500"/>
      <c r="T1839" s="1500"/>
      <c r="U1839" s="1500"/>
      <c r="V1839" s="911"/>
      <c r="W1839"/>
      <c r="X1839" s="1757"/>
      <c r="Y1839" s="2077"/>
      <c r="AA1839" s="1526"/>
      <c r="AC1839" s="970"/>
      <c r="AD1839" s="970"/>
      <c r="AE1839" s="970"/>
      <c r="AF1839"/>
      <c r="AG1839"/>
      <c r="AH1839"/>
      <c r="AI1839"/>
      <c r="AJ1839"/>
      <c r="AK1839"/>
      <c r="AL1839" s="1336"/>
      <c r="AM1839" s="1336"/>
      <c r="AN1839" s="1336"/>
      <c r="AO1839" s="1336"/>
      <c r="AP1839" s="1336"/>
      <c r="AQ1839" s="1336"/>
      <c r="AR1839" s="1336"/>
      <c r="AS1839" s="1336"/>
      <c r="AT1839"/>
    </row>
    <row r="1840" spans="1:46" x14ac:dyDescent="0.25">
      <c r="A1840" s="2371">
        <v>8</v>
      </c>
      <c r="B1840" s="2400" t="s">
        <v>4472</v>
      </c>
      <c r="C1840" s="2382" t="s">
        <v>256</v>
      </c>
      <c r="G1840" s="2373" t="str">
        <f ca="1">IF(N1840&gt;0,"P","")</f>
        <v/>
      </c>
      <c r="H1840" s="2399" t="s">
        <v>3973</v>
      </c>
      <c r="I1840" s="959"/>
      <c r="J1840" s="862" t="s">
        <v>256</v>
      </c>
      <c r="K1840" s="845"/>
      <c r="L1840" s="1157" t="s">
        <v>4474</v>
      </c>
      <c r="M1840" s="1014">
        <v>10</v>
      </c>
      <c r="N1840" s="1044">
        <f ca="1">'Ch8'!O211</f>
        <v>0</v>
      </c>
      <c r="O1840" s="1506">
        <f ca="1">M1840*W1840*S1840</f>
        <v>0</v>
      </c>
      <c r="P1840" s="1500" t="b">
        <v>0</v>
      </c>
      <c r="Q1840" s="1500" t="b">
        <v>1</v>
      </c>
      <c r="R1840" s="1500" t="b">
        <v>0</v>
      </c>
      <c r="S1840" s="1500" t="b">
        <f ca="1">S1643=2</f>
        <v>0</v>
      </c>
      <c r="T1840" s="1500" t="b">
        <f ca="1">IF(AND(NOT(S1840),W1840=TRUE),TRUE,FALSE)</f>
        <v>0</v>
      </c>
      <c r="U1840" s="1500"/>
      <c r="V1840" s="911"/>
      <c r="W1840" s="25"/>
      <c r="X1840" s="918"/>
      <c r="Y1840" s="937" t="str">
        <f>IF(LEN('Ch8'!X211)=0,"None",'Ch8'!X211)</f>
        <v>None</v>
      </c>
      <c r="Z1840" s="1594"/>
      <c r="AA1840" s="1526"/>
      <c r="AC1840" s="970" t="b">
        <f ca="1">OR(AD1840:AE1840)</f>
        <v>0</v>
      </c>
      <c r="AD1840" s="970" t="b">
        <f ca="1">T1840</f>
        <v>0</v>
      </c>
      <c r="AE1840" s="970"/>
      <c r="AF1840"/>
      <c r="AG1840"/>
      <c r="AH1840"/>
      <c r="AI1840"/>
      <c r="AJ1840"/>
      <c r="AK1840"/>
      <c r="AL1840" s="254" t="str">
        <f>SUBSTITUTE(SUBSTITUTE(SUBSTITUTE("vpa"&amp;$B1840&amp;$C1840&amp;$D1840&amp;$E1840,".","_"),"(","_"),")","")</f>
        <v>vpa802_10_1_1</v>
      </c>
      <c r="AM1840" s="254">
        <f>M1840</f>
        <v>10</v>
      </c>
      <c r="AN1840" s="254" t="str">
        <f>SUBSTITUTE(SUBSTITUTE(SUBSTITUTE("vpc"&amp;$B1840&amp;$C1840&amp;$D1840&amp;$E1840,".","_"),"(","_"),")","")</f>
        <v>vpc802_10_1_1</v>
      </c>
      <c r="AO1840" s="254">
        <f ca="1">O1840</f>
        <v>0</v>
      </c>
      <c r="AP1840" s="254" t="str">
        <f>SUBSTITUTE(SUBSTITUTE(SUBSTITUTE("vch"&amp;$B1840&amp;$C1840&amp;$D1840&amp;$E1840,".","_"),"(","_"),")","")</f>
        <v>vch802_10_1_1</v>
      </c>
      <c r="AQ1840" s="254" t="str">
        <f>IF(LEN(W1840)=0,"",W1840)</f>
        <v/>
      </c>
      <c r="AR1840" s="254" t="str">
        <f>SUBSTITUTE(SUBSTITUTE(SUBSTITUTE("vnt"&amp;$B1840&amp;$C1840&amp;$D1840&amp;$E1840,".","_"),"(","_"),")","")</f>
        <v>vnt802_10_1_1</v>
      </c>
      <c r="AS1840" s="254" t="str">
        <f>IF(LEN(X1840)=0,"",X1840)</f>
        <v/>
      </c>
      <c r="AT1840"/>
    </row>
    <row r="1841" spans="1:60" ht="18.75" x14ac:dyDescent="0.3">
      <c r="A1841" s="2371">
        <v>8</v>
      </c>
      <c r="B1841" s="2385">
        <v>803</v>
      </c>
      <c r="C1841" s="2374"/>
      <c r="D1841" s="2374"/>
      <c r="E1841" s="2374"/>
      <c r="F1841" s="2374"/>
      <c r="G1841" s="2373" t="s">
        <v>3974</v>
      </c>
      <c r="H1841" s="2371" t="s">
        <v>3971</v>
      </c>
      <c r="I1841" s="14" t="s">
        <v>4388</v>
      </c>
      <c r="J1841" s="14"/>
      <c r="K1841" s="23"/>
      <c r="L1841" s="229"/>
      <c r="M1841" s="498"/>
      <c r="N1841" s="1043"/>
      <c r="O1841" s="498"/>
      <c r="P1841" s="23"/>
      <c r="Q1841" s="23"/>
      <c r="R1841" s="23"/>
      <c r="S1841" s="23"/>
      <c r="T1841" s="23"/>
      <c r="U1841" s="23"/>
      <c r="V1841" s="23"/>
      <c r="W1841" s="23"/>
      <c r="X1841" s="23"/>
      <c r="Y1841" s="23"/>
      <c r="Z1841" s="1586"/>
      <c r="AA1841" s="1526"/>
      <c r="AB1841" s="648"/>
      <c r="AC1841" s="970"/>
      <c r="AD1841" s="970"/>
      <c r="AE1841" s="970"/>
      <c r="AF1841" s="648"/>
      <c r="AG1841" s="648"/>
      <c r="AH1841" s="648"/>
      <c r="AI1841" s="648"/>
      <c r="AJ1841" s="648"/>
      <c r="AK1841" s="648"/>
      <c r="AL1841" s="1336"/>
      <c r="AM1841" s="1336"/>
      <c r="AN1841" s="1336"/>
      <c r="AO1841" s="1336"/>
      <c r="AP1841" s="1336"/>
      <c r="AQ1841" s="1336"/>
      <c r="AR1841" s="1336"/>
      <c r="AS1841" s="1336"/>
      <c r="AT1841" s="648"/>
      <c r="AU1841" s="648"/>
      <c r="AV1841" s="648"/>
      <c r="AW1841" s="648"/>
      <c r="AX1841" s="648"/>
      <c r="AY1841" s="648"/>
      <c r="AZ1841" s="648"/>
      <c r="BA1841" s="648"/>
      <c r="BB1841" s="648"/>
      <c r="BC1841" s="648"/>
      <c r="BD1841" s="648"/>
      <c r="BE1841" s="648"/>
      <c r="BF1841" s="648"/>
      <c r="BG1841" s="648"/>
      <c r="BH1841" s="648"/>
    </row>
    <row r="1842" spans="1:60" ht="15" customHeight="1" x14ac:dyDescent="0.25">
      <c r="A1842" s="2371">
        <v>8</v>
      </c>
      <c r="B1842" s="2385">
        <v>803.1</v>
      </c>
      <c r="C1842" s="2374"/>
      <c r="D1842" s="2374"/>
      <c r="E1842" s="2374"/>
      <c r="F1842" s="2374"/>
      <c r="G1842" s="2373" t="str">
        <f ca="1">IF(N1842&gt;0,"P","")</f>
        <v/>
      </c>
      <c r="H1842" s="2371" t="s">
        <v>3971</v>
      </c>
      <c r="I1842" s="64">
        <v>803.1</v>
      </c>
      <c r="J1842" s="164"/>
      <c r="K1842" s="4"/>
      <c r="L1842" s="1796" t="s">
        <v>4389</v>
      </c>
      <c r="M1842" s="1014"/>
      <c r="N1842" s="2075">
        <f ca="1">'Ch8'!O213</f>
        <v>0</v>
      </c>
      <c r="O1842" s="1780">
        <f ca="1">MAX(IFERROR(5*MATCH(W1846,INDIRECT(U1846),0),0)*S1846,M1848*S1848*W1848)*S1846</f>
        <v>0</v>
      </c>
      <c r="P1842" s="648"/>
      <c r="Q1842" s="648"/>
      <c r="R1842" s="648"/>
      <c r="S1842" s="648"/>
      <c r="T1842" s="648"/>
      <c r="U1842" s="648"/>
      <c r="V1842" s="648"/>
      <c r="W1842" s="648"/>
      <c r="X1842" s="911"/>
      <c r="Y1842" s="648"/>
      <c r="AA1842" s="1526"/>
      <c r="AB1842" s="648"/>
      <c r="AC1842" s="970"/>
      <c r="AD1842" s="970"/>
      <c r="AE1842" s="970"/>
      <c r="AF1842" s="648"/>
      <c r="AG1842" s="648"/>
      <c r="AH1842" s="648"/>
      <c r="AI1842" s="648"/>
      <c r="AJ1842" s="648"/>
      <c r="AK1842" s="648"/>
      <c r="AL1842" s="1336"/>
      <c r="AM1842" s="1336"/>
      <c r="AN1842" s="254" t="str">
        <f>SUBSTITUTE(SUBSTITUTE(SUBSTITUTE("vpc"&amp;$B1842&amp;$C1842&amp;$D1842&amp;$E1842,".","_"),"(","_"),")","")</f>
        <v>vpc803_1</v>
      </c>
      <c r="AO1842" s="254">
        <f ca="1">O1842</f>
        <v>0</v>
      </c>
      <c r="AP1842" s="1336"/>
      <c r="AQ1842" s="1336"/>
      <c r="AR1842" s="1336"/>
      <c r="AS1842" s="1336"/>
      <c r="AT1842" s="648"/>
      <c r="AU1842" s="648"/>
      <c r="AV1842" s="648"/>
      <c r="AW1842" s="648"/>
      <c r="AX1842" s="648"/>
      <c r="AY1842" s="648"/>
      <c r="AZ1842" s="648"/>
      <c r="BA1842" s="648"/>
      <c r="BB1842" s="648"/>
      <c r="BC1842" s="648"/>
      <c r="BD1842" s="648"/>
      <c r="BE1842" s="648"/>
      <c r="BF1842" s="648"/>
      <c r="BG1842" s="648"/>
      <c r="BH1842" s="648"/>
    </row>
    <row r="1843" spans="1:60" x14ac:dyDescent="0.25">
      <c r="A1843" s="2371">
        <v>8</v>
      </c>
      <c r="B1843" s="2385">
        <v>803.1</v>
      </c>
      <c r="C1843" s="2374"/>
      <c r="D1843" s="2374"/>
      <c r="E1843" s="2374"/>
      <c r="F1843" s="2374"/>
      <c r="G1843" s="2373" t="str">
        <f t="shared" ref="G1843:G1848" ca="1" si="110">G1842</f>
        <v/>
      </c>
      <c r="H1843" s="2371" t="s">
        <v>3971</v>
      </c>
      <c r="I1843" s="64"/>
      <c r="J1843" s="164"/>
      <c r="K1843" s="4"/>
      <c r="L1843" s="1796"/>
      <c r="M1843" s="1014"/>
      <c r="N1843" s="2075"/>
      <c r="O1843" s="1780"/>
      <c r="P1843" s="648"/>
      <c r="Q1843" s="648"/>
      <c r="R1843" s="648"/>
      <c r="S1843" s="648"/>
      <c r="T1843" s="648"/>
      <c r="U1843" s="648"/>
      <c r="V1843" s="648"/>
      <c r="W1843" s="648"/>
      <c r="X1843" s="911"/>
      <c r="Y1843" s="648"/>
      <c r="AA1843" s="1526"/>
      <c r="AB1843" s="648"/>
      <c r="AC1843" s="970"/>
      <c r="AD1843" s="970"/>
      <c r="AE1843" s="970"/>
      <c r="AF1843" s="648"/>
      <c r="AG1843" s="648"/>
      <c r="AH1843" s="648"/>
      <c r="AI1843" s="648"/>
      <c r="AJ1843" s="648"/>
      <c r="AK1843" s="648"/>
      <c r="AL1843" s="1336"/>
      <c r="AM1843" s="1336"/>
      <c r="AN1843" s="1336"/>
      <c r="AO1843" s="1336"/>
      <c r="AP1843" s="1336"/>
      <c r="AQ1843" s="1336"/>
      <c r="AR1843" s="1336"/>
      <c r="AS1843" s="1336"/>
      <c r="AT1843" s="648"/>
      <c r="AU1843" s="648"/>
      <c r="AV1843" s="648"/>
      <c r="AW1843" s="648"/>
      <c r="AX1843" s="648"/>
      <c r="AY1843" s="648"/>
      <c r="AZ1843" s="648"/>
      <c r="BA1843" s="648"/>
      <c r="BB1843" s="648"/>
      <c r="BC1843" s="648"/>
      <c r="BD1843" s="648"/>
      <c r="BE1843" s="648"/>
      <c r="BF1843" s="648"/>
      <c r="BG1843" s="648"/>
      <c r="BH1843" s="648"/>
    </row>
    <row r="1844" spans="1:60" x14ac:dyDescent="0.25">
      <c r="A1844" s="2371">
        <v>8</v>
      </c>
      <c r="B1844" s="2385">
        <v>803.1</v>
      </c>
      <c r="C1844" s="2374"/>
      <c r="D1844" s="2374"/>
      <c r="E1844" s="2374"/>
      <c r="F1844" s="2374"/>
      <c r="G1844" s="2373" t="str">
        <f t="shared" ca="1" si="110"/>
        <v/>
      </c>
      <c r="H1844" s="2371" t="s">
        <v>3971</v>
      </c>
      <c r="I1844" s="64"/>
      <c r="J1844" s="4"/>
      <c r="K1844" s="4"/>
      <c r="L1844" s="1173" t="s">
        <v>4476</v>
      </c>
      <c r="M1844" s="1014"/>
      <c r="N1844" s="2075"/>
      <c r="O1844" s="1780"/>
      <c r="P1844" s="648"/>
      <c r="Q1844" s="648"/>
      <c r="R1844" s="648"/>
      <c r="S1844" s="648"/>
      <c r="T1844" s="648"/>
      <c r="U1844" s="648"/>
      <c r="V1844" s="648"/>
      <c r="W1844" s="648"/>
      <c r="X1844" s="911"/>
      <c r="Y1844" s="648"/>
      <c r="AA1844" s="1526"/>
      <c r="AB1844" s="648"/>
      <c r="AC1844" s="970"/>
      <c r="AD1844" s="970"/>
      <c r="AE1844" s="970"/>
      <c r="AF1844" s="648"/>
      <c r="AG1844" s="648"/>
      <c r="AH1844" s="648"/>
      <c r="AI1844" s="648"/>
      <c r="AJ1844" s="648"/>
      <c r="AK1844" s="648"/>
      <c r="AL1844" s="1336"/>
      <c r="AM1844" s="1336"/>
      <c r="AN1844" s="1336"/>
      <c r="AO1844" s="1336"/>
      <c r="AP1844" s="1336"/>
      <c r="AQ1844" s="1336"/>
      <c r="AR1844" s="1336"/>
      <c r="AS1844" s="1336"/>
      <c r="AT1844" s="648"/>
      <c r="AU1844" s="648"/>
      <c r="AV1844" s="648"/>
      <c r="AW1844" s="648"/>
      <c r="AX1844" s="648"/>
      <c r="AY1844" s="648"/>
      <c r="AZ1844" s="648"/>
      <c r="BA1844" s="648"/>
      <c r="BB1844" s="648"/>
      <c r="BC1844" s="648"/>
      <c r="BD1844" s="648"/>
      <c r="BE1844" s="648"/>
      <c r="BF1844" s="648"/>
      <c r="BG1844" s="648"/>
      <c r="BH1844" s="648"/>
    </row>
    <row r="1845" spans="1:60" x14ac:dyDescent="0.25">
      <c r="A1845" s="2371">
        <v>8</v>
      </c>
      <c r="B1845" s="2385">
        <v>803.1</v>
      </c>
      <c r="C1845" s="2374"/>
      <c r="D1845" s="2374"/>
      <c r="E1845" s="2374"/>
      <c r="F1845" s="2374"/>
      <c r="G1845" s="2373" t="str">
        <f t="shared" ca="1" si="110"/>
        <v/>
      </c>
      <c r="H1845" s="2371" t="s">
        <v>3971</v>
      </c>
      <c r="I1845" s="64"/>
      <c r="J1845" s="4"/>
      <c r="K1845" s="4"/>
      <c r="L1845" s="1173" t="s">
        <v>4477</v>
      </c>
      <c r="M1845" s="1014"/>
      <c r="N1845" s="1042"/>
      <c r="O1845" s="1506"/>
      <c r="P1845" s="648"/>
      <c r="Q1845" s="648"/>
      <c r="R1845" s="648"/>
      <c r="S1845" s="648"/>
      <c r="T1845" s="648"/>
      <c r="U1845" s="648"/>
      <c r="V1845" s="648"/>
      <c r="W1845" s="648"/>
      <c r="X1845" s="911"/>
      <c r="Y1845" s="648"/>
      <c r="AA1845" s="1526"/>
      <c r="AB1845" s="648"/>
      <c r="AC1845" s="970"/>
      <c r="AD1845" s="970"/>
      <c r="AE1845" s="970"/>
      <c r="AF1845" s="648"/>
      <c r="AG1845" s="648"/>
      <c r="AH1845" s="648"/>
      <c r="AI1845" s="648"/>
      <c r="AJ1845" s="648"/>
      <c r="AK1845" s="648"/>
      <c r="AL1845" s="1336"/>
      <c r="AM1845" s="1336"/>
      <c r="AN1845" s="1336"/>
      <c r="AO1845" s="1336"/>
      <c r="AP1845" s="1336"/>
      <c r="AQ1845" s="1336"/>
      <c r="AR1845" s="1336"/>
      <c r="AS1845" s="1336"/>
      <c r="AT1845" s="648"/>
      <c r="AU1845" s="648"/>
      <c r="AV1845" s="648"/>
      <c r="AW1845" s="648"/>
      <c r="AX1845" s="648"/>
      <c r="AY1845" s="648"/>
      <c r="AZ1845" s="648"/>
      <c r="BA1845" s="648"/>
      <c r="BB1845" s="648"/>
      <c r="BC1845" s="648"/>
      <c r="BD1845" s="648"/>
      <c r="BE1845" s="648"/>
      <c r="BF1845" s="648"/>
      <c r="BG1845" s="648"/>
      <c r="BH1845" s="648"/>
    </row>
    <row r="1846" spans="1:60" ht="15" customHeight="1" x14ac:dyDescent="0.25">
      <c r="A1846" s="2371">
        <v>8</v>
      </c>
      <c r="B1846" s="2385">
        <v>803.1</v>
      </c>
      <c r="C1846" s="2374" t="s">
        <v>256</v>
      </c>
      <c r="D1846" s="2374"/>
      <c r="E1846" s="2374"/>
      <c r="F1846" s="2374"/>
      <c r="G1846" s="2373" t="str">
        <f t="shared" ca="1" si="110"/>
        <v/>
      </c>
      <c r="H1846" s="2371" t="s">
        <v>3971</v>
      </c>
      <c r="I1846" s="64"/>
      <c r="J1846" s="183" t="s">
        <v>256</v>
      </c>
      <c r="K1846" s="129"/>
      <c r="L1846" s="1162" t="s">
        <v>809</v>
      </c>
      <c r="M1846" s="1788" t="s">
        <v>3613</v>
      </c>
      <c r="N1846" s="1042"/>
      <c r="O1846" s="1506"/>
      <c r="P1846" s="1500" t="b">
        <v>1</v>
      </c>
      <c r="Q1846" s="1500" t="b">
        <v>1</v>
      </c>
      <c r="R1846" s="1500" t="b">
        <v>0</v>
      </c>
      <c r="S1846" s="1500" t="b">
        <f ca="1">AND(NOT(W1862),S1643=2)</f>
        <v>0</v>
      </c>
      <c r="T1846" s="94" t="b">
        <f ca="1">IF(AND(NOT(S1846),LEN(W1846)&gt;0),TRUE,FALSE)</f>
        <v>0</v>
      </c>
      <c r="U1846" s="94" t="str">
        <f>SUBSTITUTE(SUBSTITUTE(SUBSTITUTE("dd"&amp;B1846&amp;C1846&amp;D1846&amp;E1846&amp;F1846,".","_"),"(","_"),")","")</f>
        <v>dd803_1_1</v>
      </c>
      <c r="V1846" s="648"/>
      <c r="W1846" s="12"/>
      <c r="X1846" s="1757"/>
      <c r="Y1846" s="2077" t="str">
        <f>IF(LEN('Ch8'!X217)=0,"None",'Ch8'!X217)</f>
        <v>None</v>
      </c>
      <c r="Z1846" s="2083"/>
      <c r="AA1846" s="1526"/>
      <c r="AB1846" s="648"/>
      <c r="AC1846" s="970" t="b">
        <f ca="1">OR(AD1846:AE1846)</f>
        <v>0</v>
      </c>
      <c r="AD1846" s="970" t="b">
        <f ca="1">T1846</f>
        <v>0</v>
      </c>
      <c r="AE1846" s="970"/>
      <c r="AF1846" s="648"/>
      <c r="AG1846" s="648"/>
      <c r="AH1846" s="648"/>
      <c r="AI1846" s="648"/>
      <c r="AJ1846" s="648"/>
      <c r="AK1846" s="648"/>
      <c r="AL1846" s="254" t="str">
        <f>SUBSTITUTE(SUBSTITUTE(SUBSTITUTE("vpa"&amp;$B1846&amp;$C1846&amp;$D1846&amp;$E1846,".","_"),"(","_"),")","")</f>
        <v>vpa803_1_1</v>
      </c>
      <c r="AM1846" s="254" t="str">
        <f>M1846</f>
        <v>5
20 Max</v>
      </c>
      <c r="AN1846" s="1336"/>
      <c r="AO1846" s="1336"/>
      <c r="AP1846" s="254" t="str">
        <f>SUBSTITUTE(SUBSTITUTE(SUBSTITUTE("vch"&amp;$B1846&amp;$C1846&amp;$D1846&amp;$E1846,".","_"),"(","_"),")","")</f>
        <v>vch803_1_1</v>
      </c>
      <c r="AQ1846" s="254" t="str">
        <f>IF(LEN(W1846)=0,"",W1846)</f>
        <v/>
      </c>
      <c r="AR1846" s="254" t="str">
        <f>SUBSTITUTE(SUBSTITUTE(SUBSTITUTE("vnt"&amp;$B1846&amp;$C1846&amp;$D1846&amp;$E1846,".","_"),"(","_"),")","")</f>
        <v>vnt803_1_1</v>
      </c>
      <c r="AS1846" s="254" t="str">
        <f>IF(LEN(X1846)=0,"",X1846)</f>
        <v/>
      </c>
      <c r="AT1846" s="648"/>
      <c r="AU1846" s="648"/>
      <c r="AV1846" s="648"/>
      <c r="AW1846" s="648"/>
      <c r="AX1846" s="648"/>
      <c r="AY1846" s="648"/>
      <c r="AZ1846" s="648"/>
      <c r="BA1846" s="648"/>
      <c r="BB1846" s="648"/>
      <c r="BC1846" s="648"/>
      <c r="BD1846" s="648"/>
      <c r="BE1846" s="648"/>
      <c r="BF1846" s="648"/>
      <c r="BG1846" s="648"/>
      <c r="BH1846" s="648"/>
    </row>
    <row r="1847" spans="1:60" x14ac:dyDescent="0.25">
      <c r="A1847" s="2371">
        <v>8</v>
      </c>
      <c r="B1847" s="2385">
        <v>803.1</v>
      </c>
      <c r="C1847" s="2374" t="s">
        <v>256</v>
      </c>
      <c r="D1847" s="2374"/>
      <c r="E1847" s="2374"/>
      <c r="F1847" s="2374"/>
      <c r="G1847" s="2373" t="str">
        <f t="shared" ca="1" si="110"/>
        <v/>
      </c>
      <c r="H1847" s="2371" t="s">
        <v>3971</v>
      </c>
      <c r="I1847" s="64"/>
      <c r="J1847" s="210"/>
      <c r="K1847" s="210"/>
      <c r="L1847" s="1186" t="s">
        <v>810</v>
      </c>
      <c r="M1847" s="1759"/>
      <c r="N1847" s="1042"/>
      <c r="O1847" s="1506"/>
      <c r="P1847" s="1500"/>
      <c r="Q1847" s="1500"/>
      <c r="R1847" s="1500"/>
      <c r="S1847" s="1500"/>
      <c r="T1847" s="1500"/>
      <c r="U1847" s="1500"/>
      <c r="V1847" s="648"/>
      <c r="W1847" s="648"/>
      <c r="X1847" s="1757"/>
      <c r="Y1847" s="2077"/>
      <c r="Z1847" s="2083"/>
      <c r="AA1847" s="1526"/>
      <c r="AB1847" s="648"/>
      <c r="AC1847" s="970"/>
      <c r="AD1847" s="970"/>
      <c r="AE1847" s="970"/>
      <c r="AF1847" s="648"/>
      <c r="AG1847" s="648"/>
      <c r="AH1847" s="648"/>
      <c r="AI1847" s="648"/>
      <c r="AJ1847" s="648"/>
      <c r="AK1847" s="648"/>
      <c r="AL1847" s="1336"/>
      <c r="AM1847" s="1336"/>
      <c r="AN1847" s="1336"/>
      <c r="AO1847" s="1336"/>
      <c r="AP1847" s="1336"/>
      <c r="AQ1847" s="1336"/>
      <c r="AR1847" s="1336"/>
      <c r="AS1847" s="1336"/>
      <c r="AT1847" s="648"/>
      <c r="AU1847" s="648"/>
      <c r="AV1847" s="648"/>
      <c r="AW1847" s="648"/>
      <c r="AX1847" s="648"/>
      <c r="AY1847" s="648"/>
      <c r="AZ1847" s="648"/>
      <c r="BA1847" s="648"/>
      <c r="BB1847" s="648"/>
      <c r="BC1847" s="648"/>
      <c r="BD1847" s="648"/>
      <c r="BE1847" s="648"/>
      <c r="BF1847" s="648"/>
      <c r="BG1847" s="648"/>
      <c r="BH1847" s="648"/>
    </row>
    <row r="1848" spans="1:60" ht="15.75" thickBot="1" x14ac:dyDescent="0.3">
      <c r="A1848" s="2371">
        <v>8</v>
      </c>
      <c r="B1848" s="2385">
        <v>803.1</v>
      </c>
      <c r="C1848" s="2374" t="s">
        <v>258</v>
      </c>
      <c r="D1848" s="2374"/>
      <c r="E1848" s="2374"/>
      <c r="F1848" s="2374"/>
      <c r="G1848" s="2373" t="str">
        <f t="shared" ca="1" si="110"/>
        <v/>
      </c>
      <c r="H1848" s="2371" t="s">
        <v>3971</v>
      </c>
      <c r="I1848" s="189"/>
      <c r="J1848" s="190" t="s">
        <v>258</v>
      </c>
      <c r="K1848" s="240"/>
      <c r="L1848" s="1171" t="s">
        <v>811</v>
      </c>
      <c r="M1848" s="1011">
        <v>10</v>
      </c>
      <c r="N1848" s="1045"/>
      <c r="O1848" s="1505"/>
      <c r="P1848" s="1500" t="b">
        <v>1</v>
      </c>
      <c r="Q1848" s="1500" t="b">
        <v>1</v>
      </c>
      <c r="R1848" s="99" t="b">
        <v>0</v>
      </c>
      <c r="S1848" s="99" t="b">
        <f ca="1">AND(NOT(W1862),S1643=2)</f>
        <v>0</v>
      </c>
      <c r="T1848" s="99" t="b">
        <f ca="1">IF(AND(NOT(S1848),W1848=TRUE),TRUE,FALSE)</f>
        <v>0</v>
      </c>
      <c r="U1848" s="99"/>
      <c r="V1848" s="99"/>
      <c r="W1848" s="25"/>
      <c r="X1848" s="914"/>
      <c r="Y1848" s="654" t="str">
        <f>IF(LEN('Ch8'!X219)=0,"None",'Ch8'!X219)</f>
        <v>None</v>
      </c>
      <c r="Z1848" s="1595"/>
      <c r="AA1848" s="1526"/>
      <c r="AB1848" s="648"/>
      <c r="AC1848" s="970" t="b">
        <f ca="1">OR(AD1848:AE1848)</f>
        <v>0</v>
      </c>
      <c r="AD1848" s="970" t="b">
        <f ca="1">T1848</f>
        <v>0</v>
      </c>
      <c r="AE1848" s="970"/>
      <c r="AF1848" s="784"/>
      <c r="AG1848" s="648"/>
      <c r="AH1848" s="648"/>
      <c r="AI1848" s="648"/>
      <c r="AJ1848" s="648"/>
      <c r="AK1848" s="648"/>
      <c r="AL1848" s="254" t="str">
        <f>SUBSTITUTE(SUBSTITUTE(SUBSTITUTE("vpa"&amp;$B1848&amp;$C1848&amp;$D1848&amp;$E1848,".","_"),"(","_"),")","")</f>
        <v>vpa803_1_2</v>
      </c>
      <c r="AM1848" s="254">
        <f>M1848</f>
        <v>10</v>
      </c>
      <c r="AN1848" s="1336"/>
      <c r="AO1848" s="1336"/>
      <c r="AP1848" s="254" t="str">
        <f>SUBSTITUTE(SUBSTITUTE(SUBSTITUTE("vch"&amp;$B1848&amp;$C1848&amp;$D1848&amp;$E1848,".","_"),"(","_"),")","")</f>
        <v>vch803_1_2</v>
      </c>
      <c r="AQ1848" s="254" t="str">
        <f>IF(LEN(W1848)=0,"",W1848)</f>
        <v/>
      </c>
      <c r="AR1848" s="254" t="str">
        <f>SUBSTITUTE(SUBSTITUTE(SUBSTITUTE("vnt"&amp;$B1848&amp;$C1848&amp;$D1848&amp;$E1848,".","_"),"(","_"),")","")</f>
        <v>vnt803_1_2</v>
      </c>
      <c r="AS1848" s="254" t="str">
        <f>IF(LEN(X1848)=0,"",X1848)</f>
        <v/>
      </c>
      <c r="AT1848" s="648"/>
      <c r="AU1848" s="648"/>
      <c r="AV1848" s="648"/>
      <c r="AW1848" s="648"/>
      <c r="AX1848" s="648"/>
      <c r="AY1848" s="648"/>
      <c r="AZ1848" s="648"/>
      <c r="BA1848" s="648"/>
      <c r="BB1848" s="648"/>
      <c r="BC1848" s="648"/>
      <c r="BD1848" s="648"/>
      <c r="BE1848" s="648"/>
      <c r="BF1848" s="648"/>
      <c r="BG1848" s="648"/>
      <c r="BH1848" s="648"/>
    </row>
    <row r="1849" spans="1:60" ht="15.75" customHeight="1" thickTop="1" x14ac:dyDescent="0.25">
      <c r="A1849" s="2371">
        <v>8</v>
      </c>
      <c r="B1849" s="2385">
        <v>803.2</v>
      </c>
      <c r="C1849" s="2374"/>
      <c r="D1849" s="2374"/>
      <c r="E1849" s="2374"/>
      <c r="F1849" s="2374"/>
      <c r="G1849" s="2373" t="str">
        <f>IF(N1849&gt;0,"P","")</f>
        <v/>
      </c>
      <c r="H1849" s="2371" t="s">
        <v>3971</v>
      </c>
      <c r="I1849" s="180">
        <v>803.2</v>
      </c>
      <c r="J1849" s="952"/>
      <c r="K1849" s="181"/>
      <c r="L1849" s="1781" t="s">
        <v>4390</v>
      </c>
      <c r="M1849" s="1848" t="s">
        <v>812</v>
      </c>
      <c r="N1849" s="2080">
        <f>'Ch8'!O220</f>
        <v>0</v>
      </c>
      <c r="O1849" s="1773">
        <f>W1850*3</f>
        <v>0</v>
      </c>
      <c r="P1849" s="105"/>
      <c r="Q1849" s="105"/>
      <c r="R1849" s="105"/>
      <c r="S1849" s="105"/>
      <c r="T1849" s="105"/>
      <c r="U1849" s="105"/>
      <c r="V1849" s="105"/>
      <c r="W1849" s="105" t="s">
        <v>3612</v>
      </c>
      <c r="X1849" s="1784"/>
      <c r="Y1849" s="2098" t="str">
        <f>IF(LEN('Ch8'!X220)=0,"None",'Ch8'!X220)</f>
        <v>None</v>
      </c>
      <c r="Z1849" s="2088"/>
      <c r="AA1849" s="1526"/>
      <c r="AB1849" s="648"/>
      <c r="AC1849" s="970"/>
      <c r="AD1849" s="970"/>
      <c r="AE1849" s="970"/>
      <c r="AF1849" s="648"/>
      <c r="AG1849" s="648"/>
      <c r="AH1849" s="648"/>
      <c r="AI1849" s="648"/>
      <c r="AJ1849" s="648"/>
      <c r="AK1849" s="648"/>
      <c r="AL1849" s="254" t="str">
        <f>SUBSTITUTE(SUBSTITUTE(SUBSTITUTE("vpa"&amp;$B1849&amp;$C1849&amp;$D1849&amp;$E1849,".","_"),"(","_"),")","")</f>
        <v>vpa803_2</v>
      </c>
      <c r="AM1849" s="254" t="str">
        <f>M1849</f>
        <v>3 per roughed in system</v>
      </c>
      <c r="AN1849" s="254" t="str">
        <f>SUBSTITUTE(SUBSTITUTE(SUBSTITUTE("vpc"&amp;$B1849&amp;$C1849&amp;$D1849&amp;$E1849,".","_"),"(","_"),")","")</f>
        <v>vpc803_2</v>
      </c>
      <c r="AO1849" s="254">
        <f>O1849</f>
        <v>0</v>
      </c>
      <c r="AP1849" s="1336"/>
      <c r="AQ1849" s="1336"/>
      <c r="AR1849" s="254" t="str">
        <f>SUBSTITUTE(SUBSTITUTE(SUBSTITUTE("vnt"&amp;$B1849&amp;$C1849&amp;$D1849&amp;$E1849,".","_"),"(","_"),")","")</f>
        <v>vnt803_2</v>
      </c>
      <c r="AS1849" s="254" t="str">
        <f>IF(LEN(X1849)=0,"",X1849)</f>
        <v/>
      </c>
      <c r="AT1849" s="648"/>
      <c r="AU1849" s="648"/>
      <c r="AV1849" s="648"/>
      <c r="AW1849" s="648"/>
      <c r="AX1849" s="648"/>
      <c r="AY1849" s="648"/>
      <c r="AZ1849" s="648"/>
      <c r="BA1849" s="648"/>
      <c r="BB1849" s="648"/>
      <c r="BC1849" s="648"/>
      <c r="BD1849" s="648"/>
      <c r="BE1849" s="648"/>
      <c r="BF1849" s="648"/>
      <c r="BG1849" s="648"/>
      <c r="BH1849" s="648"/>
    </row>
    <row r="1850" spans="1:60" x14ac:dyDescent="0.25">
      <c r="A1850" s="2371">
        <v>8</v>
      </c>
      <c r="B1850" s="2385">
        <v>803.2</v>
      </c>
      <c r="C1850" s="2374"/>
      <c r="D1850" s="2374"/>
      <c r="E1850" s="2374"/>
      <c r="F1850" s="2374"/>
      <c r="G1850" s="2373" t="str">
        <f>G1849</f>
        <v/>
      </c>
      <c r="H1850" s="2371" t="s">
        <v>3971</v>
      </c>
      <c r="I1850" s="64"/>
      <c r="J1850" s="164"/>
      <c r="K1850" s="4"/>
      <c r="L1850" s="1796"/>
      <c r="M1850" s="1788"/>
      <c r="N1850" s="1927"/>
      <c r="O1850" s="1774"/>
      <c r="P1850" s="1500" t="b">
        <v>1</v>
      </c>
      <c r="Q1850" s="1500" t="b">
        <v>1</v>
      </c>
      <c r="R1850" s="94" t="b">
        <v>0</v>
      </c>
      <c r="S1850" s="94" t="b">
        <f ca="1">S1643=2</f>
        <v>0</v>
      </c>
      <c r="T1850" s="94" t="b">
        <f ca="1">IF(AND(NOT(S1850),LEN(W1850)&gt;0),TRUE,FALSE)</f>
        <v>0</v>
      </c>
      <c r="U1850" s="94"/>
      <c r="V1850" s="94"/>
      <c r="W1850" s="368"/>
      <c r="X1850" s="1757"/>
      <c r="Y1850" s="2081"/>
      <c r="Z1850" s="2084"/>
      <c r="AA1850" s="1526"/>
      <c r="AB1850" s="648"/>
      <c r="AC1850" s="970" t="b">
        <f ca="1">OR(AD1850:AE1850)</f>
        <v>0</v>
      </c>
      <c r="AD1850" s="970" t="b">
        <f ca="1">T1850</f>
        <v>0</v>
      </c>
      <c r="AE1850" s="970"/>
      <c r="AF1850" s="648"/>
      <c r="AG1850" s="648"/>
      <c r="AH1850" s="648"/>
      <c r="AI1850" s="648"/>
      <c r="AJ1850" s="648"/>
      <c r="AK1850" s="648"/>
      <c r="AL1850" s="1336"/>
      <c r="AM1850" s="1336"/>
      <c r="AN1850" s="1336"/>
      <c r="AO1850" s="1336"/>
      <c r="AP1850" s="254" t="str">
        <f>SUBSTITUTE(SUBSTITUTE(SUBSTITUTE("vch"&amp;$B1850&amp;$C1850&amp;$D1850&amp;$E1850,".","_"),"(","_"),")","")</f>
        <v>vch803_2</v>
      </c>
      <c r="AQ1850" s="254" t="str">
        <f>IF(LEN(W1850)=0,"",W1850)</f>
        <v/>
      </c>
      <c r="AR1850" s="1336"/>
      <c r="AS1850" s="1336"/>
      <c r="AT1850" s="648"/>
      <c r="AU1850" s="648"/>
      <c r="AV1850" s="648"/>
      <c r="AW1850" s="648"/>
      <c r="AX1850" s="648"/>
      <c r="AY1850" s="648"/>
      <c r="AZ1850" s="648"/>
      <c r="BA1850" s="648"/>
      <c r="BB1850" s="648"/>
      <c r="BC1850" s="648"/>
      <c r="BD1850" s="648"/>
      <c r="BE1850" s="648"/>
      <c r="BF1850" s="648"/>
      <c r="BG1850" s="648"/>
      <c r="BH1850" s="648"/>
    </row>
    <row r="1851" spans="1:60" ht="15.75" thickBot="1" x14ac:dyDescent="0.3">
      <c r="A1851" s="2371">
        <v>8</v>
      </c>
      <c r="B1851" s="2385">
        <v>803.2</v>
      </c>
      <c r="C1851" s="2374"/>
      <c r="D1851" s="2374"/>
      <c r="E1851" s="2374"/>
      <c r="F1851" s="2374"/>
      <c r="G1851" s="2373" t="str">
        <f>G1850</f>
        <v/>
      </c>
      <c r="H1851" s="2371" t="s">
        <v>3971</v>
      </c>
      <c r="I1851" s="189"/>
      <c r="J1851" s="481"/>
      <c r="K1851" s="240"/>
      <c r="L1851" s="1797"/>
      <c r="M1851" s="1915"/>
      <c r="N1851" s="1928"/>
      <c r="O1851" s="1775"/>
      <c r="P1851" s="99"/>
      <c r="Q1851" s="99"/>
      <c r="R1851" s="99"/>
      <c r="S1851" s="99"/>
      <c r="T1851" s="99"/>
      <c r="U1851" s="99"/>
      <c r="V1851" s="99"/>
      <c r="W1851" s="99"/>
      <c r="X1851" s="1771"/>
      <c r="Y1851" s="2082"/>
      <c r="Z1851" s="2086"/>
      <c r="AA1851" s="1526"/>
      <c r="AB1851" s="648"/>
      <c r="AC1851" s="970"/>
      <c r="AD1851" s="970"/>
      <c r="AE1851" s="970"/>
      <c r="AF1851" s="648"/>
      <c r="AG1851" s="648"/>
      <c r="AH1851" s="648"/>
      <c r="AI1851" s="648"/>
      <c r="AJ1851" s="648"/>
      <c r="AK1851" s="648"/>
      <c r="AL1851" s="1336"/>
      <c r="AM1851" s="1336"/>
      <c r="AN1851" s="1336"/>
      <c r="AO1851" s="1336"/>
      <c r="AP1851" s="1336"/>
      <c r="AQ1851" s="1336"/>
      <c r="AR1851" s="1336"/>
      <c r="AS1851" s="1336"/>
      <c r="AT1851" s="648"/>
      <c r="AU1851" s="648"/>
      <c r="AV1851" s="648"/>
      <c r="AW1851" s="648"/>
      <c r="AX1851" s="648"/>
      <c r="AY1851" s="648"/>
      <c r="AZ1851" s="648"/>
      <c r="BA1851" s="648"/>
      <c r="BB1851" s="648"/>
      <c r="BC1851" s="648"/>
      <c r="BD1851" s="648"/>
      <c r="BE1851" s="648"/>
      <c r="BF1851" s="648"/>
      <c r="BG1851" s="648"/>
      <c r="BH1851" s="648"/>
    </row>
    <row r="1852" spans="1:60" ht="15.75" customHeight="1" thickTop="1" x14ac:dyDescent="0.25">
      <c r="A1852" s="2371">
        <v>8</v>
      </c>
      <c r="B1852" s="2385">
        <v>803.3</v>
      </c>
      <c r="C1852" s="2374"/>
      <c r="D1852" s="2374"/>
      <c r="E1852" s="2374"/>
      <c r="F1852" s="2374"/>
      <c r="G1852" s="2373" t="str">
        <f ca="1">IF(N1852&gt;0,"P","")</f>
        <v/>
      </c>
      <c r="H1852" s="2371" t="s">
        <v>3973</v>
      </c>
      <c r="I1852" s="64">
        <v>803.3</v>
      </c>
      <c r="J1852" s="164"/>
      <c r="K1852" s="4"/>
      <c r="L1852" s="1796" t="s">
        <v>4478</v>
      </c>
      <c r="M1852" s="1767">
        <v>2</v>
      </c>
      <c r="N1852" s="2075">
        <f ca="1">'Ch8'!O223</f>
        <v>0</v>
      </c>
      <c r="O1852" s="1780">
        <f ca="1">2*(LEN(W1852)&gt;0)*S1852</f>
        <v>0</v>
      </c>
      <c r="P1852" s="94" t="b">
        <v>0</v>
      </c>
      <c r="Q1852" s="1500" t="b">
        <v>1</v>
      </c>
      <c r="R1852" s="94" t="b">
        <v>0</v>
      </c>
      <c r="S1852" s="1500" t="b">
        <f ca="1">S1643=2</f>
        <v>0</v>
      </c>
      <c r="T1852" s="94" t="b">
        <f ca="1">IF(AND(NOT(S1852),LEN(W1852)&gt;0),TRUE,FALSE)</f>
        <v>0</v>
      </c>
      <c r="U1852" s="94" t="str">
        <f>SUBSTITUTE(SUBSTITUTE(SUBSTITUTE("dd"&amp;B1852&amp;C1852&amp;D1852&amp;E1852&amp;F1852,".","_"),"(","_"),")","")</f>
        <v>dd803_3</v>
      </c>
      <c r="V1852" s="648"/>
      <c r="W1852" s="12"/>
      <c r="X1852" s="1757"/>
      <c r="Y1852" s="2098" t="str">
        <f>IF(LEN('Ch8'!X223)=0,"None",'Ch8'!X223)</f>
        <v>None</v>
      </c>
      <c r="Z1852" s="2083"/>
      <c r="AA1852" s="1526"/>
      <c r="AB1852" s="648"/>
      <c r="AC1852" s="1108" t="b">
        <f ca="1">OR(AD1852:AE1852)</f>
        <v>0</v>
      </c>
      <c r="AD1852" s="1108" t="b">
        <f ca="1">T1852</f>
        <v>0</v>
      </c>
      <c r="AE1852" s="970"/>
      <c r="AF1852" s="648"/>
      <c r="AG1852" s="648"/>
      <c r="AH1852" s="648"/>
      <c r="AI1852" s="648"/>
      <c r="AJ1852" s="648"/>
      <c r="AK1852" s="648"/>
      <c r="AL1852" s="254" t="str">
        <f>SUBSTITUTE(SUBSTITUTE(SUBSTITUTE("vpa"&amp;$B1852&amp;$C1852&amp;$D1852&amp;$E1852,".","_"),"(","_"),")","")</f>
        <v>vpa803_3</v>
      </c>
      <c r="AM1852" s="254">
        <f>M1852</f>
        <v>2</v>
      </c>
      <c r="AN1852" s="254" t="str">
        <f>SUBSTITUTE(SUBSTITUTE(SUBSTITUTE("vpc"&amp;$B1852&amp;$C1852&amp;$D1852&amp;$E1852,".","_"),"(","_"),")","")</f>
        <v>vpc803_3</v>
      </c>
      <c r="AO1852" s="254">
        <f ca="1">O1852</f>
        <v>0</v>
      </c>
      <c r="AP1852" s="254" t="str">
        <f>SUBSTITUTE(SUBSTITUTE(SUBSTITUTE("vch"&amp;$B1852&amp;$C1852&amp;$D1852&amp;$E1852,".","_"),"(","_"),")","")</f>
        <v>vch803_3</v>
      </c>
      <c r="AQ1852" s="254" t="str">
        <f>IF(LEN(W1852)=0,"",W1852)</f>
        <v/>
      </c>
      <c r="AR1852" s="254" t="str">
        <f>SUBSTITUTE(SUBSTITUTE(SUBSTITUTE("vnt"&amp;$B1852&amp;$C1852&amp;$D1852&amp;$E1852,".","_"),"(","_"),")","")</f>
        <v>vnt803_3</v>
      </c>
      <c r="AS1852" s="254" t="str">
        <f>IF(LEN(X1852)=0,"",X1852)</f>
        <v/>
      </c>
      <c r="AT1852" s="648"/>
      <c r="AU1852" s="648"/>
      <c r="AV1852" s="648"/>
      <c r="AW1852" s="648"/>
      <c r="AX1852" s="648"/>
      <c r="AY1852" s="648"/>
      <c r="AZ1852" s="648"/>
      <c r="BA1852" s="648"/>
      <c r="BB1852" s="648"/>
      <c r="BC1852" s="648"/>
      <c r="BD1852" s="648"/>
      <c r="BE1852" s="648"/>
      <c r="BF1852" s="648"/>
      <c r="BG1852" s="648"/>
      <c r="BH1852" s="648"/>
    </row>
    <row r="1853" spans="1:60" x14ac:dyDescent="0.25">
      <c r="A1853" s="2371">
        <v>8</v>
      </c>
      <c r="B1853" s="2385">
        <v>803.3</v>
      </c>
      <c r="C1853" s="2374"/>
      <c r="D1853" s="2374"/>
      <c r="E1853" s="2374"/>
      <c r="F1853" s="2374"/>
      <c r="G1853" s="2373" t="str">
        <f ca="1">G1852</f>
        <v/>
      </c>
      <c r="H1853" s="2371" t="s">
        <v>3973</v>
      </c>
      <c r="I1853" s="64"/>
      <c r="J1853" s="164"/>
      <c r="K1853" s="4"/>
      <c r="L1853" s="1796"/>
      <c r="M1853" s="1767"/>
      <c r="N1853" s="2075"/>
      <c r="O1853" s="1780"/>
      <c r="P1853" s="1500"/>
      <c r="Q1853" s="1500"/>
      <c r="R1853" s="1500"/>
      <c r="S1853" s="1500"/>
      <c r="T1853" s="1500"/>
      <c r="U1853" s="1500"/>
      <c r="V1853" s="648"/>
      <c r="W1853" s="648"/>
      <c r="X1853" s="1757"/>
      <c r="Y1853" s="2081"/>
      <c r="Z1853" s="2083"/>
      <c r="AA1853" s="1526"/>
      <c r="AB1853" s="648"/>
      <c r="AC1853" s="970"/>
      <c r="AD1853" s="970"/>
      <c r="AE1853" s="970"/>
      <c r="AF1853" s="648"/>
      <c r="AG1853" s="648"/>
      <c r="AH1853" s="648"/>
      <c r="AI1853" s="648"/>
      <c r="AJ1853" s="648"/>
      <c r="AK1853" s="648"/>
      <c r="AL1853" s="1336"/>
      <c r="AM1853" s="1336"/>
      <c r="AN1853" s="1336"/>
      <c r="AO1853" s="1336"/>
      <c r="AP1853" s="1336"/>
      <c r="AQ1853" s="1336"/>
      <c r="AR1853" s="1336"/>
      <c r="AS1853" s="1336"/>
      <c r="AT1853" s="648"/>
      <c r="AU1853" s="648"/>
      <c r="AV1853" s="648"/>
      <c r="AW1853" s="648"/>
      <c r="AX1853" s="648"/>
      <c r="AY1853" s="648"/>
      <c r="AZ1853" s="648"/>
      <c r="BA1853" s="648"/>
      <c r="BB1853" s="648"/>
      <c r="BC1853" s="648"/>
      <c r="BD1853" s="648"/>
      <c r="BE1853" s="648"/>
      <c r="BF1853" s="648"/>
      <c r="BG1853" s="648"/>
      <c r="BH1853" s="648"/>
    </row>
    <row r="1854" spans="1:60" x14ac:dyDescent="0.25">
      <c r="A1854" s="2371">
        <v>8</v>
      </c>
      <c r="B1854" s="2385">
        <v>803.3</v>
      </c>
      <c r="C1854" s="2374"/>
      <c r="D1854" s="2374"/>
      <c r="E1854" s="2374"/>
      <c r="F1854" s="2374"/>
      <c r="G1854" s="2373" t="str">
        <f ca="1">G1853</f>
        <v/>
      </c>
      <c r="H1854" s="2371" t="s">
        <v>3973</v>
      </c>
      <c r="I1854" s="64"/>
      <c r="J1854" s="164"/>
      <c r="K1854" s="4"/>
      <c r="L1854" s="1796"/>
      <c r="M1854" s="1767"/>
      <c r="N1854" s="2075"/>
      <c r="O1854" s="1780"/>
      <c r="P1854" s="1500"/>
      <c r="Q1854" s="1500"/>
      <c r="R1854" s="1500"/>
      <c r="S1854" s="1500"/>
      <c r="T1854" s="1500"/>
      <c r="U1854" s="1500"/>
      <c r="V1854" s="648"/>
      <c r="W1854" s="648"/>
      <c r="X1854" s="1757"/>
      <c r="Y1854" s="2081"/>
      <c r="Z1854" s="2083"/>
      <c r="AA1854" s="1526"/>
      <c r="AB1854" s="648"/>
      <c r="AC1854" s="970"/>
      <c r="AD1854" s="970"/>
      <c r="AE1854" s="970"/>
      <c r="AF1854" s="648"/>
      <c r="AG1854" s="648"/>
      <c r="AH1854" s="648"/>
      <c r="AI1854" s="648"/>
      <c r="AJ1854" s="648"/>
      <c r="AK1854" s="648"/>
      <c r="AL1854" s="1336"/>
      <c r="AM1854" s="1336"/>
      <c r="AN1854" s="1336"/>
      <c r="AO1854" s="1336"/>
      <c r="AP1854" s="1336"/>
      <c r="AQ1854" s="1336"/>
      <c r="AR1854" s="1336"/>
      <c r="AS1854" s="1336"/>
      <c r="AT1854" s="648"/>
      <c r="AU1854" s="648"/>
      <c r="AV1854" s="648"/>
      <c r="AW1854" s="648"/>
      <c r="AX1854" s="648"/>
      <c r="AY1854" s="648"/>
      <c r="AZ1854" s="648"/>
      <c r="BA1854" s="648"/>
      <c r="BB1854" s="648"/>
      <c r="BC1854" s="648"/>
      <c r="BD1854" s="648"/>
      <c r="BE1854" s="648"/>
      <c r="BF1854" s="648"/>
      <c r="BG1854" s="648"/>
      <c r="BH1854" s="648"/>
    </row>
    <row r="1855" spans="1:60" x14ac:dyDescent="0.25">
      <c r="A1855" s="2371">
        <v>8</v>
      </c>
      <c r="B1855" s="2385">
        <v>803.3</v>
      </c>
      <c r="C1855" s="2374" t="s">
        <v>256</v>
      </c>
      <c r="D1855" s="2374"/>
      <c r="E1855" s="2374"/>
      <c r="F1855" s="2374"/>
      <c r="G1855" s="2373" t="str">
        <f ca="1">G1854</f>
        <v/>
      </c>
      <c r="H1855" s="2371" t="s">
        <v>3973</v>
      </c>
      <c r="I1855" s="64"/>
      <c r="J1855" s="910" t="s">
        <v>256</v>
      </c>
      <c r="K1855" s="210"/>
      <c r="L1855" s="1158" t="s">
        <v>4479</v>
      </c>
      <c r="M1855" s="1010"/>
      <c r="N1855" s="1044"/>
      <c r="O1855" s="1504"/>
      <c r="P1855" s="94"/>
      <c r="Q1855" s="1500"/>
      <c r="R1855" s="94"/>
      <c r="S1855" s="94"/>
      <c r="T1855" s="94"/>
      <c r="U1855" s="94"/>
      <c r="V1855"/>
      <c r="W1855"/>
      <c r="X1855" s="1757"/>
      <c r="Y1855" s="2081"/>
      <c r="Z1855" s="2083"/>
      <c r="AA1855" s="1526"/>
      <c r="AB1855" s="648"/>
      <c r="AC1855" s="970"/>
      <c r="AD1855" s="970"/>
      <c r="AE1855" s="970"/>
      <c r="AF1855" s="784"/>
      <c r="AG1855" s="648"/>
      <c r="AH1855" s="648"/>
      <c r="AI1855" s="648"/>
      <c r="AJ1855" s="648"/>
      <c r="AK1855" s="648"/>
      <c r="AL1855" s="1336"/>
      <c r="AM1855" s="1336"/>
      <c r="AN1855" s="1336"/>
      <c r="AO1855" s="1336"/>
      <c r="AP1855" s="254"/>
      <c r="AQ1855" s="254"/>
      <c r="AR1855" s="254"/>
      <c r="AS1855" s="254"/>
      <c r="AT1855" s="648"/>
      <c r="AU1855" s="648"/>
      <c r="AV1855" s="648"/>
      <c r="AW1855" s="648"/>
      <c r="AX1855" s="648"/>
      <c r="AY1855" s="648"/>
      <c r="AZ1855" s="648"/>
      <c r="BA1855" s="648"/>
      <c r="BB1855" s="648"/>
      <c r="BC1855" s="648"/>
      <c r="BD1855" s="648"/>
      <c r="BE1855" s="648"/>
      <c r="BF1855" s="648"/>
      <c r="BG1855" s="648"/>
      <c r="BH1855" s="648"/>
    </row>
    <row r="1856" spans="1:60" ht="15.75" thickBot="1" x14ac:dyDescent="0.3">
      <c r="A1856" s="2371">
        <v>8</v>
      </c>
      <c r="B1856" s="2385">
        <v>803.3</v>
      </c>
      <c r="C1856" s="2374" t="s">
        <v>258</v>
      </c>
      <c r="D1856" s="2374"/>
      <c r="E1856" s="2374"/>
      <c r="F1856" s="2374"/>
      <c r="G1856" s="2373" t="str">
        <f ca="1">G1855</f>
        <v/>
      </c>
      <c r="H1856" s="2371" t="s">
        <v>3973</v>
      </c>
      <c r="I1856" s="189"/>
      <c r="J1856" s="359" t="s">
        <v>258</v>
      </c>
      <c r="K1856" s="240"/>
      <c r="L1856" s="1157" t="s">
        <v>4480</v>
      </c>
      <c r="M1856" s="1011"/>
      <c r="N1856" s="1045"/>
      <c r="O1856" s="1505"/>
      <c r="P1856" s="99"/>
      <c r="Q1856" s="99"/>
      <c r="R1856" s="99"/>
      <c r="S1856" s="99"/>
      <c r="T1856" s="99"/>
      <c r="U1856" s="99"/>
      <c r="V1856"/>
      <c r="W1856" s="99"/>
      <c r="X1856" s="1757"/>
      <c r="Y1856" s="2082"/>
      <c r="Z1856" s="2083"/>
      <c r="AA1856" s="1526"/>
      <c r="AB1856" s="648"/>
      <c r="AC1856" s="970"/>
      <c r="AD1856" s="970"/>
      <c r="AE1856" s="970"/>
      <c r="AF1856" s="784"/>
      <c r="AG1856" s="648"/>
      <c r="AH1856" s="648"/>
      <c r="AI1856" s="648"/>
      <c r="AJ1856" s="648"/>
      <c r="AK1856" s="648"/>
      <c r="AL1856" s="1336"/>
      <c r="AM1856" s="1336"/>
      <c r="AN1856" s="1336"/>
      <c r="AO1856" s="1336"/>
      <c r="AP1856" s="254"/>
      <c r="AQ1856" s="254"/>
      <c r="AR1856" s="254"/>
      <c r="AS1856" s="254"/>
      <c r="AT1856" s="648"/>
      <c r="AU1856" s="648"/>
      <c r="AV1856" s="648"/>
      <c r="AW1856" s="648"/>
      <c r="AX1856" s="648"/>
      <c r="AY1856" s="648"/>
      <c r="AZ1856" s="648"/>
      <c r="BA1856" s="648"/>
      <c r="BB1856" s="648"/>
      <c r="BC1856" s="648"/>
      <c r="BD1856" s="648"/>
      <c r="BE1856" s="648"/>
      <c r="BF1856" s="648"/>
      <c r="BG1856" s="648"/>
      <c r="BH1856" s="648"/>
    </row>
    <row r="1857" spans="1:60" ht="15.75" customHeight="1" thickTop="1" x14ac:dyDescent="0.25">
      <c r="A1857" s="2371">
        <v>8</v>
      </c>
      <c r="B1857" s="2385">
        <v>803.4</v>
      </c>
      <c r="C1857" s="2374"/>
      <c r="D1857" s="2374"/>
      <c r="E1857" s="2374"/>
      <c r="F1857" s="2374"/>
      <c r="G1857" s="2373" t="str">
        <f ca="1">IF(N1857&gt;0,"P","")</f>
        <v/>
      </c>
      <c r="H1857" s="2371" t="s">
        <v>3973</v>
      </c>
      <c r="I1857" s="180">
        <v>803.4</v>
      </c>
      <c r="J1857" s="952"/>
      <c r="K1857" s="181"/>
      <c r="L1857" s="1781" t="s">
        <v>4391</v>
      </c>
      <c r="M1857" s="1772">
        <v>20</v>
      </c>
      <c r="N1857" s="2080">
        <f ca="1">'Ch8'!O228</f>
        <v>0</v>
      </c>
      <c r="O1857" s="1773">
        <f ca="1">M1857*S1857*W1857</f>
        <v>0</v>
      </c>
      <c r="P1857" s="94" t="b">
        <v>0</v>
      </c>
      <c r="Q1857" s="1500" t="b">
        <v>1</v>
      </c>
      <c r="R1857" s="105" t="b">
        <v>0</v>
      </c>
      <c r="S1857" s="105" t="b">
        <f ca="1">S1643=2</f>
        <v>0</v>
      </c>
      <c r="T1857" s="105" t="b">
        <f ca="1">IF(AND(NOT(S1857),W1857=TRUE),TRUE,FALSE)</f>
        <v>0</v>
      </c>
      <c r="U1857" s="105"/>
      <c r="V1857" s="105"/>
      <c r="W1857" s="117"/>
      <c r="X1857" s="1784"/>
      <c r="Y1857" s="2097" t="str">
        <f>IF(LEN('Ch8'!X228)=0,"None",'Ch8'!X228)</f>
        <v>None</v>
      </c>
      <c r="Z1857" s="2085"/>
      <c r="AA1857" s="1526"/>
      <c r="AB1857" s="648"/>
      <c r="AC1857" s="970" t="b">
        <f ca="1">OR(AD1857:AE1857)</f>
        <v>0</v>
      </c>
      <c r="AD1857" s="970" t="b">
        <f ca="1">T1857</f>
        <v>0</v>
      </c>
      <c r="AE1857" s="970"/>
      <c r="AF1857" s="784"/>
      <c r="AG1857" s="648"/>
      <c r="AH1857" s="648"/>
      <c r="AI1857" s="648"/>
      <c r="AJ1857" s="648"/>
      <c r="AK1857" s="648"/>
      <c r="AL1857" s="254" t="str">
        <f>SUBSTITUTE(SUBSTITUTE(SUBSTITUTE("vpa"&amp;$B1857&amp;$C1857&amp;$D1857&amp;$E1857,".","_"),"(","_"),")","")</f>
        <v>vpa803_4</v>
      </c>
      <c r="AM1857" s="254">
        <f>M1857</f>
        <v>20</v>
      </c>
      <c r="AN1857" s="254" t="str">
        <f>SUBSTITUTE(SUBSTITUTE(SUBSTITUTE("vpc"&amp;$B1857&amp;$C1857&amp;$D1857&amp;$E1857,".","_"),"(","_"),")","")</f>
        <v>vpc803_4</v>
      </c>
      <c r="AO1857" s="254">
        <f ca="1">O1857</f>
        <v>0</v>
      </c>
      <c r="AP1857" s="254" t="str">
        <f>SUBSTITUTE(SUBSTITUTE(SUBSTITUTE("vch"&amp;$B1857&amp;$C1857&amp;$D1857&amp;$E1857,".","_"),"(","_"),")","")</f>
        <v>vch803_4</v>
      </c>
      <c r="AQ1857" s="254" t="str">
        <f>IF(LEN(W1857)=0,"",W1857)</f>
        <v/>
      </c>
      <c r="AR1857" s="254" t="str">
        <f>SUBSTITUTE(SUBSTITUTE(SUBSTITUTE("vnt"&amp;$B1857&amp;$C1857&amp;$D1857&amp;$E1857,".","_"),"(","_"),")","")</f>
        <v>vnt803_4</v>
      </c>
      <c r="AS1857" s="254" t="str">
        <f>IF(LEN(X1857)=0,"",X1857)</f>
        <v/>
      </c>
      <c r="AT1857" s="648"/>
      <c r="AU1857" s="648"/>
      <c r="AV1857" s="648"/>
      <c r="AW1857" s="648"/>
      <c r="AX1857" s="648"/>
      <c r="AY1857" s="648"/>
      <c r="AZ1857" s="648"/>
      <c r="BA1857" s="648"/>
      <c r="BB1857" s="648"/>
      <c r="BC1857" s="648"/>
      <c r="BD1857" s="648"/>
      <c r="BE1857" s="648"/>
      <c r="BF1857" s="648"/>
      <c r="BG1857" s="648"/>
      <c r="BH1857" s="648"/>
    </row>
    <row r="1858" spans="1:60" x14ac:dyDescent="0.25">
      <c r="A1858" s="2371">
        <v>8</v>
      </c>
      <c r="B1858" s="2385">
        <v>803.4</v>
      </c>
      <c r="C1858" s="2374"/>
      <c r="D1858" s="2374"/>
      <c r="E1858" s="2374"/>
      <c r="F1858" s="2374"/>
      <c r="G1858" s="2373" t="str">
        <f ca="1">G1857</f>
        <v/>
      </c>
      <c r="H1858" s="2371" t="s">
        <v>3973</v>
      </c>
      <c r="I1858" s="64"/>
      <c r="J1858" s="164"/>
      <c r="K1858" s="4"/>
      <c r="L1858" s="1796"/>
      <c r="M1858" s="1758"/>
      <c r="N1858" s="1927"/>
      <c r="O1858" s="1774"/>
      <c r="P1858" s="94"/>
      <c r="Q1858" s="94"/>
      <c r="R1858" s="94"/>
      <c r="S1858" s="94"/>
      <c r="T1858" s="94"/>
      <c r="U1858" s="94"/>
      <c r="V1858" s="94"/>
      <c r="W1858" s="94"/>
      <c r="X1858" s="1757"/>
      <c r="Y1858" s="2081"/>
      <c r="Z1858" s="2084"/>
      <c r="AA1858" s="1526"/>
      <c r="AB1858" s="648"/>
      <c r="AC1858" s="970"/>
      <c r="AD1858" s="970"/>
      <c r="AE1858" s="970"/>
      <c r="AF1858" s="648"/>
      <c r="AG1858" s="648"/>
      <c r="AH1858" s="648"/>
      <c r="AI1858" s="648"/>
      <c r="AJ1858" s="648"/>
      <c r="AK1858" s="648"/>
      <c r="AL1858" s="1336"/>
      <c r="AM1858" s="1336"/>
      <c r="AN1858" s="1336"/>
      <c r="AO1858" s="1336"/>
      <c r="AP1858" s="1336"/>
      <c r="AQ1858" s="1336"/>
      <c r="AR1858" s="1336"/>
      <c r="AS1858" s="1336"/>
      <c r="AT1858" s="648"/>
      <c r="AU1858" s="648"/>
      <c r="AV1858" s="648"/>
      <c r="AW1858" s="648"/>
      <c r="AX1858" s="648"/>
      <c r="AY1858" s="648"/>
      <c r="AZ1858" s="648"/>
      <c r="BA1858" s="648"/>
      <c r="BB1858" s="648"/>
      <c r="BC1858" s="648"/>
      <c r="BD1858" s="648"/>
      <c r="BE1858" s="648"/>
      <c r="BF1858" s="648"/>
      <c r="BG1858" s="648"/>
      <c r="BH1858" s="648"/>
    </row>
    <row r="1859" spans="1:60" ht="15.75" thickBot="1" x14ac:dyDescent="0.3">
      <c r="A1859" s="2371">
        <v>8</v>
      </c>
      <c r="B1859" s="2385">
        <v>803.4</v>
      </c>
      <c r="C1859" s="2374"/>
      <c r="D1859" s="2374"/>
      <c r="E1859" s="2374"/>
      <c r="F1859" s="2374"/>
      <c r="G1859" s="2373" t="str">
        <f ca="1">G1858</f>
        <v/>
      </c>
      <c r="H1859" s="2371" t="s">
        <v>3973</v>
      </c>
      <c r="I1859" s="189"/>
      <c r="J1859" s="481"/>
      <c r="K1859" s="240"/>
      <c r="L1859" s="1797"/>
      <c r="M1859" s="1768"/>
      <c r="N1859" s="1928"/>
      <c r="O1859" s="1775"/>
      <c r="P1859" s="99"/>
      <c r="Q1859" s="99"/>
      <c r="R1859" s="99"/>
      <c r="S1859" s="99"/>
      <c r="T1859" s="99"/>
      <c r="U1859" s="99"/>
      <c r="V1859" s="99"/>
      <c r="W1859" s="99"/>
      <c r="X1859" s="1771"/>
      <c r="Y1859" s="2082"/>
      <c r="Z1859" s="2086"/>
      <c r="AA1859" s="1526"/>
      <c r="AB1859" s="648"/>
      <c r="AC1859" s="970"/>
      <c r="AD1859" s="970"/>
      <c r="AE1859" s="970"/>
      <c r="AF1859" s="648"/>
      <c r="AG1859" s="648"/>
      <c r="AH1859" s="648"/>
      <c r="AI1859" s="648"/>
      <c r="AJ1859" s="648"/>
      <c r="AK1859" s="648"/>
      <c r="AL1859" s="1336"/>
      <c r="AM1859" s="1336"/>
      <c r="AN1859" s="1336"/>
      <c r="AO1859" s="1336"/>
      <c r="AP1859" s="1336"/>
      <c r="AQ1859" s="1336"/>
      <c r="AR1859" s="1336"/>
      <c r="AS1859" s="1336"/>
      <c r="AT1859" s="648"/>
      <c r="AU1859" s="648"/>
      <c r="AV1859" s="648"/>
      <c r="AW1859" s="648"/>
      <c r="AX1859" s="648"/>
      <c r="AY1859" s="648"/>
      <c r="AZ1859" s="648"/>
      <c r="BA1859" s="648"/>
      <c r="BB1859" s="648"/>
      <c r="BC1859" s="648"/>
      <c r="BD1859" s="648"/>
      <c r="BE1859" s="648"/>
      <c r="BF1859" s="648"/>
      <c r="BG1859" s="648"/>
      <c r="BH1859" s="648"/>
    </row>
    <row r="1860" spans="1:60" ht="15.75" customHeight="1" thickTop="1" x14ac:dyDescent="0.25">
      <c r="A1860" s="2371">
        <v>8</v>
      </c>
      <c r="B1860" s="2385" t="s">
        <v>4394</v>
      </c>
      <c r="C1860" s="2374"/>
      <c r="D1860" s="2374"/>
      <c r="E1860" s="2374"/>
      <c r="F1860" s="2374"/>
      <c r="G1860" s="2373" t="str">
        <f ca="1">IF(N1860&gt;0,"P","")</f>
        <v/>
      </c>
      <c r="H1860" s="2371" t="s">
        <v>3973</v>
      </c>
      <c r="I1860" s="180">
        <v>803.5</v>
      </c>
      <c r="J1860" s="952"/>
      <c r="K1860" s="181"/>
      <c r="L1860" s="1916" t="s">
        <v>4392</v>
      </c>
      <c r="M1860" s="1772">
        <v>1</v>
      </c>
      <c r="N1860" s="2080">
        <f ca="1">'Ch8'!O231</f>
        <v>0</v>
      </c>
      <c r="O1860" s="1773">
        <f ca="1">M1860*S1860*W1860</f>
        <v>0</v>
      </c>
      <c r="P1860" s="94" t="b">
        <v>0</v>
      </c>
      <c r="Q1860" s="1500" t="b">
        <v>1</v>
      </c>
      <c r="R1860" s="105" t="b">
        <v>0</v>
      </c>
      <c r="S1860" s="105" t="b">
        <f ca="1">S1643=2</f>
        <v>0</v>
      </c>
      <c r="T1860" s="105" t="b">
        <f ca="1">IF(AND(NOT(S1860),W1860=TRUE),TRUE,FALSE)</f>
        <v>0</v>
      </c>
      <c r="U1860" s="105"/>
      <c r="V1860" s="105"/>
      <c r="W1860" s="25"/>
      <c r="X1860" s="1784"/>
      <c r="Y1860" s="2097" t="str">
        <f>IF(LEN('Ch8'!X231)=0,"None",'Ch8'!X231)</f>
        <v>None</v>
      </c>
      <c r="Z1860" s="2085"/>
      <c r="AA1860" s="1526"/>
      <c r="AB1860" s="648"/>
      <c r="AC1860" s="970" t="b">
        <f ca="1">OR(AD1860:AE1860)</f>
        <v>0</v>
      </c>
      <c r="AD1860" s="970" t="b">
        <f ca="1">T1860</f>
        <v>0</v>
      </c>
      <c r="AE1860" s="970"/>
      <c r="AF1860" s="784"/>
      <c r="AG1860" s="648"/>
      <c r="AH1860" s="648"/>
      <c r="AI1860" s="648"/>
      <c r="AJ1860" s="648"/>
      <c r="AK1860" s="648"/>
      <c r="AL1860" s="254" t="str">
        <f>SUBSTITUTE(SUBSTITUTE(SUBSTITUTE("vpa"&amp;$B1860&amp;$C1860&amp;$D1860&amp;$E1860,".","_"),"(","_"),")","")</f>
        <v>vpa803_5</v>
      </c>
      <c r="AM1860" s="254">
        <f>M1860</f>
        <v>1</v>
      </c>
      <c r="AN1860" s="254" t="str">
        <f>SUBSTITUTE(SUBSTITUTE(SUBSTITUTE("vpc"&amp;$B1860&amp;$C1860&amp;$D1860&amp;$E1860,".","_"),"(","_"),")","")</f>
        <v>vpc803_5</v>
      </c>
      <c r="AO1860" s="254">
        <f ca="1">O1860</f>
        <v>0</v>
      </c>
      <c r="AP1860" s="254" t="str">
        <f>SUBSTITUTE(SUBSTITUTE(SUBSTITUTE("vch"&amp;$B1860&amp;$C1860&amp;$D1860&amp;$E1860,".","_"),"(","_"),")","")</f>
        <v>vch803_5</v>
      </c>
      <c r="AQ1860" s="254" t="str">
        <f>IF(LEN(W1860)=0,"",W1860)</f>
        <v/>
      </c>
      <c r="AR1860" s="254" t="str">
        <f>SUBSTITUTE(SUBSTITUTE(SUBSTITUTE("vnt"&amp;$B1860&amp;$C1860&amp;$D1860&amp;$E1860,".","_"),"(","_"),")","")</f>
        <v>vnt803_5</v>
      </c>
      <c r="AS1860" s="254" t="str">
        <f>IF(LEN(X1860)=0,"",X1860)</f>
        <v/>
      </c>
      <c r="AT1860" s="648"/>
      <c r="AU1860" s="648"/>
      <c r="AV1860" s="648"/>
      <c r="AW1860" s="648"/>
      <c r="AX1860" s="648"/>
      <c r="AY1860" s="648"/>
      <c r="AZ1860" s="648"/>
      <c r="BA1860" s="648"/>
      <c r="BB1860" s="648"/>
      <c r="BC1860" s="648"/>
      <c r="BD1860" s="648"/>
      <c r="BE1860" s="648"/>
      <c r="BF1860" s="648"/>
      <c r="BG1860" s="648"/>
      <c r="BH1860" s="648"/>
    </row>
    <row r="1861" spans="1:60" ht="15.75" thickBot="1" x14ac:dyDescent="0.3">
      <c r="A1861" s="2371">
        <v>8</v>
      </c>
      <c r="B1861" s="2385" t="s">
        <v>4394</v>
      </c>
      <c r="C1861" s="2374"/>
      <c r="D1861" s="2374"/>
      <c r="E1861" s="2374"/>
      <c r="F1861" s="2374"/>
      <c r="G1861" s="2373" t="str">
        <f ca="1">G1860</f>
        <v/>
      </c>
      <c r="H1861" s="2371" t="s">
        <v>3973</v>
      </c>
      <c r="I1861" s="189"/>
      <c r="J1861" s="481"/>
      <c r="K1861" s="240"/>
      <c r="L1861" s="1917"/>
      <c r="M1861" s="1768"/>
      <c r="N1861" s="1928"/>
      <c r="O1861" s="1775"/>
      <c r="P1861" s="99"/>
      <c r="Q1861" s="99"/>
      <c r="R1861" s="99"/>
      <c r="S1861" s="99"/>
      <c r="T1861" s="99"/>
      <c r="U1861" s="99"/>
      <c r="V1861" s="99"/>
      <c r="W1861" s="99"/>
      <c r="X1861" s="1771"/>
      <c r="Y1861" s="2082"/>
      <c r="Z1861" s="2086"/>
      <c r="AA1861" s="1526"/>
      <c r="AB1861" s="648"/>
      <c r="AC1861" s="970"/>
      <c r="AD1861" s="970"/>
      <c r="AE1861" s="970"/>
      <c r="AF1861" s="648"/>
      <c r="AG1861" s="648"/>
      <c r="AH1861" s="648"/>
      <c r="AI1861" s="648"/>
      <c r="AJ1861" s="648"/>
      <c r="AK1861" s="648"/>
      <c r="AL1861" s="1336"/>
      <c r="AM1861" s="1336"/>
      <c r="AN1861" s="1336"/>
      <c r="AO1861" s="1336"/>
      <c r="AP1861" s="1336"/>
      <c r="AQ1861" s="1336"/>
      <c r="AR1861" s="1336"/>
      <c r="AS1861" s="1336"/>
      <c r="AT1861" s="648"/>
      <c r="AU1861" s="648"/>
      <c r="AV1861" s="648"/>
      <c r="AW1861" s="648"/>
      <c r="AX1861" s="648"/>
      <c r="AY1861" s="648"/>
      <c r="AZ1861" s="648"/>
      <c r="BA1861" s="648"/>
      <c r="BB1861" s="648"/>
      <c r="BC1861" s="648"/>
      <c r="BD1861" s="648"/>
      <c r="BE1861" s="648"/>
      <c r="BF1861" s="648"/>
      <c r="BG1861" s="648"/>
      <c r="BH1861" s="648"/>
    </row>
    <row r="1862" spans="1:60" ht="15.75" customHeight="1" thickTop="1" x14ac:dyDescent="0.25">
      <c r="A1862" s="2371">
        <v>8</v>
      </c>
      <c r="B1862" s="2385" t="s">
        <v>4395</v>
      </c>
      <c r="C1862" s="2374"/>
      <c r="D1862" s="2374"/>
      <c r="E1862" s="2374"/>
      <c r="F1862" s="2374"/>
      <c r="G1862" s="2373" t="str">
        <f ca="1">IF(N1862&gt;0,"P","")</f>
        <v/>
      </c>
      <c r="H1862" s="2371" t="s">
        <v>3973</v>
      </c>
      <c r="I1862" s="64">
        <v>803.6</v>
      </c>
      <c r="J1862" s="164"/>
      <c r="K1862" s="4"/>
      <c r="L1862" s="1796" t="s">
        <v>4393</v>
      </c>
      <c r="M1862" s="1767">
        <v>20</v>
      </c>
      <c r="N1862" s="2075">
        <f ca="1">'Ch8'!O233</f>
        <v>0</v>
      </c>
      <c r="O1862" s="1780">
        <f ca="1">M1862*S1862*W1862</f>
        <v>0</v>
      </c>
      <c r="P1862" s="94" t="b">
        <v>0</v>
      </c>
      <c r="Q1862" s="1500" t="b">
        <v>1</v>
      </c>
      <c r="R1862" s="1500" t="b">
        <v>0</v>
      </c>
      <c r="S1862" s="1500" t="b">
        <f ca="1">AND(NOT(OR(LEN(W1846)&gt;0,W1848)),S1643=2)</f>
        <v>0</v>
      </c>
      <c r="T1862" s="94" t="b">
        <f ca="1">IF(AND(NOT(S1862),W1862=TRUE),TRUE,FALSE)</f>
        <v>0</v>
      </c>
      <c r="U1862" s="1500"/>
      <c r="V1862" s="648"/>
      <c r="W1862" s="25"/>
      <c r="X1862" s="1756"/>
      <c r="Y1862" s="2097" t="str">
        <f>IF(LEN('Ch8'!X233)=0,"None",'Ch8'!X233)</f>
        <v>None</v>
      </c>
      <c r="Z1862" s="2085"/>
      <c r="AA1862" s="1526"/>
      <c r="AB1862" s="648"/>
      <c r="AC1862" s="970" t="b">
        <f ca="1">OR(AD1862:AE1862)</f>
        <v>0</v>
      </c>
      <c r="AD1862" s="970" t="b">
        <f ca="1">T1862</f>
        <v>0</v>
      </c>
      <c r="AE1862" s="970"/>
      <c r="AF1862" s="784"/>
      <c r="AG1862" s="648"/>
      <c r="AH1862" s="648"/>
      <c r="AI1862" s="648"/>
      <c r="AJ1862" s="648"/>
      <c r="AK1862" s="648"/>
      <c r="AL1862" s="254" t="str">
        <f>SUBSTITUTE(SUBSTITUTE(SUBSTITUTE("vpa"&amp;$B1862&amp;$C1862&amp;$D1862&amp;$E1862,".","_"),"(","_"),")","")</f>
        <v>vpa803_6</v>
      </c>
      <c r="AM1862" s="254">
        <f>M1862</f>
        <v>20</v>
      </c>
      <c r="AN1862" s="254" t="str">
        <f>SUBSTITUTE(SUBSTITUTE(SUBSTITUTE("vpc"&amp;$B1862&amp;$C1862&amp;$D1862&amp;$E1862,".","_"),"(","_"),")","")</f>
        <v>vpc803_6</v>
      </c>
      <c r="AO1862" s="254">
        <f ca="1">O1862</f>
        <v>0</v>
      </c>
      <c r="AP1862" s="254" t="str">
        <f>SUBSTITUTE(SUBSTITUTE(SUBSTITUTE("vch"&amp;$B1862&amp;$C1862&amp;$D1862&amp;$E1862,".","_"),"(","_"),")","")</f>
        <v>vch803_6</v>
      </c>
      <c r="AQ1862" s="254" t="str">
        <f>IF(LEN(W1862)=0,"",W1862)</f>
        <v/>
      </c>
      <c r="AR1862" s="254" t="str">
        <f>SUBSTITUTE(SUBSTITUTE(SUBSTITUTE("vnt"&amp;$B1862&amp;$C1862&amp;$D1862&amp;$E1862,".","_"),"(","_"),")","")</f>
        <v>vnt803_6</v>
      </c>
      <c r="AS1862" s="254" t="str">
        <f>IF(LEN(X1862)=0,"",X1862)</f>
        <v/>
      </c>
      <c r="AT1862" s="648"/>
      <c r="AU1862" s="648"/>
      <c r="AV1862" s="648"/>
      <c r="AW1862" s="648"/>
      <c r="AX1862" s="648"/>
      <c r="AY1862" s="648"/>
      <c r="AZ1862" s="648"/>
      <c r="BA1862" s="648"/>
      <c r="BB1862" s="648"/>
      <c r="BC1862" s="648"/>
      <c r="BD1862" s="648"/>
      <c r="BE1862" s="648"/>
      <c r="BF1862" s="648"/>
      <c r="BG1862" s="648"/>
      <c r="BH1862" s="648"/>
    </row>
    <row r="1863" spans="1:60" x14ac:dyDescent="0.25">
      <c r="A1863" s="2371">
        <v>8</v>
      </c>
      <c r="B1863" s="2385" t="s">
        <v>4395</v>
      </c>
      <c r="C1863" s="2374"/>
      <c r="D1863" s="2374"/>
      <c r="E1863" s="2374"/>
      <c r="F1863" s="2374"/>
      <c r="G1863" s="2373" t="str">
        <f ca="1">G1862</f>
        <v/>
      </c>
      <c r="H1863" s="2371" t="s">
        <v>3973</v>
      </c>
      <c r="I1863" s="64"/>
      <c r="J1863" s="164"/>
      <c r="K1863" s="4"/>
      <c r="L1863" s="1796"/>
      <c r="M1863" s="1767"/>
      <c r="N1863" s="2075"/>
      <c r="O1863" s="1780"/>
      <c r="P1863" s="648"/>
      <c r="Q1863" s="648"/>
      <c r="R1863" s="648"/>
      <c r="S1863" s="648"/>
      <c r="T1863" s="648"/>
      <c r="U1863" s="648"/>
      <c r="V1863" s="648"/>
      <c r="W1863" s="648"/>
      <c r="X1863" s="1757"/>
      <c r="Y1863" s="2077"/>
      <c r="Z1863" s="2083"/>
      <c r="AA1863" s="1526"/>
      <c r="AB1863" s="648"/>
      <c r="AC1863" s="970"/>
      <c r="AD1863" s="970"/>
      <c r="AE1863" s="970"/>
      <c r="AF1863" s="648"/>
      <c r="AG1863" s="648"/>
      <c r="AH1863" s="648"/>
      <c r="AI1863" s="648"/>
      <c r="AJ1863" s="648"/>
      <c r="AK1863" s="648"/>
      <c r="AL1863"/>
      <c r="AM1863"/>
      <c r="AN1863"/>
      <c r="AO1863"/>
      <c r="AP1863"/>
      <c r="AQ1863"/>
      <c r="AR1863"/>
      <c r="AS1863"/>
      <c r="AT1863" s="648"/>
      <c r="AU1863" s="648"/>
      <c r="AV1863" s="648"/>
      <c r="AW1863" s="648"/>
      <c r="AX1863" s="648"/>
      <c r="AY1863" s="648"/>
      <c r="AZ1863" s="648"/>
      <c r="BA1863" s="648"/>
      <c r="BB1863" s="648"/>
      <c r="BC1863" s="648"/>
      <c r="BD1863" s="648"/>
      <c r="BE1863" s="648"/>
      <c r="BF1863" s="648"/>
      <c r="BG1863" s="648"/>
      <c r="BH1863" s="648"/>
    </row>
    <row r="1864" spans="1:60" x14ac:dyDescent="0.25">
      <c r="A1864" s="2371">
        <v>8</v>
      </c>
      <c r="B1864" s="2385" t="s">
        <v>4395</v>
      </c>
      <c r="C1864" s="2374"/>
      <c r="D1864" s="2374"/>
      <c r="E1864" s="2374"/>
      <c r="F1864" s="2374"/>
      <c r="G1864" s="2373" t="str">
        <f ca="1">G1863</f>
        <v/>
      </c>
      <c r="H1864" s="2371" t="s">
        <v>3973</v>
      </c>
      <c r="I1864" s="64"/>
      <c r="J1864" s="164"/>
      <c r="K1864" s="4"/>
      <c r="L1864" s="1173" t="s">
        <v>4477</v>
      </c>
      <c r="M1864" s="1767"/>
      <c r="N1864" s="2075"/>
      <c r="O1864" s="1780"/>
      <c r="P1864" s="648"/>
      <c r="Q1864" s="648"/>
      <c r="R1864" s="648"/>
      <c r="S1864" s="648"/>
      <c r="T1864" s="648"/>
      <c r="U1864" s="648"/>
      <c r="V1864" s="648"/>
      <c r="W1864" s="648"/>
      <c r="X1864" s="1757"/>
      <c r="Y1864" s="2077"/>
      <c r="Z1864" s="2083"/>
      <c r="AA1864" s="1526"/>
      <c r="AB1864" s="648"/>
      <c r="AC1864" s="970"/>
      <c r="AD1864" s="970"/>
      <c r="AE1864" s="970"/>
      <c r="AF1864" s="648"/>
      <c r="AG1864" s="648"/>
      <c r="AH1864" s="648"/>
      <c r="AI1864" s="648"/>
      <c r="AJ1864" s="648"/>
      <c r="AK1864" s="648"/>
      <c r="AL1864"/>
      <c r="AM1864"/>
      <c r="AN1864"/>
      <c r="AO1864"/>
      <c r="AP1864"/>
      <c r="AQ1864"/>
      <c r="AR1864"/>
      <c r="AS1864"/>
      <c r="AT1864" s="648"/>
      <c r="AU1864" s="648"/>
      <c r="AV1864" s="648"/>
      <c r="AW1864" s="648"/>
      <c r="AX1864" s="648"/>
      <c r="AY1864" s="648"/>
      <c r="AZ1864" s="648"/>
      <c r="BA1864" s="648"/>
      <c r="BB1864" s="648"/>
      <c r="BC1864" s="648"/>
      <c r="BD1864" s="648"/>
      <c r="BE1864" s="648"/>
      <c r="BF1864" s="648"/>
      <c r="BG1864" s="648"/>
      <c r="BH1864" s="648"/>
    </row>
    <row r="1865" spans="1:60" ht="18.75" x14ac:dyDescent="0.3">
      <c r="A1865" s="2371">
        <v>8</v>
      </c>
      <c r="B1865" s="2400">
        <v>804</v>
      </c>
      <c r="G1865" s="2373" t="s">
        <v>3974</v>
      </c>
      <c r="H1865" s="2371" t="s">
        <v>3971</v>
      </c>
      <c r="I1865" s="14" t="s">
        <v>4485</v>
      </c>
      <c r="J1865" s="963"/>
      <c r="K1865" s="963"/>
      <c r="L1865" s="228"/>
      <c r="M1865" s="508"/>
      <c r="N1865" s="1054"/>
      <c r="O1865" s="23"/>
      <c r="P1865" s="23"/>
      <c r="Q1865" s="23"/>
      <c r="R1865" s="23"/>
      <c r="S1865" s="23"/>
      <c r="T1865" s="23"/>
      <c r="U1865" s="23"/>
      <c r="V1865" s="23"/>
      <c r="W1865" s="23"/>
      <c r="X1865" s="23"/>
      <c r="Y1865" s="23"/>
      <c r="Z1865" s="1586"/>
      <c r="AA1865" s="1526"/>
      <c r="AC1865" s="970"/>
      <c r="AD1865" s="970"/>
      <c r="AE1865" s="970"/>
      <c r="AF1865"/>
      <c r="AG1865"/>
      <c r="AH1865"/>
      <c r="AI1865"/>
      <c r="AJ1865"/>
      <c r="AK1865"/>
      <c r="AL1865"/>
      <c r="AM1865"/>
      <c r="AN1865"/>
      <c r="AO1865"/>
      <c r="AP1865"/>
      <c r="AQ1865"/>
      <c r="AR1865"/>
      <c r="AS1865"/>
      <c r="AT1865"/>
    </row>
    <row r="1866" spans="1:60" x14ac:dyDescent="0.25">
      <c r="A1866" s="2371">
        <v>8</v>
      </c>
      <c r="B1866" s="2400">
        <v>804.1</v>
      </c>
      <c r="G1866" s="2373" t="s">
        <v>3974</v>
      </c>
      <c r="H1866" s="2371" t="s">
        <v>3971</v>
      </c>
      <c r="I1866" s="943">
        <v>804.1</v>
      </c>
      <c r="J1866" s="845"/>
      <c r="K1866" s="845"/>
      <c r="L1866" s="1796" t="s">
        <v>5590</v>
      </c>
      <c r="M1866" s="1925" t="str">
        <f>IFERROR(IF(LEN(T1869)&gt;0,INDEX(R1869:R1872,MATCH(T1869,S1869:S1872,-1)),"None"),"None")</f>
        <v>None</v>
      </c>
      <c r="N1866" s="1414"/>
      <c r="O1866" s="1500"/>
      <c r="P1866" s="1414"/>
      <c r="Q1866" s="1414"/>
      <c r="R1866" s="1414"/>
      <c r="S1866" s="1414"/>
      <c r="T1866" s="1414"/>
      <c r="U1866" s="1414"/>
      <c r="V1866" s="1414"/>
      <c r="W1866" s="1414"/>
      <c r="X1866" s="1414"/>
      <c r="Y1866" s="1414"/>
      <c r="AA1866" s="1526"/>
      <c r="AB1866" s="1414"/>
      <c r="AC1866" s="1414"/>
      <c r="AD1866" s="1414"/>
      <c r="AE1866" s="1414"/>
      <c r="AF1866" s="1414"/>
      <c r="AG1866" s="1414"/>
      <c r="AH1866" s="1414"/>
      <c r="AI1866" s="1414"/>
      <c r="AJ1866" s="1414"/>
      <c r="AK1866" s="1414"/>
      <c r="AL1866" s="254"/>
      <c r="AM1866" s="254"/>
      <c r="AN1866" s="1414"/>
      <c r="AO1866" s="1414"/>
      <c r="AP1866"/>
      <c r="AQ1866"/>
      <c r="AR1866"/>
      <c r="AS1866"/>
      <c r="AT1866"/>
    </row>
    <row r="1867" spans="1:60" x14ac:dyDescent="0.25">
      <c r="A1867" s="2371">
        <v>8</v>
      </c>
      <c r="B1867" s="2400">
        <v>804.1</v>
      </c>
      <c r="G1867" s="2373" t="s">
        <v>3974</v>
      </c>
      <c r="H1867" s="2371" t="s">
        <v>3971</v>
      </c>
      <c r="I1867" s="949"/>
      <c r="J1867" s="851"/>
      <c r="K1867" s="851"/>
      <c r="L1867" s="1843"/>
      <c r="M1867" s="1926"/>
      <c r="N1867" s="1414"/>
      <c r="O1867" s="1500"/>
      <c r="P1867" s="1414"/>
      <c r="Q1867" s="1414"/>
      <c r="R1867" s="1414"/>
      <c r="S1867" s="1414"/>
      <c r="T1867" s="1414"/>
      <c r="U1867" s="1414"/>
      <c r="V1867" s="1414"/>
      <c r="W1867" s="1414" t="s">
        <v>4486</v>
      </c>
      <c r="X1867" s="1414"/>
      <c r="Y1867" s="1414"/>
      <c r="AA1867" s="1526"/>
      <c r="AB1867" s="1414"/>
      <c r="AC1867" s="1414"/>
      <c r="AD1867" s="1414"/>
      <c r="AE1867" s="1414"/>
      <c r="AF1867" s="1414"/>
      <c r="AG1867" s="1414"/>
      <c r="AH1867" s="1414"/>
      <c r="AI1867" s="1414"/>
      <c r="AJ1867" s="1414"/>
      <c r="AK1867" s="1414"/>
      <c r="AL1867" s="1414"/>
      <c r="AM1867" s="1414"/>
      <c r="AN1867" s="1414"/>
      <c r="AO1867" s="1414"/>
      <c r="AP1867"/>
      <c r="AQ1867"/>
      <c r="AR1867"/>
      <c r="AS1867"/>
      <c r="AT1867"/>
    </row>
    <row r="1868" spans="1:60" x14ac:dyDescent="0.25">
      <c r="A1868" s="2371">
        <v>8</v>
      </c>
      <c r="B1868" s="2400">
        <v>804.2</v>
      </c>
      <c r="G1868" s="2373" t="s">
        <v>3974</v>
      </c>
      <c r="H1868" s="2371" t="s">
        <v>3971</v>
      </c>
      <c r="I1868" s="992">
        <v>804.2</v>
      </c>
      <c r="J1868" s="849"/>
      <c r="K1868" s="849"/>
      <c r="L1868" s="1864" t="s">
        <v>4481</v>
      </c>
      <c r="M1868" s="1926"/>
      <c r="N1868" s="1414"/>
      <c r="O1868" s="1500"/>
      <c r="P1868" s="1414" t="b">
        <v>0</v>
      </c>
      <c r="Q1868" s="1414" t="b">
        <v>1</v>
      </c>
      <c r="R1868" s="1414" t="b">
        <f ca="1">S1868</f>
        <v>0</v>
      </c>
      <c r="S1868" s="1414" t="b">
        <f ca="1">S1643=1</f>
        <v>0</v>
      </c>
      <c r="T1868" s="1414" t="b">
        <f ca="1">AND(LEN(W1868)&gt;0,NOT(S1868))</f>
        <v>0</v>
      </c>
      <c r="U1868" s="1414"/>
      <c r="V1868" s="1414"/>
      <c r="W1868" s="513"/>
      <c r="X1868" s="1757"/>
      <c r="Y1868" s="2081" t="str">
        <f>IF(LEN('Ch8'!X239)=0,"None",'Ch8'!X239)</f>
        <v>None</v>
      </c>
      <c r="Z1868" s="2083"/>
      <c r="AA1868" s="1526"/>
      <c r="AB1868" s="1414"/>
      <c r="AC1868" s="1488" t="b">
        <f ca="1">OR(AD1868:AE1868)</f>
        <v>0</v>
      </c>
      <c r="AD1868" s="1488" t="b">
        <f ca="1">T1868</f>
        <v>0</v>
      </c>
      <c r="AE1868" s="1414"/>
      <c r="AF1868" s="1414"/>
      <c r="AG1868" s="1414"/>
      <c r="AH1868" s="1414"/>
      <c r="AI1868" s="1414"/>
      <c r="AJ1868" s="1414"/>
      <c r="AK1868" s="1414"/>
      <c r="AL1868" s="1414"/>
      <c r="AM1868" s="1414"/>
      <c r="AN1868" s="1414"/>
      <c r="AO1868" s="1414"/>
      <c r="AP1868" s="254" t="str">
        <f>SUBSTITUTE(SUBSTITUTE(SUBSTITUTE("vch"&amp;$B1868&amp;$C1868&amp;$D1868&amp;$E1868,".","_"),"(","_"),")","")</f>
        <v>vch804_2</v>
      </c>
      <c r="AQ1868" s="254" t="str">
        <f>IF(LEN(W1868)=0,"",W1868)</f>
        <v/>
      </c>
      <c r="AR1868" s="254" t="str">
        <f>SUBSTITUTE(SUBSTITUTE(SUBSTITUTE("vnt"&amp;$B1868&amp;$C1868&amp;$D1868&amp;$E1868,".","_"),"(","_"),")","")</f>
        <v>vnt804_2</v>
      </c>
      <c r="AS1868" s="254" t="str">
        <f>IF(LEN(X1868)=0,"",X1868)</f>
        <v/>
      </c>
      <c r="AT1868"/>
    </row>
    <row r="1869" spans="1:60" x14ac:dyDescent="0.25">
      <c r="A1869" s="2371">
        <v>8</v>
      </c>
      <c r="B1869" s="2400">
        <v>804.2</v>
      </c>
      <c r="G1869" s="2373" t="s">
        <v>3974</v>
      </c>
      <c r="H1869" s="2371" t="s">
        <v>3971</v>
      </c>
      <c r="I1869" s="949"/>
      <c r="J1869" s="851"/>
      <c r="K1869" s="851"/>
      <c r="L1869" s="1843"/>
      <c r="M1869" s="1926"/>
      <c r="N1869" s="94"/>
      <c r="O1869" s="1500"/>
      <c r="P1869" s="1414"/>
      <c r="Q1869" s="1414"/>
      <c r="R1869" s="1" t="s">
        <v>292</v>
      </c>
      <c r="S1869" s="1">
        <v>70</v>
      </c>
      <c r="T1869" s="1" t="str">
        <f>IF(LEN(W1868)&gt;0,W1868,IF(LEN('Ch8'!W239)&gt;0,'Ch8'!W239,""))</f>
        <v/>
      </c>
      <c r="U1869" s="1414"/>
      <c r="V1869" s="1414"/>
      <c r="W1869" s="1417"/>
      <c r="X1869" s="1757"/>
      <c r="Y1869" s="2081"/>
      <c r="Z1869" s="2083"/>
      <c r="AA1869" s="1526"/>
      <c r="AB1869" s="1414"/>
      <c r="AC1869" s="1414"/>
      <c r="AD1869" s="1414"/>
      <c r="AE1869" s="1414"/>
      <c r="AF1869" s="1414"/>
      <c r="AG1869" s="1414"/>
      <c r="AH1869" s="1414"/>
      <c r="AI1869" s="1414"/>
      <c r="AJ1869" s="1414"/>
      <c r="AK1869" s="1414"/>
      <c r="AL1869" s="1414"/>
      <c r="AM1869" s="1414"/>
      <c r="AN1869" s="1414"/>
      <c r="AO1869" s="1414"/>
      <c r="AP1869"/>
      <c r="AQ1869"/>
      <c r="AR1869"/>
      <c r="AS1869"/>
      <c r="AT1869"/>
    </row>
    <row r="1870" spans="1:60" x14ac:dyDescent="0.25">
      <c r="A1870" s="2371">
        <v>8</v>
      </c>
      <c r="B1870" s="2400">
        <v>804.3</v>
      </c>
      <c r="G1870" s="2373" t="s">
        <v>3974</v>
      </c>
      <c r="H1870" s="2371" t="s">
        <v>3971</v>
      </c>
      <c r="I1870" s="943">
        <v>804.3</v>
      </c>
      <c r="J1870" s="845"/>
      <c r="K1870" s="845"/>
      <c r="L1870" s="1796" t="s">
        <v>4482</v>
      </c>
      <c r="M1870" s="1416" t="str">
        <f>IF(ReportType="Rough","(As Designed)","")</f>
        <v/>
      </c>
      <c r="N1870" s="1927">
        <f ca="1">'Ch8'!O241</f>
        <v>0</v>
      </c>
      <c r="O1870" s="1927">
        <f ca="1">ROUND(IF(LEN(W1868)=0,0,(W1868*-2.29)+181.7),0)*S1868</f>
        <v>0</v>
      </c>
      <c r="P1870" s="1414"/>
      <c r="Q1870" s="1414"/>
      <c r="R1870" s="1" t="s">
        <v>293</v>
      </c>
      <c r="S1870" s="1">
        <v>60</v>
      </c>
      <c r="T1870" s="1414"/>
      <c r="U1870" s="1414"/>
      <c r="V1870" s="1414"/>
      <c r="W1870" s="1414"/>
      <c r="X1870" s="1414"/>
      <c r="Y1870" s="1414"/>
      <c r="AA1870" s="1526"/>
      <c r="AB1870" s="1414"/>
      <c r="AC1870" s="1414"/>
      <c r="AD1870" s="1414"/>
      <c r="AE1870" s="1414"/>
      <c r="AF1870" s="1414"/>
      <c r="AG1870" s="1414"/>
      <c r="AH1870" s="1414"/>
      <c r="AI1870" s="1414"/>
      <c r="AJ1870" s="1414"/>
      <c r="AK1870" s="1414"/>
      <c r="AL1870" s="1414"/>
      <c r="AM1870" s="1414"/>
      <c r="AN1870" s="254" t="str">
        <f>SUBSTITUTE(SUBSTITUTE(SUBSTITUTE("vpc"&amp;$B1870&amp;$C1870&amp;$D1870&amp;$E1870,".","_"),"(","_"),")","")</f>
        <v>vpc804_3</v>
      </c>
      <c r="AO1870" s="254">
        <f ca="1">O1870</f>
        <v>0</v>
      </c>
      <c r="AP1870"/>
      <c r="AQ1870"/>
      <c r="AR1870"/>
      <c r="AS1870"/>
      <c r="AT1870"/>
    </row>
    <row r="1871" spans="1:60" x14ac:dyDescent="0.25">
      <c r="A1871" s="2371">
        <v>8</v>
      </c>
      <c r="B1871" s="2400">
        <v>804.3</v>
      </c>
      <c r="G1871" s="2373" t="s">
        <v>3974</v>
      </c>
      <c r="H1871" s="2371" t="s">
        <v>3971</v>
      </c>
      <c r="I1871" s="909"/>
      <c r="J1871" s="845"/>
      <c r="K1871" s="845"/>
      <c r="L1871" s="1796"/>
      <c r="M1871" s="1416"/>
      <c r="N1871" s="1927"/>
      <c r="O1871" s="1927"/>
      <c r="P1871" s="1414"/>
      <c r="Q1871" s="1414"/>
      <c r="R1871" s="1" t="s">
        <v>294</v>
      </c>
      <c r="S1871" s="1">
        <v>50</v>
      </c>
      <c r="T1871" s="1414"/>
      <c r="U1871" s="1414"/>
      <c r="V1871" s="1414"/>
      <c r="W1871" s="1414"/>
      <c r="X1871" s="1414"/>
      <c r="Y1871" s="1414"/>
      <c r="AA1871" s="1526"/>
      <c r="AB1871" s="1414"/>
      <c r="AC1871" s="1414"/>
      <c r="AD1871" s="1414"/>
      <c r="AE1871" s="1414"/>
      <c r="AF1871" s="1414"/>
      <c r="AG1871" s="1414"/>
      <c r="AH1871" s="1414"/>
      <c r="AI1871" s="1414"/>
      <c r="AJ1871" s="1414"/>
      <c r="AK1871" s="1414"/>
      <c r="AL1871" s="1414"/>
      <c r="AM1871" s="1414"/>
      <c r="AN1871" s="1414"/>
      <c r="AO1871" s="1414"/>
      <c r="AP1871"/>
      <c r="AQ1871"/>
      <c r="AR1871"/>
      <c r="AS1871"/>
      <c r="AT1871"/>
    </row>
    <row r="1872" spans="1:60" x14ac:dyDescent="0.25">
      <c r="A1872" s="2371">
        <v>8</v>
      </c>
      <c r="B1872" s="2400">
        <v>804.3</v>
      </c>
      <c r="G1872" s="2373" t="s">
        <v>3974</v>
      </c>
      <c r="H1872" s="2371" t="s">
        <v>3971</v>
      </c>
      <c r="I1872" s="909"/>
      <c r="J1872" s="845"/>
      <c r="K1872" s="845"/>
      <c r="L1872" s="1796"/>
      <c r="M1872" s="1416"/>
      <c r="N1872" s="1927"/>
      <c r="O1872" s="1927"/>
      <c r="P1872" s="1414"/>
      <c r="Q1872" s="1414"/>
      <c r="R1872" s="1" t="s">
        <v>290</v>
      </c>
      <c r="S1872" s="1">
        <v>40</v>
      </c>
      <c r="T1872" s="1414"/>
      <c r="U1872" s="1414"/>
      <c r="V1872" s="1414"/>
      <c r="W1872" s="1414"/>
      <c r="X1872" s="1414"/>
      <c r="Y1872" s="1414"/>
      <c r="AA1872" s="1526"/>
      <c r="AB1872" s="1414"/>
      <c r="AC1872" s="1414"/>
      <c r="AD1872" s="1414"/>
      <c r="AE1872" s="1414"/>
      <c r="AF1872" s="1414"/>
      <c r="AG1872" s="1414"/>
      <c r="AH1872" s="1414"/>
      <c r="AI1872" s="1414"/>
      <c r="AJ1872" s="1414"/>
      <c r="AK1872" s="1414"/>
      <c r="AL1872" s="1414"/>
      <c r="AM1872" s="1414"/>
      <c r="AN1872" s="1414"/>
      <c r="AO1872" s="1414"/>
      <c r="AP1872"/>
      <c r="AQ1872"/>
      <c r="AR1872"/>
      <c r="AS1872"/>
      <c r="AT1872"/>
    </row>
    <row r="1873" spans="1:61" x14ac:dyDescent="0.25">
      <c r="A1873" s="2371">
        <v>8</v>
      </c>
      <c r="B1873" s="2400">
        <v>804.3</v>
      </c>
      <c r="G1873" s="2373" t="s">
        <v>3974</v>
      </c>
      <c r="H1873" s="2371" t="s">
        <v>3971</v>
      </c>
      <c r="I1873" s="909"/>
      <c r="J1873" s="845"/>
      <c r="K1873" s="845"/>
      <c r="L1873" s="237" t="s">
        <v>4483</v>
      </c>
      <c r="M1873" s="1416"/>
      <c r="N1873" s="1927"/>
      <c r="O1873" s="1927"/>
      <c r="P1873" s="1414"/>
      <c r="Q1873" s="1414"/>
      <c r="R1873" s="1414"/>
      <c r="S1873" s="1414"/>
      <c r="T1873" s="1414"/>
      <c r="U1873" s="1414"/>
      <c r="V1873" s="1414"/>
      <c r="W1873" s="1414"/>
      <c r="X1873" s="1414"/>
      <c r="Y1873" s="1414"/>
      <c r="AA1873" s="1526"/>
      <c r="AB1873" s="1414"/>
      <c r="AC1873" s="1414"/>
      <c r="AD1873" s="1414"/>
      <c r="AE1873" s="1414"/>
      <c r="AF1873" s="1414"/>
      <c r="AG1873" s="1414"/>
      <c r="AH1873" s="1414"/>
      <c r="AI1873" s="1414"/>
      <c r="AJ1873" s="1414"/>
      <c r="AK1873" s="1414"/>
      <c r="AL1873" s="1414"/>
      <c r="AM1873" s="1414"/>
      <c r="AN1873" s="1414"/>
      <c r="AO1873" s="1414"/>
      <c r="AP1873"/>
      <c r="AQ1873"/>
      <c r="AR1873"/>
      <c r="AS1873"/>
      <c r="AT1873"/>
    </row>
    <row r="1874" spans="1:61" ht="15.75" thickBot="1" x14ac:dyDescent="0.3">
      <c r="A1874" s="2371">
        <v>8</v>
      </c>
      <c r="B1874" s="2400">
        <v>804.3</v>
      </c>
      <c r="G1874" s="2373" t="s">
        <v>3974</v>
      </c>
      <c r="H1874" s="2371" t="s">
        <v>3971</v>
      </c>
      <c r="I1874" s="1003"/>
      <c r="J1874" s="850"/>
      <c r="K1874" s="850"/>
      <c r="L1874" s="1004" t="s">
        <v>4484</v>
      </c>
      <c r="M1874" s="1416"/>
      <c r="N1874" s="1927"/>
      <c r="O1874" s="1928"/>
      <c r="P1874" s="1414"/>
      <c r="Q1874" s="1414"/>
      <c r="R1874" s="1414"/>
      <c r="S1874" s="1414"/>
      <c r="T1874" s="1414"/>
      <c r="U1874" s="1414"/>
      <c r="V1874" s="1414"/>
      <c r="W1874" s="1414"/>
      <c r="X1874" s="1414"/>
      <c r="Y1874" s="1414"/>
      <c r="AA1874" s="1526"/>
      <c r="AB1874" s="1414"/>
      <c r="AC1874" s="1414"/>
      <c r="AD1874" s="1414"/>
      <c r="AE1874" s="1414"/>
      <c r="AF1874" s="1414"/>
      <c r="AG1874" s="1414"/>
      <c r="AH1874" s="1414"/>
      <c r="AI1874" s="1414"/>
      <c r="AJ1874" s="1414"/>
      <c r="AK1874" s="1414"/>
      <c r="AL1874" s="1414"/>
      <c r="AM1874" s="1414"/>
      <c r="AN1874" s="1414"/>
      <c r="AO1874" s="1414"/>
      <c r="AP1874"/>
      <c r="AQ1874"/>
      <c r="AR1874"/>
      <c r="AS1874"/>
      <c r="AT1874"/>
    </row>
    <row r="1875" spans="1:61" ht="19.5" thickTop="1" x14ac:dyDescent="0.3">
      <c r="A1875" s="2371">
        <v>9</v>
      </c>
      <c r="B1875" s="2385" t="s">
        <v>4085</v>
      </c>
      <c r="C1875" s="2371"/>
      <c r="D1875" s="2371"/>
      <c r="E1875" s="2371"/>
      <c r="F1875" s="2371"/>
      <c r="G1875" s="2373" t="s">
        <v>3974</v>
      </c>
      <c r="H1875" s="2371" t="s">
        <v>3971</v>
      </c>
      <c r="I1875" s="22" t="s">
        <v>3143</v>
      </c>
      <c r="J1875" s="22"/>
      <c r="K1875" s="22"/>
      <c r="L1875" s="1208"/>
      <c r="M1875" s="1059"/>
      <c r="N1875" s="1051"/>
      <c r="O1875" s="1051"/>
      <c r="P1875" s="648" t="s">
        <v>247</v>
      </c>
      <c r="Q1875" s="648" t="s">
        <v>247</v>
      </c>
      <c r="R1875" s="648" t="s">
        <v>247</v>
      </c>
      <c r="S1875" s="648" t="s">
        <v>247</v>
      </c>
      <c r="T1875" s="648" t="s">
        <v>247</v>
      </c>
      <c r="U1875" s="648" t="s">
        <v>247</v>
      </c>
      <c r="V1875" s="648" t="s">
        <v>247</v>
      </c>
      <c r="W1875" s="23"/>
      <c r="X1875" s="23"/>
      <c r="Y1875" s="23"/>
      <c r="Z1875" s="1586"/>
      <c r="AA1875" s="1526"/>
      <c r="AB1875" s="866" t="s">
        <v>247</v>
      </c>
      <c r="AC1875" s="866" t="s">
        <v>247</v>
      </c>
      <c r="AD1875" s="866" t="s">
        <v>247</v>
      </c>
      <c r="AE1875" s="866" t="s">
        <v>247</v>
      </c>
      <c r="AF1875" s="866" t="s">
        <v>247</v>
      </c>
      <c r="AG1875" s="866" t="s">
        <v>247</v>
      </c>
      <c r="AH1875" s="866" t="s">
        <v>247</v>
      </c>
      <c r="AI1875" s="866" t="s">
        <v>247</v>
      </c>
      <c r="AJ1875" s="866" t="s">
        <v>247</v>
      </c>
      <c r="AK1875" s="866" t="s">
        <v>247</v>
      </c>
      <c r="AL1875" s="1334"/>
      <c r="AM1875" s="1334"/>
      <c r="AN1875" s="1334"/>
      <c r="AO1875" s="1334"/>
      <c r="AP1875" s="1334"/>
      <c r="AQ1875" s="1334"/>
      <c r="AR1875" s="1334"/>
      <c r="AS1875" s="1334"/>
      <c r="AT1875" s="866" t="s">
        <v>247</v>
      </c>
      <c r="AU1875" s="866" t="s">
        <v>247</v>
      </c>
      <c r="AV1875" s="866" t="s">
        <v>247</v>
      </c>
      <c r="AW1875" s="866" t="s">
        <v>247</v>
      </c>
      <c r="AX1875" s="866" t="s">
        <v>247</v>
      </c>
      <c r="AY1875" s="866" t="s">
        <v>247</v>
      </c>
      <c r="AZ1875" s="866" t="s">
        <v>247</v>
      </c>
      <c r="BA1875" s="866" t="s">
        <v>247</v>
      </c>
      <c r="BB1875" s="866" t="s">
        <v>247</v>
      </c>
      <c r="BC1875" s="866" t="s">
        <v>247</v>
      </c>
      <c r="BD1875" s="866" t="s">
        <v>247</v>
      </c>
      <c r="BE1875" s="866" t="s">
        <v>247</v>
      </c>
      <c r="BF1875" s="866" t="s">
        <v>247</v>
      </c>
      <c r="BG1875" s="866" t="s">
        <v>247</v>
      </c>
      <c r="BH1875" s="866" t="s">
        <v>247</v>
      </c>
      <c r="BI1875" s="866" t="s">
        <v>247</v>
      </c>
    </row>
    <row r="1876" spans="1:61" x14ac:dyDescent="0.25">
      <c r="A1876" s="2371">
        <v>9</v>
      </c>
      <c r="B1876" s="2385" t="s">
        <v>3987</v>
      </c>
      <c r="C1876" s="2374"/>
      <c r="D1876" s="2374"/>
      <c r="E1876" s="2374"/>
      <c r="F1876" s="2374"/>
      <c r="G1876" s="2371"/>
      <c r="H1876" s="2371"/>
      <c r="I1876" s="221">
        <v>901</v>
      </c>
      <c r="J1876" s="4"/>
      <c r="K1876" s="4"/>
      <c r="L1876" s="1180" t="s">
        <v>3144</v>
      </c>
      <c r="M1876" s="1035"/>
      <c r="N1876" s="1031"/>
      <c r="O1876" s="1031"/>
      <c r="P1876" s="648"/>
      <c r="Q1876" s="648"/>
      <c r="R1876" s="648"/>
      <c r="S1876" s="648"/>
      <c r="T1876" s="648"/>
      <c r="U1876" s="648"/>
      <c r="V1876" s="648"/>
      <c r="W1876" s="648"/>
      <c r="X1876" s="648"/>
      <c r="Y1876" s="648"/>
      <c r="AA1876" s="1526"/>
      <c r="AB1876" s="648"/>
      <c r="AC1876" s="970"/>
      <c r="AD1876" s="970"/>
      <c r="AE1876" s="970"/>
      <c r="AF1876" s="648"/>
      <c r="AG1876" s="648"/>
      <c r="AH1876" s="648"/>
      <c r="AI1876" s="648"/>
      <c r="AJ1876" s="648"/>
      <c r="AK1876" s="648"/>
      <c r="AL1876" s="1336"/>
      <c r="AM1876" s="1336"/>
      <c r="AN1876" s="1336"/>
      <c r="AO1876" s="1336"/>
      <c r="AP1876" s="1336"/>
      <c r="AQ1876" s="1336"/>
      <c r="AR1876" s="1336"/>
      <c r="AS1876" s="1336"/>
      <c r="AT1876" s="648"/>
      <c r="AU1876" s="648"/>
      <c r="AV1876" s="648"/>
      <c r="AW1876" s="648"/>
      <c r="AX1876" s="648"/>
      <c r="AY1876" s="648"/>
      <c r="AZ1876" s="648"/>
      <c r="BA1876" s="648"/>
      <c r="BB1876" s="648"/>
      <c r="BC1876" s="648"/>
      <c r="BD1876" s="648"/>
      <c r="BE1876" s="648"/>
      <c r="BF1876" s="648"/>
      <c r="BG1876" s="648"/>
      <c r="BH1876" s="648"/>
    </row>
    <row r="1877" spans="1:61" x14ac:dyDescent="0.25">
      <c r="A1877" s="2371">
        <v>9</v>
      </c>
      <c r="B1877" s="2385">
        <v>901.1</v>
      </c>
      <c r="C1877" s="2374"/>
      <c r="D1877" s="2374"/>
      <c r="E1877" s="2374"/>
      <c r="F1877" s="2374"/>
      <c r="G1877" s="2363" t="str">
        <f ca="1">IF(COUNTIF(G1878:G1903,"P")&gt;0,"P","")</f>
        <v>P</v>
      </c>
      <c r="H1877" s="2371" t="s">
        <v>3971</v>
      </c>
      <c r="I1877" s="238">
        <v>901.1</v>
      </c>
      <c r="J1877" s="129"/>
      <c r="K1877" s="129"/>
      <c r="L1877" s="1181" t="s">
        <v>3145</v>
      </c>
      <c r="M1877" s="1038"/>
      <c r="N1877" s="1033"/>
      <c r="O1877" s="1033"/>
      <c r="P1877" s="94"/>
      <c r="Q1877" s="94"/>
      <c r="R1877" s="94"/>
      <c r="S1877" s="94"/>
      <c r="T1877" s="94"/>
      <c r="U1877" s="94"/>
      <c r="V1877" s="94"/>
      <c r="W1877" s="94"/>
      <c r="X1877" s="94"/>
      <c r="Y1877" s="648"/>
      <c r="AA1877" s="1526"/>
      <c r="AB1877" s="648"/>
      <c r="AC1877" s="970"/>
      <c r="AD1877" s="970"/>
      <c r="AE1877" s="970"/>
      <c r="AF1877" s="648"/>
      <c r="AG1877" s="648"/>
      <c r="AH1877" s="648"/>
      <c r="AI1877" s="648"/>
      <c r="AJ1877" s="648"/>
      <c r="AK1877" s="648"/>
      <c r="AL1877" s="1336"/>
      <c r="AM1877" s="1336"/>
      <c r="AN1877" s="1336"/>
      <c r="AO1877" s="1336"/>
      <c r="AP1877" s="1336"/>
      <c r="AQ1877" s="1336"/>
      <c r="AR1877" s="1336"/>
      <c r="AS1877" s="1336"/>
      <c r="AT1877" s="648"/>
      <c r="AU1877" s="648"/>
      <c r="AV1877" s="648"/>
      <c r="AW1877" s="648"/>
      <c r="AX1877" s="663" t="str">
        <f>'Overview (Verification)'!A10</f>
        <v>Builder Name:</v>
      </c>
      <c r="AY1877" s="752">
        <f>IF(LEN('Overview (Verification)'!P10)=0,0,'Overview (Verification)'!P10)</f>
        <v>0</v>
      </c>
      <c r="AZ1877" s="648"/>
      <c r="BA1877" s="648"/>
      <c r="BB1877" s="648"/>
      <c r="BC1877" s="648"/>
      <c r="BD1877" s="648"/>
      <c r="BE1877" s="648"/>
      <c r="BF1877" s="648"/>
      <c r="BG1877" s="648"/>
      <c r="BH1877" s="648"/>
    </row>
    <row r="1878" spans="1:61" x14ac:dyDescent="0.25">
      <c r="A1878" s="2371">
        <v>9</v>
      </c>
      <c r="B1878" s="2385" t="s">
        <v>3146</v>
      </c>
      <c r="C1878" s="2374"/>
      <c r="D1878" s="2374"/>
      <c r="E1878" s="2374"/>
      <c r="F1878" s="2374"/>
      <c r="G1878" s="2373" t="str">
        <f>IF(N1878&gt;0,"P","")</f>
        <v/>
      </c>
      <c r="H1878" s="2371" t="s">
        <v>3971</v>
      </c>
      <c r="I1878" s="238" t="s">
        <v>3146</v>
      </c>
      <c r="J1878" s="129"/>
      <c r="K1878" s="129"/>
      <c r="L1878" s="1782" t="s">
        <v>3147</v>
      </c>
      <c r="M1878" s="1758">
        <v>5</v>
      </c>
      <c r="N1878" s="1927">
        <f>'Ch9'!O12</f>
        <v>0</v>
      </c>
      <c r="O1878" s="1927">
        <f>M1878*S1878*W1878</f>
        <v>0</v>
      </c>
      <c r="P1878" s="94" t="b">
        <v>1</v>
      </c>
      <c r="Q1878" s="94" t="b">
        <v>1</v>
      </c>
      <c r="R1878" s="94" t="b">
        <v>0</v>
      </c>
      <c r="S1878" s="94" t="b">
        <v>1</v>
      </c>
      <c r="T1878" s="94" t="b">
        <v>0</v>
      </c>
      <c r="U1878" s="94"/>
      <c r="V1878" s="94"/>
      <c r="W1878" s="25"/>
      <c r="X1878" s="1770"/>
      <c r="Y1878" s="2077" t="str">
        <f>IF(LEN('Ch9'!X12)=0,"None",'Ch9'!X12)</f>
        <v>None</v>
      </c>
      <c r="Z1878" s="2083"/>
      <c r="AA1878" s="1526"/>
      <c r="AB1878" s="648"/>
      <c r="AC1878" s="970"/>
      <c r="AD1878" s="970"/>
      <c r="AE1878" s="970"/>
      <c r="AF1878" s="784"/>
      <c r="AG1878" s="648"/>
      <c r="AH1878" s="648"/>
      <c r="AI1878" s="648"/>
      <c r="AJ1878" s="648"/>
      <c r="AK1878" s="648"/>
      <c r="AL1878" s="254" t="str">
        <f>SUBSTITUTE(SUBSTITUTE(SUBSTITUTE("vpa"&amp;$B1878&amp;$C1878&amp;$D1878&amp;$E1878,".","_"),"(","_"),")","")</f>
        <v>vpa901_1_1</v>
      </c>
      <c r="AM1878" s="254">
        <f>M1878</f>
        <v>5</v>
      </c>
      <c r="AN1878" s="254" t="str">
        <f>SUBSTITUTE(SUBSTITUTE(SUBSTITUTE("vpc"&amp;$B1878&amp;$C1878&amp;$D1878&amp;$E1878,".","_"),"(","_"),")","")</f>
        <v>vpc901_1_1</v>
      </c>
      <c r="AO1878" s="254">
        <f>O1878</f>
        <v>0</v>
      </c>
      <c r="AP1878" s="254" t="str">
        <f>SUBSTITUTE(SUBSTITUTE(SUBSTITUTE("vch"&amp;$B1878&amp;$C1878&amp;$D1878&amp;$E1878,".","_"),"(","_"),")","")</f>
        <v>vch901_1_1</v>
      </c>
      <c r="AQ1878" s="254" t="str">
        <f>IF(LEN(W1878)=0,"",W1878)</f>
        <v/>
      </c>
      <c r="AR1878" s="254" t="str">
        <f>SUBSTITUTE(SUBSTITUTE(SUBSTITUTE("vnt"&amp;$B1878&amp;$C1878&amp;$D1878&amp;$E1878,".","_"),"(","_"),")","")</f>
        <v>vnt901_1_1</v>
      </c>
      <c r="AS1878" s="254" t="str">
        <f>IF(LEN(X1878)=0,"",X1878)</f>
        <v/>
      </c>
      <c r="AT1878" s="648"/>
      <c r="AU1878" s="648"/>
      <c r="AV1878" s="648"/>
      <c r="AW1878" s="648"/>
      <c r="AX1878" s="663" t="str">
        <f>'Overview (Verification)'!A11</f>
        <v>Physical Address of Home:</v>
      </c>
      <c r="AY1878" s="752">
        <f>IF(LEN('Overview (Verification)'!P11)=0,0,'Overview (Verification)'!P11)</f>
        <v>0</v>
      </c>
      <c r="AZ1878" s="648"/>
      <c r="BA1878" s="648"/>
      <c r="BB1878" s="648"/>
      <c r="BC1878" s="648"/>
      <c r="BD1878" s="648"/>
      <c r="BE1878" s="648"/>
      <c r="BF1878" s="648"/>
      <c r="BG1878" s="648"/>
      <c r="BH1878" s="648"/>
    </row>
    <row r="1879" spans="1:61" x14ac:dyDescent="0.25">
      <c r="A1879" s="2371">
        <v>9</v>
      </c>
      <c r="B1879" s="2385" t="s">
        <v>3146</v>
      </c>
      <c r="C1879" s="2374"/>
      <c r="D1879" s="2374"/>
      <c r="E1879" s="2374"/>
      <c r="F1879" s="2374"/>
      <c r="G1879" s="2373" t="str">
        <f>G1878</f>
        <v/>
      </c>
      <c r="H1879" s="2371" t="s">
        <v>3971</v>
      </c>
      <c r="I1879" s="480"/>
      <c r="J1879" s="129"/>
      <c r="K1879" s="129"/>
      <c r="L1879" s="1782"/>
      <c r="M1879" s="1758"/>
      <c r="N1879" s="1927"/>
      <c r="O1879" s="1927"/>
      <c r="P1879" s="94"/>
      <c r="Q1879" s="94"/>
      <c r="R1879" s="94"/>
      <c r="S1879" s="94"/>
      <c r="T1879" s="94"/>
      <c r="U1879" s="94"/>
      <c r="V1879" s="94"/>
      <c r="W1879" s="94"/>
      <c r="X1879" s="1770"/>
      <c r="Y1879" s="2077"/>
      <c r="Z1879" s="2083"/>
      <c r="AA1879" s="1526"/>
      <c r="AB1879" s="648"/>
      <c r="AC1879" s="970"/>
      <c r="AD1879" s="970"/>
      <c r="AE1879" s="970"/>
      <c r="AF1879" s="648"/>
      <c r="AG1879" s="648"/>
      <c r="AH1879" s="648"/>
      <c r="AI1879" s="648"/>
      <c r="AJ1879" s="648"/>
      <c r="AK1879" s="648"/>
      <c r="AL1879" s="1336"/>
      <c r="AM1879" s="1336"/>
      <c r="AN1879" s="1336"/>
      <c r="AO1879" s="1336"/>
      <c r="AP1879" s="1336"/>
      <c r="AQ1879" s="1336"/>
      <c r="AR1879" s="1336"/>
      <c r="AS1879" s="1336"/>
      <c r="AT1879" s="648"/>
      <c r="AU1879" s="648"/>
      <c r="AV1879" s="648"/>
      <c r="AW1879" s="648"/>
      <c r="AX1879" s="663" t="str">
        <f>'Overview (Verification)'!A12</f>
        <v>Community/Lot #:</v>
      </c>
      <c r="AY1879" s="752">
        <f>IF(LEN('Overview (Verification)'!P12)=0,0,'Overview (Verification)'!P12)</f>
        <v>0</v>
      </c>
      <c r="AZ1879" s="648"/>
      <c r="BA1879" s="648"/>
      <c r="BB1879" s="648"/>
      <c r="BC1879" s="648"/>
      <c r="BD1879" s="648"/>
      <c r="BE1879" s="648"/>
      <c r="BF1879" s="648"/>
      <c r="BG1879" s="648"/>
      <c r="BH1879" s="648"/>
    </row>
    <row r="1880" spans="1:61" x14ac:dyDescent="0.25">
      <c r="A1880" s="2371">
        <v>9</v>
      </c>
      <c r="B1880" s="2385" t="s">
        <v>3146</v>
      </c>
      <c r="C1880" s="2374"/>
      <c r="D1880" s="2374"/>
      <c r="E1880" s="2374"/>
      <c r="F1880" s="2374"/>
      <c r="G1880" s="2373" t="str">
        <f>G1879</f>
        <v/>
      </c>
      <c r="H1880" s="2371" t="s">
        <v>3971</v>
      </c>
      <c r="I1880" s="480"/>
      <c r="J1880" s="129"/>
      <c r="K1880" s="129"/>
      <c r="L1880" s="1782"/>
      <c r="M1880" s="1758"/>
      <c r="N1880" s="1927"/>
      <c r="O1880" s="1927"/>
      <c r="P1880" s="94"/>
      <c r="Q1880" s="94"/>
      <c r="R1880" s="94"/>
      <c r="S1880" s="94"/>
      <c r="T1880" s="94"/>
      <c r="U1880" s="94"/>
      <c r="V1880" s="94"/>
      <c r="W1880" s="94"/>
      <c r="X1880" s="1770"/>
      <c r="Y1880" s="2077"/>
      <c r="Z1880" s="2083"/>
      <c r="AA1880" s="1526"/>
      <c r="AB1880" s="648"/>
      <c r="AC1880" s="970"/>
      <c r="AD1880" s="970"/>
      <c r="AE1880" s="970"/>
      <c r="AF1880" s="648"/>
      <c r="AG1880" s="648"/>
      <c r="AH1880" s="648"/>
      <c r="AI1880" s="648"/>
      <c r="AJ1880" s="648"/>
      <c r="AK1880" s="648"/>
      <c r="AL1880" s="1336"/>
      <c r="AM1880" s="1336"/>
      <c r="AN1880" s="1336"/>
      <c r="AO1880" s="1336"/>
      <c r="AP1880" s="1336"/>
      <c r="AQ1880" s="1336"/>
      <c r="AR1880" s="1336"/>
      <c r="AS1880" s="1336"/>
      <c r="AT1880" s="648"/>
      <c r="AU1880" s="648"/>
      <c r="AV1880" s="648"/>
      <c r="AW1880" s="648"/>
      <c r="AX1880" s="663" t="str">
        <f>'Overview (Verification)'!A13</f>
        <v>City:</v>
      </c>
      <c r="AY1880" s="752">
        <f>IF(LEN('Overview (Verification)'!P13)=0,0,'Overview (Verification)'!P13)</f>
        <v>0</v>
      </c>
      <c r="AZ1880" s="648"/>
      <c r="BA1880" s="648"/>
      <c r="BB1880" s="648"/>
      <c r="BC1880" s="648"/>
      <c r="BD1880" s="648"/>
      <c r="BE1880" s="648"/>
      <c r="BF1880" s="648"/>
      <c r="BG1880" s="648"/>
      <c r="BH1880" s="648"/>
    </row>
    <row r="1881" spans="1:61" x14ac:dyDescent="0.25">
      <c r="A1881" s="2371">
        <v>9</v>
      </c>
      <c r="B1881" s="2385" t="s">
        <v>3146</v>
      </c>
      <c r="C1881" s="2374"/>
      <c r="D1881" s="2374"/>
      <c r="E1881" s="2374"/>
      <c r="F1881" s="2374"/>
      <c r="G1881" s="2373" t="str">
        <f>G1880</f>
        <v/>
      </c>
      <c r="H1881" s="2371" t="s">
        <v>3971</v>
      </c>
      <c r="I1881" s="480"/>
      <c r="J1881" s="129"/>
      <c r="K1881" s="129"/>
      <c r="L1881" s="1782"/>
      <c r="M1881" s="1758"/>
      <c r="N1881" s="1927"/>
      <c r="O1881" s="1927"/>
      <c r="P1881" s="94"/>
      <c r="Q1881" s="94"/>
      <c r="R1881" s="94"/>
      <c r="S1881" s="94"/>
      <c r="T1881" s="94"/>
      <c r="U1881" s="94"/>
      <c r="V1881" s="94"/>
      <c r="W1881" s="94"/>
      <c r="X1881" s="1770"/>
      <c r="Y1881" s="2077"/>
      <c r="Z1881" s="2083"/>
      <c r="AA1881" s="1526"/>
      <c r="AB1881" s="648"/>
      <c r="AC1881" s="970"/>
      <c r="AD1881" s="970"/>
      <c r="AE1881" s="970"/>
      <c r="AF1881" s="648"/>
      <c r="AG1881" s="648"/>
      <c r="AH1881" s="648"/>
      <c r="AI1881" s="648"/>
      <c r="AJ1881" s="648"/>
      <c r="AK1881" s="648"/>
      <c r="AL1881" s="1336"/>
      <c r="AM1881" s="1336"/>
      <c r="AN1881" s="1336"/>
      <c r="AO1881" s="1336"/>
      <c r="AP1881" s="1336"/>
      <c r="AQ1881" s="1336"/>
      <c r="AR1881" s="1336"/>
      <c r="AS1881" s="1336"/>
      <c r="AT1881" s="648"/>
      <c r="AU1881" s="648"/>
      <c r="AV1881" s="648"/>
      <c r="AW1881" s="648"/>
      <c r="AX1881" s="663" t="str">
        <f>'Overview (Verification)'!A14</f>
        <v>State:</v>
      </c>
      <c r="AY1881" s="752">
        <f>IF(LEN('Overview (Verification)'!P14)=0,0,'Overview (Verification)'!P14)</f>
        <v>0</v>
      </c>
      <c r="AZ1881" s="648"/>
      <c r="BA1881" s="648"/>
      <c r="BB1881" s="648"/>
      <c r="BC1881" s="752" t="str">
        <f>'Overview (Verification)'!T14</f>
        <v>State</v>
      </c>
      <c r="BD1881" s="752" t="str">
        <f>'Overview (Verification)'!U14</f>
        <v>County</v>
      </c>
      <c r="BE1881" s="752" t="str">
        <f>'Overview (Verification)'!V14</f>
        <v>Radon</v>
      </c>
      <c r="BF1881" s="752" t="str">
        <f>'Overview (Verification)'!W14</f>
        <v>Climate</v>
      </c>
      <c r="BG1881" s="752" t="str">
        <f>'Overview (Verification)'!X14</f>
        <v>Moist</v>
      </c>
      <c r="BH1881" s="752" t="str">
        <f>'Overview (Verification)'!Y14</f>
        <v>WarmHumid</v>
      </c>
    </row>
    <row r="1882" spans="1:61" x14ac:dyDescent="0.25">
      <c r="A1882" s="2371">
        <v>9</v>
      </c>
      <c r="B1882" s="2385" t="s">
        <v>3146</v>
      </c>
      <c r="C1882" s="2374"/>
      <c r="D1882" s="2374"/>
      <c r="E1882" s="2374"/>
      <c r="F1882" s="2374"/>
      <c r="G1882" s="2373" t="str">
        <f>G1881</f>
        <v/>
      </c>
      <c r="H1882" s="2371" t="s">
        <v>3971</v>
      </c>
      <c r="I1882" s="480"/>
      <c r="J1882" s="129"/>
      <c r="K1882" s="129"/>
      <c r="L1882" s="1942" t="s">
        <v>3379</v>
      </c>
      <c r="M1882" s="1758"/>
      <c r="N1882" s="1927"/>
      <c r="O1882" s="1927"/>
      <c r="P1882" s="94"/>
      <c r="Q1882" s="94"/>
      <c r="R1882" s="94"/>
      <c r="S1882" s="94"/>
      <c r="T1882" s="94"/>
      <c r="U1882" s="94"/>
      <c r="V1882" s="94"/>
      <c r="W1882" s="94"/>
      <c r="X1882" s="1770"/>
      <c r="Y1882" s="2077"/>
      <c r="Z1882" s="2083"/>
      <c r="AA1882" s="1526"/>
      <c r="AB1882" s="648"/>
      <c r="AC1882" s="970"/>
      <c r="AD1882" s="970"/>
      <c r="AE1882" s="970"/>
      <c r="AF1882" s="648"/>
      <c r="AG1882" s="648"/>
      <c r="AH1882" s="648"/>
      <c r="AI1882" s="648"/>
      <c r="AJ1882" s="648"/>
      <c r="AK1882" s="648"/>
      <c r="AL1882" s="1336"/>
      <c r="AM1882" s="1336"/>
      <c r="AN1882" s="1336"/>
      <c r="AO1882" s="1336"/>
      <c r="AP1882" s="1336"/>
      <c r="AQ1882" s="1336"/>
      <c r="AR1882" s="1336"/>
      <c r="AS1882" s="1336"/>
      <c r="AT1882" s="648"/>
      <c r="AU1882" s="648"/>
      <c r="AV1882" s="648"/>
      <c r="AW1882" s="648"/>
      <c r="AX1882" s="663" t="str">
        <f>'Overview (Verification)'!A15</f>
        <v>County:</v>
      </c>
      <c r="AY1882" s="752">
        <f>IF(LEN('Overview (Verification)'!P15)=0,0,'Overview (Verification)'!P15)</f>
        <v>0</v>
      </c>
      <c r="AZ1882" s="648"/>
      <c r="BA1882" s="648"/>
      <c r="BB1882" s="648"/>
      <c r="BC1882" s="752" t="str">
        <f>'Overview (Verification)'!T15</f>
        <v/>
      </c>
      <c r="BD1882" s="752" t="str">
        <f>'Overview (Verification)'!U15</f>
        <v/>
      </c>
      <c r="BE1882" s="752" t="str">
        <f>'Overview (Verification)'!V15</f>
        <v>!!</v>
      </c>
      <c r="BF1882" s="752" t="str">
        <f>'Overview (Verification)'!W15</f>
        <v>!!</v>
      </c>
      <c r="BG1882" s="752" t="str">
        <f>'Overview (Verification)'!X15</f>
        <v>!!</v>
      </c>
      <c r="BH1882" s="752" t="str">
        <f>'Overview (Verification)'!Y15</f>
        <v>!!</v>
      </c>
    </row>
    <row r="1883" spans="1:61" x14ac:dyDescent="0.25">
      <c r="A1883" s="2371">
        <v>9</v>
      </c>
      <c r="B1883" s="2385" t="s">
        <v>3146</v>
      </c>
      <c r="C1883" s="2374"/>
      <c r="D1883" s="2374"/>
      <c r="E1883" s="2374"/>
      <c r="F1883" s="2374"/>
      <c r="G1883" s="2373" t="str">
        <f>G1882</f>
        <v/>
      </c>
      <c r="H1883" s="2371" t="s">
        <v>3971</v>
      </c>
      <c r="I1883" s="524"/>
      <c r="J1883" s="210"/>
      <c r="K1883" s="210"/>
      <c r="L1883" s="1944"/>
      <c r="M1883" s="1759"/>
      <c r="N1883" s="2076"/>
      <c r="O1883" s="2076"/>
      <c r="P1883" s="178"/>
      <c r="Q1883" s="178"/>
      <c r="R1883" s="178"/>
      <c r="S1883" s="178"/>
      <c r="T1883" s="178"/>
      <c r="U1883" s="178"/>
      <c r="V1883" s="178"/>
      <c r="W1883" s="178"/>
      <c r="X1883" s="1770"/>
      <c r="Y1883" s="2077"/>
      <c r="Z1883" s="2083"/>
      <c r="AA1883" s="1526"/>
      <c r="AB1883" s="648"/>
      <c r="AC1883" s="970"/>
      <c r="AD1883" s="970"/>
      <c r="AE1883" s="970"/>
      <c r="AF1883" s="648"/>
      <c r="AG1883" s="648"/>
      <c r="AH1883" s="648"/>
      <c r="AI1883" s="648"/>
      <c r="AJ1883" s="648"/>
      <c r="AK1883" s="648"/>
      <c r="AL1883" s="1336"/>
      <c r="AM1883" s="1336"/>
      <c r="AN1883" s="1336"/>
      <c r="AO1883" s="1336"/>
      <c r="AP1883" s="1336"/>
      <c r="AQ1883" s="1336"/>
      <c r="AR1883" s="1336"/>
      <c r="AS1883" s="1336"/>
      <c r="AT1883" s="648"/>
      <c r="AU1883" s="648"/>
      <c r="AV1883" s="648"/>
      <c r="AW1883" s="648"/>
      <c r="AX1883" s="663" t="str">
        <f>'Overview (Verification)'!A16</f>
        <v>Zip:</v>
      </c>
      <c r="AY1883" s="752">
        <f>IF(LEN('Overview (Verification)'!P16)=0,0,'Overview (Verification)'!P16)</f>
        <v>0</v>
      </c>
      <c r="AZ1883" s="648"/>
      <c r="BA1883" s="648"/>
      <c r="BB1883" s="648"/>
      <c r="BC1883" s="648"/>
      <c r="BD1883" s="648"/>
      <c r="BE1883" s="648"/>
      <c r="BF1883" s="648"/>
      <c r="BG1883" s="648"/>
      <c r="BH1883" s="648"/>
    </row>
    <row r="1884" spans="1:61" x14ac:dyDescent="0.25">
      <c r="A1884" s="2371">
        <v>9</v>
      </c>
      <c r="B1884" s="2385" t="s">
        <v>3148</v>
      </c>
      <c r="C1884" s="2374"/>
      <c r="D1884" s="2374"/>
      <c r="E1884" s="2374"/>
      <c r="F1884" s="2374"/>
      <c r="G1884" s="2373" t="str">
        <f>IF(N1884&gt;0,"P","")</f>
        <v/>
      </c>
      <c r="H1884" s="2371" t="s">
        <v>3972</v>
      </c>
      <c r="I1884" s="192" t="s">
        <v>3148</v>
      </c>
      <c r="J1884" s="193"/>
      <c r="K1884" s="193"/>
      <c r="L1884" s="1864" t="s">
        <v>3149</v>
      </c>
      <c r="M1884" s="1762">
        <v>5</v>
      </c>
      <c r="N1884" s="2079">
        <f>'Ch9'!O18</f>
        <v>0</v>
      </c>
      <c r="O1884" s="2079">
        <f>M1884*S1884*W1884</f>
        <v>0</v>
      </c>
      <c r="P1884" s="94" t="b">
        <v>1</v>
      </c>
      <c r="Q1884" s="94" t="b">
        <v>0</v>
      </c>
      <c r="R1884" s="195" t="b">
        <v>0</v>
      </c>
      <c r="S1884" s="195" t="b">
        <v>1</v>
      </c>
      <c r="T1884" s="195" t="b">
        <v>0</v>
      </c>
      <c r="U1884" s="195"/>
      <c r="V1884" s="195"/>
      <c r="W1884" s="25"/>
      <c r="X1884" s="1770"/>
      <c r="Y1884" s="2077" t="str">
        <f>IF(LEN('Ch9'!X18)=0,"None",'Ch9'!X18)</f>
        <v>None</v>
      </c>
      <c r="Z1884" s="2083"/>
      <c r="AA1884" s="1526"/>
      <c r="AB1884" s="648"/>
      <c r="AC1884" s="970"/>
      <c r="AD1884" s="970"/>
      <c r="AE1884" s="970"/>
      <c r="AF1884" s="784"/>
      <c r="AG1884" s="648"/>
      <c r="AH1884" s="648"/>
      <c r="AI1884" s="648"/>
      <c r="AJ1884" s="648"/>
      <c r="AK1884" s="648"/>
      <c r="AL1884" s="254" t="str">
        <f>SUBSTITUTE(SUBSTITUTE(SUBSTITUTE("vpa"&amp;$B1884&amp;$C1884&amp;$D1884&amp;$E1884,".","_"),"(","_"),")","")</f>
        <v>vpa901_1_2</v>
      </c>
      <c r="AM1884" s="254">
        <f>M1884</f>
        <v>5</v>
      </c>
      <c r="AN1884" s="254" t="str">
        <f>SUBSTITUTE(SUBSTITUTE(SUBSTITUTE("vpc"&amp;$B1884&amp;$C1884&amp;$D1884&amp;$E1884,".","_"),"(","_"),")","")</f>
        <v>vpc901_1_2</v>
      </c>
      <c r="AO1884" s="254">
        <f>O1884</f>
        <v>0</v>
      </c>
      <c r="AP1884" s="254" t="str">
        <f>SUBSTITUTE(SUBSTITUTE(SUBSTITUTE("vch"&amp;$B1884&amp;$C1884&amp;$D1884&amp;$E1884,".","_"),"(","_"),")","")</f>
        <v>vch901_1_2</v>
      </c>
      <c r="AQ1884" s="254" t="str">
        <f>IF(LEN(W1884)=0,"",W1884)</f>
        <v/>
      </c>
      <c r="AR1884" s="254" t="str">
        <f>SUBSTITUTE(SUBSTITUTE(SUBSTITUTE("vnt"&amp;$B1884&amp;$C1884&amp;$D1884&amp;$E1884,".","_"),"(","_"),")","")</f>
        <v>vnt901_1_2</v>
      </c>
      <c r="AS1884" s="254" t="str">
        <f>IF(LEN(X1884)=0,"",X1884)</f>
        <v/>
      </c>
      <c r="AT1884" s="648"/>
      <c r="AU1884" s="648"/>
      <c r="AV1884" s="648"/>
      <c r="AW1884" s="648"/>
      <c r="AX1884" s="649"/>
      <c r="AY1884" s="752"/>
      <c r="AZ1884" s="648"/>
      <c r="BA1884" s="648"/>
      <c r="BB1884" s="648"/>
      <c r="BC1884" s="648"/>
      <c r="BD1884" s="648"/>
      <c r="BE1884" s="648"/>
      <c r="BF1884" s="648"/>
      <c r="BG1884" s="648"/>
      <c r="BH1884" s="648"/>
    </row>
    <row r="1885" spans="1:61" x14ac:dyDescent="0.25">
      <c r="A1885" s="2371">
        <v>9</v>
      </c>
      <c r="B1885" s="2385" t="s">
        <v>3148</v>
      </c>
      <c r="C1885" s="2374"/>
      <c r="D1885" s="2374"/>
      <c r="E1885" s="2374"/>
      <c r="F1885" s="2374"/>
      <c r="G1885" s="2373" t="str">
        <f>G1884</f>
        <v/>
      </c>
      <c r="H1885" s="2371" t="s">
        <v>3972</v>
      </c>
      <c r="I1885" s="480"/>
      <c r="J1885" s="129"/>
      <c r="K1885" s="129"/>
      <c r="L1885" s="1782"/>
      <c r="M1885" s="1758"/>
      <c r="N1885" s="1927"/>
      <c r="O1885" s="1927"/>
      <c r="P1885" s="94"/>
      <c r="Q1885" s="94"/>
      <c r="R1885" s="94"/>
      <c r="S1885" s="94"/>
      <c r="T1885" s="94"/>
      <c r="U1885" s="94"/>
      <c r="V1885" s="94"/>
      <c r="W1885" s="94"/>
      <c r="X1885" s="1770"/>
      <c r="Y1885" s="2077"/>
      <c r="Z1885" s="2083"/>
      <c r="AA1885" s="1526"/>
      <c r="AB1885" s="648"/>
      <c r="AC1885" s="970"/>
      <c r="AD1885" s="970"/>
      <c r="AE1885" s="970"/>
      <c r="AF1885" s="648"/>
      <c r="AG1885" s="648"/>
      <c r="AH1885" s="648"/>
      <c r="AI1885" s="648"/>
      <c r="AJ1885" s="648"/>
      <c r="AK1885" s="648"/>
      <c r="AL1885" s="1336"/>
      <c r="AM1885" s="1336"/>
      <c r="AN1885" s="1336"/>
      <c r="AO1885" s="1336"/>
      <c r="AP1885" s="1336"/>
      <c r="AQ1885" s="1336"/>
      <c r="AR1885" s="1336"/>
      <c r="AS1885" s="1336"/>
      <c r="AT1885" s="648"/>
      <c r="AU1885" s="648"/>
      <c r="AV1885" s="648"/>
      <c r="AW1885" s="648"/>
      <c r="AX1885" s="663" t="str">
        <f>'Overview (Verification)'!A18</f>
        <v>Single-Family or Multifamily:</v>
      </c>
      <c r="AY1885" s="752" t="str">
        <f>IF(LEN('Overview (Verification)'!P18)=0,0,'Overview (Verification)'!P18)</f>
        <v>Single-Family</v>
      </c>
      <c r="AZ1885" s="648"/>
      <c r="BA1885" s="648"/>
      <c r="BB1885" s="648"/>
      <c r="BC1885" s="648"/>
      <c r="BD1885" s="648"/>
      <c r="BE1885" s="648"/>
      <c r="BF1885" s="648"/>
      <c r="BG1885" s="648"/>
      <c r="BH1885" s="648"/>
    </row>
    <row r="1886" spans="1:61" x14ac:dyDescent="0.25">
      <c r="A1886" s="2371">
        <v>9</v>
      </c>
      <c r="B1886" s="2385" t="s">
        <v>3148</v>
      </c>
      <c r="C1886" s="2374"/>
      <c r="D1886" s="2374"/>
      <c r="E1886" s="2374"/>
      <c r="F1886" s="2374"/>
      <c r="G1886" s="2373" t="str">
        <f>G1885</f>
        <v/>
      </c>
      <c r="H1886" s="2371" t="s">
        <v>3972</v>
      </c>
      <c r="I1886" s="524"/>
      <c r="J1886" s="210"/>
      <c r="K1886" s="210"/>
      <c r="L1886" s="1177" t="s">
        <v>3661</v>
      </c>
      <c r="M1886" s="1015"/>
      <c r="N1886" s="1047"/>
      <c r="O1886" s="1047"/>
      <c r="P1886" s="178"/>
      <c r="Q1886" s="178"/>
      <c r="R1886" s="178"/>
      <c r="S1886" s="178"/>
      <c r="T1886" s="178"/>
      <c r="U1886" s="178"/>
      <c r="V1886" s="178"/>
      <c r="W1886" s="178"/>
      <c r="X1886" s="1770"/>
      <c r="Y1886" s="2077"/>
      <c r="Z1886" s="2083"/>
      <c r="AA1886" s="1526"/>
      <c r="AB1886" s="648"/>
      <c r="AC1886" s="970"/>
      <c r="AD1886" s="970"/>
      <c r="AE1886" s="970"/>
      <c r="AF1886" s="648"/>
      <c r="AG1886" s="648"/>
      <c r="AH1886" s="648"/>
      <c r="AI1886" s="648"/>
      <c r="AJ1886" s="648"/>
      <c r="AK1886" s="648"/>
      <c r="AL1886" s="1336"/>
      <c r="AM1886" s="1336"/>
      <c r="AN1886" s="1336"/>
      <c r="AO1886" s="1336"/>
      <c r="AP1886" s="1336"/>
      <c r="AQ1886" s="1336"/>
      <c r="AR1886" s="1336"/>
      <c r="AS1886" s="1336"/>
      <c r="AT1886" s="648"/>
      <c r="AU1886" s="648"/>
      <c r="AV1886" s="648"/>
      <c r="AW1886" s="648"/>
      <c r="AX1886" s="663" t="str">
        <f>'Overview (Verification)'!A19</f>
        <v>Number of Units:</v>
      </c>
      <c r="AY1886" s="752">
        <f>IF(LEN('Overview (Verification)'!P19)=0,0,'Overview (Verification)'!P19)</f>
        <v>0</v>
      </c>
      <c r="AZ1886" s="648"/>
      <c r="BA1886" s="648"/>
      <c r="BB1886" s="648"/>
      <c r="BC1886" s="648"/>
      <c r="BD1886" s="648"/>
      <c r="BE1886" s="648"/>
      <c r="BF1886" s="648"/>
      <c r="BG1886" s="648"/>
      <c r="BH1886" s="648"/>
    </row>
    <row r="1887" spans="1:61" x14ac:dyDescent="0.25">
      <c r="A1887" s="2371">
        <v>9</v>
      </c>
      <c r="B1887" s="2385" t="s">
        <v>3150</v>
      </c>
      <c r="C1887" s="2374"/>
      <c r="D1887" s="2374"/>
      <c r="E1887" s="2374"/>
      <c r="F1887" s="2374"/>
      <c r="G1887" s="2363" t="str">
        <f ca="1">IF(COUNTIF(G1889:G1892,"P")&gt;0,"P","")</f>
        <v/>
      </c>
      <c r="H1887" s="2371" t="s">
        <v>3971</v>
      </c>
      <c r="I1887" s="64" t="s">
        <v>3150</v>
      </c>
      <c r="J1887" s="4"/>
      <c r="K1887" s="4"/>
      <c r="L1887" s="1796" t="s">
        <v>3151</v>
      </c>
      <c r="M1887" s="1014"/>
      <c r="N1887" s="1042"/>
      <c r="O1887" s="1042"/>
      <c r="P1887" s="648"/>
      <c r="Q1887" s="648"/>
      <c r="R1887" s="648"/>
      <c r="S1887" s="648"/>
      <c r="T1887" s="648"/>
      <c r="U1887" s="648"/>
      <c r="V1887" s="648"/>
      <c r="W1887" s="648"/>
      <c r="X1887" s="648"/>
      <c r="Y1887" s="648"/>
      <c r="AA1887" s="1526"/>
      <c r="AB1887" s="648"/>
      <c r="AC1887" s="970"/>
      <c r="AD1887" s="970"/>
      <c r="AE1887" s="970"/>
      <c r="AF1887" s="648"/>
      <c r="AG1887" s="648"/>
      <c r="AH1887" s="648"/>
      <c r="AI1887" s="648"/>
      <c r="AJ1887" s="648"/>
      <c r="AK1887" s="648"/>
      <c r="AL1887" s="1336"/>
      <c r="AM1887" s="1336"/>
      <c r="AN1887" s="1336"/>
      <c r="AO1887" s="1336"/>
      <c r="AP1887" s="1336"/>
      <c r="AQ1887" s="1336"/>
      <c r="AR1887" s="1336"/>
      <c r="AS1887" s="1336"/>
      <c r="AT1887" s="648"/>
      <c r="AU1887" s="648"/>
      <c r="AV1887" s="648"/>
      <c r="AW1887" s="648"/>
      <c r="AX1887" s="1100" t="str">
        <f>'Overview (Verification)'!A20</f>
        <v>Building includes commercial space pursuing Commercial Space certification?</v>
      </c>
      <c r="AY1887" s="1101">
        <f>IF(LEN('Overview (Verification)'!P20)=0,0,'Overview (Verification)'!P20)</f>
        <v>0</v>
      </c>
      <c r="AZ1887" s="648"/>
      <c r="BA1887" s="648"/>
      <c r="BB1887" s="648"/>
      <c r="BC1887" s="648"/>
      <c r="BD1887" s="648"/>
      <c r="BE1887" s="648"/>
      <c r="BF1887" s="648"/>
      <c r="BG1887" s="648"/>
      <c r="BH1887" s="648"/>
    </row>
    <row r="1888" spans="1:61" x14ac:dyDescent="0.25">
      <c r="A1888" s="2371">
        <v>9</v>
      </c>
      <c r="B1888" s="2385" t="s">
        <v>3150</v>
      </c>
      <c r="C1888" s="2374"/>
      <c r="D1888" s="2374"/>
      <c r="E1888" s="2374"/>
      <c r="F1888" s="2374"/>
      <c r="G1888" s="2373" t="str">
        <f ca="1">G1887</f>
        <v/>
      </c>
      <c r="H1888" s="2371" t="s">
        <v>3971</v>
      </c>
      <c r="I1888" s="164"/>
      <c r="J1888" s="4"/>
      <c r="K1888" s="4"/>
      <c r="L1888" s="1796"/>
      <c r="M1888" s="1014"/>
      <c r="N1888" s="1042"/>
      <c r="O1888" s="1042"/>
      <c r="P1888" s="648"/>
      <c r="Q1888" s="648"/>
      <c r="R1888" s="648"/>
      <c r="S1888" s="648"/>
      <c r="T1888" s="648"/>
      <c r="U1888" s="648"/>
      <c r="V1888" s="648"/>
      <c r="W1888" s="648"/>
      <c r="X1888" s="648"/>
      <c r="Y1888" s="648"/>
      <c r="AA1888" s="1526"/>
      <c r="AB1888" s="648"/>
      <c r="AC1888" s="970"/>
      <c r="AD1888" s="970"/>
      <c r="AE1888" s="970"/>
      <c r="AF1888" s="648"/>
      <c r="AG1888" s="648"/>
      <c r="AH1888" s="648"/>
      <c r="AI1888" s="648"/>
      <c r="AJ1888" s="648"/>
      <c r="AK1888" s="648"/>
      <c r="AL1888" s="1336"/>
      <c r="AM1888" s="1336"/>
      <c r="AN1888" s="1336"/>
      <c r="AO1888" s="1336"/>
      <c r="AP1888" s="1336"/>
      <c r="AQ1888" s="1336"/>
      <c r="AR1888" s="1336"/>
      <c r="AS1888" s="1336"/>
      <c r="AT1888" s="648"/>
      <c r="AU1888" s="648"/>
      <c r="AV1888" s="648"/>
      <c r="AW1888" s="648"/>
      <c r="AZ1888" s="648"/>
      <c r="BA1888" s="648"/>
      <c r="BB1888" s="648"/>
      <c r="BC1888" s="648"/>
      <c r="BD1888" s="648"/>
      <c r="BE1888" s="648"/>
      <c r="BF1888" s="648"/>
      <c r="BG1888" s="648"/>
      <c r="BH1888" s="648"/>
    </row>
    <row r="1889" spans="1:61" x14ac:dyDescent="0.25">
      <c r="A1889" s="2371">
        <v>9</v>
      </c>
      <c r="B1889" s="2385" t="s">
        <v>3150</v>
      </c>
      <c r="C1889" s="2374" t="s">
        <v>256</v>
      </c>
      <c r="D1889" s="2374"/>
      <c r="E1889" s="2374"/>
      <c r="F1889" s="2374"/>
      <c r="G1889" s="2373" t="str">
        <f ca="1">IF(N1889&gt;0,"P","")</f>
        <v/>
      </c>
      <c r="H1889" s="2371" t="s">
        <v>3971</v>
      </c>
      <c r="I1889" s="164"/>
      <c r="J1889" s="27" t="s">
        <v>256</v>
      </c>
      <c r="K1889" s="4"/>
      <c r="L1889" s="1170" t="s">
        <v>3152</v>
      </c>
      <c r="M1889" s="1014"/>
      <c r="N1889" s="1042">
        <f ca="1">'Ch9'!O23</f>
        <v>0</v>
      </c>
      <c r="O1889" s="1042">
        <f ca="1">IFERROR(INDEX({3,5},MATCH(W1889,INDIRECT(U1889),0)),0)*S1889</f>
        <v>0</v>
      </c>
      <c r="P1889" s="94" t="b">
        <v>1</v>
      </c>
      <c r="Q1889" s="94" t="b">
        <v>1</v>
      </c>
      <c r="R1889" s="648" t="b">
        <v>0</v>
      </c>
      <c r="S1889" s="648" t="b">
        <f>OR(AY1901=INDEX(ddHeat1,1),AY1901=INDEX(ddHeat1,2),AY1902=INDEX(ddHeat2,1),AY1902=INDEX(ddHeat2,2),AY1903=INDEX(ddHeat3,1),AY1903=INDEX(ddHeat3,2))</f>
        <v>0</v>
      </c>
      <c r="T1889" s="94" t="b">
        <f>AND(NOT(S1889),LEN(W1889)&gt;0)</f>
        <v>0</v>
      </c>
      <c r="U1889" s="94" t="str">
        <f>SUBSTITUTE(SUBSTITUTE(SUBSTITUTE("dd"&amp;B1889&amp;C1889&amp;D1889&amp;E1889&amp;F1889,".","_"),"(","_"),")","")</f>
        <v>dd901_1_3_1</v>
      </c>
      <c r="V1889" s="648"/>
      <c r="W1889" s="12"/>
      <c r="X1889" s="1757"/>
      <c r="Y1889" s="2077" t="str">
        <f>IF(LEN('Ch9'!X23)=0,"None",'Ch9'!X23)</f>
        <v>None</v>
      </c>
      <c r="Z1889" s="2083"/>
      <c r="AA1889" s="1526"/>
      <c r="AB1889" s="648"/>
      <c r="AC1889" s="970" t="b">
        <f>OR(AD1889:AE1889)</f>
        <v>0</v>
      </c>
      <c r="AD1889" s="970" t="b">
        <f>T1889</f>
        <v>0</v>
      </c>
      <c r="AE1889" s="970"/>
      <c r="AF1889" s="648"/>
      <c r="AG1889" s="648"/>
      <c r="AH1889" s="648"/>
      <c r="AI1889" s="648"/>
      <c r="AJ1889" s="648"/>
      <c r="AK1889" s="648"/>
      <c r="AL1889" s="1336"/>
      <c r="AM1889" s="1336"/>
      <c r="AN1889" s="254" t="str">
        <f>SUBSTITUTE(SUBSTITUTE(SUBSTITUTE("vpc"&amp;$B1889&amp;$C1889&amp;$D1889&amp;$E1889,".","_"),"(","_"),")","")</f>
        <v>vpc901_1_3_1</v>
      </c>
      <c r="AO1889" s="254">
        <f ca="1">O1889</f>
        <v>0</v>
      </c>
      <c r="AP1889" s="254" t="str">
        <f>SUBSTITUTE(SUBSTITUTE(SUBSTITUTE("vch"&amp;$B1889&amp;$C1889&amp;$D1889&amp;$E1889,".","_"),"(","_"),")","")</f>
        <v>vch901_1_3_1</v>
      </c>
      <c r="AQ1889" s="254" t="str">
        <f>IF(LEN(W1889)=0,"",W1889)</f>
        <v/>
      </c>
      <c r="AR1889" s="254" t="str">
        <f>SUBSTITUTE(SUBSTITUTE(SUBSTITUTE("vnt"&amp;$B1889&amp;$C1889&amp;$D1889&amp;$E1889,".","_"),"(","_"),")","")</f>
        <v>vnt901_1_3_1</v>
      </c>
      <c r="AS1889" s="254" t="str">
        <f>IF(LEN(X1889)=0,"",X1889)</f>
        <v/>
      </c>
      <c r="AT1889" s="648"/>
      <c r="AU1889" s="648"/>
      <c r="AV1889" s="648"/>
      <c r="AW1889" s="648"/>
      <c r="AZ1889" s="648"/>
      <c r="BA1889" s="648"/>
      <c r="BB1889" s="648"/>
      <c r="BC1889" s="648"/>
      <c r="BD1889" s="648"/>
      <c r="BE1889" s="648"/>
      <c r="BF1889" s="648"/>
      <c r="BG1889" s="648"/>
      <c r="BH1889" s="648"/>
    </row>
    <row r="1890" spans="1:61" x14ac:dyDescent="0.25">
      <c r="A1890" s="2371">
        <v>9</v>
      </c>
      <c r="B1890" s="2385" t="s">
        <v>3150</v>
      </c>
      <c r="C1890" s="2374" t="s">
        <v>256</v>
      </c>
      <c r="D1890" s="2383" t="s">
        <v>121</v>
      </c>
      <c r="E1890" s="2383"/>
      <c r="F1890" s="2383"/>
      <c r="G1890" s="2373" t="str">
        <f ca="1">G1889</f>
        <v/>
      </c>
      <c r="H1890" s="2401" t="s">
        <v>3971</v>
      </c>
      <c r="I1890" s="164"/>
      <c r="J1890" s="27"/>
      <c r="K1890" s="27" t="s">
        <v>121</v>
      </c>
      <c r="L1890" s="1170" t="s">
        <v>3153</v>
      </c>
      <c r="M1890" s="1014">
        <v>3</v>
      </c>
      <c r="N1890" s="1042"/>
      <c r="O1890" s="1042"/>
      <c r="P1890" s="648"/>
      <c r="Q1890" s="648"/>
      <c r="R1890" s="648"/>
      <c r="S1890" s="648"/>
      <c r="T1890" s="648"/>
      <c r="U1890" s="648"/>
      <c r="V1890" s="648"/>
      <c r="W1890" s="648"/>
      <c r="X1890" s="1757"/>
      <c r="Y1890" s="2077"/>
      <c r="Z1890" s="2083"/>
      <c r="AA1890" s="1526"/>
      <c r="AB1890" s="648"/>
      <c r="AC1890" s="970"/>
      <c r="AD1890" s="970"/>
      <c r="AE1890" s="970"/>
      <c r="AF1890" s="648"/>
      <c r="AG1890" s="648"/>
      <c r="AH1890" s="648"/>
      <c r="AI1890" s="648"/>
      <c r="AJ1890" s="648"/>
      <c r="AK1890" s="648"/>
      <c r="AL1890" s="254" t="str">
        <f>SUBSTITUTE(SUBSTITUTE(SUBSTITUTE("vpa"&amp;$B1890&amp;$C1890&amp;$D1890&amp;$E1890,".","_"),"(","_"),")","")</f>
        <v>vpa901_1_3_1_a</v>
      </c>
      <c r="AM1890" s="254">
        <f>M1890</f>
        <v>3</v>
      </c>
      <c r="AN1890" s="1336"/>
      <c r="AO1890" s="1336"/>
      <c r="AP1890" s="1336"/>
      <c r="AQ1890" s="1336"/>
      <c r="AR1890" s="1336"/>
      <c r="AS1890" s="1336"/>
      <c r="AT1890" s="648"/>
      <c r="AU1890" s="648"/>
      <c r="AV1890" s="648"/>
      <c r="AW1890" s="648"/>
      <c r="AX1890" s="663" t="str">
        <f>'Overview (Verification)'!A23</f>
        <v>Project Name:</v>
      </c>
      <c r="AY1890" s="752">
        <f>IF(LEN('Overview (Verification)'!P23)=0,0,'Overview (Verification)'!P23)</f>
        <v>0</v>
      </c>
      <c r="AZ1890" s="648"/>
      <c r="BA1890" s="648"/>
      <c r="BB1890" s="648"/>
      <c r="BC1890" s="648"/>
      <c r="BD1890" s="648"/>
      <c r="BE1890" s="648"/>
      <c r="BF1890" s="648"/>
      <c r="BG1890" s="648"/>
      <c r="BH1890" s="648"/>
    </row>
    <row r="1891" spans="1:61" x14ac:dyDescent="0.25">
      <c r="A1891" s="2371">
        <v>9</v>
      </c>
      <c r="B1891" s="2385" t="s">
        <v>3150</v>
      </c>
      <c r="C1891" s="2374" t="s">
        <v>256</v>
      </c>
      <c r="D1891" s="2383" t="s">
        <v>122</v>
      </c>
      <c r="E1891" s="2383"/>
      <c r="F1891" s="2383"/>
      <c r="G1891" s="2373" t="str">
        <f ca="1">G1890</f>
        <v/>
      </c>
      <c r="H1891" s="2401" t="s">
        <v>3971</v>
      </c>
      <c r="I1891" s="164"/>
      <c r="J1891" s="206"/>
      <c r="K1891" s="206" t="s">
        <v>122</v>
      </c>
      <c r="L1891" s="1163" t="s">
        <v>3154</v>
      </c>
      <c r="M1891" s="1015">
        <v>5</v>
      </c>
      <c r="N1891" s="1047"/>
      <c r="O1891" s="1047"/>
      <c r="P1891" s="648"/>
      <c r="Q1891" s="648"/>
      <c r="R1891" s="648"/>
      <c r="S1891" s="648"/>
      <c r="T1891" s="648"/>
      <c r="U1891" s="648"/>
      <c r="V1891" s="648"/>
      <c r="W1891" s="648"/>
      <c r="X1891" s="1757"/>
      <c r="Y1891" s="2077"/>
      <c r="Z1891" s="2083"/>
      <c r="AA1891" s="1526"/>
      <c r="AB1891" s="648"/>
      <c r="AC1891" s="970"/>
      <c r="AD1891" s="970"/>
      <c r="AE1891" s="970"/>
      <c r="AF1891" s="648"/>
      <c r="AG1891" s="648"/>
      <c r="AH1891" s="648"/>
      <c r="AI1891" s="648"/>
      <c r="AJ1891" s="648"/>
      <c r="AK1891" s="648"/>
      <c r="AL1891" s="254" t="str">
        <f>SUBSTITUTE(SUBSTITUTE(SUBSTITUTE("vpa"&amp;$B1891&amp;$C1891&amp;$D1891&amp;$E1891,".","_"),"(","_"),")","")</f>
        <v>vpa901_1_3_1_b</v>
      </c>
      <c r="AM1891" s="254">
        <f>M1891</f>
        <v>5</v>
      </c>
      <c r="AN1891" s="1336"/>
      <c r="AO1891" s="1336"/>
      <c r="AP1891" s="1336"/>
      <c r="AQ1891" s="1336"/>
      <c r="AR1891" s="1336"/>
      <c r="AS1891" s="1336"/>
      <c r="AT1891" s="648"/>
      <c r="AU1891" s="648"/>
      <c r="AV1891" s="648"/>
      <c r="AW1891" s="648"/>
      <c r="AX1891" s="649"/>
      <c r="AY1891" s="752"/>
      <c r="AZ1891" s="648"/>
      <c r="BA1891" s="648"/>
      <c r="BB1891" s="648"/>
      <c r="BC1891" s="648"/>
      <c r="BD1891" s="648"/>
      <c r="BE1891" s="648"/>
      <c r="BF1891" s="648"/>
      <c r="BG1891" s="648"/>
      <c r="BH1891" s="648"/>
    </row>
    <row r="1892" spans="1:61" x14ac:dyDescent="0.25">
      <c r="A1892" s="2371">
        <v>9</v>
      </c>
      <c r="B1892" s="2385" t="s">
        <v>3150</v>
      </c>
      <c r="C1892" s="2374" t="s">
        <v>258</v>
      </c>
      <c r="D1892" s="2383"/>
      <c r="E1892" s="2383"/>
      <c r="F1892" s="2383"/>
      <c r="G1892" s="2373" t="str">
        <f ca="1">IF(N1892&gt;0,"P","")</f>
        <v/>
      </c>
      <c r="H1892" s="2386" t="s">
        <v>3971</v>
      </c>
      <c r="I1892" s="480"/>
      <c r="J1892" s="183" t="s">
        <v>258</v>
      </c>
      <c r="K1892" s="129"/>
      <c r="L1892" s="1162" t="s">
        <v>3155</v>
      </c>
      <c r="M1892" s="1010"/>
      <c r="N1892" s="1044">
        <f ca="1">'Ch9'!O26</f>
        <v>0</v>
      </c>
      <c r="O1892" s="1044">
        <f ca="1">IFERROR(INDEX({3,5},MATCH(W1892,INDIRECT(U1892),0)),0)*S1892</f>
        <v>0</v>
      </c>
      <c r="P1892" s="94" t="b">
        <v>1</v>
      </c>
      <c r="Q1892" s="94" t="b">
        <v>1</v>
      </c>
      <c r="R1892" s="94" t="b">
        <v>0</v>
      </c>
      <c r="S1892" s="94" t="b">
        <v>1</v>
      </c>
      <c r="T1892" s="94" t="b">
        <v>0</v>
      </c>
      <c r="U1892" s="94" t="str">
        <f>SUBSTITUTE(SUBSTITUTE(SUBSTITUTE("dd"&amp;B1892&amp;C1892&amp;D1892&amp;E1892&amp;F1892,".","_"),"(","_"),")","")</f>
        <v>dd901_1_3_2</v>
      </c>
      <c r="V1892" s="94"/>
      <c r="W1892" s="12"/>
      <c r="X1892" s="1770"/>
      <c r="Y1892" s="2077" t="str">
        <f>IF(LEN('Ch9'!X26)=0,"None",'Ch9'!X26)</f>
        <v>None</v>
      </c>
      <c r="Z1892" s="2083"/>
      <c r="AA1892" s="1526"/>
      <c r="AB1892" s="648"/>
      <c r="AC1892" s="970"/>
      <c r="AD1892" s="970"/>
      <c r="AE1892" s="970"/>
      <c r="AF1892" s="648"/>
      <c r="AG1892" s="648"/>
      <c r="AH1892" s="648"/>
      <c r="AI1892" s="648"/>
      <c r="AJ1892" s="648"/>
      <c r="AK1892" s="648"/>
      <c r="AL1892" s="1336"/>
      <c r="AM1892" s="1336"/>
      <c r="AN1892" s="254" t="str">
        <f>SUBSTITUTE(SUBSTITUTE(SUBSTITUTE("vpc"&amp;$B1892&amp;$C1892&amp;$D1892&amp;$E1892,".","_"),"(","_"),")","")</f>
        <v>vpc901_1_3_2</v>
      </c>
      <c r="AO1892" s="254">
        <f ca="1">O1892</f>
        <v>0</v>
      </c>
      <c r="AP1892" s="254" t="str">
        <f>SUBSTITUTE(SUBSTITUTE(SUBSTITUTE("vch"&amp;$B1892&amp;$C1892&amp;$D1892&amp;$E1892,".","_"),"(","_"),")","")</f>
        <v>vch901_1_3_2</v>
      </c>
      <c r="AQ1892" s="254" t="str">
        <f>IF(LEN(W1892)=0,"",W1892)</f>
        <v/>
      </c>
      <c r="AR1892" s="254" t="str">
        <f>SUBSTITUTE(SUBSTITUTE(SUBSTITUTE("vnt"&amp;$B1892&amp;$C1892&amp;$D1892&amp;$E1892,".","_"),"(","_"),")","")</f>
        <v>vnt901_1_3_2</v>
      </c>
      <c r="AS1892" s="254" t="str">
        <f>IF(LEN(X1892)=0,"",X1892)</f>
        <v/>
      </c>
      <c r="AT1892" s="648"/>
      <c r="AU1892" s="648"/>
      <c r="AV1892" s="648"/>
      <c r="AW1892" s="648"/>
      <c r="AX1892" s="663" t="str">
        <f>'Overview (Verification)'!A25</f>
        <v>Above grade plane finished floor area:</v>
      </c>
      <c r="AY1892" s="752">
        <f>IF(LEN('Overview (Verification)'!P25)=0,0,'Overview (Verification)'!P25)</f>
        <v>0</v>
      </c>
      <c r="AZ1892" s="648"/>
      <c r="BA1892" s="648"/>
      <c r="BB1892" s="648"/>
      <c r="BC1892" s="648"/>
      <c r="BD1892" s="648"/>
      <c r="BE1892" s="648"/>
      <c r="BF1892" s="648"/>
      <c r="BG1892" s="648"/>
      <c r="BH1892" s="648"/>
    </row>
    <row r="1893" spans="1:61" x14ac:dyDescent="0.25">
      <c r="A1893" s="2371">
        <v>9</v>
      </c>
      <c r="B1893" s="2385" t="s">
        <v>3150</v>
      </c>
      <c r="C1893" s="2374" t="s">
        <v>258</v>
      </c>
      <c r="D1893" s="2383" t="s">
        <v>121</v>
      </c>
      <c r="E1893" s="2383"/>
      <c r="F1893" s="2383"/>
      <c r="G1893" s="2373" t="str">
        <f ca="1">G1892</f>
        <v/>
      </c>
      <c r="H1893" s="2401" t="s">
        <v>3971</v>
      </c>
      <c r="I1893" s="480"/>
      <c r="J1893" s="129"/>
      <c r="K1893" s="183" t="s">
        <v>121</v>
      </c>
      <c r="L1893" s="1162" t="s">
        <v>3156</v>
      </c>
      <c r="M1893" s="1010">
        <v>3</v>
      </c>
      <c r="N1893" s="1044"/>
      <c r="O1893" s="1044"/>
      <c r="P1893" s="94"/>
      <c r="Q1893" s="94"/>
      <c r="R1893" s="94"/>
      <c r="S1893" s="94"/>
      <c r="T1893" s="94"/>
      <c r="U1893" s="94"/>
      <c r="V1893" s="94"/>
      <c r="W1893" s="94"/>
      <c r="X1893" s="1770"/>
      <c r="Y1893" s="2077"/>
      <c r="Z1893" s="2083"/>
      <c r="AA1893" s="1526"/>
      <c r="AB1893" s="648"/>
      <c r="AC1893" s="970"/>
      <c r="AD1893" s="970"/>
      <c r="AE1893" s="970"/>
      <c r="AF1893" s="648"/>
      <c r="AG1893" s="648"/>
      <c r="AH1893" s="648"/>
      <c r="AI1893" s="648"/>
      <c r="AJ1893" s="648"/>
      <c r="AK1893" s="648"/>
      <c r="AL1893" s="254" t="str">
        <f>SUBSTITUTE(SUBSTITUTE(SUBSTITUTE("vpa"&amp;$B1893&amp;$C1893&amp;$D1893&amp;$E1893,".","_"),"(","_"),")","")</f>
        <v>vpa901_1_3_2_a</v>
      </c>
      <c r="AM1893" s="254">
        <f>M1893</f>
        <v>3</v>
      </c>
      <c r="AN1893" s="1336"/>
      <c r="AO1893" s="1336"/>
      <c r="AP1893" s="1336"/>
      <c r="AQ1893" s="1336"/>
      <c r="AR1893" s="1336"/>
      <c r="AS1893" s="1336"/>
      <c r="AT1893" s="648"/>
      <c r="AU1893" s="648"/>
      <c r="AV1893" s="648"/>
      <c r="AW1893" s="648"/>
      <c r="AX1893" s="663" t="str">
        <f>'Overview (Verification)'!A26</f>
        <v>Total conditioned floor area:</v>
      </c>
      <c r="AY1893" s="752">
        <f>IF(LEN('Overview (Verification)'!P26)=0,0,'Overview (Verification)'!P26)</f>
        <v>0</v>
      </c>
      <c r="AZ1893" s="648"/>
      <c r="BA1893" s="648"/>
      <c r="BB1893" s="648"/>
      <c r="BC1893" s="648"/>
      <c r="BD1893" s="648"/>
      <c r="BE1893" s="648"/>
      <c r="BF1893" s="648"/>
      <c r="BG1893" s="648"/>
      <c r="BH1893" s="648"/>
    </row>
    <row r="1894" spans="1:61" x14ac:dyDescent="0.25">
      <c r="A1894" s="2371">
        <v>9</v>
      </c>
      <c r="B1894" s="2385" t="s">
        <v>3150</v>
      </c>
      <c r="C1894" s="2374" t="s">
        <v>258</v>
      </c>
      <c r="D1894" s="2383" t="s">
        <v>122</v>
      </c>
      <c r="E1894" s="2383"/>
      <c r="F1894" s="2383"/>
      <c r="G1894" s="2373" t="str">
        <f ca="1">G1893</f>
        <v/>
      </c>
      <c r="H1894" s="2401" t="s">
        <v>3971</v>
      </c>
      <c r="I1894" s="524"/>
      <c r="J1894" s="210"/>
      <c r="K1894" s="206" t="s">
        <v>122</v>
      </c>
      <c r="L1894" s="1163" t="s">
        <v>3157</v>
      </c>
      <c r="M1894" s="1015">
        <v>5</v>
      </c>
      <c r="N1894" s="1047"/>
      <c r="O1894" s="1047"/>
      <c r="P1894" s="178"/>
      <c r="Q1894" s="178"/>
      <c r="R1894" s="178"/>
      <c r="S1894" s="178"/>
      <c r="T1894" s="178"/>
      <c r="U1894" s="178"/>
      <c r="V1894" s="178"/>
      <c r="W1894" s="178"/>
      <c r="X1894" s="1770"/>
      <c r="Y1894" s="2077"/>
      <c r="Z1894" s="2083"/>
      <c r="AA1894" s="1526"/>
      <c r="AB1894" s="648"/>
      <c r="AC1894" s="970"/>
      <c r="AD1894" s="970"/>
      <c r="AE1894" s="970"/>
      <c r="AF1894" s="648"/>
      <c r="AG1894" s="648"/>
      <c r="AH1894" s="648"/>
      <c r="AI1894" s="648"/>
      <c r="AJ1894" s="648"/>
      <c r="AK1894" s="648"/>
      <c r="AL1894" s="254" t="str">
        <f>SUBSTITUTE(SUBSTITUTE(SUBSTITUTE("vpa"&amp;$B1894&amp;$C1894&amp;$D1894&amp;$E1894,".","_"),"(","_"),")","")</f>
        <v>vpa901_1_3_2_b</v>
      </c>
      <c r="AM1894" s="254">
        <f>M1894</f>
        <v>5</v>
      </c>
      <c r="AN1894" s="1336"/>
      <c r="AO1894" s="1336"/>
      <c r="AP1894" s="1336"/>
      <c r="AQ1894" s="1336"/>
      <c r="AR1894" s="1336"/>
      <c r="AS1894" s="1336"/>
      <c r="AT1894" s="648"/>
      <c r="AU1894" s="648"/>
      <c r="AV1894" s="648"/>
      <c r="AW1894" s="648"/>
      <c r="AX1894" s="663" t="str">
        <f>'Overview (Verification)'!A27</f>
        <v>Stories above grade:</v>
      </c>
      <c r="AY1894" s="752">
        <f>IF(LEN('Overview (Verification)'!P27)=0,0,'Overview (Verification)'!P27)</f>
        <v>0</v>
      </c>
      <c r="AZ1894" s="648"/>
      <c r="BA1894" s="648"/>
      <c r="BB1894" s="648"/>
      <c r="BC1894" s="648"/>
      <c r="BD1894" s="648"/>
      <c r="BE1894" s="648"/>
      <c r="BF1894" s="648"/>
      <c r="BG1894" s="648"/>
      <c r="BH1894" s="648"/>
    </row>
    <row r="1895" spans="1:61" ht="15" customHeight="1" x14ac:dyDescent="0.25">
      <c r="A1895" s="2371">
        <v>9</v>
      </c>
      <c r="B1895" s="2385" t="s">
        <v>3158</v>
      </c>
      <c r="C1895" s="2374"/>
      <c r="D1895" s="2374"/>
      <c r="E1895" s="2374"/>
      <c r="F1895" s="2374"/>
      <c r="G1895" s="2373" t="s">
        <v>3974</v>
      </c>
      <c r="H1895" s="2371" t="s">
        <v>3972</v>
      </c>
      <c r="I1895" s="130" t="s">
        <v>3158</v>
      </c>
      <c r="J1895" s="129"/>
      <c r="K1895" s="129"/>
      <c r="L1895" s="1796" t="s">
        <v>4487</v>
      </c>
      <c r="M1895" s="1837" t="str">
        <f>IF(R1895,"Mandatory","N/A")</f>
        <v>Mandatory</v>
      </c>
      <c r="N1895" s="1044"/>
      <c r="O1895" s="1044"/>
      <c r="P1895" s="94" t="b">
        <v>1</v>
      </c>
      <c r="Q1895" s="94" t="b">
        <v>0</v>
      </c>
      <c r="R1895" s="94" t="b">
        <f>S1895</f>
        <v>1</v>
      </c>
      <c r="S1895" s="94" t="b">
        <v>1</v>
      </c>
      <c r="T1895" s="94" t="b">
        <v>0</v>
      </c>
      <c r="U1895" s="94" t="str">
        <f>SUBSTITUTE(SUBSTITUTE(SUBSTITUTE("dd"&amp;B1895&amp;C1895&amp;D1895&amp;E1895&amp;F1895,".","_"),"(","_"),")","")</f>
        <v>dd901_1_4</v>
      </c>
      <c r="V1895" s="94"/>
      <c r="W1895" s="12"/>
      <c r="X1895" s="1756"/>
      <c r="Y1895" s="2077" t="str">
        <f>IF(LEN('Ch9'!X29)=0,"None",'Ch9'!X29)</f>
        <v>None</v>
      </c>
      <c r="Z1895" s="2083"/>
      <c r="AA1895" s="1526"/>
      <c r="AB1895" s="648"/>
      <c r="AC1895" s="970" t="b">
        <f>OR(AD1895:AE1895)</f>
        <v>1</v>
      </c>
      <c r="AD1895" s="970" t="b">
        <f>T1895</f>
        <v>0</v>
      </c>
      <c r="AE1895" s="970" t="b">
        <f>AND(R1895,OR(W1895="Not Met",W1895=""))</f>
        <v>1</v>
      </c>
      <c r="AF1895" s="784" t="b">
        <f>AND(AE1895,NOT(Q1895))</f>
        <v>1</v>
      </c>
      <c r="AG1895" s="648"/>
      <c r="AH1895" s="648"/>
      <c r="AI1895" s="648"/>
      <c r="AJ1895" s="648"/>
      <c r="AK1895" s="648"/>
      <c r="AL1895" s="254" t="str">
        <f>SUBSTITUTE(SUBSTITUTE(SUBSTITUTE("vpa"&amp;$B1895&amp;$C1895&amp;$D1895&amp;$E1895,".","_"),"(","_"),")","")</f>
        <v>vpa901_1_4</v>
      </c>
      <c r="AM1895" s="254" t="str">
        <f>M1895</f>
        <v>Mandatory</v>
      </c>
      <c r="AN1895" s="1336"/>
      <c r="AO1895" s="1336"/>
      <c r="AP1895" s="254" t="str">
        <f>SUBSTITUTE(SUBSTITUTE(SUBSTITUTE("vch"&amp;$B1895&amp;$C1895&amp;$D1895&amp;$E1895,".","_"),"(","_"),")","")</f>
        <v>vch901_1_4</v>
      </c>
      <c r="AQ1895" s="254" t="str">
        <f>IF(LEN(W1895)=0,"",W1895)</f>
        <v/>
      </c>
      <c r="AR1895" s="254" t="str">
        <f>SUBSTITUTE(SUBSTITUTE(SUBSTITUTE("vnt"&amp;$B1895&amp;$C1895&amp;$D1895&amp;$E1895,".","_"),"(","_"),")","")</f>
        <v>vnt901_1_4</v>
      </c>
      <c r="AS1895" s="254" t="str">
        <f>IF(LEN(X1895)=0,"",X1895)</f>
        <v/>
      </c>
      <c r="AT1895" s="648"/>
      <c r="AU1895" s="648"/>
      <c r="AV1895" s="648"/>
      <c r="AW1895" s="648"/>
      <c r="AX1895" s="1605" t="str">
        <f>'Overview (Verification)'!A28</f>
        <v>Project Elevation (ft. above sea level):</v>
      </c>
      <c r="AY1895" s="1606">
        <f>IF(LEN('Overview (Verification)'!P28)=0,0,'Overview (Verification)'!P28)</f>
        <v>0</v>
      </c>
    </row>
    <row r="1896" spans="1:61" x14ac:dyDescent="0.25">
      <c r="A1896" s="2371">
        <v>9</v>
      </c>
      <c r="B1896" s="2385" t="s">
        <v>3158</v>
      </c>
      <c r="C1896" s="2374"/>
      <c r="D1896" s="2374"/>
      <c r="E1896" s="2374"/>
      <c r="F1896" s="2374"/>
      <c r="G1896" s="2373" t="s">
        <v>3974</v>
      </c>
      <c r="H1896" s="2371" t="s">
        <v>3972</v>
      </c>
      <c r="I1896" s="480"/>
      <c r="J1896" s="129"/>
      <c r="K1896" s="129"/>
      <c r="L1896" s="1796"/>
      <c r="M1896" s="1837"/>
      <c r="N1896" s="1044"/>
      <c r="O1896" s="1044"/>
      <c r="P1896" s="94"/>
      <c r="Q1896" s="94"/>
      <c r="R1896" s="94"/>
      <c r="S1896" s="94"/>
      <c r="T1896" s="94"/>
      <c r="U1896" s="94"/>
      <c r="V1896" s="94"/>
      <c r="W1896" s="94"/>
      <c r="X1896" s="1770"/>
      <c r="Y1896" s="2077"/>
      <c r="Z1896" s="2083"/>
      <c r="AA1896" s="1526"/>
      <c r="AB1896" s="648"/>
      <c r="AC1896" s="970"/>
      <c r="AD1896" s="970"/>
      <c r="AE1896" s="970"/>
      <c r="AF1896" s="648"/>
      <c r="AG1896" s="648"/>
      <c r="AH1896" s="648"/>
      <c r="AI1896" s="648"/>
      <c r="AJ1896" s="648"/>
      <c r="AK1896" s="648"/>
      <c r="AL1896" s="1336"/>
      <c r="AM1896" s="1336"/>
      <c r="AN1896" s="1336"/>
      <c r="AO1896" s="1336"/>
      <c r="AP1896" s="1336"/>
      <c r="AQ1896" s="1336"/>
      <c r="AR1896" s="1336"/>
      <c r="AS1896" s="1336"/>
      <c r="AT1896" s="648"/>
      <c r="AU1896" s="648"/>
      <c r="AV1896" s="648"/>
      <c r="AW1896" s="648"/>
      <c r="AX1896" s="649"/>
      <c r="AY1896" s="752"/>
      <c r="AZ1896" s="648"/>
      <c r="BA1896" s="648"/>
      <c r="BB1896" s="648"/>
      <c r="BC1896" s="648"/>
      <c r="BD1896" s="648"/>
      <c r="BE1896" s="648"/>
      <c r="BF1896" s="648"/>
      <c r="BG1896" s="648"/>
      <c r="BH1896" s="648"/>
    </row>
    <row r="1897" spans="1:61" s="868" customFormat="1" x14ac:dyDescent="0.25">
      <c r="A1897" s="2371">
        <v>9</v>
      </c>
      <c r="B1897" s="2385" t="s">
        <v>3158</v>
      </c>
      <c r="C1897" s="2374"/>
      <c r="D1897" s="2374"/>
      <c r="E1897" s="2374"/>
      <c r="F1897" s="2374"/>
      <c r="G1897" s="2373" t="s">
        <v>3974</v>
      </c>
      <c r="H1897" s="2371" t="s">
        <v>3972</v>
      </c>
      <c r="I1897" s="480"/>
      <c r="J1897" s="129"/>
      <c r="K1897" s="129"/>
      <c r="L1897" s="1796"/>
      <c r="M1897" s="1837"/>
      <c r="N1897" s="1044"/>
      <c r="O1897" s="1044"/>
      <c r="P1897" s="94"/>
      <c r="Q1897" s="94"/>
      <c r="R1897" s="94"/>
      <c r="S1897" s="94"/>
      <c r="T1897" s="94"/>
      <c r="U1897" s="94"/>
      <c r="V1897" s="94"/>
      <c r="W1897" s="94"/>
      <c r="X1897" s="1770"/>
      <c r="Y1897" s="2077"/>
      <c r="Z1897" s="2083"/>
      <c r="AA1897" s="1526"/>
      <c r="AC1897" s="970"/>
      <c r="AD1897" s="970"/>
      <c r="AE1897" s="970"/>
      <c r="AL1897" s="1336"/>
      <c r="AM1897" s="1336"/>
      <c r="AN1897" s="1336"/>
      <c r="AO1897" s="1336"/>
      <c r="AP1897" s="1336"/>
      <c r="AQ1897" s="1336"/>
      <c r="AR1897" s="1336"/>
      <c r="AS1897" s="1336"/>
      <c r="AX1897" s="663" t="str">
        <f>'Overview (Verification)'!A30</f>
        <v xml:space="preserve">Project Description (optional): </v>
      </c>
      <c r="AY1897" s="752">
        <f>IF(LEN('Overview (Verification)'!P30)=0,0,'Overview (Verification)'!P30)</f>
        <v>0</v>
      </c>
      <c r="AZ1897" s="648"/>
      <c r="BA1897" s="648"/>
      <c r="BB1897" s="648"/>
      <c r="BC1897" s="648"/>
      <c r="BD1897" s="648"/>
      <c r="BE1897" s="648"/>
      <c r="BF1897" s="648"/>
      <c r="BG1897" s="648"/>
      <c r="BH1897" s="648"/>
      <c r="BI1897"/>
    </row>
    <row r="1898" spans="1:61" x14ac:dyDescent="0.25">
      <c r="A1898" s="2371">
        <v>9</v>
      </c>
      <c r="B1898" s="2385" t="s">
        <v>3158</v>
      </c>
      <c r="C1898" s="2374"/>
      <c r="D1898" s="2374"/>
      <c r="E1898" s="2374"/>
      <c r="F1898" s="2374"/>
      <c r="G1898" s="2373" t="s">
        <v>3974</v>
      </c>
      <c r="H1898" s="2371" t="s">
        <v>3972</v>
      </c>
      <c r="I1898" s="480"/>
      <c r="J1898" s="129"/>
      <c r="K1898" s="129"/>
      <c r="L1898" s="1796"/>
      <c r="M1898" s="1837"/>
      <c r="N1898" s="1044"/>
      <c r="O1898" s="1044"/>
      <c r="P1898" s="94"/>
      <c r="Q1898" s="94"/>
      <c r="R1898" s="94"/>
      <c r="S1898" s="94"/>
      <c r="T1898" s="94"/>
      <c r="U1898" s="94"/>
      <c r="V1898" s="94"/>
      <c r="W1898" s="94"/>
      <c r="X1898" s="1770"/>
      <c r="Y1898" s="2077"/>
      <c r="Z1898" s="2083"/>
      <c r="AA1898" s="1526"/>
      <c r="AB1898" s="648"/>
      <c r="AC1898" s="970"/>
      <c r="AD1898" s="970"/>
      <c r="AE1898" s="970"/>
      <c r="AF1898" s="648"/>
      <c r="AG1898" s="648"/>
      <c r="AH1898" s="648"/>
      <c r="AI1898" s="648"/>
      <c r="AJ1898" s="648"/>
      <c r="AK1898" s="648"/>
      <c r="AL1898" s="1336"/>
      <c r="AM1898" s="1336"/>
      <c r="AN1898" s="1336"/>
      <c r="AO1898" s="1336"/>
      <c r="AP1898" s="1336"/>
      <c r="AQ1898" s="1336"/>
      <c r="AR1898" s="1336"/>
      <c r="AS1898" s="1336"/>
      <c r="AT1898" s="648"/>
      <c r="AU1898" s="648"/>
      <c r="AV1898" s="648"/>
      <c r="AW1898" s="648"/>
      <c r="AX1898" s="649"/>
      <c r="AY1898" s="752"/>
      <c r="AZ1898" s="868"/>
      <c r="BA1898" s="868"/>
      <c r="BB1898" s="868"/>
      <c r="BC1898" s="868"/>
      <c r="BD1898" s="868"/>
      <c r="BE1898" s="868"/>
      <c r="BF1898" s="868"/>
      <c r="BG1898" s="868"/>
      <c r="BH1898" s="868"/>
      <c r="BI1898" s="868"/>
    </row>
    <row r="1899" spans="1:61" x14ac:dyDescent="0.25">
      <c r="A1899" s="2371">
        <v>9</v>
      </c>
      <c r="B1899" s="2385" t="s">
        <v>3158</v>
      </c>
      <c r="C1899" s="2374"/>
      <c r="D1899" s="2374"/>
      <c r="E1899" s="2374"/>
      <c r="F1899" s="2374"/>
      <c r="G1899" s="2373" t="s">
        <v>3974</v>
      </c>
      <c r="H1899" s="2371" t="s">
        <v>3972</v>
      </c>
      <c r="I1899" s="524"/>
      <c r="J1899" s="210"/>
      <c r="K1899" s="210"/>
      <c r="L1899" s="1843"/>
      <c r="M1899" s="1844"/>
      <c r="N1899" s="1047"/>
      <c r="O1899" s="1047"/>
      <c r="P1899" s="178"/>
      <c r="Q1899" s="178"/>
      <c r="R1899" s="178"/>
      <c r="S1899" s="178"/>
      <c r="T1899" s="178"/>
      <c r="U1899" s="178"/>
      <c r="V1899" s="178"/>
      <c r="W1899" s="178"/>
      <c r="X1899" s="1770"/>
      <c r="Y1899" s="2077"/>
      <c r="Z1899" s="2083"/>
      <c r="AA1899" s="1526"/>
      <c r="AB1899" s="648"/>
      <c r="AC1899" s="970"/>
      <c r="AD1899" s="970"/>
      <c r="AE1899" s="970"/>
      <c r="AF1899" s="648"/>
      <c r="AG1899" s="648"/>
      <c r="AH1899" s="648"/>
      <c r="AI1899" s="648"/>
      <c r="AJ1899" s="648"/>
      <c r="AK1899" s="648"/>
      <c r="AL1899" s="1336"/>
      <c r="AM1899" s="1336"/>
      <c r="AN1899" s="1336"/>
      <c r="AO1899" s="1336"/>
      <c r="AP1899" s="1336"/>
      <c r="AQ1899" s="1336"/>
      <c r="AR1899" s="1336"/>
      <c r="AS1899" s="1336"/>
      <c r="AT1899" s="648"/>
      <c r="AU1899" s="648"/>
      <c r="AV1899" s="648"/>
      <c r="AW1899" s="648"/>
      <c r="AX1899" s="663" t="str">
        <f>'Overview (Verification)'!A32</f>
        <v>Foundation Type:</v>
      </c>
      <c r="AY1899" s="752">
        <f>IF(LEN('Overview (Verification)'!P32)=0,0,'Overview (Verification)'!P32)</f>
        <v>0</v>
      </c>
      <c r="AZ1899" s="648"/>
      <c r="BA1899" s="648"/>
      <c r="BB1899" s="648"/>
      <c r="BC1899" s="648"/>
      <c r="BD1899" s="648"/>
      <c r="BE1899" s="648"/>
      <c r="BF1899" s="648"/>
      <c r="BG1899" s="648"/>
      <c r="BH1899" s="648"/>
    </row>
    <row r="1900" spans="1:61" x14ac:dyDescent="0.25">
      <c r="A1900" s="2371">
        <v>9</v>
      </c>
      <c r="B1900" s="2385" t="s">
        <v>3159</v>
      </c>
      <c r="C1900" s="2374"/>
      <c r="D1900" s="2374"/>
      <c r="E1900" s="2374"/>
      <c r="F1900" s="2374"/>
      <c r="G1900" s="2373" t="str">
        <f>IF(N1900&gt;0,"P","")</f>
        <v/>
      </c>
      <c r="H1900" s="2371" t="s">
        <v>3971</v>
      </c>
      <c r="I1900" s="130" t="s">
        <v>3159</v>
      </c>
      <c r="J1900" s="129"/>
      <c r="K1900" s="129"/>
      <c r="L1900" s="1782" t="s">
        <v>3160</v>
      </c>
      <c r="M1900" s="1758">
        <v>7</v>
      </c>
      <c r="N1900" s="1927">
        <f>'Ch9'!O34</f>
        <v>0</v>
      </c>
      <c r="O1900" s="1927">
        <f>M1900*S1900*W1900</f>
        <v>0</v>
      </c>
      <c r="P1900" s="94" t="b">
        <v>1</v>
      </c>
      <c r="Q1900" s="94" t="b">
        <v>1</v>
      </c>
      <c r="R1900" s="94" t="b">
        <v>0</v>
      </c>
      <c r="S1900" s="94" t="b">
        <f>NOT(W1895="N/A")</f>
        <v>1</v>
      </c>
      <c r="T1900" s="94" t="b">
        <f>AND(NOT(S1900),W1900=TRUE)</f>
        <v>0</v>
      </c>
      <c r="U1900" s="94"/>
      <c r="V1900" s="94"/>
      <c r="W1900" s="25"/>
      <c r="X1900" s="1756"/>
      <c r="Y1900" s="2077" t="str">
        <f>IF(LEN('Ch9'!X34)=0,"None",'Ch9'!X34)</f>
        <v>None</v>
      </c>
      <c r="Z1900" s="2083"/>
      <c r="AA1900" s="1526"/>
      <c r="AB1900" s="648"/>
      <c r="AC1900" s="970" t="b">
        <f>OR(AD1900:AE1900)</f>
        <v>0</v>
      </c>
      <c r="AD1900" s="970" t="b">
        <f>T1900</f>
        <v>0</v>
      </c>
      <c r="AE1900" s="970"/>
      <c r="AF1900" s="784"/>
      <c r="AG1900" s="648"/>
      <c r="AH1900" s="648"/>
      <c r="AI1900" s="648"/>
      <c r="AJ1900" s="648"/>
      <c r="AK1900" s="648"/>
      <c r="AL1900" s="254" t="str">
        <f>SUBSTITUTE(SUBSTITUTE(SUBSTITUTE("vpa"&amp;$B1900&amp;$C1900&amp;$D1900&amp;$E1900,".","_"),"(","_"),")","")</f>
        <v>vpa901_1_5</v>
      </c>
      <c r="AM1900" s="254">
        <f>M1900</f>
        <v>7</v>
      </c>
      <c r="AN1900" s="254" t="str">
        <f>SUBSTITUTE(SUBSTITUTE(SUBSTITUTE("vpc"&amp;$B1900&amp;$C1900&amp;$D1900&amp;$E1900,".","_"),"(","_"),")","")</f>
        <v>vpc901_1_5</v>
      </c>
      <c r="AO1900" s="254">
        <f>O1900</f>
        <v>0</v>
      </c>
      <c r="AP1900" s="254" t="str">
        <f>SUBSTITUTE(SUBSTITUTE(SUBSTITUTE("vch"&amp;$B1900&amp;$C1900&amp;$D1900&amp;$E1900,".","_"),"(","_"),")","")</f>
        <v>vch901_1_5</v>
      </c>
      <c r="AQ1900" s="254" t="str">
        <f>IF(LEN(W1900)=0,"",W1900)</f>
        <v/>
      </c>
      <c r="AR1900" s="254" t="str">
        <f>SUBSTITUTE(SUBSTITUTE(SUBSTITUTE("vnt"&amp;$B1900&amp;$C1900&amp;$D1900&amp;$E1900,".","_"),"(","_"),")","")</f>
        <v>vnt901_1_5</v>
      </c>
      <c r="AS1900" s="254" t="str">
        <f>IF(LEN(X1900)=0,"",X1900)</f>
        <v/>
      </c>
      <c r="AT1900" s="648"/>
      <c r="AU1900" s="648"/>
      <c r="AV1900" s="648"/>
      <c r="AW1900" s="648"/>
      <c r="AX1900" s="867"/>
      <c r="AY1900" s="868"/>
      <c r="AZ1900" s="648"/>
      <c r="BA1900" s="648"/>
      <c r="BB1900" s="648"/>
      <c r="BC1900" s="648"/>
      <c r="BD1900" s="648"/>
      <c r="BE1900" s="648"/>
      <c r="BF1900" s="648"/>
      <c r="BG1900" s="648"/>
      <c r="BH1900" s="648"/>
    </row>
    <row r="1901" spans="1:61" x14ac:dyDescent="0.25">
      <c r="A1901" s="2371">
        <v>9</v>
      </c>
      <c r="B1901" s="2385" t="s">
        <v>3159</v>
      </c>
      <c r="C1901" s="2374"/>
      <c r="D1901" s="2374"/>
      <c r="E1901" s="2374"/>
      <c r="F1901" s="2374"/>
      <c r="G1901" s="2373" t="str">
        <f>G1900</f>
        <v/>
      </c>
      <c r="H1901" s="2371" t="s">
        <v>3971</v>
      </c>
      <c r="I1901" s="480"/>
      <c r="J1901" s="129"/>
      <c r="K1901" s="129"/>
      <c r="L1901" s="1782"/>
      <c r="M1901" s="1758"/>
      <c r="N1901" s="1927"/>
      <c r="O1901" s="1927"/>
      <c r="P1901" s="94"/>
      <c r="Q1901" s="94"/>
      <c r="R1901" s="94"/>
      <c r="S1901" s="94"/>
      <c r="T1901" s="94"/>
      <c r="U1901" s="94"/>
      <c r="V1901" s="94"/>
      <c r="W1901" s="94"/>
      <c r="X1901" s="1770"/>
      <c r="Y1901" s="2077"/>
      <c r="Z1901" s="2083"/>
      <c r="AA1901" s="1526"/>
      <c r="AB1901" s="648"/>
      <c r="AC1901" s="970"/>
      <c r="AD1901" s="970"/>
      <c r="AE1901" s="970"/>
      <c r="AF1901" s="648"/>
      <c r="AG1901" s="648"/>
      <c r="AH1901" s="648"/>
      <c r="AI1901" s="648"/>
      <c r="AJ1901" s="648"/>
      <c r="AK1901" s="648"/>
      <c r="AL1901" s="1336"/>
      <c r="AM1901" s="1336"/>
      <c r="AN1901" s="1336"/>
      <c r="AO1901" s="1336"/>
      <c r="AP1901" s="1336"/>
      <c r="AQ1901" s="1336"/>
      <c r="AR1901" s="1336"/>
      <c r="AS1901" s="1336"/>
      <c r="AT1901" s="648"/>
      <c r="AU1901" s="648"/>
      <c r="AV1901" s="648"/>
      <c r="AW1901" s="648"/>
      <c r="AX1901" s="663" t="str">
        <f>'Overview (Verification)'!A34</f>
        <v>Type of Heating System (main system):</v>
      </c>
      <c r="AY1901" s="752">
        <f>IF(LEN('Overview (Verification)'!P34)=0,0,'Overview (Verification)'!P34)</f>
        <v>0</v>
      </c>
      <c r="AZ1901" s="648"/>
      <c r="BA1901" s="648"/>
      <c r="BB1901" s="648"/>
      <c r="BC1901" s="648"/>
      <c r="BD1901" s="648"/>
      <c r="BE1901" s="648"/>
      <c r="BF1901" s="648"/>
      <c r="BG1901" s="648"/>
      <c r="BH1901" s="648"/>
    </row>
    <row r="1902" spans="1:61" x14ac:dyDescent="0.25">
      <c r="A1902" s="2371">
        <v>9</v>
      </c>
      <c r="B1902" s="2385" t="s">
        <v>3159</v>
      </c>
      <c r="C1902" s="2374"/>
      <c r="D1902" s="2374"/>
      <c r="E1902" s="2374"/>
      <c r="F1902" s="2374"/>
      <c r="G1902" s="2373" t="str">
        <f>G1901</f>
        <v/>
      </c>
      <c r="H1902" s="2371" t="s">
        <v>3971</v>
      </c>
      <c r="I1902" s="524"/>
      <c r="J1902" s="210"/>
      <c r="K1902" s="210"/>
      <c r="L1902" s="1843"/>
      <c r="M1902" s="1759"/>
      <c r="N1902" s="2076"/>
      <c r="O1902" s="2076"/>
      <c r="P1902" s="178"/>
      <c r="Q1902" s="178"/>
      <c r="R1902" s="178"/>
      <c r="S1902" s="178"/>
      <c r="T1902" s="178"/>
      <c r="U1902" s="178"/>
      <c r="V1902" s="178"/>
      <c r="W1902" s="178"/>
      <c r="X1902" s="1770"/>
      <c r="Y1902" s="2077"/>
      <c r="Z1902" s="2083"/>
      <c r="AA1902" s="1526"/>
      <c r="AB1902" s="648"/>
      <c r="AC1902" s="970"/>
      <c r="AD1902" s="970"/>
      <c r="AE1902" s="970"/>
      <c r="AF1902" s="648"/>
      <c r="AG1902" s="648"/>
      <c r="AH1902" s="648"/>
      <c r="AI1902" s="648"/>
      <c r="AJ1902" s="648"/>
      <c r="AK1902" s="648"/>
      <c r="AL1902" s="1336"/>
      <c r="AM1902" s="1336"/>
      <c r="AN1902" s="1336"/>
      <c r="AO1902" s="1336"/>
      <c r="AP1902" s="1336"/>
      <c r="AQ1902" s="1336"/>
      <c r="AR1902" s="1336"/>
      <c r="AS1902" s="1336"/>
      <c r="AT1902" s="648"/>
      <c r="AU1902" s="648"/>
      <c r="AV1902" s="648"/>
      <c r="AW1902" s="648"/>
      <c r="AX1902" s="663" t="str">
        <f>'Overview (Verification)'!A35</f>
        <v>Type of Heating System (system 2):</v>
      </c>
      <c r="AY1902" s="752">
        <f>IF(LEN('Overview (Verification)'!P35)=0,0,'Overview (Verification)'!P35)</f>
        <v>0</v>
      </c>
      <c r="AZ1902" s="648"/>
      <c r="BA1902" s="648"/>
      <c r="BB1902" s="648"/>
      <c r="BC1902" s="648"/>
      <c r="BD1902" s="648"/>
      <c r="BE1902" s="648"/>
      <c r="BF1902" s="648"/>
      <c r="BG1902" s="648"/>
      <c r="BH1902" s="648"/>
    </row>
    <row r="1903" spans="1:61" x14ac:dyDescent="0.25">
      <c r="A1903" s="2371">
        <v>9</v>
      </c>
      <c r="B1903" s="2385" t="s">
        <v>3161</v>
      </c>
      <c r="C1903" s="2374"/>
      <c r="D1903" s="2374"/>
      <c r="E1903" s="2374"/>
      <c r="F1903" s="2374"/>
      <c r="G1903" s="2373" t="str">
        <f ca="1">IF(N1903&gt;0,"P","")</f>
        <v/>
      </c>
      <c r="H1903" s="2371" t="s">
        <v>3971</v>
      </c>
      <c r="I1903" s="130" t="s">
        <v>3161</v>
      </c>
      <c r="J1903" s="129"/>
      <c r="K1903" s="129"/>
      <c r="L1903" s="1181" t="s">
        <v>3162</v>
      </c>
      <c r="M1903" s="1010"/>
      <c r="N1903" s="1044">
        <f ca="1">'Ch9'!O37</f>
        <v>0</v>
      </c>
      <c r="O1903" s="1044">
        <f ca="1">IFERROR(INDEX({2,5},MATCH(W1903,INDIRECT(U1903),0)),0)*S1903</f>
        <v>0</v>
      </c>
      <c r="P1903" s="94" t="b">
        <v>1</v>
      </c>
      <c r="Q1903" s="94" t="b">
        <v>1</v>
      </c>
      <c r="R1903" s="94" t="b">
        <v>0</v>
      </c>
      <c r="S1903" s="94" t="b">
        <f>OR(AY1901=INDEX(ddHeat1,3),AY1901=INDEX(ddHeat1,5),AY1902=INDEX(ddHeat2,3),AY1902=INDEX(ddHeat2,5),AY1903=INDEX(ddHeat3,3),AY1903=INDEX(ddHeat3,5))</f>
        <v>0</v>
      </c>
      <c r="T1903" s="94" t="b">
        <f>AND(NOT(S1903),LEN(W1903)&gt;0)</f>
        <v>0</v>
      </c>
      <c r="U1903" s="94" t="str">
        <f>SUBSTITUTE(SUBSTITUTE(SUBSTITUTE("dd"&amp;B1903&amp;C1903&amp;D1903&amp;E1903&amp;F1903,".","_"),"(","_"),")","")</f>
        <v>dd901_1_6</v>
      </c>
      <c r="V1903" s="94"/>
      <c r="W1903" s="12"/>
      <c r="X1903" s="1756"/>
      <c r="Y1903" s="2081" t="str">
        <f>IF(LEN('Ch9'!X37)=0,"None",'Ch9'!X37)</f>
        <v>None</v>
      </c>
      <c r="Z1903" s="2084"/>
      <c r="AA1903" s="1526"/>
      <c r="AB1903" s="648"/>
      <c r="AC1903" s="970" t="b">
        <f>OR(AD1903:AE1903)</f>
        <v>0</v>
      </c>
      <c r="AD1903" s="970" t="b">
        <f>T1903</f>
        <v>0</v>
      </c>
      <c r="AE1903" s="970"/>
      <c r="AF1903" s="784"/>
      <c r="AG1903" s="648"/>
      <c r="AH1903" s="648"/>
      <c r="AI1903" s="648"/>
      <c r="AJ1903" s="648"/>
      <c r="AK1903" s="648"/>
      <c r="AL1903" s="1336"/>
      <c r="AM1903" s="1336"/>
      <c r="AN1903" s="254" t="str">
        <f>SUBSTITUTE(SUBSTITUTE(SUBSTITUTE("vpc"&amp;$B1903&amp;$C1903&amp;$D1903&amp;$E1903,".","_"),"(","_"),")","")</f>
        <v>vpc901_1_6</v>
      </c>
      <c r="AO1903" s="254">
        <f ca="1">O1903</f>
        <v>0</v>
      </c>
      <c r="AP1903" s="254" t="str">
        <f>SUBSTITUTE(SUBSTITUTE(SUBSTITUTE("vch"&amp;$B1903&amp;$C1903&amp;$D1903&amp;$E1903,".","_"),"(","_"),")","")</f>
        <v>vch901_1_6</v>
      </c>
      <c r="AQ1903" s="254" t="str">
        <f>IF(LEN(W1903)=0,"",W1903)</f>
        <v/>
      </c>
      <c r="AR1903" s="254" t="str">
        <f>SUBSTITUTE(SUBSTITUTE(SUBSTITUTE("vnt"&amp;$B1903&amp;$C1903&amp;$D1903&amp;$E1903,".","_"),"(","_"),")","")</f>
        <v>vnt901_1_6</v>
      </c>
      <c r="AS1903" s="254" t="str">
        <f>IF(LEN(X1903)=0,"",X1903)</f>
        <v/>
      </c>
      <c r="AT1903" s="648"/>
      <c r="AU1903" s="648"/>
      <c r="AV1903" s="648"/>
      <c r="AW1903" s="648"/>
      <c r="AX1903" s="663" t="str">
        <f>'Overview (Verification)'!A36</f>
        <v>Type of Heating System (system 3):</v>
      </c>
      <c r="AY1903" s="752">
        <f>IF(LEN('Overview (Verification)'!P36)=0,0,'Overview (Verification)'!P36)</f>
        <v>0</v>
      </c>
      <c r="AZ1903" s="648"/>
      <c r="BA1903" s="648"/>
      <c r="BB1903" s="648"/>
      <c r="BC1903" s="648"/>
      <c r="BD1903" s="648"/>
      <c r="BE1903" s="648"/>
      <c r="BF1903" s="648"/>
      <c r="BG1903" s="648"/>
      <c r="BH1903" s="648"/>
    </row>
    <row r="1904" spans="1:61" x14ac:dyDescent="0.25">
      <c r="A1904" s="2371">
        <v>9</v>
      </c>
      <c r="B1904" s="2385" t="s">
        <v>3161</v>
      </c>
      <c r="C1904" s="2374" t="s">
        <v>256</v>
      </c>
      <c r="D1904" s="2374"/>
      <c r="E1904" s="2374"/>
      <c r="F1904" s="2374"/>
      <c r="G1904" s="2373" t="str">
        <f ca="1">G1903</f>
        <v/>
      </c>
      <c r="H1904" s="2371" t="s">
        <v>3971</v>
      </c>
      <c r="I1904" s="480"/>
      <c r="J1904" s="206" t="s">
        <v>256</v>
      </c>
      <c r="K1904" s="210"/>
      <c r="L1904" s="1163" t="s">
        <v>3163</v>
      </c>
      <c r="M1904" s="1015">
        <v>2</v>
      </c>
      <c r="N1904" s="1044"/>
      <c r="O1904" s="1044"/>
      <c r="P1904" s="94"/>
      <c r="Q1904" s="94"/>
      <c r="R1904" s="94"/>
      <c r="S1904" s="94"/>
      <c r="T1904" s="94"/>
      <c r="U1904" s="94"/>
      <c r="V1904" s="94"/>
      <c r="W1904" s="94"/>
      <c r="X1904" s="1770"/>
      <c r="Y1904" s="2081"/>
      <c r="Z1904" s="2084"/>
      <c r="AA1904" s="1526"/>
      <c r="AB1904" s="648"/>
      <c r="AC1904" s="970"/>
      <c r="AD1904" s="970"/>
      <c r="AE1904" s="970"/>
      <c r="AF1904" s="648"/>
      <c r="AG1904" s="648"/>
      <c r="AH1904" s="648"/>
      <c r="AI1904" s="648"/>
      <c r="AJ1904" s="648"/>
      <c r="AK1904" s="648"/>
      <c r="AL1904" s="254" t="str">
        <f>SUBSTITUTE(SUBSTITUTE(SUBSTITUTE("vpa"&amp;$B1904&amp;$C1904&amp;$D1904&amp;$E1904,".","_"),"(","_"),")","")</f>
        <v>vpa901_1_6_1</v>
      </c>
      <c r="AM1904" s="254">
        <f>M1904</f>
        <v>2</v>
      </c>
      <c r="AN1904" s="1336"/>
      <c r="AO1904" s="1336"/>
      <c r="AP1904" s="1336"/>
      <c r="AQ1904" s="1336"/>
      <c r="AR1904" s="1336"/>
      <c r="AS1904" s="1336"/>
      <c r="AT1904" s="648"/>
      <c r="AU1904" s="648"/>
      <c r="AV1904" s="648"/>
      <c r="AW1904" s="648"/>
      <c r="AX1904" s="663" t="str">
        <f>'Overview (Verification)'!A37</f>
        <v>Primary Heating Fuel:</v>
      </c>
      <c r="AY1904" s="752">
        <f>IF(LEN('Overview (Verification)'!P37)=0,0,'Overview (Verification)'!P37)</f>
        <v>0</v>
      </c>
      <c r="AZ1904" s="648"/>
      <c r="BA1904" s="648"/>
      <c r="BB1904" s="648"/>
      <c r="BC1904" s="648"/>
      <c r="BD1904" s="648"/>
      <c r="BE1904" s="648"/>
      <c r="BF1904" s="648"/>
      <c r="BG1904" s="648"/>
      <c r="BH1904" s="648"/>
    </row>
    <row r="1905" spans="1:60" ht="15.75" thickBot="1" x14ac:dyDescent="0.3">
      <c r="A1905" s="2371">
        <v>9</v>
      </c>
      <c r="B1905" s="2385" t="s">
        <v>3161</v>
      </c>
      <c r="C1905" s="2374" t="s">
        <v>258</v>
      </c>
      <c r="D1905" s="2374"/>
      <c r="E1905" s="2374"/>
      <c r="F1905" s="2374"/>
      <c r="G1905" s="2373" t="str">
        <f ca="1">G1904</f>
        <v/>
      </c>
      <c r="H1905" s="2371" t="s">
        <v>3971</v>
      </c>
      <c r="I1905" s="481"/>
      <c r="J1905" s="190" t="s">
        <v>258</v>
      </c>
      <c r="K1905" s="240"/>
      <c r="L1905" s="1171" t="s">
        <v>3164</v>
      </c>
      <c r="M1905" s="1011">
        <v>5</v>
      </c>
      <c r="N1905" s="1045"/>
      <c r="O1905" s="1045"/>
      <c r="P1905" s="99"/>
      <c r="Q1905" s="99"/>
      <c r="R1905" s="99"/>
      <c r="S1905" s="99"/>
      <c r="T1905" s="99"/>
      <c r="U1905" s="99"/>
      <c r="V1905" s="99"/>
      <c r="W1905" s="99"/>
      <c r="X1905" s="1771"/>
      <c r="Y1905" s="2082"/>
      <c r="Z1905" s="2086"/>
      <c r="AA1905" s="1526"/>
      <c r="AB1905" s="648"/>
      <c r="AC1905" s="970"/>
      <c r="AD1905" s="970"/>
      <c r="AE1905" s="970"/>
      <c r="AF1905" s="648"/>
      <c r="AG1905" s="648"/>
      <c r="AH1905" s="648"/>
      <c r="AI1905" s="648"/>
      <c r="AJ1905" s="648"/>
      <c r="AK1905" s="648"/>
      <c r="AL1905" s="254" t="str">
        <f>SUBSTITUTE(SUBSTITUTE(SUBSTITUTE("vpa"&amp;$B1905&amp;$C1905&amp;$D1905&amp;$E1905,".","_"),"(","_"),")","")</f>
        <v>vpa901_1_6_2</v>
      </c>
      <c r="AM1905" s="254">
        <f>M1905</f>
        <v>5</v>
      </c>
      <c r="AN1905" s="1336"/>
      <c r="AO1905" s="1336"/>
      <c r="AP1905" s="1336"/>
      <c r="AQ1905" s="1336"/>
      <c r="AR1905" s="1336"/>
      <c r="AS1905" s="1336"/>
      <c r="AT1905" s="648"/>
      <c r="AU1905" s="648"/>
      <c r="AV1905" s="648"/>
      <c r="AW1905" s="648"/>
      <c r="AX1905" s="663" t="str">
        <f>'Overview (Verification)'!A38</f>
        <v>Heating Ducts:</v>
      </c>
      <c r="AY1905" s="752">
        <f>IF(LEN('Overview (Verification)'!P38)=0,0,'Overview (Verification)'!P38)</f>
        <v>0</v>
      </c>
      <c r="AZ1905" s="648"/>
      <c r="BA1905" s="648"/>
      <c r="BB1905" s="648"/>
      <c r="BC1905" s="648"/>
      <c r="BD1905" s="648"/>
      <c r="BE1905" s="648"/>
      <c r="BF1905" s="648"/>
      <c r="BG1905" s="648"/>
      <c r="BH1905" s="648"/>
    </row>
    <row r="1906" spans="1:60" ht="15.75" thickTop="1" x14ac:dyDescent="0.25">
      <c r="A1906" s="2371">
        <v>9</v>
      </c>
      <c r="B1906" s="2385">
        <v>901.2</v>
      </c>
      <c r="C1906" s="2374"/>
      <c r="D1906" s="2374"/>
      <c r="E1906" s="2374"/>
      <c r="F1906" s="2374"/>
      <c r="G1906" s="2373" t="s">
        <v>3974</v>
      </c>
      <c r="H1906" s="2371" t="s">
        <v>3971</v>
      </c>
      <c r="I1906" s="180">
        <v>901.2</v>
      </c>
      <c r="J1906" s="181"/>
      <c r="K1906" s="181"/>
      <c r="L1906" s="1189" t="s">
        <v>3165</v>
      </c>
      <c r="M1906" s="1009"/>
      <c r="N1906" s="1046"/>
      <c r="O1906" s="1046"/>
      <c r="P1906" s="105"/>
      <c r="Q1906" s="105"/>
      <c r="R1906" s="105"/>
      <c r="S1906" s="105"/>
      <c r="T1906" s="105"/>
      <c r="U1906" s="105"/>
      <c r="V1906" s="105"/>
      <c r="W1906" s="105"/>
      <c r="X1906" s="105"/>
      <c r="Y1906" s="648"/>
      <c r="AA1906" s="1526"/>
      <c r="AB1906" s="648"/>
      <c r="AC1906" s="970"/>
      <c r="AD1906" s="970"/>
      <c r="AE1906" s="970"/>
      <c r="AF1906" s="648"/>
      <c r="AG1906" s="648"/>
      <c r="AH1906" s="648"/>
      <c r="AI1906" s="648"/>
      <c r="AJ1906" s="648"/>
      <c r="AK1906" s="648"/>
      <c r="AL1906" s="1336"/>
      <c r="AM1906" s="1336"/>
      <c r="AN1906" s="1336"/>
      <c r="AO1906" s="1336"/>
      <c r="AP1906" s="1336"/>
      <c r="AQ1906" s="1336"/>
      <c r="AR1906" s="1336"/>
      <c r="AS1906" s="1336"/>
      <c r="AT1906" s="648"/>
      <c r="AU1906" s="648"/>
      <c r="AV1906" s="648"/>
      <c r="AW1906" s="648"/>
      <c r="AX1906" s="663" t="str">
        <f>'Overview (Verification)'!A39</f>
        <v>Type of Cooling System (main system):</v>
      </c>
      <c r="AY1906" s="752">
        <f>IF(LEN('Overview (Verification)'!P39)=0,0,'Overview (Verification)'!P39)</f>
        <v>0</v>
      </c>
      <c r="AZ1906" s="648"/>
      <c r="BA1906" s="648"/>
      <c r="BB1906" s="648"/>
      <c r="BC1906" s="648"/>
      <c r="BD1906" s="648"/>
      <c r="BE1906" s="648"/>
      <c r="BF1906" s="648"/>
      <c r="BG1906" s="648"/>
      <c r="BH1906" s="648"/>
    </row>
    <row r="1907" spans="1:60" x14ac:dyDescent="0.25">
      <c r="A1907" s="2371">
        <v>9</v>
      </c>
      <c r="B1907" s="2385" t="s">
        <v>3166</v>
      </c>
      <c r="C1907" s="2374"/>
      <c r="D1907" s="2374"/>
      <c r="E1907" s="2374"/>
      <c r="F1907" s="2374"/>
      <c r="G1907" s="2373" t="s">
        <v>3974</v>
      </c>
      <c r="H1907" s="2371" t="s">
        <v>3971</v>
      </c>
      <c r="I1907" s="64" t="s">
        <v>3166</v>
      </c>
      <c r="J1907" s="4"/>
      <c r="K1907" s="4"/>
      <c r="L1907" s="1796" t="s">
        <v>3167</v>
      </c>
      <c r="M1907" s="1014"/>
      <c r="N1907" s="1042"/>
      <c r="O1907" s="1042"/>
      <c r="P1907" s="648"/>
      <c r="Q1907" s="648"/>
      <c r="R1907" s="648"/>
      <c r="S1907" s="648"/>
      <c r="T1907" s="648"/>
      <c r="U1907" s="648"/>
      <c r="V1907" s="648"/>
      <c r="W1907" s="648"/>
      <c r="X1907" s="648"/>
      <c r="Y1907" s="648"/>
      <c r="AA1907" s="1551" t="str">
        <f>IF(LEN('Photo Review'!I1906)&gt;0,'Photo Review'!I1906,"")</f>
        <v/>
      </c>
      <c r="AB1907" s="648"/>
      <c r="AC1907" s="970"/>
      <c r="AD1907" s="970"/>
      <c r="AE1907" s="970"/>
      <c r="AF1907" s="648"/>
      <c r="AG1907" s="648"/>
      <c r="AH1907" s="648"/>
      <c r="AI1907" s="648"/>
      <c r="AJ1907" s="648"/>
      <c r="AK1907" s="648"/>
      <c r="AL1907" s="1336"/>
      <c r="AM1907" s="1336"/>
      <c r="AN1907" s="1336"/>
      <c r="AO1907" s="1336"/>
      <c r="AP1907" s="1336"/>
      <c r="AQ1907" s="1336"/>
      <c r="AR1907" s="1336"/>
      <c r="AS1907" s="1336"/>
      <c r="AT1907" s="648"/>
      <c r="AU1907" s="648"/>
      <c r="AV1907" s="648"/>
      <c r="AW1907" s="648"/>
      <c r="AX1907" s="663" t="str">
        <f>'Overview (Verification)'!A40</f>
        <v>Type of Cooling System (system 2):</v>
      </c>
      <c r="AY1907" s="752">
        <f>IF(LEN('Overview (Verification)'!P40)=0,0,'Overview (Verification)'!P40)</f>
        <v>0</v>
      </c>
      <c r="AZ1907" s="648"/>
      <c r="BA1907" s="648"/>
      <c r="BB1907" s="648"/>
      <c r="BC1907" s="648"/>
      <c r="BD1907" s="648"/>
      <c r="BE1907" s="648"/>
      <c r="BF1907" s="648"/>
      <c r="BG1907" s="648"/>
      <c r="BH1907" s="648"/>
    </row>
    <row r="1908" spans="1:60" x14ac:dyDescent="0.25">
      <c r="A1908" s="2371">
        <v>9</v>
      </c>
      <c r="B1908" s="2385" t="s">
        <v>3166</v>
      </c>
      <c r="C1908" s="2374"/>
      <c r="D1908" s="2374"/>
      <c r="E1908" s="2374"/>
      <c r="F1908" s="2374"/>
      <c r="G1908" s="2373" t="s">
        <v>3974</v>
      </c>
      <c r="H1908" s="2371" t="s">
        <v>3971</v>
      </c>
      <c r="I1908" s="164"/>
      <c r="J1908" s="4"/>
      <c r="K1908" s="4"/>
      <c r="L1908" s="1796"/>
      <c r="M1908" s="1014"/>
      <c r="N1908" s="1042"/>
      <c r="O1908" s="1042"/>
      <c r="P1908" s="648"/>
      <c r="Q1908" s="648"/>
      <c r="R1908" s="648"/>
      <c r="S1908" s="648"/>
      <c r="T1908" s="648"/>
      <c r="U1908" s="648"/>
      <c r="V1908" s="648"/>
      <c r="W1908" s="648"/>
      <c r="X1908" s="648"/>
      <c r="Y1908" s="648"/>
      <c r="AA1908" s="1526"/>
      <c r="AB1908" s="648"/>
      <c r="AC1908" s="970"/>
      <c r="AD1908" s="970"/>
      <c r="AE1908" s="970"/>
      <c r="AF1908" s="648"/>
      <c r="AG1908" s="648"/>
      <c r="AH1908" s="648"/>
      <c r="AI1908" s="648"/>
      <c r="AJ1908" s="648"/>
      <c r="AK1908" s="648"/>
      <c r="AL1908" s="1336"/>
      <c r="AM1908" s="1336"/>
      <c r="AN1908" s="1336"/>
      <c r="AO1908" s="1336"/>
      <c r="AP1908" s="1336"/>
      <c r="AQ1908" s="1336"/>
      <c r="AR1908" s="1336"/>
      <c r="AS1908" s="1336"/>
      <c r="AT1908" s="648"/>
      <c r="AU1908" s="648"/>
      <c r="AV1908" s="648"/>
      <c r="AW1908" s="648"/>
      <c r="AX1908" s="663" t="str">
        <f>'Overview (Verification)'!A41</f>
        <v>Type of Cooling System (system 3):</v>
      </c>
      <c r="AY1908" s="752">
        <f>IF(LEN('Overview (Verification)'!P41)=0,0,'Overview (Verification)'!P41)</f>
        <v>0</v>
      </c>
      <c r="AZ1908" s="648"/>
      <c r="BA1908" s="648"/>
      <c r="BB1908" s="648"/>
      <c r="BC1908" s="648"/>
      <c r="BD1908" s="648"/>
      <c r="BE1908" s="648"/>
      <c r="BF1908" s="648"/>
      <c r="BG1908" s="648"/>
      <c r="BH1908" s="648"/>
    </row>
    <row r="1909" spans="1:60" x14ac:dyDescent="0.25">
      <c r="A1909" s="2371">
        <v>9</v>
      </c>
      <c r="B1909" s="2385" t="s">
        <v>3166</v>
      </c>
      <c r="C1909" s="2374" t="s">
        <v>256</v>
      </c>
      <c r="D1909" s="2374"/>
      <c r="E1909" s="2374"/>
      <c r="F1909" s="2374" t="s">
        <v>4893</v>
      </c>
      <c r="G1909" s="2373" t="s">
        <v>3974</v>
      </c>
      <c r="H1909" s="2371" t="s">
        <v>3971</v>
      </c>
      <c r="I1909" s="164"/>
      <c r="J1909" s="183" t="s">
        <v>256</v>
      </c>
      <c r="K1909" s="129"/>
      <c r="L1909" s="1754" t="s">
        <v>3168</v>
      </c>
      <c r="M1909" s="1022" t="str">
        <f>IF(R1909,"Mandatory","N/A")</f>
        <v>Mandatory</v>
      </c>
      <c r="N1909" s="1927">
        <f>'Ch9'!O43</f>
        <v>0</v>
      </c>
      <c r="O1909" s="1927">
        <f>M1910*S1909*(W1909="Met")</f>
        <v>0</v>
      </c>
      <c r="P1909" s="94" t="b">
        <v>1</v>
      </c>
      <c r="Q1909" s="94" t="b">
        <v>1</v>
      </c>
      <c r="R1909" s="648" t="b">
        <f>S1909</f>
        <v>1</v>
      </c>
      <c r="S1909" s="648" t="b">
        <f>NOT(W1921)</f>
        <v>1</v>
      </c>
      <c r="T1909" s="94" t="b">
        <f>AND(NOT(S1909),LEN(W1909)&gt;0,W1909&lt;&gt;"N/A")</f>
        <v>0</v>
      </c>
      <c r="U1909" s="94" t="str">
        <f>SUBSTITUTE(SUBSTITUTE(SUBSTITUTE("dd"&amp;B1909&amp;C1909&amp;D1909&amp;E1909&amp;F1909,".","_"),"(","_"),")","")</f>
        <v>dd901_2_1_1_m</v>
      </c>
      <c r="V1909" s="648"/>
      <c r="W1909" s="12"/>
      <c r="X1909" s="1757"/>
      <c r="Y1909" s="2077" t="str">
        <f>IF(LEN('Ch9'!X43)=0,"None",'Ch9'!X43)</f>
        <v>None</v>
      </c>
      <c r="Z1909" s="2083"/>
      <c r="AA1909" s="1526"/>
      <c r="AB1909" s="648"/>
      <c r="AC1909" s="970" t="b">
        <f>OR(AD1909:AE1909)</f>
        <v>1</v>
      </c>
      <c r="AD1909" s="970" t="b">
        <f>T1909</f>
        <v>0</v>
      </c>
      <c r="AE1909" s="970" t="b">
        <f>AND(R1909,OR(W1909="Not Met",W1909=""))</f>
        <v>1</v>
      </c>
      <c r="AF1909" s="784"/>
      <c r="AG1909" s="648"/>
      <c r="AH1909" s="648"/>
      <c r="AI1909" s="648"/>
      <c r="AJ1909" s="648"/>
      <c r="AK1909" s="648"/>
      <c r="AL1909" s="36" t="str">
        <f>SUBSTITUTE(SUBSTITUTE(SUBSTITUTE("vpa"&amp;$B1909&amp;$C1909&amp;$D1909&amp;$E1909&amp;$F1909,".","_"),"(","_"),")","")</f>
        <v>vpa901_2_1_1_m</v>
      </c>
      <c r="AM1909" s="254" t="str">
        <f>M1909</f>
        <v>Mandatory</v>
      </c>
      <c r="AN1909" s="254" t="str">
        <f>SUBSTITUTE(SUBSTITUTE(SUBSTITUTE("vpc"&amp;$B1909&amp;$C1909&amp;$D1909&amp;$E1909,".","_"),"(","_"),")","")</f>
        <v>vpc901_2_1_1</v>
      </c>
      <c r="AO1909" s="254">
        <f>O1909</f>
        <v>0</v>
      </c>
      <c r="AP1909" s="254" t="str">
        <f>SUBSTITUTE(SUBSTITUTE(SUBSTITUTE("vch"&amp;$B1909&amp;$C1909&amp;$D1909&amp;$E1909,".","_"),"(","_"),")","")</f>
        <v>vch901_2_1_1</v>
      </c>
      <c r="AQ1909" s="254" t="str">
        <f>IF(LEN(W1909)=0,"",W1909)</f>
        <v/>
      </c>
      <c r="AR1909" s="254" t="str">
        <f>SUBSTITUTE(SUBSTITUTE(SUBSTITUTE("vnt"&amp;$B1909&amp;$C1909&amp;$D1909&amp;$E1909,".","_"),"(","_"),")","")</f>
        <v>vnt901_2_1_1</v>
      </c>
      <c r="AS1909" s="254" t="str">
        <f>IF(LEN(X1909)=0,"",X1909)</f>
        <v/>
      </c>
      <c r="AT1909" s="648"/>
      <c r="AU1909" s="648"/>
      <c r="AV1909" s="648"/>
      <c r="AW1909" s="648"/>
      <c r="AX1909" s="663" t="str">
        <f>'Overview (Verification)'!A42</f>
        <v>Cooling Ducts:</v>
      </c>
      <c r="AY1909" s="752">
        <f>IF(LEN('Overview (Verification)'!P42)=0,0,'Overview (Verification)'!P42)</f>
        <v>0</v>
      </c>
      <c r="AZ1909" s="648"/>
      <c r="BA1909" s="648"/>
      <c r="BB1909" s="648"/>
      <c r="BC1909" s="648"/>
      <c r="BD1909" s="648"/>
      <c r="BE1909" s="648"/>
      <c r="BF1909" s="648"/>
      <c r="BG1909" s="648"/>
      <c r="BH1909" s="648"/>
    </row>
    <row r="1910" spans="1:60" x14ac:dyDescent="0.25">
      <c r="A1910" s="2371">
        <v>9</v>
      </c>
      <c r="B1910" s="2385" t="s">
        <v>3166</v>
      </c>
      <c r="C1910" s="2374" t="s">
        <v>256</v>
      </c>
      <c r="D1910" s="2374"/>
      <c r="E1910" s="2374"/>
      <c r="F1910" s="2374"/>
      <c r="G1910" s="2373" t="s">
        <v>3974</v>
      </c>
      <c r="H1910" s="2371" t="s">
        <v>3971</v>
      </c>
      <c r="I1910" s="164"/>
      <c r="J1910" s="129"/>
      <c r="K1910" s="129"/>
      <c r="L1910" s="1754"/>
      <c r="M1910" s="1758">
        <v>4</v>
      </c>
      <c r="N1910" s="1927"/>
      <c r="O1910" s="1927"/>
      <c r="P1910" s="648"/>
      <c r="Q1910" s="648"/>
      <c r="R1910" s="648"/>
      <c r="S1910" s="648"/>
      <c r="T1910" s="742"/>
      <c r="U1910" s="648"/>
      <c r="V1910" s="648"/>
      <c r="W1910" s="648"/>
      <c r="X1910" s="1757"/>
      <c r="Y1910" s="2077"/>
      <c r="Z1910" s="2083"/>
      <c r="AA1910" s="1526"/>
      <c r="AB1910" s="648"/>
      <c r="AC1910" s="970"/>
      <c r="AD1910" s="970"/>
      <c r="AE1910" s="970"/>
      <c r="AF1910" s="648"/>
      <c r="AG1910" s="648"/>
      <c r="AH1910" s="648"/>
      <c r="AI1910" s="648"/>
      <c r="AJ1910" s="648"/>
      <c r="AK1910" s="648"/>
      <c r="AL1910" s="254" t="str">
        <f>SUBSTITUTE(SUBSTITUTE(SUBSTITUTE("vpa"&amp;$B1910&amp;$C1910&amp;$D1910&amp;$E1910,".","_"),"(","_"),")","")</f>
        <v>vpa901_2_1_1</v>
      </c>
      <c r="AM1910" s="254">
        <f>M1910</f>
        <v>4</v>
      </c>
      <c r="AN1910" s="1336"/>
      <c r="AO1910" s="1336"/>
      <c r="AP1910" s="1336"/>
      <c r="AQ1910" s="1336"/>
      <c r="AR1910" s="1336"/>
      <c r="AS1910" s="1336"/>
      <c r="AT1910" s="648"/>
      <c r="AU1910" s="648"/>
      <c r="AV1910" s="648"/>
      <c r="AW1910" s="648"/>
      <c r="AX1910" s="649"/>
      <c r="AY1910" s="752"/>
      <c r="AZ1910" s="648"/>
      <c r="BA1910" s="648"/>
      <c r="BB1910" s="648"/>
      <c r="BC1910" s="648"/>
      <c r="BD1910" s="648"/>
      <c r="BE1910" s="648"/>
      <c r="BF1910" s="648"/>
      <c r="BG1910" s="648"/>
      <c r="BH1910" s="648"/>
    </row>
    <row r="1911" spans="1:60" x14ac:dyDescent="0.25">
      <c r="A1911" s="2371">
        <v>9</v>
      </c>
      <c r="B1911" s="2385" t="s">
        <v>3166</v>
      </c>
      <c r="C1911" s="2374" t="s">
        <v>256</v>
      </c>
      <c r="D1911" s="2374"/>
      <c r="E1911" s="2374"/>
      <c r="F1911" s="2374"/>
      <c r="G1911" s="2373" t="s">
        <v>3974</v>
      </c>
      <c r="H1911" s="2371" t="s">
        <v>3971</v>
      </c>
      <c r="I1911" s="164"/>
      <c r="J1911" s="210"/>
      <c r="K1911" s="210"/>
      <c r="L1911" s="1755"/>
      <c r="M1911" s="1759"/>
      <c r="N1911" s="2076"/>
      <c r="O1911" s="2076"/>
      <c r="P1911" s="648"/>
      <c r="Q1911" s="648"/>
      <c r="R1911" s="648"/>
      <c r="S1911" s="648"/>
      <c r="T1911" s="742"/>
      <c r="U1911" s="648"/>
      <c r="V1911" s="648"/>
      <c r="W1911" s="648"/>
      <c r="X1911" s="1757"/>
      <c r="Y1911" s="2077"/>
      <c r="Z1911" s="2083"/>
      <c r="AA1911" s="1526"/>
      <c r="AB1911" s="648"/>
      <c r="AC1911" s="970"/>
      <c r="AD1911" s="970"/>
      <c r="AE1911" s="970"/>
      <c r="AF1911" s="648"/>
      <c r="AG1911" s="648"/>
      <c r="AH1911" s="648"/>
      <c r="AI1911" s="648"/>
      <c r="AJ1911" s="648"/>
      <c r="AK1911" s="648"/>
      <c r="AL1911" s="1336"/>
      <c r="AM1911" s="1336"/>
      <c r="AN1911" s="1336"/>
      <c r="AO1911" s="1336"/>
      <c r="AP1911" s="1336"/>
      <c r="AQ1911" s="1336"/>
      <c r="AR1911" s="1336"/>
      <c r="AS1911" s="1336"/>
      <c r="AT1911" s="648"/>
      <c r="AU1911" s="648"/>
      <c r="AV1911" s="648"/>
      <c r="AW1911" s="648"/>
      <c r="AX1911" s="663" t="str">
        <f>'Overview (Verification)'!A44</f>
        <v>Maximum window and door SHGC:</v>
      </c>
      <c r="AY1911" s="752">
        <f>IF(LEN('Overview (Verification)'!P44)=0,0,'Overview (Verification)'!P44)</f>
        <v>0</v>
      </c>
      <c r="AZ1911" s="648"/>
      <c r="BA1911" s="648"/>
      <c r="BB1911" s="648"/>
      <c r="BC1911" s="648"/>
      <c r="BD1911" s="648"/>
      <c r="BE1911" s="648"/>
      <c r="BF1911" s="648"/>
      <c r="BG1911" s="648"/>
      <c r="BH1911" s="648"/>
    </row>
    <row r="1912" spans="1:60" ht="15" customHeight="1" x14ac:dyDescent="0.25">
      <c r="A1912" s="2371">
        <v>9</v>
      </c>
      <c r="B1912" s="2385" t="s">
        <v>3166</v>
      </c>
      <c r="C1912" s="2374" t="s">
        <v>258</v>
      </c>
      <c r="D1912" s="2374"/>
      <c r="E1912" s="2374"/>
      <c r="F1912" s="2374" t="s">
        <v>4893</v>
      </c>
      <c r="G1912" s="2373" t="s">
        <v>3974</v>
      </c>
      <c r="H1912" s="2371" t="s">
        <v>3971</v>
      </c>
      <c r="I1912" s="164"/>
      <c r="J1912" s="183" t="s">
        <v>258</v>
      </c>
      <c r="K1912" s="129"/>
      <c r="L1912" s="1779" t="s">
        <v>4488</v>
      </c>
      <c r="M1912" s="1022" t="str">
        <f>IF(R1912,"Mandatory","N/A")</f>
        <v>Mandatory</v>
      </c>
      <c r="N1912" s="1927">
        <f>'Ch9'!O46</f>
        <v>0</v>
      </c>
      <c r="O1912" s="1927">
        <f>M1913*S1912*(W1912="Met")</f>
        <v>0</v>
      </c>
      <c r="P1912" s="94" t="b">
        <v>1</v>
      </c>
      <c r="Q1912" s="94" t="b">
        <v>1</v>
      </c>
      <c r="R1912" s="648" t="b">
        <f>S1912</f>
        <v>1</v>
      </c>
      <c r="S1912" s="648" t="b">
        <f>NOT(W1921)</f>
        <v>1</v>
      </c>
      <c r="T1912" s="94" t="b">
        <f>AND(NOT(S1912),LEN(W1912)&gt;0,W1912&lt;&gt;"N/A")</f>
        <v>0</v>
      </c>
      <c r="U1912" s="94" t="str">
        <f>SUBSTITUTE(SUBSTITUTE(SUBSTITUTE("dd"&amp;B1912&amp;C1912&amp;D1912&amp;E1912&amp;F1912,".","_"),"(","_"),")","")</f>
        <v>dd901_2_1_2_m</v>
      </c>
      <c r="V1912" s="648"/>
      <c r="W1912" s="12"/>
      <c r="X1912" s="1757"/>
      <c r="Y1912" s="2077" t="str">
        <f>IF(LEN('Ch9'!X46)=0,"None",'Ch9'!X46)</f>
        <v>None</v>
      </c>
      <c r="Z1912" s="2083"/>
      <c r="AA1912" s="1526"/>
      <c r="AB1912" s="648"/>
      <c r="AC1912" s="970" t="b">
        <f>OR(AD1912:AE1912)</f>
        <v>1</v>
      </c>
      <c r="AD1912" s="970" t="b">
        <f>T1912</f>
        <v>0</v>
      </c>
      <c r="AE1912" s="970" t="b">
        <f>AND(R1912,OR(W1912="Not Met",W1912=""))</f>
        <v>1</v>
      </c>
      <c r="AF1912" s="784"/>
      <c r="AG1912" s="648"/>
      <c r="AH1912" s="648"/>
      <c r="AI1912" s="648"/>
      <c r="AJ1912" s="648"/>
      <c r="AK1912" s="648"/>
      <c r="AL1912" s="36" t="str">
        <f>SUBSTITUTE(SUBSTITUTE(SUBSTITUTE("vpa"&amp;$B1912&amp;$C1912&amp;$D1912&amp;$E1912&amp;$F1912,".","_"),"(","_"),")","")</f>
        <v>vpa901_2_1_2_m</v>
      </c>
      <c r="AM1912" s="254" t="str">
        <f>M1912</f>
        <v>Mandatory</v>
      </c>
      <c r="AN1912" s="254" t="str">
        <f>SUBSTITUTE(SUBSTITUTE(SUBSTITUTE("vpc"&amp;$B1912&amp;$C1912&amp;$D1912&amp;$E1912,".","_"),"(","_"),")","")</f>
        <v>vpc901_2_1_2</v>
      </c>
      <c r="AO1912" s="254">
        <f>O1912</f>
        <v>0</v>
      </c>
      <c r="AP1912" s="254" t="str">
        <f>SUBSTITUTE(SUBSTITUTE(SUBSTITUTE("vch"&amp;$B1912&amp;$C1912&amp;$D1912&amp;$E1912,".","_"),"(","_"),")","")</f>
        <v>vch901_2_1_2</v>
      </c>
      <c r="AQ1912" s="254" t="str">
        <f>IF(LEN(W1912)=0,"",W1912)</f>
        <v/>
      </c>
      <c r="AR1912" s="254" t="str">
        <f>SUBSTITUTE(SUBSTITUTE(SUBSTITUTE("vnt"&amp;$B1912&amp;$C1912&amp;$D1912&amp;$E1912,".","_"),"(","_"),")","")</f>
        <v>vnt901_2_1_2</v>
      </c>
      <c r="AS1912" s="254" t="str">
        <f>IF(LEN(X1912)=0,"",X1912)</f>
        <v/>
      </c>
      <c r="AT1912" s="648"/>
      <c r="AU1912" s="648"/>
      <c r="AV1912" s="648"/>
      <c r="AW1912" s="648"/>
      <c r="AX1912" s="663" t="str">
        <f>'Overview (Verification)'!A45</f>
        <v>Maximum skylight SHGC:</v>
      </c>
      <c r="AY1912" s="752">
        <f>IF(LEN('Overview (Verification)'!P45)=0,0,'Overview (Verification)'!P45)</f>
        <v>0</v>
      </c>
      <c r="AZ1912" s="648"/>
      <c r="BA1912" s="648"/>
      <c r="BB1912" s="648"/>
      <c r="BC1912" s="648"/>
      <c r="BD1912" s="648"/>
      <c r="BE1912" s="648"/>
      <c r="BF1912" s="648"/>
      <c r="BG1912" s="648"/>
      <c r="BH1912" s="648"/>
    </row>
    <row r="1913" spans="1:60" x14ac:dyDescent="0.25">
      <c r="A1913" s="2371">
        <v>9</v>
      </c>
      <c r="B1913" s="2385" t="s">
        <v>3166</v>
      </c>
      <c r="C1913" s="2374" t="s">
        <v>258</v>
      </c>
      <c r="D1913" s="2374"/>
      <c r="E1913" s="2374"/>
      <c r="F1913" s="2374"/>
      <c r="G1913" s="2373" t="s">
        <v>3974</v>
      </c>
      <c r="H1913" s="2371" t="s">
        <v>3971</v>
      </c>
      <c r="I1913" s="164"/>
      <c r="J1913" s="206"/>
      <c r="K1913" s="210"/>
      <c r="L1913" s="1755"/>
      <c r="M1913" s="1015">
        <v>6</v>
      </c>
      <c r="N1913" s="2076"/>
      <c r="O1913" s="2076"/>
      <c r="P1913" s="648"/>
      <c r="Q1913" s="648"/>
      <c r="R1913" s="648"/>
      <c r="S1913" s="648"/>
      <c r="T1913" s="742"/>
      <c r="U1913" s="648"/>
      <c r="V1913" s="648"/>
      <c r="W1913" s="648"/>
      <c r="X1913" s="1757"/>
      <c r="Y1913" s="2077"/>
      <c r="Z1913" s="2083"/>
      <c r="AA1913" s="1526"/>
      <c r="AB1913" s="648"/>
      <c r="AC1913" s="970"/>
      <c r="AD1913" s="970"/>
      <c r="AE1913" s="970"/>
      <c r="AF1913" s="648"/>
      <c r="AG1913" s="648"/>
      <c r="AH1913" s="648"/>
      <c r="AI1913" s="648"/>
      <c r="AJ1913" s="648"/>
      <c r="AK1913" s="648"/>
      <c r="AL1913" s="254" t="str">
        <f>SUBSTITUTE(SUBSTITUTE(SUBSTITUTE("vpa"&amp;$B1913&amp;$C1913&amp;$D1913&amp;$E1913,".","_"),"(","_"),")","")</f>
        <v>vpa901_2_1_2</v>
      </c>
      <c r="AM1913" s="254">
        <f>M1913</f>
        <v>6</v>
      </c>
      <c r="AN1913" s="1336"/>
      <c r="AO1913" s="1336"/>
      <c r="AP1913" s="1336"/>
      <c r="AQ1913" s="1336"/>
      <c r="AR1913" s="1336"/>
      <c r="AS1913" s="1336"/>
      <c r="AT1913" s="648"/>
      <c r="AU1913" s="648"/>
      <c r="AV1913" s="648"/>
      <c r="AW1913" s="648"/>
      <c r="AX1913" s="663" t="str">
        <f>'Overview (Verification)'!A46</f>
        <v>Maximum window and door U-value:</v>
      </c>
      <c r="AY1913" s="752">
        <f>IF(LEN('Overview (Verification)'!P46)=0,0,'Overview (Verification)'!P46)</f>
        <v>0</v>
      </c>
      <c r="AZ1913" s="648"/>
      <c r="BA1913" s="648"/>
      <c r="BB1913" s="648"/>
      <c r="BC1913" s="648"/>
      <c r="BD1913" s="648"/>
      <c r="BE1913" s="648"/>
      <c r="BF1913" s="648"/>
      <c r="BG1913" s="648"/>
      <c r="BH1913" s="648"/>
    </row>
    <row r="1914" spans="1:60" x14ac:dyDescent="0.25">
      <c r="A1914" s="2371">
        <v>9</v>
      </c>
      <c r="B1914" s="2385" t="s">
        <v>3166</v>
      </c>
      <c r="C1914" s="2374" t="s">
        <v>260</v>
      </c>
      <c r="D1914" s="2374"/>
      <c r="E1914" s="2374"/>
      <c r="F1914" s="2374" t="s">
        <v>4893</v>
      </c>
      <c r="G1914" s="2373" t="s">
        <v>3974</v>
      </c>
      <c r="H1914" s="2371" t="s">
        <v>3971</v>
      </c>
      <c r="I1914" s="164"/>
      <c r="J1914" s="183" t="s">
        <v>260</v>
      </c>
      <c r="K1914" s="129"/>
      <c r="L1914" s="1754" t="s">
        <v>3169</v>
      </c>
      <c r="M1914" s="1022" t="str">
        <f>IF(R1914,"Mandatory","N/A")</f>
        <v>Mandatory</v>
      </c>
      <c r="N1914" s="1927">
        <f>'Ch9'!O48</f>
        <v>0</v>
      </c>
      <c r="O1914" s="1927">
        <f>M1915*S1914*(W1914="Met")</f>
        <v>0</v>
      </c>
      <c r="P1914" s="94" t="b">
        <v>1</v>
      </c>
      <c r="Q1914" s="94" t="b">
        <v>1</v>
      </c>
      <c r="R1914" s="648" t="b">
        <f>S1914</f>
        <v>1</v>
      </c>
      <c r="S1914" s="648" t="b">
        <f>NOT(W1921)</f>
        <v>1</v>
      </c>
      <c r="T1914" s="94" t="b">
        <f>AND(NOT(S1914),LEN(W1914)&gt;0,W1914&lt;&gt;"N/A")</f>
        <v>0</v>
      </c>
      <c r="U1914" s="94" t="str">
        <f>SUBSTITUTE(SUBSTITUTE(SUBSTITUTE("dd"&amp;B1914&amp;C1914&amp;D1914&amp;E1914&amp;F1914,".","_"),"(","_"),")","")</f>
        <v>dd901_2_1_3_m</v>
      </c>
      <c r="V1914" s="648"/>
      <c r="W1914" s="12"/>
      <c r="X1914" s="1757"/>
      <c r="Y1914" s="2077" t="str">
        <f>IF(LEN('Ch9'!X48)=0,"None",'Ch9'!X48)</f>
        <v>None</v>
      </c>
      <c r="Z1914" s="2083"/>
      <c r="AA1914" s="1526"/>
      <c r="AB1914" s="648"/>
      <c r="AC1914" s="970" t="b">
        <f>OR(AD1914:AE1914)</f>
        <v>1</v>
      </c>
      <c r="AD1914" s="970" t="b">
        <f>T1914</f>
        <v>0</v>
      </c>
      <c r="AE1914" s="970" t="b">
        <f>AND(R1914,OR(W1914="Not Met",W1914=""))</f>
        <v>1</v>
      </c>
      <c r="AF1914" s="784"/>
      <c r="AG1914" s="648"/>
      <c r="AH1914" s="648"/>
      <c r="AI1914" s="648"/>
      <c r="AJ1914" s="648"/>
      <c r="AK1914" s="648"/>
      <c r="AL1914" s="36" t="str">
        <f>SUBSTITUTE(SUBSTITUTE(SUBSTITUTE("vpa"&amp;$B1914&amp;$C1914&amp;$D1914&amp;$E1914&amp;$F1914,".","_"),"(","_"),")","")</f>
        <v>vpa901_2_1_3_m</v>
      </c>
      <c r="AM1914" s="254" t="str">
        <f>M1914</f>
        <v>Mandatory</v>
      </c>
      <c r="AN1914" s="254" t="str">
        <f>SUBSTITUTE(SUBSTITUTE(SUBSTITUTE("vpc"&amp;$B1914&amp;$C1914&amp;$D1914&amp;$E1914,".","_"),"(","_"),")","")</f>
        <v>vpc901_2_1_3</v>
      </c>
      <c r="AO1914" s="254">
        <f>O1914</f>
        <v>0</v>
      </c>
      <c r="AP1914" s="254" t="str">
        <f>SUBSTITUTE(SUBSTITUTE(SUBSTITUTE("vch"&amp;$B1914&amp;$C1914&amp;$D1914&amp;$E1914,".","_"),"(","_"),")","")</f>
        <v>vch901_2_1_3</v>
      </c>
      <c r="AQ1914" s="254" t="str">
        <f>IF(LEN(W1914)=0,"",W1914)</f>
        <v/>
      </c>
      <c r="AR1914" s="254" t="str">
        <f>SUBSTITUTE(SUBSTITUTE(SUBSTITUTE("vnt"&amp;$B1914&amp;$C1914&amp;$D1914&amp;$E1914,".","_"),"(","_"),")","")</f>
        <v>vnt901_2_1_3</v>
      </c>
      <c r="AS1914" s="254" t="str">
        <f>IF(LEN(X1914)=0,"",X1914)</f>
        <v/>
      </c>
      <c r="AT1914" s="648"/>
      <c r="AU1914" s="648"/>
      <c r="AV1914" s="648"/>
      <c r="AW1914" s="648"/>
      <c r="AX1914" s="663" t="str">
        <f>'Overview (Verification)'!A47</f>
        <v>Maximum skylight U-value:</v>
      </c>
      <c r="AY1914" s="752">
        <f>IF(LEN('Overview (Verification)'!P47)=0,0,'Overview (Verification)'!P47)</f>
        <v>0</v>
      </c>
      <c r="AZ1914" s="648"/>
      <c r="BA1914" s="648"/>
      <c r="BB1914" s="648"/>
      <c r="BC1914" s="648"/>
      <c r="BD1914" s="648"/>
      <c r="BE1914" s="648"/>
      <c r="BF1914" s="648"/>
      <c r="BG1914" s="648"/>
      <c r="BH1914" s="648"/>
    </row>
    <row r="1915" spans="1:60" x14ac:dyDescent="0.25">
      <c r="A1915" s="2371">
        <v>9</v>
      </c>
      <c r="B1915" s="2385" t="s">
        <v>3166</v>
      </c>
      <c r="C1915" s="2374" t="s">
        <v>260</v>
      </c>
      <c r="D1915" s="2374"/>
      <c r="E1915" s="2374"/>
      <c r="F1915" s="2374"/>
      <c r="G1915" s="2373" t="s">
        <v>3974</v>
      </c>
      <c r="H1915" s="2371" t="s">
        <v>3971</v>
      </c>
      <c r="I1915" s="164"/>
      <c r="J1915" s="183"/>
      <c r="K1915" s="129"/>
      <c r="L1915" s="1754"/>
      <c r="M1915" s="1758">
        <v>6</v>
      </c>
      <c r="N1915" s="1927"/>
      <c r="O1915" s="1927"/>
      <c r="P1915" s="648"/>
      <c r="Q1915" s="648"/>
      <c r="R1915" s="648"/>
      <c r="S1915" s="648"/>
      <c r="T1915" s="742"/>
      <c r="U1915" s="648"/>
      <c r="V1915" s="648"/>
      <c r="W1915" s="648"/>
      <c r="X1915" s="1757"/>
      <c r="Y1915" s="2077"/>
      <c r="Z1915" s="2083"/>
      <c r="AA1915" s="1526"/>
      <c r="AB1915" s="648"/>
      <c r="AC1915" s="970"/>
      <c r="AD1915" s="970"/>
      <c r="AE1915" s="970"/>
      <c r="AF1915" s="648"/>
      <c r="AG1915" s="648"/>
      <c r="AH1915" s="648"/>
      <c r="AI1915" s="648"/>
      <c r="AJ1915" s="648"/>
      <c r="AK1915" s="648"/>
      <c r="AL1915" s="254" t="str">
        <f>SUBSTITUTE(SUBSTITUTE(SUBSTITUTE("vpa"&amp;$B1915&amp;$C1915&amp;$D1915&amp;$E1915,".","_"),"(","_"),")","")</f>
        <v>vpa901_2_1_3</v>
      </c>
      <c r="AM1915" s="254">
        <f>M1915</f>
        <v>6</v>
      </c>
      <c r="AN1915" s="1336"/>
      <c r="AO1915" s="1336"/>
      <c r="AP1915" s="1336"/>
      <c r="AQ1915" s="1336"/>
      <c r="AR1915" s="1336"/>
      <c r="AS1915" s="1336"/>
      <c r="AT1915" s="648"/>
      <c r="AU1915" s="648"/>
      <c r="AV1915" s="648"/>
      <c r="AW1915" s="648"/>
      <c r="AX1915" s="663" t="str">
        <f>'Overview (Verification)'!A48</f>
        <v>Renewable Energy:</v>
      </c>
      <c r="AY1915" s="752">
        <f>IF(LEN('Overview (Verification)'!P48)=0,0,'Overview (Verification)'!P48)</f>
        <v>0</v>
      </c>
      <c r="AZ1915" s="648"/>
      <c r="BA1915" s="648"/>
      <c r="BB1915" s="648"/>
      <c r="BC1915" s="648"/>
      <c r="BD1915" s="648"/>
      <c r="BE1915" s="648"/>
      <c r="BF1915" s="648"/>
      <c r="BG1915" s="648"/>
      <c r="BH1915" s="648"/>
    </row>
    <row r="1916" spans="1:60" x14ac:dyDescent="0.25">
      <c r="A1916" s="2371">
        <v>9</v>
      </c>
      <c r="B1916" s="2385" t="s">
        <v>3166</v>
      </c>
      <c r="C1916" s="2374" t="s">
        <v>260</v>
      </c>
      <c r="D1916" s="2374"/>
      <c r="E1916" s="2374"/>
      <c r="F1916" s="2374"/>
      <c r="G1916" s="2373" t="s">
        <v>3974</v>
      </c>
      <c r="H1916" s="2371" t="s">
        <v>3971</v>
      </c>
      <c r="I1916" s="164"/>
      <c r="J1916" s="206"/>
      <c r="K1916" s="210"/>
      <c r="L1916" s="1755"/>
      <c r="M1916" s="1759"/>
      <c r="N1916" s="2076"/>
      <c r="O1916" s="2076"/>
      <c r="P1916" s="648"/>
      <c r="Q1916" s="648"/>
      <c r="R1916" s="648"/>
      <c r="S1916" s="648"/>
      <c r="T1916" s="742"/>
      <c r="U1916" s="648"/>
      <c r="V1916" s="648"/>
      <c r="W1916" s="648"/>
      <c r="X1916" s="1757"/>
      <c r="Y1916" s="2077"/>
      <c r="Z1916" s="2083"/>
      <c r="AA1916" s="1526"/>
      <c r="AB1916" s="648"/>
      <c r="AC1916" s="970"/>
      <c r="AD1916" s="970"/>
      <c r="AE1916" s="970"/>
      <c r="AF1916" s="648"/>
      <c r="AG1916" s="648"/>
      <c r="AH1916" s="648"/>
      <c r="AI1916" s="648"/>
      <c r="AJ1916" s="648"/>
      <c r="AK1916" s="648"/>
      <c r="AL1916" s="1336"/>
      <c r="AM1916" s="1336"/>
      <c r="AN1916" s="1336"/>
      <c r="AO1916" s="1336"/>
      <c r="AP1916" s="1336"/>
      <c r="AQ1916" s="1336"/>
      <c r="AR1916" s="1336"/>
      <c r="AS1916" s="1336"/>
      <c r="AT1916" s="648"/>
      <c r="AU1916" s="648"/>
      <c r="AV1916" s="648"/>
      <c r="AW1916" s="648"/>
      <c r="AX1916" s="663" t="str">
        <f>'Overview (Verification)'!A49</f>
        <v>Thermal Envelope Insulation:</v>
      </c>
      <c r="AY1916" s="752">
        <f>IF(LEN('Overview (Verification)'!P49)=0,0,'Overview (Verification)'!P49)</f>
        <v>0</v>
      </c>
      <c r="AZ1916" s="648"/>
      <c r="BA1916" s="648"/>
      <c r="BB1916" s="648"/>
      <c r="BC1916" s="648"/>
      <c r="BD1916" s="648"/>
      <c r="BE1916" s="648"/>
      <c r="BF1916" s="648"/>
      <c r="BG1916" s="648"/>
      <c r="BH1916" s="648"/>
    </row>
    <row r="1917" spans="1:60" x14ac:dyDescent="0.25">
      <c r="A1917" s="2371">
        <v>9</v>
      </c>
      <c r="B1917" s="2385" t="s">
        <v>3166</v>
      </c>
      <c r="C1917" s="2374" t="s">
        <v>269</v>
      </c>
      <c r="D1917" s="2374"/>
      <c r="E1917" s="2374"/>
      <c r="F1917" s="2374" t="s">
        <v>4893</v>
      </c>
      <c r="G1917" s="2373" t="s">
        <v>3974</v>
      </c>
      <c r="H1917" s="2371" t="s">
        <v>3971</v>
      </c>
      <c r="I1917" s="164"/>
      <c r="J1917" s="183" t="s">
        <v>269</v>
      </c>
      <c r="K1917" s="129"/>
      <c r="L1917" s="1793" t="s">
        <v>3170</v>
      </c>
      <c r="M1917" s="1022" t="str">
        <f>IF(R1917,"Mandatory","N/A")</f>
        <v>Mandatory</v>
      </c>
      <c r="N1917" s="1927">
        <f>'Ch9'!O51</f>
        <v>0</v>
      </c>
      <c r="O1917" s="1927">
        <f>M1918*S1917*(W1917="Met")</f>
        <v>0</v>
      </c>
      <c r="P1917" s="94" t="b">
        <v>1</v>
      </c>
      <c r="Q1917" s="94" t="b">
        <v>1</v>
      </c>
      <c r="R1917" s="648" t="b">
        <f>S1917</f>
        <v>1</v>
      </c>
      <c r="S1917" s="648" t="b">
        <f>NOT(W1921)</f>
        <v>1</v>
      </c>
      <c r="T1917" s="94" t="b">
        <f>AND(NOT(S1917),LEN(W1917)&gt;0,W1917&lt;&gt;"N/A")</f>
        <v>0</v>
      </c>
      <c r="U1917" s="94" t="str">
        <f>SUBSTITUTE(SUBSTITUTE(SUBSTITUTE("dd"&amp;B1917&amp;C1917&amp;D1917&amp;E1917&amp;F1917,".","_"),"(","_"),")","")</f>
        <v>dd901_2_1_4_m</v>
      </c>
      <c r="V1917" s="648"/>
      <c r="W1917" s="12"/>
      <c r="X1917" s="1757"/>
      <c r="Y1917" s="2077" t="str">
        <f>IF(LEN('Ch9'!X51)=0,"None",'Ch9'!X51)</f>
        <v>None</v>
      </c>
      <c r="Z1917" s="2083"/>
      <c r="AA1917" s="1526"/>
      <c r="AB1917" s="648"/>
      <c r="AC1917" s="970" t="b">
        <f>OR(AD1917:AE1917)</f>
        <v>1</v>
      </c>
      <c r="AD1917" s="970" t="b">
        <f>T1917</f>
        <v>0</v>
      </c>
      <c r="AE1917" s="970" t="b">
        <f>AND(R1917,OR(W1917="Not Met",W1917=""))</f>
        <v>1</v>
      </c>
      <c r="AF1917" s="784"/>
      <c r="AG1917" s="648"/>
      <c r="AH1917" s="648"/>
      <c r="AI1917" s="648"/>
      <c r="AJ1917" s="648"/>
      <c r="AK1917" s="648"/>
      <c r="AL1917" s="36" t="str">
        <f>SUBSTITUTE(SUBSTITUTE(SUBSTITUTE("vpa"&amp;$B1917&amp;$C1917&amp;$D1917&amp;$E1917&amp;$F1917,".","_"),"(","_"),")","")</f>
        <v>vpa901_2_1_4_m</v>
      </c>
      <c r="AM1917" s="254" t="str">
        <f>M1917</f>
        <v>Mandatory</v>
      </c>
      <c r="AN1917" s="254" t="str">
        <f>SUBSTITUTE(SUBSTITUTE(SUBSTITUTE("vpc"&amp;$B1917&amp;$C1917&amp;$D1917&amp;$E1917,".","_"),"(","_"),")","")</f>
        <v>vpc901_2_1_4</v>
      </c>
      <c r="AO1917" s="254">
        <f>O1917</f>
        <v>0</v>
      </c>
      <c r="AP1917" s="254" t="str">
        <f>SUBSTITUTE(SUBSTITUTE(SUBSTITUTE("vch"&amp;$B1917&amp;$C1917&amp;$D1917&amp;$E1917,".","_"),"(","_"),")","")</f>
        <v>vch901_2_1_4</v>
      </c>
      <c r="AQ1917" s="254" t="str">
        <f>IF(LEN(W1917)=0,"",W1917)</f>
        <v/>
      </c>
      <c r="AR1917" s="254" t="str">
        <f>SUBSTITUTE(SUBSTITUTE(SUBSTITUTE("vnt"&amp;$B1917&amp;$C1917&amp;$D1917&amp;$E1917,".","_"),"(","_"),")","")</f>
        <v>vnt901_2_1_4</v>
      </c>
      <c r="AS1917" s="254" t="str">
        <f>IF(LEN(X1917)=0,"",X1917)</f>
        <v/>
      </c>
      <c r="AT1917" s="648"/>
      <c r="AU1917" s="648"/>
      <c r="AV1917" s="648"/>
      <c r="AW1917" s="648"/>
      <c r="AX1917" s="663" t="str">
        <f>'Overview (Verification)'!A50</f>
        <v>Attic Type:</v>
      </c>
      <c r="AY1917" s="752">
        <f>IF(LEN('Overview (Verification)'!P50)=0,0,'Overview (Verification)'!P50)</f>
        <v>0</v>
      </c>
      <c r="AZ1917" s="648"/>
      <c r="BA1917" s="648"/>
      <c r="BB1917" s="648"/>
      <c r="BC1917" s="648"/>
      <c r="BD1917" s="648"/>
      <c r="BE1917" s="648"/>
      <c r="BF1917" s="648"/>
      <c r="BG1917" s="648"/>
      <c r="BH1917" s="648"/>
    </row>
    <row r="1918" spans="1:60" x14ac:dyDescent="0.25">
      <c r="A1918" s="2371">
        <v>9</v>
      </c>
      <c r="B1918" s="2385" t="s">
        <v>3166</v>
      </c>
      <c r="C1918" s="2374" t="s">
        <v>269</v>
      </c>
      <c r="D1918" s="2374"/>
      <c r="E1918" s="2374"/>
      <c r="F1918" s="2374"/>
      <c r="G1918" s="2373" t="s">
        <v>3974</v>
      </c>
      <c r="H1918" s="2371" t="s">
        <v>3971</v>
      </c>
      <c r="I1918" s="164"/>
      <c r="J1918" s="206"/>
      <c r="K1918" s="210"/>
      <c r="L1918" s="1761"/>
      <c r="M1918" s="1015">
        <v>6</v>
      </c>
      <c r="N1918" s="2076"/>
      <c r="O1918" s="2076"/>
      <c r="P1918" s="648"/>
      <c r="Q1918" s="648"/>
      <c r="R1918" s="648"/>
      <c r="S1918" s="648"/>
      <c r="T1918" s="742"/>
      <c r="U1918" s="648"/>
      <c r="V1918" s="648"/>
      <c r="W1918" s="648"/>
      <c r="X1918" s="1757"/>
      <c r="Y1918" s="2077"/>
      <c r="Z1918" s="2083"/>
      <c r="AA1918" s="1526"/>
      <c r="AB1918" s="648"/>
      <c r="AC1918" s="970"/>
      <c r="AD1918" s="970"/>
      <c r="AE1918" s="970"/>
      <c r="AF1918" s="648"/>
      <c r="AG1918" s="648"/>
      <c r="AH1918" s="648"/>
      <c r="AI1918" s="648"/>
      <c r="AJ1918" s="648"/>
      <c r="AK1918" s="648"/>
      <c r="AL1918" s="254" t="str">
        <f>SUBSTITUTE(SUBSTITUTE(SUBSTITUTE("vpa"&amp;$B1918&amp;$C1918&amp;$D1918&amp;$E1918,".","_"),"(","_"),")","")</f>
        <v>vpa901_2_1_4</v>
      </c>
      <c r="AM1918" s="254">
        <f>M1918</f>
        <v>6</v>
      </c>
      <c r="AN1918" s="1336"/>
      <c r="AO1918" s="1336"/>
      <c r="AP1918" s="1336"/>
      <c r="AQ1918" s="1336"/>
      <c r="AR1918" s="1336"/>
      <c r="AS1918" s="1336"/>
      <c r="AT1918" s="648"/>
      <c r="AU1918" s="648"/>
      <c r="AV1918" s="648"/>
      <c r="AW1918" s="648"/>
      <c r="AX1918" s="663" t="str">
        <f>'Overview (Verification)'!A51</f>
        <v>Attached Garage:</v>
      </c>
      <c r="AY1918" s="752">
        <f>IF(LEN('Overview (Verification)'!P51)=0,0,'Overview (Verification)'!P51)</f>
        <v>0</v>
      </c>
      <c r="AZ1918" s="648"/>
      <c r="BA1918" s="648"/>
      <c r="BB1918" s="648"/>
      <c r="BC1918" s="648"/>
      <c r="BD1918" s="648"/>
      <c r="BE1918" s="648"/>
      <c r="BF1918" s="648"/>
      <c r="BG1918" s="648"/>
      <c r="BH1918" s="648"/>
    </row>
    <row r="1919" spans="1:60" x14ac:dyDescent="0.25">
      <c r="A1919" s="2371">
        <v>9</v>
      </c>
      <c r="B1919" s="2385" t="s">
        <v>3166</v>
      </c>
      <c r="C1919" s="2374" t="s">
        <v>275</v>
      </c>
      <c r="D1919" s="2374"/>
      <c r="E1919" s="2374"/>
      <c r="F1919" s="2374" t="s">
        <v>4893</v>
      </c>
      <c r="G1919" s="2373" t="s">
        <v>3974</v>
      </c>
      <c r="H1919" s="2371" t="s">
        <v>3971</v>
      </c>
      <c r="I1919" s="480"/>
      <c r="J1919" s="183" t="s">
        <v>275</v>
      </c>
      <c r="K1919" s="129"/>
      <c r="L1919" s="1754" t="s">
        <v>3171</v>
      </c>
      <c r="M1919" s="1022" t="str">
        <f>IF(R1919,"Mandatory","N/A")</f>
        <v>Mandatory</v>
      </c>
      <c r="N1919" s="1927">
        <f>'Ch9'!O53</f>
        <v>0</v>
      </c>
      <c r="O1919" s="1927">
        <f>M1920*S1919*(W1919="Met")</f>
        <v>0</v>
      </c>
      <c r="P1919" s="94" t="b">
        <v>1</v>
      </c>
      <c r="Q1919" s="94" t="b">
        <v>1</v>
      </c>
      <c r="R1919" s="94" t="b">
        <f>S1919</f>
        <v>1</v>
      </c>
      <c r="S1919" s="94" t="b">
        <f>NOT(W1921)</f>
        <v>1</v>
      </c>
      <c r="T1919" s="94" t="b">
        <f>AND(NOT(S1919),LEN(W1919)&gt;0,W1919&lt;&gt;"N/A")</f>
        <v>0</v>
      </c>
      <c r="U1919" s="94" t="str">
        <f>SUBSTITUTE(SUBSTITUTE(SUBSTITUTE("dd"&amp;B1919&amp;C1919&amp;D1919&amp;E1919&amp;F1919,".","_"),"(","_"),")","")</f>
        <v>dd901_2_1_5_m</v>
      </c>
      <c r="V1919" s="94"/>
      <c r="W1919" s="12"/>
      <c r="X1919" s="1770"/>
      <c r="Y1919" s="2077" t="str">
        <f>IF(LEN('Ch9'!X53)=0,"None",'Ch9'!X53)</f>
        <v>None</v>
      </c>
      <c r="Z1919" s="2083"/>
      <c r="AA1919" s="1526"/>
      <c r="AB1919" s="648"/>
      <c r="AC1919" s="970" t="b">
        <f>OR(AD1919:AE1919)</f>
        <v>1</v>
      </c>
      <c r="AD1919" s="970" t="b">
        <f>T1919</f>
        <v>0</v>
      </c>
      <c r="AE1919" s="970" t="b">
        <f>AND(R1919,OR(W1919="Not Met",W1919=""))</f>
        <v>1</v>
      </c>
      <c r="AF1919" s="784"/>
      <c r="AG1919" s="648"/>
      <c r="AH1919" s="648"/>
      <c r="AI1919" s="648"/>
      <c r="AJ1919" s="648"/>
      <c r="AK1919" s="648"/>
      <c r="AL1919" s="36" t="str">
        <f>SUBSTITUTE(SUBSTITUTE(SUBSTITUTE("vpa"&amp;$B1919&amp;$C1919&amp;$D1919&amp;$E1919&amp;$F1919,".","_"),"(","_"),")","")</f>
        <v>vpa901_2_1_5_m</v>
      </c>
      <c r="AM1919" s="254" t="str">
        <f>M1919</f>
        <v>Mandatory</v>
      </c>
      <c r="AN1919" s="254" t="str">
        <f>SUBSTITUTE(SUBSTITUTE(SUBSTITUTE("vpc"&amp;$B1919&amp;$C1919&amp;$D1919&amp;$E1919,".","_"),"(","_"),")","")</f>
        <v>vpc901_2_1_5</v>
      </c>
      <c r="AO1919" s="254">
        <f>O1919</f>
        <v>0</v>
      </c>
      <c r="AP1919" s="254" t="str">
        <f>SUBSTITUTE(SUBSTITUTE(SUBSTITUTE("vch"&amp;$B1919&amp;$C1919&amp;$D1919&amp;$E1919,".","_"),"(","_"),")","")</f>
        <v>vch901_2_1_5</v>
      </c>
      <c r="AQ1919" s="254" t="str">
        <f>IF(LEN(W1919)=0,"",W1919)</f>
        <v/>
      </c>
      <c r="AR1919" s="254" t="str">
        <f>SUBSTITUTE(SUBSTITUTE(SUBSTITUTE("vnt"&amp;$B1919&amp;$C1919&amp;$D1919&amp;$E1919,".","_"),"(","_"),")","")</f>
        <v>vnt901_2_1_5</v>
      </c>
      <c r="AS1919" s="254" t="str">
        <f>IF(LEN(X1919)=0,"",X1919)</f>
        <v/>
      </c>
      <c r="AT1919" s="648"/>
      <c r="AU1919" s="648"/>
      <c r="AV1919" s="648"/>
      <c r="AW1919" s="648"/>
      <c r="AX1919" s="663" t="str">
        <f>'Overview (Verification)'!A52</f>
        <v>Recessed Lighting:</v>
      </c>
      <c r="AY1919" s="752">
        <f>IF(LEN('Overview (Verification)'!P52)=0,0,'Overview (Verification)'!P52)</f>
        <v>0</v>
      </c>
      <c r="AZ1919" s="648"/>
      <c r="BA1919" s="648"/>
      <c r="BB1919" s="648"/>
      <c r="BC1919" s="648"/>
      <c r="BD1919" s="648"/>
      <c r="BE1919" s="648"/>
      <c r="BF1919" s="648"/>
      <c r="BG1919" s="648"/>
      <c r="BH1919" s="648"/>
    </row>
    <row r="1920" spans="1:60" x14ac:dyDescent="0.25">
      <c r="A1920" s="2371">
        <v>9</v>
      </c>
      <c r="B1920" s="2385" t="s">
        <v>3166</v>
      </c>
      <c r="C1920" s="2374" t="s">
        <v>275</v>
      </c>
      <c r="D1920" s="2374"/>
      <c r="E1920" s="2374"/>
      <c r="F1920" s="2374"/>
      <c r="G1920" s="2373" t="s">
        <v>3974</v>
      </c>
      <c r="H1920" s="2371" t="s">
        <v>3971</v>
      </c>
      <c r="I1920" s="524"/>
      <c r="J1920" s="206"/>
      <c r="K1920" s="210"/>
      <c r="L1920" s="1755"/>
      <c r="M1920" s="1015">
        <v>6</v>
      </c>
      <c r="N1920" s="2076"/>
      <c r="O1920" s="2076"/>
      <c r="P1920" s="178"/>
      <c r="Q1920" s="178"/>
      <c r="R1920" s="178"/>
      <c r="S1920" s="178"/>
      <c r="T1920" s="178"/>
      <c r="U1920" s="178"/>
      <c r="V1920" s="178"/>
      <c r="W1920" s="178"/>
      <c r="X1920" s="1770"/>
      <c r="Y1920" s="2077"/>
      <c r="Z1920" s="2083"/>
      <c r="AA1920" s="1526"/>
      <c r="AB1920" s="648"/>
      <c r="AC1920" s="970"/>
      <c r="AD1920" s="970"/>
      <c r="AE1920" s="970"/>
      <c r="AF1920" s="648"/>
      <c r="AG1920" s="648"/>
      <c r="AH1920" s="648"/>
      <c r="AI1920" s="648"/>
      <c r="AJ1920" s="648"/>
      <c r="AK1920" s="648"/>
      <c r="AL1920" s="254" t="str">
        <f>SUBSTITUTE(SUBSTITUTE(SUBSTITUTE("vpa"&amp;$B1920&amp;$C1920&amp;$D1920&amp;$E1920,".","_"),"(","_"),")","")</f>
        <v>vpa901_2_1_5</v>
      </c>
      <c r="AM1920" s="254">
        <f>M1920</f>
        <v>6</v>
      </c>
      <c r="AN1920" s="1336"/>
      <c r="AO1920" s="1336"/>
      <c r="AP1920" s="1336"/>
      <c r="AQ1920" s="1336"/>
      <c r="AR1920" s="1336"/>
      <c r="AS1920" s="1336"/>
      <c r="AT1920" s="648"/>
      <c r="AU1920" s="648"/>
      <c r="AV1920" s="648"/>
      <c r="AW1920" s="648"/>
      <c r="AX1920" s="649"/>
      <c r="AY1920" s="752"/>
      <c r="AZ1920" s="648"/>
      <c r="BA1920" s="648"/>
      <c r="BB1920" s="648"/>
      <c r="BC1920" s="648"/>
      <c r="BD1920" s="648"/>
      <c r="BE1920" s="648"/>
      <c r="BF1920" s="648"/>
      <c r="BG1920" s="648"/>
      <c r="BH1920" s="648"/>
    </row>
    <row r="1921" spans="1:60" ht="15.75" thickBot="1" x14ac:dyDescent="0.3">
      <c r="A1921" s="2371">
        <v>9</v>
      </c>
      <c r="B1921" s="2385" t="s">
        <v>3172</v>
      </c>
      <c r="C1921" s="2374"/>
      <c r="D1921" s="2374"/>
      <c r="E1921" s="2374"/>
      <c r="F1921" s="2374"/>
      <c r="G1921" s="2373" t="str">
        <f>IF(N1921&gt;0,"P","")</f>
        <v/>
      </c>
      <c r="H1921" s="2371" t="s">
        <v>3971</v>
      </c>
      <c r="I1921" s="189" t="s">
        <v>3172</v>
      </c>
      <c r="J1921" s="240"/>
      <c r="K1921" s="240"/>
      <c r="L1921" s="525" t="s">
        <v>3173</v>
      </c>
      <c r="M1921" s="1011">
        <v>6</v>
      </c>
      <c r="N1921" s="1045">
        <f>'Ch9'!O55</f>
        <v>0</v>
      </c>
      <c r="O1921" s="1045">
        <f>M1921*S1921*W1921</f>
        <v>0</v>
      </c>
      <c r="P1921" s="94" t="b">
        <v>1</v>
      </c>
      <c r="Q1921" s="94" t="b">
        <v>1</v>
      </c>
      <c r="R1921" s="99" t="b">
        <v>0</v>
      </c>
      <c r="S1921" s="99" t="b">
        <f>(COUNTIF(W1909:W1919,"Met"))=0</f>
        <v>1</v>
      </c>
      <c r="T1921" s="99" t="b">
        <f>AND(NOT(S1921),W1921=TRUE)</f>
        <v>0</v>
      </c>
      <c r="U1921" s="99"/>
      <c r="V1921" s="99"/>
      <c r="W1921" s="100"/>
      <c r="X1921" s="652"/>
      <c r="Y1921" s="654" t="str">
        <f>IF(LEN('Ch9'!X55)=0,"None",'Ch9'!X55)</f>
        <v>None</v>
      </c>
      <c r="Z1921" s="1595"/>
      <c r="AA1921" s="1551" t="str">
        <f>IF(LEN('Photo Review'!I1920)&gt;0,'Photo Review'!I1920,"")</f>
        <v/>
      </c>
      <c r="AB1921" s="648"/>
      <c r="AC1921" s="970" t="b">
        <f>OR(AD1921:AE1921)</f>
        <v>0</v>
      </c>
      <c r="AD1921" s="970" t="b">
        <f>T1921</f>
        <v>0</v>
      </c>
      <c r="AE1921" s="970"/>
      <c r="AF1921" s="784"/>
      <c r="AG1921" s="648"/>
      <c r="AH1921" s="648"/>
      <c r="AI1921" s="648"/>
      <c r="AJ1921" s="648"/>
      <c r="AK1921" s="648"/>
      <c r="AL1921" s="254" t="str">
        <f>SUBSTITUTE(SUBSTITUTE(SUBSTITUTE("vpa"&amp;$B1921&amp;$C1921&amp;$D1921&amp;$E1921,".","_"),"(","_"),")","")</f>
        <v>vpa901_2_2</v>
      </c>
      <c r="AM1921" s="254">
        <f>M1921</f>
        <v>6</v>
      </c>
      <c r="AN1921" s="254" t="str">
        <f>SUBSTITUTE(SUBSTITUTE(SUBSTITUTE("vpc"&amp;$B1921&amp;$C1921&amp;$D1921&amp;$E1921,".","_"),"(","_"),")","")</f>
        <v>vpc901_2_2</v>
      </c>
      <c r="AO1921" s="254">
        <f>O1921</f>
        <v>0</v>
      </c>
      <c r="AP1921" s="254" t="str">
        <f>SUBSTITUTE(SUBSTITUTE(SUBSTITUTE("vch"&amp;$B1921&amp;$C1921&amp;$D1921&amp;$E1921,".","_"),"(","_"),")","")</f>
        <v>vch901_2_2</v>
      </c>
      <c r="AQ1921" s="254" t="str">
        <f>IF(LEN(W1921)=0,"",W1921)</f>
        <v/>
      </c>
      <c r="AR1921" s="254" t="str">
        <f>SUBSTITUTE(SUBSTITUTE(SUBSTITUTE("vnt"&amp;$B1921&amp;$C1921&amp;$D1921&amp;$E1921,".","_"),"(","_"),")","")</f>
        <v>vnt901_2_2</v>
      </c>
      <c r="AS1921" s="254" t="str">
        <f>IF(LEN(X1921)=0,"",X1921)</f>
        <v/>
      </c>
      <c r="AT1921" s="648"/>
      <c r="AU1921" s="648"/>
      <c r="AV1921" s="648"/>
      <c r="AW1921" s="648"/>
      <c r="AX1921" s="663" t="str">
        <f>'Overview (Verification)'!A54</f>
        <v>Special Design Features:</v>
      </c>
      <c r="AY1921" s="752"/>
      <c r="AZ1921" s="648"/>
      <c r="BA1921" s="648"/>
      <c r="BB1921" s="648"/>
      <c r="BC1921" s="648"/>
      <c r="BD1921" s="648"/>
      <c r="BE1921" s="648"/>
      <c r="BF1921" s="648"/>
      <c r="BG1921" s="648"/>
      <c r="BH1921" s="648"/>
    </row>
    <row r="1922" spans="1:60" ht="15.75" thickTop="1" x14ac:dyDescent="0.25">
      <c r="A1922" s="2371">
        <v>9</v>
      </c>
      <c r="B1922" s="2385">
        <v>901.3</v>
      </c>
      <c r="C1922" s="2374"/>
      <c r="D1922" s="2374"/>
      <c r="E1922" s="2374"/>
      <c r="F1922" s="2374"/>
      <c r="G1922" s="2373" t="s">
        <v>3974</v>
      </c>
      <c r="H1922" s="2371" t="s">
        <v>3971</v>
      </c>
      <c r="I1922" s="64">
        <v>901.3</v>
      </c>
      <c r="J1922" s="4"/>
      <c r="K1922" s="4"/>
      <c r="L1922" s="1180" t="s">
        <v>3174</v>
      </c>
      <c r="M1922" s="1014"/>
      <c r="N1922" s="1042"/>
      <c r="O1922" s="1042"/>
      <c r="P1922" s="648"/>
      <c r="Q1922" s="648"/>
      <c r="R1922" s="648"/>
      <c r="S1922" s="648"/>
      <c r="T1922" s="648"/>
      <c r="U1922" s="648"/>
      <c r="V1922" s="648"/>
      <c r="W1922" s="648"/>
      <c r="X1922" s="648"/>
      <c r="Y1922" s="648"/>
      <c r="AA1922" s="1551" t="str">
        <f>IF(LEN('Photo Review'!I1921)&gt;0,'Photo Review'!I1921,"")</f>
        <v/>
      </c>
      <c r="AB1922" s="648"/>
      <c r="AC1922" s="970"/>
      <c r="AD1922" s="970"/>
      <c r="AE1922" s="970"/>
      <c r="AF1922" s="648"/>
      <c r="AG1922" s="648"/>
      <c r="AH1922" s="648"/>
      <c r="AI1922" s="648"/>
      <c r="AJ1922" s="648"/>
      <c r="AK1922" s="648"/>
      <c r="AL1922" s="1336"/>
      <c r="AM1922" s="1336"/>
      <c r="AN1922" s="1336"/>
      <c r="AO1922" s="1336"/>
      <c r="AP1922" s="1336"/>
      <c r="AQ1922" s="1336"/>
      <c r="AR1922" s="1336"/>
      <c r="AS1922" s="1336"/>
      <c r="AT1922" s="648"/>
      <c r="AU1922" s="648"/>
      <c r="AV1922" s="648"/>
      <c r="AW1922" s="648"/>
      <c r="AX1922" s="663" t="str">
        <f>'Overview (Verification)'!A55</f>
        <v>Passive Solar:</v>
      </c>
      <c r="AY1922" s="752">
        <f>IF(LEN('Overview (Verification)'!P55)=0,0,'Overview (Verification)'!P55)</f>
        <v>0</v>
      </c>
      <c r="AZ1922" s="648"/>
      <c r="BA1922" s="648"/>
      <c r="BB1922" s="648"/>
      <c r="BC1922" s="648"/>
      <c r="BD1922" s="648"/>
      <c r="BE1922" s="648"/>
      <c r="BF1922" s="648"/>
      <c r="BG1922" s="648"/>
      <c r="BH1922" s="648"/>
    </row>
    <row r="1923" spans="1:60" x14ac:dyDescent="0.25">
      <c r="A1923" s="2371">
        <v>9</v>
      </c>
      <c r="B1923" s="2385">
        <v>901.3</v>
      </c>
      <c r="C1923" s="2374" t="s">
        <v>256</v>
      </c>
      <c r="D1923" s="2374"/>
      <c r="E1923" s="2374"/>
      <c r="F1923" s="2374"/>
      <c r="G1923" s="2373" t="s">
        <v>3974</v>
      </c>
      <c r="H1923" s="2375" t="s">
        <v>3971</v>
      </c>
      <c r="I1923" s="164"/>
      <c r="J1923" s="27" t="s">
        <v>256</v>
      </c>
      <c r="K1923" s="4"/>
      <c r="L1923" s="1170" t="s">
        <v>3175</v>
      </c>
      <c r="M1923" s="1014"/>
      <c r="N1923" s="1042"/>
      <c r="O1923" s="1042"/>
      <c r="P1923" s="648"/>
      <c r="Q1923" s="648"/>
      <c r="R1923" s="648"/>
      <c r="S1923" s="648"/>
      <c r="T1923" s="648"/>
      <c r="U1923" s="648"/>
      <c r="V1923" s="648"/>
      <c r="W1923" s="648"/>
      <c r="X1923" s="648"/>
      <c r="Y1923" s="648"/>
      <c r="AA1923" s="1526"/>
      <c r="AB1923" s="648"/>
      <c r="AC1923" s="970"/>
      <c r="AD1923" s="970"/>
      <c r="AE1923" s="970"/>
      <c r="AF1923" s="648"/>
      <c r="AG1923" s="648"/>
      <c r="AH1923" s="648"/>
      <c r="AI1923" s="648"/>
      <c r="AJ1923" s="648"/>
      <c r="AK1923" s="648"/>
      <c r="AL1923" s="1336"/>
      <c r="AM1923" s="1336"/>
      <c r="AN1923" s="1336"/>
      <c r="AO1923" s="1336"/>
      <c r="AP1923" s="1336"/>
      <c r="AQ1923" s="1336"/>
      <c r="AR1923" s="1336"/>
      <c r="AS1923" s="1336"/>
      <c r="AT1923" s="648"/>
      <c r="AU1923" s="648"/>
      <c r="AV1923" s="648"/>
      <c r="AW1923" s="648"/>
      <c r="AX1923" s="663" t="str">
        <f>'Overview (Verification)'!A56</f>
        <v>Mass Walls:</v>
      </c>
      <c r="AY1923" s="752">
        <f>IF(LEN('Overview (Verification)'!P56)=0,0,'Overview (Verification)'!P56)</f>
        <v>0</v>
      </c>
      <c r="AZ1923" s="648"/>
      <c r="BA1923" s="648"/>
      <c r="BB1923" s="648"/>
      <c r="BC1923" s="648"/>
      <c r="BD1923" s="648"/>
      <c r="BE1923" s="648"/>
      <c r="BF1923" s="648"/>
      <c r="BG1923" s="648"/>
      <c r="BH1923" s="648"/>
    </row>
    <row r="1924" spans="1:60" x14ac:dyDescent="0.25">
      <c r="A1924" s="2371">
        <v>9</v>
      </c>
      <c r="B1924" s="2385">
        <v>901.3</v>
      </c>
      <c r="C1924" s="2374" t="s">
        <v>256</v>
      </c>
      <c r="D1924" s="2383" t="s">
        <v>121</v>
      </c>
      <c r="E1924" s="2374"/>
      <c r="F1924" s="2374" t="s">
        <v>4893</v>
      </c>
      <c r="G1924" s="2373" t="s">
        <v>3974</v>
      </c>
      <c r="H1924" s="2401" t="s">
        <v>3973</v>
      </c>
      <c r="I1924" s="164"/>
      <c r="J1924" s="4"/>
      <c r="K1924" s="183" t="s">
        <v>121</v>
      </c>
      <c r="L1924" s="1754" t="s">
        <v>3176</v>
      </c>
      <c r="M1924" s="1022" t="str">
        <f>IF(R1924,"Mandatory","N/A")</f>
        <v>Mandatory</v>
      </c>
      <c r="N1924" s="1927">
        <f>'Ch9'!O58</f>
        <v>0</v>
      </c>
      <c r="O1924" s="1927">
        <f>M1925*S1924*(W1924="Met")</f>
        <v>0</v>
      </c>
      <c r="P1924" s="1346" t="b">
        <v>0</v>
      </c>
      <c r="Q1924" s="1346" t="b">
        <v>1</v>
      </c>
      <c r="R1924" s="648" t="b">
        <f>S1924</f>
        <v>1</v>
      </c>
      <c r="S1924" s="648" t="b">
        <f>NOT(OR(W1934,W1926="N/A"))</f>
        <v>1</v>
      </c>
      <c r="T1924" s="94" t="b">
        <f>AND(NOT(S1924),LEN(W1924)&gt;"Met")</f>
        <v>0</v>
      </c>
      <c r="U1924" s="94" t="str">
        <f>SUBSTITUTE(SUBSTITUTE(SUBSTITUTE("dd"&amp;B1924&amp;C1924&amp;D1924&amp;E1924&amp;F1924,".","_"),"(","_"),")","")</f>
        <v>dd901_3_1_a_m</v>
      </c>
      <c r="V1924" s="648"/>
      <c r="W1924" s="12"/>
      <c r="X1924" s="1757"/>
      <c r="Y1924" s="2077" t="str">
        <f>IF(LEN('Ch9'!X58)=0,"None",'Ch9'!X58)</f>
        <v>None</v>
      </c>
      <c r="Z1924" s="2083"/>
      <c r="AA1924" s="1526"/>
      <c r="AB1924" s="648"/>
      <c r="AC1924" s="970" t="b">
        <f>OR(AD1924:AE1924)</f>
        <v>1</v>
      </c>
      <c r="AD1924" s="970" t="b">
        <f>T1924</f>
        <v>0</v>
      </c>
      <c r="AE1924" s="970" t="b">
        <f>AND(R1924,OR(W1924="Not Met",W1924=""))</f>
        <v>1</v>
      </c>
      <c r="AF1924" s="784"/>
      <c r="AG1924" s="648"/>
      <c r="AH1924" s="648"/>
      <c r="AI1924" s="648"/>
      <c r="AJ1924" s="648"/>
      <c r="AK1924" s="648"/>
      <c r="AL1924" s="36" t="str">
        <f>SUBSTITUTE(SUBSTITUTE(SUBSTITUTE("vpa"&amp;$B1924&amp;$C1924&amp;$D1924&amp;$E1924&amp;$F1924,".","_"),"(","_"),")","")</f>
        <v>vpa901_3_1_a_m</v>
      </c>
      <c r="AM1924" s="254" t="str">
        <f>M1924</f>
        <v>Mandatory</v>
      </c>
      <c r="AN1924" s="254" t="str">
        <f>SUBSTITUTE(SUBSTITUTE(SUBSTITUTE("vpc"&amp;$B1924&amp;$C1924&amp;$D1924&amp;$E1924,".","_"),"(","_"),")","")</f>
        <v>vpc901_3_1_a</v>
      </c>
      <c r="AO1924" s="254">
        <f>O1924</f>
        <v>0</v>
      </c>
      <c r="AP1924" s="254" t="str">
        <f>SUBSTITUTE(SUBSTITUTE(SUBSTITUTE("vch"&amp;$B1924&amp;$C1924&amp;$D1924&amp;$E1924,".","_"),"(","_"),")","")</f>
        <v>vch901_3_1_a</v>
      </c>
      <c r="AQ1924" s="254" t="str">
        <f>IF(LEN(W1924)=0,"",W1924)</f>
        <v/>
      </c>
      <c r="AR1924" s="254" t="str">
        <f>SUBSTITUTE(SUBSTITUTE(SUBSTITUTE("vnt"&amp;$B1924&amp;$C1924&amp;$D1924&amp;$E1924,".","_"),"(","_"),")","")</f>
        <v>vnt901_3_1_a</v>
      </c>
      <c r="AS1924" s="254" t="str">
        <f>IF(LEN(X1924)=0,"",X1924)</f>
        <v/>
      </c>
      <c r="AT1924" s="648"/>
      <c r="AU1924" s="648"/>
      <c r="AV1924" s="648"/>
      <c r="AW1924" s="648"/>
      <c r="AX1924" s="663" t="str">
        <f>'Overview (Verification)'!A57</f>
        <v>Radiant/Hydronic:</v>
      </c>
      <c r="AY1924" s="752">
        <f>IF(LEN('Overview (Verification)'!P57)=0,0,'Overview (Verification)'!P57)</f>
        <v>0</v>
      </c>
      <c r="AZ1924" s="648"/>
      <c r="BA1924" s="648"/>
      <c r="BB1924" s="648"/>
      <c r="BC1924" s="648"/>
      <c r="BD1924" s="648"/>
      <c r="BE1924" s="648"/>
      <c r="BF1924" s="648"/>
      <c r="BG1924" s="648"/>
      <c r="BH1924" s="648"/>
    </row>
    <row r="1925" spans="1:60" x14ac:dyDescent="0.25">
      <c r="A1925" s="2371">
        <v>9</v>
      </c>
      <c r="B1925" s="2385">
        <v>901.3</v>
      </c>
      <c r="C1925" s="2374" t="s">
        <v>256</v>
      </c>
      <c r="D1925" s="2383" t="s">
        <v>121</v>
      </c>
      <c r="E1925" s="2374"/>
      <c r="F1925" s="2383"/>
      <c r="G1925" s="2373" t="s">
        <v>3974</v>
      </c>
      <c r="H1925" s="2401" t="s">
        <v>3973</v>
      </c>
      <c r="I1925" s="164"/>
      <c r="J1925" s="4"/>
      <c r="K1925" s="206"/>
      <c r="L1925" s="1755"/>
      <c r="M1925" s="1015">
        <v>2</v>
      </c>
      <c r="N1925" s="2076"/>
      <c r="O1925" s="2076"/>
      <c r="P1925" s="1346"/>
      <c r="Q1925" s="1346"/>
      <c r="R1925" s="648"/>
      <c r="S1925" s="648"/>
      <c r="T1925" s="648"/>
      <c r="U1925" s="648"/>
      <c r="V1925" s="648"/>
      <c r="W1925" s="648"/>
      <c r="X1925" s="1757"/>
      <c r="Y1925" s="2077"/>
      <c r="Z1925" s="2083"/>
      <c r="AA1925" s="1526"/>
      <c r="AB1925" s="648"/>
      <c r="AC1925" s="970"/>
      <c r="AD1925" s="970"/>
      <c r="AE1925" s="970"/>
      <c r="AF1925" s="648"/>
      <c r="AG1925" s="648"/>
      <c r="AH1925" s="648"/>
      <c r="AI1925" s="648"/>
      <c r="AJ1925" s="648"/>
      <c r="AK1925" s="648"/>
      <c r="AL1925" s="254" t="str">
        <f>SUBSTITUTE(SUBSTITUTE(SUBSTITUTE("vpa"&amp;$B1925&amp;$C1925&amp;$D1925&amp;$E1925,".","_"),"(","_"),")","")</f>
        <v>vpa901_3_1_a</v>
      </c>
      <c r="AM1925" s="254">
        <f>M1925</f>
        <v>2</v>
      </c>
      <c r="AN1925" s="1336"/>
      <c r="AO1925" s="1336"/>
      <c r="AP1925" s="1336"/>
      <c r="AQ1925" s="1336"/>
      <c r="AR1925" s="1336"/>
      <c r="AS1925" s="1336"/>
      <c r="AT1925" s="648"/>
      <c r="AU1925" s="648"/>
      <c r="AV1925" s="648"/>
      <c r="AW1925" s="648"/>
      <c r="AX1925" s="663" t="str">
        <f>'Overview (Verification)'!A58</f>
        <v>Tankless Water Heater:</v>
      </c>
      <c r="AY1925" s="752">
        <f>IF(LEN('Overview (Verification)'!P58)=0,0,'Overview (Verification)'!P58)</f>
        <v>0</v>
      </c>
      <c r="AZ1925" s="648"/>
      <c r="BA1925" s="648"/>
      <c r="BB1925" s="648"/>
      <c r="BC1925" s="648"/>
      <c r="BD1925" s="648"/>
      <c r="BE1925" s="648"/>
      <c r="BF1925" s="648"/>
      <c r="BG1925" s="648"/>
      <c r="BH1925" s="648"/>
    </row>
    <row r="1926" spans="1:60" x14ac:dyDescent="0.25">
      <c r="A1926" s="2371">
        <v>9</v>
      </c>
      <c r="B1926" s="2385">
        <v>901.3</v>
      </c>
      <c r="C1926" s="2374" t="s">
        <v>256</v>
      </c>
      <c r="D1926" s="2383" t="s">
        <v>122</v>
      </c>
      <c r="E1926" s="2374"/>
      <c r="F1926" s="2374" t="s">
        <v>4893</v>
      </c>
      <c r="G1926" s="2373" t="s">
        <v>3974</v>
      </c>
      <c r="H1926" s="2401" t="s">
        <v>3972</v>
      </c>
      <c r="I1926" s="164"/>
      <c r="J1926" s="4"/>
      <c r="K1926" s="183" t="s">
        <v>122</v>
      </c>
      <c r="L1926" s="1754" t="s">
        <v>3177</v>
      </c>
      <c r="M1926" s="1022" t="str">
        <f>IF(R1926,"Mandatory","N/A")</f>
        <v>Mandatory</v>
      </c>
      <c r="N1926" s="1927">
        <f>'Ch9'!O60</f>
        <v>0</v>
      </c>
      <c r="O1926" s="1927">
        <f>M1927*S1926*(W1926="Met")</f>
        <v>0</v>
      </c>
      <c r="P1926" s="1346" t="b">
        <v>1</v>
      </c>
      <c r="Q1926" s="1346" t="b">
        <v>0</v>
      </c>
      <c r="R1926" s="648" t="b">
        <f>S1926</f>
        <v>1</v>
      </c>
      <c r="S1926" s="648" t="b">
        <f>NOT(OR(W1934,W1924="N/A"))</f>
        <v>1</v>
      </c>
      <c r="T1926" s="94" t="b">
        <f>AND(NOT(S1926),LEN(W1926)&gt;"Met")</f>
        <v>0</v>
      </c>
      <c r="U1926" s="94" t="str">
        <f>SUBSTITUTE(SUBSTITUTE(SUBSTITUTE("dd"&amp;B1926&amp;C1926&amp;D1926&amp;E1926&amp;F1926,".","_"),"(","_"),")","")</f>
        <v>dd901_3_1_b_m</v>
      </c>
      <c r="V1926" s="648"/>
      <c r="W1926" s="12"/>
      <c r="X1926" s="1757"/>
      <c r="Y1926" s="2077" t="str">
        <f>IF(LEN('Ch9'!X60)=0,"None",'Ch9'!X60)</f>
        <v>None</v>
      </c>
      <c r="Z1926" s="2083"/>
      <c r="AA1926" s="1526"/>
      <c r="AB1926" s="648"/>
      <c r="AC1926" s="970" t="b">
        <f>OR(AD1926:AE1926)</f>
        <v>1</v>
      </c>
      <c r="AD1926" s="970" t="b">
        <f>T1926</f>
        <v>0</v>
      </c>
      <c r="AE1926" s="970" t="b">
        <f>AND(R1926,OR(W1926="Not Met",W1926=""))</f>
        <v>1</v>
      </c>
      <c r="AF1926" s="784"/>
      <c r="AG1926" s="648"/>
      <c r="AH1926" s="648"/>
      <c r="AI1926" s="648"/>
      <c r="AJ1926" s="648"/>
      <c r="AK1926" s="648"/>
      <c r="AL1926" s="36" t="str">
        <f>SUBSTITUTE(SUBSTITUTE(SUBSTITUTE("vpa"&amp;$B1926&amp;$C1926&amp;$D1926&amp;$E1926&amp;$F1926,".","_"),"(","_"),")","")</f>
        <v>vpa901_3_1_b_m</v>
      </c>
      <c r="AM1926" s="254" t="str">
        <f>M1926</f>
        <v>Mandatory</v>
      </c>
      <c r="AN1926" s="254" t="str">
        <f>SUBSTITUTE(SUBSTITUTE(SUBSTITUTE("vpc"&amp;$B1926&amp;$C1926&amp;$D1926&amp;$E1926,".","_"),"(","_"),")","")</f>
        <v>vpc901_3_1_b</v>
      </c>
      <c r="AO1926" s="254">
        <f>O1926</f>
        <v>0</v>
      </c>
      <c r="AP1926" s="254" t="str">
        <f>SUBSTITUTE(SUBSTITUTE(SUBSTITUTE("vch"&amp;$B1926&amp;$C1926&amp;$D1926&amp;$E1926,".","_"),"(","_"),")","")</f>
        <v>vch901_3_1_b</v>
      </c>
      <c r="AQ1926" s="254" t="str">
        <f>IF(LEN(W1926)=0,"",W1926)</f>
        <v/>
      </c>
      <c r="AR1926" s="254" t="str">
        <f>SUBSTITUTE(SUBSTITUTE(SUBSTITUTE("vnt"&amp;$B1926&amp;$C1926&amp;$D1926&amp;$E1926,".","_"),"(","_"),")","")</f>
        <v>vnt901_3_1_b</v>
      </c>
      <c r="AS1926" s="254" t="str">
        <f>IF(LEN(X1926)=0,"",X1926)</f>
        <v/>
      </c>
      <c r="AT1926" s="648"/>
      <c r="AU1926" s="648"/>
      <c r="AV1926" s="648"/>
      <c r="AW1926" s="648"/>
      <c r="AX1926" s="663" t="str">
        <f>'Overview (Verification)'!A59</f>
        <v>Composting Toilet:</v>
      </c>
      <c r="AY1926" s="752">
        <f>IF(LEN('Overview (Verification)'!P59)=0,0,'Overview (Verification)'!P59)</f>
        <v>0</v>
      </c>
      <c r="AZ1926" s="648"/>
      <c r="BA1926" s="648"/>
      <c r="BB1926" s="648"/>
      <c r="BC1926" s="648"/>
      <c r="BD1926" s="648"/>
      <c r="BE1926" s="648"/>
      <c r="BF1926" s="648"/>
      <c r="BG1926" s="648"/>
      <c r="BH1926" s="648"/>
    </row>
    <row r="1927" spans="1:60" x14ac:dyDescent="0.25">
      <c r="A1927" s="2371">
        <v>9</v>
      </c>
      <c r="B1927" s="2385">
        <v>901.3</v>
      </c>
      <c r="C1927" s="2374" t="s">
        <v>256</v>
      </c>
      <c r="D1927" s="2383" t="s">
        <v>122</v>
      </c>
      <c r="E1927" s="2374"/>
      <c r="F1927" s="2383"/>
      <c r="G1927" s="2373" t="s">
        <v>3974</v>
      </c>
      <c r="H1927" s="2401" t="s">
        <v>3972</v>
      </c>
      <c r="I1927" s="164"/>
      <c r="J1927" s="4"/>
      <c r="K1927" s="210"/>
      <c r="L1927" s="1755"/>
      <c r="M1927" s="1015">
        <v>2</v>
      </c>
      <c r="N1927" s="2076"/>
      <c r="O1927" s="2076"/>
      <c r="P1927" s="1346"/>
      <c r="Q1927" s="1346"/>
      <c r="R1927" s="648"/>
      <c r="S1927" s="648"/>
      <c r="T1927" s="648"/>
      <c r="U1927" s="648"/>
      <c r="V1927" s="648"/>
      <c r="W1927" s="648"/>
      <c r="X1927" s="1757"/>
      <c r="Y1927" s="2077"/>
      <c r="Z1927" s="2083"/>
      <c r="AA1927" s="1526"/>
      <c r="AB1927" s="648"/>
      <c r="AC1927" s="970"/>
      <c r="AD1927" s="970"/>
      <c r="AE1927" s="970"/>
      <c r="AF1927" s="648"/>
      <c r="AG1927" s="648"/>
      <c r="AH1927" s="648"/>
      <c r="AI1927" s="648"/>
      <c r="AJ1927" s="648"/>
      <c r="AK1927" s="648"/>
      <c r="AL1927" s="254" t="str">
        <f>SUBSTITUTE(SUBSTITUTE(SUBSTITUTE("vpa"&amp;$B1927&amp;$C1927&amp;$D1927&amp;$E1927,".","_"),"(","_"),")","")</f>
        <v>vpa901_3_1_b</v>
      </c>
      <c r="AM1927" s="254">
        <f>M1927</f>
        <v>2</v>
      </c>
      <c r="AN1927" s="1336"/>
      <c r="AO1927" s="1336"/>
      <c r="AP1927" s="1336"/>
      <c r="AQ1927" s="1336"/>
      <c r="AR1927" s="1336"/>
      <c r="AS1927" s="1336"/>
      <c r="AT1927" s="648"/>
      <c r="AU1927" s="648"/>
      <c r="AV1927" s="648"/>
      <c r="AW1927" s="648"/>
      <c r="AX1927" s="649"/>
      <c r="AY1927" s="752"/>
      <c r="AZ1927" s="648"/>
      <c r="BA1927" s="648"/>
      <c r="BB1927" s="648"/>
      <c r="BC1927" s="648"/>
      <c r="BD1927" s="648"/>
      <c r="BE1927" s="648"/>
      <c r="BF1927" s="648"/>
      <c r="BG1927" s="648"/>
      <c r="BH1927" s="648"/>
    </row>
    <row r="1928" spans="1:60" x14ac:dyDescent="0.25">
      <c r="A1928" s="2371">
        <v>9</v>
      </c>
      <c r="B1928" s="2385">
        <v>901.3</v>
      </c>
      <c r="C1928" s="2374" t="s">
        <v>256</v>
      </c>
      <c r="D1928" s="2383" t="s">
        <v>123</v>
      </c>
      <c r="E1928" s="2374"/>
      <c r="F1928" s="2383"/>
      <c r="G1928" s="2373" t="str">
        <f ca="1">IF(N1928&gt;0,"P","")</f>
        <v/>
      </c>
      <c r="H1928" s="2401" t="s">
        <v>3973</v>
      </c>
      <c r="I1928" s="164"/>
      <c r="J1928" s="129"/>
      <c r="K1928" s="183" t="s">
        <v>123</v>
      </c>
      <c r="L1928" s="1754" t="s">
        <v>5591</v>
      </c>
      <c r="M1928" s="1758">
        <v>8</v>
      </c>
      <c r="N1928" s="1927">
        <f ca="1">'Ch9'!O62</f>
        <v>0</v>
      </c>
      <c r="O1928" s="1927">
        <f ca="1">M1928*S1928*W1928</f>
        <v>0</v>
      </c>
      <c r="P1928" s="1346" t="b">
        <v>0</v>
      </c>
      <c r="Q1928" s="1346" t="b">
        <v>1</v>
      </c>
      <c r="R1928" s="648" t="b">
        <v>0</v>
      </c>
      <c r="S1928" s="648" t="b">
        <f ca="1">AND(NOT(W1934),AY1885=INDEX(INDIRECT("ddSingleOrMulti"),1))</f>
        <v>1</v>
      </c>
      <c r="T1928" s="94" t="b">
        <f ca="1">AND(NOT(S1928),W1928=TRUE)</f>
        <v>0</v>
      </c>
      <c r="U1928" s="648"/>
      <c r="V1928" s="648"/>
      <c r="W1928" s="25"/>
      <c r="X1928" s="1757"/>
      <c r="Y1928" s="2077" t="str">
        <f>IF(LEN('Ch9'!X62)=0,"None",'Ch9'!X62)</f>
        <v>None</v>
      </c>
      <c r="Z1928" s="2083"/>
      <c r="AA1928" s="1526"/>
      <c r="AB1928" s="648"/>
      <c r="AC1928" s="970" t="b">
        <f ca="1">OR(AD1928:AE1928)</f>
        <v>0</v>
      </c>
      <c r="AD1928" s="970" t="b">
        <f ca="1">T1928</f>
        <v>0</v>
      </c>
      <c r="AE1928" s="970"/>
      <c r="AF1928" s="784"/>
      <c r="AG1928" s="648"/>
      <c r="AH1928" s="648"/>
      <c r="AI1928" s="648"/>
      <c r="AJ1928" s="648"/>
      <c r="AK1928" s="648"/>
      <c r="AL1928" s="254" t="str">
        <f>SUBSTITUTE(SUBSTITUTE(SUBSTITUTE("vpa"&amp;$B1928&amp;$C1928&amp;$D1928&amp;$E1928,".","_"),"(","_"),")","")</f>
        <v>vpa901_3_1_c</v>
      </c>
      <c r="AM1928" s="254">
        <f>M1928</f>
        <v>8</v>
      </c>
      <c r="AN1928" s="254" t="str">
        <f>SUBSTITUTE(SUBSTITUTE(SUBSTITUTE("vpc"&amp;$B1928&amp;$C1928&amp;$D1928&amp;$E1928,".","_"),"(","_"),")","")</f>
        <v>vpc901_3_1_c</v>
      </c>
      <c r="AO1928" s="254">
        <f ca="1">O1928</f>
        <v>0</v>
      </c>
      <c r="AP1928" s="254" t="str">
        <f>SUBSTITUTE(SUBSTITUTE(SUBSTITUTE("vch"&amp;$B1928&amp;$C1928&amp;$D1928&amp;$E1928,".","_"),"(","_"),")","")</f>
        <v>vch901_3_1_c</v>
      </c>
      <c r="AQ1928" s="254" t="str">
        <f>IF(LEN(W1928)=0,"",W1928)</f>
        <v/>
      </c>
      <c r="AR1928" s="254" t="str">
        <f>SUBSTITUTE(SUBSTITUTE(SUBSTITUTE("vnt"&amp;$B1928&amp;$C1928&amp;$D1928&amp;$E1928,".","_"),"(","_"),")","")</f>
        <v>vnt901_3_1_c</v>
      </c>
      <c r="AS1928" s="254" t="str">
        <f>IF(LEN(X1928)=0,"",X1928)</f>
        <v/>
      </c>
      <c r="AT1928" s="648"/>
      <c r="AU1928" s="648"/>
      <c r="AV1928" s="648"/>
      <c r="AW1928" s="648"/>
      <c r="AX1928" s="663" t="str">
        <f>'Overview (Verification)'!A61</f>
        <v>Local Energy Code:</v>
      </c>
      <c r="AY1928" s="752">
        <f>IF(LEN('Overview (Verification)'!P61)=0,0,'Overview (Verification)'!P61)</f>
        <v>0</v>
      </c>
      <c r="AZ1928" s="648"/>
      <c r="BA1928" s="648"/>
      <c r="BB1928" s="648"/>
      <c r="BC1928" s="648"/>
      <c r="BD1928" s="648"/>
      <c r="BE1928" s="648"/>
      <c r="BF1928" s="648"/>
      <c r="BG1928" s="648"/>
      <c r="BH1928" s="648"/>
    </row>
    <row r="1929" spans="1:60" x14ac:dyDescent="0.25">
      <c r="A1929" s="2371">
        <v>9</v>
      </c>
      <c r="B1929" s="2385">
        <v>901.3</v>
      </c>
      <c r="C1929" s="2374" t="s">
        <v>256</v>
      </c>
      <c r="D1929" s="2383" t="s">
        <v>123</v>
      </c>
      <c r="E1929" s="2374"/>
      <c r="F1929" s="2383"/>
      <c r="G1929" s="2373" t="str">
        <f ca="1">G1928</f>
        <v/>
      </c>
      <c r="H1929" s="2401" t="s">
        <v>3973</v>
      </c>
      <c r="I1929" s="164"/>
      <c r="J1929" s="129"/>
      <c r="K1929" s="129"/>
      <c r="L1929" s="1754"/>
      <c r="M1929" s="1758"/>
      <c r="N1929" s="1927"/>
      <c r="O1929" s="1927"/>
      <c r="P1929" s="648"/>
      <c r="Q1929" s="648"/>
      <c r="R1929" s="648"/>
      <c r="S1929" s="648"/>
      <c r="T1929" s="648"/>
      <c r="U1929" s="648"/>
      <c r="V1929" s="648"/>
      <c r="W1929" s="648"/>
      <c r="X1929" s="1757"/>
      <c r="Y1929" s="2077"/>
      <c r="Z1929" s="2083"/>
      <c r="AA1929" s="1526"/>
      <c r="AB1929" s="648"/>
      <c r="AC1929" s="970"/>
      <c r="AD1929" s="970"/>
      <c r="AE1929" s="970"/>
      <c r="AF1929" s="648"/>
      <c r="AG1929" s="648"/>
      <c r="AH1929" s="648"/>
      <c r="AI1929" s="648"/>
      <c r="AJ1929" s="648"/>
      <c r="AK1929" s="648"/>
      <c r="AL1929" s="1336"/>
      <c r="AM1929" s="1336"/>
      <c r="AN1929" s="1336"/>
      <c r="AO1929" s="1336"/>
      <c r="AP1929" s="1336"/>
      <c r="AQ1929" s="1336"/>
      <c r="AR1929" s="1336"/>
      <c r="AS1929" s="1336"/>
      <c r="AT1929" s="648"/>
      <c r="AU1929" s="648"/>
      <c r="AV1929" s="648"/>
      <c r="AW1929" s="648"/>
      <c r="AX1929" s="663" t="str">
        <f>'Overview (Verification)'!A62</f>
        <v>Local Building Code:</v>
      </c>
      <c r="AY1929" s="752">
        <f>IF(LEN('Overview (Verification)'!P62)=0,0,'Overview (Verification)'!P62)</f>
        <v>0</v>
      </c>
      <c r="AZ1929" s="648"/>
      <c r="BA1929" s="648"/>
      <c r="BB1929" s="648"/>
      <c r="BC1929" s="648"/>
      <c r="BD1929" s="648"/>
      <c r="BE1929" s="648"/>
      <c r="BF1929" s="648"/>
      <c r="BG1929" s="648"/>
      <c r="BH1929" s="648"/>
    </row>
    <row r="1930" spans="1:60" x14ac:dyDescent="0.25">
      <c r="A1930" s="2371">
        <v>9</v>
      </c>
      <c r="B1930" s="2385">
        <v>901.3</v>
      </c>
      <c r="C1930" s="2374" t="s">
        <v>256</v>
      </c>
      <c r="D1930" s="2383" t="s">
        <v>123</v>
      </c>
      <c r="E1930" s="2374"/>
      <c r="F1930" s="2383"/>
      <c r="G1930" s="2373" t="str">
        <f ca="1">G1929</f>
        <v/>
      </c>
      <c r="H1930" s="2401" t="s">
        <v>3973</v>
      </c>
      <c r="I1930" s="164"/>
      <c r="J1930" s="129"/>
      <c r="K1930" s="129"/>
      <c r="L1930" s="1754"/>
      <c r="M1930" s="1758"/>
      <c r="N1930" s="1927"/>
      <c r="O1930" s="1927"/>
      <c r="P1930" s="648"/>
      <c r="Q1930" s="648"/>
      <c r="R1930" s="648"/>
      <c r="S1930" s="648"/>
      <c r="T1930" s="648"/>
      <c r="U1930" s="648"/>
      <c r="V1930" s="648"/>
      <c r="W1930" s="648"/>
      <c r="X1930" s="1757"/>
      <c r="Y1930" s="2077"/>
      <c r="Z1930" s="2083"/>
      <c r="AA1930" s="1526"/>
      <c r="AB1930" s="648"/>
      <c r="AC1930" s="970"/>
      <c r="AD1930" s="970"/>
      <c r="AE1930" s="970"/>
      <c r="AF1930" s="648"/>
      <c r="AG1930" s="648"/>
      <c r="AH1930" s="648"/>
      <c r="AI1930" s="648"/>
      <c r="AJ1930" s="648"/>
      <c r="AK1930" s="648"/>
      <c r="AL1930" s="1336"/>
      <c r="AM1930" s="1336"/>
      <c r="AN1930" s="1336"/>
      <c r="AO1930" s="1336"/>
      <c r="AP1930" s="1336"/>
      <c r="AQ1930" s="1336"/>
      <c r="AR1930" s="1336"/>
      <c r="AS1930" s="1336"/>
      <c r="AT1930" s="648"/>
      <c r="AU1930" s="648"/>
      <c r="AV1930" s="648"/>
      <c r="AW1930" s="648"/>
      <c r="AX1930" s="648"/>
      <c r="AY1930" s="648"/>
      <c r="AZ1930" s="648"/>
      <c r="BA1930" s="648"/>
      <c r="BB1930" s="648"/>
      <c r="BC1930" s="648"/>
      <c r="BD1930" s="648"/>
      <c r="BE1930" s="648"/>
      <c r="BF1930" s="648"/>
      <c r="BG1930" s="648"/>
      <c r="BH1930" s="648"/>
    </row>
    <row r="1931" spans="1:60" x14ac:dyDescent="0.25">
      <c r="A1931" s="2371">
        <v>9</v>
      </c>
      <c r="B1931" s="2385">
        <v>901.3</v>
      </c>
      <c r="C1931" s="2374" t="s">
        <v>256</v>
      </c>
      <c r="D1931" s="2383" t="s">
        <v>123</v>
      </c>
      <c r="E1931" s="2374"/>
      <c r="F1931" s="2383"/>
      <c r="G1931" s="2373" t="str">
        <f ca="1">G1930</f>
        <v/>
      </c>
      <c r="H1931" s="2401" t="s">
        <v>3973</v>
      </c>
      <c r="I1931" s="164"/>
      <c r="J1931" s="129"/>
      <c r="K1931" s="129"/>
      <c r="L1931" s="1754"/>
      <c r="M1931" s="1758"/>
      <c r="N1931" s="1927"/>
      <c r="O1931" s="1927"/>
      <c r="P1931" s="648"/>
      <c r="Q1931" s="648"/>
      <c r="R1931" s="648"/>
      <c r="S1931" s="648"/>
      <c r="T1931" s="648"/>
      <c r="U1931" s="648"/>
      <c r="V1931" s="648"/>
      <c r="W1931" s="648"/>
      <c r="X1931" s="1757"/>
      <c r="Y1931" s="2077"/>
      <c r="Z1931" s="2083"/>
      <c r="AA1931" s="1526"/>
      <c r="AB1931" s="648"/>
      <c r="AC1931" s="970"/>
      <c r="AD1931" s="970"/>
      <c r="AE1931" s="970"/>
      <c r="AF1931" s="648"/>
      <c r="AG1931" s="648"/>
      <c r="AH1931" s="648"/>
      <c r="AI1931" s="648"/>
      <c r="AJ1931" s="648"/>
      <c r="AK1931" s="648"/>
      <c r="AL1931" s="1336"/>
      <c r="AM1931" s="1336"/>
      <c r="AN1931" s="1336"/>
      <c r="AO1931" s="1336"/>
      <c r="AP1931" s="1336"/>
      <c r="AQ1931" s="1336"/>
      <c r="AR1931" s="1336"/>
      <c r="AS1931" s="1336"/>
      <c r="AT1931" s="648"/>
      <c r="AU1931" s="648"/>
      <c r="AV1931" s="648"/>
      <c r="AW1931" s="648"/>
      <c r="AX1931" s="648"/>
      <c r="AY1931" s="648"/>
      <c r="AZ1931" s="648"/>
      <c r="BA1931" s="648"/>
      <c r="BB1931" s="648"/>
      <c r="BC1931" s="648"/>
      <c r="BD1931" s="648"/>
      <c r="BE1931" s="648"/>
      <c r="BF1931" s="648"/>
      <c r="BG1931" s="648"/>
      <c r="BH1931" s="648"/>
    </row>
    <row r="1932" spans="1:60" x14ac:dyDescent="0.25">
      <c r="A1932" s="2371">
        <v>9</v>
      </c>
      <c r="B1932" s="2385">
        <v>901.3</v>
      </c>
      <c r="C1932" s="2374" t="s">
        <v>256</v>
      </c>
      <c r="D1932" s="2383" t="s">
        <v>123</v>
      </c>
      <c r="E1932" s="2374"/>
      <c r="F1932" s="2383"/>
      <c r="G1932" s="2373" t="str">
        <f ca="1">G1931</f>
        <v/>
      </c>
      <c r="H1932" s="2401" t="s">
        <v>3973</v>
      </c>
      <c r="I1932" s="164"/>
      <c r="J1932" s="129"/>
      <c r="K1932" s="129"/>
      <c r="L1932" s="1754"/>
      <c r="M1932" s="1758"/>
      <c r="N1932" s="1927"/>
      <c r="O1932" s="1927"/>
      <c r="P1932" s="648"/>
      <c r="Q1932" s="648"/>
      <c r="R1932" s="648"/>
      <c r="S1932" s="648"/>
      <c r="T1932" s="648"/>
      <c r="U1932" s="648"/>
      <c r="V1932" s="648"/>
      <c r="W1932" s="648"/>
      <c r="X1932" s="1757"/>
      <c r="Y1932" s="2077"/>
      <c r="Z1932" s="2083"/>
      <c r="AA1932" s="1526"/>
      <c r="AB1932" s="648"/>
      <c r="AC1932" s="970"/>
      <c r="AD1932" s="970"/>
      <c r="AE1932" s="970"/>
      <c r="AF1932" s="648"/>
      <c r="AG1932" s="648"/>
      <c r="AH1932" s="648"/>
      <c r="AI1932" s="648"/>
      <c r="AJ1932" s="648"/>
      <c r="AK1932" s="648"/>
      <c r="AL1932" s="1336"/>
      <c r="AM1932" s="1336"/>
      <c r="AN1932" s="1336"/>
      <c r="AO1932" s="1336"/>
      <c r="AP1932" s="1336"/>
      <c r="AQ1932" s="1336"/>
      <c r="AR1932" s="1336"/>
      <c r="AS1932" s="1336"/>
      <c r="AT1932" s="648"/>
      <c r="AU1932" s="648"/>
      <c r="AV1932" s="648"/>
      <c r="AW1932" s="648"/>
      <c r="AX1932" s="648"/>
      <c r="AY1932" s="648"/>
      <c r="AZ1932" s="648"/>
      <c r="BA1932" s="648"/>
      <c r="BB1932" s="648"/>
      <c r="BC1932" s="648"/>
      <c r="BD1932" s="648"/>
      <c r="BE1932" s="648"/>
      <c r="BF1932" s="648"/>
      <c r="BG1932" s="648"/>
      <c r="BH1932" s="648"/>
    </row>
    <row r="1933" spans="1:60" x14ac:dyDescent="0.25">
      <c r="A1933" s="2371">
        <v>9</v>
      </c>
      <c r="B1933" s="2385">
        <v>901.3</v>
      </c>
      <c r="C1933" s="2374" t="s">
        <v>256</v>
      </c>
      <c r="D1933" s="2383" t="s">
        <v>123</v>
      </c>
      <c r="E1933" s="2374"/>
      <c r="F1933" s="2383"/>
      <c r="G1933" s="2373" t="str">
        <f ca="1">G1932</f>
        <v/>
      </c>
      <c r="H1933" s="2401" t="s">
        <v>3973</v>
      </c>
      <c r="I1933" s="164"/>
      <c r="J1933" s="210"/>
      <c r="K1933" s="210"/>
      <c r="L1933" s="1755"/>
      <c r="M1933" s="1759"/>
      <c r="N1933" s="2076"/>
      <c r="O1933" s="2076"/>
      <c r="P1933" s="648"/>
      <c r="Q1933" s="648"/>
      <c r="R1933" s="648"/>
      <c r="S1933" s="648"/>
      <c r="T1933" s="648"/>
      <c r="U1933" s="648"/>
      <c r="V1933" s="648"/>
      <c r="W1933" s="648"/>
      <c r="X1933" s="1757"/>
      <c r="Y1933" s="2077"/>
      <c r="Z1933" s="2083"/>
      <c r="AA1933" s="1526"/>
      <c r="AB1933" s="648"/>
      <c r="AC1933" s="970"/>
      <c r="AD1933" s="970"/>
      <c r="AE1933" s="970"/>
      <c r="AF1933" s="648"/>
      <c r="AG1933" s="648"/>
      <c r="AH1933" s="648"/>
      <c r="AI1933" s="648"/>
      <c r="AJ1933" s="648"/>
      <c r="AK1933" s="648"/>
      <c r="AL1933" s="1336"/>
      <c r="AM1933" s="1336"/>
      <c r="AN1933" s="1336"/>
      <c r="AO1933" s="1336"/>
      <c r="AP1933" s="1336"/>
      <c r="AQ1933" s="1336"/>
      <c r="AR1933" s="1336"/>
      <c r="AS1933" s="1336"/>
      <c r="AT1933" s="648"/>
      <c r="AU1933" s="648"/>
      <c r="AV1933" s="648"/>
      <c r="AW1933" s="648"/>
      <c r="AX1933" s="648"/>
      <c r="AY1933" s="648"/>
      <c r="AZ1933" s="648"/>
      <c r="BA1933" s="648"/>
      <c r="BB1933" s="648"/>
      <c r="BC1933" s="648"/>
      <c r="BD1933" s="648"/>
      <c r="BE1933" s="648"/>
      <c r="BF1933" s="648"/>
      <c r="BG1933" s="648"/>
      <c r="BH1933" s="648"/>
    </row>
    <row r="1934" spans="1:60" ht="15.75" customHeight="1" thickBot="1" x14ac:dyDescent="0.3">
      <c r="A1934" s="2371">
        <v>9</v>
      </c>
      <c r="B1934" s="2385">
        <v>901.3</v>
      </c>
      <c r="C1934" s="2374" t="s">
        <v>258</v>
      </c>
      <c r="D1934" s="2383"/>
      <c r="E1934" s="2374"/>
      <c r="F1934" s="2383"/>
      <c r="G1934" s="2373" t="str">
        <f>IF(N1934&gt;0,"P","")</f>
        <v/>
      </c>
      <c r="H1934" s="2386" t="s">
        <v>3971</v>
      </c>
      <c r="I1934" s="481"/>
      <c r="J1934" s="190" t="s">
        <v>258</v>
      </c>
      <c r="K1934" s="240"/>
      <c r="L1934" s="1171" t="s">
        <v>3178</v>
      </c>
      <c r="M1934" s="1011">
        <v>10</v>
      </c>
      <c r="N1934" s="1045">
        <f>'Ch9'!O68</f>
        <v>0</v>
      </c>
      <c r="O1934" s="1045">
        <f>M1934*S1934*W1934</f>
        <v>0</v>
      </c>
      <c r="P1934" s="94" t="b">
        <v>1</v>
      </c>
      <c r="Q1934" s="94" t="b">
        <v>1</v>
      </c>
      <c r="R1934" s="99" t="b">
        <v>0</v>
      </c>
      <c r="S1934" s="99" t="b">
        <f>AND(NOT(W1928),W1924&lt;&gt;"Met",W1926&lt;&gt;"Met")</f>
        <v>1</v>
      </c>
      <c r="T1934" s="99" t="b">
        <f>AND(NOT(S1934),W1934=TRUE)</f>
        <v>0</v>
      </c>
      <c r="U1934" s="99"/>
      <c r="V1934" s="99"/>
      <c r="W1934" s="100"/>
      <c r="X1934" s="651"/>
      <c r="Y1934" s="654" t="str">
        <f>IF(LEN('Ch9'!X68)=0,"None",'Ch9'!X68)</f>
        <v>None</v>
      </c>
      <c r="Z1934" s="1595"/>
      <c r="AA1934" s="1551" t="str">
        <f>IF(LEN('Photo Review'!I1933)&gt;0,'Photo Review'!I1933,"")</f>
        <v/>
      </c>
      <c r="AB1934" s="648"/>
      <c r="AC1934" s="970" t="b">
        <f>OR(AD1934:AE1934)</f>
        <v>0</v>
      </c>
      <c r="AD1934" s="970" t="b">
        <f>T1934</f>
        <v>0</v>
      </c>
      <c r="AE1934" s="970" t="b">
        <f>AND(R1934,NOT(W1934))</f>
        <v>0</v>
      </c>
      <c r="AF1934" s="784"/>
      <c r="AG1934" s="648"/>
      <c r="AH1934" s="648"/>
      <c r="AI1934" s="648"/>
      <c r="AJ1934" s="648"/>
      <c r="AK1934" s="648"/>
      <c r="AL1934" s="254" t="str">
        <f>SUBSTITUTE(SUBSTITUTE(SUBSTITUTE("vpa"&amp;$B1934&amp;$C1934&amp;$D1934&amp;$E1934,".","_"),"(","_"),")","")</f>
        <v>vpa901_3_2</v>
      </c>
      <c r="AM1934" s="254">
        <f>M1934</f>
        <v>10</v>
      </c>
      <c r="AN1934" s="254" t="str">
        <f>SUBSTITUTE(SUBSTITUTE(SUBSTITUTE("vpc"&amp;$B1934&amp;$C1934&amp;$D1934&amp;$E1934,".","_"),"(","_"),")","")</f>
        <v>vpc901_3_2</v>
      </c>
      <c r="AO1934" s="254">
        <f>O1934</f>
        <v>0</v>
      </c>
      <c r="AP1934" s="254" t="str">
        <f>SUBSTITUTE(SUBSTITUTE(SUBSTITUTE("vch"&amp;$B1934&amp;$C1934&amp;$D1934&amp;$E1934,".","_"),"(","_"),")","")</f>
        <v>vch901_3_2</v>
      </c>
      <c r="AQ1934" s="254" t="str">
        <f>IF(LEN(W1934)=0,"",W1934)</f>
        <v/>
      </c>
      <c r="AR1934" s="254" t="str">
        <f>SUBSTITUTE(SUBSTITUTE(SUBSTITUTE("vnt"&amp;$B1934&amp;$C1934&amp;$D1934&amp;$E1934,".","_"),"(","_"),")","")</f>
        <v>vnt901_3_2</v>
      </c>
      <c r="AS1934" s="254" t="str">
        <f>IF(LEN(X1934)=0,"",X1934)</f>
        <v/>
      </c>
      <c r="AT1934" s="648"/>
      <c r="AU1934" s="648"/>
      <c r="AV1934" s="648"/>
      <c r="AW1934" s="648"/>
      <c r="AX1934" s="648"/>
      <c r="AY1934" s="648"/>
      <c r="AZ1934" s="648"/>
      <c r="BA1934" s="648"/>
      <c r="BB1934" s="648"/>
      <c r="BC1934" s="648"/>
      <c r="BD1934" s="648"/>
      <c r="BE1934" s="648"/>
      <c r="BF1934" s="648"/>
      <c r="BG1934" s="648"/>
      <c r="BH1934" s="648"/>
    </row>
    <row r="1935" spans="1:60" ht="15.75" thickTop="1" x14ac:dyDescent="0.25">
      <c r="A1935" s="2371">
        <v>9</v>
      </c>
      <c r="B1935" s="2385">
        <v>901.4</v>
      </c>
      <c r="C1935" s="2374"/>
      <c r="D1935" s="2374"/>
      <c r="E1935" s="2374"/>
      <c r="F1935" s="2374"/>
      <c r="G1935" s="2373" t="s">
        <v>3974</v>
      </c>
      <c r="H1935" s="2371" t="s">
        <v>3971</v>
      </c>
      <c r="I1935" s="64">
        <v>901.4</v>
      </c>
      <c r="J1935" s="4"/>
      <c r="K1935" s="4"/>
      <c r="L1935" s="1779" t="s">
        <v>3179</v>
      </c>
      <c r="M1935" s="1767" t="s">
        <v>699</v>
      </c>
      <c r="N1935" s="2080">
        <f ca="1">'Ch9'!O69</f>
        <v>0</v>
      </c>
      <c r="O1935" s="2080">
        <f ca="1">MIN(10,(IFERROR(INDEX({2,2,3,4,4},MATCH(W1943,INDIRECT(U1943),0)),0)+IFERROR(INDEX({2,2,3,4,4},MATCH(W1944,INDIRECT(U1944),0)),0)+IFERROR(INDEX({2,2,3,4,4},MATCH(W1945,INDIRECT(U1945),0)),0)+IFERROR(INDEX({2,2,3,4,4},MATCH(W1946,INDIRECT(U1946),0)),0)))*S1943</f>
        <v>0</v>
      </c>
      <c r="P1935" s="648"/>
      <c r="Q1935" s="648"/>
      <c r="R1935" s="648"/>
      <c r="S1935" s="648"/>
      <c r="T1935" s="648"/>
      <c r="U1935" s="648"/>
      <c r="V1935" s="648"/>
      <c r="W1935" s="648"/>
      <c r="X1935" s="648"/>
      <c r="Y1935" s="648"/>
      <c r="AA1935" s="1526"/>
      <c r="AB1935" s="648"/>
      <c r="AC1935" s="970"/>
      <c r="AD1935" s="970"/>
      <c r="AE1935" s="970"/>
      <c r="AF1935" s="648"/>
      <c r="AG1935" s="648"/>
      <c r="AH1935" s="648"/>
      <c r="AI1935" s="648"/>
      <c r="AJ1935" s="648"/>
      <c r="AK1935" s="648"/>
      <c r="AL1935" s="254" t="str">
        <f>SUBSTITUTE(SUBSTITUTE(SUBSTITUTE("vpa"&amp;$B1935&amp;$C1935&amp;$D1935&amp;$E1935,".","_"),"(","_"),")","")</f>
        <v>vpa901_4</v>
      </c>
      <c r="AM1935" s="254" t="str">
        <f>M1935</f>
        <v>10 Max</v>
      </c>
      <c r="AN1935" s="254" t="str">
        <f>SUBSTITUTE(SUBSTITUTE(SUBSTITUTE("vpc"&amp;$B1935&amp;$C1935&amp;$D1935&amp;$E1935,".","_"),"(","_"),")","")</f>
        <v>vpc901_4</v>
      </c>
      <c r="AO1935" s="254">
        <f ca="1">O1935</f>
        <v>0</v>
      </c>
      <c r="AP1935" s="1336"/>
      <c r="AQ1935" s="1336"/>
      <c r="AR1935" s="1336"/>
      <c r="AS1935" s="1336"/>
      <c r="AT1935" s="648"/>
      <c r="AU1935" s="648"/>
      <c r="AV1935" s="648"/>
      <c r="AW1935" s="648"/>
      <c r="AX1935" s="648"/>
      <c r="AY1935" s="648"/>
      <c r="AZ1935" s="648"/>
      <c r="BA1935" s="648"/>
      <c r="BB1935" s="648"/>
      <c r="BC1935" s="648"/>
      <c r="BD1935" s="648"/>
      <c r="BE1935" s="648"/>
      <c r="BF1935" s="648"/>
      <c r="BG1935" s="648"/>
      <c r="BH1935" s="648"/>
    </row>
    <row r="1936" spans="1:60" x14ac:dyDescent="0.25">
      <c r="A1936" s="2371">
        <v>9</v>
      </c>
      <c r="B1936" s="2385">
        <v>901.4</v>
      </c>
      <c r="C1936" s="2374"/>
      <c r="D1936" s="2374"/>
      <c r="E1936" s="2374"/>
      <c r="F1936" s="2374"/>
      <c r="G1936" s="2373" t="s">
        <v>3974</v>
      </c>
      <c r="H1936" s="2371" t="s">
        <v>3971</v>
      </c>
      <c r="I1936" s="164"/>
      <c r="J1936" s="4"/>
      <c r="K1936" s="4"/>
      <c r="L1936" s="1779"/>
      <c r="M1936" s="1767"/>
      <c r="N1936" s="2075"/>
      <c r="O1936" s="2075"/>
      <c r="P1936" s="648"/>
      <c r="Q1936" s="648"/>
      <c r="R1936" s="648"/>
      <c r="S1936" s="648"/>
      <c r="T1936" s="648"/>
      <c r="U1936" s="648"/>
      <c r="V1936" s="648"/>
      <c r="W1936" s="648"/>
      <c r="X1936" s="648"/>
      <c r="Y1936" s="648"/>
      <c r="AA1936" s="1526"/>
      <c r="AB1936" s="648"/>
      <c r="AC1936" s="970"/>
      <c r="AD1936" s="970"/>
      <c r="AE1936" s="970"/>
      <c r="AF1936" s="648"/>
      <c r="AG1936" s="648"/>
      <c r="AH1936" s="648"/>
      <c r="AI1936" s="648"/>
      <c r="AJ1936" s="648"/>
      <c r="AK1936" s="648"/>
      <c r="AL1936" s="1336"/>
      <c r="AM1936" s="1336"/>
      <c r="AN1936" s="1336"/>
      <c r="AO1936" s="1336"/>
      <c r="AP1936" s="1336"/>
      <c r="AQ1936" s="1336"/>
      <c r="AR1936" s="1336"/>
      <c r="AS1936" s="1336"/>
      <c r="AT1936" s="648"/>
      <c r="AU1936" s="648"/>
      <c r="AV1936" s="648"/>
      <c r="AW1936" s="648"/>
      <c r="AX1936" s="648"/>
      <c r="AY1936" s="648"/>
      <c r="AZ1936" s="648"/>
      <c r="BA1936" s="648"/>
      <c r="BB1936" s="648"/>
      <c r="BC1936" s="648"/>
      <c r="BD1936" s="648"/>
      <c r="BE1936" s="648"/>
      <c r="BF1936" s="648"/>
      <c r="BG1936" s="648"/>
      <c r="BH1936" s="648"/>
    </row>
    <row r="1937" spans="1:60" x14ac:dyDescent="0.25">
      <c r="A1937" s="2371">
        <v>9</v>
      </c>
      <c r="B1937" s="2385">
        <v>901.4</v>
      </c>
      <c r="C1937" s="2374"/>
      <c r="D1937" s="2374"/>
      <c r="E1937" s="2374"/>
      <c r="F1937" s="2374"/>
      <c r="G1937" s="2373" t="s">
        <v>3974</v>
      </c>
      <c r="H1937" s="2371" t="s">
        <v>3971</v>
      </c>
      <c r="I1937" s="164"/>
      <c r="J1937" s="4"/>
      <c r="K1937" s="4"/>
      <c r="L1937" s="1779"/>
      <c r="M1937" s="1767"/>
      <c r="N1937" s="2075"/>
      <c r="O1937" s="2075"/>
      <c r="P1937" s="648"/>
      <c r="Q1937" s="648"/>
      <c r="R1937" s="648"/>
      <c r="S1937" s="648"/>
      <c r="T1937" s="648"/>
      <c r="U1937" s="648"/>
      <c r="V1937" s="648"/>
      <c r="W1937" s="648"/>
      <c r="X1937" s="648"/>
      <c r="Y1937" s="648"/>
      <c r="AA1937" s="1526"/>
      <c r="AB1937" s="648"/>
      <c r="AC1937" s="970"/>
      <c r="AD1937" s="970"/>
      <c r="AE1937" s="970"/>
      <c r="AF1937" s="648"/>
      <c r="AG1937" s="648"/>
      <c r="AH1937" s="648"/>
      <c r="AI1937" s="648"/>
      <c r="AJ1937" s="648"/>
      <c r="AK1937" s="648"/>
      <c r="AL1937" s="1336"/>
      <c r="AM1937" s="1336"/>
      <c r="AN1937" s="1336"/>
      <c r="AO1937" s="1336"/>
      <c r="AP1937" s="1336"/>
      <c r="AQ1937" s="1336"/>
      <c r="AR1937" s="1336"/>
      <c r="AS1937" s="1336"/>
      <c r="AT1937" s="648"/>
      <c r="AU1937" s="648"/>
      <c r="AV1937" s="648"/>
      <c r="AW1937" s="648"/>
      <c r="AX1937" s="648"/>
      <c r="AY1937" s="648"/>
      <c r="AZ1937" s="648"/>
      <c r="BA1937" s="648"/>
      <c r="BB1937" s="648"/>
      <c r="BC1937" s="648"/>
      <c r="BD1937" s="648"/>
      <c r="BE1937" s="648"/>
      <c r="BF1937" s="648"/>
      <c r="BG1937" s="648"/>
      <c r="BH1937" s="648"/>
    </row>
    <row r="1938" spans="1:60" x14ac:dyDescent="0.25">
      <c r="A1938" s="2371">
        <v>9</v>
      </c>
      <c r="B1938" s="2385">
        <v>901.4</v>
      </c>
      <c r="C1938" s="2374" t="s">
        <v>256</v>
      </c>
      <c r="D1938" s="2374"/>
      <c r="E1938" s="2374"/>
      <c r="F1938" s="2397"/>
      <c r="G1938" s="2373" t="s">
        <v>3974</v>
      </c>
      <c r="H1938" s="2371" t="s">
        <v>3972</v>
      </c>
      <c r="I1938" s="164"/>
      <c r="J1938" s="183" t="s">
        <v>256</v>
      </c>
      <c r="K1938" s="129"/>
      <c r="L1938" s="1754" t="s">
        <v>3180</v>
      </c>
      <c r="M1938" s="1837" t="str">
        <f>IF(R1938,"Mandatory","N/A")</f>
        <v>Mandatory</v>
      </c>
      <c r="N1938" s="664"/>
      <c r="O1938" s="664"/>
      <c r="P1938" s="94" t="b">
        <v>1</v>
      </c>
      <c r="Q1938" s="94" t="b">
        <v>0</v>
      </c>
      <c r="R1938" s="648" t="b">
        <f>S1938</f>
        <v>1</v>
      </c>
      <c r="S1938" s="648" t="b">
        <v>1</v>
      </c>
      <c r="T1938" s="648" t="b">
        <v>0</v>
      </c>
      <c r="U1938" s="94" t="str">
        <f>SUBSTITUTE(SUBSTITUTE(SUBSTITUTE("dd"&amp;B1938&amp;C1938&amp;D1938&amp;E1938&amp;F1938,".","_"),"(","_"),")","")</f>
        <v>dd901_4_1</v>
      </c>
      <c r="V1938" s="648"/>
      <c r="W1938" s="12"/>
      <c r="X1938" s="1757"/>
      <c r="Y1938" s="2077" t="str">
        <f>IF(LEN('Ch9'!X72)=0,"None",'Ch9'!X72)</f>
        <v>None</v>
      </c>
      <c r="Z1938" s="2083"/>
      <c r="AA1938" s="1526"/>
      <c r="AB1938" s="648"/>
      <c r="AC1938" s="970" t="b">
        <f>OR(AD1938:AE1938)</f>
        <v>1</v>
      </c>
      <c r="AD1938" s="970" t="b">
        <f>T1938</f>
        <v>0</v>
      </c>
      <c r="AE1938" s="970" t="b">
        <f>OR(AND(W1938="N/A",LEN(X1938)=0),AND(R1938,OR(W1938="Not Met",W1938="")))</f>
        <v>1</v>
      </c>
      <c r="AF1938" s="784" t="b">
        <f>AND(AE1938,NOT(Q1938))</f>
        <v>1</v>
      </c>
      <c r="AG1938" s="648"/>
      <c r="AH1938" s="648"/>
      <c r="AI1938" s="648"/>
      <c r="AJ1938" s="648"/>
      <c r="AK1938" s="648"/>
      <c r="AL1938" s="254" t="str">
        <f>SUBSTITUTE(SUBSTITUTE(SUBSTITUTE("vpa"&amp;$B1938&amp;$C1938&amp;$D1938&amp;$E1938,".","_"),"(","_"),")","")</f>
        <v>vpa901_4_1</v>
      </c>
      <c r="AM1938" s="254" t="str">
        <f>M1938</f>
        <v>Mandatory</v>
      </c>
      <c r="AN1938" s="1336"/>
      <c r="AO1938" s="1336"/>
      <c r="AP1938" s="254" t="str">
        <f>SUBSTITUTE(SUBSTITUTE(SUBSTITUTE("vch"&amp;$B1938&amp;$C1938&amp;$D1938&amp;$E1938,".","_"),"(","_"),")","")</f>
        <v>vch901_4_1</v>
      </c>
      <c r="AQ1938" s="254" t="str">
        <f>IF(LEN(W1938)=0,"",W1938)</f>
        <v/>
      </c>
      <c r="AR1938" s="254" t="str">
        <f>SUBSTITUTE(SUBSTITUTE(SUBSTITUTE("vnt"&amp;$B1938&amp;$C1938&amp;$D1938&amp;$E1938,".","_"),"(","_"),")","")</f>
        <v>vnt901_4_1</v>
      </c>
      <c r="AS1938" s="254" t="str">
        <f>IF(LEN(X1938)=0,"",X1938)</f>
        <v/>
      </c>
      <c r="AT1938" s="648"/>
      <c r="AU1938" s="648"/>
      <c r="AV1938" s="648"/>
      <c r="AW1938" s="648"/>
      <c r="AX1938" s="648"/>
      <c r="AY1938" s="648"/>
      <c r="AZ1938" s="648"/>
      <c r="BA1938" s="648"/>
      <c r="BB1938" s="648"/>
      <c r="BC1938" s="648"/>
      <c r="BD1938" s="648"/>
      <c r="BE1938" s="648"/>
      <c r="BF1938" s="648"/>
      <c r="BG1938" s="648"/>
      <c r="BH1938" s="648"/>
    </row>
    <row r="1939" spans="1:60" x14ac:dyDescent="0.25">
      <c r="A1939" s="2371">
        <v>9</v>
      </c>
      <c r="B1939" s="2385">
        <v>901.4</v>
      </c>
      <c r="C1939" s="2374" t="s">
        <v>256</v>
      </c>
      <c r="D1939" s="2374"/>
      <c r="E1939" s="2374"/>
      <c r="F1939" s="2397"/>
      <c r="G1939" s="2373" t="s">
        <v>3974</v>
      </c>
      <c r="H1939" s="2371" t="s">
        <v>3972</v>
      </c>
      <c r="I1939" s="164"/>
      <c r="J1939" s="129"/>
      <c r="K1939" s="129"/>
      <c r="L1939" s="1754"/>
      <c r="M1939" s="1837"/>
      <c r="N1939" s="1042"/>
      <c r="O1939" s="1042"/>
      <c r="P1939" s="648"/>
      <c r="Q1939" s="648"/>
      <c r="R1939" s="648"/>
      <c r="S1939" s="648"/>
      <c r="T1939" s="648"/>
      <c r="U1939" s="648"/>
      <c r="V1939" s="648"/>
      <c r="W1939" s="648"/>
      <c r="X1939" s="1757"/>
      <c r="Y1939" s="2077"/>
      <c r="Z1939" s="2083"/>
      <c r="AA1939" s="1526"/>
      <c r="AB1939" s="648"/>
      <c r="AC1939" s="970"/>
      <c r="AD1939" s="970"/>
      <c r="AE1939" s="970"/>
      <c r="AF1939" s="648"/>
      <c r="AG1939" s="648"/>
      <c r="AH1939" s="648"/>
      <c r="AI1939" s="648"/>
      <c r="AJ1939" s="648"/>
      <c r="AK1939" s="648"/>
      <c r="AL1939" s="1336"/>
      <c r="AM1939" s="1336"/>
      <c r="AN1939" s="1336"/>
      <c r="AO1939" s="1336"/>
      <c r="AP1939" s="1336"/>
      <c r="AQ1939" s="1336"/>
      <c r="AR1939" s="1336"/>
      <c r="AS1939" s="1336"/>
      <c r="AT1939" s="648"/>
      <c r="AU1939" s="648"/>
      <c r="AV1939" s="648"/>
      <c r="AW1939" s="648"/>
      <c r="AX1939" s="648"/>
      <c r="AY1939" s="648"/>
      <c r="AZ1939" s="648"/>
      <c r="BA1939" s="648"/>
      <c r="BB1939" s="648"/>
      <c r="BC1939" s="648"/>
      <c r="BD1939" s="648"/>
      <c r="BE1939" s="648"/>
      <c r="BF1939" s="648"/>
      <c r="BG1939" s="648"/>
      <c r="BH1939" s="648"/>
    </row>
    <row r="1940" spans="1:60" x14ac:dyDescent="0.25">
      <c r="A1940" s="2371">
        <v>9</v>
      </c>
      <c r="B1940" s="2385">
        <v>901.4</v>
      </c>
      <c r="C1940" s="2374" t="s">
        <v>256</v>
      </c>
      <c r="D1940" s="2374"/>
      <c r="E1940" s="2374"/>
      <c r="F1940" s="2397"/>
      <c r="G1940" s="2373" t="s">
        <v>3974</v>
      </c>
      <c r="H1940" s="2371" t="s">
        <v>3972</v>
      </c>
      <c r="I1940" s="164"/>
      <c r="J1940" s="129"/>
      <c r="K1940" s="129"/>
      <c r="L1940" s="1754"/>
      <c r="M1940" s="1837"/>
      <c r="N1940" s="1042"/>
      <c r="O1940" s="1042"/>
      <c r="P1940" s="648"/>
      <c r="Q1940" s="648"/>
      <c r="R1940" s="648"/>
      <c r="S1940" s="648"/>
      <c r="T1940" s="648"/>
      <c r="U1940" s="648"/>
      <c r="V1940" s="648"/>
      <c r="W1940" s="648"/>
      <c r="X1940" s="1757"/>
      <c r="Y1940" s="2077"/>
      <c r="Z1940" s="2083"/>
      <c r="AA1940" s="1526"/>
      <c r="AB1940" s="648"/>
      <c r="AC1940" s="970"/>
      <c r="AD1940" s="970"/>
      <c r="AE1940" s="970"/>
      <c r="AF1940" s="648"/>
      <c r="AG1940" s="648"/>
      <c r="AH1940" s="648"/>
      <c r="AI1940" s="648"/>
      <c r="AJ1940" s="648"/>
      <c r="AK1940" s="648"/>
      <c r="AL1940" s="1336"/>
      <c r="AM1940" s="1336"/>
      <c r="AN1940" s="1336"/>
      <c r="AO1940" s="1336"/>
      <c r="AP1940" s="1336"/>
      <c r="AQ1940" s="1336"/>
      <c r="AR1940" s="1336"/>
      <c r="AS1940" s="1336"/>
      <c r="AT1940" s="648"/>
      <c r="AU1940" s="648"/>
      <c r="AV1940" s="648"/>
      <c r="AW1940" s="648"/>
      <c r="AX1940" s="648"/>
      <c r="AY1940" s="648"/>
      <c r="AZ1940" s="648"/>
      <c r="BA1940" s="648"/>
      <c r="BB1940" s="648"/>
      <c r="BC1940" s="648"/>
      <c r="BD1940" s="648"/>
      <c r="BE1940" s="648"/>
      <c r="BF1940" s="648"/>
      <c r="BG1940" s="648"/>
      <c r="BH1940" s="648"/>
    </row>
    <row r="1941" spans="1:60" x14ac:dyDescent="0.25">
      <c r="A1941" s="2371">
        <v>9</v>
      </c>
      <c r="B1941" s="2385">
        <v>901.4</v>
      </c>
      <c r="C1941" s="2374" t="s">
        <v>256</v>
      </c>
      <c r="D1941" s="2374"/>
      <c r="E1941" s="2374"/>
      <c r="F1941" s="2397"/>
      <c r="G1941" s="2373" t="s">
        <v>3974</v>
      </c>
      <c r="H1941" s="2371" t="s">
        <v>3972</v>
      </c>
      <c r="I1941" s="164"/>
      <c r="J1941" s="129"/>
      <c r="K1941" s="129"/>
      <c r="L1941" s="1754"/>
      <c r="M1941" s="1837"/>
      <c r="N1941" s="1042"/>
      <c r="O1941" s="1042"/>
      <c r="P1941" s="648"/>
      <c r="Q1941" s="648"/>
      <c r="R1941" s="648"/>
      <c r="S1941" s="648"/>
      <c r="T1941" s="648"/>
      <c r="U1941" s="648"/>
      <c r="V1941" s="648"/>
      <c r="W1941" s="648"/>
      <c r="X1941" s="1757"/>
      <c r="Y1941" s="2077"/>
      <c r="Z1941" s="2083"/>
      <c r="AA1941" s="1526"/>
      <c r="AB1941" s="648"/>
      <c r="AC1941" s="970"/>
      <c r="AD1941" s="970"/>
      <c r="AE1941" s="970"/>
      <c r="AF1941" s="648"/>
      <c r="AG1941" s="648"/>
      <c r="AH1941" s="648"/>
      <c r="AI1941" s="648"/>
      <c r="AJ1941" s="648"/>
      <c r="AK1941" s="648"/>
      <c r="AL1941" s="1336"/>
      <c r="AM1941" s="1336"/>
      <c r="AN1941" s="1336"/>
      <c r="AO1941" s="1336"/>
      <c r="AP1941" s="1336"/>
      <c r="AQ1941" s="1336"/>
      <c r="AR1941" s="1336"/>
      <c r="AS1941" s="1336"/>
      <c r="AT1941" s="648"/>
      <c r="AU1941" s="648"/>
      <c r="AV1941" s="648"/>
      <c r="AW1941" s="648"/>
      <c r="AX1941" s="648"/>
      <c r="AY1941" s="648"/>
      <c r="AZ1941" s="648"/>
      <c r="BA1941" s="648"/>
      <c r="BB1941" s="648"/>
      <c r="BC1941" s="648"/>
      <c r="BD1941" s="648"/>
      <c r="BE1941" s="648"/>
      <c r="BF1941" s="648"/>
      <c r="BG1941" s="648"/>
      <c r="BH1941" s="648"/>
    </row>
    <row r="1942" spans="1:60" x14ac:dyDescent="0.25">
      <c r="A1942" s="2371">
        <v>9</v>
      </c>
      <c r="B1942" s="2385">
        <v>901.4</v>
      </c>
      <c r="C1942" s="2374" t="s">
        <v>256</v>
      </c>
      <c r="D1942" s="2374"/>
      <c r="E1942" s="2374"/>
      <c r="F1942" s="2397"/>
      <c r="G1942" s="2373" t="s">
        <v>3974</v>
      </c>
      <c r="H1942" s="2371" t="s">
        <v>3972</v>
      </c>
      <c r="I1942" s="164"/>
      <c r="J1942" s="210"/>
      <c r="K1942" s="210"/>
      <c r="L1942" s="1177" t="s">
        <v>3967</v>
      </c>
      <c r="M1942" s="1844"/>
      <c r="N1942" s="1042"/>
      <c r="O1942" s="1042"/>
      <c r="P1942" s="648"/>
      <c r="Q1942" s="648"/>
      <c r="R1942" s="648"/>
      <c r="S1942" s="648"/>
      <c r="T1942" s="648"/>
      <c r="U1942" s="648"/>
      <c r="V1942" s="648"/>
      <c r="W1942" s="648"/>
      <c r="X1942" s="1757"/>
      <c r="Y1942" s="2077"/>
      <c r="Z1942" s="2083"/>
      <c r="AA1942" s="1526"/>
      <c r="AB1942" s="648"/>
      <c r="AC1942" s="970"/>
      <c r="AD1942" s="970"/>
      <c r="AE1942" s="970"/>
      <c r="AF1942" s="648"/>
      <c r="AG1942" s="648"/>
      <c r="AH1942" s="648"/>
      <c r="AI1942" s="648"/>
      <c r="AJ1942" s="648"/>
      <c r="AK1942" s="648"/>
      <c r="AL1942" s="1336"/>
      <c r="AM1942" s="1336"/>
      <c r="AN1942" s="1336"/>
      <c r="AO1942" s="1336"/>
      <c r="AP1942" s="1336"/>
      <c r="AQ1942" s="1336"/>
      <c r="AR1942" s="1336"/>
      <c r="AS1942" s="1336"/>
      <c r="AT1942" s="648"/>
      <c r="AU1942" s="648"/>
      <c r="AV1942" s="648"/>
      <c r="AW1942" s="648"/>
      <c r="AX1942" s="648"/>
      <c r="AY1942" s="648"/>
      <c r="AZ1942" s="648"/>
      <c r="BA1942" s="648"/>
      <c r="BB1942" s="648"/>
      <c r="BC1942" s="648"/>
      <c r="BD1942" s="648"/>
      <c r="BE1942" s="648"/>
      <c r="BF1942" s="648"/>
      <c r="BG1942" s="648"/>
      <c r="BH1942" s="648"/>
    </row>
    <row r="1943" spans="1:60" x14ac:dyDescent="0.25">
      <c r="A1943" s="2371">
        <v>9</v>
      </c>
      <c r="B1943" s="2385">
        <v>901.4</v>
      </c>
      <c r="C1943" s="2374"/>
      <c r="D1943" s="2383" t="s">
        <v>121</v>
      </c>
      <c r="E1943" s="2383"/>
      <c r="F1943" s="2402"/>
      <c r="G1943" s="2373" t="str">
        <f ca="1">IF(N1935&gt;0,"P","")</f>
        <v/>
      </c>
      <c r="H1943" s="2401" t="s">
        <v>3971</v>
      </c>
      <c r="I1943" s="480"/>
      <c r="J1943" s="129"/>
      <c r="K1943" s="129"/>
      <c r="L1943" s="1162" t="s">
        <v>3646</v>
      </c>
      <c r="M1943" s="1032"/>
      <c r="N1943" s="1044"/>
      <c r="O1943" s="1044"/>
      <c r="P1943" s="94" t="b">
        <v>1</v>
      </c>
      <c r="Q1943" s="94" t="b">
        <v>1</v>
      </c>
      <c r="R1943" s="94" t="b">
        <v>0</v>
      </c>
      <c r="S1943" s="94" t="b">
        <v>1</v>
      </c>
      <c r="T1943" s="94" t="b">
        <v>0</v>
      </c>
      <c r="U1943" s="94" t="str">
        <f>SUBSTITUTE(SUBSTITUTE(SUBSTITUTE("dd"&amp;B1943&amp;C1943&amp;D1943&amp;E1943&amp;F1943,".","_"),"(","_"),")","")</f>
        <v>dd901_4_a</v>
      </c>
      <c r="V1943" s="94"/>
      <c r="W1943" s="12"/>
      <c r="X1943" s="1770"/>
      <c r="Y1943" s="2081" t="str">
        <f>IF(LEN('Ch9'!X77)=0,"None",'Ch9'!X77)</f>
        <v>None</v>
      </c>
      <c r="Z1943" s="2084"/>
      <c r="AA1943" s="1526"/>
      <c r="AB1943" s="648"/>
      <c r="AC1943" s="970"/>
      <c r="AD1943" s="970"/>
      <c r="AE1943" s="970"/>
      <c r="AF1943" s="784"/>
      <c r="AG1943" s="648"/>
      <c r="AH1943" s="648"/>
      <c r="AI1943" s="648"/>
      <c r="AJ1943" s="648"/>
      <c r="AK1943" s="648"/>
      <c r="AL1943" s="1336"/>
      <c r="AM1943" s="1336"/>
      <c r="AN1943" s="1336"/>
      <c r="AO1943" s="1336"/>
      <c r="AP1943" s="254" t="str">
        <f>SUBSTITUTE(SUBSTITUTE(SUBSTITUTE("vch"&amp;$B1943&amp;$C1943&amp;$D1943&amp;$E1943,".","_"),"(","_"),")","")</f>
        <v>vch901_4_a</v>
      </c>
      <c r="AQ1943" s="254" t="str">
        <f>IF(LEN(W1943)=0,"",W1943)</f>
        <v/>
      </c>
      <c r="AR1943" s="254" t="str">
        <f>SUBSTITUTE(SUBSTITUTE(SUBSTITUTE("vnt"&amp;$B1943&amp;$C1943&amp;$D1943&amp;$E1943,".","_"),"(","_"),")","")</f>
        <v>vnt901_4_a</v>
      </c>
      <c r="AS1943" s="254" t="str">
        <f>IF(LEN(X1943)=0,"",X1943)</f>
        <v/>
      </c>
      <c r="AT1943" s="648"/>
      <c r="AU1943" s="648"/>
      <c r="AV1943" s="648"/>
      <c r="AW1943" s="648"/>
      <c r="AX1943" s="648"/>
      <c r="AY1943" s="648"/>
      <c r="AZ1943" s="648"/>
      <c r="BA1943" s="648"/>
      <c r="BB1943" s="648"/>
      <c r="BC1943" s="648"/>
      <c r="BD1943" s="648"/>
      <c r="BE1943" s="648"/>
      <c r="BF1943" s="648"/>
      <c r="BG1943" s="648"/>
      <c r="BH1943" s="648"/>
    </row>
    <row r="1944" spans="1:60" x14ac:dyDescent="0.25">
      <c r="A1944" s="2371">
        <v>9</v>
      </c>
      <c r="B1944" s="2385">
        <v>901.4</v>
      </c>
      <c r="C1944" s="2374"/>
      <c r="D1944" s="2383" t="s">
        <v>122</v>
      </c>
      <c r="E1944" s="2383"/>
      <c r="F1944" s="2402"/>
      <c r="G1944" s="2373" t="str">
        <f t="shared" ref="G1944:G1953" ca="1" si="111">G1943</f>
        <v/>
      </c>
      <c r="H1944" s="2401" t="s">
        <v>3971</v>
      </c>
      <c r="I1944" s="480"/>
      <c r="J1944" s="129"/>
      <c r="K1944" s="129"/>
      <c r="L1944" s="1162" t="s">
        <v>3647</v>
      </c>
      <c r="M1944" s="1032"/>
      <c r="N1944" s="1044"/>
      <c r="O1944" s="1044"/>
      <c r="P1944" s="94" t="b">
        <v>1</v>
      </c>
      <c r="Q1944" s="94" t="b">
        <v>1</v>
      </c>
      <c r="R1944" s="94" t="b">
        <v>0</v>
      </c>
      <c r="S1944" s="94" t="b">
        <v>1</v>
      </c>
      <c r="T1944" s="94" t="b">
        <v>0</v>
      </c>
      <c r="U1944" s="94" t="str">
        <f>SUBSTITUTE(SUBSTITUTE(SUBSTITUTE("dd"&amp;B1944&amp;C1944&amp;D1944&amp;E1944&amp;F1944,".","_"),"(","_"),")","")</f>
        <v>dd901_4_b</v>
      </c>
      <c r="V1944" s="94"/>
      <c r="W1944" s="12"/>
      <c r="X1944" s="1770"/>
      <c r="Y1944" s="2081"/>
      <c r="Z1944" s="2084"/>
      <c r="AA1944" s="1526"/>
      <c r="AB1944" s="648"/>
      <c r="AC1944" s="970"/>
      <c r="AD1944" s="970"/>
      <c r="AE1944" s="970"/>
      <c r="AF1944" s="784"/>
      <c r="AG1944" s="648"/>
      <c r="AH1944" s="648"/>
      <c r="AI1944" s="648"/>
      <c r="AJ1944" s="648"/>
      <c r="AK1944" s="648"/>
      <c r="AL1944" s="1336"/>
      <c r="AM1944" s="1336"/>
      <c r="AN1944" s="1336"/>
      <c r="AO1944" s="1336"/>
      <c r="AP1944" s="254" t="str">
        <f>SUBSTITUTE(SUBSTITUTE(SUBSTITUTE("vch"&amp;$B1944&amp;$C1944&amp;$D1944&amp;$E1944,".","_"),"(","_"),")","")</f>
        <v>vch901_4_b</v>
      </c>
      <c r="AQ1944" s="254" t="str">
        <f>IF(LEN(W1944)=0,"",W1944)</f>
        <v/>
      </c>
      <c r="AR1944" s="1336"/>
      <c r="AS1944" s="1336"/>
      <c r="AT1944" s="648"/>
      <c r="AU1944" s="648"/>
      <c r="AV1944" s="648"/>
      <c r="AW1944" s="648"/>
      <c r="AX1944" s="648"/>
      <c r="AY1944" s="648"/>
      <c r="AZ1944" s="648"/>
      <c r="BA1944" s="648"/>
      <c r="BB1944" s="648"/>
      <c r="BC1944" s="648"/>
      <c r="BD1944" s="648"/>
      <c r="BE1944" s="648"/>
      <c r="BF1944" s="648"/>
      <c r="BG1944" s="648"/>
      <c r="BH1944" s="648"/>
    </row>
    <row r="1945" spans="1:60" x14ac:dyDescent="0.25">
      <c r="A1945" s="2371">
        <v>9</v>
      </c>
      <c r="B1945" s="2385">
        <v>901.4</v>
      </c>
      <c r="C1945" s="2374"/>
      <c r="D1945" s="2383" t="s">
        <v>123</v>
      </c>
      <c r="E1945" s="2383"/>
      <c r="F1945" s="2402"/>
      <c r="G1945" s="2373" t="str">
        <f t="shared" ca="1" si="111"/>
        <v/>
      </c>
      <c r="H1945" s="2401" t="s">
        <v>3971</v>
      </c>
      <c r="I1945" s="480"/>
      <c r="J1945" s="129"/>
      <c r="K1945" s="129"/>
      <c r="L1945" s="1162" t="s">
        <v>3648</v>
      </c>
      <c r="M1945" s="1032"/>
      <c r="N1945" s="1044"/>
      <c r="O1945" s="1044"/>
      <c r="P1945" s="94" t="b">
        <v>1</v>
      </c>
      <c r="Q1945" s="94" t="b">
        <v>1</v>
      </c>
      <c r="R1945" s="94" t="b">
        <v>0</v>
      </c>
      <c r="S1945" s="94" t="b">
        <v>1</v>
      </c>
      <c r="T1945" s="94" t="b">
        <v>0</v>
      </c>
      <c r="U1945" s="94" t="str">
        <f>SUBSTITUTE(SUBSTITUTE(SUBSTITUTE("dd"&amp;B1945&amp;C1945&amp;D1945&amp;E1945&amp;F1945,".","_"),"(","_"),")","")</f>
        <v>dd901_4_c</v>
      </c>
      <c r="V1945" s="94"/>
      <c r="W1945" s="12"/>
      <c r="X1945" s="1770"/>
      <c r="Y1945" s="2081"/>
      <c r="Z1945" s="2084"/>
      <c r="AA1945" s="1526"/>
      <c r="AB1945" s="648"/>
      <c r="AC1945" s="970"/>
      <c r="AD1945" s="970"/>
      <c r="AE1945" s="970"/>
      <c r="AF1945" s="784"/>
      <c r="AG1945" s="648"/>
      <c r="AH1945" s="648"/>
      <c r="AI1945" s="648"/>
      <c r="AJ1945" s="648"/>
      <c r="AK1945" s="648"/>
      <c r="AL1945" s="1336"/>
      <c r="AM1945" s="1336"/>
      <c r="AN1945" s="1336"/>
      <c r="AO1945" s="1336"/>
      <c r="AP1945" s="254" t="str">
        <f>SUBSTITUTE(SUBSTITUTE(SUBSTITUTE("vch"&amp;$B1945&amp;$C1945&amp;$D1945&amp;$E1945,".","_"),"(","_"),")","")</f>
        <v>vch901_4_c</v>
      </c>
      <c r="AQ1945" s="254" t="str">
        <f>IF(LEN(W1945)=0,"",W1945)</f>
        <v/>
      </c>
      <c r="AR1945" s="1336"/>
      <c r="AS1945" s="1336"/>
      <c r="AT1945" s="648"/>
      <c r="AU1945" s="648"/>
      <c r="AV1945" s="648"/>
      <c r="AW1945" s="648"/>
      <c r="AX1945" s="648"/>
      <c r="AY1945" s="648"/>
      <c r="AZ1945" s="648"/>
      <c r="BA1945" s="648"/>
      <c r="BB1945" s="648"/>
      <c r="BC1945" s="648"/>
      <c r="BD1945" s="648"/>
      <c r="BE1945" s="648"/>
      <c r="BF1945" s="648"/>
      <c r="BG1945" s="648"/>
      <c r="BH1945" s="648"/>
    </row>
    <row r="1946" spans="1:60" x14ac:dyDescent="0.25">
      <c r="A1946" s="2371">
        <v>9</v>
      </c>
      <c r="B1946" s="2385">
        <v>901.4</v>
      </c>
      <c r="C1946" s="2374"/>
      <c r="D1946" s="2383" t="s">
        <v>401</v>
      </c>
      <c r="E1946" s="2383"/>
      <c r="F1946" s="2402"/>
      <c r="G1946" s="2373" t="str">
        <f t="shared" ca="1" si="111"/>
        <v/>
      </c>
      <c r="H1946" s="2401" t="s">
        <v>3971</v>
      </c>
      <c r="I1946" s="480"/>
      <c r="J1946" s="129"/>
      <c r="K1946" s="129"/>
      <c r="L1946" s="1162" t="s">
        <v>3649</v>
      </c>
      <c r="M1946" s="1032"/>
      <c r="N1946" s="1044"/>
      <c r="O1946" s="1044"/>
      <c r="P1946" s="94" t="b">
        <v>1</v>
      </c>
      <c r="Q1946" s="94" t="b">
        <v>1</v>
      </c>
      <c r="R1946" s="94" t="b">
        <v>0</v>
      </c>
      <c r="S1946" s="94" t="b">
        <v>1</v>
      </c>
      <c r="T1946" s="94" t="b">
        <v>0</v>
      </c>
      <c r="U1946" s="94" t="str">
        <f>SUBSTITUTE(SUBSTITUTE(SUBSTITUTE("dd"&amp;B1946&amp;C1946&amp;D1946&amp;E1946&amp;F1946,".","_"),"(","_"),")","")</f>
        <v>dd901_4_d</v>
      </c>
      <c r="V1946" s="94"/>
      <c r="W1946" s="12"/>
      <c r="X1946" s="1770"/>
      <c r="Y1946" s="2081"/>
      <c r="Z1946" s="2084"/>
      <c r="AA1946" s="1526"/>
      <c r="AB1946" s="648"/>
      <c r="AC1946" s="970"/>
      <c r="AD1946" s="970"/>
      <c r="AE1946" s="970"/>
      <c r="AF1946" s="784"/>
      <c r="AG1946" s="648"/>
      <c r="AH1946" s="648"/>
      <c r="AI1946" s="648"/>
      <c r="AJ1946" s="648"/>
      <c r="AK1946" s="648"/>
      <c r="AL1946" s="1336"/>
      <c r="AM1946" s="1336"/>
      <c r="AN1946" s="1336"/>
      <c r="AO1946" s="1336"/>
      <c r="AP1946" s="254" t="str">
        <f>SUBSTITUTE(SUBSTITUTE(SUBSTITUTE("vch"&amp;$B1946&amp;$C1946&amp;$D1946&amp;$E1946,".","_"),"(","_"),")","")</f>
        <v>vch901_4_d</v>
      </c>
      <c r="AQ1946" s="254" t="str">
        <f>IF(LEN(W1946)=0,"",W1946)</f>
        <v/>
      </c>
      <c r="AR1946" s="1336"/>
      <c r="AS1946" s="1336"/>
      <c r="AT1946" s="648"/>
      <c r="AU1946" s="648"/>
      <c r="AV1946" s="648"/>
      <c r="AW1946" s="648"/>
      <c r="AX1946" s="648"/>
      <c r="AY1946" s="648"/>
      <c r="AZ1946" s="648"/>
      <c r="BA1946" s="648"/>
      <c r="BB1946" s="648"/>
      <c r="BC1946" s="648"/>
      <c r="BD1946" s="648"/>
      <c r="BE1946" s="648"/>
      <c r="BF1946" s="648"/>
      <c r="BG1946" s="648"/>
      <c r="BH1946" s="648"/>
    </row>
    <row r="1947" spans="1:60" x14ac:dyDescent="0.25">
      <c r="A1947" s="2371">
        <v>9</v>
      </c>
      <c r="B1947" s="2385">
        <v>901.4</v>
      </c>
      <c r="C1947" s="2374" t="s">
        <v>258</v>
      </c>
      <c r="D1947" s="2374"/>
      <c r="E1947" s="2374"/>
      <c r="F1947" s="2397"/>
      <c r="G1947" s="2373" t="str">
        <f t="shared" ca="1" si="111"/>
        <v/>
      </c>
      <c r="H1947" s="2371" t="s">
        <v>3971</v>
      </c>
      <c r="I1947" s="480"/>
      <c r="J1947" s="183" t="s">
        <v>258</v>
      </c>
      <c r="K1947" s="129"/>
      <c r="L1947" s="1754" t="s">
        <v>3181</v>
      </c>
      <c r="M1947" s="1758">
        <v>2</v>
      </c>
      <c r="N1947" s="1044"/>
      <c r="O1947" s="1044"/>
      <c r="P1947" s="94"/>
      <c r="Q1947" s="94"/>
      <c r="R1947" s="94"/>
      <c r="S1947" s="94"/>
      <c r="T1947" s="94"/>
      <c r="U1947" s="94"/>
      <c r="V1947" s="94"/>
      <c r="W1947" s="94"/>
      <c r="X1947" s="1770"/>
      <c r="Y1947" s="2081"/>
      <c r="Z1947" s="2084"/>
      <c r="AA1947" s="1526"/>
      <c r="AB1947" s="648"/>
      <c r="AC1947" s="970"/>
      <c r="AD1947" s="970"/>
      <c r="AE1947" s="970"/>
      <c r="AF1947" s="648"/>
      <c r="AG1947" s="648"/>
      <c r="AH1947" s="648"/>
      <c r="AI1947" s="648"/>
      <c r="AJ1947" s="648"/>
      <c r="AK1947" s="648"/>
      <c r="AL1947" s="254" t="str">
        <f>SUBSTITUTE(SUBSTITUTE(SUBSTITUTE("vpa"&amp;$B1947&amp;$C1947&amp;$D1947&amp;$E1947,".","_"),"(","_"),")","")</f>
        <v>vpa901_4_2</v>
      </c>
      <c r="AM1947" s="254">
        <f>M1947</f>
        <v>2</v>
      </c>
      <c r="AN1947" s="1336"/>
      <c r="AO1947" s="1336"/>
      <c r="AP1947" s="1336"/>
      <c r="AQ1947" s="1336"/>
      <c r="AR1947" s="1336"/>
      <c r="AS1947" s="1336"/>
      <c r="AT1947" s="648"/>
      <c r="AU1947" s="648"/>
      <c r="AV1947" s="648"/>
      <c r="AW1947" s="648"/>
      <c r="AX1947" s="648"/>
      <c r="AY1947" s="648"/>
      <c r="AZ1947" s="648"/>
      <c r="BA1947" s="648"/>
      <c r="BB1947" s="648"/>
      <c r="BC1947" s="648"/>
      <c r="BD1947" s="648"/>
      <c r="BE1947" s="648"/>
      <c r="BF1947" s="648"/>
      <c r="BG1947" s="648"/>
      <c r="BH1947" s="648"/>
    </row>
    <row r="1948" spans="1:60" x14ac:dyDescent="0.25">
      <c r="A1948" s="2371">
        <v>9</v>
      </c>
      <c r="B1948" s="2385">
        <v>901.4</v>
      </c>
      <c r="C1948" s="2374" t="s">
        <v>258</v>
      </c>
      <c r="D1948" s="2374"/>
      <c r="E1948" s="2374"/>
      <c r="F1948" s="2397"/>
      <c r="G1948" s="2373" t="str">
        <f t="shared" ca="1" si="111"/>
        <v/>
      </c>
      <c r="H1948" s="2371" t="s">
        <v>3971</v>
      </c>
      <c r="I1948" s="480"/>
      <c r="J1948" s="210"/>
      <c r="K1948" s="210"/>
      <c r="L1948" s="1755"/>
      <c r="M1948" s="1759"/>
      <c r="N1948" s="1044"/>
      <c r="O1948" s="1044"/>
      <c r="P1948" s="94"/>
      <c r="Q1948" s="94"/>
      <c r="R1948" s="94"/>
      <c r="S1948" s="94"/>
      <c r="T1948" s="94"/>
      <c r="U1948" s="94"/>
      <c r="V1948" s="94"/>
      <c r="W1948" s="94"/>
      <c r="X1948" s="1770"/>
      <c r="Y1948" s="2081"/>
      <c r="Z1948" s="2084"/>
      <c r="AA1948" s="1526"/>
      <c r="AB1948" s="648"/>
      <c r="AC1948" s="970"/>
      <c r="AD1948" s="970"/>
      <c r="AE1948" s="970"/>
      <c r="AF1948" s="648"/>
      <c r="AG1948" s="648"/>
      <c r="AH1948" s="648"/>
      <c r="AI1948" s="648"/>
      <c r="AJ1948" s="648"/>
      <c r="AK1948" s="648"/>
      <c r="AL1948" s="1336"/>
      <c r="AM1948" s="1336"/>
      <c r="AN1948" s="1336"/>
      <c r="AO1948" s="1336"/>
      <c r="AP1948" s="1336"/>
      <c r="AQ1948" s="1336"/>
      <c r="AR1948" s="1336"/>
      <c r="AS1948" s="1336"/>
      <c r="AT1948" s="648"/>
      <c r="AU1948" s="648"/>
      <c r="AV1948" s="648"/>
      <c r="AW1948" s="648"/>
      <c r="AX1948" s="648"/>
      <c r="AY1948" s="648"/>
      <c r="AZ1948" s="648"/>
      <c r="BA1948" s="648"/>
      <c r="BB1948" s="648"/>
      <c r="BC1948" s="648"/>
      <c r="BD1948" s="648"/>
      <c r="BE1948" s="648"/>
      <c r="BF1948" s="648"/>
      <c r="BG1948" s="648"/>
      <c r="BH1948" s="648"/>
    </row>
    <row r="1949" spans="1:60" x14ac:dyDescent="0.25">
      <c r="A1949" s="2371">
        <v>9</v>
      </c>
      <c r="B1949" s="2385">
        <v>901.4</v>
      </c>
      <c r="C1949" s="2374" t="s">
        <v>260</v>
      </c>
      <c r="D1949" s="2374"/>
      <c r="E1949" s="2374"/>
      <c r="F1949" s="2397"/>
      <c r="G1949" s="2373" t="str">
        <f t="shared" ca="1" si="111"/>
        <v/>
      </c>
      <c r="H1949" s="2371" t="s">
        <v>3971</v>
      </c>
      <c r="I1949" s="480"/>
      <c r="J1949" s="206" t="s">
        <v>260</v>
      </c>
      <c r="K1949" s="210"/>
      <c r="L1949" s="1163" t="s">
        <v>3182</v>
      </c>
      <c r="M1949" s="1015">
        <v>2</v>
      </c>
      <c r="N1949" s="1044"/>
      <c r="O1949" s="1044"/>
      <c r="P1949" s="94"/>
      <c r="Q1949" s="94"/>
      <c r="R1949" s="94"/>
      <c r="S1949" s="94"/>
      <c r="T1949" s="94"/>
      <c r="U1949" s="94"/>
      <c r="V1949" s="94"/>
      <c r="W1949" s="94"/>
      <c r="X1949" s="1770"/>
      <c r="Y1949" s="2081"/>
      <c r="Z1949" s="2084"/>
      <c r="AA1949" s="1526"/>
      <c r="AB1949" s="648"/>
      <c r="AC1949" s="970"/>
      <c r="AD1949" s="970"/>
      <c r="AE1949" s="970"/>
      <c r="AF1949" s="648"/>
      <c r="AG1949" s="648"/>
      <c r="AH1949" s="648"/>
      <c r="AI1949" s="648"/>
      <c r="AJ1949" s="648"/>
      <c r="AK1949" s="648"/>
      <c r="AL1949" s="254" t="str">
        <f>SUBSTITUTE(SUBSTITUTE(SUBSTITUTE("vpa"&amp;$B1949&amp;$C1949&amp;$D1949&amp;$E1949,".","_"),"(","_"),")","")</f>
        <v>vpa901_4_3</v>
      </c>
      <c r="AM1949" s="254">
        <f>M1949</f>
        <v>2</v>
      </c>
      <c r="AN1949" s="1336"/>
      <c r="AO1949" s="1336"/>
      <c r="AP1949" s="1336"/>
      <c r="AQ1949" s="1336"/>
      <c r="AR1949" s="1336"/>
      <c r="AS1949" s="1336"/>
      <c r="AT1949" s="648"/>
      <c r="AU1949" s="648"/>
      <c r="AV1949" s="648"/>
      <c r="AW1949" s="648"/>
      <c r="AX1949" s="648"/>
      <c r="AY1949" s="648"/>
      <c r="AZ1949" s="648"/>
      <c r="BA1949" s="648"/>
      <c r="BB1949" s="648"/>
      <c r="BC1949" s="648"/>
      <c r="BD1949" s="648"/>
      <c r="BE1949" s="648"/>
      <c r="BF1949" s="648"/>
      <c r="BG1949" s="648"/>
      <c r="BH1949" s="648"/>
    </row>
    <row r="1950" spans="1:60" x14ac:dyDescent="0.25">
      <c r="A1950" s="2371">
        <v>9</v>
      </c>
      <c r="B1950" s="2385">
        <v>901.4</v>
      </c>
      <c r="C1950" s="2374" t="s">
        <v>269</v>
      </c>
      <c r="D1950" s="2374"/>
      <c r="E1950" s="2374"/>
      <c r="F1950" s="2397"/>
      <c r="G1950" s="2373" t="str">
        <f t="shared" ca="1" si="111"/>
        <v/>
      </c>
      <c r="H1950" s="2371" t="s">
        <v>3971</v>
      </c>
      <c r="I1950" s="480"/>
      <c r="J1950" s="206" t="s">
        <v>269</v>
      </c>
      <c r="K1950" s="210"/>
      <c r="L1950" s="1163" t="s">
        <v>3183</v>
      </c>
      <c r="M1950" s="1015">
        <v>3</v>
      </c>
      <c r="N1950" s="1044"/>
      <c r="O1950" s="1044"/>
      <c r="P1950" s="94"/>
      <c r="Q1950" s="94"/>
      <c r="R1950" s="94"/>
      <c r="S1950" s="94"/>
      <c r="T1950" s="94"/>
      <c r="U1950" s="94"/>
      <c r="V1950" s="94"/>
      <c r="W1950" s="94"/>
      <c r="X1950" s="1770"/>
      <c r="Y1950" s="2081"/>
      <c r="Z1950" s="2084"/>
      <c r="AA1950" s="1526"/>
      <c r="AB1950" s="648"/>
      <c r="AC1950" s="970"/>
      <c r="AD1950" s="970"/>
      <c r="AE1950" s="970"/>
      <c r="AF1950" s="648"/>
      <c r="AG1950" s="648"/>
      <c r="AH1950" s="648"/>
      <c r="AI1950" s="648"/>
      <c r="AJ1950" s="648"/>
      <c r="AK1950" s="648"/>
      <c r="AL1950" s="254" t="str">
        <f>SUBSTITUTE(SUBSTITUTE(SUBSTITUTE("vpa"&amp;$B1950&amp;$C1950&amp;$D1950&amp;$E1950,".","_"),"(","_"),")","")</f>
        <v>vpa901_4_4</v>
      </c>
      <c r="AM1950" s="254">
        <f>M1950</f>
        <v>3</v>
      </c>
      <c r="AN1950" s="1336"/>
      <c r="AO1950" s="1336"/>
      <c r="AP1950" s="1336"/>
      <c r="AQ1950" s="1336"/>
      <c r="AR1950" s="1336"/>
      <c r="AS1950" s="1336"/>
      <c r="AT1950" s="648"/>
      <c r="AU1950" s="648"/>
      <c r="AV1950" s="648"/>
      <c r="AW1950" s="648"/>
      <c r="AX1950" s="648"/>
      <c r="AY1950" s="648"/>
      <c r="AZ1950" s="648"/>
      <c r="BA1950" s="648"/>
      <c r="BB1950" s="648"/>
      <c r="BC1950" s="648"/>
      <c r="BD1950" s="648"/>
      <c r="BE1950" s="648"/>
      <c r="BF1950" s="648"/>
      <c r="BG1950" s="648"/>
      <c r="BH1950" s="648"/>
    </row>
    <row r="1951" spans="1:60" x14ac:dyDescent="0.25">
      <c r="A1951" s="2371">
        <v>9</v>
      </c>
      <c r="B1951" s="2385">
        <v>901.4</v>
      </c>
      <c r="C1951" s="2374" t="s">
        <v>275</v>
      </c>
      <c r="D1951" s="2374"/>
      <c r="E1951" s="2374"/>
      <c r="F1951" s="2397"/>
      <c r="G1951" s="2373" t="str">
        <f t="shared" ca="1" si="111"/>
        <v/>
      </c>
      <c r="H1951" s="2371" t="s">
        <v>3971</v>
      </c>
      <c r="I1951" s="480"/>
      <c r="J1951" s="183" t="s">
        <v>275</v>
      </c>
      <c r="K1951" s="129"/>
      <c r="L1951" s="1754" t="s">
        <v>3184</v>
      </c>
      <c r="M1951" s="1758">
        <v>4</v>
      </c>
      <c r="N1951" s="1044"/>
      <c r="O1951" s="1044"/>
      <c r="P1951" s="94"/>
      <c r="Q1951" s="94"/>
      <c r="R1951" s="94"/>
      <c r="S1951" s="94"/>
      <c r="T1951" s="94"/>
      <c r="U1951" s="94"/>
      <c r="V1951" s="94"/>
      <c r="W1951" s="94"/>
      <c r="X1951" s="1770"/>
      <c r="Y1951" s="2081"/>
      <c r="Z1951" s="2084"/>
      <c r="AA1951" s="1526"/>
      <c r="AB1951" s="648"/>
      <c r="AC1951" s="970"/>
      <c r="AD1951" s="970"/>
      <c r="AE1951" s="970"/>
      <c r="AF1951" s="648"/>
      <c r="AG1951" s="648"/>
      <c r="AH1951" s="648"/>
      <c r="AI1951" s="648"/>
      <c r="AJ1951" s="648"/>
      <c r="AK1951" s="648"/>
      <c r="AL1951" s="254" t="str">
        <f>SUBSTITUTE(SUBSTITUTE(SUBSTITUTE("vpa"&amp;$B1951&amp;$C1951&amp;$D1951&amp;$E1951,".","_"),"(","_"),")","")</f>
        <v>vpa901_4_5</v>
      </c>
      <c r="AM1951" s="254">
        <f>M1951</f>
        <v>4</v>
      </c>
      <c r="AN1951" s="1336"/>
      <c r="AO1951" s="1336"/>
      <c r="AP1951" s="1336"/>
      <c r="AQ1951" s="1336"/>
      <c r="AR1951" s="1336"/>
      <c r="AS1951" s="1336"/>
      <c r="AT1951" s="648"/>
      <c r="AU1951" s="648"/>
      <c r="AV1951" s="648"/>
      <c r="AW1951" s="648"/>
      <c r="AX1951" s="648"/>
      <c r="AY1951" s="648"/>
      <c r="AZ1951" s="648"/>
      <c r="BA1951" s="648"/>
      <c r="BB1951" s="648"/>
      <c r="BC1951" s="648"/>
      <c r="BD1951" s="648"/>
      <c r="BE1951" s="648"/>
      <c r="BF1951" s="648"/>
      <c r="BG1951" s="648"/>
      <c r="BH1951" s="648"/>
    </row>
    <row r="1952" spans="1:60" x14ac:dyDescent="0.25">
      <c r="A1952" s="2371">
        <v>9</v>
      </c>
      <c r="B1952" s="2385">
        <v>901.4</v>
      </c>
      <c r="C1952" s="2374" t="s">
        <v>275</v>
      </c>
      <c r="D1952" s="2374"/>
      <c r="E1952" s="2374"/>
      <c r="F1952" s="2397"/>
      <c r="G1952" s="2373" t="str">
        <f t="shared" ca="1" si="111"/>
        <v/>
      </c>
      <c r="H1952" s="2371" t="s">
        <v>3971</v>
      </c>
      <c r="I1952" s="480"/>
      <c r="J1952" s="206"/>
      <c r="K1952" s="210"/>
      <c r="L1952" s="1755"/>
      <c r="M1952" s="1759"/>
      <c r="N1952" s="1044"/>
      <c r="O1952" s="1044"/>
      <c r="P1952" s="94"/>
      <c r="Q1952" s="94"/>
      <c r="R1952" s="94"/>
      <c r="S1952" s="94"/>
      <c r="T1952" s="94"/>
      <c r="U1952" s="94"/>
      <c r="V1952" s="94"/>
      <c r="W1952" s="94"/>
      <c r="X1952" s="1770"/>
      <c r="Y1952" s="2081"/>
      <c r="Z1952" s="2084"/>
      <c r="AA1952" s="1526"/>
      <c r="AB1952" s="648"/>
      <c r="AC1952" s="970"/>
      <c r="AD1952" s="970"/>
      <c r="AE1952" s="970"/>
      <c r="AF1952" s="648"/>
      <c r="AG1952" s="648"/>
      <c r="AH1952" s="648"/>
      <c r="AI1952" s="648"/>
      <c r="AJ1952" s="648"/>
      <c r="AK1952" s="648"/>
      <c r="AL1952" s="1336"/>
      <c r="AM1952" s="1336"/>
      <c r="AN1952" s="1336"/>
      <c r="AO1952" s="1336"/>
      <c r="AP1952" s="1336"/>
      <c r="AQ1952" s="1336"/>
      <c r="AR1952" s="1336"/>
      <c r="AS1952" s="1336"/>
      <c r="AT1952" s="648"/>
      <c r="AU1952" s="648"/>
      <c r="AV1952" s="648"/>
      <c r="AW1952" s="648"/>
      <c r="AX1952" s="648"/>
      <c r="AY1952" s="648"/>
      <c r="AZ1952" s="648"/>
      <c r="BA1952" s="648"/>
      <c r="BB1952" s="648"/>
      <c r="BC1952" s="648"/>
      <c r="BD1952" s="648"/>
      <c r="BE1952" s="648"/>
      <c r="BF1952" s="648"/>
      <c r="BG1952" s="648"/>
      <c r="BH1952" s="648"/>
    </row>
    <row r="1953" spans="1:60" ht="15.75" thickBot="1" x14ac:dyDescent="0.3">
      <c r="A1953" s="2371">
        <v>9</v>
      </c>
      <c r="B1953" s="2385">
        <v>901.4</v>
      </c>
      <c r="C1953" s="2374" t="s">
        <v>277</v>
      </c>
      <c r="D1953" s="2374"/>
      <c r="E1953" s="2374"/>
      <c r="F1953" s="2397"/>
      <c r="G1953" s="2373" t="str">
        <f t="shared" ca="1" si="111"/>
        <v/>
      </c>
      <c r="H1953" s="2371" t="s">
        <v>3971</v>
      </c>
      <c r="I1953" s="481"/>
      <c r="J1953" s="190" t="s">
        <v>277</v>
      </c>
      <c r="K1953" s="240"/>
      <c r="L1953" s="1171" t="s">
        <v>3185</v>
      </c>
      <c r="M1953" s="1011">
        <v>4</v>
      </c>
      <c r="N1953" s="1045"/>
      <c r="O1953" s="1045"/>
      <c r="P1953" s="99"/>
      <c r="Q1953" s="99"/>
      <c r="R1953" s="99"/>
      <c r="S1953" s="99"/>
      <c r="T1953" s="99"/>
      <c r="U1953" s="99"/>
      <c r="V1953" s="99"/>
      <c r="W1953" s="99"/>
      <c r="X1953" s="1771"/>
      <c r="Y1953" s="2082"/>
      <c r="Z1953" s="2086"/>
      <c r="AA1953" s="1526"/>
      <c r="AB1953" s="648"/>
      <c r="AC1953" s="970"/>
      <c r="AD1953" s="970"/>
      <c r="AE1953" s="970"/>
      <c r="AF1953" s="648"/>
      <c r="AG1953" s="648"/>
      <c r="AH1953" s="648"/>
      <c r="AI1953" s="648"/>
      <c r="AJ1953" s="648"/>
      <c r="AK1953" s="648"/>
      <c r="AL1953" s="254" t="str">
        <f>SUBSTITUTE(SUBSTITUTE(SUBSTITUTE("vpa"&amp;$B1953&amp;$C1953&amp;$D1953&amp;$E1953,".","_"),"(","_"),")","")</f>
        <v>vpa901_4_6</v>
      </c>
      <c r="AM1953" s="254">
        <f>M1953</f>
        <v>4</v>
      </c>
      <c r="AN1953" s="1336"/>
      <c r="AO1953" s="1336"/>
      <c r="AP1953" s="1336"/>
      <c r="AQ1953" s="1336"/>
      <c r="AR1953" s="1336"/>
      <c r="AS1953" s="1336"/>
      <c r="AT1953" s="648"/>
      <c r="AU1953" s="648"/>
      <c r="AV1953" s="648"/>
      <c r="AW1953" s="648"/>
      <c r="AX1953" s="648"/>
      <c r="AY1953" s="648"/>
      <c r="AZ1953" s="648"/>
      <c r="BA1953" s="648"/>
      <c r="BB1953" s="648"/>
      <c r="BC1953" s="648"/>
      <c r="BD1953" s="648"/>
      <c r="BE1953" s="648"/>
      <c r="BF1953" s="648"/>
      <c r="BG1953" s="648"/>
      <c r="BH1953" s="648"/>
    </row>
    <row r="1954" spans="1:60" ht="15.75" thickTop="1" x14ac:dyDescent="0.25">
      <c r="A1954" s="2371">
        <v>9</v>
      </c>
      <c r="B1954" s="2385">
        <v>901.5</v>
      </c>
      <c r="C1954" s="2374"/>
      <c r="D1954" s="2374"/>
      <c r="E1954" s="2374"/>
      <c r="F1954" s="2374"/>
      <c r="G1954" s="2363" t="str">
        <f>IF(COUNTIF(G1957:G1959,"P")&gt;0,"P","")</f>
        <v/>
      </c>
      <c r="H1954" s="2371" t="s">
        <v>3973</v>
      </c>
      <c r="I1954" s="64">
        <v>901.5</v>
      </c>
      <c r="J1954" s="4"/>
      <c r="K1954" s="4"/>
      <c r="L1954" s="1796" t="s">
        <v>3186</v>
      </c>
      <c r="M1954" s="1014"/>
      <c r="N1954" s="1042"/>
      <c r="O1954" s="1042"/>
      <c r="P1954" s="648"/>
      <c r="Q1954" s="648"/>
      <c r="R1954" s="648"/>
      <c r="S1954" s="648"/>
      <c r="T1954" s="648"/>
      <c r="U1954" s="648"/>
      <c r="V1954" s="648"/>
      <c r="W1954" s="648"/>
      <c r="X1954" s="648"/>
      <c r="Y1954" s="648"/>
      <c r="AA1954" s="1526"/>
      <c r="AB1954" s="648"/>
      <c r="AC1954" s="970"/>
      <c r="AD1954" s="970"/>
      <c r="AE1954" s="970"/>
      <c r="AF1954" s="648"/>
      <c r="AG1954" s="648"/>
      <c r="AH1954" s="648"/>
      <c r="AI1954" s="648"/>
      <c r="AJ1954" s="648"/>
      <c r="AK1954" s="648"/>
      <c r="AL1954" s="1336"/>
      <c r="AM1954" s="1336"/>
      <c r="AN1954" s="1336"/>
      <c r="AO1954" s="1336"/>
      <c r="AP1954" s="1336"/>
      <c r="AQ1954" s="1336"/>
      <c r="AR1954" s="1336"/>
      <c r="AS1954" s="1336"/>
      <c r="AT1954" s="648"/>
      <c r="AU1954" s="648"/>
      <c r="AV1954" s="648"/>
      <c r="AW1954" s="648"/>
      <c r="AX1954" s="648"/>
      <c r="AY1954" s="648"/>
      <c r="AZ1954" s="648"/>
      <c r="BA1954" s="648"/>
      <c r="BB1954" s="648"/>
      <c r="BC1954" s="648"/>
      <c r="BD1954" s="648"/>
      <c r="BE1954" s="648"/>
      <c r="BF1954" s="648"/>
      <c r="BG1954" s="648"/>
      <c r="BH1954" s="648"/>
    </row>
    <row r="1955" spans="1:60" x14ac:dyDescent="0.25">
      <c r="A1955" s="2371">
        <v>9</v>
      </c>
      <c r="B1955" s="2385">
        <v>901.5</v>
      </c>
      <c r="C1955" s="2374"/>
      <c r="D1955" s="2374"/>
      <c r="E1955" s="2374"/>
      <c r="F1955" s="2374"/>
      <c r="G1955" s="2373" t="str">
        <f>G1954</f>
        <v/>
      </c>
      <c r="H1955" s="2371" t="s">
        <v>3973</v>
      </c>
      <c r="I1955" s="164"/>
      <c r="J1955" s="4"/>
      <c r="K1955" s="4"/>
      <c r="L1955" s="1796"/>
      <c r="M1955" s="1014"/>
      <c r="N1955" s="1042"/>
      <c r="O1955" s="1042"/>
      <c r="P1955" s="648"/>
      <c r="Q1955" s="648"/>
      <c r="R1955" s="648"/>
      <c r="S1955" s="648"/>
      <c r="T1955" s="648"/>
      <c r="U1955" s="648"/>
      <c r="V1955" s="648"/>
      <c r="W1955" s="648"/>
      <c r="X1955" s="648"/>
      <c r="Y1955" s="648"/>
      <c r="AA1955" s="1526"/>
      <c r="AB1955" s="648"/>
      <c r="AC1955" s="970"/>
      <c r="AD1955" s="970"/>
      <c r="AE1955" s="970"/>
      <c r="AF1955" s="648"/>
      <c r="AG1955" s="648"/>
      <c r="AH1955" s="648"/>
      <c r="AI1955" s="648"/>
      <c r="AJ1955" s="648"/>
      <c r="AK1955" s="648"/>
      <c r="AL1955" s="1336"/>
      <c r="AM1955" s="1336"/>
      <c r="AN1955" s="1336"/>
      <c r="AO1955" s="1336"/>
      <c r="AP1955" s="1336"/>
      <c r="AQ1955" s="1336"/>
      <c r="AR1955" s="1336"/>
      <c r="AS1955" s="1336"/>
      <c r="AT1955" s="648"/>
      <c r="AU1955" s="648"/>
      <c r="AV1955" s="648"/>
      <c r="AW1955" s="648"/>
      <c r="AX1955" s="648"/>
      <c r="AY1955" s="648"/>
      <c r="AZ1955" s="648"/>
      <c r="BA1955" s="648"/>
      <c r="BB1955" s="648"/>
      <c r="BC1955" s="648"/>
      <c r="BD1955" s="648"/>
      <c r="BE1955" s="648"/>
      <c r="BF1955" s="648"/>
      <c r="BG1955" s="648"/>
      <c r="BH1955" s="648"/>
    </row>
    <row r="1956" spans="1:60" x14ac:dyDescent="0.25">
      <c r="A1956" s="2371">
        <v>9</v>
      </c>
      <c r="B1956" s="2385">
        <v>901.5</v>
      </c>
      <c r="C1956" s="2374"/>
      <c r="D1956" s="2374"/>
      <c r="E1956" s="2374"/>
      <c r="F1956" s="2374"/>
      <c r="G1956" s="2373" t="str">
        <f>G1955</f>
        <v/>
      </c>
      <c r="H1956" s="2371" t="s">
        <v>3973</v>
      </c>
      <c r="I1956" s="164"/>
      <c r="J1956" s="4"/>
      <c r="K1956" s="4"/>
      <c r="L1956" s="1173" t="s">
        <v>3187</v>
      </c>
      <c r="M1956" s="1014"/>
      <c r="N1956" s="1042"/>
      <c r="O1956" s="1042"/>
      <c r="P1956" s="648"/>
      <c r="Q1956" s="648"/>
      <c r="R1956" s="648"/>
      <c r="S1956" s="648"/>
      <c r="T1956" s="648"/>
      <c r="U1956" s="648"/>
      <c r="V1956" s="648"/>
      <c r="W1956" s="648"/>
      <c r="X1956" s="648"/>
      <c r="Y1956" s="648"/>
      <c r="AA1956" s="1526"/>
      <c r="AB1956" s="648"/>
      <c r="AC1956" s="970"/>
      <c r="AD1956" s="970"/>
      <c r="AE1956" s="970"/>
      <c r="AF1956" s="648"/>
      <c r="AG1956" s="648"/>
      <c r="AH1956" s="648"/>
      <c r="AI1956" s="648"/>
      <c r="AJ1956" s="648"/>
      <c r="AK1956" s="648"/>
      <c r="AL1956" s="1336"/>
      <c r="AM1956" s="1336"/>
      <c r="AN1956" s="1336"/>
      <c r="AO1956" s="1336"/>
      <c r="AP1956" s="1336"/>
      <c r="AQ1956" s="1336"/>
      <c r="AR1956" s="1336"/>
      <c r="AS1956" s="1336"/>
      <c r="AT1956" s="648"/>
      <c r="AU1956" s="648"/>
      <c r="AV1956" s="648"/>
      <c r="AW1956" s="648"/>
      <c r="AX1956" s="648"/>
      <c r="AY1956" s="648"/>
      <c r="AZ1956" s="648"/>
      <c r="BA1956" s="648"/>
      <c r="BB1956" s="648"/>
      <c r="BC1956" s="648"/>
      <c r="BD1956" s="648"/>
      <c r="BE1956" s="648"/>
      <c r="BF1956" s="648"/>
      <c r="BG1956" s="648"/>
      <c r="BH1956" s="648"/>
    </row>
    <row r="1957" spans="1:60" x14ac:dyDescent="0.25">
      <c r="A1957" s="2371">
        <v>9</v>
      </c>
      <c r="B1957" s="2385">
        <v>901.5</v>
      </c>
      <c r="C1957" s="2374" t="s">
        <v>256</v>
      </c>
      <c r="D1957" s="2374"/>
      <c r="E1957" s="2374"/>
      <c r="F1957" s="2374"/>
      <c r="G1957" s="2373" t="str">
        <f>IF(N1957&gt;0,"P","")</f>
        <v/>
      </c>
      <c r="H1957" s="2371" t="s">
        <v>3973</v>
      </c>
      <c r="I1957" s="164"/>
      <c r="J1957" s="183" t="s">
        <v>256</v>
      </c>
      <c r="K1957" s="129"/>
      <c r="L1957" s="1754" t="s">
        <v>3188</v>
      </c>
      <c r="M1957" s="1758">
        <v>5</v>
      </c>
      <c r="N1957" s="1927">
        <f>'Ch9'!O91</f>
        <v>0</v>
      </c>
      <c r="O1957" s="1927">
        <f>M1957*S1957*W1957</f>
        <v>0</v>
      </c>
      <c r="P1957" s="94" t="b">
        <v>0</v>
      </c>
      <c r="Q1957" s="94" t="b">
        <v>1</v>
      </c>
      <c r="R1957" s="648" t="b">
        <v>0</v>
      </c>
      <c r="S1957" s="648" t="b">
        <v>1</v>
      </c>
      <c r="T1957" s="648" t="b">
        <v>0</v>
      </c>
      <c r="U1957" s="648"/>
      <c r="V1957" s="648"/>
      <c r="W1957" s="25"/>
      <c r="X1957" s="1757"/>
      <c r="Y1957" s="2077" t="str">
        <f>IF(LEN('Ch9'!X91)=0,"None",'Ch9'!X91)</f>
        <v>None</v>
      </c>
      <c r="Z1957" s="2083"/>
      <c r="AA1957" s="1526"/>
      <c r="AB1957" s="648"/>
      <c r="AC1957" s="970"/>
      <c r="AD1957" s="970"/>
      <c r="AE1957" s="970"/>
      <c r="AF1957" s="784"/>
      <c r="AG1957" s="648"/>
      <c r="AH1957" s="648"/>
      <c r="AI1957" s="648"/>
      <c r="AJ1957" s="648"/>
      <c r="AK1957" s="648"/>
      <c r="AL1957" s="254" t="str">
        <f>SUBSTITUTE(SUBSTITUTE(SUBSTITUTE("vpa"&amp;$B1957&amp;$C1957&amp;$D1957&amp;$E1957,".","_"),"(","_"),")","")</f>
        <v>vpa901_5_1</v>
      </c>
      <c r="AM1957" s="254">
        <f>M1957</f>
        <v>5</v>
      </c>
      <c r="AN1957" s="254" t="str">
        <f>SUBSTITUTE(SUBSTITUTE(SUBSTITUTE("vpc"&amp;$B1957&amp;$C1957&amp;$D1957&amp;$E1957,".","_"),"(","_"),")","")</f>
        <v>vpc901_5_1</v>
      </c>
      <c r="AO1957" s="254">
        <f>O1957</f>
        <v>0</v>
      </c>
      <c r="AP1957" s="254" t="str">
        <f>SUBSTITUTE(SUBSTITUTE(SUBSTITUTE("vch"&amp;$B1957&amp;$C1957&amp;$D1957&amp;$E1957,".","_"),"(","_"),")","")</f>
        <v>vch901_5_1</v>
      </c>
      <c r="AQ1957" s="254" t="str">
        <f>IF(LEN(W1957)=0,"",W1957)</f>
        <v/>
      </c>
      <c r="AR1957" s="254" t="str">
        <f>SUBSTITUTE(SUBSTITUTE(SUBSTITUTE("vnt"&amp;$B1957&amp;$C1957&amp;$D1957&amp;$E1957,".","_"),"(","_"),")","")</f>
        <v>vnt901_5_1</v>
      </c>
      <c r="AS1957" s="254" t="str">
        <f>IF(LEN(X1957)=0,"",X1957)</f>
        <v/>
      </c>
      <c r="AT1957" s="648"/>
      <c r="AU1957" s="648"/>
      <c r="AV1957" s="648"/>
      <c r="AW1957" s="648"/>
      <c r="AX1957" s="648"/>
      <c r="AY1957" s="648"/>
      <c r="AZ1957" s="648"/>
      <c r="BA1957" s="648"/>
      <c r="BB1957" s="648"/>
      <c r="BC1957" s="648"/>
      <c r="BD1957" s="648"/>
      <c r="BE1957" s="648"/>
      <c r="BF1957" s="648"/>
      <c r="BG1957" s="648"/>
      <c r="BH1957" s="648"/>
    </row>
    <row r="1958" spans="1:60" x14ac:dyDescent="0.25">
      <c r="A1958" s="2371">
        <v>9</v>
      </c>
      <c r="B1958" s="2385">
        <v>901.5</v>
      </c>
      <c r="C1958" s="2374" t="s">
        <v>256</v>
      </c>
      <c r="D1958" s="2374"/>
      <c r="E1958" s="2374"/>
      <c r="F1958" s="2374"/>
      <c r="G1958" s="2373" t="str">
        <f>G1957</f>
        <v/>
      </c>
      <c r="H1958" s="2371" t="s">
        <v>3973</v>
      </c>
      <c r="I1958" s="164"/>
      <c r="J1958" s="210"/>
      <c r="K1958" s="210"/>
      <c r="L1958" s="1755"/>
      <c r="M1958" s="1759"/>
      <c r="N1958" s="2076"/>
      <c r="O1958" s="2076"/>
      <c r="P1958" s="648"/>
      <c r="Q1958" s="648"/>
      <c r="R1958" s="648"/>
      <c r="S1958" s="648"/>
      <c r="T1958" s="648"/>
      <c r="U1958" s="648"/>
      <c r="V1958" s="648"/>
      <c r="W1958" s="648"/>
      <c r="X1958" s="1757"/>
      <c r="Y1958" s="2077"/>
      <c r="Z1958" s="2083"/>
      <c r="AA1958" s="1526"/>
      <c r="AB1958" s="648"/>
      <c r="AC1958" s="970"/>
      <c r="AD1958" s="970"/>
      <c r="AE1958" s="970"/>
      <c r="AF1958" s="648"/>
      <c r="AG1958" s="648"/>
      <c r="AH1958" s="648"/>
      <c r="AI1958" s="648"/>
      <c r="AJ1958" s="648"/>
      <c r="AK1958" s="648"/>
      <c r="AL1958" s="1336"/>
      <c r="AM1958" s="1336"/>
      <c r="AN1958" s="1336"/>
      <c r="AO1958" s="1336"/>
      <c r="AP1958" s="1336"/>
      <c r="AQ1958" s="1336"/>
      <c r="AR1958" s="1336"/>
      <c r="AS1958" s="1336"/>
      <c r="AT1958" s="648"/>
      <c r="AU1958" s="648"/>
      <c r="AV1958" s="648"/>
      <c r="AW1958" s="648"/>
      <c r="AX1958" s="648"/>
      <c r="AY1958" s="648"/>
      <c r="AZ1958" s="648"/>
      <c r="BA1958" s="648"/>
      <c r="BB1958" s="648"/>
      <c r="BC1958" s="648"/>
      <c r="BD1958" s="648"/>
      <c r="BE1958" s="648"/>
      <c r="BF1958" s="648"/>
      <c r="BG1958" s="648"/>
      <c r="BH1958" s="648"/>
    </row>
    <row r="1959" spans="1:60" x14ac:dyDescent="0.25">
      <c r="A1959" s="2371">
        <v>9</v>
      </c>
      <c r="B1959" s="2385">
        <v>901.5</v>
      </c>
      <c r="C1959" s="2374" t="s">
        <v>258</v>
      </c>
      <c r="D1959" s="2374"/>
      <c r="E1959" s="2374"/>
      <c r="F1959" s="2374"/>
      <c r="G1959" s="2373" t="str">
        <f>IF(N1959&gt;0,"P","")</f>
        <v/>
      </c>
      <c r="H1959" s="2371" t="s">
        <v>3973</v>
      </c>
      <c r="I1959" s="480"/>
      <c r="J1959" s="183" t="s">
        <v>258</v>
      </c>
      <c r="K1959" s="129"/>
      <c r="L1959" s="1754" t="s">
        <v>5592</v>
      </c>
      <c r="M1959" s="1758">
        <v>3</v>
      </c>
      <c r="N1959" s="1927">
        <f>'Ch9'!O93</f>
        <v>0</v>
      </c>
      <c r="O1959" s="1927">
        <f>M1959*S1959*W1959</f>
        <v>0</v>
      </c>
      <c r="P1959" s="94" t="b">
        <v>0</v>
      </c>
      <c r="Q1959" s="94" t="b">
        <v>1</v>
      </c>
      <c r="R1959" s="94" t="b">
        <v>0</v>
      </c>
      <c r="S1959" s="94" t="b">
        <v>1</v>
      </c>
      <c r="T1959" s="94" t="b">
        <v>0</v>
      </c>
      <c r="U1959" s="94"/>
      <c r="V1959" s="94"/>
      <c r="W1959" s="25"/>
      <c r="X1959" s="1770"/>
      <c r="Y1959" s="2081" t="str">
        <f>IF(LEN('Ch9'!X93)=0,"None",'Ch9'!X93)</f>
        <v>None</v>
      </c>
      <c r="Z1959" s="2084"/>
      <c r="AA1959" s="1526"/>
      <c r="AB1959" s="648"/>
      <c r="AC1959" s="970"/>
      <c r="AD1959" s="970"/>
      <c r="AE1959" s="970"/>
      <c r="AF1959" s="784"/>
      <c r="AG1959" s="648"/>
      <c r="AH1959" s="648"/>
      <c r="AI1959" s="648"/>
      <c r="AJ1959" s="648"/>
      <c r="AK1959" s="648"/>
      <c r="AL1959" s="254" t="str">
        <f>SUBSTITUTE(SUBSTITUTE(SUBSTITUTE("vpa"&amp;$B1959&amp;$C1959&amp;$D1959&amp;$E1959,".","_"),"(","_"),")","")</f>
        <v>vpa901_5_2</v>
      </c>
      <c r="AM1959" s="254">
        <f>M1959</f>
        <v>3</v>
      </c>
      <c r="AN1959" s="254" t="str">
        <f>SUBSTITUTE(SUBSTITUTE(SUBSTITUTE("vpc"&amp;$B1959&amp;$C1959&amp;$D1959&amp;$E1959,".","_"),"(","_"),")","")</f>
        <v>vpc901_5_2</v>
      </c>
      <c r="AO1959" s="254">
        <f>O1959</f>
        <v>0</v>
      </c>
      <c r="AP1959" s="254" t="str">
        <f>SUBSTITUTE(SUBSTITUTE(SUBSTITUTE("vch"&amp;$B1959&amp;$C1959&amp;$D1959&amp;$E1959,".","_"),"(","_"),")","")</f>
        <v>vch901_5_2</v>
      </c>
      <c r="AQ1959" s="254" t="str">
        <f>IF(LEN(W1959)=0,"",W1959)</f>
        <v/>
      </c>
      <c r="AR1959" s="254" t="str">
        <f>SUBSTITUTE(SUBSTITUTE(SUBSTITUTE("vnt"&amp;$B1959&amp;$C1959&amp;$D1959&amp;$E1959,".","_"),"(","_"),")","")</f>
        <v>vnt901_5_2</v>
      </c>
      <c r="AS1959" s="254" t="str">
        <f>IF(LEN(X1959)=0,"",X1959)</f>
        <v/>
      </c>
      <c r="AT1959" s="648"/>
      <c r="AU1959" s="648"/>
      <c r="AV1959" s="648"/>
      <c r="AW1959" s="648"/>
      <c r="AX1959" s="648"/>
      <c r="AY1959" s="648"/>
      <c r="AZ1959" s="648"/>
      <c r="BA1959" s="648"/>
      <c r="BB1959" s="648"/>
      <c r="BC1959" s="648"/>
      <c r="BD1959" s="648"/>
      <c r="BE1959" s="648"/>
      <c r="BF1959" s="648"/>
      <c r="BG1959" s="648"/>
      <c r="BH1959" s="648"/>
    </row>
    <row r="1960" spans="1:60" x14ac:dyDescent="0.25">
      <c r="A1960" s="2371">
        <v>9</v>
      </c>
      <c r="B1960" s="2385">
        <v>901.5</v>
      </c>
      <c r="C1960" s="2374" t="s">
        <v>258</v>
      </c>
      <c r="D1960" s="2374"/>
      <c r="E1960" s="2374"/>
      <c r="F1960" s="2374"/>
      <c r="G1960" s="2373" t="str">
        <f>G1959</f>
        <v/>
      </c>
      <c r="H1960" s="2371" t="s">
        <v>3973</v>
      </c>
      <c r="I1960" s="480"/>
      <c r="J1960" s="129"/>
      <c r="K1960" s="129"/>
      <c r="L1960" s="1754"/>
      <c r="M1960" s="1758"/>
      <c r="N1960" s="1927"/>
      <c r="O1960" s="1927"/>
      <c r="P1960" s="94"/>
      <c r="Q1960" s="94"/>
      <c r="R1960" s="94"/>
      <c r="S1960" s="94"/>
      <c r="T1960" s="94"/>
      <c r="U1960" s="94"/>
      <c r="V1960" s="94"/>
      <c r="W1960" s="94"/>
      <c r="X1960" s="1770"/>
      <c r="Y1960" s="2081"/>
      <c r="Z1960" s="2084"/>
      <c r="AA1960" s="1526"/>
      <c r="AB1960" s="648"/>
      <c r="AC1960" s="970"/>
      <c r="AD1960" s="970"/>
      <c r="AE1960" s="970"/>
      <c r="AF1960" s="648"/>
      <c r="AG1960" s="648"/>
      <c r="AH1960" s="648"/>
      <c r="AI1960" s="648"/>
      <c r="AJ1960" s="648"/>
      <c r="AK1960" s="648"/>
      <c r="AL1960" s="1336"/>
      <c r="AM1960" s="1336"/>
      <c r="AN1960" s="1336"/>
      <c r="AO1960" s="1336"/>
      <c r="AP1960" s="1336"/>
      <c r="AQ1960" s="1336"/>
      <c r="AR1960" s="1336"/>
      <c r="AS1960" s="1336"/>
      <c r="AT1960" s="648"/>
      <c r="AU1960" s="648"/>
      <c r="AV1960" s="648"/>
      <c r="AW1960" s="648"/>
      <c r="AX1960" s="648"/>
      <c r="AY1960" s="648"/>
      <c r="AZ1960" s="648"/>
      <c r="BA1960" s="648"/>
      <c r="BB1960" s="648"/>
      <c r="BC1960" s="648"/>
      <c r="BD1960" s="648"/>
      <c r="BE1960" s="648"/>
      <c r="BF1960" s="648"/>
      <c r="BG1960" s="648"/>
      <c r="BH1960" s="648"/>
    </row>
    <row r="1961" spans="1:60" ht="15.75" thickBot="1" x14ac:dyDescent="0.3">
      <c r="A1961" s="2371">
        <v>9</v>
      </c>
      <c r="B1961" s="2385">
        <v>901.5</v>
      </c>
      <c r="C1961" s="2374" t="s">
        <v>258</v>
      </c>
      <c r="D1961" s="2374"/>
      <c r="E1961" s="2374"/>
      <c r="F1961" s="2374"/>
      <c r="G1961" s="2373" t="str">
        <f>G1960</f>
        <v/>
      </c>
      <c r="H1961" s="2371" t="s">
        <v>3973</v>
      </c>
      <c r="I1961" s="481"/>
      <c r="J1961" s="240"/>
      <c r="K1961" s="240"/>
      <c r="L1961" s="1783"/>
      <c r="M1961" s="1768"/>
      <c r="N1961" s="1928"/>
      <c r="O1961" s="1928"/>
      <c r="P1961" s="99"/>
      <c r="Q1961" s="99"/>
      <c r="R1961" s="99"/>
      <c r="S1961" s="99"/>
      <c r="T1961" s="99"/>
      <c r="U1961" s="99"/>
      <c r="V1961" s="99"/>
      <c r="W1961" s="99"/>
      <c r="X1961" s="1771"/>
      <c r="Y1961" s="2082"/>
      <c r="Z1961" s="2086"/>
      <c r="AA1961" s="1526"/>
      <c r="AB1961" s="648"/>
      <c r="AC1961" s="970"/>
      <c r="AD1961" s="970"/>
      <c r="AE1961" s="970"/>
      <c r="AF1961" s="648"/>
      <c r="AG1961" s="648"/>
      <c r="AH1961" s="648"/>
      <c r="AI1961" s="648"/>
      <c r="AJ1961" s="648"/>
      <c r="AK1961" s="648"/>
      <c r="AL1961" s="1336"/>
      <c r="AM1961" s="1336"/>
      <c r="AN1961" s="1336"/>
      <c r="AO1961" s="1336"/>
      <c r="AP1961" s="1336"/>
      <c r="AQ1961" s="1336"/>
      <c r="AR1961" s="1336"/>
      <c r="AS1961" s="1336"/>
      <c r="AT1961" s="648"/>
      <c r="AU1961" s="648"/>
      <c r="AV1961" s="648"/>
      <c r="AW1961" s="648"/>
      <c r="AX1961" s="648"/>
      <c r="AY1961" s="648"/>
      <c r="AZ1961" s="648"/>
      <c r="BA1961" s="648"/>
      <c r="BB1961" s="648"/>
      <c r="BC1961" s="648"/>
      <c r="BD1961" s="648"/>
      <c r="BE1961" s="648"/>
      <c r="BF1961" s="648"/>
      <c r="BG1961" s="648"/>
      <c r="BH1961" s="648"/>
    </row>
    <row r="1962" spans="1:60" ht="15.75" thickTop="1" x14ac:dyDescent="0.25">
      <c r="A1962" s="2371">
        <v>9</v>
      </c>
      <c r="B1962" s="2385">
        <v>901.6</v>
      </c>
      <c r="C1962" s="2374"/>
      <c r="D1962" s="2374"/>
      <c r="E1962" s="2374"/>
      <c r="F1962" s="2374"/>
      <c r="G1962" s="2373" t="s">
        <v>3974</v>
      </c>
      <c r="H1962" s="2371" t="s">
        <v>3973</v>
      </c>
      <c r="I1962" s="180">
        <v>901.6</v>
      </c>
      <c r="J1962" s="181"/>
      <c r="K1962" s="181"/>
      <c r="L1962" s="1781" t="s">
        <v>3190</v>
      </c>
      <c r="M1962" s="1856" t="str">
        <f>IF(R1962,"Mandatory","N/A")</f>
        <v>Mandatory</v>
      </c>
      <c r="N1962" s="1046"/>
      <c r="O1962" s="1046"/>
      <c r="P1962" s="94" t="b">
        <v>0</v>
      </c>
      <c r="Q1962" s="94" t="b">
        <v>1</v>
      </c>
      <c r="R1962" s="105" t="b">
        <f>S1962</f>
        <v>1</v>
      </c>
      <c r="S1962" s="105" t="b">
        <v>1</v>
      </c>
      <c r="T1962" s="105" t="b">
        <v>0</v>
      </c>
      <c r="U1962" s="105"/>
      <c r="V1962" s="105"/>
      <c r="W1962" s="25"/>
      <c r="X1962" s="1784"/>
      <c r="Y1962" s="2097" t="str">
        <f>IF(LEN('Ch9'!X96)=0,"None",'Ch9'!X96)</f>
        <v>None</v>
      </c>
      <c r="Z1962" s="2085"/>
      <c r="AA1962" s="1526"/>
      <c r="AB1962" s="648"/>
      <c r="AC1962" s="970" t="b">
        <f>OR(AD1962:AE1962)</f>
        <v>1</v>
      </c>
      <c r="AD1962" s="970" t="b">
        <v>0</v>
      </c>
      <c r="AE1962" s="970" t="b">
        <f>AND(R1962,NOT(W1962))</f>
        <v>1</v>
      </c>
      <c r="AF1962" s="784"/>
      <c r="AG1962" s="648"/>
      <c r="AH1962" s="648"/>
      <c r="AI1962" s="648"/>
      <c r="AJ1962" s="648"/>
      <c r="AK1962" s="648"/>
      <c r="AL1962" s="254" t="str">
        <f>SUBSTITUTE(SUBSTITUTE(SUBSTITUTE("vpa"&amp;$B1962&amp;$C1962&amp;$D1962&amp;$E1962,".","_"),"(","_"),")","")</f>
        <v>vpa901_6</v>
      </c>
      <c r="AM1962" s="254" t="str">
        <f>M1962</f>
        <v>Mandatory</v>
      </c>
      <c r="AN1962" s="1336"/>
      <c r="AO1962" s="1336"/>
      <c r="AP1962" s="254" t="str">
        <f>SUBSTITUTE(SUBSTITUTE(SUBSTITUTE("vch"&amp;$B1962&amp;$C1962&amp;$D1962&amp;$E1962,".","_"),"(","_"),")","")</f>
        <v>vch901_6</v>
      </c>
      <c r="AQ1962" s="254" t="str">
        <f>IF(LEN(W1962)=0,"",W1962)</f>
        <v/>
      </c>
      <c r="AR1962" s="254" t="str">
        <f>SUBSTITUTE(SUBSTITUTE(SUBSTITUTE("vnt"&amp;$B1962&amp;$C1962&amp;$D1962&amp;$E1962,".","_"),"(","_"),")","")</f>
        <v>vnt901_6</v>
      </c>
      <c r="AS1962" s="254" t="str">
        <f>IF(LEN(X1962)=0,"",X1962)</f>
        <v/>
      </c>
      <c r="AT1962" s="648"/>
      <c r="AU1962" s="648"/>
      <c r="AV1962" s="648"/>
      <c r="AW1962" s="648"/>
      <c r="AX1962" s="648"/>
      <c r="AY1962" s="648"/>
      <c r="AZ1962" s="648"/>
      <c r="BA1962" s="648"/>
      <c r="BB1962" s="648"/>
      <c r="BC1962" s="648"/>
      <c r="BD1962" s="648"/>
      <c r="BE1962" s="648"/>
      <c r="BF1962" s="648"/>
      <c r="BG1962" s="648"/>
      <c r="BH1962" s="648"/>
    </row>
    <row r="1963" spans="1:60" ht="15.75" thickBot="1" x14ac:dyDescent="0.3">
      <c r="A1963" s="2371">
        <v>9</v>
      </c>
      <c r="B1963" s="2385">
        <v>901.6</v>
      </c>
      <c r="C1963" s="2374"/>
      <c r="D1963" s="2374"/>
      <c r="E1963" s="2374"/>
      <c r="F1963" s="2374"/>
      <c r="G1963" s="2373" t="s">
        <v>3974</v>
      </c>
      <c r="H1963" s="2371" t="s">
        <v>3973</v>
      </c>
      <c r="I1963" s="481"/>
      <c r="J1963" s="240"/>
      <c r="K1963" s="240"/>
      <c r="L1963" s="1797"/>
      <c r="M1963" s="1839"/>
      <c r="N1963" s="1045"/>
      <c r="O1963" s="1045"/>
      <c r="P1963" s="99"/>
      <c r="Q1963" s="99"/>
      <c r="R1963" s="99"/>
      <c r="S1963" s="99"/>
      <c r="T1963" s="99"/>
      <c r="U1963" s="99"/>
      <c r="V1963" s="99"/>
      <c r="W1963" s="99"/>
      <c r="X1963" s="1771"/>
      <c r="Y1963" s="2082"/>
      <c r="Z1963" s="2086"/>
      <c r="AA1963" s="1526"/>
      <c r="AB1963" s="648"/>
      <c r="AC1963" s="970"/>
      <c r="AD1963" s="970"/>
      <c r="AE1963" s="970"/>
      <c r="AF1963" s="648"/>
      <c r="AG1963" s="648"/>
      <c r="AH1963" s="648"/>
      <c r="AI1963" s="648"/>
      <c r="AJ1963" s="648"/>
      <c r="AK1963" s="648"/>
      <c r="AL1963" s="1336"/>
      <c r="AM1963" s="1336"/>
      <c r="AN1963" s="1336"/>
      <c r="AO1963" s="1336"/>
      <c r="AP1963" s="1336"/>
      <c r="AQ1963" s="1336"/>
      <c r="AR1963" s="1336"/>
      <c r="AS1963" s="1336"/>
      <c r="AT1963" s="648"/>
      <c r="AU1963" s="648"/>
      <c r="AV1963" s="648"/>
      <c r="AW1963" s="648"/>
      <c r="AX1963" s="648"/>
      <c r="AY1963" s="648"/>
      <c r="AZ1963" s="648"/>
      <c r="BA1963" s="648"/>
      <c r="BB1963" s="648"/>
      <c r="BC1963" s="648"/>
      <c r="BD1963" s="648"/>
      <c r="BE1963" s="648"/>
      <c r="BF1963" s="648"/>
      <c r="BG1963" s="648"/>
      <c r="BH1963" s="648"/>
    </row>
    <row r="1964" spans="1:60" ht="15.75" customHeight="1" thickTop="1" x14ac:dyDescent="0.25">
      <c r="A1964" s="2371">
        <v>9</v>
      </c>
      <c r="B1964" s="2385">
        <v>901.7</v>
      </c>
      <c r="C1964" s="2374"/>
      <c r="D1964" s="2374"/>
      <c r="E1964" s="2374"/>
      <c r="F1964" s="2374"/>
      <c r="G1964" s="2373" t="str">
        <f>IF(N1964&gt;0,"P","")</f>
        <v/>
      </c>
      <c r="H1964" s="2371" t="s">
        <v>3973</v>
      </c>
      <c r="I1964" s="64">
        <v>901.7</v>
      </c>
      <c r="J1964" s="4"/>
      <c r="K1964" s="4"/>
      <c r="L1964" s="1796" t="s">
        <v>5593</v>
      </c>
      <c r="M1964" s="1846" t="s">
        <v>3374</v>
      </c>
      <c r="N1964" s="2075">
        <f>'Ch9'!O98</f>
        <v>0</v>
      </c>
      <c r="O1964" s="2075">
        <f>MIN(8,ROUNDDOWN(W1971/0.1,0)+ROUNDDOWN(W1981/0.1,0)+ROUNDDOWN(W1982*1.33/0.1,0))</f>
        <v>0</v>
      </c>
      <c r="P1964" s="648"/>
      <c r="Q1964" s="648"/>
      <c r="R1964" s="648"/>
      <c r="S1964" s="648"/>
      <c r="T1964" s="648"/>
      <c r="U1964" s="648"/>
      <c r="V1964" s="648"/>
      <c r="W1964" s="648"/>
      <c r="X1964" s="648"/>
      <c r="Y1964" s="648"/>
      <c r="AA1964" s="1526"/>
      <c r="AB1964" s="648"/>
      <c r="AC1964" s="970"/>
      <c r="AD1964" s="970"/>
      <c r="AE1964" s="970"/>
      <c r="AF1964" s="648"/>
      <c r="AG1964" s="648"/>
      <c r="AH1964" s="648"/>
      <c r="AI1964" s="648"/>
      <c r="AJ1964" s="648"/>
      <c r="AK1964" s="648"/>
      <c r="AL1964" s="254" t="str">
        <f>SUBSTITUTE(SUBSTITUTE(SUBSTITUTE("vpa"&amp;$B1964&amp;$C1964&amp;$D1964&amp;$E1964,".","_"),"(","_"),")","")</f>
        <v>vpa901_7</v>
      </c>
      <c r="AM1964" s="254" t="str">
        <f>M1964</f>
        <v>1
8 Max</v>
      </c>
      <c r="AN1964" s="254" t="str">
        <f>SUBSTITUTE(SUBSTITUTE(SUBSTITUTE("vpc"&amp;$B1964&amp;$C1964&amp;$D1964&amp;$E1964,".","_"),"(","_"),")","")</f>
        <v>vpc901_7</v>
      </c>
      <c r="AO1964" s="254">
        <f>O1964</f>
        <v>0</v>
      </c>
      <c r="AP1964" s="1336"/>
      <c r="AQ1964" s="1336"/>
      <c r="AR1964" s="1336"/>
      <c r="AS1964" s="1336"/>
      <c r="AT1964" s="648"/>
      <c r="AU1964" s="648"/>
      <c r="AV1964" s="648"/>
      <c r="AW1964" s="648"/>
      <c r="AX1964" s="648"/>
      <c r="AY1964" s="648"/>
      <c r="AZ1964" s="648"/>
      <c r="BA1964" s="648"/>
      <c r="BB1964" s="648"/>
      <c r="BC1964" s="648"/>
      <c r="BD1964" s="648"/>
      <c r="BE1964" s="648"/>
      <c r="BF1964" s="648"/>
      <c r="BG1964" s="648"/>
      <c r="BH1964" s="648"/>
    </row>
    <row r="1965" spans="1:60" x14ac:dyDescent="0.25">
      <c r="A1965" s="2371">
        <v>9</v>
      </c>
      <c r="B1965" s="2385">
        <v>901.7</v>
      </c>
      <c r="C1965" s="2374"/>
      <c r="D1965" s="2374"/>
      <c r="E1965" s="2374"/>
      <c r="F1965" s="2374"/>
      <c r="G1965" s="2373" t="str">
        <f t="shared" ref="G1965:G1984" si="112">G1964</f>
        <v/>
      </c>
      <c r="H1965" s="2371" t="s">
        <v>3973</v>
      </c>
      <c r="I1965" s="164"/>
      <c r="J1965" s="4"/>
      <c r="K1965" s="4"/>
      <c r="L1965" s="1796"/>
      <c r="M1965" s="1846"/>
      <c r="N1965" s="2075"/>
      <c r="O1965" s="2075"/>
      <c r="P1965" s="648"/>
      <c r="Q1965" s="648"/>
      <c r="R1965" s="648"/>
      <c r="S1965" s="648"/>
      <c r="T1965" s="648"/>
      <c r="U1965" s="648"/>
      <c r="V1965" s="648"/>
      <c r="W1965" s="648"/>
      <c r="X1965" s="648"/>
      <c r="Y1965" s="648"/>
      <c r="AA1965" s="1526"/>
      <c r="AB1965" s="648"/>
      <c r="AC1965" s="970"/>
      <c r="AD1965" s="970"/>
      <c r="AE1965" s="970"/>
      <c r="AF1965" s="648"/>
      <c r="AG1965" s="648"/>
      <c r="AH1965" s="648"/>
      <c r="AI1965" s="648"/>
      <c r="AJ1965" s="648"/>
      <c r="AK1965" s="648"/>
      <c r="AL1965" s="1336"/>
      <c r="AM1965" s="1336"/>
      <c r="AN1965" s="1336"/>
      <c r="AO1965" s="1336"/>
      <c r="AP1965" s="1336"/>
      <c r="AQ1965" s="1336"/>
      <c r="AR1965" s="1336"/>
      <c r="AS1965" s="1336"/>
      <c r="AT1965" s="648"/>
      <c r="AU1965" s="648"/>
      <c r="AV1965" s="648"/>
      <c r="AW1965" s="648"/>
      <c r="AX1965" s="648"/>
      <c r="AY1965" s="648"/>
      <c r="AZ1965" s="648"/>
      <c r="BA1965" s="648"/>
      <c r="BB1965" s="648"/>
      <c r="BC1965" s="648"/>
      <c r="BD1965" s="648"/>
      <c r="BE1965" s="648"/>
      <c r="BF1965" s="648"/>
      <c r="BG1965" s="648"/>
      <c r="BH1965" s="648"/>
    </row>
    <row r="1966" spans="1:60" x14ac:dyDescent="0.25">
      <c r="A1966" s="2371">
        <v>9</v>
      </c>
      <c r="B1966" s="2385">
        <v>901.7</v>
      </c>
      <c r="C1966" s="2374"/>
      <c r="D1966" s="2374"/>
      <c r="E1966" s="2374"/>
      <c r="F1966" s="2374"/>
      <c r="G1966" s="2373" t="str">
        <f t="shared" si="112"/>
        <v/>
      </c>
      <c r="H1966" s="2371" t="s">
        <v>3973</v>
      </c>
      <c r="I1966" s="164"/>
      <c r="J1966" s="4"/>
      <c r="K1966" s="4"/>
      <c r="L1966" s="1796"/>
      <c r="M1966" s="1846"/>
      <c r="N1966" s="2075"/>
      <c r="O1966" s="2075"/>
      <c r="P1966" s="648"/>
      <c r="Q1966" s="648"/>
      <c r="R1966" s="648"/>
      <c r="S1966" s="648"/>
      <c r="T1966" s="648"/>
      <c r="U1966" s="648"/>
      <c r="V1966" s="648"/>
      <c r="W1966" s="648"/>
      <c r="X1966" s="648"/>
      <c r="Y1966" s="648"/>
      <c r="AA1966" s="1526"/>
      <c r="AB1966" s="648"/>
      <c r="AC1966" s="970"/>
      <c r="AD1966" s="970"/>
      <c r="AE1966" s="970"/>
      <c r="AF1966" s="648"/>
      <c r="AG1966" s="648"/>
      <c r="AH1966" s="648"/>
      <c r="AI1966" s="648"/>
      <c r="AJ1966" s="648"/>
      <c r="AK1966" s="648"/>
      <c r="AL1966" s="1336"/>
      <c r="AM1966" s="1336"/>
      <c r="AN1966" s="1336"/>
      <c r="AO1966" s="1336"/>
      <c r="AP1966" s="1336"/>
      <c r="AQ1966" s="1336"/>
      <c r="AR1966" s="1336"/>
      <c r="AS1966" s="1336"/>
      <c r="AT1966" s="648"/>
      <c r="AU1966" s="648"/>
      <c r="AV1966" s="648"/>
      <c r="AW1966" s="648"/>
      <c r="AX1966" s="648"/>
      <c r="AY1966" s="648"/>
      <c r="AZ1966" s="648"/>
      <c r="BA1966" s="648"/>
      <c r="BB1966" s="648"/>
      <c r="BC1966" s="648"/>
      <c r="BD1966" s="648"/>
      <c r="BE1966" s="648"/>
      <c r="BF1966" s="648"/>
      <c r="BG1966" s="648"/>
      <c r="BH1966" s="648"/>
    </row>
    <row r="1967" spans="1:60" x14ac:dyDescent="0.25">
      <c r="A1967" s="2371">
        <v>9</v>
      </c>
      <c r="B1967" s="2385">
        <v>901.7</v>
      </c>
      <c r="C1967" s="2374"/>
      <c r="D1967" s="2374"/>
      <c r="E1967" s="2374"/>
      <c r="F1967" s="2374"/>
      <c r="G1967" s="2373" t="str">
        <f t="shared" si="112"/>
        <v/>
      </c>
      <c r="H1967" s="2371" t="s">
        <v>3973</v>
      </c>
      <c r="I1967" s="164"/>
      <c r="J1967" s="4"/>
      <c r="K1967" s="4"/>
      <c r="L1967" s="1796"/>
      <c r="M1967" s="1846"/>
      <c r="N1967" s="2075"/>
      <c r="O1967" s="2075"/>
      <c r="P1967" s="648"/>
      <c r="Q1967" s="648"/>
      <c r="R1967" s="648"/>
      <c r="S1967" s="648"/>
      <c r="T1967" s="648"/>
      <c r="U1967" s="648"/>
      <c r="V1967" s="648"/>
      <c r="W1967" s="648"/>
      <c r="X1967" s="648"/>
      <c r="Y1967" s="648"/>
      <c r="AA1967" s="1526"/>
      <c r="AB1967" s="648"/>
      <c r="AC1967" s="970"/>
      <c r="AD1967" s="970"/>
      <c r="AE1967" s="970"/>
      <c r="AF1967" s="648"/>
      <c r="AG1967" s="648"/>
      <c r="AH1967" s="648"/>
      <c r="AI1967" s="648"/>
      <c r="AJ1967" s="648"/>
      <c r="AK1967" s="648"/>
      <c r="AL1967" s="1336"/>
      <c r="AM1967" s="1336"/>
      <c r="AN1967" s="1336"/>
      <c r="AO1967" s="1336"/>
      <c r="AP1967" s="1336"/>
      <c r="AQ1967" s="1336"/>
      <c r="AR1967" s="1336"/>
      <c r="AS1967" s="1336"/>
      <c r="AT1967" s="648"/>
      <c r="AU1967" s="648"/>
      <c r="AV1967" s="648"/>
      <c r="AW1967" s="648"/>
      <c r="AX1967" s="648"/>
      <c r="AY1967" s="648"/>
      <c r="AZ1967" s="648"/>
      <c r="BA1967" s="648"/>
      <c r="BB1967" s="648"/>
      <c r="BC1967" s="648"/>
      <c r="BD1967" s="648"/>
      <c r="BE1967" s="648"/>
      <c r="BF1967" s="648"/>
      <c r="BG1967" s="648"/>
      <c r="BH1967" s="648"/>
    </row>
    <row r="1968" spans="1:60" x14ac:dyDescent="0.25">
      <c r="A1968" s="2371">
        <v>9</v>
      </c>
      <c r="B1968" s="2385">
        <v>901.7</v>
      </c>
      <c r="C1968" s="2374"/>
      <c r="D1968" s="2374"/>
      <c r="E1968" s="2374"/>
      <c r="F1968" s="2374"/>
      <c r="G1968" s="2373" t="str">
        <f t="shared" si="112"/>
        <v/>
      </c>
      <c r="H1968" s="2371" t="s">
        <v>3973</v>
      </c>
      <c r="I1968" s="164"/>
      <c r="J1968" s="4"/>
      <c r="K1968" s="4"/>
      <c r="L1968" s="1796"/>
      <c r="M1968" s="1846"/>
      <c r="N1968" s="2075"/>
      <c r="O1968" s="2075"/>
      <c r="P1968" s="648"/>
      <c r="Q1968" s="648"/>
      <c r="R1968" s="648"/>
      <c r="S1968" s="648"/>
      <c r="T1968" s="648"/>
      <c r="U1968" s="648"/>
      <c r="V1968" s="648"/>
      <c r="W1968" s="648"/>
      <c r="X1968" s="648"/>
      <c r="Y1968" s="648"/>
      <c r="AA1968" s="1526"/>
      <c r="AB1968" s="648"/>
      <c r="AC1968" s="970"/>
      <c r="AD1968" s="970"/>
      <c r="AE1968" s="970"/>
      <c r="AF1968" s="648"/>
      <c r="AG1968" s="648"/>
      <c r="AH1968" s="648"/>
      <c r="AI1968" s="648"/>
      <c r="AJ1968" s="648"/>
      <c r="AK1968" s="648"/>
      <c r="AL1968" s="1336"/>
      <c r="AM1968" s="1336"/>
      <c r="AN1968" s="1336"/>
      <c r="AO1968" s="1336"/>
      <c r="AP1968" s="1336"/>
      <c r="AQ1968" s="1336"/>
      <c r="AR1968" s="1336"/>
      <c r="AS1968" s="1336"/>
      <c r="AT1968" s="648"/>
      <c r="AU1968" s="648"/>
      <c r="AV1968" s="648"/>
      <c r="AW1968" s="648"/>
      <c r="AX1968" s="648"/>
      <c r="AY1968" s="648"/>
      <c r="AZ1968" s="648"/>
      <c r="BA1968" s="648"/>
      <c r="BB1968" s="648"/>
      <c r="BC1968" s="648"/>
      <c r="BD1968" s="648"/>
      <c r="BE1968" s="648"/>
      <c r="BF1968" s="648"/>
      <c r="BG1968" s="648"/>
      <c r="BH1968" s="648"/>
    </row>
    <row r="1969" spans="1:60" x14ac:dyDescent="0.25">
      <c r="A1969" s="2371">
        <v>9</v>
      </c>
      <c r="B1969" s="2385">
        <v>901.7</v>
      </c>
      <c r="C1969" s="2374"/>
      <c r="D1969" s="2374"/>
      <c r="E1969" s="2374"/>
      <c r="F1969" s="2374"/>
      <c r="G1969" s="2373" t="str">
        <f t="shared" si="112"/>
        <v/>
      </c>
      <c r="H1969" s="2371" t="s">
        <v>3973</v>
      </c>
      <c r="I1969" s="164"/>
      <c r="J1969" s="4"/>
      <c r="K1969" s="4"/>
      <c r="L1969" s="1851" t="s">
        <v>3192</v>
      </c>
      <c r="M1969" s="1846"/>
      <c r="N1969" s="2075"/>
      <c r="O1969" s="2075"/>
      <c r="P1969" s="648"/>
      <c r="Q1969" s="648"/>
      <c r="R1969" s="648"/>
      <c r="S1969" s="648"/>
      <c r="T1969" s="648"/>
      <c r="U1969" s="648"/>
      <c r="V1969" s="648"/>
      <c r="W1969" s="648"/>
      <c r="X1969" s="648"/>
      <c r="Y1969" s="648"/>
      <c r="AA1969" s="1526"/>
      <c r="AB1969" s="648"/>
      <c r="AC1969" s="970"/>
      <c r="AD1969" s="970"/>
      <c r="AE1969" s="970"/>
      <c r="AF1969" s="648"/>
      <c r="AG1969" s="648"/>
      <c r="AH1969" s="648"/>
      <c r="AI1969" s="648"/>
      <c r="AJ1969" s="648"/>
      <c r="AK1969" s="648"/>
      <c r="AL1969" s="1336"/>
      <c r="AM1969" s="1336"/>
      <c r="AN1969" s="1336"/>
      <c r="AO1969" s="1336"/>
      <c r="AP1969" s="1336"/>
      <c r="AQ1969" s="1336"/>
      <c r="AR1969" s="1336"/>
      <c r="AS1969" s="1336"/>
      <c r="AT1969" s="648"/>
      <c r="AU1969" s="648"/>
      <c r="AV1969" s="648"/>
      <c r="AW1969" s="648"/>
      <c r="AX1969" s="648"/>
      <c r="AY1969" s="648"/>
      <c r="AZ1969" s="648"/>
      <c r="BA1969" s="648"/>
      <c r="BB1969" s="648"/>
      <c r="BC1969" s="648"/>
      <c r="BD1969" s="648"/>
      <c r="BE1969" s="648"/>
      <c r="BF1969" s="648"/>
      <c r="BG1969" s="648"/>
      <c r="BH1969" s="648"/>
    </row>
    <row r="1970" spans="1:60" x14ac:dyDescent="0.25">
      <c r="A1970" s="2371">
        <v>9</v>
      </c>
      <c r="B1970" s="2385">
        <v>901.7</v>
      </c>
      <c r="C1970" s="2374"/>
      <c r="D1970" s="2374"/>
      <c r="E1970" s="2374"/>
      <c r="F1970" s="2374"/>
      <c r="G1970" s="2373" t="str">
        <f t="shared" si="112"/>
        <v/>
      </c>
      <c r="H1970" s="2371" t="s">
        <v>3973</v>
      </c>
      <c r="I1970" s="164"/>
      <c r="J1970" s="4"/>
      <c r="K1970" s="4"/>
      <c r="L1970" s="1851"/>
      <c r="M1970" s="1846"/>
      <c r="N1970" s="2075"/>
      <c r="O1970" s="2075"/>
      <c r="P1970" s="648"/>
      <c r="Q1970" s="648"/>
      <c r="R1970" s="648"/>
      <c r="S1970" s="648"/>
      <c r="T1970" s="648"/>
      <c r="U1970" s="648"/>
      <c r="V1970" s="648"/>
      <c r="W1970" s="648" t="s">
        <v>3662</v>
      </c>
      <c r="X1970" s="648"/>
      <c r="Y1970" s="648"/>
      <c r="AA1970" s="1526"/>
      <c r="AB1970" s="648"/>
      <c r="AC1970" s="970"/>
      <c r="AD1970" s="970"/>
      <c r="AE1970" s="970"/>
      <c r="AF1970" s="648"/>
      <c r="AG1970" s="648"/>
      <c r="AH1970" s="648"/>
      <c r="AI1970" s="648"/>
      <c r="AJ1970" s="648"/>
      <c r="AK1970" s="648"/>
      <c r="AL1970" s="1336"/>
      <c r="AM1970" s="1336"/>
      <c r="AN1970" s="1336"/>
      <c r="AO1970" s="1336"/>
      <c r="AP1970" s="1336"/>
      <c r="AQ1970" s="1336"/>
      <c r="AR1970" s="1336"/>
      <c r="AS1970" s="1336"/>
      <c r="AT1970" s="648"/>
      <c r="AU1970" s="648"/>
      <c r="AV1970" s="648"/>
      <c r="AW1970" s="648"/>
      <c r="AX1970" s="648"/>
      <c r="AY1970" s="648"/>
      <c r="AZ1970" s="648"/>
      <c r="BA1970" s="648"/>
      <c r="BB1970" s="648"/>
      <c r="BC1970" s="648"/>
      <c r="BD1970" s="648"/>
      <c r="BE1970" s="648"/>
      <c r="BF1970" s="648"/>
      <c r="BG1970" s="648"/>
      <c r="BH1970" s="648"/>
    </row>
    <row r="1971" spans="1:60" x14ac:dyDescent="0.25">
      <c r="A1971" s="2371">
        <v>9</v>
      </c>
      <c r="B1971" s="2385">
        <v>901.7</v>
      </c>
      <c r="C1971" s="2374" t="s">
        <v>256</v>
      </c>
      <c r="D1971" s="2383"/>
      <c r="E1971" s="2383"/>
      <c r="F1971" s="2402"/>
      <c r="G1971" s="2373" t="str">
        <f t="shared" si="112"/>
        <v/>
      </c>
      <c r="H1971" s="2386" t="s">
        <v>3973</v>
      </c>
      <c r="I1971" s="164"/>
      <c r="J1971" s="27" t="s">
        <v>256</v>
      </c>
      <c r="K1971" s="4"/>
      <c r="L1971" s="1779" t="s">
        <v>3193</v>
      </c>
      <c r="M1971" s="1014"/>
      <c r="N1971" s="1042"/>
      <c r="O1971" s="1042"/>
      <c r="P1971" s="94" t="b">
        <v>0</v>
      </c>
      <c r="Q1971" s="94" t="b">
        <v>1</v>
      </c>
      <c r="R1971" s="648" t="b">
        <v>0</v>
      </c>
      <c r="S1971" s="648" t="b">
        <v>1</v>
      </c>
      <c r="T1971" s="648" t="b">
        <f>SUM(W1971,W1981,W1982)&gt;1</f>
        <v>0</v>
      </c>
      <c r="U1971" s="648"/>
      <c r="V1971" s="648"/>
      <c r="W1971" s="487"/>
      <c r="X1971" s="1757"/>
      <c r="Y1971" s="2077" t="str">
        <f>IF(LEN('Ch9'!X105)=0,"None",'Ch9'!X105)</f>
        <v>None</v>
      </c>
      <c r="Z1971" s="2083"/>
      <c r="AA1971" s="1526"/>
      <c r="AB1971" s="648"/>
      <c r="AC1971" s="970" t="b">
        <f>OR(AD1971:AE1971)</f>
        <v>0</v>
      </c>
      <c r="AD1971" s="970" t="b">
        <f>T1971</f>
        <v>0</v>
      </c>
      <c r="AE1971" s="970"/>
      <c r="AF1971" s="784"/>
      <c r="AG1971" s="648"/>
      <c r="AH1971" s="648"/>
      <c r="AI1971" s="648"/>
      <c r="AJ1971" s="648"/>
      <c r="AK1971" s="648"/>
      <c r="AL1971" s="1336"/>
      <c r="AM1971" s="1336"/>
      <c r="AN1971" s="1336"/>
      <c r="AO1971" s="1336"/>
      <c r="AP1971" s="254" t="str">
        <f>SUBSTITUTE(SUBSTITUTE(SUBSTITUTE("vch"&amp;$B1971&amp;$C1971&amp;$D1971&amp;$E1971,".","_"),"(","_"),")","")</f>
        <v>vch901_7_1</v>
      </c>
      <c r="AQ1971" s="254" t="str">
        <f>IF(LEN(W1971)=0,"",W1971)</f>
        <v/>
      </c>
      <c r="AR1971" s="254" t="str">
        <f>SUBSTITUTE(SUBSTITUTE(SUBSTITUTE("vnt"&amp;$B1971&amp;$C1971&amp;$D1971&amp;$E1971,".","_"),"(","_"),")","")</f>
        <v>vnt901_7_1</v>
      </c>
      <c r="AS1971" s="254" t="str">
        <f>IF(LEN(X1971)=0,"",X1971)</f>
        <v/>
      </c>
      <c r="AT1971" s="648"/>
      <c r="AU1971" s="648"/>
      <c r="AV1971" s="648"/>
      <c r="AW1971" s="648"/>
      <c r="AX1971" s="648"/>
      <c r="AY1971" s="648"/>
      <c r="AZ1971" s="648"/>
      <c r="BA1971" s="648"/>
      <c r="BB1971" s="648"/>
      <c r="BC1971" s="648"/>
      <c r="BD1971" s="648"/>
      <c r="BE1971" s="648"/>
      <c r="BF1971" s="648"/>
      <c r="BG1971" s="648"/>
      <c r="BH1971" s="648"/>
    </row>
    <row r="1972" spans="1:60" x14ac:dyDescent="0.25">
      <c r="A1972" s="2371">
        <v>9</v>
      </c>
      <c r="B1972" s="2385">
        <v>901.7</v>
      </c>
      <c r="C1972" s="2374" t="s">
        <v>256</v>
      </c>
      <c r="D1972" s="2383"/>
      <c r="E1972" s="2383"/>
      <c r="F1972" s="2402"/>
      <c r="G1972" s="2373" t="str">
        <f t="shared" si="112"/>
        <v/>
      </c>
      <c r="H1972" s="2386" t="s">
        <v>3973</v>
      </c>
      <c r="I1972" s="164"/>
      <c r="J1972" s="4"/>
      <c r="K1972" s="4"/>
      <c r="L1972" s="1779"/>
      <c r="M1972" s="1014"/>
      <c r="N1972" s="1042"/>
      <c r="O1972" s="1042"/>
      <c r="P1972" s="648"/>
      <c r="Q1972" s="648"/>
      <c r="R1972" s="648"/>
      <c r="S1972" s="648"/>
      <c r="T1972" s="648"/>
      <c r="U1972" s="648"/>
      <c r="V1972" s="648"/>
      <c r="W1972" s="648"/>
      <c r="X1972" s="1757"/>
      <c r="Y1972" s="2077"/>
      <c r="Z1972" s="2083"/>
      <c r="AA1972" s="1526"/>
      <c r="AB1972" s="648"/>
      <c r="AC1972" s="970"/>
      <c r="AD1972" s="970"/>
      <c r="AE1972" s="970"/>
      <c r="AF1972" s="648"/>
      <c r="AG1972" s="648"/>
      <c r="AH1972" s="648"/>
      <c r="AI1972" s="648"/>
      <c r="AJ1972" s="648"/>
      <c r="AK1972" s="648"/>
      <c r="AL1972" s="1336"/>
      <c r="AM1972" s="1336"/>
      <c r="AN1972" s="1336"/>
      <c r="AO1972" s="1336"/>
      <c r="AP1972" s="1336"/>
      <c r="AQ1972" s="1336"/>
      <c r="AR1972" s="1336"/>
      <c r="AS1972" s="1336"/>
      <c r="AT1972" s="648"/>
      <c r="AU1972" s="648"/>
      <c r="AV1972" s="648"/>
      <c r="AW1972" s="648"/>
      <c r="AX1972" s="648"/>
      <c r="AY1972" s="648"/>
      <c r="AZ1972" s="648"/>
      <c r="BA1972" s="648"/>
      <c r="BB1972" s="648"/>
      <c r="BC1972" s="648"/>
      <c r="BD1972" s="648"/>
      <c r="BE1972" s="648"/>
      <c r="BF1972" s="648"/>
      <c r="BG1972" s="648"/>
      <c r="BH1972" s="648"/>
    </row>
    <row r="1973" spans="1:60" x14ac:dyDescent="0.25">
      <c r="A1973" s="2371">
        <v>9</v>
      </c>
      <c r="B1973" s="2385">
        <v>901.7</v>
      </c>
      <c r="C1973" s="2374" t="s">
        <v>256</v>
      </c>
      <c r="D1973" s="2383"/>
      <c r="E1973" s="2383"/>
      <c r="F1973" s="2402"/>
      <c r="G1973" s="2373" t="str">
        <f t="shared" si="112"/>
        <v/>
      </c>
      <c r="H1973" s="2386" t="s">
        <v>3973</v>
      </c>
      <c r="I1973" s="164"/>
      <c r="J1973" s="4"/>
      <c r="K1973" s="4"/>
      <c r="L1973" s="1779"/>
      <c r="M1973" s="1014"/>
      <c r="N1973" s="1042"/>
      <c r="O1973" s="1042"/>
      <c r="P1973" s="648"/>
      <c r="Q1973" s="648"/>
      <c r="R1973" s="648"/>
      <c r="S1973" s="648"/>
      <c r="T1973" s="648"/>
      <c r="U1973" s="648"/>
      <c r="V1973" s="648"/>
      <c r="W1973" s="648"/>
      <c r="X1973" s="1757"/>
      <c r="Y1973" s="2077"/>
      <c r="Z1973" s="2083"/>
      <c r="AA1973" s="1526"/>
      <c r="AB1973" s="648"/>
      <c r="AC1973" s="970"/>
      <c r="AD1973" s="970"/>
      <c r="AE1973" s="970"/>
      <c r="AF1973" s="648"/>
      <c r="AG1973" s="648"/>
      <c r="AH1973" s="648"/>
      <c r="AI1973" s="648"/>
      <c r="AJ1973" s="648"/>
      <c r="AK1973" s="648"/>
      <c r="AL1973" s="1336"/>
      <c r="AM1973" s="1336"/>
      <c r="AN1973" s="1336"/>
      <c r="AO1973" s="1336"/>
      <c r="AP1973" s="1336"/>
      <c r="AQ1973" s="1336"/>
      <c r="AR1973" s="1336"/>
      <c r="AS1973" s="1336"/>
      <c r="AT1973" s="648"/>
      <c r="AU1973" s="648"/>
      <c r="AV1973" s="648"/>
      <c r="AW1973" s="648"/>
      <c r="AX1973" s="648"/>
      <c r="AY1973" s="648"/>
      <c r="AZ1973" s="648"/>
      <c r="BA1973" s="648"/>
      <c r="BB1973" s="648"/>
      <c r="BC1973" s="648"/>
      <c r="BD1973" s="648"/>
      <c r="BE1973" s="648"/>
      <c r="BF1973" s="648"/>
      <c r="BG1973" s="648"/>
      <c r="BH1973" s="648"/>
    </row>
    <row r="1974" spans="1:60" x14ac:dyDescent="0.25">
      <c r="A1974" s="2371">
        <v>9</v>
      </c>
      <c r="B1974" s="2385">
        <v>901.7</v>
      </c>
      <c r="C1974" s="2374" t="s">
        <v>256</v>
      </c>
      <c r="D1974" s="2383"/>
      <c r="E1974" s="2383"/>
      <c r="F1974" s="2402"/>
      <c r="G1974" s="2373" t="str">
        <f t="shared" si="112"/>
        <v/>
      </c>
      <c r="H1974" s="2386" t="s">
        <v>3973</v>
      </c>
      <c r="I1974" s="164"/>
      <c r="J1974" s="4"/>
      <c r="K1974" s="4"/>
      <c r="L1974" s="1779"/>
      <c r="M1974" s="1014"/>
      <c r="N1974" s="1042"/>
      <c r="O1974" s="1042"/>
      <c r="P1974" s="648"/>
      <c r="Q1974" s="648"/>
      <c r="R1974" s="648"/>
      <c r="S1974" s="648"/>
      <c r="T1974" s="648"/>
      <c r="U1974" s="648"/>
      <c r="V1974" s="648"/>
      <c r="W1974" s="648"/>
      <c r="X1974" s="1757"/>
      <c r="Y1974" s="2077"/>
      <c r="Z1974" s="2083"/>
      <c r="AA1974" s="1526"/>
      <c r="AB1974" s="648"/>
      <c r="AC1974" s="970"/>
      <c r="AD1974" s="970"/>
      <c r="AE1974" s="970"/>
      <c r="AF1974" s="648"/>
      <c r="AG1974" s="648"/>
      <c r="AH1974" s="648"/>
      <c r="AI1974" s="648"/>
      <c r="AJ1974" s="648"/>
      <c r="AK1974" s="648"/>
      <c r="AL1974" s="1336"/>
      <c r="AM1974" s="1336"/>
      <c r="AN1974" s="1336"/>
      <c r="AO1974" s="1336"/>
      <c r="AP1974" s="1336"/>
      <c r="AQ1974" s="1336"/>
      <c r="AR1974" s="1336"/>
      <c r="AS1974" s="1336"/>
      <c r="AT1974" s="648"/>
      <c r="AU1974" s="648"/>
      <c r="AV1974" s="648"/>
      <c r="AW1974" s="648"/>
      <c r="AX1974" s="648"/>
      <c r="AY1974" s="648"/>
      <c r="AZ1974" s="648"/>
      <c r="BA1974" s="648"/>
      <c r="BB1974" s="648"/>
      <c r="BC1974" s="648"/>
      <c r="BD1974" s="648"/>
      <c r="BE1974" s="648"/>
      <c r="BF1974" s="648"/>
      <c r="BG1974" s="648"/>
      <c r="BH1974" s="648"/>
    </row>
    <row r="1975" spans="1:60" x14ac:dyDescent="0.25">
      <c r="A1975" s="2371">
        <v>9</v>
      </c>
      <c r="B1975" s="2385">
        <v>901.7</v>
      </c>
      <c r="C1975" s="2374" t="s">
        <v>256</v>
      </c>
      <c r="D1975" s="2383" t="s">
        <v>121</v>
      </c>
      <c r="E1975" s="2383"/>
      <c r="F1975" s="2402"/>
      <c r="G1975" s="2373" t="str">
        <f t="shared" si="112"/>
        <v/>
      </c>
      <c r="H1975" s="2401" t="s">
        <v>3973</v>
      </c>
      <c r="I1975" s="164"/>
      <c r="J1975" s="4"/>
      <c r="K1975" s="27" t="s">
        <v>121</v>
      </c>
      <c r="L1975" s="1170" t="s">
        <v>3194</v>
      </c>
      <c r="M1975" s="1014"/>
      <c r="N1975" s="1042"/>
      <c r="O1975" s="1042"/>
      <c r="P1975" s="648"/>
      <c r="Q1975" s="648"/>
      <c r="R1975" s="648"/>
      <c r="S1975" s="648"/>
      <c r="T1975" s="648"/>
      <c r="U1975" s="648"/>
      <c r="V1975" s="648"/>
      <c r="W1975" s="648"/>
      <c r="X1975" s="1757"/>
      <c r="Y1975" s="2077"/>
      <c r="Z1975" s="2083"/>
      <c r="AA1975" s="1526"/>
      <c r="AB1975" s="648"/>
      <c r="AC1975" s="970"/>
      <c r="AD1975" s="970"/>
      <c r="AE1975" s="970"/>
      <c r="AF1975" s="648"/>
      <c r="AG1975" s="648"/>
      <c r="AH1975" s="648"/>
      <c r="AI1975" s="648"/>
      <c r="AJ1975" s="648"/>
      <c r="AK1975" s="648"/>
      <c r="AL1975" s="1336"/>
      <c r="AM1975" s="1336"/>
      <c r="AN1975" s="1336"/>
      <c r="AO1975" s="1336"/>
      <c r="AP1975" s="1336"/>
      <c r="AQ1975" s="1336"/>
      <c r="AR1975" s="1336"/>
      <c r="AS1975" s="1336"/>
      <c r="AT1975" s="648"/>
      <c r="AU1975" s="648"/>
      <c r="AV1975" s="648"/>
      <c r="AW1975" s="648"/>
      <c r="AX1975" s="648"/>
      <c r="AY1975" s="648"/>
      <c r="AZ1975" s="648"/>
      <c r="BA1975" s="648"/>
      <c r="BB1975" s="648"/>
      <c r="BC1975" s="648"/>
      <c r="BD1975" s="648"/>
      <c r="BE1975" s="648"/>
      <c r="BF1975" s="648"/>
      <c r="BG1975" s="648"/>
      <c r="BH1975" s="648"/>
    </row>
    <row r="1976" spans="1:60" x14ac:dyDescent="0.25">
      <c r="A1976" s="2371">
        <v>9</v>
      </c>
      <c r="B1976" s="2385">
        <v>901.7</v>
      </c>
      <c r="C1976" s="2374" t="s">
        <v>256</v>
      </c>
      <c r="D1976" s="2383" t="s">
        <v>122</v>
      </c>
      <c r="E1976" s="2383"/>
      <c r="F1976" s="2402"/>
      <c r="G1976" s="2373" t="str">
        <f t="shared" si="112"/>
        <v/>
      </c>
      <c r="H1976" s="2401" t="s">
        <v>3973</v>
      </c>
      <c r="I1976" s="164"/>
      <c r="J1976" s="4"/>
      <c r="K1976" s="27" t="s">
        <v>122</v>
      </c>
      <c r="L1976" s="1170" t="s">
        <v>3195</v>
      </c>
      <c r="M1976" s="1014"/>
      <c r="N1976" s="1042"/>
      <c r="O1976" s="1042"/>
      <c r="P1976" s="648"/>
      <c r="Q1976" s="648"/>
      <c r="R1976" s="648"/>
      <c r="S1976" s="648"/>
      <c r="T1976" s="648"/>
      <c r="U1976" s="648"/>
      <c r="V1976" s="648"/>
      <c r="W1976" s="648"/>
      <c r="X1976" s="1757"/>
      <c r="Y1976" s="2077"/>
      <c r="Z1976" s="2083"/>
      <c r="AA1976" s="1526"/>
      <c r="AB1976" s="648"/>
      <c r="AC1976" s="970"/>
      <c r="AD1976" s="970"/>
      <c r="AE1976" s="970"/>
      <c r="AF1976" s="648"/>
      <c r="AG1976" s="648"/>
      <c r="AH1976" s="648"/>
      <c r="AI1976" s="648"/>
      <c r="AJ1976" s="648"/>
      <c r="AK1976" s="648"/>
      <c r="AL1976" s="1336"/>
      <c r="AM1976" s="1336"/>
      <c r="AN1976" s="1336"/>
      <c r="AO1976" s="1336"/>
      <c r="AP1976" s="1336"/>
      <c r="AQ1976" s="1336"/>
      <c r="AR1976" s="1336"/>
      <c r="AS1976" s="1336"/>
      <c r="AT1976" s="648"/>
      <c r="AU1976" s="648"/>
      <c r="AV1976" s="648"/>
      <c r="AW1976" s="648"/>
      <c r="AX1976" s="648"/>
      <c r="AY1976" s="648"/>
      <c r="AZ1976" s="648"/>
      <c r="BA1976" s="648"/>
      <c r="BB1976" s="648"/>
      <c r="BC1976" s="648"/>
      <c r="BD1976" s="648"/>
      <c r="BE1976" s="648"/>
      <c r="BF1976" s="648"/>
      <c r="BG1976" s="648"/>
      <c r="BH1976" s="648"/>
    </row>
    <row r="1977" spans="1:60" x14ac:dyDescent="0.25">
      <c r="A1977" s="2371">
        <v>9</v>
      </c>
      <c r="B1977" s="2385">
        <v>901.7</v>
      </c>
      <c r="C1977" s="2374" t="s">
        <v>256</v>
      </c>
      <c r="D1977" s="2383" t="s">
        <v>123</v>
      </c>
      <c r="E1977" s="2383"/>
      <c r="F1977" s="2402"/>
      <c r="G1977" s="2373" t="str">
        <f t="shared" si="112"/>
        <v/>
      </c>
      <c r="H1977" s="2401" t="s">
        <v>3973</v>
      </c>
      <c r="I1977" s="164"/>
      <c r="J1977" s="4"/>
      <c r="K1977" s="27" t="s">
        <v>123</v>
      </c>
      <c r="L1977" s="1170" t="s">
        <v>3196</v>
      </c>
      <c r="M1977" s="1014"/>
      <c r="N1977" s="1042"/>
      <c r="O1977" s="1042"/>
      <c r="P1977" s="648"/>
      <c r="Q1977" s="648"/>
      <c r="R1977" s="648"/>
      <c r="S1977" s="648"/>
      <c r="T1977" s="648"/>
      <c r="U1977" s="648"/>
      <c r="V1977" s="648"/>
      <c r="W1977" s="648"/>
      <c r="X1977" s="1757"/>
      <c r="Y1977" s="2077"/>
      <c r="Z1977" s="2083"/>
      <c r="AA1977" s="1526"/>
      <c r="AB1977" s="648"/>
      <c r="AC1977" s="970"/>
      <c r="AD1977" s="970"/>
      <c r="AE1977" s="970"/>
      <c r="AF1977" s="648"/>
      <c r="AG1977" s="648"/>
      <c r="AH1977" s="648"/>
      <c r="AI1977" s="648"/>
      <c r="AJ1977" s="648"/>
      <c r="AK1977" s="648"/>
      <c r="AL1977" s="1336"/>
      <c r="AM1977" s="1336"/>
      <c r="AN1977" s="1336"/>
      <c r="AO1977" s="1336"/>
      <c r="AP1977" s="1336"/>
      <c r="AQ1977" s="1336"/>
      <c r="AR1977" s="1336"/>
      <c r="AS1977" s="1336"/>
      <c r="AT1977" s="648"/>
      <c r="AU1977" s="648"/>
      <c r="AV1977" s="648"/>
      <c r="AW1977" s="648"/>
      <c r="AX1977" s="648"/>
      <c r="AY1977" s="648"/>
      <c r="AZ1977" s="648"/>
      <c r="BA1977" s="648"/>
      <c r="BB1977" s="648"/>
      <c r="BC1977" s="648"/>
      <c r="BD1977" s="648"/>
      <c r="BE1977" s="648"/>
      <c r="BF1977" s="648"/>
      <c r="BG1977" s="648"/>
      <c r="BH1977" s="648"/>
    </row>
    <row r="1978" spans="1:60" x14ac:dyDescent="0.25">
      <c r="A1978" s="2371">
        <v>9</v>
      </c>
      <c r="B1978" s="2385">
        <v>901.7</v>
      </c>
      <c r="C1978" s="2374" t="s">
        <v>256</v>
      </c>
      <c r="D1978" s="2383" t="s">
        <v>401</v>
      </c>
      <c r="E1978" s="2383"/>
      <c r="F1978" s="2402"/>
      <c r="G1978" s="2373" t="str">
        <f t="shared" si="112"/>
        <v/>
      </c>
      <c r="H1978" s="2401" t="s">
        <v>3973</v>
      </c>
      <c r="I1978" s="164"/>
      <c r="J1978" s="4"/>
      <c r="K1978" s="27" t="s">
        <v>401</v>
      </c>
      <c r="L1978" s="1170" t="s">
        <v>3197</v>
      </c>
      <c r="M1978" s="1014"/>
      <c r="N1978" s="1042"/>
      <c r="O1978" s="1042"/>
      <c r="P1978" s="648"/>
      <c r="Q1978" s="648"/>
      <c r="R1978" s="648"/>
      <c r="S1978" s="648"/>
      <c r="T1978" s="648"/>
      <c r="U1978" s="648"/>
      <c r="V1978" s="648"/>
      <c r="W1978" s="648"/>
      <c r="X1978" s="1757"/>
      <c r="Y1978" s="2077"/>
      <c r="Z1978" s="2083"/>
      <c r="AA1978" s="1526"/>
      <c r="AB1978" s="648"/>
      <c r="AC1978" s="970"/>
      <c r="AD1978" s="970"/>
      <c r="AE1978" s="970"/>
      <c r="AF1978" s="648"/>
      <c r="AG1978" s="648"/>
      <c r="AH1978" s="648"/>
      <c r="AI1978" s="648"/>
      <c r="AJ1978" s="648"/>
      <c r="AK1978" s="648"/>
      <c r="AL1978" s="1336"/>
      <c r="AM1978" s="1336"/>
      <c r="AN1978" s="1336"/>
      <c r="AO1978" s="1336"/>
      <c r="AP1978" s="1336"/>
      <c r="AQ1978" s="1336"/>
      <c r="AR1978" s="1336"/>
      <c r="AS1978" s="1336"/>
      <c r="AT1978" s="648"/>
      <c r="AU1978" s="648"/>
      <c r="AV1978" s="648"/>
      <c r="AW1978" s="648"/>
      <c r="AX1978" s="648"/>
      <c r="AY1978" s="648"/>
      <c r="AZ1978" s="648"/>
      <c r="BA1978" s="648"/>
      <c r="BB1978" s="648"/>
      <c r="BC1978" s="648"/>
      <c r="BD1978" s="648"/>
      <c r="BE1978" s="648"/>
      <c r="BF1978" s="648"/>
      <c r="BG1978" s="648"/>
      <c r="BH1978" s="648"/>
    </row>
    <row r="1979" spans="1:60" x14ac:dyDescent="0.25">
      <c r="A1979" s="2371">
        <v>9</v>
      </c>
      <c r="B1979" s="2385">
        <v>901.7</v>
      </c>
      <c r="C1979" s="2374" t="s">
        <v>256</v>
      </c>
      <c r="D1979" s="2383" t="s">
        <v>539</v>
      </c>
      <c r="E1979" s="2383"/>
      <c r="F1979" s="2402"/>
      <c r="G1979" s="2373" t="str">
        <f t="shared" si="112"/>
        <v/>
      </c>
      <c r="H1979" s="2401" t="s">
        <v>3973</v>
      </c>
      <c r="I1979" s="164"/>
      <c r="J1979" s="4"/>
      <c r="K1979" s="27" t="s">
        <v>539</v>
      </c>
      <c r="L1979" s="1170" t="s">
        <v>3198</v>
      </c>
      <c r="M1979" s="1014"/>
      <c r="N1979" s="1042"/>
      <c r="O1979" s="1042"/>
      <c r="P1979" s="648"/>
      <c r="Q1979" s="648"/>
      <c r="R1979" s="648"/>
      <c r="S1979" s="648"/>
      <c r="T1979" s="648"/>
      <c r="U1979" s="648"/>
      <c r="V1979" s="648"/>
      <c r="W1979" s="648"/>
      <c r="X1979" s="1757"/>
      <c r="Y1979" s="2077"/>
      <c r="Z1979" s="2083"/>
      <c r="AA1979" s="1526"/>
      <c r="AB1979" s="648"/>
      <c r="AC1979" s="970"/>
      <c r="AD1979" s="970"/>
      <c r="AE1979" s="970"/>
      <c r="AF1979" s="648"/>
      <c r="AG1979" s="648"/>
      <c r="AH1979" s="648"/>
      <c r="AI1979" s="648"/>
      <c r="AJ1979" s="648"/>
      <c r="AK1979" s="648"/>
      <c r="AL1979" s="1336"/>
      <c r="AM1979" s="1336"/>
      <c r="AN1979" s="1336"/>
      <c r="AO1979" s="1336"/>
      <c r="AP1979" s="1336"/>
      <c r="AQ1979" s="1336"/>
      <c r="AR1979" s="1336"/>
      <c r="AS1979" s="1336"/>
      <c r="AT1979" s="648"/>
      <c r="AU1979" s="648"/>
      <c r="AV1979" s="648"/>
      <c r="AW1979" s="648"/>
      <c r="AX1979" s="648"/>
      <c r="AY1979" s="648"/>
      <c r="AZ1979" s="648"/>
      <c r="BA1979" s="648"/>
      <c r="BB1979" s="648"/>
      <c r="BC1979" s="648"/>
      <c r="BD1979" s="648"/>
      <c r="BE1979" s="648"/>
      <c r="BF1979" s="648"/>
      <c r="BG1979" s="648"/>
      <c r="BH1979" s="648"/>
    </row>
    <row r="1980" spans="1:60" x14ac:dyDescent="0.25">
      <c r="A1980" s="2371">
        <v>9</v>
      </c>
      <c r="B1980" s="2385">
        <v>901.7</v>
      </c>
      <c r="C1980" s="2374" t="s">
        <v>256</v>
      </c>
      <c r="D1980" s="2383" t="s">
        <v>604</v>
      </c>
      <c r="E1980" s="2383"/>
      <c r="F1980" s="2402"/>
      <c r="G1980" s="2373" t="str">
        <f t="shared" si="112"/>
        <v/>
      </c>
      <c r="H1980" s="2401" t="s">
        <v>3973</v>
      </c>
      <c r="I1980" s="164"/>
      <c r="J1980" s="210"/>
      <c r="K1980" s="206" t="s">
        <v>604</v>
      </c>
      <c r="L1980" s="1163" t="s">
        <v>3199</v>
      </c>
      <c r="M1980" s="1014"/>
      <c r="N1980" s="1042"/>
      <c r="O1980" s="1042"/>
      <c r="P1980" s="648"/>
      <c r="Q1980" s="648"/>
      <c r="R1980" s="648"/>
      <c r="S1980" s="648"/>
      <c r="T1980" s="648"/>
      <c r="U1980" s="648"/>
      <c r="V1980" s="648"/>
      <c r="W1980" s="648" t="s">
        <v>3663</v>
      </c>
      <c r="X1980" s="1757"/>
      <c r="Y1980" s="2077"/>
      <c r="Z1980" s="2083"/>
      <c r="AA1980" s="1526"/>
      <c r="AB1980" s="648"/>
      <c r="AC1980" s="970"/>
      <c r="AD1980" s="970"/>
      <c r="AE1980" s="970"/>
      <c r="AF1980" s="648"/>
      <c r="AG1980" s="648"/>
      <c r="AH1980" s="648"/>
      <c r="AI1980" s="648"/>
      <c r="AJ1980" s="648"/>
      <c r="AK1980" s="648"/>
      <c r="AL1980" s="1336"/>
      <c r="AM1980" s="1336"/>
      <c r="AN1980" s="1336"/>
      <c r="AO1980" s="1336"/>
      <c r="AP1980" s="1336"/>
      <c r="AQ1980" s="1336"/>
      <c r="AR1980" s="1336"/>
      <c r="AS1980" s="1336"/>
      <c r="AT1980" s="648"/>
      <c r="AU1980" s="648"/>
      <c r="AV1980" s="648"/>
      <c r="AW1980" s="648"/>
      <c r="AX1980" s="648"/>
      <c r="AY1980" s="648"/>
      <c r="AZ1980" s="648"/>
      <c r="BA1980" s="648"/>
      <c r="BB1980" s="648"/>
      <c r="BC1980" s="648"/>
      <c r="BD1980" s="648"/>
      <c r="BE1980" s="648"/>
      <c r="BF1980" s="648"/>
      <c r="BG1980" s="648"/>
      <c r="BH1980" s="648"/>
    </row>
    <row r="1981" spans="1:60" x14ac:dyDescent="0.25">
      <c r="A1981" s="2371">
        <v>9</v>
      </c>
      <c r="B1981" s="2385">
        <v>901.7</v>
      </c>
      <c r="C1981" s="2374" t="s">
        <v>258</v>
      </c>
      <c r="D1981" s="2383"/>
      <c r="E1981" s="2383"/>
      <c r="F1981" s="2402"/>
      <c r="G1981" s="2373" t="str">
        <f t="shared" si="112"/>
        <v/>
      </c>
      <c r="H1981" s="2386" t="s">
        <v>3973</v>
      </c>
      <c r="I1981" s="480"/>
      <c r="J1981" s="206" t="s">
        <v>258</v>
      </c>
      <c r="K1981" s="210"/>
      <c r="L1981" s="1163" t="s">
        <v>3837</v>
      </c>
      <c r="M1981" s="1010"/>
      <c r="N1981" s="1044"/>
      <c r="O1981" s="1044"/>
      <c r="P1981" s="94" t="b">
        <v>0</v>
      </c>
      <c r="Q1981" s="94" t="b">
        <v>1</v>
      </c>
      <c r="R1981" s="94" t="b">
        <v>0</v>
      </c>
      <c r="S1981" s="94" t="b">
        <v>1</v>
      </c>
      <c r="T1981" s="94" t="b">
        <f>SUM(W1971,W1981,W1982)&gt;1</f>
        <v>0</v>
      </c>
      <c r="U1981" s="94"/>
      <c r="V1981" s="94"/>
      <c r="W1981" s="487"/>
      <c r="X1981" s="1770"/>
      <c r="Y1981" s="2081" t="str">
        <f>IF(LEN('Ch9'!X115)=0,"None",'Ch9'!X115)</f>
        <v>None</v>
      </c>
      <c r="Z1981" s="2084"/>
      <c r="AA1981" s="1526"/>
      <c r="AB1981" s="648"/>
      <c r="AC1981" s="970" t="b">
        <f>OR(AD1981:AE1981)</f>
        <v>0</v>
      </c>
      <c r="AD1981" s="970" t="b">
        <f>T1981</f>
        <v>0</v>
      </c>
      <c r="AE1981" s="970"/>
      <c r="AF1981" s="784"/>
      <c r="AG1981" s="648"/>
      <c r="AH1981" s="648"/>
      <c r="AI1981" s="648"/>
      <c r="AJ1981" s="648"/>
      <c r="AK1981" s="648"/>
      <c r="AL1981" s="1336"/>
      <c r="AM1981" s="1336"/>
      <c r="AN1981" s="1336"/>
      <c r="AO1981" s="1336"/>
      <c r="AP1981" s="254" t="str">
        <f>SUBSTITUTE(SUBSTITUTE(SUBSTITUTE("vch"&amp;$B1981&amp;$C1981&amp;$D1981&amp;$E1981,".","_"),"(","_"),")","")</f>
        <v>vch901_7_2</v>
      </c>
      <c r="AQ1981" s="254" t="str">
        <f>IF(LEN(W1981)=0,"",W1981)</f>
        <v/>
      </c>
      <c r="AR1981" s="254" t="str">
        <f>SUBSTITUTE(SUBSTITUTE(SUBSTITUTE("vnt"&amp;$B1981&amp;$C1981&amp;$D1981&amp;$E1981,".","_"),"(","_"),")","")</f>
        <v>vnt901_7_2</v>
      </c>
      <c r="AS1981" s="254" t="str">
        <f>IF(LEN(X1981)=0,"",X1981)</f>
        <v/>
      </c>
      <c r="AT1981" s="648"/>
      <c r="AU1981" s="648"/>
      <c r="AV1981" s="648"/>
      <c r="AW1981" s="648"/>
      <c r="AX1981" s="648"/>
      <c r="AY1981" s="648"/>
      <c r="AZ1981" s="648"/>
      <c r="BA1981" s="648"/>
      <c r="BB1981" s="648"/>
      <c r="BC1981" s="648"/>
      <c r="BD1981" s="648"/>
      <c r="BE1981" s="648"/>
      <c r="BF1981" s="648"/>
      <c r="BG1981" s="648"/>
      <c r="BH1981" s="648"/>
    </row>
    <row r="1982" spans="1:60" x14ac:dyDescent="0.25">
      <c r="A1982" s="2371">
        <v>9</v>
      </c>
      <c r="B1982" s="2385">
        <v>901.7</v>
      </c>
      <c r="C1982" s="2374" t="s">
        <v>260</v>
      </c>
      <c r="D1982" s="2383"/>
      <c r="E1982" s="2383"/>
      <c r="F1982" s="2402"/>
      <c r="G1982" s="2373" t="str">
        <f t="shared" si="112"/>
        <v/>
      </c>
      <c r="H1982" s="2386" t="s">
        <v>3973</v>
      </c>
      <c r="I1982" s="480"/>
      <c r="J1982" s="183" t="s">
        <v>260</v>
      </c>
      <c r="K1982" s="129"/>
      <c r="L1982" s="1162" t="s">
        <v>3650</v>
      </c>
      <c r="M1982" s="1010"/>
      <c r="N1982" s="1044"/>
      <c r="O1982" s="1044"/>
      <c r="P1982" s="94" t="b">
        <v>0</v>
      </c>
      <c r="Q1982" s="94" t="b">
        <v>1</v>
      </c>
      <c r="R1982" s="94" t="b">
        <v>0</v>
      </c>
      <c r="S1982" s="94" t="b">
        <v>1</v>
      </c>
      <c r="T1982" s="94" t="b">
        <f>SUM(W1971,W1981,W1982)&gt;1</f>
        <v>0</v>
      </c>
      <c r="U1982" s="94"/>
      <c r="V1982" s="94"/>
      <c r="W1982" s="487"/>
      <c r="X1982" s="1770"/>
      <c r="Y1982" s="2081"/>
      <c r="Z1982" s="2084"/>
      <c r="AA1982" s="1526"/>
      <c r="AB1982" s="648"/>
      <c r="AC1982" s="970" t="b">
        <f>OR(AD1982:AE1982)</f>
        <v>0</v>
      </c>
      <c r="AD1982" s="970" t="b">
        <f>T1982</f>
        <v>0</v>
      </c>
      <c r="AE1982" s="970"/>
      <c r="AF1982" s="784"/>
      <c r="AG1982" s="648"/>
      <c r="AH1982" s="648"/>
      <c r="AI1982" s="648"/>
      <c r="AJ1982" s="648"/>
      <c r="AK1982" s="648"/>
      <c r="AL1982" s="1336"/>
      <c r="AM1982" s="1336"/>
      <c r="AN1982" s="1336"/>
      <c r="AO1982" s="1336"/>
      <c r="AP1982" s="254" t="str">
        <f>SUBSTITUTE(SUBSTITUTE(SUBSTITUTE("vch"&amp;$B1982&amp;$C1982&amp;$D1982&amp;$E1982,".","_"),"(","_"),")","")</f>
        <v>vch901_7_3</v>
      </c>
      <c r="AQ1982" s="254" t="str">
        <f>IF(LEN(W1982)=0,"",W1982)</f>
        <v/>
      </c>
      <c r="AR1982" s="1336"/>
      <c r="AS1982" s="1336"/>
      <c r="AT1982" s="648"/>
      <c r="AU1982" s="648"/>
      <c r="AV1982" s="648"/>
      <c r="AW1982" s="648"/>
      <c r="AX1982" s="648"/>
      <c r="AY1982" s="648"/>
      <c r="AZ1982" s="648"/>
      <c r="BA1982" s="648"/>
      <c r="BB1982" s="648"/>
      <c r="BC1982" s="648"/>
      <c r="BD1982" s="648"/>
      <c r="BE1982" s="648"/>
      <c r="BF1982" s="648"/>
      <c r="BG1982" s="648"/>
      <c r="BH1982" s="648"/>
    </row>
    <row r="1983" spans="1:60" x14ac:dyDescent="0.25">
      <c r="A1983" s="2371">
        <v>9</v>
      </c>
      <c r="B1983" s="2385">
        <v>901.7</v>
      </c>
      <c r="C1983" s="2374" t="s">
        <v>260</v>
      </c>
      <c r="D1983" s="2374"/>
      <c r="E1983" s="2374"/>
      <c r="F1983" s="2397"/>
      <c r="G1983" s="2373" t="str">
        <f t="shared" si="112"/>
        <v/>
      </c>
      <c r="H1983" s="2371" t="s">
        <v>3973</v>
      </c>
      <c r="I1983" s="480"/>
      <c r="J1983" s="129"/>
      <c r="K1983" s="129"/>
      <c r="L1983" s="1860" t="s">
        <v>3200</v>
      </c>
      <c r="M1983" s="1010"/>
      <c r="N1983" s="1044"/>
      <c r="O1983" s="1044"/>
      <c r="P1983" s="94"/>
      <c r="Q1983" s="94"/>
      <c r="R1983" s="94"/>
      <c r="S1983" s="94"/>
      <c r="T1983" s="94"/>
      <c r="U1983" s="94"/>
      <c r="V1983" s="94"/>
      <c r="W1983" s="94"/>
      <c r="X1983" s="1770"/>
      <c r="Y1983" s="2081"/>
      <c r="Z1983" s="2084"/>
      <c r="AA1983" s="1526"/>
      <c r="AB1983" s="648"/>
      <c r="AC1983" s="970"/>
      <c r="AD1983" s="970"/>
      <c r="AE1983" s="970"/>
      <c r="AF1983" s="648"/>
      <c r="AG1983" s="648"/>
      <c r="AH1983" s="648"/>
      <c r="AI1983" s="648"/>
      <c r="AJ1983" s="648"/>
      <c r="AK1983" s="648"/>
      <c r="AL1983" s="1336"/>
      <c r="AM1983" s="1336"/>
      <c r="AN1983" s="1336"/>
      <c r="AO1983" s="1336"/>
      <c r="AP1983" s="1336"/>
      <c r="AQ1983" s="1336"/>
      <c r="AR1983" s="1336"/>
      <c r="AS1983" s="1336"/>
      <c r="AT1983" s="648"/>
      <c r="AU1983" s="648"/>
      <c r="AV1983" s="648"/>
      <c r="AW1983" s="648"/>
      <c r="AX1983" s="648"/>
      <c r="AY1983" s="648"/>
      <c r="AZ1983" s="648"/>
      <c r="BA1983" s="648"/>
      <c r="BB1983" s="648"/>
      <c r="BC1983" s="648"/>
      <c r="BD1983" s="648"/>
      <c r="BE1983" s="648"/>
      <c r="BF1983" s="648"/>
      <c r="BG1983" s="648"/>
      <c r="BH1983" s="648"/>
    </row>
    <row r="1984" spans="1:60" ht="15.75" thickBot="1" x14ac:dyDescent="0.3">
      <c r="A1984" s="2371">
        <v>9</v>
      </c>
      <c r="B1984" s="2385">
        <v>901.7</v>
      </c>
      <c r="C1984" s="2374" t="s">
        <v>260</v>
      </c>
      <c r="D1984" s="2374"/>
      <c r="E1984" s="2374"/>
      <c r="F1984" s="2397"/>
      <c r="G1984" s="2373" t="str">
        <f t="shared" si="112"/>
        <v/>
      </c>
      <c r="H1984" s="2371" t="s">
        <v>3973</v>
      </c>
      <c r="I1984" s="481"/>
      <c r="J1984" s="240"/>
      <c r="K1984" s="240"/>
      <c r="L1984" s="1943"/>
      <c r="M1984" s="1011"/>
      <c r="N1984" s="1045"/>
      <c r="O1984" s="1045"/>
      <c r="P1984" s="99"/>
      <c r="Q1984" s="99"/>
      <c r="R1984" s="99"/>
      <c r="S1984" s="99"/>
      <c r="T1984" s="99"/>
      <c r="U1984" s="99"/>
      <c r="V1984" s="99"/>
      <c r="W1984" s="99"/>
      <c r="X1984" s="1771"/>
      <c r="Y1984" s="2082"/>
      <c r="Z1984" s="2086"/>
      <c r="AA1984" s="1526"/>
      <c r="AB1984" s="648"/>
      <c r="AC1984" s="970"/>
      <c r="AD1984" s="970"/>
      <c r="AE1984" s="970"/>
      <c r="AF1984" s="648"/>
      <c r="AG1984" s="648"/>
      <c r="AH1984" s="648"/>
      <c r="AI1984" s="648"/>
      <c r="AJ1984" s="648"/>
      <c r="AK1984" s="648"/>
      <c r="AL1984" s="1336"/>
      <c r="AM1984" s="1336"/>
      <c r="AN1984" s="1336"/>
      <c r="AO1984" s="1336"/>
      <c r="AP1984" s="1336"/>
      <c r="AQ1984" s="1336"/>
      <c r="AR1984" s="1336"/>
      <c r="AS1984" s="1336"/>
      <c r="AT1984" s="648"/>
      <c r="AU1984" s="648"/>
      <c r="AV1984" s="648"/>
      <c r="AW1984" s="648"/>
      <c r="AX1984" s="648"/>
      <c r="AY1984" s="648"/>
      <c r="AZ1984" s="648"/>
      <c r="BA1984" s="648"/>
      <c r="BB1984" s="648"/>
      <c r="BC1984" s="648"/>
      <c r="BD1984" s="648"/>
      <c r="BE1984" s="648"/>
      <c r="BF1984" s="648"/>
      <c r="BG1984" s="648"/>
      <c r="BH1984" s="648"/>
    </row>
    <row r="1985" spans="1:60" ht="15.75" thickTop="1" x14ac:dyDescent="0.25">
      <c r="A1985" s="2371">
        <v>9</v>
      </c>
      <c r="B1985" s="2385">
        <v>901.8</v>
      </c>
      <c r="C1985" s="2374"/>
      <c r="D1985" s="2374"/>
      <c r="E1985" s="2374"/>
      <c r="F1985" s="2374"/>
      <c r="G1985" s="2373" t="str">
        <f>IF(N1985&gt;0,"P","")</f>
        <v/>
      </c>
      <c r="H1985" s="2371" t="s">
        <v>3973</v>
      </c>
      <c r="I1985" s="180">
        <v>901.8</v>
      </c>
      <c r="J1985" s="181"/>
      <c r="K1985" s="181"/>
      <c r="L1985" s="1781" t="s">
        <v>5594</v>
      </c>
      <c r="M1985" s="1772">
        <v>4</v>
      </c>
      <c r="N1985" s="2080">
        <f>'Ch9'!O119</f>
        <v>0</v>
      </c>
      <c r="O1985" s="2080">
        <f>M1985*S1985*W1985</f>
        <v>0</v>
      </c>
      <c r="P1985" s="94" t="b">
        <v>0</v>
      </c>
      <c r="Q1985" s="94" t="b">
        <v>1</v>
      </c>
      <c r="R1985" s="105" t="b">
        <v>0</v>
      </c>
      <c r="S1985" s="105" t="b">
        <v>1</v>
      </c>
      <c r="T1985" s="105" t="b">
        <v>0</v>
      </c>
      <c r="U1985" s="105"/>
      <c r="V1985" s="105"/>
      <c r="W1985" s="25"/>
      <c r="X1985" s="1784"/>
      <c r="Y1985" s="2097" t="str">
        <f>IF(LEN('Ch9'!X119)=0,"None",'Ch9'!X119)</f>
        <v>None</v>
      </c>
      <c r="Z1985" s="2085"/>
      <c r="AA1985" s="1526"/>
      <c r="AB1985" s="648"/>
      <c r="AC1985" s="970"/>
      <c r="AD1985" s="970"/>
      <c r="AE1985" s="970"/>
      <c r="AF1985" s="784"/>
      <c r="AG1985" s="648"/>
      <c r="AH1985" s="648"/>
      <c r="AI1985" s="648"/>
      <c r="AJ1985" s="648"/>
      <c r="AK1985" s="648"/>
      <c r="AL1985" s="254" t="str">
        <f>SUBSTITUTE(SUBSTITUTE(SUBSTITUTE("vpa"&amp;$B1985&amp;$C1985&amp;$D1985&amp;$E1985,".","_"),"(","_"),")","")</f>
        <v>vpa901_8</v>
      </c>
      <c r="AM1985" s="254">
        <f>M1985</f>
        <v>4</v>
      </c>
      <c r="AN1985" s="254" t="str">
        <f>SUBSTITUTE(SUBSTITUTE(SUBSTITUTE("vpc"&amp;$B1985&amp;$C1985&amp;$D1985&amp;$E1985,".","_"),"(","_"),")","")</f>
        <v>vpc901_8</v>
      </c>
      <c r="AO1985" s="254">
        <f>O1985</f>
        <v>0</v>
      </c>
      <c r="AP1985" s="254" t="str">
        <f>SUBSTITUTE(SUBSTITUTE(SUBSTITUTE("vch"&amp;$B1985&amp;$C1985&amp;$D1985&amp;$E1985,".","_"),"(","_"),")","")</f>
        <v>vch901_8</v>
      </c>
      <c r="AQ1985" s="254" t="str">
        <f>IF(LEN(W1985)=0,"",W1985)</f>
        <v/>
      </c>
      <c r="AR1985" s="254" t="str">
        <f>SUBSTITUTE(SUBSTITUTE(SUBSTITUTE("vnt"&amp;$B1985&amp;$C1985&amp;$D1985&amp;$E1985,".","_"),"(","_"),")","")</f>
        <v>vnt901_8</v>
      </c>
      <c r="AS1985" s="254" t="str">
        <f>IF(LEN(X1985)=0,"",X1985)</f>
        <v/>
      </c>
      <c r="AT1985" s="648"/>
      <c r="AU1985" s="648"/>
      <c r="AV1985" s="648"/>
      <c r="AW1985" s="648"/>
      <c r="AX1985" s="648"/>
      <c r="AY1985" s="648"/>
      <c r="AZ1985" s="648"/>
      <c r="BA1985" s="648"/>
      <c r="BB1985" s="648"/>
      <c r="BC1985" s="648"/>
      <c r="BD1985" s="648"/>
      <c r="BE1985" s="648"/>
      <c r="BF1985" s="648"/>
      <c r="BG1985" s="648"/>
      <c r="BH1985" s="648"/>
    </row>
    <row r="1986" spans="1:60" x14ac:dyDescent="0.25">
      <c r="A1986" s="2371">
        <v>9</v>
      </c>
      <c r="B1986" s="2385">
        <v>901.8</v>
      </c>
      <c r="C1986" s="2374"/>
      <c r="D1986" s="2374"/>
      <c r="E1986" s="2374"/>
      <c r="F1986" s="2374"/>
      <c r="G1986" s="2373" t="str">
        <f>G1985</f>
        <v/>
      </c>
      <c r="H1986" s="2371" t="s">
        <v>3973</v>
      </c>
      <c r="I1986" s="480"/>
      <c r="J1986" s="129"/>
      <c r="K1986" s="129"/>
      <c r="L1986" s="1782"/>
      <c r="M1986" s="1758"/>
      <c r="N1986" s="1927"/>
      <c r="O1986" s="1927"/>
      <c r="P1986" s="94"/>
      <c r="Q1986" s="94"/>
      <c r="R1986" s="94"/>
      <c r="S1986" s="94"/>
      <c r="T1986" s="94"/>
      <c r="U1986" s="94"/>
      <c r="V1986" s="94"/>
      <c r="W1986" s="94"/>
      <c r="X1986" s="1770"/>
      <c r="Y1986" s="2081"/>
      <c r="Z1986" s="2084"/>
      <c r="AA1986" s="1526"/>
      <c r="AB1986" s="648"/>
      <c r="AC1986" s="970"/>
      <c r="AD1986" s="970"/>
      <c r="AE1986" s="970"/>
      <c r="AF1986" s="648"/>
      <c r="AG1986" s="648"/>
      <c r="AH1986" s="648"/>
      <c r="AI1986" s="648"/>
      <c r="AJ1986" s="648"/>
      <c r="AK1986" s="648"/>
      <c r="AL1986" s="1336"/>
      <c r="AM1986" s="1336"/>
      <c r="AN1986" s="1336"/>
      <c r="AO1986" s="1336"/>
      <c r="AP1986" s="1336"/>
      <c r="AQ1986" s="1336"/>
      <c r="AR1986" s="1336"/>
      <c r="AS1986" s="1336"/>
      <c r="AT1986" s="648"/>
      <c r="AU1986" s="648"/>
      <c r="AV1986" s="648"/>
      <c r="AW1986" s="648"/>
      <c r="AX1986" s="648"/>
      <c r="AY1986" s="648"/>
      <c r="AZ1986" s="648"/>
      <c r="BA1986" s="648"/>
      <c r="BB1986" s="648"/>
      <c r="BC1986" s="648"/>
      <c r="BD1986" s="648"/>
      <c r="BE1986" s="648"/>
      <c r="BF1986" s="648"/>
      <c r="BG1986" s="648"/>
      <c r="BH1986" s="648"/>
    </row>
    <row r="1987" spans="1:60" x14ac:dyDescent="0.25">
      <c r="A1987" s="2371">
        <v>9</v>
      </c>
      <c r="B1987" s="2385">
        <v>901.8</v>
      </c>
      <c r="C1987" s="2374"/>
      <c r="D1987" s="2374"/>
      <c r="E1987" s="2374"/>
      <c r="F1987" s="2374"/>
      <c r="G1987" s="2373" t="str">
        <f>G1986</f>
        <v/>
      </c>
      <c r="H1987" s="2371" t="s">
        <v>3973</v>
      </c>
      <c r="I1987" s="480"/>
      <c r="J1987" s="129"/>
      <c r="K1987" s="129"/>
      <c r="L1987" s="1782"/>
      <c r="M1987" s="1758"/>
      <c r="N1987" s="1927"/>
      <c r="O1987" s="1927"/>
      <c r="P1987" s="94"/>
      <c r="Q1987" s="94"/>
      <c r="R1987" s="94"/>
      <c r="S1987" s="94"/>
      <c r="T1987" s="94"/>
      <c r="U1987" s="94"/>
      <c r="V1987" s="94"/>
      <c r="W1987" s="94"/>
      <c r="X1987" s="1770"/>
      <c r="Y1987" s="2081"/>
      <c r="Z1987" s="2084"/>
      <c r="AA1987" s="1526"/>
      <c r="AB1987" s="648"/>
      <c r="AC1987" s="970"/>
      <c r="AD1987" s="970"/>
      <c r="AE1987" s="970"/>
      <c r="AF1987" s="648"/>
      <c r="AG1987" s="648"/>
      <c r="AH1987" s="648"/>
      <c r="AI1987" s="648"/>
      <c r="AJ1987" s="648"/>
      <c r="AK1987" s="648"/>
      <c r="AL1987" s="1336"/>
      <c r="AM1987" s="1336"/>
      <c r="AN1987" s="1336"/>
      <c r="AO1987" s="1336"/>
      <c r="AP1987" s="1336"/>
      <c r="AQ1987" s="1336"/>
      <c r="AR1987" s="1336"/>
      <c r="AS1987" s="1336"/>
      <c r="AT1987" s="648"/>
      <c r="AU1987" s="648"/>
      <c r="AV1987" s="648"/>
      <c r="AW1987" s="648"/>
      <c r="AX1987" s="648"/>
      <c r="AY1987" s="648"/>
      <c r="AZ1987" s="648"/>
      <c r="BA1987" s="648"/>
      <c r="BB1987" s="648"/>
      <c r="BC1987" s="648"/>
      <c r="BD1987" s="648"/>
      <c r="BE1987" s="648"/>
      <c r="BF1987" s="648"/>
      <c r="BG1987" s="648"/>
      <c r="BH1987" s="648"/>
    </row>
    <row r="1988" spans="1:60" x14ac:dyDescent="0.25">
      <c r="A1988" s="2371">
        <v>9</v>
      </c>
      <c r="B1988" s="2385">
        <v>901.8</v>
      </c>
      <c r="C1988" s="2374"/>
      <c r="D1988" s="2374"/>
      <c r="E1988" s="2374"/>
      <c r="F1988" s="2374"/>
      <c r="G1988" s="2373" t="str">
        <f>G1987</f>
        <v/>
      </c>
      <c r="H1988" s="2371" t="s">
        <v>3973</v>
      </c>
      <c r="I1988" s="480"/>
      <c r="J1988" s="129"/>
      <c r="K1988" s="129"/>
      <c r="L1988" s="1782"/>
      <c r="M1988" s="1758"/>
      <c r="N1988" s="1927"/>
      <c r="O1988" s="1927"/>
      <c r="P1988" s="94"/>
      <c r="Q1988" s="94"/>
      <c r="R1988" s="94"/>
      <c r="S1988" s="94"/>
      <c r="T1988" s="94"/>
      <c r="U1988" s="94"/>
      <c r="V1988" s="94"/>
      <c r="W1988" s="94"/>
      <c r="X1988" s="1770"/>
      <c r="Y1988" s="2081"/>
      <c r="Z1988" s="2084"/>
      <c r="AA1988" s="1526"/>
      <c r="AB1988" s="648"/>
      <c r="AC1988" s="970"/>
      <c r="AD1988" s="970"/>
      <c r="AE1988" s="970"/>
      <c r="AF1988" s="648"/>
      <c r="AG1988" s="648"/>
      <c r="AH1988" s="648"/>
      <c r="AI1988" s="648"/>
      <c r="AJ1988" s="648"/>
      <c r="AK1988" s="648"/>
      <c r="AL1988" s="1336"/>
      <c r="AM1988" s="1336"/>
      <c r="AN1988" s="1336"/>
      <c r="AO1988" s="1336"/>
      <c r="AP1988" s="1336"/>
      <c r="AQ1988" s="1336"/>
      <c r="AR1988" s="1336"/>
      <c r="AS1988" s="1336"/>
      <c r="AT1988" s="648"/>
      <c r="AU1988" s="648"/>
      <c r="AV1988" s="648"/>
      <c r="AW1988" s="648"/>
      <c r="AX1988" s="648"/>
      <c r="AY1988" s="648"/>
      <c r="AZ1988" s="648"/>
      <c r="BA1988" s="648"/>
      <c r="BB1988" s="648"/>
      <c r="BC1988" s="648"/>
      <c r="BD1988" s="648"/>
      <c r="BE1988" s="648"/>
      <c r="BF1988" s="648"/>
      <c r="BG1988" s="648"/>
      <c r="BH1988" s="648"/>
    </row>
    <row r="1989" spans="1:60" x14ac:dyDescent="0.25">
      <c r="A1989" s="2371">
        <v>9</v>
      </c>
      <c r="B1989" s="2385">
        <v>901.8</v>
      </c>
      <c r="C1989" s="2374"/>
      <c r="D1989" s="2374"/>
      <c r="E1989" s="2374"/>
      <c r="F1989" s="2374"/>
      <c r="G1989" s="2373" t="str">
        <f>G1988</f>
        <v/>
      </c>
      <c r="H1989" s="2371" t="s">
        <v>3973</v>
      </c>
      <c r="I1989" s="480"/>
      <c r="J1989" s="129"/>
      <c r="K1989" s="129"/>
      <c r="L1989" s="1782"/>
      <c r="M1989" s="1758"/>
      <c r="N1989" s="1927"/>
      <c r="O1989" s="1927"/>
      <c r="P1989" s="94"/>
      <c r="Q1989" s="94"/>
      <c r="R1989" s="94"/>
      <c r="S1989" s="94"/>
      <c r="T1989" s="94"/>
      <c r="U1989" s="94"/>
      <c r="V1989" s="94"/>
      <c r="W1989" s="94"/>
      <c r="X1989" s="1770"/>
      <c r="Y1989" s="2081"/>
      <c r="Z1989" s="2084"/>
      <c r="AA1989" s="1526"/>
      <c r="AB1989" s="648"/>
      <c r="AC1989" s="970"/>
      <c r="AD1989" s="970"/>
      <c r="AE1989" s="970"/>
      <c r="AF1989" s="648"/>
      <c r="AG1989" s="648"/>
      <c r="AH1989" s="648"/>
      <c r="AI1989" s="648"/>
      <c r="AJ1989" s="648"/>
      <c r="AK1989" s="648"/>
      <c r="AL1989" s="1336"/>
      <c r="AM1989" s="1336"/>
      <c r="AN1989" s="1336"/>
      <c r="AO1989" s="1336"/>
      <c r="AP1989" s="1336"/>
      <c r="AQ1989" s="1336"/>
      <c r="AR1989" s="1336"/>
      <c r="AS1989" s="1336"/>
      <c r="AT1989" s="648"/>
      <c r="AU1989" s="648"/>
      <c r="AV1989" s="648"/>
      <c r="AW1989" s="648"/>
      <c r="AX1989" s="648"/>
      <c r="AY1989" s="648"/>
      <c r="AZ1989" s="648"/>
      <c r="BA1989" s="648"/>
      <c r="BB1989" s="648"/>
      <c r="BC1989" s="648"/>
      <c r="BD1989" s="648"/>
      <c r="BE1989" s="648"/>
      <c r="BF1989" s="648"/>
      <c r="BG1989" s="648"/>
      <c r="BH1989" s="648"/>
    </row>
    <row r="1990" spans="1:60" ht="15.75" thickBot="1" x14ac:dyDescent="0.3">
      <c r="A1990" s="2371">
        <v>9</v>
      </c>
      <c r="B1990" s="2385">
        <v>901.8</v>
      </c>
      <c r="C1990" s="2374"/>
      <c r="D1990" s="2374"/>
      <c r="E1990" s="2374"/>
      <c r="F1990" s="2374"/>
      <c r="G1990" s="2373" t="str">
        <f>G1989</f>
        <v/>
      </c>
      <c r="H1990" s="2371" t="s">
        <v>3973</v>
      </c>
      <c r="I1990" s="481"/>
      <c r="J1990" s="240"/>
      <c r="K1990" s="240"/>
      <c r="L1990" s="1797"/>
      <c r="M1990" s="1768"/>
      <c r="N1990" s="1928"/>
      <c r="O1990" s="1928"/>
      <c r="P1990" s="99"/>
      <c r="Q1990" s="99"/>
      <c r="R1990" s="99"/>
      <c r="S1990" s="99"/>
      <c r="T1990" s="99"/>
      <c r="U1990" s="99"/>
      <c r="V1990" s="99"/>
      <c r="W1990" s="99"/>
      <c r="X1990" s="1771"/>
      <c r="Y1990" s="2082"/>
      <c r="Z1990" s="2086"/>
      <c r="AA1990" s="1526"/>
      <c r="AB1990" s="648"/>
      <c r="AC1990" s="970"/>
      <c r="AD1990" s="970"/>
      <c r="AE1990" s="970"/>
      <c r="AF1990" s="648"/>
      <c r="AG1990" s="648"/>
      <c r="AH1990" s="648"/>
      <c r="AI1990" s="648"/>
      <c r="AJ1990" s="648"/>
      <c r="AK1990" s="648"/>
      <c r="AL1990" s="1336"/>
      <c r="AM1990" s="1336"/>
      <c r="AN1990" s="1336"/>
      <c r="AO1990" s="1336"/>
      <c r="AP1990" s="1336"/>
      <c r="AQ1990" s="1336"/>
      <c r="AR1990" s="1336"/>
      <c r="AS1990" s="1336"/>
      <c r="AT1990" s="648"/>
      <c r="AU1990" s="648"/>
      <c r="AV1990" s="648"/>
      <c r="AW1990" s="648"/>
      <c r="AX1990" s="648"/>
      <c r="AY1990" s="648"/>
      <c r="AZ1990" s="648"/>
      <c r="BA1990" s="648"/>
      <c r="BB1990" s="648"/>
      <c r="BC1990" s="648"/>
      <c r="BD1990" s="648"/>
      <c r="BE1990" s="648"/>
      <c r="BF1990" s="648"/>
      <c r="BG1990" s="648"/>
      <c r="BH1990" s="648"/>
    </row>
    <row r="1991" spans="1:60" ht="15.75" thickTop="1" x14ac:dyDescent="0.25">
      <c r="A1991" s="2371">
        <v>9</v>
      </c>
      <c r="B1991" s="2385">
        <v>901.9</v>
      </c>
      <c r="C1991" s="2374"/>
      <c r="D1991" s="2374"/>
      <c r="E1991" s="2374"/>
      <c r="F1991" s="2374"/>
      <c r="G1991" s="2363" t="str">
        <f>IF(COUNTIF(G1994:G2006,"P")&gt;0,"P","")</f>
        <v/>
      </c>
      <c r="H1991" s="2371" t="s">
        <v>3973</v>
      </c>
      <c r="I1991" s="180">
        <v>901.9</v>
      </c>
      <c r="J1991" s="181"/>
      <c r="K1991" s="181"/>
      <c r="L1991" s="1781" t="s">
        <v>3202</v>
      </c>
      <c r="M1991" s="1009"/>
      <c r="N1991" s="1046"/>
      <c r="O1991" s="1046"/>
      <c r="P1991" s="105"/>
      <c r="Q1991" s="105"/>
      <c r="R1991" s="105"/>
      <c r="S1991" s="105"/>
      <c r="T1991" s="105"/>
      <c r="U1991" s="105"/>
      <c r="V1991" s="105"/>
      <c r="W1991" s="105"/>
      <c r="X1991" s="1757"/>
      <c r="Y1991" s="2097" t="str">
        <f>IF(LEN('Ch9'!X125)=0,"None",'Ch9'!X125)</f>
        <v>None</v>
      </c>
      <c r="Z1991" s="2085"/>
      <c r="AA1991" s="1526"/>
      <c r="AB1991" s="648"/>
      <c r="AC1991" s="970"/>
      <c r="AD1991" s="970"/>
      <c r="AE1991" s="970"/>
      <c r="AF1991" s="648"/>
      <c r="AG1991" s="648"/>
      <c r="AH1991" s="648"/>
      <c r="AI1991" s="648"/>
      <c r="AJ1991" s="648"/>
      <c r="AK1991" s="648"/>
      <c r="AL1991" s="1336"/>
      <c r="AM1991" s="1336"/>
      <c r="AN1991" s="1336"/>
      <c r="AO1991" s="1336"/>
      <c r="AP1991" s="1336"/>
      <c r="AQ1991" s="1336"/>
      <c r="AR1991" s="254" t="str">
        <f>SUBSTITUTE(SUBSTITUTE(SUBSTITUTE("vnt"&amp;$B1991&amp;$C1991&amp;$D1991&amp;$E1991,".","_"),"(","_"),")","")</f>
        <v>vnt901_9</v>
      </c>
      <c r="AS1991" s="254" t="str">
        <f>IF(LEN(X1991)=0,"",X1991)</f>
        <v/>
      </c>
      <c r="AT1991" s="648"/>
      <c r="AU1991" s="648"/>
      <c r="AV1991" s="648"/>
      <c r="AW1991" s="648"/>
      <c r="AX1991" s="648"/>
      <c r="AY1991" s="648"/>
      <c r="AZ1991" s="648"/>
      <c r="BA1991" s="648"/>
      <c r="BB1991" s="648"/>
      <c r="BC1991" s="648"/>
      <c r="BD1991" s="648"/>
      <c r="BE1991" s="648"/>
      <c r="BF1991" s="648"/>
      <c r="BG1991" s="648"/>
      <c r="BH1991" s="648"/>
    </row>
    <row r="1992" spans="1:60" x14ac:dyDescent="0.25">
      <c r="A1992" s="2371">
        <v>9</v>
      </c>
      <c r="B1992" s="2385">
        <v>901.9</v>
      </c>
      <c r="C1992" s="2374"/>
      <c r="D1992" s="2374"/>
      <c r="E1992" s="2374"/>
      <c r="F1992" s="2374"/>
      <c r="G1992" s="2373" t="str">
        <f>G1991</f>
        <v/>
      </c>
      <c r="H1992" s="2371" t="s">
        <v>3973</v>
      </c>
      <c r="I1992" s="480"/>
      <c r="J1992" s="129"/>
      <c r="K1992" s="129"/>
      <c r="L1992" s="1782"/>
      <c r="M1992" s="1010"/>
      <c r="N1992" s="1044"/>
      <c r="O1992" s="1044"/>
      <c r="P1992" s="94"/>
      <c r="Q1992" s="94"/>
      <c r="R1992" s="94"/>
      <c r="S1992" s="94"/>
      <c r="T1992" s="94"/>
      <c r="U1992" s="94"/>
      <c r="V1992" s="94"/>
      <c r="W1992" s="94"/>
      <c r="X1992" s="1757"/>
      <c r="Y1992" s="2077"/>
      <c r="Z1992" s="2083"/>
      <c r="AA1992" s="1526"/>
      <c r="AB1992" s="648"/>
      <c r="AC1992" s="970"/>
      <c r="AD1992" s="970"/>
      <c r="AE1992" s="970"/>
      <c r="AF1992" s="648"/>
      <c r="AG1992" s="648"/>
      <c r="AH1992" s="648"/>
      <c r="AI1992" s="648"/>
      <c r="AJ1992" s="648"/>
      <c r="AK1992" s="648"/>
      <c r="AL1992" s="1336"/>
      <c r="AM1992" s="1336"/>
      <c r="AN1992" s="1336"/>
      <c r="AO1992" s="1336"/>
      <c r="AP1992" s="1336"/>
      <c r="AQ1992" s="1336"/>
      <c r="AR1992" s="1336"/>
      <c r="AS1992" s="1336"/>
      <c r="AT1992" s="648"/>
      <c r="AU1992" s="648"/>
      <c r="AV1992" s="648"/>
      <c r="AW1992" s="648"/>
      <c r="AX1992" s="648"/>
      <c r="AY1992" s="648"/>
      <c r="AZ1992" s="648"/>
      <c r="BA1992" s="648"/>
      <c r="BB1992" s="648"/>
      <c r="BC1992" s="648"/>
      <c r="BD1992" s="648"/>
      <c r="BE1992" s="648"/>
      <c r="BF1992" s="648"/>
      <c r="BG1992" s="648"/>
      <c r="BH1992" s="648"/>
    </row>
    <row r="1993" spans="1:60" x14ac:dyDescent="0.25">
      <c r="A1993" s="2371">
        <v>9</v>
      </c>
      <c r="B1993" s="2385">
        <v>901.9</v>
      </c>
      <c r="C1993" s="2374"/>
      <c r="D1993" s="2374"/>
      <c r="E1993" s="2374"/>
      <c r="F1993" s="2374"/>
      <c r="G1993" s="2373" t="str">
        <f>G1992</f>
        <v/>
      </c>
      <c r="H1993" s="2371" t="s">
        <v>3973</v>
      </c>
      <c r="I1993" s="480"/>
      <c r="J1993" s="129"/>
      <c r="K1993" s="129"/>
      <c r="L1993" s="1782"/>
      <c r="M1993" s="1010"/>
      <c r="N1993" s="1044"/>
      <c r="O1993" s="1044"/>
      <c r="P1993" s="94"/>
      <c r="Q1993" s="94"/>
      <c r="R1993" s="94"/>
      <c r="S1993" s="94"/>
      <c r="T1993" s="94"/>
      <c r="U1993" s="94"/>
      <c r="V1993" s="94"/>
      <c r="W1993" s="94"/>
      <c r="X1993" s="1757"/>
      <c r="Y1993" s="2077"/>
      <c r="Z1993" s="2083"/>
      <c r="AA1993" s="1526"/>
      <c r="AB1993" s="648"/>
      <c r="AC1993" s="970"/>
      <c r="AD1993" s="970"/>
      <c r="AE1993" s="970"/>
      <c r="AF1993" s="648"/>
      <c r="AG1993" s="648"/>
      <c r="AH1993" s="648"/>
      <c r="AI1993" s="648"/>
      <c r="AJ1993" s="648"/>
      <c r="AK1993" s="648"/>
      <c r="AL1993" s="1336"/>
      <c r="AM1993" s="1336"/>
      <c r="AN1993" s="1336"/>
      <c r="AO1993" s="1336"/>
      <c r="AP1993" s="1336"/>
      <c r="AQ1993" s="1336"/>
      <c r="AR1993" s="1336"/>
      <c r="AS1993" s="1336"/>
      <c r="AT1993" s="648"/>
      <c r="AU1993" s="648"/>
      <c r="AV1993" s="648"/>
      <c r="AW1993" s="648"/>
      <c r="AX1993" s="648"/>
      <c r="AY1993" s="648"/>
      <c r="AZ1993" s="648"/>
      <c r="BA1993" s="648"/>
      <c r="BB1993" s="648"/>
      <c r="BC1993" s="648"/>
      <c r="BD1993" s="648"/>
      <c r="BE1993" s="648"/>
      <c r="BF1993" s="648"/>
      <c r="BG1993" s="648"/>
      <c r="BH1993" s="648"/>
    </row>
    <row r="1994" spans="1:60" x14ac:dyDescent="0.25">
      <c r="A1994" s="2371">
        <v>9</v>
      </c>
      <c r="B1994" s="2385" t="s">
        <v>3203</v>
      </c>
      <c r="C1994" s="2374"/>
      <c r="D1994" s="2374"/>
      <c r="E1994" s="2374"/>
      <c r="F1994" s="2374"/>
      <c r="G1994" s="2373" t="str">
        <f>IF(N1994&gt;0,"P","")</f>
        <v/>
      </c>
      <c r="H1994" s="2371" t="s">
        <v>3973</v>
      </c>
      <c r="I1994" s="64" t="s">
        <v>3203</v>
      </c>
      <c r="J1994" s="4"/>
      <c r="K1994" s="4"/>
      <c r="L1994" s="1796" t="s">
        <v>3204</v>
      </c>
      <c r="M1994" s="1767">
        <v>5</v>
      </c>
      <c r="N1994" s="2075">
        <f>'Ch9'!O128</f>
        <v>0</v>
      </c>
      <c r="O1994" s="2075">
        <f>M1994*S1996*IFERROR(OR(W1996,W1998,W1999),0)</f>
        <v>0</v>
      </c>
      <c r="P1994" s="648"/>
      <c r="Q1994" s="648"/>
      <c r="R1994" s="648"/>
      <c r="S1994" s="648"/>
      <c r="T1994" s="648"/>
      <c r="U1994" s="648"/>
      <c r="V1994" s="648"/>
      <c r="W1994" s="648"/>
      <c r="X1994" s="648"/>
      <c r="Y1994" s="648"/>
      <c r="AA1994" s="1526"/>
      <c r="AB1994" s="648"/>
      <c r="AC1994" s="970"/>
      <c r="AD1994" s="970"/>
      <c r="AE1994" s="970"/>
      <c r="AF1994" s="648"/>
      <c r="AG1994" s="648"/>
      <c r="AH1994" s="648"/>
      <c r="AI1994" s="648"/>
      <c r="AJ1994" s="648"/>
      <c r="AK1994" s="648"/>
      <c r="AL1994" s="254" t="str">
        <f>SUBSTITUTE(SUBSTITUTE(SUBSTITUTE("vpa"&amp;$B1994&amp;$C1994&amp;$D1994&amp;$E1994,".","_"),"(","_"),")","")</f>
        <v>vpa901_9_1</v>
      </c>
      <c r="AM1994" s="254">
        <f>M1994</f>
        <v>5</v>
      </c>
      <c r="AN1994" s="254" t="str">
        <f>SUBSTITUTE(SUBSTITUTE(SUBSTITUTE("vpc"&amp;$B1994&amp;$C1994&amp;$D1994&amp;$E1994,".","_"),"(","_"),")","")</f>
        <v>vpc901_9_1</v>
      </c>
      <c r="AO1994" s="254">
        <f>O1994</f>
        <v>0</v>
      </c>
      <c r="AP1994" s="1336"/>
      <c r="AQ1994" s="1336"/>
      <c r="AR1994" s="1336"/>
      <c r="AS1994" s="1336"/>
      <c r="AT1994" s="648"/>
      <c r="AU1994" s="648"/>
      <c r="AV1994" s="648"/>
      <c r="AW1994" s="648"/>
      <c r="AX1994" s="648"/>
      <c r="AY1994" s="648"/>
      <c r="AZ1994" s="648"/>
      <c r="BA1994" s="648"/>
      <c r="BB1994" s="648"/>
      <c r="BC1994" s="648"/>
      <c r="BD1994" s="648"/>
      <c r="BE1994" s="648"/>
      <c r="BF1994" s="648"/>
      <c r="BG1994" s="648"/>
      <c r="BH1994" s="648"/>
    </row>
    <row r="1995" spans="1:60" x14ac:dyDescent="0.25">
      <c r="A1995" s="2371">
        <v>9</v>
      </c>
      <c r="B1995" s="2385" t="s">
        <v>3203</v>
      </c>
      <c r="C1995" s="2374"/>
      <c r="D1995" s="2374"/>
      <c r="E1995" s="2374"/>
      <c r="F1995" s="2374"/>
      <c r="G1995" s="2373" t="str">
        <f t="shared" ref="G1995:G2000" si="113">G1994</f>
        <v/>
      </c>
      <c r="H1995" s="2371" t="s">
        <v>3973</v>
      </c>
      <c r="I1995" s="164"/>
      <c r="J1995" s="4"/>
      <c r="K1995" s="4"/>
      <c r="L1995" s="1796"/>
      <c r="M1995" s="1767"/>
      <c r="N1995" s="2075"/>
      <c r="O1995" s="2075"/>
      <c r="P1995" s="648"/>
      <c r="Q1995" s="648"/>
      <c r="R1995" s="648"/>
      <c r="S1995" s="648"/>
      <c r="T1995" s="648"/>
      <c r="U1995" s="648"/>
      <c r="V1995" s="648"/>
      <c r="W1995" s="648"/>
      <c r="X1995" s="648"/>
      <c r="Y1995" s="648"/>
      <c r="AA1995" s="1526"/>
      <c r="AB1995" s="648"/>
      <c r="AC1995" s="970"/>
      <c r="AD1995" s="970"/>
      <c r="AE1995" s="970"/>
      <c r="AF1995" s="648"/>
      <c r="AG1995" s="648"/>
      <c r="AH1995" s="648"/>
      <c r="AI1995" s="648"/>
      <c r="AJ1995" s="648"/>
      <c r="AK1995" s="648"/>
      <c r="AL1995" s="1336"/>
      <c r="AM1995" s="1336"/>
      <c r="AN1995" s="1336"/>
      <c r="AO1995" s="1336"/>
      <c r="AP1995" s="1336"/>
      <c r="AQ1995" s="1336"/>
      <c r="AR1995" s="1336"/>
      <c r="AS1995" s="1336"/>
      <c r="AT1995" s="648"/>
      <c r="AU1995" s="648"/>
      <c r="AV1995" s="648"/>
      <c r="AW1995" s="648"/>
      <c r="AX1995" s="648"/>
      <c r="AY1995" s="648"/>
      <c r="AZ1995" s="648"/>
      <c r="BA1995" s="648"/>
      <c r="BB1995" s="648"/>
      <c r="BC1995" s="648"/>
      <c r="BD1995" s="648"/>
      <c r="BE1995" s="648"/>
      <c r="BF1995" s="648"/>
      <c r="BG1995" s="648"/>
      <c r="BH1995" s="648"/>
    </row>
    <row r="1996" spans="1:60" x14ac:dyDescent="0.25">
      <c r="A1996" s="2371">
        <v>9</v>
      </c>
      <c r="B1996" s="2385" t="s">
        <v>3203</v>
      </c>
      <c r="C1996" s="2374" t="s">
        <v>256</v>
      </c>
      <c r="D1996" s="2374"/>
      <c r="E1996" s="2374"/>
      <c r="F1996" s="2374"/>
      <c r="G1996" s="2373" t="str">
        <f t="shared" si="113"/>
        <v/>
      </c>
      <c r="H1996" s="2371" t="s">
        <v>3973</v>
      </c>
      <c r="I1996" s="164"/>
      <c r="J1996" s="183" t="s">
        <v>256</v>
      </c>
      <c r="K1996" s="129"/>
      <c r="L1996" s="1754" t="s">
        <v>3205</v>
      </c>
      <c r="M1996" s="1014"/>
      <c r="N1996" s="1042"/>
      <c r="O1996" s="1042"/>
      <c r="P1996" s="94" t="b">
        <v>0</v>
      </c>
      <c r="Q1996" s="94" t="b">
        <v>1</v>
      </c>
      <c r="R1996" s="648" t="b">
        <v>0</v>
      </c>
      <c r="S1996" s="648" t="b">
        <f>NOT(W2006)</f>
        <v>1</v>
      </c>
      <c r="T1996" s="94" t="b">
        <f>AND(NOT(S1996),W1996=TRUE)</f>
        <v>0</v>
      </c>
      <c r="U1996" s="648"/>
      <c r="V1996" s="648"/>
      <c r="W1996" s="25"/>
      <c r="X1996" s="1757"/>
      <c r="Y1996" s="2077" t="str">
        <f>IF(LEN('Ch9'!X130)=0,"None",'Ch9'!X130)</f>
        <v>None</v>
      </c>
      <c r="Z1996" s="2083"/>
      <c r="AA1996" s="1526"/>
      <c r="AB1996" s="648"/>
      <c r="AC1996" s="970" t="b">
        <f>OR(AD1996:AE1996)</f>
        <v>0</v>
      </c>
      <c r="AD1996" s="970" t="b">
        <f>T1996</f>
        <v>0</v>
      </c>
      <c r="AE1996" s="970"/>
      <c r="AF1996" s="784"/>
      <c r="AG1996" s="648"/>
      <c r="AH1996" s="648"/>
      <c r="AI1996" s="648"/>
      <c r="AJ1996" s="648"/>
      <c r="AK1996" s="648"/>
      <c r="AL1996" s="1336"/>
      <c r="AM1996" s="1336"/>
      <c r="AN1996" s="1336"/>
      <c r="AO1996" s="1336"/>
      <c r="AP1996" s="254" t="str">
        <f>SUBSTITUTE(SUBSTITUTE(SUBSTITUTE("vch"&amp;$B1996&amp;$C1996&amp;$D1996&amp;$E1996,".","_"),"(","_"),")","")</f>
        <v>vch901_9_1_1</v>
      </c>
      <c r="AQ1996" s="254" t="str">
        <f>IF(LEN(W1996)=0,"",W1996)</f>
        <v/>
      </c>
      <c r="AR1996" s="254" t="str">
        <f>SUBSTITUTE(SUBSTITUTE(SUBSTITUTE("vnt"&amp;$B1996&amp;$C1996&amp;$D1996&amp;$E1996,".","_"),"(","_"),")","")</f>
        <v>vnt901_9_1_1</v>
      </c>
      <c r="AS1996" s="254" t="str">
        <f>IF(LEN(X1996)=0,"",X1996)</f>
        <v/>
      </c>
      <c r="AT1996" s="648"/>
      <c r="AU1996" s="648"/>
      <c r="AV1996" s="648"/>
      <c r="AW1996" s="648"/>
      <c r="AX1996" s="648"/>
      <c r="AY1996" s="648"/>
      <c r="AZ1996" s="648"/>
      <c r="BA1996" s="648"/>
      <c r="BB1996" s="648"/>
      <c r="BC1996" s="648"/>
      <c r="BD1996" s="648"/>
      <c r="BE1996" s="648"/>
      <c r="BF1996" s="648"/>
      <c r="BG1996" s="648"/>
      <c r="BH1996" s="648"/>
    </row>
    <row r="1997" spans="1:60" x14ac:dyDescent="0.25">
      <c r="A1997" s="2371">
        <v>9</v>
      </c>
      <c r="B1997" s="2385" t="s">
        <v>3203</v>
      </c>
      <c r="C1997" s="2374" t="s">
        <v>256</v>
      </c>
      <c r="D1997" s="2374"/>
      <c r="E1997" s="2374"/>
      <c r="F1997" s="2374"/>
      <c r="G1997" s="2373" t="str">
        <f t="shared" si="113"/>
        <v/>
      </c>
      <c r="H1997" s="2371" t="s">
        <v>3973</v>
      </c>
      <c r="I1997" s="164"/>
      <c r="J1997" s="210"/>
      <c r="K1997" s="210"/>
      <c r="L1997" s="1755"/>
      <c r="M1997" s="1014"/>
      <c r="N1997" s="1042"/>
      <c r="O1997" s="1042"/>
      <c r="P1997" s="648"/>
      <c r="Q1997" s="648"/>
      <c r="R1997" s="648"/>
      <c r="S1997" s="648"/>
      <c r="T1997" s="648"/>
      <c r="U1997" s="648"/>
      <c r="V1997" s="648"/>
      <c r="W1997" s="648"/>
      <c r="X1997" s="1757"/>
      <c r="Y1997" s="2077"/>
      <c r="Z1997" s="2083"/>
      <c r="AA1997" s="1526"/>
      <c r="AB1997" s="648"/>
      <c r="AC1997" s="970"/>
      <c r="AD1997" s="970"/>
      <c r="AE1997" s="970"/>
      <c r="AF1997" s="648"/>
      <c r="AG1997" s="648"/>
      <c r="AH1997" s="648"/>
      <c r="AI1997" s="648"/>
      <c r="AJ1997" s="648"/>
      <c r="AK1997" s="648"/>
      <c r="AL1997" s="1336"/>
      <c r="AM1997" s="1336"/>
      <c r="AN1997" s="1336"/>
      <c r="AO1997" s="1336"/>
      <c r="AP1997" s="1336"/>
      <c r="AQ1997" s="1336"/>
      <c r="AR1997" s="1336"/>
      <c r="AS1997" s="1336"/>
      <c r="AT1997" s="648"/>
      <c r="AU1997" s="648"/>
      <c r="AV1997" s="648"/>
      <c r="AW1997" s="648"/>
      <c r="AX1997" s="648"/>
      <c r="AY1997" s="648"/>
      <c r="AZ1997" s="648"/>
      <c r="BA1997" s="648"/>
      <c r="BB1997" s="648"/>
      <c r="BC1997" s="648"/>
      <c r="BD1997" s="648"/>
      <c r="BE1997" s="648"/>
      <c r="BF1997" s="648"/>
      <c r="BG1997" s="648"/>
      <c r="BH1997" s="648"/>
    </row>
    <row r="1998" spans="1:60" x14ac:dyDescent="0.25">
      <c r="A1998" s="2371">
        <v>9</v>
      </c>
      <c r="B1998" s="2385" t="s">
        <v>3203</v>
      </c>
      <c r="C1998" s="2374" t="s">
        <v>258</v>
      </c>
      <c r="D1998" s="2374"/>
      <c r="E1998" s="2374"/>
      <c r="F1998" s="2374"/>
      <c r="G1998" s="2373" t="str">
        <f t="shared" si="113"/>
        <v/>
      </c>
      <c r="H1998" s="2371" t="s">
        <v>3973</v>
      </c>
      <c r="I1998" s="164"/>
      <c r="J1998" s="206" t="s">
        <v>258</v>
      </c>
      <c r="K1998" s="210"/>
      <c r="L1998" s="1163" t="s">
        <v>3206</v>
      </c>
      <c r="M1998" s="1014"/>
      <c r="N1998" s="1042"/>
      <c r="O1998" s="1042"/>
      <c r="P1998" s="94" t="b">
        <v>0</v>
      </c>
      <c r="Q1998" s="94" t="b">
        <v>1</v>
      </c>
      <c r="R1998" s="648" t="b">
        <v>0</v>
      </c>
      <c r="S1998" s="648" t="b">
        <f>NOT(W2006)</f>
        <v>1</v>
      </c>
      <c r="T1998" s="94" t="b">
        <f>AND(NOT(S1998),W1998=TRUE)</f>
        <v>0</v>
      </c>
      <c r="U1998" s="648"/>
      <c r="V1998" s="648"/>
      <c r="W1998" s="25"/>
      <c r="X1998" s="650"/>
      <c r="Y1998" s="653" t="str">
        <f>IF(LEN('Ch9'!X132)=0,"None",'Ch9'!X132)</f>
        <v>None</v>
      </c>
      <c r="Z1998" s="1587"/>
      <c r="AA1998" s="1526"/>
      <c r="AB1998" s="648"/>
      <c r="AC1998" s="970" t="b">
        <f>OR(AD1998:AE1998)</f>
        <v>0</v>
      </c>
      <c r="AD1998" s="970" t="b">
        <f>T1998</f>
        <v>0</v>
      </c>
      <c r="AE1998" s="970"/>
      <c r="AF1998" s="784"/>
      <c r="AG1998" s="648"/>
      <c r="AH1998" s="648"/>
      <c r="AI1998" s="648"/>
      <c r="AJ1998" s="648"/>
      <c r="AK1998" s="648"/>
      <c r="AL1998" s="1336"/>
      <c r="AM1998" s="1336"/>
      <c r="AN1998" s="1336"/>
      <c r="AO1998" s="1336"/>
      <c r="AP1998" s="254" t="str">
        <f>SUBSTITUTE(SUBSTITUTE(SUBSTITUTE("vch"&amp;$B1998&amp;$C1998&amp;$D1998&amp;$E1998,".","_"),"(","_"),")","")</f>
        <v>vch901_9_1_2</v>
      </c>
      <c r="AQ1998" s="254" t="str">
        <f>IF(LEN(W1998)=0,"",W1998)</f>
        <v/>
      </c>
      <c r="AR1998" s="254" t="str">
        <f>SUBSTITUTE(SUBSTITUTE(SUBSTITUTE("vnt"&amp;$B1998&amp;$C1998&amp;$D1998&amp;$E1998,".","_"),"(","_"),")","")</f>
        <v>vnt901_9_1_2</v>
      </c>
      <c r="AS1998" s="254" t="str">
        <f>IF(LEN(X1998)=0,"",X1998)</f>
        <v/>
      </c>
      <c r="AT1998" s="648"/>
      <c r="AU1998" s="648"/>
      <c r="AV1998" s="648"/>
      <c r="AW1998" s="648"/>
      <c r="AX1998" s="648"/>
      <c r="AY1998" s="648"/>
      <c r="AZ1998" s="648"/>
      <c r="BA1998" s="648"/>
      <c r="BB1998" s="648"/>
      <c r="BC1998" s="648"/>
      <c r="BD1998" s="648"/>
      <c r="BE1998" s="648"/>
      <c r="BF1998" s="648"/>
      <c r="BG1998" s="648"/>
      <c r="BH1998" s="648"/>
    </row>
    <row r="1999" spans="1:60" x14ac:dyDescent="0.25">
      <c r="A1999" s="2371">
        <v>9</v>
      </c>
      <c r="B1999" s="2385" t="s">
        <v>3203</v>
      </c>
      <c r="C1999" s="2374" t="s">
        <v>260</v>
      </c>
      <c r="D1999" s="2374"/>
      <c r="E1999" s="2374"/>
      <c r="F1999" s="2374"/>
      <c r="G1999" s="2373" t="str">
        <f t="shared" si="113"/>
        <v/>
      </c>
      <c r="H1999" s="2371" t="s">
        <v>3973</v>
      </c>
      <c r="I1999" s="480"/>
      <c r="J1999" s="183" t="s">
        <v>260</v>
      </c>
      <c r="K1999" s="129"/>
      <c r="L1999" s="1162" t="s">
        <v>3207</v>
      </c>
      <c r="M1999" s="1010"/>
      <c r="N1999" s="1044"/>
      <c r="O1999" s="1044"/>
      <c r="P1999" s="94" t="b">
        <v>0</v>
      </c>
      <c r="Q1999" s="94" t="b">
        <v>1</v>
      </c>
      <c r="R1999" s="94" t="b">
        <v>0</v>
      </c>
      <c r="S1999" s="94" t="b">
        <f>NOT(W2006)</f>
        <v>1</v>
      </c>
      <c r="T1999" s="94" t="b">
        <f>AND(NOT(S1999),W1999=TRUE)</f>
        <v>0</v>
      </c>
      <c r="U1999" s="94"/>
      <c r="V1999" s="94"/>
      <c r="W1999" s="25"/>
      <c r="X1999" s="1770"/>
      <c r="Y1999" s="2077" t="str">
        <f>IF(LEN('Ch9'!X133)=0,"None",'Ch9'!X133)</f>
        <v>None</v>
      </c>
      <c r="Z1999" s="2083"/>
      <c r="AA1999" s="1526"/>
      <c r="AB1999" s="648"/>
      <c r="AC1999" s="970" t="b">
        <f>OR(AD1999:AE1999)</f>
        <v>0</v>
      </c>
      <c r="AD1999" s="970" t="b">
        <f>T1999</f>
        <v>0</v>
      </c>
      <c r="AE1999" s="970"/>
      <c r="AF1999" s="784"/>
      <c r="AG1999" s="648"/>
      <c r="AH1999" s="648"/>
      <c r="AI1999" s="648"/>
      <c r="AJ1999" s="648"/>
      <c r="AK1999" s="648"/>
      <c r="AL1999" s="1336"/>
      <c r="AM1999" s="1336"/>
      <c r="AN1999" s="1336"/>
      <c r="AO1999" s="1336"/>
      <c r="AP1999" s="254" t="str">
        <f>SUBSTITUTE(SUBSTITUTE(SUBSTITUTE("vch"&amp;$B1999&amp;$C1999&amp;$D1999&amp;$E1999,".","_"),"(","_"),")","")</f>
        <v>vch901_9_1_3</v>
      </c>
      <c r="AQ1999" s="254" t="str">
        <f>IF(LEN(W1999)=0,"",W1999)</f>
        <v/>
      </c>
      <c r="AR1999" s="254" t="str">
        <f>SUBSTITUTE(SUBSTITUTE(SUBSTITUTE("vnt"&amp;$B1999&amp;$C1999&amp;$D1999&amp;$E1999,".","_"),"(","_"),")","")</f>
        <v>vnt901_9_1_3</v>
      </c>
      <c r="AS1999" s="254" t="str">
        <f>IF(LEN(X1999)=0,"",X1999)</f>
        <v/>
      </c>
      <c r="AT1999" s="648"/>
      <c r="AU1999" s="648"/>
      <c r="AV1999" s="648"/>
      <c r="AW1999" s="648"/>
      <c r="AX1999" s="648"/>
      <c r="AY1999" s="648"/>
      <c r="AZ1999" s="648"/>
      <c r="BA1999" s="648"/>
      <c r="BB1999" s="648"/>
      <c r="BC1999" s="648"/>
      <c r="BD1999" s="648"/>
      <c r="BE1999" s="648"/>
      <c r="BF1999" s="648"/>
      <c r="BG1999" s="648"/>
      <c r="BH1999" s="648"/>
    </row>
    <row r="2000" spans="1:60" x14ac:dyDescent="0.25">
      <c r="A2000" s="2371">
        <v>9</v>
      </c>
      <c r="B2000" s="2385" t="s">
        <v>3203</v>
      </c>
      <c r="C2000" s="2374" t="s">
        <v>260</v>
      </c>
      <c r="D2000" s="2380"/>
      <c r="E2000" s="2380"/>
      <c r="F2000" s="2380"/>
      <c r="G2000" s="2373" t="str">
        <f t="shared" si="113"/>
        <v/>
      </c>
      <c r="H2000" s="2371" t="s">
        <v>3973</v>
      </c>
      <c r="I2000" s="178"/>
      <c r="J2000" s="178"/>
      <c r="K2000" s="178"/>
      <c r="L2000" s="527" t="s">
        <v>3664</v>
      </c>
      <c r="M2000" s="210"/>
      <c r="N2000" s="1041"/>
      <c r="O2000" s="1041"/>
      <c r="P2000" s="178"/>
      <c r="Q2000" s="178"/>
      <c r="R2000" s="178"/>
      <c r="S2000" s="178"/>
      <c r="T2000" s="178"/>
      <c r="U2000" s="178"/>
      <c r="V2000" s="178"/>
      <c r="W2000" s="178"/>
      <c r="X2000" s="1770"/>
      <c r="Y2000" s="2077"/>
      <c r="Z2000" s="2083"/>
      <c r="AA2000" s="1526"/>
      <c r="AB2000" s="648"/>
      <c r="AC2000" s="970"/>
      <c r="AD2000" s="970"/>
      <c r="AE2000" s="970"/>
      <c r="AF2000" s="648"/>
      <c r="AG2000" s="648"/>
      <c r="AH2000" s="648"/>
      <c r="AI2000" s="648"/>
      <c r="AJ2000" s="648"/>
      <c r="AK2000" s="648"/>
      <c r="AL2000" s="1336"/>
      <c r="AM2000" s="1336"/>
      <c r="AN2000" s="1336"/>
      <c r="AO2000" s="1336"/>
      <c r="AP2000" s="1336"/>
      <c r="AQ2000" s="1336"/>
      <c r="AR2000" s="1336"/>
      <c r="AS2000" s="1336"/>
      <c r="AT2000" s="648"/>
      <c r="AU2000" s="648"/>
      <c r="AV2000" s="648"/>
      <c r="AW2000" s="648"/>
      <c r="AX2000" s="648"/>
      <c r="AY2000" s="648"/>
      <c r="AZ2000" s="648"/>
      <c r="BA2000" s="648"/>
      <c r="BB2000" s="648"/>
      <c r="BC2000" s="648"/>
      <c r="BD2000" s="648"/>
      <c r="BE2000" s="648"/>
      <c r="BF2000" s="648"/>
      <c r="BG2000" s="648"/>
      <c r="BH2000" s="648"/>
    </row>
    <row r="2001" spans="1:60" x14ac:dyDescent="0.25">
      <c r="A2001" s="2371">
        <v>9</v>
      </c>
      <c r="B2001" s="2385" t="s">
        <v>3208</v>
      </c>
      <c r="C2001" s="2374"/>
      <c r="D2001" s="2374"/>
      <c r="E2001" s="2374"/>
      <c r="F2001" s="2374"/>
      <c r="G2001" s="2373" t="str">
        <f>IF(N2001&gt;0,"P","")</f>
        <v/>
      </c>
      <c r="H2001" s="2371" t="s">
        <v>3973</v>
      </c>
      <c r="I2001" s="192" t="s">
        <v>3208</v>
      </c>
      <c r="J2001" s="193"/>
      <c r="K2001" s="193"/>
      <c r="L2001" s="1864" t="s">
        <v>3209</v>
      </c>
      <c r="M2001" s="1762">
        <v>1</v>
      </c>
      <c r="N2001" s="2079">
        <f>'Ch9'!O135</f>
        <v>0</v>
      </c>
      <c r="O2001" s="2079">
        <f>M2001*S2001*W2001</f>
        <v>0</v>
      </c>
      <c r="P2001" s="94" t="b">
        <v>0</v>
      </c>
      <c r="Q2001" s="94" t="b">
        <v>1</v>
      </c>
      <c r="R2001" s="195" t="b">
        <v>0</v>
      </c>
      <c r="S2001" s="195" t="b">
        <f>IFERROR(OR(AND(W1996,W1998,W1999),W2006),FALSE)</f>
        <v>0</v>
      </c>
      <c r="T2001" s="195" t="b">
        <f>AND(NOT(S2001),W2001=TRUE)</f>
        <v>0</v>
      </c>
      <c r="U2001" s="195"/>
      <c r="V2001" s="195"/>
      <c r="W2001" s="25"/>
      <c r="X2001" s="1770"/>
      <c r="Y2001" s="2077" t="str">
        <f>IF(LEN('Ch9'!X135)=0,"None",'Ch9'!X135)</f>
        <v>None</v>
      </c>
      <c r="Z2001" s="2083"/>
      <c r="AA2001" s="1526"/>
      <c r="AB2001" s="648"/>
      <c r="AC2001" s="970" t="b">
        <f>OR(AD2001:AE2001)</f>
        <v>0</v>
      </c>
      <c r="AD2001" s="970" t="b">
        <f>T2001</f>
        <v>0</v>
      </c>
      <c r="AE2001" s="970"/>
      <c r="AF2001" s="784"/>
      <c r="AG2001" s="648"/>
      <c r="AH2001" s="648"/>
      <c r="AI2001" s="648"/>
      <c r="AJ2001" s="648"/>
      <c r="AK2001" s="648"/>
      <c r="AL2001" s="254" t="str">
        <f>SUBSTITUTE(SUBSTITUTE(SUBSTITUTE("vpa"&amp;$B2001&amp;$C2001&amp;$D2001&amp;$E2001,".","_"),"(","_"),")","")</f>
        <v>vpa901_9_2</v>
      </c>
      <c r="AM2001" s="254">
        <f>M2001</f>
        <v>1</v>
      </c>
      <c r="AN2001" s="254" t="str">
        <f>SUBSTITUTE(SUBSTITUTE(SUBSTITUTE("vpc"&amp;$B2001&amp;$C2001&amp;$D2001&amp;$E2001,".","_"),"(","_"),")","")</f>
        <v>vpc901_9_2</v>
      </c>
      <c r="AO2001" s="254">
        <f>O2001</f>
        <v>0</v>
      </c>
      <c r="AP2001" s="254" t="str">
        <f>SUBSTITUTE(SUBSTITUTE(SUBSTITUTE("vch"&amp;$B2001&amp;$C2001&amp;$D2001&amp;$E2001,".","_"),"(","_"),")","")</f>
        <v>vch901_9_2</v>
      </c>
      <c r="AQ2001" s="254" t="str">
        <f>IF(LEN(W2001)=0,"",W2001)</f>
        <v/>
      </c>
      <c r="AR2001" s="254" t="str">
        <f>SUBSTITUTE(SUBSTITUTE(SUBSTITUTE("vnt"&amp;$B2001&amp;$C2001&amp;$D2001&amp;$E2001,".","_"),"(","_"),")","")</f>
        <v>vnt901_9_2</v>
      </c>
      <c r="AS2001" s="254" t="str">
        <f>IF(LEN(X2001)=0,"",X2001)</f>
        <v/>
      </c>
      <c r="AT2001" s="648"/>
      <c r="AU2001" s="648"/>
      <c r="AV2001" s="648"/>
      <c r="AW2001" s="648"/>
      <c r="AX2001" s="648"/>
      <c r="AY2001" s="648"/>
      <c r="AZ2001" s="648"/>
      <c r="BA2001" s="648"/>
      <c r="BB2001" s="648"/>
      <c r="BC2001" s="648"/>
      <c r="BD2001" s="648"/>
      <c r="BE2001" s="648"/>
      <c r="BF2001" s="648"/>
      <c r="BG2001" s="648"/>
      <c r="BH2001" s="648"/>
    </row>
    <row r="2002" spans="1:60" x14ac:dyDescent="0.25">
      <c r="A2002" s="2371">
        <v>9</v>
      </c>
      <c r="B2002" s="2385" t="s">
        <v>3208</v>
      </c>
      <c r="C2002" s="2374"/>
      <c r="D2002" s="2374"/>
      <c r="E2002" s="2374"/>
      <c r="F2002" s="2374"/>
      <c r="G2002" s="2373" t="str">
        <f>G2001</f>
        <v/>
      </c>
      <c r="H2002" s="2371" t="s">
        <v>3973</v>
      </c>
      <c r="I2002" s="480"/>
      <c r="J2002" s="129"/>
      <c r="K2002" s="129"/>
      <c r="L2002" s="1782"/>
      <c r="M2002" s="1758"/>
      <c r="N2002" s="1927"/>
      <c r="O2002" s="1927"/>
      <c r="P2002" s="94"/>
      <c r="Q2002" s="94"/>
      <c r="R2002" s="94"/>
      <c r="S2002" s="94"/>
      <c r="T2002" s="94"/>
      <c r="U2002" s="94"/>
      <c r="V2002" s="94"/>
      <c r="W2002" s="94"/>
      <c r="X2002" s="1770"/>
      <c r="Y2002" s="2077"/>
      <c r="Z2002" s="2083"/>
      <c r="AA2002" s="1526"/>
      <c r="AB2002" s="648"/>
      <c r="AC2002" s="970"/>
      <c r="AD2002" s="970"/>
      <c r="AE2002" s="970"/>
      <c r="AF2002" s="648"/>
      <c r="AG2002" s="648"/>
      <c r="AH2002" s="648"/>
      <c r="AI2002" s="648"/>
      <c r="AJ2002" s="648"/>
      <c r="AK2002" s="648"/>
      <c r="AL2002" s="1336"/>
      <c r="AM2002" s="1336"/>
      <c r="AN2002" s="1336"/>
      <c r="AO2002" s="1336"/>
      <c r="AP2002" s="1336"/>
      <c r="AQ2002" s="1336"/>
      <c r="AR2002" s="1336"/>
      <c r="AS2002" s="1336"/>
      <c r="AT2002" s="648"/>
      <c r="AU2002" s="648"/>
      <c r="AV2002" s="648"/>
      <c r="AW2002" s="648"/>
      <c r="AX2002" s="648"/>
      <c r="AY2002" s="648"/>
      <c r="AZ2002" s="648"/>
      <c r="BA2002" s="648"/>
      <c r="BB2002" s="648"/>
      <c r="BC2002" s="648"/>
      <c r="BD2002" s="648"/>
      <c r="BE2002" s="648"/>
      <c r="BF2002" s="648"/>
      <c r="BG2002" s="648"/>
      <c r="BH2002" s="648"/>
    </row>
    <row r="2003" spans="1:60" x14ac:dyDescent="0.25">
      <c r="A2003" s="2371">
        <v>9</v>
      </c>
      <c r="B2003" s="2385" t="s">
        <v>3208</v>
      </c>
      <c r="C2003" s="2374"/>
      <c r="D2003" s="2374"/>
      <c r="E2003" s="2374"/>
      <c r="F2003" s="2374"/>
      <c r="G2003" s="2373" t="str">
        <f>G2002</f>
        <v/>
      </c>
      <c r="H2003" s="2371" t="s">
        <v>3973</v>
      </c>
      <c r="I2003" s="480"/>
      <c r="J2003" s="129"/>
      <c r="K2003" s="129"/>
      <c r="L2003" s="1942" t="s">
        <v>3210</v>
      </c>
      <c r="M2003" s="1758"/>
      <c r="N2003" s="1927"/>
      <c r="O2003" s="1927"/>
      <c r="P2003" s="94"/>
      <c r="Q2003" s="94"/>
      <c r="R2003" s="94"/>
      <c r="S2003" s="94"/>
      <c r="T2003" s="94"/>
      <c r="U2003" s="94"/>
      <c r="V2003" s="94"/>
      <c r="W2003" s="94"/>
      <c r="X2003" s="1770"/>
      <c r="Y2003" s="2077"/>
      <c r="Z2003" s="2083"/>
      <c r="AA2003" s="1526"/>
      <c r="AB2003" s="648"/>
      <c r="AC2003" s="970"/>
      <c r="AD2003" s="970"/>
      <c r="AE2003" s="970"/>
      <c r="AF2003" s="648"/>
      <c r="AG2003" s="648"/>
      <c r="AH2003" s="648"/>
      <c r="AI2003" s="648"/>
      <c r="AJ2003" s="648"/>
      <c r="AK2003" s="648"/>
      <c r="AL2003" s="1336"/>
      <c r="AM2003" s="1336"/>
      <c r="AN2003" s="1336"/>
      <c r="AO2003" s="1336"/>
      <c r="AP2003" s="1336"/>
      <c r="AQ2003" s="1336"/>
      <c r="AR2003" s="1336"/>
      <c r="AS2003" s="1336"/>
      <c r="AT2003" s="648"/>
      <c r="AU2003" s="648"/>
      <c r="AV2003" s="648"/>
      <c r="AW2003" s="648"/>
      <c r="AX2003" s="648"/>
      <c r="AY2003" s="648"/>
      <c r="AZ2003" s="648"/>
      <c r="BA2003" s="648"/>
      <c r="BB2003" s="648"/>
      <c r="BC2003" s="648"/>
      <c r="BD2003" s="648"/>
      <c r="BE2003" s="648"/>
      <c r="BF2003" s="648"/>
      <c r="BG2003" s="648"/>
      <c r="BH2003" s="648"/>
    </row>
    <row r="2004" spans="1:60" x14ac:dyDescent="0.25">
      <c r="A2004" s="2371">
        <v>9</v>
      </c>
      <c r="B2004" s="2385" t="s">
        <v>3208</v>
      </c>
      <c r="C2004" s="2374"/>
      <c r="D2004" s="2374"/>
      <c r="E2004" s="2374"/>
      <c r="F2004" s="2374"/>
      <c r="G2004" s="2373" t="str">
        <f>G2003</f>
        <v/>
      </c>
      <c r="H2004" s="2371" t="s">
        <v>3973</v>
      </c>
      <c r="I2004" s="480"/>
      <c r="J2004" s="129"/>
      <c r="K2004" s="129"/>
      <c r="L2004" s="1942"/>
      <c r="M2004" s="1758"/>
      <c r="N2004" s="1927"/>
      <c r="O2004" s="1927"/>
      <c r="P2004" s="94"/>
      <c r="Q2004" s="94"/>
      <c r="R2004" s="94"/>
      <c r="S2004" s="94"/>
      <c r="T2004" s="94"/>
      <c r="U2004" s="94"/>
      <c r="V2004" s="94"/>
      <c r="W2004" s="94"/>
      <c r="X2004" s="1770"/>
      <c r="Y2004" s="2077"/>
      <c r="Z2004" s="2083"/>
      <c r="AA2004" s="1526"/>
      <c r="AB2004" s="648"/>
      <c r="AC2004" s="970"/>
      <c r="AD2004" s="970"/>
      <c r="AE2004" s="970"/>
      <c r="AF2004" s="648"/>
      <c r="AG2004" s="648"/>
      <c r="AH2004" s="648"/>
      <c r="AI2004" s="648"/>
      <c r="AJ2004" s="648"/>
      <c r="AK2004" s="648"/>
      <c r="AL2004" s="1336"/>
      <c r="AM2004" s="1336"/>
      <c r="AN2004" s="1336"/>
      <c r="AO2004" s="1336"/>
      <c r="AP2004" s="1336"/>
      <c r="AQ2004" s="1336"/>
      <c r="AR2004" s="1336"/>
      <c r="AS2004" s="1336"/>
      <c r="AT2004" s="648"/>
      <c r="AU2004" s="648"/>
      <c r="AV2004" s="648"/>
      <c r="AW2004" s="648"/>
      <c r="AX2004" s="648"/>
      <c r="AY2004" s="648"/>
      <c r="AZ2004" s="648"/>
      <c r="BA2004" s="648"/>
      <c r="BB2004" s="648"/>
      <c r="BC2004" s="648"/>
      <c r="BD2004" s="648"/>
      <c r="BE2004" s="648"/>
      <c r="BF2004" s="648"/>
      <c r="BG2004" s="648"/>
      <c r="BH2004" s="648"/>
    </row>
    <row r="2005" spans="1:60" x14ac:dyDescent="0.25">
      <c r="A2005" s="2371">
        <v>9</v>
      </c>
      <c r="B2005" s="2385" t="s">
        <v>3208</v>
      </c>
      <c r="C2005" s="2374"/>
      <c r="D2005" s="2374"/>
      <c r="E2005" s="2374"/>
      <c r="F2005" s="2374"/>
      <c r="G2005" s="2373" t="str">
        <f>G2004</f>
        <v/>
      </c>
      <c r="H2005" s="2371" t="s">
        <v>3973</v>
      </c>
      <c r="I2005" s="524"/>
      <c r="J2005" s="210"/>
      <c r="K2005" s="210"/>
      <c r="L2005" s="527" t="s">
        <v>3759</v>
      </c>
      <c r="M2005" s="1015"/>
      <c r="N2005" s="1047"/>
      <c r="O2005" s="1047"/>
      <c r="P2005" s="178"/>
      <c r="Q2005" s="178"/>
      <c r="R2005" s="178"/>
      <c r="S2005" s="178"/>
      <c r="T2005" s="178"/>
      <c r="U2005" s="178"/>
      <c r="V2005" s="178"/>
      <c r="W2005" s="178"/>
      <c r="X2005" s="1770"/>
      <c r="Y2005" s="2077"/>
      <c r="Z2005" s="2083"/>
      <c r="AA2005" s="1526"/>
      <c r="AB2005" s="648"/>
      <c r="AC2005" s="970"/>
      <c r="AD2005" s="970"/>
      <c r="AE2005" s="970"/>
      <c r="AF2005" s="648"/>
      <c r="AG2005" s="648"/>
      <c r="AH2005" s="648"/>
      <c r="AI2005" s="648"/>
      <c r="AJ2005" s="648"/>
      <c r="AK2005" s="648"/>
      <c r="AL2005" s="1336"/>
      <c r="AM2005" s="1336"/>
      <c r="AN2005" s="1336"/>
      <c r="AO2005" s="1336"/>
      <c r="AP2005" s="1336"/>
      <c r="AQ2005" s="1336"/>
      <c r="AR2005" s="1336"/>
      <c r="AS2005" s="1336"/>
      <c r="AT2005" s="648"/>
      <c r="AU2005" s="648"/>
      <c r="AV2005" s="648"/>
      <c r="AW2005" s="648"/>
      <c r="AX2005" s="648"/>
      <c r="AY2005" s="648"/>
      <c r="AZ2005" s="648"/>
      <c r="BA2005" s="648"/>
      <c r="BB2005" s="648"/>
      <c r="BC2005" s="648"/>
      <c r="BD2005" s="648"/>
      <c r="BE2005" s="648"/>
      <c r="BF2005" s="648"/>
      <c r="BG2005" s="648"/>
      <c r="BH2005" s="648"/>
    </row>
    <row r="2006" spans="1:60" x14ac:dyDescent="0.25">
      <c r="A2006" s="2371">
        <v>9</v>
      </c>
      <c r="B2006" s="2385" t="s">
        <v>3211</v>
      </c>
      <c r="C2006" s="2374"/>
      <c r="D2006" s="2374"/>
      <c r="E2006" s="2374"/>
      <c r="F2006" s="2374"/>
      <c r="G2006" s="2373" t="str">
        <f>IF(N2006&gt;0,"P","")</f>
        <v/>
      </c>
      <c r="H2006" s="2371" t="s">
        <v>3973</v>
      </c>
      <c r="I2006" s="130" t="s">
        <v>3211</v>
      </c>
      <c r="J2006" s="129"/>
      <c r="K2006" s="129"/>
      <c r="L2006" s="1782" t="s">
        <v>5595</v>
      </c>
      <c r="M2006" s="1758">
        <v>8</v>
      </c>
      <c r="N2006" s="1927">
        <f>'Ch9'!O140</f>
        <v>0</v>
      </c>
      <c r="O2006" s="1927">
        <f>M2006*S2006*W2006</f>
        <v>0</v>
      </c>
      <c r="P2006" s="94" t="b">
        <v>0</v>
      </c>
      <c r="Q2006" s="94" t="b">
        <v>1</v>
      </c>
      <c r="R2006" s="94" t="b">
        <v>0</v>
      </c>
      <c r="S2006" s="94" t="b">
        <f>AND(NOT(W1996),NOT(W1998),NOT(W1999))</f>
        <v>1</v>
      </c>
      <c r="T2006" s="94" t="b">
        <f>AND(NOT(S2006),W2006=TRUE)</f>
        <v>0</v>
      </c>
      <c r="U2006" s="94"/>
      <c r="V2006" s="94"/>
      <c r="W2006" s="25"/>
      <c r="X2006" s="1756"/>
      <c r="Y2006" s="2081" t="str">
        <f>IF(LEN('Ch9'!X140)=0,"None",'Ch9'!X140)</f>
        <v>None</v>
      </c>
      <c r="Z2006" s="2084"/>
      <c r="AA2006" s="1526"/>
      <c r="AB2006" s="648"/>
      <c r="AC2006" s="970" t="b">
        <f>OR(AD2006:AE2006)</f>
        <v>0</v>
      </c>
      <c r="AD2006" s="970" t="b">
        <f>T2006</f>
        <v>0</v>
      </c>
      <c r="AE2006" s="970"/>
      <c r="AF2006" s="784"/>
      <c r="AG2006" s="648"/>
      <c r="AH2006" s="648"/>
      <c r="AI2006" s="648"/>
      <c r="AJ2006" s="648"/>
      <c r="AK2006" s="648"/>
      <c r="AL2006" s="254" t="str">
        <f>SUBSTITUTE(SUBSTITUTE(SUBSTITUTE("vpa"&amp;$B2006&amp;$C2006&amp;$D2006&amp;$E2006,".","_"),"(","_"),")","")</f>
        <v>vpa901_9_3</v>
      </c>
      <c r="AM2006" s="254">
        <f>M2006</f>
        <v>8</v>
      </c>
      <c r="AN2006" s="254" t="str">
        <f>SUBSTITUTE(SUBSTITUTE(SUBSTITUTE("vpc"&amp;$B2006&amp;$C2006&amp;$D2006&amp;$E2006,".","_"),"(","_"),")","")</f>
        <v>vpc901_9_3</v>
      </c>
      <c r="AO2006" s="254">
        <f>O2006</f>
        <v>0</v>
      </c>
      <c r="AP2006" s="254" t="str">
        <f>SUBSTITUTE(SUBSTITUTE(SUBSTITUTE("vch"&amp;$B2006&amp;$C2006&amp;$D2006&amp;$E2006,".","_"),"(","_"),")","")</f>
        <v>vch901_9_3</v>
      </c>
      <c r="AQ2006" s="254" t="str">
        <f>IF(LEN(W2006)=0,"",W2006)</f>
        <v/>
      </c>
      <c r="AR2006" s="254" t="str">
        <f>SUBSTITUTE(SUBSTITUTE(SUBSTITUTE("vnt"&amp;$B2006&amp;$C2006&amp;$D2006&amp;$E2006,".","_"),"(","_"),")","")</f>
        <v>vnt901_9_3</v>
      </c>
      <c r="AS2006" s="254" t="str">
        <f>IF(LEN(X2006)=0,"",X2006)</f>
        <v/>
      </c>
      <c r="AT2006" s="648"/>
      <c r="AU2006" s="648"/>
      <c r="AV2006" s="648"/>
      <c r="AW2006" s="648"/>
      <c r="AX2006" s="648"/>
      <c r="AY2006" s="648"/>
      <c r="AZ2006" s="648"/>
      <c r="BA2006" s="648"/>
      <c r="BB2006" s="648"/>
      <c r="BC2006" s="648"/>
      <c r="BD2006" s="648"/>
      <c r="BE2006" s="648"/>
      <c r="BF2006" s="648"/>
      <c r="BG2006" s="648"/>
      <c r="BH2006" s="648"/>
    </row>
    <row r="2007" spans="1:60" x14ac:dyDescent="0.25">
      <c r="A2007" s="2371">
        <v>9</v>
      </c>
      <c r="B2007" s="2385" t="s">
        <v>3211</v>
      </c>
      <c r="C2007" s="2374"/>
      <c r="D2007" s="2374"/>
      <c r="E2007" s="2374"/>
      <c r="F2007" s="2374"/>
      <c r="G2007" s="2373" t="str">
        <f>G2006</f>
        <v/>
      </c>
      <c r="H2007" s="2371" t="s">
        <v>3973</v>
      </c>
      <c r="I2007" s="480"/>
      <c r="J2007" s="129"/>
      <c r="K2007" s="129"/>
      <c r="L2007" s="1782"/>
      <c r="M2007" s="1758"/>
      <c r="N2007" s="1927"/>
      <c r="O2007" s="1927"/>
      <c r="P2007" s="94"/>
      <c r="Q2007" s="94"/>
      <c r="R2007" s="94"/>
      <c r="S2007" s="94"/>
      <c r="T2007" s="94"/>
      <c r="U2007" s="94"/>
      <c r="V2007" s="94"/>
      <c r="W2007" s="94"/>
      <c r="X2007" s="1770"/>
      <c r="Y2007" s="2081"/>
      <c r="Z2007" s="2084"/>
      <c r="AA2007" s="1526"/>
      <c r="AB2007" s="648"/>
      <c r="AC2007" s="970"/>
      <c r="AD2007" s="970"/>
      <c r="AE2007" s="970"/>
      <c r="AF2007" s="648"/>
      <c r="AG2007" s="648"/>
      <c r="AH2007" s="648"/>
      <c r="AI2007" s="648"/>
      <c r="AJ2007" s="648"/>
      <c r="AK2007" s="648"/>
      <c r="AL2007" s="1336"/>
      <c r="AM2007" s="1336"/>
      <c r="AN2007" s="1336"/>
      <c r="AO2007" s="1336"/>
      <c r="AP2007" s="1336"/>
      <c r="AQ2007" s="1336"/>
      <c r="AR2007" s="1336"/>
      <c r="AS2007" s="1336"/>
      <c r="AT2007" s="648"/>
      <c r="AU2007" s="648"/>
      <c r="AV2007" s="648"/>
      <c r="AW2007" s="648"/>
      <c r="AX2007" s="648"/>
      <c r="AY2007" s="648"/>
      <c r="AZ2007" s="648"/>
      <c r="BA2007" s="648"/>
      <c r="BB2007" s="648"/>
      <c r="BC2007" s="648"/>
      <c r="BD2007" s="648"/>
      <c r="BE2007" s="648"/>
      <c r="BF2007" s="648"/>
      <c r="BG2007" s="648"/>
      <c r="BH2007" s="648"/>
    </row>
    <row r="2008" spans="1:60" x14ac:dyDescent="0.25">
      <c r="A2008" s="2371">
        <v>9</v>
      </c>
      <c r="B2008" s="2385" t="s">
        <v>3211</v>
      </c>
      <c r="C2008" s="2374"/>
      <c r="D2008" s="2374"/>
      <c r="E2008" s="2374"/>
      <c r="F2008" s="2374"/>
      <c r="G2008" s="2373" t="str">
        <f>G2007</f>
        <v/>
      </c>
      <c r="H2008" s="2371" t="s">
        <v>3973</v>
      </c>
      <c r="I2008" s="480"/>
      <c r="J2008" s="129"/>
      <c r="K2008" s="129"/>
      <c r="L2008" s="1782"/>
      <c r="M2008" s="1758"/>
      <c r="N2008" s="1927"/>
      <c r="O2008" s="1927"/>
      <c r="P2008" s="94"/>
      <c r="Q2008" s="94"/>
      <c r="R2008" s="94"/>
      <c r="S2008" s="94"/>
      <c r="T2008" s="94"/>
      <c r="U2008" s="94"/>
      <c r="V2008" s="94"/>
      <c r="W2008" s="94"/>
      <c r="X2008" s="1770"/>
      <c r="Y2008" s="2081"/>
      <c r="Z2008" s="2084"/>
      <c r="AA2008" s="1526"/>
      <c r="AB2008" s="648"/>
      <c r="AC2008" s="970"/>
      <c r="AD2008" s="970"/>
      <c r="AE2008" s="970"/>
      <c r="AF2008" s="648"/>
      <c r="AG2008" s="648"/>
      <c r="AH2008" s="648"/>
      <c r="AI2008" s="648"/>
      <c r="AJ2008" s="648"/>
      <c r="AK2008" s="648"/>
      <c r="AL2008" s="1336"/>
      <c r="AM2008" s="1336"/>
      <c r="AN2008" s="1336"/>
      <c r="AO2008" s="1336"/>
      <c r="AP2008" s="1336"/>
      <c r="AQ2008" s="1336"/>
      <c r="AR2008" s="1336"/>
      <c r="AS2008" s="1336"/>
      <c r="AT2008" s="648"/>
      <c r="AU2008" s="648"/>
      <c r="AV2008" s="648"/>
      <c r="AW2008" s="648"/>
      <c r="AX2008" s="648"/>
      <c r="AY2008" s="648"/>
      <c r="AZ2008" s="648"/>
      <c r="BA2008" s="648"/>
      <c r="BB2008" s="648"/>
      <c r="BC2008" s="648"/>
      <c r="BD2008" s="648"/>
      <c r="BE2008" s="648"/>
      <c r="BF2008" s="648"/>
      <c r="BG2008" s="648"/>
      <c r="BH2008" s="648"/>
    </row>
    <row r="2009" spans="1:60" x14ac:dyDescent="0.25">
      <c r="A2009" s="2371">
        <v>9</v>
      </c>
      <c r="B2009" s="2385" t="s">
        <v>3211</v>
      </c>
      <c r="C2009" s="2374"/>
      <c r="D2009" s="2374"/>
      <c r="E2009" s="2374"/>
      <c r="F2009" s="2374"/>
      <c r="G2009" s="2373" t="str">
        <f>G2008</f>
        <v/>
      </c>
      <c r="H2009" s="2371" t="s">
        <v>3973</v>
      </c>
      <c r="I2009" s="480"/>
      <c r="J2009" s="129"/>
      <c r="K2009" s="129"/>
      <c r="L2009" s="1782"/>
      <c r="M2009" s="1758"/>
      <c r="N2009" s="1927"/>
      <c r="O2009" s="1927"/>
      <c r="P2009" s="94"/>
      <c r="Q2009" s="94"/>
      <c r="R2009" s="94"/>
      <c r="S2009" s="94"/>
      <c r="T2009" s="94"/>
      <c r="U2009" s="94"/>
      <c r="V2009" s="94"/>
      <c r="W2009" s="94"/>
      <c r="X2009" s="1770"/>
      <c r="Y2009" s="2081"/>
      <c r="Z2009" s="2084"/>
      <c r="AA2009" s="1526"/>
      <c r="AB2009" s="648"/>
      <c r="AC2009" s="970"/>
      <c r="AD2009" s="970"/>
      <c r="AE2009" s="970"/>
      <c r="AF2009" s="648"/>
      <c r="AG2009" s="648"/>
      <c r="AH2009" s="648"/>
      <c r="AI2009" s="648"/>
      <c r="AJ2009" s="648"/>
      <c r="AK2009" s="648"/>
      <c r="AL2009" s="1336"/>
      <c r="AM2009" s="1336"/>
      <c r="AN2009" s="1336"/>
      <c r="AO2009" s="1336"/>
      <c r="AP2009" s="1336"/>
      <c r="AQ2009" s="1336"/>
      <c r="AR2009" s="1336"/>
      <c r="AS2009" s="1336"/>
      <c r="AT2009" s="648"/>
      <c r="AU2009" s="648"/>
      <c r="AV2009" s="648"/>
      <c r="AW2009" s="648"/>
      <c r="AX2009" s="648"/>
      <c r="AY2009" s="648"/>
      <c r="AZ2009" s="648"/>
      <c r="BA2009" s="648"/>
      <c r="BB2009" s="648"/>
      <c r="BC2009" s="648"/>
      <c r="BD2009" s="648"/>
      <c r="BE2009" s="648"/>
      <c r="BF2009" s="648"/>
      <c r="BG2009" s="648"/>
      <c r="BH2009" s="648"/>
    </row>
    <row r="2010" spans="1:60" x14ac:dyDescent="0.25">
      <c r="A2010" s="2371">
        <v>9</v>
      </c>
      <c r="B2010" s="2385" t="s">
        <v>3211</v>
      </c>
      <c r="C2010" s="2374"/>
      <c r="D2010" s="2374"/>
      <c r="E2010" s="2374"/>
      <c r="F2010" s="2374"/>
      <c r="G2010" s="2373" t="str">
        <f>G2009</f>
        <v/>
      </c>
      <c r="H2010" s="2371" t="s">
        <v>3973</v>
      </c>
      <c r="I2010" s="480"/>
      <c r="J2010" s="129"/>
      <c r="K2010" s="129"/>
      <c r="L2010" s="1782"/>
      <c r="M2010" s="1758"/>
      <c r="N2010" s="1927"/>
      <c r="O2010" s="1927"/>
      <c r="P2010" s="94"/>
      <c r="Q2010" s="94"/>
      <c r="R2010" s="94"/>
      <c r="S2010" s="94"/>
      <c r="T2010" s="94"/>
      <c r="U2010" s="94"/>
      <c r="V2010" s="94"/>
      <c r="W2010" s="94"/>
      <c r="X2010" s="1770"/>
      <c r="Y2010" s="2081"/>
      <c r="Z2010" s="2084"/>
      <c r="AA2010" s="1526"/>
      <c r="AB2010" s="648"/>
      <c r="AC2010" s="970"/>
      <c r="AD2010" s="970"/>
      <c r="AE2010" s="970"/>
      <c r="AF2010" s="648"/>
      <c r="AG2010" s="648"/>
      <c r="AH2010" s="648"/>
      <c r="AI2010" s="648"/>
      <c r="AJ2010" s="648"/>
      <c r="AK2010" s="648"/>
      <c r="AL2010" s="1336"/>
      <c r="AM2010" s="1336"/>
      <c r="AN2010" s="1336"/>
      <c r="AO2010" s="1336"/>
      <c r="AP2010" s="1336"/>
      <c r="AQ2010" s="1336"/>
      <c r="AR2010" s="1336"/>
      <c r="AS2010" s="1336"/>
      <c r="AT2010" s="648"/>
      <c r="AU2010" s="648"/>
      <c r="AV2010" s="648"/>
      <c r="AW2010" s="648"/>
      <c r="AX2010" s="648"/>
      <c r="AY2010" s="648"/>
      <c r="AZ2010" s="648"/>
      <c r="BA2010" s="648"/>
      <c r="BB2010" s="648"/>
      <c r="BC2010" s="648"/>
      <c r="BD2010" s="648"/>
      <c r="BE2010" s="648"/>
      <c r="BF2010" s="648"/>
      <c r="BG2010" s="648"/>
      <c r="BH2010" s="648"/>
    </row>
    <row r="2011" spans="1:60" ht="15.75" thickBot="1" x14ac:dyDescent="0.3">
      <c r="A2011" s="2371">
        <v>9</v>
      </c>
      <c r="B2011" s="2385" t="s">
        <v>3211</v>
      </c>
      <c r="C2011" s="2374"/>
      <c r="D2011" s="2374"/>
      <c r="E2011" s="2374"/>
      <c r="F2011" s="2374"/>
      <c r="G2011" s="2373" t="str">
        <f>G2010</f>
        <v/>
      </c>
      <c r="H2011" s="2371" t="s">
        <v>3973</v>
      </c>
      <c r="I2011" s="481"/>
      <c r="J2011" s="240"/>
      <c r="K2011" s="240"/>
      <c r="L2011" s="1797"/>
      <c r="M2011" s="1768"/>
      <c r="N2011" s="1928"/>
      <c r="O2011" s="1928"/>
      <c r="P2011" s="99"/>
      <c r="Q2011" s="99"/>
      <c r="R2011" s="99"/>
      <c r="S2011" s="99"/>
      <c r="T2011" s="99"/>
      <c r="U2011" s="99"/>
      <c r="V2011" s="99"/>
      <c r="W2011" s="99"/>
      <c r="X2011" s="1771"/>
      <c r="Y2011" s="2082"/>
      <c r="Z2011" s="2086"/>
      <c r="AA2011" s="1526"/>
      <c r="AB2011" s="648"/>
      <c r="AC2011" s="970"/>
      <c r="AD2011" s="970"/>
      <c r="AE2011" s="970"/>
      <c r="AF2011" s="648"/>
      <c r="AG2011" s="648"/>
      <c r="AH2011" s="648"/>
      <c r="AI2011" s="648"/>
      <c r="AJ2011" s="648"/>
      <c r="AK2011" s="648"/>
      <c r="AL2011" s="1336"/>
      <c r="AM2011" s="1336"/>
      <c r="AN2011" s="1336"/>
      <c r="AO2011" s="1336"/>
      <c r="AP2011" s="1336"/>
      <c r="AQ2011" s="1336"/>
      <c r="AR2011" s="1336"/>
      <c r="AS2011" s="1336"/>
      <c r="AT2011" s="648"/>
      <c r="AU2011" s="648"/>
      <c r="AV2011" s="648"/>
      <c r="AW2011" s="648"/>
      <c r="AX2011" s="648"/>
      <c r="AY2011" s="648"/>
      <c r="AZ2011" s="648"/>
      <c r="BA2011" s="648"/>
      <c r="BB2011" s="648"/>
      <c r="BC2011" s="648"/>
      <c r="BD2011" s="648"/>
      <c r="BE2011" s="648"/>
      <c r="BF2011" s="648"/>
      <c r="BG2011" s="648"/>
      <c r="BH2011" s="648"/>
    </row>
    <row r="2012" spans="1:60" ht="15.75" thickTop="1" x14ac:dyDescent="0.25">
      <c r="A2012" s="2371">
        <v>9</v>
      </c>
      <c r="B2012" s="2403" t="s">
        <v>3970</v>
      </c>
      <c r="C2012" s="2374"/>
      <c r="D2012" s="2374"/>
      <c r="E2012" s="2374"/>
      <c r="F2012" s="2374"/>
      <c r="G2012" s="2373" t="str">
        <f>IF(N2012&gt;0,"P","")</f>
        <v/>
      </c>
      <c r="H2012" s="2371" t="s">
        <v>3973</v>
      </c>
      <c r="I2012" s="222">
        <v>901.1</v>
      </c>
      <c r="J2012" s="4"/>
      <c r="K2012" s="4"/>
      <c r="L2012" s="1796" t="s">
        <v>3213</v>
      </c>
      <c r="M2012" s="1014"/>
      <c r="N2012" s="2075">
        <f>'Ch9'!O146</f>
        <v>0</v>
      </c>
      <c r="O2012" s="2075">
        <f>IF(W2021=TRUE,5,IF(W2020=TRUE,5,IF(W2015=TRUE,8,0)))*S2015</f>
        <v>0</v>
      </c>
      <c r="P2012" s="648"/>
      <c r="Q2012" s="648"/>
      <c r="R2012" s="648"/>
      <c r="S2012" s="648"/>
      <c r="T2012" s="648"/>
      <c r="U2012" s="648"/>
      <c r="V2012" s="648"/>
      <c r="W2012" s="648"/>
      <c r="X2012" s="648"/>
      <c r="Y2012" s="648"/>
      <c r="AA2012" s="1526"/>
      <c r="AB2012" s="648"/>
      <c r="AC2012" s="970"/>
      <c r="AD2012" s="970"/>
      <c r="AE2012" s="970"/>
      <c r="AF2012" s="648"/>
      <c r="AG2012" s="648"/>
      <c r="AH2012" s="648"/>
      <c r="AI2012" s="648"/>
      <c r="AJ2012" s="648"/>
      <c r="AK2012" s="648"/>
      <c r="AL2012" s="1336"/>
      <c r="AM2012" s="1336"/>
      <c r="AN2012" s="254" t="str">
        <f>SUBSTITUTE(SUBSTITUTE(SUBSTITUTE("vpc"&amp;$B2012&amp;$C2012&amp;$D2012&amp;$E2012,".","_"),"(","_"),")","")</f>
        <v>vpc901_10</v>
      </c>
      <c r="AO2012" s="254">
        <f>O2012</f>
        <v>0</v>
      </c>
      <c r="AP2012" s="1336"/>
      <c r="AQ2012" s="1336"/>
      <c r="AR2012" s="1336"/>
      <c r="AS2012" s="1336"/>
      <c r="AT2012" s="648"/>
      <c r="AU2012" s="648"/>
      <c r="AV2012" s="648"/>
      <c r="AW2012" s="648"/>
      <c r="AX2012" s="648"/>
      <c r="AY2012" s="648"/>
      <c r="AZ2012" s="648"/>
      <c r="BA2012" s="648"/>
      <c r="BB2012" s="648"/>
      <c r="BC2012" s="648"/>
      <c r="BD2012" s="648"/>
      <c r="BE2012" s="648"/>
      <c r="BF2012" s="648"/>
      <c r="BG2012" s="648"/>
      <c r="BH2012" s="648"/>
    </row>
    <row r="2013" spans="1:60" x14ac:dyDescent="0.25">
      <c r="A2013" s="2371">
        <v>9</v>
      </c>
      <c r="B2013" s="2403" t="s">
        <v>3970</v>
      </c>
      <c r="C2013" s="2374"/>
      <c r="D2013" s="2374"/>
      <c r="E2013" s="2374"/>
      <c r="F2013" s="2374"/>
      <c r="G2013" s="2373" t="str">
        <f t="shared" ref="G2013:G2024" si="114">G2012</f>
        <v/>
      </c>
      <c r="H2013" s="2371" t="s">
        <v>3973</v>
      </c>
      <c r="I2013" s="164"/>
      <c r="J2013" s="4"/>
      <c r="K2013" s="4"/>
      <c r="L2013" s="1796"/>
      <c r="M2013" s="1014"/>
      <c r="N2013" s="2075"/>
      <c r="O2013" s="2075"/>
      <c r="P2013" s="648"/>
      <c r="Q2013" s="648"/>
      <c r="R2013" s="648"/>
      <c r="S2013" s="648"/>
      <c r="T2013" s="648"/>
      <c r="U2013" s="648"/>
      <c r="V2013" s="648"/>
      <c r="W2013" s="648"/>
      <c r="X2013" s="648"/>
      <c r="Y2013" s="648"/>
      <c r="AA2013" s="1526"/>
      <c r="AB2013" s="648"/>
      <c r="AC2013" s="970"/>
      <c r="AD2013" s="970"/>
      <c r="AE2013" s="970"/>
      <c r="AF2013" s="648"/>
      <c r="AG2013" s="648"/>
      <c r="AH2013" s="648"/>
      <c r="AI2013" s="648"/>
      <c r="AJ2013" s="648"/>
      <c r="AK2013" s="648"/>
      <c r="AL2013" s="1336"/>
      <c r="AM2013" s="1336"/>
      <c r="AN2013" s="1336"/>
      <c r="AO2013" s="1336"/>
      <c r="AP2013" s="1336"/>
      <c r="AQ2013" s="1336"/>
      <c r="AR2013" s="1336"/>
      <c r="AS2013" s="1336"/>
      <c r="AT2013" s="648"/>
      <c r="AU2013" s="648"/>
      <c r="AV2013" s="648"/>
      <c r="AW2013" s="648"/>
      <c r="AX2013" s="648"/>
      <c r="AY2013" s="648"/>
      <c r="AZ2013" s="648"/>
      <c r="BA2013" s="648"/>
      <c r="BB2013" s="648"/>
      <c r="BC2013" s="648"/>
      <c r="BD2013" s="648"/>
      <c r="BE2013" s="648"/>
      <c r="BF2013" s="648"/>
      <c r="BG2013" s="648"/>
      <c r="BH2013" s="648"/>
    </row>
    <row r="2014" spans="1:60" x14ac:dyDescent="0.25">
      <c r="A2014" s="2371">
        <v>9</v>
      </c>
      <c r="B2014" s="2403" t="s">
        <v>3970</v>
      </c>
      <c r="C2014" s="2374"/>
      <c r="D2014" s="2374"/>
      <c r="E2014" s="2374"/>
      <c r="F2014" s="2374"/>
      <c r="G2014" s="2373" t="str">
        <f t="shared" si="114"/>
        <v/>
      </c>
      <c r="H2014" s="2371" t="s">
        <v>3973</v>
      </c>
      <c r="I2014" s="164"/>
      <c r="J2014" s="4"/>
      <c r="K2014" s="4"/>
      <c r="L2014" s="1796"/>
      <c r="M2014" s="1014"/>
      <c r="N2014" s="2075"/>
      <c r="O2014" s="2075"/>
      <c r="P2014" s="648"/>
      <c r="Q2014" s="648"/>
      <c r="R2014" s="648"/>
      <c r="S2014" s="648"/>
      <c r="T2014" s="648"/>
      <c r="U2014" s="648"/>
      <c r="V2014" s="648"/>
      <c r="W2014" s="648"/>
      <c r="X2014" s="648"/>
      <c r="Y2014" s="648"/>
      <c r="AA2014" s="1526"/>
      <c r="AB2014" s="648"/>
      <c r="AC2014" s="970"/>
      <c r="AD2014" s="970"/>
      <c r="AE2014" s="970"/>
      <c r="AF2014" s="648"/>
      <c r="AG2014" s="648"/>
      <c r="AH2014" s="648"/>
      <c r="AI2014" s="648"/>
      <c r="AJ2014" s="648"/>
      <c r="AK2014" s="648"/>
      <c r="AL2014" s="1336"/>
      <c r="AM2014" s="1336"/>
      <c r="AN2014" s="1336"/>
      <c r="AO2014" s="1336"/>
      <c r="AP2014" s="1336"/>
      <c r="AQ2014" s="1336"/>
      <c r="AR2014" s="1336"/>
      <c r="AS2014" s="1336"/>
      <c r="AT2014" s="648"/>
      <c r="AU2014" s="648"/>
      <c r="AV2014" s="648"/>
      <c r="AW2014" s="648"/>
      <c r="AX2014" s="648"/>
      <c r="AY2014" s="648"/>
      <c r="AZ2014" s="648"/>
      <c r="BA2014" s="648"/>
      <c r="BB2014" s="648"/>
      <c r="BC2014" s="648"/>
      <c r="BD2014" s="648"/>
      <c r="BE2014" s="648"/>
      <c r="BF2014" s="648"/>
      <c r="BG2014" s="648"/>
      <c r="BH2014" s="648"/>
    </row>
    <row r="2015" spans="1:60" x14ac:dyDescent="0.25">
      <c r="A2015" s="2371">
        <v>9</v>
      </c>
      <c r="B2015" s="2403" t="s">
        <v>3970</v>
      </c>
      <c r="C2015" s="2374" t="s">
        <v>256</v>
      </c>
      <c r="D2015" s="2374"/>
      <c r="E2015" s="2374"/>
      <c r="F2015" s="2374"/>
      <c r="G2015" s="2373" t="str">
        <f t="shared" si="114"/>
        <v/>
      </c>
      <c r="H2015" s="2371" t="s">
        <v>3973</v>
      </c>
      <c r="I2015" s="164"/>
      <c r="J2015" s="183" t="s">
        <v>256</v>
      </c>
      <c r="K2015" s="129"/>
      <c r="L2015" s="1754" t="s">
        <v>5596</v>
      </c>
      <c r="M2015" s="1758">
        <v>8</v>
      </c>
      <c r="N2015" s="1042"/>
      <c r="O2015" s="1042"/>
      <c r="P2015" s="94" t="b">
        <v>0</v>
      </c>
      <c r="Q2015" s="94" t="b">
        <v>1</v>
      </c>
      <c r="R2015" s="648" t="b">
        <v>0</v>
      </c>
      <c r="S2015" s="648" t="b">
        <v>1</v>
      </c>
      <c r="T2015" s="648" t="b">
        <v>0</v>
      </c>
      <c r="U2015" s="648"/>
      <c r="V2015" s="648"/>
      <c r="W2015" s="25"/>
      <c r="X2015" s="1757"/>
      <c r="Y2015" s="2077" t="str">
        <f>IF(LEN('Ch9'!X149)=0,"None",'Ch9'!X149)</f>
        <v>None</v>
      </c>
      <c r="Z2015" s="2083"/>
      <c r="AA2015" s="1526"/>
      <c r="AB2015" s="648"/>
      <c r="AC2015" s="970"/>
      <c r="AD2015" s="970"/>
      <c r="AE2015" s="970"/>
      <c r="AF2015" s="784"/>
      <c r="AG2015" s="648"/>
      <c r="AH2015" s="648"/>
      <c r="AI2015" s="648"/>
      <c r="AJ2015" s="648"/>
      <c r="AK2015" s="648"/>
      <c r="AL2015" s="254" t="str">
        <f>SUBSTITUTE(SUBSTITUTE(SUBSTITUTE("vpa"&amp;$B2015&amp;$C2015&amp;$D2015&amp;$E2015,".","_"),"(","_"),")","")</f>
        <v>vpa901_10_1</v>
      </c>
      <c r="AM2015" s="254">
        <f>M2015</f>
        <v>8</v>
      </c>
      <c r="AN2015" s="1336"/>
      <c r="AO2015" s="1336"/>
      <c r="AP2015" s="254" t="str">
        <f>SUBSTITUTE(SUBSTITUTE(SUBSTITUTE("vch"&amp;$B2015&amp;$C2015&amp;$D2015&amp;$E2015,".","_"),"(","_"),")","")</f>
        <v>vch901_10_1</v>
      </c>
      <c r="AQ2015" s="254" t="str">
        <f>IF(LEN(W2015)=0,"",W2015)</f>
        <v/>
      </c>
      <c r="AR2015" s="254" t="str">
        <f>SUBSTITUTE(SUBSTITUTE(SUBSTITUTE("vnt"&amp;$B2015&amp;$C2015&amp;$D2015&amp;$E2015,".","_"),"(","_"),")","")</f>
        <v>vnt901_10_1</v>
      </c>
      <c r="AS2015" s="254" t="str">
        <f>IF(LEN(X2015)=0,"",X2015)</f>
        <v/>
      </c>
      <c r="AT2015" s="648"/>
      <c r="AU2015" s="648"/>
      <c r="AV2015" s="648"/>
      <c r="AW2015" s="648"/>
      <c r="AX2015" s="648"/>
      <c r="AY2015" s="648"/>
      <c r="AZ2015" s="648"/>
      <c r="BA2015" s="648"/>
      <c r="BB2015" s="648"/>
      <c r="BC2015" s="648"/>
      <c r="BD2015" s="648"/>
      <c r="BE2015" s="648"/>
      <c r="BF2015" s="648"/>
      <c r="BG2015" s="648"/>
      <c r="BH2015" s="648"/>
    </row>
    <row r="2016" spans="1:60" x14ac:dyDescent="0.25">
      <c r="A2016" s="2371">
        <v>9</v>
      </c>
      <c r="B2016" s="2403" t="s">
        <v>3970</v>
      </c>
      <c r="C2016" s="2374" t="s">
        <v>256</v>
      </c>
      <c r="D2016" s="2374"/>
      <c r="E2016" s="2374"/>
      <c r="F2016" s="2374"/>
      <c r="G2016" s="2373" t="str">
        <f t="shared" si="114"/>
        <v/>
      </c>
      <c r="H2016" s="2371" t="s">
        <v>3973</v>
      </c>
      <c r="I2016" s="164"/>
      <c r="J2016" s="129"/>
      <c r="K2016" s="129"/>
      <c r="L2016" s="1754"/>
      <c r="M2016" s="1758"/>
      <c r="N2016" s="1042"/>
      <c r="O2016" s="1042"/>
      <c r="P2016" s="648"/>
      <c r="Q2016" s="648"/>
      <c r="R2016" s="648"/>
      <c r="S2016" s="648"/>
      <c r="T2016" s="648"/>
      <c r="U2016" s="648"/>
      <c r="V2016" s="648"/>
      <c r="W2016" s="648"/>
      <c r="X2016" s="1757"/>
      <c r="Y2016" s="2077"/>
      <c r="Z2016" s="2083"/>
      <c r="AA2016" s="1526"/>
      <c r="AB2016" s="648"/>
      <c r="AC2016" s="970"/>
      <c r="AD2016" s="970"/>
      <c r="AE2016" s="970"/>
      <c r="AF2016" s="648"/>
      <c r="AG2016" s="648"/>
      <c r="AH2016" s="648"/>
      <c r="AI2016" s="648"/>
      <c r="AJ2016" s="648"/>
      <c r="AK2016" s="648"/>
      <c r="AL2016" s="1336"/>
      <c r="AM2016" s="1336"/>
      <c r="AN2016" s="1336"/>
      <c r="AO2016" s="1336"/>
      <c r="AP2016" s="1336"/>
      <c r="AQ2016" s="1336"/>
      <c r="AR2016" s="1336"/>
      <c r="AS2016" s="1336"/>
      <c r="AT2016" s="648"/>
      <c r="AU2016" s="648"/>
      <c r="AV2016" s="648"/>
      <c r="AW2016" s="648"/>
      <c r="AX2016" s="648"/>
      <c r="AY2016" s="648"/>
      <c r="AZ2016" s="648"/>
      <c r="BA2016" s="648"/>
      <c r="BB2016" s="648"/>
      <c r="BC2016" s="648"/>
      <c r="BD2016" s="648"/>
      <c r="BE2016" s="648"/>
      <c r="BF2016" s="648"/>
      <c r="BG2016" s="648"/>
      <c r="BH2016" s="648"/>
    </row>
    <row r="2017" spans="1:60" x14ac:dyDescent="0.25">
      <c r="A2017" s="2371">
        <v>9</v>
      </c>
      <c r="B2017" s="2403" t="s">
        <v>3970</v>
      </c>
      <c r="C2017" s="2374" t="s">
        <v>256</v>
      </c>
      <c r="D2017" s="2374"/>
      <c r="E2017" s="2374"/>
      <c r="F2017" s="2374"/>
      <c r="G2017" s="2373" t="str">
        <f t="shared" si="114"/>
        <v/>
      </c>
      <c r="H2017" s="2371" t="s">
        <v>3973</v>
      </c>
      <c r="I2017" s="164"/>
      <c r="J2017" s="129"/>
      <c r="K2017" s="129"/>
      <c r="L2017" s="1754"/>
      <c r="M2017" s="1758"/>
      <c r="N2017" s="1042"/>
      <c r="O2017" s="1042"/>
      <c r="P2017" s="648"/>
      <c r="Q2017" s="648"/>
      <c r="R2017" s="648"/>
      <c r="S2017" s="648"/>
      <c r="T2017" s="648"/>
      <c r="U2017" s="648"/>
      <c r="V2017" s="648"/>
      <c r="W2017" s="648"/>
      <c r="X2017" s="1757"/>
      <c r="Y2017" s="2077"/>
      <c r="Z2017" s="2083"/>
      <c r="AA2017" s="1526"/>
      <c r="AB2017" s="648"/>
      <c r="AC2017" s="970"/>
      <c r="AD2017" s="970"/>
      <c r="AE2017" s="970"/>
      <c r="AF2017" s="648"/>
      <c r="AG2017" s="648"/>
      <c r="AH2017" s="648"/>
      <c r="AI2017" s="648"/>
      <c r="AJ2017" s="648"/>
      <c r="AK2017" s="648"/>
      <c r="AL2017" s="1336"/>
      <c r="AM2017" s="1336"/>
      <c r="AN2017" s="1336"/>
      <c r="AO2017" s="1336"/>
      <c r="AP2017" s="1336"/>
      <c r="AQ2017" s="1336"/>
      <c r="AR2017" s="1336"/>
      <c r="AS2017" s="1336"/>
      <c r="AT2017" s="648"/>
      <c r="AU2017" s="648"/>
      <c r="AV2017" s="648"/>
      <c r="AW2017" s="648"/>
      <c r="AX2017" s="648"/>
      <c r="AY2017" s="648"/>
      <c r="AZ2017" s="648"/>
      <c r="BA2017" s="648"/>
      <c r="BB2017" s="648"/>
      <c r="BC2017" s="648"/>
      <c r="BD2017" s="648"/>
      <c r="BE2017" s="648"/>
      <c r="BF2017" s="648"/>
      <c r="BG2017" s="648"/>
      <c r="BH2017" s="648"/>
    </row>
    <row r="2018" spans="1:60" x14ac:dyDescent="0.25">
      <c r="A2018" s="2371">
        <v>9</v>
      </c>
      <c r="B2018" s="2403" t="s">
        <v>3970</v>
      </c>
      <c r="C2018" s="2374" t="s">
        <v>256</v>
      </c>
      <c r="D2018" s="2374"/>
      <c r="E2018" s="2374"/>
      <c r="F2018" s="2374"/>
      <c r="G2018" s="2373" t="str">
        <f t="shared" si="114"/>
        <v/>
      </c>
      <c r="H2018" s="2371" t="s">
        <v>3973</v>
      </c>
      <c r="I2018" s="164"/>
      <c r="J2018" s="129"/>
      <c r="K2018" s="129"/>
      <c r="L2018" s="1754"/>
      <c r="M2018" s="1758"/>
      <c r="N2018" s="1042"/>
      <c r="O2018" s="1042"/>
      <c r="P2018" s="648"/>
      <c r="Q2018" s="648"/>
      <c r="R2018" s="648"/>
      <c r="S2018" s="648"/>
      <c r="T2018" s="648"/>
      <c r="U2018" s="648"/>
      <c r="V2018" s="648"/>
      <c r="W2018" s="648"/>
      <c r="X2018" s="1757"/>
      <c r="Y2018" s="2077"/>
      <c r="Z2018" s="2083"/>
      <c r="AA2018" s="1526"/>
      <c r="AB2018" s="648"/>
      <c r="AC2018" s="970"/>
      <c r="AD2018" s="970"/>
      <c r="AE2018" s="970"/>
      <c r="AF2018" s="648"/>
      <c r="AG2018" s="648"/>
      <c r="AH2018" s="648"/>
      <c r="AI2018" s="648"/>
      <c r="AJ2018" s="648"/>
      <c r="AK2018" s="648"/>
      <c r="AL2018" s="1336"/>
      <c r="AM2018" s="1336"/>
      <c r="AN2018" s="1336"/>
      <c r="AO2018" s="1336"/>
      <c r="AP2018" s="1336"/>
      <c r="AQ2018" s="1336"/>
      <c r="AR2018" s="1336"/>
      <c r="AS2018" s="1336"/>
      <c r="AT2018" s="648"/>
      <c r="AU2018" s="648"/>
      <c r="AV2018" s="648"/>
      <c r="AW2018" s="648"/>
      <c r="AX2018" s="648"/>
      <c r="AY2018" s="648"/>
      <c r="AZ2018" s="648"/>
      <c r="BA2018" s="648"/>
      <c r="BB2018" s="648"/>
      <c r="BC2018" s="648"/>
      <c r="BD2018" s="648"/>
      <c r="BE2018" s="648"/>
      <c r="BF2018" s="648"/>
      <c r="BG2018" s="648"/>
      <c r="BH2018" s="648"/>
    </row>
    <row r="2019" spans="1:60" x14ac:dyDescent="0.25">
      <c r="A2019" s="2371">
        <v>9</v>
      </c>
      <c r="B2019" s="2403" t="s">
        <v>3970</v>
      </c>
      <c r="C2019" s="2374" t="s">
        <v>256</v>
      </c>
      <c r="D2019" s="2374"/>
      <c r="E2019" s="2374"/>
      <c r="F2019" s="2374"/>
      <c r="G2019" s="2373" t="str">
        <f t="shared" si="114"/>
        <v/>
      </c>
      <c r="H2019" s="2371" t="s">
        <v>3973</v>
      </c>
      <c r="I2019" s="164"/>
      <c r="J2019" s="210"/>
      <c r="K2019" s="210"/>
      <c r="L2019" s="1755"/>
      <c r="M2019" s="1759"/>
      <c r="N2019" s="1042"/>
      <c r="O2019" s="1042"/>
      <c r="P2019" s="648"/>
      <c r="Q2019" s="648"/>
      <c r="R2019" s="648"/>
      <c r="S2019" s="648"/>
      <c r="T2019" s="648"/>
      <c r="U2019" s="648"/>
      <c r="V2019" s="648"/>
      <c r="W2019" s="648"/>
      <c r="X2019" s="1757"/>
      <c r="Y2019" s="2077"/>
      <c r="Z2019" s="2083"/>
      <c r="AA2019" s="1526"/>
      <c r="AB2019" s="648"/>
      <c r="AC2019" s="970"/>
      <c r="AD2019" s="970"/>
      <c r="AE2019" s="970"/>
      <c r="AF2019" s="648"/>
      <c r="AG2019" s="648"/>
      <c r="AH2019" s="648"/>
      <c r="AI2019" s="648"/>
      <c r="AJ2019" s="648"/>
      <c r="AK2019" s="648"/>
      <c r="AL2019" s="1336"/>
      <c r="AM2019" s="1336"/>
      <c r="AN2019" s="1336"/>
      <c r="AO2019" s="1336"/>
      <c r="AP2019" s="1336"/>
      <c r="AQ2019" s="1336"/>
      <c r="AR2019" s="1336"/>
      <c r="AS2019" s="1336"/>
      <c r="AT2019" s="648"/>
      <c r="AU2019" s="648"/>
      <c r="AV2019" s="648"/>
      <c r="AW2019" s="648"/>
      <c r="AX2019" s="648"/>
      <c r="AY2019" s="648"/>
      <c r="AZ2019" s="648"/>
      <c r="BA2019" s="648"/>
      <c r="BB2019" s="648"/>
      <c r="BC2019" s="648"/>
      <c r="BD2019" s="648"/>
      <c r="BE2019" s="648"/>
      <c r="BF2019" s="648"/>
      <c r="BG2019" s="648"/>
      <c r="BH2019" s="648"/>
    </row>
    <row r="2020" spans="1:60" x14ac:dyDescent="0.25">
      <c r="A2020" s="2371">
        <v>9</v>
      </c>
      <c r="B2020" s="2403" t="s">
        <v>3970</v>
      </c>
      <c r="C2020" s="2374" t="s">
        <v>258</v>
      </c>
      <c r="D2020" s="2374"/>
      <c r="E2020" s="2374"/>
      <c r="F2020" s="2374"/>
      <c r="G2020" s="2373" t="str">
        <f t="shared" si="114"/>
        <v/>
      </c>
      <c r="H2020" s="2371" t="s">
        <v>3973</v>
      </c>
      <c r="I2020" s="164"/>
      <c r="J2020" s="206" t="s">
        <v>258</v>
      </c>
      <c r="K2020" s="210"/>
      <c r="L2020" s="1163" t="s">
        <v>3215</v>
      </c>
      <c r="M2020" s="1015">
        <v>5</v>
      </c>
      <c r="N2020" s="1042"/>
      <c r="O2020" s="1042"/>
      <c r="P2020" s="94" t="b">
        <v>0</v>
      </c>
      <c r="Q2020" s="94" t="b">
        <v>1</v>
      </c>
      <c r="R2020" s="648" t="b">
        <v>0</v>
      </c>
      <c r="S2020" s="648" t="b">
        <v>1</v>
      </c>
      <c r="T2020" s="648" t="b">
        <v>0</v>
      </c>
      <c r="U2020" s="648"/>
      <c r="V2020" s="648"/>
      <c r="W2020" s="25"/>
      <c r="X2020" s="650"/>
      <c r="Y2020" s="653" t="str">
        <f>IF(LEN('Ch9'!X154)=0,"None",'Ch9'!X154)</f>
        <v>None</v>
      </c>
      <c r="Z2020" s="1587"/>
      <c r="AA2020" s="1526"/>
      <c r="AB2020" s="648"/>
      <c r="AC2020" s="970"/>
      <c r="AD2020" s="970"/>
      <c r="AE2020" s="970"/>
      <c r="AF2020" s="784"/>
      <c r="AG2020" s="648"/>
      <c r="AH2020" s="648"/>
      <c r="AI2020" s="648"/>
      <c r="AJ2020" s="648"/>
      <c r="AK2020" s="648"/>
      <c r="AL2020" s="254" t="str">
        <f>SUBSTITUTE(SUBSTITUTE(SUBSTITUTE("vpa"&amp;$B2020&amp;$C2020&amp;$D2020&amp;$E2020,".","_"),"(","_"),")","")</f>
        <v>vpa901_10_2</v>
      </c>
      <c r="AM2020" s="254">
        <f>M2020</f>
        <v>5</v>
      </c>
      <c r="AN2020" s="1336"/>
      <c r="AO2020" s="1336"/>
      <c r="AP2020" s="254" t="str">
        <f>SUBSTITUTE(SUBSTITUTE(SUBSTITUTE("vch"&amp;$B2020&amp;$C2020&amp;$D2020&amp;$E2020,".","_"),"(","_"),")","")</f>
        <v>vch901_10_2</v>
      </c>
      <c r="AQ2020" s="254" t="str">
        <f>IF(LEN(W2020)=0,"",W2020)</f>
        <v/>
      </c>
      <c r="AR2020" s="254" t="str">
        <f>SUBSTITUTE(SUBSTITUTE(SUBSTITUTE("vnt"&amp;$B2020&amp;$C2020&amp;$D2020&amp;$E2020,".","_"),"(","_"),")","")</f>
        <v>vnt901_10_2</v>
      </c>
      <c r="AS2020" s="254" t="str">
        <f>IF(LEN(X2020)=0,"",X2020)</f>
        <v/>
      </c>
      <c r="AT2020" s="648"/>
      <c r="AU2020" s="648"/>
      <c r="AV2020" s="648"/>
      <c r="AW2020" s="648"/>
      <c r="AX2020" s="648"/>
      <c r="AY2020" s="648"/>
      <c r="AZ2020" s="648"/>
      <c r="BA2020" s="648"/>
      <c r="BB2020" s="648"/>
      <c r="BC2020" s="648"/>
      <c r="BD2020" s="648"/>
      <c r="BE2020" s="648"/>
      <c r="BF2020" s="648"/>
      <c r="BG2020" s="648"/>
      <c r="BH2020" s="648"/>
    </row>
    <row r="2021" spans="1:60" x14ac:dyDescent="0.25">
      <c r="A2021" s="2371">
        <v>9</v>
      </c>
      <c r="B2021" s="2403" t="s">
        <v>3970</v>
      </c>
      <c r="C2021" s="2374" t="s">
        <v>260</v>
      </c>
      <c r="D2021" s="2374"/>
      <c r="E2021" s="2374"/>
      <c r="F2021" s="2374"/>
      <c r="G2021" s="2373" t="str">
        <f t="shared" si="114"/>
        <v/>
      </c>
      <c r="H2021" s="2371" t="s">
        <v>3973</v>
      </c>
      <c r="I2021" s="480"/>
      <c r="J2021" s="183" t="s">
        <v>260</v>
      </c>
      <c r="K2021" s="129"/>
      <c r="L2021" s="1754" t="s">
        <v>3216</v>
      </c>
      <c r="M2021" s="1758">
        <v>5</v>
      </c>
      <c r="N2021" s="1044"/>
      <c r="O2021" s="1044"/>
      <c r="P2021" s="94" t="b">
        <v>0</v>
      </c>
      <c r="Q2021" s="94" t="b">
        <v>1</v>
      </c>
      <c r="R2021" s="94" t="b">
        <v>0</v>
      </c>
      <c r="S2021" s="94" t="b">
        <v>1</v>
      </c>
      <c r="T2021" s="94" t="b">
        <v>0</v>
      </c>
      <c r="U2021" s="94"/>
      <c r="V2021" s="94"/>
      <c r="W2021" s="25"/>
      <c r="X2021" s="1770"/>
      <c r="Y2021" s="2081" t="str">
        <f>IF(LEN('Ch9'!X155)=0,"None",'Ch9'!X155)</f>
        <v>None</v>
      </c>
      <c r="Z2021" s="2084"/>
      <c r="AA2021" s="1526"/>
      <c r="AB2021" s="648"/>
      <c r="AC2021" s="970"/>
      <c r="AD2021" s="970"/>
      <c r="AE2021" s="970"/>
      <c r="AF2021" s="784"/>
      <c r="AG2021" s="648"/>
      <c r="AH2021" s="648"/>
      <c r="AI2021" s="648"/>
      <c r="AJ2021" s="648"/>
      <c r="AK2021" s="648"/>
      <c r="AL2021" s="254" t="str">
        <f>SUBSTITUTE(SUBSTITUTE(SUBSTITUTE("vpa"&amp;$B2021&amp;$C2021&amp;$D2021&amp;$E2021,".","_"),"(","_"),")","")</f>
        <v>vpa901_10_3</v>
      </c>
      <c r="AM2021" s="254">
        <f>M2021</f>
        <v>5</v>
      </c>
      <c r="AN2021" s="1336"/>
      <c r="AO2021" s="1336"/>
      <c r="AP2021" s="254" t="str">
        <f>SUBSTITUTE(SUBSTITUTE(SUBSTITUTE("vch"&amp;$B2021&amp;$C2021&amp;$D2021&amp;$E2021,".","_"),"(","_"),")","")</f>
        <v>vch901_10_3</v>
      </c>
      <c r="AQ2021" s="254" t="str">
        <f>IF(LEN(W2021)=0,"",W2021)</f>
        <v/>
      </c>
      <c r="AR2021" s="254" t="str">
        <f>SUBSTITUTE(SUBSTITUTE(SUBSTITUTE("vnt"&amp;$B2021&amp;$C2021&amp;$D2021&amp;$E2021,".","_"),"(","_"),")","")</f>
        <v>vnt901_10_3</v>
      </c>
      <c r="AS2021" s="254" t="str">
        <f>IF(LEN(X2021)=0,"",X2021)</f>
        <v/>
      </c>
      <c r="AT2021" s="648"/>
      <c r="AU2021" s="648"/>
      <c r="AV2021" s="648"/>
      <c r="AW2021" s="648"/>
      <c r="AX2021" s="648"/>
      <c r="AY2021" s="648"/>
      <c r="AZ2021" s="648"/>
      <c r="BA2021" s="648"/>
      <c r="BB2021" s="648"/>
      <c r="BC2021" s="648"/>
      <c r="BD2021" s="648"/>
      <c r="BE2021" s="648"/>
      <c r="BF2021" s="648"/>
      <c r="BG2021" s="648"/>
      <c r="BH2021" s="648"/>
    </row>
    <row r="2022" spans="1:60" x14ac:dyDescent="0.25">
      <c r="A2022" s="2371">
        <v>9</v>
      </c>
      <c r="B2022" s="2403" t="s">
        <v>3970</v>
      </c>
      <c r="C2022" s="2374" t="s">
        <v>260</v>
      </c>
      <c r="D2022" s="2374"/>
      <c r="E2022" s="2374"/>
      <c r="F2022" s="2374"/>
      <c r="G2022" s="2373" t="str">
        <f t="shared" si="114"/>
        <v/>
      </c>
      <c r="H2022" s="2371" t="s">
        <v>3973</v>
      </c>
      <c r="I2022" s="480"/>
      <c r="J2022" s="129"/>
      <c r="K2022" s="129"/>
      <c r="L2022" s="1754"/>
      <c r="M2022" s="1758"/>
      <c r="N2022" s="1044"/>
      <c r="O2022" s="1044"/>
      <c r="P2022" s="94"/>
      <c r="Q2022" s="94"/>
      <c r="R2022" s="94"/>
      <c r="S2022" s="94"/>
      <c r="T2022" s="94"/>
      <c r="U2022" s="94"/>
      <c r="V2022" s="94"/>
      <c r="W2022" s="94"/>
      <c r="X2022" s="1770"/>
      <c r="Y2022" s="2081"/>
      <c r="Z2022" s="2084"/>
      <c r="AA2022" s="1526"/>
      <c r="AB2022" s="648"/>
      <c r="AC2022" s="970"/>
      <c r="AD2022" s="970"/>
      <c r="AE2022" s="970"/>
      <c r="AF2022" s="648"/>
      <c r="AG2022" s="648"/>
      <c r="AH2022" s="648"/>
      <c r="AI2022" s="648"/>
      <c r="AJ2022" s="648"/>
      <c r="AK2022" s="648"/>
      <c r="AL2022" s="1336"/>
      <c r="AM2022" s="1336"/>
      <c r="AN2022" s="1336"/>
      <c r="AO2022" s="1336"/>
      <c r="AP2022" s="1336"/>
      <c r="AQ2022" s="1336"/>
      <c r="AR2022" s="1336"/>
      <c r="AS2022" s="1336"/>
      <c r="AT2022" s="648"/>
      <c r="AU2022" s="648"/>
      <c r="AV2022" s="648"/>
      <c r="AW2022" s="648"/>
      <c r="AX2022" s="648"/>
      <c r="AY2022" s="648"/>
      <c r="AZ2022" s="648"/>
      <c r="BA2022" s="648"/>
      <c r="BB2022" s="648"/>
      <c r="BC2022" s="648"/>
      <c r="BD2022" s="648"/>
      <c r="BE2022" s="648"/>
      <c r="BF2022" s="648"/>
      <c r="BG2022" s="648"/>
      <c r="BH2022" s="648"/>
    </row>
    <row r="2023" spans="1:60" x14ac:dyDescent="0.25">
      <c r="A2023" s="2371">
        <v>9</v>
      </c>
      <c r="B2023" s="2403" t="s">
        <v>3970</v>
      </c>
      <c r="C2023" s="2374" t="s">
        <v>260</v>
      </c>
      <c r="D2023" s="2374"/>
      <c r="E2023" s="2374"/>
      <c r="F2023" s="2374"/>
      <c r="G2023" s="2373" t="str">
        <f t="shared" si="114"/>
        <v/>
      </c>
      <c r="H2023" s="2371" t="s">
        <v>3973</v>
      </c>
      <c r="I2023" s="480"/>
      <c r="J2023" s="129"/>
      <c r="K2023" s="129"/>
      <c r="L2023" s="1754"/>
      <c r="M2023" s="1758"/>
      <c r="N2023" s="1044"/>
      <c r="O2023" s="1044"/>
      <c r="P2023" s="94"/>
      <c r="Q2023" s="94"/>
      <c r="R2023" s="94"/>
      <c r="S2023" s="94"/>
      <c r="T2023" s="94"/>
      <c r="U2023" s="94"/>
      <c r="V2023" s="94"/>
      <c r="W2023" s="94"/>
      <c r="X2023" s="1770"/>
      <c r="Y2023" s="2081"/>
      <c r="Z2023" s="2084"/>
      <c r="AA2023" s="1526"/>
      <c r="AB2023" s="648"/>
      <c r="AC2023" s="970"/>
      <c r="AD2023" s="970"/>
      <c r="AE2023" s="970"/>
      <c r="AF2023" s="648"/>
      <c r="AG2023" s="648"/>
      <c r="AH2023" s="648"/>
      <c r="AI2023" s="648"/>
      <c r="AJ2023" s="648"/>
      <c r="AK2023" s="648"/>
      <c r="AL2023" s="1336"/>
      <c r="AM2023" s="1336"/>
      <c r="AN2023" s="1336"/>
      <c r="AO2023" s="1336"/>
      <c r="AP2023" s="1336"/>
      <c r="AQ2023" s="1336"/>
      <c r="AR2023" s="1336"/>
      <c r="AS2023" s="1336"/>
      <c r="AT2023" s="648"/>
      <c r="AU2023" s="648"/>
      <c r="AV2023" s="648"/>
      <c r="AW2023" s="648"/>
      <c r="AX2023" s="648"/>
      <c r="AY2023" s="648"/>
      <c r="AZ2023" s="648"/>
      <c r="BA2023" s="648"/>
      <c r="BB2023" s="648"/>
      <c r="BC2023" s="648"/>
      <c r="BD2023" s="648"/>
      <c r="BE2023" s="648"/>
      <c r="BF2023" s="648"/>
      <c r="BG2023" s="648"/>
      <c r="BH2023" s="648"/>
    </row>
    <row r="2024" spans="1:60" ht="15.75" thickBot="1" x14ac:dyDescent="0.3">
      <c r="A2024" s="2371">
        <v>9</v>
      </c>
      <c r="B2024" s="2403" t="s">
        <v>3970</v>
      </c>
      <c r="C2024" s="2374" t="s">
        <v>260</v>
      </c>
      <c r="D2024" s="2374"/>
      <c r="E2024" s="2374"/>
      <c r="F2024" s="2374"/>
      <c r="G2024" s="2373" t="str">
        <f t="shared" si="114"/>
        <v/>
      </c>
      <c r="H2024" s="2371" t="s">
        <v>3973</v>
      </c>
      <c r="I2024" s="481"/>
      <c r="J2024" s="240"/>
      <c r="K2024" s="240"/>
      <c r="L2024" s="482" t="s">
        <v>3760</v>
      </c>
      <c r="M2024" s="1011"/>
      <c r="N2024" s="1045"/>
      <c r="O2024" s="1045"/>
      <c r="P2024" s="99"/>
      <c r="Q2024" s="99"/>
      <c r="R2024" s="99"/>
      <c r="S2024" s="99"/>
      <c r="T2024" s="99"/>
      <c r="U2024" s="99"/>
      <c r="V2024" s="99"/>
      <c r="W2024" s="99"/>
      <c r="X2024" s="1771"/>
      <c r="Y2024" s="2082"/>
      <c r="Z2024" s="2086"/>
      <c r="AA2024" s="1526"/>
      <c r="AB2024" s="648"/>
      <c r="AC2024" s="970"/>
      <c r="AD2024" s="970"/>
      <c r="AE2024" s="970"/>
      <c r="AF2024" s="648"/>
      <c r="AG2024" s="648"/>
      <c r="AH2024" s="648"/>
      <c r="AI2024" s="648"/>
      <c r="AJ2024" s="648"/>
      <c r="AK2024" s="648"/>
      <c r="AL2024" s="1336"/>
      <c r="AM2024" s="1336"/>
      <c r="AN2024" s="1336"/>
      <c r="AO2024" s="1336"/>
      <c r="AP2024" s="1336"/>
      <c r="AQ2024" s="1336"/>
      <c r="AR2024" s="1336"/>
      <c r="AS2024" s="1336"/>
      <c r="AT2024" s="648"/>
      <c r="AU2024" s="648"/>
      <c r="AV2024" s="648"/>
      <c r="AW2024" s="648"/>
      <c r="AX2024" s="648"/>
      <c r="AY2024" s="648"/>
      <c r="AZ2024" s="648"/>
      <c r="BA2024" s="648"/>
      <c r="BB2024" s="648"/>
      <c r="BC2024" s="648"/>
      <c r="BD2024" s="648"/>
      <c r="BE2024" s="648"/>
      <c r="BF2024" s="648"/>
      <c r="BG2024" s="648"/>
      <c r="BH2024" s="648"/>
    </row>
    <row r="2025" spans="1:60" ht="15.75" thickTop="1" x14ac:dyDescent="0.25">
      <c r="A2025" s="2371">
        <v>9</v>
      </c>
      <c r="B2025" s="2385">
        <v>901.11</v>
      </c>
      <c r="C2025" s="2374"/>
      <c r="D2025" s="2374"/>
      <c r="E2025" s="2374"/>
      <c r="F2025" s="2374"/>
      <c r="G2025" s="2373" t="str">
        <f>IF(N2025&gt;0,"P","")</f>
        <v/>
      </c>
      <c r="H2025" s="2371" t="s">
        <v>3971</v>
      </c>
      <c r="I2025" s="180">
        <v>901.11</v>
      </c>
      <c r="J2025" s="181"/>
      <c r="K2025" s="181"/>
      <c r="L2025" s="1781" t="s">
        <v>5597</v>
      </c>
      <c r="M2025" s="1772">
        <v>4</v>
      </c>
      <c r="N2025" s="2080">
        <f>'Ch9'!O159</f>
        <v>0</v>
      </c>
      <c r="O2025" s="2080">
        <f>M2025*S2025*W2025</f>
        <v>0</v>
      </c>
      <c r="P2025" s="94" t="b">
        <v>1</v>
      </c>
      <c r="Q2025" s="94" t="b">
        <v>1</v>
      </c>
      <c r="R2025" s="105" t="b">
        <v>0</v>
      </c>
      <c r="S2025" s="105" t="b">
        <v>1</v>
      </c>
      <c r="T2025" s="105" t="b">
        <v>0</v>
      </c>
      <c r="U2025" s="105"/>
      <c r="V2025" s="105"/>
      <c r="W2025" s="25"/>
      <c r="X2025" s="1784"/>
      <c r="Y2025" s="2097" t="str">
        <f>IF(LEN('Ch9'!X159)=0,"None",'Ch9'!X159)</f>
        <v>None</v>
      </c>
      <c r="Z2025" s="2085"/>
      <c r="AA2025" s="1526"/>
      <c r="AB2025" s="648"/>
      <c r="AC2025" s="970"/>
      <c r="AD2025" s="970"/>
      <c r="AE2025" s="970"/>
      <c r="AF2025" s="784"/>
      <c r="AG2025" s="648"/>
      <c r="AH2025" s="648"/>
      <c r="AI2025" s="648"/>
      <c r="AJ2025" s="648"/>
      <c r="AK2025" s="648"/>
      <c r="AL2025" s="254" t="str">
        <f>SUBSTITUTE(SUBSTITUTE(SUBSTITUTE("vpa"&amp;$B2025&amp;$C2025&amp;$D2025&amp;$E2025,".","_"),"(","_"),")","")</f>
        <v>vpa901_11</v>
      </c>
      <c r="AM2025" s="254">
        <f>M2025</f>
        <v>4</v>
      </c>
      <c r="AN2025" s="254" t="str">
        <f>SUBSTITUTE(SUBSTITUTE(SUBSTITUTE("vpc"&amp;$B2025&amp;$C2025&amp;$D2025&amp;$E2025,".","_"),"(","_"),")","")</f>
        <v>vpc901_11</v>
      </c>
      <c r="AO2025" s="254">
        <f>O2025</f>
        <v>0</v>
      </c>
      <c r="AP2025" s="254" t="str">
        <f>SUBSTITUTE(SUBSTITUTE(SUBSTITUTE("vch"&amp;$B2025&amp;$C2025&amp;$D2025&amp;$E2025,".","_"),"(","_"),")","")</f>
        <v>vch901_11</v>
      </c>
      <c r="AQ2025" s="254" t="str">
        <f>IF(LEN(W2025)=0,"",W2025)</f>
        <v/>
      </c>
      <c r="AR2025" s="254" t="str">
        <f>SUBSTITUTE(SUBSTITUTE(SUBSTITUTE("vnt"&amp;$B2025&amp;$C2025&amp;$D2025&amp;$E2025,".","_"),"(","_"),")","")</f>
        <v>vnt901_11</v>
      </c>
      <c r="AS2025" s="254" t="str">
        <f>IF(LEN(X2025)=0,"",X2025)</f>
        <v/>
      </c>
      <c r="AT2025" s="648"/>
      <c r="AU2025" s="648"/>
      <c r="AV2025" s="648"/>
      <c r="AW2025" s="648"/>
      <c r="AX2025" s="648"/>
      <c r="AY2025" s="648"/>
      <c r="AZ2025" s="648"/>
      <c r="BA2025" s="648"/>
      <c r="BB2025" s="648"/>
      <c r="BC2025" s="648"/>
      <c r="BD2025" s="648"/>
      <c r="BE2025" s="648"/>
      <c r="BF2025" s="648"/>
      <c r="BG2025" s="648"/>
      <c r="BH2025" s="648"/>
    </row>
    <row r="2026" spans="1:60" x14ac:dyDescent="0.25">
      <c r="A2026" s="2371">
        <v>9</v>
      </c>
      <c r="B2026" s="2385">
        <v>901.11</v>
      </c>
      <c r="C2026" s="2374"/>
      <c r="D2026" s="2374"/>
      <c r="E2026" s="2374"/>
      <c r="F2026" s="2374"/>
      <c r="G2026" s="2373" t="str">
        <f>G2025</f>
        <v/>
      </c>
      <c r="H2026" s="2371" t="s">
        <v>3971</v>
      </c>
      <c r="I2026" s="480"/>
      <c r="J2026" s="129"/>
      <c r="K2026" s="129"/>
      <c r="L2026" s="1782"/>
      <c r="M2026" s="1758"/>
      <c r="N2026" s="1927"/>
      <c r="O2026" s="1927"/>
      <c r="P2026" s="94"/>
      <c r="Q2026" s="94"/>
      <c r="R2026" s="94"/>
      <c r="S2026" s="94"/>
      <c r="T2026" s="94"/>
      <c r="U2026" s="94"/>
      <c r="V2026" s="94"/>
      <c r="W2026" s="94"/>
      <c r="X2026" s="1770"/>
      <c r="Y2026" s="2081"/>
      <c r="Z2026" s="2084"/>
      <c r="AA2026" s="1526"/>
      <c r="AB2026" s="648"/>
      <c r="AC2026" s="970"/>
      <c r="AD2026" s="970"/>
      <c r="AE2026" s="970"/>
      <c r="AF2026" s="648"/>
      <c r="AG2026" s="648"/>
      <c r="AH2026" s="648"/>
      <c r="AI2026" s="648"/>
      <c r="AJ2026" s="648"/>
      <c r="AK2026" s="648"/>
      <c r="AL2026" s="1336"/>
      <c r="AM2026" s="1336"/>
      <c r="AN2026" s="1336"/>
      <c r="AO2026" s="1336"/>
      <c r="AP2026" s="1336"/>
      <c r="AQ2026" s="1336"/>
      <c r="AR2026" s="1336"/>
      <c r="AS2026" s="1336"/>
      <c r="AT2026" s="648"/>
      <c r="AU2026" s="648"/>
      <c r="AV2026" s="648"/>
      <c r="AW2026" s="648"/>
      <c r="AX2026" s="648"/>
      <c r="AY2026" s="648"/>
      <c r="AZ2026" s="648"/>
      <c r="BA2026" s="648"/>
      <c r="BB2026" s="648"/>
      <c r="BC2026" s="648"/>
      <c r="BD2026" s="648"/>
      <c r="BE2026" s="648"/>
      <c r="BF2026" s="648"/>
      <c r="BG2026" s="648"/>
      <c r="BH2026" s="648"/>
    </row>
    <row r="2027" spans="1:60" x14ac:dyDescent="0.25">
      <c r="A2027" s="2371">
        <v>9</v>
      </c>
      <c r="B2027" s="2385">
        <v>901.11</v>
      </c>
      <c r="C2027" s="2374"/>
      <c r="D2027" s="2374"/>
      <c r="E2027" s="2374"/>
      <c r="F2027" s="2374"/>
      <c r="G2027" s="2373" t="str">
        <f>G2026</f>
        <v/>
      </c>
      <c r="H2027" s="2371" t="s">
        <v>3971</v>
      </c>
      <c r="I2027" s="480"/>
      <c r="J2027" s="129"/>
      <c r="K2027" s="129"/>
      <c r="L2027" s="1782"/>
      <c r="M2027" s="1758"/>
      <c r="N2027" s="1927"/>
      <c r="O2027" s="1927"/>
      <c r="P2027" s="94"/>
      <c r="Q2027" s="94"/>
      <c r="R2027" s="94"/>
      <c r="S2027" s="94"/>
      <c r="T2027" s="94"/>
      <c r="U2027" s="94"/>
      <c r="V2027" s="94"/>
      <c r="W2027" s="94"/>
      <c r="X2027" s="1770"/>
      <c r="Y2027" s="2081"/>
      <c r="Z2027" s="2084"/>
      <c r="AA2027" s="1526"/>
      <c r="AB2027" s="648"/>
      <c r="AC2027" s="970"/>
      <c r="AD2027" s="970"/>
      <c r="AE2027" s="970"/>
      <c r="AF2027" s="648"/>
      <c r="AG2027" s="648"/>
      <c r="AH2027" s="648"/>
      <c r="AI2027" s="648"/>
      <c r="AJ2027" s="648"/>
      <c r="AK2027" s="648"/>
      <c r="AL2027" s="1336"/>
      <c r="AM2027" s="1336"/>
      <c r="AN2027" s="1336"/>
      <c r="AO2027" s="1336"/>
      <c r="AP2027" s="1336"/>
      <c r="AQ2027" s="1336"/>
      <c r="AR2027" s="1336"/>
      <c r="AS2027" s="1336"/>
      <c r="AT2027" s="648"/>
      <c r="AU2027" s="648"/>
      <c r="AV2027" s="648"/>
      <c r="AW2027" s="648"/>
      <c r="AX2027" s="648"/>
      <c r="AY2027" s="648"/>
      <c r="AZ2027" s="648"/>
      <c r="BA2027" s="648"/>
      <c r="BB2027" s="648"/>
      <c r="BC2027" s="648"/>
      <c r="BD2027" s="648"/>
      <c r="BE2027" s="648"/>
      <c r="BF2027" s="648"/>
      <c r="BG2027" s="648"/>
      <c r="BH2027" s="648"/>
    </row>
    <row r="2028" spans="1:60" x14ac:dyDescent="0.25">
      <c r="A2028" s="2371">
        <v>9</v>
      </c>
      <c r="B2028" s="2385">
        <v>901.11</v>
      </c>
      <c r="C2028" s="2374"/>
      <c r="D2028" s="2374"/>
      <c r="E2028" s="2374"/>
      <c r="F2028" s="2374"/>
      <c r="G2028" s="2373" t="str">
        <f>G2027</f>
        <v/>
      </c>
      <c r="H2028" s="2371" t="s">
        <v>3971</v>
      </c>
      <c r="I2028" s="480"/>
      <c r="J2028" s="129"/>
      <c r="K2028" s="129"/>
      <c r="L2028" s="1782"/>
      <c r="M2028" s="1758"/>
      <c r="N2028" s="1927"/>
      <c r="O2028" s="1927"/>
      <c r="P2028" s="94"/>
      <c r="Q2028" s="94"/>
      <c r="R2028" s="94"/>
      <c r="S2028" s="94"/>
      <c r="T2028" s="94"/>
      <c r="U2028" s="94"/>
      <c r="V2028" s="94"/>
      <c r="W2028" s="94"/>
      <c r="X2028" s="1770"/>
      <c r="Y2028" s="2081"/>
      <c r="Z2028" s="2084"/>
      <c r="AA2028" s="1526"/>
      <c r="AB2028" s="648"/>
      <c r="AC2028" s="970"/>
      <c r="AD2028" s="970"/>
      <c r="AE2028" s="970"/>
      <c r="AF2028" s="648"/>
      <c r="AG2028" s="648"/>
      <c r="AH2028" s="648"/>
      <c r="AI2028" s="648"/>
      <c r="AJ2028" s="648"/>
      <c r="AK2028" s="648"/>
      <c r="AL2028" s="1336"/>
      <c r="AM2028" s="1336"/>
      <c r="AN2028" s="1336"/>
      <c r="AO2028" s="1336"/>
      <c r="AP2028" s="1336"/>
      <c r="AQ2028" s="1336"/>
      <c r="AR2028" s="1336"/>
      <c r="AS2028" s="1336"/>
      <c r="AT2028" s="648"/>
      <c r="AU2028" s="648"/>
      <c r="AV2028" s="648"/>
      <c r="AW2028" s="648"/>
      <c r="AX2028" s="648"/>
      <c r="AY2028" s="648"/>
      <c r="AZ2028" s="648"/>
      <c r="BA2028" s="648"/>
      <c r="BB2028" s="648"/>
      <c r="BC2028" s="648"/>
      <c r="BD2028" s="648"/>
      <c r="BE2028" s="648"/>
      <c r="BF2028" s="648"/>
      <c r="BG2028" s="648"/>
      <c r="BH2028" s="648"/>
    </row>
    <row r="2029" spans="1:60" ht="15.75" thickBot="1" x14ac:dyDescent="0.3">
      <c r="A2029" s="2371">
        <v>9</v>
      </c>
      <c r="B2029" s="2385">
        <v>901.11</v>
      </c>
      <c r="C2029" s="2374"/>
      <c r="D2029" s="2374"/>
      <c r="E2029" s="2374"/>
      <c r="F2029" s="2374"/>
      <c r="G2029" s="2373" t="str">
        <f>G2028</f>
        <v/>
      </c>
      <c r="H2029" s="2371" t="s">
        <v>3971</v>
      </c>
      <c r="I2029" s="481"/>
      <c r="J2029" s="240"/>
      <c r="K2029" s="240"/>
      <c r="L2029" s="1797"/>
      <c r="M2029" s="1768"/>
      <c r="N2029" s="1928"/>
      <c r="O2029" s="1928"/>
      <c r="P2029" s="99"/>
      <c r="Q2029" s="99"/>
      <c r="R2029" s="99"/>
      <c r="S2029" s="99"/>
      <c r="T2029" s="99"/>
      <c r="U2029" s="99"/>
      <c r="V2029" s="99"/>
      <c r="W2029" s="99"/>
      <c r="X2029" s="1771"/>
      <c r="Y2029" s="2082"/>
      <c r="Z2029" s="2086"/>
      <c r="AA2029" s="1526"/>
      <c r="AB2029" s="648"/>
      <c r="AC2029" s="970"/>
      <c r="AD2029" s="970"/>
      <c r="AE2029" s="970"/>
      <c r="AF2029" s="648"/>
      <c r="AG2029" s="648"/>
      <c r="AH2029" s="648"/>
      <c r="AI2029" s="648"/>
      <c r="AJ2029" s="648"/>
      <c r="AK2029" s="648"/>
      <c r="AL2029" s="1336"/>
      <c r="AM2029" s="1336"/>
      <c r="AN2029" s="1336"/>
      <c r="AO2029" s="1336"/>
      <c r="AP2029" s="1336"/>
      <c r="AQ2029" s="1336"/>
      <c r="AR2029" s="1336"/>
      <c r="AS2029" s="1336"/>
      <c r="AT2029" s="648"/>
      <c r="AU2029" s="648"/>
      <c r="AV2029" s="648"/>
      <c r="AW2029" s="648"/>
      <c r="AX2029" s="648"/>
      <c r="AY2029" s="648"/>
      <c r="AZ2029" s="648"/>
      <c r="BA2029" s="648"/>
      <c r="BB2029" s="648"/>
      <c r="BC2029" s="648"/>
      <c r="BD2029" s="648"/>
      <c r="BE2029" s="648"/>
      <c r="BF2029" s="648"/>
      <c r="BG2029" s="648"/>
      <c r="BH2029" s="648"/>
    </row>
    <row r="2030" spans="1:60" ht="15.75" thickTop="1" x14ac:dyDescent="0.25">
      <c r="A2030" s="2371">
        <v>9</v>
      </c>
      <c r="B2030" s="2385">
        <v>901.12</v>
      </c>
      <c r="C2030" s="2374"/>
      <c r="D2030" s="2374"/>
      <c r="E2030" s="2374"/>
      <c r="F2030" s="2374"/>
      <c r="G2030" s="2373" t="str">
        <f ca="1">IF(N2030&gt;0,"P","")</f>
        <v/>
      </c>
      <c r="H2030" s="2371" t="s">
        <v>3971</v>
      </c>
      <c r="I2030" s="180">
        <v>901.12</v>
      </c>
      <c r="J2030" s="4"/>
      <c r="K2030" s="4"/>
      <c r="L2030" s="1941" t="s">
        <v>4489</v>
      </c>
      <c r="M2030" s="1938">
        <v>2</v>
      </c>
      <c r="N2030" s="2080">
        <f ca="1">'Ch9'!O164</f>
        <v>0</v>
      </c>
      <c r="O2030" s="2080">
        <f ca="1">M2030*S2030*W2030</f>
        <v>0</v>
      </c>
      <c r="P2030" s="911" t="b">
        <v>0</v>
      </c>
      <c r="Q2030" s="911" t="b">
        <v>1</v>
      </c>
      <c r="R2030" s="911" t="b">
        <v>0</v>
      </c>
      <c r="S2030" s="1111" t="b">
        <f ca="1">AY1885=INDEX(INDIRECT("ddSingleOrMulti"),2)</f>
        <v>0</v>
      </c>
      <c r="T2030" s="911" t="b">
        <v>0</v>
      </c>
      <c r="U2030" s="911"/>
      <c r="V2030" s="911"/>
      <c r="W2030" s="25"/>
      <c r="X2030" s="1815"/>
      <c r="Y2030" s="2081" t="str">
        <f>IF(LEN('Ch9'!X164)=0,"None",'Ch9'!X164)</f>
        <v>None</v>
      </c>
      <c r="Z2030" s="2084"/>
      <c r="AA2030" s="1526"/>
      <c r="AC2030" s="970"/>
      <c r="AD2030" s="970"/>
      <c r="AE2030" s="970"/>
      <c r="AF2030"/>
      <c r="AG2030"/>
      <c r="AH2030"/>
      <c r="AI2030"/>
      <c r="AJ2030"/>
      <c r="AK2030"/>
      <c r="AL2030" s="254" t="str">
        <f>SUBSTITUTE(SUBSTITUTE(SUBSTITUTE("vpa"&amp;$B2030&amp;$C2030&amp;$D2030&amp;$E2030,".","_"),"(","_"),")","")</f>
        <v>vpa901_12</v>
      </c>
      <c r="AM2030" s="254">
        <f>M2030</f>
        <v>2</v>
      </c>
      <c r="AN2030" s="254" t="str">
        <f>SUBSTITUTE(SUBSTITUTE(SUBSTITUTE("vpc"&amp;$B2030&amp;$C2030&amp;$D2030&amp;$E2030,".","_"),"(","_"),")","")</f>
        <v>vpc901_12</v>
      </c>
      <c r="AO2030" s="254">
        <f ca="1">O2030</f>
        <v>0</v>
      </c>
      <c r="AP2030" s="254" t="str">
        <f>SUBSTITUTE(SUBSTITUTE(SUBSTITUTE("vch"&amp;$B2030&amp;$C2030&amp;$D2030&amp;$E2030,".","_"),"(","_"),")","")</f>
        <v>vch901_12</v>
      </c>
      <c r="AQ2030" s="254" t="str">
        <f>IF(LEN(W2030)=0,"",W2030)</f>
        <v/>
      </c>
      <c r="AR2030" s="254" t="str">
        <f>SUBSTITUTE(SUBSTITUTE(SUBSTITUTE("vnt"&amp;$B2030&amp;$C2030&amp;$D2030&amp;$E2030,".","_"),"(","_"),")","")</f>
        <v>vnt901_12</v>
      </c>
      <c r="AS2030" s="254" t="str">
        <f>IF(LEN(X2030)=0,"",X2030)</f>
        <v/>
      </c>
      <c r="AT2030"/>
    </row>
    <row r="2031" spans="1:60" x14ac:dyDescent="0.25">
      <c r="A2031" s="2371">
        <v>9</v>
      </c>
      <c r="B2031" s="2385">
        <v>901.12</v>
      </c>
      <c r="C2031" s="2374"/>
      <c r="D2031" s="2374"/>
      <c r="E2031" s="2374"/>
      <c r="F2031" s="2374"/>
      <c r="G2031" s="2373" t="str">
        <f ca="1">G2030</f>
        <v/>
      </c>
      <c r="H2031" s="2371" t="s">
        <v>3971</v>
      </c>
      <c r="I2031" s="164"/>
      <c r="J2031" s="4"/>
      <c r="K2031" s="4"/>
      <c r="L2031" s="1941"/>
      <c r="M2031" s="1939"/>
      <c r="N2031" s="2075"/>
      <c r="O2031" s="1927"/>
      <c r="P2031" s="911"/>
      <c r="Q2031" s="911"/>
      <c r="R2031" s="911"/>
      <c r="S2031" s="911"/>
      <c r="T2031" s="911"/>
      <c r="U2031" s="911"/>
      <c r="V2031" s="911"/>
      <c r="W2031"/>
      <c r="X2031" s="1799"/>
      <c r="Y2031" s="2081"/>
      <c r="Z2031" s="2084"/>
      <c r="AA2031" s="1526"/>
      <c r="AC2031" s="970"/>
      <c r="AD2031" s="970"/>
      <c r="AE2031" s="970"/>
      <c r="AF2031"/>
      <c r="AG2031"/>
      <c r="AH2031"/>
      <c r="AI2031"/>
      <c r="AJ2031"/>
      <c r="AK2031"/>
      <c r="AL2031" s="1336"/>
      <c r="AM2031" s="1336"/>
      <c r="AN2031" s="1336"/>
      <c r="AO2031" s="1336"/>
      <c r="AP2031" s="1336"/>
      <c r="AQ2031" s="1336"/>
      <c r="AR2031" s="1336"/>
      <c r="AS2031" s="1336"/>
      <c r="AT2031"/>
    </row>
    <row r="2032" spans="1:60" x14ac:dyDescent="0.25">
      <c r="A2032" s="2371">
        <v>9</v>
      </c>
      <c r="B2032" s="2385">
        <v>901.12</v>
      </c>
      <c r="C2032" s="2374"/>
      <c r="D2032" s="2374"/>
      <c r="E2032" s="2374"/>
      <c r="F2032" s="2374"/>
      <c r="G2032" s="2373" t="str">
        <f ca="1">G2031</f>
        <v/>
      </c>
      <c r="H2032" s="2371" t="s">
        <v>3971</v>
      </c>
      <c r="I2032" s="164"/>
      <c r="J2032" s="4"/>
      <c r="K2032" s="4"/>
      <c r="L2032" s="1941"/>
      <c r="M2032" s="1939"/>
      <c r="N2032" s="2075"/>
      <c r="O2032" s="1927"/>
      <c r="P2032" s="911"/>
      <c r="Q2032" s="911"/>
      <c r="R2032" s="911"/>
      <c r="S2032" s="911"/>
      <c r="T2032" s="911"/>
      <c r="U2032" s="911"/>
      <c r="V2032" s="911"/>
      <c r="W2032"/>
      <c r="X2032" s="1799"/>
      <c r="Y2032" s="2081"/>
      <c r="Z2032" s="2084"/>
      <c r="AA2032" s="1526"/>
      <c r="AC2032" s="970"/>
      <c r="AD2032" s="970"/>
      <c r="AE2032" s="970"/>
      <c r="AF2032"/>
      <c r="AG2032"/>
      <c r="AH2032"/>
      <c r="AI2032"/>
      <c r="AJ2032"/>
      <c r="AK2032"/>
      <c r="AL2032" s="1336"/>
      <c r="AM2032" s="1336"/>
      <c r="AN2032" s="1336"/>
      <c r="AO2032" s="1336"/>
      <c r="AP2032" s="1336"/>
      <c r="AQ2032" s="1336"/>
      <c r="AR2032" s="1336"/>
      <c r="AS2032" s="1336"/>
      <c r="AT2032"/>
    </row>
    <row r="2033" spans="1:60" ht="15.75" thickBot="1" x14ac:dyDescent="0.3">
      <c r="A2033" s="2371">
        <v>9</v>
      </c>
      <c r="B2033" s="2385">
        <v>901.12</v>
      </c>
      <c r="C2033" s="2374"/>
      <c r="D2033" s="2374"/>
      <c r="E2033" s="2374"/>
      <c r="F2033" s="2374"/>
      <c r="G2033" s="2373" t="str">
        <f ca="1">G2032</f>
        <v/>
      </c>
      <c r="H2033" s="2371" t="s">
        <v>3971</v>
      </c>
      <c r="I2033" s="164"/>
      <c r="J2033" s="4"/>
      <c r="K2033" s="4"/>
      <c r="L2033" s="1941"/>
      <c r="M2033" s="1940"/>
      <c r="N2033" s="1928"/>
      <c r="O2033" s="1928"/>
      <c r="P2033" s="911"/>
      <c r="Q2033" s="911"/>
      <c r="R2033" s="911"/>
      <c r="S2033" s="911"/>
      <c r="T2033" s="911"/>
      <c r="U2033" s="911"/>
      <c r="V2033" s="911"/>
      <c r="W2033" s="112"/>
      <c r="X2033" s="1800"/>
      <c r="Y2033" s="2082"/>
      <c r="Z2033" s="2086"/>
      <c r="AA2033" s="1526"/>
      <c r="AC2033" s="970"/>
      <c r="AD2033" s="970"/>
      <c r="AE2033" s="970"/>
      <c r="AF2033"/>
      <c r="AG2033"/>
      <c r="AH2033"/>
      <c r="AI2033"/>
      <c r="AJ2033"/>
      <c r="AK2033"/>
      <c r="AL2033" s="1336"/>
      <c r="AM2033" s="1336"/>
      <c r="AN2033" s="1336"/>
      <c r="AO2033" s="1336"/>
      <c r="AP2033" s="1336"/>
      <c r="AQ2033" s="1336"/>
      <c r="AR2033" s="1336"/>
      <c r="AS2033" s="1336"/>
      <c r="AT2033"/>
    </row>
    <row r="2034" spans="1:60" ht="15.75" customHeight="1" thickTop="1" x14ac:dyDescent="0.25">
      <c r="A2034" s="2371">
        <v>9</v>
      </c>
      <c r="B2034" s="2385">
        <v>901.13</v>
      </c>
      <c r="C2034" s="2374"/>
      <c r="D2034" s="2374"/>
      <c r="E2034" s="2374"/>
      <c r="F2034" s="2374"/>
      <c r="G2034" s="2373" t="s">
        <v>3974</v>
      </c>
      <c r="H2034" s="2371" t="s">
        <v>3973</v>
      </c>
      <c r="I2034" s="180">
        <v>901.13</v>
      </c>
      <c r="J2034" s="181"/>
      <c r="K2034" s="181"/>
      <c r="L2034" s="1781" t="s">
        <v>4492</v>
      </c>
      <c r="M2034" s="1856" t="str">
        <f>IF(R2034,"Mandatory","N/A")</f>
        <v>Mandatory</v>
      </c>
      <c r="N2034" s="1046"/>
      <c r="O2034" s="1046"/>
      <c r="P2034" s="94" t="b">
        <v>0</v>
      </c>
      <c r="Q2034" s="94" t="b">
        <v>1</v>
      </c>
      <c r="R2034" s="105" t="b">
        <f>S2034</f>
        <v>1</v>
      </c>
      <c r="S2034" s="105" t="b">
        <v>1</v>
      </c>
      <c r="T2034" s="105" t="b">
        <v>0</v>
      </c>
      <c r="U2034" s="105" t="str">
        <f>SUBSTITUTE(SUBSTITUTE(SUBSTITUTE("dd"&amp;B2034&amp;C2034&amp;D2034&amp;E2034&amp;F2034,".","_"),"(","_"),")","")</f>
        <v>dd901_13</v>
      </c>
      <c r="V2034" s="105"/>
      <c r="W2034" s="255"/>
      <c r="X2034" s="1784"/>
      <c r="Y2034" s="2097" t="str">
        <f>IF(LEN('Ch9'!X168)=0,"None",'Ch9'!X168)</f>
        <v>None</v>
      </c>
      <c r="Z2034" s="2085"/>
      <c r="AA2034" s="1526"/>
      <c r="AB2034" s="648"/>
      <c r="AC2034" s="970" t="b">
        <f>OR(AD2034:AE2034)</f>
        <v>1</v>
      </c>
      <c r="AD2034" s="970" t="b">
        <v>0</v>
      </c>
      <c r="AE2034" s="970" t="b">
        <f>AND(R2034,OR(LEN(W2034)=0,W2034="Not Met"))</f>
        <v>1</v>
      </c>
      <c r="AF2034" s="784"/>
      <c r="AG2034" s="648"/>
      <c r="AH2034" s="648"/>
      <c r="AI2034" s="648"/>
      <c r="AJ2034" s="648"/>
      <c r="AK2034" s="648"/>
      <c r="AL2034" s="254" t="str">
        <f>SUBSTITUTE(SUBSTITUTE(SUBSTITUTE("vpa"&amp;$B2034&amp;$C2034&amp;$D2034&amp;$E2034,".","_"),"(","_"),")","")</f>
        <v>vpa901_13</v>
      </c>
      <c r="AM2034" s="254" t="str">
        <f>M2034</f>
        <v>Mandatory</v>
      </c>
      <c r="AN2034" s="1336"/>
      <c r="AO2034" s="1336"/>
      <c r="AP2034" s="254" t="str">
        <f>SUBSTITUTE(SUBSTITUTE(SUBSTITUTE("vch"&amp;$B2034&amp;$C2034&amp;$D2034&amp;$E2034,".","_"),"(","_"),")","")</f>
        <v>vch901_13</v>
      </c>
      <c r="AQ2034" s="254" t="str">
        <f>IF(LEN(W2034)=0,"",W2034)</f>
        <v/>
      </c>
      <c r="AR2034" s="254" t="str">
        <f>SUBSTITUTE(SUBSTITUTE(SUBSTITUTE("vnt"&amp;$B2034&amp;$C2034&amp;$D2034&amp;$E2034,".","_"),"(","_"),")","")</f>
        <v>vnt901_13</v>
      </c>
      <c r="AS2034" s="254" t="str">
        <f>IF(LEN(X2034)=0,"",X2034)</f>
        <v/>
      </c>
      <c r="AT2034" s="648"/>
      <c r="AU2034" s="648"/>
      <c r="AV2034" s="648"/>
      <c r="AW2034" s="648"/>
      <c r="AX2034" s="648"/>
      <c r="AY2034" s="648"/>
      <c r="AZ2034" s="648"/>
      <c r="BA2034" s="648"/>
      <c r="BB2034" s="648"/>
      <c r="BC2034" s="648"/>
      <c r="BD2034" s="648"/>
      <c r="BE2034" s="648"/>
      <c r="BF2034" s="648"/>
      <c r="BG2034" s="648"/>
      <c r="BH2034" s="648"/>
    </row>
    <row r="2035" spans="1:60" ht="15.75" thickBot="1" x14ac:dyDescent="0.3">
      <c r="A2035" s="2371">
        <v>9</v>
      </c>
      <c r="B2035" s="2385">
        <v>901.13</v>
      </c>
      <c r="C2035" s="2374"/>
      <c r="D2035" s="2374"/>
      <c r="E2035" s="2374"/>
      <c r="F2035" s="2374"/>
      <c r="G2035" s="2373" t="s">
        <v>3974</v>
      </c>
      <c r="H2035" s="2371" t="s">
        <v>3973</v>
      </c>
      <c r="I2035" s="481"/>
      <c r="J2035" s="240"/>
      <c r="K2035" s="240"/>
      <c r="L2035" s="1797"/>
      <c r="M2035" s="1839"/>
      <c r="N2035" s="1045"/>
      <c r="O2035" s="1045"/>
      <c r="P2035" s="99"/>
      <c r="Q2035" s="99"/>
      <c r="R2035" s="99"/>
      <c r="S2035" s="99"/>
      <c r="T2035" s="99"/>
      <c r="U2035" s="99"/>
      <c r="V2035" s="99"/>
      <c r="W2035" s="99"/>
      <c r="X2035" s="1771"/>
      <c r="Y2035" s="2082"/>
      <c r="Z2035" s="2086"/>
      <c r="AA2035" s="1526"/>
      <c r="AB2035" s="648"/>
      <c r="AC2035" s="970"/>
      <c r="AD2035" s="970"/>
      <c r="AE2035" s="970"/>
      <c r="AF2035" s="648"/>
      <c r="AG2035" s="648"/>
      <c r="AH2035" s="648"/>
      <c r="AI2035" s="648"/>
      <c r="AJ2035" s="648"/>
      <c r="AK2035" s="648"/>
      <c r="AL2035" s="1336"/>
      <c r="AM2035" s="1336"/>
      <c r="AN2035" s="1336"/>
      <c r="AO2035" s="1336"/>
      <c r="AP2035" s="1336"/>
      <c r="AQ2035" s="1336"/>
      <c r="AR2035" s="1336"/>
      <c r="AS2035" s="1336"/>
      <c r="AT2035" s="648"/>
      <c r="AU2035" s="648"/>
      <c r="AV2035" s="648"/>
      <c r="AW2035" s="648"/>
      <c r="AX2035" s="648"/>
      <c r="AY2035" s="648"/>
      <c r="AZ2035" s="648"/>
      <c r="BA2035" s="648"/>
      <c r="BB2035" s="648"/>
      <c r="BC2035" s="648"/>
      <c r="BD2035" s="648"/>
      <c r="BE2035" s="648"/>
      <c r="BF2035" s="648"/>
      <c r="BG2035" s="648"/>
      <c r="BH2035" s="648"/>
    </row>
    <row r="2036" spans="1:60" ht="15.75" customHeight="1" thickTop="1" x14ac:dyDescent="0.25">
      <c r="A2036" s="2371">
        <v>9</v>
      </c>
      <c r="B2036" s="2385">
        <v>901.14</v>
      </c>
      <c r="C2036" s="2374"/>
      <c r="D2036" s="2374"/>
      <c r="E2036" s="2374"/>
      <c r="F2036" s="2374"/>
      <c r="G2036" s="2373" t="str">
        <f ca="1">IF(N2036&gt;0,"P","")</f>
        <v/>
      </c>
      <c r="H2036" s="2371" t="s">
        <v>3973</v>
      </c>
      <c r="I2036" s="64">
        <v>901.14</v>
      </c>
      <c r="J2036" s="181"/>
      <c r="K2036" s="181"/>
      <c r="L2036" s="1781" t="s">
        <v>4491</v>
      </c>
      <c r="M2036" s="1009"/>
      <c r="N2036" s="2080">
        <f ca="1">'Ch9'!O170</f>
        <v>0</v>
      </c>
      <c r="O2036" s="2080">
        <f ca="1">MIN(1,M2038*S2038*W2038+M2039*S2039*W2039)</f>
        <v>0</v>
      </c>
      <c r="P2036" s="105"/>
      <c r="Q2036" s="105"/>
      <c r="R2036" s="105"/>
      <c r="S2036" s="105"/>
      <c r="T2036" s="105"/>
      <c r="U2036" s="105"/>
      <c r="V2036" s="105"/>
      <c r="W2036" s="105"/>
      <c r="X2036" s="1784"/>
      <c r="Y2036" s="2097" t="str">
        <f>IF(LEN('Ch9'!X170)=0,"None",'Ch9'!X170)</f>
        <v>None</v>
      </c>
      <c r="Z2036" s="2085"/>
      <c r="AA2036" s="1526"/>
      <c r="AB2036" s="648"/>
      <c r="AC2036" s="970"/>
      <c r="AD2036" s="970"/>
      <c r="AE2036" s="970"/>
      <c r="AF2036" s="648"/>
      <c r="AG2036" s="648"/>
      <c r="AH2036" s="648"/>
      <c r="AI2036" s="648"/>
      <c r="AJ2036" s="648"/>
      <c r="AK2036" s="648"/>
      <c r="AL2036" s="1336"/>
      <c r="AM2036" s="1336"/>
      <c r="AN2036" s="254" t="str">
        <f>SUBSTITUTE(SUBSTITUTE(SUBSTITUTE("vpc"&amp;$B2036&amp;$C2036&amp;$D2036&amp;$E2036,".","_"),"(","_"),")","")</f>
        <v>vpc901_14</v>
      </c>
      <c r="AO2036" s="254">
        <f ca="1">O2036</f>
        <v>0</v>
      </c>
      <c r="AP2036" s="1336"/>
      <c r="AQ2036" s="1336"/>
      <c r="AR2036" s="254" t="str">
        <f>SUBSTITUTE(SUBSTITUTE(SUBSTITUTE("vnt"&amp;$B2036&amp;$C2036&amp;$D2036&amp;$E2036,".","_"),"(","_"),")","")</f>
        <v>vnt901_14</v>
      </c>
      <c r="AS2036" s="254" t="str">
        <f>IF(LEN(X2036)=0,"",X2036)</f>
        <v/>
      </c>
      <c r="AT2036" s="648"/>
      <c r="AU2036" s="648"/>
      <c r="AV2036" s="648"/>
      <c r="AW2036" s="648"/>
      <c r="AX2036" s="648"/>
      <c r="AY2036" s="648"/>
      <c r="AZ2036" s="648"/>
      <c r="BA2036" s="648"/>
      <c r="BB2036" s="648"/>
      <c r="BC2036" s="648"/>
      <c r="BD2036" s="648"/>
      <c r="BE2036" s="648"/>
      <c r="BF2036" s="648"/>
      <c r="BG2036" s="648"/>
      <c r="BH2036" s="648"/>
    </row>
    <row r="2037" spans="1:60" x14ac:dyDescent="0.25">
      <c r="A2037" s="2371">
        <v>9</v>
      </c>
      <c r="B2037" s="2385">
        <v>901.14</v>
      </c>
      <c r="C2037" s="2374"/>
      <c r="D2037" s="2374"/>
      <c r="E2037" s="2374"/>
      <c r="F2037" s="2374"/>
      <c r="G2037" s="2373" t="str">
        <f ca="1">G2036</f>
        <v/>
      </c>
      <c r="H2037" s="2371" t="s">
        <v>3973</v>
      </c>
      <c r="I2037" s="164"/>
      <c r="J2037" s="4"/>
      <c r="K2037" s="4"/>
      <c r="L2037" s="1796"/>
      <c r="M2037" s="1010"/>
      <c r="N2037" s="1927"/>
      <c r="O2037" s="1927"/>
      <c r="P2037" s="94"/>
      <c r="Q2037" s="94"/>
      <c r="R2037" s="94"/>
      <c r="S2037" s="94"/>
      <c r="T2037" s="94"/>
      <c r="U2037" s="94"/>
      <c r="V2037" s="94"/>
      <c r="W2037" s="94"/>
      <c r="X2037" s="1770"/>
      <c r="Y2037" s="2081"/>
      <c r="Z2037" s="2084"/>
      <c r="AA2037" s="1526"/>
      <c r="AB2037" s="648"/>
      <c r="AC2037" s="970"/>
      <c r="AD2037" s="970"/>
      <c r="AE2037" s="970"/>
      <c r="AF2037" s="648"/>
      <c r="AG2037" s="648"/>
      <c r="AH2037" s="648"/>
      <c r="AI2037" s="648"/>
      <c r="AJ2037" s="648"/>
      <c r="AK2037" s="648"/>
      <c r="AL2037" s="1336"/>
      <c r="AM2037" s="1336"/>
      <c r="AN2037" s="1336"/>
      <c r="AO2037" s="1336"/>
      <c r="AP2037" s="1336"/>
      <c r="AQ2037" s="1336"/>
      <c r="AR2037" s="1336"/>
      <c r="AS2037" s="1336"/>
      <c r="AT2037" s="648"/>
      <c r="AU2037" s="648"/>
      <c r="AV2037" s="648"/>
      <c r="AW2037" s="648"/>
      <c r="AX2037" s="648"/>
      <c r="AY2037" s="648"/>
      <c r="AZ2037" s="648"/>
      <c r="BA2037" s="648"/>
      <c r="BB2037" s="648"/>
      <c r="BC2037" s="648"/>
      <c r="BD2037" s="648"/>
      <c r="BE2037" s="648"/>
      <c r="BF2037" s="648"/>
      <c r="BG2037" s="648"/>
      <c r="BH2037" s="648"/>
    </row>
    <row r="2038" spans="1:60" ht="15" customHeight="1" x14ac:dyDescent="0.25">
      <c r="A2038" s="2371">
        <v>9</v>
      </c>
      <c r="B2038" s="2385">
        <v>901.14</v>
      </c>
      <c r="C2038" s="2374" t="s">
        <v>256</v>
      </c>
      <c r="D2038" s="2374"/>
      <c r="E2038" s="2374"/>
      <c r="F2038" s="2397"/>
      <c r="G2038" s="2373" t="str">
        <f ca="1">G2037</f>
        <v/>
      </c>
      <c r="H2038" s="2371" t="s">
        <v>3973</v>
      </c>
      <c r="I2038" s="480"/>
      <c r="J2038" s="206" t="s">
        <v>256</v>
      </c>
      <c r="K2038" s="210"/>
      <c r="L2038" s="1163" t="s">
        <v>3218</v>
      </c>
      <c r="M2038" s="1015">
        <v>1</v>
      </c>
      <c r="N2038" s="1044"/>
      <c r="O2038" s="1044"/>
      <c r="P2038" s="94" t="b">
        <v>0</v>
      </c>
      <c r="Q2038" s="94" t="b">
        <v>1</v>
      </c>
      <c r="R2038" s="94" t="b">
        <v>0</v>
      </c>
      <c r="S2038" s="752" t="b">
        <f ca="1">AY1885=INDEX(INDIRECT("ddSingleOrMulti"),2)</f>
        <v>0</v>
      </c>
      <c r="T2038" s="94" t="b">
        <f ca="1">AND(NOT(S2038),W2038=TRUE)</f>
        <v>0</v>
      </c>
      <c r="U2038" s="94"/>
      <c r="V2038" s="94"/>
      <c r="W2038" s="25"/>
      <c r="X2038" s="1770"/>
      <c r="Y2038" s="2081"/>
      <c r="Z2038" s="2084"/>
      <c r="AA2038" s="1551" t="str">
        <f>IF(LEN('Photo Review'!I2037)&gt;0,'Photo Review'!I2037,"")</f>
        <v/>
      </c>
      <c r="AB2038" s="648"/>
      <c r="AC2038" s="970" t="b">
        <f ca="1">OR(AD2038:AE2038)</f>
        <v>0</v>
      </c>
      <c r="AD2038" s="970" t="b">
        <f ca="1">T2038</f>
        <v>0</v>
      </c>
      <c r="AE2038" s="970"/>
      <c r="AF2038" s="784"/>
      <c r="AG2038" s="648"/>
      <c r="AH2038" s="648"/>
      <c r="AI2038" s="648"/>
      <c r="AJ2038" s="648"/>
      <c r="AK2038" s="648"/>
      <c r="AL2038" s="254" t="str">
        <f>SUBSTITUTE(SUBSTITUTE(SUBSTITUTE("vpa"&amp;$B2038&amp;$C2038&amp;$D2038&amp;$E2038,".","_"),"(","_"),")","")</f>
        <v>vpa901_14_1</v>
      </c>
      <c r="AM2038" s="254">
        <f>M2038</f>
        <v>1</v>
      </c>
      <c r="AN2038" s="1336"/>
      <c r="AO2038" s="1336"/>
      <c r="AP2038" s="254" t="str">
        <f>SUBSTITUTE(SUBSTITUTE(SUBSTITUTE("vch"&amp;$B2038&amp;$C2038&amp;$D2038&amp;$E2038,".","_"),"(","_"),")","")</f>
        <v>vch901_14_1</v>
      </c>
      <c r="AQ2038" s="254" t="str">
        <f>IF(LEN(W2038)=0,"",W2038)</f>
        <v/>
      </c>
      <c r="AR2038" s="1336"/>
      <c r="AS2038" s="1336"/>
      <c r="AT2038" s="648"/>
      <c r="AU2038" s="648"/>
      <c r="AV2038" s="648"/>
      <c r="AW2038" s="648"/>
      <c r="AX2038" s="648"/>
      <c r="AY2038" s="648"/>
      <c r="AZ2038" s="648"/>
      <c r="BA2038" s="648"/>
      <c r="BB2038" s="648"/>
      <c r="BC2038" s="648"/>
      <c r="BD2038" s="648"/>
      <c r="BE2038" s="648"/>
      <c r="BF2038" s="648"/>
      <c r="BG2038" s="648"/>
      <c r="BH2038" s="648"/>
    </row>
    <row r="2039" spans="1:60" ht="15" customHeight="1" thickBot="1" x14ac:dyDescent="0.3">
      <c r="A2039" s="2371">
        <v>9</v>
      </c>
      <c r="B2039" s="2385">
        <v>901.14</v>
      </c>
      <c r="C2039" s="2374" t="s">
        <v>258</v>
      </c>
      <c r="D2039" s="2374"/>
      <c r="E2039" s="2374"/>
      <c r="F2039" s="2397"/>
      <c r="G2039" s="2373" t="str">
        <f ca="1">G2038</f>
        <v/>
      </c>
      <c r="H2039" s="2371" t="s">
        <v>3973</v>
      </c>
      <c r="I2039" s="481"/>
      <c r="J2039" s="190" t="s">
        <v>258</v>
      </c>
      <c r="K2039" s="240"/>
      <c r="L2039" s="1171" t="s">
        <v>3219</v>
      </c>
      <c r="M2039" s="1011">
        <v>1</v>
      </c>
      <c r="N2039" s="1045"/>
      <c r="O2039" s="1045"/>
      <c r="P2039" s="94" t="b">
        <v>0</v>
      </c>
      <c r="Q2039" s="94" t="b">
        <v>1</v>
      </c>
      <c r="R2039" s="99" t="b">
        <v>0</v>
      </c>
      <c r="S2039" s="752" t="b">
        <f ca="1">AY1885=INDEX(INDIRECT("ddSingleOrMulti"),2)</f>
        <v>0</v>
      </c>
      <c r="T2039" s="94" t="b">
        <f ca="1">AND(NOT(S2039),W2039=TRUE)</f>
        <v>0</v>
      </c>
      <c r="U2039" s="99"/>
      <c r="V2039" s="99"/>
      <c r="W2039" s="100"/>
      <c r="X2039" s="1771"/>
      <c r="Y2039" s="2082"/>
      <c r="Z2039" s="2086"/>
      <c r="AB2039" s="648"/>
      <c r="AC2039" s="970" t="b">
        <f ca="1">OR(AD2039:AE2039)</f>
        <v>0</v>
      </c>
      <c r="AD2039" s="970" t="b">
        <f ca="1">T2039</f>
        <v>0</v>
      </c>
      <c r="AE2039" s="970"/>
      <c r="AF2039" s="784"/>
      <c r="AG2039" s="648"/>
      <c r="AH2039" s="648"/>
      <c r="AI2039" s="648"/>
      <c r="AJ2039" s="648"/>
      <c r="AK2039" s="648"/>
      <c r="AL2039" s="254" t="str">
        <f>SUBSTITUTE(SUBSTITUTE(SUBSTITUTE("vpa"&amp;$B2039&amp;$C2039&amp;$D2039&amp;$E2039,".","_"),"(","_"),")","")</f>
        <v>vpa901_14_2</v>
      </c>
      <c r="AM2039" s="254">
        <f>M2039</f>
        <v>1</v>
      </c>
      <c r="AN2039" s="1336"/>
      <c r="AO2039" s="1336"/>
      <c r="AP2039" s="254" t="str">
        <f>SUBSTITUTE(SUBSTITUTE(SUBSTITUTE("vch"&amp;$B2039&amp;$C2039&amp;$D2039&amp;$E2039,".","_"),"(","_"),")","")</f>
        <v>vch901_14_2</v>
      </c>
      <c r="AQ2039" s="254" t="str">
        <f>IF(LEN(W2039)=0,"",W2039)</f>
        <v/>
      </c>
      <c r="AR2039" s="1336"/>
      <c r="AS2039" s="1336"/>
      <c r="AT2039" s="648"/>
      <c r="AU2039" s="648"/>
      <c r="AV2039" s="648"/>
      <c r="AW2039" s="648"/>
      <c r="AX2039" s="648"/>
      <c r="AY2039" s="648"/>
      <c r="AZ2039" s="648"/>
      <c r="BA2039" s="648"/>
      <c r="BB2039" s="648"/>
      <c r="BC2039" s="648"/>
      <c r="BD2039" s="648"/>
      <c r="BE2039" s="648"/>
      <c r="BF2039" s="648"/>
      <c r="BG2039" s="648"/>
      <c r="BH2039" s="648"/>
    </row>
    <row r="2040" spans="1:60" ht="15.75" customHeight="1" thickTop="1" x14ac:dyDescent="0.25">
      <c r="A2040" s="2371">
        <v>9</v>
      </c>
      <c r="B2040" s="2385" t="s">
        <v>4493</v>
      </c>
      <c r="C2040" s="2374"/>
      <c r="D2040" s="2374"/>
      <c r="E2040" s="2374"/>
      <c r="F2040" s="2397"/>
      <c r="G2040" s="2363" t="str">
        <f ca="1">IF(COUNTIF(G2042:G2044,"P")&gt;0,"P","")</f>
        <v/>
      </c>
      <c r="H2040" s="2371" t="s">
        <v>3973</v>
      </c>
      <c r="I2040" s="64">
        <v>901.15</v>
      </c>
      <c r="J2040" s="4"/>
      <c r="K2040" s="4"/>
      <c r="L2040" s="1796" t="s">
        <v>4490</v>
      </c>
      <c r="M2040" s="1014"/>
      <c r="N2040" s="1042"/>
      <c r="O2040" s="1042"/>
      <c r="P2040" s="648"/>
      <c r="Q2040" s="648"/>
      <c r="R2040" s="648"/>
      <c r="S2040" s="752"/>
      <c r="T2040" s="648"/>
      <c r="U2040" s="648"/>
      <c r="V2040" s="648"/>
      <c r="W2040" s="648"/>
      <c r="X2040" s="648"/>
      <c r="Y2040" s="648"/>
      <c r="AB2040" s="648"/>
      <c r="AC2040" s="970"/>
      <c r="AD2040" s="970"/>
      <c r="AE2040" s="970"/>
      <c r="AF2040" s="648"/>
      <c r="AG2040" s="648"/>
      <c r="AH2040" s="648"/>
      <c r="AI2040" s="648"/>
      <c r="AJ2040" s="648"/>
      <c r="AK2040" s="648"/>
      <c r="AL2040" s="1336"/>
      <c r="AM2040" s="1336"/>
      <c r="AN2040" s="1336"/>
      <c r="AO2040" s="1336"/>
      <c r="AP2040" s="1336"/>
      <c r="AQ2040" s="1336"/>
      <c r="AR2040" s="1336"/>
      <c r="AS2040" s="1336"/>
      <c r="AT2040" s="648"/>
      <c r="AU2040" s="648"/>
      <c r="AV2040" s="648"/>
      <c r="AW2040" s="648"/>
      <c r="AX2040" s="648"/>
      <c r="AY2040" s="648"/>
      <c r="AZ2040" s="648"/>
      <c r="BA2040" s="648"/>
      <c r="BB2040" s="648"/>
      <c r="BC2040" s="648"/>
      <c r="BD2040" s="648"/>
      <c r="BE2040" s="648"/>
      <c r="BF2040" s="648"/>
      <c r="BG2040" s="648"/>
      <c r="BH2040" s="648"/>
    </row>
    <row r="2041" spans="1:60" x14ac:dyDescent="0.25">
      <c r="A2041" s="2371">
        <v>9</v>
      </c>
      <c r="B2041" s="2385" t="s">
        <v>4493</v>
      </c>
      <c r="C2041" s="2374"/>
      <c r="D2041" s="2374"/>
      <c r="E2041" s="2374"/>
      <c r="F2041" s="2397"/>
      <c r="G2041" s="2373" t="str">
        <f ca="1">G2040</f>
        <v/>
      </c>
      <c r="H2041" s="2371" t="s">
        <v>3973</v>
      </c>
      <c r="I2041" s="164"/>
      <c r="J2041" s="4"/>
      <c r="K2041" s="4"/>
      <c r="L2041" s="1796"/>
      <c r="M2041" s="1014"/>
      <c r="N2041" s="1042"/>
      <c r="O2041" s="1042"/>
      <c r="P2041" s="648"/>
      <c r="Q2041" s="648"/>
      <c r="R2041" s="648"/>
      <c r="S2041" s="752"/>
      <c r="T2041" s="648"/>
      <c r="U2041" s="648"/>
      <c r="V2041" s="648"/>
      <c r="W2041" s="648"/>
      <c r="X2041" s="648"/>
      <c r="Y2041" s="648"/>
      <c r="AB2041" s="648"/>
      <c r="AC2041" s="970"/>
      <c r="AD2041" s="970"/>
      <c r="AE2041" s="970"/>
      <c r="AF2041" s="648"/>
      <c r="AG2041" s="648"/>
      <c r="AH2041" s="648"/>
      <c r="AI2041" s="648"/>
      <c r="AJ2041" s="648"/>
      <c r="AK2041" s="648"/>
      <c r="AL2041" s="1336"/>
      <c r="AM2041" s="1336"/>
      <c r="AN2041" s="1336"/>
      <c r="AO2041" s="1336"/>
      <c r="AP2041" s="1336"/>
      <c r="AQ2041" s="1336"/>
      <c r="AR2041" s="1336"/>
      <c r="AS2041" s="1336"/>
      <c r="AT2041" s="648"/>
      <c r="AU2041" s="648"/>
      <c r="AV2041" s="648"/>
      <c r="AW2041" s="648"/>
      <c r="AX2041" s="648"/>
      <c r="AY2041" s="648"/>
      <c r="AZ2041" s="648"/>
      <c r="BA2041" s="648"/>
      <c r="BB2041" s="648"/>
      <c r="BC2041" s="648"/>
      <c r="BD2041" s="648"/>
      <c r="BE2041" s="648"/>
      <c r="BF2041" s="648"/>
      <c r="BG2041" s="648"/>
      <c r="BH2041" s="648"/>
    </row>
    <row r="2042" spans="1:60" x14ac:dyDescent="0.25">
      <c r="A2042" s="2371">
        <v>9</v>
      </c>
      <c r="B2042" s="2385" t="s">
        <v>4493</v>
      </c>
      <c r="C2042" s="2374" t="s">
        <v>256</v>
      </c>
      <c r="D2042" s="2374"/>
      <c r="E2042" s="2374"/>
      <c r="F2042" s="2397"/>
      <c r="G2042" s="2373" t="str">
        <f ca="1">IF(N2042&gt;0,"P","")</f>
        <v/>
      </c>
      <c r="H2042" s="2371" t="s">
        <v>3973</v>
      </c>
      <c r="I2042" s="164"/>
      <c r="J2042" s="183" t="s">
        <v>256</v>
      </c>
      <c r="K2042" s="129"/>
      <c r="L2042" s="1754" t="s">
        <v>3220</v>
      </c>
      <c r="M2042" s="1758">
        <v>1</v>
      </c>
      <c r="N2042" s="1927">
        <f ca="1">'Ch9'!O176</f>
        <v>0</v>
      </c>
      <c r="O2042" s="1927">
        <f ca="1">M2042*S2042*W2042</f>
        <v>0</v>
      </c>
      <c r="P2042" s="94" t="b">
        <v>0</v>
      </c>
      <c r="Q2042" s="94" t="b">
        <v>1</v>
      </c>
      <c r="R2042" s="648" t="b">
        <v>0</v>
      </c>
      <c r="S2042" s="752" t="b">
        <f ca="1">AY1885=INDEX(INDIRECT("ddSingleOrMulti"),2)</f>
        <v>0</v>
      </c>
      <c r="T2042" s="94" t="b">
        <f ca="1">AND(NOT(S2042),W2042=TRUE)</f>
        <v>0</v>
      </c>
      <c r="U2042" s="648"/>
      <c r="V2042" s="648"/>
      <c r="W2042" s="25"/>
      <c r="X2042" s="1757"/>
      <c r="Y2042" s="2077" t="str">
        <f>IF(LEN('Ch9'!X176)=0,"None",'Ch9'!X176)</f>
        <v>None</v>
      </c>
      <c r="Z2042" s="2083"/>
      <c r="AB2042" s="648"/>
      <c r="AC2042" s="970" t="b">
        <f ca="1">OR(AD2042:AE2042)</f>
        <v>0</v>
      </c>
      <c r="AD2042" s="970" t="b">
        <f ca="1">T2042</f>
        <v>0</v>
      </c>
      <c r="AE2042" s="970"/>
      <c r="AF2042" s="784"/>
      <c r="AG2042" s="648"/>
      <c r="AH2042" s="648"/>
      <c r="AI2042" s="648"/>
      <c r="AJ2042" s="648"/>
      <c r="AK2042" s="648"/>
      <c r="AL2042" s="254" t="str">
        <f>SUBSTITUTE(SUBSTITUTE(SUBSTITUTE("vpa"&amp;$B2042&amp;$C2042&amp;$D2042&amp;$E2042,".","_"),"(","_"),")","")</f>
        <v>vpa901_15_1</v>
      </c>
      <c r="AM2042" s="254">
        <f>M2042</f>
        <v>1</v>
      </c>
      <c r="AN2042" s="254" t="str">
        <f>SUBSTITUTE(SUBSTITUTE(SUBSTITUTE("vpc"&amp;$B2042&amp;$C2042&amp;$D2042&amp;$E2042,".","_"),"(","_"),")","")</f>
        <v>vpc901_15_1</v>
      </c>
      <c r="AO2042" s="254">
        <f ca="1">O2042</f>
        <v>0</v>
      </c>
      <c r="AP2042" s="254" t="str">
        <f>SUBSTITUTE(SUBSTITUTE(SUBSTITUTE("vch"&amp;$B2042&amp;$C2042&amp;$D2042&amp;$E2042,".","_"),"(","_"),")","")</f>
        <v>vch901_15_1</v>
      </c>
      <c r="AQ2042" s="254" t="str">
        <f>IF(LEN(W2042)=0,"",W2042)</f>
        <v/>
      </c>
      <c r="AR2042" s="254" t="str">
        <f>SUBSTITUTE(SUBSTITUTE(SUBSTITUTE("vnt"&amp;$B2042&amp;$C2042&amp;$D2042&amp;$E2042,".","_"),"(","_"),")","")</f>
        <v>vnt901_15_1</v>
      </c>
      <c r="AS2042" s="254" t="str">
        <f>IF(LEN(X2042)=0,"",X2042)</f>
        <v/>
      </c>
      <c r="AT2042" s="648"/>
      <c r="AU2042" s="648"/>
      <c r="AV2042" s="648"/>
      <c r="AW2042" s="648"/>
      <c r="AX2042" s="648"/>
      <c r="AY2042" s="648"/>
      <c r="AZ2042" s="648"/>
      <c r="BA2042" s="648"/>
      <c r="BB2042" s="648"/>
      <c r="BC2042" s="648"/>
      <c r="BD2042" s="648"/>
      <c r="BE2042" s="648"/>
      <c r="BF2042" s="648"/>
      <c r="BG2042" s="648"/>
      <c r="BH2042" s="648"/>
    </row>
    <row r="2043" spans="1:60" x14ac:dyDescent="0.25">
      <c r="A2043" s="2371">
        <v>9</v>
      </c>
      <c r="B2043" s="2385" t="s">
        <v>4493</v>
      </c>
      <c r="C2043" s="2374" t="s">
        <v>256</v>
      </c>
      <c r="D2043" s="2374"/>
      <c r="E2043" s="2374"/>
      <c r="F2043" s="2397"/>
      <c r="G2043" s="2373" t="str">
        <f ca="1">G2042</f>
        <v/>
      </c>
      <c r="H2043" s="2371" t="s">
        <v>3973</v>
      </c>
      <c r="I2043" s="164"/>
      <c r="J2043" s="210"/>
      <c r="K2043" s="210"/>
      <c r="L2043" s="1755"/>
      <c r="M2043" s="1759"/>
      <c r="N2043" s="2076"/>
      <c r="O2043" s="2076"/>
      <c r="P2043" s="648"/>
      <c r="Q2043" s="648"/>
      <c r="R2043" s="648"/>
      <c r="S2043" s="752"/>
      <c r="T2043" s="648"/>
      <c r="U2043" s="648"/>
      <c r="V2043" s="648"/>
      <c r="W2043" s="648"/>
      <c r="X2043" s="1757"/>
      <c r="Y2043" s="2077"/>
      <c r="Z2043" s="2083"/>
      <c r="AB2043" s="648"/>
      <c r="AC2043" s="970"/>
      <c r="AD2043" s="970"/>
      <c r="AE2043" s="970"/>
      <c r="AF2043" s="648"/>
      <c r="AG2043" s="648"/>
      <c r="AH2043" s="648"/>
      <c r="AI2043" s="648"/>
      <c r="AJ2043" s="648"/>
      <c r="AK2043" s="648"/>
      <c r="AL2043" s="1336"/>
      <c r="AM2043" s="1336"/>
      <c r="AN2043" s="1336"/>
      <c r="AO2043" s="1336"/>
      <c r="AP2043" s="1336"/>
      <c r="AQ2043" s="1336"/>
      <c r="AR2043" s="1336"/>
      <c r="AS2043" s="1336"/>
      <c r="AT2043" s="648"/>
      <c r="AU2043" s="648"/>
      <c r="AV2043" s="648"/>
      <c r="AW2043" s="648"/>
      <c r="AX2043" s="648"/>
      <c r="AY2043" s="648"/>
      <c r="AZ2043" s="648"/>
      <c r="BA2043" s="648"/>
      <c r="BB2043" s="648"/>
      <c r="BC2043" s="648"/>
      <c r="BD2043" s="648"/>
      <c r="BE2043" s="648"/>
      <c r="BF2043" s="648"/>
      <c r="BG2043" s="648"/>
      <c r="BH2043" s="648"/>
    </row>
    <row r="2044" spans="1:60" x14ac:dyDescent="0.25">
      <c r="A2044" s="2371">
        <v>9</v>
      </c>
      <c r="B2044" s="2385" t="s">
        <v>4493</v>
      </c>
      <c r="C2044" s="2374" t="s">
        <v>258</v>
      </c>
      <c r="D2044" s="2374"/>
      <c r="E2044" s="2374"/>
      <c r="F2044" s="2397"/>
      <c r="G2044" s="2373" t="str">
        <f ca="1">IF(N2044&gt;0,"P","")</f>
        <v/>
      </c>
      <c r="H2044" s="2371" t="s">
        <v>3973</v>
      </c>
      <c r="I2044" s="164"/>
      <c r="J2044" s="27" t="s">
        <v>258</v>
      </c>
      <c r="K2044" s="4"/>
      <c r="L2044" s="1779" t="s">
        <v>3221</v>
      </c>
      <c r="M2044" s="1767">
        <v>1</v>
      </c>
      <c r="N2044" s="2075">
        <f ca="1">'Ch9'!O178</f>
        <v>0</v>
      </c>
      <c r="O2044" s="2075">
        <f ca="1">M2044*S2044*W2044</f>
        <v>0</v>
      </c>
      <c r="P2044" s="94" t="b">
        <v>0</v>
      </c>
      <c r="Q2044" s="94" t="b">
        <v>1</v>
      </c>
      <c r="R2044" s="648" t="b">
        <v>0</v>
      </c>
      <c r="S2044" s="752" t="b">
        <f ca="1">AY1885=INDEX(INDIRECT("ddSingleOrMulti"),2)</f>
        <v>0</v>
      </c>
      <c r="T2044" s="94" t="b">
        <f ca="1">AND(NOT(S2044),W2044=TRUE)</f>
        <v>0</v>
      </c>
      <c r="U2044" s="648"/>
      <c r="V2044" s="648"/>
      <c r="W2044" s="25"/>
      <c r="X2044" s="1757"/>
      <c r="Y2044" s="2077" t="str">
        <f>IF(LEN('Ch9'!X178)=0,"None",'Ch9'!X178)</f>
        <v>None</v>
      </c>
      <c r="Z2044" s="2083"/>
      <c r="AB2044" s="648"/>
      <c r="AC2044" s="970" t="b">
        <f ca="1">OR(AD2044:AE2044)</f>
        <v>0</v>
      </c>
      <c r="AD2044" s="970" t="b">
        <f ca="1">T2044</f>
        <v>0</v>
      </c>
      <c r="AE2044" s="970"/>
      <c r="AF2044" s="784"/>
      <c r="AG2044" s="648"/>
      <c r="AH2044" s="648"/>
      <c r="AI2044" s="648"/>
      <c r="AJ2044" s="648"/>
      <c r="AK2044" s="648"/>
      <c r="AL2044" s="254" t="str">
        <f>SUBSTITUTE(SUBSTITUTE(SUBSTITUTE("vpa"&amp;$B2044&amp;$C2044&amp;$D2044&amp;$E2044,".","_"),"(","_"),")","")</f>
        <v>vpa901_15_2</v>
      </c>
      <c r="AM2044" s="254">
        <f>M2044</f>
        <v>1</v>
      </c>
      <c r="AN2044" s="254" t="str">
        <f>SUBSTITUTE(SUBSTITUTE(SUBSTITUTE("vpc"&amp;$B2044&amp;$C2044&amp;$D2044&amp;$E2044,".","_"),"(","_"),")","")</f>
        <v>vpc901_15_2</v>
      </c>
      <c r="AO2044" s="254">
        <f ca="1">O2044</f>
        <v>0</v>
      </c>
      <c r="AP2044" s="254" t="str">
        <f>SUBSTITUTE(SUBSTITUTE(SUBSTITUTE("vch"&amp;$B2044&amp;$C2044&amp;$D2044&amp;$E2044,".","_"),"(","_"),")","")</f>
        <v>vch901_15_2</v>
      </c>
      <c r="AQ2044" s="254" t="str">
        <f>IF(LEN(W2044)=0,"",W2044)</f>
        <v/>
      </c>
      <c r="AR2044" s="254" t="str">
        <f>SUBSTITUTE(SUBSTITUTE(SUBSTITUTE("vnt"&amp;$B2044&amp;$C2044&amp;$D2044&amp;$E2044,".","_"),"(","_"),")","")</f>
        <v>vnt901_15_2</v>
      </c>
      <c r="AS2044" s="254" t="str">
        <f>IF(LEN(X2044)=0,"",X2044)</f>
        <v/>
      </c>
      <c r="AT2044" s="648"/>
      <c r="AU2044" s="648"/>
      <c r="AV2044" s="648"/>
      <c r="AW2044" s="648"/>
      <c r="AX2044" s="648"/>
      <c r="AY2044" s="648"/>
      <c r="AZ2044" s="648"/>
      <c r="BA2044" s="648"/>
      <c r="BB2044" s="648"/>
      <c r="BC2044" s="648"/>
      <c r="BD2044" s="648"/>
      <c r="BE2044" s="648"/>
      <c r="BF2044" s="648"/>
      <c r="BG2044" s="648"/>
      <c r="BH2044" s="648"/>
    </row>
    <row r="2045" spans="1:60" x14ac:dyDescent="0.25">
      <c r="A2045" s="2371">
        <v>9</v>
      </c>
      <c r="B2045" s="2385" t="s">
        <v>4493</v>
      </c>
      <c r="C2045" s="2374" t="s">
        <v>258</v>
      </c>
      <c r="D2045" s="2374"/>
      <c r="E2045" s="2374"/>
      <c r="F2045" s="2397"/>
      <c r="G2045" s="2373" t="str">
        <f ca="1">G2044</f>
        <v/>
      </c>
      <c r="H2045" s="2371" t="s">
        <v>3973</v>
      </c>
      <c r="I2045" s="164"/>
      <c r="J2045" s="4"/>
      <c r="K2045" s="4"/>
      <c r="L2045" s="1779"/>
      <c r="M2045" s="1767"/>
      <c r="N2045" s="2075"/>
      <c r="O2045" s="2075"/>
      <c r="P2045" s="648"/>
      <c r="Q2045" s="648"/>
      <c r="R2045" s="648"/>
      <c r="S2045" s="648"/>
      <c r="T2045" s="648"/>
      <c r="U2045" s="648"/>
      <c r="V2045" s="648"/>
      <c r="W2045" s="648"/>
      <c r="X2045" s="1757"/>
      <c r="Y2045" s="2077"/>
      <c r="Z2045" s="2083"/>
      <c r="AB2045" s="648"/>
      <c r="AC2045" s="970"/>
      <c r="AD2045" s="970"/>
      <c r="AE2045" s="970"/>
      <c r="AF2045" s="648"/>
      <c r="AG2045" s="648"/>
      <c r="AH2045" s="648"/>
      <c r="AI2045" s="648"/>
      <c r="AJ2045" s="648"/>
      <c r="AK2045" s="648"/>
      <c r="AL2045" s="1336"/>
      <c r="AM2045" s="1336"/>
      <c r="AN2045" s="1336"/>
      <c r="AO2045" s="1336"/>
      <c r="AP2045" s="1336"/>
      <c r="AQ2045" s="1336"/>
      <c r="AR2045" s="1336"/>
      <c r="AS2045" s="1336"/>
      <c r="AT2045" s="648"/>
      <c r="AU2045" s="648"/>
      <c r="AV2045" s="648"/>
      <c r="AW2045" s="648"/>
      <c r="AX2045" s="648"/>
      <c r="AY2045" s="648"/>
      <c r="AZ2045" s="648"/>
      <c r="BA2045" s="648"/>
      <c r="BB2045" s="648"/>
      <c r="BC2045" s="648"/>
      <c r="BD2045" s="648"/>
      <c r="BE2045" s="648"/>
      <c r="BF2045" s="648"/>
      <c r="BG2045" s="648"/>
      <c r="BH2045" s="648"/>
    </row>
    <row r="2046" spans="1:60" ht="18.75" x14ac:dyDescent="0.3">
      <c r="A2046" s="2371">
        <v>9</v>
      </c>
      <c r="B2046" s="2385">
        <v>902</v>
      </c>
      <c r="C2046" s="2374"/>
      <c r="D2046" s="2374"/>
      <c r="E2046" s="2374"/>
      <c r="F2046" s="2397"/>
      <c r="G2046" s="2373" t="s">
        <v>3974</v>
      </c>
      <c r="H2046" s="2371" t="s">
        <v>3971</v>
      </c>
      <c r="I2046" s="14" t="s">
        <v>3222</v>
      </c>
      <c r="J2046" s="23"/>
      <c r="K2046" s="23"/>
      <c r="L2046" s="84"/>
      <c r="M2046" s="498"/>
      <c r="N2046" s="1043"/>
      <c r="O2046" s="1043"/>
      <c r="P2046" s="23"/>
      <c r="Q2046" s="23"/>
      <c r="R2046" s="23"/>
      <c r="S2046" s="23"/>
      <c r="T2046" s="23"/>
      <c r="U2046" s="23"/>
      <c r="V2046" s="23"/>
      <c r="W2046" s="23"/>
      <c r="X2046" s="23"/>
      <c r="Y2046" s="23"/>
      <c r="Z2046" s="1586"/>
      <c r="AB2046" s="648"/>
      <c r="AC2046" s="970"/>
      <c r="AD2046" s="970"/>
      <c r="AE2046" s="970"/>
      <c r="AF2046" s="648"/>
      <c r="AG2046" s="648"/>
      <c r="AH2046" s="648"/>
      <c r="AI2046" s="648"/>
      <c r="AJ2046" s="648"/>
      <c r="AK2046" s="648"/>
      <c r="AL2046" s="1336"/>
      <c r="AM2046" s="1336"/>
      <c r="AN2046" s="1336"/>
      <c r="AO2046" s="1336"/>
      <c r="AP2046" s="1336"/>
      <c r="AQ2046" s="1336"/>
      <c r="AR2046" s="1336"/>
      <c r="AS2046" s="1336"/>
      <c r="AT2046" s="648"/>
      <c r="AU2046" s="648"/>
      <c r="AV2046" s="648"/>
      <c r="AW2046" s="648"/>
      <c r="AX2046" s="648"/>
      <c r="AY2046" s="648"/>
      <c r="AZ2046" s="648"/>
      <c r="BA2046" s="648"/>
      <c r="BB2046" s="648"/>
      <c r="BC2046" s="648"/>
      <c r="BD2046" s="648"/>
      <c r="BE2046" s="648"/>
      <c r="BF2046" s="648"/>
      <c r="BG2046" s="648"/>
      <c r="BH2046" s="648"/>
    </row>
    <row r="2047" spans="1:60" ht="15.75" thickBot="1" x14ac:dyDescent="0.3">
      <c r="A2047" s="2371">
        <v>9</v>
      </c>
      <c r="B2047" s="2385" t="s">
        <v>4080</v>
      </c>
      <c r="C2047" s="2374"/>
      <c r="D2047" s="2374"/>
      <c r="E2047" s="2374"/>
      <c r="F2047" s="2397"/>
      <c r="G2047" s="2371"/>
      <c r="H2047" s="2371"/>
      <c r="I2047" s="478">
        <v>902</v>
      </c>
      <c r="J2047" s="240"/>
      <c r="K2047" s="240"/>
      <c r="L2047" s="1190" t="s">
        <v>3223</v>
      </c>
      <c r="M2047" s="1011"/>
      <c r="N2047" s="1045"/>
      <c r="O2047" s="1045"/>
      <c r="P2047" s="99"/>
      <c r="Q2047" s="99"/>
      <c r="R2047" s="99"/>
      <c r="S2047" s="99"/>
      <c r="T2047" s="99"/>
      <c r="U2047" s="99"/>
      <c r="V2047" s="99"/>
      <c r="W2047" s="99"/>
      <c r="X2047" s="99"/>
      <c r="Y2047" s="99"/>
      <c r="Z2047" s="1589"/>
      <c r="AB2047" s="648"/>
      <c r="AC2047" s="970"/>
      <c r="AD2047" s="970"/>
      <c r="AE2047" s="970"/>
      <c r="AF2047" s="648"/>
      <c r="AG2047" s="648"/>
      <c r="AH2047" s="648"/>
      <c r="AI2047" s="648"/>
      <c r="AJ2047" s="648"/>
      <c r="AK2047" s="648"/>
      <c r="AL2047" s="1336"/>
      <c r="AM2047" s="1336"/>
      <c r="AN2047" s="1336"/>
      <c r="AO2047" s="1336"/>
      <c r="AP2047" s="1336"/>
      <c r="AQ2047" s="1336"/>
      <c r="AR2047" s="1336"/>
      <c r="AS2047" s="1336"/>
      <c r="AT2047" s="648"/>
      <c r="AU2047" s="648"/>
      <c r="AV2047" s="648"/>
      <c r="AW2047" s="648"/>
      <c r="AX2047" s="648"/>
      <c r="AY2047" s="648"/>
      <c r="AZ2047" s="648"/>
      <c r="BA2047" s="648"/>
      <c r="BB2047" s="648"/>
      <c r="BC2047" s="648"/>
      <c r="BD2047" s="648"/>
      <c r="BE2047" s="648"/>
      <c r="BF2047" s="648"/>
      <c r="BG2047" s="648"/>
      <c r="BH2047" s="648"/>
    </row>
    <row r="2048" spans="1:60" ht="15.75" thickTop="1" x14ac:dyDescent="0.25">
      <c r="A2048" s="2371">
        <v>9</v>
      </c>
      <c r="B2048" s="2385">
        <v>902.1</v>
      </c>
      <c r="C2048" s="2374"/>
      <c r="D2048" s="2374"/>
      <c r="E2048" s="2374"/>
      <c r="F2048" s="2397"/>
      <c r="G2048" s="2373" t="s">
        <v>3974</v>
      </c>
      <c r="H2048" s="2371" t="s">
        <v>3973</v>
      </c>
      <c r="I2048" s="64">
        <v>902.1</v>
      </c>
      <c r="J2048" s="4"/>
      <c r="K2048" s="4"/>
      <c r="L2048" s="1180" t="s">
        <v>3224</v>
      </c>
      <c r="M2048" s="1014"/>
      <c r="N2048" s="1042"/>
      <c r="O2048" s="1042"/>
      <c r="P2048" s="648"/>
      <c r="Q2048" s="648"/>
      <c r="R2048" s="648"/>
      <c r="S2048" s="648"/>
      <c r="T2048" s="648"/>
      <c r="U2048" s="648"/>
      <c r="V2048" s="648"/>
      <c r="W2048" s="648"/>
      <c r="X2048" s="648"/>
      <c r="Y2048" s="648"/>
      <c r="AB2048" s="648"/>
      <c r="AC2048" s="970"/>
      <c r="AD2048" s="970"/>
      <c r="AE2048" s="970"/>
      <c r="AF2048" s="648"/>
      <c r="AG2048" s="648"/>
      <c r="AH2048" s="648"/>
      <c r="AI2048" s="648"/>
      <c r="AJ2048" s="648"/>
      <c r="AK2048" s="648"/>
      <c r="AL2048" s="1336"/>
      <c r="AM2048" s="1336"/>
      <c r="AN2048" s="1336"/>
      <c r="AO2048" s="1336"/>
      <c r="AP2048" s="1336"/>
      <c r="AQ2048" s="1336"/>
      <c r="AR2048" s="1336"/>
      <c r="AS2048" s="1336"/>
      <c r="AT2048" s="648"/>
      <c r="AU2048" s="648"/>
      <c r="AV2048" s="648"/>
      <c r="AW2048" s="648"/>
      <c r="AX2048" s="648"/>
      <c r="AY2048" s="648"/>
      <c r="AZ2048" s="648"/>
      <c r="BA2048" s="648"/>
      <c r="BB2048" s="648"/>
      <c r="BC2048" s="648"/>
      <c r="BD2048" s="648"/>
      <c r="BE2048" s="648"/>
      <c r="BF2048" s="648"/>
      <c r="BG2048" s="648"/>
      <c r="BH2048" s="648"/>
    </row>
    <row r="2049" spans="1:60" x14ac:dyDescent="0.25">
      <c r="A2049" s="2371">
        <v>9</v>
      </c>
      <c r="B2049" s="2385">
        <v>902.1</v>
      </c>
      <c r="C2049" s="2374"/>
      <c r="D2049" s="2374"/>
      <c r="E2049" s="2374"/>
      <c r="F2049" s="2397"/>
      <c r="G2049" s="2373" t="s">
        <v>3974</v>
      </c>
      <c r="H2049" s="2371" t="s">
        <v>3973</v>
      </c>
      <c r="I2049" s="64" t="s">
        <v>3807</v>
      </c>
      <c r="J2049" s="4"/>
      <c r="K2049" s="4"/>
      <c r="L2049" s="1180" t="s">
        <v>3808</v>
      </c>
      <c r="M2049" s="1014"/>
      <c r="N2049" s="1042"/>
      <c r="O2049" s="1042"/>
      <c r="P2049" s="648"/>
      <c r="Q2049" s="648"/>
      <c r="R2049" s="648"/>
      <c r="S2049" s="648"/>
      <c r="T2049" s="648"/>
      <c r="U2049" s="648"/>
      <c r="V2049" s="648"/>
      <c r="W2049" s="648"/>
      <c r="X2049" s="648"/>
      <c r="Y2049" s="648"/>
      <c r="AB2049" s="648"/>
      <c r="AC2049" s="970"/>
      <c r="AD2049" s="970"/>
      <c r="AE2049" s="970"/>
      <c r="AF2049" s="648"/>
      <c r="AG2049" s="648"/>
      <c r="AH2049" s="648"/>
      <c r="AI2049" s="648"/>
      <c r="AJ2049" s="648"/>
      <c r="AK2049" s="648"/>
      <c r="AL2049" s="1336"/>
      <c r="AM2049" s="1336"/>
      <c r="AN2049" s="1336"/>
      <c r="AO2049" s="1336"/>
      <c r="AP2049" s="1336"/>
      <c r="AQ2049" s="1336"/>
      <c r="AR2049" s="1336"/>
      <c r="AS2049" s="1336"/>
      <c r="AT2049" s="648"/>
      <c r="AU2049" s="648"/>
      <c r="AV2049" s="648"/>
      <c r="AW2049" s="648"/>
      <c r="AX2049" s="648"/>
      <c r="AY2049" s="648"/>
      <c r="AZ2049" s="648"/>
      <c r="BA2049" s="648"/>
      <c r="BB2049" s="648"/>
      <c r="BC2049" s="648"/>
      <c r="BD2049" s="648"/>
      <c r="BE2049" s="648"/>
      <c r="BF2049" s="648"/>
      <c r="BG2049" s="648"/>
      <c r="BH2049" s="648"/>
    </row>
    <row r="2050" spans="1:60" x14ac:dyDescent="0.25">
      <c r="A2050" s="2371">
        <v>9</v>
      </c>
      <c r="B2050" s="2385">
        <v>902.1</v>
      </c>
      <c r="C2050" s="2374" t="s">
        <v>256</v>
      </c>
      <c r="D2050" s="2374"/>
      <c r="E2050" s="2374"/>
      <c r="F2050" s="2397"/>
      <c r="G2050" s="2373" t="s">
        <v>3974</v>
      </c>
      <c r="H2050" s="2371" t="s">
        <v>3973</v>
      </c>
      <c r="I2050" s="164"/>
      <c r="J2050" s="27" t="s">
        <v>256</v>
      </c>
      <c r="K2050" s="4"/>
      <c r="L2050" s="1779" t="s">
        <v>3225</v>
      </c>
      <c r="M2050" s="1837" t="str">
        <f>IF(R2050,"Mandatory","N/A")</f>
        <v>Mandatory</v>
      </c>
      <c r="N2050" s="1042"/>
      <c r="O2050" s="1042"/>
      <c r="P2050" s="94" t="b">
        <v>0</v>
      </c>
      <c r="Q2050" s="94" t="b">
        <v>1</v>
      </c>
      <c r="R2050" s="648" t="b">
        <f>S2050</f>
        <v>1</v>
      </c>
      <c r="S2050" s="648" t="b">
        <v>1</v>
      </c>
      <c r="T2050" s="648" t="b">
        <v>0</v>
      </c>
      <c r="U2050" s="648"/>
      <c r="V2050" s="648"/>
      <c r="W2050" s="25"/>
      <c r="X2050" s="1757"/>
      <c r="Y2050" s="2077" t="str">
        <f>IF(LEN('Ch9'!X184)=0,"None",'Ch9'!X184)</f>
        <v>None</v>
      </c>
      <c r="Z2050" s="2083"/>
      <c r="AB2050" s="648"/>
      <c r="AC2050" s="970" t="b">
        <f>OR(AD2050:AE2050)</f>
        <v>1</v>
      </c>
      <c r="AD2050" s="970" t="b">
        <f>T2050</f>
        <v>0</v>
      </c>
      <c r="AE2050" s="970" t="b">
        <f>AND(R2050,NOT(W2050))</f>
        <v>1</v>
      </c>
      <c r="AF2050" s="784"/>
      <c r="AG2050" s="648"/>
      <c r="AH2050" s="648"/>
      <c r="AI2050" s="648"/>
      <c r="AJ2050" s="648"/>
      <c r="AK2050" s="648"/>
      <c r="AL2050" s="254" t="str">
        <f>SUBSTITUTE(SUBSTITUTE(SUBSTITUTE("vpa"&amp;$B2050&amp;$C2050&amp;$D2050&amp;$E2050,".","_"),"(","_"),")","")</f>
        <v>vpa902_1_1</v>
      </c>
      <c r="AM2050" s="254" t="str">
        <f>M2050</f>
        <v>Mandatory</v>
      </c>
      <c r="AN2050" s="1336"/>
      <c r="AO2050" s="1336"/>
      <c r="AP2050" s="254" t="str">
        <f>SUBSTITUTE(SUBSTITUTE(SUBSTITUTE("vch"&amp;$B2050&amp;$C2050&amp;$D2050&amp;$E2050,".","_"),"(","_"),")","")</f>
        <v>vch902_1_1</v>
      </c>
      <c r="AQ2050" s="254" t="str">
        <f>IF(LEN(W2050)=0,"",W2050)</f>
        <v/>
      </c>
      <c r="AR2050" s="254" t="str">
        <f>SUBSTITUTE(SUBSTITUTE(SUBSTITUTE("vnt"&amp;$B2050&amp;$C2050&amp;$D2050&amp;$E2050,".","_"),"(","_"),")","")</f>
        <v>vnt902_1_1</v>
      </c>
      <c r="AS2050" s="254" t="str">
        <f>IF(LEN(X2050)=0,"",X2050)</f>
        <v/>
      </c>
      <c r="AT2050" s="648"/>
      <c r="AU2050" s="648"/>
      <c r="AV2050" s="648"/>
      <c r="AW2050" s="648"/>
      <c r="AX2050" s="648"/>
      <c r="AY2050" s="648"/>
      <c r="AZ2050" s="648"/>
      <c r="BA2050" s="648"/>
      <c r="BB2050" s="648"/>
      <c r="BC2050" s="648"/>
      <c r="BD2050" s="648"/>
      <c r="BE2050" s="648"/>
      <c r="BF2050" s="648"/>
      <c r="BG2050" s="648"/>
      <c r="BH2050" s="648"/>
    </row>
    <row r="2051" spans="1:60" x14ac:dyDescent="0.25">
      <c r="A2051" s="2371">
        <v>9</v>
      </c>
      <c r="B2051" s="2385">
        <v>902.1</v>
      </c>
      <c r="C2051" s="2374" t="s">
        <v>256</v>
      </c>
      <c r="D2051" s="2374"/>
      <c r="E2051" s="2374"/>
      <c r="F2051" s="2397"/>
      <c r="G2051" s="2373" t="s">
        <v>3974</v>
      </c>
      <c r="H2051" s="2371" t="s">
        <v>3973</v>
      </c>
      <c r="I2051" s="164"/>
      <c r="J2051" s="4"/>
      <c r="K2051" s="4"/>
      <c r="L2051" s="1779"/>
      <c r="M2051" s="1837"/>
      <c r="N2051" s="1042"/>
      <c r="O2051" s="1042"/>
      <c r="P2051" s="648"/>
      <c r="Q2051" s="648"/>
      <c r="R2051" s="648"/>
      <c r="S2051" s="648"/>
      <c r="T2051" s="648"/>
      <c r="U2051" s="648"/>
      <c r="V2051" s="648"/>
      <c r="W2051" s="648"/>
      <c r="X2051" s="1757"/>
      <c r="Y2051" s="2077"/>
      <c r="Z2051" s="2083"/>
      <c r="AB2051" s="648"/>
      <c r="AC2051" s="970"/>
      <c r="AD2051" s="970"/>
      <c r="AE2051" s="970"/>
      <c r="AF2051" s="648"/>
      <c r="AG2051" s="648"/>
      <c r="AH2051" s="648"/>
      <c r="AI2051" s="648"/>
      <c r="AJ2051" s="648"/>
      <c r="AK2051" s="648"/>
      <c r="AL2051" s="1336"/>
      <c r="AM2051" s="1336"/>
      <c r="AN2051" s="1336"/>
      <c r="AO2051" s="1336"/>
      <c r="AP2051" s="1336"/>
      <c r="AQ2051" s="1336"/>
      <c r="AR2051" s="1336"/>
      <c r="AS2051" s="1336"/>
      <c r="AT2051" s="648"/>
      <c r="AU2051" s="648"/>
      <c r="AV2051" s="648"/>
      <c r="AW2051" s="648"/>
      <c r="AX2051" s="648"/>
      <c r="AY2051" s="648"/>
      <c r="AZ2051" s="648"/>
      <c r="BA2051" s="648"/>
      <c r="BB2051" s="648"/>
      <c r="BC2051" s="648"/>
      <c r="BD2051" s="648"/>
      <c r="BE2051" s="648"/>
      <c r="BF2051" s="648"/>
      <c r="BG2051" s="648"/>
      <c r="BH2051" s="648"/>
    </row>
    <row r="2052" spans="1:60" x14ac:dyDescent="0.25">
      <c r="A2052" s="2371">
        <v>9</v>
      </c>
      <c r="B2052" s="2385">
        <v>902.1</v>
      </c>
      <c r="C2052" s="2374" t="s">
        <v>256</v>
      </c>
      <c r="D2052" s="2374" t="s">
        <v>121</v>
      </c>
      <c r="E2052" s="2374"/>
      <c r="F2052" s="2397"/>
      <c r="G2052" s="2373" t="str">
        <f>IF(N2052&gt;0,"P","")</f>
        <v/>
      </c>
      <c r="H2052" s="2375" t="s">
        <v>3973</v>
      </c>
      <c r="I2052" s="164"/>
      <c r="J2052" s="183"/>
      <c r="K2052" s="183" t="s">
        <v>121</v>
      </c>
      <c r="L2052" s="1754" t="s">
        <v>3651</v>
      </c>
      <c r="M2052" s="1758">
        <v>1</v>
      </c>
      <c r="N2052" s="1927">
        <f>'Ch9'!O186</f>
        <v>0</v>
      </c>
      <c r="O2052" s="1927">
        <f>M2052*S2052*W2052</f>
        <v>0</v>
      </c>
      <c r="P2052" s="94" t="b">
        <v>0</v>
      </c>
      <c r="Q2052" s="94" t="b">
        <v>1</v>
      </c>
      <c r="R2052" s="648" t="b">
        <v>0</v>
      </c>
      <c r="S2052" s="648" t="b">
        <f>W2050=TRUE</f>
        <v>0</v>
      </c>
      <c r="T2052" s="94" t="b">
        <f>AND(NOT(S2052),W2052=TRUE)</f>
        <v>0</v>
      </c>
      <c r="U2052" s="648"/>
      <c r="V2052" s="648"/>
      <c r="W2052" s="25"/>
      <c r="X2052" s="1757"/>
      <c r="Y2052" s="2077" t="str">
        <f>IF(LEN('Ch9'!X186)=0,"None",'Ch9'!X186)</f>
        <v>None</v>
      </c>
      <c r="Z2052" s="2083"/>
      <c r="AB2052" s="648"/>
      <c r="AC2052" s="970" t="b">
        <f>OR(AD2052:AE2052)</f>
        <v>0</v>
      </c>
      <c r="AD2052" s="970" t="b">
        <f>T2052</f>
        <v>0</v>
      </c>
      <c r="AE2052" s="970"/>
      <c r="AF2052" s="784"/>
      <c r="AG2052" s="648"/>
      <c r="AH2052" s="648"/>
      <c r="AI2052" s="648"/>
      <c r="AJ2052" s="648"/>
      <c r="AK2052" s="648"/>
      <c r="AL2052" s="254" t="str">
        <f>SUBSTITUTE(SUBSTITUTE(SUBSTITUTE("vpa"&amp;$B2052&amp;$C2052&amp;$D2052&amp;$E2052,".","_"),"(","_"),")","")</f>
        <v>vpa902_1_1_a</v>
      </c>
      <c r="AM2052" s="254">
        <f>M2052</f>
        <v>1</v>
      </c>
      <c r="AN2052" s="254" t="str">
        <f>SUBSTITUTE(SUBSTITUTE(SUBSTITUTE("vpc"&amp;$B2052&amp;$C2052&amp;$D2052&amp;$E2052,".","_"),"(","_"),")","")</f>
        <v>vpc902_1_1_a</v>
      </c>
      <c r="AO2052" s="254">
        <f>O2052</f>
        <v>0</v>
      </c>
      <c r="AP2052" s="254" t="str">
        <f>SUBSTITUTE(SUBSTITUTE(SUBSTITUTE("vch"&amp;$B2052&amp;$C2052&amp;$D2052&amp;$E2052,".","_"),"(","_"),")","")</f>
        <v>vch902_1_1_a</v>
      </c>
      <c r="AQ2052" s="254" t="str">
        <f>IF(LEN(W2052)=0,"",W2052)</f>
        <v/>
      </c>
      <c r="AR2052" s="254" t="str">
        <f>SUBSTITUTE(SUBSTITUTE(SUBSTITUTE("vnt"&amp;$B2052&amp;$C2052&amp;$D2052&amp;$E2052,".","_"),"(","_"),")","")</f>
        <v>vnt902_1_1_a</v>
      </c>
      <c r="AS2052" s="254" t="str">
        <f>IF(LEN(X2052)=0,"",X2052)</f>
        <v/>
      </c>
      <c r="AT2052" s="648"/>
      <c r="AU2052" s="648"/>
      <c r="AV2052" s="648"/>
      <c r="AW2052" s="648"/>
      <c r="AX2052" s="648"/>
      <c r="AY2052" s="648"/>
      <c r="AZ2052" s="648"/>
      <c r="BA2052" s="648"/>
      <c r="BB2052" s="648"/>
      <c r="BC2052" s="648"/>
      <c r="BD2052" s="648"/>
      <c r="BE2052" s="648"/>
      <c r="BF2052" s="648"/>
      <c r="BG2052" s="648"/>
      <c r="BH2052" s="648"/>
    </row>
    <row r="2053" spans="1:60" x14ac:dyDescent="0.25">
      <c r="A2053" s="2371">
        <v>9</v>
      </c>
      <c r="B2053" s="2385">
        <v>902.1</v>
      </c>
      <c r="C2053" s="2374" t="s">
        <v>256</v>
      </c>
      <c r="D2053" s="2374"/>
      <c r="E2053" s="2374"/>
      <c r="F2053" s="2397"/>
      <c r="G2053" s="2373" t="str">
        <f>G2052</f>
        <v/>
      </c>
      <c r="H2053" s="2371" t="s">
        <v>3973</v>
      </c>
      <c r="I2053" s="164"/>
      <c r="J2053" s="206"/>
      <c r="K2053" s="210"/>
      <c r="L2053" s="1755"/>
      <c r="M2053" s="1759"/>
      <c r="N2053" s="2076"/>
      <c r="O2053" s="2076"/>
      <c r="P2053" s="648"/>
      <c r="Q2053" s="648"/>
      <c r="R2053" s="648"/>
      <c r="S2053" s="648"/>
      <c r="T2053" s="648"/>
      <c r="U2053" s="648"/>
      <c r="V2053" s="648"/>
      <c r="W2053" s="648"/>
      <c r="X2053" s="1757"/>
      <c r="Y2053" s="2077"/>
      <c r="Z2053" s="2083"/>
      <c r="AB2053" s="648"/>
      <c r="AC2053" s="970"/>
      <c r="AD2053" s="970"/>
      <c r="AE2053" s="970"/>
      <c r="AF2053" s="648"/>
      <c r="AG2053" s="648"/>
      <c r="AH2053" s="648"/>
      <c r="AI2053" s="648"/>
      <c r="AJ2053" s="648"/>
      <c r="AK2053" s="648"/>
      <c r="AL2053" s="1336"/>
      <c r="AM2053" s="1336"/>
      <c r="AN2053" s="1336"/>
      <c r="AO2053" s="1336"/>
      <c r="AP2053" s="1336"/>
      <c r="AQ2053" s="1336"/>
      <c r="AR2053" s="1336"/>
      <c r="AS2053" s="1336"/>
      <c r="AT2053" s="648"/>
      <c r="AU2053" s="648"/>
      <c r="AV2053" s="648"/>
      <c r="AW2053" s="648"/>
      <c r="AX2053" s="648"/>
      <c r="AY2053" s="648"/>
      <c r="AZ2053" s="648"/>
      <c r="BA2053" s="648"/>
      <c r="BB2053" s="648"/>
      <c r="BC2053" s="648"/>
      <c r="BD2053" s="648"/>
      <c r="BE2053" s="648"/>
      <c r="BF2053" s="648"/>
      <c r="BG2053" s="648"/>
      <c r="BH2053" s="648"/>
    </row>
    <row r="2054" spans="1:60" x14ac:dyDescent="0.25">
      <c r="A2054" s="2371">
        <v>9</v>
      </c>
      <c r="B2054" s="2385">
        <v>902.1</v>
      </c>
      <c r="C2054" s="2374" t="s">
        <v>258</v>
      </c>
      <c r="D2054" s="2374"/>
      <c r="E2054" s="2374"/>
      <c r="F2054" s="2397"/>
      <c r="G2054" s="2373" t="s">
        <v>3974</v>
      </c>
      <c r="H2054" s="2371" t="s">
        <v>3973</v>
      </c>
      <c r="I2054" s="164"/>
      <c r="J2054" s="183" t="s">
        <v>258</v>
      </c>
      <c r="K2054" s="129"/>
      <c r="L2054" s="1754" t="s">
        <v>3226</v>
      </c>
      <c r="M2054" s="1837" t="str">
        <f>IF(R2054,"Mandatory","N/A")</f>
        <v>Mandatory</v>
      </c>
      <c r="N2054" s="1042"/>
      <c r="O2054" s="1042"/>
      <c r="P2054" s="94" t="b">
        <v>0</v>
      </c>
      <c r="Q2054" s="94" t="b">
        <v>1</v>
      </c>
      <c r="R2054" s="648" t="b">
        <f>S2054</f>
        <v>1</v>
      </c>
      <c r="S2054" s="648" t="b">
        <v>1</v>
      </c>
      <c r="T2054" s="648" t="b">
        <v>0</v>
      </c>
      <c r="U2054" s="94" t="str">
        <f>SUBSTITUTE(SUBSTITUTE(SUBSTITUTE("dd"&amp;B2054&amp;C2054&amp;D2054&amp;E2054&amp;F2054,".","_"),"(","_"),")","")</f>
        <v>dd902_1_2</v>
      </c>
      <c r="V2054" s="648"/>
      <c r="W2054" s="12"/>
      <c r="X2054" s="1757"/>
      <c r="Y2054" s="2077" t="str">
        <f>IF(LEN('Ch9'!X188)=0,"None",'Ch9'!X188)</f>
        <v>None</v>
      </c>
      <c r="Z2054" s="2083"/>
      <c r="AB2054" s="648"/>
      <c r="AC2054" s="970" t="b">
        <f>OR(AD2054:AE2054)</f>
        <v>1</v>
      </c>
      <c r="AD2054" s="970" t="b">
        <f>T2054</f>
        <v>0</v>
      </c>
      <c r="AE2054" s="970" t="b">
        <f>AND(R2054,OR(W2054="Not Met",W2054=""))</f>
        <v>1</v>
      </c>
      <c r="AF2054" s="784"/>
      <c r="AG2054" s="648"/>
      <c r="AH2054" s="648"/>
      <c r="AI2054" s="648"/>
      <c r="AJ2054" s="648"/>
      <c r="AK2054" s="648"/>
      <c r="AL2054" s="254" t="str">
        <f>SUBSTITUTE(SUBSTITUTE(SUBSTITUTE("vpa"&amp;$B2054&amp;$C2054&amp;$D2054&amp;$E2054,".","_"),"(","_"),")","")</f>
        <v>vpa902_1_2</v>
      </c>
      <c r="AM2054" s="254" t="str">
        <f>M2054</f>
        <v>Mandatory</v>
      </c>
      <c r="AN2054" s="1336"/>
      <c r="AO2054" s="1336"/>
      <c r="AP2054" s="254" t="str">
        <f>SUBSTITUTE(SUBSTITUTE(SUBSTITUTE("vch"&amp;$B2054&amp;$C2054&amp;$D2054&amp;$E2054,".","_"),"(","_"),")","")</f>
        <v>vch902_1_2</v>
      </c>
      <c r="AQ2054" s="254" t="str">
        <f>IF(LEN(W2054)=0,"",W2054)</f>
        <v/>
      </c>
      <c r="AR2054" s="254" t="str">
        <f>SUBSTITUTE(SUBSTITUTE(SUBSTITUTE("vnt"&amp;$B2054&amp;$C2054&amp;$D2054&amp;$E2054,".","_"),"(","_"),")","")</f>
        <v>vnt902_1_2</v>
      </c>
      <c r="AS2054" s="254" t="str">
        <f>IF(LEN(X2054)=0,"",X2054)</f>
        <v/>
      </c>
      <c r="AT2054" s="648"/>
      <c r="AU2054" s="648"/>
      <c r="AV2054" s="648"/>
      <c r="AW2054" s="648"/>
      <c r="AX2054" s="648"/>
      <c r="AY2054" s="648"/>
      <c r="AZ2054" s="648"/>
      <c r="BA2054" s="648"/>
      <c r="BB2054" s="648"/>
      <c r="BC2054" s="648"/>
      <c r="BD2054" s="648"/>
      <c r="BE2054" s="648"/>
      <c r="BF2054" s="648"/>
      <c r="BG2054" s="648"/>
      <c r="BH2054" s="648"/>
    </row>
    <row r="2055" spans="1:60" x14ac:dyDescent="0.25">
      <c r="A2055" s="2371">
        <v>9</v>
      </c>
      <c r="B2055" s="2385">
        <v>902.1</v>
      </c>
      <c r="C2055" s="2374" t="s">
        <v>258</v>
      </c>
      <c r="D2055" s="2374"/>
      <c r="E2055" s="2374"/>
      <c r="F2055" s="2397"/>
      <c r="G2055" s="2373" t="s">
        <v>3974</v>
      </c>
      <c r="H2055" s="2371" t="s">
        <v>3973</v>
      </c>
      <c r="I2055" s="164"/>
      <c r="J2055" s="206"/>
      <c r="K2055" s="210"/>
      <c r="L2055" s="1755"/>
      <c r="M2055" s="1844"/>
      <c r="N2055" s="1047"/>
      <c r="O2055" s="1047"/>
      <c r="P2055" s="648"/>
      <c r="Q2055" s="648"/>
      <c r="R2055" s="648"/>
      <c r="S2055" s="648"/>
      <c r="T2055" s="648"/>
      <c r="U2055" s="648"/>
      <c r="V2055" s="648"/>
      <c r="W2055" s="648"/>
      <c r="X2055" s="1757"/>
      <c r="Y2055" s="2077"/>
      <c r="Z2055" s="2083"/>
      <c r="AB2055" s="648"/>
      <c r="AC2055" s="970"/>
      <c r="AD2055" s="970"/>
      <c r="AE2055" s="970"/>
      <c r="AF2055" s="648"/>
      <c r="AG2055" s="648"/>
      <c r="AH2055" s="648"/>
      <c r="AI2055" s="648"/>
      <c r="AJ2055" s="648"/>
      <c r="AK2055" s="648"/>
      <c r="AL2055" s="1336"/>
      <c r="AM2055" s="1336"/>
      <c r="AN2055" s="1336"/>
      <c r="AO2055" s="1336"/>
      <c r="AP2055" s="1336"/>
      <c r="AQ2055" s="1336"/>
      <c r="AR2055" s="1336"/>
      <c r="AS2055" s="1336"/>
      <c r="AT2055" s="648"/>
      <c r="AU2055" s="648"/>
      <c r="AV2055" s="648"/>
      <c r="AW2055" s="648"/>
      <c r="AX2055" s="648"/>
      <c r="AY2055" s="648"/>
      <c r="AZ2055" s="648"/>
      <c r="BA2055" s="648"/>
      <c r="BB2055" s="648"/>
      <c r="BC2055" s="648"/>
      <c r="BD2055" s="648"/>
      <c r="BE2055" s="648"/>
      <c r="BF2055" s="648"/>
      <c r="BG2055" s="648"/>
      <c r="BH2055" s="648"/>
    </row>
    <row r="2056" spans="1:60" x14ac:dyDescent="0.25">
      <c r="A2056" s="2371">
        <v>9</v>
      </c>
      <c r="B2056" s="2385">
        <v>902.1</v>
      </c>
      <c r="C2056" s="2374" t="s">
        <v>260</v>
      </c>
      <c r="D2056" s="2374"/>
      <c r="E2056" s="2374"/>
      <c r="F2056" s="2397"/>
      <c r="G2056" s="2373" t="str">
        <f>IF(N2056&gt;0,"P","")</f>
        <v/>
      </c>
      <c r="H2056" s="2371" t="s">
        <v>3973</v>
      </c>
      <c r="I2056" s="480"/>
      <c r="J2056" s="183" t="s">
        <v>260</v>
      </c>
      <c r="K2056" s="129"/>
      <c r="L2056" s="1754" t="s">
        <v>3227</v>
      </c>
      <c r="M2056" s="1758">
        <v>8</v>
      </c>
      <c r="N2056" s="1927">
        <f>'Ch9'!O190</f>
        <v>0</v>
      </c>
      <c r="O2056" s="1927">
        <f>M2056*S2056*W2056</f>
        <v>0</v>
      </c>
      <c r="P2056" s="94" t="b">
        <v>0</v>
      </c>
      <c r="Q2056" s="94" t="b">
        <v>1</v>
      </c>
      <c r="R2056" s="94" t="b">
        <v>0</v>
      </c>
      <c r="S2056" s="94" t="b">
        <v>1</v>
      </c>
      <c r="T2056" s="94" t="b">
        <v>0</v>
      </c>
      <c r="U2056" s="94"/>
      <c r="V2056" s="94"/>
      <c r="W2056" s="25"/>
      <c r="X2056" s="1770"/>
      <c r="Y2056" s="2077" t="str">
        <f>IF(LEN('Ch9'!X190)=0,"None",'Ch9'!X190)</f>
        <v>None</v>
      </c>
      <c r="Z2056" s="2083"/>
      <c r="AB2056" s="648"/>
      <c r="AC2056" s="970"/>
      <c r="AD2056" s="970"/>
      <c r="AE2056" s="970"/>
      <c r="AF2056" s="784"/>
      <c r="AG2056" s="648"/>
      <c r="AH2056" s="648"/>
      <c r="AI2056" s="648"/>
      <c r="AJ2056" s="648"/>
      <c r="AK2056" s="648"/>
      <c r="AL2056" s="254" t="str">
        <f>SUBSTITUTE(SUBSTITUTE(SUBSTITUTE("vpa"&amp;$B2056&amp;$C2056&amp;$D2056&amp;$E2056,".","_"),"(","_"),")","")</f>
        <v>vpa902_1_3</v>
      </c>
      <c r="AM2056" s="254">
        <f>M2056</f>
        <v>8</v>
      </c>
      <c r="AN2056" s="254" t="str">
        <f>SUBSTITUTE(SUBSTITUTE(SUBSTITUTE("vpc"&amp;$B2056&amp;$C2056&amp;$D2056&amp;$E2056,".","_"),"(","_"),")","")</f>
        <v>vpc902_1_3</v>
      </c>
      <c r="AO2056" s="254">
        <f>O2056</f>
        <v>0</v>
      </c>
      <c r="AP2056" s="254" t="str">
        <f>SUBSTITUTE(SUBSTITUTE(SUBSTITUTE("vch"&amp;$B2056&amp;$C2056&amp;$D2056&amp;$E2056,".","_"),"(","_"),")","")</f>
        <v>vch902_1_3</v>
      </c>
      <c r="AQ2056" s="254" t="str">
        <f>IF(LEN(W2056)=0,"",W2056)</f>
        <v/>
      </c>
      <c r="AR2056" s="254" t="str">
        <f>SUBSTITUTE(SUBSTITUTE(SUBSTITUTE("vnt"&amp;$B2056&amp;$C2056&amp;$D2056&amp;$E2056,".","_"),"(","_"),")","")</f>
        <v>vnt902_1_3</v>
      </c>
      <c r="AS2056" s="254" t="str">
        <f>IF(LEN(X2056)=0,"",X2056)</f>
        <v/>
      </c>
      <c r="AT2056" s="648"/>
      <c r="AU2056" s="648"/>
      <c r="AV2056" s="648"/>
      <c r="AW2056" s="648"/>
      <c r="AX2056" s="648"/>
      <c r="AY2056" s="648"/>
      <c r="AZ2056" s="648"/>
      <c r="BA2056" s="648"/>
      <c r="BB2056" s="648"/>
      <c r="BC2056" s="648"/>
      <c r="BD2056" s="648"/>
      <c r="BE2056" s="648"/>
      <c r="BF2056" s="648"/>
      <c r="BG2056" s="648"/>
      <c r="BH2056" s="648"/>
    </row>
    <row r="2057" spans="1:60" x14ac:dyDescent="0.25">
      <c r="A2057" s="2371">
        <v>9</v>
      </c>
      <c r="B2057" s="2385">
        <v>902.1</v>
      </c>
      <c r="C2057" s="2374" t="s">
        <v>260</v>
      </c>
      <c r="D2057" s="2374"/>
      <c r="E2057" s="2374"/>
      <c r="F2057" s="2397"/>
      <c r="G2057" s="2373" t="str">
        <f>G2056</f>
        <v/>
      </c>
      <c r="H2057" s="2371" t="s">
        <v>3973</v>
      </c>
      <c r="I2057" s="480"/>
      <c r="J2057" s="183"/>
      <c r="K2057" s="129"/>
      <c r="L2057" s="1754"/>
      <c r="M2057" s="1758"/>
      <c r="N2057" s="1927"/>
      <c r="O2057" s="1927"/>
      <c r="P2057" s="94"/>
      <c r="Q2057" s="94"/>
      <c r="R2057" s="94"/>
      <c r="S2057" s="94"/>
      <c r="T2057" s="94"/>
      <c r="U2057" s="94"/>
      <c r="V2057" s="94"/>
      <c r="W2057" s="94"/>
      <c r="X2057" s="1770"/>
      <c r="Y2057" s="2077"/>
      <c r="Z2057" s="2083"/>
      <c r="AB2057" s="648"/>
      <c r="AC2057" s="970"/>
      <c r="AD2057" s="970"/>
      <c r="AE2057" s="970"/>
      <c r="AF2057" s="648"/>
      <c r="AG2057" s="648"/>
      <c r="AH2057" s="648"/>
      <c r="AI2057" s="648"/>
      <c r="AJ2057" s="648"/>
      <c r="AK2057" s="648"/>
      <c r="AL2057" s="1336"/>
      <c r="AM2057" s="1336"/>
      <c r="AN2057" s="1336"/>
      <c r="AO2057" s="1336"/>
      <c r="AP2057" s="1336"/>
      <c r="AQ2057" s="1336"/>
      <c r="AR2057" s="1336"/>
      <c r="AS2057" s="1336"/>
      <c r="AT2057" s="648"/>
      <c r="AU2057" s="648"/>
      <c r="AV2057" s="648"/>
      <c r="AW2057" s="648"/>
      <c r="AX2057" s="648"/>
      <c r="AY2057" s="648"/>
      <c r="AZ2057" s="648"/>
      <c r="BA2057" s="648"/>
      <c r="BB2057" s="648"/>
      <c r="BC2057" s="648"/>
      <c r="BD2057" s="648"/>
      <c r="BE2057" s="648"/>
      <c r="BF2057" s="648"/>
      <c r="BG2057" s="648"/>
      <c r="BH2057" s="648"/>
    </row>
    <row r="2058" spans="1:60" x14ac:dyDescent="0.25">
      <c r="A2058" s="2371">
        <v>9</v>
      </c>
      <c r="B2058" s="2385">
        <v>902.1</v>
      </c>
      <c r="C2058" s="2374" t="s">
        <v>260</v>
      </c>
      <c r="D2058" s="2374"/>
      <c r="E2058" s="2374"/>
      <c r="F2058" s="2397"/>
      <c r="G2058" s="2373" t="str">
        <f>G2057</f>
        <v/>
      </c>
      <c r="H2058" s="2371" t="s">
        <v>3973</v>
      </c>
      <c r="I2058" s="524"/>
      <c r="J2058" s="210"/>
      <c r="K2058" s="210"/>
      <c r="L2058" s="1755"/>
      <c r="M2058" s="1759"/>
      <c r="N2058" s="2076"/>
      <c r="O2058" s="2076"/>
      <c r="P2058" s="178"/>
      <c r="Q2058" s="178"/>
      <c r="R2058" s="178"/>
      <c r="S2058" s="178"/>
      <c r="T2058" s="178"/>
      <c r="U2058" s="178"/>
      <c r="V2058" s="178"/>
      <c r="W2058" s="178"/>
      <c r="X2058" s="1770"/>
      <c r="Y2058" s="2077"/>
      <c r="Z2058" s="2083"/>
      <c r="AB2058" s="648"/>
      <c r="AC2058" s="970"/>
      <c r="AD2058" s="970"/>
      <c r="AE2058" s="970"/>
      <c r="AF2058" s="648"/>
      <c r="AG2058" s="648"/>
      <c r="AH2058" s="648"/>
      <c r="AI2058" s="648"/>
      <c r="AJ2058" s="648"/>
      <c r="AK2058" s="648"/>
      <c r="AL2058" s="1336"/>
      <c r="AM2058" s="1336"/>
      <c r="AN2058" s="1336"/>
      <c r="AO2058" s="1336"/>
      <c r="AP2058" s="1336"/>
      <c r="AQ2058" s="1336"/>
      <c r="AR2058" s="1336"/>
      <c r="AS2058" s="1336"/>
      <c r="AT2058" s="648"/>
      <c r="AU2058" s="648"/>
      <c r="AV2058" s="648"/>
      <c r="AW2058" s="648"/>
      <c r="AX2058" s="648"/>
      <c r="AY2058" s="648"/>
      <c r="AZ2058" s="648"/>
      <c r="BA2058" s="648"/>
      <c r="BB2058" s="648"/>
      <c r="BC2058" s="648"/>
      <c r="BD2058" s="648"/>
      <c r="BE2058" s="648"/>
      <c r="BF2058" s="648"/>
      <c r="BG2058" s="648"/>
      <c r="BH2058" s="648"/>
    </row>
    <row r="2059" spans="1:60" x14ac:dyDescent="0.25">
      <c r="A2059" s="2371">
        <v>9</v>
      </c>
      <c r="B2059" s="2385" t="s">
        <v>3228</v>
      </c>
      <c r="C2059" s="2374"/>
      <c r="D2059" s="2374" t="s">
        <v>5105</v>
      </c>
      <c r="E2059" s="2374"/>
      <c r="F2059" s="2374"/>
      <c r="G2059" s="2373" t="str">
        <f>IF(N2059&gt;0,"P","")</f>
        <v/>
      </c>
      <c r="H2059" s="2371" t="s">
        <v>3973</v>
      </c>
      <c r="I2059" s="192" t="s">
        <v>3228</v>
      </c>
      <c r="J2059" s="193"/>
      <c r="K2059" s="193"/>
      <c r="L2059" s="1864" t="s">
        <v>3229</v>
      </c>
      <c r="M2059" s="1762" t="s">
        <v>3230</v>
      </c>
      <c r="N2059" s="2079">
        <f>'Ch9'!O193</f>
        <v>0</v>
      </c>
      <c r="O2059" s="2079">
        <f>MIN(11,IF(W2060+W2062=0,0,5+2*(W2060+W2062-1)))</f>
        <v>0</v>
      </c>
      <c r="P2059" s="195"/>
      <c r="Q2059" s="195"/>
      <c r="R2059" s="195"/>
      <c r="S2059" s="195"/>
      <c r="T2059" s="195"/>
      <c r="U2059" s="195"/>
      <c r="V2059" s="195"/>
      <c r="W2059" s="195" t="s">
        <v>3652</v>
      </c>
      <c r="X2059" s="1770"/>
      <c r="Y2059" s="2077" t="str">
        <f>IF(LEN('Ch9'!X193)=0,"None",'Ch9'!X193)</f>
        <v>None</v>
      </c>
      <c r="Z2059" s="2083"/>
      <c r="AB2059" s="648"/>
      <c r="AC2059" s="970"/>
      <c r="AD2059" s="970"/>
      <c r="AE2059" s="970"/>
      <c r="AF2059" s="648"/>
      <c r="AG2059" s="648"/>
      <c r="AH2059" s="648"/>
      <c r="AI2059" s="648"/>
      <c r="AJ2059" s="648"/>
      <c r="AK2059" s="648"/>
      <c r="AL2059" s="254" t="str">
        <f>SUBSTITUTE(SUBSTITUTE(SUBSTITUTE("vpa"&amp;$B2059&amp;$C2059&amp;$D2059&amp;$E2059,".","_"),"(","_"),")","")</f>
        <v>vpa902_1_2_</v>
      </c>
      <c r="AM2059" s="254" t="str">
        <f>M2059</f>
        <v>11 Max</v>
      </c>
      <c r="AN2059" s="254" t="str">
        <f>SUBSTITUTE(SUBSTITUTE(SUBSTITUTE("vpc"&amp;$B2059&amp;$C2059&amp;$D2059&amp;$E2059,".","_"),"(","_"),")","")</f>
        <v>vpc902_1_2_</v>
      </c>
      <c r="AO2059" s="254">
        <f>O2059</f>
        <v>0</v>
      </c>
      <c r="AP2059" s="1336"/>
      <c r="AQ2059" s="1336"/>
      <c r="AR2059" s="254" t="str">
        <f>SUBSTITUTE(SUBSTITUTE(SUBSTITUTE("vnt"&amp;$B2059&amp;$C2059&amp;$D2059&amp;$E2059,".","_"),"(","_"),")","")</f>
        <v>vnt902_1_2_</v>
      </c>
      <c r="AS2059" s="254" t="str">
        <f>IF(LEN(X2059)=0,"",X2059)</f>
        <v/>
      </c>
      <c r="AT2059" s="648"/>
      <c r="AU2059" s="648"/>
      <c r="AV2059" s="648"/>
      <c r="AW2059" s="648"/>
      <c r="AX2059" s="648"/>
      <c r="AY2059" s="648"/>
      <c r="AZ2059" s="648"/>
      <c r="BA2059" s="648"/>
      <c r="BB2059" s="648"/>
      <c r="BC2059" s="648"/>
      <c r="BD2059" s="648"/>
      <c r="BE2059" s="648"/>
      <c r="BF2059" s="648"/>
      <c r="BG2059" s="648"/>
      <c r="BH2059" s="648"/>
    </row>
    <row r="2060" spans="1:60" x14ac:dyDescent="0.25">
      <c r="A2060" s="2371">
        <v>9</v>
      </c>
      <c r="B2060" s="2385" t="s">
        <v>3228</v>
      </c>
      <c r="C2060" s="2374"/>
      <c r="D2060" s="2374" t="s">
        <v>5105</v>
      </c>
      <c r="E2060" s="2374"/>
      <c r="F2060" s="2374"/>
      <c r="G2060" s="2373" t="str">
        <f>G2059</f>
        <v/>
      </c>
      <c r="H2060" s="2371" t="s">
        <v>3973</v>
      </c>
      <c r="I2060" s="480"/>
      <c r="J2060" s="129"/>
      <c r="K2060" s="129"/>
      <c r="L2060" s="1782"/>
      <c r="M2060" s="1758"/>
      <c r="N2060" s="1927"/>
      <c r="O2060" s="1927"/>
      <c r="P2060" s="94" t="b">
        <v>0</v>
      </c>
      <c r="Q2060" s="94" t="b">
        <v>1</v>
      </c>
      <c r="R2060" s="94" t="b">
        <v>0</v>
      </c>
      <c r="S2060" s="94" t="b">
        <v>1</v>
      </c>
      <c r="T2060" s="94" t="b">
        <v>0</v>
      </c>
      <c r="U2060" s="94"/>
      <c r="V2060" s="94"/>
      <c r="W2060" s="483"/>
      <c r="X2060" s="1770"/>
      <c r="Y2060" s="2077"/>
      <c r="Z2060" s="2083"/>
      <c r="AB2060" s="648"/>
      <c r="AC2060" s="970"/>
      <c r="AD2060" s="970"/>
      <c r="AE2060" s="970"/>
      <c r="AF2060" s="784"/>
      <c r="AG2060" s="648"/>
      <c r="AH2060" s="648"/>
      <c r="AI2060" s="648"/>
      <c r="AJ2060" s="648"/>
      <c r="AK2060" s="648"/>
      <c r="AL2060" s="1336"/>
      <c r="AM2060" s="1336"/>
      <c r="AN2060" s="1336"/>
      <c r="AO2060" s="1336"/>
      <c r="AP2060" s="254" t="str">
        <f>SUBSTITUTE(SUBSTITUTE(SUBSTITUTE("vch"&amp;$B2060&amp;$C2060&amp;$D2060&amp;$E2060,".","_"),"(","_"),")","")</f>
        <v>vch902_1_2_</v>
      </c>
      <c r="AQ2060" s="254" t="str">
        <f>IF(LEN(W2060)=0,"",W2060)</f>
        <v/>
      </c>
      <c r="AR2060" s="1336"/>
      <c r="AS2060" s="1336"/>
      <c r="AT2060" s="648"/>
      <c r="AU2060" s="648"/>
      <c r="AV2060" s="648"/>
      <c r="AW2060" s="648"/>
      <c r="AX2060" s="648"/>
      <c r="AY2060" s="648"/>
      <c r="AZ2060" s="648"/>
      <c r="BA2060" s="648"/>
      <c r="BB2060" s="648"/>
      <c r="BC2060" s="648"/>
      <c r="BD2060" s="648"/>
      <c r="BE2060" s="648"/>
      <c r="BF2060" s="648"/>
      <c r="BG2060" s="648"/>
      <c r="BH2060" s="648"/>
    </row>
    <row r="2061" spans="1:60" x14ac:dyDescent="0.25">
      <c r="A2061" s="2371">
        <v>9</v>
      </c>
      <c r="B2061" s="2385" t="s">
        <v>3228</v>
      </c>
      <c r="C2061" s="2374" t="s">
        <v>256</v>
      </c>
      <c r="D2061" s="2374"/>
      <c r="E2061" s="2374"/>
      <c r="F2061" s="2397"/>
      <c r="G2061" s="2373" t="str">
        <f>G2060</f>
        <v/>
      </c>
      <c r="H2061" s="2371" t="s">
        <v>3973</v>
      </c>
      <c r="I2061" s="480"/>
      <c r="J2061" s="206" t="s">
        <v>256</v>
      </c>
      <c r="K2061" s="210"/>
      <c r="L2061" s="1163" t="s">
        <v>3231</v>
      </c>
      <c r="M2061" s="1015">
        <v>5</v>
      </c>
      <c r="N2061" s="1044"/>
      <c r="O2061" s="1044"/>
      <c r="P2061" s="94"/>
      <c r="Q2061" s="94"/>
      <c r="R2061" s="94"/>
      <c r="S2061" s="94"/>
      <c r="T2061" s="94"/>
      <c r="U2061" s="94"/>
      <c r="V2061" s="94"/>
      <c r="W2061" s="94" t="s">
        <v>3653</v>
      </c>
      <c r="X2061" s="1770"/>
      <c r="Y2061" s="2077"/>
      <c r="Z2061" s="2083"/>
      <c r="AB2061" s="648"/>
      <c r="AC2061" s="970"/>
      <c r="AD2061" s="970"/>
      <c r="AE2061" s="970"/>
      <c r="AF2061" s="648"/>
      <c r="AG2061" s="648"/>
      <c r="AH2061" s="648"/>
      <c r="AI2061" s="648"/>
      <c r="AJ2061" s="648"/>
      <c r="AK2061" s="648"/>
      <c r="AL2061" s="254" t="str">
        <f>SUBSTITUTE(SUBSTITUTE(SUBSTITUTE("vpa"&amp;$B2061&amp;$C2061&amp;$D2061&amp;$E2061,".","_"),"(","_"),")","")</f>
        <v>vpa902_1_2_1</v>
      </c>
      <c r="AM2061" s="254">
        <f>M2061</f>
        <v>5</v>
      </c>
      <c r="AN2061" s="1336"/>
      <c r="AO2061" s="1336"/>
      <c r="AP2061" s="1336"/>
      <c r="AQ2061" s="1336"/>
      <c r="AR2061" s="1336"/>
      <c r="AS2061" s="1336"/>
      <c r="AT2061" s="648"/>
      <c r="AU2061" s="648"/>
      <c r="AV2061" s="648"/>
      <c r="AW2061" s="648"/>
      <c r="AX2061" s="648"/>
      <c r="AY2061" s="648"/>
      <c r="AZ2061" s="648"/>
      <c r="BA2061" s="648"/>
      <c r="BB2061" s="648"/>
      <c r="BC2061" s="648"/>
      <c r="BD2061" s="648"/>
      <c r="BE2061" s="648"/>
      <c r="BF2061" s="648"/>
      <c r="BG2061" s="648"/>
      <c r="BH2061" s="648"/>
    </row>
    <row r="2062" spans="1:60" x14ac:dyDescent="0.25">
      <c r="A2062" s="2371">
        <v>9</v>
      </c>
      <c r="B2062" s="2385" t="s">
        <v>3228</v>
      </c>
      <c r="C2062" s="2374" t="s">
        <v>258</v>
      </c>
      <c r="D2062" s="2374"/>
      <c r="E2062" s="2374"/>
      <c r="F2062" s="2397"/>
      <c r="G2062" s="2373" t="str">
        <f>G2061</f>
        <v/>
      </c>
      <c r="H2062" s="2371" t="s">
        <v>3973</v>
      </c>
      <c r="I2062" s="524"/>
      <c r="J2062" s="206" t="s">
        <v>258</v>
      </c>
      <c r="K2062" s="210"/>
      <c r="L2062" s="1163" t="s">
        <v>3232</v>
      </c>
      <c r="M2062" s="1015">
        <v>2</v>
      </c>
      <c r="N2062" s="1047"/>
      <c r="O2062" s="1047"/>
      <c r="P2062" s="94" t="b">
        <v>0</v>
      </c>
      <c r="Q2062" s="94" t="b">
        <v>1</v>
      </c>
      <c r="R2062" s="178" t="b">
        <v>0</v>
      </c>
      <c r="S2062" s="178" t="b">
        <v>1</v>
      </c>
      <c r="T2062" s="178" t="b">
        <v>0</v>
      </c>
      <c r="U2062" s="178"/>
      <c r="V2062" s="178"/>
      <c r="W2062" s="528"/>
      <c r="X2062" s="1770"/>
      <c r="Y2062" s="2077"/>
      <c r="Z2062" s="2083"/>
      <c r="AB2062" s="648"/>
      <c r="AC2062" s="970"/>
      <c r="AD2062" s="970"/>
      <c r="AE2062" s="970"/>
      <c r="AF2062" s="784"/>
      <c r="AG2062" s="648"/>
      <c r="AH2062" s="648"/>
      <c r="AI2062" s="648"/>
      <c r="AJ2062" s="648"/>
      <c r="AK2062" s="648"/>
      <c r="AL2062" s="254" t="str">
        <f>SUBSTITUTE(SUBSTITUTE(SUBSTITUTE("vpa"&amp;$B2062&amp;$C2062&amp;$D2062&amp;$E2062,".","_"),"(","_"),")","")</f>
        <v>vpa902_1_2_2</v>
      </c>
      <c r="AM2062" s="254">
        <f>M2062</f>
        <v>2</v>
      </c>
      <c r="AN2062" s="1336"/>
      <c r="AO2062" s="1336"/>
      <c r="AP2062" s="254" t="str">
        <f>SUBSTITUTE(SUBSTITUTE(SUBSTITUTE("vch"&amp;$B2062&amp;$C2062&amp;$D2062&amp;$E2062,".","_"),"(","_"),")","")</f>
        <v>vch902_1_2_2</v>
      </c>
      <c r="AQ2062" s="254" t="str">
        <f>IF(LEN(W2062)=0,"",W2062)</f>
        <v/>
      </c>
      <c r="AR2062" s="1336"/>
      <c r="AS2062" s="1336"/>
      <c r="AT2062" s="648"/>
      <c r="AU2062" s="648"/>
      <c r="AV2062" s="648"/>
      <c r="AW2062" s="648"/>
      <c r="AX2062" s="648"/>
      <c r="AY2062" s="648"/>
      <c r="AZ2062" s="648"/>
      <c r="BA2062" s="648"/>
      <c r="BB2062" s="648"/>
      <c r="BC2062" s="648"/>
      <c r="BD2062" s="648"/>
      <c r="BE2062" s="648"/>
      <c r="BF2062" s="648"/>
      <c r="BG2062" s="648"/>
      <c r="BH2062" s="648"/>
    </row>
    <row r="2063" spans="1:60" x14ac:dyDescent="0.25">
      <c r="A2063" s="2371">
        <v>9</v>
      </c>
      <c r="B2063" s="2385" t="s">
        <v>3233</v>
      </c>
      <c r="C2063" s="2374"/>
      <c r="D2063" s="2374" t="s">
        <v>5105</v>
      </c>
      <c r="E2063" s="2374"/>
      <c r="F2063" s="2397"/>
      <c r="G2063" s="2373" t="str">
        <f>IF(N2063&gt;0,"P","")</f>
        <v/>
      </c>
      <c r="H2063" s="2371" t="s">
        <v>3973</v>
      </c>
      <c r="I2063" s="192" t="s">
        <v>3233</v>
      </c>
      <c r="J2063" s="193"/>
      <c r="K2063" s="193"/>
      <c r="L2063" s="1864" t="s">
        <v>3234</v>
      </c>
      <c r="M2063" s="1762">
        <v>8</v>
      </c>
      <c r="N2063" s="2079">
        <f>'Ch9'!O197</f>
        <v>0</v>
      </c>
      <c r="O2063" s="2079">
        <f>M2063*S2063*W2063</f>
        <v>0</v>
      </c>
      <c r="P2063" s="94" t="b">
        <v>0</v>
      </c>
      <c r="Q2063" s="94" t="b">
        <v>1</v>
      </c>
      <c r="R2063" s="195" t="b">
        <v>0</v>
      </c>
      <c r="S2063" s="195" t="b">
        <v>1</v>
      </c>
      <c r="T2063" s="195" t="b">
        <v>0</v>
      </c>
      <c r="U2063" s="195"/>
      <c r="V2063" s="195"/>
      <c r="W2063" s="25"/>
      <c r="X2063" s="1770"/>
      <c r="Y2063" s="2077" t="str">
        <f>IF(LEN('Ch9'!X197)=0,"None",'Ch9'!X197)</f>
        <v>None</v>
      </c>
      <c r="Z2063" s="2083"/>
      <c r="AB2063" s="648"/>
      <c r="AC2063" s="970"/>
      <c r="AD2063" s="970"/>
      <c r="AE2063" s="970"/>
      <c r="AF2063" s="784"/>
      <c r="AG2063" s="648"/>
      <c r="AH2063" s="648"/>
      <c r="AI2063" s="648"/>
      <c r="AJ2063" s="648"/>
      <c r="AK2063" s="648"/>
      <c r="AL2063" s="254" t="str">
        <f>SUBSTITUTE(SUBSTITUTE(SUBSTITUTE("vpa"&amp;$B2063&amp;$C2063&amp;$D2063&amp;$E2063,".","_"),"(","_"),")","")</f>
        <v>vpa902_1_3_</v>
      </c>
      <c r="AM2063" s="254">
        <f>M2063</f>
        <v>8</v>
      </c>
      <c r="AN2063" s="254" t="str">
        <f>SUBSTITUTE(SUBSTITUTE(SUBSTITUTE("vpc"&amp;$B2063&amp;$C2063&amp;$D2063&amp;$E2063,".","_"),"(","_"),")","")</f>
        <v>vpc902_1_3_</v>
      </c>
      <c r="AO2063" s="254">
        <f>O2063</f>
        <v>0</v>
      </c>
      <c r="AP2063" s="254" t="str">
        <f>SUBSTITUTE(SUBSTITUTE(SUBSTITUTE("vch"&amp;$B2063&amp;$C2063&amp;$D2063&amp;$E2063,".","_"),"(","_"),")","")</f>
        <v>vch902_1_3_</v>
      </c>
      <c r="AQ2063" s="254" t="str">
        <f>IF(LEN(W2063)=0,"",W2063)</f>
        <v/>
      </c>
      <c r="AR2063" s="254" t="str">
        <f>SUBSTITUTE(SUBSTITUTE(SUBSTITUTE("vnt"&amp;$B2063&amp;$C2063&amp;$D2063&amp;$E2063,".","_"),"(","_"),")","")</f>
        <v>vnt902_1_3_</v>
      </c>
      <c r="AS2063" s="254" t="str">
        <f>IF(LEN(X2063)=0,"",X2063)</f>
        <v/>
      </c>
      <c r="AT2063" s="648"/>
      <c r="AU2063" s="648"/>
      <c r="AV2063" s="648"/>
      <c r="AW2063" s="648"/>
      <c r="AX2063" s="648"/>
      <c r="AY2063" s="648"/>
      <c r="AZ2063" s="648"/>
      <c r="BA2063" s="648"/>
      <c r="BB2063" s="648"/>
      <c r="BC2063" s="648"/>
      <c r="BD2063" s="648"/>
      <c r="BE2063" s="648"/>
      <c r="BF2063" s="648"/>
      <c r="BG2063" s="648"/>
      <c r="BH2063" s="648"/>
    </row>
    <row r="2064" spans="1:60" x14ac:dyDescent="0.25">
      <c r="A2064" s="2371">
        <v>9</v>
      </c>
      <c r="B2064" s="2385" t="s">
        <v>3233</v>
      </c>
      <c r="C2064" s="2374"/>
      <c r="D2064" s="2374" t="s">
        <v>5105</v>
      </c>
      <c r="E2064" s="2374"/>
      <c r="F2064" s="2397"/>
      <c r="G2064" s="2373" t="str">
        <f>G2063</f>
        <v/>
      </c>
      <c r="H2064" s="2371" t="s">
        <v>3973</v>
      </c>
      <c r="I2064" s="480"/>
      <c r="J2064" s="129"/>
      <c r="K2064" s="129"/>
      <c r="L2064" s="1782"/>
      <c r="M2064" s="1758"/>
      <c r="N2064" s="1927"/>
      <c r="O2064" s="1927"/>
      <c r="P2064" s="94"/>
      <c r="Q2064" s="94"/>
      <c r="R2064" s="94"/>
      <c r="S2064" s="94"/>
      <c r="T2064" s="94"/>
      <c r="U2064" s="94"/>
      <c r="V2064" s="94"/>
      <c r="W2064" s="94"/>
      <c r="X2064" s="1770"/>
      <c r="Y2064" s="2077"/>
      <c r="Z2064" s="2083"/>
      <c r="AB2064" s="648"/>
      <c r="AC2064" s="970"/>
      <c r="AD2064" s="970"/>
      <c r="AE2064" s="970"/>
      <c r="AF2064" s="648"/>
      <c r="AG2064" s="648"/>
      <c r="AH2064" s="648"/>
      <c r="AI2064" s="648"/>
      <c r="AJ2064" s="648"/>
      <c r="AK2064" s="648"/>
      <c r="AL2064" s="254"/>
      <c r="AM2064" s="1336"/>
      <c r="AN2064" s="1336"/>
      <c r="AO2064" s="1336"/>
      <c r="AP2064" s="1336"/>
      <c r="AQ2064" s="1336"/>
      <c r="AR2064" s="1336"/>
      <c r="AS2064" s="1336"/>
      <c r="AT2064" s="648"/>
      <c r="AU2064" s="648"/>
      <c r="AV2064" s="648"/>
      <c r="AW2064" s="648"/>
      <c r="AX2064" s="648"/>
      <c r="AY2064" s="648"/>
      <c r="AZ2064" s="648"/>
      <c r="BA2064" s="648"/>
      <c r="BB2064" s="648"/>
      <c r="BC2064" s="648"/>
      <c r="BD2064" s="648"/>
      <c r="BE2064" s="648"/>
      <c r="BF2064" s="648"/>
      <c r="BG2064" s="648"/>
      <c r="BH2064" s="648"/>
    </row>
    <row r="2065" spans="1:60" x14ac:dyDescent="0.25">
      <c r="A2065" s="2371">
        <v>9</v>
      </c>
      <c r="B2065" s="2385" t="s">
        <v>3233</v>
      </c>
      <c r="C2065" s="2374"/>
      <c r="D2065" s="2374" t="s">
        <v>121</v>
      </c>
      <c r="E2065" s="2374"/>
      <c r="F2065" s="2397"/>
      <c r="G2065" s="2373" t="str">
        <f>G2064</f>
        <v/>
      </c>
      <c r="H2065" s="2375" t="s">
        <v>3973</v>
      </c>
      <c r="I2065" s="480"/>
      <c r="J2065" s="129"/>
      <c r="K2065" s="183" t="s">
        <v>121</v>
      </c>
      <c r="L2065" s="1162" t="s">
        <v>3235</v>
      </c>
      <c r="M2065" s="1010"/>
      <c r="N2065" s="1044"/>
      <c r="O2065" s="1044"/>
      <c r="P2065" s="94"/>
      <c r="Q2065" s="94"/>
      <c r="R2065" s="94"/>
      <c r="S2065" s="94"/>
      <c r="T2065" s="94"/>
      <c r="U2065" s="94"/>
      <c r="V2065" s="94"/>
      <c r="W2065" s="94"/>
      <c r="X2065" s="1770"/>
      <c r="Y2065" s="2077"/>
      <c r="Z2065" s="2083"/>
      <c r="AB2065" s="648"/>
      <c r="AC2065" s="970"/>
      <c r="AD2065" s="970"/>
      <c r="AE2065" s="970"/>
      <c r="AF2065" s="648"/>
      <c r="AG2065" s="648"/>
      <c r="AH2065" s="648"/>
      <c r="AI2065" s="648"/>
      <c r="AJ2065" s="648"/>
      <c r="AK2065" s="648"/>
      <c r="AL2065" s="1336"/>
      <c r="AM2065" s="1336"/>
      <c r="AN2065" s="1336"/>
      <c r="AO2065" s="1336"/>
      <c r="AP2065" s="1336"/>
      <c r="AQ2065" s="1336"/>
      <c r="AR2065" s="1336"/>
      <c r="AS2065" s="1336"/>
      <c r="AT2065" s="648"/>
      <c r="AU2065" s="648"/>
      <c r="AV2065" s="648"/>
      <c r="AW2065" s="648"/>
      <c r="AX2065" s="648"/>
      <c r="AY2065" s="648"/>
      <c r="AZ2065" s="648"/>
      <c r="BA2065" s="648"/>
      <c r="BB2065" s="648"/>
      <c r="BC2065" s="648"/>
      <c r="BD2065" s="648"/>
      <c r="BE2065" s="648"/>
      <c r="BF2065" s="648"/>
      <c r="BG2065" s="648"/>
      <c r="BH2065" s="648"/>
    </row>
    <row r="2066" spans="1:60" ht="15" customHeight="1" x14ac:dyDescent="0.25">
      <c r="A2066" s="2371">
        <v>9</v>
      </c>
      <c r="B2066" s="2385" t="s">
        <v>3233</v>
      </c>
      <c r="C2066" s="2374"/>
      <c r="D2066" s="2374" t="s">
        <v>122</v>
      </c>
      <c r="E2066" s="2374"/>
      <c r="F2066" s="2397"/>
      <c r="G2066" s="2373" t="str">
        <f>G2065</f>
        <v/>
      </c>
      <c r="H2066" s="2375" t="s">
        <v>3973</v>
      </c>
      <c r="I2066" s="524"/>
      <c r="J2066" s="210"/>
      <c r="K2066" s="206" t="s">
        <v>122</v>
      </c>
      <c r="L2066" s="1163" t="s">
        <v>3236</v>
      </c>
      <c r="M2066" s="1015"/>
      <c r="N2066" s="1047"/>
      <c r="O2066" s="1047"/>
      <c r="P2066" s="178"/>
      <c r="Q2066" s="178"/>
      <c r="R2066" s="178"/>
      <c r="S2066" s="178"/>
      <c r="T2066" s="178"/>
      <c r="U2066" s="178"/>
      <c r="V2066" s="178"/>
      <c r="W2066" s="178"/>
      <c r="X2066" s="1770"/>
      <c r="Y2066" s="2077"/>
      <c r="Z2066" s="2083"/>
      <c r="AB2066" s="648"/>
      <c r="AC2066" s="970"/>
      <c r="AD2066" s="970"/>
      <c r="AE2066" s="970"/>
      <c r="AF2066" s="648"/>
      <c r="AG2066" s="648"/>
      <c r="AH2066" s="648"/>
      <c r="AI2066" s="648"/>
      <c r="AJ2066" s="648"/>
      <c r="AK2066" s="648"/>
      <c r="AL2066" s="1336"/>
      <c r="AM2066" s="1336"/>
      <c r="AN2066" s="1336"/>
      <c r="AO2066" s="1336"/>
      <c r="AP2066" s="1336"/>
      <c r="AQ2066" s="1336"/>
      <c r="AR2066" s="1336"/>
      <c r="AS2066" s="1336"/>
      <c r="AT2066" s="648"/>
      <c r="AU2066" s="648"/>
      <c r="AV2066" s="648"/>
      <c r="AW2066" s="648"/>
      <c r="AX2066" s="648"/>
      <c r="AY2066" s="648"/>
      <c r="AZ2066" s="648"/>
      <c r="BA2066" s="648"/>
      <c r="BB2066" s="648"/>
      <c r="BC2066" s="648"/>
      <c r="BD2066" s="648"/>
      <c r="BE2066" s="648"/>
      <c r="BF2066" s="648"/>
      <c r="BG2066" s="648"/>
      <c r="BH2066" s="648"/>
    </row>
    <row r="2067" spans="1:60" x14ac:dyDescent="0.25">
      <c r="A2067" s="2371">
        <v>9</v>
      </c>
      <c r="B2067" s="2385" t="s">
        <v>3237</v>
      </c>
      <c r="C2067" s="2374"/>
      <c r="D2067" s="2374"/>
      <c r="E2067" s="2374"/>
      <c r="F2067" s="2397"/>
      <c r="G2067" s="2373" t="str">
        <f>IF(N2067&gt;0,"P","")</f>
        <v/>
      </c>
      <c r="H2067" s="2371" t="s">
        <v>3973</v>
      </c>
      <c r="I2067" s="192" t="s">
        <v>3237</v>
      </c>
      <c r="J2067" s="193"/>
      <c r="K2067" s="193"/>
      <c r="L2067" s="1183" t="s">
        <v>3238</v>
      </c>
      <c r="M2067" s="1016" t="s">
        <v>532</v>
      </c>
      <c r="N2067" s="1056">
        <f>'Ch9'!O201</f>
        <v>0</v>
      </c>
      <c r="O2067" s="1056">
        <f>MIN(12,M2068*S2069*W2069+M2070*S2071*W2071)</f>
        <v>0</v>
      </c>
      <c r="P2067" s="195"/>
      <c r="Q2067" s="195"/>
      <c r="R2067" s="195"/>
      <c r="S2067" s="195"/>
      <c r="T2067" s="195"/>
      <c r="U2067" s="195"/>
      <c r="V2067" s="195"/>
      <c r="W2067" s="195"/>
      <c r="X2067" s="1770"/>
      <c r="Y2067" s="2077" t="str">
        <f>IF(LEN('Ch9'!X201)=0,"None",'Ch9'!X201)</f>
        <v>None</v>
      </c>
      <c r="Z2067" s="2083"/>
      <c r="AB2067" s="648"/>
      <c r="AC2067" s="970"/>
      <c r="AD2067" s="970"/>
      <c r="AE2067" s="970"/>
      <c r="AF2067" s="648"/>
      <c r="AG2067" s="648"/>
      <c r="AH2067" s="648"/>
      <c r="AI2067" s="648"/>
      <c r="AJ2067" s="648"/>
      <c r="AK2067" s="648"/>
      <c r="AL2067" s="254" t="str">
        <f>SUBSTITUTE(SUBSTITUTE(SUBSTITUTE("vpa"&amp;$B2067&amp;$C2067&amp;$D2067&amp;$E2067,".","_"),"(","_"),")","")</f>
        <v>vpa902_1_4</v>
      </c>
      <c r="AM2067" s="254" t="str">
        <f>M2067</f>
        <v>12 Max</v>
      </c>
      <c r="AN2067" s="254" t="str">
        <f>SUBSTITUTE(SUBSTITUTE(SUBSTITUTE("vpc"&amp;$B2067&amp;$C2067&amp;$D2067&amp;$E2067,".","_"),"(","_"),")","")</f>
        <v>vpc902_1_4</v>
      </c>
      <c r="AO2067" s="254">
        <f>O2067</f>
        <v>0</v>
      </c>
      <c r="AP2067" s="1336"/>
      <c r="AQ2067" s="1336"/>
      <c r="AR2067" s="254" t="str">
        <f>SUBSTITUTE(SUBSTITUTE(SUBSTITUTE("vnt"&amp;$B2067&amp;$C2067&amp;$D2067&amp;$E2067,".","_"),"(","_"),")","")</f>
        <v>vnt902_1_4</v>
      </c>
      <c r="AS2067" s="254" t="str">
        <f>IF(LEN(X2067)=0,"",X2067)</f>
        <v/>
      </c>
      <c r="AT2067" s="648"/>
      <c r="AU2067" s="648"/>
      <c r="AV2067" s="648"/>
      <c r="AW2067" s="648"/>
      <c r="AX2067" s="648"/>
      <c r="AY2067" s="648"/>
      <c r="AZ2067" s="648"/>
      <c r="BA2067" s="648"/>
      <c r="BB2067" s="648"/>
      <c r="BC2067" s="648"/>
      <c r="BD2067" s="648"/>
      <c r="BE2067" s="648"/>
      <c r="BF2067" s="648"/>
      <c r="BG2067" s="648"/>
      <c r="BH2067" s="648"/>
    </row>
    <row r="2068" spans="1:60" x14ac:dyDescent="0.25">
      <c r="A2068" s="2371">
        <v>9</v>
      </c>
      <c r="B2068" s="2385" t="s">
        <v>3237</v>
      </c>
      <c r="C2068" s="2374" t="s">
        <v>256</v>
      </c>
      <c r="D2068" s="2374"/>
      <c r="E2068" s="2374"/>
      <c r="F2068" s="2397"/>
      <c r="G2068" s="2373" t="str">
        <f>G2067</f>
        <v/>
      </c>
      <c r="H2068" s="2371" t="s">
        <v>3973</v>
      </c>
      <c r="I2068" s="480"/>
      <c r="J2068" s="183" t="s">
        <v>256</v>
      </c>
      <c r="K2068" s="129"/>
      <c r="L2068" s="1162" t="s">
        <v>3654</v>
      </c>
      <c r="M2068" s="1758">
        <v>2</v>
      </c>
      <c r="N2068" s="1044"/>
      <c r="O2068" s="1044"/>
      <c r="P2068" s="94"/>
      <c r="Q2068" s="94"/>
      <c r="R2068" s="94"/>
      <c r="S2068" s="94"/>
      <c r="T2068" s="94"/>
      <c r="U2068" s="94"/>
      <c r="V2068" s="94"/>
      <c r="W2068" s="94" t="s">
        <v>3762</v>
      </c>
      <c r="X2068" s="1770"/>
      <c r="Y2068" s="2077"/>
      <c r="Z2068" s="2083"/>
      <c r="AB2068" s="648"/>
      <c r="AC2068" s="970"/>
      <c r="AD2068" s="970"/>
      <c r="AE2068" s="970"/>
      <c r="AF2068" s="648"/>
      <c r="AG2068" s="648"/>
      <c r="AH2068" s="648"/>
      <c r="AI2068" s="648"/>
      <c r="AJ2068" s="648"/>
      <c r="AK2068" s="648"/>
      <c r="AL2068" s="254" t="str">
        <f>SUBSTITUTE(SUBSTITUTE(SUBSTITUTE("vpa"&amp;$B2068&amp;$C2068&amp;$D2068&amp;$E2068,".","_"),"(","_"),")","")</f>
        <v>vpa902_1_4_1</v>
      </c>
      <c r="AM2068" s="254">
        <f>M2068</f>
        <v>2</v>
      </c>
      <c r="AN2068" s="1336"/>
      <c r="AO2068" s="1336"/>
      <c r="AP2068" s="1336"/>
      <c r="AQ2068" s="1336"/>
      <c r="AR2068" s="1336"/>
      <c r="AS2068" s="1336"/>
      <c r="AT2068" s="648"/>
      <c r="AU2068" s="648"/>
      <c r="AV2068" s="648"/>
      <c r="AW2068" s="648"/>
      <c r="AX2068" s="648"/>
      <c r="AY2068" s="648"/>
      <c r="AZ2068" s="648"/>
      <c r="BA2068" s="648"/>
      <c r="BB2068" s="648"/>
      <c r="BC2068" s="648"/>
      <c r="BD2068" s="648"/>
      <c r="BE2068" s="648"/>
      <c r="BF2068" s="648"/>
      <c r="BG2068" s="648"/>
      <c r="BH2068" s="648"/>
    </row>
    <row r="2069" spans="1:60" x14ac:dyDescent="0.25">
      <c r="A2069" s="2371">
        <v>9</v>
      </c>
      <c r="B2069" s="2385" t="s">
        <v>3237</v>
      </c>
      <c r="C2069" s="2374" t="s">
        <v>256</v>
      </c>
      <c r="D2069" s="2374"/>
      <c r="E2069" s="2374"/>
      <c r="F2069" s="2397"/>
      <c r="G2069" s="2373" t="str">
        <f>G2068</f>
        <v/>
      </c>
      <c r="H2069" s="2371" t="s">
        <v>3973</v>
      </c>
      <c r="I2069" s="480"/>
      <c r="J2069" s="206"/>
      <c r="K2069" s="210"/>
      <c r="L2069" s="1186" t="s">
        <v>3239</v>
      </c>
      <c r="M2069" s="1759"/>
      <c r="N2069" s="1044"/>
      <c r="O2069" s="1044"/>
      <c r="P2069" s="94" t="b">
        <v>0</v>
      </c>
      <c r="Q2069" s="94" t="b">
        <v>1</v>
      </c>
      <c r="R2069" s="94" t="b">
        <v>0</v>
      </c>
      <c r="S2069" s="94" t="b">
        <v>1</v>
      </c>
      <c r="T2069" s="94" t="b">
        <v>0</v>
      </c>
      <c r="U2069" s="94"/>
      <c r="V2069" s="94"/>
      <c r="W2069" s="484"/>
      <c r="X2069" s="1770"/>
      <c r="Y2069" s="2077"/>
      <c r="Z2069" s="2083"/>
      <c r="AB2069" s="648"/>
      <c r="AC2069" s="970"/>
      <c r="AD2069" s="970"/>
      <c r="AE2069" s="970"/>
      <c r="AF2069" s="784"/>
      <c r="AG2069" s="648"/>
      <c r="AH2069" s="648"/>
      <c r="AI2069" s="648"/>
      <c r="AJ2069" s="648"/>
      <c r="AK2069" s="648"/>
      <c r="AL2069" s="1336"/>
      <c r="AM2069" s="1336"/>
      <c r="AN2069" s="1336"/>
      <c r="AO2069" s="1336"/>
      <c r="AP2069" s="254" t="str">
        <f>SUBSTITUTE(SUBSTITUTE(SUBSTITUTE("vch"&amp;$B2069&amp;$C2069&amp;$D2069&amp;$E2069,".","_"),"(","_"),")","")</f>
        <v>vch902_1_4_1</v>
      </c>
      <c r="AQ2069" s="254" t="str">
        <f>IF(LEN(W2069)=0,"",W2069)</f>
        <v/>
      </c>
      <c r="AR2069" s="1336"/>
      <c r="AS2069" s="1336"/>
      <c r="AT2069" s="648"/>
      <c r="AU2069" s="648"/>
      <c r="AV2069" s="648"/>
      <c r="AW2069" s="648"/>
      <c r="AX2069" s="648"/>
      <c r="AY2069" s="648"/>
      <c r="AZ2069" s="648"/>
      <c r="BA2069" s="648"/>
      <c r="BB2069" s="648"/>
      <c r="BC2069" s="648"/>
      <c r="BD2069" s="648"/>
      <c r="BE2069" s="648"/>
      <c r="BF2069" s="648"/>
      <c r="BG2069" s="648"/>
      <c r="BH2069" s="648"/>
    </row>
    <row r="2070" spans="1:60" x14ac:dyDescent="0.25">
      <c r="A2070" s="2371">
        <v>9</v>
      </c>
      <c r="B2070" s="2385" t="s">
        <v>3237</v>
      </c>
      <c r="C2070" s="2374" t="s">
        <v>258</v>
      </c>
      <c r="D2070" s="2374"/>
      <c r="E2070" s="2374"/>
      <c r="F2070" s="2397"/>
      <c r="G2070" s="2373" t="str">
        <f>G2069</f>
        <v/>
      </c>
      <c r="H2070" s="2371" t="s">
        <v>3973</v>
      </c>
      <c r="I2070" s="480"/>
      <c r="J2070" s="183" t="s">
        <v>258</v>
      </c>
      <c r="K2070" s="129"/>
      <c r="L2070" s="1162" t="s">
        <v>3240</v>
      </c>
      <c r="M2070" s="1758">
        <v>3</v>
      </c>
      <c r="N2070" s="1044"/>
      <c r="O2070" s="1044"/>
      <c r="P2070" s="94"/>
      <c r="Q2070" s="94"/>
      <c r="R2070" s="94"/>
      <c r="S2070" s="94"/>
      <c r="T2070" s="94"/>
      <c r="U2070" s="94"/>
      <c r="V2070" s="94"/>
      <c r="W2070" s="94"/>
      <c r="X2070" s="1770"/>
      <c r="Y2070" s="2077"/>
      <c r="Z2070" s="2083"/>
      <c r="AB2070" s="648"/>
      <c r="AC2070" s="970"/>
      <c r="AD2070" s="970"/>
      <c r="AE2070" s="970"/>
      <c r="AF2070" s="648"/>
      <c r="AG2070" s="648"/>
      <c r="AH2070" s="648"/>
      <c r="AI2070" s="648"/>
      <c r="AJ2070" s="648"/>
      <c r="AK2070" s="648"/>
      <c r="AL2070" s="254" t="str">
        <f>SUBSTITUTE(SUBSTITUTE(SUBSTITUTE("vpa"&amp;$B2070&amp;$C2070&amp;$D2070&amp;$E2070,".","_"),"(","_"),")","")</f>
        <v>vpa902_1_4_2</v>
      </c>
      <c r="AM2070" s="254">
        <f>M2070</f>
        <v>3</v>
      </c>
      <c r="AN2070" s="1336"/>
      <c r="AO2070" s="1336"/>
      <c r="AP2070" s="1336"/>
      <c r="AQ2070" s="1336"/>
      <c r="AR2070" s="1336"/>
      <c r="AS2070" s="1336"/>
      <c r="AT2070" s="648"/>
      <c r="AU2070" s="648"/>
      <c r="AV2070" s="648"/>
      <c r="AW2070" s="648"/>
      <c r="AX2070" s="648"/>
      <c r="AY2070" s="648"/>
      <c r="AZ2070" s="648"/>
      <c r="BA2070" s="648"/>
      <c r="BB2070" s="648"/>
      <c r="BC2070" s="648"/>
      <c r="BD2070" s="648"/>
      <c r="BE2070" s="648"/>
      <c r="BF2070" s="648"/>
      <c r="BG2070" s="648"/>
      <c r="BH2070" s="648"/>
    </row>
    <row r="2071" spans="1:60" x14ac:dyDescent="0.25">
      <c r="A2071" s="2371">
        <v>9</v>
      </c>
      <c r="B2071" s="2385" t="s">
        <v>3237</v>
      </c>
      <c r="C2071" s="2374" t="s">
        <v>258</v>
      </c>
      <c r="D2071" s="2374"/>
      <c r="E2071" s="2374"/>
      <c r="F2071" s="2397"/>
      <c r="G2071" s="2373" t="str">
        <f>G2070</f>
        <v/>
      </c>
      <c r="H2071" s="2371" t="s">
        <v>3973</v>
      </c>
      <c r="I2071" s="524"/>
      <c r="J2071" s="210"/>
      <c r="K2071" s="210"/>
      <c r="L2071" s="1186" t="s">
        <v>3239</v>
      </c>
      <c r="M2071" s="1759"/>
      <c r="N2071" s="1047"/>
      <c r="O2071" s="1047"/>
      <c r="P2071" s="94" t="b">
        <v>0</v>
      </c>
      <c r="Q2071" s="94" t="b">
        <v>1</v>
      </c>
      <c r="R2071" s="178" t="b">
        <v>0</v>
      </c>
      <c r="S2071" s="178" t="b">
        <v>1</v>
      </c>
      <c r="T2071" s="178" t="b">
        <v>0</v>
      </c>
      <c r="U2071" s="178"/>
      <c r="V2071" s="178"/>
      <c r="W2071" s="484"/>
      <c r="X2071" s="1770"/>
      <c r="Y2071" s="2077"/>
      <c r="Z2071" s="2083"/>
      <c r="AB2071" s="648"/>
      <c r="AC2071" s="970"/>
      <c r="AD2071" s="970"/>
      <c r="AE2071" s="970"/>
      <c r="AF2071" s="784"/>
      <c r="AG2071" s="648"/>
      <c r="AH2071" s="648"/>
      <c r="AI2071" s="648"/>
      <c r="AJ2071" s="648"/>
      <c r="AK2071" s="648"/>
      <c r="AL2071" s="1336"/>
      <c r="AM2071" s="1336"/>
      <c r="AN2071" s="1336"/>
      <c r="AO2071" s="1336"/>
      <c r="AP2071" s="254" t="str">
        <f>SUBSTITUTE(SUBSTITUTE(SUBSTITUTE("vch"&amp;$B2071&amp;$C2071&amp;$D2071&amp;$E2071,".","_"),"(","_"),")","")</f>
        <v>vch902_1_4_2</v>
      </c>
      <c r="AQ2071" s="254" t="str">
        <f>IF(LEN(W2071)=0,"",W2071)</f>
        <v/>
      </c>
      <c r="AR2071" s="1336"/>
      <c r="AS2071" s="1336"/>
      <c r="AT2071" s="648"/>
      <c r="AU2071" s="648"/>
      <c r="AV2071" s="648"/>
      <c r="AW2071" s="648"/>
      <c r="AX2071" s="648"/>
      <c r="AY2071" s="648"/>
      <c r="AZ2071" s="648"/>
      <c r="BA2071" s="648"/>
      <c r="BB2071" s="648"/>
      <c r="BC2071" s="648"/>
      <c r="BD2071" s="648"/>
      <c r="BE2071" s="648"/>
      <c r="BF2071" s="648"/>
      <c r="BG2071" s="648"/>
      <c r="BH2071" s="648"/>
    </row>
    <row r="2072" spans="1:60" x14ac:dyDescent="0.25">
      <c r="A2072" s="2371">
        <v>9</v>
      </c>
      <c r="B2072" s="2385" t="s">
        <v>3241</v>
      </c>
      <c r="C2072" s="2374"/>
      <c r="D2072" s="2374"/>
      <c r="E2072" s="2374"/>
      <c r="F2072" s="2397"/>
      <c r="G2072" s="2373" t="str">
        <f>IF(N2072&gt;0,"P","")</f>
        <v/>
      </c>
      <c r="H2072" s="2371" t="s">
        <v>3973</v>
      </c>
      <c r="I2072" s="64" t="s">
        <v>3241</v>
      </c>
      <c r="J2072" s="4"/>
      <c r="K2072" s="4"/>
      <c r="L2072" s="1796" t="s">
        <v>3242</v>
      </c>
      <c r="M2072" s="1767">
        <v>3</v>
      </c>
      <c r="N2072" s="2075">
        <f>'Ch9'!O206</f>
        <v>0</v>
      </c>
      <c r="O2072" s="2075">
        <f>M2072*W2074*W2076*W2078</f>
        <v>0</v>
      </c>
      <c r="P2072" s="648"/>
      <c r="Q2072" s="648"/>
      <c r="R2072" s="648"/>
      <c r="S2072" s="648"/>
      <c r="T2072" s="648"/>
      <c r="U2072" s="648"/>
      <c r="V2072" s="648"/>
      <c r="W2072" s="648"/>
      <c r="X2072" s="648"/>
      <c r="Y2072" s="648"/>
      <c r="AB2072" s="648"/>
      <c r="AC2072" s="970"/>
      <c r="AD2072" s="970"/>
      <c r="AE2072" s="970"/>
      <c r="AF2072" s="648"/>
      <c r="AG2072" s="648"/>
      <c r="AH2072" s="648"/>
      <c r="AI2072" s="648"/>
      <c r="AJ2072" s="648"/>
      <c r="AK2072" s="648"/>
      <c r="AL2072" s="254" t="str">
        <f>SUBSTITUTE(SUBSTITUTE(SUBSTITUTE("vpa"&amp;$B2072&amp;$C2072&amp;$D2072&amp;$E2072,".","_"),"(","_"),")","")</f>
        <v>vpa902_1_5</v>
      </c>
      <c r="AM2072" s="254">
        <f>M2072</f>
        <v>3</v>
      </c>
      <c r="AN2072" s="254" t="str">
        <f>SUBSTITUTE(SUBSTITUTE(SUBSTITUTE("vpc"&amp;$B2072&amp;$C2072&amp;$D2072&amp;$E2072,".","_"),"(","_"),")","")</f>
        <v>vpc902_1_5</v>
      </c>
      <c r="AO2072" s="254">
        <f>O2072</f>
        <v>0</v>
      </c>
      <c r="AP2072" s="1336"/>
      <c r="AQ2072" s="1336"/>
      <c r="AR2072" s="1336"/>
      <c r="AS2072" s="1336"/>
      <c r="AT2072" s="648"/>
      <c r="AU2072" s="648"/>
      <c r="AV2072" s="648"/>
      <c r="AW2072" s="648"/>
      <c r="AX2072" s="648"/>
      <c r="AY2072" s="648"/>
      <c r="AZ2072" s="648"/>
      <c r="BA2072" s="648"/>
      <c r="BB2072" s="648"/>
      <c r="BC2072" s="648"/>
      <c r="BD2072" s="648"/>
      <c r="BE2072" s="648"/>
      <c r="BF2072" s="648"/>
      <c r="BG2072" s="648"/>
      <c r="BH2072" s="648"/>
    </row>
    <row r="2073" spans="1:60" x14ac:dyDescent="0.25">
      <c r="A2073" s="2371">
        <v>9</v>
      </c>
      <c r="B2073" s="2385" t="s">
        <v>3241</v>
      </c>
      <c r="C2073" s="2374"/>
      <c r="D2073" s="2374"/>
      <c r="E2073" s="2374"/>
      <c r="F2073" s="2397"/>
      <c r="G2073" s="2373" t="str">
        <f t="shared" ref="G2073:G2083" si="115">G2072</f>
        <v/>
      </c>
      <c r="H2073" s="2371" t="s">
        <v>3973</v>
      </c>
      <c r="I2073" s="164"/>
      <c r="J2073" s="4"/>
      <c r="K2073" s="4"/>
      <c r="L2073" s="1796"/>
      <c r="M2073" s="1767"/>
      <c r="N2073" s="2075"/>
      <c r="O2073" s="2075"/>
      <c r="P2073" s="648"/>
      <c r="Q2073" s="648"/>
      <c r="R2073" s="648"/>
      <c r="S2073" s="648"/>
      <c r="T2073" s="648"/>
      <c r="U2073" s="648"/>
      <c r="V2073" s="648"/>
      <c r="W2073" s="648"/>
      <c r="X2073" s="648"/>
      <c r="Y2073" s="648"/>
      <c r="AB2073" s="648"/>
      <c r="AC2073" s="970"/>
      <c r="AD2073" s="970"/>
      <c r="AE2073" s="970"/>
      <c r="AF2073" s="648"/>
      <c r="AG2073" s="648"/>
      <c r="AH2073" s="648"/>
      <c r="AI2073" s="648"/>
      <c r="AJ2073" s="648"/>
      <c r="AK2073" s="648"/>
      <c r="AL2073" s="1336"/>
      <c r="AM2073" s="1336"/>
      <c r="AN2073" s="1336"/>
      <c r="AO2073" s="1336"/>
      <c r="AP2073" s="1336"/>
      <c r="AQ2073" s="1336"/>
      <c r="AR2073" s="1336"/>
      <c r="AS2073" s="1336"/>
      <c r="AT2073" s="648"/>
      <c r="AU2073" s="648"/>
      <c r="AV2073" s="648"/>
      <c r="AW2073" s="648"/>
      <c r="AX2073" s="648"/>
      <c r="AY2073" s="648"/>
      <c r="AZ2073" s="648"/>
      <c r="BA2073" s="648"/>
      <c r="BB2073" s="648"/>
      <c r="BC2073" s="648"/>
      <c r="BD2073" s="648"/>
      <c r="BE2073" s="648"/>
      <c r="BF2073" s="648"/>
      <c r="BG2073" s="648"/>
      <c r="BH2073" s="648"/>
    </row>
    <row r="2074" spans="1:60" ht="15" customHeight="1" x14ac:dyDescent="0.25">
      <c r="A2074" s="2371">
        <v>9</v>
      </c>
      <c r="B2074" s="2385" t="s">
        <v>3241</v>
      </c>
      <c r="C2074" s="2374" t="s">
        <v>256</v>
      </c>
      <c r="D2074" s="2374"/>
      <c r="E2074" s="2374"/>
      <c r="F2074" s="2397"/>
      <c r="G2074" s="2373" t="str">
        <f t="shared" si="115"/>
        <v/>
      </c>
      <c r="H2074" s="2371" t="s">
        <v>3973</v>
      </c>
      <c r="I2074" s="164"/>
      <c r="J2074" s="183" t="s">
        <v>256</v>
      </c>
      <c r="K2074" s="129"/>
      <c r="L2074" s="1779" t="s">
        <v>4494</v>
      </c>
      <c r="M2074" s="1014"/>
      <c r="N2074" s="1042"/>
      <c r="O2074" s="1042"/>
      <c r="P2074" s="94" t="b">
        <v>0</v>
      </c>
      <c r="Q2074" s="94" t="b">
        <v>1</v>
      </c>
      <c r="R2074" s="648" t="b">
        <v>0</v>
      </c>
      <c r="S2074" s="648" t="b">
        <v>1</v>
      </c>
      <c r="T2074" s="648" t="b">
        <v>0</v>
      </c>
      <c r="U2074" s="648"/>
      <c r="V2074" s="648"/>
      <c r="W2074" s="25"/>
      <c r="X2074" s="1757"/>
      <c r="Y2074" s="2077" t="str">
        <f>IF(LEN('Ch9'!X208)=0,"None",'Ch9'!X208)</f>
        <v>None</v>
      </c>
      <c r="Z2074" s="2083"/>
      <c r="AB2074" s="648"/>
      <c r="AC2074" s="970"/>
      <c r="AD2074" s="970"/>
      <c r="AE2074" s="970"/>
      <c r="AF2074" s="784"/>
      <c r="AG2074" s="648"/>
      <c r="AH2074" s="648"/>
      <c r="AI2074" s="648"/>
      <c r="AJ2074" s="648"/>
      <c r="AK2074" s="648"/>
      <c r="AL2074" s="1336"/>
      <c r="AM2074" s="1336"/>
      <c r="AN2074" s="1336"/>
      <c r="AO2074" s="1336"/>
      <c r="AP2074" s="254" t="str">
        <f>SUBSTITUTE(SUBSTITUTE(SUBSTITUTE("vch"&amp;$B2074&amp;$C2074&amp;$D2074&amp;$E2074,".","_"),"(","_"),")","")</f>
        <v>vch902_1_5_1</v>
      </c>
      <c r="AQ2074" s="254" t="str">
        <f>IF(LEN(W2074)=0,"",W2074)</f>
        <v/>
      </c>
      <c r="AR2074" s="254" t="str">
        <f>SUBSTITUTE(SUBSTITUTE(SUBSTITUTE("vnt"&amp;$B2074&amp;$C2074&amp;$D2074&amp;$E2074,".","_"),"(","_"),")","")</f>
        <v>vnt902_1_5_1</v>
      </c>
      <c r="AS2074" s="254" t="str">
        <f>IF(LEN(X2074)=0,"",X2074)</f>
        <v/>
      </c>
      <c r="AT2074" s="648"/>
      <c r="AU2074" s="648"/>
      <c r="AV2074" s="648"/>
      <c r="AW2074" s="648"/>
      <c r="AX2074" s="648"/>
      <c r="AY2074" s="648"/>
      <c r="AZ2074" s="648"/>
      <c r="BA2074" s="648"/>
      <c r="BB2074" s="648"/>
      <c r="BC2074" s="648"/>
      <c r="BD2074" s="648"/>
      <c r="BE2074" s="648"/>
      <c r="BF2074" s="648"/>
      <c r="BG2074" s="648"/>
      <c r="BH2074" s="648"/>
    </row>
    <row r="2075" spans="1:60" x14ac:dyDescent="0.25">
      <c r="A2075" s="2371">
        <v>9</v>
      </c>
      <c r="B2075" s="2385" t="s">
        <v>3241</v>
      </c>
      <c r="C2075" s="2374" t="s">
        <v>256</v>
      </c>
      <c r="D2075" s="2374"/>
      <c r="E2075" s="2374"/>
      <c r="F2075" s="2397"/>
      <c r="G2075" s="2373" t="str">
        <f t="shared" si="115"/>
        <v/>
      </c>
      <c r="H2075" s="2371" t="s">
        <v>3973</v>
      </c>
      <c r="I2075" s="164"/>
      <c r="J2075" s="206"/>
      <c r="K2075" s="210"/>
      <c r="L2075" s="1755"/>
      <c r="M2075" s="1014"/>
      <c r="N2075" s="1042"/>
      <c r="O2075" s="1042"/>
      <c r="P2075" s="648"/>
      <c r="Q2075" s="648"/>
      <c r="R2075" s="648"/>
      <c r="S2075" s="648"/>
      <c r="T2075" s="648"/>
      <c r="U2075" s="648"/>
      <c r="V2075" s="648"/>
      <c r="W2075" s="648"/>
      <c r="X2075" s="1757"/>
      <c r="Y2075" s="2077"/>
      <c r="Z2075" s="2083"/>
      <c r="AB2075" s="648"/>
      <c r="AC2075" s="970"/>
      <c r="AD2075" s="970"/>
      <c r="AE2075" s="970"/>
      <c r="AF2075" s="648"/>
      <c r="AG2075" s="648"/>
      <c r="AH2075" s="648"/>
      <c r="AI2075" s="648"/>
      <c r="AJ2075" s="648"/>
      <c r="AK2075" s="648"/>
      <c r="AL2075" s="1336"/>
      <c r="AM2075" s="1336"/>
      <c r="AN2075" s="1336"/>
      <c r="AO2075" s="1336"/>
      <c r="AP2075" s="1336"/>
      <c r="AQ2075" s="1336"/>
      <c r="AR2075" s="1336"/>
      <c r="AS2075" s="1336"/>
      <c r="AT2075" s="648"/>
      <c r="AU2075" s="648"/>
      <c r="AV2075" s="648"/>
      <c r="AW2075" s="648"/>
      <c r="AX2075" s="648"/>
      <c r="AY2075" s="648"/>
      <c r="AZ2075" s="648"/>
      <c r="BA2075" s="648"/>
      <c r="BB2075" s="648"/>
      <c r="BC2075" s="648"/>
      <c r="BD2075" s="648"/>
      <c r="BE2075" s="648"/>
      <c r="BF2075" s="648"/>
      <c r="BG2075" s="648"/>
      <c r="BH2075" s="648"/>
    </row>
    <row r="2076" spans="1:60" x14ac:dyDescent="0.25">
      <c r="A2076" s="2371">
        <v>9</v>
      </c>
      <c r="B2076" s="2385" t="s">
        <v>3241</v>
      </c>
      <c r="C2076" s="2374" t="s">
        <v>258</v>
      </c>
      <c r="D2076" s="2374"/>
      <c r="E2076" s="2374"/>
      <c r="F2076" s="2397"/>
      <c r="G2076" s="2373" t="str">
        <f t="shared" si="115"/>
        <v/>
      </c>
      <c r="H2076" s="2371" t="s">
        <v>3973</v>
      </c>
      <c r="I2076" s="164"/>
      <c r="J2076" s="183" t="s">
        <v>258</v>
      </c>
      <c r="K2076" s="129"/>
      <c r="L2076" s="1754" t="s">
        <v>3243</v>
      </c>
      <c r="M2076" s="1014"/>
      <c r="N2076" s="1042"/>
      <c r="O2076" s="1042"/>
      <c r="P2076" s="94" t="b">
        <v>0</v>
      </c>
      <c r="Q2076" s="94" t="b">
        <v>1</v>
      </c>
      <c r="R2076" s="648" t="b">
        <v>0</v>
      </c>
      <c r="S2076" s="648" t="b">
        <v>1</v>
      </c>
      <c r="T2076" s="648" t="b">
        <v>0</v>
      </c>
      <c r="U2076" s="648"/>
      <c r="V2076" s="648"/>
      <c r="W2076" s="25"/>
      <c r="X2076" s="1757"/>
      <c r="Y2076" s="2077" t="str">
        <f>IF(LEN('Ch9'!X210)=0,"None",'Ch9'!X210)</f>
        <v>None</v>
      </c>
      <c r="Z2076" s="2083"/>
      <c r="AB2076" s="648"/>
      <c r="AC2076" s="970"/>
      <c r="AD2076" s="970"/>
      <c r="AE2076" s="970"/>
      <c r="AF2076" s="784"/>
      <c r="AG2076" s="648"/>
      <c r="AH2076" s="648"/>
      <c r="AI2076" s="648"/>
      <c r="AJ2076" s="648"/>
      <c r="AK2076" s="648"/>
      <c r="AL2076" s="1336"/>
      <c r="AM2076" s="1336"/>
      <c r="AN2076" s="1336"/>
      <c r="AO2076" s="1336"/>
      <c r="AP2076" s="254" t="str">
        <f>SUBSTITUTE(SUBSTITUTE(SUBSTITUTE("vch"&amp;$B2076&amp;$C2076&amp;$D2076&amp;$E2076,".","_"),"(","_"),")","")</f>
        <v>vch902_1_5_2</v>
      </c>
      <c r="AQ2076" s="254" t="str">
        <f>IF(LEN(W2076)=0,"",W2076)</f>
        <v/>
      </c>
      <c r="AR2076" s="254" t="str">
        <f>SUBSTITUTE(SUBSTITUTE(SUBSTITUTE("vnt"&amp;$B2076&amp;$C2076&amp;$D2076&amp;$E2076,".","_"),"(","_"),")","")</f>
        <v>vnt902_1_5_2</v>
      </c>
      <c r="AS2076" s="254" t="str">
        <f>IF(LEN(X2076)=0,"",X2076)</f>
        <v/>
      </c>
      <c r="AT2076" s="648"/>
      <c r="AU2076" s="648"/>
      <c r="AV2076" s="648"/>
      <c r="AW2076" s="648"/>
      <c r="AX2076" s="648"/>
      <c r="AY2076" s="648"/>
      <c r="AZ2076" s="648"/>
      <c r="BA2076" s="648"/>
      <c r="BB2076" s="648"/>
      <c r="BC2076" s="648"/>
      <c r="BD2076" s="648"/>
      <c r="BE2076" s="648"/>
      <c r="BF2076" s="648"/>
      <c r="BG2076" s="648"/>
      <c r="BH2076" s="648"/>
    </row>
    <row r="2077" spans="1:60" x14ac:dyDescent="0.25">
      <c r="A2077" s="2371">
        <v>9</v>
      </c>
      <c r="B2077" s="2385" t="s">
        <v>3241</v>
      </c>
      <c r="C2077" s="2374" t="s">
        <v>258</v>
      </c>
      <c r="D2077" s="2374"/>
      <c r="E2077" s="2374"/>
      <c r="F2077" s="2397"/>
      <c r="G2077" s="2373" t="str">
        <f t="shared" si="115"/>
        <v/>
      </c>
      <c r="H2077" s="2371" t="s">
        <v>3973</v>
      </c>
      <c r="I2077" s="164"/>
      <c r="J2077" s="210"/>
      <c r="K2077" s="210"/>
      <c r="L2077" s="1755"/>
      <c r="M2077" s="1014"/>
      <c r="N2077" s="1042"/>
      <c r="O2077" s="1042"/>
      <c r="P2077" s="648"/>
      <c r="Q2077" s="648"/>
      <c r="R2077" s="648"/>
      <c r="S2077" s="648"/>
      <c r="T2077" s="648"/>
      <c r="U2077" s="648"/>
      <c r="V2077" s="648"/>
      <c r="W2077" s="648"/>
      <c r="X2077" s="1757"/>
      <c r="Y2077" s="2077"/>
      <c r="Z2077" s="2083"/>
      <c r="AB2077" s="648"/>
      <c r="AC2077" s="970"/>
      <c r="AD2077" s="970"/>
      <c r="AE2077" s="970"/>
      <c r="AF2077" s="648"/>
      <c r="AG2077" s="648"/>
      <c r="AH2077" s="648"/>
      <c r="AI2077" s="648"/>
      <c r="AJ2077" s="648"/>
      <c r="AK2077" s="648"/>
      <c r="AL2077" s="1336"/>
      <c r="AM2077" s="1336"/>
      <c r="AN2077" s="1336"/>
      <c r="AO2077" s="1336"/>
      <c r="AP2077" s="1336"/>
      <c r="AQ2077" s="1336"/>
      <c r="AR2077" s="1336"/>
      <c r="AS2077" s="1336"/>
      <c r="AT2077" s="648"/>
      <c r="AU2077" s="648"/>
      <c r="AV2077" s="648"/>
      <c r="AW2077" s="648"/>
      <c r="AX2077" s="648"/>
      <c r="AY2077" s="648"/>
      <c r="AZ2077" s="648"/>
      <c r="BA2077" s="648"/>
      <c r="BB2077" s="648"/>
      <c r="BC2077" s="648"/>
      <c r="BD2077" s="648"/>
      <c r="BE2077" s="648"/>
      <c r="BF2077" s="648"/>
      <c r="BG2077" s="648"/>
      <c r="BH2077" s="648"/>
    </row>
    <row r="2078" spans="1:60" x14ac:dyDescent="0.25">
      <c r="A2078" s="2371">
        <v>9</v>
      </c>
      <c r="B2078" s="2385" t="s">
        <v>3241</v>
      </c>
      <c r="C2078" s="2374" t="s">
        <v>260</v>
      </c>
      <c r="D2078" s="2374"/>
      <c r="E2078" s="2374"/>
      <c r="F2078" s="2397"/>
      <c r="G2078" s="2373" t="str">
        <f t="shared" si="115"/>
        <v/>
      </c>
      <c r="H2078" s="2371" t="s">
        <v>3973</v>
      </c>
      <c r="I2078" s="480"/>
      <c r="J2078" s="183" t="s">
        <v>260</v>
      </c>
      <c r="K2078" s="129"/>
      <c r="L2078" s="1754" t="s">
        <v>3244</v>
      </c>
      <c r="M2078" s="1010"/>
      <c r="N2078" s="1044"/>
      <c r="O2078" s="1044"/>
      <c r="P2078" s="94" t="b">
        <v>0</v>
      </c>
      <c r="Q2078" s="94" t="b">
        <v>1</v>
      </c>
      <c r="R2078" s="94" t="b">
        <v>0</v>
      </c>
      <c r="S2078" s="94" t="b">
        <v>1</v>
      </c>
      <c r="T2078" s="94" t="b">
        <v>0</v>
      </c>
      <c r="U2078" s="94"/>
      <c r="V2078" s="94"/>
      <c r="W2078" s="360"/>
      <c r="X2078" s="1770"/>
      <c r="Y2078" s="2081" t="str">
        <f>IF(LEN('Ch9'!X212)=0,"None",'Ch9'!X212)</f>
        <v>None</v>
      </c>
      <c r="Z2078" s="2084"/>
      <c r="AB2078" s="648"/>
      <c r="AC2078" s="970"/>
      <c r="AD2078" s="970"/>
      <c r="AE2078" s="970"/>
      <c r="AF2078" s="784"/>
      <c r="AG2078" s="648"/>
      <c r="AH2078" s="648"/>
      <c r="AI2078" s="648"/>
      <c r="AJ2078" s="648"/>
      <c r="AK2078" s="648"/>
      <c r="AL2078" s="1336"/>
      <c r="AM2078" s="1336"/>
      <c r="AN2078" s="1336"/>
      <c r="AO2078" s="1336"/>
      <c r="AP2078" s="254" t="str">
        <f>SUBSTITUTE(SUBSTITUTE(SUBSTITUTE("vch"&amp;$B2078&amp;$C2078&amp;$D2078&amp;$E2078,".","_"),"(","_"),")","")</f>
        <v>vch902_1_5_3</v>
      </c>
      <c r="AQ2078" s="254" t="str">
        <f>IF(LEN(W2078)=0,"",W2078)</f>
        <v/>
      </c>
      <c r="AR2078" s="254" t="str">
        <f>SUBSTITUTE(SUBSTITUTE(SUBSTITUTE("vnt"&amp;$B2078&amp;$C2078&amp;$D2078&amp;$E2078,".","_"),"(","_"),")","")</f>
        <v>vnt902_1_5_3</v>
      </c>
      <c r="AS2078" s="254" t="str">
        <f>IF(LEN(X2078)=0,"",X2078)</f>
        <v/>
      </c>
      <c r="AT2078" s="648"/>
      <c r="AU2078" s="648"/>
      <c r="AV2078" s="648"/>
      <c r="AW2078" s="648"/>
      <c r="AX2078" s="648"/>
      <c r="AY2078" s="648"/>
      <c r="AZ2078" s="648"/>
      <c r="BA2078" s="648"/>
      <c r="BB2078" s="648"/>
      <c r="BC2078" s="648"/>
      <c r="BD2078" s="648"/>
      <c r="BE2078" s="648"/>
      <c r="BF2078" s="648"/>
      <c r="BG2078" s="648"/>
      <c r="BH2078" s="648"/>
    </row>
    <row r="2079" spans="1:60" x14ac:dyDescent="0.25">
      <c r="A2079" s="2371">
        <v>9</v>
      </c>
      <c r="B2079" s="2385" t="s">
        <v>3241</v>
      </c>
      <c r="C2079" s="2374" t="s">
        <v>260</v>
      </c>
      <c r="D2079" s="2374"/>
      <c r="E2079" s="2374"/>
      <c r="F2079" s="2397"/>
      <c r="G2079" s="2373" t="str">
        <f t="shared" si="115"/>
        <v/>
      </c>
      <c r="H2079" s="2371" t="s">
        <v>3973</v>
      </c>
      <c r="I2079" s="480"/>
      <c r="J2079" s="129"/>
      <c r="K2079" s="129"/>
      <c r="L2079" s="1754"/>
      <c r="M2079" s="1010"/>
      <c r="N2079" s="1044"/>
      <c r="O2079" s="1044"/>
      <c r="P2079" s="94"/>
      <c r="Q2079" s="94"/>
      <c r="R2079" s="94"/>
      <c r="S2079" s="94"/>
      <c r="T2079" s="94"/>
      <c r="U2079" s="94"/>
      <c r="V2079" s="94"/>
      <c r="W2079" s="94"/>
      <c r="X2079" s="1770"/>
      <c r="Y2079" s="2081"/>
      <c r="Z2079" s="2084"/>
      <c r="AA2079"/>
      <c r="AB2079" s="648"/>
      <c r="AC2079" s="970"/>
      <c r="AD2079" s="970"/>
      <c r="AE2079" s="970"/>
      <c r="AF2079" s="648"/>
      <c r="AG2079" s="648"/>
      <c r="AH2079" s="648"/>
      <c r="AI2079" s="648"/>
      <c r="AJ2079" s="648"/>
      <c r="AK2079" s="648"/>
      <c r="AL2079" s="1336"/>
      <c r="AM2079" s="1336"/>
      <c r="AN2079" s="1336"/>
      <c r="AO2079" s="1336"/>
      <c r="AP2079" s="1336"/>
      <c r="AQ2079" s="1336"/>
      <c r="AR2079" s="1336"/>
      <c r="AS2079" s="1336"/>
      <c r="AT2079" s="648"/>
      <c r="AU2079" s="648"/>
      <c r="AV2079" s="648"/>
      <c r="AW2079" s="648"/>
      <c r="AX2079" s="648"/>
      <c r="AY2079" s="648"/>
      <c r="AZ2079" s="648"/>
      <c r="BA2079" s="648"/>
      <c r="BB2079" s="648"/>
      <c r="BC2079" s="648"/>
      <c r="BD2079" s="648"/>
      <c r="BE2079" s="648"/>
      <c r="BF2079" s="648"/>
      <c r="BG2079" s="648"/>
      <c r="BH2079" s="648"/>
    </row>
    <row r="2080" spans="1:60" x14ac:dyDescent="0.25">
      <c r="A2080" s="2371">
        <v>9</v>
      </c>
      <c r="B2080" s="2385" t="s">
        <v>3241</v>
      </c>
      <c r="C2080" s="2374" t="s">
        <v>260</v>
      </c>
      <c r="D2080" s="2374"/>
      <c r="E2080" s="2374"/>
      <c r="F2080" s="2397"/>
      <c r="G2080" s="2373" t="str">
        <f t="shared" si="115"/>
        <v/>
      </c>
      <c r="H2080" s="2371" t="s">
        <v>3973</v>
      </c>
      <c r="I2080" s="524"/>
      <c r="J2080" s="210"/>
      <c r="K2080" s="210"/>
      <c r="L2080" s="1755"/>
      <c r="M2080" s="1015"/>
      <c r="N2080" s="1047"/>
      <c r="O2080" s="1047"/>
      <c r="P2080" s="178"/>
      <c r="Q2080" s="178"/>
      <c r="R2080" s="178"/>
      <c r="S2080" s="178"/>
      <c r="T2080" s="178"/>
      <c r="U2080" s="178"/>
      <c r="V2080" s="178"/>
      <c r="W2080" s="178"/>
      <c r="X2080" s="1770"/>
      <c r="Y2080" s="2081"/>
      <c r="Z2080" s="2084"/>
      <c r="AA2080"/>
      <c r="AB2080" s="648"/>
      <c r="AC2080" s="970"/>
      <c r="AD2080" s="970"/>
      <c r="AE2080" s="970"/>
      <c r="AF2080" s="648"/>
      <c r="AG2080" s="648"/>
      <c r="AH2080" s="648"/>
      <c r="AI2080" s="648"/>
      <c r="AJ2080" s="648"/>
      <c r="AK2080" s="648"/>
      <c r="AL2080" s="1336"/>
      <c r="AM2080" s="1336"/>
      <c r="AN2080" s="1336"/>
      <c r="AO2080" s="1336"/>
      <c r="AP2080" s="1336"/>
      <c r="AQ2080" s="1336"/>
      <c r="AR2080" s="1336"/>
      <c r="AS2080" s="1336"/>
      <c r="AT2080" s="648"/>
      <c r="AU2080" s="648"/>
      <c r="AV2080" s="648"/>
      <c r="AW2080" s="648"/>
      <c r="AX2080" s="648"/>
      <c r="AY2080" s="648"/>
      <c r="AZ2080" s="648"/>
      <c r="BA2080" s="648"/>
      <c r="BB2080" s="648"/>
      <c r="BC2080" s="648"/>
      <c r="BD2080" s="648"/>
      <c r="BE2080" s="648"/>
      <c r="BF2080" s="648"/>
      <c r="BG2080" s="648"/>
      <c r="BH2080" s="648"/>
    </row>
    <row r="2081" spans="1:60" x14ac:dyDescent="0.25">
      <c r="A2081" s="2371">
        <v>9</v>
      </c>
      <c r="B2081" s="2385" t="s">
        <v>4495</v>
      </c>
      <c r="C2081" s="2374"/>
      <c r="D2081" s="2374"/>
      <c r="E2081" s="2374"/>
      <c r="F2081" s="2374"/>
      <c r="G2081" s="2373" t="str">
        <f ca="1">IF(N2081&gt;0,"P","")</f>
        <v/>
      </c>
      <c r="H2081" s="2371" t="s">
        <v>3973</v>
      </c>
      <c r="I2081" s="667" t="s">
        <v>4495</v>
      </c>
      <c r="J2081" s="679"/>
      <c r="K2081" s="679"/>
      <c r="L2081" s="1802" t="s">
        <v>4496</v>
      </c>
      <c r="M2081" s="1758">
        <v>3</v>
      </c>
      <c r="N2081" s="2079">
        <f ca="1">'Ch9'!O215</f>
        <v>0</v>
      </c>
      <c r="O2081" s="1927">
        <f ca="1">M2081*S2081*W2081</f>
        <v>0</v>
      </c>
      <c r="P2081" s="911" t="b">
        <v>0</v>
      </c>
      <c r="Q2081" s="911" t="b">
        <v>1</v>
      </c>
      <c r="R2081" s="911" t="b">
        <v>0</v>
      </c>
      <c r="S2081" s="911" t="b">
        <f ca="1">AY1885=INDEX(INDIRECT("ddSingleOrMulti"),2)</f>
        <v>0</v>
      </c>
      <c r="T2081" s="911" t="b">
        <v>0</v>
      </c>
      <c r="U2081" s="911"/>
      <c r="V2081" s="911"/>
      <c r="W2081" s="25"/>
      <c r="X2081" s="1757"/>
      <c r="Y2081" s="2081" t="str">
        <f>IF(LEN('Ch9'!X215)=0,"None",'Ch9'!X215)</f>
        <v>None</v>
      </c>
      <c r="Z2081" s="2084"/>
      <c r="AA2081"/>
      <c r="AC2081" s="970"/>
      <c r="AD2081" s="970"/>
      <c r="AE2081" s="970"/>
      <c r="AF2081"/>
      <c r="AG2081"/>
      <c r="AH2081"/>
      <c r="AI2081"/>
      <c r="AJ2081"/>
      <c r="AK2081"/>
      <c r="AL2081" s="254" t="str">
        <f>SUBSTITUTE(SUBSTITUTE(SUBSTITUTE("vpa"&amp;$B2081&amp;$C2081&amp;$D2081&amp;$E2081,".","_"),"(","_"),")","")</f>
        <v>vpa902_1_6</v>
      </c>
      <c r="AM2081" s="254">
        <f>M2081</f>
        <v>3</v>
      </c>
      <c r="AN2081" s="254" t="str">
        <f>SUBSTITUTE(SUBSTITUTE(SUBSTITUTE("vpc"&amp;$B2081&amp;$C2081&amp;$D2081&amp;$E2081,".","_"),"(","_"),")","")</f>
        <v>vpc902_1_6</v>
      </c>
      <c r="AO2081" s="254">
        <f ca="1">O2081</f>
        <v>0</v>
      </c>
      <c r="AP2081" s="254" t="str">
        <f>SUBSTITUTE(SUBSTITUTE(SUBSTITUTE("vch"&amp;$B2081&amp;$C2081&amp;$D2081&amp;$E2081,".","_"),"(","_"),")","")</f>
        <v>vch902_1_6</v>
      </c>
      <c r="AQ2081" s="254" t="str">
        <f>IF(LEN(W2081)=0,"",W2081)</f>
        <v/>
      </c>
      <c r="AR2081" s="254" t="str">
        <f>SUBSTITUTE(SUBSTITUTE(SUBSTITUTE("vnt"&amp;$B2081&amp;$C2081&amp;$D2081&amp;$E2081,".","_"),"(","_"),")","")</f>
        <v>vnt902_1_6</v>
      </c>
      <c r="AS2081" s="254" t="str">
        <f>IF(LEN(X2081)=0,"",X2081)</f>
        <v/>
      </c>
      <c r="AT2081"/>
    </row>
    <row r="2082" spans="1:60" x14ac:dyDescent="0.25">
      <c r="A2082" s="2371">
        <v>9</v>
      </c>
      <c r="B2082" s="2385" t="s">
        <v>4495</v>
      </c>
      <c r="C2082" s="2374"/>
      <c r="D2082" s="2374"/>
      <c r="E2082" s="2374"/>
      <c r="F2082" s="2374"/>
      <c r="G2082" s="2373" t="str">
        <f t="shared" ca="1" si="115"/>
        <v/>
      </c>
      <c r="H2082" s="2371" t="s">
        <v>3973</v>
      </c>
      <c r="I2082" s="679"/>
      <c r="J2082" s="679"/>
      <c r="K2082" s="679"/>
      <c r="L2082" s="1785"/>
      <c r="M2082" s="1767"/>
      <c r="N2082" s="2075"/>
      <c r="O2082" s="2075"/>
      <c r="P2082" s="911"/>
      <c r="Q2082" s="911"/>
      <c r="R2082" s="911"/>
      <c r="S2082" s="911"/>
      <c r="T2082" s="911"/>
      <c r="U2082" s="911"/>
      <c r="V2082" s="911"/>
      <c r="W2082"/>
      <c r="X2082" s="1757"/>
      <c r="Y2082" s="2081"/>
      <c r="Z2082" s="2084"/>
      <c r="AC2082" s="970"/>
      <c r="AD2082" s="970"/>
      <c r="AE2082" s="970"/>
      <c r="AF2082"/>
      <c r="AG2082"/>
      <c r="AH2082"/>
      <c r="AI2082"/>
      <c r="AJ2082"/>
      <c r="AK2082"/>
      <c r="AL2082" s="1336"/>
      <c r="AM2082" s="1336"/>
      <c r="AN2082" s="1336"/>
      <c r="AO2082" s="1336"/>
      <c r="AP2082" s="1336"/>
      <c r="AQ2082" s="1336"/>
      <c r="AR2082" s="1336"/>
      <c r="AS2082" s="1336"/>
      <c r="AT2082"/>
    </row>
    <row r="2083" spans="1:60" ht="15.75" thickBot="1" x14ac:dyDescent="0.3">
      <c r="A2083" s="2371">
        <v>9</v>
      </c>
      <c r="B2083" s="2385" t="s">
        <v>4495</v>
      </c>
      <c r="C2083" s="2374"/>
      <c r="D2083" s="2374"/>
      <c r="E2083" s="2374"/>
      <c r="F2083" s="2374"/>
      <c r="G2083" s="2373" t="str">
        <f t="shared" ca="1" si="115"/>
        <v/>
      </c>
      <c r="H2083" s="2371" t="s">
        <v>3973</v>
      </c>
      <c r="I2083" s="679"/>
      <c r="J2083" s="679"/>
      <c r="K2083" s="679"/>
      <c r="L2083" s="1803"/>
      <c r="M2083" s="1768"/>
      <c r="N2083" s="1928"/>
      <c r="O2083" s="1928"/>
      <c r="P2083" s="911"/>
      <c r="Q2083" s="911"/>
      <c r="R2083" s="911"/>
      <c r="S2083" s="911"/>
      <c r="T2083" s="911"/>
      <c r="U2083" s="911"/>
      <c r="V2083" s="911"/>
      <c r="W2083"/>
      <c r="X2083" s="1757"/>
      <c r="Y2083" s="2082"/>
      <c r="Z2083" s="2086"/>
      <c r="AC2083" s="970"/>
      <c r="AD2083" s="970"/>
      <c r="AE2083" s="970"/>
      <c r="AF2083"/>
      <c r="AG2083"/>
      <c r="AH2083"/>
      <c r="AI2083"/>
      <c r="AJ2083"/>
      <c r="AK2083"/>
      <c r="AL2083" s="1336"/>
      <c r="AM2083" s="1336"/>
      <c r="AN2083" s="1336"/>
      <c r="AO2083" s="1336"/>
      <c r="AP2083" s="1336"/>
      <c r="AQ2083" s="1336"/>
      <c r="AR2083" s="1336"/>
      <c r="AS2083" s="1336"/>
      <c r="AT2083"/>
    </row>
    <row r="2084" spans="1:60" ht="15.75" thickTop="1" x14ac:dyDescent="0.25">
      <c r="A2084" s="2371">
        <v>9</v>
      </c>
      <c r="B2084" s="2385">
        <v>902.2</v>
      </c>
      <c r="C2084" s="2374"/>
      <c r="D2084" s="2374"/>
      <c r="E2084" s="2374"/>
      <c r="F2084" s="2374"/>
      <c r="G2084" s="2373" t="s">
        <v>3974</v>
      </c>
      <c r="H2084" s="2371" t="s">
        <v>3973</v>
      </c>
      <c r="I2084" s="180">
        <v>902.2</v>
      </c>
      <c r="J2084" s="181"/>
      <c r="K2084" s="181"/>
      <c r="L2084" s="1189" t="s">
        <v>3245</v>
      </c>
      <c r="M2084" s="1009"/>
      <c r="N2084" s="1046"/>
      <c r="O2084" s="1046"/>
      <c r="P2084" s="105"/>
      <c r="Q2084" s="105"/>
      <c r="R2084" s="105"/>
      <c r="S2084" s="105"/>
      <c r="T2084" s="105"/>
      <c r="U2084" s="105"/>
      <c r="V2084" s="105"/>
      <c r="W2084" s="105"/>
      <c r="X2084" s="105"/>
      <c r="Y2084" s="648"/>
      <c r="AB2084" s="648"/>
      <c r="AC2084" s="970"/>
      <c r="AD2084" s="970"/>
      <c r="AE2084" s="970"/>
      <c r="AF2084" s="648"/>
      <c r="AG2084" s="648"/>
      <c r="AH2084" s="648"/>
      <c r="AI2084" s="648"/>
      <c r="AJ2084" s="648"/>
      <c r="AK2084" s="648"/>
      <c r="AL2084" s="1336"/>
      <c r="AM2084" s="1336"/>
      <c r="AN2084" s="1336"/>
      <c r="AO2084" s="1336"/>
      <c r="AP2084" s="1336"/>
      <c r="AQ2084" s="1336"/>
      <c r="AR2084" s="1336"/>
      <c r="AS2084" s="1336"/>
      <c r="AT2084" s="648"/>
      <c r="AU2084" s="648"/>
      <c r="AV2084" s="648"/>
      <c r="AW2084" s="648"/>
      <c r="AX2084" s="648"/>
      <c r="AY2084" s="648"/>
      <c r="AZ2084" s="648"/>
      <c r="BA2084" s="648"/>
      <c r="BB2084" s="648"/>
      <c r="BC2084" s="648"/>
      <c r="BD2084" s="648"/>
      <c r="BE2084" s="648"/>
      <c r="BF2084" s="648"/>
      <c r="BG2084" s="648"/>
      <c r="BH2084" s="648"/>
    </row>
    <row r="2085" spans="1:60" ht="15" customHeight="1" x14ac:dyDescent="0.25">
      <c r="A2085" s="2371">
        <v>9</v>
      </c>
      <c r="B2085" s="2385" t="s">
        <v>3656</v>
      </c>
      <c r="C2085" s="2374"/>
      <c r="D2085" s="2374"/>
      <c r="E2085" s="2374"/>
      <c r="F2085" s="2374"/>
      <c r="G2085" s="2373" t="s">
        <v>3974</v>
      </c>
      <c r="H2085" s="2371" t="s">
        <v>3973</v>
      </c>
      <c r="I2085" s="130" t="s">
        <v>3656</v>
      </c>
      <c r="J2085" s="129"/>
      <c r="K2085" s="129"/>
      <c r="L2085" s="1782" t="s">
        <v>5598</v>
      </c>
      <c r="M2085" s="1857" t="str">
        <f>IF(R2085,"Mandatory 
(ACH50 is &lt; 5.0)","N/A")</f>
        <v>N/A</v>
      </c>
      <c r="N2085" s="1927">
        <f ca="1">'Ch9'!O219</f>
        <v>0</v>
      </c>
      <c r="O2085" s="1927">
        <f ca="1">IFERROR(INDEX({3,6,7,8,10},MATCH(W2085,INDIRECT(U2085),0)),0)*S2085</f>
        <v>0</v>
      </c>
      <c r="P2085" s="94" t="b">
        <v>0</v>
      </c>
      <c r="Q2085" s="94" t="b">
        <v>1</v>
      </c>
      <c r="R2085" s="94" t="b">
        <f>OR(AND(S2086&gt;0,S2086&lt;5),AND(S2087&gt;0,S2087&lt;0.28))</f>
        <v>0</v>
      </c>
      <c r="S2085" s="94" t="b">
        <v>1</v>
      </c>
      <c r="T2085" s="94" t="b">
        <f>AND(NOT(S2085),LEN(W2085)&gt;0)</f>
        <v>0</v>
      </c>
      <c r="U2085" s="94" t="str">
        <f>SUBSTITUTE(SUBSTITUTE(SUBSTITUTE("dd"&amp;B2085&amp;C2085&amp;D2085&amp;E2085&amp;F2085,".","_"),"(","_"),")","")</f>
        <v>dd902_2_1</v>
      </c>
      <c r="V2085" s="94"/>
      <c r="W2085" s="12"/>
      <c r="X2085" s="1757"/>
      <c r="Y2085" s="2099" t="str">
        <f>IF(LEN('Ch9'!X219)=0,"None",'Ch9'!X219)</f>
        <v>None</v>
      </c>
      <c r="Z2085" s="2087"/>
      <c r="AA2085" s="1477"/>
      <c r="AB2085" s="648"/>
      <c r="AC2085" s="970" t="b">
        <f>OR(AD2085:AE2085)</f>
        <v>0</v>
      </c>
      <c r="AD2085" s="970" t="b">
        <f>T2085</f>
        <v>0</v>
      </c>
      <c r="AE2085" s="970" t="b">
        <f>AND(R2085,OR(W2085="Not Met",W2085=""))</f>
        <v>0</v>
      </c>
      <c r="AF2085" s="784"/>
      <c r="AG2085" s="648"/>
      <c r="AH2085" s="648"/>
      <c r="AI2085" s="648"/>
      <c r="AJ2085" s="648"/>
      <c r="AK2085" s="648"/>
      <c r="AL2085" s="254" t="str">
        <f>SUBSTITUTE(SUBSTITUTE(SUBSTITUTE("vpa"&amp;$B2085&amp;$C2085&amp;$D2085&amp;$E2085,".","_"),"(","_"),")","")</f>
        <v>vpa902_2_1</v>
      </c>
      <c r="AM2085" s="254" t="str">
        <f>M2085</f>
        <v>N/A</v>
      </c>
      <c r="AN2085" s="254" t="str">
        <f>SUBSTITUTE(SUBSTITUTE(SUBSTITUTE("vpc"&amp;$B2085&amp;$C2085&amp;$D2085&amp;$E2085,".","_"),"(","_"),")","")</f>
        <v>vpc902_2_1</v>
      </c>
      <c r="AO2085" s="254">
        <f ca="1">O2085</f>
        <v>0</v>
      </c>
      <c r="AP2085" s="254" t="str">
        <f>SUBSTITUTE(SUBSTITUTE(SUBSTITUTE("vch"&amp;$B2085&amp;$C2085&amp;$D2085&amp;$E2085,".","_"),"(","_"),")","")</f>
        <v>vch902_2_1</v>
      </c>
      <c r="AQ2085" s="254" t="str">
        <f>IF(LEN(W2085)=0,"",W2085)</f>
        <v/>
      </c>
      <c r="AR2085" s="254" t="str">
        <f>SUBSTITUTE(SUBSTITUTE(SUBSTITUTE("vnt"&amp;$B2085&amp;$C2085&amp;$D2085&amp;$E2085,".","_"),"(","_"),")","")</f>
        <v>vnt902_2_1</v>
      </c>
      <c r="AS2085" s="254" t="str">
        <f>IF(LEN(X2085)=0,"",X2085)</f>
        <v/>
      </c>
      <c r="AT2085" s="648"/>
      <c r="AU2085" s="648"/>
      <c r="AV2085" s="648"/>
      <c r="AW2085" s="648"/>
      <c r="AX2085" s="648"/>
      <c r="AY2085" s="648"/>
      <c r="AZ2085" s="648"/>
      <c r="BA2085" s="648"/>
      <c r="BB2085" s="648"/>
      <c r="BC2085" s="648"/>
      <c r="BD2085" s="648"/>
      <c r="BE2085" s="648"/>
      <c r="BF2085" s="648"/>
      <c r="BG2085" s="648"/>
      <c r="BH2085" s="648"/>
    </row>
    <row r="2086" spans="1:60" x14ac:dyDescent="0.25">
      <c r="A2086" s="2371">
        <v>9</v>
      </c>
      <c r="B2086" s="2385" t="s">
        <v>3656</v>
      </c>
      <c r="C2086" s="2374"/>
      <c r="D2086" s="2374"/>
      <c r="E2086" s="2374"/>
      <c r="F2086" s="2374"/>
      <c r="G2086" s="2373" t="s">
        <v>3974</v>
      </c>
      <c r="H2086" s="2371" t="s">
        <v>3973</v>
      </c>
      <c r="I2086" s="480"/>
      <c r="J2086" s="129"/>
      <c r="K2086" s="129"/>
      <c r="L2086" s="1782"/>
      <c r="M2086" s="1857"/>
      <c r="N2086" s="1927"/>
      <c r="O2086" s="1927"/>
      <c r="P2086" s="94"/>
      <c r="Q2086" s="94"/>
      <c r="R2086" s="485" t="s">
        <v>3763</v>
      </c>
      <c r="S2086" s="486">
        <f>MAX(W975,W1493)</f>
        <v>0</v>
      </c>
      <c r="T2086" s="94"/>
      <c r="U2086" s="94"/>
      <c r="V2086" s="94"/>
      <c r="W2086" s="94"/>
      <c r="X2086" s="1757"/>
      <c r="Y2086" s="2100"/>
      <c r="Z2086" s="2091"/>
      <c r="AB2086" s="648"/>
      <c r="AC2086" s="970"/>
      <c r="AD2086" s="970"/>
      <c r="AE2086" s="970"/>
      <c r="AF2086" s="648"/>
      <c r="AG2086" s="648"/>
      <c r="AH2086" s="648"/>
      <c r="AI2086" s="648"/>
      <c r="AJ2086" s="648"/>
      <c r="AK2086" s="648"/>
      <c r="AL2086" s="1336"/>
      <c r="AM2086" s="1336"/>
      <c r="AN2086" s="1336"/>
      <c r="AO2086" s="1336"/>
      <c r="AP2086" s="1336"/>
      <c r="AQ2086" s="1336"/>
      <c r="AR2086" s="1336"/>
      <c r="AS2086" s="1336"/>
      <c r="AT2086" s="648"/>
      <c r="AU2086" s="648"/>
      <c r="AV2086" s="648"/>
      <c r="AW2086" s="648"/>
      <c r="AX2086" s="648"/>
      <c r="AY2086" s="648"/>
      <c r="AZ2086" s="648"/>
      <c r="BA2086" s="648"/>
      <c r="BB2086" s="648"/>
      <c r="BC2086" s="648"/>
      <c r="BD2086" s="648"/>
      <c r="BE2086" s="648"/>
      <c r="BF2086" s="648"/>
      <c r="BG2086" s="648"/>
      <c r="BH2086" s="648"/>
    </row>
    <row r="2087" spans="1:60" s="1477" customFormat="1" x14ac:dyDescent="0.25">
      <c r="A2087" s="2371">
        <v>9</v>
      </c>
      <c r="B2087" s="2385" t="s">
        <v>3656</v>
      </c>
      <c r="C2087" s="2374"/>
      <c r="D2087" s="2374"/>
      <c r="E2087" s="2374"/>
      <c r="F2087" s="2374"/>
      <c r="G2087" s="2373" t="s">
        <v>3974</v>
      </c>
      <c r="H2087" s="2371" t="s">
        <v>3973</v>
      </c>
      <c r="I2087" s="480"/>
      <c r="J2087" s="129"/>
      <c r="K2087" s="129"/>
      <c r="L2087" s="1782"/>
      <c r="M2087" s="1857"/>
      <c r="N2087" s="1927"/>
      <c r="O2087" s="1927"/>
      <c r="P2087" s="94"/>
      <c r="Q2087" s="94"/>
      <c r="R2087" s="385" t="s">
        <v>4593</v>
      </c>
      <c r="S2087" s="1006">
        <f>MAX(W978,W1495)</f>
        <v>0</v>
      </c>
      <c r="T2087" s="94"/>
      <c r="U2087" s="94"/>
      <c r="V2087" s="94"/>
      <c r="W2087" s="94"/>
      <c r="X2087" s="1757"/>
      <c r="Y2087" s="2100"/>
      <c r="Z2087" s="2091"/>
      <c r="AA2087" s="783"/>
    </row>
    <row r="2088" spans="1:60" x14ac:dyDescent="0.25">
      <c r="A2088" s="2371">
        <v>9</v>
      </c>
      <c r="B2088" s="2385" t="s">
        <v>3656</v>
      </c>
      <c r="C2088" s="2374"/>
      <c r="D2088" s="2374"/>
      <c r="E2088" s="2374"/>
      <c r="F2088" s="2374"/>
      <c r="G2088" s="2373" t="s">
        <v>3974</v>
      </c>
      <c r="H2088" s="2371" t="s">
        <v>3973</v>
      </c>
      <c r="I2088" s="480"/>
      <c r="J2088" s="129"/>
      <c r="K2088" s="129"/>
      <c r="L2088" s="1782"/>
      <c r="M2088" s="1857"/>
      <c r="N2088" s="1927"/>
      <c r="O2088" s="1927"/>
      <c r="P2088" s="94"/>
      <c r="Q2088" s="94"/>
      <c r="T2088" s="94"/>
      <c r="U2088" s="94"/>
      <c r="V2088" s="94"/>
      <c r="W2088" s="94"/>
      <c r="X2088" s="1757"/>
      <c r="Y2088" s="2100"/>
      <c r="Z2088" s="2091"/>
      <c r="AB2088" s="648"/>
      <c r="AC2088" s="970"/>
      <c r="AD2088" s="970"/>
      <c r="AE2088" s="970"/>
      <c r="AF2088" s="648"/>
      <c r="AG2088" s="648"/>
      <c r="AH2088" s="648"/>
      <c r="AI2088" s="648"/>
      <c r="AJ2088" s="648"/>
      <c r="AK2088" s="648"/>
      <c r="AL2088" s="1336"/>
      <c r="AM2088" s="1336"/>
      <c r="AN2088" s="1336"/>
      <c r="AO2088" s="1336"/>
      <c r="AP2088" s="1336"/>
      <c r="AQ2088" s="1336"/>
      <c r="AR2088" s="1336"/>
      <c r="AS2088" s="1336"/>
      <c r="AT2088" s="648"/>
      <c r="AU2088" s="648"/>
      <c r="AV2088" s="648"/>
      <c r="AW2088" s="648"/>
      <c r="AX2088" s="648"/>
      <c r="AY2088" s="648"/>
      <c r="AZ2088" s="648"/>
      <c r="BA2088" s="648"/>
      <c r="BB2088" s="648"/>
      <c r="BC2088" s="648"/>
      <c r="BD2088" s="648"/>
      <c r="BE2088" s="648"/>
      <c r="BF2088" s="648"/>
      <c r="BG2088" s="648"/>
      <c r="BH2088" s="648"/>
    </row>
    <row r="2089" spans="1:60" x14ac:dyDescent="0.25">
      <c r="A2089" s="2371">
        <v>9</v>
      </c>
      <c r="B2089" s="2385" t="s">
        <v>3656</v>
      </c>
      <c r="C2089" s="2374" t="s">
        <v>256</v>
      </c>
      <c r="D2089" s="2374"/>
      <c r="E2089" s="2374"/>
      <c r="F2089" s="2374"/>
      <c r="G2089" s="2373" t="s">
        <v>3974</v>
      </c>
      <c r="H2089" s="2371" t="s">
        <v>3973</v>
      </c>
      <c r="I2089" s="480"/>
      <c r="J2089" s="183" t="s">
        <v>256</v>
      </c>
      <c r="K2089" s="129"/>
      <c r="L2089" s="1793" t="s">
        <v>3246</v>
      </c>
      <c r="M2089" s="1758">
        <v>3</v>
      </c>
      <c r="N2089" s="1044"/>
      <c r="O2089" s="1044"/>
      <c r="P2089" s="94"/>
      <c r="Q2089" s="94"/>
      <c r="R2089"/>
      <c r="S2089"/>
      <c r="T2089" s="94"/>
      <c r="U2089" s="94"/>
      <c r="V2089" s="94"/>
      <c r="W2089" s="94"/>
      <c r="X2089" s="1757"/>
      <c r="Y2089" s="2100"/>
      <c r="Z2089" s="2091"/>
      <c r="AB2089" s="648"/>
      <c r="AC2089" s="970"/>
      <c r="AD2089" s="970"/>
      <c r="AE2089" s="970"/>
      <c r="AF2089" s="648"/>
      <c r="AG2089" s="648"/>
      <c r="AH2089" s="648"/>
      <c r="AI2089" s="648"/>
      <c r="AJ2089" s="648"/>
      <c r="AK2089" s="648"/>
      <c r="AL2089" s="254" t="str">
        <f>SUBSTITUTE(SUBSTITUTE(SUBSTITUTE("vpa"&amp;$B2089&amp;$C2089&amp;$D2089&amp;$E2089,".","_"),"(","_"),")","")</f>
        <v>vpa902_2_1_1</v>
      </c>
      <c r="AM2089" s="254">
        <f>M2089</f>
        <v>3</v>
      </c>
      <c r="AN2089" s="1336"/>
      <c r="AO2089" s="1336"/>
      <c r="AP2089" s="1336"/>
      <c r="AQ2089" s="1336"/>
      <c r="AR2089" s="1336"/>
      <c r="AS2089" s="1336"/>
      <c r="AT2089" s="648"/>
      <c r="AU2089" s="648"/>
      <c r="AV2089" s="648"/>
      <c r="AW2089" s="648"/>
      <c r="AX2089" s="648"/>
      <c r="AY2089" s="648"/>
      <c r="AZ2089" s="648"/>
      <c r="BA2089" s="648"/>
      <c r="BB2089" s="648"/>
      <c r="BC2089" s="648"/>
      <c r="BD2089" s="648"/>
      <c r="BE2089" s="648"/>
      <c r="BF2089" s="648"/>
      <c r="BG2089" s="648"/>
      <c r="BH2089" s="648"/>
    </row>
    <row r="2090" spans="1:60" x14ac:dyDescent="0.25">
      <c r="A2090" s="2371">
        <v>9</v>
      </c>
      <c r="B2090" s="2385" t="s">
        <v>3656</v>
      </c>
      <c r="C2090" s="2374" t="s">
        <v>256</v>
      </c>
      <c r="D2090" s="2374"/>
      <c r="E2090" s="2374"/>
      <c r="F2090" s="2374"/>
      <c r="G2090" s="2373" t="s">
        <v>3974</v>
      </c>
      <c r="H2090" s="2371" t="s">
        <v>3973</v>
      </c>
      <c r="I2090" s="480"/>
      <c r="J2090" s="206"/>
      <c r="K2090" s="210"/>
      <c r="L2090" s="1761"/>
      <c r="M2090" s="1759"/>
      <c r="N2090" s="1044"/>
      <c r="O2090" s="1044"/>
      <c r="P2090" s="94"/>
      <c r="Q2090" s="94"/>
      <c r="R2090" s="94"/>
      <c r="S2090" s="94"/>
      <c r="T2090" s="94"/>
      <c r="U2090" s="94"/>
      <c r="V2090" s="94"/>
      <c r="W2090" s="94"/>
      <c r="X2090" s="1757"/>
      <c r="Y2090" s="2100"/>
      <c r="Z2090" s="2091"/>
      <c r="AB2090" s="648"/>
      <c r="AC2090" s="970"/>
      <c r="AD2090" s="970"/>
      <c r="AE2090" s="970"/>
      <c r="AF2090" s="648"/>
      <c r="AG2090" s="648"/>
      <c r="AH2090" s="648"/>
      <c r="AI2090" s="648"/>
      <c r="AJ2090" s="648"/>
      <c r="AK2090" s="648"/>
      <c r="AL2090" s="1336"/>
      <c r="AM2090" s="1336"/>
      <c r="AN2090" s="1336"/>
      <c r="AO2090" s="1336"/>
      <c r="AP2090" s="1336"/>
      <c r="AQ2090" s="1336"/>
      <c r="AR2090" s="1336"/>
      <c r="AS2090" s="1336"/>
      <c r="AT2090" s="648"/>
      <c r="AU2090" s="648"/>
      <c r="AV2090" s="648"/>
      <c r="AW2090" s="648"/>
      <c r="AX2090" s="648"/>
      <c r="AY2090" s="648"/>
      <c r="AZ2090" s="648"/>
      <c r="BA2090" s="648"/>
      <c r="BB2090" s="648"/>
      <c r="BC2090" s="648"/>
      <c r="BD2090" s="648"/>
      <c r="BE2090" s="648"/>
      <c r="BF2090" s="648"/>
      <c r="BG2090" s="648"/>
      <c r="BH2090" s="648"/>
    </row>
    <row r="2091" spans="1:60" x14ac:dyDescent="0.25">
      <c r="A2091" s="2371">
        <v>9</v>
      </c>
      <c r="B2091" s="2385" t="s">
        <v>3656</v>
      </c>
      <c r="C2091" s="2374" t="s">
        <v>258</v>
      </c>
      <c r="D2091" s="2374"/>
      <c r="E2091" s="2374"/>
      <c r="F2091" s="2374"/>
      <c r="G2091" s="2373" t="s">
        <v>3974</v>
      </c>
      <c r="H2091" s="2371" t="s">
        <v>3973</v>
      </c>
      <c r="I2091" s="480"/>
      <c r="J2091" s="183" t="s">
        <v>258</v>
      </c>
      <c r="K2091" s="129"/>
      <c r="L2091" s="1754" t="s">
        <v>3247</v>
      </c>
      <c r="M2091" s="1758">
        <v>6</v>
      </c>
      <c r="N2091" s="1044"/>
      <c r="O2091" s="1044"/>
      <c r="P2091" s="94"/>
      <c r="Q2091" s="94"/>
      <c r="R2091" s="94"/>
      <c r="S2091" s="94"/>
      <c r="T2091" s="94"/>
      <c r="U2091" s="94"/>
      <c r="V2091" s="94"/>
      <c r="W2091" s="94"/>
      <c r="X2091" s="1757"/>
      <c r="Y2091" s="2100"/>
      <c r="Z2091" s="2091"/>
      <c r="AB2091" s="648"/>
      <c r="AC2091" s="970"/>
      <c r="AD2091" s="970"/>
      <c r="AE2091" s="970"/>
      <c r="AF2091" s="648"/>
      <c r="AG2091" s="648"/>
      <c r="AH2091" s="648"/>
      <c r="AI2091" s="648"/>
      <c r="AJ2091" s="648"/>
      <c r="AK2091" s="648"/>
      <c r="AL2091" s="254" t="str">
        <f>SUBSTITUTE(SUBSTITUTE(SUBSTITUTE("vpa"&amp;$B2091&amp;$C2091&amp;$D2091&amp;$E2091,".","_"),"(","_"),")","")</f>
        <v>vpa902_2_1_2</v>
      </c>
      <c r="AM2091" s="254">
        <f>M2091</f>
        <v>6</v>
      </c>
      <c r="AN2091" s="1336"/>
      <c r="AO2091" s="1336"/>
      <c r="AP2091" s="1336"/>
      <c r="AQ2091" s="1336"/>
      <c r="AR2091" s="1336"/>
      <c r="AS2091" s="1336"/>
      <c r="AT2091" s="648"/>
      <c r="AU2091" s="648"/>
      <c r="AV2091" s="648"/>
      <c r="AW2091" s="648"/>
      <c r="AX2091" s="648"/>
      <c r="AY2091" s="648"/>
      <c r="AZ2091" s="648"/>
      <c r="BA2091" s="648"/>
      <c r="BB2091" s="648"/>
      <c r="BC2091" s="648"/>
      <c r="BD2091" s="648"/>
      <c r="BE2091" s="648"/>
      <c r="BF2091" s="648"/>
      <c r="BG2091" s="648"/>
      <c r="BH2091" s="648"/>
    </row>
    <row r="2092" spans="1:60" x14ac:dyDescent="0.25">
      <c r="A2092" s="2371">
        <v>9</v>
      </c>
      <c r="B2092" s="2385" t="s">
        <v>3656</v>
      </c>
      <c r="C2092" s="2374" t="s">
        <v>258</v>
      </c>
      <c r="D2092" s="2374"/>
      <c r="E2092" s="2374"/>
      <c r="F2092" s="2374"/>
      <c r="G2092" s="2373" t="s">
        <v>3974</v>
      </c>
      <c r="H2092" s="2371" t="s">
        <v>3973</v>
      </c>
      <c r="I2092" s="480"/>
      <c r="J2092" s="210"/>
      <c r="K2092" s="210"/>
      <c r="L2092" s="1755"/>
      <c r="M2092" s="1759"/>
      <c r="N2092" s="1044"/>
      <c r="O2092" s="1044"/>
      <c r="P2092" s="94"/>
      <c r="Q2092" s="94"/>
      <c r="R2092" s="94"/>
      <c r="S2092" s="94"/>
      <c r="T2092" s="94"/>
      <c r="U2092" s="94"/>
      <c r="V2092" s="94"/>
      <c r="W2092" s="94"/>
      <c r="X2092" s="1757"/>
      <c r="Y2092" s="2100"/>
      <c r="Z2092" s="2091"/>
      <c r="AB2092" s="648"/>
      <c r="AC2092" s="970"/>
      <c r="AD2092" s="970"/>
      <c r="AE2092" s="970"/>
      <c r="AF2092" s="648"/>
      <c r="AG2092" s="648"/>
      <c r="AH2092" s="648"/>
      <c r="AI2092" s="648"/>
      <c r="AJ2092" s="648"/>
      <c r="AK2092" s="648"/>
      <c r="AL2092" s="1336"/>
      <c r="AM2092" s="1336"/>
      <c r="AN2092" s="1336"/>
      <c r="AO2092" s="1336"/>
      <c r="AP2092" s="1336"/>
      <c r="AQ2092" s="1336"/>
      <c r="AR2092" s="1336"/>
      <c r="AS2092" s="1336"/>
      <c r="AT2092" s="648"/>
      <c r="AU2092" s="648"/>
      <c r="AV2092" s="648"/>
      <c r="AW2092" s="648"/>
      <c r="AX2092" s="648"/>
      <c r="AY2092" s="648"/>
      <c r="AZ2092" s="648"/>
      <c r="BA2092" s="648"/>
      <c r="BB2092" s="648"/>
      <c r="BC2092" s="648"/>
      <c r="BD2092" s="648"/>
      <c r="BE2092" s="648"/>
      <c r="BF2092" s="648"/>
      <c r="BG2092" s="648"/>
      <c r="BH2092" s="648"/>
    </row>
    <row r="2093" spans="1:60" x14ac:dyDescent="0.25">
      <c r="A2093" s="2371">
        <v>9</v>
      </c>
      <c r="B2093" s="2385" t="s">
        <v>3656</v>
      </c>
      <c r="C2093" s="2374" t="s">
        <v>260</v>
      </c>
      <c r="D2093" s="2374"/>
      <c r="E2093" s="2374"/>
      <c r="F2093" s="2374"/>
      <c r="G2093" s="2373" t="s">
        <v>3974</v>
      </c>
      <c r="H2093" s="2371" t="s">
        <v>3973</v>
      </c>
      <c r="I2093" s="480"/>
      <c r="J2093" s="206" t="s">
        <v>260</v>
      </c>
      <c r="K2093" s="210"/>
      <c r="L2093" s="1163" t="s">
        <v>3248</v>
      </c>
      <c r="M2093" s="1015">
        <v>7</v>
      </c>
      <c r="N2093" s="1044"/>
      <c r="O2093" s="1044"/>
      <c r="P2093" s="94"/>
      <c r="Q2093" s="94"/>
      <c r="R2093" s="94"/>
      <c r="S2093" s="94"/>
      <c r="T2093" s="94"/>
      <c r="U2093" s="94"/>
      <c r="V2093" s="94"/>
      <c r="W2093" s="94"/>
      <c r="X2093" s="1757"/>
      <c r="Y2093" s="2100"/>
      <c r="Z2093" s="2091"/>
      <c r="AA2093"/>
      <c r="AB2093" s="648"/>
      <c r="AC2093" s="970"/>
      <c r="AD2093" s="970"/>
      <c r="AE2093" s="970"/>
      <c r="AF2093" s="648"/>
      <c r="AG2093" s="648"/>
      <c r="AH2093" s="648"/>
      <c r="AI2093" s="648"/>
      <c r="AJ2093" s="648"/>
      <c r="AK2093" s="648"/>
      <c r="AL2093" s="254" t="str">
        <f>SUBSTITUTE(SUBSTITUTE(SUBSTITUTE("vpa"&amp;$B2093&amp;$C2093&amp;$D2093&amp;$E2093,".","_"),"(","_"),")","")</f>
        <v>vpa902_2_1_3</v>
      </c>
      <c r="AM2093" s="254">
        <f>M2093</f>
        <v>7</v>
      </c>
      <c r="AN2093" s="1336"/>
      <c r="AO2093" s="1336"/>
      <c r="AP2093" s="1336"/>
      <c r="AQ2093" s="1336"/>
      <c r="AR2093" s="1336"/>
      <c r="AS2093" s="1336"/>
      <c r="AT2093" s="648"/>
      <c r="AU2093" s="648"/>
      <c r="AV2093" s="648"/>
      <c r="AW2093" s="648"/>
      <c r="AX2093" s="648"/>
      <c r="AY2093" s="648"/>
      <c r="AZ2093" s="648"/>
      <c r="BA2093" s="648"/>
      <c r="BB2093" s="648"/>
      <c r="BC2093" s="648"/>
      <c r="BD2093" s="648"/>
      <c r="BE2093" s="648"/>
      <c r="BF2093" s="648"/>
      <c r="BG2093" s="648"/>
      <c r="BH2093" s="648"/>
    </row>
    <row r="2094" spans="1:60" x14ac:dyDescent="0.25">
      <c r="A2094" s="2371">
        <v>9</v>
      </c>
      <c r="B2094" s="2385" t="s">
        <v>3656</v>
      </c>
      <c r="C2094" s="2374" t="s">
        <v>269</v>
      </c>
      <c r="D2094" s="2374"/>
      <c r="E2094" s="2374"/>
      <c r="F2094" s="2374"/>
      <c r="G2094" s="2373" t="s">
        <v>3974</v>
      </c>
      <c r="H2094" s="2371" t="s">
        <v>3973</v>
      </c>
      <c r="I2094" s="164"/>
      <c r="J2094" s="206" t="s">
        <v>269</v>
      </c>
      <c r="K2094" s="210"/>
      <c r="L2094" s="1163" t="s">
        <v>3249</v>
      </c>
      <c r="M2094" s="1015">
        <v>8</v>
      </c>
      <c r="N2094" s="1044"/>
      <c r="O2094" s="1044"/>
      <c r="P2094" s="94"/>
      <c r="Q2094" s="94"/>
      <c r="R2094" s="94"/>
      <c r="S2094" s="94"/>
      <c r="T2094" s="94"/>
      <c r="U2094" s="94"/>
      <c r="V2094" s="94"/>
      <c r="W2094" s="94"/>
      <c r="X2094" s="1757"/>
      <c r="Y2094" s="2100"/>
      <c r="Z2094" s="2091"/>
      <c r="AB2094" s="648"/>
      <c r="AC2094" s="970"/>
      <c r="AD2094" s="970"/>
      <c r="AE2094" s="970"/>
      <c r="AF2094" s="648"/>
      <c r="AG2094" s="648"/>
      <c r="AH2094" s="648"/>
      <c r="AI2094" s="648"/>
      <c r="AJ2094" s="648"/>
      <c r="AK2094" s="648"/>
      <c r="AL2094" s="254" t="str">
        <f>SUBSTITUTE(SUBSTITUTE(SUBSTITUTE("vpa"&amp;$B2094&amp;$C2094&amp;$D2094&amp;$E2094,".","_"),"(","_"),")","")</f>
        <v>vpa902_2_1_4</v>
      </c>
      <c r="AM2094" s="254">
        <f>M2094</f>
        <v>8</v>
      </c>
      <c r="AN2094" s="1336"/>
      <c r="AO2094" s="1336"/>
      <c r="AP2094" s="1336"/>
      <c r="AQ2094" s="1336"/>
      <c r="AR2094" s="1336"/>
      <c r="AS2094" s="1336"/>
      <c r="AT2094" s="648"/>
      <c r="AU2094" s="648"/>
      <c r="AV2094" s="648"/>
      <c r="AW2094" s="648"/>
      <c r="AX2094" s="648"/>
      <c r="AY2094" s="648"/>
      <c r="AZ2094" s="648"/>
      <c r="BA2094" s="648"/>
      <c r="BB2094" s="648"/>
      <c r="BC2094" s="648"/>
      <c r="BD2094" s="648"/>
      <c r="BE2094" s="648"/>
      <c r="BF2094" s="648"/>
      <c r="BG2094" s="648"/>
      <c r="BH2094" s="648"/>
    </row>
    <row r="2095" spans="1:60" x14ac:dyDescent="0.25">
      <c r="A2095" s="2371">
        <v>9</v>
      </c>
      <c r="B2095" s="2385" t="s">
        <v>3656</v>
      </c>
      <c r="C2095" s="2374" t="s">
        <v>275</v>
      </c>
      <c r="D2095" s="2374"/>
      <c r="E2095" s="2374"/>
      <c r="F2095" s="2374"/>
      <c r="G2095" s="2373" t="s">
        <v>3974</v>
      </c>
      <c r="H2095" s="2371" t="s">
        <v>3973</v>
      </c>
      <c r="I2095" s="164"/>
      <c r="J2095" s="206" t="s">
        <v>275</v>
      </c>
      <c r="K2095" s="210"/>
      <c r="L2095" s="1163" t="s">
        <v>4497</v>
      </c>
      <c r="M2095" s="1015">
        <v>10</v>
      </c>
      <c r="N2095" s="664"/>
      <c r="O2095" s="1044"/>
      <c r="P2095"/>
      <c r="Q2095"/>
      <c r="R2095"/>
      <c r="S2095"/>
      <c r="T2095"/>
      <c r="U2095"/>
      <c r="V2095"/>
      <c r="W2095"/>
      <c r="X2095" s="1757"/>
      <c r="Y2095" s="2097"/>
      <c r="Z2095" s="2085"/>
      <c r="AC2095" s="970"/>
      <c r="AD2095" s="970"/>
      <c r="AE2095" s="970"/>
      <c r="AF2095"/>
      <c r="AG2095"/>
      <c r="AH2095"/>
      <c r="AI2095"/>
      <c r="AJ2095"/>
      <c r="AK2095"/>
      <c r="AL2095" s="254" t="str">
        <f>SUBSTITUTE(SUBSTITUTE(SUBSTITUTE("vpa"&amp;$B2095&amp;$C2095&amp;$D2095&amp;$E2095,".","_"),"(","_"),")","")</f>
        <v>vpa902_2_1_5</v>
      </c>
      <c r="AM2095" s="254">
        <f>M2095</f>
        <v>10</v>
      </c>
      <c r="AN2095" s="1336"/>
      <c r="AO2095" s="1336"/>
      <c r="AP2095" s="1336"/>
      <c r="AQ2095" s="1336"/>
      <c r="AR2095" s="1336"/>
      <c r="AS2095" s="1336"/>
      <c r="AT2095"/>
    </row>
    <row r="2096" spans="1:60" ht="15" customHeight="1" x14ac:dyDescent="0.25">
      <c r="A2096" s="2371">
        <v>9</v>
      </c>
      <c r="B2096" s="2385" t="s">
        <v>3250</v>
      </c>
      <c r="C2096" s="2374"/>
      <c r="D2096" s="2374"/>
      <c r="E2096" s="2374"/>
      <c r="F2096" s="2374"/>
      <c r="G2096" s="2373" t="str">
        <f ca="1">IF(N2096&gt;0,"P","")</f>
        <v/>
      </c>
      <c r="H2096" s="2371" t="s">
        <v>3973</v>
      </c>
      <c r="I2096" s="192" t="s">
        <v>3250</v>
      </c>
      <c r="J2096" s="193"/>
      <c r="K2096" s="193"/>
      <c r="L2096" s="1864" t="s">
        <v>4498</v>
      </c>
      <c r="M2096" s="1762">
        <v>4</v>
      </c>
      <c r="N2096" s="2079">
        <f ca="1">'Ch9'!O230</f>
        <v>0</v>
      </c>
      <c r="O2096" s="2079">
        <f ca="1">M2096*S2096*W2096</f>
        <v>0</v>
      </c>
      <c r="P2096" s="94" t="b">
        <v>0</v>
      </c>
      <c r="Q2096" s="94" t="b">
        <v>1</v>
      </c>
      <c r="R2096" s="195" t="b">
        <v>0</v>
      </c>
      <c r="S2096" s="195" t="b">
        <f ca="1">O2085&gt;0</f>
        <v>0</v>
      </c>
      <c r="T2096" s="195" t="b">
        <f ca="1">AND(NOT(S2096),W2096=TRUE)</f>
        <v>0</v>
      </c>
      <c r="U2096" s="195"/>
      <c r="V2096" s="195"/>
      <c r="W2096" s="25"/>
      <c r="X2096" s="1770"/>
      <c r="Y2096" s="2077" t="str">
        <f>IF(LEN('Ch9'!X230)=0,"None",'Ch9'!X230)</f>
        <v>None</v>
      </c>
      <c r="Z2096" s="2083"/>
      <c r="AB2096" s="648"/>
      <c r="AC2096" s="970" t="b">
        <f ca="1">OR(AD2096:AE2096)</f>
        <v>0</v>
      </c>
      <c r="AD2096" s="970" t="b">
        <f ca="1">T2096</f>
        <v>0</v>
      </c>
      <c r="AE2096" s="970"/>
      <c r="AF2096" s="784"/>
      <c r="AG2096" s="648"/>
      <c r="AH2096" s="648"/>
      <c r="AI2096" s="648"/>
      <c r="AJ2096" s="648"/>
      <c r="AK2096" s="648"/>
      <c r="AL2096" s="254" t="str">
        <f>SUBSTITUTE(SUBSTITUTE(SUBSTITUTE("vpa"&amp;$B2096&amp;$C2096&amp;$D2096&amp;$E2096,".","_"),"(","_"),")","")</f>
        <v>vpa902_2_2</v>
      </c>
      <c r="AM2096" s="254">
        <f>M2096</f>
        <v>4</v>
      </c>
      <c r="AN2096" s="254" t="str">
        <f>SUBSTITUTE(SUBSTITUTE(SUBSTITUTE("vpc"&amp;$B2096&amp;$C2096&amp;$D2096&amp;$E2096,".","_"),"(","_"),")","")</f>
        <v>vpc902_2_2</v>
      </c>
      <c r="AO2096" s="254">
        <f ca="1">O2096</f>
        <v>0</v>
      </c>
      <c r="AP2096" s="254" t="str">
        <f>SUBSTITUTE(SUBSTITUTE(SUBSTITUTE("vch"&amp;$B2096&amp;$C2096&amp;$D2096&amp;$E2096,".","_"),"(","_"),")","")</f>
        <v>vch902_2_2</v>
      </c>
      <c r="AQ2096" s="254" t="str">
        <f>IF(LEN(W2096)=0,"",W2096)</f>
        <v/>
      </c>
      <c r="AR2096" s="254" t="str">
        <f>SUBSTITUTE(SUBSTITUTE(SUBSTITUTE("vnt"&amp;$B2096&amp;$C2096&amp;$D2096&amp;$E2096,".","_"),"(","_"),")","")</f>
        <v>vnt902_2_2</v>
      </c>
      <c r="AS2096" s="254" t="str">
        <f>IF(LEN(X2096)=0,"",X2096)</f>
        <v/>
      </c>
      <c r="AT2096" s="648"/>
      <c r="AU2096" s="648"/>
      <c r="AV2096" s="648"/>
      <c r="AW2096" s="648"/>
      <c r="AX2096" s="648"/>
      <c r="AY2096" s="648"/>
      <c r="AZ2096" s="648"/>
      <c r="BA2096" s="648"/>
      <c r="BB2096" s="648"/>
      <c r="BC2096" s="648"/>
      <c r="BD2096" s="648"/>
      <c r="BE2096" s="648"/>
      <c r="BF2096" s="648"/>
      <c r="BG2096" s="648"/>
      <c r="BH2096" s="648"/>
    </row>
    <row r="2097" spans="1:60" x14ac:dyDescent="0.25">
      <c r="A2097" s="2371">
        <v>9</v>
      </c>
      <c r="B2097" s="2385" t="s">
        <v>3250</v>
      </c>
      <c r="C2097" s="2374"/>
      <c r="D2097" s="2374"/>
      <c r="E2097" s="2374"/>
      <c r="F2097" s="2374"/>
      <c r="G2097" s="2373" t="str">
        <f ca="1">G2096</f>
        <v/>
      </c>
      <c r="H2097" s="2371" t="s">
        <v>3973</v>
      </c>
      <c r="I2097" s="524"/>
      <c r="J2097" s="210"/>
      <c r="K2097" s="210"/>
      <c r="L2097" s="1843"/>
      <c r="M2097" s="1759"/>
      <c r="N2097" s="2076"/>
      <c r="O2097" s="2076"/>
      <c r="P2097" s="178"/>
      <c r="Q2097" s="178"/>
      <c r="R2097" s="178"/>
      <c r="S2097" s="178"/>
      <c r="T2097" s="178"/>
      <c r="U2097" s="178"/>
      <c r="V2097" s="178"/>
      <c r="W2097" s="178"/>
      <c r="X2097" s="1770"/>
      <c r="Y2097" s="2077"/>
      <c r="Z2097" s="2083"/>
      <c r="AB2097" s="648"/>
      <c r="AC2097" s="970"/>
      <c r="AD2097" s="970"/>
      <c r="AE2097" s="970"/>
      <c r="AF2097" s="648"/>
      <c r="AG2097" s="648"/>
      <c r="AH2097" s="648"/>
      <c r="AI2097" s="648"/>
      <c r="AJ2097" s="648"/>
      <c r="AK2097" s="648"/>
      <c r="AL2097" s="1336"/>
      <c r="AM2097" s="1336"/>
      <c r="AN2097" s="1336"/>
      <c r="AO2097" s="1336"/>
      <c r="AP2097" s="1336"/>
      <c r="AQ2097" s="1336"/>
      <c r="AR2097" s="1336"/>
      <c r="AS2097" s="1336"/>
      <c r="AT2097" s="648"/>
      <c r="AU2097" s="648"/>
      <c r="AV2097" s="648"/>
      <c r="AW2097" s="648"/>
      <c r="AX2097" s="648"/>
      <c r="AY2097" s="648"/>
      <c r="AZ2097" s="648"/>
      <c r="BA2097" s="648"/>
      <c r="BB2097" s="648"/>
      <c r="BC2097" s="648"/>
      <c r="BD2097" s="648"/>
      <c r="BE2097" s="648"/>
      <c r="BF2097" s="648"/>
      <c r="BG2097" s="648"/>
      <c r="BH2097" s="648"/>
    </row>
    <row r="2098" spans="1:60" x14ac:dyDescent="0.25">
      <c r="A2098" s="2371">
        <v>9</v>
      </c>
      <c r="B2098" s="2385" t="s">
        <v>3251</v>
      </c>
      <c r="C2098" s="2374"/>
      <c r="D2098" s="2374"/>
      <c r="E2098" s="2374"/>
      <c r="F2098" s="2374"/>
      <c r="G2098" s="2373" t="str">
        <f>IF(N2098&gt;0,"P","")</f>
        <v/>
      </c>
      <c r="H2098" s="2371" t="s">
        <v>3973</v>
      </c>
      <c r="I2098" s="192" t="s">
        <v>3251</v>
      </c>
      <c r="J2098" s="193"/>
      <c r="K2098" s="193"/>
      <c r="L2098" s="1864" t="s">
        <v>3252</v>
      </c>
      <c r="M2098" s="1762">
        <v>2</v>
      </c>
      <c r="N2098" s="2079">
        <f>'Ch9'!O232</f>
        <v>0</v>
      </c>
      <c r="O2098" s="2079">
        <f>M2098*S2098*W2098</f>
        <v>0</v>
      </c>
      <c r="P2098" s="94" t="b">
        <v>0</v>
      </c>
      <c r="Q2098" s="94" t="b">
        <v>1</v>
      </c>
      <c r="R2098" s="195" t="b">
        <v>0</v>
      </c>
      <c r="S2098" s="195" t="b">
        <f>NOT(OR(AND(AY1909=INDEX(ddHDucts,2),AY1905=INDEX(ddCDucts,2)),W2101))</f>
        <v>1</v>
      </c>
      <c r="T2098" s="195" t="b">
        <f>AND(NOT(S2098),W2098=TRUE)</f>
        <v>0</v>
      </c>
      <c r="U2098" s="195"/>
      <c r="V2098" s="195"/>
      <c r="W2098" s="25"/>
      <c r="X2098" s="1770"/>
      <c r="Y2098" s="2077" t="str">
        <f>IF(LEN('Ch9'!X232)=0,"None",'Ch9'!X232)</f>
        <v>None</v>
      </c>
      <c r="Z2098" s="2083"/>
      <c r="AB2098" s="648"/>
      <c r="AC2098" s="970" t="b">
        <f>OR(AD2098:AE2098)</f>
        <v>0</v>
      </c>
      <c r="AD2098" s="970" t="b">
        <f>T2098</f>
        <v>0</v>
      </c>
      <c r="AE2098" s="970"/>
      <c r="AF2098" s="784"/>
      <c r="AG2098" s="648"/>
      <c r="AH2098" s="648"/>
      <c r="AI2098" s="648"/>
      <c r="AJ2098" s="648"/>
      <c r="AK2098" s="648"/>
      <c r="AL2098" s="254" t="str">
        <f>SUBSTITUTE(SUBSTITUTE(SUBSTITUTE("vpa"&amp;$B2098&amp;$C2098&amp;$D2098&amp;$E2098,".","_"),"(","_"),")","")</f>
        <v>vpa902_2_3</v>
      </c>
      <c r="AM2098" s="254">
        <f>M2098</f>
        <v>2</v>
      </c>
      <c r="AN2098" s="254" t="str">
        <f>SUBSTITUTE(SUBSTITUTE(SUBSTITUTE("vpc"&amp;$B2098&amp;$C2098&amp;$D2098&amp;$E2098,".","_"),"(","_"),")","")</f>
        <v>vpc902_2_3</v>
      </c>
      <c r="AO2098" s="254">
        <f>O2098</f>
        <v>0</v>
      </c>
      <c r="AP2098" s="254" t="str">
        <f>SUBSTITUTE(SUBSTITUTE(SUBSTITUTE("vch"&amp;$B2098&amp;$C2098&amp;$D2098&amp;$E2098,".","_"),"(","_"),")","")</f>
        <v>vch902_2_3</v>
      </c>
      <c r="AQ2098" s="254" t="str">
        <f>IF(LEN(W2098)=0,"",W2098)</f>
        <v/>
      </c>
      <c r="AR2098" s="254" t="str">
        <f>SUBSTITUTE(SUBSTITUTE(SUBSTITUTE("vnt"&amp;$B2098&amp;$C2098&amp;$D2098&amp;$E2098,".","_"),"(","_"),")","")</f>
        <v>vnt902_2_3</v>
      </c>
      <c r="AS2098" s="254" t="str">
        <f>IF(LEN(X2098)=0,"",X2098)</f>
        <v/>
      </c>
      <c r="AT2098" s="648"/>
      <c r="AU2098" s="648"/>
      <c r="AV2098" s="648"/>
      <c r="AW2098" s="648"/>
      <c r="AX2098" s="648"/>
      <c r="AY2098" s="648"/>
      <c r="AZ2098" s="648"/>
      <c r="BA2098" s="648"/>
      <c r="BB2098" s="648"/>
      <c r="BC2098" s="648"/>
      <c r="BD2098" s="648"/>
      <c r="BE2098" s="648"/>
      <c r="BF2098" s="648"/>
      <c r="BG2098" s="648"/>
      <c r="BH2098" s="648"/>
    </row>
    <row r="2099" spans="1:60" x14ac:dyDescent="0.25">
      <c r="A2099" s="2371">
        <v>9</v>
      </c>
      <c r="B2099" s="2385" t="s">
        <v>3251</v>
      </c>
      <c r="C2099" s="2374"/>
      <c r="D2099" s="2374"/>
      <c r="E2099" s="2374"/>
      <c r="F2099" s="2374"/>
      <c r="G2099" s="2373" t="str">
        <f>G2098</f>
        <v/>
      </c>
      <c r="H2099" s="2371" t="s">
        <v>3973</v>
      </c>
      <c r="I2099" s="480"/>
      <c r="J2099" s="129"/>
      <c r="K2099" s="129"/>
      <c r="L2099" s="1782"/>
      <c r="M2099" s="1758"/>
      <c r="N2099" s="1927"/>
      <c r="O2099" s="1927"/>
      <c r="P2099" s="94"/>
      <c r="Q2099" s="94"/>
      <c r="R2099" s="94"/>
      <c r="S2099" s="94"/>
      <c r="T2099" s="94"/>
      <c r="U2099" s="94"/>
      <c r="V2099" s="94"/>
      <c r="W2099" s="94"/>
      <c r="X2099" s="1770"/>
      <c r="Y2099" s="2077"/>
      <c r="Z2099" s="2083"/>
      <c r="AB2099" s="648"/>
      <c r="AC2099" s="970"/>
      <c r="AD2099" s="970"/>
      <c r="AE2099" s="970"/>
      <c r="AF2099" s="648"/>
      <c r="AG2099" s="648"/>
      <c r="AH2099" s="648"/>
      <c r="AI2099" s="648"/>
      <c r="AJ2099" s="648"/>
      <c r="AK2099" s="648"/>
      <c r="AL2099" s="1336"/>
      <c r="AM2099" s="1336"/>
      <c r="AN2099" s="1336"/>
      <c r="AO2099" s="1336"/>
      <c r="AP2099" s="1336"/>
      <c r="AQ2099" s="1336"/>
      <c r="AR2099" s="1336"/>
      <c r="AS2099" s="1336"/>
      <c r="AT2099" s="648"/>
      <c r="AU2099" s="648"/>
      <c r="AV2099" s="648"/>
      <c r="AW2099" s="648"/>
      <c r="AX2099" s="648"/>
      <c r="AY2099" s="648"/>
      <c r="AZ2099" s="648"/>
      <c r="BA2099" s="648"/>
      <c r="BB2099" s="648"/>
      <c r="BC2099" s="648"/>
      <c r="BD2099" s="648"/>
      <c r="BE2099" s="648"/>
      <c r="BF2099" s="648"/>
      <c r="BG2099" s="648"/>
      <c r="BH2099" s="648"/>
    </row>
    <row r="2100" spans="1:60" x14ac:dyDescent="0.25">
      <c r="A2100" s="2371">
        <v>9</v>
      </c>
      <c r="B2100" s="2385" t="s">
        <v>3251</v>
      </c>
      <c r="C2100" s="2374"/>
      <c r="D2100" s="2374"/>
      <c r="E2100" s="2374"/>
      <c r="F2100" s="2374"/>
      <c r="G2100" s="2373" t="str">
        <f>G2099</f>
        <v/>
      </c>
      <c r="H2100" s="2371" t="s">
        <v>3973</v>
      </c>
      <c r="I2100" s="524"/>
      <c r="J2100" s="210"/>
      <c r="K2100" s="210"/>
      <c r="L2100" s="1843"/>
      <c r="M2100" s="1759"/>
      <c r="N2100" s="2076"/>
      <c r="O2100" s="2076"/>
      <c r="P2100" s="178"/>
      <c r="Q2100" s="178"/>
      <c r="R2100" s="178"/>
      <c r="S2100" s="178"/>
      <c r="T2100" s="178"/>
      <c r="U2100" s="178"/>
      <c r="V2100" s="178"/>
      <c r="W2100" s="178"/>
      <c r="X2100" s="1770"/>
      <c r="Y2100" s="2077"/>
      <c r="Z2100" s="2083"/>
      <c r="AB2100" s="648"/>
      <c r="AC2100" s="970"/>
      <c r="AD2100" s="970"/>
      <c r="AE2100" s="970"/>
      <c r="AF2100" s="648"/>
      <c r="AG2100" s="648"/>
      <c r="AH2100" s="648"/>
      <c r="AI2100" s="648"/>
      <c r="AJ2100" s="648"/>
      <c r="AK2100" s="648"/>
      <c r="AL2100" s="1336"/>
      <c r="AM2100" s="1336"/>
      <c r="AN2100" s="1336"/>
      <c r="AO2100" s="1336"/>
      <c r="AP2100" s="1336"/>
      <c r="AQ2100" s="1336"/>
      <c r="AR2100" s="1336"/>
      <c r="AS2100" s="1336"/>
      <c r="AT2100" s="648"/>
      <c r="AU2100" s="648"/>
      <c r="AV2100" s="648"/>
      <c r="AW2100" s="648"/>
      <c r="AX2100" s="648"/>
      <c r="AY2100" s="648"/>
      <c r="AZ2100" s="648"/>
      <c r="BA2100" s="648"/>
      <c r="BB2100" s="648"/>
      <c r="BC2100" s="648"/>
      <c r="BD2100" s="648"/>
      <c r="BE2100" s="648"/>
      <c r="BF2100" s="648"/>
      <c r="BG2100" s="648"/>
      <c r="BH2100" s="648"/>
    </row>
    <row r="2101" spans="1:60" x14ac:dyDescent="0.25">
      <c r="A2101" s="2371">
        <v>9</v>
      </c>
      <c r="B2101" s="2385" t="s">
        <v>3253</v>
      </c>
      <c r="C2101" s="2374"/>
      <c r="D2101" s="2374"/>
      <c r="E2101" s="2374"/>
      <c r="F2101" s="2374"/>
      <c r="G2101" s="2373" t="str">
        <f>IF(N2101&gt;0,"P","")</f>
        <v/>
      </c>
      <c r="H2101" s="2371" t="s">
        <v>3973</v>
      </c>
      <c r="I2101" s="130" t="s">
        <v>3253</v>
      </c>
      <c r="J2101" s="129"/>
      <c r="K2101" s="129"/>
      <c r="L2101" s="1782" t="s">
        <v>3254</v>
      </c>
      <c r="M2101" s="1758">
        <v>3</v>
      </c>
      <c r="N2101" s="1927">
        <f>'Ch9'!O235</f>
        <v>0</v>
      </c>
      <c r="O2101" s="1927">
        <f>M2101*S2101*W2101</f>
        <v>0</v>
      </c>
      <c r="P2101" s="94" t="b">
        <v>0</v>
      </c>
      <c r="Q2101" s="94" t="b">
        <v>1</v>
      </c>
      <c r="R2101" s="94" t="b">
        <v>0</v>
      </c>
      <c r="S2101" s="94" t="b">
        <f>NOT(OR(AND(AY1909=INDEX(ddHDucts,2),AY1905=INDEX(ddCDucts,2)),W2098))</f>
        <v>1</v>
      </c>
      <c r="T2101" s="94" t="b">
        <f>AND(NOT(S2101),W2101=TRUE)</f>
        <v>0</v>
      </c>
      <c r="U2101" s="94"/>
      <c r="V2101" s="94"/>
      <c r="W2101" s="25"/>
      <c r="X2101" s="1756"/>
      <c r="Y2101" s="2081" t="str">
        <f>IF(LEN('Ch9'!X235)=0,"None",'Ch9'!X235)</f>
        <v>None</v>
      </c>
      <c r="Z2101" s="2084"/>
      <c r="AB2101" s="648"/>
      <c r="AC2101" s="970" t="b">
        <f>OR(AD2101:AE2101)</f>
        <v>0</v>
      </c>
      <c r="AD2101" s="970" t="b">
        <f>T2101</f>
        <v>0</v>
      </c>
      <c r="AE2101" s="970"/>
      <c r="AF2101" s="784"/>
      <c r="AG2101" s="648"/>
      <c r="AH2101" s="648"/>
      <c r="AI2101" s="648"/>
      <c r="AJ2101" s="648"/>
      <c r="AK2101" s="648"/>
      <c r="AL2101" s="254" t="str">
        <f>SUBSTITUTE(SUBSTITUTE(SUBSTITUTE("vpa"&amp;$B2101&amp;$C2101&amp;$D2101&amp;$E2101,".","_"),"(","_"),")","")</f>
        <v>vpa902_2_4</v>
      </c>
      <c r="AM2101" s="254">
        <f>M2101</f>
        <v>3</v>
      </c>
      <c r="AN2101" s="254" t="str">
        <f>SUBSTITUTE(SUBSTITUTE(SUBSTITUTE("vpc"&amp;$B2101&amp;$C2101&amp;$D2101&amp;$E2101,".","_"),"(","_"),")","")</f>
        <v>vpc902_2_4</v>
      </c>
      <c r="AO2101" s="254">
        <f>O2101</f>
        <v>0</v>
      </c>
      <c r="AP2101" s="254" t="str">
        <f>SUBSTITUTE(SUBSTITUTE(SUBSTITUTE("vch"&amp;$B2101&amp;$C2101&amp;$D2101&amp;$E2101,".","_"),"(","_"),")","")</f>
        <v>vch902_2_4</v>
      </c>
      <c r="AQ2101" s="254" t="str">
        <f>IF(LEN(W2101)=0,"",W2101)</f>
        <v/>
      </c>
      <c r="AR2101" s="254" t="str">
        <f>SUBSTITUTE(SUBSTITUTE(SUBSTITUTE("vnt"&amp;$B2101&amp;$C2101&amp;$D2101&amp;$E2101,".","_"),"(","_"),")","")</f>
        <v>vnt902_2_4</v>
      </c>
      <c r="AS2101" s="254" t="str">
        <f>IF(LEN(X2101)=0,"",X2101)</f>
        <v/>
      </c>
      <c r="AT2101" s="648"/>
      <c r="AU2101" s="648"/>
      <c r="AV2101" s="648"/>
      <c r="AW2101" s="648"/>
      <c r="AX2101" s="648"/>
      <c r="AY2101" s="648"/>
      <c r="AZ2101" s="648"/>
      <c r="BA2101" s="648"/>
      <c r="BB2101" s="648"/>
      <c r="BC2101" s="648"/>
      <c r="BD2101" s="648"/>
      <c r="BE2101" s="648"/>
      <c r="BF2101" s="648"/>
      <c r="BG2101" s="648"/>
      <c r="BH2101" s="648"/>
    </row>
    <row r="2102" spans="1:60" x14ac:dyDescent="0.25">
      <c r="A2102" s="2371">
        <v>9</v>
      </c>
      <c r="B2102" s="2385" t="s">
        <v>3253</v>
      </c>
      <c r="C2102" s="2374"/>
      <c r="D2102" s="2374"/>
      <c r="E2102" s="2374"/>
      <c r="F2102" s="2374"/>
      <c r="G2102" s="2373" t="str">
        <f>G2101</f>
        <v/>
      </c>
      <c r="H2102" s="2371" t="s">
        <v>3973</v>
      </c>
      <c r="I2102" s="480"/>
      <c r="J2102" s="129"/>
      <c r="K2102" s="129"/>
      <c r="L2102" s="1782"/>
      <c r="M2102" s="1758"/>
      <c r="N2102" s="1927"/>
      <c r="O2102" s="1927"/>
      <c r="P2102" s="94"/>
      <c r="Q2102" s="94"/>
      <c r="R2102" s="94"/>
      <c r="S2102" s="94"/>
      <c r="T2102" s="94"/>
      <c r="U2102" s="94"/>
      <c r="V2102" s="94"/>
      <c r="W2102" s="94"/>
      <c r="X2102" s="1770"/>
      <c r="Y2102" s="2081"/>
      <c r="Z2102" s="2084"/>
      <c r="AB2102" s="648"/>
      <c r="AC2102" s="970"/>
      <c r="AD2102" s="970"/>
      <c r="AE2102" s="970"/>
      <c r="AF2102" s="648"/>
      <c r="AG2102" s="648"/>
      <c r="AH2102" s="648"/>
      <c r="AI2102" s="648"/>
      <c r="AJ2102" s="648"/>
      <c r="AK2102" s="648"/>
      <c r="AL2102" s="1336"/>
      <c r="AM2102" s="1336"/>
      <c r="AN2102" s="1336"/>
      <c r="AO2102" s="1336"/>
      <c r="AP2102" s="1336"/>
      <c r="AQ2102" s="1336"/>
      <c r="AR2102" s="1336"/>
      <c r="AS2102" s="1336"/>
      <c r="AT2102" s="648"/>
      <c r="AU2102" s="648"/>
      <c r="AV2102" s="648"/>
      <c r="AW2102" s="648"/>
      <c r="AX2102" s="648"/>
      <c r="AY2102" s="648"/>
      <c r="AZ2102" s="648"/>
      <c r="BA2102" s="648"/>
      <c r="BB2102" s="648"/>
      <c r="BC2102" s="648"/>
      <c r="BD2102" s="648"/>
      <c r="BE2102" s="648"/>
      <c r="BF2102" s="648"/>
      <c r="BG2102" s="648"/>
      <c r="BH2102" s="648"/>
    </row>
    <row r="2103" spans="1:60" ht="15.75" thickBot="1" x14ac:dyDescent="0.3">
      <c r="A2103" s="2371">
        <v>9</v>
      </c>
      <c r="B2103" s="2385" t="s">
        <v>3253</v>
      </c>
      <c r="C2103" s="2374"/>
      <c r="D2103" s="2374"/>
      <c r="E2103" s="2374"/>
      <c r="F2103" s="2374"/>
      <c r="G2103" s="2373" t="str">
        <f>G2102</f>
        <v/>
      </c>
      <c r="H2103" s="2371" t="s">
        <v>3973</v>
      </c>
      <c r="I2103" s="481"/>
      <c r="J2103" s="240"/>
      <c r="K2103" s="240"/>
      <c r="L2103" s="1797"/>
      <c r="M2103" s="1768"/>
      <c r="N2103" s="1928"/>
      <c r="O2103" s="1928"/>
      <c r="P2103" s="99"/>
      <c r="Q2103" s="99"/>
      <c r="R2103" s="99"/>
      <c r="S2103" s="99"/>
      <c r="T2103" s="99"/>
      <c r="U2103" s="99"/>
      <c r="V2103" s="99"/>
      <c r="W2103" s="99"/>
      <c r="X2103" s="1771"/>
      <c r="Y2103" s="2082"/>
      <c r="Z2103" s="2086"/>
      <c r="AA2103" s="911"/>
      <c r="AB2103" s="648"/>
      <c r="AC2103" s="970"/>
      <c r="AD2103" s="970"/>
      <c r="AE2103" s="970"/>
      <c r="AF2103" s="648"/>
      <c r="AG2103" s="648"/>
      <c r="AH2103" s="648"/>
      <c r="AI2103" s="648"/>
      <c r="AJ2103" s="648"/>
      <c r="AK2103" s="648"/>
      <c r="AL2103" s="1336"/>
      <c r="AM2103" s="1336"/>
      <c r="AN2103" s="1336"/>
      <c r="AO2103" s="1336"/>
      <c r="AP2103" s="1336"/>
      <c r="AQ2103" s="1336"/>
      <c r="AR2103" s="1336"/>
      <c r="AS2103" s="1336"/>
      <c r="AT2103" s="648"/>
      <c r="AU2103" s="648"/>
      <c r="AV2103" s="648"/>
      <c r="AW2103" s="648"/>
      <c r="AX2103" s="648"/>
      <c r="AY2103" s="648"/>
      <c r="AZ2103" s="648"/>
      <c r="BA2103" s="648"/>
      <c r="BB2103" s="648"/>
      <c r="BC2103" s="648"/>
      <c r="BD2103" s="648"/>
      <c r="BE2103" s="648"/>
      <c r="BF2103" s="648"/>
      <c r="BG2103" s="648"/>
      <c r="BH2103" s="648"/>
    </row>
    <row r="2104" spans="1:60" ht="15.75" customHeight="1" thickTop="1" x14ac:dyDescent="0.25">
      <c r="A2104" s="2371">
        <v>9</v>
      </c>
      <c r="B2104" s="2385" t="s">
        <v>4499</v>
      </c>
      <c r="C2104" s="2374"/>
      <c r="D2104" s="2374"/>
      <c r="E2104" s="2374"/>
      <c r="F2104" s="2374"/>
      <c r="G2104" s="2373" t="s">
        <v>3974</v>
      </c>
      <c r="H2104" s="2371" t="s">
        <v>3971</v>
      </c>
      <c r="I2104" s="78" t="s">
        <v>4499</v>
      </c>
      <c r="J2104" s="667"/>
      <c r="K2104" s="667"/>
      <c r="L2104" s="1785" t="s">
        <v>4500</v>
      </c>
      <c r="M2104" s="1856" t="str">
        <f>IF(R2104,"Mandatory","N/A")</f>
        <v>Mandatory</v>
      </c>
      <c r="N2104" s="1046"/>
      <c r="O2104" s="1117"/>
      <c r="P2104" s="105" t="b">
        <v>1</v>
      </c>
      <c r="Q2104" s="105" t="b">
        <v>0</v>
      </c>
      <c r="R2104" s="105" t="b">
        <v>1</v>
      </c>
      <c r="S2104" s="105" t="b">
        <v>1</v>
      </c>
      <c r="T2104" s="105" t="b">
        <f>AND(LEN(W2156)&gt;0,W2156&gt;4,OR(W2104="ICC IRC F",W2104="N/A"))</f>
        <v>0</v>
      </c>
      <c r="U2104" s="1112" t="str">
        <f>SUBSTITUTE(SUBSTITUTE(SUBSTITUTE("dd"&amp;B2104&amp;C2104&amp;D2104&amp;E2104&amp;F2104,".","_"),"(","_"),")","")</f>
        <v>dd902_3</v>
      </c>
      <c r="V2104" s="105"/>
      <c r="W2104" s="12"/>
      <c r="X2104" s="1815"/>
      <c r="Y2104" s="2077" t="str">
        <f>IF(LEN('Ch9'!X238)=0,"None",'Ch9'!X238)</f>
        <v>None</v>
      </c>
      <c r="Z2104" s="2083"/>
      <c r="AB2104" s="648"/>
      <c r="AC2104" s="970" t="b">
        <f>OR(AD2104:AE2104)</f>
        <v>1</v>
      </c>
      <c r="AD2104" s="1496" t="b">
        <f>T2104</f>
        <v>0</v>
      </c>
      <c r="AE2104" s="970" t="b">
        <f>AND(R2104,OR(W2104="Not Met",W2104=""))</f>
        <v>1</v>
      </c>
      <c r="AF2104" s="970" t="b">
        <f>AND(AE2104,NOT(Q2104))</f>
        <v>1</v>
      </c>
      <c r="AG2104" s="648"/>
      <c r="AH2104" s="648"/>
      <c r="AI2104" s="648"/>
      <c r="AJ2104" s="648"/>
      <c r="AK2104" s="648"/>
      <c r="AL2104" s="254" t="str">
        <f>SUBSTITUTE(SUBSTITUTE(SUBSTITUTE("vpa"&amp;$B2104&amp;$C2104&amp;$D2104&amp;$E2104,".","_"),"(","_"),")","")</f>
        <v>vpa902_3</v>
      </c>
      <c r="AM2104" s="254" t="str">
        <f>M2104</f>
        <v>Mandatory</v>
      </c>
      <c r="AN2104" s="1336"/>
      <c r="AO2104" s="1336"/>
      <c r="AP2104" s="254" t="str">
        <f>SUBSTITUTE(SUBSTITUTE(SUBSTITUTE("vch"&amp;$B2104&amp;$C2104&amp;$D2104&amp;$E2104,".","_"),"(","_"),")","")</f>
        <v>vch902_3</v>
      </c>
      <c r="AQ2104" s="254" t="str">
        <f>IF(LEN(W2104)=0,"",W2104)</f>
        <v/>
      </c>
      <c r="AR2104" s="254" t="str">
        <f>SUBSTITUTE(SUBSTITUTE(SUBSTITUTE("vnt"&amp;$B2104&amp;$C2104&amp;$D2104&amp;$E2104,".","_"),"(","_"),")","")</f>
        <v>vnt902_3</v>
      </c>
      <c r="AS2104" s="254" t="str">
        <f>IF(LEN(X2104)=0,"",X2104)</f>
        <v/>
      </c>
      <c r="AT2104" s="648"/>
      <c r="AU2104" s="648"/>
      <c r="AV2104" s="648"/>
      <c r="AW2104" s="648"/>
      <c r="AX2104" s="648"/>
      <c r="AY2104" s="648"/>
      <c r="AZ2104" s="648"/>
      <c r="BA2104" s="648"/>
      <c r="BB2104" s="648"/>
      <c r="BC2104" s="648"/>
      <c r="BD2104" s="648"/>
      <c r="BE2104" s="648"/>
      <c r="BF2104" s="648"/>
      <c r="BG2104" s="648"/>
      <c r="BH2104" s="648"/>
    </row>
    <row r="2105" spans="1:60" s="911" customFormat="1" x14ac:dyDescent="0.25">
      <c r="A2105" s="2371">
        <v>9</v>
      </c>
      <c r="B2105" s="2385" t="s">
        <v>4499</v>
      </c>
      <c r="C2105" s="2374"/>
      <c r="D2105" s="2374"/>
      <c r="E2105" s="2374"/>
      <c r="F2105" s="2374"/>
      <c r="G2105" s="2373" t="s">
        <v>3974</v>
      </c>
      <c r="H2105" s="2371" t="s">
        <v>3971</v>
      </c>
      <c r="I2105" s="667"/>
      <c r="J2105" s="667"/>
      <c r="K2105" s="667"/>
      <c r="L2105" s="1785"/>
      <c r="M2105" s="1837"/>
      <c r="N2105" s="1044"/>
      <c r="O2105" s="1118"/>
      <c r="P2105" s="94"/>
      <c r="Q2105" s="94"/>
      <c r="R2105" s="94"/>
      <c r="S2105" s="94"/>
      <c r="T2105" s="94"/>
      <c r="U2105" s="94"/>
      <c r="V2105" s="94"/>
      <c r="W2105" s="94"/>
      <c r="X2105" s="1799"/>
      <c r="Y2105" s="2077"/>
      <c r="Z2105" s="2083"/>
      <c r="AA2105" s="783"/>
      <c r="AC2105" s="970"/>
      <c r="AD2105" s="970"/>
      <c r="AE2105" s="970"/>
      <c r="AL2105" s="1336"/>
      <c r="AM2105" s="1336"/>
      <c r="AN2105" s="1336"/>
      <c r="AO2105" s="1336"/>
      <c r="AP2105" s="1336"/>
      <c r="AQ2105" s="1336"/>
      <c r="AR2105" s="1336"/>
      <c r="AS2105" s="1336"/>
    </row>
    <row r="2106" spans="1:60" x14ac:dyDescent="0.25">
      <c r="A2106" s="2371">
        <v>9</v>
      </c>
      <c r="B2106" s="2385" t="s">
        <v>4499</v>
      </c>
      <c r="C2106" s="2374"/>
      <c r="D2106" s="2374"/>
      <c r="E2106" s="2374"/>
      <c r="F2106" s="2374"/>
      <c r="G2106" s="2373" t="s">
        <v>3974</v>
      </c>
      <c r="H2106" s="2371" t="s">
        <v>3971</v>
      </c>
      <c r="I2106" s="667"/>
      <c r="J2106" s="667"/>
      <c r="K2106" s="667"/>
      <c r="L2106" s="1785"/>
      <c r="M2106" s="1837"/>
      <c r="N2106" s="1044"/>
      <c r="O2106" s="1118"/>
      <c r="P2106" s="94"/>
      <c r="Q2106" s="94"/>
      <c r="R2106" s="94"/>
      <c r="S2106" s="94"/>
      <c r="T2106" s="94"/>
      <c r="U2106" s="94"/>
      <c r="V2106" s="94"/>
      <c r="W2106" s="94"/>
      <c r="X2106" s="1799"/>
      <c r="Y2106" s="2077"/>
      <c r="Z2106" s="2083"/>
      <c r="AB2106" s="648"/>
      <c r="AC2106" s="970"/>
      <c r="AD2106" s="970"/>
      <c r="AE2106" s="970"/>
      <c r="AF2106" s="648"/>
      <c r="AG2106" s="648"/>
      <c r="AH2106" s="648"/>
      <c r="AI2106" s="648"/>
      <c r="AJ2106" s="648"/>
      <c r="AK2106" s="648"/>
      <c r="AL2106" s="1336"/>
      <c r="AM2106" s="1336"/>
      <c r="AN2106" s="1336"/>
      <c r="AO2106" s="1336"/>
      <c r="AP2106" s="1336"/>
      <c r="AQ2106" s="1336"/>
      <c r="AR2106" s="1336"/>
      <c r="AS2106" s="1336"/>
      <c r="AT2106" s="648"/>
      <c r="AU2106" s="648"/>
      <c r="AV2106" s="648"/>
      <c r="AW2106" s="648"/>
      <c r="AX2106" s="648"/>
      <c r="AY2106" s="648"/>
      <c r="AZ2106" s="648"/>
      <c r="BA2106" s="648"/>
      <c r="BB2106" s="648"/>
      <c r="BC2106" s="648"/>
      <c r="BD2106" s="648"/>
      <c r="BE2106" s="648"/>
      <c r="BF2106" s="648"/>
      <c r="BG2106" s="648"/>
      <c r="BH2106" s="648"/>
    </row>
    <row r="2107" spans="1:60" x14ac:dyDescent="0.25">
      <c r="A2107" s="2371">
        <v>9</v>
      </c>
      <c r="B2107" s="2385" t="s">
        <v>4499</v>
      </c>
      <c r="C2107" s="2374" t="s">
        <v>256</v>
      </c>
      <c r="D2107" s="2374"/>
      <c r="E2107" s="2374"/>
      <c r="F2107" s="2397"/>
      <c r="G2107" s="2373" t="s">
        <v>3974</v>
      </c>
      <c r="H2107" s="2371" t="s">
        <v>3971</v>
      </c>
      <c r="I2107" s="667"/>
      <c r="J2107" s="667" t="s">
        <v>256</v>
      </c>
      <c r="K2107" s="667"/>
      <c r="L2107" s="1191" t="s">
        <v>3255</v>
      </c>
      <c r="M2107" s="1112"/>
      <c r="N2107" s="1044">
        <f ca="1">'Ch9'!O241</f>
        <v>0</v>
      </c>
      <c r="O2107" s="1115">
        <f ca="1">IFERROR(INDEX({0,12,0,0},MATCH(W2104,INDIRECT(U2104),0)),0)*S2107</f>
        <v>0</v>
      </c>
      <c r="P2107" s="1112"/>
      <c r="Q2107" s="1112"/>
      <c r="R2107" s="1112" t="b">
        <f>S2107</f>
        <v>0</v>
      </c>
      <c r="S2107" s="1112" t="b">
        <f>(BE1882= 1)</f>
        <v>0</v>
      </c>
      <c r="T2107" s="1112"/>
      <c r="U2107" s="1112"/>
      <c r="V2107"/>
      <c r="W2107"/>
      <c r="X2107" s="1799"/>
      <c r="Y2107" s="2077"/>
      <c r="Z2107" s="2083"/>
      <c r="AB2107" s="648"/>
      <c r="AC2107" s="970"/>
      <c r="AD2107" s="970"/>
      <c r="AE2107" s="970"/>
      <c r="AF2107" s="784"/>
      <c r="AG2107" s="648"/>
      <c r="AH2107" s="648"/>
      <c r="AI2107" s="648"/>
      <c r="AJ2107" s="648"/>
      <c r="AK2107" s="648"/>
      <c r="AL2107" s="254"/>
      <c r="AM2107" s="254"/>
      <c r="AN2107" s="254" t="str">
        <f>SUBSTITUTE(SUBSTITUTE(SUBSTITUTE("vpc"&amp;$B2107&amp;$C2107&amp;$D2107&amp;$E2107,".","_"),"(","_"),")","")</f>
        <v>vpc902_3_1</v>
      </c>
      <c r="AO2107" s="254">
        <f ca="1">O2107</f>
        <v>0</v>
      </c>
      <c r="AP2107" s="254"/>
      <c r="AQ2107" s="254"/>
      <c r="AR2107" s="1336"/>
      <c r="AS2107" s="1336"/>
      <c r="AT2107" s="648"/>
      <c r="AU2107" s="648"/>
      <c r="AV2107" s="648"/>
      <c r="AW2107" s="648"/>
      <c r="AX2107" s="648"/>
      <c r="AY2107" s="648"/>
      <c r="AZ2107" s="648"/>
      <c r="BA2107" s="648"/>
      <c r="BB2107" s="648"/>
      <c r="BC2107" s="648"/>
      <c r="BD2107" s="648"/>
      <c r="BE2107" s="648"/>
      <c r="BF2107" s="648"/>
      <c r="BG2107" s="648"/>
      <c r="BH2107" s="648"/>
    </row>
    <row r="2108" spans="1:60" x14ac:dyDescent="0.25">
      <c r="A2108" s="2371">
        <v>9</v>
      </c>
      <c r="B2108" s="2385" t="s">
        <v>4499</v>
      </c>
      <c r="C2108" s="2374" t="s">
        <v>256</v>
      </c>
      <c r="D2108" s="2374" t="s">
        <v>121</v>
      </c>
      <c r="E2108" s="2374"/>
      <c r="F2108" s="2397"/>
      <c r="G2108" s="2373" t="s">
        <v>3974</v>
      </c>
      <c r="H2108" s="2371" t="s">
        <v>3971</v>
      </c>
      <c r="I2108" s="667"/>
      <c r="J2108" s="667"/>
      <c r="K2108" s="667" t="s">
        <v>121</v>
      </c>
      <c r="L2108" s="1191" t="s">
        <v>4501</v>
      </c>
      <c r="M2108" s="1119" t="str">
        <f>IF(R2107,"Mandatory","N/A")</f>
        <v>N/A</v>
      </c>
      <c r="N2108" s="1044"/>
      <c r="O2108" s="1115"/>
      <c r="P2108" s="1112"/>
      <c r="Q2108" s="1112"/>
      <c r="R2108" s="1112"/>
      <c r="S2108" s="1112"/>
      <c r="T2108" s="1112"/>
      <c r="U2108" s="1112"/>
      <c r="V2108"/>
      <c r="W2108"/>
      <c r="X2108" s="1799"/>
      <c r="Y2108" s="2077"/>
      <c r="Z2108" s="2083"/>
      <c r="AB2108" s="648"/>
      <c r="AC2108" s="970"/>
      <c r="AD2108" s="970"/>
      <c r="AE2108" s="970"/>
      <c r="AF2108" s="648"/>
      <c r="AG2108" s="648"/>
      <c r="AH2108" s="648"/>
      <c r="AI2108" s="648"/>
      <c r="AJ2108" s="648"/>
      <c r="AK2108" s="648"/>
      <c r="AL2108" s="254" t="str">
        <f>SUBSTITUTE(SUBSTITUTE(SUBSTITUTE("vpa"&amp;$B2108&amp;$C2108&amp;$D2108&amp;$E2108,".","_"),"(","_"),")","")</f>
        <v>vpa902_3_1_a</v>
      </c>
      <c r="AM2108" s="254" t="str">
        <f>M2108</f>
        <v>N/A</v>
      </c>
      <c r="AN2108" s="1336"/>
      <c r="AO2108" s="1336"/>
      <c r="AP2108" s="1336"/>
      <c r="AQ2108" s="1336"/>
      <c r="AR2108" s="1336"/>
      <c r="AS2108" s="1336"/>
      <c r="AT2108" s="648"/>
      <c r="AU2108" s="648"/>
      <c r="AV2108" s="648"/>
      <c r="AW2108" s="648"/>
      <c r="AX2108" s="648"/>
      <c r="AY2108" s="648"/>
      <c r="AZ2108" s="648"/>
      <c r="BA2108" s="648"/>
      <c r="BB2108" s="648"/>
      <c r="BC2108" s="648"/>
      <c r="BD2108" s="648"/>
      <c r="BE2108" s="648"/>
      <c r="BF2108" s="648"/>
      <c r="BG2108" s="648"/>
      <c r="BH2108" s="648"/>
    </row>
    <row r="2109" spans="1:60" x14ac:dyDescent="0.25">
      <c r="A2109" s="2371">
        <v>9</v>
      </c>
      <c r="B2109" s="2385" t="s">
        <v>4499</v>
      </c>
      <c r="C2109" s="2374" t="s">
        <v>256</v>
      </c>
      <c r="D2109" s="2374" t="s">
        <v>122</v>
      </c>
      <c r="E2109" s="2374"/>
      <c r="F2109" s="2397"/>
      <c r="G2109" s="2373" t="s">
        <v>3974</v>
      </c>
      <c r="H2109" s="2371" t="s">
        <v>3971</v>
      </c>
      <c r="I2109" s="667"/>
      <c r="J2109" s="684"/>
      <c r="K2109" s="684" t="s">
        <v>122</v>
      </c>
      <c r="L2109" s="1192" t="s">
        <v>4502</v>
      </c>
      <c r="M2109" s="1114">
        <v>12</v>
      </c>
      <c r="N2109" s="1047"/>
      <c r="O2109" s="1116"/>
      <c r="P2109" s="1112"/>
      <c r="Q2109" s="1112"/>
      <c r="R2109" s="1112"/>
      <c r="S2109" s="1112"/>
      <c r="T2109" s="1112"/>
      <c r="U2109" s="1112"/>
      <c r="V2109"/>
      <c r="W2109"/>
      <c r="X2109" s="1799"/>
      <c r="Y2109" s="2077"/>
      <c r="Z2109" s="2083"/>
      <c r="AB2109" s="648"/>
      <c r="AC2109" s="970"/>
      <c r="AD2109" s="970"/>
      <c r="AE2109" s="970"/>
      <c r="AF2109" s="648"/>
      <c r="AG2109" s="648"/>
      <c r="AH2109" s="648"/>
      <c r="AI2109" s="648"/>
      <c r="AJ2109" s="648"/>
      <c r="AK2109" s="648"/>
      <c r="AL2109" s="254" t="str">
        <f>SUBSTITUTE(SUBSTITUTE(SUBSTITUTE("vpa"&amp;$B2109&amp;$C2109&amp;$D2109&amp;$E2109,".","_"),"(","_"),")","")</f>
        <v>vpa902_3_1_b</v>
      </c>
      <c r="AM2109" s="254">
        <f>M2109</f>
        <v>12</v>
      </c>
      <c r="AN2109" s="1336"/>
      <c r="AO2109" s="1336"/>
      <c r="AP2109" s="1336"/>
      <c r="AQ2109" s="1336"/>
      <c r="AR2109" s="1336"/>
      <c r="AS2109" s="1336"/>
      <c r="AT2109" s="648"/>
      <c r="AU2109" s="648"/>
      <c r="AV2109" s="648"/>
      <c r="AW2109" s="648"/>
      <c r="AX2109" s="648"/>
      <c r="AY2109" s="648"/>
      <c r="AZ2109" s="648"/>
      <c r="BA2109" s="648"/>
      <c r="BB2109" s="648"/>
      <c r="BC2109" s="648"/>
      <c r="BD2109" s="648"/>
      <c r="BE2109" s="648"/>
      <c r="BF2109" s="648"/>
      <c r="BG2109" s="648"/>
      <c r="BH2109" s="648"/>
    </row>
    <row r="2110" spans="1:60" ht="15" customHeight="1" x14ac:dyDescent="0.25">
      <c r="A2110" s="2371">
        <v>9</v>
      </c>
      <c r="B2110" s="2385" t="s">
        <v>4499</v>
      </c>
      <c r="C2110" s="2374" t="s">
        <v>258</v>
      </c>
      <c r="D2110" s="2374"/>
      <c r="E2110" s="2374"/>
      <c r="F2110" s="2397"/>
      <c r="G2110" s="2373" t="s">
        <v>3974</v>
      </c>
      <c r="H2110" s="2371" t="s">
        <v>3971</v>
      </c>
      <c r="I2110" s="667"/>
      <c r="J2110" s="667" t="s">
        <v>258</v>
      </c>
      <c r="K2110" s="667"/>
      <c r="L2110" s="1191" t="s">
        <v>3256</v>
      </c>
      <c r="M2110" s="1113"/>
      <c r="N2110" s="1044">
        <f ca="1">'Ch9'!O244</f>
        <v>0</v>
      </c>
      <c r="O2110" s="1115">
        <f ca="1">IFERROR(INDEX({6,12,6,0},MATCH(W2104,INDIRECT(U2104),0)),0)*S2110</f>
        <v>0</v>
      </c>
      <c r="P2110" s="1112"/>
      <c r="Q2110" s="1112"/>
      <c r="R2110" s="1112" t="b">
        <v>0</v>
      </c>
      <c r="S2110" s="1112" t="b">
        <f>OR(BE1882=2,BE1882=3)</f>
        <v>0</v>
      </c>
      <c r="T2110" s="1112"/>
      <c r="U2110" s="1112"/>
      <c r="V2110"/>
      <c r="W2110"/>
      <c r="X2110" s="1799"/>
      <c r="Y2110" s="2077"/>
      <c r="Z2110" s="2083"/>
      <c r="AA2110"/>
      <c r="AB2110" s="648"/>
      <c r="AC2110" s="970"/>
      <c r="AD2110" s="970"/>
      <c r="AE2110" s="970"/>
      <c r="AF2110" s="648"/>
      <c r="AG2110" s="648"/>
      <c r="AH2110" s="648"/>
      <c r="AI2110" s="648"/>
      <c r="AJ2110" s="648"/>
      <c r="AK2110" s="648"/>
      <c r="AL2110" s="1336"/>
      <c r="AM2110" s="1336"/>
      <c r="AN2110" s="254" t="str">
        <f>SUBSTITUTE(SUBSTITUTE(SUBSTITUTE("vpc"&amp;$B2110&amp;$C2110&amp;$D2110&amp;$E2110,".","_"),"(","_"),")","")</f>
        <v>vpc902_3_2</v>
      </c>
      <c r="AO2110" s="254">
        <f ca="1">O2110</f>
        <v>0</v>
      </c>
      <c r="AP2110" s="1336"/>
      <c r="AQ2110" s="1336"/>
      <c r="AR2110" s="1336"/>
      <c r="AS2110" s="1336"/>
      <c r="AT2110" s="648"/>
      <c r="AU2110" s="648"/>
      <c r="AV2110" s="648"/>
      <c r="AW2110" s="648"/>
      <c r="AX2110" s="648"/>
      <c r="AY2110" s="648"/>
      <c r="AZ2110" s="648"/>
      <c r="BA2110" s="648"/>
      <c r="BB2110" s="648"/>
      <c r="BC2110" s="648"/>
      <c r="BD2110" s="648"/>
      <c r="BE2110" s="648"/>
      <c r="BF2110" s="648"/>
      <c r="BG2110" s="648"/>
      <c r="BH2110" s="648"/>
    </row>
    <row r="2111" spans="1:60" ht="15" customHeight="1" x14ac:dyDescent="0.25">
      <c r="A2111" s="2371">
        <v>9</v>
      </c>
      <c r="B2111" s="2385" t="s">
        <v>4499</v>
      </c>
      <c r="C2111" s="2374" t="s">
        <v>258</v>
      </c>
      <c r="D2111" s="2374" t="s">
        <v>121</v>
      </c>
      <c r="E2111" s="2374"/>
      <c r="F2111" s="2397"/>
      <c r="G2111" s="2373" t="s">
        <v>3974</v>
      </c>
      <c r="H2111" s="2371" t="s">
        <v>3971</v>
      </c>
      <c r="I2111" s="667"/>
      <c r="J2111" s="667"/>
      <c r="K2111" s="667" t="s">
        <v>121</v>
      </c>
      <c r="L2111" s="1191" t="s">
        <v>4501</v>
      </c>
      <c r="M2111" s="1113">
        <v>6</v>
      </c>
      <c r="N2111" s="664"/>
      <c r="O2111" s="1115"/>
      <c r="P2111" s="1112"/>
      <c r="Q2111" s="1112"/>
      <c r="R2111" s="1112"/>
      <c r="S2111" s="1112"/>
      <c r="T2111" s="1112"/>
      <c r="U2111" s="1112"/>
      <c r="V2111"/>
      <c r="W2111"/>
      <c r="X2111" s="1799"/>
      <c r="Y2111" s="2077"/>
      <c r="Z2111" s="2083"/>
      <c r="AA2111"/>
      <c r="AB2111" s="648"/>
      <c r="AC2111" s="970"/>
      <c r="AD2111" s="970"/>
      <c r="AE2111" s="970"/>
      <c r="AF2111" s="784"/>
      <c r="AG2111" s="648"/>
      <c r="AH2111" s="648"/>
      <c r="AI2111" s="648"/>
      <c r="AJ2111" s="648"/>
      <c r="AK2111" s="648"/>
      <c r="AL2111" s="254" t="str">
        <f>SUBSTITUTE(SUBSTITUTE(SUBSTITUTE("vpa"&amp;$B2111&amp;$C2111&amp;$D2111&amp;$E2111,".","_"),"(","_"),")","")</f>
        <v>vpa902_3_2_a</v>
      </c>
      <c r="AM2111" s="254">
        <f>M2111</f>
        <v>6</v>
      </c>
      <c r="AN2111" s="254"/>
      <c r="AO2111" s="254"/>
      <c r="AP2111" s="254"/>
      <c r="AQ2111" s="254"/>
      <c r="AR2111" s="1336"/>
      <c r="AS2111" s="1336"/>
      <c r="AT2111" s="648"/>
      <c r="AU2111" s="648"/>
      <c r="AV2111" s="648"/>
      <c r="AW2111" s="648"/>
      <c r="AX2111" s="648"/>
      <c r="AY2111" s="648"/>
      <c r="AZ2111" s="648"/>
      <c r="BA2111" s="648"/>
      <c r="BB2111" s="648"/>
      <c r="BC2111" s="648"/>
      <c r="BD2111" s="648"/>
      <c r="BE2111" s="648"/>
      <c r="BF2111" s="648"/>
      <c r="BG2111" s="648"/>
      <c r="BH2111" s="648"/>
    </row>
    <row r="2112" spans="1:60" ht="15" customHeight="1" x14ac:dyDescent="0.25">
      <c r="A2112" s="2371">
        <v>9</v>
      </c>
      <c r="B2112" s="2385" t="s">
        <v>4499</v>
      </c>
      <c r="C2112" s="2374" t="s">
        <v>258</v>
      </c>
      <c r="D2112" s="2374" t="s">
        <v>122</v>
      </c>
      <c r="G2112" s="2373" t="s">
        <v>3974</v>
      </c>
      <c r="H2112" s="2371" t="s">
        <v>3971</v>
      </c>
      <c r="I2112" s="684"/>
      <c r="J2112" s="684"/>
      <c r="K2112" s="684" t="s">
        <v>122</v>
      </c>
      <c r="L2112" s="1192" t="s">
        <v>4502</v>
      </c>
      <c r="M2112" s="1113">
        <v>12</v>
      </c>
      <c r="N2112" s="1041"/>
      <c r="O2112" s="1112"/>
      <c r="P2112" s="1112"/>
      <c r="Q2112" s="1112"/>
      <c r="R2112" s="1112"/>
      <c r="S2112" s="1112"/>
      <c r="T2112" s="1112"/>
      <c r="U2112" s="1112"/>
      <c r="V2112"/>
      <c r="W2112"/>
      <c r="X2112" s="1756"/>
      <c r="Y2112" s="2077"/>
      <c r="Z2112" s="2083"/>
      <c r="AA2112"/>
      <c r="AC2112" s="970"/>
      <c r="AD2112" s="970"/>
      <c r="AE2112" s="970"/>
      <c r="AF2112"/>
      <c r="AG2112"/>
      <c r="AH2112"/>
      <c r="AI2112"/>
      <c r="AJ2112"/>
      <c r="AK2112"/>
      <c r="AL2112" s="254" t="str">
        <f>SUBSTITUTE(SUBSTITUTE(SUBSTITUTE("vpa"&amp;$B2112&amp;$C2112&amp;$D2112&amp;$E2112,".","_"),"(","_"),")","")</f>
        <v>vpa902_3_2_b</v>
      </c>
      <c r="AM2112" s="254">
        <f>M2112</f>
        <v>12</v>
      </c>
      <c r="AN2112" s="1336"/>
      <c r="AO2112" s="1336"/>
      <c r="AP2112" s="1336"/>
      <c r="AQ2112" s="1336"/>
      <c r="AR2112" s="1336"/>
      <c r="AS2112" s="1336"/>
      <c r="AT2112"/>
    </row>
    <row r="2113" spans="1:46" ht="15" customHeight="1" x14ac:dyDescent="0.25">
      <c r="A2113" s="2371">
        <v>9</v>
      </c>
      <c r="B2113" s="2385" t="s">
        <v>4503</v>
      </c>
      <c r="C2113" s="2374"/>
      <c r="D2113" s="2374"/>
      <c r="E2113" s="2385"/>
      <c r="F2113" s="2385"/>
      <c r="G2113" s="2373" t="s">
        <v>3974</v>
      </c>
      <c r="H2113" s="2371" t="s">
        <v>3971</v>
      </c>
      <c r="I2113" s="667" t="s">
        <v>4503</v>
      </c>
      <c r="J2113" s="667"/>
      <c r="K2113" s="667"/>
      <c r="L2113" s="1151" t="s">
        <v>4504</v>
      </c>
      <c r="M2113" s="193"/>
      <c r="N2113" s="664"/>
      <c r="O2113" s="195"/>
      <c r="P2113" s="1112"/>
      <c r="Q2113" s="1112"/>
      <c r="R2113" s="1112"/>
      <c r="S2113" s="1112"/>
      <c r="T2113" s="94"/>
      <c r="U2113" s="1112"/>
      <c r="V2113"/>
      <c r="W2113"/>
      <c r="X2113" s="918"/>
      <c r="Y2113" s="936"/>
      <c r="Z2113" s="1587"/>
      <c r="AA2113"/>
      <c r="AC2113" s="970"/>
      <c r="AD2113" s="970"/>
      <c r="AE2113" s="970"/>
      <c r="AF2113"/>
      <c r="AG2113"/>
      <c r="AH2113"/>
      <c r="AI2113"/>
      <c r="AJ2113"/>
      <c r="AK2113"/>
      <c r="AL2113" s="1336"/>
      <c r="AM2113" s="1336"/>
      <c r="AN2113" s="1336"/>
      <c r="AO2113" s="1336"/>
      <c r="AP2113" s="1336"/>
      <c r="AQ2113" s="1336"/>
      <c r="AR2113" s="254" t="str">
        <f>SUBSTITUTE(SUBSTITUTE(SUBSTITUTE("vnt"&amp;$B2113&amp;$C2113&amp;$D2113&amp;$E2113,".","_"),"(","_"),")","")</f>
        <v>vnt902_3_1</v>
      </c>
      <c r="AS2113" s="254" t="str">
        <f>IF(LEN(X2113)=0,"",X2113)</f>
        <v/>
      </c>
      <c r="AT2113"/>
    </row>
    <row r="2114" spans="1:46" ht="15" customHeight="1" x14ac:dyDescent="0.25">
      <c r="A2114" s="2371">
        <v>9</v>
      </c>
      <c r="B2114" s="2385" t="s">
        <v>4505</v>
      </c>
      <c r="C2114" s="2374"/>
      <c r="D2114" s="2374"/>
      <c r="E2114" s="2385"/>
      <c r="F2114" s="2385"/>
      <c r="G2114" s="2373" t="s">
        <v>3974</v>
      </c>
      <c r="H2114" s="2371" t="s">
        <v>3971</v>
      </c>
      <c r="I2114" s="667" t="s">
        <v>4505</v>
      </c>
      <c r="J2114" s="667"/>
      <c r="K2114" s="667"/>
      <c r="L2114" s="1785" t="s">
        <v>4506</v>
      </c>
      <c r="M2114" s="4"/>
      <c r="N2114" s="664"/>
      <c r="O2114" s="664"/>
      <c r="P2114" s="911"/>
      <c r="Q2114" s="911"/>
      <c r="R2114" s="911"/>
      <c r="S2114" s="911"/>
      <c r="T2114" s="911"/>
      <c r="U2114" s="911"/>
      <c r="V2114"/>
      <c r="W2114"/>
      <c r="X2114"/>
      <c r="Y2114"/>
      <c r="AA2114"/>
      <c r="AC2114" s="970"/>
      <c r="AD2114" s="970"/>
      <c r="AE2114" s="970"/>
      <c r="AF2114"/>
      <c r="AG2114"/>
      <c r="AH2114"/>
      <c r="AI2114"/>
      <c r="AJ2114"/>
      <c r="AK2114"/>
      <c r="AL2114" s="1336"/>
      <c r="AM2114" s="1336"/>
      <c r="AN2114" s="1336"/>
      <c r="AO2114" s="1336"/>
      <c r="AP2114" s="1336"/>
      <c r="AQ2114" s="1336"/>
      <c r="AR2114" s="1336"/>
      <c r="AS2114" s="1336"/>
      <c r="AT2114"/>
    </row>
    <row r="2115" spans="1:46" ht="15" customHeight="1" x14ac:dyDescent="0.25">
      <c r="A2115" s="2371">
        <v>9</v>
      </c>
      <c r="B2115" s="2385" t="s">
        <v>4505</v>
      </c>
      <c r="C2115" s="2374"/>
      <c r="D2115" s="2374"/>
      <c r="E2115" s="2385"/>
      <c r="F2115" s="2385"/>
      <c r="G2115" s="2373" t="s">
        <v>3974</v>
      </c>
      <c r="H2115" s="2371" t="s">
        <v>3971</v>
      </c>
      <c r="I2115" s="667"/>
      <c r="J2115" s="667"/>
      <c r="K2115" s="667"/>
      <c r="L2115" s="1785"/>
      <c r="M2115" s="4"/>
      <c r="N2115" s="664"/>
      <c r="O2115" s="664"/>
      <c r="P2115" s="911"/>
      <c r="Q2115" s="911"/>
      <c r="R2115" s="911"/>
      <c r="S2115" s="911"/>
      <c r="T2115" s="911"/>
      <c r="U2115" s="911"/>
      <c r="V2115"/>
      <c r="W2115"/>
      <c r="X2115"/>
      <c r="Y2115"/>
      <c r="AA2115" s="1066"/>
      <c r="AC2115" s="970"/>
      <c r="AD2115" s="970"/>
      <c r="AE2115" s="970"/>
      <c r="AF2115"/>
      <c r="AG2115"/>
      <c r="AH2115"/>
      <c r="AI2115"/>
      <c r="AJ2115"/>
      <c r="AK2115"/>
      <c r="AL2115" s="1336"/>
      <c r="AM2115" s="1336"/>
      <c r="AN2115" s="1336"/>
      <c r="AO2115" s="1336"/>
      <c r="AP2115" s="1336"/>
      <c r="AQ2115" s="1336"/>
      <c r="AR2115" s="1336"/>
      <c r="AS2115" s="1336"/>
      <c r="AT2115"/>
    </row>
    <row r="2116" spans="1:46" x14ac:dyDescent="0.25">
      <c r="A2116" s="2371">
        <v>9</v>
      </c>
      <c r="B2116" s="2385" t="s">
        <v>4505</v>
      </c>
      <c r="C2116" s="2374"/>
      <c r="D2116" s="2374"/>
      <c r="E2116" s="2385"/>
      <c r="F2116" s="2385"/>
      <c r="G2116" s="2373" t="s">
        <v>3974</v>
      </c>
      <c r="H2116" s="2371" t="s">
        <v>3971</v>
      </c>
      <c r="I2116" s="667"/>
      <c r="J2116" s="667"/>
      <c r="K2116" s="667"/>
      <c r="L2116" s="1785"/>
      <c r="M2116" s="4"/>
      <c r="N2116" s="664"/>
      <c r="O2116" s="664"/>
      <c r="P2116" s="911"/>
      <c r="Q2116" s="911"/>
      <c r="R2116" s="911"/>
      <c r="S2116" s="911"/>
      <c r="T2116" s="911"/>
      <c r="U2116" s="911"/>
      <c r="V2116"/>
      <c r="W2116"/>
      <c r="X2116"/>
      <c r="Y2116"/>
      <c r="AA2116"/>
      <c r="AC2116" s="970"/>
      <c r="AD2116" s="970"/>
      <c r="AE2116" s="970"/>
      <c r="AF2116"/>
      <c r="AG2116"/>
      <c r="AH2116"/>
      <c r="AI2116"/>
      <c r="AJ2116"/>
      <c r="AK2116"/>
      <c r="AL2116" s="1336"/>
      <c r="AM2116" s="1336"/>
      <c r="AN2116" s="1336"/>
      <c r="AO2116" s="1336"/>
      <c r="AP2116" s="1336"/>
      <c r="AQ2116" s="1336"/>
      <c r="AR2116" s="1336"/>
      <c r="AS2116" s="1336"/>
      <c r="AT2116"/>
    </row>
    <row r="2117" spans="1:46" s="1066" customFormat="1" x14ac:dyDescent="0.25">
      <c r="A2117" s="2371">
        <v>9</v>
      </c>
      <c r="B2117" s="2385" t="s">
        <v>4505</v>
      </c>
      <c r="C2117" s="2374"/>
      <c r="D2117" s="2374"/>
      <c r="E2117" s="2385"/>
      <c r="F2117" s="2385"/>
      <c r="G2117" s="2373" t="s">
        <v>3974</v>
      </c>
      <c r="H2117" s="2371" t="s">
        <v>3971</v>
      </c>
      <c r="I2117" s="667"/>
      <c r="J2117" s="667"/>
      <c r="K2117" s="667"/>
      <c r="L2117" s="1785"/>
      <c r="M2117" s="4"/>
      <c r="N2117" s="664"/>
      <c r="O2117" s="664"/>
      <c r="Z2117" s="731"/>
      <c r="AA2117"/>
      <c r="AL2117" s="1336"/>
      <c r="AM2117" s="1336"/>
      <c r="AN2117" s="1336"/>
      <c r="AO2117" s="1336"/>
      <c r="AP2117" s="1336"/>
      <c r="AQ2117" s="1336"/>
      <c r="AR2117" s="1336"/>
      <c r="AS2117" s="1336"/>
    </row>
    <row r="2118" spans="1:46" x14ac:dyDescent="0.25">
      <c r="A2118" s="2371">
        <v>9</v>
      </c>
      <c r="B2118" s="2385" t="s">
        <v>4505</v>
      </c>
      <c r="C2118" s="2374"/>
      <c r="D2118" s="2374"/>
      <c r="E2118" s="2385"/>
      <c r="F2118" s="2385"/>
      <c r="G2118" s="2373" t="s">
        <v>3974</v>
      </c>
      <c r="H2118" s="2371" t="s">
        <v>3971</v>
      </c>
      <c r="I2118" s="667"/>
      <c r="J2118" s="667"/>
      <c r="K2118" s="667"/>
      <c r="L2118" s="1785"/>
      <c r="M2118" s="4"/>
      <c r="N2118" s="664"/>
      <c r="O2118" s="664"/>
      <c r="P2118" s="911"/>
      <c r="Q2118" s="911"/>
      <c r="R2118" s="911"/>
      <c r="S2118" s="911"/>
      <c r="T2118" s="911"/>
      <c r="U2118" s="911"/>
      <c r="V2118"/>
      <c r="W2118"/>
      <c r="X2118"/>
      <c r="Y2118"/>
      <c r="AA2118"/>
      <c r="AC2118" s="970"/>
      <c r="AD2118" s="970"/>
      <c r="AE2118" s="970"/>
      <c r="AF2118"/>
      <c r="AG2118"/>
      <c r="AH2118"/>
      <c r="AI2118"/>
      <c r="AJ2118"/>
      <c r="AK2118"/>
      <c r="AL2118" s="1336"/>
      <c r="AM2118" s="1336"/>
      <c r="AN2118" s="1336"/>
      <c r="AO2118" s="1336"/>
      <c r="AP2118" s="1336"/>
      <c r="AQ2118" s="1336"/>
      <c r="AR2118" s="1336"/>
      <c r="AS2118" s="1336"/>
      <c r="AT2118"/>
    </row>
    <row r="2119" spans="1:46" x14ac:dyDescent="0.25">
      <c r="A2119" s="2371">
        <v>9</v>
      </c>
      <c r="B2119" s="2385" t="s">
        <v>4505</v>
      </c>
      <c r="C2119" s="2374"/>
      <c r="D2119" s="2374"/>
      <c r="E2119" s="2385"/>
      <c r="F2119" s="2385"/>
      <c r="G2119" s="2373" t="s">
        <v>3974</v>
      </c>
      <c r="H2119" s="2371" t="s">
        <v>3971</v>
      </c>
      <c r="I2119" s="667"/>
      <c r="J2119" s="667"/>
      <c r="K2119" s="667"/>
      <c r="L2119" s="1785"/>
      <c r="M2119" s="4"/>
      <c r="N2119" s="664"/>
      <c r="O2119" s="664"/>
      <c r="P2119" s="911"/>
      <c r="Q2119" s="911"/>
      <c r="R2119" s="911"/>
      <c r="S2119" s="911"/>
      <c r="T2119" s="911"/>
      <c r="U2119" s="911"/>
      <c r="V2119"/>
      <c r="W2119"/>
      <c r="X2119"/>
      <c r="Y2119"/>
      <c r="AA2119"/>
      <c r="AC2119" s="970"/>
      <c r="AD2119" s="970"/>
      <c r="AE2119" s="970"/>
      <c r="AF2119"/>
      <c r="AG2119"/>
      <c r="AH2119"/>
      <c r="AI2119"/>
      <c r="AJ2119"/>
      <c r="AK2119"/>
      <c r="AL2119" s="1336"/>
      <c r="AM2119" s="1336"/>
      <c r="AN2119" s="1336"/>
      <c r="AO2119" s="1336"/>
      <c r="AP2119" s="1336"/>
      <c r="AQ2119" s="1336"/>
      <c r="AR2119" s="1336"/>
      <c r="AS2119" s="1336"/>
      <c r="AT2119"/>
    </row>
    <row r="2120" spans="1:46" x14ac:dyDescent="0.25">
      <c r="A2120" s="2371">
        <v>9</v>
      </c>
      <c r="B2120" s="2385" t="s">
        <v>4505</v>
      </c>
      <c r="C2120" s="2374"/>
      <c r="D2120" s="2374"/>
      <c r="E2120" s="2385"/>
      <c r="F2120" s="2385"/>
      <c r="G2120" s="2373" t="s">
        <v>3974</v>
      </c>
      <c r="H2120" s="2371" t="s">
        <v>3971</v>
      </c>
      <c r="I2120" s="667"/>
      <c r="J2120" s="667"/>
      <c r="K2120" s="667"/>
      <c r="L2120" s="1785"/>
      <c r="M2120" s="4"/>
      <c r="N2120" s="664"/>
      <c r="O2120" s="664"/>
      <c r="P2120" s="911"/>
      <c r="Q2120" s="911"/>
      <c r="R2120" s="911"/>
      <c r="S2120" s="911"/>
      <c r="T2120" s="911"/>
      <c r="U2120" s="911"/>
      <c r="V2120"/>
      <c r="W2120"/>
      <c r="X2120"/>
      <c r="Y2120"/>
      <c r="AA2120"/>
      <c r="AC2120" s="970"/>
      <c r="AD2120" s="970"/>
      <c r="AE2120" s="970"/>
      <c r="AF2120"/>
      <c r="AG2120"/>
      <c r="AH2120"/>
      <c r="AI2120"/>
      <c r="AJ2120"/>
      <c r="AK2120"/>
      <c r="AL2120" s="1336"/>
      <c r="AM2120" s="1336"/>
      <c r="AN2120" s="1336"/>
      <c r="AO2120" s="1336"/>
      <c r="AP2120" s="1336"/>
      <c r="AQ2120" s="1336"/>
      <c r="AR2120" s="1336"/>
      <c r="AS2120" s="1336"/>
      <c r="AT2120"/>
    </row>
    <row r="2121" spans="1:46" x14ac:dyDescent="0.25">
      <c r="A2121" s="2371">
        <v>9</v>
      </c>
      <c r="B2121" s="2385" t="s">
        <v>4505</v>
      </c>
      <c r="C2121" s="2374"/>
      <c r="D2121" s="2374"/>
      <c r="E2121" s="2385"/>
      <c r="F2121" s="2385"/>
      <c r="G2121" s="2373" t="s">
        <v>3974</v>
      </c>
      <c r="H2121" s="2371" t="s">
        <v>3971</v>
      </c>
      <c r="I2121" s="684"/>
      <c r="J2121" s="684"/>
      <c r="K2121" s="684"/>
      <c r="L2121" s="1936"/>
      <c r="M2121" s="4"/>
      <c r="N2121" s="664"/>
      <c r="O2121" s="664"/>
      <c r="P2121" s="911"/>
      <c r="Q2121" s="911"/>
      <c r="R2121" s="911"/>
      <c r="S2121" s="911"/>
      <c r="T2121" s="911"/>
      <c r="U2121" s="911"/>
      <c r="V2121"/>
      <c r="W2121"/>
      <c r="X2121"/>
      <c r="Y2121"/>
      <c r="AA2121"/>
      <c r="AC2121" s="970"/>
      <c r="AD2121" s="970"/>
      <c r="AE2121" s="970"/>
      <c r="AF2121"/>
      <c r="AG2121"/>
      <c r="AH2121"/>
      <c r="AI2121"/>
      <c r="AJ2121"/>
      <c r="AK2121"/>
      <c r="AL2121" s="1336"/>
      <c r="AM2121" s="1336"/>
      <c r="AN2121" s="1336"/>
      <c r="AO2121" s="1336"/>
      <c r="AP2121" s="1336"/>
      <c r="AQ2121" s="1336"/>
      <c r="AR2121" s="1336"/>
      <c r="AS2121" s="1336"/>
      <c r="AT2121"/>
    </row>
    <row r="2122" spans="1:46" x14ac:dyDescent="0.25">
      <c r="A2122" s="2371">
        <v>9</v>
      </c>
      <c r="B2122" s="2385" t="s">
        <v>4507</v>
      </c>
      <c r="C2122" s="2374"/>
      <c r="D2122" s="2374"/>
      <c r="E2122" s="2385"/>
      <c r="F2122" s="2385"/>
      <c r="G2122" s="2373" t="s">
        <v>3974</v>
      </c>
      <c r="H2122" s="2371" t="s">
        <v>3971</v>
      </c>
      <c r="I2122" s="693" t="s">
        <v>4507</v>
      </c>
      <c r="J2122" s="693"/>
      <c r="K2122" s="693"/>
      <c r="L2122" s="1935" t="s">
        <v>4508</v>
      </c>
      <c r="M2122" s="4"/>
      <c r="N2122" s="664"/>
      <c r="O2122" s="664"/>
      <c r="P2122" s="911"/>
      <c r="Q2122" s="911"/>
      <c r="R2122" s="911"/>
      <c r="S2122" s="911"/>
      <c r="T2122" s="911"/>
      <c r="U2122" s="911"/>
      <c r="V2122"/>
      <c r="W2122"/>
      <c r="X2122"/>
      <c r="Y2122"/>
      <c r="AA2122"/>
      <c r="AC2122" s="970"/>
      <c r="AD2122" s="970"/>
      <c r="AE2122" s="970"/>
      <c r="AF2122"/>
      <c r="AG2122"/>
      <c r="AH2122"/>
      <c r="AI2122"/>
      <c r="AJ2122"/>
      <c r="AK2122"/>
      <c r="AL2122" s="1336"/>
      <c r="AM2122" s="1336"/>
      <c r="AN2122" s="1336"/>
      <c r="AO2122" s="1336"/>
      <c r="AP2122" s="1336"/>
      <c r="AQ2122" s="1336"/>
      <c r="AR2122" s="1336"/>
      <c r="AS2122" s="1336"/>
      <c r="AT2122"/>
    </row>
    <row r="2123" spans="1:46" x14ac:dyDescent="0.25">
      <c r="A2123" s="2371">
        <v>9</v>
      </c>
      <c r="B2123" s="2385" t="s">
        <v>4507</v>
      </c>
      <c r="C2123" s="2374"/>
      <c r="D2123" s="2374"/>
      <c r="E2123" s="2385"/>
      <c r="F2123" s="2385"/>
      <c r="G2123" s="2373" t="s">
        <v>3974</v>
      </c>
      <c r="H2123" s="2371" t="s">
        <v>3971</v>
      </c>
      <c r="I2123" s="667"/>
      <c r="J2123" s="667"/>
      <c r="K2123" s="667"/>
      <c r="L2123" s="1785"/>
      <c r="M2123" s="4"/>
      <c r="N2123" s="664"/>
      <c r="O2123" s="664"/>
      <c r="P2123"/>
      <c r="Q2123"/>
      <c r="R2123"/>
      <c r="S2123"/>
      <c r="T2123"/>
      <c r="U2123"/>
      <c r="V2123"/>
      <c r="W2123"/>
      <c r="X2123"/>
      <c r="Y2123"/>
      <c r="AA2123"/>
      <c r="AC2123" s="970"/>
      <c r="AD2123" s="970"/>
      <c r="AE2123" s="970"/>
      <c r="AF2123"/>
      <c r="AG2123"/>
      <c r="AH2123"/>
      <c r="AI2123"/>
      <c r="AJ2123"/>
      <c r="AK2123"/>
      <c r="AL2123" s="1336"/>
      <c r="AM2123" s="1336"/>
      <c r="AN2123" s="1336"/>
      <c r="AO2123" s="1336"/>
      <c r="AP2123" s="1336"/>
      <c r="AQ2123" s="1336"/>
      <c r="AR2123" s="1336"/>
      <c r="AS2123" s="1336"/>
      <c r="AT2123"/>
    </row>
    <row r="2124" spans="1:46" x14ac:dyDescent="0.25">
      <c r="A2124" s="2371">
        <v>9</v>
      </c>
      <c r="B2124" s="2385" t="s">
        <v>4507</v>
      </c>
      <c r="C2124" s="2374"/>
      <c r="D2124" s="2374"/>
      <c r="E2124" s="2385"/>
      <c r="F2124" s="2385"/>
      <c r="G2124" s="2373" t="s">
        <v>3974</v>
      </c>
      <c r="H2124" s="2371" t="s">
        <v>3971</v>
      </c>
      <c r="I2124" s="667"/>
      <c r="J2124" s="667"/>
      <c r="K2124" s="667"/>
      <c r="L2124" s="1785"/>
      <c r="M2124" s="4"/>
      <c r="N2124" s="664"/>
      <c r="O2124" s="664"/>
      <c r="P2124"/>
      <c r="Q2124"/>
      <c r="R2124"/>
      <c r="S2124"/>
      <c r="T2124"/>
      <c r="U2124"/>
      <c r="V2124"/>
      <c r="W2124"/>
      <c r="X2124"/>
      <c r="Y2124"/>
      <c r="AA2124"/>
      <c r="AC2124" s="970"/>
      <c r="AD2124" s="970"/>
      <c r="AE2124" s="970"/>
      <c r="AF2124"/>
      <c r="AG2124"/>
      <c r="AH2124"/>
      <c r="AI2124"/>
      <c r="AJ2124"/>
      <c r="AK2124"/>
      <c r="AL2124" s="1336"/>
      <c r="AM2124" s="1336"/>
      <c r="AN2124" s="1336"/>
      <c r="AO2124" s="1336"/>
      <c r="AP2124" s="1336"/>
      <c r="AQ2124" s="1336"/>
      <c r="AR2124" s="1336"/>
      <c r="AS2124" s="1336"/>
      <c r="AT2124"/>
    </row>
    <row r="2125" spans="1:46" x14ac:dyDescent="0.25">
      <c r="A2125" s="2371">
        <v>9</v>
      </c>
      <c r="B2125" s="2385" t="s">
        <v>4507</v>
      </c>
      <c r="C2125" s="2374"/>
      <c r="D2125" s="2374"/>
      <c r="E2125" s="2385"/>
      <c r="F2125" s="2385"/>
      <c r="G2125" s="2373" t="s">
        <v>3974</v>
      </c>
      <c r="H2125" s="2371" t="s">
        <v>3971</v>
      </c>
      <c r="I2125" s="667"/>
      <c r="J2125" s="667"/>
      <c r="K2125" s="667"/>
      <c r="L2125" s="1785"/>
      <c r="M2125" s="4"/>
      <c r="N2125" s="664"/>
      <c r="O2125" s="664"/>
      <c r="P2125"/>
      <c r="Q2125"/>
      <c r="R2125"/>
      <c r="S2125"/>
      <c r="T2125"/>
      <c r="U2125"/>
      <c r="V2125"/>
      <c r="W2125"/>
      <c r="X2125"/>
      <c r="Y2125"/>
      <c r="AA2125"/>
      <c r="AC2125" s="970"/>
      <c r="AD2125" s="970"/>
      <c r="AE2125" s="970"/>
      <c r="AF2125"/>
      <c r="AG2125"/>
      <c r="AH2125"/>
      <c r="AI2125"/>
      <c r="AJ2125"/>
      <c r="AK2125"/>
      <c r="AL2125" s="1336"/>
      <c r="AM2125" s="1336"/>
      <c r="AN2125" s="1336"/>
      <c r="AO2125" s="1336"/>
      <c r="AP2125" s="1336"/>
      <c r="AQ2125" s="1336"/>
      <c r="AR2125" s="1336"/>
      <c r="AS2125" s="1336"/>
      <c r="AT2125"/>
    </row>
    <row r="2126" spans="1:46" x14ac:dyDescent="0.25">
      <c r="A2126" s="2371">
        <v>9</v>
      </c>
      <c r="B2126" s="2385" t="s">
        <v>4507</v>
      </c>
      <c r="C2126" s="2374"/>
      <c r="D2126" s="2374"/>
      <c r="E2126" s="2385"/>
      <c r="F2126" s="2385"/>
      <c r="G2126" s="2373" t="s">
        <v>3974</v>
      </c>
      <c r="H2126" s="2371" t="s">
        <v>3971</v>
      </c>
      <c r="I2126" s="667"/>
      <c r="J2126" s="667"/>
      <c r="K2126" s="667"/>
      <c r="L2126" s="1785"/>
      <c r="M2126" s="4"/>
      <c r="N2126" s="664"/>
      <c r="O2126" s="664"/>
      <c r="P2126"/>
      <c r="Q2126"/>
      <c r="R2126"/>
      <c r="S2126"/>
      <c r="T2126"/>
      <c r="U2126"/>
      <c r="V2126"/>
      <c r="W2126"/>
      <c r="X2126"/>
      <c r="Y2126"/>
      <c r="AA2126"/>
      <c r="AC2126" s="970"/>
      <c r="AD2126" s="970"/>
      <c r="AE2126" s="970"/>
      <c r="AF2126"/>
      <c r="AG2126"/>
      <c r="AH2126"/>
      <c r="AI2126"/>
      <c r="AJ2126"/>
      <c r="AK2126"/>
      <c r="AL2126" s="1336"/>
      <c r="AM2126" s="1336"/>
      <c r="AN2126" s="1336"/>
      <c r="AO2126" s="1336"/>
      <c r="AP2126" s="1336"/>
      <c r="AQ2126" s="1336"/>
      <c r="AR2126" s="1336"/>
      <c r="AS2126" s="1336"/>
      <c r="AT2126"/>
    </row>
    <row r="2127" spans="1:46" x14ac:dyDescent="0.25">
      <c r="A2127" s="2371">
        <v>9</v>
      </c>
      <c r="B2127" s="2385" t="s">
        <v>4507</v>
      </c>
      <c r="C2127" s="2374"/>
      <c r="D2127" s="2374"/>
      <c r="E2127" s="2385"/>
      <c r="F2127" s="2385"/>
      <c r="G2127" s="2373" t="s">
        <v>3974</v>
      </c>
      <c r="H2127" s="2371" t="s">
        <v>3971</v>
      </c>
      <c r="I2127" s="667"/>
      <c r="J2127" s="667"/>
      <c r="K2127" s="667"/>
      <c r="L2127" s="1785"/>
      <c r="M2127" s="4"/>
      <c r="N2127" s="664"/>
      <c r="O2127" s="664"/>
      <c r="P2127"/>
      <c r="Q2127"/>
      <c r="R2127"/>
      <c r="S2127"/>
      <c r="T2127"/>
      <c r="U2127"/>
      <c r="V2127"/>
      <c r="W2127"/>
      <c r="X2127"/>
      <c r="Y2127"/>
      <c r="AA2127"/>
      <c r="AC2127" s="970"/>
      <c r="AD2127" s="970"/>
      <c r="AE2127" s="970"/>
      <c r="AF2127"/>
      <c r="AG2127"/>
      <c r="AH2127"/>
      <c r="AI2127"/>
      <c r="AJ2127"/>
      <c r="AK2127"/>
      <c r="AL2127" s="1336"/>
      <c r="AM2127" s="1336"/>
      <c r="AN2127" s="1336"/>
      <c r="AO2127" s="1336"/>
      <c r="AP2127" s="1336"/>
      <c r="AQ2127" s="1336"/>
      <c r="AR2127" s="1336"/>
      <c r="AS2127" s="1336"/>
      <c r="AT2127"/>
    </row>
    <row r="2128" spans="1:46" x14ac:dyDescent="0.25">
      <c r="A2128" s="2371">
        <v>9</v>
      </c>
      <c r="B2128" s="2385" t="s">
        <v>4507</v>
      </c>
      <c r="C2128" s="2374"/>
      <c r="D2128" s="2374"/>
      <c r="E2128" s="2385"/>
      <c r="F2128" s="2385"/>
      <c r="G2128" s="2373" t="s">
        <v>3974</v>
      </c>
      <c r="H2128" s="2371" t="s">
        <v>3971</v>
      </c>
      <c r="I2128" s="684"/>
      <c r="J2128" s="684"/>
      <c r="K2128" s="684"/>
      <c r="L2128" s="1936"/>
      <c r="M2128" s="4"/>
      <c r="N2128" s="664"/>
      <c r="O2128" s="664"/>
      <c r="P2128"/>
      <c r="Q2128"/>
      <c r="R2128"/>
      <c r="S2128"/>
      <c r="T2128"/>
      <c r="U2128"/>
      <c r="V2128"/>
      <c r="W2128"/>
      <c r="X2128"/>
      <c r="Y2128"/>
      <c r="AA2128"/>
      <c r="AC2128" s="970"/>
      <c r="AD2128" s="970"/>
      <c r="AE2128" s="970"/>
      <c r="AF2128"/>
      <c r="AG2128"/>
      <c r="AH2128"/>
      <c r="AI2128"/>
      <c r="AJ2128"/>
      <c r="AK2128"/>
      <c r="AL2128" s="1336"/>
      <c r="AM2128" s="1336"/>
      <c r="AN2128" s="1336"/>
      <c r="AO2128" s="1336"/>
      <c r="AP2128" s="1336"/>
      <c r="AQ2128" s="1336"/>
      <c r="AR2128" s="1336"/>
      <c r="AS2128" s="1336"/>
      <c r="AT2128"/>
    </row>
    <row r="2129" spans="1:46" x14ac:dyDescent="0.25">
      <c r="A2129" s="2371">
        <v>9</v>
      </c>
      <c r="B2129" s="2385" t="s">
        <v>4509</v>
      </c>
      <c r="C2129" s="2374"/>
      <c r="D2129" s="2374"/>
      <c r="E2129" s="2385"/>
      <c r="F2129" s="2385"/>
      <c r="G2129" s="2373" t="s">
        <v>3974</v>
      </c>
      <c r="H2129" s="2371" t="s">
        <v>3971</v>
      </c>
      <c r="I2129" s="693" t="s">
        <v>4509</v>
      </c>
      <c r="J2129" s="693"/>
      <c r="K2129" s="693"/>
      <c r="L2129" s="1935" t="s">
        <v>4510</v>
      </c>
      <c r="M2129" s="4"/>
      <c r="N2129" s="664"/>
      <c r="O2129" s="664"/>
      <c r="P2129"/>
      <c r="Q2129"/>
      <c r="R2129"/>
      <c r="S2129"/>
      <c r="T2129"/>
      <c r="U2129"/>
      <c r="V2129"/>
      <c r="W2129"/>
      <c r="X2129"/>
      <c r="Y2129"/>
      <c r="AA2129"/>
      <c r="AC2129" s="970"/>
      <c r="AD2129" s="970"/>
      <c r="AE2129" s="970"/>
      <c r="AF2129"/>
      <c r="AG2129"/>
      <c r="AH2129"/>
      <c r="AI2129"/>
      <c r="AJ2129"/>
      <c r="AK2129"/>
      <c r="AL2129" s="1336"/>
      <c r="AM2129" s="1336"/>
      <c r="AN2129" s="1336"/>
      <c r="AO2129" s="1336"/>
      <c r="AP2129" s="1336"/>
      <c r="AQ2129" s="1336"/>
      <c r="AR2129" s="1336"/>
      <c r="AS2129" s="1336"/>
      <c r="AT2129"/>
    </row>
    <row r="2130" spans="1:46" x14ac:dyDescent="0.25">
      <c r="A2130" s="2371">
        <v>9</v>
      </c>
      <c r="B2130" s="2385" t="s">
        <v>4509</v>
      </c>
      <c r="C2130" s="2374"/>
      <c r="D2130" s="2374"/>
      <c r="E2130" s="2385"/>
      <c r="F2130" s="2385"/>
      <c r="G2130" s="2373" t="s">
        <v>3974</v>
      </c>
      <c r="H2130" s="2371" t="s">
        <v>3971</v>
      </c>
      <c r="I2130" s="667"/>
      <c r="J2130" s="667"/>
      <c r="K2130" s="667"/>
      <c r="L2130" s="1785"/>
      <c r="M2130" s="4"/>
      <c r="N2130" s="664"/>
      <c r="O2130" s="664"/>
      <c r="P2130"/>
      <c r="Q2130"/>
      <c r="R2130"/>
      <c r="S2130"/>
      <c r="T2130"/>
      <c r="U2130"/>
      <c r="V2130"/>
      <c r="W2130"/>
      <c r="X2130"/>
      <c r="Y2130"/>
      <c r="AA2130"/>
      <c r="AC2130" s="970"/>
      <c r="AD2130" s="970"/>
      <c r="AE2130" s="970"/>
      <c r="AF2130"/>
      <c r="AG2130"/>
      <c r="AH2130"/>
      <c r="AI2130"/>
      <c r="AJ2130"/>
      <c r="AK2130"/>
      <c r="AL2130" s="1336"/>
      <c r="AM2130" s="1336"/>
      <c r="AN2130" s="1336"/>
      <c r="AO2130" s="1336"/>
      <c r="AP2130" s="1336"/>
      <c r="AQ2130" s="1336"/>
      <c r="AR2130" s="1336"/>
      <c r="AS2130" s="1336"/>
      <c r="AT2130"/>
    </row>
    <row r="2131" spans="1:46" x14ac:dyDescent="0.25">
      <c r="A2131" s="2371">
        <v>9</v>
      </c>
      <c r="B2131" s="2385" t="s">
        <v>4509</v>
      </c>
      <c r="C2131" s="2374"/>
      <c r="D2131" s="2374"/>
      <c r="E2131" s="2385"/>
      <c r="F2131" s="2385"/>
      <c r="G2131" s="2373" t="s">
        <v>3974</v>
      </c>
      <c r="H2131" s="2371" t="s">
        <v>3971</v>
      </c>
      <c r="I2131" s="667"/>
      <c r="J2131" s="667"/>
      <c r="K2131" s="667"/>
      <c r="L2131" s="1785"/>
      <c r="M2131" s="4"/>
      <c r="N2131" s="664"/>
      <c r="O2131" s="664"/>
      <c r="P2131"/>
      <c r="Q2131"/>
      <c r="R2131"/>
      <c r="S2131"/>
      <c r="T2131"/>
      <c r="U2131"/>
      <c r="V2131"/>
      <c r="W2131"/>
      <c r="X2131"/>
      <c r="Y2131"/>
      <c r="AA2131"/>
      <c r="AC2131" s="970"/>
      <c r="AD2131" s="970"/>
      <c r="AE2131" s="970"/>
      <c r="AF2131"/>
      <c r="AG2131"/>
      <c r="AH2131"/>
      <c r="AI2131"/>
      <c r="AJ2131"/>
      <c r="AK2131"/>
      <c r="AL2131" s="1336"/>
      <c r="AM2131" s="1336"/>
      <c r="AN2131" s="1336"/>
      <c r="AO2131" s="1336"/>
      <c r="AP2131" s="1336"/>
      <c r="AQ2131" s="1336"/>
      <c r="AR2131" s="1336"/>
      <c r="AS2131" s="1336"/>
      <c r="AT2131"/>
    </row>
    <row r="2132" spans="1:46" x14ac:dyDescent="0.25">
      <c r="A2132" s="2371">
        <v>9</v>
      </c>
      <c r="B2132" s="2385" t="s">
        <v>4509</v>
      </c>
      <c r="C2132" s="2374"/>
      <c r="D2132" s="2374"/>
      <c r="E2132" s="2385"/>
      <c r="F2132" s="2385"/>
      <c r="G2132" s="2373" t="s">
        <v>3974</v>
      </c>
      <c r="H2132" s="2371" t="s">
        <v>3971</v>
      </c>
      <c r="I2132" s="667"/>
      <c r="J2132" s="667"/>
      <c r="K2132" s="667"/>
      <c r="L2132" s="1785"/>
      <c r="M2132" s="4"/>
      <c r="N2132" s="664"/>
      <c r="O2132" s="664"/>
      <c r="P2132"/>
      <c r="Q2132"/>
      <c r="R2132"/>
      <c r="S2132"/>
      <c r="T2132"/>
      <c r="U2132"/>
      <c r="V2132"/>
      <c r="W2132"/>
      <c r="X2132"/>
      <c r="Y2132"/>
      <c r="AA2132"/>
      <c r="AC2132" s="970"/>
      <c r="AD2132" s="970"/>
      <c r="AE2132" s="970"/>
      <c r="AF2132"/>
      <c r="AG2132"/>
      <c r="AH2132"/>
      <c r="AI2132"/>
      <c r="AJ2132"/>
      <c r="AK2132"/>
      <c r="AL2132" s="1336"/>
      <c r="AM2132" s="1336"/>
      <c r="AN2132" s="1336"/>
      <c r="AO2132" s="1336"/>
      <c r="AP2132" s="1336"/>
      <c r="AQ2132" s="1336"/>
      <c r="AR2132" s="1336"/>
      <c r="AS2132" s="1336"/>
      <c r="AT2132"/>
    </row>
    <row r="2133" spans="1:46" x14ac:dyDescent="0.25">
      <c r="A2133" s="2371">
        <v>9</v>
      </c>
      <c r="B2133" s="2385" t="s">
        <v>4509</v>
      </c>
      <c r="C2133" s="2374"/>
      <c r="D2133" s="2374"/>
      <c r="E2133" s="2385"/>
      <c r="F2133" s="2385"/>
      <c r="G2133" s="2373" t="s">
        <v>3974</v>
      </c>
      <c r="H2133" s="2371" t="s">
        <v>3971</v>
      </c>
      <c r="I2133" s="667"/>
      <c r="J2133" s="667"/>
      <c r="K2133" s="667"/>
      <c r="L2133" s="1785"/>
      <c r="M2133" s="4"/>
      <c r="N2133" s="664"/>
      <c r="O2133" s="664"/>
      <c r="P2133"/>
      <c r="Q2133"/>
      <c r="R2133"/>
      <c r="S2133"/>
      <c r="T2133"/>
      <c r="U2133"/>
      <c r="V2133"/>
      <c r="W2133"/>
      <c r="X2133"/>
      <c r="Y2133"/>
      <c r="AA2133"/>
      <c r="AC2133" s="970"/>
      <c r="AD2133" s="970"/>
      <c r="AE2133" s="970"/>
      <c r="AF2133"/>
      <c r="AG2133"/>
      <c r="AH2133"/>
      <c r="AI2133"/>
      <c r="AJ2133"/>
      <c r="AK2133"/>
      <c r="AL2133" s="1336"/>
      <c r="AM2133" s="1336"/>
      <c r="AN2133" s="1336"/>
      <c r="AO2133" s="1336"/>
      <c r="AP2133" s="1336"/>
      <c r="AQ2133" s="1336"/>
      <c r="AR2133" s="1336"/>
      <c r="AS2133" s="1336"/>
      <c r="AT2133"/>
    </row>
    <row r="2134" spans="1:46" x14ac:dyDescent="0.25">
      <c r="A2134" s="2371">
        <v>9</v>
      </c>
      <c r="B2134" s="2385" t="s">
        <v>4509</v>
      </c>
      <c r="C2134" s="2374"/>
      <c r="D2134" s="2374"/>
      <c r="E2134" s="2385"/>
      <c r="F2134" s="2385"/>
      <c r="G2134" s="2373" t="s">
        <v>3974</v>
      </c>
      <c r="H2134" s="2371" t="s">
        <v>3971</v>
      </c>
      <c r="I2134" s="667"/>
      <c r="J2134" s="667"/>
      <c r="K2134" s="667"/>
      <c r="L2134" s="1785"/>
      <c r="M2134" s="4"/>
      <c r="N2134" s="664"/>
      <c r="O2134" s="664"/>
      <c r="P2134"/>
      <c r="Q2134"/>
      <c r="R2134"/>
      <c r="S2134"/>
      <c r="T2134"/>
      <c r="U2134"/>
      <c r="V2134"/>
      <c r="W2134"/>
      <c r="X2134"/>
      <c r="Y2134"/>
      <c r="AA2134"/>
      <c r="AC2134" s="970"/>
      <c r="AD2134" s="970"/>
      <c r="AE2134" s="970"/>
      <c r="AF2134"/>
      <c r="AG2134"/>
      <c r="AH2134"/>
      <c r="AI2134"/>
      <c r="AJ2134"/>
      <c r="AK2134"/>
      <c r="AL2134" s="1336"/>
      <c r="AM2134" s="1336"/>
      <c r="AN2134" s="1336"/>
      <c r="AO2134" s="1336"/>
      <c r="AP2134" s="1336"/>
      <c r="AQ2134" s="1336"/>
      <c r="AR2134" s="1336"/>
      <c r="AS2134" s="1336"/>
      <c r="AT2134"/>
    </row>
    <row r="2135" spans="1:46" x14ac:dyDescent="0.25">
      <c r="A2135" s="2371">
        <v>9</v>
      </c>
      <c r="B2135" s="2385" t="s">
        <v>4509</v>
      </c>
      <c r="C2135" s="2374"/>
      <c r="D2135" s="2374"/>
      <c r="E2135" s="2385"/>
      <c r="F2135" s="2385"/>
      <c r="G2135" s="2373" t="s">
        <v>3974</v>
      </c>
      <c r="H2135" s="2371" t="s">
        <v>3971</v>
      </c>
      <c r="I2135" s="684"/>
      <c r="J2135" s="684"/>
      <c r="K2135" s="684"/>
      <c r="L2135" s="1936"/>
      <c r="M2135" s="4"/>
      <c r="N2135" s="664"/>
      <c r="O2135" s="664"/>
      <c r="P2135"/>
      <c r="Q2135"/>
      <c r="R2135"/>
      <c r="S2135"/>
      <c r="T2135"/>
      <c r="U2135"/>
      <c r="V2135"/>
      <c r="W2135"/>
      <c r="X2135"/>
      <c r="Y2135"/>
      <c r="AA2135"/>
      <c r="AC2135" s="970"/>
      <c r="AD2135" s="970"/>
      <c r="AE2135" s="970"/>
      <c r="AF2135"/>
      <c r="AG2135"/>
      <c r="AH2135"/>
      <c r="AI2135"/>
      <c r="AJ2135"/>
      <c r="AK2135"/>
      <c r="AL2135" s="1336"/>
      <c r="AM2135" s="1336"/>
      <c r="AN2135" s="1336"/>
      <c r="AO2135" s="1336"/>
      <c r="AP2135" s="1336"/>
      <c r="AQ2135" s="1336"/>
      <c r="AR2135" s="1336"/>
      <c r="AS2135" s="1336"/>
      <c r="AT2135"/>
    </row>
    <row r="2136" spans="1:46" x14ac:dyDescent="0.25">
      <c r="A2136" s="2371">
        <v>9</v>
      </c>
      <c r="B2136" s="2385" t="s">
        <v>4511</v>
      </c>
      <c r="C2136" s="2374"/>
      <c r="D2136" s="2374"/>
      <c r="E2136" s="2385"/>
      <c r="F2136" s="2385"/>
      <c r="G2136" s="2373" t="s">
        <v>3974</v>
      </c>
      <c r="H2136" s="2371" t="s">
        <v>3971</v>
      </c>
      <c r="I2136" s="693" t="s">
        <v>4511</v>
      </c>
      <c r="J2136" s="693"/>
      <c r="K2136" s="693"/>
      <c r="L2136" s="1935" t="s">
        <v>4512</v>
      </c>
      <c r="M2136" s="4"/>
      <c r="N2136" s="664"/>
      <c r="O2136" s="664"/>
      <c r="P2136"/>
      <c r="Q2136"/>
      <c r="R2136"/>
      <c r="S2136"/>
      <c r="T2136"/>
      <c r="U2136"/>
      <c r="V2136"/>
      <c r="W2136"/>
      <c r="X2136"/>
      <c r="Y2136"/>
      <c r="AA2136"/>
      <c r="AC2136" s="970"/>
      <c r="AD2136" s="970"/>
      <c r="AE2136" s="970"/>
      <c r="AF2136"/>
      <c r="AG2136"/>
      <c r="AH2136"/>
      <c r="AI2136"/>
      <c r="AJ2136"/>
      <c r="AK2136"/>
      <c r="AL2136" s="1336"/>
      <c r="AM2136" s="1336"/>
      <c r="AN2136" s="1336"/>
      <c r="AO2136" s="1336"/>
      <c r="AP2136" s="1336"/>
      <c r="AQ2136" s="1336"/>
      <c r="AR2136" s="1336"/>
      <c r="AS2136" s="1336"/>
      <c r="AT2136"/>
    </row>
    <row r="2137" spans="1:46" x14ac:dyDescent="0.25">
      <c r="A2137" s="2371">
        <v>9</v>
      </c>
      <c r="B2137" s="2385" t="s">
        <v>4511</v>
      </c>
      <c r="C2137" s="2374"/>
      <c r="D2137" s="2374"/>
      <c r="E2137" s="2385"/>
      <c r="F2137" s="2385"/>
      <c r="G2137" s="2373" t="s">
        <v>3974</v>
      </c>
      <c r="H2137" s="2371" t="s">
        <v>3971</v>
      </c>
      <c r="I2137" s="667"/>
      <c r="J2137" s="667"/>
      <c r="K2137" s="667"/>
      <c r="L2137" s="1785"/>
      <c r="M2137" s="4"/>
      <c r="N2137" s="664"/>
      <c r="O2137" s="664"/>
      <c r="P2137"/>
      <c r="Q2137"/>
      <c r="R2137"/>
      <c r="S2137"/>
      <c r="T2137"/>
      <c r="U2137"/>
      <c r="V2137"/>
      <c r="W2137"/>
      <c r="X2137"/>
      <c r="Y2137"/>
      <c r="AA2137"/>
      <c r="AC2137" s="970"/>
      <c r="AD2137" s="970"/>
      <c r="AE2137" s="970"/>
      <c r="AF2137"/>
      <c r="AG2137"/>
      <c r="AH2137"/>
      <c r="AI2137"/>
      <c r="AJ2137"/>
      <c r="AK2137"/>
      <c r="AL2137" s="1336"/>
      <c r="AM2137" s="1336"/>
      <c r="AN2137" s="1336"/>
      <c r="AO2137" s="1336"/>
      <c r="AP2137" s="1336"/>
      <c r="AQ2137" s="1336"/>
      <c r="AR2137" s="1336"/>
      <c r="AS2137" s="1336"/>
      <c r="AT2137"/>
    </row>
    <row r="2138" spans="1:46" x14ac:dyDescent="0.25">
      <c r="A2138" s="2371">
        <v>9</v>
      </c>
      <c r="B2138" s="2385" t="s">
        <v>4511</v>
      </c>
      <c r="C2138" s="2374"/>
      <c r="D2138" s="2374"/>
      <c r="E2138" s="2385"/>
      <c r="F2138" s="2385"/>
      <c r="G2138" s="2373" t="s">
        <v>3974</v>
      </c>
      <c r="H2138" s="2371" t="s">
        <v>3971</v>
      </c>
      <c r="I2138" s="667"/>
      <c r="J2138" s="667"/>
      <c r="K2138" s="667"/>
      <c r="L2138" s="1785"/>
      <c r="M2138" s="4"/>
      <c r="N2138" s="664"/>
      <c r="O2138" s="664"/>
      <c r="P2138"/>
      <c r="Q2138"/>
      <c r="R2138"/>
      <c r="S2138"/>
      <c r="T2138"/>
      <c r="U2138"/>
      <c r="V2138"/>
      <c r="W2138"/>
      <c r="X2138"/>
      <c r="Y2138"/>
      <c r="AA2138"/>
      <c r="AC2138" s="970"/>
      <c r="AD2138" s="970"/>
      <c r="AE2138" s="970"/>
      <c r="AF2138"/>
      <c r="AG2138"/>
      <c r="AH2138"/>
      <c r="AI2138"/>
      <c r="AJ2138"/>
      <c r="AK2138"/>
      <c r="AL2138" s="1336"/>
      <c r="AM2138" s="1336"/>
      <c r="AN2138" s="1336"/>
      <c r="AO2138" s="1336"/>
      <c r="AP2138" s="1336"/>
      <c r="AQ2138" s="1336"/>
      <c r="AR2138" s="1336"/>
      <c r="AS2138" s="1336"/>
      <c r="AT2138"/>
    </row>
    <row r="2139" spans="1:46" x14ac:dyDescent="0.25">
      <c r="A2139" s="2371">
        <v>9</v>
      </c>
      <c r="B2139" s="2385" t="s">
        <v>4511</v>
      </c>
      <c r="C2139" s="2374"/>
      <c r="D2139" s="2374"/>
      <c r="E2139" s="2385"/>
      <c r="F2139" s="2385"/>
      <c r="G2139" s="2373" t="s">
        <v>3974</v>
      </c>
      <c r="H2139" s="2371" t="s">
        <v>3971</v>
      </c>
      <c r="I2139" s="667"/>
      <c r="J2139" s="667"/>
      <c r="K2139" s="667"/>
      <c r="L2139" s="1785"/>
      <c r="M2139" s="4"/>
      <c r="N2139" s="664"/>
      <c r="O2139" s="664"/>
      <c r="P2139"/>
      <c r="Q2139"/>
      <c r="R2139"/>
      <c r="S2139"/>
      <c r="T2139"/>
      <c r="U2139"/>
      <c r="V2139"/>
      <c r="W2139"/>
      <c r="X2139"/>
      <c r="Y2139"/>
      <c r="AA2139"/>
      <c r="AC2139" s="970"/>
      <c r="AD2139" s="970"/>
      <c r="AE2139" s="970"/>
      <c r="AF2139"/>
      <c r="AG2139"/>
      <c r="AH2139"/>
      <c r="AI2139"/>
      <c r="AJ2139"/>
      <c r="AK2139"/>
      <c r="AL2139" s="1336"/>
      <c r="AM2139" s="1336"/>
      <c r="AN2139" s="1336"/>
      <c r="AO2139" s="1336"/>
      <c r="AP2139" s="1336"/>
      <c r="AQ2139" s="1336"/>
      <c r="AR2139" s="1336"/>
      <c r="AS2139" s="1336"/>
      <c r="AT2139"/>
    </row>
    <row r="2140" spans="1:46" x14ac:dyDescent="0.25">
      <c r="A2140" s="2371">
        <v>9</v>
      </c>
      <c r="B2140" s="2385" t="s">
        <v>4511</v>
      </c>
      <c r="C2140" s="2374"/>
      <c r="D2140" s="2374"/>
      <c r="E2140" s="2385"/>
      <c r="F2140" s="2385"/>
      <c r="G2140" s="2373" t="s">
        <v>3974</v>
      </c>
      <c r="H2140" s="2371" t="s">
        <v>3971</v>
      </c>
      <c r="I2140" s="684"/>
      <c r="J2140" s="684"/>
      <c r="K2140" s="684"/>
      <c r="L2140" s="1936"/>
      <c r="M2140" s="4"/>
      <c r="N2140" s="664"/>
      <c r="O2140" s="664"/>
      <c r="P2140"/>
      <c r="Q2140"/>
      <c r="R2140"/>
      <c r="S2140"/>
      <c r="T2140"/>
      <c r="U2140"/>
      <c r="V2140"/>
      <c r="W2140"/>
      <c r="X2140"/>
      <c r="Y2140"/>
      <c r="AA2140"/>
      <c r="AC2140" s="970"/>
      <c r="AD2140" s="970"/>
      <c r="AE2140" s="970"/>
      <c r="AF2140"/>
      <c r="AG2140"/>
      <c r="AH2140"/>
      <c r="AI2140"/>
      <c r="AJ2140"/>
      <c r="AK2140"/>
      <c r="AL2140" s="1336"/>
      <c r="AM2140" s="1336"/>
      <c r="AN2140" s="1336"/>
      <c r="AO2140" s="1336"/>
      <c r="AP2140" s="1336"/>
      <c r="AQ2140" s="1336"/>
      <c r="AR2140" s="1336"/>
      <c r="AS2140" s="1336"/>
      <c r="AT2140"/>
    </row>
    <row r="2141" spans="1:46" x14ac:dyDescent="0.25">
      <c r="A2141" s="2371">
        <v>9</v>
      </c>
      <c r="B2141" s="2385" t="s">
        <v>4513</v>
      </c>
      <c r="C2141" s="2374"/>
      <c r="D2141" s="2374"/>
      <c r="E2141" s="2385"/>
      <c r="F2141" s="2385"/>
      <c r="G2141" s="2373" t="s">
        <v>3974</v>
      </c>
      <c r="H2141" s="2371" t="s">
        <v>3971</v>
      </c>
      <c r="I2141" s="693" t="s">
        <v>4513</v>
      </c>
      <c r="J2141" s="693"/>
      <c r="K2141" s="693"/>
      <c r="L2141" s="1935" t="s">
        <v>4514</v>
      </c>
      <c r="M2141" s="4"/>
      <c r="N2141" s="664"/>
      <c r="O2141" s="664"/>
      <c r="P2141"/>
      <c r="Q2141"/>
      <c r="R2141"/>
      <c r="S2141"/>
      <c r="T2141"/>
      <c r="U2141"/>
      <c r="V2141"/>
      <c r="W2141"/>
      <c r="X2141"/>
      <c r="Y2141"/>
      <c r="AA2141"/>
      <c r="AC2141" s="970"/>
      <c r="AD2141" s="970"/>
      <c r="AE2141" s="970"/>
      <c r="AF2141"/>
      <c r="AG2141"/>
      <c r="AH2141"/>
      <c r="AI2141"/>
      <c r="AJ2141"/>
      <c r="AK2141"/>
      <c r="AL2141" s="1336"/>
      <c r="AM2141" s="1336"/>
      <c r="AN2141" s="1336"/>
      <c r="AO2141" s="1336"/>
      <c r="AP2141" s="1336"/>
      <c r="AQ2141" s="1336"/>
      <c r="AR2141" s="1336"/>
      <c r="AS2141" s="1336"/>
      <c r="AT2141"/>
    </row>
    <row r="2142" spans="1:46" x14ac:dyDescent="0.25">
      <c r="A2142" s="2371">
        <v>9</v>
      </c>
      <c r="B2142" s="2385" t="s">
        <v>4513</v>
      </c>
      <c r="C2142" s="2374"/>
      <c r="D2142" s="2374"/>
      <c r="E2142" s="2385"/>
      <c r="F2142" s="2385"/>
      <c r="G2142" s="2373" t="s">
        <v>3974</v>
      </c>
      <c r="H2142" s="2371" t="s">
        <v>3971</v>
      </c>
      <c r="I2142" s="684"/>
      <c r="J2142" s="684"/>
      <c r="K2142" s="684"/>
      <c r="L2142" s="1936"/>
      <c r="M2142" s="4"/>
      <c r="N2142" s="664"/>
      <c r="O2142" s="664"/>
      <c r="P2142"/>
      <c r="Q2142"/>
      <c r="R2142"/>
      <c r="S2142"/>
      <c r="T2142"/>
      <c r="U2142"/>
      <c r="V2142"/>
      <c r="W2142"/>
      <c r="X2142"/>
      <c r="Y2142"/>
      <c r="AA2142"/>
      <c r="AC2142" s="970"/>
      <c r="AD2142" s="970"/>
      <c r="AE2142" s="970"/>
      <c r="AF2142"/>
      <c r="AG2142"/>
      <c r="AH2142"/>
      <c r="AI2142"/>
      <c r="AJ2142"/>
      <c r="AK2142"/>
      <c r="AL2142" s="1336"/>
      <c r="AM2142" s="1336"/>
      <c r="AN2142" s="1336"/>
      <c r="AO2142" s="1336"/>
      <c r="AP2142" s="1336"/>
      <c r="AQ2142" s="1336"/>
      <c r="AR2142" s="1336"/>
      <c r="AS2142" s="1336"/>
      <c r="AT2142"/>
    </row>
    <row r="2143" spans="1:46" x14ac:dyDescent="0.25">
      <c r="A2143" s="2371">
        <v>9</v>
      </c>
      <c r="B2143" s="2385" t="s">
        <v>4515</v>
      </c>
      <c r="C2143" s="2374"/>
      <c r="D2143" s="2374"/>
      <c r="E2143" s="2385"/>
      <c r="F2143" s="2385"/>
      <c r="G2143" s="2373" t="s">
        <v>3974</v>
      </c>
      <c r="H2143" s="2371" t="s">
        <v>3971</v>
      </c>
      <c r="I2143" s="693" t="s">
        <v>4515</v>
      </c>
      <c r="J2143" s="693"/>
      <c r="K2143" s="693"/>
      <c r="L2143" s="1935" t="s">
        <v>4516</v>
      </c>
      <c r="M2143" s="4"/>
      <c r="N2143" s="664"/>
      <c r="O2143" s="664"/>
      <c r="P2143"/>
      <c r="Q2143"/>
      <c r="R2143"/>
      <c r="S2143"/>
      <c r="T2143"/>
      <c r="U2143"/>
      <c r="V2143"/>
      <c r="W2143"/>
      <c r="X2143"/>
      <c r="Y2143"/>
      <c r="AA2143"/>
      <c r="AC2143" s="970"/>
      <c r="AD2143" s="970"/>
      <c r="AE2143" s="970"/>
      <c r="AF2143"/>
      <c r="AG2143"/>
      <c r="AH2143"/>
      <c r="AI2143"/>
      <c r="AJ2143"/>
      <c r="AK2143"/>
      <c r="AL2143" s="1336"/>
      <c r="AM2143" s="1336"/>
      <c r="AN2143" s="1336"/>
      <c r="AO2143" s="1336"/>
      <c r="AP2143" s="1336"/>
      <c r="AQ2143" s="1336"/>
      <c r="AR2143" s="1336"/>
      <c r="AS2143" s="1336"/>
      <c r="AT2143"/>
    </row>
    <row r="2144" spans="1:46" x14ac:dyDescent="0.25">
      <c r="A2144" s="2371">
        <v>9</v>
      </c>
      <c r="B2144" s="2385" t="s">
        <v>4515</v>
      </c>
      <c r="C2144" s="2374"/>
      <c r="D2144" s="2374"/>
      <c r="E2144" s="2385"/>
      <c r="F2144" s="2385"/>
      <c r="G2144" s="2373" t="s">
        <v>3974</v>
      </c>
      <c r="H2144" s="2371" t="s">
        <v>3971</v>
      </c>
      <c r="I2144" s="667"/>
      <c r="J2144" s="667"/>
      <c r="K2144" s="667"/>
      <c r="L2144" s="1785"/>
      <c r="M2144" s="4"/>
      <c r="N2144" s="664"/>
      <c r="O2144" s="664"/>
      <c r="P2144"/>
      <c r="Q2144"/>
      <c r="R2144"/>
      <c r="S2144"/>
      <c r="T2144"/>
      <c r="U2144"/>
      <c r="V2144"/>
      <c r="W2144"/>
      <c r="X2144"/>
      <c r="Y2144"/>
      <c r="AA2144"/>
      <c r="AC2144" s="970"/>
      <c r="AD2144" s="970"/>
      <c r="AE2144" s="970"/>
      <c r="AF2144"/>
      <c r="AG2144"/>
      <c r="AH2144"/>
      <c r="AI2144"/>
      <c r="AJ2144"/>
      <c r="AK2144"/>
      <c r="AL2144" s="1336"/>
      <c r="AM2144" s="1336"/>
      <c r="AN2144" s="1336"/>
      <c r="AO2144" s="1336"/>
      <c r="AP2144" s="1336"/>
      <c r="AQ2144" s="1336"/>
      <c r="AR2144" s="1336"/>
      <c r="AS2144" s="1336"/>
      <c r="AT2144"/>
    </row>
    <row r="2145" spans="1:46" x14ac:dyDescent="0.25">
      <c r="A2145" s="2371">
        <v>9</v>
      </c>
      <c r="B2145" s="2385" t="s">
        <v>4515</v>
      </c>
      <c r="C2145" s="2374"/>
      <c r="D2145" s="2374"/>
      <c r="E2145" s="2385"/>
      <c r="F2145" s="2385"/>
      <c r="G2145" s="2373" t="s">
        <v>3974</v>
      </c>
      <c r="H2145" s="2371" t="s">
        <v>3971</v>
      </c>
      <c r="I2145" s="667"/>
      <c r="J2145" s="667"/>
      <c r="K2145" s="667"/>
      <c r="L2145" s="1785"/>
      <c r="M2145" s="4"/>
      <c r="N2145" s="664"/>
      <c r="O2145" s="664"/>
      <c r="P2145"/>
      <c r="Q2145"/>
      <c r="R2145"/>
      <c r="S2145"/>
      <c r="T2145"/>
      <c r="U2145"/>
      <c r="V2145"/>
      <c r="W2145"/>
      <c r="X2145"/>
      <c r="Y2145"/>
      <c r="AA2145"/>
      <c r="AC2145" s="970"/>
      <c r="AD2145" s="970"/>
      <c r="AE2145" s="970"/>
      <c r="AF2145"/>
      <c r="AG2145"/>
      <c r="AH2145"/>
      <c r="AI2145"/>
      <c r="AJ2145"/>
      <c r="AK2145"/>
      <c r="AL2145" s="1336"/>
      <c r="AM2145" s="1336"/>
      <c r="AN2145" s="1336"/>
      <c r="AO2145" s="1336"/>
      <c r="AP2145" s="1336"/>
      <c r="AQ2145" s="1336"/>
      <c r="AR2145" s="1336"/>
      <c r="AS2145" s="1336"/>
      <c r="AT2145"/>
    </row>
    <row r="2146" spans="1:46" x14ac:dyDescent="0.25">
      <c r="A2146" s="2371">
        <v>9</v>
      </c>
      <c r="B2146" s="2385" t="s">
        <v>4515</v>
      </c>
      <c r="C2146" s="2374"/>
      <c r="D2146" s="2374"/>
      <c r="E2146" s="2385"/>
      <c r="F2146" s="2385"/>
      <c r="G2146" s="2373" t="s">
        <v>3974</v>
      </c>
      <c r="H2146" s="2371" t="s">
        <v>3971</v>
      </c>
      <c r="I2146" s="684"/>
      <c r="J2146" s="684"/>
      <c r="K2146" s="684"/>
      <c r="L2146" s="1936"/>
      <c r="M2146" s="4"/>
      <c r="N2146" s="664"/>
      <c r="O2146" s="664"/>
      <c r="P2146"/>
      <c r="Q2146"/>
      <c r="R2146"/>
      <c r="S2146"/>
      <c r="T2146"/>
      <c r="U2146"/>
      <c r="V2146"/>
      <c r="W2146"/>
      <c r="X2146"/>
      <c r="Y2146"/>
      <c r="AA2146"/>
      <c r="AC2146" s="970"/>
      <c r="AD2146" s="970"/>
      <c r="AE2146" s="970"/>
      <c r="AF2146"/>
      <c r="AG2146"/>
      <c r="AH2146"/>
      <c r="AI2146"/>
      <c r="AJ2146"/>
      <c r="AK2146"/>
      <c r="AL2146" s="1336"/>
      <c r="AM2146" s="1336"/>
      <c r="AN2146" s="1336"/>
      <c r="AO2146" s="1336"/>
      <c r="AP2146" s="1336"/>
      <c r="AQ2146" s="1336"/>
      <c r="AR2146" s="1336"/>
      <c r="AS2146" s="1336"/>
      <c r="AT2146"/>
    </row>
    <row r="2147" spans="1:46" x14ac:dyDescent="0.25">
      <c r="A2147" s="2371">
        <v>9</v>
      </c>
      <c r="B2147" s="2385" t="s">
        <v>4517</v>
      </c>
      <c r="C2147" s="2374"/>
      <c r="D2147" s="2374"/>
      <c r="E2147" s="2385"/>
      <c r="F2147" s="2385"/>
      <c r="G2147" s="2373" t="s">
        <v>3974</v>
      </c>
      <c r="H2147" s="2371" t="s">
        <v>3971</v>
      </c>
      <c r="I2147" s="693" t="s">
        <v>4517</v>
      </c>
      <c r="J2147" s="693"/>
      <c r="K2147" s="693"/>
      <c r="L2147" s="1935" t="s">
        <v>4518</v>
      </c>
      <c r="M2147" s="4"/>
      <c r="N2147" s="664"/>
      <c r="O2147" s="664"/>
      <c r="P2147"/>
      <c r="Q2147"/>
      <c r="R2147"/>
      <c r="S2147"/>
      <c r="T2147"/>
      <c r="U2147"/>
      <c r="V2147"/>
      <c r="W2147"/>
      <c r="X2147"/>
      <c r="Y2147"/>
      <c r="AA2147"/>
      <c r="AC2147" s="970"/>
      <c r="AD2147" s="970"/>
      <c r="AE2147" s="970"/>
      <c r="AF2147"/>
      <c r="AG2147"/>
      <c r="AH2147"/>
      <c r="AI2147"/>
      <c r="AJ2147"/>
      <c r="AK2147"/>
      <c r="AL2147" s="1336"/>
      <c r="AM2147" s="1336"/>
      <c r="AN2147" s="1336"/>
      <c r="AO2147" s="1336"/>
      <c r="AP2147" s="1336"/>
      <c r="AQ2147" s="1336"/>
      <c r="AR2147" s="1336"/>
      <c r="AS2147" s="1336"/>
      <c r="AT2147"/>
    </row>
    <row r="2148" spans="1:46" x14ac:dyDescent="0.25">
      <c r="A2148" s="2371">
        <v>9</v>
      </c>
      <c r="B2148" s="2385" t="s">
        <v>4517</v>
      </c>
      <c r="C2148" s="2374"/>
      <c r="D2148" s="2374"/>
      <c r="E2148" s="2385"/>
      <c r="F2148" s="2385"/>
      <c r="G2148" s="2373" t="s">
        <v>3974</v>
      </c>
      <c r="H2148" s="2371" t="s">
        <v>3971</v>
      </c>
      <c r="I2148" s="667"/>
      <c r="J2148" s="667"/>
      <c r="K2148" s="667"/>
      <c r="L2148" s="1785"/>
      <c r="M2148" s="4"/>
      <c r="N2148" s="665"/>
      <c r="O2148" s="664"/>
      <c r="P2148"/>
      <c r="Q2148"/>
      <c r="R2148"/>
      <c r="S2148"/>
      <c r="T2148"/>
      <c r="U2148"/>
      <c r="V2148"/>
      <c r="W2148"/>
      <c r="X2148"/>
      <c r="Y2148"/>
      <c r="AA2148"/>
      <c r="AC2148" s="970"/>
      <c r="AD2148" s="970"/>
      <c r="AE2148" s="970"/>
      <c r="AF2148"/>
      <c r="AG2148"/>
      <c r="AH2148"/>
      <c r="AI2148"/>
      <c r="AJ2148"/>
      <c r="AK2148"/>
      <c r="AL2148" s="1336"/>
      <c r="AM2148" s="1336"/>
      <c r="AN2148" s="1336"/>
      <c r="AO2148" s="1336"/>
      <c r="AP2148" s="1336"/>
      <c r="AQ2148" s="1336"/>
      <c r="AR2148" s="1336"/>
      <c r="AS2148" s="1336"/>
      <c r="AT2148"/>
    </row>
    <row r="2149" spans="1:46" x14ac:dyDescent="0.25">
      <c r="A2149" s="2371">
        <v>9</v>
      </c>
      <c r="B2149" s="2385" t="s">
        <v>4517</v>
      </c>
      <c r="C2149" s="2374"/>
      <c r="D2149" s="2374"/>
      <c r="E2149" s="2385"/>
      <c r="F2149" s="2385"/>
      <c r="G2149" s="2373" t="s">
        <v>3974</v>
      </c>
      <c r="H2149" s="2371" t="s">
        <v>3971</v>
      </c>
      <c r="I2149" s="684"/>
      <c r="J2149" s="684"/>
      <c r="K2149" s="684"/>
      <c r="L2149" s="1936"/>
      <c r="M2149" s="210"/>
      <c r="N2149" s="1041"/>
      <c r="O2149" s="664"/>
      <c r="P2149"/>
      <c r="Q2149"/>
      <c r="R2149"/>
      <c r="S2149"/>
      <c r="T2149"/>
      <c r="U2149"/>
      <c r="V2149"/>
      <c r="W2149"/>
      <c r="X2149"/>
      <c r="Y2149"/>
      <c r="AA2149"/>
      <c r="AC2149" s="970"/>
      <c r="AD2149" s="970"/>
      <c r="AE2149" s="970"/>
      <c r="AF2149"/>
      <c r="AG2149"/>
      <c r="AH2149"/>
      <c r="AI2149"/>
      <c r="AJ2149"/>
      <c r="AK2149"/>
      <c r="AL2149" s="1336"/>
      <c r="AM2149" s="1336"/>
      <c r="AN2149" s="1336"/>
      <c r="AO2149" s="1336"/>
      <c r="AP2149" s="1336"/>
      <c r="AQ2149" s="1336"/>
      <c r="AR2149" s="1336"/>
      <c r="AS2149" s="1336"/>
      <c r="AT2149"/>
    </row>
    <row r="2150" spans="1:46" x14ac:dyDescent="0.25">
      <c r="A2150" s="2371">
        <v>9</v>
      </c>
      <c r="B2150" s="2385" t="s">
        <v>4519</v>
      </c>
      <c r="C2150" s="2374"/>
      <c r="D2150" s="2374"/>
      <c r="E2150" s="2385"/>
      <c r="F2150" s="2385"/>
      <c r="G2150" s="2373" t="s">
        <v>3974</v>
      </c>
      <c r="H2150" s="2371" t="s">
        <v>3971</v>
      </c>
      <c r="I2150" s="667" t="s">
        <v>4519</v>
      </c>
      <c r="J2150" s="667"/>
      <c r="K2150" s="667"/>
      <c r="L2150" s="1151" t="s">
        <v>4520</v>
      </c>
      <c r="M2150" s="1082" t="str">
        <f>IF(R2154,"Mandatory","N/A")</f>
        <v>N/A</v>
      </c>
      <c r="N2150" s="1055"/>
      <c r="O2150" s="1055"/>
      <c r="P2150" s="195"/>
      <c r="Q2150" s="195"/>
      <c r="R2150" s="195"/>
      <c r="S2150" s="195"/>
      <c r="T2150" s="195"/>
      <c r="U2150"/>
      <c r="V2150"/>
      <c r="W2150"/>
      <c r="X2150"/>
      <c r="Y2150"/>
      <c r="AA2150"/>
      <c r="AC2150" s="970"/>
      <c r="AD2150" s="970"/>
      <c r="AE2150" s="970"/>
      <c r="AF2150"/>
      <c r="AG2150"/>
      <c r="AH2150"/>
      <c r="AI2150"/>
      <c r="AJ2150"/>
      <c r="AK2150"/>
      <c r="AL2150" s="254" t="str">
        <f>SUBSTITUTE(SUBSTITUTE(SUBSTITUTE("vpa"&amp;$B2150&amp;$C2150&amp;$D2150&amp;$E2150,".","_"),"(","_"),")","")</f>
        <v>vpa902_3_2</v>
      </c>
      <c r="AM2150" s="254" t="str">
        <f>M2150</f>
        <v>N/A</v>
      </c>
      <c r="AN2150" s="1336"/>
      <c r="AO2150" s="1336"/>
      <c r="AP2150" s="1336"/>
      <c r="AQ2150" s="1336"/>
      <c r="AR2150" s="1336"/>
      <c r="AS2150" s="1336"/>
      <c r="AT2150"/>
    </row>
    <row r="2151" spans="1:46" x14ac:dyDescent="0.25">
      <c r="A2151" s="2371">
        <v>9</v>
      </c>
      <c r="B2151" s="2385" t="s">
        <v>4519</v>
      </c>
      <c r="C2151" s="2374"/>
      <c r="D2151" s="2374"/>
      <c r="E2151" s="2385"/>
      <c r="F2151" s="2385"/>
      <c r="G2151" s="2373" t="s">
        <v>3974</v>
      </c>
      <c r="H2151" s="2371" t="s">
        <v>3971</v>
      </c>
      <c r="I2151" s="667"/>
      <c r="J2151" s="667"/>
      <c r="K2151" s="667"/>
      <c r="L2151" s="1151" t="s">
        <v>4521</v>
      </c>
      <c r="M2151" s="4"/>
      <c r="N2151" s="664"/>
      <c r="O2151" s="664"/>
      <c r="P2151" s="911"/>
      <c r="Q2151" s="911"/>
      <c r="R2151" s="911"/>
      <c r="S2151" s="911"/>
      <c r="T2151" s="911"/>
      <c r="U2151"/>
      <c r="V2151"/>
      <c r="W2151" s="911" t="s">
        <v>4535</v>
      </c>
      <c r="X2151"/>
      <c r="Y2151"/>
      <c r="AA2151"/>
      <c r="AC2151" s="970"/>
      <c r="AD2151" s="970"/>
      <c r="AE2151" s="970"/>
      <c r="AF2151"/>
      <c r="AG2151"/>
      <c r="AH2151"/>
      <c r="AI2151"/>
      <c r="AJ2151"/>
      <c r="AK2151"/>
      <c r="AL2151" s="1336"/>
      <c r="AM2151" s="1336"/>
      <c r="AN2151" s="1336"/>
      <c r="AO2151" s="1336"/>
      <c r="AP2151" s="1336"/>
      <c r="AQ2151" s="1336"/>
      <c r="AR2151" s="1336"/>
      <c r="AS2151" s="1336"/>
      <c r="AT2151"/>
    </row>
    <row r="2152" spans="1:46" x14ac:dyDescent="0.25">
      <c r="A2152" s="2371">
        <v>9</v>
      </c>
      <c r="B2152" s="2385" t="s">
        <v>4519</v>
      </c>
      <c r="C2152" s="2374"/>
      <c r="D2152" s="2374"/>
      <c r="E2152" s="2385"/>
      <c r="F2152" s="2385"/>
      <c r="G2152" s="2373" t="s">
        <v>3974</v>
      </c>
      <c r="H2152" s="2371" t="s">
        <v>3971</v>
      </c>
      <c r="I2152" s="667"/>
      <c r="J2152" s="667"/>
      <c r="K2152" s="667"/>
      <c r="L2152" s="1933" t="s">
        <v>4522</v>
      </c>
      <c r="M2152" s="4"/>
      <c r="N2152" s="664"/>
      <c r="O2152" s="664"/>
      <c r="P2152" s="1147" t="b">
        <v>1</v>
      </c>
      <c r="Q2152" s="1147" t="b">
        <v>1</v>
      </c>
      <c r="R2152" s="1147" t="b">
        <v>0</v>
      </c>
      <c r="S2152" s="1147" t="b">
        <v>1</v>
      </c>
      <c r="T2152" s="94" t="b">
        <f>AND(NOT(S2152),W2152=TRUE)</f>
        <v>0</v>
      </c>
      <c r="U2152"/>
      <c r="V2152"/>
      <c r="W2152" s="25"/>
      <c r="X2152"/>
      <c r="Y2152"/>
      <c r="AA2152"/>
      <c r="AC2152" s="970" t="b">
        <f>OR(AD2152:AE2152)</f>
        <v>0</v>
      </c>
      <c r="AD2152" s="970" t="b">
        <f>T2152</f>
        <v>0</v>
      </c>
      <c r="AE2152" s="970"/>
      <c r="AF2152"/>
      <c r="AG2152"/>
      <c r="AH2152"/>
      <c r="AI2152"/>
      <c r="AJ2152"/>
      <c r="AK2152"/>
      <c r="AL2152" s="1336"/>
      <c r="AM2152" s="1336"/>
      <c r="AN2152" s="1336"/>
      <c r="AO2152" s="1336"/>
      <c r="AP2152" s="254" t="str">
        <f>SUBSTITUTE(SUBSTITUTE(SUBSTITUTE("vch"&amp;$B2152&amp;$C2152&amp;$D2152&amp;$E2152,".","_"),"(","_"),")","")</f>
        <v>vch902_3_2</v>
      </c>
      <c r="AQ2152" s="254" t="str">
        <f>IF(LEN(W2152)=0,"",W2152)</f>
        <v/>
      </c>
      <c r="AR2152" s="1336"/>
      <c r="AS2152" s="1336"/>
      <c r="AT2152"/>
    </row>
    <row r="2153" spans="1:46" x14ac:dyDescent="0.25">
      <c r="A2153" s="2371">
        <v>9</v>
      </c>
      <c r="B2153" s="2385" t="s">
        <v>4519</v>
      </c>
      <c r="C2153" s="2374"/>
      <c r="D2153" s="2374"/>
      <c r="E2153" s="2385"/>
      <c r="F2153" s="2385"/>
      <c r="G2153" s="2373" t="s">
        <v>3974</v>
      </c>
      <c r="H2153" s="2371" t="s">
        <v>3971</v>
      </c>
      <c r="I2153" s="667"/>
      <c r="J2153" s="667"/>
      <c r="K2153" s="667"/>
      <c r="L2153" s="1933"/>
      <c r="M2153" s="4"/>
      <c r="N2153" s="664"/>
      <c r="O2153" s="664"/>
      <c r="P2153" s="1147"/>
      <c r="Q2153" s="1147"/>
      <c r="R2153" s="1147"/>
      <c r="S2153" s="1147"/>
      <c r="T2153" s="1147"/>
      <c r="U2153"/>
      <c r="V2153"/>
      <c r="W2153"/>
      <c r="X2153"/>
      <c r="Y2153"/>
      <c r="AA2153"/>
      <c r="AC2153" s="970"/>
      <c r="AD2153" s="970"/>
      <c r="AE2153" s="970"/>
      <c r="AF2153"/>
      <c r="AG2153"/>
      <c r="AH2153"/>
      <c r="AI2153"/>
      <c r="AJ2153"/>
      <c r="AK2153"/>
      <c r="AL2153" s="1336"/>
      <c r="AM2153" s="1336"/>
      <c r="AN2153" s="1336"/>
      <c r="AO2153" s="1336"/>
      <c r="AP2153" s="1336"/>
      <c r="AQ2153" s="1336"/>
      <c r="AR2153" s="1336"/>
      <c r="AS2153" s="1336"/>
      <c r="AT2153"/>
    </row>
    <row r="2154" spans="1:46" x14ac:dyDescent="0.25">
      <c r="A2154" s="2371">
        <v>9</v>
      </c>
      <c r="B2154" s="2385" t="s">
        <v>4519</v>
      </c>
      <c r="C2154" s="2385" t="s">
        <v>256</v>
      </c>
      <c r="D2154" s="2385"/>
      <c r="E2154" s="2385"/>
      <c r="F2154" s="2385"/>
      <c r="G2154" s="2373" t="s">
        <v>3974</v>
      </c>
      <c r="H2154" s="2371" t="s">
        <v>3971</v>
      </c>
      <c r="I2154" s="667"/>
      <c r="J2154" s="667" t="s">
        <v>256</v>
      </c>
      <c r="K2154" s="667"/>
      <c r="L2154" s="1191" t="s">
        <v>4523</v>
      </c>
      <c r="M2154" s="1014">
        <v>8</v>
      </c>
      <c r="N2154" s="1044">
        <f>'Ch9'!O288</f>
        <v>0</v>
      </c>
      <c r="O2154" s="1042">
        <f>M2154*S2154*W2154</f>
        <v>0</v>
      </c>
      <c r="P2154" s="1147" t="b">
        <v>0</v>
      </c>
      <c r="Q2154" s="1147" t="b">
        <v>1</v>
      </c>
      <c r="R2154" s="1147" t="b">
        <f>AND(S2154, NOT(W2152=TRUE),BE1882= 1)</f>
        <v>0</v>
      </c>
      <c r="S2154" s="1147" t="b">
        <v>1</v>
      </c>
      <c r="T2154" s="94" t="b">
        <f>AND(NOT(S2154),W2154=TRUE)</f>
        <v>0</v>
      </c>
      <c r="U2154"/>
      <c r="V2154"/>
      <c r="W2154" s="25"/>
      <c r="X2154" s="1757"/>
      <c r="Y2154" s="2099" t="str">
        <f>IF(LEN('Ch9'!X288)=0,"None",'Ch9'!X288)</f>
        <v>None</v>
      </c>
      <c r="Z2154" s="2087"/>
      <c r="AA2154"/>
      <c r="AC2154" s="970" t="b">
        <f>OR(AD2154:AE2154)</f>
        <v>0</v>
      </c>
      <c r="AD2154" s="970" t="b">
        <f>T2154</f>
        <v>0</v>
      </c>
      <c r="AE2154" s="970" t="b">
        <f>AND(R2154,NOT(W2154))</f>
        <v>0</v>
      </c>
      <c r="AF2154"/>
      <c r="AG2154"/>
      <c r="AH2154"/>
      <c r="AI2154"/>
      <c r="AJ2154"/>
      <c r="AK2154"/>
      <c r="AL2154" s="254" t="str">
        <f>SUBSTITUTE(SUBSTITUTE(SUBSTITUTE("vpa"&amp;$B2154&amp;$C2154&amp;$D2154&amp;$E2154,".","_"),"(","_"),")","")</f>
        <v>vpa902_3_2_1</v>
      </c>
      <c r="AM2154" s="254">
        <f>M2154</f>
        <v>8</v>
      </c>
      <c r="AN2154" s="254" t="str">
        <f>SUBSTITUTE(SUBSTITUTE(SUBSTITUTE("vpc"&amp;$B2154&amp;$C2154&amp;$D2154&amp;$E2154,".","_"),"(","_"),")","")</f>
        <v>vpc902_3_2_1</v>
      </c>
      <c r="AO2154" s="254">
        <f>O2154</f>
        <v>0</v>
      </c>
      <c r="AP2154" s="254" t="str">
        <f>SUBSTITUTE(SUBSTITUTE(SUBSTITUTE("vch"&amp;$B2154&amp;$C2154&amp;$D2154&amp;$E2154,".","_"),"(","_"),")","")</f>
        <v>vch902_3_2_1</v>
      </c>
      <c r="AQ2154" s="254" t="str">
        <f>IF(LEN(W2154)=0,"",W2154)</f>
        <v/>
      </c>
      <c r="AR2154" s="254" t="str">
        <f>SUBSTITUTE(SUBSTITUTE(SUBSTITUTE("vnt"&amp;$B2154&amp;$C2154&amp;$D2154&amp;$E2154,".","_"),"(","_"),")","")</f>
        <v>vnt902_3_2_1</v>
      </c>
      <c r="AS2154" s="254" t="str">
        <f>IF(LEN(X2154)=0,"",X2154)</f>
        <v/>
      </c>
      <c r="AT2154"/>
    </row>
    <row r="2155" spans="1:46" x14ac:dyDescent="0.25">
      <c r="A2155" s="2371">
        <v>9</v>
      </c>
      <c r="B2155" s="2385" t="s">
        <v>4519</v>
      </c>
      <c r="C2155" s="2385" t="s">
        <v>256</v>
      </c>
      <c r="D2155" s="2385" t="s">
        <v>121</v>
      </c>
      <c r="E2155" s="2385"/>
      <c r="F2155" s="2385"/>
      <c r="G2155" s="2373" t="s">
        <v>3974</v>
      </c>
      <c r="H2155" s="2371" t="s">
        <v>3971</v>
      </c>
      <c r="I2155" s="667"/>
      <c r="J2155" s="667"/>
      <c r="K2155" s="667" t="s">
        <v>121</v>
      </c>
      <c r="L2155" s="1191" t="s">
        <v>4524</v>
      </c>
      <c r="M2155" s="1014"/>
      <c r="N2155" s="664"/>
      <c r="O2155" s="1042"/>
      <c r="P2155" s="1147"/>
      <c r="Q2155" s="1147"/>
      <c r="R2155" s="1147"/>
      <c r="S2155" s="1147"/>
      <c r="T2155" s="1147"/>
      <c r="U2155"/>
      <c r="V2155"/>
      <c r="W2155" s="1496" t="s">
        <v>5624</v>
      </c>
      <c r="X2155" s="1757"/>
      <c r="Y2155" s="2100"/>
      <c r="Z2155" s="2091"/>
      <c r="AA2155"/>
      <c r="AC2155" s="970"/>
      <c r="AD2155" s="970"/>
      <c r="AE2155" s="970"/>
      <c r="AF2155"/>
      <c r="AG2155"/>
      <c r="AH2155"/>
      <c r="AI2155"/>
      <c r="AJ2155"/>
      <c r="AK2155"/>
      <c r="AL2155" s="1336"/>
      <c r="AM2155" s="1336"/>
      <c r="AN2155" s="1336"/>
      <c r="AO2155" s="1336"/>
      <c r="AP2155" s="1336"/>
      <c r="AQ2155" s="1336"/>
      <c r="AR2155" s="1336"/>
      <c r="AS2155" s="1336"/>
      <c r="AT2155"/>
    </row>
    <row r="2156" spans="1:46" x14ac:dyDescent="0.25">
      <c r="A2156" s="2371">
        <v>9</v>
      </c>
      <c r="B2156" s="2385" t="s">
        <v>4519</v>
      </c>
      <c r="C2156" s="2385" t="s">
        <v>256</v>
      </c>
      <c r="D2156" s="2385" t="s">
        <v>122</v>
      </c>
      <c r="E2156" s="2385"/>
      <c r="F2156" s="2385"/>
      <c r="G2156" s="2373" t="s">
        <v>3974</v>
      </c>
      <c r="H2156" s="2371" t="s">
        <v>3971</v>
      </c>
      <c r="I2156" s="667"/>
      <c r="J2156" s="667"/>
      <c r="K2156" s="667" t="s">
        <v>122</v>
      </c>
      <c r="L2156" s="1933" t="s">
        <v>4525</v>
      </c>
      <c r="M2156" s="4"/>
      <c r="N2156" s="664"/>
      <c r="O2156" s="664"/>
      <c r="P2156" s="1496" t="b">
        <v>0</v>
      </c>
      <c r="Q2156" s="1496" t="b">
        <v>1</v>
      </c>
      <c r="R2156" s="1496" t="b">
        <f>S2156</f>
        <v>0</v>
      </c>
      <c r="S2156" s="1496" t="b">
        <f>(W2154=TRUE)</f>
        <v>0</v>
      </c>
      <c r="T2156" s="94" t="b">
        <f>AND(NOT(S2156),LEN(W2156)&gt;0)</f>
        <v>0</v>
      </c>
      <c r="U2156"/>
      <c r="V2156"/>
      <c r="W2156" s="1498"/>
      <c r="X2156" s="1757"/>
      <c r="Y2156" s="2100"/>
      <c r="Z2156" s="2091"/>
      <c r="AA2156"/>
      <c r="AC2156" s="1496" t="b">
        <f>OR(AD2156:AE2156)</f>
        <v>0</v>
      </c>
      <c r="AD2156" s="1496" t="b">
        <f>T2156</f>
        <v>0</v>
      </c>
      <c r="AE2156" s="1496" t="b">
        <f>AND(R2156,OR(W2156="Not Met",W2156=""))</f>
        <v>0</v>
      </c>
      <c r="AF2156"/>
      <c r="AG2156"/>
      <c r="AH2156"/>
      <c r="AI2156"/>
      <c r="AJ2156"/>
      <c r="AK2156"/>
      <c r="AL2156" s="1336"/>
      <c r="AM2156" s="1336"/>
      <c r="AN2156" s="1336"/>
      <c r="AO2156" s="1336"/>
      <c r="AP2156" s="254" t="str">
        <f>SUBSTITUTE(SUBSTITUTE(SUBSTITUTE("vch"&amp;$B2156&amp;$C2156&amp;$D2156&amp;$E2156,".","_"),"(","_"),")","")</f>
        <v>vch902_3_2_1_b</v>
      </c>
      <c r="AQ2156" s="254" t="str">
        <f>IF(LEN(W2156)=0,"",W2156)</f>
        <v/>
      </c>
      <c r="AR2156" s="1336"/>
      <c r="AS2156" s="1336"/>
      <c r="AT2156"/>
    </row>
    <row r="2157" spans="1:46" x14ac:dyDescent="0.25">
      <c r="A2157" s="2371">
        <v>9</v>
      </c>
      <c r="B2157" s="2385" t="s">
        <v>4519</v>
      </c>
      <c r="C2157" s="2385" t="s">
        <v>256</v>
      </c>
      <c r="D2157" s="2385" t="s">
        <v>122</v>
      </c>
      <c r="E2157" s="2385"/>
      <c r="F2157" s="2385"/>
      <c r="G2157" s="2373" t="s">
        <v>3974</v>
      </c>
      <c r="H2157" s="2371" t="s">
        <v>3971</v>
      </c>
      <c r="I2157" s="667"/>
      <c r="J2157" s="667"/>
      <c r="K2157" s="667"/>
      <c r="L2157" s="1933"/>
      <c r="M2157" s="4"/>
      <c r="N2157" s="664"/>
      <c r="O2157" s="664"/>
      <c r="P2157" s="1147"/>
      <c r="Q2157" s="1147"/>
      <c r="R2157" s="1147"/>
      <c r="S2157" s="1147"/>
      <c r="T2157" s="1147"/>
      <c r="U2157"/>
      <c r="V2157"/>
      <c r="W2157"/>
      <c r="X2157" s="1757"/>
      <c r="Y2157" s="2100"/>
      <c r="Z2157" s="2091"/>
      <c r="AA2157"/>
      <c r="AC2157" s="970"/>
      <c r="AD2157" s="970"/>
      <c r="AE2157" s="970"/>
      <c r="AF2157"/>
      <c r="AG2157"/>
      <c r="AH2157"/>
      <c r="AI2157"/>
      <c r="AJ2157"/>
      <c r="AK2157"/>
      <c r="AL2157" s="1336"/>
      <c r="AM2157" s="1336"/>
      <c r="AN2157" s="1336"/>
      <c r="AO2157" s="1336"/>
      <c r="AP2157" s="1336"/>
      <c r="AQ2157" s="1336"/>
      <c r="AR2157" s="1336"/>
      <c r="AS2157" s="1336"/>
      <c r="AT2157"/>
    </row>
    <row r="2158" spans="1:46" x14ac:dyDescent="0.25">
      <c r="A2158" s="2371">
        <v>9</v>
      </c>
      <c r="B2158" s="2385" t="s">
        <v>4519</v>
      </c>
      <c r="C2158" s="2385" t="s">
        <v>256</v>
      </c>
      <c r="D2158" s="2385" t="s">
        <v>123</v>
      </c>
      <c r="E2158" s="2385"/>
      <c r="F2158" s="2385"/>
      <c r="G2158" s="2373" t="s">
        <v>3974</v>
      </c>
      <c r="H2158" s="2371" t="s">
        <v>3971</v>
      </c>
      <c r="I2158"/>
      <c r="J2158"/>
      <c r="K2158" s="667" t="s">
        <v>123</v>
      </c>
      <c r="L2158" s="1933" t="s">
        <v>4526</v>
      </c>
      <c r="M2158" s="4"/>
      <c r="N2158" s="664"/>
      <c r="O2158" s="664"/>
      <c r="P2158" s="1147"/>
      <c r="Q2158" s="1147"/>
      <c r="R2158" s="1147"/>
      <c r="S2158" s="1147"/>
      <c r="T2158" s="1147"/>
      <c r="U2158"/>
      <c r="V2158"/>
      <c r="W2158"/>
      <c r="X2158" s="1757"/>
      <c r="Y2158" s="2100"/>
      <c r="Z2158" s="2091"/>
      <c r="AA2158"/>
      <c r="AC2158" s="970"/>
      <c r="AD2158" s="970"/>
      <c r="AE2158" s="970"/>
      <c r="AF2158"/>
      <c r="AG2158"/>
      <c r="AH2158"/>
      <c r="AI2158"/>
      <c r="AJ2158"/>
      <c r="AK2158"/>
      <c r="AL2158" s="1336"/>
      <c r="AM2158" s="1336"/>
      <c r="AN2158" s="1336"/>
      <c r="AO2158" s="1336"/>
      <c r="AP2158" s="1336"/>
      <c r="AQ2158" s="1336"/>
      <c r="AR2158" s="1336"/>
      <c r="AS2158" s="1336"/>
      <c r="AT2158"/>
    </row>
    <row r="2159" spans="1:46" x14ac:dyDescent="0.25">
      <c r="A2159" s="2371">
        <v>9</v>
      </c>
      <c r="B2159" s="2385" t="s">
        <v>4519</v>
      </c>
      <c r="C2159" s="2385" t="s">
        <v>256</v>
      </c>
      <c r="D2159" s="2385" t="s">
        <v>123</v>
      </c>
      <c r="E2159" s="2385"/>
      <c r="F2159" s="2385"/>
      <c r="G2159" s="2373" t="s">
        <v>3974</v>
      </c>
      <c r="H2159" s="2371" t="s">
        <v>3971</v>
      </c>
      <c r="I2159"/>
      <c r="J2159"/>
      <c r="K2159" s="667"/>
      <c r="L2159" s="1933"/>
      <c r="M2159" s="4"/>
      <c r="N2159" s="664"/>
      <c r="O2159" s="664"/>
      <c r="P2159" s="1147"/>
      <c r="Q2159" s="1147"/>
      <c r="R2159" s="1147"/>
      <c r="S2159" s="1147"/>
      <c r="T2159" s="1147"/>
      <c r="U2159"/>
      <c r="V2159"/>
      <c r="W2159"/>
      <c r="X2159" s="1757"/>
      <c r="Y2159" s="2100"/>
      <c r="Z2159" s="2091"/>
      <c r="AA2159"/>
      <c r="AC2159" s="970"/>
      <c r="AD2159" s="970"/>
      <c r="AE2159" s="970"/>
      <c r="AF2159"/>
      <c r="AG2159"/>
      <c r="AH2159"/>
      <c r="AI2159"/>
      <c r="AJ2159"/>
      <c r="AK2159"/>
      <c r="AL2159" s="1336"/>
      <c r="AM2159" s="1336"/>
      <c r="AN2159" s="1336"/>
      <c r="AO2159" s="1336"/>
      <c r="AP2159" s="1336"/>
      <c r="AQ2159" s="1336"/>
      <c r="AR2159" s="1336"/>
      <c r="AS2159" s="1336"/>
      <c r="AT2159"/>
    </row>
    <row r="2160" spans="1:46" x14ac:dyDescent="0.25">
      <c r="A2160" s="2371">
        <v>9</v>
      </c>
      <c r="B2160" s="2385" t="s">
        <v>4519</v>
      </c>
      <c r="C2160" s="2385" t="s">
        <v>256</v>
      </c>
      <c r="D2160" s="2404" t="s">
        <v>401</v>
      </c>
      <c r="E2160" s="2385"/>
      <c r="F2160" s="2404"/>
      <c r="G2160" s="2373" t="s">
        <v>3974</v>
      </c>
      <c r="H2160" s="2371" t="s">
        <v>3971</v>
      </c>
      <c r="I2160"/>
      <c r="J2160"/>
      <c r="K2160" s="139" t="s">
        <v>401</v>
      </c>
      <c r="L2160" s="1933" t="s">
        <v>4527</v>
      </c>
      <c r="M2160" s="4"/>
      <c r="N2160" s="664"/>
      <c r="O2160" s="664"/>
      <c r="P2160" s="1147"/>
      <c r="Q2160" s="1147"/>
      <c r="R2160" s="1147"/>
      <c r="S2160" s="1147"/>
      <c r="T2160" s="1147"/>
      <c r="U2160"/>
      <c r="V2160"/>
      <c r="W2160"/>
      <c r="X2160" s="1757"/>
      <c r="Y2160" s="2100"/>
      <c r="Z2160" s="2091"/>
      <c r="AA2160"/>
      <c r="AC2160" s="970"/>
      <c r="AD2160" s="970"/>
      <c r="AE2160" s="970"/>
      <c r="AF2160"/>
      <c r="AG2160"/>
      <c r="AH2160"/>
      <c r="AI2160"/>
      <c r="AJ2160"/>
      <c r="AK2160"/>
      <c r="AL2160" s="1336"/>
      <c r="AM2160" s="1336"/>
      <c r="AN2160" s="1336"/>
      <c r="AO2160" s="1336"/>
      <c r="AP2160" s="1336"/>
      <c r="AQ2160" s="1336"/>
      <c r="AR2160" s="1336"/>
      <c r="AS2160" s="1336"/>
      <c r="AT2160"/>
    </row>
    <row r="2161" spans="1:46" x14ac:dyDescent="0.25">
      <c r="A2161" s="2371">
        <v>9</v>
      </c>
      <c r="B2161" s="2385" t="s">
        <v>4519</v>
      </c>
      <c r="C2161" s="2385" t="s">
        <v>256</v>
      </c>
      <c r="D2161" s="2404" t="s">
        <v>401</v>
      </c>
      <c r="E2161" s="2385"/>
      <c r="F2161" s="2404"/>
      <c r="G2161" s="2373" t="s">
        <v>3974</v>
      </c>
      <c r="H2161" s="2371" t="s">
        <v>3971</v>
      </c>
      <c r="I2161"/>
      <c r="J2161"/>
      <c r="K2161" s="139"/>
      <c r="L2161" s="1933"/>
      <c r="M2161" s="4"/>
      <c r="N2161" s="664"/>
      <c r="O2161" s="664"/>
      <c r="P2161" s="1147"/>
      <c r="Q2161" s="1147"/>
      <c r="R2161" s="1147"/>
      <c r="S2161" s="1147"/>
      <c r="T2161" s="1147"/>
      <c r="U2161"/>
      <c r="V2161"/>
      <c r="W2161"/>
      <c r="X2161" s="1757"/>
      <c r="Y2161" s="2100"/>
      <c r="Z2161" s="2091"/>
      <c r="AA2161"/>
      <c r="AC2161" s="970"/>
      <c r="AD2161" s="970"/>
      <c r="AE2161" s="970"/>
      <c r="AF2161"/>
      <c r="AG2161"/>
      <c r="AH2161"/>
      <c r="AI2161"/>
      <c r="AJ2161"/>
      <c r="AK2161"/>
      <c r="AL2161" s="1336"/>
      <c r="AM2161" s="1336"/>
      <c r="AN2161" s="1336"/>
      <c r="AO2161" s="1336"/>
      <c r="AP2161" s="1336"/>
      <c r="AQ2161" s="1336"/>
      <c r="AR2161" s="1336"/>
      <c r="AS2161" s="1336"/>
      <c r="AT2161"/>
    </row>
    <row r="2162" spans="1:46" x14ac:dyDescent="0.25">
      <c r="A2162" s="2371">
        <v>9</v>
      </c>
      <c r="B2162" s="2385" t="s">
        <v>4519</v>
      </c>
      <c r="C2162" s="2385" t="s">
        <v>256</v>
      </c>
      <c r="D2162" s="2404" t="s">
        <v>539</v>
      </c>
      <c r="E2162" s="2385"/>
      <c r="F2162" s="2404"/>
      <c r="G2162" s="2373" t="s">
        <v>3974</v>
      </c>
      <c r="H2162" s="2371" t="s">
        <v>3971</v>
      </c>
      <c r="I2162"/>
      <c r="J2162"/>
      <c r="K2162" s="139" t="s">
        <v>539</v>
      </c>
      <c r="L2162" s="1933" t="s">
        <v>4897</v>
      </c>
      <c r="M2162" s="4"/>
      <c r="N2162" s="664"/>
      <c r="O2162" s="664"/>
      <c r="P2162" s="1147"/>
      <c r="Q2162" s="1147"/>
      <c r="R2162" s="1147"/>
      <c r="S2162" s="1147"/>
      <c r="T2162" s="1147"/>
      <c r="U2162"/>
      <c r="V2162"/>
      <c r="W2162"/>
      <c r="X2162" s="1757"/>
      <c r="Y2162" s="2100"/>
      <c r="Z2162" s="2091"/>
      <c r="AA2162"/>
      <c r="AC2162" s="970"/>
      <c r="AD2162" s="970"/>
      <c r="AE2162" s="970"/>
      <c r="AF2162"/>
      <c r="AG2162"/>
      <c r="AH2162"/>
      <c r="AI2162"/>
      <c r="AJ2162"/>
      <c r="AK2162"/>
      <c r="AL2162" s="1336"/>
      <c r="AM2162" s="1336"/>
      <c r="AN2162" s="1336"/>
      <c r="AO2162" s="1336"/>
      <c r="AP2162" s="1336"/>
      <c r="AQ2162" s="1336"/>
      <c r="AR2162" s="1336"/>
      <c r="AS2162" s="1336"/>
      <c r="AT2162"/>
    </row>
    <row r="2163" spans="1:46" x14ac:dyDescent="0.25">
      <c r="A2163" s="2371">
        <v>9</v>
      </c>
      <c r="B2163" s="2385" t="s">
        <v>4519</v>
      </c>
      <c r="C2163" s="2385" t="s">
        <v>256</v>
      </c>
      <c r="D2163" s="2404" t="s">
        <v>539</v>
      </c>
      <c r="E2163" s="2385"/>
      <c r="F2163" s="2404"/>
      <c r="G2163" s="2373" t="s">
        <v>3974</v>
      </c>
      <c r="H2163" s="2371" t="s">
        <v>3971</v>
      </c>
      <c r="I2163"/>
      <c r="J2163"/>
      <c r="K2163" s="139"/>
      <c r="L2163" s="1933"/>
      <c r="M2163" s="4"/>
      <c r="N2163" s="664"/>
      <c r="O2163" s="664"/>
      <c r="P2163" s="1147"/>
      <c r="Q2163" s="1147"/>
      <c r="R2163" s="1147"/>
      <c r="S2163" s="1147"/>
      <c r="T2163" s="1147"/>
      <c r="U2163"/>
      <c r="V2163"/>
      <c r="W2163"/>
      <c r="X2163" s="1757"/>
      <c r="Y2163" s="2100"/>
      <c r="Z2163" s="2091"/>
      <c r="AA2163"/>
      <c r="AC2163" s="970"/>
      <c r="AD2163" s="970"/>
      <c r="AE2163" s="970"/>
      <c r="AF2163"/>
      <c r="AG2163"/>
      <c r="AH2163"/>
      <c r="AI2163"/>
      <c r="AJ2163"/>
      <c r="AK2163"/>
      <c r="AL2163" s="1336"/>
      <c r="AM2163" s="1336"/>
      <c r="AN2163" s="1336"/>
      <c r="AO2163" s="1336"/>
      <c r="AP2163" s="1336"/>
      <c r="AQ2163" s="1336"/>
      <c r="AR2163" s="1336"/>
      <c r="AS2163" s="1336"/>
      <c r="AT2163"/>
    </row>
    <row r="2164" spans="1:46" x14ac:dyDescent="0.25">
      <c r="A2164" s="2371">
        <v>9</v>
      </c>
      <c r="B2164" s="2385" t="s">
        <v>4519</v>
      </c>
      <c r="C2164" s="2385" t="s">
        <v>256</v>
      </c>
      <c r="D2164" s="2404" t="s">
        <v>539</v>
      </c>
      <c r="E2164" s="2385"/>
      <c r="F2164" s="2404"/>
      <c r="G2164" s="2373" t="s">
        <v>3974</v>
      </c>
      <c r="H2164" s="2371" t="s">
        <v>3971</v>
      </c>
      <c r="I2164"/>
      <c r="J2164"/>
      <c r="K2164" s="139"/>
      <c r="L2164" s="1933"/>
      <c r="M2164" s="4"/>
      <c r="N2164" s="664"/>
      <c r="O2164" s="664"/>
      <c r="P2164" s="1147"/>
      <c r="Q2164" s="1147"/>
      <c r="R2164" s="1147"/>
      <c r="S2164" s="1147"/>
      <c r="T2164" s="1147"/>
      <c r="U2164"/>
      <c r="V2164"/>
      <c r="W2164"/>
      <c r="X2164" s="1757"/>
      <c r="Y2164" s="2100"/>
      <c r="Z2164" s="2091"/>
      <c r="AA2164"/>
      <c r="AC2164" s="970"/>
      <c r="AD2164" s="970"/>
      <c r="AE2164" s="970"/>
      <c r="AF2164"/>
      <c r="AG2164"/>
      <c r="AH2164"/>
      <c r="AI2164"/>
      <c r="AJ2164"/>
      <c r="AK2164"/>
      <c r="AL2164" s="1336"/>
      <c r="AM2164" s="1336"/>
      <c r="AN2164" s="1336"/>
      <c r="AO2164" s="1336"/>
      <c r="AP2164" s="1336"/>
      <c r="AQ2164" s="1336"/>
      <c r="AR2164" s="1336"/>
      <c r="AS2164" s="1336"/>
      <c r="AT2164"/>
    </row>
    <row r="2165" spans="1:46" x14ac:dyDescent="0.25">
      <c r="A2165" s="2371">
        <v>9</v>
      </c>
      <c r="B2165" s="2385" t="s">
        <v>4519</v>
      </c>
      <c r="C2165" s="2385" t="s">
        <v>256</v>
      </c>
      <c r="D2165" s="2404" t="s">
        <v>604</v>
      </c>
      <c r="E2165" s="2385"/>
      <c r="F2165" s="2404"/>
      <c r="G2165" s="2373" t="s">
        <v>3974</v>
      </c>
      <c r="H2165" s="2371" t="s">
        <v>3971</v>
      </c>
      <c r="I2165"/>
      <c r="J2165"/>
      <c r="K2165" s="139" t="s">
        <v>604</v>
      </c>
      <c r="L2165" s="1933" t="s">
        <v>4528</v>
      </c>
      <c r="M2165" s="4"/>
      <c r="N2165" s="664"/>
      <c r="O2165" s="664"/>
      <c r="P2165" s="1147"/>
      <c r="Q2165" s="1147"/>
      <c r="R2165" s="1147"/>
      <c r="S2165" s="1147"/>
      <c r="T2165" s="1147"/>
      <c r="U2165"/>
      <c r="V2165"/>
      <c r="W2165"/>
      <c r="X2165" s="1757"/>
      <c r="Y2165" s="2100"/>
      <c r="Z2165" s="2091"/>
      <c r="AA2165"/>
      <c r="AC2165" s="970"/>
      <c r="AD2165" s="970"/>
      <c r="AE2165" s="970"/>
      <c r="AF2165"/>
      <c r="AG2165"/>
      <c r="AH2165"/>
      <c r="AI2165"/>
      <c r="AJ2165"/>
      <c r="AK2165"/>
      <c r="AL2165" s="1336"/>
      <c r="AM2165" s="1336"/>
      <c r="AN2165" s="1336"/>
      <c r="AO2165" s="1336"/>
      <c r="AP2165" s="1336"/>
      <c r="AQ2165" s="1336"/>
      <c r="AR2165" s="1336"/>
      <c r="AS2165" s="1336"/>
      <c r="AT2165"/>
    </row>
    <row r="2166" spans="1:46" x14ac:dyDescent="0.25">
      <c r="A2166" s="2371">
        <v>9</v>
      </c>
      <c r="B2166" s="2385" t="s">
        <v>4519</v>
      </c>
      <c r="C2166" s="2385" t="s">
        <v>256</v>
      </c>
      <c r="D2166" s="2404" t="s">
        <v>604</v>
      </c>
      <c r="E2166" s="2385"/>
      <c r="F2166" s="2404"/>
      <c r="G2166" s="2373" t="s">
        <v>3974</v>
      </c>
      <c r="H2166" s="2371" t="s">
        <v>3971</v>
      </c>
      <c r="I2166"/>
      <c r="J2166"/>
      <c r="K2166" s="139"/>
      <c r="L2166" s="1933"/>
      <c r="M2166" s="4"/>
      <c r="N2166" s="664"/>
      <c r="O2166" s="664"/>
      <c r="P2166" s="1147"/>
      <c r="Q2166" s="1147"/>
      <c r="R2166" s="1147"/>
      <c r="S2166" s="1147"/>
      <c r="T2166" s="1147"/>
      <c r="U2166"/>
      <c r="V2166"/>
      <c r="W2166"/>
      <c r="X2166" s="1757"/>
      <c r="Y2166" s="2100"/>
      <c r="Z2166" s="2091"/>
      <c r="AA2166"/>
      <c r="AC2166" s="970"/>
      <c r="AD2166" s="970"/>
      <c r="AE2166" s="970"/>
      <c r="AF2166"/>
      <c r="AG2166"/>
      <c r="AH2166"/>
      <c r="AI2166"/>
      <c r="AJ2166"/>
      <c r="AK2166"/>
      <c r="AL2166" s="1336"/>
      <c r="AM2166" s="1336"/>
      <c r="AN2166" s="1336"/>
      <c r="AO2166" s="1336"/>
      <c r="AP2166" s="1336"/>
      <c r="AQ2166" s="1336"/>
      <c r="AR2166" s="1336"/>
      <c r="AS2166" s="1336"/>
      <c r="AT2166"/>
    </row>
    <row r="2167" spans="1:46" x14ac:dyDescent="0.25">
      <c r="A2167" s="2371">
        <v>9</v>
      </c>
      <c r="B2167" s="2385" t="s">
        <v>4519</v>
      </c>
      <c r="C2167" s="2385" t="s">
        <v>256</v>
      </c>
      <c r="D2167" s="2385" t="s">
        <v>606</v>
      </c>
      <c r="E2167" s="2385"/>
      <c r="F2167" s="2385"/>
      <c r="G2167" s="2373" t="s">
        <v>3974</v>
      </c>
      <c r="H2167" s="2371" t="s">
        <v>3971</v>
      </c>
      <c r="I2167"/>
      <c r="J2167"/>
      <c r="K2167" s="667" t="s">
        <v>606</v>
      </c>
      <c r="L2167" s="1933" t="s">
        <v>4529</v>
      </c>
      <c r="M2167" s="4"/>
      <c r="N2167" s="664"/>
      <c r="O2167" s="664"/>
      <c r="P2167" s="1147"/>
      <c r="Q2167" s="1147"/>
      <c r="R2167" s="1147"/>
      <c r="S2167" s="1147"/>
      <c r="T2167" s="1147"/>
      <c r="U2167"/>
      <c r="V2167"/>
      <c r="W2167"/>
      <c r="X2167" s="1757"/>
      <c r="Y2167" s="2100"/>
      <c r="Z2167" s="2091"/>
      <c r="AA2167"/>
      <c r="AC2167" s="970"/>
      <c r="AD2167" s="970"/>
      <c r="AE2167" s="970"/>
      <c r="AF2167"/>
      <c r="AG2167"/>
      <c r="AH2167"/>
      <c r="AI2167"/>
      <c r="AJ2167"/>
      <c r="AK2167"/>
      <c r="AL2167" s="1336"/>
      <c r="AM2167" s="1336"/>
      <c r="AN2167" s="1336"/>
      <c r="AO2167" s="1336"/>
      <c r="AP2167" s="1336"/>
      <c r="AQ2167" s="1336"/>
      <c r="AR2167" s="1336"/>
      <c r="AS2167" s="1336"/>
      <c r="AT2167"/>
    </row>
    <row r="2168" spans="1:46" x14ac:dyDescent="0.25">
      <c r="A2168" s="2371">
        <v>9</v>
      </c>
      <c r="B2168" s="2385" t="s">
        <v>4519</v>
      </c>
      <c r="C2168" s="2385" t="s">
        <v>256</v>
      </c>
      <c r="D2168" s="2385" t="s">
        <v>606</v>
      </c>
      <c r="E2168" s="2385"/>
      <c r="F2168" s="2385"/>
      <c r="G2168" s="2373" t="s">
        <v>3974</v>
      </c>
      <c r="H2168" s="2371" t="s">
        <v>3971</v>
      </c>
      <c r="I2168"/>
      <c r="J2168"/>
      <c r="K2168" s="667"/>
      <c r="L2168" s="1933"/>
      <c r="M2168" s="4"/>
      <c r="N2168" s="664"/>
      <c r="O2168" s="664"/>
      <c r="P2168" s="1147"/>
      <c r="Q2168" s="1147"/>
      <c r="R2168" s="1147"/>
      <c r="S2168" s="1147"/>
      <c r="T2168" s="1147"/>
      <c r="U2168"/>
      <c r="V2168"/>
      <c r="W2168"/>
      <c r="X2168" s="1757"/>
      <c r="Y2168" s="2100"/>
      <c r="Z2168" s="2091"/>
      <c r="AA2168"/>
      <c r="AC2168" s="970"/>
      <c r="AD2168" s="970"/>
      <c r="AE2168" s="970"/>
      <c r="AF2168"/>
      <c r="AG2168"/>
      <c r="AH2168"/>
      <c r="AI2168"/>
      <c r="AJ2168"/>
      <c r="AK2168"/>
      <c r="AL2168" s="1336"/>
      <c r="AM2168" s="1336"/>
      <c r="AN2168" s="1336"/>
      <c r="AO2168" s="1336"/>
      <c r="AP2168" s="1336"/>
      <c r="AQ2168" s="1336"/>
      <c r="AR2168" s="1336"/>
      <c r="AS2168" s="1336"/>
      <c r="AT2168"/>
    </row>
    <row r="2169" spans="1:46" x14ac:dyDescent="0.25">
      <c r="A2169" s="2371">
        <v>9</v>
      </c>
      <c r="B2169" s="2385" t="s">
        <v>4519</v>
      </c>
      <c r="C2169" s="2385" t="s">
        <v>256</v>
      </c>
      <c r="D2169" s="2385" t="s">
        <v>608</v>
      </c>
      <c r="E2169" s="2385"/>
      <c r="F2169" s="2385"/>
      <c r="G2169" s="2373" t="s">
        <v>3974</v>
      </c>
      <c r="H2169" s="2371" t="s">
        <v>3971</v>
      </c>
      <c r="I2169"/>
      <c r="J2169"/>
      <c r="K2169" s="667" t="s">
        <v>608</v>
      </c>
      <c r="L2169" s="1933" t="s">
        <v>4530</v>
      </c>
      <c r="M2169" s="4"/>
      <c r="N2169" s="664"/>
      <c r="O2169" s="664"/>
      <c r="P2169" s="1147"/>
      <c r="Q2169" s="1147"/>
      <c r="R2169" s="1147"/>
      <c r="S2169" s="1147"/>
      <c r="T2169" s="1147"/>
      <c r="U2169"/>
      <c r="V2169"/>
      <c r="W2169"/>
      <c r="X2169" s="1757"/>
      <c r="Y2169" s="2100"/>
      <c r="Z2169" s="2091"/>
      <c r="AA2169"/>
      <c r="AC2169" s="970"/>
      <c r="AD2169" s="970"/>
      <c r="AE2169" s="970"/>
      <c r="AF2169"/>
      <c r="AG2169"/>
      <c r="AH2169"/>
      <c r="AI2169"/>
      <c r="AJ2169"/>
      <c r="AK2169"/>
      <c r="AL2169" s="1336"/>
      <c r="AM2169" s="1336"/>
      <c r="AN2169" s="1336"/>
      <c r="AO2169" s="1336"/>
      <c r="AP2169" s="1336"/>
      <c r="AQ2169" s="1336"/>
      <c r="AR2169" s="1336"/>
      <c r="AS2169" s="1336"/>
      <c r="AT2169"/>
    </row>
    <row r="2170" spans="1:46" x14ac:dyDescent="0.25">
      <c r="A2170" s="2371">
        <v>9</v>
      </c>
      <c r="B2170" s="2385" t="s">
        <v>4519</v>
      </c>
      <c r="C2170" s="2385" t="s">
        <v>256</v>
      </c>
      <c r="D2170" s="2385" t="s">
        <v>608</v>
      </c>
      <c r="E2170" s="2385"/>
      <c r="F2170" s="2385"/>
      <c r="G2170" s="2373" t="s">
        <v>3974</v>
      </c>
      <c r="H2170" s="2371" t="s">
        <v>3971</v>
      </c>
      <c r="I2170"/>
      <c r="J2170"/>
      <c r="K2170" s="667"/>
      <c r="L2170" s="1933"/>
      <c r="M2170" s="4"/>
      <c r="N2170" s="664"/>
      <c r="O2170" s="664"/>
      <c r="P2170" s="1147"/>
      <c r="Q2170" s="1147"/>
      <c r="R2170" s="1147"/>
      <c r="S2170" s="1147"/>
      <c r="T2170" s="1147"/>
      <c r="U2170"/>
      <c r="V2170"/>
      <c r="W2170"/>
      <c r="X2170" s="1757"/>
      <c r="Y2170" s="2100"/>
      <c r="Z2170" s="2091"/>
      <c r="AA2170"/>
      <c r="AC2170" s="970"/>
      <c r="AD2170" s="970"/>
      <c r="AE2170" s="970"/>
      <c r="AF2170"/>
      <c r="AG2170"/>
      <c r="AH2170"/>
      <c r="AI2170"/>
      <c r="AJ2170"/>
      <c r="AK2170"/>
      <c r="AL2170" s="1336"/>
      <c r="AM2170" s="1336"/>
      <c r="AN2170" s="1336"/>
      <c r="AO2170" s="1336"/>
      <c r="AP2170" s="1336"/>
      <c r="AQ2170" s="1336"/>
      <c r="AR2170" s="1336"/>
      <c r="AS2170" s="1336"/>
      <c r="AT2170"/>
    </row>
    <row r="2171" spans="1:46" x14ac:dyDescent="0.25">
      <c r="A2171" s="2371">
        <v>9</v>
      </c>
      <c r="B2171" s="2385" t="s">
        <v>4519</v>
      </c>
      <c r="C2171" s="2385" t="s">
        <v>256</v>
      </c>
      <c r="D2171" s="2385" t="s">
        <v>844</v>
      </c>
      <c r="E2171" s="2385"/>
      <c r="F2171" s="2385"/>
      <c r="G2171" s="2373" t="s">
        <v>3974</v>
      </c>
      <c r="H2171" s="2371" t="s">
        <v>3971</v>
      </c>
      <c r="I2171"/>
      <c r="J2171"/>
      <c r="K2171" s="667" t="s">
        <v>844</v>
      </c>
      <c r="L2171" s="1933" t="s">
        <v>4531</v>
      </c>
      <c r="M2171" s="4"/>
      <c r="N2171" s="664"/>
      <c r="O2171" s="664"/>
      <c r="P2171" s="1147"/>
      <c r="Q2171" s="1147"/>
      <c r="R2171" s="1147"/>
      <c r="S2171" s="1147"/>
      <c r="T2171" s="1147"/>
      <c r="U2171"/>
      <c r="V2171"/>
      <c r="W2171"/>
      <c r="X2171" s="1757"/>
      <c r="Y2171" s="2100"/>
      <c r="Z2171" s="2091"/>
      <c r="AA2171"/>
      <c r="AC2171" s="970"/>
      <c r="AD2171" s="970"/>
      <c r="AE2171" s="970"/>
      <c r="AF2171"/>
      <c r="AG2171"/>
      <c r="AH2171"/>
      <c r="AI2171"/>
      <c r="AJ2171"/>
      <c r="AK2171"/>
      <c r="AL2171" s="1336"/>
      <c r="AM2171" s="1336"/>
      <c r="AN2171" s="1336"/>
      <c r="AO2171" s="1336"/>
      <c r="AP2171" s="1336"/>
      <c r="AQ2171" s="1336"/>
      <c r="AR2171" s="1336"/>
      <c r="AS2171" s="1336"/>
      <c r="AT2171"/>
    </row>
    <row r="2172" spans="1:46" x14ac:dyDescent="0.25">
      <c r="A2172" s="2371">
        <v>9</v>
      </c>
      <c r="B2172" s="2385" t="s">
        <v>4519</v>
      </c>
      <c r="C2172" s="2385" t="s">
        <v>256</v>
      </c>
      <c r="D2172" s="2385" t="s">
        <v>844</v>
      </c>
      <c r="E2172" s="2385"/>
      <c r="F2172" s="2385"/>
      <c r="G2172" s="2373" t="s">
        <v>3974</v>
      </c>
      <c r="H2172" s="2371" t="s">
        <v>3971</v>
      </c>
      <c r="I2172"/>
      <c r="J2172"/>
      <c r="K2172" s="667"/>
      <c r="L2172" s="1933"/>
      <c r="M2172" s="4"/>
      <c r="N2172" s="664"/>
      <c r="O2172" s="664"/>
      <c r="P2172" s="1147"/>
      <c r="Q2172" s="1147"/>
      <c r="R2172" s="1147"/>
      <c r="S2172" s="1147"/>
      <c r="T2172" s="1147"/>
      <c r="U2172"/>
      <c r="V2172"/>
      <c r="W2172"/>
      <c r="X2172" s="1757"/>
      <c r="Y2172" s="2100"/>
      <c r="Z2172" s="2091"/>
      <c r="AA2172"/>
      <c r="AC2172" s="970"/>
      <c r="AD2172" s="970"/>
      <c r="AE2172" s="970"/>
      <c r="AF2172"/>
      <c r="AG2172"/>
      <c r="AH2172"/>
      <c r="AI2172"/>
      <c r="AJ2172"/>
      <c r="AK2172"/>
      <c r="AL2172" s="1336"/>
      <c r="AM2172" s="1336"/>
      <c r="AN2172" s="1336"/>
      <c r="AO2172" s="1336"/>
      <c r="AP2172" s="1336"/>
      <c r="AQ2172" s="1336"/>
      <c r="AR2172" s="1336"/>
      <c r="AS2172" s="1336"/>
      <c r="AT2172"/>
    </row>
    <row r="2173" spans="1:46" x14ac:dyDescent="0.25">
      <c r="A2173" s="2371">
        <v>9</v>
      </c>
      <c r="B2173" s="2385" t="s">
        <v>4519</v>
      </c>
      <c r="C2173" s="2385" t="s">
        <v>256</v>
      </c>
      <c r="D2173" s="2385" t="s">
        <v>844</v>
      </c>
      <c r="E2173" s="2385"/>
      <c r="F2173" s="2385"/>
      <c r="G2173" s="2373" t="s">
        <v>3974</v>
      </c>
      <c r="H2173" s="2371" t="s">
        <v>3971</v>
      </c>
      <c r="I2173"/>
      <c r="J2173"/>
      <c r="K2173" s="667"/>
      <c r="L2173" s="1933"/>
      <c r="M2173" s="4"/>
      <c r="N2173" s="664"/>
      <c r="O2173" s="664"/>
      <c r="P2173" s="1147"/>
      <c r="Q2173" s="1147"/>
      <c r="R2173" s="1147"/>
      <c r="S2173" s="1147"/>
      <c r="T2173" s="1147"/>
      <c r="U2173"/>
      <c r="V2173"/>
      <c r="W2173"/>
      <c r="X2173" s="1757"/>
      <c r="Y2173" s="2100"/>
      <c r="Z2173" s="2091"/>
      <c r="AA2173"/>
      <c r="AC2173" s="970"/>
      <c r="AD2173" s="970"/>
      <c r="AE2173" s="970"/>
      <c r="AF2173"/>
      <c r="AG2173"/>
      <c r="AH2173"/>
      <c r="AI2173"/>
      <c r="AJ2173"/>
      <c r="AK2173"/>
      <c r="AL2173" s="1336"/>
      <c r="AM2173" s="1336"/>
      <c r="AN2173" s="1336"/>
      <c r="AO2173" s="1336"/>
      <c r="AP2173" s="1336"/>
      <c r="AQ2173" s="1336"/>
      <c r="AR2173" s="1336"/>
      <c r="AS2173" s="1336"/>
      <c r="AT2173"/>
    </row>
    <row r="2174" spans="1:46" x14ac:dyDescent="0.25">
      <c r="A2174" s="2371">
        <v>9</v>
      </c>
      <c r="B2174" s="2385" t="s">
        <v>4519</v>
      </c>
      <c r="C2174" s="2385" t="s">
        <v>256</v>
      </c>
      <c r="D2174" s="2385" t="s">
        <v>845</v>
      </c>
      <c r="E2174" s="2385"/>
      <c r="F2174" s="2385"/>
      <c r="G2174" s="2373" t="s">
        <v>3974</v>
      </c>
      <c r="H2174" s="2371" t="s">
        <v>3971</v>
      </c>
      <c r="I2174"/>
      <c r="J2174"/>
      <c r="K2174" s="667" t="s">
        <v>845</v>
      </c>
      <c r="L2174" s="1933" t="s">
        <v>4532</v>
      </c>
      <c r="M2174" s="4"/>
      <c r="N2174" s="664"/>
      <c r="O2174" s="664"/>
      <c r="P2174" s="1147"/>
      <c r="Q2174" s="1147"/>
      <c r="R2174" s="1147"/>
      <c r="S2174" s="1147"/>
      <c r="T2174" s="1147"/>
      <c r="U2174"/>
      <c r="V2174"/>
      <c r="W2174"/>
      <c r="X2174" s="1757"/>
      <c r="Y2174" s="2100"/>
      <c r="Z2174" s="2091"/>
      <c r="AA2174"/>
      <c r="AC2174" s="970"/>
      <c r="AD2174" s="970"/>
      <c r="AE2174" s="970"/>
      <c r="AF2174"/>
      <c r="AG2174"/>
      <c r="AH2174"/>
      <c r="AI2174"/>
      <c r="AJ2174"/>
      <c r="AK2174"/>
      <c r="AL2174" s="1336"/>
      <c r="AM2174" s="1336"/>
      <c r="AN2174" s="1336"/>
      <c r="AO2174" s="1336"/>
      <c r="AP2174" s="1336"/>
      <c r="AQ2174" s="1336"/>
      <c r="AR2174" s="1336"/>
      <c r="AS2174" s="1336"/>
      <c r="AT2174"/>
    </row>
    <row r="2175" spans="1:46" x14ac:dyDescent="0.25">
      <c r="A2175" s="2371">
        <v>9</v>
      </c>
      <c r="B2175" s="2385" t="s">
        <v>4519</v>
      </c>
      <c r="C2175" s="2385" t="s">
        <v>256</v>
      </c>
      <c r="D2175" s="2385" t="s">
        <v>845</v>
      </c>
      <c r="E2175" s="2385"/>
      <c r="F2175" s="2385"/>
      <c r="G2175" s="2373" t="s">
        <v>3974</v>
      </c>
      <c r="H2175" s="2371" t="s">
        <v>3971</v>
      </c>
      <c r="I2175"/>
      <c r="J2175" s="684"/>
      <c r="K2175" s="684"/>
      <c r="L2175" s="1934"/>
      <c r="M2175" s="210"/>
      <c r="N2175" s="1041"/>
      <c r="O2175" s="1041"/>
      <c r="P2175" s="1147"/>
      <c r="Q2175" s="1147"/>
      <c r="R2175" s="1147"/>
      <c r="S2175" s="1147"/>
      <c r="T2175" s="1147"/>
      <c r="U2175"/>
      <c r="V2175"/>
      <c r="W2175"/>
      <c r="X2175" s="1757"/>
      <c r="Y2175" s="2097"/>
      <c r="Z2175" s="2085"/>
      <c r="AA2175"/>
      <c r="AC2175" s="970"/>
      <c r="AD2175" s="970"/>
      <c r="AE2175" s="970"/>
      <c r="AF2175"/>
      <c r="AG2175"/>
      <c r="AH2175"/>
      <c r="AI2175"/>
      <c r="AJ2175"/>
      <c r="AK2175"/>
      <c r="AL2175" s="1336"/>
      <c r="AM2175" s="1336"/>
      <c r="AN2175" s="1336"/>
      <c r="AO2175" s="1336"/>
      <c r="AP2175" s="1336"/>
      <c r="AQ2175" s="1336"/>
      <c r="AR2175" s="1336"/>
      <c r="AS2175"/>
      <c r="AT2175"/>
    </row>
    <row r="2176" spans="1:46" x14ac:dyDescent="0.25">
      <c r="A2176" s="2371">
        <v>9</v>
      </c>
      <c r="B2176" s="2385" t="s">
        <v>4519</v>
      </c>
      <c r="C2176" s="2385" t="s">
        <v>258</v>
      </c>
      <c r="D2176" s="2385"/>
      <c r="E2176" s="2385"/>
      <c r="F2176" s="2405"/>
      <c r="G2176" s="2373" t="s">
        <v>3974</v>
      </c>
      <c r="H2176" s="2371" t="s">
        <v>3971</v>
      </c>
      <c r="I2176" s="668"/>
      <c r="J2176" s="667" t="s">
        <v>258</v>
      </c>
      <c r="K2176" s="668"/>
      <c r="L2176" s="1929" t="s">
        <v>4533</v>
      </c>
      <c r="M2176" s="1925">
        <v>6</v>
      </c>
      <c r="N2176" s="2079">
        <f>'Ch9'!O310</f>
        <v>0</v>
      </c>
      <c r="O2176" s="1937">
        <f>M2176*S2156*AND(LEN(W2156)&gt;0,W2156&lt;=2)</f>
        <v>0</v>
      </c>
      <c r="P2176" s="1147"/>
      <c r="Q2176" s="1147"/>
      <c r="R2176" s="1147"/>
      <c r="S2176" s="1147"/>
      <c r="T2176" s="94"/>
      <c r="U2176" s="94"/>
      <c r="V2176" s="94"/>
      <c r="W2176"/>
      <c r="X2176" s="1770"/>
      <c r="Y2176" s="2081" t="str">
        <f>IF(LEN('Ch9'!X310)=0,"None",'Ch9'!X310)</f>
        <v>None</v>
      </c>
      <c r="Z2176" s="2084"/>
      <c r="AC2176" s="970"/>
      <c r="AD2176" s="970"/>
      <c r="AE2176" s="970"/>
      <c r="AF2176"/>
      <c r="AG2176"/>
      <c r="AH2176"/>
      <c r="AI2176"/>
      <c r="AJ2176"/>
      <c r="AK2176"/>
      <c r="AL2176" s="254" t="str">
        <f>SUBSTITUTE(SUBSTITUTE(SUBSTITUTE("vpa"&amp;$B2176&amp;$C2176&amp;$D2176&amp;$E2176,".","_"),"(","_"),")","")</f>
        <v>vpa902_3_2_2</v>
      </c>
      <c r="AM2176" s="254">
        <f>M2176</f>
        <v>6</v>
      </c>
      <c r="AN2176" s="254" t="str">
        <f>SUBSTITUTE(SUBSTITUTE(SUBSTITUTE("vpc"&amp;$B2176&amp;$C2176&amp;$D2176&amp;$E2176,".","_"),"(","_"),")","")</f>
        <v>vpc902_3_2_2</v>
      </c>
      <c r="AO2176" s="254">
        <f>O2176</f>
        <v>0</v>
      </c>
      <c r="AP2176" s="254"/>
      <c r="AR2176" s="254" t="str">
        <f>SUBSTITUTE(SUBSTITUTE(SUBSTITUTE("vnt"&amp;$B2176&amp;$C2176&amp;$D2176&amp;$E2176,".","_"),"(","_"),")","")</f>
        <v>vnt902_3_2_2</v>
      </c>
      <c r="AS2176" s="254" t="str">
        <f>IF(LEN(X2176)=0,"",X2176)</f>
        <v/>
      </c>
      <c r="AT2176"/>
    </row>
    <row r="2177" spans="1:60" ht="15.75" thickBot="1" x14ac:dyDescent="0.3">
      <c r="A2177" s="2371">
        <v>9</v>
      </c>
      <c r="B2177" s="2385" t="s">
        <v>4519</v>
      </c>
      <c r="C2177" s="2385" t="s">
        <v>258</v>
      </c>
      <c r="D2177" s="2385"/>
      <c r="E2177" s="2385"/>
      <c r="F2177" s="2385"/>
      <c r="G2177" s="2373" t="s">
        <v>3974</v>
      </c>
      <c r="H2177" s="2371" t="s">
        <v>3971</v>
      </c>
      <c r="I2177" s="673"/>
      <c r="J2177" s="673"/>
      <c r="K2177" s="673"/>
      <c r="L2177" s="1930"/>
      <c r="M2177" s="1910"/>
      <c r="N2177" s="1928"/>
      <c r="O2177" s="1814"/>
      <c r="P2177" s="99"/>
      <c r="Q2177" s="99"/>
      <c r="R2177" s="99"/>
      <c r="S2177" s="99"/>
      <c r="T2177" s="99"/>
      <c r="U2177" s="99"/>
      <c r="V2177" s="99"/>
      <c r="W2177" s="99"/>
      <c r="X2177" s="1771"/>
      <c r="Y2177" s="2082"/>
      <c r="Z2177" s="2086"/>
      <c r="AC2177" s="970"/>
      <c r="AD2177" s="970"/>
      <c r="AE2177" s="970"/>
      <c r="AF2177"/>
      <c r="AG2177"/>
      <c r="AH2177"/>
      <c r="AI2177"/>
      <c r="AJ2177"/>
      <c r="AK2177"/>
      <c r="AL2177" s="254"/>
      <c r="AM2177" s="1336"/>
      <c r="AN2177" s="254"/>
      <c r="AO2177" s="1336"/>
      <c r="AP2177" s="1336"/>
      <c r="AQ2177" s="1336"/>
      <c r="AR2177" s="1336"/>
      <c r="AS2177" s="1336"/>
      <c r="AT2177"/>
    </row>
    <row r="2178" spans="1:60" ht="15.75" thickTop="1" x14ac:dyDescent="0.25">
      <c r="A2178" s="2371">
        <v>9</v>
      </c>
      <c r="B2178" s="2385" t="s">
        <v>4536</v>
      </c>
      <c r="C2178" s="2374"/>
      <c r="D2178" s="2374"/>
      <c r="E2178" s="2385"/>
      <c r="F2178" s="2385"/>
      <c r="G2178" s="2373" t="str">
        <f>IF(N2178&gt;0,"P","")</f>
        <v/>
      </c>
      <c r="H2178" s="2371" t="s">
        <v>3971</v>
      </c>
      <c r="I2178" s="64">
        <v>902.4</v>
      </c>
      <c r="J2178" s="4"/>
      <c r="K2178" s="4"/>
      <c r="L2178" s="1796" t="s">
        <v>3257</v>
      </c>
      <c r="M2178" s="1772">
        <v>3</v>
      </c>
      <c r="N2178" s="2075">
        <f>'Ch9'!O312</f>
        <v>0</v>
      </c>
      <c r="O2178" s="2080">
        <f>M2178*S2180*IFERROR(OR(W2180,W2182,W2185),0)</f>
        <v>0</v>
      </c>
      <c r="P2178" s="648"/>
      <c r="Q2178" s="648"/>
      <c r="R2178" s="648"/>
      <c r="S2178" s="648"/>
      <c r="T2178" s="648"/>
      <c r="U2178" s="648"/>
      <c r="V2178" s="648"/>
      <c r="W2178" s="648"/>
      <c r="X2178" s="648"/>
      <c r="Y2178" s="648"/>
      <c r="AB2178" s="648"/>
      <c r="AC2178" s="970"/>
      <c r="AD2178" s="970"/>
      <c r="AE2178" s="970"/>
      <c r="AF2178" s="648"/>
      <c r="AG2178" s="648"/>
      <c r="AH2178" s="648"/>
      <c r="AI2178" s="648"/>
      <c r="AJ2178" s="648"/>
      <c r="AK2178" s="648"/>
      <c r="AL2178" s="254" t="str">
        <f>SUBSTITUTE(SUBSTITUTE(SUBSTITUTE("vpa"&amp;$B2178&amp;$C2178&amp;$D2178&amp;$E2178,".","_"),"(","_"),")","")</f>
        <v>vpa902_4</v>
      </c>
      <c r="AM2178" s="254">
        <f>M2178</f>
        <v>3</v>
      </c>
      <c r="AN2178" s="254" t="str">
        <f>SUBSTITUTE(SUBSTITUTE(SUBSTITUTE("vpc"&amp;$B2178&amp;$C2178&amp;$D2178&amp;$E2178,".","_"),"(","_"),")","")</f>
        <v>vpc902_4</v>
      </c>
      <c r="AO2178" s="254">
        <f>O2178</f>
        <v>0</v>
      </c>
      <c r="AP2178" s="1336"/>
      <c r="AQ2178" s="1336"/>
      <c r="AR2178" s="1336"/>
      <c r="AS2178" s="1336"/>
      <c r="AT2178" s="648"/>
      <c r="AU2178" s="648"/>
      <c r="AV2178" s="648"/>
      <c r="AW2178" s="648"/>
      <c r="AX2178" s="648"/>
      <c r="AY2178" s="648"/>
      <c r="AZ2178" s="648"/>
      <c r="BA2178" s="648"/>
      <c r="BB2178" s="648"/>
      <c r="BC2178" s="648"/>
      <c r="BD2178" s="648"/>
      <c r="BE2178" s="648"/>
      <c r="BF2178" s="648"/>
      <c r="BG2178" s="648"/>
      <c r="BH2178" s="648"/>
    </row>
    <row r="2179" spans="1:60" x14ac:dyDescent="0.25">
      <c r="A2179" s="2371">
        <v>9</v>
      </c>
      <c r="B2179" s="2385" t="s">
        <v>4536</v>
      </c>
      <c r="C2179" s="2374"/>
      <c r="D2179" s="2374"/>
      <c r="E2179" s="2385"/>
      <c r="F2179" s="2385"/>
      <c r="G2179" s="2373" t="str">
        <f t="shared" ref="G2179:G2187" si="116">G2178</f>
        <v/>
      </c>
      <c r="H2179" s="2371" t="s">
        <v>3971</v>
      </c>
      <c r="I2179" s="164"/>
      <c r="J2179" s="4"/>
      <c r="K2179" s="4"/>
      <c r="L2179" s="1796"/>
      <c r="M2179" s="1758"/>
      <c r="N2179" s="2075"/>
      <c r="O2179" s="1927"/>
      <c r="P2179" s="648"/>
      <c r="Q2179" s="648"/>
      <c r="R2179" s="648"/>
      <c r="S2179" s="648"/>
      <c r="T2179" s="648"/>
      <c r="U2179" s="648"/>
      <c r="V2179" s="648"/>
      <c r="W2179" s="648"/>
      <c r="X2179" s="648"/>
      <c r="Y2179" s="648"/>
      <c r="AB2179" s="648"/>
      <c r="AC2179" s="970"/>
      <c r="AD2179" s="970"/>
      <c r="AE2179" s="970"/>
      <c r="AF2179" s="648"/>
      <c r="AG2179" s="648"/>
      <c r="AH2179" s="648"/>
      <c r="AI2179" s="648"/>
      <c r="AJ2179" s="648"/>
      <c r="AK2179" s="648"/>
      <c r="AL2179" s="1336"/>
      <c r="AM2179" s="1336"/>
      <c r="AN2179" s="1336"/>
      <c r="AO2179" s="1336"/>
      <c r="AP2179" s="1336"/>
      <c r="AQ2179" s="1336"/>
      <c r="AR2179" s="1336"/>
      <c r="AS2179" s="1336"/>
      <c r="AT2179" s="648"/>
      <c r="AU2179" s="648"/>
      <c r="AV2179" s="648"/>
      <c r="AW2179" s="648"/>
      <c r="AX2179" s="648"/>
      <c r="AY2179" s="648"/>
      <c r="AZ2179" s="648"/>
      <c r="BA2179" s="648"/>
      <c r="BB2179" s="648"/>
      <c r="BC2179" s="648"/>
      <c r="BD2179" s="648"/>
      <c r="BE2179" s="648"/>
      <c r="BF2179" s="648"/>
      <c r="BG2179" s="648"/>
      <c r="BH2179" s="648"/>
    </row>
    <row r="2180" spans="1:60" x14ac:dyDescent="0.25">
      <c r="A2180" s="2371">
        <v>9</v>
      </c>
      <c r="B2180" s="2385" t="s">
        <v>4536</v>
      </c>
      <c r="C2180" s="2385" t="s">
        <v>256</v>
      </c>
      <c r="D2180" s="2385"/>
      <c r="E2180" s="2374"/>
      <c r="F2180" s="2385"/>
      <c r="G2180" s="2373" t="str">
        <f t="shared" si="116"/>
        <v/>
      </c>
      <c r="H2180" s="2371" t="s">
        <v>3972</v>
      </c>
      <c r="I2180" s="164"/>
      <c r="J2180" s="183" t="s">
        <v>256</v>
      </c>
      <c r="K2180" s="129"/>
      <c r="L2180" s="1754" t="s">
        <v>3258</v>
      </c>
      <c r="M2180" s="1014"/>
      <c r="N2180" s="1042"/>
      <c r="O2180" s="1042"/>
      <c r="P2180" s="94" t="b">
        <v>1</v>
      </c>
      <c r="Q2180" s="94" t="b">
        <v>0</v>
      </c>
      <c r="R2180" s="648" t="b">
        <v>0</v>
      </c>
      <c r="S2180" s="648" t="b">
        <v>1</v>
      </c>
      <c r="T2180" s="648" t="b">
        <v>0</v>
      </c>
      <c r="U2180" s="648"/>
      <c r="V2180" s="648"/>
      <c r="W2180" s="25"/>
      <c r="X2180" s="1757"/>
      <c r="Y2180" s="2077" t="str">
        <f>IF(LEN('Ch9'!X314)=0,"None",'Ch9'!X314)</f>
        <v>None</v>
      </c>
      <c r="Z2180" s="2083"/>
      <c r="AB2180" s="648"/>
      <c r="AC2180" s="970"/>
      <c r="AD2180" s="970"/>
      <c r="AE2180" s="970"/>
      <c r="AF2180" s="784"/>
      <c r="AG2180" s="648"/>
      <c r="AH2180" s="648"/>
      <c r="AI2180" s="648"/>
      <c r="AJ2180" s="648"/>
      <c r="AK2180" s="648"/>
      <c r="AL2180" s="1336"/>
      <c r="AM2180" s="1336"/>
      <c r="AN2180" s="1336"/>
      <c r="AO2180" s="1336"/>
      <c r="AP2180" s="254" t="str">
        <f>SUBSTITUTE(SUBSTITUTE(SUBSTITUTE("vch"&amp;$B2180&amp;$C2180&amp;$D2180&amp;$E2180,".","_"),"(","_"),")","")</f>
        <v>vch902_4_1</v>
      </c>
      <c r="AQ2180" s="254" t="str">
        <f>IF(LEN(W2180)=0,"",W2180)</f>
        <v/>
      </c>
      <c r="AR2180" s="254" t="str">
        <f>SUBSTITUTE(SUBSTITUTE(SUBSTITUTE("vnt"&amp;$B2180&amp;$C2180&amp;$D2180&amp;$E2180,".","_"),"(","_"),")","")</f>
        <v>vnt902_4_1</v>
      </c>
      <c r="AS2180" s="254" t="str">
        <f>IF(LEN(X2180)=0,"",X2180)</f>
        <v/>
      </c>
      <c r="AT2180" s="648"/>
      <c r="AU2180" s="648"/>
      <c r="AV2180" s="648"/>
      <c r="AW2180" s="648"/>
      <c r="AX2180" s="648"/>
      <c r="AY2180" s="648"/>
      <c r="AZ2180" s="648"/>
      <c r="BA2180" s="648"/>
      <c r="BB2180" s="648"/>
      <c r="BC2180" s="648"/>
      <c r="BD2180" s="648"/>
      <c r="BE2180" s="648"/>
      <c r="BF2180" s="648"/>
      <c r="BG2180" s="648"/>
      <c r="BH2180" s="648"/>
    </row>
    <row r="2181" spans="1:60" x14ac:dyDescent="0.25">
      <c r="A2181" s="2371">
        <v>9</v>
      </c>
      <c r="B2181" s="2385" t="s">
        <v>4536</v>
      </c>
      <c r="C2181" s="2385" t="s">
        <v>256</v>
      </c>
      <c r="D2181" s="2385"/>
      <c r="E2181" s="2374"/>
      <c r="F2181" s="2385"/>
      <c r="G2181" s="2373" t="str">
        <f t="shared" si="116"/>
        <v/>
      </c>
      <c r="H2181" s="2371" t="s">
        <v>3972</v>
      </c>
      <c r="I2181" s="164"/>
      <c r="J2181" s="206"/>
      <c r="K2181" s="210"/>
      <c r="L2181" s="1755"/>
      <c r="M2181" s="1014"/>
      <c r="N2181" s="1042"/>
      <c r="O2181" s="1042"/>
      <c r="P2181" s="648"/>
      <c r="Q2181" s="648"/>
      <c r="R2181" s="648"/>
      <c r="S2181" s="648"/>
      <c r="T2181" s="648"/>
      <c r="U2181" s="648"/>
      <c r="V2181" s="648"/>
      <c r="W2181" s="648"/>
      <c r="X2181" s="1757"/>
      <c r="Y2181" s="2077"/>
      <c r="Z2181" s="2083"/>
      <c r="AB2181" s="648"/>
      <c r="AC2181" s="970"/>
      <c r="AD2181" s="970"/>
      <c r="AE2181" s="970"/>
      <c r="AF2181" s="648"/>
      <c r="AG2181" s="648"/>
      <c r="AH2181" s="648"/>
      <c r="AI2181" s="648"/>
      <c r="AJ2181" s="648"/>
      <c r="AK2181" s="648"/>
      <c r="AL2181" s="1336"/>
      <c r="AM2181" s="1336"/>
      <c r="AN2181" s="1336"/>
      <c r="AO2181" s="1336"/>
      <c r="AP2181" s="1336"/>
      <c r="AQ2181" s="1336"/>
      <c r="AR2181" s="1336"/>
      <c r="AS2181" s="1336"/>
      <c r="AT2181" s="648"/>
      <c r="AU2181" s="648"/>
      <c r="AV2181" s="648"/>
      <c r="AW2181" s="648"/>
      <c r="AX2181" s="648"/>
      <c r="AY2181" s="648"/>
      <c r="AZ2181" s="648"/>
      <c r="BA2181" s="648"/>
      <c r="BB2181" s="648"/>
      <c r="BC2181" s="648"/>
      <c r="BD2181" s="648"/>
      <c r="BE2181" s="648"/>
      <c r="BF2181" s="648"/>
      <c r="BG2181" s="648"/>
      <c r="BH2181" s="648"/>
    </row>
    <row r="2182" spans="1:60" ht="15" customHeight="1" x14ac:dyDescent="0.25">
      <c r="A2182" s="2371">
        <v>9</v>
      </c>
      <c r="B2182" s="2385" t="s">
        <v>4536</v>
      </c>
      <c r="C2182" s="2385" t="s">
        <v>258</v>
      </c>
      <c r="D2182" s="2385"/>
      <c r="E2182" s="2374"/>
      <c r="F2182" s="2385"/>
      <c r="G2182" s="2373" t="str">
        <f t="shared" si="116"/>
        <v/>
      </c>
      <c r="H2182" s="2371" t="s">
        <v>3973</v>
      </c>
      <c r="I2182" s="164"/>
      <c r="J2182" s="27" t="s">
        <v>258</v>
      </c>
      <c r="K2182" s="4"/>
      <c r="L2182" s="1779" t="s">
        <v>3259</v>
      </c>
      <c r="M2182" s="1010"/>
      <c r="N2182" s="664"/>
      <c r="O2182" s="1044"/>
      <c r="P2182" s="911" t="b">
        <v>0</v>
      </c>
      <c r="Q2182" s="911" t="b">
        <v>1</v>
      </c>
      <c r="R2182" s="911" t="b">
        <v>0</v>
      </c>
      <c r="S2182" s="911" t="b">
        <v>1</v>
      </c>
      <c r="T2182" s="911" t="b">
        <v>0</v>
      </c>
      <c r="U2182" s="94"/>
      <c r="V2182" s="94"/>
      <c r="W2182" s="360"/>
      <c r="X2182" s="1757"/>
      <c r="Y2182" s="2081" t="str">
        <f>IF(LEN('Ch9'!X316)=0,"None",'Ch9'!X316)</f>
        <v>None</v>
      </c>
      <c r="Z2182" s="2084"/>
      <c r="AB2182" s="648"/>
      <c r="AC2182" s="970"/>
      <c r="AD2182" s="970"/>
      <c r="AE2182" s="970"/>
      <c r="AF2182" s="784"/>
      <c r="AG2182" s="648"/>
      <c r="AH2182" s="648"/>
      <c r="AI2182" s="648"/>
      <c r="AJ2182" s="648"/>
      <c r="AK2182" s="648"/>
      <c r="AL2182" s="1336"/>
      <c r="AM2182" s="1336"/>
      <c r="AN2182" s="1336"/>
      <c r="AO2182" s="1336"/>
      <c r="AP2182" s="254" t="str">
        <f>SUBSTITUTE(SUBSTITUTE(SUBSTITUTE("vch"&amp;$B2182&amp;$C2182&amp;$D2182&amp;$E2182,".","_"),"(","_"),")","")</f>
        <v>vch902_4_2</v>
      </c>
      <c r="AQ2182" s="254" t="str">
        <f>IF(LEN(W2182)=0,"",W2182)</f>
        <v/>
      </c>
      <c r="AR2182" s="254" t="str">
        <f>SUBSTITUTE(SUBSTITUTE(SUBSTITUTE("vnt"&amp;$B2182&amp;$C2182&amp;$D2182&amp;$E2182,".","_"),"(","_"),")","")</f>
        <v>vnt902_4_2</v>
      </c>
      <c r="AS2182" s="254" t="str">
        <f>IF(LEN(X2182)=0,"",X2182)</f>
        <v/>
      </c>
      <c r="AT2182" s="648"/>
      <c r="AU2182" s="648"/>
      <c r="AV2182" s="648"/>
      <c r="AW2182" s="648"/>
      <c r="AX2182" s="648"/>
      <c r="AY2182" s="648"/>
      <c r="AZ2182" s="648"/>
      <c r="BA2182" s="648"/>
      <c r="BB2182" s="648"/>
      <c r="BC2182" s="648"/>
      <c r="BD2182" s="648"/>
      <c r="BE2182" s="648"/>
      <c r="BF2182" s="648"/>
      <c r="BG2182" s="648"/>
      <c r="BH2182" s="648"/>
    </row>
    <row r="2183" spans="1:60" x14ac:dyDescent="0.25">
      <c r="A2183" s="2371">
        <v>9</v>
      </c>
      <c r="B2183" s="2385" t="s">
        <v>4536</v>
      </c>
      <c r="C2183" s="2385" t="s">
        <v>258</v>
      </c>
      <c r="D2183" s="2385"/>
      <c r="E2183" s="2374"/>
      <c r="F2183" s="2385"/>
      <c r="G2183" s="2373" t="str">
        <f t="shared" si="116"/>
        <v/>
      </c>
      <c r="H2183" s="2371" t="s">
        <v>3973</v>
      </c>
      <c r="I2183" s="164"/>
      <c r="J2183" s="4"/>
      <c r="K2183" s="4"/>
      <c r="L2183" s="1779"/>
      <c r="M2183" s="1010"/>
      <c r="N2183" s="664"/>
      <c r="O2183" s="1044"/>
      <c r="P2183" s="911"/>
      <c r="Q2183" s="911"/>
      <c r="R2183" s="911"/>
      <c r="S2183" s="911"/>
      <c r="T2183" s="911"/>
      <c r="U2183" s="94"/>
      <c r="V2183" s="94"/>
      <c r="W2183" s="94"/>
      <c r="X2183" s="1757"/>
      <c r="Y2183" s="2081"/>
      <c r="Z2183" s="2084"/>
      <c r="AA2183"/>
      <c r="AB2183" s="648"/>
      <c r="AC2183" s="970"/>
      <c r="AD2183" s="970"/>
      <c r="AE2183" s="970"/>
      <c r="AF2183" s="648"/>
      <c r="AG2183" s="648"/>
      <c r="AH2183" s="648"/>
      <c r="AI2183" s="648"/>
      <c r="AJ2183" s="648"/>
      <c r="AK2183" s="648"/>
      <c r="AL2183" s="1336"/>
      <c r="AM2183" s="1336"/>
      <c r="AN2183" s="1336"/>
      <c r="AO2183" s="1336"/>
      <c r="AP2183" s="1336"/>
      <c r="AQ2183" s="1336"/>
      <c r="AR2183" s="1336"/>
      <c r="AS2183" s="1336"/>
      <c r="AT2183" s="648"/>
      <c r="AU2183" s="648"/>
      <c r="AV2183" s="648"/>
      <c r="AW2183" s="648"/>
      <c r="AX2183" s="648"/>
      <c r="AY2183" s="648"/>
      <c r="AZ2183" s="648"/>
      <c r="BA2183" s="648"/>
      <c r="BB2183" s="648"/>
      <c r="BC2183" s="648"/>
      <c r="BD2183" s="648"/>
      <c r="BE2183" s="648"/>
      <c r="BF2183" s="648"/>
      <c r="BG2183" s="648"/>
      <c r="BH2183" s="648"/>
    </row>
    <row r="2184" spans="1:60" x14ac:dyDescent="0.25">
      <c r="A2184" s="2371">
        <v>9</v>
      </c>
      <c r="B2184" s="2385" t="s">
        <v>4536</v>
      </c>
      <c r="C2184" s="2385" t="s">
        <v>258</v>
      </c>
      <c r="D2184" s="2385"/>
      <c r="E2184" s="2374"/>
      <c r="F2184" s="2385"/>
      <c r="G2184" s="2373" t="str">
        <f t="shared" si="116"/>
        <v/>
      </c>
      <c r="H2184" s="2371" t="s">
        <v>3973</v>
      </c>
      <c r="I2184" s="164"/>
      <c r="J2184" s="210"/>
      <c r="K2184" s="210"/>
      <c r="L2184" s="1755"/>
      <c r="M2184" s="1010"/>
      <c r="N2184" s="664"/>
      <c r="O2184" s="1044"/>
      <c r="P2184" s="911"/>
      <c r="Q2184" s="911"/>
      <c r="R2184" s="911"/>
      <c r="S2184" s="911"/>
      <c r="T2184" s="911"/>
      <c r="U2184" s="94"/>
      <c r="V2184" s="94"/>
      <c r="W2184" s="94"/>
      <c r="X2184" s="1757"/>
      <c r="Y2184" s="2099"/>
      <c r="Z2184" s="2087"/>
      <c r="AA2184"/>
      <c r="AB2184" s="648"/>
      <c r="AC2184" s="970"/>
      <c r="AD2184" s="970"/>
      <c r="AE2184" s="970"/>
      <c r="AF2184" s="648"/>
      <c r="AG2184" s="648"/>
      <c r="AH2184" s="648"/>
      <c r="AI2184" s="648"/>
      <c r="AJ2184" s="648"/>
      <c r="AK2184" s="648"/>
      <c r="AL2184" s="1336"/>
      <c r="AM2184" s="1336"/>
      <c r="AN2184" s="1336"/>
      <c r="AO2184" s="1336"/>
      <c r="AP2184" s="1336"/>
      <c r="AQ2184" s="1336"/>
      <c r="AR2184" s="1336"/>
      <c r="AS2184" s="1336"/>
      <c r="AT2184" s="648"/>
      <c r="AU2184" s="648"/>
      <c r="AV2184" s="648"/>
      <c r="AW2184" s="648"/>
      <c r="AX2184" s="648"/>
      <c r="AY2184" s="648"/>
      <c r="AZ2184" s="648"/>
      <c r="BA2184" s="648"/>
      <c r="BB2184" s="648"/>
      <c r="BC2184" s="648"/>
      <c r="BD2184" s="648"/>
      <c r="BE2184" s="648"/>
      <c r="BF2184" s="648"/>
      <c r="BG2184" s="648"/>
      <c r="BH2184" s="648"/>
    </row>
    <row r="2185" spans="1:60" x14ac:dyDescent="0.25">
      <c r="A2185" s="2371">
        <v>9</v>
      </c>
      <c r="B2185" s="2385" t="s">
        <v>4536</v>
      </c>
      <c r="C2185" s="2385" t="s">
        <v>260</v>
      </c>
      <c r="D2185" s="2385"/>
      <c r="E2185" s="2374"/>
      <c r="F2185" s="2385"/>
      <c r="G2185" s="2373" t="str">
        <f t="shared" si="116"/>
        <v/>
      </c>
      <c r="H2185" s="2371" t="s">
        <v>3973</v>
      </c>
      <c r="I2185" s="164"/>
      <c r="J2185" s="667" t="s">
        <v>260</v>
      </c>
      <c r="K2185" s="679"/>
      <c r="L2185" s="1933" t="s">
        <v>4538</v>
      </c>
      <c r="M2185" s="1010"/>
      <c r="N2185" s="664"/>
      <c r="O2185" s="1044"/>
      <c r="P2185" s="911" t="b">
        <v>1</v>
      </c>
      <c r="Q2185" s="911" t="b">
        <v>0</v>
      </c>
      <c r="R2185" s="911" t="b">
        <v>0</v>
      </c>
      <c r="S2185" s="911" t="b">
        <v>1</v>
      </c>
      <c r="T2185" s="911" t="b">
        <v>0</v>
      </c>
      <c r="U2185"/>
      <c r="V2185"/>
      <c r="W2185" s="25"/>
      <c r="X2185" s="1757"/>
      <c r="Y2185" s="2081" t="str">
        <f>IF(LEN('Ch9'!X319)=0,"None",'Ch9'!X319)</f>
        <v>None</v>
      </c>
      <c r="Z2185" s="2084"/>
      <c r="AA2185"/>
      <c r="AC2185" s="970"/>
      <c r="AD2185" s="970"/>
      <c r="AE2185" s="970"/>
      <c r="AF2185"/>
      <c r="AG2185"/>
      <c r="AH2185"/>
      <c r="AI2185"/>
      <c r="AJ2185"/>
      <c r="AK2185"/>
      <c r="AL2185" s="1336"/>
      <c r="AM2185" s="1336"/>
      <c r="AN2185" s="1336"/>
      <c r="AO2185" s="1336"/>
      <c r="AP2185" s="254" t="str">
        <f>SUBSTITUTE(SUBSTITUTE(SUBSTITUTE("vch"&amp;$B2185&amp;$C2185&amp;$D2185&amp;$E2185,".","_"),"(","_"),")","")</f>
        <v>vch902_4_3</v>
      </c>
      <c r="AQ2185" s="254" t="str">
        <f>IF(LEN(W2185)=0,"",W2185)</f>
        <v/>
      </c>
      <c r="AR2185" s="254" t="str">
        <f>SUBSTITUTE(SUBSTITUTE(SUBSTITUTE("vnt"&amp;$B2185&amp;$C2185&amp;$D2185&amp;$E2185,".","_"),"(","_"),")","")</f>
        <v>vnt902_4_3</v>
      </c>
      <c r="AS2185" s="254" t="str">
        <f>IF(LEN(X2185)=0,"",X2185)</f>
        <v/>
      </c>
      <c r="AT2185"/>
    </row>
    <row r="2186" spans="1:60" x14ac:dyDescent="0.25">
      <c r="A2186" s="2371">
        <v>9</v>
      </c>
      <c r="B2186" s="2385" t="s">
        <v>4536</v>
      </c>
      <c r="C2186" s="2385" t="s">
        <v>260</v>
      </c>
      <c r="D2186" s="2385"/>
      <c r="E2186" s="2374"/>
      <c r="F2186" s="2385"/>
      <c r="G2186" s="2373" t="str">
        <f t="shared" si="116"/>
        <v/>
      </c>
      <c r="H2186" s="2371" t="s">
        <v>3973</v>
      </c>
      <c r="I2186" s="164"/>
      <c r="J2186" s="679"/>
      <c r="K2186" s="679"/>
      <c r="L2186" s="1933"/>
      <c r="M2186" s="1010"/>
      <c r="N2186" s="664"/>
      <c r="O2186" s="1044"/>
      <c r="P2186" s="911"/>
      <c r="Q2186" s="911"/>
      <c r="R2186" s="911"/>
      <c r="S2186" s="911"/>
      <c r="T2186" s="911"/>
      <c r="U2186"/>
      <c r="V2186"/>
      <c r="W2186"/>
      <c r="X2186" s="1757"/>
      <c r="Y2186" s="2081"/>
      <c r="Z2186" s="2084"/>
      <c r="AC2186" s="970"/>
      <c r="AD2186" s="970"/>
      <c r="AE2186" s="970"/>
      <c r="AF2186"/>
      <c r="AG2186"/>
      <c r="AH2186"/>
      <c r="AI2186"/>
      <c r="AJ2186"/>
      <c r="AK2186"/>
      <c r="AL2186" s="1336"/>
      <c r="AM2186" s="1336"/>
      <c r="AN2186" s="1336"/>
      <c r="AO2186" s="1336"/>
      <c r="AP2186" s="1336"/>
      <c r="AQ2186" s="1336"/>
      <c r="AR2186" s="1336"/>
      <c r="AS2186" s="1336"/>
      <c r="AT2186"/>
    </row>
    <row r="2187" spans="1:60" ht="15.75" thickBot="1" x14ac:dyDescent="0.3">
      <c r="A2187" s="2371">
        <v>9</v>
      </c>
      <c r="B2187" s="2385" t="s">
        <v>4536</v>
      </c>
      <c r="C2187" s="2385" t="s">
        <v>260</v>
      </c>
      <c r="D2187" s="2385"/>
      <c r="E2187" s="2374"/>
      <c r="F2187" s="2385"/>
      <c r="G2187" s="2373" t="str">
        <f t="shared" si="116"/>
        <v/>
      </c>
      <c r="H2187" s="2371" t="s">
        <v>3973</v>
      </c>
      <c r="I2187" s="164"/>
      <c r="J2187" s="679"/>
      <c r="K2187" s="679"/>
      <c r="L2187" s="1933"/>
      <c r="M2187" s="1010"/>
      <c r="N2187" s="664"/>
      <c r="O2187" s="1044"/>
      <c r="P2187" s="99"/>
      <c r="Q2187" s="99"/>
      <c r="R2187" s="99"/>
      <c r="S2187" s="99"/>
      <c r="T2187" s="99"/>
      <c r="U2187" s="99"/>
      <c r="V2187" s="99"/>
      <c r="W2187" s="112"/>
      <c r="X2187" s="1757"/>
      <c r="Y2187" s="2082"/>
      <c r="Z2187" s="2086"/>
      <c r="AC2187" s="970"/>
      <c r="AD2187" s="970"/>
      <c r="AE2187" s="970"/>
      <c r="AF2187"/>
      <c r="AG2187"/>
      <c r="AH2187"/>
      <c r="AI2187"/>
      <c r="AJ2187"/>
      <c r="AK2187"/>
      <c r="AL2187" s="1336"/>
      <c r="AM2187" s="1336"/>
      <c r="AN2187" s="1336"/>
      <c r="AO2187" s="1336"/>
      <c r="AP2187" s="1336"/>
      <c r="AQ2187" s="1336"/>
      <c r="AR2187" s="1336"/>
      <c r="AS2187" s="1336"/>
      <c r="AT2187"/>
    </row>
    <row r="2188" spans="1:60" ht="15.75" thickTop="1" x14ac:dyDescent="0.25">
      <c r="A2188" s="2371">
        <v>9</v>
      </c>
      <c r="B2188" s="2385" t="s">
        <v>4537</v>
      </c>
      <c r="C2188" s="2374"/>
      <c r="D2188" s="2374"/>
      <c r="E2188" s="2385"/>
      <c r="F2188" s="2385"/>
      <c r="G2188" s="2373" t="str">
        <f>IF(N2188&gt;0,"P","")</f>
        <v/>
      </c>
      <c r="H2188" s="2371" t="s">
        <v>3971</v>
      </c>
      <c r="I2188" s="180">
        <v>902.5</v>
      </c>
      <c r="J2188" s="181"/>
      <c r="K2188" s="181"/>
      <c r="L2188" s="1916" t="s">
        <v>3260</v>
      </c>
      <c r="M2188" s="1772">
        <v>3</v>
      </c>
      <c r="N2188" s="2080">
        <f>'Ch9'!O322</f>
        <v>0</v>
      </c>
      <c r="O2188" s="2080">
        <f>M2188*S2188*W2188</f>
        <v>0</v>
      </c>
      <c r="P2188" s="94" t="b">
        <v>1</v>
      </c>
      <c r="Q2188" s="94" t="b">
        <v>1</v>
      </c>
      <c r="R2188" s="94" t="b">
        <v>0</v>
      </c>
      <c r="S2188" s="94" t="b">
        <v>1</v>
      </c>
      <c r="T2188" s="94" t="b">
        <v>0</v>
      </c>
      <c r="U2188" s="94"/>
      <c r="V2188" s="94"/>
      <c r="W2188" s="117"/>
      <c r="X2188" s="1784"/>
      <c r="Y2188" s="2097" t="str">
        <f>IF(LEN('Ch9'!X322)=0,"None",'Ch9'!X322)</f>
        <v>None</v>
      </c>
      <c r="Z2188" s="2085"/>
      <c r="AB2188" s="648"/>
      <c r="AC2188" s="970"/>
      <c r="AD2188" s="970"/>
      <c r="AE2188" s="970"/>
      <c r="AF2188" s="784"/>
      <c r="AG2188" s="648"/>
      <c r="AH2188" s="648"/>
      <c r="AI2188" s="648"/>
      <c r="AJ2188" s="648"/>
      <c r="AK2188" s="648"/>
      <c r="AL2188" s="254" t="str">
        <f>SUBSTITUTE(SUBSTITUTE(SUBSTITUTE("vpa"&amp;$B2188&amp;$C2188&amp;$D2188&amp;$E2188,".","_"),"(","_"),")","")</f>
        <v>vpa902_5</v>
      </c>
      <c r="AM2188" s="254">
        <f>M2188</f>
        <v>3</v>
      </c>
      <c r="AN2188" s="254" t="str">
        <f>SUBSTITUTE(SUBSTITUTE(SUBSTITUTE("vpc"&amp;$B2188&amp;$C2188&amp;$D2188&amp;$E2188,".","_"),"(","_"),")","")</f>
        <v>vpc902_5</v>
      </c>
      <c r="AO2188" s="254">
        <f>O2188</f>
        <v>0</v>
      </c>
      <c r="AP2188" s="254" t="str">
        <f>SUBSTITUTE(SUBSTITUTE(SUBSTITUTE("vch"&amp;$B2188&amp;$C2188&amp;$D2188&amp;$E2188,".","_"),"(","_"),")","")</f>
        <v>vch902_5</v>
      </c>
      <c r="AQ2188" s="254" t="str">
        <f>IF(LEN(W2188)=0,"",W2188)</f>
        <v/>
      </c>
      <c r="AR2188" s="254" t="str">
        <f>SUBSTITUTE(SUBSTITUTE(SUBSTITUTE("vnt"&amp;$B2188&amp;$C2188&amp;$D2188&amp;$E2188,".","_"),"(","_"),")","")</f>
        <v>vnt902_5</v>
      </c>
      <c r="AS2188" s="254" t="str">
        <f>IF(LEN(X2188)=0,"",X2188)</f>
        <v/>
      </c>
      <c r="AT2188" s="648"/>
      <c r="AU2188" s="648"/>
      <c r="AV2188" s="648"/>
      <c r="AW2188" s="648"/>
      <c r="AX2188" s="648"/>
      <c r="AY2188" s="648"/>
      <c r="AZ2188" s="648"/>
      <c r="BA2188" s="648"/>
      <c r="BB2188" s="648"/>
      <c r="BC2188" s="648"/>
      <c r="BD2188" s="648"/>
      <c r="BE2188" s="648"/>
      <c r="BF2188" s="648"/>
      <c r="BG2188" s="648"/>
      <c r="BH2188" s="648"/>
    </row>
    <row r="2189" spans="1:60" ht="15.75" thickBot="1" x14ac:dyDescent="0.3">
      <c r="A2189" s="2371">
        <v>9</v>
      </c>
      <c r="B2189" s="2385" t="s">
        <v>4537</v>
      </c>
      <c r="C2189" s="2374"/>
      <c r="D2189" s="2374"/>
      <c r="E2189" s="2385"/>
      <c r="F2189" s="2385"/>
      <c r="G2189" s="2373" t="str">
        <f>G2188</f>
        <v/>
      </c>
      <c r="H2189" s="2371" t="s">
        <v>3971</v>
      </c>
      <c r="I2189" s="189"/>
      <c r="J2189" s="240"/>
      <c r="K2189" s="240"/>
      <c r="L2189" s="1917"/>
      <c r="M2189" s="1768"/>
      <c r="N2189" s="1928"/>
      <c r="O2189" s="1928"/>
      <c r="P2189" s="99"/>
      <c r="Q2189" s="99"/>
      <c r="R2189" s="99"/>
      <c r="S2189" s="99"/>
      <c r="T2189" s="99"/>
      <c r="U2189" s="99"/>
      <c r="V2189" s="99"/>
      <c r="W2189" s="99"/>
      <c r="X2189" s="1771"/>
      <c r="Y2189" s="2082"/>
      <c r="Z2189" s="2086"/>
      <c r="AB2189" s="648"/>
      <c r="AC2189" s="970"/>
      <c r="AD2189" s="970"/>
      <c r="AE2189" s="970"/>
      <c r="AF2189" s="648"/>
      <c r="AG2189" s="648"/>
      <c r="AH2189" s="648"/>
      <c r="AI2189" s="648"/>
      <c r="AJ2189" s="648"/>
      <c r="AK2189" s="648"/>
      <c r="AL2189" s="1336"/>
      <c r="AM2189" s="1336"/>
      <c r="AN2189" s="1336"/>
      <c r="AO2189" s="1336"/>
      <c r="AP2189" s="1336"/>
      <c r="AQ2189" s="1336"/>
      <c r="AR2189" s="1336"/>
      <c r="AS2189" s="1336"/>
      <c r="AT2189" s="648"/>
      <c r="AU2189" s="648"/>
      <c r="AV2189" s="648"/>
      <c r="AW2189" s="648"/>
      <c r="AX2189" s="648"/>
      <c r="AY2189" s="648"/>
      <c r="AZ2189" s="648"/>
      <c r="BA2189" s="648"/>
      <c r="BB2189" s="648"/>
      <c r="BC2189" s="648"/>
      <c r="BD2189" s="648"/>
      <c r="BE2189" s="648"/>
      <c r="BF2189" s="648"/>
      <c r="BG2189" s="648"/>
      <c r="BH2189" s="648"/>
    </row>
    <row r="2190" spans="1:60" ht="15.75" thickTop="1" x14ac:dyDescent="0.25">
      <c r="A2190" s="2371">
        <v>9</v>
      </c>
      <c r="B2190" s="2385">
        <v>902.6</v>
      </c>
      <c r="C2190" s="2374"/>
      <c r="D2190" s="2374"/>
      <c r="E2190" s="2374"/>
      <c r="F2190" s="2374"/>
      <c r="G2190" s="2373" t="s">
        <v>3974</v>
      </c>
      <c r="H2190" s="2371" t="s">
        <v>3972</v>
      </c>
      <c r="I2190" s="64">
        <v>902.6</v>
      </c>
      <c r="J2190" s="4"/>
      <c r="K2190" s="4"/>
      <c r="L2190" s="1796" t="s">
        <v>3261</v>
      </c>
      <c r="M2190" s="1837" t="str">
        <f>IF(R2190,"Mandatory","N/A")</f>
        <v>Mandatory</v>
      </c>
      <c r="N2190" s="1042"/>
      <c r="O2190" s="1042"/>
      <c r="P2190" s="94" t="b">
        <v>1</v>
      </c>
      <c r="Q2190" s="94" t="b">
        <v>0</v>
      </c>
      <c r="R2190" s="648" t="b">
        <f>S2190</f>
        <v>1</v>
      </c>
      <c r="S2190" s="648" t="b">
        <v>1</v>
      </c>
      <c r="T2190" s="648" t="b">
        <v>0</v>
      </c>
      <c r="U2190" s="648"/>
      <c r="V2190" s="648"/>
      <c r="W2190" s="25"/>
      <c r="X2190" s="1756"/>
      <c r="Y2190" s="2097" t="str">
        <f>IF(LEN('Ch9'!X324)=0,"None",'Ch9'!X324)</f>
        <v>None</v>
      </c>
      <c r="Z2190" s="2085"/>
      <c r="AB2190" s="648"/>
      <c r="AC2190" s="970" t="b">
        <f>OR(AD2190:AE2190)</f>
        <v>1</v>
      </c>
      <c r="AD2190" s="970" t="b">
        <v>0</v>
      </c>
      <c r="AE2190" s="970" t="b">
        <f>AND(R2190,NOT(W2190))</f>
        <v>1</v>
      </c>
      <c r="AF2190" s="784" t="b">
        <f>AND(AE2190,NOT(Q2190))</f>
        <v>1</v>
      </c>
      <c r="AG2190" s="648"/>
      <c r="AH2190" s="648"/>
      <c r="AI2190" s="648"/>
      <c r="AJ2190" s="648"/>
      <c r="AK2190" s="648"/>
      <c r="AL2190" s="254" t="str">
        <f>SUBSTITUTE(SUBSTITUTE(SUBSTITUTE("vpa"&amp;$B2190&amp;$C2190&amp;$D2190&amp;$E2190,".","_"),"(","_"),")","")</f>
        <v>vpa902_6</v>
      </c>
      <c r="AM2190" s="254" t="str">
        <f>M2190</f>
        <v>Mandatory</v>
      </c>
      <c r="AN2190" s="1336"/>
      <c r="AO2190" s="1336"/>
      <c r="AP2190" s="254" t="str">
        <f>SUBSTITUTE(SUBSTITUTE(SUBSTITUTE("vch"&amp;$B2190&amp;$C2190&amp;$D2190&amp;$E2190,".","_"),"(","_"),")","")</f>
        <v>vch902_6</v>
      </c>
      <c r="AQ2190" s="254" t="str">
        <f>IF(LEN(W2190)=0,"",W2190)</f>
        <v/>
      </c>
      <c r="AR2190" s="254" t="str">
        <f>SUBSTITUTE(SUBSTITUTE(SUBSTITUTE("vnt"&amp;$B2190&amp;$C2190&amp;$D2190&amp;$E2190,".","_"),"(","_"),")","")</f>
        <v>vnt902_6</v>
      </c>
      <c r="AS2190" s="254" t="str">
        <f>IF(LEN(X2190)=0,"",X2190)</f>
        <v/>
      </c>
      <c r="AT2190" s="648"/>
      <c r="AU2190" s="648"/>
      <c r="AV2190" s="648"/>
      <c r="AW2190" s="648"/>
      <c r="AX2190" s="648"/>
      <c r="AY2190" s="648"/>
      <c r="AZ2190" s="648"/>
      <c r="BA2190" s="648"/>
      <c r="BB2190" s="648"/>
      <c r="BC2190" s="648"/>
      <c r="BD2190" s="648"/>
      <c r="BE2190" s="648"/>
      <c r="BF2190" s="648"/>
      <c r="BG2190" s="648"/>
      <c r="BH2190" s="648"/>
    </row>
    <row r="2191" spans="1:60" x14ac:dyDescent="0.25">
      <c r="A2191" s="2371">
        <v>9</v>
      </c>
      <c r="B2191" s="2385">
        <v>902.6</v>
      </c>
      <c r="C2191" s="2374"/>
      <c r="D2191" s="2374"/>
      <c r="E2191" s="2374"/>
      <c r="F2191" s="2374"/>
      <c r="G2191" s="2373" t="s">
        <v>3974</v>
      </c>
      <c r="H2191" s="2371" t="s">
        <v>3972</v>
      </c>
      <c r="I2191" s="164"/>
      <c r="J2191" s="4"/>
      <c r="K2191" s="4"/>
      <c r="L2191" s="1796"/>
      <c r="M2191" s="1837"/>
      <c r="N2191" s="1042"/>
      <c r="O2191" s="1042"/>
      <c r="P2191" s="648"/>
      <c r="Q2191" s="648"/>
      <c r="R2191" s="648"/>
      <c r="S2191" s="648"/>
      <c r="T2191" s="648"/>
      <c r="U2191" s="648"/>
      <c r="V2191" s="648"/>
      <c r="W2191" s="648"/>
      <c r="X2191" s="1757"/>
      <c r="Y2191" s="2077"/>
      <c r="Z2191" s="2083"/>
      <c r="AB2191" s="648"/>
      <c r="AC2191" s="970"/>
      <c r="AD2191" s="970"/>
      <c r="AE2191" s="970"/>
      <c r="AF2191" s="648"/>
      <c r="AG2191" s="648"/>
      <c r="AH2191" s="648"/>
      <c r="AI2191" s="648"/>
      <c r="AJ2191" s="648"/>
      <c r="AK2191" s="648"/>
      <c r="AL2191" s="1336"/>
      <c r="AM2191" s="1336"/>
      <c r="AN2191" s="1336"/>
      <c r="AO2191" s="1336"/>
      <c r="AP2191" s="1336"/>
      <c r="AQ2191" s="1336"/>
      <c r="AR2191" s="1336"/>
      <c r="AS2191" s="1336"/>
      <c r="AT2191" s="648"/>
      <c r="AU2191" s="648"/>
      <c r="AV2191" s="648"/>
      <c r="AW2191" s="648"/>
      <c r="AX2191" s="648"/>
      <c r="AY2191" s="648"/>
      <c r="AZ2191" s="648"/>
      <c r="BA2191" s="648"/>
      <c r="BB2191" s="648"/>
      <c r="BC2191" s="648"/>
      <c r="BD2191" s="648"/>
      <c r="BE2191" s="648"/>
      <c r="BF2191" s="648"/>
      <c r="BG2191" s="648"/>
      <c r="BH2191" s="648"/>
    </row>
    <row r="2192" spans="1:60" ht="18.75" x14ac:dyDescent="0.3">
      <c r="A2192" s="2371">
        <v>9</v>
      </c>
      <c r="B2192" s="2385">
        <v>903</v>
      </c>
      <c r="C2192" s="2374"/>
      <c r="D2192" s="2374"/>
      <c r="E2192" s="2374"/>
      <c r="F2192" s="2374"/>
      <c r="G2192" s="2373" t="s">
        <v>3974</v>
      </c>
      <c r="H2192" s="2371" t="s">
        <v>3971</v>
      </c>
      <c r="I2192" s="14" t="s">
        <v>3262</v>
      </c>
      <c r="J2192" s="23"/>
      <c r="K2192" s="23"/>
      <c r="L2192" s="84"/>
      <c r="M2192" s="498"/>
      <c r="N2192" s="1043"/>
      <c r="O2192" s="1043"/>
      <c r="P2192" s="23"/>
      <c r="Q2192" s="23"/>
      <c r="R2192" s="23"/>
      <c r="S2192" s="23"/>
      <c r="T2192" s="23"/>
      <c r="U2192" s="23"/>
      <c r="V2192" s="23"/>
      <c r="W2192" s="23"/>
      <c r="X2192" s="23"/>
      <c r="Y2192" s="23"/>
      <c r="Z2192" s="1586"/>
      <c r="AB2192" s="648"/>
      <c r="AC2192" s="970"/>
      <c r="AD2192" s="970"/>
      <c r="AE2192" s="970"/>
      <c r="AF2192" s="648"/>
      <c r="AG2192" s="648"/>
      <c r="AH2192" s="648"/>
      <c r="AI2192" s="648"/>
      <c r="AJ2192" s="648"/>
      <c r="AK2192" s="648"/>
      <c r="AL2192" s="1336"/>
      <c r="AM2192" s="1336"/>
      <c r="AN2192" s="1336"/>
      <c r="AO2192" s="1336"/>
      <c r="AP2192" s="1336"/>
      <c r="AQ2192" s="1336"/>
      <c r="AR2192" s="1336"/>
      <c r="AS2192" s="1336"/>
      <c r="AT2192" s="648"/>
      <c r="AU2192" s="648"/>
      <c r="AV2192" s="648"/>
      <c r="AW2192" s="648"/>
      <c r="AX2192" s="648"/>
      <c r="AY2192" s="648"/>
      <c r="AZ2192" s="648"/>
      <c r="BA2192" s="648"/>
      <c r="BB2192" s="648"/>
      <c r="BC2192" s="648"/>
      <c r="BD2192" s="648"/>
      <c r="BE2192" s="648"/>
      <c r="BF2192" s="648"/>
      <c r="BG2192" s="648"/>
      <c r="BH2192" s="648"/>
    </row>
    <row r="2193" spans="1:60" ht="15.75" thickBot="1" x14ac:dyDescent="0.3">
      <c r="A2193" s="2371">
        <v>9</v>
      </c>
      <c r="B2193" s="2385" t="s">
        <v>4081</v>
      </c>
      <c r="C2193" s="2374"/>
      <c r="D2193" s="2374"/>
      <c r="E2193" s="2374"/>
      <c r="F2193" s="2374"/>
      <c r="G2193" s="2371"/>
      <c r="H2193" s="2371"/>
      <c r="I2193" s="478">
        <v>903</v>
      </c>
      <c r="J2193" s="240"/>
      <c r="K2193" s="240"/>
      <c r="L2193" s="1190" t="s">
        <v>3263</v>
      </c>
      <c r="M2193" s="1011"/>
      <c r="N2193" s="1045"/>
      <c r="O2193" s="1045"/>
      <c r="P2193" s="99"/>
      <c r="Q2193" s="99"/>
      <c r="R2193" s="99"/>
      <c r="S2193" s="99"/>
      <c r="T2193" s="99"/>
      <c r="U2193" s="99"/>
      <c r="V2193" s="99"/>
      <c r="W2193" s="99"/>
      <c r="X2193" s="99"/>
      <c r="Y2193" s="99"/>
      <c r="Z2193" s="1589"/>
      <c r="AB2193" s="648"/>
      <c r="AC2193" s="970"/>
      <c r="AD2193" s="970"/>
      <c r="AE2193" s="970"/>
      <c r="AF2193" s="648"/>
      <c r="AG2193" s="648"/>
      <c r="AH2193" s="648"/>
      <c r="AI2193" s="648"/>
      <c r="AJ2193" s="648"/>
      <c r="AK2193" s="648"/>
      <c r="AL2193" s="1336"/>
      <c r="AM2193" s="1336"/>
      <c r="AN2193" s="1336"/>
      <c r="AO2193" s="1336"/>
      <c r="AP2193" s="1336"/>
      <c r="AQ2193" s="1336"/>
      <c r="AR2193" s="1336"/>
      <c r="AS2193" s="1336"/>
      <c r="AT2193" s="648"/>
      <c r="AU2193" s="648"/>
      <c r="AV2193" s="648"/>
      <c r="AW2193" s="648"/>
      <c r="AX2193" s="648"/>
      <c r="AY2193" s="648"/>
      <c r="AZ2193" s="648"/>
      <c r="BA2193" s="648"/>
      <c r="BB2193" s="648"/>
      <c r="BC2193" s="648"/>
      <c r="BD2193" s="648"/>
      <c r="BE2193" s="648"/>
      <c r="BF2193" s="648"/>
      <c r="BG2193" s="648"/>
      <c r="BH2193" s="648"/>
    </row>
    <row r="2194" spans="1:60" ht="15.75" thickTop="1" x14ac:dyDescent="0.25">
      <c r="A2194" s="2371">
        <v>9</v>
      </c>
      <c r="B2194" s="2385">
        <v>903.1</v>
      </c>
      <c r="C2194" s="2374"/>
      <c r="D2194" s="2374"/>
      <c r="E2194" s="2374"/>
      <c r="F2194" s="2374"/>
      <c r="G2194" s="2373" t="str">
        <f ca="1">IF(N2194&gt;0,"P","")</f>
        <v/>
      </c>
      <c r="H2194" s="2371" t="s">
        <v>3972</v>
      </c>
      <c r="I2194" s="479">
        <v>903.1</v>
      </c>
      <c r="J2194" s="181"/>
      <c r="K2194" s="181"/>
      <c r="L2194" s="1189" t="s">
        <v>3659</v>
      </c>
      <c r="M2194" s="1009"/>
      <c r="N2194" s="1046">
        <f ca="1">'Ch9'!O328</f>
        <v>0</v>
      </c>
      <c r="O2194" s="1046">
        <f ca="1">IFERROR(INDEX({2,5},MATCH(W2194,INDIRECT(U2194),0)),0)*S2194</f>
        <v>0</v>
      </c>
      <c r="P2194" s="94" t="b">
        <v>1</v>
      </c>
      <c r="Q2194" s="94" t="b">
        <v>0</v>
      </c>
      <c r="R2194" s="105" t="b">
        <v>0</v>
      </c>
      <c r="S2194" s="105" t="b">
        <v>1</v>
      </c>
      <c r="T2194" s="105" t="b">
        <v>0</v>
      </c>
      <c r="U2194" s="105" t="str">
        <f>SUBSTITUTE(SUBSTITUTE(SUBSTITUTE("dd"&amp;B2194&amp;C2194&amp;D2194&amp;E2194&amp;F2194,".","_"),"(","_"),")","")</f>
        <v>dd903_1</v>
      </c>
      <c r="V2194" s="105"/>
      <c r="W2194" s="12"/>
      <c r="X2194" s="1784"/>
      <c r="Y2194" s="2097" t="str">
        <f>IF(LEN('Ch9'!X328)=0,"None",'Ch9'!X328)</f>
        <v>None</v>
      </c>
      <c r="Z2194" s="2085"/>
      <c r="AB2194" s="648"/>
      <c r="AC2194" s="970"/>
      <c r="AD2194" s="970"/>
      <c r="AE2194" s="970"/>
      <c r="AF2194" s="784"/>
      <c r="AG2194" s="648"/>
      <c r="AH2194" s="648"/>
      <c r="AI2194" s="648"/>
      <c r="AJ2194" s="648"/>
      <c r="AK2194" s="648"/>
      <c r="AL2194" s="1336"/>
      <c r="AM2194" s="1336"/>
      <c r="AN2194" s="254" t="str">
        <f>SUBSTITUTE(SUBSTITUTE(SUBSTITUTE("vpc"&amp;$B2194&amp;$C2194&amp;$D2194&amp;$E2194,".","_"),"(","_"),")","")</f>
        <v>vpc903_1</v>
      </c>
      <c r="AO2194" s="254">
        <f ca="1">O2194</f>
        <v>0</v>
      </c>
      <c r="AP2194" s="254" t="str">
        <f>SUBSTITUTE(SUBSTITUTE(SUBSTITUTE("vch"&amp;$B2194&amp;$C2194&amp;$D2194&amp;$E2194,".","_"),"(","_"),")","")</f>
        <v>vch903_1</v>
      </c>
      <c r="AQ2194" s="254" t="str">
        <f>IF(LEN(W2194)=0,"",W2194)</f>
        <v/>
      </c>
      <c r="AR2194" s="254" t="str">
        <f>SUBSTITUTE(SUBSTITUTE(SUBSTITUTE("vnt"&amp;$B2194&amp;$C2194&amp;$D2194&amp;$E2194,".","_"),"(","_"),")","")</f>
        <v>vnt903_1</v>
      </c>
      <c r="AS2194" s="254" t="str">
        <f>IF(LEN(X2194)=0,"",X2194)</f>
        <v/>
      </c>
      <c r="AT2194" s="648"/>
      <c r="AU2194" s="648"/>
      <c r="AV2194" s="648"/>
      <c r="AW2194" s="648"/>
      <c r="AX2194" s="648"/>
      <c r="AY2194" s="648"/>
      <c r="AZ2194" s="648"/>
      <c r="BA2194" s="648"/>
      <c r="BB2194" s="648"/>
      <c r="BC2194" s="648"/>
      <c r="BD2194" s="648"/>
      <c r="BE2194" s="648"/>
      <c r="BF2194" s="648"/>
      <c r="BG2194" s="648"/>
      <c r="BH2194" s="648"/>
    </row>
    <row r="2195" spans="1:60" x14ac:dyDescent="0.25">
      <c r="A2195" s="2371">
        <v>9</v>
      </c>
      <c r="B2195" s="2385" t="s">
        <v>3264</v>
      </c>
      <c r="C2195" s="2374" t="s">
        <v>256</v>
      </c>
      <c r="D2195" s="2374"/>
      <c r="E2195" s="2374"/>
      <c r="F2195" s="2374"/>
      <c r="G2195" s="2373" t="str">
        <f ca="1">G2194</f>
        <v/>
      </c>
      <c r="H2195" s="2371" t="s">
        <v>3972</v>
      </c>
      <c r="I2195" s="480"/>
      <c r="J2195" s="183" t="s">
        <v>256</v>
      </c>
      <c r="K2195" s="129"/>
      <c r="L2195" s="1754" t="s">
        <v>3657</v>
      </c>
      <c r="M2195" s="1758">
        <v>2</v>
      </c>
      <c r="N2195" s="1044"/>
      <c r="O2195" s="1044"/>
      <c r="P2195" s="94"/>
      <c r="Q2195" s="94"/>
      <c r="R2195" s="94"/>
      <c r="S2195" s="94"/>
      <c r="T2195" s="94"/>
      <c r="U2195" s="94"/>
      <c r="V2195" s="94"/>
      <c r="W2195" s="94"/>
      <c r="X2195" s="1770"/>
      <c r="Y2195" s="2081"/>
      <c r="Z2195" s="2084"/>
      <c r="AB2195" s="648"/>
      <c r="AC2195" s="970"/>
      <c r="AD2195" s="970"/>
      <c r="AE2195" s="970"/>
      <c r="AF2195" s="648"/>
      <c r="AG2195" s="648"/>
      <c r="AH2195" s="648"/>
      <c r="AI2195" s="648"/>
      <c r="AJ2195" s="648"/>
      <c r="AK2195" s="648"/>
      <c r="AL2195" s="254" t="str">
        <f>SUBSTITUTE(SUBSTITUTE(SUBSTITUTE("vpa"&amp;$B2195&amp;$C2195&amp;$D2195&amp;$E2195,".","_"),"(","_"),")","")</f>
        <v>vpa903_1_1_1</v>
      </c>
      <c r="AM2195" s="254">
        <f>M2195</f>
        <v>2</v>
      </c>
      <c r="AN2195" s="1336"/>
      <c r="AO2195" s="1336"/>
      <c r="AP2195" s="1336"/>
      <c r="AQ2195" s="1336"/>
      <c r="AR2195" s="1336"/>
      <c r="AS2195" s="1336"/>
      <c r="AT2195" s="648"/>
      <c r="AU2195" s="648"/>
      <c r="AV2195" s="648"/>
      <c r="AW2195" s="648"/>
      <c r="AX2195" s="648"/>
      <c r="AY2195" s="648"/>
      <c r="AZ2195" s="648"/>
      <c r="BA2195" s="648"/>
      <c r="BB2195" s="648"/>
      <c r="BC2195" s="648"/>
      <c r="BD2195" s="648"/>
      <c r="BE2195" s="648"/>
      <c r="BF2195" s="648"/>
      <c r="BG2195" s="648"/>
      <c r="BH2195" s="648"/>
    </row>
    <row r="2196" spans="1:60" x14ac:dyDescent="0.25">
      <c r="A2196" s="2371">
        <v>9</v>
      </c>
      <c r="B2196" s="2385" t="s">
        <v>3264</v>
      </c>
      <c r="C2196" s="2374" t="s">
        <v>256</v>
      </c>
      <c r="D2196" s="2374"/>
      <c r="E2196" s="2374"/>
      <c r="F2196" s="2374"/>
      <c r="G2196" s="2373" t="str">
        <f ca="1">G2195</f>
        <v/>
      </c>
      <c r="H2196" s="2371" t="s">
        <v>3972</v>
      </c>
      <c r="I2196" s="480"/>
      <c r="J2196" s="206"/>
      <c r="K2196" s="210"/>
      <c r="L2196" s="1843"/>
      <c r="M2196" s="1759"/>
      <c r="N2196" s="1044"/>
      <c r="O2196" s="1044"/>
      <c r="P2196" s="94"/>
      <c r="Q2196" s="94"/>
      <c r="R2196" s="94"/>
      <c r="S2196" s="94"/>
      <c r="T2196" s="94"/>
      <c r="U2196" s="94"/>
      <c r="V2196" s="94"/>
      <c r="W2196" s="94"/>
      <c r="X2196" s="1770"/>
      <c r="Y2196" s="2081"/>
      <c r="Z2196" s="2084"/>
      <c r="AB2196" s="648"/>
      <c r="AC2196" s="970"/>
      <c r="AD2196" s="970"/>
      <c r="AE2196" s="970"/>
      <c r="AF2196" s="648"/>
      <c r="AG2196" s="648"/>
      <c r="AH2196" s="648"/>
      <c r="AI2196" s="648"/>
      <c r="AJ2196" s="648"/>
      <c r="AK2196" s="648"/>
      <c r="AL2196" s="1336"/>
      <c r="AM2196" s="1336"/>
      <c r="AN2196" s="1336"/>
      <c r="AO2196" s="1336"/>
      <c r="AP2196" s="1336"/>
      <c r="AQ2196" s="1336"/>
      <c r="AR2196" s="1336"/>
      <c r="AS2196" s="1336"/>
      <c r="AT2196" s="648"/>
      <c r="AU2196" s="648"/>
      <c r="AV2196" s="648"/>
      <c r="AW2196" s="648"/>
      <c r="AX2196" s="648"/>
      <c r="AY2196" s="648"/>
      <c r="AZ2196" s="648"/>
      <c r="BA2196" s="648"/>
      <c r="BB2196" s="648"/>
      <c r="BC2196" s="648"/>
      <c r="BD2196" s="648"/>
      <c r="BE2196" s="648"/>
      <c r="BF2196" s="648"/>
      <c r="BG2196" s="648"/>
      <c r="BH2196" s="648"/>
    </row>
    <row r="2197" spans="1:60" ht="15.75" thickBot="1" x14ac:dyDescent="0.3">
      <c r="A2197" s="2371">
        <v>9</v>
      </c>
      <c r="B2197" s="2385" t="s">
        <v>3265</v>
      </c>
      <c r="C2197" s="2374" t="s">
        <v>258</v>
      </c>
      <c r="D2197" s="2374"/>
      <c r="E2197" s="2374"/>
      <c r="F2197" s="2374"/>
      <c r="G2197" s="2373" t="str">
        <f ca="1">G2196</f>
        <v/>
      </c>
      <c r="H2197" s="2371" t="s">
        <v>3972</v>
      </c>
      <c r="I2197" s="481"/>
      <c r="J2197" s="190" t="s">
        <v>258</v>
      </c>
      <c r="K2197" s="240"/>
      <c r="L2197" s="1171" t="s">
        <v>3658</v>
      </c>
      <c r="M2197" s="1011">
        <v>5</v>
      </c>
      <c r="N2197" s="1045"/>
      <c r="O2197" s="1045"/>
      <c r="P2197" s="99"/>
      <c r="Q2197" s="99"/>
      <c r="R2197" s="99"/>
      <c r="S2197" s="99"/>
      <c r="T2197" s="99"/>
      <c r="U2197" s="99"/>
      <c r="V2197" s="99"/>
      <c r="W2197" s="99"/>
      <c r="X2197" s="1771"/>
      <c r="Y2197" s="2082"/>
      <c r="Z2197" s="2086"/>
      <c r="AB2197" s="648"/>
      <c r="AC2197" s="970"/>
      <c r="AD2197" s="970"/>
      <c r="AE2197" s="970"/>
      <c r="AF2197" s="648"/>
      <c r="AG2197" s="648"/>
      <c r="AH2197" s="648"/>
      <c r="AI2197" s="648"/>
      <c r="AJ2197" s="648"/>
      <c r="AK2197" s="648"/>
      <c r="AL2197" s="254" t="str">
        <f>SUBSTITUTE(SUBSTITUTE(SUBSTITUTE("vpa"&amp;$B2197&amp;$C2197&amp;$D2197&amp;$E2197,".","_"),"(","_"),")","")</f>
        <v>vpa903_1_2_2</v>
      </c>
      <c r="AM2197" s="254">
        <f>M2197</f>
        <v>5</v>
      </c>
      <c r="AN2197" s="1336"/>
      <c r="AO2197" s="1336"/>
      <c r="AP2197" s="1336"/>
      <c r="AQ2197" s="1336"/>
      <c r="AR2197" s="1336"/>
      <c r="AS2197" s="1336"/>
      <c r="AT2197" s="648"/>
      <c r="AU2197" s="648"/>
      <c r="AV2197" s="648"/>
      <c r="AW2197" s="648"/>
      <c r="AX2197" s="648"/>
      <c r="AY2197" s="648"/>
      <c r="AZ2197" s="648"/>
      <c r="BA2197" s="648"/>
      <c r="BB2197" s="648"/>
      <c r="BC2197" s="648"/>
      <c r="BD2197" s="648"/>
      <c r="BE2197" s="648"/>
      <c r="BF2197" s="648"/>
      <c r="BG2197" s="648"/>
      <c r="BH2197" s="648"/>
    </row>
    <row r="2198" spans="1:60" ht="15.75" thickTop="1" x14ac:dyDescent="0.25">
      <c r="A2198" s="2371">
        <v>9</v>
      </c>
      <c r="B2198" s="2385">
        <v>903.2</v>
      </c>
      <c r="C2198" s="2374"/>
      <c r="D2198" s="2374"/>
      <c r="E2198" s="2374"/>
      <c r="F2198" s="2374"/>
      <c r="G2198" s="2373" t="str">
        <f ca="1">IF(N2198&gt;0,"P","")</f>
        <v/>
      </c>
      <c r="H2198" s="2371" t="s">
        <v>3971</v>
      </c>
      <c r="I2198" s="180">
        <v>903.2</v>
      </c>
      <c r="J2198" s="181"/>
      <c r="K2198" s="181"/>
      <c r="L2198" s="1189" t="s">
        <v>3266</v>
      </c>
      <c r="M2198" s="1009"/>
      <c r="N2198" s="1046">
        <f ca="1">'Ch9'!O332</f>
        <v>0</v>
      </c>
      <c r="O2198" s="1046">
        <f ca="1">IFERROR(INDEX({1,3},MATCH(W2198,INDIRECT(U2198),0)),0)*S2198</f>
        <v>0</v>
      </c>
      <c r="P2198" s="94" t="b">
        <v>1</v>
      </c>
      <c r="Q2198" s="94" t="b">
        <v>1</v>
      </c>
      <c r="R2198" s="105" t="b">
        <v>0</v>
      </c>
      <c r="S2198" s="105" t="b">
        <v>1</v>
      </c>
      <c r="T2198" s="105" t="b">
        <v>0</v>
      </c>
      <c r="U2198" s="105" t="str">
        <f>SUBSTITUTE(SUBSTITUTE(SUBSTITUTE("dd"&amp;B2198&amp;C2198&amp;D2198&amp;E2198&amp;F2198,".","_"),"(","_"),")","")</f>
        <v>dd903_2</v>
      </c>
      <c r="V2198" s="105"/>
      <c r="W2198" s="12"/>
      <c r="X2198" s="1784"/>
      <c r="Y2198" s="2097" t="str">
        <f>IF(LEN('Ch9'!X332)=0,"None",'Ch9'!X332)</f>
        <v>None</v>
      </c>
      <c r="Z2198" s="2085"/>
      <c r="AB2198" s="648"/>
      <c r="AC2198" s="970"/>
      <c r="AD2198" s="970"/>
      <c r="AE2198" s="970"/>
      <c r="AF2198" s="784"/>
      <c r="AG2198" s="648"/>
      <c r="AH2198" s="648"/>
      <c r="AI2198" s="648"/>
      <c r="AJ2198" s="648"/>
      <c r="AK2198" s="648"/>
      <c r="AL2198" s="1336"/>
      <c r="AM2198" s="1336"/>
      <c r="AN2198" s="254" t="str">
        <f>SUBSTITUTE(SUBSTITUTE(SUBSTITUTE("vpc"&amp;$B2198&amp;$C2198&amp;$D2198&amp;$E2198,".","_"),"(","_"),")","")</f>
        <v>vpc903_2</v>
      </c>
      <c r="AO2198" s="254">
        <f ca="1">O2198</f>
        <v>0</v>
      </c>
      <c r="AP2198" s="254" t="str">
        <f>SUBSTITUTE(SUBSTITUTE(SUBSTITUTE("vch"&amp;$B2198&amp;$C2198&amp;$D2198&amp;$E2198,".","_"),"(","_"),")","")</f>
        <v>vch903_2</v>
      </c>
      <c r="AQ2198" s="254" t="str">
        <f>IF(LEN(W2198)=0,"",W2198)</f>
        <v/>
      </c>
      <c r="AR2198" s="254" t="str">
        <f>SUBSTITUTE(SUBSTITUTE(SUBSTITUTE("vnt"&amp;$B2198&amp;$C2198&amp;$D2198&amp;$E2198,".","_"),"(","_"),")","")</f>
        <v>vnt903_2</v>
      </c>
      <c r="AS2198" s="254" t="str">
        <f>IF(LEN(X2198)=0,"",X2198)</f>
        <v/>
      </c>
      <c r="AT2198" s="648"/>
      <c r="AU2198" s="648"/>
      <c r="AV2198" s="648"/>
      <c r="AW2198" s="648"/>
      <c r="AX2198" s="648"/>
      <c r="AY2198" s="648"/>
      <c r="AZ2198" s="648"/>
      <c r="BA2198" s="648"/>
      <c r="BB2198" s="648"/>
      <c r="BC2198" s="648"/>
      <c r="BD2198" s="648"/>
      <c r="BE2198" s="648"/>
      <c r="BF2198" s="648"/>
      <c r="BG2198" s="648"/>
      <c r="BH2198" s="648"/>
    </row>
    <row r="2199" spans="1:60" x14ac:dyDescent="0.25">
      <c r="A2199" s="2371">
        <v>9</v>
      </c>
      <c r="B2199" s="2385">
        <v>903.2</v>
      </c>
      <c r="C2199" s="2374" t="s">
        <v>256</v>
      </c>
      <c r="D2199" s="2374"/>
      <c r="E2199" s="2374"/>
      <c r="F2199" s="2374"/>
      <c r="G2199" s="2373" t="str">
        <f ca="1">G2198</f>
        <v/>
      </c>
      <c r="H2199" s="2371" t="s">
        <v>3971</v>
      </c>
      <c r="I2199" s="480"/>
      <c r="J2199" s="206" t="s">
        <v>256</v>
      </c>
      <c r="K2199" s="210"/>
      <c r="L2199" s="1163" t="s">
        <v>3267</v>
      </c>
      <c r="M2199" s="1015">
        <v>1</v>
      </c>
      <c r="N2199" s="1044"/>
      <c r="O2199" s="1044"/>
      <c r="P2199" s="94"/>
      <c r="Q2199" s="94"/>
      <c r="R2199" s="94"/>
      <c r="S2199" s="94"/>
      <c r="T2199" s="94"/>
      <c r="U2199" s="94"/>
      <c r="V2199" s="94"/>
      <c r="W2199" s="94"/>
      <c r="X2199" s="1770"/>
      <c r="Y2199" s="2081"/>
      <c r="Z2199" s="2084"/>
      <c r="AB2199" s="648"/>
      <c r="AC2199" s="970"/>
      <c r="AD2199" s="970"/>
      <c r="AE2199" s="970"/>
      <c r="AF2199" s="648"/>
      <c r="AG2199" s="648"/>
      <c r="AH2199" s="648"/>
      <c r="AI2199" s="648"/>
      <c r="AJ2199" s="648"/>
      <c r="AK2199" s="648"/>
      <c r="AL2199" s="254" t="str">
        <f>SUBSTITUTE(SUBSTITUTE(SUBSTITUTE("vpa"&amp;$B2199&amp;$C2199&amp;$D2199&amp;$E2199,".","_"),"(","_"),")","")</f>
        <v>vpa903_2_1</v>
      </c>
      <c r="AM2199" s="254">
        <f>M2199</f>
        <v>1</v>
      </c>
      <c r="AN2199" s="1336"/>
      <c r="AO2199" s="1336"/>
      <c r="AP2199" s="1336"/>
      <c r="AQ2199" s="1336"/>
      <c r="AR2199" s="1336"/>
      <c r="AS2199" s="1336"/>
      <c r="AT2199" s="648"/>
      <c r="AU2199" s="648"/>
      <c r="AV2199" s="648"/>
      <c r="AW2199" s="648"/>
      <c r="AX2199" s="648"/>
      <c r="AY2199" s="648"/>
      <c r="AZ2199" s="648"/>
      <c r="BA2199" s="648"/>
      <c r="BB2199" s="648"/>
      <c r="BC2199" s="648"/>
      <c r="BD2199" s="648"/>
      <c r="BE2199" s="648"/>
      <c r="BF2199" s="648"/>
      <c r="BG2199" s="648"/>
      <c r="BH2199" s="648"/>
    </row>
    <row r="2200" spans="1:60" x14ac:dyDescent="0.25">
      <c r="A2200" s="2371">
        <v>9</v>
      </c>
      <c r="B2200" s="2385">
        <v>903.2</v>
      </c>
      <c r="C2200" s="2374" t="s">
        <v>258</v>
      </c>
      <c r="D2200" s="2374"/>
      <c r="E2200" s="2374"/>
      <c r="F2200" s="2374"/>
      <c r="G2200" s="2373" t="str">
        <f ca="1">G2199</f>
        <v/>
      </c>
      <c r="H2200" s="2371" t="s">
        <v>3971</v>
      </c>
      <c r="I2200" s="480"/>
      <c r="J2200" s="183" t="s">
        <v>258</v>
      </c>
      <c r="K2200" s="129"/>
      <c r="L2200" s="1754" t="s">
        <v>3268</v>
      </c>
      <c r="M2200" s="1758">
        <v>3</v>
      </c>
      <c r="N2200" s="1044"/>
      <c r="O2200" s="1044"/>
      <c r="P2200" s="94"/>
      <c r="Q2200" s="94"/>
      <c r="R2200" s="94"/>
      <c r="S2200" s="94"/>
      <c r="T2200" s="94"/>
      <c r="U2200" s="94"/>
      <c r="V2200" s="94"/>
      <c r="W2200" s="94"/>
      <c r="X2200" s="1770"/>
      <c r="Y2200" s="2081"/>
      <c r="Z2200" s="2084"/>
      <c r="AB2200" s="648"/>
      <c r="AC2200" s="970"/>
      <c r="AD2200" s="970"/>
      <c r="AE2200" s="970"/>
      <c r="AF2200" s="648"/>
      <c r="AG2200" s="648"/>
      <c r="AH2200" s="648"/>
      <c r="AI2200" s="648"/>
      <c r="AJ2200" s="648"/>
      <c r="AK2200" s="648"/>
      <c r="AL2200" s="254" t="str">
        <f>SUBSTITUTE(SUBSTITUTE(SUBSTITUTE("vpa"&amp;$B2200&amp;$C2200&amp;$D2200&amp;$E2200,".","_"),"(","_"),")","")</f>
        <v>vpa903_2_2</v>
      </c>
      <c r="AM2200" s="254">
        <f>M2200</f>
        <v>3</v>
      </c>
      <c r="AN2200" s="1336"/>
      <c r="AO2200" s="1336"/>
      <c r="AP2200" s="1336"/>
      <c r="AQ2200" s="1336"/>
      <c r="AR2200" s="1336"/>
      <c r="AS2200" s="1336"/>
      <c r="AT2200" s="648"/>
      <c r="AU2200" s="648"/>
      <c r="AV2200" s="648"/>
      <c r="AW2200" s="648"/>
      <c r="AX2200" s="648"/>
      <c r="AY2200" s="648"/>
      <c r="AZ2200" s="648"/>
      <c r="BA2200" s="648"/>
      <c r="BB2200" s="648"/>
      <c r="BC2200" s="648"/>
      <c r="BD2200" s="648"/>
      <c r="BE2200" s="648"/>
      <c r="BF2200" s="648"/>
      <c r="BG2200" s="648"/>
      <c r="BH2200" s="648"/>
    </row>
    <row r="2201" spans="1:60" ht="15.75" thickBot="1" x14ac:dyDescent="0.3">
      <c r="A2201" s="2371">
        <v>9</v>
      </c>
      <c r="B2201" s="2385">
        <v>903.2</v>
      </c>
      <c r="C2201" s="2374" t="s">
        <v>258</v>
      </c>
      <c r="D2201" s="2374"/>
      <c r="E2201" s="2374"/>
      <c r="F2201" s="2374"/>
      <c r="G2201" s="2373" t="str">
        <f ca="1">G2200</f>
        <v/>
      </c>
      <c r="H2201" s="2371" t="s">
        <v>3971</v>
      </c>
      <c r="I2201" s="481"/>
      <c r="J2201" s="240"/>
      <c r="K2201" s="240"/>
      <c r="L2201" s="1783"/>
      <c r="M2201" s="1768"/>
      <c r="N2201" s="1045"/>
      <c r="O2201" s="1045"/>
      <c r="P2201" s="99"/>
      <c r="Q2201" s="99"/>
      <c r="R2201" s="99"/>
      <c r="S2201" s="99"/>
      <c r="T2201" s="99"/>
      <c r="U2201" s="99"/>
      <c r="V2201" s="99"/>
      <c r="W2201" s="99"/>
      <c r="X2201" s="1771"/>
      <c r="Y2201" s="2082"/>
      <c r="Z2201" s="2086"/>
      <c r="AB2201" s="648"/>
      <c r="AC2201" s="970"/>
      <c r="AD2201" s="970"/>
      <c r="AE2201" s="970"/>
      <c r="AF2201" s="648"/>
      <c r="AG2201" s="648"/>
      <c r="AH2201" s="648"/>
      <c r="AI2201" s="648"/>
      <c r="AJ2201" s="648"/>
      <c r="AK2201" s="648"/>
      <c r="AL2201" s="1336"/>
      <c r="AM2201" s="1336"/>
      <c r="AN2201" s="1336"/>
      <c r="AO2201" s="1336"/>
      <c r="AP2201" s="1336"/>
      <c r="AQ2201" s="1336"/>
      <c r="AR2201" s="1336"/>
      <c r="AS2201" s="1336"/>
      <c r="AT2201" s="648"/>
      <c r="AU2201" s="648"/>
      <c r="AV2201" s="648"/>
      <c r="AW2201" s="648"/>
      <c r="AX2201" s="648"/>
      <c r="AY2201" s="648"/>
      <c r="AZ2201" s="648"/>
      <c r="BA2201" s="648"/>
      <c r="BB2201" s="648"/>
      <c r="BC2201" s="648"/>
      <c r="BD2201" s="648"/>
      <c r="BE2201" s="648"/>
      <c r="BF2201" s="648"/>
      <c r="BG2201" s="648"/>
      <c r="BH2201" s="648"/>
    </row>
    <row r="2202" spans="1:60" ht="15.75" thickTop="1" x14ac:dyDescent="0.25">
      <c r="A2202" s="2371">
        <v>9</v>
      </c>
      <c r="B2202" s="2385">
        <v>903.3</v>
      </c>
      <c r="C2202" s="2374"/>
      <c r="D2202" s="2374"/>
      <c r="E2202" s="2374"/>
      <c r="F2202" s="2374"/>
      <c r="G2202" s="2373" t="str">
        <f>IF(N2202&gt;0,"P","")</f>
        <v/>
      </c>
      <c r="H2202" s="2371" t="s">
        <v>3973</v>
      </c>
      <c r="I2202" s="64">
        <v>903.3</v>
      </c>
      <c r="J2202" s="4"/>
      <c r="K2202" s="4"/>
      <c r="L2202" s="1796" t="s">
        <v>3660</v>
      </c>
      <c r="M2202" s="1767">
        <v>7</v>
      </c>
      <c r="N2202" s="2075">
        <f>'Ch9'!O336</f>
        <v>0</v>
      </c>
      <c r="O2202" s="2075">
        <f>M2202*S2204*IFERROR(OR(W2204,W2205),0)</f>
        <v>0</v>
      </c>
      <c r="P2202" s="648"/>
      <c r="Q2202" s="648"/>
      <c r="R2202" s="648"/>
      <c r="S2202" s="648"/>
      <c r="T2202" s="648"/>
      <c r="U2202" s="648"/>
      <c r="V2202" s="648"/>
      <c r="W2202" s="648"/>
      <c r="X2202" s="1756"/>
      <c r="Y2202" s="2097" t="str">
        <f>IF(LEN('Ch9'!X336)=0,"None",'Ch9'!X336)</f>
        <v>None</v>
      </c>
      <c r="Z2202" s="2085"/>
      <c r="AB2202" s="648"/>
      <c r="AC2202" s="970"/>
      <c r="AD2202" s="970"/>
      <c r="AE2202" s="970"/>
      <c r="AF2202" s="648"/>
      <c r="AG2202" s="648"/>
      <c r="AH2202" s="648"/>
      <c r="AI2202" s="648"/>
      <c r="AJ2202" s="648"/>
      <c r="AK2202" s="648"/>
      <c r="AL2202" s="254" t="str">
        <f>SUBSTITUTE(SUBSTITUTE(SUBSTITUTE("vpa"&amp;$B2202&amp;$C2202&amp;$D2202&amp;$E2202,".","_"),"(","_"),")","")</f>
        <v>vpa903_3</v>
      </c>
      <c r="AM2202" s="254">
        <f>M2202</f>
        <v>7</v>
      </c>
      <c r="AN2202" s="254" t="str">
        <f>SUBSTITUTE(SUBSTITUTE(SUBSTITUTE("vpc"&amp;$B2202&amp;$C2202&amp;$D2202&amp;$E2202,".","_"),"(","_"),")","")</f>
        <v>vpc903_3</v>
      </c>
      <c r="AO2202" s="254">
        <f>O2202</f>
        <v>0</v>
      </c>
      <c r="AP2202" s="1336"/>
      <c r="AQ2202" s="1336"/>
      <c r="AR2202" s="254" t="str">
        <f>SUBSTITUTE(SUBSTITUTE(SUBSTITUTE("vnt"&amp;$B2202&amp;$C2202&amp;$D2202&amp;$E2202,".","_"),"(","_"),")","")</f>
        <v>vnt903_3</v>
      </c>
      <c r="AS2202" s="254" t="str">
        <f>IF(LEN(X2202)=0,"",X2202)</f>
        <v/>
      </c>
      <c r="AT2202" s="648"/>
      <c r="AU2202" s="648"/>
      <c r="AV2202" s="648"/>
      <c r="AW2202" s="648"/>
      <c r="AX2202" s="648"/>
      <c r="AY2202" s="648"/>
      <c r="AZ2202" s="648"/>
      <c r="BA2202" s="648"/>
      <c r="BB2202" s="648"/>
      <c r="BC2202" s="648"/>
      <c r="BD2202" s="648"/>
      <c r="BE2202" s="648"/>
      <c r="BF2202" s="648"/>
      <c r="BG2202" s="648"/>
      <c r="BH2202" s="648"/>
    </row>
    <row r="2203" spans="1:60" x14ac:dyDescent="0.25">
      <c r="A2203" s="2371">
        <v>9</v>
      </c>
      <c r="B2203" s="2385">
        <v>903.3</v>
      </c>
      <c r="C2203" s="2374"/>
      <c r="D2203" s="2374"/>
      <c r="E2203" s="2374"/>
      <c r="F2203" s="2374"/>
      <c r="G2203" s="2373" t="str">
        <f>G2202</f>
        <v/>
      </c>
      <c r="H2203" s="2371" t="s">
        <v>3973</v>
      </c>
      <c r="I2203" s="164"/>
      <c r="J2203" s="4"/>
      <c r="K2203" s="4"/>
      <c r="L2203" s="1796"/>
      <c r="M2203" s="1767"/>
      <c r="N2203" s="2075"/>
      <c r="O2203" s="2075"/>
      <c r="P2203" s="648"/>
      <c r="Q2203" s="648"/>
      <c r="R2203" s="648"/>
      <c r="S2203" s="648"/>
      <c r="T2203" s="648"/>
      <c r="U2203" s="648"/>
      <c r="V2203" s="648"/>
      <c r="W2203" s="648"/>
      <c r="X2203" s="1757"/>
      <c r="Y2203" s="2077"/>
      <c r="Z2203" s="2083"/>
      <c r="AB2203" s="648"/>
      <c r="AC2203" s="970"/>
      <c r="AD2203" s="970"/>
      <c r="AE2203" s="970"/>
      <c r="AF2203" s="648"/>
      <c r="AG2203" s="648"/>
      <c r="AH2203" s="648"/>
      <c r="AI2203" s="648"/>
      <c r="AJ2203" s="648"/>
      <c r="AK2203" s="648"/>
      <c r="AL2203" s="1336"/>
      <c r="AM2203" s="1336"/>
      <c r="AN2203" s="1336"/>
      <c r="AO2203" s="1336"/>
      <c r="AP2203" s="1336"/>
      <c r="AQ2203" s="1336"/>
      <c r="AR2203" s="1336"/>
      <c r="AS2203" s="1336"/>
      <c r="AT2203" s="648"/>
      <c r="AU2203" s="648"/>
      <c r="AV2203" s="648"/>
      <c r="AW2203" s="648"/>
      <c r="AX2203" s="648"/>
      <c r="AY2203" s="648"/>
      <c r="AZ2203" s="648"/>
      <c r="BA2203" s="648"/>
      <c r="BB2203" s="648"/>
      <c r="BC2203" s="648"/>
      <c r="BD2203" s="648"/>
      <c r="BE2203" s="648"/>
      <c r="BF2203" s="648"/>
      <c r="BG2203" s="648"/>
      <c r="BH2203" s="648"/>
    </row>
    <row r="2204" spans="1:60" x14ac:dyDescent="0.25">
      <c r="A2204" s="2371">
        <v>9</v>
      </c>
      <c r="B2204" s="2385">
        <v>903.3</v>
      </c>
      <c r="C2204" s="2374" t="s">
        <v>256</v>
      </c>
      <c r="D2204" s="2374"/>
      <c r="E2204" s="2374"/>
      <c r="F2204" s="2374"/>
      <c r="G2204" s="2373" t="str">
        <f>G2203</f>
        <v/>
      </c>
      <c r="H2204" s="2371" t="s">
        <v>3973</v>
      </c>
      <c r="I2204" s="164"/>
      <c r="J2204" s="206" t="s">
        <v>256</v>
      </c>
      <c r="K2204" s="178"/>
      <c r="L2204" s="1163" t="s">
        <v>3269</v>
      </c>
      <c r="M2204" s="1010"/>
      <c r="N2204" s="1044"/>
      <c r="O2204" s="1044"/>
      <c r="P2204" s="94" t="b">
        <v>0</v>
      </c>
      <c r="Q2204" s="94" t="b">
        <v>1</v>
      </c>
      <c r="R2204" s="178" t="b">
        <v>0</v>
      </c>
      <c r="S2204" s="178" t="b">
        <f>AND(BF1882&lt;6,BG1882="Moist")</f>
        <v>0</v>
      </c>
      <c r="T2204" s="178" t="b">
        <f>AND(NOT(S2204),W2204=TRUE)</f>
        <v>0</v>
      </c>
      <c r="U2204" s="178"/>
      <c r="V2204" s="178"/>
      <c r="W2204" s="25"/>
      <c r="X2204" s="1757"/>
      <c r="Y2204" s="2077"/>
      <c r="Z2204" s="2083"/>
      <c r="AB2204" s="648"/>
      <c r="AC2204" s="970" t="b">
        <f>OR(AD2204:AE2204)</f>
        <v>0</v>
      </c>
      <c r="AD2204" s="970" t="b">
        <f>T2204</f>
        <v>0</v>
      </c>
      <c r="AE2204" s="970"/>
      <c r="AF2204" s="784"/>
      <c r="AG2204" s="648"/>
      <c r="AH2204" s="648"/>
      <c r="AI2204" s="648"/>
      <c r="AJ2204" s="648"/>
      <c r="AK2204" s="648"/>
      <c r="AL2204" s="1336"/>
      <c r="AM2204" s="1336"/>
      <c r="AN2204" s="1336"/>
      <c r="AO2204" s="1336"/>
      <c r="AP2204" s="254" t="str">
        <f>SUBSTITUTE(SUBSTITUTE(SUBSTITUTE("vch"&amp;$B2204&amp;$C2204&amp;$D2204&amp;$E2204,".","_"),"(","_"),")","")</f>
        <v>vch903_3_1</v>
      </c>
      <c r="AQ2204" s="254" t="str">
        <f>IF(LEN(W2204)=0,"",W2204)</f>
        <v/>
      </c>
      <c r="AR2204" s="1336"/>
      <c r="AS2204" s="1336"/>
      <c r="AT2204" s="648"/>
      <c r="AU2204" s="648"/>
      <c r="AV2204" s="648"/>
      <c r="AW2204" s="648"/>
      <c r="AX2204" s="648"/>
      <c r="AY2204" s="648"/>
      <c r="AZ2204" s="648"/>
      <c r="BA2204" s="648"/>
      <c r="BB2204" s="648"/>
      <c r="BC2204" s="648"/>
      <c r="BD2204" s="648"/>
      <c r="BE2204" s="648"/>
      <c r="BF2204" s="648"/>
      <c r="BG2204" s="648"/>
      <c r="BH2204" s="648"/>
    </row>
    <row r="2205" spans="1:60" x14ac:dyDescent="0.25">
      <c r="A2205" s="2371">
        <v>9</v>
      </c>
      <c r="B2205" s="2385">
        <v>903.3</v>
      </c>
      <c r="C2205" s="2374" t="s">
        <v>258</v>
      </c>
      <c r="D2205" s="2374"/>
      <c r="E2205" s="2374"/>
      <c r="F2205" s="2374"/>
      <c r="G2205" s="2373" t="str">
        <f>G2204</f>
        <v/>
      </c>
      <c r="H2205" s="2371" t="s">
        <v>3973</v>
      </c>
      <c r="I2205" s="164"/>
      <c r="J2205" s="27" t="s">
        <v>258</v>
      </c>
      <c r="K2205" s="648"/>
      <c r="L2205" s="1841" t="s">
        <v>3270</v>
      </c>
      <c r="M2205" s="1010"/>
      <c r="N2205" s="1044"/>
      <c r="O2205" s="1044"/>
      <c r="P2205" s="94" t="b">
        <v>0</v>
      </c>
      <c r="Q2205" s="94" t="b">
        <v>1</v>
      </c>
      <c r="R2205" s="648" t="b">
        <v>0</v>
      </c>
      <c r="S2205" s="648" t="b">
        <f>AND(BF1882&lt;6,BG1882="Moist")</f>
        <v>0</v>
      </c>
      <c r="T2205" s="94" t="b">
        <f>AND(NOT(S2205),W2205=TRUE)</f>
        <v>0</v>
      </c>
      <c r="U2205" s="648"/>
      <c r="V2205" s="648"/>
      <c r="W2205" s="25"/>
      <c r="X2205" s="1757"/>
      <c r="Y2205" s="2077"/>
      <c r="Z2205" s="2083"/>
      <c r="AB2205" s="648"/>
      <c r="AC2205" s="970" t="b">
        <f>OR(AD2205:AE2205)</f>
        <v>0</v>
      </c>
      <c r="AD2205" s="970" t="b">
        <f>T2205</f>
        <v>0</v>
      </c>
      <c r="AE2205" s="970"/>
      <c r="AF2205" s="784"/>
      <c r="AG2205" s="648"/>
      <c r="AH2205" s="648"/>
      <c r="AI2205" s="648"/>
      <c r="AJ2205" s="648"/>
      <c r="AK2205" s="648"/>
      <c r="AL2205" s="1336"/>
      <c r="AM2205" s="1336"/>
      <c r="AN2205" s="1336"/>
      <c r="AO2205" s="1336"/>
      <c r="AP2205" s="254" t="str">
        <f>SUBSTITUTE(SUBSTITUTE(SUBSTITUTE("vch"&amp;$B2205&amp;$C2205&amp;$D2205&amp;$E2205,".","_"),"(","_"),")","")</f>
        <v>vch903_3_2</v>
      </c>
      <c r="AQ2205" s="254" t="str">
        <f>IF(LEN(W2205)=0,"",W2205)</f>
        <v/>
      </c>
      <c r="AR2205" s="1336"/>
      <c r="AS2205" s="1336"/>
      <c r="AT2205" s="648"/>
      <c r="AU2205" s="648"/>
      <c r="AV2205" s="648"/>
      <c r="AW2205" s="648"/>
      <c r="AX2205" s="648"/>
      <c r="AY2205" s="648"/>
      <c r="AZ2205" s="648"/>
      <c r="BA2205" s="648"/>
      <c r="BB2205" s="648"/>
      <c r="BC2205" s="648"/>
      <c r="BD2205" s="648"/>
      <c r="BE2205" s="648"/>
      <c r="BF2205" s="648"/>
      <c r="BG2205" s="648"/>
      <c r="BH2205" s="648"/>
    </row>
    <row r="2206" spans="1:60" x14ac:dyDescent="0.25">
      <c r="A2206" s="2371">
        <v>9</v>
      </c>
      <c r="B2206" s="2385">
        <v>903.3</v>
      </c>
      <c r="C2206" s="2374" t="s">
        <v>258</v>
      </c>
      <c r="D2206" s="2374"/>
      <c r="E2206" s="2374"/>
      <c r="F2206" s="2374"/>
      <c r="G2206" s="2373" t="str">
        <f>G2205</f>
        <v/>
      </c>
      <c r="H2206" s="2371" t="s">
        <v>3973</v>
      </c>
      <c r="I2206" s="164"/>
      <c r="J2206" s="4"/>
      <c r="K2206" s="27"/>
      <c r="L2206" s="1841"/>
      <c r="M2206" s="1014"/>
      <c r="N2206" s="1042"/>
      <c r="O2206" s="1042"/>
      <c r="P2206" s="648"/>
      <c r="Q2206" s="648"/>
      <c r="R2206" s="648"/>
      <c r="S2206" s="648"/>
      <c r="T2206" s="648"/>
      <c r="U2206" s="648"/>
      <c r="V2206" s="648"/>
      <c r="W2206" s="648"/>
      <c r="X2206" s="1757"/>
      <c r="Y2206" s="2077"/>
      <c r="Z2206" s="2083"/>
      <c r="AB2206" s="648"/>
      <c r="AC2206" s="970"/>
      <c r="AD2206" s="970"/>
      <c r="AE2206" s="970"/>
      <c r="AF2206" s="648"/>
      <c r="AG2206" s="648"/>
      <c r="AH2206" s="648"/>
      <c r="AI2206" s="648"/>
      <c r="AJ2206" s="648"/>
      <c r="AK2206" s="648"/>
      <c r="AL2206" s="1336"/>
      <c r="AM2206" s="1336"/>
      <c r="AN2206" s="1336"/>
      <c r="AO2206" s="1336"/>
      <c r="AP2206" s="1336"/>
      <c r="AQ2206" s="1336"/>
      <c r="AR2206" s="1336"/>
      <c r="AS2206" s="1336"/>
      <c r="AT2206" s="648"/>
      <c r="AU2206" s="648"/>
      <c r="AV2206" s="648"/>
      <c r="AW2206" s="648"/>
      <c r="AX2206" s="648"/>
      <c r="AY2206" s="648"/>
      <c r="AZ2206" s="648"/>
      <c r="BA2206" s="648"/>
      <c r="BB2206" s="648"/>
      <c r="BC2206" s="648"/>
      <c r="BD2206" s="648"/>
      <c r="BE2206" s="648"/>
      <c r="BF2206" s="648"/>
      <c r="BG2206" s="648"/>
      <c r="BH2206" s="648"/>
    </row>
    <row r="2207" spans="1:60" ht="18.75" x14ac:dyDescent="0.3">
      <c r="A2207" s="2371">
        <v>9</v>
      </c>
      <c r="B2207" s="2385">
        <v>904</v>
      </c>
      <c r="C2207" s="2374"/>
      <c r="D2207" s="2374"/>
      <c r="E2207" s="2374"/>
      <c r="F2207" s="2374"/>
      <c r="G2207" s="2373" t="s">
        <v>3974</v>
      </c>
      <c r="H2207" s="2371" t="s">
        <v>3971</v>
      </c>
      <c r="I2207" s="14" t="s">
        <v>3271</v>
      </c>
      <c r="J2207" s="23"/>
      <c r="K2207" s="23"/>
      <c r="L2207" s="84"/>
      <c r="M2207" s="498"/>
      <c r="N2207" s="1043"/>
      <c r="O2207" s="1043"/>
      <c r="P2207" s="23"/>
      <c r="Q2207" s="23"/>
      <c r="R2207" s="23"/>
      <c r="S2207" s="23"/>
      <c r="T2207" s="23"/>
      <c r="U2207" s="23"/>
      <c r="V2207" s="23"/>
      <c r="W2207" s="23"/>
      <c r="X2207" s="23"/>
      <c r="Y2207" s="23"/>
      <c r="Z2207" s="1586"/>
      <c r="AB2207" s="648"/>
      <c r="AC2207" s="970"/>
      <c r="AD2207" s="970"/>
      <c r="AE2207" s="970"/>
      <c r="AF2207" s="648"/>
      <c r="AG2207" s="648"/>
      <c r="AH2207" s="648"/>
      <c r="AI2207" s="648"/>
      <c r="AJ2207" s="648"/>
      <c r="AK2207" s="648"/>
      <c r="AL2207" s="1336"/>
      <c r="AM2207" s="1336"/>
      <c r="AN2207" s="1336"/>
      <c r="AO2207" s="1336"/>
      <c r="AP2207" s="1336"/>
      <c r="AQ2207" s="1336"/>
      <c r="AR2207" s="1336"/>
      <c r="AS2207" s="1336"/>
      <c r="AT2207" s="648"/>
      <c r="AU2207" s="648"/>
      <c r="AV2207" s="648"/>
      <c r="AW2207" s="648"/>
      <c r="AX2207" s="648"/>
      <c r="AY2207" s="648"/>
      <c r="AZ2207" s="648"/>
      <c r="BA2207" s="648"/>
      <c r="BB2207" s="648"/>
      <c r="BC2207" s="648"/>
      <c r="BD2207" s="648"/>
      <c r="BE2207" s="648"/>
      <c r="BF2207" s="648"/>
      <c r="BG2207" s="648"/>
      <c r="BH2207" s="648"/>
    </row>
    <row r="2208" spans="1:60" x14ac:dyDescent="0.25">
      <c r="A2208" s="2371">
        <v>9</v>
      </c>
      <c r="B2208" s="2385" t="s">
        <v>4082</v>
      </c>
      <c r="C2208" s="2374"/>
      <c r="D2208" s="2374"/>
      <c r="E2208" s="2374"/>
      <c r="F2208" s="2374"/>
      <c r="G2208" s="2371"/>
      <c r="H2208" s="2371"/>
      <c r="I2208" s="238">
        <v>904</v>
      </c>
      <c r="J2208" s="129"/>
      <c r="K2208" s="129"/>
      <c r="L2208" s="1782" t="s">
        <v>3272</v>
      </c>
      <c r="M2208" s="1010"/>
      <c r="N2208" s="1044"/>
      <c r="O2208" s="1044"/>
      <c r="P2208" s="94"/>
      <c r="Q2208" s="94"/>
      <c r="R2208" s="94"/>
      <c r="S2208" s="94"/>
      <c r="T2208" s="94"/>
      <c r="U2208" s="94"/>
      <c r="V2208" s="94"/>
      <c r="W2208" s="94"/>
      <c r="X2208" s="94"/>
      <c r="Y2208" s="648"/>
      <c r="AB2208" s="648"/>
      <c r="AC2208" s="970"/>
      <c r="AD2208" s="970"/>
      <c r="AE2208" s="970"/>
      <c r="AF2208" s="648"/>
      <c r="AG2208" s="648"/>
      <c r="AH2208" s="648"/>
      <c r="AI2208" s="648"/>
      <c r="AJ2208" s="648"/>
      <c r="AK2208" s="648"/>
      <c r="AL2208" s="1336"/>
      <c r="AM2208" s="1336"/>
      <c r="AN2208" s="1336"/>
      <c r="AO2208" s="1336"/>
      <c r="AP2208" s="1336"/>
      <c r="AQ2208" s="1336"/>
      <c r="AR2208" s="1336"/>
      <c r="AS2208" s="1336"/>
      <c r="AT2208" s="648"/>
      <c r="AU2208" s="648"/>
      <c r="AV2208" s="648"/>
      <c r="AW2208" s="648"/>
      <c r="AX2208" s="648"/>
      <c r="AY2208" s="648"/>
      <c r="AZ2208" s="648"/>
      <c r="BA2208" s="648"/>
      <c r="BB2208" s="648"/>
      <c r="BC2208" s="648"/>
      <c r="BD2208" s="648"/>
      <c r="BE2208" s="648"/>
      <c r="BF2208" s="648"/>
      <c r="BG2208" s="648"/>
      <c r="BH2208" s="648"/>
    </row>
    <row r="2209" spans="1:60" ht="15.75" thickBot="1" x14ac:dyDescent="0.3">
      <c r="A2209" s="2371">
        <v>9</v>
      </c>
      <c r="B2209" s="2385" t="s">
        <v>4082</v>
      </c>
      <c r="C2209" s="2374"/>
      <c r="D2209" s="2374"/>
      <c r="E2209" s="2374"/>
      <c r="F2209" s="2374"/>
      <c r="G2209" s="2371"/>
      <c r="H2209" s="2371"/>
      <c r="I2209" s="481"/>
      <c r="J2209" s="240"/>
      <c r="K2209" s="240"/>
      <c r="L2209" s="1797"/>
      <c r="M2209" s="1011"/>
      <c r="N2209" s="1045"/>
      <c r="O2209" s="1045"/>
      <c r="P2209" s="99"/>
      <c r="Q2209" s="99"/>
      <c r="R2209" s="99"/>
      <c r="S2209" s="99"/>
      <c r="T2209" s="99"/>
      <c r="U2209" s="99"/>
      <c r="V2209" s="99"/>
      <c r="W2209" s="99"/>
      <c r="X2209" s="99"/>
      <c r="Y2209" s="99"/>
      <c r="Z2209" s="1589"/>
      <c r="AB2209" s="648"/>
      <c r="AC2209" s="970"/>
      <c r="AD2209" s="970"/>
      <c r="AE2209" s="970"/>
      <c r="AF2209" s="648"/>
      <c r="AG2209" s="648"/>
      <c r="AH2209" s="648"/>
      <c r="AI2209" s="648"/>
      <c r="AJ2209" s="648"/>
      <c r="AK2209" s="648"/>
      <c r="AL2209" s="1336"/>
      <c r="AM2209" s="1336"/>
      <c r="AN2209" s="1336"/>
      <c r="AO2209" s="1336"/>
      <c r="AP2209" s="1336"/>
      <c r="AQ2209" s="1336"/>
      <c r="AR2209" s="1336"/>
      <c r="AS2209" s="1336"/>
      <c r="AT2209" s="648"/>
      <c r="AU2209" s="648"/>
      <c r="AV2209" s="648"/>
      <c r="AW2209" s="648"/>
      <c r="AX2209" s="648"/>
      <c r="AY2209" s="648"/>
      <c r="AZ2209" s="648"/>
      <c r="BA2209" s="648"/>
      <c r="BB2209" s="648"/>
      <c r="BC2209" s="648"/>
      <c r="BD2209" s="648"/>
      <c r="BE2209" s="648"/>
      <c r="BF2209" s="648"/>
      <c r="BG2209" s="648"/>
      <c r="BH2209" s="648"/>
    </row>
    <row r="2210" spans="1:60" ht="15.75" thickTop="1" x14ac:dyDescent="0.25">
      <c r="A2210" s="2371">
        <v>9</v>
      </c>
      <c r="B2210" s="2385">
        <v>904.1</v>
      </c>
      <c r="C2210" s="2374"/>
      <c r="D2210" s="2374"/>
      <c r="E2210" s="2374"/>
      <c r="F2210" s="2374"/>
      <c r="G2210" s="2373" t="str">
        <f>IF(N2210&gt;0,"P","")</f>
        <v/>
      </c>
      <c r="H2210" s="2371" t="s">
        <v>3972</v>
      </c>
      <c r="I2210" s="479">
        <v>904.1</v>
      </c>
      <c r="J2210" s="181"/>
      <c r="K2210" s="181"/>
      <c r="L2210" s="1781" t="s">
        <v>3273</v>
      </c>
      <c r="M2210" s="1772">
        <v>2</v>
      </c>
      <c r="N2210" s="2080">
        <f>'Ch9'!O344</f>
        <v>0</v>
      </c>
      <c r="O2210" s="2080">
        <f>M2210*S2210*W2210</f>
        <v>0</v>
      </c>
      <c r="P2210" s="94" t="b">
        <v>1</v>
      </c>
      <c r="Q2210" s="94" t="b">
        <v>0</v>
      </c>
      <c r="R2210" s="105" t="b">
        <v>0</v>
      </c>
      <c r="S2210" s="105" t="b">
        <f>T2211</f>
        <v>0</v>
      </c>
      <c r="T2210" s="105" t="b">
        <f>AND(NOT(S2210),W2210=TRUE)</f>
        <v>0</v>
      </c>
      <c r="U2210" s="105"/>
      <c r="V2210" s="105"/>
      <c r="W2210" s="25"/>
      <c r="X2210" s="1784"/>
      <c r="Y2210" s="2098" t="str">
        <f>IF(LEN('Ch9'!X344)=0,"None",'Ch9'!X344)</f>
        <v>None</v>
      </c>
      <c r="Z2210" s="2088"/>
      <c r="AB2210" s="648"/>
      <c r="AC2210" s="970" t="b">
        <f>OR(AD2210:AE2210)</f>
        <v>0</v>
      </c>
      <c r="AD2210" s="970" t="b">
        <f>T2210</f>
        <v>0</v>
      </c>
      <c r="AE2210" s="970"/>
      <c r="AF2210" s="784"/>
      <c r="AG2210" s="648"/>
      <c r="AH2210" s="648"/>
      <c r="AI2210" s="648"/>
      <c r="AJ2210" s="648"/>
      <c r="AK2210" s="648"/>
      <c r="AL2210" s="254" t="str">
        <f>SUBSTITUTE(SUBSTITUTE(SUBSTITUTE("vpa"&amp;$B2210&amp;$C2210&amp;$D2210&amp;$E2210,".","_"),"(","_"),")","")</f>
        <v>vpa904_1</v>
      </c>
      <c r="AM2210" s="254">
        <f>M2210</f>
        <v>2</v>
      </c>
      <c r="AN2210" s="254" t="str">
        <f>SUBSTITUTE(SUBSTITUTE(SUBSTITUTE("vpc"&amp;$B2210&amp;$C2210&amp;$D2210&amp;$E2210,".","_"),"(","_"),")","")</f>
        <v>vpc904_1</v>
      </c>
      <c r="AO2210" s="254">
        <f>O2210</f>
        <v>0</v>
      </c>
      <c r="AP2210" s="254" t="str">
        <f>SUBSTITUTE(SUBSTITUTE(SUBSTITUTE("vch"&amp;$B2210&amp;$C2210&amp;$D2210&amp;$E2210,".","_"),"(","_"),")","")</f>
        <v>vch904_1</v>
      </c>
      <c r="AQ2210" s="254" t="str">
        <f>IF(LEN(W2210)=0,"",W2210)</f>
        <v/>
      </c>
      <c r="AR2210" s="254" t="str">
        <f>SUBSTITUTE(SUBSTITUTE(SUBSTITUTE("vnt"&amp;$B2210&amp;$C2210&amp;$D2210&amp;$E2210,".","_"),"(","_"),")","")</f>
        <v>vnt904_1</v>
      </c>
      <c r="AS2210" s="254" t="str">
        <f>IF(LEN(X2210)=0,"",X2210)</f>
        <v/>
      </c>
      <c r="AT2210" s="648"/>
      <c r="AU2210" s="648"/>
      <c r="AV2210" s="648"/>
      <c r="AW2210" s="648"/>
      <c r="AX2210" s="648"/>
      <c r="AY2210" s="648"/>
      <c r="AZ2210" s="648"/>
      <c r="BA2210" s="648"/>
      <c r="BB2210" s="648"/>
      <c r="BC2210" s="648"/>
      <c r="BD2210" s="648"/>
      <c r="BE2210" s="648"/>
      <c r="BF2210" s="648"/>
      <c r="BG2210" s="648"/>
      <c r="BH2210" s="648"/>
    </row>
    <row r="2211" spans="1:60" x14ac:dyDescent="0.25">
      <c r="A2211" s="2371">
        <v>9</v>
      </c>
      <c r="B2211" s="2385">
        <v>904.1</v>
      </c>
      <c r="C2211" s="2374"/>
      <c r="D2211" s="2374"/>
      <c r="E2211" s="2374"/>
      <c r="F2211" s="2374"/>
      <c r="G2211" s="2373" t="str">
        <f>G2210</f>
        <v/>
      </c>
      <c r="H2211" s="2371" t="s">
        <v>3972</v>
      </c>
      <c r="I2211" s="480"/>
      <c r="J2211" s="129"/>
      <c r="K2211" s="129"/>
      <c r="L2211" s="1782"/>
      <c r="M2211" s="1758"/>
      <c r="N2211" s="1927"/>
      <c r="O2211" s="1927"/>
      <c r="P2211" s="94"/>
      <c r="Q2211" s="94"/>
      <c r="R2211" s="94"/>
      <c r="S2211" s="485" t="s">
        <v>3765</v>
      </c>
      <c r="T2211" s="197" t="b">
        <f>W467=TRUE</f>
        <v>0</v>
      </c>
      <c r="U2211" s="94"/>
      <c r="V2211" s="94"/>
      <c r="W2211" s="94"/>
      <c r="X2211" s="1770"/>
      <c r="Y2211" s="2081"/>
      <c r="Z2211" s="2084"/>
      <c r="AB2211" s="648"/>
      <c r="AC2211" s="970"/>
      <c r="AD2211" s="970"/>
      <c r="AE2211" s="970"/>
      <c r="AF2211" s="648"/>
      <c r="AG2211" s="648"/>
      <c r="AH2211" s="648"/>
      <c r="AI2211" s="648"/>
      <c r="AJ2211" s="648"/>
      <c r="AK2211" s="648"/>
      <c r="AL2211" s="1336"/>
      <c r="AM2211" s="1336"/>
      <c r="AN2211" s="1336"/>
      <c r="AO2211" s="1336"/>
      <c r="AP2211" s="1336"/>
      <c r="AQ2211" s="1336"/>
      <c r="AR2211" s="1336"/>
      <c r="AS2211" s="1336"/>
      <c r="AT2211" s="648"/>
      <c r="AU2211" s="648"/>
      <c r="AV2211" s="648"/>
      <c r="AW2211" s="648"/>
      <c r="AX2211" s="648"/>
      <c r="AY2211" s="648"/>
      <c r="AZ2211" s="648"/>
      <c r="BA2211" s="648"/>
      <c r="BB2211" s="648"/>
      <c r="BC2211" s="648"/>
      <c r="BD2211" s="648"/>
      <c r="BE2211" s="648"/>
      <c r="BF2211" s="648"/>
      <c r="BG2211" s="648"/>
      <c r="BH2211" s="648"/>
    </row>
    <row r="2212" spans="1:60" x14ac:dyDescent="0.25">
      <c r="A2212" s="2371">
        <v>9</v>
      </c>
      <c r="B2212" s="2385">
        <v>904.1</v>
      </c>
      <c r="C2212" s="2374"/>
      <c r="D2212" s="2374"/>
      <c r="E2212" s="2374"/>
      <c r="F2212" s="2374"/>
      <c r="G2212" s="2373" t="str">
        <f>G2211</f>
        <v/>
      </c>
      <c r="H2212" s="2371" t="s">
        <v>3972</v>
      </c>
      <c r="I2212" s="480"/>
      <c r="J2212" s="129"/>
      <c r="K2212" s="129"/>
      <c r="L2212" s="1782"/>
      <c r="M2212" s="1758"/>
      <c r="N2212" s="1927"/>
      <c r="O2212" s="1927"/>
      <c r="P2212" s="94"/>
      <c r="Q2212" s="94"/>
      <c r="R2212" s="94"/>
      <c r="S2212" s="94"/>
      <c r="T2212" s="94"/>
      <c r="U2212" s="94"/>
      <c r="V2212" s="94"/>
      <c r="W2212" s="94"/>
      <c r="X2212" s="1770"/>
      <c r="Y2212" s="2081"/>
      <c r="Z2212" s="2084"/>
      <c r="AB2212" s="648"/>
      <c r="AC2212" s="970"/>
      <c r="AD2212" s="970"/>
      <c r="AE2212" s="970"/>
      <c r="AF2212" s="648"/>
      <c r="AG2212" s="648"/>
      <c r="AH2212" s="648"/>
      <c r="AI2212" s="648"/>
      <c r="AJ2212" s="648"/>
      <c r="AK2212" s="648"/>
      <c r="AL2212" s="1336"/>
      <c r="AM2212" s="1336"/>
      <c r="AN2212" s="1336"/>
      <c r="AO2212" s="1336"/>
      <c r="AP2212" s="1336"/>
      <c r="AQ2212" s="1336"/>
      <c r="AR2212" s="1336"/>
      <c r="AS2212" s="1336"/>
      <c r="AT2212" s="648"/>
      <c r="AU2212" s="648"/>
      <c r="AV2212" s="648"/>
      <c r="AW2212" s="648"/>
      <c r="AX2212" s="648"/>
      <c r="AY2212" s="648"/>
      <c r="AZ2212" s="648"/>
      <c r="BA2212" s="648"/>
      <c r="BB2212" s="648"/>
      <c r="BC2212" s="648"/>
      <c r="BD2212" s="648"/>
      <c r="BE2212" s="648"/>
      <c r="BF2212" s="648"/>
      <c r="BG2212" s="648"/>
      <c r="BH2212" s="648"/>
    </row>
    <row r="2213" spans="1:60" x14ac:dyDescent="0.25">
      <c r="A2213" s="2371">
        <v>9</v>
      </c>
      <c r="B2213" s="2385">
        <v>904.1</v>
      </c>
      <c r="C2213" s="2374"/>
      <c r="D2213" s="2374"/>
      <c r="E2213" s="2374"/>
      <c r="F2213" s="2374"/>
      <c r="G2213" s="2373" t="str">
        <f>G2212</f>
        <v/>
      </c>
      <c r="H2213" s="2371" t="s">
        <v>3972</v>
      </c>
      <c r="I2213" s="480"/>
      <c r="J2213" s="129"/>
      <c r="K2213" s="129"/>
      <c r="L2213" s="1782"/>
      <c r="M2213" s="1758"/>
      <c r="N2213" s="1927"/>
      <c r="O2213" s="1927"/>
      <c r="P2213" s="94"/>
      <c r="Q2213" s="94"/>
      <c r="R2213" s="94"/>
      <c r="S2213" s="94"/>
      <c r="T2213" s="94"/>
      <c r="U2213" s="94"/>
      <c r="V2213" s="94"/>
      <c r="W2213" s="94"/>
      <c r="X2213" s="1770"/>
      <c r="Y2213" s="2081"/>
      <c r="Z2213" s="2084"/>
      <c r="AB2213" s="648"/>
      <c r="AC2213" s="970"/>
      <c r="AD2213" s="970"/>
      <c r="AE2213" s="970"/>
      <c r="AF2213" s="648"/>
      <c r="AG2213" s="648"/>
      <c r="AH2213" s="648"/>
      <c r="AI2213" s="648"/>
      <c r="AJ2213" s="648"/>
      <c r="AK2213" s="648"/>
      <c r="AL2213" s="1336"/>
      <c r="AM2213" s="1336"/>
      <c r="AN2213" s="1336"/>
      <c r="AO2213" s="1336"/>
      <c r="AP2213" s="1336"/>
      <c r="AQ2213" s="1336"/>
      <c r="AR2213" s="1336"/>
      <c r="AS2213" s="1336"/>
      <c r="AT2213" s="648"/>
      <c r="AU2213" s="648"/>
      <c r="AV2213" s="648"/>
      <c r="AW2213" s="648"/>
      <c r="AX2213" s="648"/>
      <c r="AY2213" s="648"/>
      <c r="AZ2213" s="648"/>
      <c r="BA2213" s="648"/>
      <c r="BB2213" s="648"/>
      <c r="BC2213" s="648"/>
      <c r="BD2213" s="648"/>
      <c r="BE2213" s="648"/>
      <c r="BF2213" s="648"/>
      <c r="BG2213" s="648"/>
      <c r="BH2213" s="648"/>
    </row>
    <row r="2214" spans="1:60" ht="15.75" thickBot="1" x14ac:dyDescent="0.3">
      <c r="A2214" s="2371">
        <v>9</v>
      </c>
      <c r="B2214" s="2385">
        <v>904.1</v>
      </c>
      <c r="C2214" s="2374"/>
      <c r="D2214" s="2374"/>
      <c r="E2214" s="2374"/>
      <c r="F2214" s="2374"/>
      <c r="G2214" s="2373" t="str">
        <f>G2213</f>
        <v/>
      </c>
      <c r="H2214" s="2371" t="s">
        <v>3972</v>
      </c>
      <c r="I2214" s="481"/>
      <c r="J2214" s="240"/>
      <c r="K2214" s="240"/>
      <c r="L2214" s="1797"/>
      <c r="M2214" s="1768"/>
      <c r="N2214" s="1928"/>
      <c r="O2214" s="1928"/>
      <c r="P2214" s="99"/>
      <c r="Q2214" s="99"/>
      <c r="R2214" s="99"/>
      <c r="S2214" s="99"/>
      <c r="T2214" s="99"/>
      <c r="U2214" s="99"/>
      <c r="V2214" s="99"/>
      <c r="W2214" s="99"/>
      <c r="X2214" s="1771"/>
      <c r="Y2214" s="2082"/>
      <c r="Z2214" s="2086"/>
      <c r="AB2214" s="648"/>
      <c r="AC2214" s="970"/>
      <c r="AD2214" s="970"/>
      <c r="AE2214" s="970"/>
      <c r="AF2214" s="648"/>
      <c r="AG2214" s="648"/>
      <c r="AH2214" s="648"/>
      <c r="AI2214" s="648"/>
      <c r="AJ2214" s="648"/>
      <c r="AK2214" s="648"/>
      <c r="AL2214" s="1336"/>
      <c r="AM2214" s="1336"/>
      <c r="AN2214" s="1336"/>
      <c r="AO2214" s="1336"/>
      <c r="AP2214" s="1336"/>
      <c r="AQ2214" s="1336"/>
      <c r="AR2214" s="1336"/>
      <c r="AS2214" s="1336"/>
      <c r="AT2214" s="648"/>
      <c r="AU2214" s="648"/>
      <c r="AV2214" s="648"/>
      <c r="AW2214" s="648"/>
      <c r="AX2214" s="648"/>
      <c r="AY2214" s="648"/>
      <c r="AZ2214" s="648"/>
      <c r="BA2214" s="648"/>
      <c r="BB2214" s="648"/>
      <c r="BC2214" s="648"/>
      <c r="BD2214" s="648"/>
      <c r="BE2214" s="648"/>
      <c r="BF2214" s="648"/>
      <c r="BG2214" s="648"/>
      <c r="BH2214" s="648"/>
    </row>
    <row r="2215" spans="1:60" ht="15.75" thickTop="1" x14ac:dyDescent="0.25">
      <c r="A2215" s="2371">
        <v>9</v>
      </c>
      <c r="B2215" s="2385">
        <v>904.2</v>
      </c>
      <c r="C2215" s="2374"/>
      <c r="D2215" s="2374"/>
      <c r="E2215" s="2374"/>
      <c r="F2215" s="2374"/>
      <c r="G2215" s="2373" t="str">
        <f>IF(N2215&gt;0,"P","")</f>
        <v/>
      </c>
      <c r="H2215" s="2371" t="s">
        <v>3973</v>
      </c>
      <c r="I2215" s="180">
        <v>904.2</v>
      </c>
      <c r="J2215" s="181"/>
      <c r="K2215" s="181"/>
      <c r="L2215" s="1781" t="s">
        <v>3274</v>
      </c>
      <c r="M2215" s="1772">
        <v>3</v>
      </c>
      <c r="N2215" s="2080">
        <f>'Ch9'!O349</f>
        <v>0</v>
      </c>
      <c r="O2215" s="2080">
        <f>M2215*S2215*W2215</f>
        <v>0</v>
      </c>
      <c r="P2215" s="105" t="b">
        <v>0</v>
      </c>
      <c r="Q2215" s="105" t="b">
        <v>1</v>
      </c>
      <c r="R2215" s="105" t="b">
        <v>0</v>
      </c>
      <c r="S2215" s="105" t="b">
        <f>T2211</f>
        <v>0</v>
      </c>
      <c r="T2215" s="105" t="b">
        <f>AND(NOT(S2215),W2215=TRUE)</f>
        <v>0</v>
      </c>
      <c r="U2215" s="105"/>
      <c r="V2215" s="105"/>
      <c r="W2215" s="367"/>
      <c r="X2215" s="1784"/>
      <c r="Y2215" s="2098" t="str">
        <f>IF(LEN('Ch9'!X349)=0,"None",'Ch9'!X349)</f>
        <v>None</v>
      </c>
      <c r="Z2215" s="2088"/>
      <c r="AB2215" s="648"/>
      <c r="AC2215" s="970" t="b">
        <f>OR(AD2215:AE2215)</f>
        <v>0</v>
      </c>
      <c r="AD2215" s="970" t="b">
        <f>T2215</f>
        <v>0</v>
      </c>
      <c r="AE2215" s="970"/>
      <c r="AF2215" s="784"/>
      <c r="AG2215" s="648"/>
      <c r="AH2215" s="648"/>
      <c r="AI2215" s="648"/>
      <c r="AJ2215" s="648"/>
      <c r="AK2215" s="648"/>
      <c r="AL2215" s="254" t="str">
        <f>SUBSTITUTE(SUBSTITUTE(SUBSTITUTE("vpa"&amp;$B2215&amp;$C2215&amp;$D2215&amp;$E2215,".","_"),"(","_"),")","")</f>
        <v>vpa904_2</v>
      </c>
      <c r="AM2215" s="254">
        <f>M2215</f>
        <v>3</v>
      </c>
      <c r="AN2215" s="254" t="str">
        <f>SUBSTITUTE(SUBSTITUTE(SUBSTITUTE("vpc"&amp;$B2215&amp;$C2215&amp;$D2215&amp;$E2215,".","_"),"(","_"),")","")</f>
        <v>vpc904_2</v>
      </c>
      <c r="AO2215" s="254">
        <f>O2215</f>
        <v>0</v>
      </c>
      <c r="AP2215" s="254" t="str">
        <f>SUBSTITUTE(SUBSTITUTE(SUBSTITUTE("vch"&amp;$B2215&amp;$C2215&amp;$D2215&amp;$E2215,".","_"),"(","_"),")","")</f>
        <v>vch904_2</v>
      </c>
      <c r="AQ2215" s="254" t="str">
        <f>IF(LEN(W2215)=0,"",W2215)</f>
        <v/>
      </c>
      <c r="AR2215" s="254" t="str">
        <f>SUBSTITUTE(SUBSTITUTE(SUBSTITUTE("vnt"&amp;$B2215&amp;$C2215&amp;$D2215&amp;$E2215,".","_"),"(","_"),")","")</f>
        <v>vnt904_2</v>
      </c>
      <c r="AS2215" s="254" t="str">
        <f>IF(LEN(X2215)=0,"",X2215)</f>
        <v/>
      </c>
      <c r="AT2215" s="648"/>
      <c r="AU2215" s="648"/>
      <c r="AV2215" s="648"/>
      <c r="AW2215" s="648"/>
      <c r="AX2215" s="648"/>
      <c r="AY2215" s="648"/>
      <c r="AZ2215" s="648"/>
      <c r="BA2215" s="648"/>
      <c r="BB2215" s="648"/>
      <c r="BC2215" s="648"/>
      <c r="BD2215" s="648"/>
      <c r="BE2215" s="648"/>
      <c r="BF2215" s="648"/>
      <c r="BG2215" s="648"/>
      <c r="BH2215" s="648"/>
    </row>
    <row r="2216" spans="1:60" x14ac:dyDescent="0.25">
      <c r="A2216" s="2371">
        <v>9</v>
      </c>
      <c r="B2216" s="2385">
        <v>904.2</v>
      </c>
      <c r="C2216" s="2374"/>
      <c r="D2216" s="2374"/>
      <c r="E2216" s="2374"/>
      <c r="F2216" s="2374"/>
      <c r="G2216" s="2373" t="str">
        <f>G2215</f>
        <v/>
      </c>
      <c r="H2216" s="2371" t="s">
        <v>3973</v>
      </c>
      <c r="I2216" s="480"/>
      <c r="J2216" s="129"/>
      <c r="K2216" s="129"/>
      <c r="L2216" s="1782"/>
      <c r="M2216" s="1758"/>
      <c r="N2216" s="1927"/>
      <c r="O2216" s="1927"/>
      <c r="P2216" s="94"/>
      <c r="Q2216" s="94"/>
      <c r="R2216" s="94"/>
      <c r="S2216" s="94"/>
      <c r="T2216" s="94"/>
      <c r="U2216" s="94"/>
      <c r="V2216" s="94"/>
      <c r="W2216" s="94"/>
      <c r="X2216" s="1770"/>
      <c r="Y2216" s="2081"/>
      <c r="Z2216" s="2084"/>
      <c r="AA2216"/>
      <c r="AB2216" s="648"/>
      <c r="AC2216" s="970"/>
      <c r="AD2216" s="970"/>
      <c r="AE2216" s="970"/>
      <c r="AF2216" s="648"/>
      <c r="AG2216" s="648"/>
      <c r="AH2216" s="648"/>
      <c r="AI2216" s="648"/>
      <c r="AJ2216" s="648"/>
      <c r="AK2216" s="648"/>
      <c r="AL2216" s="1336"/>
      <c r="AM2216" s="1336"/>
      <c r="AN2216" s="1336"/>
      <c r="AO2216" s="1336"/>
      <c r="AP2216" s="1336"/>
      <c r="AQ2216" s="1336"/>
      <c r="AR2216" s="1336"/>
      <c r="AS2216" s="1336"/>
      <c r="AT2216" s="648"/>
      <c r="AU2216" s="648"/>
      <c r="AV2216" s="648"/>
      <c r="AW2216" s="648"/>
      <c r="AX2216" s="648"/>
      <c r="AY2216" s="648"/>
      <c r="AZ2216" s="648"/>
      <c r="BA2216" s="648"/>
      <c r="BB2216" s="648"/>
      <c r="BC2216" s="648"/>
      <c r="BD2216" s="648"/>
      <c r="BE2216" s="648"/>
      <c r="BF2216" s="648"/>
      <c r="BG2216" s="648"/>
      <c r="BH2216" s="648"/>
    </row>
    <row r="2217" spans="1:60" ht="15.75" thickBot="1" x14ac:dyDescent="0.3">
      <c r="A2217" s="2371">
        <v>9</v>
      </c>
      <c r="B2217" s="2385">
        <v>904.2</v>
      </c>
      <c r="C2217" s="2374"/>
      <c r="D2217" s="2374"/>
      <c r="E2217" s="2374"/>
      <c r="F2217" s="2374"/>
      <c r="G2217" s="2373" t="str">
        <f>G2216</f>
        <v/>
      </c>
      <c r="H2217" s="2371" t="s">
        <v>3973</v>
      </c>
      <c r="I2217" s="481"/>
      <c r="J2217" s="240"/>
      <c r="K2217" s="240"/>
      <c r="L2217" s="1797"/>
      <c r="M2217" s="1768"/>
      <c r="N2217" s="1928"/>
      <c r="O2217" s="1928"/>
      <c r="P2217" s="99"/>
      <c r="Q2217" s="99"/>
      <c r="R2217" s="99"/>
      <c r="S2217" s="99"/>
      <c r="T2217" s="99"/>
      <c r="U2217" s="99"/>
      <c r="V2217" s="99"/>
      <c r="W2217" s="99"/>
      <c r="X2217" s="1771"/>
      <c r="Y2217" s="2082"/>
      <c r="Z2217" s="2086"/>
      <c r="AA2217"/>
      <c r="AB2217" s="648"/>
      <c r="AC2217" s="970"/>
      <c r="AD2217" s="970"/>
      <c r="AE2217" s="970"/>
      <c r="AF2217" s="648"/>
      <c r="AG2217" s="648"/>
      <c r="AH2217" s="648"/>
      <c r="AI2217" s="648"/>
      <c r="AJ2217" s="648"/>
      <c r="AK2217" s="648"/>
      <c r="AL2217" s="1336"/>
      <c r="AM2217" s="1336"/>
      <c r="AN2217" s="1336"/>
      <c r="AO2217" s="1336"/>
      <c r="AP2217" s="1336"/>
      <c r="AQ2217" s="1336"/>
      <c r="AR2217" s="1336"/>
      <c r="AS2217" s="1336"/>
      <c r="AT2217" s="648"/>
      <c r="AU2217" s="648"/>
      <c r="AV2217" s="648"/>
      <c r="AW2217" s="648"/>
      <c r="AX2217" s="648"/>
      <c r="AY2217" s="648"/>
      <c r="AZ2217" s="648"/>
      <c r="BA2217" s="648"/>
      <c r="BB2217" s="648"/>
      <c r="BC2217" s="648"/>
      <c r="BD2217" s="648"/>
      <c r="BE2217" s="648"/>
      <c r="BF2217" s="648"/>
      <c r="BG2217" s="648"/>
      <c r="BH2217" s="648"/>
    </row>
    <row r="2218" spans="1:60" ht="15.75" thickTop="1" x14ac:dyDescent="0.25">
      <c r="A2218" s="2371">
        <v>9</v>
      </c>
      <c r="B2218" s="2385" t="s">
        <v>4541</v>
      </c>
      <c r="C2218" s="2374"/>
      <c r="D2218" s="2374"/>
      <c r="E2218" s="2385"/>
      <c r="F2218" s="2374"/>
      <c r="G2218" s="2373" t="s">
        <v>3974</v>
      </c>
      <c r="H2218" s="2371" t="s">
        <v>3972</v>
      </c>
      <c r="I2218" s="667" t="s">
        <v>4541</v>
      </c>
      <c r="J2218" s="667"/>
      <c r="K2218" s="679"/>
      <c r="L2218" s="1785" t="s">
        <v>4542</v>
      </c>
      <c r="M2218" s="4"/>
      <c r="N2218" s="664"/>
      <c r="O2218" s="664"/>
      <c r="P2218" s="911"/>
      <c r="Q2218" s="911"/>
      <c r="R2218" s="911"/>
      <c r="S2218" s="911"/>
      <c r="T2218" s="911"/>
      <c r="U2218" s="911"/>
      <c r="V2218" s="911"/>
      <c r="W2218" s="911"/>
      <c r="X2218" s="911"/>
      <c r="Y2218"/>
      <c r="AA2218"/>
      <c r="AC2218" s="970"/>
      <c r="AD2218" s="970"/>
      <c r="AE2218" s="970"/>
      <c r="AF2218"/>
      <c r="AG2218"/>
      <c r="AH2218"/>
      <c r="AI2218"/>
      <c r="AJ2218"/>
      <c r="AK2218"/>
      <c r="AL2218" s="1336"/>
      <c r="AM2218" s="1336"/>
      <c r="AN2218" s="1336"/>
      <c r="AO2218" s="1336"/>
      <c r="AP2218" s="1336"/>
      <c r="AQ2218" s="1336"/>
      <c r="AR2218" s="1336"/>
      <c r="AS2218" s="1336"/>
      <c r="AT2218"/>
    </row>
    <row r="2219" spans="1:60" x14ac:dyDescent="0.25">
      <c r="A2219" s="2371">
        <v>9</v>
      </c>
      <c r="B2219" s="2385" t="s">
        <v>4541</v>
      </c>
      <c r="C2219" s="2374"/>
      <c r="D2219" s="2374"/>
      <c r="E2219" s="2385"/>
      <c r="F2219" s="2374"/>
      <c r="G2219" s="2373" t="s">
        <v>3974</v>
      </c>
      <c r="H2219" s="2371" t="s">
        <v>3972</v>
      </c>
      <c r="I2219" s="667"/>
      <c r="J2219" s="667"/>
      <c r="K2219" s="679"/>
      <c r="L2219" s="1785"/>
      <c r="M2219" s="4"/>
      <c r="N2219" s="664"/>
      <c r="O2219" s="664"/>
      <c r="P2219" s="911"/>
      <c r="Q2219" s="911"/>
      <c r="R2219" s="911"/>
      <c r="S2219" s="911"/>
      <c r="T2219" s="911"/>
      <c r="U2219" s="911"/>
      <c r="V2219"/>
      <c r="W2219"/>
      <c r="X2219"/>
      <c r="Y2219"/>
      <c r="AA2219"/>
      <c r="AC2219" s="970"/>
      <c r="AD2219" s="970"/>
      <c r="AE2219" s="970"/>
      <c r="AF2219"/>
      <c r="AG2219"/>
      <c r="AH2219"/>
      <c r="AI2219"/>
      <c r="AJ2219"/>
      <c r="AK2219"/>
      <c r="AL2219" s="1336"/>
      <c r="AM2219" s="1336"/>
      <c r="AN2219" s="1336"/>
      <c r="AO2219" s="1336"/>
      <c r="AP2219" s="1336"/>
      <c r="AQ2219" s="1336"/>
      <c r="AR2219" s="1336"/>
      <c r="AS2219" s="1336"/>
      <c r="AT2219"/>
    </row>
    <row r="2220" spans="1:60" x14ac:dyDescent="0.25">
      <c r="A2220" s="2371">
        <v>9</v>
      </c>
      <c r="B2220" s="2385" t="s">
        <v>4541</v>
      </c>
      <c r="C2220" s="2385" t="s">
        <v>256</v>
      </c>
      <c r="D2220" s="2374"/>
      <c r="E2220" s="2374"/>
      <c r="F2220" s="2374"/>
      <c r="G2220" s="2373" t="s">
        <v>3974</v>
      </c>
      <c r="H2220" s="2371" t="s">
        <v>3972</v>
      </c>
      <c r="I2220" s="667"/>
      <c r="J2220" s="668" t="s">
        <v>256</v>
      </c>
      <c r="K2220" s="680"/>
      <c r="L2220" s="1929" t="s">
        <v>4539</v>
      </c>
      <c r="M2220" s="1837" t="str">
        <f>IF(R2220,"Mandatory","N/A")</f>
        <v>Mandatory</v>
      </c>
      <c r="N2220" s="665"/>
      <c r="O2220" s="665"/>
      <c r="P2220" s="94" t="b">
        <v>1</v>
      </c>
      <c r="Q2220" s="94" t="b">
        <v>0</v>
      </c>
      <c r="R2220" s="94" t="b">
        <v>1</v>
      </c>
      <c r="S2220" s="94" t="b">
        <v>1</v>
      </c>
      <c r="T2220" s="94" t="b">
        <v>0</v>
      </c>
      <c r="U2220" s="94"/>
      <c r="V2220" s="94"/>
      <c r="W2220" s="25"/>
      <c r="X2220" s="2131"/>
      <c r="Y2220" s="2077" t="str">
        <f>IF(LEN('Ch9'!X354)=0,"None",'Ch9'!X354)</f>
        <v>None</v>
      </c>
      <c r="Z2220" s="2083"/>
      <c r="AA2220"/>
      <c r="AC2220" s="970" t="b">
        <f>OR(AD2220:AE2220)</f>
        <v>1</v>
      </c>
      <c r="AD2220" s="970" t="b">
        <v>0</v>
      </c>
      <c r="AE2220" s="970" t="b">
        <f>AND(R2220,NOT(W2220))</f>
        <v>1</v>
      </c>
      <c r="AF2220" s="970" t="b">
        <f>AND(AE2220,NOT(Q2220))</f>
        <v>1</v>
      </c>
      <c r="AG2220"/>
      <c r="AH2220"/>
      <c r="AI2220"/>
      <c r="AJ2220"/>
      <c r="AK2220"/>
      <c r="AL2220" s="254" t="str">
        <f>SUBSTITUTE(SUBSTITUTE(SUBSTITUTE("vpa"&amp;$B2220&amp;$C2220&amp;$D2220&amp;$E2220,".","_"),"(","_"),")","")</f>
        <v>vpa904_3_1</v>
      </c>
      <c r="AM2220" s="254" t="str">
        <f>M2220</f>
        <v>Mandatory</v>
      </c>
      <c r="AN2220" s="1336"/>
      <c r="AO2220" s="1336"/>
      <c r="AP2220" s="254" t="str">
        <f>SUBSTITUTE(SUBSTITUTE(SUBSTITUTE("vch"&amp;$B2220&amp;$C2220&amp;$D2220&amp;$E2220,".","_"),"(","_"),")","")</f>
        <v>vch904_3_1</v>
      </c>
      <c r="AQ2220" s="254" t="str">
        <f>IF(LEN(W2220)=0,"",W2220)</f>
        <v/>
      </c>
      <c r="AR2220" s="254" t="str">
        <f>SUBSTITUTE(SUBSTITUTE(SUBSTITUTE("vnt"&amp;$B2220&amp;$C2220&amp;$D2220&amp;$E2220,".","_"),"(","_"),")","")</f>
        <v>vnt904_3_1</v>
      </c>
      <c r="AS2220" s="254" t="str">
        <f>IF(LEN(X2220)=0,"",X2220)</f>
        <v/>
      </c>
      <c r="AT2220"/>
    </row>
    <row r="2221" spans="1:60" x14ac:dyDescent="0.25">
      <c r="A2221" s="2371">
        <v>9</v>
      </c>
      <c r="B2221" s="2385" t="s">
        <v>4541</v>
      </c>
      <c r="C2221" s="2385" t="s">
        <v>256</v>
      </c>
      <c r="D2221" s="2374"/>
      <c r="E2221" s="2374"/>
      <c r="F2221" s="2374"/>
      <c r="G2221" s="2373" t="s">
        <v>3974</v>
      </c>
      <c r="H2221" s="2371" t="s">
        <v>3972</v>
      </c>
      <c r="I2221" s="667"/>
      <c r="J2221" s="668"/>
      <c r="K2221" s="680"/>
      <c r="L2221" s="1929"/>
      <c r="M2221" s="1837"/>
      <c r="N2221" s="665"/>
      <c r="O2221" s="665"/>
      <c r="P2221" s="94"/>
      <c r="Q2221" s="94"/>
      <c r="R2221" s="94"/>
      <c r="S2221" s="94"/>
      <c r="T2221" s="94"/>
      <c r="U2221" s="94"/>
      <c r="V2221" s="94"/>
      <c r="W2221"/>
      <c r="X2221" s="2131"/>
      <c r="Y2221" s="2077"/>
      <c r="Z2221" s="2083"/>
      <c r="AA2221" s="1066"/>
      <c r="AC2221" s="970"/>
      <c r="AD2221" s="970"/>
      <c r="AE2221" s="970"/>
      <c r="AF2221"/>
      <c r="AG2221"/>
      <c r="AH2221"/>
      <c r="AI2221"/>
      <c r="AJ2221"/>
      <c r="AK2221"/>
      <c r="AL2221" s="1336"/>
      <c r="AM2221" s="1336"/>
      <c r="AN2221" s="1336"/>
      <c r="AO2221" s="1336"/>
      <c r="AP2221" s="1336"/>
      <c r="AQ2221" s="1336"/>
      <c r="AR2221" s="1336"/>
      <c r="AS2221" s="1336"/>
      <c r="AT2221"/>
    </row>
    <row r="2222" spans="1:60" x14ac:dyDescent="0.25">
      <c r="A2222" s="2371">
        <v>9</v>
      </c>
      <c r="B2222" s="2385" t="s">
        <v>4541</v>
      </c>
      <c r="C2222" s="2385" t="s">
        <v>256</v>
      </c>
      <c r="D2222" s="2374"/>
      <c r="E2222" s="2374"/>
      <c r="F2222" s="2374"/>
      <c r="G2222" s="2373" t="s">
        <v>3974</v>
      </c>
      <c r="H2222" s="2371" t="s">
        <v>3972</v>
      </c>
      <c r="I2222" s="667"/>
      <c r="J2222" s="668"/>
      <c r="K2222" s="680"/>
      <c r="L2222" s="1929"/>
      <c r="M2222" s="129"/>
      <c r="N2222" s="665"/>
      <c r="O2222" s="665"/>
      <c r="P2222" s="94"/>
      <c r="Q2222" s="94"/>
      <c r="R2222" s="94"/>
      <c r="S2222" s="94"/>
      <c r="T2222" s="94"/>
      <c r="U2222" s="94"/>
      <c r="V2222" s="94"/>
      <c r="W2222"/>
      <c r="X2222" s="2131"/>
      <c r="Y2222" s="2077"/>
      <c r="Z2222" s="2083"/>
      <c r="AA2222"/>
      <c r="AC2222" s="970"/>
      <c r="AD2222" s="970"/>
      <c r="AE2222" s="970"/>
      <c r="AF2222"/>
      <c r="AG2222"/>
      <c r="AH2222"/>
      <c r="AI2222"/>
      <c r="AJ2222"/>
      <c r="AK2222"/>
      <c r="AL2222" s="1336"/>
      <c r="AM2222" s="1336"/>
      <c r="AN2222" s="1336"/>
      <c r="AO2222" s="1336"/>
      <c r="AP2222" s="1336"/>
      <c r="AQ2222" s="1336"/>
      <c r="AR2222" s="1336"/>
      <c r="AS2222" s="1336"/>
      <c r="AT2222"/>
    </row>
    <row r="2223" spans="1:60" s="1066" customFormat="1" x14ac:dyDescent="0.25">
      <c r="A2223" s="2371">
        <v>9</v>
      </c>
      <c r="B2223" s="2385" t="s">
        <v>4541</v>
      </c>
      <c r="C2223" s="2385" t="s">
        <v>256</v>
      </c>
      <c r="D2223" s="2374"/>
      <c r="E2223" s="2374"/>
      <c r="F2223" s="2374"/>
      <c r="G2223" s="2373" t="s">
        <v>3974</v>
      </c>
      <c r="H2223" s="2371" t="s">
        <v>3972</v>
      </c>
      <c r="I2223" s="667"/>
      <c r="J2223" s="668"/>
      <c r="K2223" s="680"/>
      <c r="L2223" s="1929"/>
      <c r="M2223" s="129"/>
      <c r="N2223" s="665"/>
      <c r="O2223" s="665"/>
      <c r="P2223" s="94"/>
      <c r="Q2223" s="94"/>
      <c r="R2223" s="94"/>
      <c r="S2223" s="94"/>
      <c r="T2223" s="94"/>
      <c r="U2223" s="94"/>
      <c r="V2223" s="94"/>
      <c r="X2223" s="2131"/>
      <c r="Y2223" s="2077"/>
      <c r="Z2223" s="2083"/>
      <c r="AA2223"/>
      <c r="AL2223" s="1336"/>
      <c r="AM2223" s="1336"/>
      <c r="AN2223" s="1336"/>
      <c r="AO2223" s="1336"/>
      <c r="AP2223" s="1336"/>
      <c r="AQ2223" s="1336"/>
      <c r="AR2223" s="1336"/>
      <c r="AS2223" s="1336"/>
    </row>
    <row r="2224" spans="1:60" x14ac:dyDescent="0.25">
      <c r="A2224" s="2371">
        <v>9</v>
      </c>
      <c r="B2224" s="2385" t="s">
        <v>4541</v>
      </c>
      <c r="C2224" s="2385" t="s">
        <v>256</v>
      </c>
      <c r="D2224" s="2374"/>
      <c r="E2224" s="2374"/>
      <c r="F2224" s="2374"/>
      <c r="G2224" s="2373" t="s">
        <v>3974</v>
      </c>
      <c r="H2224" s="2371" t="s">
        <v>3972</v>
      </c>
      <c r="I2224" s="667"/>
      <c r="J2224" s="668"/>
      <c r="K2224" s="680"/>
      <c r="L2224" s="1929"/>
      <c r="M2224" s="129"/>
      <c r="N2224" s="665"/>
      <c r="O2224" s="665"/>
      <c r="P2224" s="94"/>
      <c r="Q2224" s="94"/>
      <c r="R2224" s="94"/>
      <c r="S2224" s="94"/>
      <c r="T2224" s="94"/>
      <c r="U2224" s="94"/>
      <c r="V2224" s="94"/>
      <c r="W2224"/>
      <c r="X2224" s="2131"/>
      <c r="Y2224" s="2077"/>
      <c r="Z2224" s="2083"/>
      <c r="AA2224"/>
      <c r="AC2224" s="970"/>
      <c r="AD2224" s="970"/>
      <c r="AE2224" s="970"/>
      <c r="AF2224"/>
      <c r="AG2224"/>
      <c r="AH2224"/>
      <c r="AI2224"/>
      <c r="AJ2224"/>
      <c r="AK2224"/>
      <c r="AL2224" s="1336"/>
      <c r="AM2224" s="1336"/>
      <c r="AN2224" s="1336"/>
      <c r="AO2224" s="1336"/>
      <c r="AP2224" s="1336"/>
      <c r="AQ2224" s="1336"/>
      <c r="AR2224" s="1336"/>
      <c r="AS2224" s="1336"/>
      <c r="AT2224"/>
    </row>
    <row r="2225" spans="1:60" x14ac:dyDescent="0.25">
      <c r="A2225" s="2371">
        <v>9</v>
      </c>
      <c r="B2225" s="2385" t="s">
        <v>4541</v>
      </c>
      <c r="C2225" s="2385" t="s">
        <v>256</v>
      </c>
      <c r="D2225" s="2374"/>
      <c r="E2225" s="2374"/>
      <c r="F2225" s="2374"/>
      <c r="G2225" s="2373" t="s">
        <v>3974</v>
      </c>
      <c r="H2225" s="2371" t="s">
        <v>3972</v>
      </c>
      <c r="I2225" s="667"/>
      <c r="J2225" s="668"/>
      <c r="K2225" s="680"/>
      <c r="L2225" s="1929"/>
      <c r="M2225" s="129"/>
      <c r="N2225" s="665"/>
      <c r="O2225" s="665"/>
      <c r="P2225" s="94"/>
      <c r="Q2225" s="94"/>
      <c r="R2225" s="94"/>
      <c r="S2225" s="94"/>
      <c r="T2225" s="94"/>
      <c r="U2225" s="94"/>
      <c r="V2225" s="94"/>
      <c r="W2225"/>
      <c r="X2225" s="2131"/>
      <c r="Y2225" s="2077"/>
      <c r="Z2225" s="2083"/>
      <c r="AA2225"/>
      <c r="AC2225" s="970"/>
      <c r="AD2225" s="970"/>
      <c r="AE2225" s="970"/>
      <c r="AF2225"/>
      <c r="AG2225"/>
      <c r="AH2225"/>
      <c r="AI2225"/>
      <c r="AJ2225"/>
      <c r="AK2225"/>
      <c r="AL2225" s="1336"/>
      <c r="AM2225" s="1336"/>
      <c r="AN2225" s="1336"/>
      <c r="AO2225" s="1336"/>
      <c r="AP2225" s="1336"/>
      <c r="AQ2225" s="1336"/>
      <c r="AR2225" s="1336"/>
      <c r="AS2225" s="1336"/>
      <c r="AT2225"/>
    </row>
    <row r="2226" spans="1:60" x14ac:dyDescent="0.25">
      <c r="A2226" s="2371">
        <v>9</v>
      </c>
      <c r="B2226" s="2385" t="s">
        <v>4541</v>
      </c>
      <c r="C2226" s="2385" t="s">
        <v>256</v>
      </c>
      <c r="D2226" s="2374"/>
      <c r="E2226" s="2374"/>
      <c r="F2226" s="2374"/>
      <c r="G2226" s="2373" t="s">
        <v>3974</v>
      </c>
      <c r="H2226" s="2371" t="s">
        <v>3972</v>
      </c>
      <c r="I2226" s="667"/>
      <c r="J2226" s="668"/>
      <c r="K2226" s="680"/>
      <c r="L2226" s="1929"/>
      <c r="M2226" s="129"/>
      <c r="N2226" s="665"/>
      <c r="O2226" s="665"/>
      <c r="P2226" s="94"/>
      <c r="Q2226" s="94"/>
      <c r="R2226" s="94"/>
      <c r="S2226" s="94"/>
      <c r="T2226" s="94"/>
      <c r="U2226" s="94"/>
      <c r="V2226" s="94"/>
      <c r="W2226"/>
      <c r="X2226" s="2131"/>
      <c r="Y2226" s="2077"/>
      <c r="Z2226" s="2083"/>
      <c r="AA2226"/>
      <c r="AC2226" s="970"/>
      <c r="AD2226" s="970"/>
      <c r="AE2226" s="970"/>
      <c r="AF2226"/>
      <c r="AG2226"/>
      <c r="AH2226"/>
      <c r="AI2226"/>
      <c r="AJ2226"/>
      <c r="AK2226"/>
      <c r="AL2226" s="1336"/>
      <c r="AM2226" s="1336"/>
      <c r="AN2226" s="1336"/>
      <c r="AO2226" s="1336"/>
      <c r="AP2226" s="1336"/>
      <c r="AQ2226" s="1336"/>
      <c r="AR2226" s="1336"/>
      <c r="AS2226" s="1336"/>
      <c r="AT2226"/>
    </row>
    <row r="2227" spans="1:60" x14ac:dyDescent="0.25">
      <c r="A2227" s="2371">
        <v>9</v>
      </c>
      <c r="B2227" s="2385" t="s">
        <v>4541</v>
      </c>
      <c r="C2227" s="2385" t="s">
        <v>256</v>
      </c>
      <c r="D2227" s="2374"/>
      <c r="E2227" s="2374"/>
      <c r="F2227" s="2374"/>
      <c r="G2227" s="2373" t="s">
        <v>3974</v>
      </c>
      <c r="H2227" s="2371" t="s">
        <v>3972</v>
      </c>
      <c r="I2227" s="667"/>
      <c r="J2227" s="684"/>
      <c r="K2227" s="686"/>
      <c r="L2227" s="1934"/>
      <c r="M2227" s="210"/>
      <c r="N2227" s="1041"/>
      <c r="O2227" s="1041"/>
      <c r="P2227" s="178"/>
      <c r="Q2227" s="178"/>
      <c r="R2227" s="178"/>
      <c r="S2227" s="178"/>
      <c r="T2227" s="178"/>
      <c r="U2227" s="178"/>
      <c r="V2227" s="178"/>
      <c r="W2227"/>
      <c r="X2227" s="2131"/>
      <c r="Y2227" s="2077"/>
      <c r="Z2227" s="2083"/>
      <c r="AA2227"/>
      <c r="AC2227" s="970"/>
      <c r="AD2227" s="970"/>
      <c r="AE2227" s="970"/>
      <c r="AF2227"/>
      <c r="AG2227"/>
      <c r="AH2227"/>
      <c r="AI2227"/>
      <c r="AJ2227"/>
      <c r="AK2227"/>
      <c r="AL2227" s="1336"/>
      <c r="AM2227" s="1336"/>
      <c r="AN2227" s="1336"/>
      <c r="AO2227" s="1336"/>
      <c r="AP2227" s="1336"/>
      <c r="AQ2227" s="1336"/>
      <c r="AR2227" s="1336"/>
      <c r="AS2227" s="1336"/>
      <c r="AT2227"/>
    </row>
    <row r="2228" spans="1:60" x14ac:dyDescent="0.25">
      <c r="A2228" s="2371">
        <v>9</v>
      </c>
      <c r="B2228" s="2385" t="s">
        <v>4541</v>
      </c>
      <c r="C2228" s="2385" t="s">
        <v>258</v>
      </c>
      <c r="D2228" s="2374"/>
      <c r="E2228" s="2374"/>
      <c r="F2228" s="2374"/>
      <c r="G2228" s="2373" t="s">
        <v>3974</v>
      </c>
      <c r="H2228" s="2371" t="s">
        <v>3972</v>
      </c>
      <c r="I2228" s="667"/>
      <c r="J2228" s="667" t="s">
        <v>258</v>
      </c>
      <c r="K2228" s="679"/>
      <c r="L2228" s="1933" t="s">
        <v>4540</v>
      </c>
      <c r="M2228" s="1838" t="str">
        <f>IF(R2228,"Mandatory","N/A")</f>
        <v>Mandatory</v>
      </c>
      <c r="N2228" s="664"/>
      <c r="O2228" s="664"/>
      <c r="P2228" s="911" t="b">
        <v>1</v>
      </c>
      <c r="Q2228" s="911" t="b">
        <v>0</v>
      </c>
      <c r="R2228" s="911" t="b">
        <v>1</v>
      </c>
      <c r="S2228" s="911" t="b">
        <v>1</v>
      </c>
      <c r="T2228" s="911" t="b">
        <v>0</v>
      </c>
      <c r="U2228" s="911"/>
      <c r="V2228"/>
      <c r="W2228" s="25"/>
      <c r="X2228" s="2131"/>
      <c r="Y2228" s="2077" t="str">
        <f>IF(LEN('Ch9'!X362)=0,"None",'Ch9'!X362)</f>
        <v>None</v>
      </c>
      <c r="Z2228" s="2083"/>
      <c r="AA2228"/>
      <c r="AC2228" s="970" t="b">
        <f>OR(AD2228:AE2228)</f>
        <v>1</v>
      </c>
      <c r="AD2228" s="970" t="b">
        <v>0</v>
      </c>
      <c r="AE2228" s="970" t="b">
        <f>AND(R2228,NOT(W2228))</f>
        <v>1</v>
      </c>
      <c r="AF2228" s="970" t="b">
        <f>AND(AE2228,NOT(Q2228))</f>
        <v>1</v>
      </c>
      <c r="AG2228"/>
      <c r="AH2228"/>
      <c r="AI2228"/>
      <c r="AJ2228"/>
      <c r="AK2228"/>
      <c r="AL2228" s="254" t="str">
        <f>SUBSTITUTE(SUBSTITUTE(SUBSTITUTE("vpa"&amp;$B2228&amp;$C2228&amp;$D2228&amp;$E2228,".","_"),"(","_"),")","")</f>
        <v>vpa904_3_2</v>
      </c>
      <c r="AM2228" s="254" t="str">
        <f>M2228</f>
        <v>Mandatory</v>
      </c>
      <c r="AN2228" s="1336"/>
      <c r="AO2228" s="1336"/>
      <c r="AP2228" s="254" t="str">
        <f>SUBSTITUTE(SUBSTITUTE(SUBSTITUTE("vch"&amp;$B2228&amp;$C2228&amp;$D2228&amp;$E2228,".","_"),"(","_"),")","")</f>
        <v>vch904_3_2</v>
      </c>
      <c r="AQ2228" s="254" t="str">
        <f>IF(LEN(W2228)=0,"",W2228)</f>
        <v/>
      </c>
      <c r="AR2228" s="254" t="str">
        <f>SUBSTITUTE(SUBSTITUTE(SUBSTITUTE("vnt"&amp;$B2228&amp;$C2228&amp;$D2228&amp;$E2228,".","_"),"(","_"),")","")</f>
        <v>vnt904_3_2</v>
      </c>
      <c r="AS2228" s="254" t="str">
        <f>IF(LEN(X2228)=0,"",X2228)</f>
        <v/>
      </c>
      <c r="AT2228"/>
    </row>
    <row r="2229" spans="1:60" x14ac:dyDescent="0.25">
      <c r="A2229" s="2371">
        <v>9</v>
      </c>
      <c r="B2229" s="2385" t="s">
        <v>4541</v>
      </c>
      <c r="C2229" s="2385" t="s">
        <v>258</v>
      </c>
      <c r="D2229" s="2374"/>
      <c r="E2229" s="2374"/>
      <c r="F2229" s="2374"/>
      <c r="G2229" s="2373" t="s">
        <v>3974</v>
      </c>
      <c r="H2229" s="2371" t="s">
        <v>3972</v>
      </c>
      <c r="I2229" s="679"/>
      <c r="J2229" s="679"/>
      <c r="K2229" s="679"/>
      <c r="L2229" s="1933"/>
      <c r="M2229" s="1838"/>
      <c r="N2229" s="664"/>
      <c r="O2229" s="664"/>
      <c r="P2229" s="911"/>
      <c r="Q2229" s="911"/>
      <c r="R2229" s="911"/>
      <c r="S2229" s="911"/>
      <c r="T2229" s="911"/>
      <c r="U2229" s="911"/>
      <c r="V2229"/>
      <c r="W2229"/>
      <c r="X2229" s="2131"/>
      <c r="Y2229" s="2077"/>
      <c r="Z2229" s="2083"/>
      <c r="AC2229" s="970"/>
      <c r="AD2229" s="970"/>
      <c r="AE2229" s="970"/>
      <c r="AF2229"/>
      <c r="AG2229"/>
      <c r="AH2229"/>
      <c r="AI2229"/>
      <c r="AJ2229"/>
      <c r="AK2229"/>
      <c r="AL2229" s="1336"/>
      <c r="AM2229" s="1336"/>
      <c r="AN2229" s="1336"/>
      <c r="AO2229" s="1336"/>
      <c r="AP2229" s="1336"/>
      <c r="AQ2229" s="1336"/>
      <c r="AR2229" s="1336"/>
      <c r="AS2229" s="1336"/>
      <c r="AT2229"/>
    </row>
    <row r="2230" spans="1:60" x14ac:dyDescent="0.25">
      <c r="A2230" s="2371">
        <v>9</v>
      </c>
      <c r="B2230" s="2385" t="s">
        <v>4541</v>
      </c>
      <c r="C2230" s="2385" t="s">
        <v>258</v>
      </c>
      <c r="D2230" s="2374"/>
      <c r="E2230" s="2374"/>
      <c r="F2230" s="2374"/>
      <c r="G2230" s="2373" t="s">
        <v>3974</v>
      </c>
      <c r="H2230" s="2371" t="s">
        <v>3972</v>
      </c>
      <c r="I2230" s="679"/>
      <c r="J2230" s="679"/>
      <c r="K2230" s="679"/>
      <c r="L2230" s="1933"/>
      <c r="M2230" s="4"/>
      <c r="N2230" s="664"/>
      <c r="O2230" s="664"/>
      <c r="P2230" s="911"/>
      <c r="Q2230" s="911"/>
      <c r="R2230" s="911"/>
      <c r="S2230" s="911"/>
      <c r="T2230" s="911"/>
      <c r="U2230" s="911"/>
      <c r="V2230"/>
      <c r="W2230"/>
      <c r="X2230" s="2131"/>
      <c r="Y2230" s="2077"/>
      <c r="Z2230" s="2083"/>
      <c r="AC2230" s="970"/>
      <c r="AD2230" s="970"/>
      <c r="AE2230" s="970"/>
      <c r="AF2230"/>
      <c r="AG2230"/>
      <c r="AH2230"/>
      <c r="AI2230"/>
      <c r="AJ2230"/>
      <c r="AK2230"/>
      <c r="AL2230" s="1336"/>
      <c r="AM2230" s="1336"/>
      <c r="AN2230" s="1336"/>
      <c r="AO2230" s="1336"/>
      <c r="AP2230" s="1336"/>
      <c r="AQ2230" s="1336"/>
      <c r="AR2230" s="1336"/>
      <c r="AS2230" s="1336"/>
      <c r="AT2230"/>
    </row>
    <row r="2231" spans="1:60" ht="18.75" x14ac:dyDescent="0.3">
      <c r="A2231" s="2371">
        <v>9</v>
      </c>
      <c r="B2231" s="2385">
        <v>905</v>
      </c>
      <c r="C2231" s="2374"/>
      <c r="D2231" s="2374"/>
      <c r="E2231" s="2374"/>
      <c r="F2231" s="2374"/>
      <c r="G2231" s="2373" t="s">
        <v>3974</v>
      </c>
      <c r="H2231" s="2371" t="s">
        <v>3971</v>
      </c>
      <c r="I2231" s="14" t="s">
        <v>3275</v>
      </c>
      <c r="J2231" s="23"/>
      <c r="K2231" s="23"/>
      <c r="L2231" s="84"/>
      <c r="M2231" s="498"/>
      <c r="N2231" s="1043"/>
      <c r="O2231" s="1043"/>
      <c r="P2231" s="23"/>
      <c r="Q2231" s="23"/>
      <c r="R2231" s="23"/>
      <c r="S2231" s="23"/>
      <c r="T2231" s="23"/>
      <c r="U2231" s="23"/>
      <c r="V2231" s="23"/>
      <c r="W2231" s="23"/>
      <c r="X2231" s="23"/>
      <c r="Y2231" s="23"/>
      <c r="Z2231" s="1586"/>
      <c r="AB2231" s="648"/>
      <c r="AC2231" s="970"/>
      <c r="AD2231" s="970"/>
      <c r="AE2231" s="970"/>
      <c r="AF2231" s="648"/>
      <c r="AG2231" s="648"/>
      <c r="AH2231" s="648"/>
      <c r="AI2231" s="648"/>
      <c r="AJ2231" s="648"/>
      <c r="AK2231" s="648"/>
      <c r="AL2231" s="1336"/>
      <c r="AM2231" s="1336"/>
      <c r="AN2231" s="1336"/>
      <c r="AO2231" s="1336"/>
      <c r="AP2231" s="1336"/>
      <c r="AQ2231" s="1336"/>
      <c r="AR2231" s="1336"/>
      <c r="AS2231" s="1336"/>
      <c r="AT2231" s="648"/>
      <c r="AU2231" s="648"/>
      <c r="AV2231" s="648"/>
      <c r="AW2231" s="648"/>
      <c r="AX2231" s="648"/>
      <c r="AY2231" s="648"/>
      <c r="AZ2231" s="648"/>
      <c r="BA2231" s="648"/>
      <c r="BB2231" s="648"/>
      <c r="BC2231" s="648"/>
      <c r="BD2231" s="648"/>
      <c r="BE2231" s="648"/>
      <c r="BF2231" s="648"/>
      <c r="BG2231" s="648"/>
      <c r="BH2231" s="648"/>
    </row>
    <row r="2232" spans="1:60" x14ac:dyDescent="0.25">
      <c r="A2232" s="2371">
        <v>9</v>
      </c>
      <c r="B2232" s="2385">
        <v>905.1</v>
      </c>
      <c r="C2232" s="2374"/>
      <c r="D2232" s="2374"/>
      <c r="E2232" s="2374"/>
      <c r="F2232" s="2374"/>
      <c r="G2232" s="2373" t="str">
        <f>IF(N2232&gt;0,"P","")</f>
        <v/>
      </c>
      <c r="H2232" s="2371" t="s">
        <v>3973</v>
      </c>
      <c r="I2232" s="130">
        <v>905.1</v>
      </c>
      <c r="J2232" s="129"/>
      <c r="K2232" s="129"/>
      <c r="L2232" s="1782" t="s">
        <v>3276</v>
      </c>
      <c r="M2232" s="1758">
        <v>2</v>
      </c>
      <c r="N2232" s="1927">
        <f>'Ch9'!O366</f>
        <v>0</v>
      </c>
      <c r="O2232" s="1927">
        <f>M2232*S2232*W2232</f>
        <v>0</v>
      </c>
      <c r="P2232" s="94" t="b">
        <v>0</v>
      </c>
      <c r="Q2232" s="94" t="b">
        <v>1</v>
      </c>
      <c r="R2232" s="94" t="b">
        <v>0</v>
      </c>
      <c r="S2232" s="94" t="b">
        <v>1</v>
      </c>
      <c r="T2232" s="94" t="b">
        <v>0</v>
      </c>
      <c r="U2232" s="94"/>
      <c r="V2232" s="94"/>
      <c r="W2232" s="25"/>
      <c r="X2232" s="1770"/>
      <c r="Y2232" s="2081" t="str">
        <f>IF(LEN('Ch9'!X366)=0,"None",'Ch9'!X366)</f>
        <v>None</v>
      </c>
      <c r="Z2232" s="2084"/>
      <c r="AB2232" s="648"/>
      <c r="AC2232" s="970"/>
      <c r="AD2232" s="970"/>
      <c r="AE2232" s="970"/>
      <c r="AF2232" s="784"/>
      <c r="AG2232" s="648"/>
      <c r="AH2232" s="648"/>
      <c r="AI2232" s="648"/>
      <c r="AJ2232" s="648"/>
      <c r="AK2232" s="648"/>
      <c r="AL2232" s="254" t="str">
        <f>SUBSTITUTE(SUBSTITUTE(SUBSTITUTE("vpa"&amp;$B2232&amp;$C2232&amp;$D2232&amp;$E2232,".","_"),"(","_"),")","")</f>
        <v>vpa905_1</v>
      </c>
      <c r="AM2232" s="254">
        <f>M2232</f>
        <v>2</v>
      </c>
      <c r="AN2232" s="254" t="str">
        <f>SUBSTITUTE(SUBSTITUTE(SUBSTITUTE("vpc"&amp;$B2232&amp;$C2232&amp;$D2232&amp;$E2232,".","_"),"(","_"),")","")</f>
        <v>vpc905_1</v>
      </c>
      <c r="AO2232" s="254">
        <f>O2232</f>
        <v>0</v>
      </c>
      <c r="AP2232" s="254" t="str">
        <f>SUBSTITUTE(SUBSTITUTE(SUBSTITUTE("vch"&amp;$B2232&amp;$C2232&amp;$D2232&amp;$E2232,".","_"),"(","_"),")","")</f>
        <v>vch905_1</v>
      </c>
      <c r="AQ2232" s="254" t="str">
        <f>IF(LEN(W2232)=0,"",W2232)</f>
        <v/>
      </c>
      <c r="AR2232" s="254" t="str">
        <f>SUBSTITUTE(SUBSTITUTE(SUBSTITUTE("vnt"&amp;$B2232&amp;$C2232&amp;$D2232&amp;$E2232,".","_"),"(","_"),")","")</f>
        <v>vnt905_1</v>
      </c>
      <c r="AS2232" s="254" t="str">
        <f>IF(LEN(X2232)=0,"",X2232)</f>
        <v/>
      </c>
      <c r="AT2232" s="648"/>
      <c r="AU2232" s="648"/>
      <c r="AV2232" s="648"/>
      <c r="AW2232" s="648"/>
      <c r="AX2232" s="648"/>
      <c r="AY2232" s="648"/>
      <c r="AZ2232" s="648"/>
      <c r="BA2232" s="648"/>
      <c r="BB2232" s="648"/>
      <c r="BC2232" s="648"/>
      <c r="BD2232" s="648"/>
      <c r="BE2232" s="648"/>
      <c r="BF2232" s="648"/>
      <c r="BG2232" s="648"/>
      <c r="BH2232" s="648"/>
    </row>
    <row r="2233" spans="1:60" x14ac:dyDescent="0.25">
      <c r="A2233" s="2371">
        <v>9</v>
      </c>
      <c r="B2233" s="2385">
        <v>905.1</v>
      </c>
      <c r="C2233" s="2374"/>
      <c r="D2233" s="2374"/>
      <c r="E2233" s="2374"/>
      <c r="F2233" s="2374"/>
      <c r="G2233" s="2373" t="str">
        <f>G2232</f>
        <v/>
      </c>
      <c r="H2233" s="2371" t="s">
        <v>3973</v>
      </c>
      <c r="I2233" s="480"/>
      <c r="J2233" s="129"/>
      <c r="K2233" s="129"/>
      <c r="L2233" s="1782"/>
      <c r="M2233" s="1758"/>
      <c r="N2233" s="1927"/>
      <c r="O2233" s="1927"/>
      <c r="P2233" s="94"/>
      <c r="Q2233" s="94"/>
      <c r="R2233" s="94"/>
      <c r="S2233" s="94"/>
      <c r="T2233" s="94"/>
      <c r="U2233" s="94"/>
      <c r="V2233" s="94"/>
      <c r="W2233" s="94"/>
      <c r="X2233" s="1770"/>
      <c r="Y2233" s="2081"/>
      <c r="Z2233" s="2084"/>
      <c r="AB2233" s="648"/>
      <c r="AC2233" s="970"/>
      <c r="AD2233" s="970"/>
      <c r="AE2233" s="970"/>
      <c r="AF2233" s="648"/>
      <c r="AG2233" s="648"/>
      <c r="AH2233" s="648"/>
      <c r="AI2233" s="648"/>
      <c r="AJ2233" s="648"/>
      <c r="AK2233" s="648"/>
      <c r="AL2233" s="1336"/>
      <c r="AM2233" s="1336"/>
      <c r="AN2233" s="1336"/>
      <c r="AO2233" s="1336"/>
      <c r="AP2233" s="1336"/>
      <c r="AQ2233" s="1336"/>
      <c r="AR2233" s="1336"/>
      <c r="AS2233" s="1336"/>
      <c r="AT2233" s="648"/>
      <c r="AU2233" s="648"/>
      <c r="AV2233" s="648"/>
      <c r="AW2233" s="648"/>
      <c r="AX2233" s="648"/>
      <c r="AY2233" s="648"/>
      <c r="AZ2233" s="648"/>
      <c r="BA2233" s="648"/>
      <c r="BB2233" s="648"/>
      <c r="BC2233" s="648"/>
      <c r="BD2233" s="648"/>
      <c r="BE2233" s="648"/>
      <c r="BF2233" s="648"/>
      <c r="BG2233" s="648"/>
      <c r="BH2233" s="648"/>
    </row>
    <row r="2234" spans="1:60" x14ac:dyDescent="0.25">
      <c r="A2234" s="2371">
        <v>9</v>
      </c>
      <c r="B2234" s="2385">
        <v>905.1</v>
      </c>
      <c r="C2234" s="2374"/>
      <c r="D2234" s="2374"/>
      <c r="E2234" s="2374"/>
      <c r="F2234" s="2374"/>
      <c r="G2234" s="2373" t="str">
        <f>G2233</f>
        <v/>
      </c>
      <c r="H2234" s="2371" t="s">
        <v>3973</v>
      </c>
      <c r="I2234" s="480"/>
      <c r="J2234" s="129"/>
      <c r="K2234" s="129"/>
      <c r="L2234" s="1782"/>
      <c r="M2234" s="1758"/>
      <c r="N2234" s="1927"/>
      <c r="O2234" s="1927"/>
      <c r="P2234" s="94"/>
      <c r="Q2234" s="94"/>
      <c r="R2234" s="94"/>
      <c r="S2234" s="94"/>
      <c r="T2234" s="94"/>
      <c r="U2234" s="94"/>
      <c r="V2234" s="94"/>
      <c r="W2234" s="94"/>
      <c r="X2234" s="1770"/>
      <c r="Y2234" s="2081"/>
      <c r="Z2234" s="2084"/>
      <c r="AB2234" s="648"/>
      <c r="AC2234" s="970"/>
      <c r="AD2234" s="970"/>
      <c r="AE2234" s="970"/>
      <c r="AF2234" s="648"/>
      <c r="AG2234" s="648"/>
      <c r="AH2234" s="648"/>
      <c r="AI2234" s="648"/>
      <c r="AJ2234" s="648"/>
      <c r="AK2234" s="648"/>
      <c r="AL2234" s="1336"/>
      <c r="AM2234" s="1336"/>
      <c r="AN2234" s="1336"/>
      <c r="AO2234" s="1336"/>
      <c r="AP2234" s="1336"/>
      <c r="AQ2234" s="1336"/>
      <c r="AR2234" s="1336"/>
      <c r="AS2234" s="1336"/>
      <c r="AT2234" s="648"/>
      <c r="AU2234" s="648"/>
      <c r="AV2234" s="648"/>
      <c r="AW2234" s="648"/>
      <c r="AX2234" s="648"/>
      <c r="AY2234" s="648"/>
      <c r="AZ2234" s="648"/>
      <c r="BA2234" s="648"/>
      <c r="BB2234" s="648"/>
      <c r="BC2234" s="648"/>
      <c r="BD2234" s="648"/>
      <c r="BE2234" s="648"/>
      <c r="BF2234" s="648"/>
      <c r="BG2234" s="648"/>
      <c r="BH2234" s="648"/>
    </row>
    <row r="2235" spans="1:60" x14ac:dyDescent="0.25">
      <c r="A2235" s="2371">
        <v>9</v>
      </c>
      <c r="B2235" s="2385">
        <v>905.1</v>
      </c>
      <c r="C2235" s="2374"/>
      <c r="D2235" s="2374"/>
      <c r="E2235" s="2374"/>
      <c r="F2235" s="2374"/>
      <c r="G2235" s="2373" t="str">
        <f>G2234</f>
        <v/>
      </c>
      <c r="H2235" s="2371" t="s">
        <v>3973</v>
      </c>
      <c r="I2235" s="480"/>
      <c r="J2235" s="129"/>
      <c r="K2235" s="129"/>
      <c r="L2235" s="1782"/>
      <c r="M2235" s="1758"/>
      <c r="N2235" s="1927"/>
      <c r="O2235" s="1927"/>
      <c r="P2235" s="94"/>
      <c r="Q2235" s="94"/>
      <c r="R2235" s="94"/>
      <c r="S2235" s="94"/>
      <c r="T2235" s="94"/>
      <c r="U2235" s="94"/>
      <c r="V2235" s="94"/>
      <c r="W2235" s="94"/>
      <c r="X2235" s="1770"/>
      <c r="Y2235" s="2081"/>
      <c r="Z2235" s="2084"/>
      <c r="AB2235" s="648"/>
      <c r="AC2235" s="970"/>
      <c r="AD2235" s="970"/>
      <c r="AE2235" s="970"/>
      <c r="AF2235" s="648"/>
      <c r="AG2235" s="648"/>
      <c r="AH2235" s="648"/>
      <c r="AI2235" s="648"/>
      <c r="AJ2235" s="648"/>
      <c r="AK2235" s="648"/>
      <c r="AL2235" s="1336"/>
      <c r="AM2235" s="1336"/>
      <c r="AN2235" s="1336"/>
      <c r="AO2235" s="1336"/>
      <c r="AP2235" s="1336"/>
      <c r="AQ2235" s="1336"/>
      <c r="AR2235" s="1336"/>
      <c r="AS2235" s="1336"/>
      <c r="AT2235" s="648"/>
      <c r="AU2235" s="648"/>
      <c r="AV2235" s="648"/>
      <c r="AW2235" s="648"/>
      <c r="AX2235" s="648"/>
      <c r="AY2235" s="648"/>
      <c r="AZ2235" s="648"/>
      <c r="BA2235" s="648"/>
      <c r="BB2235" s="648"/>
      <c r="BC2235" s="648"/>
      <c r="BD2235" s="648"/>
      <c r="BE2235" s="648"/>
      <c r="BF2235" s="648"/>
      <c r="BG2235" s="648"/>
      <c r="BH2235" s="648"/>
    </row>
    <row r="2236" spans="1:60" ht="15.75" thickBot="1" x14ac:dyDescent="0.3">
      <c r="A2236" s="2371">
        <v>9</v>
      </c>
      <c r="B2236" s="2385">
        <v>905.1</v>
      </c>
      <c r="C2236" s="2374"/>
      <c r="D2236" s="2374"/>
      <c r="E2236" s="2374"/>
      <c r="F2236" s="2374"/>
      <c r="G2236" s="2373" t="str">
        <f>G2235</f>
        <v/>
      </c>
      <c r="H2236" s="2371" t="s">
        <v>3973</v>
      </c>
      <c r="I2236" s="481"/>
      <c r="J2236" s="240"/>
      <c r="K2236" s="240"/>
      <c r="L2236" s="1797"/>
      <c r="M2236" s="1768"/>
      <c r="N2236" s="1928"/>
      <c r="O2236" s="1928"/>
      <c r="P2236" s="99"/>
      <c r="Q2236" s="99"/>
      <c r="R2236" s="99"/>
      <c r="S2236" s="99"/>
      <c r="T2236" s="99"/>
      <c r="U2236" s="99"/>
      <c r="V2236" s="99"/>
      <c r="W2236" s="99"/>
      <c r="X2236" s="1771"/>
      <c r="Y2236" s="2082"/>
      <c r="Z2236" s="2086"/>
      <c r="AB2236" s="648"/>
      <c r="AC2236" s="970"/>
      <c r="AD2236" s="970"/>
      <c r="AE2236" s="970"/>
      <c r="AF2236" s="648"/>
      <c r="AG2236" s="648"/>
      <c r="AH2236" s="648"/>
      <c r="AI2236" s="648"/>
      <c r="AJ2236" s="648"/>
      <c r="AK2236" s="648"/>
      <c r="AL2236" s="1336"/>
      <c r="AM2236" s="1336"/>
      <c r="AN2236" s="1336"/>
      <c r="AO2236" s="1336"/>
      <c r="AP2236" s="1336"/>
      <c r="AQ2236" s="1336"/>
      <c r="AR2236" s="1336"/>
      <c r="AS2236" s="1336"/>
      <c r="AT2236" s="648"/>
      <c r="AU2236" s="648"/>
      <c r="AV2236" s="648"/>
      <c r="AW2236" s="648"/>
      <c r="AX2236" s="648"/>
      <c r="AY2236" s="648"/>
      <c r="AZ2236" s="648"/>
      <c r="BA2236" s="648"/>
      <c r="BB2236" s="648"/>
      <c r="BC2236" s="648"/>
      <c r="BD2236" s="648"/>
      <c r="BE2236" s="648"/>
      <c r="BF2236" s="648"/>
      <c r="BG2236" s="648"/>
      <c r="BH2236" s="648"/>
    </row>
    <row r="2237" spans="1:60" ht="15.75" thickTop="1" x14ac:dyDescent="0.25">
      <c r="A2237" s="2371">
        <v>9</v>
      </c>
      <c r="B2237" s="2385">
        <v>905.2</v>
      </c>
      <c r="C2237" s="2374"/>
      <c r="D2237" s="2374"/>
      <c r="E2237" s="2374"/>
      <c r="F2237" s="2374"/>
      <c r="G2237" s="2373" t="str">
        <f>IF(N2237&gt;0,"P","")</f>
        <v/>
      </c>
      <c r="H2237" s="2371" t="s">
        <v>3973</v>
      </c>
      <c r="I2237" s="180">
        <v>905.2</v>
      </c>
      <c r="J2237" s="181"/>
      <c r="K2237" s="181"/>
      <c r="L2237" s="1781" t="s">
        <v>3277</v>
      </c>
      <c r="M2237" s="1772">
        <v>2</v>
      </c>
      <c r="N2237" s="2080">
        <f>'Ch9'!O371</f>
        <v>0</v>
      </c>
      <c r="O2237" s="2080">
        <f>M2237*S2237*W2237</f>
        <v>0</v>
      </c>
      <c r="P2237" s="105" t="b">
        <v>0</v>
      </c>
      <c r="Q2237" s="105" t="b">
        <v>1</v>
      </c>
      <c r="R2237" s="105" t="b">
        <v>0</v>
      </c>
      <c r="S2237" s="105" t="b">
        <v>1</v>
      </c>
      <c r="T2237" s="105" t="b">
        <v>0</v>
      </c>
      <c r="U2237" s="105"/>
      <c r="V2237" s="105"/>
      <c r="W2237" s="367"/>
      <c r="X2237" s="1784"/>
      <c r="Y2237" s="2129" t="str">
        <f>IF(LEN('Ch9'!X371)=0,"None",'Ch9'!X371)</f>
        <v>None</v>
      </c>
      <c r="Z2237" s="2089"/>
      <c r="AA2237"/>
      <c r="AB2237" s="648"/>
      <c r="AC2237" s="970"/>
      <c r="AD2237" s="970"/>
      <c r="AE2237" s="970"/>
      <c r="AF2237" s="784"/>
      <c r="AG2237" s="648"/>
      <c r="AH2237" s="648"/>
      <c r="AI2237" s="648"/>
      <c r="AJ2237" s="648"/>
      <c r="AK2237" s="648"/>
      <c r="AL2237" s="254" t="str">
        <f>SUBSTITUTE(SUBSTITUTE(SUBSTITUTE("vpa"&amp;$B2237&amp;$C2237&amp;$D2237&amp;$E2237,".","_"),"(","_"),")","")</f>
        <v>vpa905_2</v>
      </c>
      <c r="AM2237" s="254">
        <f>M2237</f>
        <v>2</v>
      </c>
      <c r="AN2237" s="254" t="str">
        <f>SUBSTITUTE(SUBSTITUTE(SUBSTITUTE("vpc"&amp;$B2237&amp;$C2237&amp;$D2237&amp;$E2237,".","_"),"(","_"),")","")</f>
        <v>vpc905_2</v>
      </c>
      <c r="AO2237" s="254">
        <f>O2237</f>
        <v>0</v>
      </c>
      <c r="AP2237" s="254" t="str">
        <f>SUBSTITUTE(SUBSTITUTE(SUBSTITUTE("vch"&amp;$B2237&amp;$C2237&amp;$D2237&amp;$E2237,".","_"),"(","_"),")","")</f>
        <v>vch905_2</v>
      </c>
      <c r="AQ2237" s="254" t="str">
        <f>IF(LEN(W2237)=0,"",W2237)</f>
        <v/>
      </c>
      <c r="AR2237" s="254" t="str">
        <f>SUBSTITUTE(SUBSTITUTE(SUBSTITUTE("vnt"&amp;$B2237&amp;$C2237&amp;$D2237&amp;$E2237,".","_"),"(","_"),")","")</f>
        <v>vnt905_2</v>
      </c>
      <c r="AS2237" s="254" t="str">
        <f>IF(LEN(X2237)=0,"",X2237)</f>
        <v/>
      </c>
      <c r="AT2237" s="648"/>
      <c r="AU2237" s="648"/>
      <c r="AV2237" s="648"/>
      <c r="AW2237" s="648"/>
      <c r="AX2237" s="648"/>
      <c r="AY2237" s="648"/>
      <c r="AZ2237" s="648"/>
      <c r="BA2237" s="648"/>
      <c r="BB2237" s="648"/>
      <c r="BC2237" s="648"/>
      <c r="BD2237" s="648"/>
      <c r="BE2237" s="648"/>
      <c r="BF2237" s="648"/>
      <c r="BG2237" s="648"/>
      <c r="BH2237" s="648"/>
    </row>
    <row r="2238" spans="1:60" ht="15.75" thickBot="1" x14ac:dyDescent="0.3">
      <c r="A2238" s="2371">
        <v>9</v>
      </c>
      <c r="B2238" s="2385">
        <v>905.2</v>
      </c>
      <c r="C2238" s="2374"/>
      <c r="D2238" s="2374"/>
      <c r="E2238" s="2374"/>
      <c r="F2238" s="2374"/>
      <c r="G2238" s="2373" t="str">
        <f>G2237</f>
        <v/>
      </c>
      <c r="H2238" s="2371" t="s">
        <v>3973</v>
      </c>
      <c r="I2238" s="481"/>
      <c r="J2238" s="240"/>
      <c r="K2238" s="240"/>
      <c r="L2238" s="1797"/>
      <c r="M2238" s="1768"/>
      <c r="N2238" s="1928"/>
      <c r="O2238" s="1928"/>
      <c r="P2238" s="99"/>
      <c r="Q2238" s="99"/>
      <c r="R2238" s="99"/>
      <c r="S2238" s="99"/>
      <c r="T2238" s="99"/>
      <c r="U2238" s="99"/>
      <c r="V2238" s="99"/>
      <c r="W2238" s="99"/>
      <c r="X2238" s="1771"/>
      <c r="Y2238" s="2102"/>
      <c r="Z2238" s="2090"/>
      <c r="AA2238"/>
      <c r="AB2238" s="648"/>
      <c r="AC2238" s="970"/>
      <c r="AD2238" s="970"/>
      <c r="AE2238" s="970"/>
      <c r="AF2238" s="648"/>
      <c r="AG2238" s="648"/>
      <c r="AH2238" s="648"/>
      <c r="AI2238" s="648"/>
      <c r="AJ2238" s="648"/>
      <c r="AK2238" s="648"/>
      <c r="AL2238" s="1336"/>
      <c r="AM2238" s="1336"/>
      <c r="AN2238" s="1336"/>
      <c r="AO2238" s="1336"/>
      <c r="AP2238" s="1336"/>
      <c r="AQ2238" s="1336"/>
      <c r="AR2238" s="1336"/>
      <c r="AS2238" s="1336"/>
      <c r="AT2238" s="648"/>
      <c r="AU2238" s="648"/>
      <c r="AV2238" s="648"/>
      <c r="AW2238" s="648"/>
      <c r="AX2238" s="648"/>
      <c r="AY2238" s="648"/>
      <c r="AZ2238" s="648"/>
      <c r="BA2238" s="648"/>
      <c r="BB2238" s="648"/>
      <c r="BC2238" s="648"/>
      <c r="BD2238" s="648"/>
      <c r="BE2238" s="648"/>
      <c r="BF2238" s="648"/>
      <c r="BG2238" s="648"/>
      <c r="BH2238" s="648"/>
    </row>
    <row r="2239" spans="1:60" ht="15.75" thickTop="1" x14ac:dyDescent="0.25">
      <c r="A2239" s="2371">
        <v>9</v>
      </c>
      <c r="B2239" s="2385" t="s">
        <v>4543</v>
      </c>
      <c r="G2239" s="2373" t="str">
        <f>IF(N2239&gt;0,"P","")</f>
        <v/>
      </c>
      <c r="H2239" s="2371" t="s">
        <v>3973</v>
      </c>
      <c r="I2239" s="667" t="s">
        <v>4543</v>
      </c>
      <c r="J2239" s="667"/>
      <c r="K2239" s="679"/>
      <c r="L2239" s="1151" t="s">
        <v>4544</v>
      </c>
      <c r="M2239" s="1014">
        <v>2</v>
      </c>
      <c r="N2239" s="1046">
        <f>'Ch9'!O373</f>
        <v>0</v>
      </c>
      <c r="O2239" s="1042">
        <f>M2239*S2240*AND(W2240=TRUE,W2241=TRUE)</f>
        <v>0</v>
      </c>
      <c r="P2239" s="911"/>
      <c r="Q2239" s="911"/>
      <c r="R2239" s="911"/>
      <c r="S2239" s="911"/>
      <c r="T2239" s="911"/>
      <c r="U2239" s="911"/>
      <c r="V2239" s="911"/>
      <c r="W2239"/>
      <c r="X2239"/>
      <c r="Y2239" s="265"/>
      <c r="Z2239" s="1590"/>
      <c r="AA2239"/>
      <c r="AC2239" s="970"/>
      <c r="AD2239" s="970"/>
      <c r="AE2239" s="970"/>
      <c r="AF2239"/>
      <c r="AG2239"/>
      <c r="AH2239"/>
      <c r="AI2239"/>
      <c r="AJ2239"/>
      <c r="AK2239"/>
      <c r="AL2239" s="254" t="str">
        <f>SUBSTITUTE(SUBSTITUTE(SUBSTITUTE("vpa"&amp;$B2239&amp;$C2239&amp;$D2239&amp;$E2239,".","_"),"(","_"),")","")</f>
        <v>vpa905_3</v>
      </c>
      <c r="AM2239" s="254">
        <f>M2239</f>
        <v>2</v>
      </c>
      <c r="AN2239" s="254" t="str">
        <f>SUBSTITUTE(SUBSTITUTE(SUBSTITUTE("vpc"&amp;$B2239&amp;$C2239&amp;$D2239&amp;$E2239,".","_"),"(","_"),")","")</f>
        <v>vpc905_3</v>
      </c>
      <c r="AO2239" s="254">
        <f>O2239</f>
        <v>0</v>
      </c>
      <c r="AP2239" s="1336"/>
      <c r="AQ2239" s="1336"/>
      <c r="AR2239" s="1336"/>
      <c r="AS2239" s="1336"/>
      <c r="AT2239"/>
    </row>
    <row r="2240" spans="1:60" x14ac:dyDescent="0.25">
      <c r="A2240" s="2371">
        <v>9</v>
      </c>
      <c r="B2240" s="2385" t="s">
        <v>4543</v>
      </c>
      <c r="C2240" s="2385" t="s">
        <v>256</v>
      </c>
      <c r="G2240" s="2373" t="str">
        <f>G2239</f>
        <v/>
      </c>
      <c r="H2240" s="2371" t="s">
        <v>3973</v>
      </c>
      <c r="I2240" s="667"/>
      <c r="J2240" s="667" t="s">
        <v>256</v>
      </c>
      <c r="K2240" s="679"/>
      <c r="L2240" s="1191" t="s">
        <v>4545</v>
      </c>
      <c r="M2240" s="1014"/>
      <c r="N2240" s="664"/>
      <c r="O2240" s="1042"/>
      <c r="P2240" s="911" t="b">
        <v>0</v>
      </c>
      <c r="Q2240" s="911" t="b">
        <v>1</v>
      </c>
      <c r="R2240" s="911" t="b">
        <v>0</v>
      </c>
      <c r="S2240" s="911" t="b">
        <v>1</v>
      </c>
      <c r="T2240" s="911" t="b">
        <v>0</v>
      </c>
      <c r="U2240" s="911"/>
      <c r="V2240" s="911"/>
      <c r="W2240" s="25"/>
      <c r="X2240" s="918"/>
      <c r="Y2240" s="937" t="str">
        <f>IF(LEN('Ch9'!X374)=0,"None",'Ch9'!X374)</f>
        <v>None</v>
      </c>
      <c r="Z2240" s="1594"/>
      <c r="AA2240"/>
      <c r="AC2240" s="970"/>
      <c r="AD2240" s="970"/>
      <c r="AE2240" s="970"/>
      <c r="AF2240"/>
      <c r="AG2240"/>
      <c r="AH2240"/>
      <c r="AI2240"/>
      <c r="AJ2240"/>
      <c r="AK2240"/>
      <c r="AL2240" s="1336"/>
      <c r="AM2240" s="1336"/>
      <c r="AN2240" s="1336"/>
      <c r="AO2240" s="1336"/>
      <c r="AP2240" s="254" t="str">
        <f>SUBSTITUTE(SUBSTITUTE(SUBSTITUTE("vch"&amp;$B2240&amp;$C2240&amp;$D2240&amp;$E2240,".","_"),"(","_"),")","")</f>
        <v>vch905_3_1</v>
      </c>
      <c r="AQ2240" s="254" t="str">
        <f>IF(LEN(W2240)=0,"",W2240)</f>
        <v/>
      </c>
      <c r="AR2240" s="254" t="str">
        <f>SUBSTITUTE(SUBSTITUTE(SUBSTITUTE("vnt"&amp;$B2240&amp;$C2240&amp;$D2240&amp;$E2240,".","_"),"(","_"),")","")</f>
        <v>vnt905_3_1</v>
      </c>
      <c r="AS2240" s="254" t="str">
        <f>IF(LEN(X2240)=0,"",X2240)</f>
        <v/>
      </c>
      <c r="AT2240"/>
    </row>
    <row r="2241" spans="1:61" x14ac:dyDescent="0.25">
      <c r="A2241" s="2371">
        <v>9</v>
      </c>
      <c r="B2241" s="2385" t="s">
        <v>4543</v>
      </c>
      <c r="C2241" s="2385" t="s">
        <v>258</v>
      </c>
      <c r="G2241" s="2373" t="str">
        <f>G2240</f>
        <v/>
      </c>
      <c r="H2241" s="2371" t="s">
        <v>3973</v>
      </c>
      <c r="I2241" s="667"/>
      <c r="J2241" s="667" t="s">
        <v>258</v>
      </c>
      <c r="K2241" s="679"/>
      <c r="L2241" s="1933" t="s">
        <v>4546</v>
      </c>
      <c r="M2241" s="1010"/>
      <c r="N2241" s="664"/>
      <c r="O2241" s="665"/>
      <c r="P2241" s="911" t="b">
        <v>0</v>
      </c>
      <c r="Q2241" s="911" t="b">
        <v>1</v>
      </c>
      <c r="R2241" s="911" t="b">
        <v>0</v>
      </c>
      <c r="S2241" s="911" t="b">
        <v>1</v>
      </c>
      <c r="T2241" s="911" t="b">
        <v>0</v>
      </c>
      <c r="U2241" s="911"/>
      <c r="V2241" s="911"/>
      <c r="W2241" s="25"/>
      <c r="X2241" s="1757"/>
      <c r="Y2241" s="2099" t="str">
        <f>IF(LEN('Ch9'!X375)=0,"None",'Ch9'!X375)</f>
        <v>None</v>
      </c>
      <c r="Z2241" s="2087"/>
      <c r="AA2241"/>
      <c r="AC2241" s="970"/>
      <c r="AD2241" s="970"/>
      <c r="AE2241" s="970"/>
      <c r="AF2241"/>
      <c r="AG2241"/>
      <c r="AH2241"/>
      <c r="AI2241"/>
      <c r="AJ2241"/>
      <c r="AK2241"/>
      <c r="AL2241" s="1336"/>
      <c r="AM2241" s="1336"/>
      <c r="AN2241" s="1336"/>
      <c r="AO2241" s="1336"/>
      <c r="AP2241" s="254" t="str">
        <f>SUBSTITUTE(SUBSTITUTE(SUBSTITUTE("vch"&amp;$B2241&amp;$C2241&amp;$D2241&amp;$E2241,".","_"),"(","_"),")","")</f>
        <v>vch905_3_2</v>
      </c>
      <c r="AQ2241" s="254" t="str">
        <f>IF(LEN(W2241)=0,"",W2241)</f>
        <v/>
      </c>
      <c r="AR2241" s="254" t="str">
        <f>SUBSTITUTE(SUBSTITUTE(SUBSTITUTE("vnt"&amp;$B2241&amp;$C2241&amp;$D2241&amp;$E2241,".","_"),"(","_"),")","")</f>
        <v>vnt905_3_2</v>
      </c>
      <c r="AS2241" s="254" t="str">
        <f>IF(LEN(X2241)=0,"",X2241)</f>
        <v/>
      </c>
      <c r="AT2241"/>
    </row>
    <row r="2242" spans="1:61" ht="15.75" thickBot="1" x14ac:dyDescent="0.3">
      <c r="A2242" s="2371">
        <v>9</v>
      </c>
      <c r="B2242" s="2385" t="s">
        <v>4543</v>
      </c>
      <c r="C2242" s="2385" t="s">
        <v>258</v>
      </c>
      <c r="G2242" s="2373" t="str">
        <f>G2241</f>
        <v/>
      </c>
      <c r="H2242" s="2371" t="s">
        <v>3973</v>
      </c>
      <c r="I2242" s="673"/>
      <c r="J2242" s="673"/>
      <c r="K2242" s="681"/>
      <c r="L2242" s="1930"/>
      <c r="M2242" s="1011"/>
      <c r="N2242" s="1052"/>
      <c r="O2242" s="1052"/>
      <c r="P2242" s="99"/>
      <c r="Q2242" s="99"/>
      <c r="R2242" s="99"/>
      <c r="S2242" s="99"/>
      <c r="T2242" s="99"/>
      <c r="U2242" s="99"/>
      <c r="V2242" s="99"/>
      <c r="W2242" s="256"/>
      <c r="X2242" s="1771"/>
      <c r="Y2242" s="2102"/>
      <c r="Z2242" s="2090"/>
      <c r="AA2242"/>
      <c r="AC2242" s="970"/>
      <c r="AD2242" s="970"/>
      <c r="AE2242" s="970"/>
      <c r="AF2242"/>
      <c r="AG2242"/>
      <c r="AH2242"/>
      <c r="AI2242"/>
      <c r="AJ2242"/>
      <c r="AK2242"/>
      <c r="AL2242" s="1336"/>
      <c r="AM2242" s="1336"/>
      <c r="AN2242" s="1336"/>
      <c r="AO2242" s="1336"/>
      <c r="AP2242" s="1336"/>
      <c r="AQ2242" s="1336"/>
      <c r="AR2242" s="1336"/>
      <c r="AS2242" s="1336"/>
      <c r="AT2242"/>
    </row>
    <row r="2243" spans="1:61" ht="15.75" thickTop="1" x14ac:dyDescent="0.25">
      <c r="A2243" s="2371">
        <v>9</v>
      </c>
      <c r="B2243" s="2385" t="s">
        <v>4547</v>
      </c>
      <c r="G2243" s="2373" t="str">
        <f ca="1">IF(N2243&gt;0,"P","")</f>
        <v/>
      </c>
      <c r="H2243" s="2371" t="s">
        <v>3973</v>
      </c>
      <c r="I2243" s="682" t="s">
        <v>4547</v>
      </c>
      <c r="J2243" s="682"/>
      <c r="K2243" s="687"/>
      <c r="L2243" s="1801" t="s">
        <v>4891</v>
      </c>
      <c r="M2243" s="1772" t="s">
        <v>4890</v>
      </c>
      <c r="N2243" s="2080">
        <f ca="1">'Ch9'!O377</f>
        <v>0</v>
      </c>
      <c r="O2243" s="2080">
        <f ca="1">IF(AY1885=INDEX(INDIRECT("ddSingleOrMulti"),2),4,1)*S2243*W2243</f>
        <v>0</v>
      </c>
      <c r="P2243" s="105" t="b">
        <v>0</v>
      </c>
      <c r="Q2243" s="105" t="b">
        <v>1</v>
      </c>
      <c r="R2243" s="105" t="b">
        <v>0</v>
      </c>
      <c r="S2243" s="105" t="b">
        <v>1</v>
      </c>
      <c r="T2243" s="105" t="b">
        <v>0</v>
      </c>
      <c r="U2243" s="105"/>
      <c r="V2243" s="105"/>
      <c r="W2243" s="117"/>
      <c r="X2243" s="1756"/>
      <c r="Y2243" s="2077" t="str">
        <f>IF(LEN('Ch9'!X377)=0,"None",'Ch9'!X377)</f>
        <v>None</v>
      </c>
      <c r="Z2243" s="2083"/>
      <c r="AA2243"/>
      <c r="AC2243" s="970"/>
      <c r="AD2243" s="970"/>
      <c r="AE2243" s="970"/>
      <c r="AF2243"/>
      <c r="AG2243"/>
      <c r="AH2243"/>
      <c r="AI2243"/>
      <c r="AJ2243"/>
      <c r="AK2243"/>
      <c r="AL2243" s="254" t="str">
        <f>SUBSTITUTE(SUBSTITUTE(SUBSTITUTE("vpa"&amp;$B2243&amp;$C2243&amp;$D2243&amp;$E2243,".","_"),"(","_"),")","")</f>
        <v>vpa905_4</v>
      </c>
      <c r="AM2243" s="254" t="str">
        <f>M2243</f>
        <v>1 SF / 4 MF</v>
      </c>
      <c r="AN2243" s="254" t="str">
        <f>SUBSTITUTE(SUBSTITUTE(SUBSTITUTE("vpc"&amp;$B2243&amp;$C2243&amp;$D2243&amp;$E2243,".","_"),"(","_"),")","")</f>
        <v>vpc905_4</v>
      </c>
      <c r="AO2243" s="254">
        <f ca="1">O2243</f>
        <v>0</v>
      </c>
      <c r="AP2243" s="254" t="str">
        <f>SUBSTITUTE(SUBSTITUTE(SUBSTITUTE("vch"&amp;$B2243&amp;$C2243&amp;$D2243&amp;$E2243,".","_"),"(","_"),")","")</f>
        <v>vch905_4</v>
      </c>
      <c r="AQ2243" s="254" t="str">
        <f>IF(LEN(W2243)=0,"",W2243)</f>
        <v/>
      </c>
      <c r="AR2243" s="254" t="str">
        <f>SUBSTITUTE(SUBSTITUTE(SUBSTITUTE("vnt"&amp;$B2243&amp;$C2243&amp;$D2243&amp;$E2243,".","_"),"(","_"),")","")</f>
        <v>vnt905_4</v>
      </c>
      <c r="AS2243" s="254" t="str">
        <f>IF(LEN(X2243)=0,"",X2243)</f>
        <v/>
      </c>
      <c r="AT2243"/>
    </row>
    <row r="2244" spans="1:61" x14ac:dyDescent="0.25">
      <c r="A2244" s="2371">
        <v>9</v>
      </c>
      <c r="B2244" s="2385" t="s">
        <v>4547</v>
      </c>
      <c r="G2244" s="2373" t="str">
        <f ca="1">G2243</f>
        <v/>
      </c>
      <c r="H2244" s="2371" t="s">
        <v>3973</v>
      </c>
      <c r="I2244" s="667"/>
      <c r="J2244" s="667"/>
      <c r="K2244" s="679"/>
      <c r="L2244" s="1785"/>
      <c r="M2244" s="1758"/>
      <c r="N2244" s="1927"/>
      <c r="O2244" s="1927"/>
      <c r="P2244" s="911"/>
      <c r="Q2244" s="911"/>
      <c r="R2244" s="911"/>
      <c r="S2244" s="911"/>
      <c r="T2244" s="911"/>
      <c r="U2244" s="911"/>
      <c r="V2244" s="911"/>
      <c r="W2244"/>
      <c r="X2244" s="1757"/>
      <c r="Y2244" s="2077"/>
      <c r="Z2244" s="2083"/>
      <c r="AA2244"/>
      <c r="AC2244" s="970"/>
      <c r="AD2244" s="970"/>
      <c r="AE2244" s="970"/>
      <c r="AF2244"/>
      <c r="AG2244"/>
      <c r="AH2244"/>
      <c r="AI2244"/>
      <c r="AJ2244"/>
      <c r="AK2244"/>
      <c r="AL2244" s="1336"/>
      <c r="AM2244" s="1336"/>
      <c r="AN2244" s="1336"/>
      <c r="AO2244" s="1336"/>
      <c r="AP2244" s="1336"/>
      <c r="AQ2244" s="1336"/>
      <c r="AR2244" s="1336"/>
      <c r="AS2244" s="1336"/>
      <c r="AT2244"/>
    </row>
    <row r="2245" spans="1:61" x14ac:dyDescent="0.25">
      <c r="A2245" s="2371">
        <v>9</v>
      </c>
      <c r="B2245" s="2385" t="s">
        <v>4547</v>
      </c>
      <c r="G2245" s="2373" t="str">
        <f ca="1">G2244</f>
        <v/>
      </c>
      <c r="H2245" s="2371" t="s">
        <v>3973</v>
      </c>
      <c r="I2245" s="667"/>
      <c r="J2245" s="667"/>
      <c r="K2245" s="679"/>
      <c r="L2245" s="1785"/>
      <c r="M2245" s="1758"/>
      <c r="N2245" s="1927"/>
      <c r="O2245" s="1927"/>
      <c r="P2245" s="911"/>
      <c r="Q2245" s="911"/>
      <c r="R2245" s="911"/>
      <c r="S2245" s="911"/>
      <c r="T2245" s="911"/>
      <c r="U2245" s="911"/>
      <c r="V2245" s="911"/>
      <c r="W2245"/>
      <c r="X2245" s="1757"/>
      <c r="Y2245" s="2077"/>
      <c r="Z2245" s="2083"/>
      <c r="AA2245"/>
      <c r="AC2245" s="970"/>
      <c r="AD2245" s="970"/>
      <c r="AE2245" s="970"/>
      <c r="AF2245"/>
      <c r="AG2245"/>
      <c r="AH2245"/>
      <c r="AI2245"/>
      <c r="AJ2245"/>
      <c r="AK2245"/>
      <c r="AL2245" s="1336"/>
      <c r="AM2245" s="1336"/>
      <c r="AN2245" s="1336"/>
      <c r="AO2245" s="1336"/>
      <c r="AP2245" s="1336"/>
      <c r="AQ2245" s="1336"/>
      <c r="AR2245" s="1336"/>
      <c r="AS2245" s="1336"/>
      <c r="AT2245"/>
    </row>
    <row r="2246" spans="1:61" x14ac:dyDescent="0.25">
      <c r="A2246" s="2371">
        <v>9</v>
      </c>
      <c r="B2246" s="2385" t="s">
        <v>4547</v>
      </c>
      <c r="G2246" s="2373" t="str">
        <f ca="1">G2245</f>
        <v/>
      </c>
      <c r="H2246" s="2371" t="s">
        <v>3973</v>
      </c>
      <c r="I2246" s="667"/>
      <c r="J2246" s="667"/>
      <c r="K2246" s="679"/>
      <c r="L2246" s="1785"/>
      <c r="M2246" s="1010"/>
      <c r="N2246" s="664"/>
      <c r="O2246" s="665"/>
      <c r="P2246" s="911"/>
      <c r="Q2246" s="911"/>
      <c r="R2246" s="911"/>
      <c r="S2246" s="911"/>
      <c r="T2246" s="911"/>
      <c r="U2246" s="911"/>
      <c r="V2246" s="911"/>
      <c r="W2246"/>
      <c r="X2246" s="911"/>
      <c r="Y2246"/>
      <c r="AA2246"/>
      <c r="AC2246" s="970"/>
      <c r="AD2246" s="970"/>
      <c r="AE2246" s="970"/>
      <c r="AF2246"/>
      <c r="AG2246"/>
      <c r="AH2246"/>
      <c r="AI2246"/>
      <c r="AJ2246"/>
      <c r="AK2246"/>
      <c r="AL2246" s="1336"/>
      <c r="AM2246" s="1336"/>
      <c r="AN2246" s="1336"/>
      <c r="AO2246" s="1336"/>
      <c r="AP2246" s="1336"/>
      <c r="AQ2246" s="1336"/>
      <c r="AR2246" s="1336"/>
      <c r="AS2246" s="1336"/>
      <c r="AT2246"/>
    </row>
    <row r="2247" spans="1:61" ht="15.75" thickBot="1" x14ac:dyDescent="0.3">
      <c r="A2247" s="2371">
        <v>9</v>
      </c>
      <c r="B2247" s="2385" t="s">
        <v>4547</v>
      </c>
      <c r="G2247" s="2373" t="str">
        <f ca="1">G2246</f>
        <v/>
      </c>
      <c r="H2247" s="2371" t="s">
        <v>3973</v>
      </c>
      <c r="I2247" s="673"/>
      <c r="J2247" s="673"/>
      <c r="K2247" s="681"/>
      <c r="L2247" s="1803"/>
      <c r="M2247" s="1011"/>
      <c r="N2247" s="1052"/>
      <c r="O2247" s="1052"/>
      <c r="P2247" s="99"/>
      <c r="Q2247" s="99"/>
      <c r="R2247" s="99"/>
      <c r="S2247" s="99"/>
      <c r="T2247" s="99"/>
      <c r="U2247" s="99"/>
      <c r="V2247" s="99"/>
      <c r="W2247" s="99"/>
      <c r="X2247" s="99"/>
      <c r="Y2247"/>
      <c r="AA2247"/>
      <c r="AC2247" s="970"/>
      <c r="AD2247" s="970"/>
      <c r="AE2247" s="970"/>
      <c r="AF2247"/>
      <c r="AG2247"/>
      <c r="AH2247"/>
      <c r="AI2247"/>
      <c r="AJ2247"/>
      <c r="AK2247"/>
      <c r="AL2247" s="1336"/>
      <c r="AM2247" s="1336"/>
      <c r="AN2247" s="1336"/>
      <c r="AO2247" s="1336"/>
      <c r="AP2247" s="1336"/>
      <c r="AQ2247" s="1336"/>
      <c r="AR2247" s="1336"/>
      <c r="AS2247" s="1336"/>
      <c r="AT2247"/>
    </row>
    <row r="2248" spans="1:61" ht="15.75" thickTop="1" x14ac:dyDescent="0.25">
      <c r="A2248" s="2371">
        <v>9</v>
      </c>
      <c r="B2248" s="2385" t="s">
        <v>4548</v>
      </c>
      <c r="G2248" s="2373" t="str">
        <f>IF(N2248&gt;0,"P","")</f>
        <v/>
      </c>
      <c r="H2248" s="2371" t="s">
        <v>3973</v>
      </c>
      <c r="I2248" s="667" t="s">
        <v>4548</v>
      </c>
      <c r="J2248" s="667"/>
      <c r="K2248" s="679"/>
      <c r="L2248" s="1785" t="s">
        <v>4549</v>
      </c>
      <c r="M2248" s="1772">
        <v>2</v>
      </c>
      <c r="N2248" s="2080">
        <f>'Ch9'!O382</f>
        <v>0</v>
      </c>
      <c r="O2248" s="2080">
        <f>M2248*S2248*W2248</f>
        <v>0</v>
      </c>
      <c r="P2248" s="105" t="b">
        <v>0</v>
      </c>
      <c r="Q2248" s="105" t="b">
        <v>1</v>
      </c>
      <c r="R2248" s="105" t="b">
        <v>0</v>
      </c>
      <c r="S2248" s="105" t="b">
        <v>1</v>
      </c>
      <c r="T2248" s="105" t="b">
        <v>0</v>
      </c>
      <c r="U2248" s="911"/>
      <c r="V2248" s="911"/>
      <c r="W2248" s="117"/>
      <c r="X2248" s="1757"/>
      <c r="Y2248" s="2129" t="str">
        <f>IF(LEN('Ch9'!X382)=0,"None",'Ch9'!X382)</f>
        <v>None</v>
      </c>
      <c r="Z2248" s="2089"/>
      <c r="AA2248"/>
      <c r="AC2248" s="970"/>
      <c r="AD2248" s="970"/>
      <c r="AE2248" s="970"/>
      <c r="AF2248"/>
      <c r="AG2248"/>
      <c r="AH2248"/>
      <c r="AI2248"/>
      <c r="AJ2248"/>
      <c r="AK2248"/>
      <c r="AL2248" s="254" t="str">
        <f>SUBSTITUTE(SUBSTITUTE(SUBSTITUTE("vpa"&amp;$B2248&amp;$C2248&amp;$D2248&amp;$E2248,".","_"),"(","_"),")","")</f>
        <v>vpa905_6</v>
      </c>
      <c r="AM2248" s="254">
        <f>M2248</f>
        <v>2</v>
      </c>
      <c r="AN2248" s="254" t="str">
        <f>SUBSTITUTE(SUBSTITUTE(SUBSTITUTE("vpc"&amp;$B2248&amp;$C2248&amp;$D2248&amp;$E2248,".","_"),"(","_"),")","")</f>
        <v>vpc905_6</v>
      </c>
      <c r="AO2248" s="254">
        <f>O2248</f>
        <v>0</v>
      </c>
      <c r="AP2248" s="254" t="str">
        <f>SUBSTITUTE(SUBSTITUTE(SUBSTITUTE("vch"&amp;$B2248&amp;$C2248&amp;$D2248&amp;$E2248,".","_"),"(","_"),")","")</f>
        <v>vch905_6</v>
      </c>
      <c r="AQ2248" s="254" t="str">
        <f>IF(LEN(W2248)=0,"",W2248)</f>
        <v/>
      </c>
      <c r="AR2248" s="254" t="str">
        <f>SUBSTITUTE(SUBSTITUTE(SUBSTITUTE("vnt"&amp;$B2248&amp;$C2248&amp;$D2248&amp;$E2248,".","_"),"(","_"),")","")</f>
        <v>vnt905_6</v>
      </c>
      <c r="AS2248" s="254" t="str">
        <f>IF(LEN(X2248)=0,"",X2248)</f>
        <v/>
      </c>
      <c r="AT2248"/>
    </row>
    <row r="2249" spans="1:61" x14ac:dyDescent="0.25">
      <c r="A2249" s="2371">
        <v>9</v>
      </c>
      <c r="B2249" s="2385" t="s">
        <v>4548</v>
      </c>
      <c r="G2249" s="2373" t="str">
        <f>G2248</f>
        <v/>
      </c>
      <c r="H2249" s="2371" t="s">
        <v>3973</v>
      </c>
      <c r="I2249" s="679"/>
      <c r="J2249" s="679"/>
      <c r="K2249" s="679"/>
      <c r="L2249" s="1785"/>
      <c r="M2249" s="1758"/>
      <c r="N2249" s="1927"/>
      <c r="O2249" s="1927"/>
      <c r="P2249" s="94"/>
      <c r="Q2249" s="94"/>
      <c r="R2249" s="94"/>
      <c r="S2249" s="94"/>
      <c r="T2249" s="94"/>
      <c r="U2249" s="911"/>
      <c r="V2249" s="911"/>
      <c r="W2249"/>
      <c r="X2249" s="1757"/>
      <c r="Y2249" s="2100"/>
      <c r="Z2249" s="2091"/>
      <c r="AA2249"/>
      <c r="AC2249" s="970"/>
      <c r="AD2249" s="970"/>
      <c r="AE2249" s="970"/>
      <c r="AF2249"/>
      <c r="AG2249"/>
      <c r="AH2249"/>
      <c r="AI2249"/>
      <c r="AJ2249"/>
      <c r="AK2249"/>
      <c r="AL2249"/>
      <c r="AM2249"/>
      <c r="AN2249"/>
      <c r="AO2249"/>
      <c r="AP2249"/>
      <c r="AQ2249"/>
      <c r="AR2249"/>
      <c r="AS2249"/>
      <c r="AT2249"/>
    </row>
    <row r="2250" spans="1:61" x14ac:dyDescent="0.25">
      <c r="A2250" s="2371">
        <v>9</v>
      </c>
      <c r="B2250" s="2385" t="s">
        <v>4548</v>
      </c>
      <c r="G2250" s="2373" t="str">
        <f>G2249</f>
        <v/>
      </c>
      <c r="H2250" s="2371" t="s">
        <v>3973</v>
      </c>
      <c r="I2250" s="679"/>
      <c r="J2250" s="679"/>
      <c r="K2250" s="679"/>
      <c r="L2250" s="1785"/>
      <c r="M2250" s="1758"/>
      <c r="N2250" s="1927"/>
      <c r="O2250" s="1927"/>
      <c r="P2250" s="94"/>
      <c r="Q2250" s="94"/>
      <c r="R2250" s="94"/>
      <c r="S2250" s="94"/>
      <c r="T2250" s="94"/>
      <c r="U2250" s="911"/>
      <c r="V2250" s="911"/>
      <c r="W2250"/>
      <c r="X2250" s="1757"/>
      <c r="Y2250" s="2100"/>
      <c r="Z2250" s="2091"/>
      <c r="AA2250" s="1334"/>
      <c r="AC2250" s="970"/>
      <c r="AD2250" s="970"/>
      <c r="AE2250" s="970"/>
      <c r="AF2250"/>
      <c r="AG2250"/>
      <c r="AH2250"/>
      <c r="AI2250"/>
      <c r="AJ2250"/>
      <c r="AK2250"/>
      <c r="AL2250"/>
      <c r="AM2250"/>
      <c r="AN2250"/>
      <c r="AO2250"/>
      <c r="AP2250"/>
      <c r="AQ2250"/>
      <c r="AR2250"/>
      <c r="AS2250"/>
      <c r="AT2250"/>
    </row>
    <row r="2251" spans="1:61" x14ac:dyDescent="0.25">
      <c r="A2251" s="2371">
        <v>9</v>
      </c>
      <c r="B2251" s="2385" t="s">
        <v>4548</v>
      </c>
      <c r="G2251" s="2373" t="str">
        <f>G2250</f>
        <v/>
      </c>
      <c r="H2251" s="2371" t="s">
        <v>3973</v>
      </c>
      <c r="I2251" s="679"/>
      <c r="J2251" s="679"/>
      <c r="K2251" s="679"/>
      <c r="L2251" s="1785"/>
      <c r="M2251" s="1758"/>
      <c r="N2251" s="1927"/>
      <c r="O2251" s="1927"/>
      <c r="P2251" s="94"/>
      <c r="Q2251" s="94"/>
      <c r="R2251" s="94"/>
      <c r="S2251" s="94"/>
      <c r="T2251" s="94"/>
      <c r="U2251" s="911"/>
      <c r="V2251" s="911"/>
      <c r="W2251"/>
      <c r="X2251" s="1757"/>
      <c r="Y2251" s="2100"/>
      <c r="Z2251" s="2091"/>
      <c r="AC2251" s="970"/>
      <c r="AD2251" s="970"/>
      <c r="AE2251" s="970"/>
      <c r="AF2251"/>
      <c r="AG2251"/>
      <c r="AH2251"/>
      <c r="AI2251"/>
      <c r="AJ2251"/>
      <c r="AK2251"/>
      <c r="AL2251"/>
      <c r="AM2251"/>
      <c r="AN2251"/>
      <c r="AO2251"/>
      <c r="AP2251"/>
      <c r="AQ2251"/>
      <c r="AR2251"/>
      <c r="AS2251"/>
      <c r="AT2251"/>
    </row>
    <row r="2252" spans="1:61" ht="18.75" x14ac:dyDescent="0.3">
      <c r="A2252" s="2371">
        <v>10</v>
      </c>
      <c r="B2252" s="2385" t="s">
        <v>4086</v>
      </c>
      <c r="C2252" s="2371"/>
      <c r="D2252" s="2371"/>
      <c r="E2252" s="2371"/>
      <c r="F2252" s="2371"/>
      <c r="G2252" s="2373" t="s">
        <v>3974</v>
      </c>
      <c r="H2252" s="2371" t="s">
        <v>3971</v>
      </c>
      <c r="I2252" s="22" t="s">
        <v>3372</v>
      </c>
      <c r="J2252" s="22"/>
      <c r="K2252" s="22"/>
      <c r="L2252" s="1208"/>
      <c r="M2252" s="1059"/>
      <c r="N2252" s="1051"/>
      <c r="O2252" s="1051"/>
      <c r="P2252" s="648" t="s">
        <v>247</v>
      </c>
      <c r="Q2252" s="648" t="s">
        <v>247</v>
      </c>
      <c r="R2252" s="648" t="s">
        <v>247</v>
      </c>
      <c r="S2252" s="648" t="s">
        <v>247</v>
      </c>
      <c r="T2252" s="648" t="s">
        <v>247</v>
      </c>
      <c r="U2252" s="648" t="s">
        <v>247</v>
      </c>
      <c r="V2252" s="648" t="s">
        <v>247</v>
      </c>
      <c r="W2252" s="23"/>
      <c r="X2252" s="23"/>
      <c r="Y2252" s="23"/>
      <c r="Z2252" s="1586"/>
      <c r="AB2252" s="866" t="s">
        <v>247</v>
      </c>
      <c r="AC2252" s="866" t="s">
        <v>247</v>
      </c>
      <c r="AD2252" s="866" t="s">
        <v>247</v>
      </c>
      <c r="AE2252" s="866" t="s">
        <v>247</v>
      </c>
      <c r="AF2252" s="866" t="s">
        <v>247</v>
      </c>
      <c r="AG2252" s="866" t="s">
        <v>247</v>
      </c>
      <c r="AH2252" s="866" t="s">
        <v>247</v>
      </c>
      <c r="AI2252" s="866" t="s">
        <v>247</v>
      </c>
      <c r="AJ2252" s="866" t="s">
        <v>247</v>
      </c>
      <c r="AK2252" s="866" t="s">
        <v>247</v>
      </c>
      <c r="AL2252" s="1334"/>
      <c r="AM2252" s="1334"/>
      <c r="AN2252" s="1334"/>
      <c r="AO2252" s="1334"/>
      <c r="AP2252" s="1334"/>
      <c r="AQ2252" s="1334"/>
      <c r="AR2252" s="1334"/>
      <c r="AS2252" s="1334"/>
      <c r="AT2252" s="866" t="s">
        <v>247</v>
      </c>
      <c r="AU2252" s="866" t="s">
        <v>247</v>
      </c>
      <c r="AV2252" s="866" t="s">
        <v>247</v>
      </c>
      <c r="AW2252" s="866" t="s">
        <v>247</v>
      </c>
      <c r="AX2252" s="866" t="s">
        <v>247</v>
      </c>
      <c r="AY2252" s="866" t="s">
        <v>247</v>
      </c>
      <c r="AZ2252" s="866" t="s">
        <v>247</v>
      </c>
      <c r="BA2252" s="866" t="s">
        <v>247</v>
      </c>
      <c r="BB2252" s="866" t="s">
        <v>247</v>
      </c>
      <c r="BC2252" s="866" t="s">
        <v>247</v>
      </c>
      <c r="BD2252" s="866" t="s">
        <v>247</v>
      </c>
      <c r="BE2252" s="866" t="s">
        <v>247</v>
      </c>
      <c r="BF2252" s="866" t="s">
        <v>247</v>
      </c>
      <c r="BG2252" s="866" t="s">
        <v>247</v>
      </c>
      <c r="BH2252" s="866" t="s">
        <v>247</v>
      </c>
      <c r="BI2252" s="866" t="s">
        <v>247</v>
      </c>
    </row>
    <row r="2253" spans="1:61" x14ac:dyDescent="0.25">
      <c r="A2253" s="2371">
        <v>10</v>
      </c>
      <c r="B2253" s="2385" t="s">
        <v>4077</v>
      </c>
      <c r="C2253" s="2374"/>
      <c r="D2253" s="2374"/>
      <c r="E2253" s="2374"/>
      <c r="F2253" s="2374"/>
      <c r="G2253" s="2371"/>
      <c r="H2253" s="2371"/>
      <c r="I2253" s="238">
        <v>1001</v>
      </c>
      <c r="J2253" s="129"/>
      <c r="K2253" s="129"/>
      <c r="L2253" s="1782" t="s">
        <v>3278</v>
      </c>
      <c r="M2253" s="1012"/>
      <c r="N2253" s="665"/>
      <c r="O2253" s="665"/>
      <c r="P2253" s="94"/>
      <c r="Q2253" s="94"/>
      <c r="R2253" s="94"/>
      <c r="S2253" s="94"/>
      <c r="T2253" s="94"/>
      <c r="U2253" s="94"/>
      <c r="V2253" s="94"/>
      <c r="W2253" s="94"/>
      <c r="X2253" s="94"/>
      <c r="Y2253" s="648"/>
      <c r="AB2253" s="648"/>
      <c r="AC2253" s="970"/>
      <c r="AD2253" s="970"/>
      <c r="AE2253" s="970"/>
      <c r="AF2253" s="648"/>
      <c r="AG2253" s="648"/>
      <c r="AH2253" s="648"/>
      <c r="AI2253" s="648"/>
      <c r="AJ2253" s="648"/>
      <c r="AK2253" s="648"/>
      <c r="AL2253" s="1336"/>
      <c r="AM2253" s="1336"/>
      <c r="AN2253" s="1336"/>
      <c r="AO2253" s="1336"/>
      <c r="AP2253" s="1336"/>
      <c r="AQ2253" s="1336"/>
      <c r="AR2253" s="1336"/>
      <c r="AS2253" s="1336"/>
      <c r="AT2253" s="648"/>
      <c r="AU2253" s="648"/>
      <c r="AV2253" s="648"/>
      <c r="AW2253" s="648"/>
      <c r="AX2253" s="648"/>
      <c r="AY2253" s="648"/>
      <c r="AZ2253" s="648"/>
      <c r="BA2253" s="648"/>
      <c r="BB2253" s="648"/>
      <c r="BC2253" s="648"/>
      <c r="BD2253" s="648"/>
      <c r="BE2253" s="648"/>
      <c r="BF2253" s="648"/>
      <c r="BG2253" s="648"/>
      <c r="BH2253" s="648"/>
    </row>
    <row r="2254" spans="1:61" ht="15.75" thickBot="1" x14ac:dyDescent="0.3">
      <c r="A2254" s="2371">
        <v>10</v>
      </c>
      <c r="B2254" s="2385" t="s">
        <v>4077</v>
      </c>
      <c r="C2254" s="2374"/>
      <c r="D2254" s="2374"/>
      <c r="E2254" s="2374"/>
      <c r="F2254" s="2374"/>
      <c r="G2254" s="2371"/>
      <c r="H2254" s="2371"/>
      <c r="I2254" s="240"/>
      <c r="J2254" s="240"/>
      <c r="K2254" s="240"/>
      <c r="L2254" s="1797"/>
      <c r="M2254" s="1013"/>
      <c r="N2254" s="1052"/>
      <c r="O2254" s="1052"/>
      <c r="P2254" s="99"/>
      <c r="Q2254" s="99"/>
      <c r="R2254" s="99"/>
      <c r="S2254" s="99"/>
      <c r="T2254" s="99"/>
      <c r="U2254" s="99"/>
      <c r="V2254" s="99"/>
      <c r="W2254" s="99"/>
      <c r="X2254" s="99"/>
      <c r="Y2254" s="99"/>
      <c r="Z2254" s="1589"/>
      <c r="AB2254" s="648"/>
      <c r="AC2254" s="970"/>
      <c r="AD2254" s="970"/>
      <c r="AE2254" s="970"/>
      <c r="AF2254" s="648"/>
      <c r="AG2254" s="648"/>
      <c r="AH2254" s="648"/>
      <c r="AI2254" s="648"/>
      <c r="AJ2254" s="648"/>
      <c r="AK2254" s="648"/>
      <c r="AL2254" s="1336"/>
      <c r="AM2254" s="1336"/>
      <c r="AN2254" s="1336"/>
      <c r="AO2254" s="1336"/>
      <c r="AP2254" s="1336"/>
      <c r="AQ2254" s="1336"/>
      <c r="AR2254" s="1336"/>
      <c r="AS2254" s="1336"/>
      <c r="AT2254" s="648"/>
      <c r="AU2254" s="648"/>
      <c r="AV2254" s="648"/>
      <c r="AW2254" s="648"/>
      <c r="AX2254" s="663" t="str">
        <f>'Overview (Verification)'!A10</f>
        <v>Builder Name:</v>
      </c>
      <c r="AY2254" s="752">
        <f>IF(LEN('Overview (Verification)'!P10)=0,0,'Overview (Verification)'!P10)</f>
        <v>0</v>
      </c>
      <c r="AZ2254" s="648"/>
      <c r="BA2254" s="648"/>
      <c r="BB2254" s="648"/>
      <c r="BC2254" s="648"/>
      <c r="BD2254" s="648"/>
      <c r="BE2254" s="648"/>
      <c r="BF2254" s="648"/>
      <c r="BG2254" s="648"/>
      <c r="BH2254" s="648"/>
    </row>
    <row r="2255" spans="1:61" ht="15.75" customHeight="1" thickTop="1" x14ac:dyDescent="0.25">
      <c r="A2255" s="2371">
        <v>10</v>
      </c>
      <c r="B2255" s="2385">
        <v>1001.1</v>
      </c>
      <c r="C2255" s="2374"/>
      <c r="D2255" s="2374"/>
      <c r="E2255" s="2374"/>
      <c r="F2255" s="2374"/>
      <c r="G2255" s="2373" t="str">
        <f>IF(N2255&gt;0,"P","")</f>
        <v/>
      </c>
      <c r="H2255" s="2371" t="s">
        <v>3973</v>
      </c>
      <c r="I2255" s="139">
        <v>1001.1</v>
      </c>
      <c r="J2255" s="4"/>
      <c r="K2255" s="4"/>
      <c r="L2255" s="1796" t="s">
        <v>3279</v>
      </c>
      <c r="M2255" s="1845" t="s">
        <v>3374</v>
      </c>
      <c r="N2255" s="2080">
        <f>'Ch10'!O12</f>
        <v>0</v>
      </c>
      <c r="O2255" s="2075">
        <f>MIN(IF(AND(COUNTIF(W2258:W2260,TRUE)=3,S2258),ROUNDDOWN(COUNTIF(W2264:W2302,TRUE)/2,0),0),8)</f>
        <v>0</v>
      </c>
      <c r="P2255" s="648"/>
      <c r="Q2255" s="648"/>
      <c r="R2255" s="648"/>
      <c r="S2255" s="648"/>
      <c r="T2255" s="648"/>
      <c r="U2255" s="648"/>
      <c r="V2255" s="648"/>
      <c r="W2255" s="648"/>
      <c r="X2255" s="648"/>
      <c r="Y2255" s="648"/>
      <c r="AB2255" s="648"/>
      <c r="AC2255" s="970"/>
      <c r="AD2255" s="970"/>
      <c r="AE2255" s="970"/>
      <c r="AF2255" s="648"/>
      <c r="AG2255" s="648"/>
      <c r="AH2255" s="648"/>
      <c r="AI2255" s="648"/>
      <c r="AJ2255" s="648"/>
      <c r="AK2255" s="648"/>
      <c r="AL2255" s="254" t="str">
        <f>SUBSTITUTE(SUBSTITUTE(SUBSTITUTE("vpa"&amp;$B2255&amp;$C2255&amp;$D2255&amp;$E2255,".","_"),"(","_"),")","")</f>
        <v>vpa1001_1</v>
      </c>
      <c r="AM2255" s="254" t="str">
        <f>M2255</f>
        <v>1
8 Max</v>
      </c>
      <c r="AN2255" s="254" t="str">
        <f>SUBSTITUTE(SUBSTITUTE(SUBSTITUTE("vpc"&amp;$B2255&amp;$C2255&amp;$D2255&amp;$E2255,".","_"),"(","_"),")","")</f>
        <v>vpc1001_1</v>
      </c>
      <c r="AO2255" s="254">
        <f>O2255</f>
        <v>0</v>
      </c>
      <c r="AP2255" s="1336"/>
      <c r="AQ2255" s="1336"/>
      <c r="AR2255" s="1336"/>
      <c r="AS2255" s="1336"/>
      <c r="AT2255" s="648"/>
      <c r="AU2255" s="648"/>
      <c r="AV2255" s="648"/>
      <c r="AW2255" s="648"/>
      <c r="AX2255" s="663" t="str">
        <f>'Overview (Verification)'!A11</f>
        <v>Physical Address of Home:</v>
      </c>
      <c r="AY2255" s="752">
        <f>IF(LEN('Overview (Verification)'!P11)=0,0,'Overview (Verification)'!P11)</f>
        <v>0</v>
      </c>
      <c r="AZ2255" s="648"/>
      <c r="BA2255" s="648"/>
      <c r="BB2255" s="648"/>
      <c r="BC2255" s="648"/>
      <c r="BD2255" s="648"/>
      <c r="BE2255" s="648"/>
      <c r="BF2255" s="648"/>
      <c r="BG2255" s="648"/>
      <c r="BH2255" s="648"/>
    </row>
    <row r="2256" spans="1:61" x14ac:dyDescent="0.25">
      <c r="A2256" s="2371">
        <v>10</v>
      </c>
      <c r="B2256" s="2385">
        <v>1001.1</v>
      </c>
      <c r="C2256" s="2374"/>
      <c r="D2256" s="2374"/>
      <c r="E2256" s="2374"/>
      <c r="F2256" s="2374"/>
      <c r="G2256" s="2373" t="str">
        <f t="shared" ref="G2256:G2302" si="117">G2255</f>
        <v/>
      </c>
      <c r="H2256" s="2371" t="s">
        <v>3973</v>
      </c>
      <c r="I2256" s="4"/>
      <c r="J2256" s="4"/>
      <c r="K2256" s="4"/>
      <c r="L2256" s="1796"/>
      <c r="M2256" s="1845"/>
      <c r="N2256" s="2075"/>
      <c r="O2256" s="2075"/>
      <c r="P2256" s="648"/>
      <c r="Q2256" s="648"/>
      <c r="R2256" s="648"/>
      <c r="S2256" s="648"/>
      <c r="T2256" s="648"/>
      <c r="U2256" s="648"/>
      <c r="V2256" s="648"/>
      <c r="W2256" s="648"/>
      <c r="X2256" s="648"/>
      <c r="Y2256" s="648"/>
      <c r="AB2256" s="648"/>
      <c r="AC2256" s="970"/>
      <c r="AD2256" s="970"/>
      <c r="AE2256" s="970"/>
      <c r="AF2256" s="648"/>
      <c r="AG2256" s="648"/>
      <c r="AH2256" s="648"/>
      <c r="AI2256" s="648"/>
      <c r="AJ2256" s="648"/>
      <c r="AK2256" s="648"/>
      <c r="AL2256" s="254"/>
      <c r="AM2256" s="254"/>
      <c r="AN2256" s="254"/>
      <c r="AO2256" s="254"/>
      <c r="AP2256" s="254"/>
      <c r="AQ2256" s="254"/>
      <c r="AR2256" s="254"/>
      <c r="AS2256" s="254"/>
      <c r="AT2256" s="648"/>
      <c r="AU2256" s="648"/>
      <c r="AV2256" s="648"/>
      <c r="AW2256" s="648"/>
      <c r="AX2256" s="663" t="str">
        <f>'Overview (Verification)'!A12</f>
        <v>Community/Lot #:</v>
      </c>
      <c r="AY2256" s="752">
        <f>IF(LEN('Overview (Verification)'!P12)=0,0,'Overview (Verification)'!P12)</f>
        <v>0</v>
      </c>
      <c r="AZ2256" s="648"/>
      <c r="BA2256" s="648"/>
      <c r="BB2256" s="648"/>
      <c r="BC2256" s="648"/>
      <c r="BD2256" s="648"/>
      <c r="BE2256" s="648"/>
      <c r="BF2256" s="648"/>
      <c r="BG2256" s="648"/>
      <c r="BH2256" s="648"/>
    </row>
    <row r="2257" spans="1:60" x14ac:dyDescent="0.25">
      <c r="A2257" s="2371">
        <v>10</v>
      </c>
      <c r="B2257" s="2385">
        <v>1001.1</v>
      </c>
      <c r="C2257" s="2374"/>
      <c r="D2257" s="2374"/>
      <c r="E2257" s="2374"/>
      <c r="F2257" s="2374"/>
      <c r="G2257" s="2373" t="str">
        <f t="shared" si="117"/>
        <v/>
      </c>
      <c r="H2257" s="2371" t="s">
        <v>3973</v>
      </c>
      <c r="I2257" s="4"/>
      <c r="J2257" s="4"/>
      <c r="K2257" s="4"/>
      <c r="L2257" s="223" t="s">
        <v>3371</v>
      </c>
      <c r="M2257" s="1845"/>
      <c r="N2257" s="2075"/>
      <c r="O2257" s="2075"/>
      <c r="P2257" s="648"/>
      <c r="Q2257" s="648"/>
      <c r="R2257" s="648"/>
      <c r="S2257" s="648"/>
      <c r="T2257" s="648"/>
      <c r="U2257" s="648"/>
      <c r="V2257" s="648"/>
      <c r="W2257" s="648"/>
      <c r="X2257" s="648"/>
      <c r="Y2257" s="648"/>
      <c r="AB2257" s="648"/>
      <c r="AC2257" s="970"/>
      <c r="AD2257" s="970"/>
      <c r="AE2257" s="970"/>
      <c r="AF2257" s="648"/>
      <c r="AG2257" s="648"/>
      <c r="AH2257" s="648"/>
      <c r="AI2257" s="648"/>
      <c r="AJ2257" s="648"/>
      <c r="AK2257" s="648"/>
      <c r="AL2257" s="1336"/>
      <c r="AM2257" s="1336"/>
      <c r="AN2257" s="1336"/>
      <c r="AO2257" s="1336"/>
      <c r="AP2257" s="1336"/>
      <c r="AQ2257" s="1336"/>
      <c r="AR2257" s="1336"/>
      <c r="AS2257" s="1336"/>
      <c r="AT2257" s="648"/>
      <c r="AU2257" s="648"/>
      <c r="AV2257" s="648"/>
      <c r="AW2257" s="648"/>
      <c r="AX2257" s="663" t="str">
        <f>'Overview (Verification)'!A13</f>
        <v>City:</v>
      </c>
      <c r="AY2257" s="752">
        <f>IF(LEN('Overview (Verification)'!P13)=0,0,'Overview (Verification)'!P13)</f>
        <v>0</v>
      </c>
      <c r="AZ2257" s="648"/>
      <c r="BA2257" s="648"/>
      <c r="BB2257" s="648"/>
      <c r="BC2257" s="648"/>
      <c r="BD2257" s="648"/>
      <c r="BE2257" s="648"/>
      <c r="BF2257" s="648"/>
      <c r="BG2257" s="648"/>
      <c r="BH2257" s="648"/>
    </row>
    <row r="2258" spans="1:60" x14ac:dyDescent="0.25">
      <c r="A2258" s="2371">
        <v>10</v>
      </c>
      <c r="B2258" s="2385">
        <v>1001.1</v>
      </c>
      <c r="C2258" s="2374" t="s">
        <v>256</v>
      </c>
      <c r="D2258" s="2374"/>
      <c r="E2258" s="2374"/>
      <c r="F2258" s="2397"/>
      <c r="G2258" s="2373" t="str">
        <f t="shared" si="117"/>
        <v/>
      </c>
      <c r="H2258" s="2371" t="s">
        <v>3973</v>
      </c>
      <c r="I2258" s="4"/>
      <c r="J2258" s="206" t="s">
        <v>256</v>
      </c>
      <c r="K2258" s="210"/>
      <c r="L2258" s="1163" t="s">
        <v>3280</v>
      </c>
      <c r="M2258" s="1024" t="str">
        <f t="shared" ref="M2258:M2263" si="118">IF(R2258,"Mandatory","N/A")</f>
        <v>Mandatory</v>
      </c>
      <c r="N2258" s="664"/>
      <c r="O2258" s="1042"/>
      <c r="P2258" s="648" t="b">
        <v>0</v>
      </c>
      <c r="Q2258" s="648" t="b">
        <v>1</v>
      </c>
      <c r="R2258" s="648" t="b">
        <f>S2258</f>
        <v>1</v>
      </c>
      <c r="S2258" s="648" t="b">
        <f>IF(AY2262=INDEX(ddSingleOrMulti,1),TRUE,FALSE)</f>
        <v>1</v>
      </c>
      <c r="T2258" s="94" t="b">
        <f>AND(NOT(S2258),W2258=TRUE)</f>
        <v>0</v>
      </c>
      <c r="U2258" s="648"/>
      <c r="V2258" s="648"/>
      <c r="W2258" s="25"/>
      <c r="X2258" s="650"/>
      <c r="Y2258" s="653" t="str">
        <f>IF(LEN('Ch10'!X15)=0,"None",'Ch10'!X15)</f>
        <v>None</v>
      </c>
      <c r="Z2258" s="1587"/>
      <c r="AB2258" s="648"/>
      <c r="AC2258" s="970" t="b">
        <f>OR(AD2258:AE2258)</f>
        <v>1</v>
      </c>
      <c r="AD2258" s="970" t="b">
        <f>T2258</f>
        <v>0</v>
      </c>
      <c r="AE2258" s="970" t="b">
        <f>AND(R2258,NOT(W2258=TRUE))</f>
        <v>1</v>
      </c>
      <c r="AF2258" s="784"/>
      <c r="AG2258" s="648"/>
      <c r="AH2258" s="648"/>
      <c r="AI2258" s="648"/>
      <c r="AJ2258" s="648"/>
      <c r="AK2258" s="648"/>
      <c r="AL2258" s="254" t="str">
        <f>SUBSTITUTE(SUBSTITUTE(SUBSTITUTE("vpa"&amp;$B2258&amp;$C2258&amp;$D2258&amp;$E2258,".","_"),"(","_"),")","")</f>
        <v>vpa1001_1_1</v>
      </c>
      <c r="AM2258" s="254" t="str">
        <f>M2258</f>
        <v>Mandatory</v>
      </c>
      <c r="AN2258" s="254"/>
      <c r="AO2258" s="254"/>
      <c r="AP2258" s="254" t="str">
        <f>SUBSTITUTE(SUBSTITUTE(SUBSTITUTE("vch"&amp;$B2258&amp;$C2258&amp;$D2258&amp;$E2258,".","_"),"(","_"),")","")</f>
        <v>vch1001_1_1</v>
      </c>
      <c r="AQ2258" s="254" t="str">
        <f>IF(LEN(W2258)=0,"",W2258)</f>
        <v/>
      </c>
      <c r="AR2258" s="254" t="str">
        <f>SUBSTITUTE(SUBSTITUTE(SUBSTITUTE("vnt"&amp;$B2258&amp;$C2258&amp;$D2258&amp;$E2258,".","_"),"(","_"),")","")</f>
        <v>vnt1001_1_1</v>
      </c>
      <c r="AS2258" s="254" t="str">
        <f>IF(LEN(X2258)=0,"",X2258)</f>
        <v/>
      </c>
      <c r="AT2258" s="648"/>
      <c r="AU2258" s="648"/>
      <c r="AV2258" s="648"/>
      <c r="AW2258" s="648"/>
      <c r="AX2258" s="663" t="str">
        <f>'Overview (Verification)'!A14</f>
        <v>State:</v>
      </c>
      <c r="AY2258" s="752">
        <f>IF(LEN('Overview (Verification)'!P14)=0,0,'Overview (Verification)'!P14)</f>
        <v>0</v>
      </c>
      <c r="AZ2258" s="648"/>
      <c r="BA2258" s="648"/>
      <c r="BB2258" s="648"/>
      <c r="BC2258" s="752" t="str">
        <f>'Overview (Verification)'!T14</f>
        <v>State</v>
      </c>
      <c r="BD2258" s="752" t="str">
        <f>'Overview (Verification)'!U14</f>
        <v>County</v>
      </c>
      <c r="BE2258" s="752" t="str">
        <f>'Overview (Verification)'!V14</f>
        <v>Radon</v>
      </c>
      <c r="BF2258" s="752" t="str">
        <f>'Overview (Verification)'!W14</f>
        <v>Climate</v>
      </c>
      <c r="BG2258" s="752" t="str">
        <f>'Overview (Verification)'!X14</f>
        <v>Moist</v>
      </c>
      <c r="BH2258" s="752" t="str">
        <f>'Overview (Verification)'!Y14</f>
        <v>WarmHumid</v>
      </c>
    </row>
    <row r="2259" spans="1:60" x14ac:dyDescent="0.25">
      <c r="A2259" s="2371">
        <v>10</v>
      </c>
      <c r="B2259" s="2385">
        <v>1001.1</v>
      </c>
      <c r="C2259" s="2374" t="s">
        <v>258</v>
      </c>
      <c r="D2259" s="2374"/>
      <c r="E2259" s="2374"/>
      <c r="F2259" s="2397"/>
      <c r="G2259" s="2373" t="str">
        <f t="shared" si="117"/>
        <v/>
      </c>
      <c r="H2259" s="2371" t="s">
        <v>3973</v>
      </c>
      <c r="I2259" s="4"/>
      <c r="J2259" s="207" t="s">
        <v>258</v>
      </c>
      <c r="K2259" s="243"/>
      <c r="L2259" s="280" t="s">
        <v>3281</v>
      </c>
      <c r="M2259" s="1022" t="str">
        <f t="shared" si="118"/>
        <v>Mandatory</v>
      </c>
      <c r="N2259" s="664"/>
      <c r="O2259" s="1042"/>
      <c r="P2259" s="648" t="b">
        <v>0</v>
      </c>
      <c r="Q2259" s="648" t="b">
        <v>1</v>
      </c>
      <c r="R2259" s="648" t="b">
        <f>S2259</f>
        <v>1</v>
      </c>
      <c r="S2259" s="648" t="b">
        <f>IF(AY2262=INDEX(ddSingleOrMulti,1),TRUE,FALSE)</f>
        <v>1</v>
      </c>
      <c r="T2259" s="94" t="b">
        <f>AND(NOT(S2259),W2259=TRUE)</f>
        <v>0</v>
      </c>
      <c r="U2259" s="648"/>
      <c r="V2259" s="648"/>
      <c r="W2259" s="25"/>
      <c r="X2259" s="650"/>
      <c r="Y2259" s="653" t="str">
        <f>IF(LEN('Ch10'!X16)=0,"None",'Ch10'!X16)</f>
        <v>None</v>
      </c>
      <c r="Z2259" s="1587"/>
      <c r="AB2259" s="648"/>
      <c r="AC2259" s="970" t="b">
        <f>OR(AD2259:AE2259)</f>
        <v>1</v>
      </c>
      <c r="AD2259" s="970" t="b">
        <f>T2259</f>
        <v>0</v>
      </c>
      <c r="AE2259" s="970" t="b">
        <f>AND(R2259,NOT(W2259=TRUE))</f>
        <v>1</v>
      </c>
      <c r="AF2259" s="784"/>
      <c r="AG2259" s="648"/>
      <c r="AH2259" s="648"/>
      <c r="AI2259" s="648"/>
      <c r="AJ2259" s="648"/>
      <c r="AK2259" s="648"/>
      <c r="AL2259" s="254" t="str">
        <f>SUBSTITUTE(SUBSTITUTE(SUBSTITUTE("vpa"&amp;$B2259&amp;$C2259&amp;$D2259&amp;$E2259,".","_"),"(","_"),")","")</f>
        <v>vpa1001_1_2</v>
      </c>
      <c r="AM2259" s="254" t="str">
        <f>M2259</f>
        <v>Mandatory</v>
      </c>
      <c r="AN2259" s="1336"/>
      <c r="AO2259" s="1336"/>
      <c r="AP2259" s="254" t="str">
        <f>SUBSTITUTE(SUBSTITUTE(SUBSTITUTE("vch"&amp;$B2259&amp;$C2259&amp;$D2259&amp;$E2259,".","_"),"(","_"),")","")</f>
        <v>vch1001_1_2</v>
      </c>
      <c r="AQ2259" s="254" t="str">
        <f>IF(LEN(W2259)=0,"",W2259)</f>
        <v/>
      </c>
      <c r="AR2259" s="254" t="str">
        <f>SUBSTITUTE(SUBSTITUTE(SUBSTITUTE("vnt"&amp;$B2259&amp;$C2259&amp;$D2259&amp;$E2259,".","_"),"(","_"),")","")</f>
        <v>vnt1001_1_2</v>
      </c>
      <c r="AS2259" s="254" t="str">
        <f>IF(LEN(X2259)=0,"",X2259)</f>
        <v/>
      </c>
      <c r="AT2259" s="648"/>
      <c r="AU2259" s="648"/>
      <c r="AV2259" s="648"/>
      <c r="AW2259" s="648"/>
      <c r="AX2259" s="663" t="str">
        <f>'Overview (Verification)'!A15</f>
        <v>County:</v>
      </c>
      <c r="AY2259" s="752">
        <f>IF(LEN('Overview (Verification)'!P15)=0,0,'Overview (Verification)'!P15)</f>
        <v>0</v>
      </c>
      <c r="AZ2259" s="648"/>
      <c r="BA2259" s="648"/>
      <c r="BB2259" s="648"/>
      <c r="BC2259" s="752" t="str">
        <f>'Overview (Verification)'!T15</f>
        <v/>
      </c>
      <c r="BD2259" s="752" t="str">
        <f>'Overview (Verification)'!U15</f>
        <v/>
      </c>
      <c r="BE2259" s="752" t="str">
        <f>'Overview (Verification)'!V15</f>
        <v>!!</v>
      </c>
      <c r="BF2259" s="752" t="str">
        <f>'Overview (Verification)'!W15</f>
        <v>!!</v>
      </c>
      <c r="BG2259" s="752" t="str">
        <f>'Overview (Verification)'!X15</f>
        <v>!!</v>
      </c>
      <c r="BH2259" s="752" t="str">
        <f>'Overview (Verification)'!Y15</f>
        <v>!!</v>
      </c>
    </row>
    <row r="2260" spans="1:60" x14ac:dyDescent="0.25">
      <c r="A2260" s="2371">
        <v>10</v>
      </c>
      <c r="B2260" s="2385">
        <v>1001.1</v>
      </c>
      <c r="C2260" s="2374" t="s">
        <v>260</v>
      </c>
      <c r="D2260" s="2374"/>
      <c r="E2260" s="2374"/>
      <c r="F2260" s="2397"/>
      <c r="G2260" s="2373" t="str">
        <f t="shared" si="117"/>
        <v/>
      </c>
      <c r="H2260" s="2371" t="s">
        <v>3973</v>
      </c>
      <c r="I2260" s="4"/>
      <c r="J2260" s="209" t="s">
        <v>260</v>
      </c>
      <c r="K2260" s="193"/>
      <c r="L2260" s="1778" t="s">
        <v>3282</v>
      </c>
      <c r="M2260" s="1872" t="str">
        <f t="shared" si="118"/>
        <v>Mandatory</v>
      </c>
      <c r="N2260" s="664"/>
      <c r="O2260" s="1042"/>
      <c r="P2260" s="648" t="b">
        <v>0</v>
      </c>
      <c r="Q2260" s="648" t="b">
        <v>1</v>
      </c>
      <c r="R2260" s="648" t="b">
        <f>S2260</f>
        <v>1</v>
      </c>
      <c r="S2260" s="648" t="b">
        <f>IF(AY2262=INDEX(ddSingleOrMulti,1),TRUE,FALSE)</f>
        <v>1</v>
      </c>
      <c r="T2260" s="94" t="b">
        <f>AND(NOT(S2260),W2260=TRUE)</f>
        <v>0</v>
      </c>
      <c r="U2260" s="648"/>
      <c r="V2260" s="648"/>
      <c r="W2260" s="25"/>
      <c r="X2260" s="1798"/>
      <c r="Y2260" s="2077" t="str">
        <f>IF(LEN('Ch10'!X17)=0,"None",'Ch10'!X17)</f>
        <v>None</v>
      </c>
      <c r="Z2260" s="2083"/>
      <c r="AB2260" s="648"/>
      <c r="AC2260" s="970" t="b">
        <f>OR(AD2260:AE2260)</f>
        <v>1</v>
      </c>
      <c r="AD2260" s="970" t="b">
        <f>T2260</f>
        <v>0</v>
      </c>
      <c r="AE2260" s="970" t="b">
        <f>AND(R2260,NOT(W2260=TRUE))</f>
        <v>1</v>
      </c>
      <c r="AF2260" s="784"/>
      <c r="AG2260" s="648"/>
      <c r="AH2260" s="648"/>
      <c r="AI2260" s="648"/>
      <c r="AJ2260" s="648"/>
      <c r="AK2260" s="648"/>
      <c r="AL2260" s="254" t="str">
        <f>SUBSTITUTE(SUBSTITUTE(SUBSTITUTE("vpa"&amp;$B2260&amp;$C2260&amp;$D2260&amp;$E2260,".","_"),"(","_"),")","")</f>
        <v>vpa1001_1_3</v>
      </c>
      <c r="AM2260" s="254" t="str">
        <f>M2260</f>
        <v>Mandatory</v>
      </c>
      <c r="AN2260" s="1336"/>
      <c r="AO2260" s="1336"/>
      <c r="AP2260" s="254" t="str">
        <f>SUBSTITUTE(SUBSTITUTE(SUBSTITUTE("vch"&amp;$B2260&amp;$C2260&amp;$D2260&amp;$E2260,".","_"),"(","_"),")","")</f>
        <v>vch1001_1_3</v>
      </c>
      <c r="AQ2260" s="254" t="str">
        <f>IF(LEN(W2260)=0,"",W2260)</f>
        <v/>
      </c>
      <c r="AR2260" s="254" t="str">
        <f>SUBSTITUTE(SUBSTITUTE(SUBSTITUTE("vnt"&amp;$B2260&amp;$C2260&amp;$D2260&amp;$E2260,".","_"),"(","_"),")","")</f>
        <v>vnt1001_1_3</v>
      </c>
      <c r="AS2260" s="254" t="str">
        <f>IF(LEN(X2260)=0,"",X2260)</f>
        <v/>
      </c>
      <c r="AT2260" s="648"/>
      <c r="AU2260" s="648"/>
      <c r="AV2260" s="648"/>
      <c r="AW2260" s="648"/>
      <c r="AX2260" s="663" t="str">
        <f>'Overview (Verification)'!A16</f>
        <v>Zip:</v>
      </c>
      <c r="AY2260" s="752">
        <f>IF(LEN('Overview (Verification)'!P16)=0,0,'Overview (Verification)'!P16)</f>
        <v>0</v>
      </c>
      <c r="AZ2260" s="648"/>
      <c r="BA2260" s="648"/>
      <c r="BB2260" s="648"/>
      <c r="BC2260" s="648"/>
      <c r="BD2260" s="648"/>
      <c r="BE2260" s="648"/>
      <c r="BF2260" s="648"/>
      <c r="BG2260" s="648"/>
      <c r="BH2260" s="648"/>
    </row>
    <row r="2261" spans="1:60" x14ac:dyDescent="0.25">
      <c r="A2261" s="2371">
        <v>10</v>
      </c>
      <c r="B2261" s="2385">
        <v>1001.1</v>
      </c>
      <c r="C2261" s="2374" t="s">
        <v>260</v>
      </c>
      <c r="D2261" s="2374"/>
      <c r="E2261" s="2374"/>
      <c r="F2261" s="2397"/>
      <c r="G2261" s="2373" t="str">
        <f t="shared" si="117"/>
        <v/>
      </c>
      <c r="H2261" s="2371" t="s">
        <v>3973</v>
      </c>
      <c r="I2261" s="4"/>
      <c r="J2261" s="183"/>
      <c r="K2261" s="129"/>
      <c r="L2261" s="1754"/>
      <c r="M2261" s="1837" t="str">
        <f t="shared" si="118"/>
        <v>N/A</v>
      </c>
      <c r="N2261" s="664"/>
      <c r="O2261" s="1042"/>
      <c r="P2261" s="648"/>
      <c r="Q2261" s="648"/>
      <c r="R2261" s="648"/>
      <c r="S2261" s="648"/>
      <c r="T2261" s="648"/>
      <c r="U2261" s="648"/>
      <c r="V2261" s="648"/>
      <c r="W2261" s="648"/>
      <c r="X2261" s="1799"/>
      <c r="Y2261" s="2077"/>
      <c r="Z2261" s="2083"/>
      <c r="AB2261" s="648"/>
      <c r="AC2261" s="970"/>
      <c r="AD2261" s="970"/>
      <c r="AE2261" s="970"/>
      <c r="AF2261" s="648"/>
      <c r="AG2261" s="648"/>
      <c r="AH2261" s="648"/>
      <c r="AI2261" s="648"/>
      <c r="AJ2261" s="648"/>
      <c r="AK2261" s="648"/>
      <c r="AL2261" s="1336"/>
      <c r="AM2261" s="1336"/>
      <c r="AN2261" s="1336"/>
      <c r="AO2261" s="1336"/>
      <c r="AP2261" s="1336"/>
      <c r="AQ2261" s="1336"/>
      <c r="AR2261" s="1336"/>
      <c r="AS2261" s="1336"/>
      <c r="AT2261" s="648"/>
      <c r="AU2261" s="648"/>
      <c r="AV2261" s="648"/>
      <c r="AW2261" s="648"/>
      <c r="AX2261" s="649"/>
      <c r="AY2261" s="752"/>
      <c r="AZ2261" s="648"/>
      <c r="BA2261" s="648"/>
      <c r="BB2261" s="648"/>
      <c r="BC2261" s="648"/>
      <c r="BD2261" s="648"/>
      <c r="BE2261" s="648"/>
      <c r="BF2261" s="648"/>
      <c r="BG2261" s="648"/>
      <c r="BH2261" s="648"/>
    </row>
    <row r="2262" spans="1:60" x14ac:dyDescent="0.25">
      <c r="A2262" s="2371">
        <v>10</v>
      </c>
      <c r="B2262" s="2385">
        <v>1001.1</v>
      </c>
      <c r="C2262" s="2374" t="s">
        <v>260</v>
      </c>
      <c r="D2262" s="2374"/>
      <c r="E2262" s="2374"/>
      <c r="F2262" s="2397"/>
      <c r="G2262" s="2373" t="str">
        <f t="shared" si="117"/>
        <v/>
      </c>
      <c r="H2262" s="2371" t="s">
        <v>3973</v>
      </c>
      <c r="I2262" s="4"/>
      <c r="J2262" s="183"/>
      <c r="K2262" s="129"/>
      <c r="L2262" s="1754"/>
      <c r="M2262" s="1837" t="str">
        <f t="shared" si="118"/>
        <v>N/A</v>
      </c>
      <c r="N2262" s="664"/>
      <c r="O2262" s="1042"/>
      <c r="P2262" s="648"/>
      <c r="Q2262" s="648"/>
      <c r="R2262" s="648"/>
      <c r="S2262" s="648"/>
      <c r="T2262" s="648"/>
      <c r="U2262" s="648"/>
      <c r="V2262" s="648"/>
      <c r="W2262" s="648"/>
      <c r="X2262" s="1799"/>
      <c r="Y2262" s="2077"/>
      <c r="Z2262" s="2083"/>
      <c r="AB2262" s="648"/>
      <c r="AC2262" s="970"/>
      <c r="AD2262" s="970"/>
      <c r="AE2262" s="970"/>
      <c r="AF2262" s="648"/>
      <c r="AG2262" s="648"/>
      <c r="AH2262" s="648"/>
      <c r="AI2262" s="648"/>
      <c r="AJ2262" s="648"/>
      <c r="AK2262" s="648"/>
      <c r="AL2262" s="1336"/>
      <c r="AM2262" s="1336"/>
      <c r="AN2262" s="1336"/>
      <c r="AO2262" s="1336"/>
      <c r="AP2262" s="1336"/>
      <c r="AQ2262" s="1336"/>
      <c r="AR2262" s="1336"/>
      <c r="AS2262" s="1336"/>
      <c r="AT2262" s="648"/>
      <c r="AU2262" s="648"/>
      <c r="AV2262" s="648"/>
      <c r="AW2262" s="648"/>
      <c r="AX2262" s="663" t="str">
        <f>'Overview (Verification)'!A18</f>
        <v>Single-Family or Multifamily:</v>
      </c>
      <c r="AY2262" s="752" t="str">
        <f>IF(LEN('Overview (Verification)'!P18)=0,0,'Overview (Verification)'!P18)</f>
        <v>Single-Family</v>
      </c>
      <c r="AZ2262" s="648"/>
      <c r="BA2262" s="648"/>
      <c r="BB2262" s="648"/>
      <c r="BC2262" s="648"/>
      <c r="BD2262" s="648"/>
      <c r="BE2262" s="648"/>
      <c r="BF2262" s="648"/>
      <c r="BG2262" s="648"/>
      <c r="BH2262" s="648"/>
    </row>
    <row r="2263" spans="1:60" x14ac:dyDescent="0.25">
      <c r="A2263" s="2371">
        <v>10</v>
      </c>
      <c r="B2263" s="2385">
        <v>1001.1</v>
      </c>
      <c r="C2263" s="2374" t="s">
        <v>260</v>
      </c>
      <c r="D2263" s="2374"/>
      <c r="E2263" s="2374"/>
      <c r="F2263" s="2397"/>
      <c r="G2263" s="2373" t="str">
        <f t="shared" si="117"/>
        <v/>
      </c>
      <c r="H2263" s="2371" t="s">
        <v>3973</v>
      </c>
      <c r="I2263" s="4"/>
      <c r="J2263" s="206"/>
      <c r="K2263" s="210"/>
      <c r="L2263" s="1755"/>
      <c r="M2263" s="1844" t="str">
        <f t="shared" si="118"/>
        <v>N/A</v>
      </c>
      <c r="N2263" s="664"/>
      <c r="O2263" s="1042"/>
      <c r="P2263" s="648"/>
      <c r="Q2263" s="648"/>
      <c r="R2263" s="648"/>
      <c r="S2263" s="648"/>
      <c r="T2263" s="648"/>
      <c r="U2263" s="648"/>
      <c r="V2263" s="648"/>
      <c r="W2263" s="648"/>
      <c r="X2263" s="1756"/>
      <c r="Y2263" s="2077"/>
      <c r="Z2263" s="2083"/>
      <c r="AB2263" s="648"/>
      <c r="AC2263" s="970"/>
      <c r="AD2263" s="970"/>
      <c r="AE2263" s="970"/>
      <c r="AF2263" s="648"/>
      <c r="AG2263" s="648"/>
      <c r="AH2263" s="648"/>
      <c r="AI2263" s="648"/>
      <c r="AJ2263" s="648"/>
      <c r="AK2263" s="648"/>
      <c r="AL2263" s="1336"/>
      <c r="AM2263" s="1336"/>
      <c r="AN2263" s="1336"/>
      <c r="AO2263" s="1336"/>
      <c r="AP2263" s="1336"/>
      <c r="AQ2263" s="1336"/>
      <c r="AR2263" s="1336"/>
      <c r="AS2263" s="1336"/>
      <c r="AT2263" s="648"/>
      <c r="AU2263" s="648"/>
      <c r="AV2263" s="648"/>
      <c r="AW2263" s="648"/>
      <c r="AX2263" s="663" t="str">
        <f>'Overview (Verification)'!A19</f>
        <v>Number of Units:</v>
      </c>
      <c r="AY2263" s="752">
        <f>IF(LEN('Overview (Verification)'!P19)=0,0,'Overview (Verification)'!P19)</f>
        <v>0</v>
      </c>
      <c r="AZ2263" s="648"/>
      <c r="BA2263" s="648"/>
      <c r="BB2263" s="648"/>
      <c r="BC2263" s="648"/>
      <c r="BD2263" s="648"/>
      <c r="BE2263" s="648"/>
      <c r="BF2263" s="648"/>
      <c r="BG2263" s="648"/>
      <c r="BH2263" s="648"/>
    </row>
    <row r="2264" spans="1:60" x14ac:dyDescent="0.25">
      <c r="A2264" s="2371">
        <v>10</v>
      </c>
      <c r="B2264" s="2385">
        <v>1001.1</v>
      </c>
      <c r="C2264" s="2374" t="s">
        <v>269</v>
      </c>
      <c r="D2264" s="2374"/>
      <c r="E2264" s="2374"/>
      <c r="F2264" s="2397"/>
      <c r="G2264" s="2373" t="str">
        <f t="shared" si="117"/>
        <v/>
      </c>
      <c r="H2264" s="2371" t="s">
        <v>3973</v>
      </c>
      <c r="I2264" s="4"/>
      <c r="J2264" s="207" t="s">
        <v>269</v>
      </c>
      <c r="K2264" s="243"/>
      <c r="L2264" s="280" t="s">
        <v>3283</v>
      </c>
      <c r="M2264" s="1018"/>
      <c r="N2264" s="664"/>
      <c r="O2264" s="1042"/>
      <c r="P2264" s="648" t="b">
        <v>0</v>
      </c>
      <c r="Q2264" s="648" t="b">
        <v>1</v>
      </c>
      <c r="R2264" s="648" t="b">
        <v>0</v>
      </c>
      <c r="S2264" s="648" t="b">
        <f>IF(AY2262=INDEX(ddSingleOrMulti,1),TRUE,FALSE)</f>
        <v>1</v>
      </c>
      <c r="T2264" s="94" t="b">
        <f>AND(NOT(S2264),W2264=TRUE)</f>
        <v>0</v>
      </c>
      <c r="U2264" s="648"/>
      <c r="V2264" s="648"/>
      <c r="W2264" s="25"/>
      <c r="X2264" s="650"/>
      <c r="Y2264" s="653" t="str">
        <f>IF(LEN('Ch10'!X21)=0,"None",'Ch10'!X21)</f>
        <v>None</v>
      </c>
      <c r="Z2264" s="1587"/>
      <c r="AB2264" s="648"/>
      <c r="AC2264" s="970" t="b">
        <f>OR(AD2264:AE2264)</f>
        <v>0</v>
      </c>
      <c r="AD2264" s="970" t="b">
        <f>T2264</f>
        <v>0</v>
      </c>
      <c r="AE2264" s="970"/>
      <c r="AF2264" s="648"/>
      <c r="AG2264" s="648"/>
      <c r="AH2264" s="648"/>
      <c r="AI2264" s="648"/>
      <c r="AJ2264" s="648"/>
      <c r="AK2264" s="648"/>
      <c r="AL2264" s="1336"/>
      <c r="AM2264" s="1336"/>
      <c r="AN2264" s="1336"/>
      <c r="AO2264" s="1336"/>
      <c r="AP2264" s="254" t="str">
        <f>SUBSTITUTE(SUBSTITUTE(SUBSTITUTE("vch"&amp;$B2264&amp;$C2264&amp;$D2264&amp;$E2264,".","_"),"(","_"),")","")</f>
        <v>vch1001_1_4</v>
      </c>
      <c r="AQ2264" s="254" t="str">
        <f>IF(LEN(W2264)=0,"",W2264)</f>
        <v/>
      </c>
      <c r="AR2264" s="254" t="str">
        <f>SUBSTITUTE(SUBSTITUTE(SUBSTITUTE("vnt"&amp;$B2264&amp;$C2264&amp;$D2264&amp;$E2264,".","_"),"(","_"),")","")</f>
        <v>vnt1001_1_4</v>
      </c>
      <c r="AS2264" s="254" t="str">
        <f>IF(LEN(X2264)=0,"",X2264)</f>
        <v/>
      </c>
      <c r="AT2264" s="648"/>
      <c r="AU2264" s="648"/>
      <c r="AV2264" s="648"/>
      <c r="AW2264" s="648"/>
      <c r="AX2264" s="1100" t="str">
        <f>'Overview (Verification)'!A20</f>
        <v>Building includes commercial space pursuing Commercial Space certification?</v>
      </c>
      <c r="AY2264" s="1101">
        <f>IF(LEN('Overview (Verification)'!P20)=0,0,'Overview (Verification)'!P20)</f>
        <v>0</v>
      </c>
      <c r="AZ2264" s="648"/>
      <c r="BA2264" s="648"/>
      <c r="BB2264" s="648"/>
      <c r="BC2264" s="648"/>
      <c r="BD2264" s="648"/>
      <c r="BE2264" s="648"/>
      <c r="BF2264" s="648"/>
      <c r="BG2264" s="648"/>
      <c r="BH2264" s="648"/>
    </row>
    <row r="2265" spans="1:60" x14ac:dyDescent="0.25">
      <c r="A2265" s="2371">
        <v>10</v>
      </c>
      <c r="B2265" s="2385">
        <v>1001.1</v>
      </c>
      <c r="C2265" s="2374" t="s">
        <v>275</v>
      </c>
      <c r="D2265" s="2374"/>
      <c r="E2265" s="2374"/>
      <c r="F2265" s="2397"/>
      <c r="G2265" s="2373" t="str">
        <f t="shared" si="117"/>
        <v/>
      </c>
      <c r="H2265" s="2371" t="s">
        <v>3973</v>
      </c>
      <c r="I2265" s="4"/>
      <c r="J2265" s="207" t="s">
        <v>275</v>
      </c>
      <c r="K2265" s="243"/>
      <c r="L2265" s="280" t="s">
        <v>3284</v>
      </c>
      <c r="M2265" s="1018"/>
      <c r="N2265" s="664"/>
      <c r="O2265" s="1042"/>
      <c r="P2265" s="648" t="b">
        <v>0</v>
      </c>
      <c r="Q2265" s="648" t="b">
        <v>1</v>
      </c>
      <c r="R2265" s="648" t="b">
        <v>0</v>
      </c>
      <c r="S2265" s="648" t="b">
        <f>IF(AY2262=INDEX(ddSingleOrMulti,1),TRUE,FALSE)</f>
        <v>1</v>
      </c>
      <c r="T2265" s="94" t="b">
        <f>AND(NOT(S2265),W2265=TRUE)</f>
        <v>0</v>
      </c>
      <c r="U2265" s="648"/>
      <c r="V2265" s="648"/>
      <c r="W2265" s="25"/>
      <c r="X2265" s="650"/>
      <c r="Y2265" s="653" t="str">
        <f>IF(LEN('Ch10'!X22)=0,"None",'Ch10'!X22)</f>
        <v>None</v>
      </c>
      <c r="Z2265" s="1587"/>
      <c r="AB2265" s="648"/>
      <c r="AC2265" s="970" t="b">
        <f>OR(AD2265:AE2265)</f>
        <v>0</v>
      </c>
      <c r="AD2265" s="970" t="b">
        <f>T2265</f>
        <v>0</v>
      </c>
      <c r="AE2265" s="970"/>
      <c r="AF2265" s="648"/>
      <c r="AG2265" s="648"/>
      <c r="AH2265" s="648"/>
      <c r="AI2265" s="648"/>
      <c r="AJ2265" s="648"/>
      <c r="AK2265" s="648"/>
      <c r="AL2265" s="1336"/>
      <c r="AM2265" s="1336"/>
      <c r="AN2265" s="1336"/>
      <c r="AO2265" s="1336"/>
      <c r="AP2265" s="254" t="str">
        <f>SUBSTITUTE(SUBSTITUTE(SUBSTITUTE("vch"&amp;$B2265&amp;$C2265&amp;$D2265&amp;$E2265,".","_"),"(","_"),")","")</f>
        <v>vch1001_1_5</v>
      </c>
      <c r="AQ2265" s="254" t="str">
        <f>IF(LEN(W2265)=0,"",W2265)</f>
        <v/>
      </c>
      <c r="AR2265" s="254" t="str">
        <f>SUBSTITUTE(SUBSTITUTE(SUBSTITUTE("vnt"&amp;$B2265&amp;$C2265&amp;$D2265&amp;$E2265,".","_"),"(","_"),")","")</f>
        <v>vnt1001_1_5</v>
      </c>
      <c r="AS2265" s="254" t="str">
        <f>IF(LEN(X2265)=0,"",X2265)</f>
        <v/>
      </c>
      <c r="AT2265" s="648"/>
      <c r="AU2265" s="648"/>
      <c r="AV2265" s="648"/>
      <c r="AW2265" s="648"/>
      <c r="AZ2265" s="648"/>
      <c r="BA2265" s="648"/>
      <c r="BB2265" s="648"/>
      <c r="BC2265" s="648"/>
      <c r="BD2265" s="648"/>
      <c r="BE2265" s="648"/>
      <c r="BF2265" s="648"/>
      <c r="BG2265" s="648"/>
      <c r="BH2265" s="648"/>
    </row>
    <row r="2266" spans="1:60" x14ac:dyDescent="0.25">
      <c r="A2266" s="2371">
        <v>10</v>
      </c>
      <c r="B2266" s="2385">
        <v>1001.1</v>
      </c>
      <c r="C2266" s="2374" t="s">
        <v>277</v>
      </c>
      <c r="D2266" s="2374"/>
      <c r="E2266" s="2374"/>
      <c r="F2266" s="2397"/>
      <c r="G2266" s="2373" t="str">
        <f t="shared" si="117"/>
        <v/>
      </c>
      <c r="H2266" s="2371" t="s">
        <v>3973</v>
      </c>
      <c r="I2266" s="4"/>
      <c r="J2266" s="209" t="s">
        <v>277</v>
      </c>
      <c r="K2266" s="193"/>
      <c r="L2266" s="1778" t="s">
        <v>3285</v>
      </c>
      <c r="M2266" s="1018"/>
      <c r="N2266" s="664"/>
      <c r="O2266" s="1042"/>
      <c r="P2266" s="648" t="b">
        <v>0</v>
      </c>
      <c r="Q2266" s="648" t="b">
        <v>1</v>
      </c>
      <c r="R2266" s="648" t="b">
        <v>0</v>
      </c>
      <c r="S2266" s="648" t="b">
        <f>IF(AY2262=INDEX(ddSingleOrMulti,1),TRUE,FALSE)</f>
        <v>1</v>
      </c>
      <c r="T2266" s="94" t="b">
        <f>AND(NOT(S2266),W2266=TRUE)</f>
        <v>0</v>
      </c>
      <c r="U2266" s="648"/>
      <c r="V2266" s="648"/>
      <c r="W2266" s="25"/>
      <c r="X2266" s="1757"/>
      <c r="Y2266" s="2077" t="str">
        <f>IF(LEN('Ch10'!X23)=0,"None",'Ch10'!X23)</f>
        <v>None</v>
      </c>
      <c r="Z2266" s="2083"/>
      <c r="AB2266" s="648"/>
      <c r="AC2266" s="970" t="b">
        <f>OR(AD2266:AE2266)</f>
        <v>0</v>
      </c>
      <c r="AD2266" s="970" t="b">
        <f>T2266</f>
        <v>0</v>
      </c>
      <c r="AE2266" s="970"/>
      <c r="AF2266" s="648"/>
      <c r="AG2266" s="648"/>
      <c r="AH2266" s="648"/>
      <c r="AI2266" s="648"/>
      <c r="AJ2266" s="648"/>
      <c r="AK2266" s="648"/>
      <c r="AL2266" s="1336"/>
      <c r="AM2266" s="1336"/>
      <c r="AN2266" s="1336"/>
      <c r="AO2266" s="1336"/>
      <c r="AP2266" s="254" t="str">
        <f>SUBSTITUTE(SUBSTITUTE(SUBSTITUTE("vch"&amp;$B2266&amp;$C2266&amp;$D2266&amp;$E2266,".","_"),"(","_"),")","")</f>
        <v>vch1001_1_6</v>
      </c>
      <c r="AQ2266" s="254" t="str">
        <f>IF(LEN(W2266)=0,"",W2266)</f>
        <v/>
      </c>
      <c r="AR2266" s="254" t="str">
        <f>SUBSTITUTE(SUBSTITUTE(SUBSTITUTE("vnt"&amp;$B2266&amp;$C2266&amp;$D2266&amp;$E2266,".","_"),"(","_"),")","")</f>
        <v>vnt1001_1_6</v>
      </c>
      <c r="AS2266" s="254" t="str">
        <f>IF(LEN(X2266)=0,"",X2266)</f>
        <v/>
      </c>
      <c r="AT2266" s="648"/>
      <c r="AU2266" s="648"/>
      <c r="AV2266" s="648"/>
      <c r="AW2266" s="648"/>
      <c r="AZ2266" s="648"/>
      <c r="BA2266" s="648"/>
      <c r="BB2266" s="648"/>
      <c r="BC2266" s="648"/>
      <c r="BD2266" s="648"/>
      <c r="BE2266" s="648"/>
      <c r="BF2266" s="648"/>
      <c r="BG2266" s="648"/>
      <c r="BH2266" s="648"/>
    </row>
    <row r="2267" spans="1:60" x14ac:dyDescent="0.25">
      <c r="A2267" s="2371">
        <v>10</v>
      </c>
      <c r="B2267" s="2385">
        <v>1001.1</v>
      </c>
      <c r="C2267" s="2374" t="s">
        <v>277</v>
      </c>
      <c r="D2267" s="2374"/>
      <c r="E2267" s="2374"/>
      <c r="F2267" s="2397"/>
      <c r="G2267" s="2373" t="str">
        <f t="shared" si="117"/>
        <v/>
      </c>
      <c r="H2267" s="2371" t="s">
        <v>3973</v>
      </c>
      <c r="I2267" s="4"/>
      <c r="J2267" s="206"/>
      <c r="K2267" s="210"/>
      <c r="L2267" s="1755"/>
      <c r="M2267" s="1018"/>
      <c r="N2267" s="664"/>
      <c r="O2267" s="1042"/>
      <c r="P2267" s="648"/>
      <c r="Q2267" s="648"/>
      <c r="R2267" s="648"/>
      <c r="S2267" s="648"/>
      <c r="T2267" s="648"/>
      <c r="U2267" s="648"/>
      <c r="V2267" s="648"/>
      <c r="W2267" s="648"/>
      <c r="X2267" s="1757"/>
      <c r="Y2267" s="2077"/>
      <c r="Z2267" s="2083"/>
      <c r="AB2267" s="648"/>
      <c r="AC2267" s="970"/>
      <c r="AD2267" s="970"/>
      <c r="AE2267" s="970"/>
      <c r="AF2267" s="648"/>
      <c r="AG2267" s="648"/>
      <c r="AH2267" s="648"/>
      <c r="AI2267" s="648"/>
      <c r="AJ2267" s="648"/>
      <c r="AK2267" s="648"/>
      <c r="AL2267" s="1336"/>
      <c r="AM2267" s="1336"/>
      <c r="AN2267" s="1336"/>
      <c r="AO2267" s="1336"/>
      <c r="AP2267" s="1336"/>
      <c r="AQ2267" s="1336"/>
      <c r="AR2267" s="1336"/>
      <c r="AS2267" s="1336"/>
      <c r="AT2267" s="648"/>
      <c r="AU2267" s="648"/>
      <c r="AV2267" s="648"/>
      <c r="AW2267" s="648"/>
      <c r="AX2267" s="663" t="str">
        <f>'Overview (Verification)'!A23</f>
        <v>Project Name:</v>
      </c>
      <c r="AY2267" s="752">
        <f>IF(LEN('Overview (Verification)'!P23)=0,0,'Overview (Verification)'!P23)</f>
        <v>0</v>
      </c>
      <c r="AZ2267" s="648"/>
      <c r="BA2267" s="648"/>
      <c r="BB2267" s="648"/>
      <c r="BC2267" s="648"/>
      <c r="BD2267" s="648"/>
      <c r="BE2267" s="648"/>
      <c r="BF2267" s="648"/>
      <c r="BG2267" s="648"/>
      <c r="BH2267" s="648"/>
    </row>
    <row r="2268" spans="1:60" x14ac:dyDescent="0.25">
      <c r="A2268" s="2371">
        <v>10</v>
      </c>
      <c r="B2268" s="2385">
        <v>1001.1</v>
      </c>
      <c r="C2268" s="2374" t="s">
        <v>383</v>
      </c>
      <c r="D2268" s="2374"/>
      <c r="E2268" s="2374"/>
      <c r="F2268" s="2397"/>
      <c r="G2268" s="2373" t="str">
        <f t="shared" si="117"/>
        <v/>
      </c>
      <c r="H2268" s="2371" t="s">
        <v>3973</v>
      </c>
      <c r="I2268" s="4"/>
      <c r="J2268" s="209" t="s">
        <v>383</v>
      </c>
      <c r="K2268" s="193"/>
      <c r="L2268" s="1778" t="s">
        <v>3286</v>
      </c>
      <c r="M2268" s="1018"/>
      <c r="N2268" s="664"/>
      <c r="O2268" s="1042"/>
      <c r="P2268" s="648" t="b">
        <v>0</v>
      </c>
      <c r="Q2268" s="648" t="b">
        <v>1</v>
      </c>
      <c r="R2268" s="648" t="b">
        <v>0</v>
      </c>
      <c r="S2268" s="648" t="b">
        <f>IF(AY2262=INDEX(ddSingleOrMulti,1),TRUE,FALSE)</f>
        <v>1</v>
      </c>
      <c r="T2268" s="94" t="b">
        <f>AND(NOT(S2268),W2268=TRUE)</f>
        <v>0</v>
      </c>
      <c r="U2268" s="648"/>
      <c r="V2268" s="648"/>
      <c r="W2268" s="25"/>
      <c r="X2268" s="1757"/>
      <c r="Y2268" s="2077" t="str">
        <f>IF(LEN('Ch10'!X25)=0,"None",'Ch10'!X25)</f>
        <v>None</v>
      </c>
      <c r="Z2268" s="2083"/>
      <c r="AB2268" s="648"/>
      <c r="AC2268" s="970" t="b">
        <f>OR(AD2268:AE2268)</f>
        <v>0</v>
      </c>
      <c r="AD2268" s="970" t="b">
        <f>T2268</f>
        <v>0</v>
      </c>
      <c r="AE2268" s="970"/>
      <c r="AF2268" s="648"/>
      <c r="AG2268" s="648"/>
      <c r="AH2268" s="648"/>
      <c r="AI2268" s="648"/>
      <c r="AJ2268" s="648"/>
      <c r="AK2268" s="648"/>
      <c r="AL2268" s="1336"/>
      <c r="AM2268" s="1336"/>
      <c r="AN2268" s="1336"/>
      <c r="AO2268" s="1336"/>
      <c r="AP2268" s="254" t="str">
        <f>SUBSTITUTE(SUBSTITUTE(SUBSTITUTE("vch"&amp;$B2268&amp;$C2268&amp;$D2268&amp;$E2268,".","_"),"(","_"),")","")</f>
        <v>vch1001_1_7</v>
      </c>
      <c r="AQ2268" s="254" t="str">
        <f>IF(LEN(W2268)=0,"",W2268)</f>
        <v/>
      </c>
      <c r="AR2268" s="254" t="str">
        <f>SUBSTITUTE(SUBSTITUTE(SUBSTITUTE("vnt"&amp;$B2268&amp;$C2268&amp;$D2268&amp;$E2268,".","_"),"(","_"),")","")</f>
        <v>vnt1001_1_7</v>
      </c>
      <c r="AS2268" s="254" t="str">
        <f>IF(LEN(X2268)=0,"",X2268)</f>
        <v/>
      </c>
      <c r="AT2268" s="648"/>
      <c r="AU2268" s="648"/>
      <c r="AV2268" s="648"/>
      <c r="AW2268" s="648"/>
      <c r="AX2268" s="649"/>
      <c r="AY2268" s="752"/>
      <c r="AZ2268" s="648"/>
      <c r="BA2268" s="648"/>
      <c r="BB2268" s="648"/>
      <c r="BC2268" s="648"/>
      <c r="BD2268" s="648"/>
      <c r="BE2268" s="648"/>
      <c r="BF2268" s="648"/>
      <c r="BG2268" s="648"/>
      <c r="BH2268" s="648"/>
    </row>
    <row r="2269" spans="1:60" x14ac:dyDescent="0.25">
      <c r="A2269" s="2371">
        <v>10</v>
      </c>
      <c r="B2269" s="2385">
        <v>1001.1</v>
      </c>
      <c r="C2269" s="2374" t="s">
        <v>383</v>
      </c>
      <c r="D2269" s="2374"/>
      <c r="E2269" s="2374"/>
      <c r="F2269" s="2397"/>
      <c r="G2269" s="2373" t="str">
        <f t="shared" si="117"/>
        <v/>
      </c>
      <c r="H2269" s="2371" t="s">
        <v>3973</v>
      </c>
      <c r="I2269" s="4"/>
      <c r="J2269" s="206"/>
      <c r="K2269" s="210"/>
      <c r="L2269" s="1755"/>
      <c r="M2269" s="1018"/>
      <c r="N2269" s="664"/>
      <c r="O2269" s="1042"/>
      <c r="P2269" s="648"/>
      <c r="Q2269" s="648"/>
      <c r="R2269" s="648"/>
      <c r="S2269" s="648"/>
      <c r="T2269" s="648"/>
      <c r="U2269" s="648"/>
      <c r="V2269" s="648"/>
      <c r="W2269" s="648"/>
      <c r="X2269" s="1757"/>
      <c r="Y2269" s="2077"/>
      <c r="Z2269" s="2083"/>
      <c r="AB2269" s="648"/>
      <c r="AC2269" s="970"/>
      <c r="AD2269" s="970"/>
      <c r="AE2269" s="970"/>
      <c r="AF2269" s="648"/>
      <c r="AG2269" s="648"/>
      <c r="AH2269" s="648"/>
      <c r="AI2269" s="648"/>
      <c r="AJ2269" s="648"/>
      <c r="AK2269" s="648"/>
      <c r="AL2269" s="1336"/>
      <c r="AM2269" s="1336"/>
      <c r="AN2269" s="1336"/>
      <c r="AO2269" s="1336"/>
      <c r="AP2269" s="1336"/>
      <c r="AQ2269" s="1336"/>
      <c r="AR2269" s="1336"/>
      <c r="AS2269" s="1336"/>
      <c r="AT2269" s="648"/>
      <c r="AU2269" s="648"/>
      <c r="AV2269" s="648"/>
      <c r="AW2269" s="648"/>
      <c r="AX2269" s="663" t="str">
        <f>'Overview (Verification)'!A25</f>
        <v>Above grade plane finished floor area:</v>
      </c>
      <c r="AY2269" s="752">
        <f>IF(LEN('Overview (Verification)'!P25)=0,0,'Overview (Verification)'!P25)</f>
        <v>0</v>
      </c>
      <c r="AZ2269" s="648"/>
      <c r="BA2269" s="648"/>
      <c r="BB2269" s="648"/>
      <c r="BC2269" s="648"/>
      <c r="BD2269" s="648"/>
      <c r="BE2269" s="648"/>
      <c r="BF2269" s="648"/>
      <c r="BG2269" s="648"/>
      <c r="BH2269" s="648"/>
    </row>
    <row r="2270" spans="1:60" x14ac:dyDescent="0.25">
      <c r="A2270" s="2371">
        <v>10</v>
      </c>
      <c r="B2270" s="2385">
        <v>1001.1</v>
      </c>
      <c r="C2270" s="2374" t="s">
        <v>428</v>
      </c>
      <c r="D2270" s="2374"/>
      <c r="E2270" s="2374"/>
      <c r="F2270" s="2397"/>
      <c r="G2270" s="2373" t="str">
        <f t="shared" si="117"/>
        <v/>
      </c>
      <c r="H2270" s="2371" t="s">
        <v>3973</v>
      </c>
      <c r="I2270" s="4"/>
      <c r="J2270" s="207" t="s">
        <v>428</v>
      </c>
      <c r="K2270" s="243"/>
      <c r="L2270" s="280" t="s">
        <v>3287</v>
      </c>
      <c r="M2270" s="1018"/>
      <c r="N2270" s="664"/>
      <c r="O2270" s="1042"/>
      <c r="P2270" s="648" t="b">
        <v>0</v>
      </c>
      <c r="Q2270" s="648" t="b">
        <v>1</v>
      </c>
      <c r="R2270" s="648" t="b">
        <v>0</v>
      </c>
      <c r="S2270" s="648" t="b">
        <f>IF(AY2262=INDEX(ddSingleOrMulti,1),TRUE,FALSE)</f>
        <v>1</v>
      </c>
      <c r="T2270" s="94" t="b">
        <f>AND(NOT(S2270),W2270=TRUE)</f>
        <v>0</v>
      </c>
      <c r="U2270" s="648"/>
      <c r="V2270" s="648"/>
      <c r="W2270" s="25"/>
      <c r="X2270" s="650"/>
      <c r="Y2270" s="653" t="str">
        <f>IF(LEN('Ch10'!X27)=0,"None",'Ch10'!X27)</f>
        <v>None</v>
      </c>
      <c r="Z2270" s="1587"/>
      <c r="AB2270" s="648"/>
      <c r="AC2270" s="970" t="b">
        <f>OR(AD2270:AE2270)</f>
        <v>0</v>
      </c>
      <c r="AD2270" s="970" t="b">
        <f>T2270</f>
        <v>0</v>
      </c>
      <c r="AE2270" s="970"/>
      <c r="AF2270" s="648"/>
      <c r="AG2270" s="648"/>
      <c r="AH2270" s="648"/>
      <c r="AI2270" s="648"/>
      <c r="AJ2270" s="648"/>
      <c r="AK2270" s="648"/>
      <c r="AL2270" s="1336"/>
      <c r="AM2270" s="1336"/>
      <c r="AN2270" s="1336"/>
      <c r="AO2270" s="1336"/>
      <c r="AP2270" s="254" t="str">
        <f>SUBSTITUTE(SUBSTITUTE(SUBSTITUTE("vch"&amp;$B2270&amp;$C2270&amp;$D2270&amp;$E2270,".","_"),"(","_"),")","")</f>
        <v>vch1001_1_8</v>
      </c>
      <c r="AQ2270" s="254" t="str">
        <f>IF(LEN(W2270)=0,"",W2270)</f>
        <v/>
      </c>
      <c r="AR2270" s="254" t="str">
        <f>SUBSTITUTE(SUBSTITUTE(SUBSTITUTE("vnt"&amp;$B2270&amp;$C2270&amp;$D2270&amp;$E2270,".","_"),"(","_"),")","")</f>
        <v>vnt1001_1_8</v>
      </c>
      <c r="AS2270" s="254" t="str">
        <f>IF(LEN(X2270)=0,"",X2270)</f>
        <v/>
      </c>
      <c r="AT2270" s="648"/>
      <c r="AU2270" s="648"/>
      <c r="AV2270" s="648"/>
      <c r="AW2270" s="648"/>
      <c r="AX2270" s="663" t="str">
        <f>'Overview (Verification)'!A26</f>
        <v>Total conditioned floor area:</v>
      </c>
      <c r="AY2270" s="752">
        <f>IF(LEN('Overview (Verification)'!P26)=0,0,'Overview (Verification)'!P26)</f>
        <v>0</v>
      </c>
      <c r="AZ2270" s="648"/>
      <c r="BA2270" s="648"/>
      <c r="BB2270" s="648"/>
      <c r="BC2270" s="648"/>
      <c r="BD2270" s="648"/>
      <c r="BE2270" s="648"/>
      <c r="BF2270" s="648"/>
      <c r="BG2270" s="648"/>
      <c r="BH2270" s="648"/>
    </row>
    <row r="2271" spans="1:60" ht="15" customHeight="1" x14ac:dyDescent="0.25">
      <c r="A2271" s="2371">
        <v>10</v>
      </c>
      <c r="B2271" s="2385">
        <v>1001.1</v>
      </c>
      <c r="C2271" s="2374" t="s">
        <v>430</v>
      </c>
      <c r="D2271" s="2374"/>
      <c r="E2271" s="2374"/>
      <c r="F2271" s="2397"/>
      <c r="G2271" s="2373" t="str">
        <f t="shared" si="117"/>
        <v/>
      </c>
      <c r="H2271" s="2371" t="s">
        <v>3973</v>
      </c>
      <c r="I2271" s="4"/>
      <c r="J2271" s="27" t="s">
        <v>430</v>
      </c>
      <c r="K2271" s="4"/>
      <c r="L2271" s="1760" t="s">
        <v>3288</v>
      </c>
      <c r="M2271" s="1857" t="str">
        <f ca="1">IF(R2271,"Mandatory per 902.2.1","N/A")</f>
        <v>N/A</v>
      </c>
      <c r="N2271" s="664"/>
      <c r="O2271" s="1042"/>
      <c r="P2271" s="648" t="b">
        <v>0</v>
      </c>
      <c r="Q2271" s="648" t="b">
        <v>1</v>
      </c>
      <c r="R2271" s="1" t="b">
        <f ca="1">AND(S2271,OR($O$2085&gt;0,$R$2085))</f>
        <v>0</v>
      </c>
      <c r="S2271" s="648" t="b">
        <f>IF(AY2262=INDEX(ddSingleOrMulti,1),TRUE,FALSE)</f>
        <v>1</v>
      </c>
      <c r="T2271" s="94" t="b">
        <f>AND(NOT(S2271),W2271=TRUE)</f>
        <v>0</v>
      </c>
      <c r="U2271" s="648"/>
      <c r="V2271" s="648"/>
      <c r="W2271" s="25"/>
      <c r="X2271" s="1798"/>
      <c r="Y2271" s="2099" t="str">
        <f>IF(LEN('Ch10'!X28)=0,"None",'Ch10'!X28)</f>
        <v>None</v>
      </c>
      <c r="Z2271" s="2087"/>
      <c r="AB2271" s="648"/>
      <c r="AC2271" s="970" t="b">
        <f ca="1">OR(AD2271:AE2271)</f>
        <v>0</v>
      </c>
      <c r="AD2271" s="970" t="b">
        <f>T2271</f>
        <v>0</v>
      </c>
      <c r="AE2271" s="970" t="b">
        <f ca="1">AND(R2271,NOT(W2271=TRUE))</f>
        <v>0</v>
      </c>
      <c r="AF2271" s="784"/>
      <c r="AG2271" s="648"/>
      <c r="AH2271" s="648"/>
      <c r="AI2271" s="648"/>
      <c r="AJ2271" s="648"/>
      <c r="AK2271" s="648"/>
      <c r="AL2271" s="254" t="str">
        <f>SUBSTITUTE(SUBSTITUTE(SUBSTITUTE("vpa"&amp;$B2271&amp;$C2271&amp;$D2271&amp;$E2271,".","_"),"(","_"),")","")</f>
        <v>vpa1001_1_9</v>
      </c>
      <c r="AM2271" s="254" t="str">
        <f ca="1">M2271</f>
        <v>N/A</v>
      </c>
      <c r="AN2271" s="1336"/>
      <c r="AO2271" s="1336"/>
      <c r="AP2271" s="254" t="str">
        <f>SUBSTITUTE(SUBSTITUTE(SUBSTITUTE("vch"&amp;$B2271&amp;$C2271&amp;$D2271&amp;$E2271,".","_"),"(","_"),")","")</f>
        <v>vch1001_1_9</v>
      </c>
      <c r="AQ2271" s="254" t="str">
        <f>IF(LEN(W2271)=0,"",W2271)</f>
        <v/>
      </c>
      <c r="AR2271" s="254" t="str">
        <f>SUBSTITUTE(SUBSTITUTE(SUBSTITUTE("vnt"&amp;$B2271&amp;$C2271&amp;$D2271&amp;$E2271,".","_"),"(","_"),")","")</f>
        <v>vnt1001_1_9</v>
      </c>
      <c r="AS2271" s="254" t="str">
        <f>IF(LEN(X2271)=0,"",X2271)</f>
        <v/>
      </c>
      <c r="AT2271" s="648"/>
      <c r="AU2271" s="648"/>
      <c r="AV2271" s="648"/>
      <c r="AW2271" s="648"/>
      <c r="AX2271" s="663" t="str">
        <f>'Overview (Verification)'!A27</f>
        <v>Stories above grade:</v>
      </c>
      <c r="AY2271" s="752">
        <f>IF(LEN('Overview (Verification)'!P27)=0,0,'Overview (Verification)'!P27)</f>
        <v>0</v>
      </c>
      <c r="AZ2271" s="648"/>
      <c r="BA2271" s="648"/>
      <c r="BB2271" s="648"/>
      <c r="BC2271" s="648"/>
      <c r="BD2271" s="648"/>
      <c r="BE2271" s="648"/>
      <c r="BF2271" s="648"/>
      <c r="BG2271" s="648"/>
      <c r="BH2271" s="648"/>
    </row>
    <row r="2272" spans="1:60" s="743" customFormat="1" ht="15" customHeight="1" x14ac:dyDescent="0.25">
      <c r="A2272" s="2371">
        <v>10</v>
      </c>
      <c r="B2272" s="2385">
        <v>1001.1</v>
      </c>
      <c r="C2272" s="2374" t="s">
        <v>430</v>
      </c>
      <c r="D2272" s="2374"/>
      <c r="E2272" s="2374"/>
      <c r="F2272" s="2397"/>
      <c r="G2272" s="2373" t="str">
        <f t="shared" si="117"/>
        <v/>
      </c>
      <c r="H2272" s="2371" t="s">
        <v>3973</v>
      </c>
      <c r="I2272" s="4"/>
      <c r="J2272" s="27"/>
      <c r="K2272" s="4"/>
      <c r="L2272" s="1761"/>
      <c r="M2272" s="1857"/>
      <c r="N2272" s="664"/>
      <c r="O2272" s="1042"/>
      <c r="R2272"/>
      <c r="T2272" s="94"/>
      <c r="W2272"/>
      <c r="X2272" s="1756"/>
      <c r="Y2272" s="2097"/>
      <c r="Z2272" s="2085"/>
      <c r="AA2272" s="783"/>
      <c r="AC2272" s="970"/>
      <c r="AD2272" s="970"/>
      <c r="AE2272" s="970"/>
      <c r="AL2272" s="1336"/>
      <c r="AM2272" s="1336"/>
      <c r="AN2272" s="1336"/>
      <c r="AO2272" s="1336"/>
      <c r="AP2272" s="254"/>
      <c r="AQ2272" s="254"/>
      <c r="AR2272" s="254"/>
      <c r="AS2272" s="254"/>
      <c r="AX2272" s="1605" t="str">
        <f>'Overview (Verification)'!A28</f>
        <v>Project Elevation (ft. above sea level):</v>
      </c>
      <c r="AY2272" s="1606">
        <f>IF(LEN('Overview (Verification)'!P28)=0,0,'Overview (Verification)'!P28)</f>
        <v>0</v>
      </c>
    </row>
    <row r="2273" spans="1:61" x14ac:dyDescent="0.25">
      <c r="A2273" s="2371">
        <v>10</v>
      </c>
      <c r="B2273" s="2385">
        <v>1001.1</v>
      </c>
      <c r="C2273" s="2374" t="s">
        <v>432</v>
      </c>
      <c r="D2273" s="2374"/>
      <c r="E2273" s="2374"/>
      <c r="F2273" s="2397"/>
      <c r="G2273" s="2373" t="str">
        <f>G2271</f>
        <v/>
      </c>
      <c r="H2273" s="2371" t="s">
        <v>3973</v>
      </c>
      <c r="I2273" s="4"/>
      <c r="J2273" s="207" t="s">
        <v>432</v>
      </c>
      <c r="K2273" s="243"/>
      <c r="L2273" s="280" t="s">
        <v>3289</v>
      </c>
      <c r="M2273" s="1018"/>
      <c r="N2273" s="664"/>
      <c r="O2273" s="1042"/>
      <c r="P2273" s="648" t="b">
        <v>0</v>
      </c>
      <c r="Q2273" s="648" t="b">
        <v>1</v>
      </c>
      <c r="R2273" s="648" t="b">
        <v>0</v>
      </c>
      <c r="S2273" s="648" t="b">
        <f>IF(AY2262=INDEX(ddSingleOrMulti,1),TRUE,FALSE)</f>
        <v>1</v>
      </c>
      <c r="T2273" s="94" t="b">
        <f>AND(NOT(S2273),W2273=TRUE)</f>
        <v>0</v>
      </c>
      <c r="U2273" s="648"/>
      <c r="V2273" s="648"/>
      <c r="W2273" s="25"/>
      <c r="X2273" s="650"/>
      <c r="Y2273" s="653" t="str">
        <f>IF(LEN('Ch10'!X30)=0,"None",'Ch10'!X30)</f>
        <v>None</v>
      </c>
      <c r="Z2273" s="1587"/>
      <c r="AB2273" s="648"/>
      <c r="AC2273" s="970" t="b">
        <f>OR(AD2273:AE2273)</f>
        <v>0</v>
      </c>
      <c r="AD2273" s="970" t="b">
        <f>T2273</f>
        <v>0</v>
      </c>
      <c r="AE2273" s="970"/>
      <c r="AF2273" s="648"/>
      <c r="AG2273" s="648"/>
      <c r="AH2273" s="648"/>
      <c r="AI2273" s="648"/>
      <c r="AJ2273" s="648"/>
      <c r="AK2273" s="648"/>
      <c r="AL2273" s="1336"/>
      <c r="AM2273" s="1336"/>
      <c r="AN2273" s="1336"/>
      <c r="AO2273" s="1336"/>
      <c r="AP2273" s="254" t="str">
        <f>SUBSTITUTE(SUBSTITUTE(SUBSTITUTE("vch"&amp;$B2273&amp;$C2273&amp;$D2273&amp;$E2273,".","_"),"(","_"),")","")</f>
        <v>vch1001_1_10</v>
      </c>
      <c r="AQ2273" s="254" t="str">
        <f>IF(LEN(W2273)=0,"",W2273)</f>
        <v/>
      </c>
      <c r="AR2273" s="254" t="str">
        <f>SUBSTITUTE(SUBSTITUTE(SUBSTITUTE("vnt"&amp;$B2273&amp;$C2273&amp;$D2273&amp;$E2273,".","_"),"(","_"),")","")</f>
        <v>vnt1001_1_10</v>
      </c>
      <c r="AS2273" s="254" t="str">
        <f>IF(LEN(X2273)=0,"",X2273)</f>
        <v/>
      </c>
      <c r="AT2273" s="648"/>
      <c r="AU2273" s="648"/>
      <c r="AV2273" s="648"/>
      <c r="AW2273" s="648"/>
      <c r="AX2273" s="648"/>
      <c r="AY2273" s="752"/>
      <c r="AZ2273" s="743"/>
      <c r="BA2273" s="743"/>
      <c r="BB2273" s="743"/>
      <c r="BC2273" s="743"/>
      <c r="BD2273" s="743"/>
      <c r="BE2273" s="743"/>
      <c r="BF2273" s="743"/>
      <c r="BG2273" s="743"/>
      <c r="BH2273" s="743"/>
      <c r="BI2273" s="743"/>
    </row>
    <row r="2274" spans="1:61" ht="15" customHeight="1" x14ac:dyDescent="0.25">
      <c r="A2274" s="2371">
        <v>10</v>
      </c>
      <c r="B2274" s="2385">
        <v>1001.1</v>
      </c>
      <c r="C2274" s="2374" t="s">
        <v>434</v>
      </c>
      <c r="D2274" s="2374"/>
      <c r="E2274" s="2374"/>
      <c r="F2274" s="2397"/>
      <c r="G2274" s="2373" t="str">
        <f t="shared" si="117"/>
        <v/>
      </c>
      <c r="H2274" s="2371" t="s">
        <v>3973</v>
      </c>
      <c r="I2274" s="4"/>
      <c r="J2274" s="27" t="s">
        <v>434</v>
      </c>
      <c r="K2274" s="4"/>
      <c r="L2274" s="1170" t="s">
        <v>3290</v>
      </c>
      <c r="M2274" s="1018"/>
      <c r="N2274" s="664"/>
      <c r="O2274" s="1042"/>
      <c r="P2274" s="648" t="b">
        <v>0</v>
      </c>
      <c r="Q2274" s="648" t="b">
        <v>1</v>
      </c>
      <c r="R2274" s="648" t="b">
        <v>0</v>
      </c>
      <c r="S2274" s="648" t="b">
        <f>IF(AY2262=INDEX(ddSingleOrMulti,1),TRUE,FALSE)</f>
        <v>1</v>
      </c>
      <c r="T2274" s="94" t="b">
        <f>AND(NOT(S2274),W2274=TRUE)</f>
        <v>0</v>
      </c>
      <c r="U2274" s="648"/>
      <c r="V2274" s="648"/>
      <c r="W2274" s="25"/>
      <c r="X2274" s="650"/>
      <c r="Y2274" s="653" t="str">
        <f>IF(LEN('Ch10'!X31)=0,"None",'Ch10'!X31)</f>
        <v>None</v>
      </c>
      <c r="Z2274" s="1587"/>
      <c r="AB2274" s="648"/>
      <c r="AC2274" s="970" t="b">
        <f>OR(AD2274:AE2274)</f>
        <v>0</v>
      </c>
      <c r="AD2274" s="970" t="b">
        <f>T2274</f>
        <v>0</v>
      </c>
      <c r="AE2274" s="970"/>
      <c r="AF2274" s="648"/>
      <c r="AG2274" s="648"/>
      <c r="AH2274" s="648"/>
      <c r="AI2274" s="648"/>
      <c r="AJ2274" s="648"/>
      <c r="AK2274" s="648"/>
      <c r="AL2274" s="1336"/>
      <c r="AM2274" s="1336"/>
      <c r="AN2274" s="1336"/>
      <c r="AO2274" s="1336"/>
      <c r="AP2274" s="254" t="str">
        <f>SUBSTITUTE(SUBSTITUTE(SUBSTITUTE("vch"&amp;$B2274&amp;$C2274&amp;$D2274&amp;$E2274,".","_"),"(","_"),")","")</f>
        <v>vch1001_1_11</v>
      </c>
      <c r="AQ2274" s="254" t="str">
        <f>IF(LEN(W2274)=0,"",W2274)</f>
        <v/>
      </c>
      <c r="AR2274" s="254" t="str">
        <f>SUBSTITUTE(SUBSTITUTE(SUBSTITUTE("vnt"&amp;$B2274&amp;$C2274&amp;$D2274&amp;$E2274,".","_"),"(","_"),")","")</f>
        <v>vnt1001_1_11</v>
      </c>
      <c r="AS2274" s="254" t="str">
        <f>IF(LEN(X2274)=0,"",X2274)</f>
        <v/>
      </c>
      <c r="AT2274" s="648"/>
      <c r="AU2274" s="648"/>
      <c r="AV2274" s="648"/>
      <c r="AW2274" s="648"/>
      <c r="AX2274" s="663" t="str">
        <f>'Overview (Verification)'!A30</f>
        <v xml:space="preserve">Project Description (optional): </v>
      </c>
      <c r="AY2274" s="752">
        <f>IF(LEN('Overview (Verification)'!P30)=0,0,'Overview (Verification)'!P30)</f>
        <v>0</v>
      </c>
      <c r="AZ2274" s="648"/>
      <c r="BA2274" s="648"/>
      <c r="BB2274" s="648"/>
      <c r="BC2274" s="648"/>
      <c r="BD2274" s="648"/>
      <c r="BE2274" s="648"/>
      <c r="BF2274" s="648"/>
      <c r="BG2274" s="648"/>
      <c r="BH2274" s="648"/>
    </row>
    <row r="2275" spans="1:61" x14ac:dyDescent="0.25">
      <c r="A2275" s="2371">
        <v>10</v>
      </c>
      <c r="B2275" s="2385">
        <v>1001.1</v>
      </c>
      <c r="C2275" s="2374" t="s">
        <v>436</v>
      </c>
      <c r="D2275" s="2374"/>
      <c r="E2275" s="2374"/>
      <c r="F2275" s="2397"/>
      <c r="G2275" s="2373" t="str">
        <f t="shared" si="117"/>
        <v/>
      </c>
      <c r="H2275" s="2371" t="s">
        <v>3973</v>
      </c>
      <c r="I2275" s="4"/>
      <c r="J2275" s="209" t="s">
        <v>436</v>
      </c>
      <c r="K2275" s="193"/>
      <c r="L2275" s="1778" t="s">
        <v>3291</v>
      </c>
      <c r="M2275" s="1018"/>
      <c r="N2275" s="664"/>
      <c r="O2275" s="1042"/>
      <c r="P2275" s="648" t="b">
        <v>0</v>
      </c>
      <c r="Q2275" s="648" t="b">
        <v>1</v>
      </c>
      <c r="R2275" s="648" t="b">
        <v>0</v>
      </c>
      <c r="S2275" s="648" t="b">
        <f>IF(AY2262=INDEX(ddSingleOrMulti,1),TRUE,FALSE)</f>
        <v>1</v>
      </c>
      <c r="T2275" s="94" t="b">
        <f>AND(NOT(S2275),W2275=TRUE)</f>
        <v>0</v>
      </c>
      <c r="U2275" s="648"/>
      <c r="V2275" s="648"/>
      <c r="W2275" s="25"/>
      <c r="X2275" s="1757"/>
      <c r="Y2275" s="2077" t="str">
        <f>IF(LEN('Ch10'!X32)=0,"None",'Ch10'!X32)</f>
        <v>None</v>
      </c>
      <c r="Z2275" s="2083"/>
      <c r="AB2275" s="648"/>
      <c r="AC2275" s="970" t="b">
        <f>OR(AD2275:AE2275)</f>
        <v>0</v>
      </c>
      <c r="AD2275" s="970" t="b">
        <f>T2275</f>
        <v>0</v>
      </c>
      <c r="AE2275" s="970"/>
      <c r="AF2275" s="648"/>
      <c r="AG2275" s="648"/>
      <c r="AH2275" s="648"/>
      <c r="AI2275" s="648"/>
      <c r="AJ2275" s="648"/>
      <c r="AK2275" s="648"/>
      <c r="AL2275" s="1336"/>
      <c r="AM2275" s="1336"/>
      <c r="AN2275" s="1336"/>
      <c r="AO2275" s="1336"/>
      <c r="AP2275" s="254" t="str">
        <f>SUBSTITUTE(SUBSTITUTE(SUBSTITUTE("vch"&amp;$B2275&amp;$C2275&amp;$D2275&amp;$E2275,".","_"),"(","_"),")","")</f>
        <v>vch1001_1_12</v>
      </c>
      <c r="AQ2275" s="254" t="str">
        <f>IF(LEN(W2275)=0,"",W2275)</f>
        <v/>
      </c>
      <c r="AR2275" s="254" t="str">
        <f>SUBSTITUTE(SUBSTITUTE(SUBSTITUTE("vnt"&amp;$B2275&amp;$C2275&amp;$D2275&amp;$E2275,".","_"),"(","_"),")","")</f>
        <v>vnt1001_1_12</v>
      </c>
      <c r="AS2275" s="254" t="str">
        <f>IF(LEN(X2275)=0,"",X2275)</f>
        <v/>
      </c>
      <c r="AT2275" s="648"/>
      <c r="AU2275" s="648"/>
      <c r="AV2275" s="648"/>
      <c r="AW2275" s="648"/>
      <c r="AX2275" s="648"/>
      <c r="AY2275" s="752"/>
      <c r="AZ2275" s="648"/>
      <c r="BA2275" s="648"/>
      <c r="BB2275" s="648"/>
      <c r="BC2275" s="648"/>
      <c r="BD2275" s="648"/>
      <c r="BE2275" s="648"/>
      <c r="BF2275" s="648"/>
      <c r="BG2275" s="648"/>
      <c r="BH2275" s="648"/>
    </row>
    <row r="2276" spans="1:61" x14ac:dyDescent="0.25">
      <c r="A2276" s="2371">
        <v>10</v>
      </c>
      <c r="B2276" s="2385">
        <v>1001.1</v>
      </c>
      <c r="C2276" s="2374" t="s">
        <v>436</v>
      </c>
      <c r="D2276" s="2374"/>
      <c r="E2276" s="2374"/>
      <c r="F2276" s="2397"/>
      <c r="G2276" s="2373" t="str">
        <f t="shared" si="117"/>
        <v/>
      </c>
      <c r="H2276" s="2371" t="s">
        <v>3973</v>
      </c>
      <c r="I2276" s="4"/>
      <c r="J2276" s="129"/>
      <c r="K2276" s="129"/>
      <c r="L2276" s="1754"/>
      <c r="M2276" s="1018"/>
      <c r="N2276" s="664"/>
      <c r="O2276" s="1042"/>
      <c r="P2276" s="648"/>
      <c r="Q2276" s="648"/>
      <c r="R2276" s="648"/>
      <c r="S2276" s="648"/>
      <c r="T2276" s="648"/>
      <c r="U2276" s="648"/>
      <c r="V2276" s="648"/>
      <c r="W2276" s="648"/>
      <c r="X2276" s="1757"/>
      <c r="Y2276" s="2077"/>
      <c r="Z2276" s="2083"/>
      <c r="AB2276" s="648"/>
      <c r="AC2276" s="970"/>
      <c r="AD2276" s="970"/>
      <c r="AE2276" s="970"/>
      <c r="AF2276" s="648"/>
      <c r="AG2276" s="648"/>
      <c r="AH2276" s="648"/>
      <c r="AI2276" s="648"/>
      <c r="AJ2276" s="648"/>
      <c r="AK2276" s="648"/>
      <c r="AL2276" s="1336"/>
      <c r="AM2276" s="1336"/>
      <c r="AN2276" s="1336"/>
      <c r="AO2276" s="1336"/>
      <c r="AP2276" s="1336"/>
      <c r="AQ2276" s="1336"/>
      <c r="AR2276" s="1336"/>
      <c r="AS2276" s="1336"/>
      <c r="AT2276" s="648"/>
      <c r="AU2276" s="648"/>
      <c r="AV2276" s="648"/>
      <c r="AW2276" s="648"/>
      <c r="AX2276" s="663" t="str">
        <f>'Overview (Verification)'!A32</f>
        <v>Foundation Type:</v>
      </c>
      <c r="AY2276" s="752">
        <f>IF(LEN('Overview (Verification)'!P32)=0,0,'Overview (Verification)'!P32)</f>
        <v>0</v>
      </c>
      <c r="AZ2276" s="648"/>
      <c r="BA2276" s="648"/>
      <c r="BB2276" s="648"/>
      <c r="BC2276" s="648"/>
      <c r="BD2276" s="648"/>
      <c r="BE2276" s="648"/>
      <c r="BF2276" s="648"/>
      <c r="BG2276" s="648"/>
      <c r="BH2276" s="648"/>
    </row>
    <row r="2277" spans="1:61" x14ac:dyDescent="0.25">
      <c r="A2277" s="2371">
        <v>10</v>
      </c>
      <c r="B2277" s="2385">
        <v>1001.1</v>
      </c>
      <c r="C2277" s="2374" t="s">
        <v>436</v>
      </c>
      <c r="D2277" s="2374" t="s">
        <v>121</v>
      </c>
      <c r="E2277" s="2374"/>
      <c r="F2277" s="2397"/>
      <c r="G2277" s="2373" t="str">
        <f t="shared" si="117"/>
        <v/>
      </c>
      <c r="H2277" s="2375" t="s">
        <v>3973</v>
      </c>
      <c r="I2277" s="4"/>
      <c r="J2277" s="129"/>
      <c r="K2277" s="183" t="s">
        <v>121</v>
      </c>
      <c r="L2277" s="1162" t="s">
        <v>3292</v>
      </c>
      <c r="M2277" s="1018"/>
      <c r="N2277" s="664"/>
      <c r="O2277" s="1042"/>
      <c r="P2277" s="648"/>
      <c r="Q2277" s="648"/>
      <c r="R2277" s="648"/>
      <c r="S2277" s="648"/>
      <c r="T2277" s="648"/>
      <c r="U2277" s="648"/>
      <c r="V2277" s="648"/>
      <c r="W2277" s="648"/>
      <c r="X2277" s="1757"/>
      <c r="Y2277" s="2077"/>
      <c r="Z2277" s="2083"/>
      <c r="AB2277" s="648"/>
      <c r="AC2277" s="970"/>
      <c r="AD2277" s="970"/>
      <c r="AE2277" s="970"/>
      <c r="AF2277" s="648"/>
      <c r="AG2277" s="648"/>
      <c r="AH2277" s="648"/>
      <c r="AI2277" s="648"/>
      <c r="AJ2277" s="648"/>
      <c r="AK2277" s="648"/>
      <c r="AL2277" s="1336"/>
      <c r="AM2277" s="1336"/>
      <c r="AN2277" s="1336"/>
      <c r="AO2277" s="1336"/>
      <c r="AP2277" s="1336"/>
      <c r="AQ2277" s="1336"/>
      <c r="AR2277" s="1336"/>
      <c r="AS2277" s="1336"/>
      <c r="AT2277" s="648"/>
      <c r="AU2277" s="648"/>
      <c r="AV2277" s="648"/>
      <c r="AW2277" s="648"/>
      <c r="AX2277" s="649"/>
      <c r="AY2277" s="752"/>
      <c r="AZ2277" s="648"/>
      <c r="BA2277" s="648"/>
      <c r="BB2277" s="648"/>
      <c r="BC2277" s="648"/>
      <c r="BD2277" s="648"/>
      <c r="BE2277" s="648"/>
      <c r="BF2277" s="648"/>
      <c r="BG2277" s="648"/>
      <c r="BH2277" s="648"/>
    </row>
    <row r="2278" spans="1:61" x14ac:dyDescent="0.25">
      <c r="A2278" s="2371">
        <v>10</v>
      </c>
      <c r="B2278" s="2385">
        <v>1001.1</v>
      </c>
      <c r="C2278" s="2374" t="s">
        <v>436</v>
      </c>
      <c r="D2278" s="2374" t="s">
        <v>122</v>
      </c>
      <c r="E2278" s="2374"/>
      <c r="F2278" s="2397"/>
      <c r="G2278" s="2373" t="str">
        <f t="shared" si="117"/>
        <v/>
      </c>
      <c r="H2278" s="2375" t="s">
        <v>3973</v>
      </c>
      <c r="I2278" s="4"/>
      <c r="J2278" s="129"/>
      <c r="K2278" s="183" t="s">
        <v>122</v>
      </c>
      <c r="L2278" s="1162" t="s">
        <v>3293</v>
      </c>
      <c r="M2278" s="1018"/>
      <c r="N2278" s="664"/>
      <c r="O2278" s="1042"/>
      <c r="P2278" s="648"/>
      <c r="Q2278" s="648"/>
      <c r="R2278" s="648"/>
      <c r="S2278" s="648"/>
      <c r="T2278" s="648"/>
      <c r="U2278" s="648"/>
      <c r="V2278" s="648"/>
      <c r="W2278" s="648"/>
      <c r="X2278" s="1757"/>
      <c r="Y2278" s="2077"/>
      <c r="Z2278" s="2083"/>
      <c r="AB2278" s="648"/>
      <c r="AC2278" s="970"/>
      <c r="AD2278" s="970"/>
      <c r="AE2278" s="970"/>
      <c r="AF2278" s="648"/>
      <c r="AG2278" s="648"/>
      <c r="AH2278" s="648"/>
      <c r="AI2278" s="648"/>
      <c r="AJ2278" s="648"/>
      <c r="AK2278" s="648"/>
      <c r="AL2278" s="1336"/>
      <c r="AM2278" s="1336"/>
      <c r="AN2278" s="1336"/>
      <c r="AO2278" s="1336"/>
      <c r="AP2278" s="1336"/>
      <c r="AQ2278" s="1336"/>
      <c r="AR2278" s="1336"/>
      <c r="AS2278" s="1336"/>
      <c r="AT2278" s="648"/>
      <c r="AU2278" s="648"/>
      <c r="AV2278" s="648"/>
      <c r="AW2278" s="648"/>
      <c r="AX2278" s="663" t="str">
        <f>'Overview (Verification)'!A34</f>
        <v>Type of Heating System (main system):</v>
      </c>
      <c r="AY2278" s="752">
        <f>IF(LEN('Overview (Verification)'!P34)=0,0,'Overview (Verification)'!P34)</f>
        <v>0</v>
      </c>
      <c r="AZ2278" s="648"/>
      <c r="BA2278" s="648"/>
      <c r="BB2278" s="648"/>
      <c r="BC2278" s="648"/>
      <c r="BD2278" s="648"/>
      <c r="BE2278" s="648"/>
      <c r="BF2278" s="648"/>
      <c r="BG2278" s="648"/>
      <c r="BH2278" s="648"/>
    </row>
    <row r="2279" spans="1:61" x14ac:dyDescent="0.25">
      <c r="A2279" s="2371">
        <v>10</v>
      </c>
      <c r="B2279" s="2385">
        <v>1001.1</v>
      </c>
      <c r="C2279" s="2374" t="s">
        <v>436</v>
      </c>
      <c r="D2279" s="2374" t="s">
        <v>123</v>
      </c>
      <c r="E2279" s="2374"/>
      <c r="F2279" s="2397"/>
      <c r="G2279" s="2373" t="str">
        <f t="shared" si="117"/>
        <v/>
      </c>
      <c r="H2279" s="2375" t="s">
        <v>3973</v>
      </c>
      <c r="I2279" s="4"/>
      <c r="J2279" s="129"/>
      <c r="K2279" s="183" t="s">
        <v>123</v>
      </c>
      <c r="L2279" s="1754" t="s">
        <v>3294</v>
      </c>
      <c r="M2279" s="1018"/>
      <c r="N2279" s="664"/>
      <c r="O2279" s="1042"/>
      <c r="P2279" s="648"/>
      <c r="Q2279" s="648"/>
      <c r="R2279" s="648"/>
      <c r="S2279" s="648"/>
      <c r="T2279" s="648"/>
      <c r="U2279" s="648"/>
      <c r="V2279" s="648"/>
      <c r="W2279" s="648"/>
      <c r="X2279" s="1757"/>
      <c r="Y2279" s="2077"/>
      <c r="Z2279" s="2083"/>
      <c r="AB2279" s="648"/>
      <c r="AC2279" s="970"/>
      <c r="AD2279" s="970"/>
      <c r="AE2279" s="970"/>
      <c r="AF2279" s="648"/>
      <c r="AG2279" s="648"/>
      <c r="AH2279" s="648"/>
      <c r="AI2279" s="648"/>
      <c r="AJ2279" s="648"/>
      <c r="AK2279" s="648"/>
      <c r="AL2279" s="1336"/>
      <c r="AM2279" s="1336"/>
      <c r="AN2279" s="1336"/>
      <c r="AO2279" s="1336"/>
      <c r="AP2279" s="1336"/>
      <c r="AQ2279" s="1336"/>
      <c r="AR2279" s="1336"/>
      <c r="AS2279" s="1336"/>
      <c r="AT2279" s="648"/>
      <c r="AU2279" s="648"/>
      <c r="AV2279" s="648"/>
      <c r="AW2279" s="648"/>
      <c r="AX2279" s="663" t="str">
        <f>'Overview (Verification)'!A35</f>
        <v>Type of Heating System (system 2):</v>
      </c>
      <c r="AY2279" s="752">
        <f>IF(LEN('Overview (Verification)'!P35)=0,0,'Overview (Verification)'!P35)</f>
        <v>0</v>
      </c>
      <c r="AZ2279" s="648"/>
      <c r="BA2279" s="648"/>
      <c r="BB2279" s="648"/>
      <c r="BC2279" s="648"/>
      <c r="BD2279" s="648"/>
      <c r="BE2279" s="648"/>
      <c r="BF2279" s="648"/>
      <c r="BG2279" s="648"/>
      <c r="BH2279" s="648"/>
    </row>
    <row r="2280" spans="1:61" x14ac:dyDescent="0.25">
      <c r="A2280" s="2371">
        <v>10</v>
      </c>
      <c r="B2280" s="2385">
        <v>1001.1</v>
      </c>
      <c r="C2280" s="2374" t="s">
        <v>436</v>
      </c>
      <c r="D2280" s="2374"/>
      <c r="E2280" s="2374"/>
      <c r="F2280" s="2397"/>
      <c r="G2280" s="2373" t="str">
        <f t="shared" si="117"/>
        <v/>
      </c>
      <c r="H2280" s="2371" t="s">
        <v>3973</v>
      </c>
      <c r="I2280" s="4"/>
      <c r="J2280" s="210"/>
      <c r="K2280" s="210"/>
      <c r="L2280" s="1755"/>
      <c r="M2280" s="1018"/>
      <c r="N2280" s="664"/>
      <c r="O2280" s="1042"/>
      <c r="P2280" s="648"/>
      <c r="Q2280" s="648"/>
      <c r="R2280" s="648"/>
      <c r="S2280" s="648"/>
      <c r="T2280" s="648"/>
      <c r="U2280" s="648"/>
      <c r="V2280" s="648"/>
      <c r="W2280" s="648"/>
      <c r="X2280" s="1757"/>
      <c r="Y2280" s="2077"/>
      <c r="Z2280" s="2083"/>
      <c r="AB2280" s="648"/>
      <c r="AC2280" s="970"/>
      <c r="AD2280" s="970"/>
      <c r="AE2280" s="970"/>
      <c r="AF2280" s="648"/>
      <c r="AG2280" s="648"/>
      <c r="AH2280" s="648"/>
      <c r="AI2280" s="648"/>
      <c r="AJ2280" s="648"/>
      <c r="AK2280" s="648"/>
      <c r="AL2280" s="1336"/>
      <c r="AM2280" s="1336"/>
      <c r="AN2280" s="1336"/>
      <c r="AO2280" s="1336"/>
      <c r="AP2280" s="1336"/>
      <c r="AQ2280" s="1336"/>
      <c r="AR2280" s="1336"/>
      <c r="AS2280" s="1336"/>
      <c r="AT2280" s="648"/>
      <c r="AU2280" s="648"/>
      <c r="AV2280" s="648"/>
      <c r="AW2280" s="648"/>
      <c r="AX2280" s="663" t="str">
        <f>'Overview (Verification)'!A36</f>
        <v>Type of Heating System (system 3):</v>
      </c>
      <c r="AY2280" s="752">
        <f>IF(LEN('Overview (Verification)'!P36)=0,0,'Overview (Verification)'!P36)</f>
        <v>0</v>
      </c>
      <c r="AZ2280" s="648"/>
      <c r="BA2280" s="648"/>
      <c r="BB2280" s="648"/>
      <c r="BC2280" s="648"/>
      <c r="BD2280" s="648"/>
      <c r="BE2280" s="648"/>
      <c r="BF2280" s="648"/>
      <c r="BG2280" s="648"/>
      <c r="BH2280" s="648"/>
    </row>
    <row r="2281" spans="1:61" x14ac:dyDescent="0.25">
      <c r="A2281" s="2371">
        <v>10</v>
      </c>
      <c r="B2281" s="2385">
        <v>1001.1</v>
      </c>
      <c r="C2281" s="2374" t="s">
        <v>3295</v>
      </c>
      <c r="D2281" s="2374"/>
      <c r="E2281" s="2374"/>
      <c r="F2281" s="2397"/>
      <c r="G2281" s="2373" t="str">
        <f t="shared" si="117"/>
        <v/>
      </c>
      <c r="H2281" s="2371" t="s">
        <v>3973</v>
      </c>
      <c r="I2281" s="4"/>
      <c r="J2281" s="209" t="s">
        <v>3295</v>
      </c>
      <c r="K2281" s="193"/>
      <c r="L2281" s="1778" t="s">
        <v>3296</v>
      </c>
      <c r="M2281" s="1018"/>
      <c r="N2281" s="664"/>
      <c r="O2281" s="1042"/>
      <c r="P2281" s="648" t="b">
        <v>0</v>
      </c>
      <c r="Q2281" s="648" t="b">
        <v>1</v>
      </c>
      <c r="R2281" s="648" t="b">
        <v>0</v>
      </c>
      <c r="S2281" s="648" t="b">
        <f>IF(AY2262=INDEX(ddSingleOrMulti,1),TRUE,FALSE)</f>
        <v>1</v>
      </c>
      <c r="T2281" s="94" t="b">
        <f>AND(NOT(S2281),W2281=TRUE)</f>
        <v>0</v>
      </c>
      <c r="U2281" s="648"/>
      <c r="V2281" s="648"/>
      <c r="W2281" s="25"/>
      <c r="X2281" s="1757"/>
      <c r="Y2281" s="2077" t="str">
        <f>IF(LEN('Ch10'!X38)=0,"None",'Ch10'!X38)</f>
        <v>None</v>
      </c>
      <c r="Z2281" s="2083"/>
      <c r="AB2281" s="648"/>
      <c r="AC2281" s="970" t="b">
        <f>OR(AD2281:AE2281)</f>
        <v>0</v>
      </c>
      <c r="AD2281" s="970" t="b">
        <f>T2281</f>
        <v>0</v>
      </c>
      <c r="AE2281" s="970"/>
      <c r="AF2281" s="648"/>
      <c r="AG2281" s="648"/>
      <c r="AH2281" s="648"/>
      <c r="AI2281" s="648"/>
      <c r="AJ2281" s="648"/>
      <c r="AK2281" s="648"/>
      <c r="AL2281" s="1336"/>
      <c r="AM2281" s="1336"/>
      <c r="AN2281" s="1336"/>
      <c r="AO2281" s="1336"/>
      <c r="AP2281" s="254" t="str">
        <f>SUBSTITUTE(SUBSTITUTE(SUBSTITUTE("vch"&amp;$B2281&amp;$C2281&amp;$D2281&amp;$E2281,".","_"),"(","_"),")","")</f>
        <v>vch1001_1_13</v>
      </c>
      <c r="AQ2281" s="254" t="str">
        <f>IF(LEN(W2281)=0,"",W2281)</f>
        <v/>
      </c>
      <c r="AR2281" s="254" t="str">
        <f>SUBSTITUTE(SUBSTITUTE(SUBSTITUTE("vnt"&amp;$B2281&amp;$C2281&amp;$D2281&amp;$E2281,".","_"),"(","_"),")","")</f>
        <v>vnt1001_1_13</v>
      </c>
      <c r="AS2281" s="254" t="str">
        <f>IF(LEN(X2281)=0,"",X2281)</f>
        <v/>
      </c>
      <c r="AT2281" s="648"/>
      <c r="AU2281" s="648"/>
      <c r="AV2281" s="648"/>
      <c r="AW2281" s="648"/>
      <c r="AX2281" s="663" t="str">
        <f>'Overview (Verification)'!A37</f>
        <v>Primary Heating Fuel:</v>
      </c>
      <c r="AY2281" s="752">
        <f>IF(LEN('Overview (Verification)'!P37)=0,0,'Overview (Verification)'!P37)</f>
        <v>0</v>
      </c>
      <c r="AZ2281" s="648"/>
      <c r="BA2281" s="648"/>
      <c r="BB2281" s="648"/>
      <c r="BC2281" s="648"/>
      <c r="BD2281" s="648"/>
      <c r="BE2281" s="648"/>
      <c r="BF2281" s="648"/>
      <c r="BG2281" s="648"/>
      <c r="BH2281" s="648"/>
    </row>
    <row r="2282" spans="1:61" x14ac:dyDescent="0.25">
      <c r="A2282" s="2371">
        <v>10</v>
      </c>
      <c r="B2282" s="2385">
        <v>1001.1</v>
      </c>
      <c r="C2282" s="2374" t="s">
        <v>3295</v>
      </c>
      <c r="D2282" s="2374"/>
      <c r="E2282" s="2374"/>
      <c r="F2282" s="2397"/>
      <c r="G2282" s="2373" t="str">
        <f t="shared" si="117"/>
        <v/>
      </c>
      <c r="H2282" s="2371" t="s">
        <v>3973</v>
      </c>
      <c r="I2282" s="4"/>
      <c r="J2282" s="129"/>
      <c r="K2282" s="129"/>
      <c r="L2282" s="1754"/>
      <c r="M2282" s="1018"/>
      <c r="N2282" s="664"/>
      <c r="O2282" s="1042"/>
      <c r="P2282" s="648"/>
      <c r="Q2282" s="648"/>
      <c r="R2282" s="648"/>
      <c r="S2282" s="648"/>
      <c r="T2282" s="648"/>
      <c r="U2282" s="648"/>
      <c r="V2282" s="648"/>
      <c r="W2282" s="648"/>
      <c r="X2282" s="1757"/>
      <c r="Y2282" s="2077"/>
      <c r="Z2282" s="2083"/>
      <c r="AB2282" s="648"/>
      <c r="AC2282" s="970"/>
      <c r="AD2282" s="970"/>
      <c r="AE2282" s="970"/>
      <c r="AF2282" s="648"/>
      <c r="AG2282" s="648"/>
      <c r="AH2282" s="648"/>
      <c r="AI2282" s="648"/>
      <c r="AJ2282" s="648"/>
      <c r="AK2282" s="648"/>
      <c r="AL2282" s="1336"/>
      <c r="AM2282" s="1336"/>
      <c r="AN2282" s="1336"/>
      <c r="AO2282" s="1336"/>
      <c r="AP2282" s="1336"/>
      <c r="AQ2282" s="1336"/>
      <c r="AR2282" s="1336"/>
      <c r="AS2282" s="1336"/>
      <c r="AT2282" s="648"/>
      <c r="AU2282" s="648"/>
      <c r="AV2282" s="648"/>
      <c r="AW2282" s="648"/>
      <c r="AX2282" s="663" t="str">
        <f>'Overview (Verification)'!A38</f>
        <v>Heating Ducts:</v>
      </c>
      <c r="AY2282" s="752">
        <f>IF(LEN('Overview (Verification)'!P38)=0,0,'Overview (Verification)'!P38)</f>
        <v>0</v>
      </c>
      <c r="AZ2282" s="648"/>
      <c r="BA2282" s="648"/>
      <c r="BB2282" s="648"/>
      <c r="BC2282" s="648"/>
      <c r="BD2282" s="648"/>
      <c r="BE2282" s="648"/>
      <c r="BF2282" s="648"/>
      <c r="BG2282" s="648"/>
      <c r="BH2282" s="648"/>
    </row>
    <row r="2283" spans="1:61" x14ac:dyDescent="0.25">
      <c r="A2283" s="2371">
        <v>10</v>
      </c>
      <c r="B2283" s="2385">
        <v>1001.1</v>
      </c>
      <c r="C2283" s="2374" t="s">
        <v>3295</v>
      </c>
      <c r="D2283" s="2374"/>
      <c r="E2283" s="2374"/>
      <c r="F2283" s="2397"/>
      <c r="G2283" s="2373" t="str">
        <f t="shared" si="117"/>
        <v/>
      </c>
      <c r="H2283" s="2371" t="s">
        <v>3973</v>
      </c>
      <c r="I2283" s="4"/>
      <c r="J2283" s="129"/>
      <c r="K2283" s="129"/>
      <c r="L2283" s="1754"/>
      <c r="M2283" s="1018"/>
      <c r="N2283" s="664"/>
      <c r="O2283" s="1042"/>
      <c r="P2283" s="648"/>
      <c r="Q2283" s="648"/>
      <c r="R2283" s="648"/>
      <c r="S2283" s="648"/>
      <c r="T2283" s="648"/>
      <c r="U2283" s="648"/>
      <c r="V2283" s="648"/>
      <c r="W2283" s="648"/>
      <c r="X2283" s="1757"/>
      <c r="Y2283" s="2077"/>
      <c r="Z2283" s="2083"/>
      <c r="AB2283" s="648"/>
      <c r="AC2283" s="970"/>
      <c r="AD2283" s="970"/>
      <c r="AE2283" s="970"/>
      <c r="AF2283" s="648"/>
      <c r="AG2283" s="648"/>
      <c r="AH2283" s="648"/>
      <c r="AI2283" s="648"/>
      <c r="AJ2283" s="648"/>
      <c r="AK2283" s="648"/>
      <c r="AL2283" s="1336"/>
      <c r="AM2283" s="1336"/>
      <c r="AN2283" s="1336"/>
      <c r="AO2283" s="1336"/>
      <c r="AP2283" s="1336"/>
      <c r="AQ2283" s="1336"/>
      <c r="AR2283" s="1336"/>
      <c r="AS2283" s="1336"/>
      <c r="AT2283" s="648"/>
      <c r="AU2283" s="648"/>
      <c r="AV2283" s="648"/>
      <c r="AW2283" s="648"/>
      <c r="AX2283" s="663" t="str">
        <f>'Overview (Verification)'!A39</f>
        <v>Type of Cooling System (main system):</v>
      </c>
      <c r="AY2283" s="752">
        <f>IF(LEN('Overview (Verification)'!P39)=0,0,'Overview (Verification)'!P39)</f>
        <v>0</v>
      </c>
      <c r="AZ2283" s="648"/>
      <c r="BA2283" s="648"/>
      <c r="BB2283" s="648"/>
      <c r="BC2283" s="648"/>
      <c r="BD2283" s="648"/>
      <c r="BE2283" s="648"/>
      <c r="BF2283" s="648"/>
      <c r="BG2283" s="648"/>
      <c r="BH2283" s="648"/>
    </row>
    <row r="2284" spans="1:61" x14ac:dyDescent="0.25">
      <c r="A2284" s="2371">
        <v>10</v>
      </c>
      <c r="B2284" s="2385">
        <v>1001.1</v>
      </c>
      <c r="C2284" s="2374" t="s">
        <v>3295</v>
      </c>
      <c r="D2284" s="2374"/>
      <c r="E2284" s="2374"/>
      <c r="F2284" s="2397"/>
      <c r="G2284" s="2373" t="str">
        <f t="shared" si="117"/>
        <v/>
      </c>
      <c r="H2284" s="2371" t="s">
        <v>3973</v>
      </c>
      <c r="I2284" s="4"/>
      <c r="J2284" s="210"/>
      <c r="K2284" s="210"/>
      <c r="L2284" s="1755"/>
      <c r="M2284" s="1018"/>
      <c r="N2284" s="664"/>
      <c r="O2284" s="1042"/>
      <c r="P2284" s="648"/>
      <c r="Q2284" s="648"/>
      <c r="R2284" s="648"/>
      <c r="S2284" s="648"/>
      <c r="T2284" s="648"/>
      <c r="U2284" s="648"/>
      <c r="V2284" s="648"/>
      <c r="W2284" s="648"/>
      <c r="X2284" s="1757"/>
      <c r="Y2284" s="2077"/>
      <c r="Z2284" s="2083"/>
      <c r="AB2284" s="648"/>
      <c r="AC2284" s="970"/>
      <c r="AD2284" s="970"/>
      <c r="AE2284" s="970"/>
      <c r="AF2284" s="648"/>
      <c r="AG2284" s="648"/>
      <c r="AH2284" s="648"/>
      <c r="AI2284" s="648"/>
      <c r="AJ2284" s="648"/>
      <c r="AK2284" s="648"/>
      <c r="AL2284" s="1336"/>
      <c r="AM2284" s="1336"/>
      <c r="AN2284" s="1336"/>
      <c r="AO2284" s="1336"/>
      <c r="AP2284" s="1336"/>
      <c r="AQ2284" s="1336"/>
      <c r="AR2284" s="1336"/>
      <c r="AS2284" s="1336"/>
      <c r="AT2284" s="648"/>
      <c r="AU2284" s="648"/>
      <c r="AV2284" s="648"/>
      <c r="AW2284" s="648"/>
      <c r="AX2284" s="663" t="str">
        <f>'Overview (Verification)'!A40</f>
        <v>Type of Cooling System (system 2):</v>
      </c>
      <c r="AY2284" s="752">
        <f>IF(LEN('Overview (Verification)'!P40)=0,0,'Overview (Verification)'!P40)</f>
        <v>0</v>
      </c>
      <c r="AZ2284" s="648"/>
      <c r="BA2284" s="648"/>
      <c r="BB2284" s="648"/>
      <c r="BC2284" s="648"/>
      <c r="BD2284" s="648"/>
      <c r="BE2284" s="648"/>
      <c r="BF2284" s="648"/>
      <c r="BG2284" s="648"/>
      <c r="BH2284" s="648"/>
    </row>
    <row r="2285" spans="1:61" x14ac:dyDescent="0.25">
      <c r="A2285" s="2371">
        <v>10</v>
      </c>
      <c r="B2285" s="2385">
        <v>1001.1</v>
      </c>
      <c r="C2285" s="2374" t="s">
        <v>3297</v>
      </c>
      <c r="D2285" s="2374"/>
      <c r="E2285" s="2374"/>
      <c r="F2285" s="2397"/>
      <c r="G2285" s="2373" t="str">
        <f t="shared" si="117"/>
        <v/>
      </c>
      <c r="H2285" s="2371" t="s">
        <v>3973</v>
      </c>
      <c r="I2285" s="4"/>
      <c r="J2285" s="209" t="s">
        <v>3297</v>
      </c>
      <c r="K2285" s="193"/>
      <c r="L2285" s="1778" t="s">
        <v>3298</v>
      </c>
      <c r="M2285" s="1018"/>
      <c r="N2285" s="664"/>
      <c r="O2285" s="1042"/>
      <c r="P2285" s="648" t="b">
        <v>0</v>
      </c>
      <c r="Q2285" s="648" t="b">
        <v>1</v>
      </c>
      <c r="R2285" s="648" t="b">
        <v>0</v>
      </c>
      <c r="S2285" s="648" t="b">
        <f>IF(AY2262=INDEX(ddSingleOrMulti,1),TRUE,FALSE)</f>
        <v>1</v>
      </c>
      <c r="T2285" s="94" t="b">
        <f>AND(NOT(S2285),W2285=TRUE)</f>
        <v>0</v>
      </c>
      <c r="U2285" s="648"/>
      <c r="V2285" s="648"/>
      <c r="W2285" s="25"/>
      <c r="X2285" s="1757"/>
      <c r="Y2285" s="2077" t="str">
        <f>IF(LEN('Ch10'!X42)=0,"None",'Ch10'!X42)</f>
        <v>None</v>
      </c>
      <c r="Z2285" s="2083"/>
      <c r="AB2285" s="648"/>
      <c r="AC2285" s="970" t="b">
        <f>OR(AD2285:AE2285)</f>
        <v>0</v>
      </c>
      <c r="AD2285" s="970" t="b">
        <f>T2285</f>
        <v>0</v>
      </c>
      <c r="AE2285" s="970"/>
      <c r="AF2285" s="648"/>
      <c r="AG2285" s="648"/>
      <c r="AH2285" s="648"/>
      <c r="AI2285" s="648"/>
      <c r="AJ2285" s="648"/>
      <c r="AK2285" s="648"/>
      <c r="AL2285" s="1336"/>
      <c r="AM2285" s="1336"/>
      <c r="AN2285" s="1336"/>
      <c r="AO2285" s="1336"/>
      <c r="AP2285" s="254" t="str">
        <f>SUBSTITUTE(SUBSTITUTE(SUBSTITUTE("vch"&amp;$B2285&amp;$C2285&amp;$D2285&amp;$E2285,".","_"),"(","_"),")","")</f>
        <v>vch1001_1_14</v>
      </c>
      <c r="AQ2285" s="254" t="str">
        <f>IF(LEN(W2285)=0,"",W2285)</f>
        <v/>
      </c>
      <c r="AR2285" s="254" t="str">
        <f>SUBSTITUTE(SUBSTITUTE(SUBSTITUTE("vnt"&amp;$B2285&amp;$C2285&amp;$D2285&amp;$E2285,".","_"),"(","_"),")","")</f>
        <v>vnt1001_1_14</v>
      </c>
      <c r="AS2285" s="254" t="str">
        <f>IF(LEN(X2285)=0,"",X2285)</f>
        <v/>
      </c>
      <c r="AT2285" s="648"/>
      <c r="AU2285" s="648"/>
      <c r="AV2285" s="648"/>
      <c r="AW2285" s="648"/>
      <c r="AX2285" s="663" t="str">
        <f>'Overview (Verification)'!A41</f>
        <v>Type of Cooling System (system 3):</v>
      </c>
      <c r="AY2285" s="752">
        <f>IF(LEN('Overview (Verification)'!P41)=0,0,'Overview (Verification)'!P41)</f>
        <v>0</v>
      </c>
      <c r="AZ2285" s="648"/>
      <c r="BA2285" s="648"/>
      <c r="BB2285" s="648"/>
      <c r="BC2285" s="648"/>
      <c r="BD2285" s="648"/>
      <c r="BE2285" s="648"/>
      <c r="BF2285" s="648"/>
      <c r="BG2285" s="648"/>
      <c r="BH2285" s="648"/>
    </row>
    <row r="2286" spans="1:61" x14ac:dyDescent="0.25">
      <c r="A2286" s="2371">
        <v>10</v>
      </c>
      <c r="B2286" s="2385">
        <v>1001.1</v>
      </c>
      <c r="C2286" s="2374" t="s">
        <v>3297</v>
      </c>
      <c r="D2286" s="2374"/>
      <c r="E2286" s="2374"/>
      <c r="F2286" s="2397"/>
      <c r="G2286" s="2373" t="str">
        <f t="shared" si="117"/>
        <v/>
      </c>
      <c r="H2286" s="2371" t="s">
        <v>3973</v>
      </c>
      <c r="I2286" s="4"/>
      <c r="J2286" s="210"/>
      <c r="K2286" s="210"/>
      <c r="L2286" s="1755"/>
      <c r="M2286" s="1018"/>
      <c r="N2286" s="664"/>
      <c r="O2286" s="1042"/>
      <c r="P2286" s="648"/>
      <c r="Q2286" s="648"/>
      <c r="R2286" s="648"/>
      <c r="S2286" s="648"/>
      <c r="T2286" s="648"/>
      <c r="U2286" s="648"/>
      <c r="V2286" s="648"/>
      <c r="W2286" s="648"/>
      <c r="X2286" s="1757"/>
      <c r="Y2286" s="2077"/>
      <c r="Z2286" s="2083"/>
      <c r="AB2286" s="648"/>
      <c r="AC2286" s="970"/>
      <c r="AD2286" s="970"/>
      <c r="AE2286" s="970"/>
      <c r="AF2286" s="648"/>
      <c r="AG2286" s="648"/>
      <c r="AH2286" s="648"/>
      <c r="AI2286" s="648"/>
      <c r="AJ2286" s="648"/>
      <c r="AK2286" s="648"/>
      <c r="AL2286" s="1336"/>
      <c r="AM2286" s="1336"/>
      <c r="AN2286" s="1336"/>
      <c r="AO2286" s="1336"/>
      <c r="AP2286" s="1336"/>
      <c r="AQ2286" s="1336"/>
      <c r="AR2286" s="1336"/>
      <c r="AS2286" s="1336"/>
      <c r="AT2286" s="648"/>
      <c r="AU2286" s="648"/>
      <c r="AV2286" s="648"/>
      <c r="AW2286" s="648"/>
      <c r="AX2286" s="663" t="str">
        <f>'Overview (Verification)'!A42</f>
        <v>Cooling Ducts:</v>
      </c>
      <c r="AY2286" s="752">
        <f>IF(LEN('Overview (Verification)'!P42)=0,0,'Overview (Verification)'!P42)</f>
        <v>0</v>
      </c>
      <c r="AZ2286" s="648"/>
      <c r="BA2286" s="648"/>
      <c r="BB2286" s="648"/>
      <c r="BC2286" s="648"/>
      <c r="BD2286" s="648"/>
      <c r="BE2286" s="648"/>
      <c r="BF2286" s="648"/>
      <c r="BG2286" s="648"/>
      <c r="BH2286" s="648"/>
    </row>
    <row r="2287" spans="1:61" x14ac:dyDescent="0.25">
      <c r="A2287" s="2371">
        <v>10</v>
      </c>
      <c r="B2287" s="2385">
        <v>1001.1</v>
      </c>
      <c r="C2287" s="2374" t="s">
        <v>3299</v>
      </c>
      <c r="D2287" s="2374"/>
      <c r="E2287" s="2374"/>
      <c r="F2287" s="2397"/>
      <c r="G2287" s="2373" t="str">
        <f t="shared" si="117"/>
        <v/>
      </c>
      <c r="H2287" s="2371" t="s">
        <v>3973</v>
      </c>
      <c r="I2287" s="4"/>
      <c r="J2287" s="209" t="s">
        <v>3299</v>
      </c>
      <c r="K2287" s="193"/>
      <c r="L2287" s="1778" t="s">
        <v>3300</v>
      </c>
      <c r="M2287" s="1018"/>
      <c r="N2287" s="664"/>
      <c r="O2287" s="1042"/>
      <c r="P2287" s="648" t="b">
        <v>0</v>
      </c>
      <c r="Q2287" s="648" t="b">
        <v>1</v>
      </c>
      <c r="R2287" s="648" t="b">
        <v>0</v>
      </c>
      <c r="S2287" s="648" t="b">
        <f>IF(AY2262=INDEX(ddSingleOrMulti,1),TRUE,FALSE)</f>
        <v>1</v>
      </c>
      <c r="T2287" s="94" t="b">
        <f>AND(NOT(S2287),W2287=TRUE)</f>
        <v>0</v>
      </c>
      <c r="U2287" s="648"/>
      <c r="V2287" s="648"/>
      <c r="W2287" s="25"/>
      <c r="X2287" s="1757"/>
      <c r="Y2287" s="2077" t="str">
        <f>IF(LEN('Ch10'!X44)=0,"None",'Ch10'!X44)</f>
        <v>None</v>
      </c>
      <c r="Z2287" s="2083"/>
      <c r="AB2287" s="648"/>
      <c r="AC2287" s="970" t="b">
        <f>OR(AD2287:AE2287)</f>
        <v>0</v>
      </c>
      <c r="AD2287" s="970" t="b">
        <f>T2287</f>
        <v>0</v>
      </c>
      <c r="AE2287" s="970"/>
      <c r="AF2287" s="648"/>
      <c r="AG2287" s="648"/>
      <c r="AH2287" s="648"/>
      <c r="AI2287" s="648"/>
      <c r="AJ2287" s="648"/>
      <c r="AK2287" s="648"/>
      <c r="AL2287" s="1336"/>
      <c r="AM2287" s="1336"/>
      <c r="AN2287" s="1336"/>
      <c r="AO2287" s="1336"/>
      <c r="AP2287" s="254" t="str">
        <f>SUBSTITUTE(SUBSTITUTE(SUBSTITUTE("vch"&amp;$B2287&amp;$C2287&amp;$D2287&amp;$E2287,".","_"),"(","_"),")","")</f>
        <v>vch1001_1_15</v>
      </c>
      <c r="AQ2287" s="254" t="str">
        <f>IF(LEN(W2287)=0,"",W2287)</f>
        <v/>
      </c>
      <c r="AR2287" s="254" t="str">
        <f>SUBSTITUTE(SUBSTITUTE(SUBSTITUTE("vnt"&amp;$B2287&amp;$C2287&amp;$D2287&amp;$E2287,".","_"),"(","_"),")","")</f>
        <v>vnt1001_1_15</v>
      </c>
      <c r="AS2287" s="254" t="str">
        <f>IF(LEN(X2287)=0,"",X2287)</f>
        <v/>
      </c>
      <c r="AT2287" s="648"/>
      <c r="AU2287" s="648"/>
      <c r="AV2287" s="648"/>
      <c r="AW2287" s="648"/>
      <c r="AX2287" s="649"/>
      <c r="AY2287" s="752"/>
      <c r="AZ2287" s="648"/>
      <c r="BA2287" s="648"/>
      <c r="BB2287" s="648"/>
      <c r="BC2287" s="648"/>
      <c r="BD2287" s="648"/>
      <c r="BE2287" s="648"/>
      <c r="BF2287" s="648"/>
      <c r="BG2287" s="648"/>
      <c r="BH2287" s="648"/>
    </row>
    <row r="2288" spans="1:61" x14ac:dyDescent="0.25">
      <c r="A2288" s="2371">
        <v>10</v>
      </c>
      <c r="B2288" s="2385">
        <v>1001.1</v>
      </c>
      <c r="C2288" s="2374" t="s">
        <v>3299</v>
      </c>
      <c r="D2288" s="2374"/>
      <c r="E2288" s="2374"/>
      <c r="F2288" s="2397"/>
      <c r="G2288" s="2373" t="str">
        <f t="shared" si="117"/>
        <v/>
      </c>
      <c r="H2288" s="2371" t="s">
        <v>3973</v>
      </c>
      <c r="I2288" s="4"/>
      <c r="J2288" s="210"/>
      <c r="K2288" s="210"/>
      <c r="L2288" s="1755"/>
      <c r="M2288" s="1018"/>
      <c r="N2288" s="664"/>
      <c r="O2288" s="1042"/>
      <c r="P2288" s="648"/>
      <c r="Q2288" s="648"/>
      <c r="R2288" s="648"/>
      <c r="S2288" s="648"/>
      <c r="T2288" s="648"/>
      <c r="U2288" s="648"/>
      <c r="V2288" s="648"/>
      <c r="W2288" s="648"/>
      <c r="X2288" s="1757"/>
      <c r="Y2288" s="2077"/>
      <c r="Z2288" s="2083"/>
      <c r="AB2288" s="648"/>
      <c r="AC2288" s="970"/>
      <c r="AD2288" s="970"/>
      <c r="AE2288" s="970"/>
      <c r="AF2288" s="648"/>
      <c r="AG2288" s="648"/>
      <c r="AH2288" s="648"/>
      <c r="AI2288" s="648"/>
      <c r="AJ2288" s="648"/>
      <c r="AK2288" s="648"/>
      <c r="AL2288" s="1336"/>
      <c r="AM2288" s="1336"/>
      <c r="AN2288" s="1336"/>
      <c r="AO2288" s="1336"/>
      <c r="AP2288" s="1336"/>
      <c r="AQ2288" s="1336"/>
      <c r="AR2288" s="1336"/>
      <c r="AS2288" s="1336"/>
      <c r="AT2288" s="648"/>
      <c r="AU2288" s="648"/>
      <c r="AV2288" s="648"/>
      <c r="AW2288" s="648"/>
      <c r="AX2288" s="663" t="str">
        <f>'Overview (Verification)'!A44</f>
        <v>Maximum window and door SHGC:</v>
      </c>
      <c r="AY2288" s="752">
        <f>IF(LEN('Overview (Verification)'!P44)=0,0,'Overview (Verification)'!P44)</f>
        <v>0</v>
      </c>
      <c r="AZ2288" s="648"/>
      <c r="BA2288" s="648"/>
      <c r="BB2288" s="648"/>
      <c r="BC2288" s="648"/>
      <c r="BD2288" s="648"/>
      <c r="BE2288" s="648"/>
      <c r="BF2288" s="648"/>
      <c r="BG2288" s="648"/>
      <c r="BH2288" s="648"/>
    </row>
    <row r="2289" spans="1:60" x14ac:dyDescent="0.25">
      <c r="A2289" s="2371">
        <v>10</v>
      </c>
      <c r="B2289" s="2385">
        <v>1001.1</v>
      </c>
      <c r="C2289" s="2374" t="s">
        <v>3301</v>
      </c>
      <c r="D2289" s="2374"/>
      <c r="E2289" s="2374"/>
      <c r="F2289" s="2397"/>
      <c r="G2289" s="2373" t="str">
        <f t="shared" si="117"/>
        <v/>
      </c>
      <c r="H2289" s="2371" t="s">
        <v>3973</v>
      </c>
      <c r="I2289" s="4"/>
      <c r="J2289" s="207" t="s">
        <v>3301</v>
      </c>
      <c r="K2289" s="243"/>
      <c r="L2289" s="280" t="s">
        <v>3302</v>
      </c>
      <c r="M2289" s="1018"/>
      <c r="N2289" s="664"/>
      <c r="O2289" s="1042"/>
      <c r="P2289" s="648" t="b">
        <v>0</v>
      </c>
      <c r="Q2289" s="648" t="b">
        <v>1</v>
      </c>
      <c r="R2289" s="648" t="b">
        <v>0</v>
      </c>
      <c r="S2289" s="648" t="b">
        <f>IF(AY2262=INDEX(ddSingleOrMulti,1),TRUE,FALSE)</f>
        <v>1</v>
      </c>
      <c r="T2289" s="94" t="b">
        <f>AND(NOT(S2289),W2289=TRUE)</f>
        <v>0</v>
      </c>
      <c r="U2289" s="648"/>
      <c r="V2289" s="648"/>
      <c r="W2289" s="25"/>
      <c r="X2289" s="650"/>
      <c r="Y2289" s="653" t="str">
        <f>IF(LEN('Ch10'!X46)=0,"None",'Ch10'!X46)</f>
        <v>None</v>
      </c>
      <c r="Z2289" s="1587"/>
      <c r="AB2289" s="648"/>
      <c r="AC2289" s="970" t="b">
        <f>OR(AD2289:AE2289)</f>
        <v>0</v>
      </c>
      <c r="AD2289" s="970" t="b">
        <f>T2289</f>
        <v>0</v>
      </c>
      <c r="AE2289" s="970"/>
      <c r="AF2289" s="648"/>
      <c r="AG2289" s="648"/>
      <c r="AH2289" s="648"/>
      <c r="AI2289" s="648"/>
      <c r="AJ2289" s="648"/>
      <c r="AK2289" s="648"/>
      <c r="AL2289" s="1336"/>
      <c r="AM2289" s="1336"/>
      <c r="AN2289" s="1336"/>
      <c r="AO2289" s="1336"/>
      <c r="AP2289" s="254" t="str">
        <f>SUBSTITUTE(SUBSTITUTE(SUBSTITUTE("vch"&amp;$B2289&amp;$C2289&amp;$D2289&amp;$E2289,".","_"),"(","_"),")","")</f>
        <v>vch1001_1_16</v>
      </c>
      <c r="AQ2289" s="254" t="str">
        <f>IF(LEN(W2289)=0,"",W2289)</f>
        <v/>
      </c>
      <c r="AR2289" s="254" t="str">
        <f>SUBSTITUTE(SUBSTITUTE(SUBSTITUTE("vnt"&amp;$B2289&amp;$C2289&amp;$D2289&amp;$E2289,".","_"),"(","_"),")","")</f>
        <v>vnt1001_1_16</v>
      </c>
      <c r="AS2289" s="254" t="str">
        <f>IF(LEN(X2289)=0,"",X2289)</f>
        <v/>
      </c>
      <c r="AT2289" s="648"/>
      <c r="AU2289" s="648"/>
      <c r="AV2289" s="648"/>
      <c r="AW2289" s="648"/>
      <c r="AX2289" s="663" t="str">
        <f>'Overview (Verification)'!A45</f>
        <v>Maximum skylight SHGC:</v>
      </c>
      <c r="AY2289" s="752">
        <f>IF(LEN('Overview (Verification)'!P45)=0,0,'Overview (Verification)'!P45)</f>
        <v>0</v>
      </c>
      <c r="AZ2289" s="648"/>
      <c r="BA2289" s="648"/>
      <c r="BB2289" s="648"/>
      <c r="BC2289" s="648"/>
      <c r="BD2289" s="648"/>
      <c r="BE2289" s="648"/>
      <c r="BF2289" s="648"/>
      <c r="BG2289" s="648"/>
      <c r="BH2289" s="648"/>
    </row>
    <row r="2290" spans="1:60" x14ac:dyDescent="0.25">
      <c r="A2290" s="2371">
        <v>10</v>
      </c>
      <c r="B2290" s="2385">
        <v>1001.1</v>
      </c>
      <c r="C2290" s="2374" t="s">
        <v>3303</v>
      </c>
      <c r="D2290" s="2374"/>
      <c r="E2290" s="2374"/>
      <c r="F2290" s="2397"/>
      <c r="G2290" s="2373" t="str">
        <f t="shared" si="117"/>
        <v/>
      </c>
      <c r="H2290" s="2371" t="s">
        <v>3973</v>
      </c>
      <c r="I2290" s="4"/>
      <c r="J2290" s="209" t="s">
        <v>3303</v>
      </c>
      <c r="K2290" s="193"/>
      <c r="L2290" s="1760" t="s">
        <v>3304</v>
      </c>
      <c r="M2290" s="1018"/>
      <c r="N2290" s="664"/>
      <c r="O2290" s="1042"/>
      <c r="P2290" s="648" t="b">
        <v>0</v>
      </c>
      <c r="Q2290" s="648" t="b">
        <v>1</v>
      </c>
      <c r="R2290" s="648" t="b">
        <v>0</v>
      </c>
      <c r="S2290" s="648" t="b">
        <f>IF(AY2262=INDEX(ddSingleOrMulti,1),TRUE,FALSE)</f>
        <v>1</v>
      </c>
      <c r="T2290" s="94" t="b">
        <f>AND(NOT(S2290),W2290=TRUE)</f>
        <v>0</v>
      </c>
      <c r="U2290" s="648"/>
      <c r="V2290" s="648"/>
      <c r="W2290" s="25"/>
      <c r="X2290" s="1757"/>
      <c r="Y2290" s="2077" t="str">
        <f>IF(LEN('Ch10'!X47)=0,"None",'Ch10'!X47)</f>
        <v>None</v>
      </c>
      <c r="Z2290" s="2083"/>
      <c r="AB2290" s="648"/>
      <c r="AC2290" s="970" t="b">
        <f>OR(AD2290:AE2290)</f>
        <v>0</v>
      </c>
      <c r="AD2290" s="970" t="b">
        <f>T2290</f>
        <v>0</v>
      </c>
      <c r="AE2290" s="970"/>
      <c r="AF2290" s="648"/>
      <c r="AG2290" s="648"/>
      <c r="AH2290" s="648"/>
      <c r="AI2290" s="648"/>
      <c r="AJ2290" s="648"/>
      <c r="AK2290" s="648"/>
      <c r="AL2290" s="1336"/>
      <c r="AM2290" s="1336"/>
      <c r="AN2290" s="1336"/>
      <c r="AO2290" s="1336"/>
      <c r="AP2290" s="254" t="str">
        <f>SUBSTITUTE(SUBSTITUTE(SUBSTITUTE("vch"&amp;$B2290&amp;$C2290&amp;$D2290&amp;$E2290,".","_"),"(","_"),")","")</f>
        <v>vch1001_1_17</v>
      </c>
      <c r="AQ2290" s="254" t="str">
        <f>IF(LEN(W2290)=0,"",W2290)</f>
        <v/>
      </c>
      <c r="AR2290" s="254" t="str">
        <f>SUBSTITUTE(SUBSTITUTE(SUBSTITUTE("vnt"&amp;$B2290&amp;$C2290&amp;$D2290&amp;$E2290,".","_"),"(","_"),")","")</f>
        <v>vnt1001_1_17</v>
      </c>
      <c r="AS2290" s="254" t="str">
        <f>IF(LEN(X2290)=0,"",X2290)</f>
        <v/>
      </c>
      <c r="AT2290" s="648"/>
      <c r="AU2290" s="648"/>
      <c r="AV2290" s="648"/>
      <c r="AW2290" s="648"/>
      <c r="AX2290" s="663" t="str">
        <f>'Overview (Verification)'!A46</f>
        <v>Maximum window and door U-value:</v>
      </c>
      <c r="AY2290" s="752">
        <f>IF(LEN('Overview (Verification)'!P46)=0,0,'Overview (Verification)'!P46)</f>
        <v>0</v>
      </c>
      <c r="AZ2290" s="648"/>
      <c r="BA2290" s="648"/>
      <c r="BB2290" s="648"/>
      <c r="BC2290" s="648"/>
      <c r="BD2290" s="648"/>
      <c r="BE2290" s="648"/>
      <c r="BF2290" s="648"/>
      <c r="BG2290" s="648"/>
      <c r="BH2290" s="648"/>
    </row>
    <row r="2291" spans="1:60" x14ac:dyDescent="0.25">
      <c r="A2291" s="2371">
        <v>10</v>
      </c>
      <c r="B2291" s="2385">
        <v>1001.1</v>
      </c>
      <c r="C2291" s="2374" t="s">
        <v>3303</v>
      </c>
      <c r="D2291" s="2374"/>
      <c r="E2291" s="2374"/>
      <c r="F2291" s="2397"/>
      <c r="G2291" s="2373" t="str">
        <f t="shared" si="117"/>
        <v/>
      </c>
      <c r="H2291" s="2371" t="s">
        <v>3973</v>
      </c>
      <c r="I2291" s="4"/>
      <c r="J2291" s="206"/>
      <c r="K2291" s="210"/>
      <c r="L2291" s="1761"/>
      <c r="M2291" s="1018"/>
      <c r="N2291" s="664"/>
      <c r="O2291" s="1042"/>
      <c r="P2291" s="648"/>
      <c r="Q2291" s="648"/>
      <c r="R2291" s="648"/>
      <c r="S2291" s="648"/>
      <c r="T2291" s="648"/>
      <c r="U2291" s="648"/>
      <c r="V2291" s="648"/>
      <c r="W2291" s="648"/>
      <c r="X2291" s="1757"/>
      <c r="Y2291" s="2077"/>
      <c r="Z2291" s="2083"/>
      <c r="AB2291" s="648"/>
      <c r="AC2291" s="970"/>
      <c r="AD2291" s="970"/>
      <c r="AE2291" s="970"/>
      <c r="AF2291" s="648"/>
      <c r="AG2291" s="648"/>
      <c r="AH2291" s="648"/>
      <c r="AI2291" s="648"/>
      <c r="AJ2291" s="648"/>
      <c r="AK2291" s="648"/>
      <c r="AL2291" s="1336"/>
      <c r="AM2291" s="1336"/>
      <c r="AN2291" s="1336"/>
      <c r="AO2291" s="1336"/>
      <c r="AP2291" s="1336"/>
      <c r="AQ2291" s="1336"/>
      <c r="AR2291" s="1336"/>
      <c r="AS2291" s="1336"/>
      <c r="AT2291" s="648"/>
      <c r="AU2291" s="648"/>
      <c r="AV2291" s="648"/>
      <c r="AW2291" s="648"/>
      <c r="AX2291" s="663" t="str">
        <f>'Overview (Verification)'!A47</f>
        <v>Maximum skylight U-value:</v>
      </c>
      <c r="AY2291" s="752">
        <f>IF(LEN('Overview (Verification)'!P47)=0,0,'Overview (Verification)'!P47)</f>
        <v>0</v>
      </c>
      <c r="AZ2291" s="648"/>
      <c r="BA2291" s="648"/>
      <c r="BB2291" s="648"/>
      <c r="BC2291" s="648"/>
      <c r="BD2291" s="648"/>
      <c r="BE2291" s="648"/>
      <c r="BF2291" s="648"/>
      <c r="BG2291" s="648"/>
      <c r="BH2291" s="648"/>
    </row>
    <row r="2292" spans="1:60" x14ac:dyDescent="0.25">
      <c r="A2292" s="2371">
        <v>10</v>
      </c>
      <c r="B2292" s="2385">
        <v>1001.1</v>
      </c>
      <c r="C2292" s="2374" t="s">
        <v>3305</v>
      </c>
      <c r="D2292" s="2374"/>
      <c r="E2292" s="2374"/>
      <c r="F2292" s="2397"/>
      <c r="G2292" s="2373" t="str">
        <f t="shared" si="117"/>
        <v/>
      </c>
      <c r="H2292" s="2371" t="s">
        <v>3973</v>
      </c>
      <c r="I2292" s="4"/>
      <c r="J2292" s="209" t="s">
        <v>3305</v>
      </c>
      <c r="K2292" s="193"/>
      <c r="L2292" s="1778" t="s">
        <v>3306</v>
      </c>
      <c r="M2292" s="1018"/>
      <c r="N2292" s="664"/>
      <c r="O2292" s="1042"/>
      <c r="P2292" s="648" t="b">
        <v>0</v>
      </c>
      <c r="Q2292" s="648" t="b">
        <v>1</v>
      </c>
      <c r="R2292" s="648" t="b">
        <v>0</v>
      </c>
      <c r="S2292" s="648" t="b">
        <f>IF(AY2262=INDEX(ddSingleOrMulti,1),TRUE,FALSE)</f>
        <v>1</v>
      </c>
      <c r="T2292" s="94" t="b">
        <f>AND(NOT(S2292),W2292=TRUE)</f>
        <v>0</v>
      </c>
      <c r="U2292" s="648"/>
      <c r="V2292" s="648"/>
      <c r="W2292" s="25"/>
      <c r="X2292" s="1757"/>
      <c r="Y2292" s="2077" t="str">
        <f>IF(LEN('Ch10'!X49)=0,"None",'Ch10'!X49)</f>
        <v>None</v>
      </c>
      <c r="Z2292" s="2083"/>
      <c r="AB2292" s="648"/>
      <c r="AC2292" s="970" t="b">
        <f>OR(AD2292:AE2292)</f>
        <v>0</v>
      </c>
      <c r="AD2292" s="970" t="b">
        <f>T2292</f>
        <v>0</v>
      </c>
      <c r="AE2292" s="970"/>
      <c r="AF2292" s="648"/>
      <c r="AG2292" s="648"/>
      <c r="AH2292" s="648"/>
      <c r="AI2292" s="648"/>
      <c r="AJ2292" s="648"/>
      <c r="AK2292" s="648"/>
      <c r="AL2292" s="1336"/>
      <c r="AM2292" s="1336"/>
      <c r="AN2292" s="1336"/>
      <c r="AO2292" s="1336"/>
      <c r="AP2292" s="254" t="str">
        <f>SUBSTITUTE(SUBSTITUTE(SUBSTITUTE("vch"&amp;$B2292&amp;$C2292&amp;$D2292&amp;$E2292,".","_"),"(","_"),")","")</f>
        <v>vch1001_1_18</v>
      </c>
      <c r="AQ2292" s="254" t="str">
        <f>IF(LEN(W2292)=0,"",W2292)</f>
        <v/>
      </c>
      <c r="AR2292" s="254" t="str">
        <f>SUBSTITUTE(SUBSTITUTE(SUBSTITUTE("vnt"&amp;$B2292&amp;$C2292&amp;$D2292&amp;$E2292,".","_"),"(","_"),")","")</f>
        <v>vnt1001_1_18</v>
      </c>
      <c r="AS2292" s="254" t="str">
        <f>IF(LEN(X2292)=0,"",X2292)</f>
        <v/>
      </c>
      <c r="AT2292" s="648"/>
      <c r="AU2292" s="648"/>
      <c r="AV2292" s="648"/>
      <c r="AW2292" s="648"/>
      <c r="AX2292" s="663" t="str">
        <f>'Overview (Verification)'!A48</f>
        <v>Renewable Energy:</v>
      </c>
      <c r="AY2292" s="752">
        <f>IF(LEN('Overview (Verification)'!P48)=0,0,'Overview (Verification)'!P48)</f>
        <v>0</v>
      </c>
      <c r="AZ2292" s="648"/>
      <c r="BA2292" s="648"/>
      <c r="BB2292" s="648"/>
      <c r="BC2292" s="648"/>
      <c r="BD2292" s="648"/>
      <c r="BE2292" s="648"/>
      <c r="BF2292" s="648"/>
      <c r="BG2292" s="648"/>
      <c r="BH2292" s="648"/>
    </row>
    <row r="2293" spans="1:60" x14ac:dyDescent="0.25">
      <c r="A2293" s="2371">
        <v>10</v>
      </c>
      <c r="B2293" s="2385">
        <v>1001.1</v>
      </c>
      <c r="C2293" s="2374" t="s">
        <v>3305</v>
      </c>
      <c r="D2293" s="2374"/>
      <c r="E2293" s="2374"/>
      <c r="F2293" s="2397"/>
      <c r="G2293" s="2373" t="str">
        <f t="shared" si="117"/>
        <v/>
      </c>
      <c r="H2293" s="2371" t="s">
        <v>3973</v>
      </c>
      <c r="I2293" s="4"/>
      <c r="J2293" s="210"/>
      <c r="K2293" s="210"/>
      <c r="L2293" s="1755"/>
      <c r="M2293" s="1018"/>
      <c r="N2293" s="664"/>
      <c r="O2293" s="1042"/>
      <c r="P2293" s="648"/>
      <c r="Q2293" s="648"/>
      <c r="R2293" s="648"/>
      <c r="S2293" s="648"/>
      <c r="T2293" s="648"/>
      <c r="U2293" s="648"/>
      <c r="V2293" s="648"/>
      <c r="W2293" s="648"/>
      <c r="X2293" s="1757"/>
      <c r="Y2293" s="2077"/>
      <c r="Z2293" s="2083"/>
      <c r="AB2293" s="648"/>
      <c r="AC2293" s="970"/>
      <c r="AD2293" s="970"/>
      <c r="AE2293" s="970"/>
      <c r="AF2293" s="648"/>
      <c r="AG2293" s="648"/>
      <c r="AH2293" s="648"/>
      <c r="AI2293" s="648"/>
      <c r="AJ2293" s="648"/>
      <c r="AK2293" s="648"/>
      <c r="AL2293" s="1336"/>
      <c r="AM2293" s="1336"/>
      <c r="AN2293" s="1336"/>
      <c r="AO2293" s="1336"/>
      <c r="AP2293" s="1336"/>
      <c r="AQ2293" s="1336"/>
      <c r="AR2293" s="1336"/>
      <c r="AS2293" s="1336"/>
      <c r="AT2293" s="648"/>
      <c r="AU2293" s="648"/>
      <c r="AV2293" s="648"/>
      <c r="AW2293" s="648"/>
      <c r="AX2293" s="663" t="str">
        <f>'Overview (Verification)'!A49</f>
        <v>Thermal Envelope Insulation:</v>
      </c>
      <c r="AY2293" s="752">
        <f>IF(LEN('Overview (Verification)'!P49)=0,0,'Overview (Verification)'!P49)</f>
        <v>0</v>
      </c>
      <c r="AZ2293" s="648"/>
      <c r="BA2293" s="648"/>
      <c r="BB2293" s="648"/>
      <c r="BC2293" s="648"/>
      <c r="BD2293" s="648"/>
      <c r="BE2293" s="648"/>
      <c r="BF2293" s="648"/>
      <c r="BG2293" s="648"/>
      <c r="BH2293" s="648"/>
    </row>
    <row r="2294" spans="1:60" x14ac:dyDescent="0.25">
      <c r="A2294" s="2371">
        <v>10</v>
      </c>
      <c r="B2294" s="2385">
        <v>1001.1</v>
      </c>
      <c r="C2294" s="2374" t="s">
        <v>3307</v>
      </c>
      <c r="D2294" s="2374"/>
      <c r="E2294" s="2374"/>
      <c r="F2294" s="2397"/>
      <c r="G2294" s="2373" t="str">
        <f t="shared" si="117"/>
        <v/>
      </c>
      <c r="H2294" s="2371" t="s">
        <v>3973</v>
      </c>
      <c r="I2294" s="4"/>
      <c r="J2294" s="207" t="s">
        <v>3307</v>
      </c>
      <c r="K2294" s="243"/>
      <c r="L2294" s="280" t="s">
        <v>3308</v>
      </c>
      <c r="M2294" s="1018"/>
      <c r="N2294" s="664"/>
      <c r="O2294" s="1042"/>
      <c r="P2294" s="648" t="b">
        <v>0</v>
      </c>
      <c r="Q2294" s="648" t="b">
        <v>1</v>
      </c>
      <c r="R2294" s="648" t="b">
        <v>0</v>
      </c>
      <c r="S2294" s="648" t="b">
        <f>IF(AY2262=INDEX(ddSingleOrMulti,1),TRUE,FALSE)</f>
        <v>1</v>
      </c>
      <c r="T2294" s="94" t="b">
        <f>AND(NOT(S2294),W2294=TRUE)</f>
        <v>0</v>
      </c>
      <c r="U2294" s="648"/>
      <c r="V2294" s="648"/>
      <c r="W2294" s="25"/>
      <c r="X2294" s="650"/>
      <c r="Y2294" s="653" t="str">
        <f>IF(LEN('Ch10'!X51)=0,"None",'Ch10'!X51)</f>
        <v>None</v>
      </c>
      <c r="Z2294" s="1587"/>
      <c r="AB2294" s="648"/>
      <c r="AC2294" s="970" t="b">
        <f>OR(AD2294:AE2294)</f>
        <v>0</v>
      </c>
      <c r="AD2294" s="970" t="b">
        <f>T2294</f>
        <v>0</v>
      </c>
      <c r="AE2294" s="970"/>
      <c r="AF2294" s="648"/>
      <c r="AG2294" s="648"/>
      <c r="AH2294" s="648"/>
      <c r="AI2294" s="648"/>
      <c r="AJ2294" s="648"/>
      <c r="AK2294" s="648"/>
      <c r="AL2294" s="1336"/>
      <c r="AM2294" s="1336"/>
      <c r="AN2294" s="1336"/>
      <c r="AO2294" s="1336"/>
      <c r="AP2294" s="254" t="str">
        <f>SUBSTITUTE(SUBSTITUTE(SUBSTITUTE("vch"&amp;$B2294&amp;$C2294&amp;$D2294&amp;$E2294,".","_"),"(","_"),")","")</f>
        <v>vch1001_1_19</v>
      </c>
      <c r="AQ2294" s="254" t="str">
        <f>IF(LEN(W2294)=0,"",W2294)</f>
        <v/>
      </c>
      <c r="AR2294" s="254" t="str">
        <f>SUBSTITUTE(SUBSTITUTE(SUBSTITUTE("vnt"&amp;$B2294&amp;$C2294&amp;$D2294&amp;$E2294,".","_"),"(","_"),")","")</f>
        <v>vnt1001_1_19</v>
      </c>
      <c r="AS2294" s="254" t="str">
        <f>IF(LEN(X2294)=0,"",X2294)</f>
        <v/>
      </c>
      <c r="AT2294" s="648"/>
      <c r="AU2294" s="648"/>
      <c r="AV2294" s="648"/>
      <c r="AW2294" s="648"/>
      <c r="AX2294" s="663" t="str">
        <f>'Overview (Verification)'!A50</f>
        <v>Attic Type:</v>
      </c>
      <c r="AY2294" s="752">
        <f>IF(LEN('Overview (Verification)'!P50)=0,0,'Overview (Verification)'!P50)</f>
        <v>0</v>
      </c>
      <c r="AZ2294" s="648"/>
      <c r="BA2294" s="648"/>
      <c r="BB2294" s="648"/>
      <c r="BC2294" s="648"/>
      <c r="BD2294" s="648"/>
      <c r="BE2294" s="648"/>
      <c r="BF2294" s="648"/>
      <c r="BG2294" s="648"/>
      <c r="BH2294" s="648"/>
    </row>
    <row r="2295" spans="1:60" x14ac:dyDescent="0.25">
      <c r="A2295" s="2371">
        <v>10</v>
      </c>
      <c r="B2295" s="2385">
        <v>1001.1</v>
      </c>
      <c r="C2295" s="2374" t="s">
        <v>3309</v>
      </c>
      <c r="D2295" s="2374"/>
      <c r="E2295" s="2374"/>
      <c r="F2295" s="2397"/>
      <c r="G2295" s="2373" t="str">
        <f t="shared" si="117"/>
        <v/>
      </c>
      <c r="H2295" s="2371" t="s">
        <v>3973</v>
      </c>
      <c r="I2295" s="4"/>
      <c r="J2295" s="209" t="s">
        <v>3309</v>
      </c>
      <c r="K2295" s="193"/>
      <c r="L2295" s="1778" t="s">
        <v>3310</v>
      </c>
      <c r="M2295" s="1018"/>
      <c r="N2295" s="664"/>
      <c r="O2295" s="1042"/>
      <c r="P2295" s="648" t="b">
        <v>0</v>
      </c>
      <c r="Q2295" s="648" t="b">
        <v>1</v>
      </c>
      <c r="R2295" s="648" t="b">
        <v>0</v>
      </c>
      <c r="S2295" s="648" t="b">
        <f>IF(AY2262=INDEX(ddSingleOrMulti,1),TRUE,FALSE)</f>
        <v>1</v>
      </c>
      <c r="T2295" s="94" t="b">
        <f>AND(NOT(S2295),W2295=TRUE)</f>
        <v>0</v>
      </c>
      <c r="U2295" s="648"/>
      <c r="V2295" s="648"/>
      <c r="W2295" s="25"/>
      <c r="X2295" s="1757"/>
      <c r="Y2295" s="2077" t="str">
        <f>IF(LEN('Ch10'!X52)=0,"None",'Ch10'!X52)</f>
        <v>None</v>
      </c>
      <c r="Z2295" s="2083"/>
      <c r="AB2295" s="648"/>
      <c r="AC2295" s="970" t="b">
        <f>OR(AD2295:AE2295)</f>
        <v>0</v>
      </c>
      <c r="AD2295" s="970" t="b">
        <f>T2295</f>
        <v>0</v>
      </c>
      <c r="AE2295" s="970"/>
      <c r="AF2295" s="648"/>
      <c r="AG2295" s="648"/>
      <c r="AH2295" s="648"/>
      <c r="AI2295" s="648"/>
      <c r="AJ2295" s="648"/>
      <c r="AK2295" s="648"/>
      <c r="AL2295" s="1336"/>
      <c r="AM2295" s="1336"/>
      <c r="AN2295" s="1336"/>
      <c r="AO2295" s="1336"/>
      <c r="AP2295" s="254" t="str">
        <f>SUBSTITUTE(SUBSTITUTE(SUBSTITUTE("vch"&amp;$B2295&amp;$C2295&amp;$D2295&amp;$E2295,".","_"),"(","_"),")","")</f>
        <v>vch1001_1_20</v>
      </c>
      <c r="AQ2295" s="254" t="str">
        <f>IF(LEN(W2295)=0,"",W2295)</f>
        <v/>
      </c>
      <c r="AR2295" s="254" t="str">
        <f>SUBSTITUTE(SUBSTITUTE(SUBSTITUTE("vnt"&amp;$B2295&amp;$C2295&amp;$D2295&amp;$E2295,".","_"),"(","_"),")","")</f>
        <v>vnt1001_1_20</v>
      </c>
      <c r="AS2295" s="254" t="str">
        <f>IF(LEN(X2295)=0,"",X2295)</f>
        <v/>
      </c>
      <c r="AT2295" s="648"/>
      <c r="AU2295" s="648"/>
      <c r="AV2295" s="648"/>
      <c r="AW2295" s="648"/>
      <c r="AX2295" s="663" t="str">
        <f>'Overview (Verification)'!A51</f>
        <v>Attached Garage:</v>
      </c>
      <c r="AY2295" s="752">
        <f>IF(LEN('Overview (Verification)'!P51)=0,0,'Overview (Verification)'!P51)</f>
        <v>0</v>
      </c>
      <c r="AZ2295" s="648"/>
      <c r="BA2295" s="648"/>
      <c r="BB2295" s="648"/>
      <c r="BC2295" s="648"/>
      <c r="BD2295" s="648"/>
      <c r="BE2295" s="648"/>
      <c r="BF2295" s="648"/>
      <c r="BG2295" s="648"/>
      <c r="BH2295" s="648"/>
    </row>
    <row r="2296" spans="1:60" x14ac:dyDescent="0.25">
      <c r="A2296" s="2371">
        <v>10</v>
      </c>
      <c r="B2296" s="2385">
        <v>1001.1</v>
      </c>
      <c r="C2296" s="2374" t="s">
        <v>3309</v>
      </c>
      <c r="D2296" s="2374"/>
      <c r="E2296" s="2374"/>
      <c r="F2296" s="2397"/>
      <c r="G2296" s="2373" t="str">
        <f t="shared" si="117"/>
        <v/>
      </c>
      <c r="H2296" s="2371" t="s">
        <v>3973</v>
      </c>
      <c r="I2296" s="4"/>
      <c r="J2296" s="210"/>
      <c r="K2296" s="210"/>
      <c r="L2296" s="1755"/>
      <c r="M2296" s="1018"/>
      <c r="N2296" s="664"/>
      <c r="O2296" s="1042"/>
      <c r="P2296" s="648"/>
      <c r="Q2296" s="648"/>
      <c r="R2296" s="648"/>
      <c r="S2296" s="648"/>
      <c r="T2296" s="648"/>
      <c r="U2296" s="648"/>
      <c r="V2296" s="648"/>
      <c r="W2296" s="648"/>
      <c r="X2296" s="1757"/>
      <c r="Y2296" s="2077"/>
      <c r="Z2296" s="2083"/>
      <c r="AB2296" s="648"/>
      <c r="AC2296" s="970"/>
      <c r="AD2296" s="970"/>
      <c r="AE2296" s="970"/>
      <c r="AF2296" s="648"/>
      <c r="AG2296" s="648"/>
      <c r="AH2296" s="648"/>
      <c r="AI2296" s="648"/>
      <c r="AJ2296" s="648"/>
      <c r="AK2296" s="648"/>
      <c r="AL2296" s="1336"/>
      <c r="AM2296" s="1336"/>
      <c r="AN2296" s="1336"/>
      <c r="AO2296" s="1336"/>
      <c r="AP2296" s="1336"/>
      <c r="AQ2296" s="1336"/>
      <c r="AR2296" s="1336"/>
      <c r="AS2296" s="1336"/>
      <c r="AT2296" s="648"/>
      <c r="AU2296" s="648"/>
      <c r="AV2296" s="648"/>
      <c r="AW2296" s="648"/>
      <c r="AX2296" s="663" t="str">
        <f>'Overview (Verification)'!A52</f>
        <v>Recessed Lighting:</v>
      </c>
      <c r="AY2296" s="752">
        <f>IF(LEN('Overview (Verification)'!P52)=0,0,'Overview (Verification)'!P52)</f>
        <v>0</v>
      </c>
      <c r="AZ2296" s="648"/>
      <c r="BA2296" s="648"/>
      <c r="BB2296" s="648"/>
      <c r="BC2296" s="648"/>
      <c r="BD2296" s="648"/>
      <c r="BE2296" s="648"/>
      <c r="BF2296" s="648"/>
      <c r="BG2296" s="648"/>
      <c r="BH2296" s="648"/>
    </row>
    <row r="2297" spans="1:60" x14ac:dyDescent="0.25">
      <c r="A2297" s="2371">
        <v>10</v>
      </c>
      <c r="B2297" s="2385">
        <v>1001.1</v>
      </c>
      <c r="C2297" s="2374" t="s">
        <v>3311</v>
      </c>
      <c r="D2297" s="2374"/>
      <c r="E2297" s="2374"/>
      <c r="F2297" s="2397"/>
      <c r="G2297" s="2373" t="str">
        <f t="shared" si="117"/>
        <v/>
      </c>
      <c r="H2297" s="2371" t="s">
        <v>3973</v>
      </c>
      <c r="I2297" s="4"/>
      <c r="J2297" s="209" t="s">
        <v>3311</v>
      </c>
      <c r="K2297" s="193"/>
      <c r="L2297" s="1778" t="s">
        <v>3312</v>
      </c>
      <c r="M2297" s="1018"/>
      <c r="N2297" s="664"/>
      <c r="O2297" s="1042"/>
      <c r="P2297" s="648" t="b">
        <v>0</v>
      </c>
      <c r="Q2297" s="648" t="b">
        <v>1</v>
      </c>
      <c r="R2297" s="648" t="b">
        <v>0</v>
      </c>
      <c r="S2297" s="648" t="b">
        <f>IF(AY2262=INDEX(ddSingleOrMulti,1),TRUE,FALSE)</f>
        <v>1</v>
      </c>
      <c r="T2297" s="94" t="b">
        <f>AND(NOT(S2297),W2297=TRUE)</f>
        <v>0</v>
      </c>
      <c r="U2297" s="648"/>
      <c r="V2297" s="648"/>
      <c r="W2297" s="25"/>
      <c r="X2297" s="1757"/>
      <c r="Y2297" s="2077" t="str">
        <f>IF(LEN('Ch10'!X54)=0,"None",'Ch10'!X54)</f>
        <v>None</v>
      </c>
      <c r="Z2297" s="2083"/>
      <c r="AB2297" s="648"/>
      <c r="AC2297" s="970" t="b">
        <f>OR(AD2297:AE2297)</f>
        <v>0</v>
      </c>
      <c r="AD2297" s="970" t="b">
        <f>T2297</f>
        <v>0</v>
      </c>
      <c r="AE2297" s="970"/>
      <c r="AF2297" s="648"/>
      <c r="AG2297" s="648"/>
      <c r="AH2297" s="648"/>
      <c r="AI2297" s="648"/>
      <c r="AJ2297" s="648"/>
      <c r="AK2297" s="648"/>
      <c r="AL2297" s="1336"/>
      <c r="AM2297" s="1336"/>
      <c r="AN2297" s="1336"/>
      <c r="AO2297" s="1336"/>
      <c r="AP2297" s="254" t="str">
        <f>SUBSTITUTE(SUBSTITUTE(SUBSTITUTE("vch"&amp;$B2297&amp;$C2297&amp;$D2297&amp;$E2297,".","_"),"(","_"),")","")</f>
        <v>vch1001_1_21</v>
      </c>
      <c r="AQ2297" s="254" t="str">
        <f>IF(LEN(W2297)=0,"",W2297)</f>
        <v/>
      </c>
      <c r="AR2297" s="254" t="str">
        <f>SUBSTITUTE(SUBSTITUTE(SUBSTITUTE("vnt"&amp;$B2297&amp;$C2297&amp;$D2297&amp;$E2297,".","_"),"(","_"),")","")</f>
        <v>vnt1001_1_21</v>
      </c>
      <c r="AS2297" s="254" t="str">
        <f>IF(LEN(X2297)=0,"",X2297)</f>
        <v/>
      </c>
      <c r="AT2297" s="648"/>
      <c r="AU2297" s="648"/>
      <c r="AV2297" s="648"/>
      <c r="AW2297" s="648"/>
      <c r="AX2297" s="649"/>
      <c r="AY2297" s="752"/>
      <c r="AZ2297" s="648"/>
      <c r="BA2297" s="648"/>
      <c r="BB2297" s="648"/>
      <c r="BC2297" s="648"/>
      <c r="BD2297" s="648"/>
      <c r="BE2297" s="648"/>
      <c r="BF2297" s="648"/>
      <c r="BG2297" s="648"/>
      <c r="BH2297" s="648"/>
    </row>
    <row r="2298" spans="1:60" x14ac:dyDescent="0.25">
      <c r="A2298" s="2371">
        <v>10</v>
      </c>
      <c r="B2298" s="2385">
        <v>1001.1</v>
      </c>
      <c r="C2298" s="2374" t="s">
        <v>3311</v>
      </c>
      <c r="D2298" s="2374"/>
      <c r="E2298" s="2374"/>
      <c r="F2298" s="2397"/>
      <c r="G2298" s="2373" t="str">
        <f t="shared" si="117"/>
        <v/>
      </c>
      <c r="H2298" s="2371" t="s">
        <v>3973</v>
      </c>
      <c r="I2298" s="4"/>
      <c r="J2298" s="210"/>
      <c r="K2298" s="210"/>
      <c r="L2298" s="1755"/>
      <c r="M2298" s="1018"/>
      <c r="N2298" s="664"/>
      <c r="O2298" s="1042"/>
      <c r="P2298" s="648"/>
      <c r="Q2298" s="648"/>
      <c r="R2298" s="648"/>
      <c r="S2298" s="648"/>
      <c r="T2298" s="648"/>
      <c r="U2298" s="648"/>
      <c r="V2298" s="648"/>
      <c r="W2298" s="648"/>
      <c r="X2298" s="1757"/>
      <c r="Y2298" s="2077"/>
      <c r="Z2298" s="2083"/>
      <c r="AB2298" s="648"/>
      <c r="AC2298" s="970"/>
      <c r="AD2298" s="970"/>
      <c r="AE2298" s="970"/>
      <c r="AF2298" s="648"/>
      <c r="AG2298" s="648"/>
      <c r="AH2298" s="648"/>
      <c r="AI2298" s="648"/>
      <c r="AJ2298" s="648"/>
      <c r="AK2298" s="648"/>
      <c r="AL2298" s="1336"/>
      <c r="AM2298" s="1336"/>
      <c r="AN2298" s="1336"/>
      <c r="AO2298" s="1336"/>
      <c r="AP2298" s="1336"/>
      <c r="AQ2298" s="1336"/>
      <c r="AR2298" s="1336"/>
      <c r="AS2298" s="1336"/>
      <c r="AT2298" s="648"/>
      <c r="AU2298" s="648"/>
      <c r="AV2298" s="648"/>
      <c r="AW2298" s="648"/>
      <c r="AX2298" s="663" t="str">
        <f>'Overview (Verification)'!A54</f>
        <v>Special Design Features:</v>
      </c>
      <c r="AY2298" s="752"/>
      <c r="AZ2298" s="648"/>
      <c r="BA2298" s="648"/>
      <c r="BB2298" s="648"/>
      <c r="BC2298" s="648"/>
      <c r="BD2298" s="648"/>
      <c r="BE2298" s="648"/>
      <c r="BF2298" s="648"/>
      <c r="BG2298" s="648"/>
      <c r="BH2298" s="648"/>
    </row>
    <row r="2299" spans="1:60" x14ac:dyDescent="0.25">
      <c r="A2299" s="2371">
        <v>10</v>
      </c>
      <c r="B2299" s="2385">
        <v>1001.1</v>
      </c>
      <c r="C2299" s="2374" t="s">
        <v>3313</v>
      </c>
      <c r="D2299" s="2374"/>
      <c r="E2299" s="2374"/>
      <c r="F2299" s="2397"/>
      <c r="G2299" s="2373" t="str">
        <f t="shared" si="117"/>
        <v/>
      </c>
      <c r="H2299" s="2371" t="s">
        <v>3973</v>
      </c>
      <c r="I2299" s="4"/>
      <c r="J2299" s="209" t="s">
        <v>3313</v>
      </c>
      <c r="K2299" s="193"/>
      <c r="L2299" s="1778" t="s">
        <v>3314</v>
      </c>
      <c r="M2299" s="1018"/>
      <c r="N2299" s="664"/>
      <c r="O2299" s="1042"/>
      <c r="P2299" s="648" t="b">
        <v>0</v>
      </c>
      <c r="Q2299" s="648" t="b">
        <v>1</v>
      </c>
      <c r="R2299" s="648" t="b">
        <v>0</v>
      </c>
      <c r="S2299" s="648" t="b">
        <f>IF(AY2262=INDEX(ddSingleOrMulti,1),TRUE,FALSE)</f>
        <v>1</v>
      </c>
      <c r="T2299" s="94" t="b">
        <f>AND(NOT(S2299),W2299=TRUE)</f>
        <v>0</v>
      </c>
      <c r="U2299" s="648"/>
      <c r="V2299" s="648"/>
      <c r="W2299" s="25"/>
      <c r="X2299" s="1757"/>
      <c r="Y2299" s="2077" t="str">
        <f>IF(LEN('Ch10'!X56)=0,"None",'Ch10'!X56)</f>
        <v>None</v>
      </c>
      <c r="Z2299" s="2083"/>
      <c r="AB2299" s="648"/>
      <c r="AC2299" s="970" t="b">
        <f>OR(AD2299:AE2299)</f>
        <v>0</v>
      </c>
      <c r="AD2299" s="970" t="b">
        <f>T2299</f>
        <v>0</v>
      </c>
      <c r="AE2299" s="970"/>
      <c r="AF2299" s="648"/>
      <c r="AG2299" s="648"/>
      <c r="AH2299" s="648"/>
      <c r="AI2299" s="648"/>
      <c r="AJ2299" s="648"/>
      <c r="AK2299" s="648"/>
      <c r="AL2299" s="1336"/>
      <c r="AM2299" s="1336"/>
      <c r="AN2299" s="1336"/>
      <c r="AO2299" s="1336"/>
      <c r="AP2299" s="254" t="str">
        <f>SUBSTITUTE(SUBSTITUTE(SUBSTITUTE("vch"&amp;$B2299&amp;$C2299&amp;$D2299&amp;$E2299,".","_"),"(","_"),")","")</f>
        <v>vch1001_1_22</v>
      </c>
      <c r="AQ2299" s="254" t="str">
        <f>IF(LEN(W2299)=0,"",W2299)</f>
        <v/>
      </c>
      <c r="AR2299" s="254" t="str">
        <f>SUBSTITUTE(SUBSTITUTE(SUBSTITUTE("vnt"&amp;$B2299&amp;$C2299&amp;$D2299&amp;$E2299,".","_"),"(","_"),")","")</f>
        <v>vnt1001_1_22</v>
      </c>
      <c r="AS2299" s="254" t="str">
        <f>IF(LEN(X2299)=0,"",X2299)</f>
        <v/>
      </c>
      <c r="AT2299" s="648"/>
      <c r="AU2299" s="648"/>
      <c r="AV2299" s="648"/>
      <c r="AW2299" s="648"/>
      <c r="AX2299" s="663" t="str">
        <f>'Overview (Verification)'!A55</f>
        <v>Passive Solar:</v>
      </c>
      <c r="AY2299" s="752">
        <f>IF(LEN('Overview (Verification)'!P55)=0,0,'Overview (Verification)'!P55)</f>
        <v>0</v>
      </c>
      <c r="AZ2299" s="648"/>
      <c r="BA2299" s="648"/>
      <c r="BB2299" s="648"/>
      <c r="BC2299" s="648"/>
      <c r="BD2299" s="648"/>
      <c r="BE2299" s="648"/>
      <c r="BF2299" s="648"/>
      <c r="BG2299" s="648"/>
      <c r="BH2299" s="648"/>
    </row>
    <row r="2300" spans="1:60" x14ac:dyDescent="0.25">
      <c r="A2300" s="2371">
        <v>10</v>
      </c>
      <c r="B2300" s="2385">
        <v>1001.1</v>
      </c>
      <c r="C2300" s="2374" t="s">
        <v>3313</v>
      </c>
      <c r="D2300" s="2374"/>
      <c r="E2300" s="2374"/>
      <c r="F2300" s="2397"/>
      <c r="G2300" s="2373" t="str">
        <f t="shared" si="117"/>
        <v/>
      </c>
      <c r="H2300" s="2371" t="s">
        <v>3973</v>
      </c>
      <c r="I2300" s="4"/>
      <c r="J2300" s="210"/>
      <c r="K2300" s="210"/>
      <c r="L2300" s="1755"/>
      <c r="M2300" s="1018"/>
      <c r="N2300" s="664"/>
      <c r="O2300" s="1042"/>
      <c r="P2300" s="648"/>
      <c r="Q2300" s="648"/>
      <c r="R2300" s="648"/>
      <c r="S2300" s="648"/>
      <c r="T2300" s="648"/>
      <c r="U2300" s="648"/>
      <c r="V2300" s="648"/>
      <c r="W2300" s="648"/>
      <c r="X2300" s="1757"/>
      <c r="Y2300" s="2077"/>
      <c r="Z2300" s="2083"/>
      <c r="AB2300" s="648"/>
      <c r="AC2300" s="970"/>
      <c r="AD2300" s="970"/>
      <c r="AE2300" s="970"/>
      <c r="AF2300" s="648"/>
      <c r="AG2300" s="648"/>
      <c r="AH2300" s="648"/>
      <c r="AI2300" s="648"/>
      <c r="AJ2300" s="648"/>
      <c r="AK2300" s="648"/>
      <c r="AL2300" s="1336"/>
      <c r="AM2300" s="1336"/>
      <c r="AN2300" s="1336"/>
      <c r="AO2300" s="1336"/>
      <c r="AP2300" s="1336"/>
      <c r="AQ2300" s="1336"/>
      <c r="AR2300" s="1336"/>
      <c r="AS2300" s="1336"/>
      <c r="AT2300" s="648"/>
      <c r="AU2300" s="648"/>
      <c r="AV2300" s="648"/>
      <c r="AW2300" s="648"/>
      <c r="AX2300" s="663" t="str">
        <f>'Overview (Verification)'!A56</f>
        <v>Mass Walls:</v>
      </c>
      <c r="AY2300" s="752">
        <f>IF(LEN('Overview (Verification)'!P56)=0,0,'Overview (Verification)'!P56)</f>
        <v>0</v>
      </c>
      <c r="AZ2300" s="648"/>
      <c r="BA2300" s="648"/>
      <c r="BB2300" s="648"/>
      <c r="BC2300" s="648"/>
      <c r="BD2300" s="648"/>
      <c r="BE2300" s="648"/>
      <c r="BF2300" s="648"/>
      <c r="BG2300" s="648"/>
      <c r="BH2300" s="648"/>
    </row>
    <row r="2301" spans="1:60" x14ac:dyDescent="0.25">
      <c r="A2301" s="2371">
        <v>10</v>
      </c>
      <c r="B2301" s="2385">
        <v>1001.1</v>
      </c>
      <c r="C2301" s="2374" t="s">
        <v>3315</v>
      </c>
      <c r="D2301" s="2374"/>
      <c r="E2301" s="2374"/>
      <c r="F2301" s="2397"/>
      <c r="G2301" s="2373" t="str">
        <f t="shared" si="117"/>
        <v/>
      </c>
      <c r="H2301" s="2371" t="s">
        <v>3973</v>
      </c>
      <c r="I2301" s="4"/>
      <c r="J2301" s="207" t="s">
        <v>3315</v>
      </c>
      <c r="K2301" s="243"/>
      <c r="L2301" s="280" t="s">
        <v>3316</v>
      </c>
      <c r="M2301" s="1018"/>
      <c r="N2301" s="664"/>
      <c r="O2301" s="1042"/>
      <c r="P2301" s="648" t="b">
        <v>0</v>
      </c>
      <c r="Q2301" s="648" t="b">
        <v>1</v>
      </c>
      <c r="R2301" s="648" t="b">
        <v>0</v>
      </c>
      <c r="S2301" s="648" t="b">
        <f>IF(AY2262=INDEX(ddSingleOrMulti,1),TRUE,FALSE)</f>
        <v>1</v>
      </c>
      <c r="T2301" s="94" t="b">
        <f>AND(NOT(S2301),W2301=TRUE)</f>
        <v>0</v>
      </c>
      <c r="U2301" s="648"/>
      <c r="V2301" s="648"/>
      <c r="W2301" s="25"/>
      <c r="X2301" s="650"/>
      <c r="Y2301" s="653" t="str">
        <f>IF(LEN('Ch10'!X58)=0,"None",'Ch10'!X58)</f>
        <v>None</v>
      </c>
      <c r="Z2301" s="1587"/>
      <c r="AB2301" s="648"/>
      <c r="AC2301" s="970" t="b">
        <f>OR(AD2301:AE2301)</f>
        <v>0</v>
      </c>
      <c r="AD2301" s="970" t="b">
        <f>T2301</f>
        <v>0</v>
      </c>
      <c r="AE2301" s="970"/>
      <c r="AF2301" s="648"/>
      <c r="AG2301" s="648"/>
      <c r="AH2301" s="648"/>
      <c r="AI2301" s="648"/>
      <c r="AJ2301" s="648"/>
      <c r="AK2301" s="648"/>
      <c r="AL2301" s="1336"/>
      <c r="AM2301" s="1336"/>
      <c r="AN2301" s="1336"/>
      <c r="AO2301" s="1336"/>
      <c r="AP2301" s="254" t="str">
        <f>SUBSTITUTE(SUBSTITUTE(SUBSTITUTE("vch"&amp;$B2301&amp;$C2301&amp;$D2301&amp;$E2301,".","_"),"(","_"),")","")</f>
        <v>vch1001_1_23</v>
      </c>
      <c r="AQ2301" s="254" t="str">
        <f>IF(LEN(W2301)=0,"",W2301)</f>
        <v/>
      </c>
      <c r="AR2301" s="254" t="str">
        <f>SUBSTITUTE(SUBSTITUTE(SUBSTITUTE("vnt"&amp;$B2301&amp;$C2301&amp;$D2301&amp;$E2301,".","_"),"(","_"),")","")</f>
        <v>vnt1001_1_23</v>
      </c>
      <c r="AS2301" s="254" t="str">
        <f>IF(LEN(X2301)=0,"",X2301)</f>
        <v/>
      </c>
      <c r="AT2301" s="648"/>
      <c r="AU2301" s="648"/>
      <c r="AV2301" s="648"/>
      <c r="AW2301" s="648"/>
      <c r="AX2301" s="663" t="str">
        <f>'Overview (Verification)'!A57</f>
        <v>Radiant/Hydronic:</v>
      </c>
      <c r="AY2301" s="752">
        <f>IF(LEN('Overview (Verification)'!P57)=0,0,'Overview (Verification)'!P57)</f>
        <v>0</v>
      </c>
      <c r="AZ2301" s="648"/>
      <c r="BA2301" s="648"/>
      <c r="BB2301" s="648"/>
      <c r="BC2301" s="648"/>
      <c r="BD2301" s="648"/>
      <c r="BE2301" s="648"/>
      <c r="BF2301" s="648"/>
      <c r="BG2301" s="648"/>
      <c r="BH2301" s="648"/>
    </row>
    <row r="2302" spans="1:60" ht="15.75" thickBot="1" x14ac:dyDescent="0.3">
      <c r="A2302" s="2371">
        <v>10</v>
      </c>
      <c r="B2302" s="2385">
        <v>1001.1</v>
      </c>
      <c r="C2302" s="2374" t="s">
        <v>3317</v>
      </c>
      <c r="D2302" s="2374"/>
      <c r="E2302" s="2374"/>
      <c r="F2302" s="2397"/>
      <c r="G2302" s="2373" t="str">
        <f t="shared" si="117"/>
        <v/>
      </c>
      <c r="H2302" s="2371" t="s">
        <v>3973</v>
      </c>
      <c r="I2302" s="240"/>
      <c r="J2302" s="190" t="s">
        <v>3317</v>
      </c>
      <c r="K2302" s="240"/>
      <c r="L2302" s="1171" t="s">
        <v>3318</v>
      </c>
      <c r="M2302" s="1013"/>
      <c r="N2302" s="1052"/>
      <c r="O2302" s="1045"/>
      <c r="P2302" s="648" t="b">
        <v>0</v>
      </c>
      <c r="Q2302" s="648" t="b">
        <v>1</v>
      </c>
      <c r="R2302" s="99" t="b">
        <v>0</v>
      </c>
      <c r="S2302" s="99" t="b">
        <f>IF(AY2262=INDEX(ddSingleOrMulti,1),TRUE,FALSE)</f>
        <v>1</v>
      </c>
      <c r="T2302" s="99" t="b">
        <f>AND(NOT(S2302),W2302=TRUE)</f>
        <v>0</v>
      </c>
      <c r="U2302" s="99"/>
      <c r="V2302" s="99"/>
      <c r="W2302" s="100"/>
      <c r="X2302" s="651"/>
      <c r="Y2302" s="654" t="str">
        <f>IF(LEN('Ch10'!X59)=0,"None",'Ch10'!X59)</f>
        <v>None</v>
      </c>
      <c r="Z2302" s="1595"/>
      <c r="AB2302" s="648"/>
      <c r="AC2302" s="970" t="b">
        <f>OR(AD2302:AE2302)</f>
        <v>0</v>
      </c>
      <c r="AD2302" s="970" t="b">
        <f>T2302</f>
        <v>0</v>
      </c>
      <c r="AE2302" s="970"/>
      <c r="AF2302" s="648"/>
      <c r="AG2302" s="648"/>
      <c r="AH2302" s="648"/>
      <c r="AI2302" s="648"/>
      <c r="AJ2302" s="648"/>
      <c r="AK2302" s="648"/>
      <c r="AL2302" s="1336"/>
      <c r="AM2302" s="1336"/>
      <c r="AN2302" s="1336"/>
      <c r="AO2302" s="1336"/>
      <c r="AP2302" s="254" t="str">
        <f>SUBSTITUTE(SUBSTITUTE(SUBSTITUTE("vch"&amp;$B2302&amp;$C2302&amp;$D2302&amp;$E2302,".","_"),"(","_"),")","")</f>
        <v>vch1001_1_24</v>
      </c>
      <c r="AQ2302" s="254" t="str">
        <f>IF(LEN(W2302)=0,"",W2302)</f>
        <v/>
      </c>
      <c r="AR2302" s="254" t="str">
        <f>SUBSTITUTE(SUBSTITUTE(SUBSTITUTE("vnt"&amp;$B2302&amp;$C2302&amp;$D2302&amp;$E2302,".","_"),"(","_"),")","")</f>
        <v>vnt1001_1_24</v>
      </c>
      <c r="AS2302" s="254" t="str">
        <f>IF(LEN(X2302)=0,"",X2302)</f>
        <v/>
      </c>
      <c r="AT2302" s="648"/>
      <c r="AU2302" s="648"/>
      <c r="AV2302" s="648"/>
      <c r="AW2302" s="648"/>
      <c r="AX2302" s="663" t="str">
        <f>'Overview (Verification)'!A58</f>
        <v>Tankless Water Heater:</v>
      </c>
      <c r="AY2302" s="752">
        <f>IF(LEN('Overview (Verification)'!P58)=0,0,'Overview (Verification)'!P58)</f>
        <v>0</v>
      </c>
      <c r="AZ2302" s="648"/>
      <c r="BA2302" s="648"/>
      <c r="BB2302" s="648"/>
      <c r="BC2302" s="648"/>
      <c r="BD2302" s="648"/>
      <c r="BE2302" s="648"/>
      <c r="BF2302" s="648"/>
      <c r="BG2302" s="648"/>
      <c r="BH2302" s="648"/>
    </row>
    <row r="2303" spans="1:60" ht="15.75" thickTop="1" x14ac:dyDescent="0.25">
      <c r="A2303" s="2371">
        <v>10</v>
      </c>
      <c r="B2303" s="2385">
        <v>1001.2</v>
      </c>
      <c r="C2303" s="2374"/>
      <c r="D2303" s="2374"/>
      <c r="E2303" s="2374"/>
      <c r="F2303" s="2374" t="s">
        <v>4893</v>
      </c>
      <c r="G2303" s="2373" t="str">
        <f>IF(M2303="Mandatory","P","")</f>
        <v>P</v>
      </c>
      <c r="H2303" s="2371" t="s">
        <v>3973</v>
      </c>
      <c r="I2303" s="64">
        <v>1001.2</v>
      </c>
      <c r="J2303" s="4"/>
      <c r="K2303" s="4"/>
      <c r="L2303" s="1796" t="s">
        <v>3319</v>
      </c>
      <c r="M2303" s="1856" t="str">
        <f>IF(R2303,"Mandatory","N/A")</f>
        <v>Mandatory</v>
      </c>
      <c r="N2303" s="2080">
        <f>'Ch10'!O60</f>
        <v>0</v>
      </c>
      <c r="O2303" s="2080">
        <f>M2305*W2303*S2303</f>
        <v>0</v>
      </c>
      <c r="P2303" s="648" t="b">
        <v>0</v>
      </c>
      <c r="Q2303" s="648" t="b">
        <v>1</v>
      </c>
      <c r="R2303" s="648" t="b">
        <f>S2303</f>
        <v>1</v>
      </c>
      <c r="S2303" s="648" t="b">
        <f>IF(AY2262=INDEX(ddSingleOrMulti,1),TRUE,FALSE)</f>
        <v>1</v>
      </c>
      <c r="T2303" s="94" t="b">
        <f>AND(NOT(S2303),W2303=TRUE)</f>
        <v>0</v>
      </c>
      <c r="U2303" s="648"/>
      <c r="V2303" s="648"/>
      <c r="W2303" s="117"/>
      <c r="X2303" s="1756"/>
      <c r="Y2303" s="2097" t="str">
        <f>IF(LEN('Ch10'!X60)=0,"None",'Ch10'!X60)</f>
        <v>None</v>
      </c>
      <c r="Z2303" s="2085"/>
      <c r="AB2303" s="648"/>
      <c r="AC2303" s="970" t="b">
        <f>OR(AD2303:AE2303)</f>
        <v>1</v>
      </c>
      <c r="AD2303" s="970" t="b">
        <f>T2303</f>
        <v>0</v>
      </c>
      <c r="AE2303" s="970" t="b">
        <f>AND(R2303,NOT(W2303=TRUE))</f>
        <v>1</v>
      </c>
      <c r="AF2303" s="784"/>
      <c r="AG2303" s="648"/>
      <c r="AH2303" s="648"/>
      <c r="AI2303" s="648"/>
      <c r="AJ2303" s="648"/>
      <c r="AK2303" s="648"/>
      <c r="AL2303" s="36" t="str">
        <f>SUBSTITUTE(SUBSTITUTE(SUBSTITUTE("vpa"&amp;$B2303&amp;$C2303&amp;$D2303&amp;$E2303&amp;$F2303,".","_"),"(","_"),")","")</f>
        <v>vpa1001_2_m</v>
      </c>
      <c r="AM2303" s="254" t="str">
        <f>M2303</f>
        <v>Mandatory</v>
      </c>
      <c r="AN2303" s="254" t="str">
        <f>SUBSTITUTE(SUBSTITUTE(SUBSTITUTE("vpc"&amp;$B2303&amp;$C2303&amp;$D2303&amp;$E2303,".","_"),"(","_"),")","")</f>
        <v>vpc1001_2</v>
      </c>
      <c r="AO2303" s="254">
        <f>O2303</f>
        <v>0</v>
      </c>
      <c r="AP2303" s="254" t="str">
        <f>SUBSTITUTE(SUBSTITUTE(SUBSTITUTE("vch"&amp;$B2303&amp;$C2303&amp;$D2303&amp;$E2303,".","_"),"(","_"),")","")</f>
        <v>vch1001_2</v>
      </c>
      <c r="AQ2303" s="254" t="str">
        <f>IF(LEN(W2303)=0,"",W2303)</f>
        <v/>
      </c>
      <c r="AR2303" s="254" t="str">
        <f>SUBSTITUTE(SUBSTITUTE(SUBSTITUTE("vnt"&amp;$B2303&amp;$C2303&amp;$D2303&amp;$E2303,".","_"),"(","_"),")","")</f>
        <v>vnt1001_2</v>
      </c>
      <c r="AS2303" s="254" t="str">
        <f>IF(LEN(X2303)=0,"",X2303)</f>
        <v/>
      </c>
      <c r="AT2303" s="648"/>
      <c r="AU2303" s="648"/>
      <c r="AV2303" s="648"/>
      <c r="AW2303" s="648"/>
      <c r="AX2303" s="663" t="str">
        <f>'Overview (Verification)'!A59</f>
        <v>Composting Toilet:</v>
      </c>
      <c r="AY2303" s="752">
        <f>IF(LEN('Overview (Verification)'!P59)=0,0,'Overview (Verification)'!P59)</f>
        <v>0</v>
      </c>
      <c r="AZ2303" s="648"/>
      <c r="BA2303" s="648"/>
      <c r="BB2303" s="648"/>
      <c r="BC2303" s="648"/>
      <c r="BD2303" s="648"/>
      <c r="BE2303" s="648"/>
      <c r="BF2303" s="648"/>
      <c r="BG2303" s="648"/>
      <c r="BH2303" s="648"/>
    </row>
    <row r="2304" spans="1:60" x14ac:dyDescent="0.25">
      <c r="A2304" s="2371">
        <v>10</v>
      </c>
      <c r="B2304" s="2385">
        <v>1001.2</v>
      </c>
      <c r="C2304" s="2374"/>
      <c r="D2304" s="2374"/>
      <c r="E2304" s="2374"/>
      <c r="F2304" s="2374"/>
      <c r="G2304" s="2373" t="str">
        <f t="shared" ref="G2304:G2314" si="119">G2303</f>
        <v>P</v>
      </c>
      <c r="H2304" s="2371" t="s">
        <v>3973</v>
      </c>
      <c r="I2304" s="4"/>
      <c r="J2304" s="4"/>
      <c r="K2304" s="4"/>
      <c r="L2304" s="1796"/>
      <c r="M2304" s="1838"/>
      <c r="N2304" s="1927"/>
      <c r="O2304" s="2075"/>
      <c r="P2304" s="648"/>
      <c r="Q2304" s="648"/>
      <c r="R2304" s="648"/>
      <c r="S2304" s="648"/>
      <c r="T2304" s="648"/>
      <c r="U2304" s="648"/>
      <c r="V2304" s="648"/>
      <c r="W2304" s="648"/>
      <c r="X2304" s="1757"/>
      <c r="Y2304" s="2077"/>
      <c r="Z2304" s="2083"/>
      <c r="AB2304" s="648"/>
      <c r="AC2304" s="970"/>
      <c r="AD2304" s="970"/>
      <c r="AE2304" s="970"/>
      <c r="AF2304" s="648"/>
      <c r="AG2304" s="648"/>
      <c r="AH2304" s="648"/>
      <c r="AI2304" s="648"/>
      <c r="AJ2304" s="648"/>
      <c r="AK2304" s="648"/>
      <c r="AL2304" s="1336"/>
      <c r="AM2304" s="1336"/>
      <c r="AN2304" s="1336"/>
      <c r="AO2304" s="1336"/>
      <c r="AP2304" s="1336"/>
      <c r="AQ2304" s="1336"/>
      <c r="AR2304" s="1336"/>
      <c r="AS2304" s="1336"/>
      <c r="AT2304" s="648"/>
      <c r="AU2304" s="648"/>
      <c r="AV2304" s="648"/>
      <c r="AW2304" s="648"/>
      <c r="AX2304" s="649"/>
      <c r="AY2304" s="752"/>
      <c r="AZ2304" s="648"/>
      <c r="BA2304" s="648"/>
      <c r="BB2304" s="648"/>
      <c r="BC2304" s="648"/>
      <c r="BD2304" s="648"/>
      <c r="BE2304" s="648"/>
      <c r="BF2304" s="648"/>
      <c r="BG2304" s="648"/>
      <c r="BH2304" s="648"/>
    </row>
    <row r="2305" spans="1:60" x14ac:dyDescent="0.25">
      <c r="A2305" s="2371">
        <v>10</v>
      </c>
      <c r="B2305" s="2385">
        <v>1001.2</v>
      </c>
      <c r="C2305" s="2374"/>
      <c r="D2305" s="2374"/>
      <c r="E2305" s="2374"/>
      <c r="F2305" s="2374"/>
      <c r="G2305" s="2373" t="str">
        <f t="shared" si="119"/>
        <v>P</v>
      </c>
      <c r="H2305" s="2371" t="s">
        <v>3973</v>
      </c>
      <c r="I2305" s="4"/>
      <c r="J2305" s="4"/>
      <c r="K2305" s="4"/>
      <c r="L2305" s="1796"/>
      <c r="M2305" s="1780">
        <v>8</v>
      </c>
      <c r="N2305" s="1927"/>
      <c r="O2305" s="2075"/>
      <c r="P2305" s="648"/>
      <c r="Q2305" s="648"/>
      <c r="R2305" s="648"/>
      <c r="S2305" s="648"/>
      <c r="T2305" s="648"/>
      <c r="U2305" s="648"/>
      <c r="V2305" s="648"/>
      <c r="W2305" s="648"/>
      <c r="X2305" s="1757"/>
      <c r="Y2305" s="2077"/>
      <c r="Z2305" s="2083"/>
      <c r="AB2305" s="648"/>
      <c r="AC2305" s="970"/>
      <c r="AD2305" s="970"/>
      <c r="AE2305" s="970"/>
      <c r="AF2305" s="648"/>
      <c r="AG2305" s="648"/>
      <c r="AH2305" s="648"/>
      <c r="AI2305" s="648"/>
      <c r="AJ2305" s="648"/>
      <c r="AK2305" s="648"/>
      <c r="AL2305" s="254" t="str">
        <f>SUBSTITUTE(SUBSTITUTE(SUBSTITUTE("vpa"&amp;$B2305&amp;$C2305&amp;$D2305&amp;$E2305,".","_"),"(","_"),")","")</f>
        <v>vpa1001_2</v>
      </c>
      <c r="AM2305" s="254">
        <f>M2305</f>
        <v>8</v>
      </c>
      <c r="AN2305" s="1336"/>
      <c r="AO2305" s="1336"/>
      <c r="AP2305" s="1336"/>
      <c r="AQ2305" s="1336"/>
      <c r="AR2305" s="1336"/>
      <c r="AS2305" s="1336"/>
      <c r="AT2305" s="648"/>
      <c r="AU2305" s="648"/>
      <c r="AV2305" s="648"/>
      <c r="AW2305" s="648"/>
      <c r="AX2305" s="663" t="str">
        <f>'Overview (Verification)'!A61</f>
        <v>Local Energy Code:</v>
      </c>
      <c r="AY2305" s="752">
        <f>IF(LEN('Overview (Verification)'!P61)=0,0,'Overview (Verification)'!P61)</f>
        <v>0</v>
      </c>
      <c r="AZ2305" s="648"/>
      <c r="BA2305" s="648"/>
      <c r="BB2305" s="648"/>
      <c r="BC2305" s="648"/>
      <c r="BD2305" s="648"/>
      <c r="BE2305" s="648"/>
      <c r="BF2305" s="648"/>
      <c r="BG2305" s="648"/>
      <c r="BH2305" s="648"/>
    </row>
    <row r="2306" spans="1:60" x14ac:dyDescent="0.25">
      <c r="A2306" s="2371">
        <v>10</v>
      </c>
      <c r="B2306" s="2385">
        <v>1001.2</v>
      </c>
      <c r="C2306" s="2374"/>
      <c r="D2306" s="2374"/>
      <c r="E2306" s="2374"/>
      <c r="F2306" s="2374"/>
      <c r="G2306" s="2373" t="str">
        <f t="shared" si="119"/>
        <v>P</v>
      </c>
      <c r="H2306" s="2371" t="s">
        <v>3973</v>
      </c>
      <c r="I2306" s="4"/>
      <c r="J2306" s="4"/>
      <c r="K2306" s="4"/>
      <c r="L2306" s="1796"/>
      <c r="M2306" s="1780"/>
      <c r="N2306" s="1927"/>
      <c r="O2306" s="2075"/>
      <c r="P2306" s="648"/>
      <c r="Q2306" s="648"/>
      <c r="R2306" s="648"/>
      <c r="S2306" s="648"/>
      <c r="T2306" s="648"/>
      <c r="U2306" s="648"/>
      <c r="V2306" s="648"/>
      <c r="W2306" s="648"/>
      <c r="X2306" s="1757"/>
      <c r="Y2306" s="2077"/>
      <c r="Z2306" s="2083"/>
      <c r="AB2306" s="648"/>
      <c r="AC2306" s="970"/>
      <c r="AD2306" s="970"/>
      <c r="AE2306" s="970"/>
      <c r="AF2306" s="648"/>
      <c r="AG2306" s="648"/>
      <c r="AH2306" s="648"/>
      <c r="AI2306" s="648"/>
      <c r="AJ2306" s="648"/>
      <c r="AK2306" s="648"/>
      <c r="AL2306" s="1336"/>
      <c r="AM2306" s="1336"/>
      <c r="AN2306" s="1336"/>
      <c r="AO2306" s="1336"/>
      <c r="AP2306" s="1336"/>
      <c r="AQ2306" s="1336"/>
      <c r="AR2306" s="1336"/>
      <c r="AS2306" s="1336"/>
      <c r="AT2306" s="648"/>
      <c r="AU2306" s="648"/>
      <c r="AV2306" s="648"/>
      <c r="AW2306" s="648"/>
      <c r="AX2306" s="663" t="str">
        <f>'Overview (Verification)'!A62</f>
        <v>Local Building Code:</v>
      </c>
      <c r="AY2306" s="752">
        <f>IF(LEN('Overview (Verification)'!P62)=0,0,'Overview (Verification)'!P62)</f>
        <v>0</v>
      </c>
      <c r="AZ2306" s="648"/>
      <c r="BA2306" s="648"/>
      <c r="BB2306" s="648"/>
      <c r="BC2306" s="648"/>
      <c r="BD2306" s="648"/>
      <c r="BE2306" s="648"/>
      <c r="BF2306" s="648"/>
      <c r="BG2306" s="648"/>
      <c r="BH2306" s="648"/>
    </row>
    <row r="2307" spans="1:60" x14ac:dyDescent="0.25">
      <c r="A2307" s="2371">
        <v>10</v>
      </c>
      <c r="B2307" s="2385">
        <v>1001.2</v>
      </c>
      <c r="C2307" s="2374" t="s">
        <v>256</v>
      </c>
      <c r="D2307" s="2374"/>
      <c r="E2307" s="2374"/>
      <c r="F2307" s="2374"/>
      <c r="G2307" s="2373" t="str">
        <f t="shared" si="119"/>
        <v>P</v>
      </c>
      <c r="H2307" s="2371" t="s">
        <v>3973</v>
      </c>
      <c r="I2307" s="4"/>
      <c r="J2307" s="183" t="s">
        <v>256</v>
      </c>
      <c r="K2307" s="129"/>
      <c r="L2307" s="1199" t="s">
        <v>3320</v>
      </c>
      <c r="M2307" s="1018"/>
      <c r="N2307" s="664"/>
      <c r="O2307" s="1042"/>
      <c r="P2307" s="648"/>
      <c r="Q2307" s="648"/>
      <c r="R2307" s="648"/>
      <c r="S2307" s="648"/>
      <c r="T2307" s="648"/>
      <c r="U2307" s="648"/>
      <c r="V2307" s="648"/>
      <c r="W2307" s="648"/>
      <c r="X2307" s="1757"/>
      <c r="Y2307" s="2077"/>
      <c r="Z2307" s="2083"/>
      <c r="AB2307" s="648"/>
      <c r="AC2307" s="970"/>
      <c r="AD2307" s="970"/>
      <c r="AE2307" s="970"/>
      <c r="AF2307" s="648"/>
      <c r="AG2307" s="648"/>
      <c r="AH2307" s="648"/>
      <c r="AI2307" s="648"/>
      <c r="AJ2307" s="648"/>
      <c r="AK2307" s="648"/>
      <c r="AL2307" s="1336"/>
      <c r="AM2307" s="1336"/>
      <c r="AN2307" s="1336"/>
      <c r="AO2307" s="1336"/>
      <c r="AP2307" s="1336"/>
      <c r="AQ2307" s="1336"/>
      <c r="AR2307" s="1336"/>
      <c r="AS2307" s="1336"/>
      <c r="AT2307" s="648"/>
      <c r="AU2307" s="648"/>
      <c r="AV2307" s="648"/>
      <c r="AW2307" s="648"/>
      <c r="AX2307" s="648"/>
      <c r="AY2307" s="648"/>
      <c r="AZ2307" s="648"/>
      <c r="BA2307" s="648"/>
      <c r="BB2307" s="648"/>
      <c r="BC2307" s="648"/>
      <c r="BD2307" s="648"/>
      <c r="BE2307" s="648"/>
      <c r="BF2307" s="648"/>
      <c r="BG2307" s="648"/>
      <c r="BH2307" s="648"/>
    </row>
    <row r="2308" spans="1:60" x14ac:dyDescent="0.25">
      <c r="A2308" s="2371">
        <v>10</v>
      </c>
      <c r="B2308" s="2385">
        <v>1001.2</v>
      </c>
      <c r="C2308" s="2374" t="s">
        <v>258</v>
      </c>
      <c r="D2308" s="2374"/>
      <c r="E2308" s="2374"/>
      <c r="F2308" s="2374"/>
      <c r="G2308" s="2373" t="str">
        <f t="shared" si="119"/>
        <v>P</v>
      </c>
      <c r="H2308" s="2371" t="s">
        <v>3973</v>
      </c>
      <c r="I2308" s="4"/>
      <c r="J2308" s="183" t="s">
        <v>258</v>
      </c>
      <c r="K2308" s="129"/>
      <c r="L2308" s="1199" t="s">
        <v>3321</v>
      </c>
      <c r="M2308" s="1018"/>
      <c r="N2308" s="664"/>
      <c r="O2308" s="1042"/>
      <c r="P2308" s="648"/>
      <c r="Q2308" s="648"/>
      <c r="R2308" s="648"/>
      <c r="S2308" s="648"/>
      <c r="T2308" s="648"/>
      <c r="U2308" s="648"/>
      <c r="V2308" s="648"/>
      <c r="W2308" s="648"/>
      <c r="X2308" s="1757"/>
      <c r="Y2308" s="2077"/>
      <c r="Z2308" s="2083"/>
      <c r="AB2308" s="648"/>
      <c r="AC2308" s="970"/>
      <c r="AD2308" s="970"/>
      <c r="AE2308" s="970"/>
      <c r="AF2308" s="648"/>
      <c r="AG2308" s="648"/>
      <c r="AH2308" s="648"/>
      <c r="AI2308" s="648"/>
      <c r="AJ2308" s="648"/>
      <c r="AK2308" s="648"/>
      <c r="AL2308" s="1336"/>
      <c r="AM2308" s="1336"/>
      <c r="AN2308" s="1336"/>
      <c r="AO2308" s="1336"/>
      <c r="AP2308" s="1336"/>
      <c r="AQ2308" s="1336"/>
      <c r="AR2308" s="1336"/>
      <c r="AS2308" s="1336"/>
      <c r="AT2308" s="648"/>
      <c r="AU2308" s="648"/>
      <c r="AV2308" s="648"/>
      <c r="AW2308" s="648"/>
      <c r="AX2308" s="648"/>
      <c r="AY2308" s="648"/>
      <c r="AZ2308" s="648"/>
      <c r="BA2308" s="648"/>
      <c r="BB2308" s="648"/>
      <c r="BC2308" s="648"/>
      <c r="BD2308" s="648"/>
      <c r="BE2308" s="648"/>
      <c r="BF2308" s="648"/>
      <c r="BG2308" s="648"/>
      <c r="BH2308" s="648"/>
    </row>
    <row r="2309" spans="1:60" x14ac:dyDescent="0.25">
      <c r="A2309" s="2371">
        <v>10</v>
      </c>
      <c r="B2309" s="2385">
        <v>1001.2</v>
      </c>
      <c r="C2309" s="2374" t="s">
        <v>260</v>
      </c>
      <c r="D2309" s="2374"/>
      <c r="E2309" s="2374"/>
      <c r="F2309" s="2374"/>
      <c r="G2309" s="2373" t="str">
        <f t="shared" si="119"/>
        <v>P</v>
      </c>
      <c r="H2309" s="2371" t="s">
        <v>3973</v>
      </c>
      <c r="I2309" s="4"/>
      <c r="J2309" s="183" t="s">
        <v>260</v>
      </c>
      <c r="K2309" s="129"/>
      <c r="L2309" s="1199" t="s">
        <v>3322</v>
      </c>
      <c r="M2309" s="1018"/>
      <c r="N2309" s="664"/>
      <c r="O2309" s="1042"/>
      <c r="P2309" s="648"/>
      <c r="Q2309" s="648"/>
      <c r="R2309" s="648"/>
      <c r="S2309" s="648"/>
      <c r="T2309" s="648"/>
      <c r="U2309" s="648"/>
      <c r="V2309" s="648"/>
      <c r="W2309" s="648"/>
      <c r="X2309" s="1757"/>
      <c r="Y2309" s="2077"/>
      <c r="Z2309" s="2083"/>
      <c r="AB2309" s="648"/>
      <c r="AC2309" s="970"/>
      <c r="AD2309" s="970"/>
      <c r="AE2309" s="970"/>
      <c r="AF2309" s="648"/>
      <c r="AG2309" s="648"/>
      <c r="AH2309" s="648"/>
      <c r="AI2309" s="648"/>
      <c r="AJ2309" s="648"/>
      <c r="AK2309" s="648"/>
      <c r="AL2309" s="1336"/>
      <c r="AM2309" s="1336"/>
      <c r="AN2309" s="1336"/>
      <c r="AO2309" s="1336"/>
      <c r="AP2309" s="1336"/>
      <c r="AQ2309" s="1336"/>
      <c r="AR2309" s="1336"/>
      <c r="AS2309" s="1336"/>
      <c r="AT2309" s="648"/>
      <c r="AU2309" s="648"/>
      <c r="AV2309" s="648"/>
      <c r="AW2309" s="648"/>
      <c r="AX2309" s="648"/>
      <c r="AY2309" s="648"/>
      <c r="AZ2309" s="648"/>
      <c r="BA2309" s="648"/>
      <c r="BB2309" s="648"/>
      <c r="BC2309" s="648"/>
      <c r="BD2309" s="648"/>
      <c r="BE2309" s="648"/>
      <c r="BF2309" s="648"/>
      <c r="BG2309" s="648"/>
      <c r="BH2309" s="648"/>
    </row>
    <row r="2310" spans="1:60" x14ac:dyDescent="0.25">
      <c r="A2310" s="2371">
        <v>10</v>
      </c>
      <c r="B2310" s="2385">
        <v>1001.2</v>
      </c>
      <c r="C2310" s="2374" t="s">
        <v>269</v>
      </c>
      <c r="D2310" s="2374"/>
      <c r="E2310" s="2374"/>
      <c r="F2310" s="2374"/>
      <c r="G2310" s="2373" t="str">
        <f t="shared" si="119"/>
        <v>P</v>
      </c>
      <c r="H2310" s="2371" t="s">
        <v>3973</v>
      </c>
      <c r="I2310" s="4"/>
      <c r="J2310" s="183" t="s">
        <v>269</v>
      </c>
      <c r="K2310" s="129"/>
      <c r="L2310" s="1199" t="s">
        <v>3323</v>
      </c>
      <c r="M2310" s="1018"/>
      <c r="N2310" s="664"/>
      <c r="O2310" s="1042"/>
      <c r="P2310" s="648"/>
      <c r="Q2310" s="648"/>
      <c r="R2310" s="648"/>
      <c r="S2310" s="648"/>
      <c r="T2310" s="648"/>
      <c r="U2310" s="648"/>
      <c r="V2310" s="648"/>
      <c r="W2310" s="648"/>
      <c r="X2310" s="1757"/>
      <c r="Y2310" s="2077"/>
      <c r="Z2310" s="2083"/>
      <c r="AB2310" s="648"/>
      <c r="AC2310" s="970"/>
      <c r="AD2310" s="970"/>
      <c r="AE2310" s="970"/>
      <c r="AF2310" s="648"/>
      <c r="AG2310" s="648"/>
      <c r="AH2310" s="648"/>
      <c r="AI2310" s="648"/>
      <c r="AJ2310" s="648"/>
      <c r="AK2310" s="648"/>
      <c r="AL2310" s="1336"/>
      <c r="AM2310" s="1336"/>
      <c r="AN2310" s="1336"/>
      <c r="AO2310" s="1336"/>
      <c r="AP2310" s="1336"/>
      <c r="AQ2310" s="1336"/>
      <c r="AR2310" s="1336"/>
      <c r="AS2310" s="1336"/>
      <c r="AT2310" s="648"/>
      <c r="AU2310" s="648"/>
      <c r="AV2310" s="648"/>
      <c r="AW2310" s="648"/>
      <c r="AX2310" s="648"/>
      <c r="AY2310" s="648"/>
      <c r="AZ2310" s="648"/>
      <c r="BA2310" s="648"/>
      <c r="BB2310" s="648"/>
      <c r="BC2310" s="648"/>
      <c r="BD2310" s="648"/>
      <c r="BE2310" s="648"/>
      <c r="BF2310" s="648"/>
      <c r="BG2310" s="648"/>
      <c r="BH2310" s="648"/>
    </row>
    <row r="2311" spans="1:60" x14ac:dyDescent="0.25">
      <c r="A2311" s="2371">
        <v>10</v>
      </c>
      <c r="B2311" s="2385">
        <v>1001.2</v>
      </c>
      <c r="C2311" s="2374" t="s">
        <v>275</v>
      </c>
      <c r="D2311" s="2374"/>
      <c r="E2311" s="2374"/>
      <c r="F2311" s="2374"/>
      <c r="G2311" s="2373" t="str">
        <f t="shared" si="119"/>
        <v>P</v>
      </c>
      <c r="H2311" s="2371" t="s">
        <v>3973</v>
      </c>
      <c r="I2311" s="4"/>
      <c r="J2311" s="183" t="s">
        <v>275</v>
      </c>
      <c r="K2311" s="129"/>
      <c r="L2311" s="1199" t="s">
        <v>3324</v>
      </c>
      <c r="M2311" s="1018"/>
      <c r="N2311" s="664"/>
      <c r="O2311" s="1042"/>
      <c r="P2311" s="648"/>
      <c r="Q2311" s="648"/>
      <c r="R2311" s="648"/>
      <c r="S2311" s="648"/>
      <c r="T2311" s="648"/>
      <c r="U2311" s="648"/>
      <c r="V2311" s="648"/>
      <c r="W2311" s="648"/>
      <c r="X2311" s="1757"/>
      <c r="Y2311" s="2077"/>
      <c r="Z2311" s="2083"/>
      <c r="AB2311" s="648"/>
      <c r="AC2311" s="970"/>
      <c r="AD2311" s="970"/>
      <c r="AE2311" s="970"/>
      <c r="AF2311" s="648"/>
      <c r="AG2311" s="648"/>
      <c r="AH2311" s="648"/>
      <c r="AI2311" s="648"/>
      <c r="AJ2311" s="648"/>
      <c r="AK2311" s="648"/>
      <c r="AL2311" s="1336"/>
      <c r="AM2311" s="1336"/>
      <c r="AN2311" s="1336"/>
      <c r="AO2311" s="1336"/>
      <c r="AP2311" s="1336"/>
      <c r="AQ2311" s="1336"/>
      <c r="AR2311" s="1336"/>
      <c r="AS2311" s="1336"/>
      <c r="AT2311" s="648"/>
      <c r="AU2311" s="648"/>
      <c r="AV2311" s="648"/>
      <c r="AW2311" s="648"/>
      <c r="AX2311" s="648"/>
      <c r="AY2311" s="648"/>
      <c r="AZ2311" s="648"/>
      <c r="BA2311" s="648"/>
      <c r="BB2311" s="648"/>
      <c r="BC2311" s="648"/>
      <c r="BD2311" s="648"/>
      <c r="BE2311" s="648"/>
      <c r="BF2311" s="648"/>
      <c r="BG2311" s="648"/>
      <c r="BH2311" s="648"/>
    </row>
    <row r="2312" spans="1:60" x14ac:dyDescent="0.25">
      <c r="A2312" s="2371">
        <v>10</v>
      </c>
      <c r="B2312" s="2385">
        <v>1001.2</v>
      </c>
      <c r="C2312" s="2374" t="s">
        <v>277</v>
      </c>
      <c r="D2312" s="2374"/>
      <c r="E2312" s="2374"/>
      <c r="F2312" s="2374"/>
      <c r="G2312" s="2373" t="str">
        <f t="shared" si="119"/>
        <v>P</v>
      </c>
      <c r="H2312" s="2371" t="s">
        <v>3973</v>
      </c>
      <c r="I2312" s="4"/>
      <c r="J2312" s="183" t="s">
        <v>277</v>
      </c>
      <c r="K2312" s="129"/>
      <c r="L2312" s="1199" t="s">
        <v>3325</v>
      </c>
      <c r="M2312" s="1018"/>
      <c r="N2312" s="664"/>
      <c r="O2312" s="1042"/>
      <c r="P2312" s="648"/>
      <c r="Q2312" s="648"/>
      <c r="R2312" s="648"/>
      <c r="S2312" s="648"/>
      <c r="T2312" s="648"/>
      <c r="U2312" s="648"/>
      <c r="V2312" s="648"/>
      <c r="W2312" s="648"/>
      <c r="X2312" s="1757"/>
      <c r="Y2312" s="2077"/>
      <c r="Z2312" s="2083"/>
      <c r="AA2312"/>
      <c r="AB2312" s="648"/>
      <c r="AC2312" s="970"/>
      <c r="AD2312" s="970"/>
      <c r="AE2312" s="970"/>
      <c r="AF2312" s="648"/>
      <c r="AG2312" s="648"/>
      <c r="AH2312" s="648"/>
      <c r="AI2312" s="648"/>
      <c r="AJ2312" s="648"/>
      <c r="AK2312" s="648"/>
      <c r="AL2312" s="1336"/>
      <c r="AM2312" s="1336"/>
      <c r="AN2312" s="1336"/>
      <c r="AO2312" s="1336"/>
      <c r="AP2312" s="1336"/>
      <c r="AQ2312" s="1336"/>
      <c r="AR2312" s="1336"/>
      <c r="AS2312" s="1336"/>
      <c r="AT2312" s="648"/>
      <c r="AU2312" s="648"/>
      <c r="AV2312" s="648"/>
      <c r="AW2312" s="648"/>
      <c r="AX2312" s="648"/>
      <c r="AY2312" s="648"/>
      <c r="AZ2312" s="648"/>
      <c r="BA2312" s="648"/>
      <c r="BB2312" s="648"/>
      <c r="BC2312" s="648"/>
      <c r="BD2312" s="648"/>
      <c r="BE2312" s="648"/>
      <c r="BF2312" s="648"/>
      <c r="BG2312" s="648"/>
      <c r="BH2312" s="648"/>
    </row>
    <row r="2313" spans="1:60" x14ac:dyDescent="0.25">
      <c r="A2313" s="2371">
        <v>10</v>
      </c>
      <c r="B2313" s="2385">
        <v>1001.2</v>
      </c>
      <c r="C2313" s="2374" t="s">
        <v>383</v>
      </c>
      <c r="D2313" s="2374"/>
      <c r="E2313" s="2374"/>
      <c r="F2313" s="2374"/>
      <c r="G2313" s="2373" t="str">
        <f t="shared" si="119"/>
        <v>P</v>
      </c>
      <c r="H2313" s="2371" t="s">
        <v>3973</v>
      </c>
      <c r="I2313" s="4"/>
      <c r="J2313" s="27" t="s">
        <v>383</v>
      </c>
      <c r="K2313" s="4"/>
      <c r="L2313" s="1198" t="s">
        <v>3326</v>
      </c>
      <c r="M2313" s="1012"/>
      <c r="N2313" s="664"/>
      <c r="O2313" s="1042"/>
      <c r="P2313" s="648"/>
      <c r="Q2313" s="648"/>
      <c r="R2313" s="648"/>
      <c r="S2313" s="648"/>
      <c r="T2313" s="648"/>
      <c r="U2313" s="648"/>
      <c r="V2313" s="648"/>
      <c r="W2313" s="648"/>
      <c r="X2313" s="1757"/>
      <c r="Y2313" s="2077"/>
      <c r="Z2313" s="2083"/>
      <c r="AB2313" s="648"/>
      <c r="AC2313" s="970"/>
      <c r="AD2313" s="970"/>
      <c r="AE2313" s="970"/>
      <c r="AF2313" s="648"/>
      <c r="AG2313" s="648"/>
      <c r="AH2313" s="648"/>
      <c r="AI2313" s="648"/>
      <c r="AJ2313" s="648"/>
      <c r="AK2313" s="648"/>
      <c r="AL2313" s="1336"/>
      <c r="AM2313" s="1336"/>
      <c r="AN2313" s="1336"/>
      <c r="AO2313" s="1336"/>
      <c r="AP2313" s="1336"/>
      <c r="AQ2313" s="1336"/>
      <c r="AR2313" s="1336"/>
      <c r="AS2313" s="1336"/>
      <c r="AT2313" s="648"/>
      <c r="AU2313" s="648"/>
      <c r="AV2313" s="648"/>
      <c r="AW2313" s="648"/>
      <c r="AX2313" s="648"/>
      <c r="AY2313" s="648"/>
      <c r="AZ2313" s="648"/>
      <c r="BA2313" s="648"/>
      <c r="BB2313" s="648"/>
      <c r="BC2313" s="648"/>
      <c r="BD2313" s="648"/>
      <c r="BE2313" s="648"/>
      <c r="BF2313" s="648"/>
      <c r="BG2313" s="648"/>
      <c r="BH2313" s="648"/>
    </row>
    <row r="2314" spans="1:60" x14ac:dyDescent="0.25">
      <c r="A2314" s="2371">
        <v>10</v>
      </c>
      <c r="B2314" s="2385">
        <v>1001.2</v>
      </c>
      <c r="C2314" s="2374" t="s">
        <v>428</v>
      </c>
      <c r="D2314" s="2374"/>
      <c r="E2314" s="2374"/>
      <c r="F2314" s="2374"/>
      <c r="G2314" s="2373" t="str">
        <f t="shared" si="119"/>
        <v>P</v>
      </c>
      <c r="H2314" s="2371" t="s">
        <v>3973</v>
      </c>
      <c r="I2314"/>
      <c r="J2314" s="667" t="s">
        <v>428</v>
      </c>
      <c r="K2314" s="679"/>
      <c r="L2314" s="1170" t="s">
        <v>4550</v>
      </c>
      <c r="M2314" s="1012"/>
      <c r="N2314" s="664"/>
      <c r="O2314" s="1042"/>
      <c r="P2314"/>
      <c r="Q2314"/>
      <c r="R2314"/>
      <c r="S2314"/>
      <c r="T2314"/>
      <c r="U2314"/>
      <c r="V2314"/>
      <c r="W2314"/>
      <c r="X2314"/>
      <c r="Y2314"/>
      <c r="AC2314" s="970"/>
      <c r="AD2314" s="970"/>
      <c r="AE2314" s="970"/>
      <c r="AF2314"/>
      <c r="AG2314"/>
      <c r="AH2314"/>
      <c r="AI2314"/>
      <c r="AJ2314"/>
      <c r="AK2314"/>
      <c r="AL2314" s="1336"/>
      <c r="AM2314" s="1336"/>
      <c r="AN2314" s="1336"/>
      <c r="AO2314" s="1336"/>
      <c r="AP2314" s="1336"/>
      <c r="AQ2314" s="1336"/>
      <c r="AR2314" s="1336"/>
      <c r="AS2314" s="1336"/>
      <c r="AT2314"/>
    </row>
    <row r="2315" spans="1:60" ht="18.75" x14ac:dyDescent="0.3">
      <c r="A2315" s="2371">
        <v>10</v>
      </c>
      <c r="B2315" s="2385">
        <v>1002</v>
      </c>
      <c r="C2315" s="2374"/>
      <c r="D2315" s="2374"/>
      <c r="E2315" s="2374"/>
      <c r="F2315" s="2374"/>
      <c r="G2315" s="2373" t="s">
        <v>3974</v>
      </c>
      <c r="H2315" s="2371" t="s">
        <v>3971</v>
      </c>
      <c r="I2315" s="14" t="s">
        <v>3327</v>
      </c>
      <c r="J2315" s="23"/>
      <c r="K2315" s="23"/>
      <c r="L2315" s="228"/>
      <c r="M2315" s="498"/>
      <c r="N2315" s="1054"/>
      <c r="O2315" s="1043"/>
      <c r="P2315" s="23"/>
      <c r="Q2315" s="23"/>
      <c r="R2315" s="23"/>
      <c r="S2315" s="23"/>
      <c r="T2315" s="23"/>
      <c r="U2315" s="23"/>
      <c r="V2315" s="23"/>
      <c r="W2315" s="23"/>
      <c r="X2315" s="23"/>
      <c r="Y2315" s="23"/>
      <c r="Z2315" s="1586"/>
      <c r="AB2315" s="648"/>
      <c r="AC2315" s="970"/>
      <c r="AD2315" s="970"/>
      <c r="AE2315" s="970"/>
      <c r="AF2315" s="648"/>
      <c r="AG2315" s="648"/>
      <c r="AH2315" s="648"/>
      <c r="AI2315" s="648"/>
      <c r="AJ2315" s="648"/>
      <c r="AK2315" s="648"/>
      <c r="AL2315" s="1336"/>
      <c r="AM2315" s="1336"/>
      <c r="AN2315" s="1336"/>
      <c r="AO2315" s="1336"/>
      <c r="AP2315" s="1336"/>
      <c r="AQ2315" s="1336"/>
      <c r="AR2315" s="1336"/>
      <c r="AS2315" s="1336"/>
      <c r="AT2315" s="648"/>
      <c r="AU2315" s="648"/>
      <c r="AV2315" s="648"/>
      <c r="AW2315" s="648"/>
      <c r="AX2315" s="648"/>
      <c r="AY2315" s="648"/>
      <c r="AZ2315" s="648"/>
      <c r="BA2315" s="648"/>
      <c r="BB2315" s="648"/>
      <c r="BC2315" s="648"/>
      <c r="BD2315" s="648"/>
      <c r="BE2315" s="648"/>
      <c r="BF2315" s="648"/>
      <c r="BG2315" s="648"/>
      <c r="BH2315" s="648"/>
    </row>
    <row r="2316" spans="1:60" x14ac:dyDescent="0.25">
      <c r="A2316" s="2371">
        <v>10</v>
      </c>
      <c r="B2316" s="2385" t="s">
        <v>4078</v>
      </c>
      <c r="C2316" s="2374"/>
      <c r="D2316" s="2374"/>
      <c r="E2316" s="2374"/>
      <c r="F2316" s="2374"/>
      <c r="G2316" s="2371"/>
      <c r="H2316" s="2371"/>
      <c r="I2316" s="238">
        <v>1002</v>
      </c>
      <c r="J2316" s="129"/>
      <c r="K2316" s="129"/>
      <c r="L2316" s="1782" t="s">
        <v>3328</v>
      </c>
      <c r="M2316" s="1012"/>
      <c r="N2316" s="665"/>
      <c r="O2316" s="1044"/>
      <c r="P2316" s="94"/>
      <c r="Q2316" s="94"/>
      <c r="R2316" s="94"/>
      <c r="S2316" s="94"/>
      <c r="T2316" s="94"/>
      <c r="U2316" s="94"/>
      <c r="V2316" s="94"/>
      <c r="W2316" s="94"/>
      <c r="X2316" s="94"/>
      <c r="Y2316" s="648"/>
      <c r="AB2316" s="648"/>
      <c r="AC2316" s="970"/>
      <c r="AD2316" s="970"/>
      <c r="AE2316" s="970"/>
      <c r="AF2316" s="648"/>
      <c r="AG2316" s="648"/>
      <c r="AH2316" s="648"/>
      <c r="AI2316" s="648"/>
      <c r="AJ2316" s="648"/>
      <c r="AK2316" s="648"/>
      <c r="AL2316" s="1336"/>
      <c r="AM2316" s="1336"/>
      <c r="AN2316" s="1336"/>
      <c r="AO2316" s="1336"/>
      <c r="AP2316" s="1336"/>
      <c r="AQ2316" s="1336"/>
      <c r="AR2316" s="1336"/>
      <c r="AS2316" s="1336"/>
      <c r="AT2316" s="648"/>
      <c r="AU2316" s="648"/>
      <c r="AV2316" s="648"/>
      <c r="AW2316" s="648"/>
      <c r="AX2316" s="648"/>
      <c r="AY2316" s="648"/>
      <c r="AZ2316" s="648"/>
      <c r="BA2316" s="648"/>
      <c r="BB2316" s="648"/>
      <c r="BC2316" s="648"/>
      <c r="BD2316" s="648"/>
      <c r="BE2316" s="648"/>
      <c r="BF2316" s="648"/>
      <c r="BG2316" s="648"/>
      <c r="BH2316" s="648"/>
    </row>
    <row r="2317" spans="1:60" x14ac:dyDescent="0.25">
      <c r="A2317" s="2371">
        <v>10</v>
      </c>
      <c r="B2317" s="2385" t="s">
        <v>4078</v>
      </c>
      <c r="C2317" s="2374"/>
      <c r="D2317" s="2374"/>
      <c r="E2317" s="2374"/>
      <c r="F2317" s="2374"/>
      <c r="G2317" s="2371"/>
      <c r="H2317" s="2371"/>
      <c r="I2317" s="129"/>
      <c r="J2317" s="129"/>
      <c r="K2317" s="129"/>
      <c r="L2317" s="1782"/>
      <c r="M2317" s="1012"/>
      <c r="N2317" s="665"/>
      <c r="O2317" s="1044"/>
      <c r="P2317" s="94"/>
      <c r="Q2317" s="94"/>
      <c r="R2317" s="94"/>
      <c r="S2317" s="94"/>
      <c r="T2317" s="94"/>
      <c r="U2317" s="94"/>
      <c r="V2317" s="94"/>
      <c r="W2317" s="94"/>
      <c r="X2317" s="94"/>
      <c r="Y2317" s="648"/>
      <c r="AB2317" s="648"/>
      <c r="AC2317" s="970"/>
      <c r="AD2317" s="970"/>
      <c r="AE2317" s="970"/>
      <c r="AF2317" s="648"/>
      <c r="AG2317" s="648"/>
      <c r="AH2317" s="648"/>
      <c r="AI2317" s="648"/>
      <c r="AJ2317" s="648"/>
      <c r="AK2317" s="648"/>
      <c r="AL2317" s="1336"/>
      <c r="AM2317" s="1336"/>
      <c r="AN2317" s="1336"/>
      <c r="AO2317" s="1336"/>
      <c r="AP2317" s="1336"/>
      <c r="AQ2317" s="1336"/>
      <c r="AR2317" s="1336"/>
      <c r="AS2317" s="1336"/>
      <c r="AT2317" s="648"/>
      <c r="AU2317" s="648"/>
      <c r="AV2317" s="648"/>
      <c r="AW2317" s="648"/>
      <c r="AX2317" s="648"/>
      <c r="AY2317" s="648"/>
      <c r="AZ2317" s="648"/>
      <c r="BA2317" s="648"/>
      <c r="BB2317" s="648"/>
      <c r="BC2317" s="648"/>
      <c r="BD2317" s="648"/>
      <c r="BE2317" s="648"/>
      <c r="BF2317" s="648"/>
      <c r="BG2317" s="648"/>
      <c r="BH2317" s="648"/>
    </row>
    <row r="2318" spans="1:60" x14ac:dyDescent="0.25">
      <c r="A2318" s="2371">
        <v>10</v>
      </c>
      <c r="B2318" s="2385" t="s">
        <v>4078</v>
      </c>
      <c r="C2318" s="2374"/>
      <c r="D2318" s="2374"/>
      <c r="E2318" s="2374"/>
      <c r="F2318" s="2374"/>
      <c r="G2318" s="2371"/>
      <c r="H2318" s="2371"/>
      <c r="I2318" s="129"/>
      <c r="J2318" s="129"/>
      <c r="K2318" s="129"/>
      <c r="L2318" s="1782"/>
      <c r="M2318" s="1012"/>
      <c r="N2318" s="665"/>
      <c r="O2318" s="1044"/>
      <c r="P2318" s="94"/>
      <c r="Q2318" s="94"/>
      <c r="R2318" s="94"/>
      <c r="S2318" s="94"/>
      <c r="T2318" s="94"/>
      <c r="U2318" s="94"/>
      <c r="V2318" s="94"/>
      <c r="W2318" s="94"/>
      <c r="X2318" s="94"/>
      <c r="Y2318" s="648"/>
      <c r="AB2318" s="648"/>
      <c r="AC2318" s="970"/>
      <c r="AD2318" s="970"/>
      <c r="AE2318" s="970"/>
      <c r="AF2318" s="648"/>
      <c r="AG2318" s="648"/>
      <c r="AH2318" s="648"/>
      <c r="AI2318" s="648"/>
      <c r="AJ2318" s="648"/>
      <c r="AK2318" s="648"/>
      <c r="AL2318" s="1336"/>
      <c r="AM2318" s="1336"/>
      <c r="AN2318" s="1336"/>
      <c r="AO2318" s="1336"/>
      <c r="AP2318" s="1336"/>
      <c r="AQ2318" s="1336"/>
      <c r="AR2318" s="1336"/>
      <c r="AS2318" s="1336"/>
      <c r="AT2318" s="648"/>
      <c r="AU2318" s="648"/>
      <c r="AV2318" s="648"/>
      <c r="AW2318" s="648"/>
      <c r="AX2318" s="648"/>
      <c r="AY2318" s="648"/>
      <c r="AZ2318" s="648"/>
      <c r="BA2318" s="648"/>
      <c r="BB2318" s="648"/>
      <c r="BC2318" s="648"/>
      <c r="BD2318" s="648"/>
      <c r="BE2318" s="648"/>
      <c r="BF2318" s="648"/>
      <c r="BG2318" s="648"/>
      <c r="BH2318" s="648"/>
    </row>
    <row r="2319" spans="1:60" x14ac:dyDescent="0.25">
      <c r="A2319" s="2371">
        <v>10</v>
      </c>
      <c r="B2319" s="2385" t="s">
        <v>4078</v>
      </c>
      <c r="C2319" s="2374"/>
      <c r="D2319" s="2374"/>
      <c r="E2319" s="2374"/>
      <c r="F2319" s="2374"/>
      <c r="G2319" s="2371"/>
      <c r="H2319" s="2371"/>
      <c r="I2319" s="129"/>
      <c r="J2319" s="129"/>
      <c r="K2319" s="129"/>
      <c r="L2319" s="1782"/>
      <c r="M2319" s="1012"/>
      <c r="N2319" s="665"/>
      <c r="O2319" s="1044"/>
      <c r="P2319" s="94"/>
      <c r="Q2319" s="94"/>
      <c r="R2319" s="94"/>
      <c r="S2319" s="94"/>
      <c r="T2319" s="94"/>
      <c r="U2319" s="94"/>
      <c r="V2319" s="94"/>
      <c r="W2319" s="94"/>
      <c r="X2319" s="94"/>
      <c r="Y2319" s="648"/>
      <c r="AB2319" s="648"/>
      <c r="AC2319" s="970"/>
      <c r="AD2319" s="970"/>
      <c r="AE2319" s="970"/>
      <c r="AF2319" s="648"/>
      <c r="AG2319" s="648"/>
      <c r="AH2319" s="648"/>
      <c r="AI2319" s="648"/>
      <c r="AJ2319" s="648"/>
      <c r="AK2319" s="648"/>
      <c r="AL2319" s="1336"/>
      <c r="AM2319" s="1336"/>
      <c r="AN2319" s="1336"/>
      <c r="AO2319" s="1336"/>
      <c r="AP2319" s="1336"/>
      <c r="AQ2319" s="1336"/>
      <c r="AR2319" s="1336"/>
      <c r="AS2319" s="1336"/>
      <c r="AT2319" s="648"/>
      <c r="AU2319" s="648"/>
      <c r="AV2319" s="648"/>
      <c r="AW2319" s="648"/>
      <c r="AX2319" s="648"/>
      <c r="AY2319" s="648"/>
      <c r="AZ2319" s="648"/>
      <c r="BA2319" s="648"/>
      <c r="BB2319" s="648"/>
      <c r="BC2319" s="648"/>
      <c r="BD2319" s="648"/>
      <c r="BE2319" s="648"/>
      <c r="BF2319" s="648"/>
      <c r="BG2319" s="648"/>
      <c r="BH2319" s="648"/>
    </row>
    <row r="2320" spans="1:60" x14ac:dyDescent="0.25">
      <c r="A2320" s="2371">
        <v>10</v>
      </c>
      <c r="B2320" s="2385" t="s">
        <v>4078</v>
      </c>
      <c r="C2320" s="2374"/>
      <c r="D2320" s="2374"/>
      <c r="E2320" s="2374"/>
      <c r="F2320" s="2374"/>
      <c r="G2320" s="2371"/>
      <c r="H2320" s="2371"/>
      <c r="I2320" s="129"/>
      <c r="J2320" s="129"/>
      <c r="K2320" s="129"/>
      <c r="L2320" s="1782"/>
      <c r="M2320" s="1012"/>
      <c r="N2320" s="665"/>
      <c r="O2320" s="1044"/>
      <c r="P2320" s="94"/>
      <c r="Q2320" s="94"/>
      <c r="R2320" s="94"/>
      <c r="S2320" s="94"/>
      <c r="T2320" s="94"/>
      <c r="U2320" s="94"/>
      <c r="V2320" s="94"/>
      <c r="W2320" s="94"/>
      <c r="X2320" s="94"/>
      <c r="Y2320" s="648"/>
      <c r="AB2320" s="648"/>
      <c r="AC2320" s="970"/>
      <c r="AD2320" s="970"/>
      <c r="AE2320" s="970"/>
      <c r="AF2320" s="648"/>
      <c r="AG2320" s="648"/>
      <c r="AH2320" s="648"/>
      <c r="AI2320" s="648"/>
      <c r="AJ2320" s="648"/>
      <c r="AK2320" s="648"/>
      <c r="AL2320" s="1336"/>
      <c r="AM2320" s="1336"/>
      <c r="AN2320" s="1336"/>
      <c r="AO2320" s="1336"/>
      <c r="AP2320" s="1336"/>
      <c r="AQ2320" s="1336"/>
      <c r="AR2320" s="1336"/>
      <c r="AS2320" s="1336"/>
      <c r="AT2320" s="648"/>
      <c r="AU2320" s="648"/>
      <c r="AV2320" s="648"/>
      <c r="AW2320" s="648"/>
      <c r="AX2320" s="648"/>
      <c r="AY2320" s="648"/>
      <c r="AZ2320" s="648"/>
      <c r="BA2320" s="648"/>
      <c r="BB2320" s="648"/>
      <c r="BC2320" s="648"/>
      <c r="BD2320" s="648"/>
      <c r="BE2320" s="648"/>
      <c r="BF2320" s="648"/>
      <c r="BG2320" s="648"/>
      <c r="BH2320" s="648"/>
    </row>
    <row r="2321" spans="1:60" ht="15.75" thickBot="1" x14ac:dyDescent="0.3">
      <c r="A2321" s="2371">
        <v>10</v>
      </c>
      <c r="B2321" s="2385" t="s">
        <v>4078</v>
      </c>
      <c r="C2321" s="2374"/>
      <c r="D2321" s="2374"/>
      <c r="E2321" s="2374"/>
      <c r="F2321" s="2374"/>
      <c r="G2321" s="2371"/>
      <c r="H2321" s="2371"/>
      <c r="I2321" s="240"/>
      <c r="J2321" s="240"/>
      <c r="K2321" s="240"/>
      <c r="L2321" s="1797"/>
      <c r="M2321" s="1013"/>
      <c r="N2321" s="1052"/>
      <c r="O2321" s="1045"/>
      <c r="P2321" s="99"/>
      <c r="Q2321" s="99"/>
      <c r="R2321" s="99"/>
      <c r="S2321" s="99"/>
      <c r="T2321" s="99"/>
      <c r="U2321" s="99"/>
      <c r="V2321" s="99"/>
      <c r="W2321" s="99"/>
      <c r="X2321" s="99"/>
      <c r="Y2321" s="99"/>
      <c r="Z2321" s="1589"/>
      <c r="AB2321" s="648"/>
      <c r="AC2321" s="970"/>
      <c r="AD2321" s="970"/>
      <c r="AE2321" s="970"/>
      <c r="AF2321" s="648"/>
      <c r="AG2321" s="648"/>
      <c r="AH2321" s="648"/>
      <c r="AI2321" s="648"/>
      <c r="AJ2321" s="648"/>
      <c r="AK2321" s="648"/>
      <c r="AL2321" s="1336"/>
      <c r="AM2321" s="1336"/>
      <c r="AN2321" s="1336"/>
      <c r="AO2321" s="1336"/>
      <c r="AP2321" s="1336"/>
      <c r="AQ2321" s="1336"/>
      <c r="AR2321" s="1336"/>
      <c r="AS2321" s="1336"/>
      <c r="AT2321" s="648"/>
      <c r="AU2321" s="648"/>
      <c r="AV2321" s="648"/>
      <c r="AW2321" s="648"/>
      <c r="AX2321" s="648"/>
      <c r="AY2321" s="648"/>
      <c r="AZ2321" s="648"/>
      <c r="BA2321" s="648"/>
      <c r="BB2321" s="648"/>
      <c r="BC2321" s="648"/>
      <c r="BD2321" s="648"/>
      <c r="BE2321" s="648"/>
      <c r="BF2321" s="648"/>
      <c r="BG2321" s="648"/>
      <c r="BH2321" s="648"/>
    </row>
    <row r="2322" spans="1:60" ht="15.75" thickTop="1" x14ac:dyDescent="0.25">
      <c r="A2322" s="2371">
        <v>10</v>
      </c>
      <c r="B2322" s="2385">
        <v>1002.1</v>
      </c>
      <c r="C2322" s="2374"/>
      <c r="D2322" s="2374"/>
      <c r="E2322" s="2374"/>
      <c r="F2322" s="2374"/>
      <c r="G2322" s="2373" t="str">
        <f>IF(N2322&gt;0,"P","")</f>
        <v/>
      </c>
      <c r="H2322" s="2371" t="s">
        <v>3973</v>
      </c>
      <c r="I2322" s="64">
        <v>1002.1</v>
      </c>
      <c r="J2322" s="4"/>
      <c r="K2322" s="4"/>
      <c r="L2322" s="1796" t="s">
        <v>3375</v>
      </c>
      <c r="M2322" s="1767">
        <v>1</v>
      </c>
      <c r="N2322" s="2080">
        <f>'Ch10'!O79</f>
        <v>0</v>
      </c>
      <c r="O2322" s="2132">
        <f>IF(AND(COUNTIF(W2325:W2331,TRUE)=3,COUNTIF(W2333:W2338,TRUE)&gt;1,S2325),ROUNDDOWN(COUNTIF(W2333:W2338,TRUE)/2,0),0)</f>
        <v>0</v>
      </c>
      <c r="P2322" s="648"/>
      <c r="Q2322" s="648"/>
      <c r="R2322" s="648"/>
      <c r="S2322" s="648"/>
      <c r="T2322" s="648"/>
      <c r="U2322" s="648"/>
      <c r="V2322" s="648"/>
      <c r="W2322" s="648"/>
      <c r="X2322" s="648"/>
      <c r="Y2322" s="648"/>
      <c r="AB2322" s="648"/>
      <c r="AC2322" s="970"/>
      <c r="AD2322" s="970"/>
      <c r="AE2322" s="970"/>
      <c r="AF2322" s="648"/>
      <c r="AG2322" s="648"/>
      <c r="AH2322" s="648"/>
      <c r="AI2322" s="648"/>
      <c r="AJ2322" s="648"/>
      <c r="AK2322" s="648"/>
      <c r="AL2322" s="254" t="str">
        <f>SUBSTITUTE(SUBSTITUTE(SUBSTITUTE("vpa"&amp;$B2322&amp;$C2322&amp;$D2322&amp;$E2322,".","_"),"(","_"),")","")</f>
        <v>vpa1002_1</v>
      </c>
      <c r="AM2322" s="254">
        <f>M2322</f>
        <v>1</v>
      </c>
      <c r="AN2322" s="254" t="str">
        <f>SUBSTITUTE(SUBSTITUTE(SUBSTITUTE("vpc"&amp;$B2322&amp;$C2322&amp;$D2322&amp;$E2322,".","_"),"(","_"),")","")</f>
        <v>vpc1002_1</v>
      </c>
      <c r="AO2322" s="254">
        <f>O2322</f>
        <v>0</v>
      </c>
      <c r="AP2322" s="1336"/>
      <c r="AQ2322" s="1336"/>
      <c r="AR2322" s="1336"/>
      <c r="AS2322" s="1336"/>
      <c r="AT2322" s="648"/>
      <c r="AU2322" s="648"/>
      <c r="AV2322" s="648"/>
      <c r="AW2322" s="648"/>
      <c r="AX2322" s="648"/>
      <c r="AY2322" s="648"/>
      <c r="AZ2322" s="648"/>
      <c r="BA2322" s="648"/>
      <c r="BB2322" s="648"/>
      <c r="BC2322" s="648"/>
      <c r="BD2322" s="648"/>
      <c r="BE2322" s="648"/>
      <c r="BF2322" s="648"/>
      <c r="BG2322" s="648"/>
      <c r="BH2322" s="648"/>
    </row>
    <row r="2323" spans="1:60" x14ac:dyDescent="0.25">
      <c r="A2323" s="2371">
        <v>10</v>
      </c>
      <c r="B2323" s="2385">
        <v>1002.1</v>
      </c>
      <c r="C2323" s="2374"/>
      <c r="D2323" s="2374"/>
      <c r="E2323" s="2374"/>
      <c r="F2323" s="2374"/>
      <c r="G2323" s="2373" t="str">
        <f t="shared" ref="G2323:G2339" si="120">G2322</f>
        <v/>
      </c>
      <c r="H2323" s="2371" t="s">
        <v>3973</v>
      </c>
      <c r="I2323" s="4"/>
      <c r="J2323" s="4"/>
      <c r="K2323" s="4"/>
      <c r="L2323" s="1796"/>
      <c r="M2323" s="1767"/>
      <c r="N2323" s="2075"/>
      <c r="O2323" s="2132"/>
      <c r="P2323" s="648"/>
      <c r="Q2323" s="648"/>
      <c r="R2323" s="648"/>
      <c r="S2323" s="648"/>
      <c r="T2323" s="648"/>
      <c r="U2323" s="648"/>
      <c r="V2323" s="648"/>
      <c r="W2323" s="648"/>
      <c r="X2323" s="648"/>
      <c r="Y2323" s="648"/>
      <c r="AB2323" s="648"/>
      <c r="AC2323" s="970"/>
      <c r="AD2323" s="970"/>
      <c r="AE2323" s="970"/>
      <c r="AF2323" s="648"/>
      <c r="AG2323" s="648"/>
      <c r="AH2323" s="648"/>
      <c r="AI2323" s="648"/>
      <c r="AJ2323" s="648"/>
      <c r="AK2323" s="648"/>
      <c r="AL2323" s="1336"/>
      <c r="AM2323" s="1336"/>
      <c r="AN2323" s="1336"/>
      <c r="AO2323" s="1336"/>
      <c r="AP2323" s="1336"/>
      <c r="AQ2323" s="1336"/>
      <c r="AR2323" s="1336"/>
      <c r="AS2323" s="1336"/>
      <c r="AT2323" s="648"/>
      <c r="AU2323" s="648"/>
      <c r="AV2323" s="648"/>
      <c r="AW2323" s="648"/>
      <c r="AX2323" s="648"/>
      <c r="AY2323" s="648"/>
      <c r="AZ2323" s="648"/>
      <c r="BA2323" s="648"/>
      <c r="BB2323" s="648"/>
      <c r="BC2323" s="648"/>
      <c r="BD2323" s="648"/>
      <c r="BE2323" s="648"/>
      <c r="BF2323" s="648"/>
      <c r="BG2323" s="648"/>
      <c r="BH2323" s="648"/>
    </row>
    <row r="2324" spans="1:60" x14ac:dyDescent="0.25">
      <c r="A2324" s="2371">
        <v>10</v>
      </c>
      <c r="B2324" s="2385">
        <v>1002.1</v>
      </c>
      <c r="C2324" s="2374"/>
      <c r="D2324" s="2374"/>
      <c r="E2324" s="2374"/>
      <c r="F2324" s="2374"/>
      <c r="G2324" s="2373" t="str">
        <f t="shared" si="120"/>
        <v/>
      </c>
      <c r="H2324" s="2371" t="s">
        <v>3973</v>
      </c>
      <c r="I2324" s="4"/>
      <c r="J2324" s="4"/>
      <c r="K2324" s="4"/>
      <c r="L2324" s="225" t="s">
        <v>3373</v>
      </c>
      <c r="M2324" s="1767"/>
      <c r="N2324" s="2075"/>
      <c r="O2324" s="2132"/>
      <c r="P2324" s="648"/>
      <c r="Q2324" s="648"/>
      <c r="R2324" s="648"/>
      <c r="S2324" s="648"/>
      <c r="T2324" s="648"/>
      <c r="U2324" s="648"/>
      <c r="V2324" s="648"/>
      <c r="W2324" s="648"/>
      <c r="X2324" s="648"/>
      <c r="Y2324" s="648"/>
      <c r="AB2324" s="648"/>
      <c r="AC2324" s="970"/>
      <c r="AD2324" s="970"/>
      <c r="AE2324" s="970"/>
      <c r="AF2324" s="648"/>
      <c r="AG2324" s="648"/>
      <c r="AH2324" s="648"/>
      <c r="AI2324" s="648"/>
      <c r="AJ2324" s="648"/>
      <c r="AK2324" s="648"/>
      <c r="AL2324" s="1336"/>
      <c r="AM2324" s="1336"/>
      <c r="AN2324" s="1336"/>
      <c r="AO2324" s="1336"/>
      <c r="AP2324" s="1336"/>
      <c r="AQ2324" s="1336"/>
      <c r="AR2324" s="1336"/>
      <c r="AS2324" s="1336"/>
      <c r="AT2324" s="648"/>
      <c r="AU2324" s="648"/>
      <c r="AV2324" s="648"/>
      <c r="AW2324" s="648"/>
      <c r="AX2324" s="648"/>
      <c r="AY2324" s="648"/>
      <c r="AZ2324" s="648"/>
      <c r="BA2324" s="648"/>
      <c r="BB2324" s="648"/>
      <c r="BC2324" s="648"/>
      <c r="BD2324" s="648"/>
      <c r="BE2324" s="648"/>
      <c r="BF2324" s="648"/>
      <c r="BG2324" s="648"/>
      <c r="BH2324" s="648"/>
    </row>
    <row r="2325" spans="1:60" x14ac:dyDescent="0.25">
      <c r="A2325" s="2371">
        <v>10</v>
      </c>
      <c r="B2325" s="2385">
        <v>1002.1</v>
      </c>
      <c r="C2325" s="2374" t="s">
        <v>256</v>
      </c>
      <c r="D2325" s="2374"/>
      <c r="E2325" s="2374"/>
      <c r="F2325" s="2374"/>
      <c r="G2325" s="2373" t="str">
        <f t="shared" si="120"/>
        <v/>
      </c>
      <c r="H2325" s="2371" t="s">
        <v>3973</v>
      </c>
      <c r="I2325" s="4"/>
      <c r="J2325" s="27" t="s">
        <v>256</v>
      </c>
      <c r="K2325" s="4"/>
      <c r="L2325" s="1779" t="s">
        <v>3329</v>
      </c>
      <c r="M2325" s="1838" t="str">
        <f t="shared" ref="M2325:M2332" si="121">IF(R2325,"Mandatory","N/A")</f>
        <v>N/A</v>
      </c>
      <c r="N2325" s="664"/>
      <c r="O2325" s="1042"/>
      <c r="P2325" s="648" t="b">
        <v>0</v>
      </c>
      <c r="Q2325" s="648" t="b">
        <v>1</v>
      </c>
      <c r="R2325" s="648" t="b">
        <f>S2325</f>
        <v>0</v>
      </c>
      <c r="S2325" s="648" t="b">
        <f>IF(AY2262=INDEX(ddSingleOrMulti,2),TRUE,FALSE)</f>
        <v>0</v>
      </c>
      <c r="T2325" s="94" t="b">
        <f>AND(NOT(S2325),W2325=TRUE)</f>
        <v>0</v>
      </c>
      <c r="U2325" s="648"/>
      <c r="V2325" s="648"/>
      <c r="W2325" s="25"/>
      <c r="X2325" s="1757"/>
      <c r="Y2325" s="2077" t="str">
        <f>IF(LEN('Ch10'!X82)=0,"None",'Ch10'!X82)</f>
        <v>None</v>
      </c>
      <c r="Z2325" s="2083"/>
      <c r="AB2325" s="648"/>
      <c r="AC2325" s="970" t="b">
        <f>OR(AD2325:AE2325)</f>
        <v>0</v>
      </c>
      <c r="AD2325" s="970" t="b">
        <f>T2325</f>
        <v>0</v>
      </c>
      <c r="AE2325" s="970" t="b">
        <f>AND(R2325,O2322&lt;1)</f>
        <v>0</v>
      </c>
      <c r="AF2325" s="784"/>
      <c r="AG2325" s="648"/>
      <c r="AH2325" s="648"/>
      <c r="AI2325" s="648"/>
      <c r="AJ2325" s="648"/>
      <c r="AK2325" s="648"/>
      <c r="AL2325" s="254" t="str">
        <f>SUBSTITUTE(SUBSTITUTE(SUBSTITUTE("vpa"&amp;$B2325&amp;$C2325&amp;$D2325&amp;$E2325,".","_"),"(","_"),")","")</f>
        <v>vpa1002_1_1</v>
      </c>
      <c r="AM2325" s="254" t="str">
        <f>M2325</f>
        <v>N/A</v>
      </c>
      <c r="AN2325" s="1336"/>
      <c r="AO2325" s="1336"/>
      <c r="AP2325" s="254" t="str">
        <f>SUBSTITUTE(SUBSTITUTE(SUBSTITUTE("vch"&amp;$B2325&amp;$C2325&amp;$D2325&amp;$E2325,".","_"),"(","_"),")","")</f>
        <v>vch1002_1_1</v>
      </c>
      <c r="AQ2325" s="254" t="str">
        <f>IF(LEN(W2325)=0,"",W2325)</f>
        <v/>
      </c>
      <c r="AR2325" s="254" t="str">
        <f>SUBSTITUTE(SUBSTITUTE(SUBSTITUTE("vnt"&amp;$B2325&amp;$C2325&amp;$D2325&amp;$E2325,".","_"),"(","_"),")","")</f>
        <v>vnt1002_1_1</v>
      </c>
      <c r="AS2325" s="254" t="str">
        <f>IF(LEN(X2325)=0,"",X2325)</f>
        <v/>
      </c>
      <c r="AT2325" s="648"/>
      <c r="AU2325" s="648"/>
      <c r="AV2325" s="648"/>
      <c r="AW2325" s="648"/>
      <c r="AX2325" s="648"/>
      <c r="AY2325" s="648"/>
      <c r="AZ2325" s="648"/>
      <c r="BA2325" s="648"/>
      <c r="BB2325" s="648"/>
      <c r="BC2325" s="648"/>
      <c r="BD2325" s="648"/>
      <c r="BE2325" s="648"/>
      <c r="BF2325" s="648"/>
      <c r="BG2325" s="648"/>
      <c r="BH2325" s="648"/>
    </row>
    <row r="2326" spans="1:60" x14ac:dyDescent="0.25">
      <c r="A2326" s="2371">
        <v>10</v>
      </c>
      <c r="B2326" s="2385">
        <v>1002.1</v>
      </c>
      <c r="C2326" s="2374" t="s">
        <v>256</v>
      </c>
      <c r="D2326" s="2374"/>
      <c r="E2326" s="2374"/>
      <c r="F2326" s="2374"/>
      <c r="G2326" s="2373" t="str">
        <f t="shared" si="120"/>
        <v/>
      </c>
      <c r="H2326" s="2371" t="s">
        <v>3973</v>
      </c>
      <c r="I2326" s="4"/>
      <c r="J2326" s="27"/>
      <c r="K2326" s="4"/>
      <c r="L2326" s="1779"/>
      <c r="M2326" s="1838" t="str">
        <f t="shared" si="121"/>
        <v>N/A</v>
      </c>
      <c r="N2326" s="664"/>
      <c r="O2326" s="1042"/>
      <c r="P2326" s="648"/>
      <c r="Q2326" s="648"/>
      <c r="R2326" s="648"/>
      <c r="S2326" s="648"/>
      <c r="T2326" s="648"/>
      <c r="U2326" s="648"/>
      <c r="V2326" s="648"/>
      <c r="W2326" s="648"/>
      <c r="X2326" s="1757"/>
      <c r="Y2326" s="2077"/>
      <c r="Z2326" s="2083"/>
      <c r="AB2326" s="648"/>
      <c r="AC2326" s="970"/>
      <c r="AD2326" s="970"/>
      <c r="AE2326" s="970"/>
      <c r="AF2326" s="648"/>
      <c r="AG2326" s="648"/>
      <c r="AH2326" s="648"/>
      <c r="AI2326" s="648"/>
      <c r="AJ2326" s="648"/>
      <c r="AK2326" s="648"/>
      <c r="AL2326" s="1336"/>
      <c r="AM2326" s="1336"/>
      <c r="AN2326" s="1336"/>
      <c r="AO2326" s="1336"/>
      <c r="AP2326" s="1336"/>
      <c r="AQ2326" s="1336"/>
      <c r="AR2326" s="1336"/>
      <c r="AS2326" s="1336"/>
      <c r="AT2326" s="648"/>
      <c r="AU2326" s="648"/>
      <c r="AV2326" s="648"/>
      <c r="AW2326" s="648"/>
      <c r="AX2326" s="648"/>
      <c r="AY2326" s="648"/>
      <c r="AZ2326" s="648"/>
      <c r="BA2326" s="648"/>
      <c r="BB2326" s="648"/>
      <c r="BC2326" s="648"/>
      <c r="BD2326" s="648"/>
      <c r="BE2326" s="648"/>
      <c r="BF2326" s="648"/>
      <c r="BG2326" s="648"/>
      <c r="BH2326" s="648"/>
    </row>
    <row r="2327" spans="1:60" x14ac:dyDescent="0.25">
      <c r="A2327" s="2371">
        <v>10</v>
      </c>
      <c r="B2327" s="2385">
        <v>1002.1</v>
      </c>
      <c r="C2327" s="2374" t="s">
        <v>256</v>
      </c>
      <c r="D2327" s="2374"/>
      <c r="E2327" s="2374"/>
      <c r="F2327" s="2374"/>
      <c r="G2327" s="2373" t="str">
        <f t="shared" si="120"/>
        <v/>
      </c>
      <c r="H2327" s="2371" t="s">
        <v>3973</v>
      </c>
      <c r="I2327" s="4"/>
      <c r="J2327" s="27"/>
      <c r="K2327" s="4"/>
      <c r="L2327" s="1779"/>
      <c r="M2327" s="1838" t="str">
        <f t="shared" si="121"/>
        <v>N/A</v>
      </c>
      <c r="N2327" s="664"/>
      <c r="O2327" s="1042"/>
      <c r="P2327" s="648"/>
      <c r="Q2327" s="648"/>
      <c r="R2327" s="648"/>
      <c r="S2327" s="648"/>
      <c r="T2327" s="648"/>
      <c r="U2327" s="648"/>
      <c r="V2327" s="648"/>
      <c r="W2327" s="648"/>
      <c r="X2327" s="1757"/>
      <c r="Y2327" s="2077"/>
      <c r="Z2327" s="2083"/>
      <c r="AB2327" s="648"/>
      <c r="AC2327" s="970"/>
      <c r="AD2327" s="970"/>
      <c r="AE2327" s="970"/>
      <c r="AF2327" s="648"/>
      <c r="AG2327" s="648"/>
      <c r="AH2327" s="648"/>
      <c r="AI2327" s="648"/>
      <c r="AJ2327" s="648"/>
      <c r="AK2327" s="648"/>
      <c r="AL2327" s="1336"/>
      <c r="AM2327" s="1336"/>
      <c r="AN2327" s="1336"/>
      <c r="AO2327" s="1336"/>
      <c r="AP2327" s="1336"/>
      <c r="AQ2327" s="1336"/>
      <c r="AR2327" s="1336"/>
      <c r="AS2327" s="1336"/>
      <c r="AT2327" s="648"/>
      <c r="AU2327" s="648"/>
      <c r="AV2327" s="648"/>
      <c r="AW2327" s="648"/>
      <c r="AX2327" s="648"/>
      <c r="AY2327" s="648"/>
      <c r="AZ2327" s="648"/>
      <c r="BA2327" s="648"/>
      <c r="BB2327" s="648"/>
      <c r="BC2327" s="648"/>
      <c r="BD2327" s="648"/>
      <c r="BE2327" s="648"/>
      <c r="BF2327" s="648"/>
      <c r="BG2327" s="648"/>
      <c r="BH2327" s="648"/>
    </row>
    <row r="2328" spans="1:60" x14ac:dyDescent="0.25">
      <c r="A2328" s="2371">
        <v>10</v>
      </c>
      <c r="B2328" s="2385">
        <v>1002.1</v>
      </c>
      <c r="C2328" s="2374" t="s">
        <v>258</v>
      </c>
      <c r="D2328" s="2374"/>
      <c r="E2328" s="2374"/>
      <c r="F2328" s="2374"/>
      <c r="G2328" s="2373" t="str">
        <f t="shared" si="120"/>
        <v/>
      </c>
      <c r="H2328" s="2371" t="s">
        <v>3973</v>
      </c>
      <c r="I2328" s="4"/>
      <c r="J2328" s="209" t="s">
        <v>258</v>
      </c>
      <c r="K2328" s="193"/>
      <c r="L2328" s="1778" t="s">
        <v>3330</v>
      </c>
      <c r="M2328" s="1872" t="str">
        <f t="shared" si="121"/>
        <v>N/A</v>
      </c>
      <c r="N2328" s="664"/>
      <c r="O2328" s="1042"/>
      <c r="P2328" s="648" t="b">
        <v>0</v>
      </c>
      <c r="Q2328" s="648" t="b">
        <v>1</v>
      </c>
      <c r="R2328" s="648" t="b">
        <f>S2328</f>
        <v>0</v>
      </c>
      <c r="S2328" s="648" t="b">
        <f>IF(AY2262=INDEX(ddSingleOrMulti,2),TRUE,FALSE)</f>
        <v>0</v>
      </c>
      <c r="T2328" s="94" t="b">
        <f>AND(NOT(S2328),W2328=TRUE)</f>
        <v>0</v>
      </c>
      <c r="U2328" s="648"/>
      <c r="V2328" s="648"/>
      <c r="W2328" s="25"/>
      <c r="X2328" s="1757"/>
      <c r="Y2328" s="2077" t="str">
        <f>IF(LEN('Ch10'!X85)=0,"None",'Ch10'!X85)</f>
        <v>None</v>
      </c>
      <c r="Z2328" s="2083"/>
      <c r="AB2328" s="648"/>
      <c r="AC2328" s="970" t="b">
        <f>OR(AD2328:AE2328)</f>
        <v>0</v>
      </c>
      <c r="AD2328" s="970" t="b">
        <f>T2328</f>
        <v>0</v>
      </c>
      <c r="AE2328" s="970" t="b">
        <f>AND(R2328,NOT(W2328=TRUE))</f>
        <v>0</v>
      </c>
      <c r="AF2328" s="784"/>
      <c r="AG2328" s="648"/>
      <c r="AH2328" s="648"/>
      <c r="AI2328" s="648"/>
      <c r="AJ2328" s="648"/>
      <c r="AK2328" s="648"/>
      <c r="AL2328" s="254" t="str">
        <f>SUBSTITUTE(SUBSTITUTE(SUBSTITUTE("vpa"&amp;$B2328&amp;$C2328&amp;$D2328&amp;$E2328,".","_"),"(","_"),")","")</f>
        <v>vpa1002_1_2</v>
      </c>
      <c r="AM2328" s="254" t="str">
        <f>M2328</f>
        <v>N/A</v>
      </c>
      <c r="AN2328" s="1336"/>
      <c r="AO2328" s="1336"/>
      <c r="AP2328" s="254" t="str">
        <f>SUBSTITUTE(SUBSTITUTE(SUBSTITUTE("vch"&amp;$B2328&amp;$C2328&amp;$D2328&amp;$E2328,".","_"),"(","_"),")","")</f>
        <v>vch1002_1_2</v>
      </c>
      <c r="AQ2328" s="254" t="str">
        <f>IF(LEN(W2328)=0,"",W2328)</f>
        <v/>
      </c>
      <c r="AR2328" s="254" t="str">
        <f>SUBSTITUTE(SUBSTITUTE(SUBSTITUTE("vnt"&amp;$B2328&amp;$C2328&amp;$D2328&amp;$E2328,".","_"),"(","_"),")","")</f>
        <v>vnt1002_1_2</v>
      </c>
      <c r="AS2328" s="254" t="str">
        <f>IF(LEN(X2328)=0,"",X2328)</f>
        <v/>
      </c>
      <c r="AT2328" s="648"/>
      <c r="AU2328" s="648"/>
      <c r="AV2328" s="648"/>
      <c r="AW2328" s="648"/>
      <c r="AX2328" s="648"/>
      <c r="AY2328" s="648"/>
      <c r="AZ2328" s="648"/>
      <c r="BA2328" s="648"/>
      <c r="BB2328" s="648"/>
      <c r="BC2328" s="648"/>
      <c r="BD2328" s="648"/>
      <c r="BE2328" s="648"/>
      <c r="BF2328" s="648"/>
      <c r="BG2328" s="648"/>
      <c r="BH2328" s="648"/>
    </row>
    <row r="2329" spans="1:60" x14ac:dyDescent="0.25">
      <c r="A2329" s="2371">
        <v>10</v>
      </c>
      <c r="B2329" s="2385">
        <v>1002.1</v>
      </c>
      <c r="C2329" s="2374" t="s">
        <v>258</v>
      </c>
      <c r="D2329" s="2374"/>
      <c r="E2329" s="2374"/>
      <c r="F2329" s="2374"/>
      <c r="G2329" s="2373" t="str">
        <f t="shared" si="120"/>
        <v/>
      </c>
      <c r="H2329" s="2371" t="s">
        <v>3973</v>
      </c>
      <c r="I2329" s="4"/>
      <c r="J2329" s="183"/>
      <c r="K2329" s="129"/>
      <c r="L2329" s="1754"/>
      <c r="M2329" s="1837" t="str">
        <f t="shared" si="121"/>
        <v>N/A</v>
      </c>
      <c r="N2329" s="664"/>
      <c r="O2329" s="1042"/>
      <c r="P2329" s="648"/>
      <c r="Q2329" s="648"/>
      <c r="R2329" s="648"/>
      <c r="S2329" s="648"/>
      <c r="T2329" s="648"/>
      <c r="U2329" s="648"/>
      <c r="V2329" s="648"/>
      <c r="W2329" s="648"/>
      <c r="X2329" s="1757"/>
      <c r="Y2329" s="2077"/>
      <c r="Z2329" s="2083"/>
      <c r="AB2329" s="648"/>
      <c r="AC2329" s="970"/>
      <c r="AD2329" s="970"/>
      <c r="AE2329" s="970"/>
      <c r="AF2329" s="648"/>
      <c r="AG2329" s="648"/>
      <c r="AH2329" s="648"/>
      <c r="AI2329" s="648"/>
      <c r="AJ2329" s="648"/>
      <c r="AK2329" s="648"/>
      <c r="AL2329" s="1336"/>
      <c r="AM2329" s="1336"/>
      <c r="AN2329" s="1336"/>
      <c r="AO2329" s="1336"/>
      <c r="AP2329" s="1336"/>
      <c r="AQ2329" s="1336"/>
      <c r="AR2329" s="1336"/>
      <c r="AS2329" s="1336"/>
      <c r="AT2329" s="648"/>
      <c r="AU2329" s="648"/>
      <c r="AV2329" s="648"/>
      <c r="AW2329" s="648"/>
      <c r="AX2329" s="648"/>
      <c r="AY2329" s="648"/>
      <c r="AZ2329" s="648"/>
      <c r="BA2329" s="648"/>
      <c r="BB2329" s="648"/>
      <c r="BC2329" s="648"/>
      <c r="BD2329" s="648"/>
      <c r="BE2329" s="648"/>
      <c r="BF2329" s="648"/>
      <c r="BG2329" s="648"/>
      <c r="BH2329" s="648"/>
    </row>
    <row r="2330" spans="1:60" x14ac:dyDescent="0.25">
      <c r="A2330" s="2371">
        <v>10</v>
      </c>
      <c r="B2330" s="2385">
        <v>1002.1</v>
      </c>
      <c r="C2330" s="2374" t="s">
        <v>258</v>
      </c>
      <c r="D2330" s="2374"/>
      <c r="E2330" s="2374"/>
      <c r="F2330" s="2374"/>
      <c r="G2330" s="2373" t="str">
        <f t="shared" si="120"/>
        <v/>
      </c>
      <c r="H2330" s="2371" t="s">
        <v>3973</v>
      </c>
      <c r="I2330" s="4"/>
      <c r="J2330" s="206"/>
      <c r="K2330" s="210"/>
      <c r="L2330" s="1755"/>
      <c r="M2330" s="1844" t="str">
        <f t="shared" si="121"/>
        <v>N/A</v>
      </c>
      <c r="N2330" s="664"/>
      <c r="O2330" s="1042"/>
      <c r="P2330" s="648"/>
      <c r="Q2330" s="648"/>
      <c r="R2330" s="648"/>
      <c r="S2330" s="648"/>
      <c r="T2330" s="648"/>
      <c r="U2330" s="648"/>
      <c r="V2330" s="648"/>
      <c r="W2330" s="648"/>
      <c r="X2330" s="1757"/>
      <c r="Y2330" s="2077"/>
      <c r="Z2330" s="2083"/>
      <c r="AB2330" s="648"/>
      <c r="AC2330" s="970"/>
      <c r="AD2330" s="970"/>
      <c r="AE2330" s="970"/>
      <c r="AF2330" s="648"/>
      <c r="AG2330" s="648"/>
      <c r="AH2330" s="648"/>
      <c r="AI2330" s="648"/>
      <c r="AJ2330" s="648"/>
      <c r="AK2330" s="648"/>
      <c r="AL2330" s="1336"/>
      <c r="AM2330" s="1336"/>
      <c r="AN2330" s="1336"/>
      <c r="AO2330" s="1336"/>
      <c r="AP2330" s="1336"/>
      <c r="AQ2330" s="1336"/>
      <c r="AR2330" s="1336"/>
      <c r="AS2330" s="1336"/>
      <c r="AT2330" s="648"/>
      <c r="AU2330" s="648"/>
      <c r="AV2330" s="648"/>
      <c r="AW2330" s="648"/>
      <c r="AX2330" s="648"/>
      <c r="AY2330" s="648"/>
      <c r="AZ2330" s="648"/>
      <c r="BA2330" s="648"/>
      <c r="BB2330" s="648"/>
      <c r="BC2330" s="648"/>
      <c r="BD2330" s="648"/>
      <c r="BE2330" s="648"/>
      <c r="BF2330" s="648"/>
      <c r="BG2330" s="648"/>
      <c r="BH2330" s="648"/>
    </row>
    <row r="2331" spans="1:60" x14ac:dyDescent="0.25">
      <c r="A2331" s="2371">
        <v>10</v>
      </c>
      <c r="B2331" s="2385">
        <v>1002.1</v>
      </c>
      <c r="C2331" s="2374" t="s">
        <v>260</v>
      </c>
      <c r="D2331" s="2374"/>
      <c r="E2331" s="2374"/>
      <c r="F2331" s="2374"/>
      <c r="G2331" s="2373" t="str">
        <f t="shared" si="120"/>
        <v/>
      </c>
      <c r="H2331" s="2371" t="s">
        <v>3973</v>
      </c>
      <c r="I2331" s="4"/>
      <c r="J2331" s="27" t="s">
        <v>260</v>
      </c>
      <c r="K2331" s="4"/>
      <c r="L2331" s="1779" t="s">
        <v>3331</v>
      </c>
      <c r="M2331" s="1838" t="str">
        <f t="shared" si="121"/>
        <v>N/A</v>
      </c>
      <c r="N2331" s="664"/>
      <c r="O2331" s="1042"/>
      <c r="P2331" s="648" t="b">
        <v>0</v>
      </c>
      <c r="Q2331" s="648" t="b">
        <v>1</v>
      </c>
      <c r="R2331" s="648" t="b">
        <f>S2331</f>
        <v>0</v>
      </c>
      <c r="S2331" s="648" t="b">
        <f>IF(AY2262=INDEX(ddSingleOrMulti,2),TRUE,FALSE)</f>
        <v>0</v>
      </c>
      <c r="T2331" s="94" t="b">
        <f>AND(NOT(S2331),W2331=TRUE)</f>
        <v>0</v>
      </c>
      <c r="U2331" s="648"/>
      <c r="V2331" s="648"/>
      <c r="W2331" s="25"/>
      <c r="X2331" s="1757"/>
      <c r="Y2331" s="2077" t="str">
        <f>IF(LEN('Ch10'!X88)=0,"None",'Ch10'!X88)</f>
        <v>None</v>
      </c>
      <c r="Z2331" s="2083"/>
      <c r="AB2331" s="648"/>
      <c r="AC2331" s="970" t="b">
        <f>OR(AD2331:AE2331)</f>
        <v>0</v>
      </c>
      <c r="AD2331" s="970" t="b">
        <f>T2331</f>
        <v>0</v>
      </c>
      <c r="AE2331" s="970" t="b">
        <f>AND(R2331,NOT(W2331=TRUE))</f>
        <v>0</v>
      </c>
      <c r="AF2331" s="784"/>
      <c r="AG2331" s="648"/>
      <c r="AH2331" s="648"/>
      <c r="AI2331" s="648"/>
      <c r="AJ2331" s="648"/>
      <c r="AK2331" s="648"/>
      <c r="AL2331" s="254" t="str">
        <f>SUBSTITUTE(SUBSTITUTE(SUBSTITUTE("vpa"&amp;$B2331&amp;$C2331&amp;$D2331&amp;$E2331,".","_"),"(","_"),")","")</f>
        <v>vpa1002_1_3</v>
      </c>
      <c r="AM2331" s="254" t="str">
        <f>M2331</f>
        <v>N/A</v>
      </c>
      <c r="AN2331" s="1336"/>
      <c r="AO2331" s="1336"/>
      <c r="AP2331" s="254" t="str">
        <f>SUBSTITUTE(SUBSTITUTE(SUBSTITUTE("vch"&amp;$B2331&amp;$C2331&amp;$D2331&amp;$E2331,".","_"),"(","_"),")","")</f>
        <v>vch1002_1_3</v>
      </c>
      <c r="AQ2331" s="254" t="str">
        <f>IF(LEN(W2331)=0,"",W2331)</f>
        <v/>
      </c>
      <c r="AR2331" s="254" t="str">
        <f>SUBSTITUTE(SUBSTITUTE(SUBSTITUTE("vnt"&amp;$B2331&amp;$C2331&amp;$D2331&amp;$E2331,".","_"),"(","_"),")","")</f>
        <v>vnt1002_1_3</v>
      </c>
      <c r="AS2331" s="254" t="str">
        <f>IF(LEN(X2331)=0,"",X2331)</f>
        <v/>
      </c>
      <c r="AT2331" s="648"/>
      <c r="AU2331" s="648"/>
      <c r="AV2331" s="648"/>
      <c r="AW2331" s="648"/>
      <c r="AX2331" s="648"/>
      <c r="AY2331" s="648"/>
      <c r="AZ2331" s="648"/>
      <c r="BA2331" s="648"/>
      <c r="BB2331" s="648"/>
      <c r="BC2331" s="648"/>
      <c r="BD2331" s="648"/>
      <c r="BE2331" s="648"/>
      <c r="BF2331" s="648"/>
      <c r="BG2331" s="648"/>
      <c r="BH2331" s="648"/>
    </row>
    <row r="2332" spans="1:60" x14ac:dyDescent="0.25">
      <c r="A2332" s="2371">
        <v>10</v>
      </c>
      <c r="B2332" s="2385">
        <v>1002.1</v>
      </c>
      <c r="C2332" s="2374" t="s">
        <v>260</v>
      </c>
      <c r="D2332" s="2374"/>
      <c r="E2332" s="2374"/>
      <c r="F2332" s="2374"/>
      <c r="G2332" s="2373" t="str">
        <f t="shared" si="120"/>
        <v/>
      </c>
      <c r="H2332" s="2371" t="s">
        <v>3973</v>
      </c>
      <c r="I2332" s="4"/>
      <c r="J2332" s="27"/>
      <c r="K2332" s="4"/>
      <c r="L2332" s="1779"/>
      <c r="M2332" s="1838" t="str">
        <f t="shared" si="121"/>
        <v>N/A</v>
      </c>
      <c r="N2332" s="664"/>
      <c r="O2332" s="1042"/>
      <c r="P2332" s="648"/>
      <c r="Q2332" s="648"/>
      <c r="R2332" s="648"/>
      <c r="S2332" s="648"/>
      <c r="T2332" s="648"/>
      <c r="U2332" s="648"/>
      <c r="V2332" s="648"/>
      <c r="W2332" s="648"/>
      <c r="X2332" s="1757"/>
      <c r="Y2332" s="2077"/>
      <c r="Z2332" s="2083"/>
      <c r="AB2332" s="648"/>
      <c r="AC2332" s="970"/>
      <c r="AD2332" s="970"/>
      <c r="AE2332" s="970"/>
      <c r="AF2332" s="648"/>
      <c r="AG2332" s="648"/>
      <c r="AH2332" s="648"/>
      <c r="AI2332" s="648"/>
      <c r="AJ2332" s="648"/>
      <c r="AK2332" s="648"/>
      <c r="AL2332" s="1336"/>
      <c r="AM2332" s="1336"/>
      <c r="AN2332" s="1336"/>
      <c r="AO2332" s="1336"/>
      <c r="AP2332" s="1336"/>
      <c r="AQ2332" s="1336"/>
      <c r="AR2332" s="1336"/>
      <c r="AS2332" s="1336"/>
      <c r="AT2332" s="648"/>
      <c r="AU2332" s="648"/>
      <c r="AV2332" s="648"/>
      <c r="AW2332" s="648"/>
      <c r="AX2332" s="648"/>
      <c r="AY2332" s="648"/>
      <c r="AZ2332" s="648"/>
      <c r="BA2332" s="648"/>
      <c r="BB2332" s="648"/>
      <c r="BC2332" s="648"/>
      <c r="BD2332" s="648"/>
      <c r="BE2332" s="648"/>
      <c r="BF2332" s="648"/>
      <c r="BG2332" s="648"/>
      <c r="BH2332" s="648"/>
    </row>
    <row r="2333" spans="1:60" x14ac:dyDescent="0.25">
      <c r="A2333" s="2371">
        <v>10</v>
      </c>
      <c r="B2333" s="2385">
        <v>1002.1</v>
      </c>
      <c r="C2333" s="2374" t="s">
        <v>269</v>
      </c>
      <c r="D2333" s="2374"/>
      <c r="E2333" s="2374"/>
      <c r="F2333" s="2374"/>
      <c r="G2333" s="2373" t="str">
        <f t="shared" si="120"/>
        <v/>
      </c>
      <c r="H2333" s="2371" t="s">
        <v>3973</v>
      </c>
      <c r="I2333" s="4"/>
      <c r="J2333" s="207" t="s">
        <v>269</v>
      </c>
      <c r="K2333" s="243"/>
      <c r="L2333" s="280" t="s">
        <v>3332</v>
      </c>
      <c r="M2333" s="1017"/>
      <c r="N2333" s="664"/>
      <c r="O2333" s="1042"/>
      <c r="P2333" s="648" t="b">
        <v>0</v>
      </c>
      <c r="Q2333" s="648" t="b">
        <v>1</v>
      </c>
      <c r="R2333" s="648" t="b">
        <v>0</v>
      </c>
      <c r="S2333" s="648" t="b">
        <f>IF(AY2262=INDEX(ddSingleOrMulti,2),TRUE,FALSE)</f>
        <v>0</v>
      </c>
      <c r="T2333" s="94" t="b">
        <f>AND(NOT(S2333),W2333=TRUE)</f>
        <v>0</v>
      </c>
      <c r="U2333" s="648"/>
      <c r="V2333" s="648"/>
      <c r="W2333" s="25"/>
      <c r="X2333" s="650"/>
      <c r="Y2333" s="653" t="str">
        <f>IF(LEN('Ch10'!X90)=0,"None",'Ch10'!X90)</f>
        <v>None</v>
      </c>
      <c r="Z2333" s="1587"/>
      <c r="AB2333" s="648"/>
      <c r="AC2333" s="970" t="b">
        <f>OR(AD2333:AE2333)</f>
        <v>0</v>
      </c>
      <c r="AD2333" s="970" t="b">
        <f>T2333</f>
        <v>0</v>
      </c>
      <c r="AE2333" s="970"/>
      <c r="AF2333" s="648"/>
      <c r="AG2333" s="648"/>
      <c r="AH2333" s="648"/>
      <c r="AI2333" s="648"/>
      <c r="AJ2333" s="648"/>
      <c r="AK2333" s="648"/>
      <c r="AL2333" s="1336"/>
      <c r="AM2333" s="1336"/>
      <c r="AN2333" s="1336"/>
      <c r="AO2333" s="1336"/>
      <c r="AP2333" s="254" t="str">
        <f>SUBSTITUTE(SUBSTITUTE(SUBSTITUTE("vch"&amp;$B2333&amp;$C2333&amp;$D2333&amp;$E2333,".","_"),"(","_"),")","")</f>
        <v>vch1002_1_4</v>
      </c>
      <c r="AQ2333" s="254" t="str">
        <f>IF(LEN(W2333)=0,"",W2333)</f>
        <v/>
      </c>
      <c r="AR2333" s="254" t="str">
        <f>SUBSTITUTE(SUBSTITUTE(SUBSTITUTE("vnt"&amp;$B2333&amp;$C2333&amp;$D2333&amp;$E2333,".","_"),"(","_"),")","")</f>
        <v>vnt1002_1_4</v>
      </c>
      <c r="AS2333" s="254" t="str">
        <f>IF(LEN(X2333)=0,"",X2333)</f>
        <v/>
      </c>
      <c r="AT2333" s="648"/>
      <c r="AU2333" s="648"/>
      <c r="AV2333" s="648"/>
      <c r="AW2333" s="648"/>
      <c r="AX2333" s="648"/>
      <c r="AY2333" s="648"/>
      <c r="AZ2333" s="648"/>
      <c r="BA2333" s="648"/>
      <c r="BB2333" s="648"/>
      <c r="BC2333" s="648"/>
      <c r="BD2333" s="648"/>
      <c r="BE2333" s="648"/>
      <c r="BF2333" s="648"/>
      <c r="BG2333" s="648"/>
      <c r="BH2333" s="648"/>
    </row>
    <row r="2334" spans="1:60" x14ac:dyDescent="0.25">
      <c r="A2334" s="2371">
        <v>10</v>
      </c>
      <c r="B2334" s="2385">
        <v>1002.1</v>
      </c>
      <c r="C2334" s="2374" t="s">
        <v>275</v>
      </c>
      <c r="D2334" s="2374"/>
      <c r="E2334" s="2374"/>
      <c r="F2334" s="2374"/>
      <c r="G2334" s="2373" t="str">
        <f t="shared" si="120"/>
        <v/>
      </c>
      <c r="H2334" s="2371" t="s">
        <v>3973</v>
      </c>
      <c r="I2334" s="4"/>
      <c r="J2334" s="27" t="s">
        <v>275</v>
      </c>
      <c r="K2334" s="4"/>
      <c r="L2334" s="1779" t="s">
        <v>3333</v>
      </c>
      <c r="M2334" s="1012"/>
      <c r="N2334" s="664"/>
      <c r="O2334" s="1042"/>
      <c r="P2334" s="648" t="b">
        <v>0</v>
      </c>
      <c r="Q2334" s="648" t="b">
        <v>1</v>
      </c>
      <c r="R2334" s="648" t="b">
        <v>0</v>
      </c>
      <c r="S2334" s="648" t="b">
        <f>IF(AY2262=INDEX(ddSingleOrMulti,2),TRUE,FALSE)</f>
        <v>0</v>
      </c>
      <c r="T2334" s="94" t="b">
        <f>AND(NOT(S2334),W2334=TRUE)</f>
        <v>0</v>
      </c>
      <c r="U2334" s="648"/>
      <c r="V2334" s="648"/>
      <c r="W2334" s="25"/>
      <c r="X2334" s="1757"/>
      <c r="Y2334" s="2077" t="str">
        <f>IF(LEN('Ch10'!X91)=0,"None",'Ch10'!X91)</f>
        <v>None</v>
      </c>
      <c r="Z2334" s="2083"/>
      <c r="AB2334" s="648"/>
      <c r="AC2334" s="970" t="b">
        <f>OR(AD2334:AE2334)</f>
        <v>0</v>
      </c>
      <c r="AD2334" s="970" t="b">
        <f>T2334</f>
        <v>0</v>
      </c>
      <c r="AE2334" s="970"/>
      <c r="AF2334" s="648"/>
      <c r="AG2334" s="648"/>
      <c r="AH2334" s="648"/>
      <c r="AI2334" s="648"/>
      <c r="AJ2334" s="648"/>
      <c r="AK2334" s="648"/>
      <c r="AL2334" s="1336"/>
      <c r="AM2334" s="1336"/>
      <c r="AN2334" s="1336"/>
      <c r="AO2334" s="1336"/>
      <c r="AP2334" s="254" t="str">
        <f>SUBSTITUTE(SUBSTITUTE(SUBSTITUTE("vch"&amp;$B2334&amp;$C2334&amp;$D2334&amp;$E2334,".","_"),"(","_"),")","")</f>
        <v>vch1002_1_5</v>
      </c>
      <c r="AQ2334" s="254" t="str">
        <f>IF(LEN(W2334)=0,"",W2334)</f>
        <v/>
      </c>
      <c r="AR2334" s="254" t="str">
        <f>SUBSTITUTE(SUBSTITUTE(SUBSTITUTE("vnt"&amp;$B2334&amp;$C2334&amp;$D2334&amp;$E2334,".","_"),"(","_"),")","")</f>
        <v>vnt1002_1_5</v>
      </c>
      <c r="AS2334" s="254" t="str">
        <f>IF(LEN(X2334)=0,"",X2334)</f>
        <v/>
      </c>
      <c r="AT2334" s="648"/>
      <c r="AU2334" s="648"/>
      <c r="AV2334" s="648"/>
      <c r="AW2334" s="648"/>
      <c r="AX2334" s="648"/>
      <c r="AY2334" s="648"/>
      <c r="AZ2334" s="648"/>
      <c r="BA2334" s="648"/>
      <c r="BB2334" s="648"/>
      <c r="BC2334" s="648"/>
      <c r="BD2334" s="648"/>
      <c r="BE2334" s="648"/>
      <c r="BF2334" s="648"/>
      <c r="BG2334" s="648"/>
      <c r="BH2334" s="648"/>
    </row>
    <row r="2335" spans="1:60" x14ac:dyDescent="0.25">
      <c r="A2335" s="2371">
        <v>10</v>
      </c>
      <c r="B2335" s="2385">
        <v>1002.1</v>
      </c>
      <c r="C2335" s="2374" t="s">
        <v>275</v>
      </c>
      <c r="D2335" s="2374"/>
      <c r="E2335" s="2374"/>
      <c r="F2335" s="2374"/>
      <c r="G2335" s="2373" t="str">
        <f t="shared" si="120"/>
        <v/>
      </c>
      <c r="H2335" s="2371" t="s">
        <v>3973</v>
      </c>
      <c r="I2335" s="4"/>
      <c r="J2335" s="27"/>
      <c r="K2335" s="4"/>
      <c r="L2335" s="1779"/>
      <c r="M2335" s="1012"/>
      <c r="N2335" s="664"/>
      <c r="O2335" s="1042"/>
      <c r="P2335" s="648"/>
      <c r="Q2335" s="648"/>
      <c r="R2335" s="648"/>
      <c r="S2335" s="648"/>
      <c r="T2335" s="648"/>
      <c r="U2335" s="648"/>
      <c r="V2335" s="648"/>
      <c r="W2335" s="648"/>
      <c r="X2335" s="1757"/>
      <c r="Y2335" s="2077"/>
      <c r="Z2335" s="2083"/>
      <c r="AB2335" s="648"/>
      <c r="AC2335" s="970"/>
      <c r="AD2335" s="970"/>
      <c r="AE2335" s="970"/>
      <c r="AF2335" s="648"/>
      <c r="AG2335" s="648"/>
      <c r="AH2335" s="648"/>
      <c r="AI2335" s="648"/>
      <c r="AJ2335" s="648"/>
      <c r="AK2335" s="648"/>
      <c r="AL2335" s="1336"/>
      <c r="AM2335" s="1336"/>
      <c r="AN2335" s="1336"/>
      <c r="AO2335" s="1336"/>
      <c r="AP2335" s="1336"/>
      <c r="AQ2335" s="1336"/>
      <c r="AR2335" s="1336"/>
      <c r="AS2335" s="1336"/>
      <c r="AT2335" s="648"/>
      <c r="AU2335" s="648"/>
      <c r="AV2335" s="648"/>
      <c r="AW2335" s="648"/>
      <c r="AX2335" s="648"/>
      <c r="AY2335" s="648"/>
      <c r="AZ2335" s="648"/>
      <c r="BA2335" s="648"/>
      <c r="BB2335" s="648"/>
      <c r="BC2335" s="648"/>
      <c r="BD2335" s="648"/>
      <c r="BE2335" s="648"/>
      <c r="BF2335" s="648"/>
      <c r="BG2335" s="648"/>
      <c r="BH2335" s="648"/>
    </row>
    <row r="2336" spans="1:60" ht="15" customHeight="1" x14ac:dyDescent="0.25">
      <c r="A2336" s="2371">
        <v>10</v>
      </c>
      <c r="B2336" s="2385">
        <v>1002.1</v>
      </c>
      <c r="C2336" s="2374" t="s">
        <v>277</v>
      </c>
      <c r="D2336" s="2374"/>
      <c r="E2336" s="2374"/>
      <c r="F2336" s="2374"/>
      <c r="G2336" s="2373" t="str">
        <f t="shared" si="120"/>
        <v/>
      </c>
      <c r="H2336" s="2371" t="s">
        <v>3973</v>
      </c>
      <c r="I2336" s="4"/>
      <c r="J2336" s="207" t="s">
        <v>277</v>
      </c>
      <c r="K2336" s="243"/>
      <c r="L2336" s="280" t="s">
        <v>3290</v>
      </c>
      <c r="M2336" s="1012"/>
      <c r="N2336" s="664"/>
      <c r="O2336" s="1042"/>
      <c r="P2336" s="648" t="b">
        <v>0</v>
      </c>
      <c r="Q2336" s="648" t="b">
        <v>1</v>
      </c>
      <c r="R2336" s="648" t="b">
        <v>0</v>
      </c>
      <c r="S2336" s="648" t="b">
        <f>IF(AY2262=INDEX(ddSingleOrMulti,2),TRUE,FALSE)</f>
        <v>0</v>
      </c>
      <c r="T2336" s="94" t="b">
        <f>AND(NOT(S2336),W2336=TRUE)</f>
        <v>0</v>
      </c>
      <c r="U2336" s="648"/>
      <c r="V2336" s="648"/>
      <c r="W2336" s="25"/>
      <c r="X2336" s="650"/>
      <c r="Y2336" s="653" t="str">
        <f>IF(LEN('Ch10'!X93)=0,"None",'Ch10'!X93)</f>
        <v>None</v>
      </c>
      <c r="Z2336" s="1587"/>
      <c r="AB2336" s="648"/>
      <c r="AC2336" s="970" t="b">
        <f>OR(AD2336:AE2336)</f>
        <v>0</v>
      </c>
      <c r="AD2336" s="970" t="b">
        <f>T2336</f>
        <v>0</v>
      </c>
      <c r="AE2336" s="970"/>
      <c r="AF2336" s="648"/>
      <c r="AG2336" s="648"/>
      <c r="AH2336" s="648"/>
      <c r="AI2336" s="648"/>
      <c r="AJ2336" s="648"/>
      <c r="AK2336" s="648"/>
      <c r="AL2336" s="1336"/>
      <c r="AM2336" s="1336"/>
      <c r="AN2336" s="1336"/>
      <c r="AO2336" s="1336"/>
      <c r="AP2336" s="254" t="str">
        <f>SUBSTITUTE(SUBSTITUTE(SUBSTITUTE("vch"&amp;$B2336&amp;$C2336&amp;$D2336&amp;$E2336,".","_"),"(","_"),")","")</f>
        <v>vch1002_1_6</v>
      </c>
      <c r="AQ2336" s="254" t="str">
        <f>IF(LEN(W2336)=0,"",W2336)</f>
        <v/>
      </c>
      <c r="AR2336" s="254" t="str">
        <f>SUBSTITUTE(SUBSTITUTE(SUBSTITUTE("vnt"&amp;$B2336&amp;$C2336&amp;$D2336&amp;$E2336,".","_"),"(","_"),")","")</f>
        <v>vnt1002_1_6</v>
      </c>
      <c r="AS2336" s="254" t="str">
        <f>IF(LEN(X2336)=0,"",X2336)</f>
        <v/>
      </c>
      <c r="AT2336" s="648"/>
      <c r="AU2336" s="648"/>
      <c r="AV2336" s="648"/>
      <c r="AW2336" s="648"/>
      <c r="AX2336" s="648"/>
      <c r="AY2336" s="648"/>
      <c r="AZ2336" s="648"/>
      <c r="BA2336" s="648"/>
      <c r="BB2336" s="648"/>
      <c r="BC2336" s="648"/>
      <c r="BD2336" s="648"/>
      <c r="BE2336" s="648"/>
      <c r="BF2336" s="648"/>
      <c r="BG2336" s="648"/>
      <c r="BH2336" s="648"/>
    </row>
    <row r="2337" spans="1:60" x14ac:dyDescent="0.25">
      <c r="A2337" s="2371">
        <v>10</v>
      </c>
      <c r="B2337" s="2385">
        <v>1002.1</v>
      </c>
      <c r="C2337" s="2374" t="s">
        <v>383</v>
      </c>
      <c r="D2337" s="2374"/>
      <c r="E2337" s="2374"/>
      <c r="F2337" s="2374"/>
      <c r="G2337" s="2373" t="str">
        <f t="shared" si="120"/>
        <v/>
      </c>
      <c r="H2337" s="2371" t="s">
        <v>3973</v>
      </c>
      <c r="I2337" s="4"/>
      <c r="J2337" s="207" t="s">
        <v>383</v>
      </c>
      <c r="K2337" s="243"/>
      <c r="L2337" s="280" t="s">
        <v>3334</v>
      </c>
      <c r="M2337" s="1012"/>
      <c r="N2337" s="664"/>
      <c r="O2337" s="1042"/>
      <c r="P2337" s="648" t="b">
        <v>0</v>
      </c>
      <c r="Q2337" s="648" t="b">
        <v>1</v>
      </c>
      <c r="R2337" s="648" t="b">
        <v>0</v>
      </c>
      <c r="S2337" s="648" t="b">
        <f>IF(AY2262=INDEX(ddSingleOrMulti,2),TRUE,FALSE)</f>
        <v>0</v>
      </c>
      <c r="T2337" s="94" t="b">
        <f>AND(NOT(S2337),W2337=TRUE)</f>
        <v>0</v>
      </c>
      <c r="U2337" s="648"/>
      <c r="V2337" s="648"/>
      <c r="W2337" s="25"/>
      <c r="X2337" s="650"/>
      <c r="Y2337" s="653" t="str">
        <f>IF(LEN('Ch10'!X94)=0,"None",'Ch10'!X94)</f>
        <v>None</v>
      </c>
      <c r="Z2337" s="1587"/>
      <c r="AB2337" s="648"/>
      <c r="AC2337" s="970" t="b">
        <f>OR(AD2337:AE2337)</f>
        <v>0</v>
      </c>
      <c r="AD2337" s="970" t="b">
        <f>T2337</f>
        <v>0</v>
      </c>
      <c r="AE2337" s="970"/>
      <c r="AF2337" s="648"/>
      <c r="AG2337" s="648"/>
      <c r="AH2337" s="648"/>
      <c r="AI2337" s="648"/>
      <c r="AJ2337" s="648"/>
      <c r="AK2337" s="648"/>
      <c r="AL2337" s="1336"/>
      <c r="AM2337" s="1336"/>
      <c r="AN2337" s="1336"/>
      <c r="AO2337" s="1336"/>
      <c r="AP2337" s="254" t="str">
        <f>SUBSTITUTE(SUBSTITUTE(SUBSTITUTE("vch"&amp;$B2337&amp;$C2337&amp;$D2337&amp;$E2337,".","_"),"(","_"),")","")</f>
        <v>vch1002_1_7</v>
      </c>
      <c r="AQ2337" s="254" t="str">
        <f>IF(LEN(W2337)=0,"",W2337)</f>
        <v/>
      </c>
      <c r="AR2337" s="254" t="str">
        <f>SUBSTITUTE(SUBSTITUTE(SUBSTITUTE("vnt"&amp;$B2337&amp;$C2337&amp;$D2337&amp;$E2337,".","_"),"(","_"),")","")</f>
        <v>vnt1002_1_7</v>
      </c>
      <c r="AS2337" s="254" t="str">
        <f>IF(LEN(X2337)=0,"",X2337)</f>
        <v/>
      </c>
      <c r="AT2337" s="648"/>
      <c r="AU2337" s="648"/>
      <c r="AV2337" s="648"/>
      <c r="AW2337" s="648"/>
      <c r="AX2337" s="648"/>
      <c r="AY2337" s="648"/>
      <c r="AZ2337" s="648"/>
      <c r="BA2337" s="648"/>
      <c r="BB2337" s="648"/>
      <c r="BC2337" s="648"/>
      <c r="BD2337" s="648"/>
      <c r="BE2337" s="648"/>
      <c r="BF2337" s="648"/>
      <c r="BG2337" s="648"/>
      <c r="BH2337" s="648"/>
    </row>
    <row r="2338" spans="1:60" x14ac:dyDescent="0.25">
      <c r="A2338" s="2371">
        <v>10</v>
      </c>
      <c r="B2338" s="2385">
        <v>1002.1</v>
      </c>
      <c r="C2338" s="2374" t="s">
        <v>428</v>
      </c>
      <c r="D2338" s="2374"/>
      <c r="E2338" s="2374"/>
      <c r="F2338" s="2374"/>
      <c r="G2338" s="2373" t="str">
        <f t="shared" si="120"/>
        <v/>
      </c>
      <c r="H2338" s="2371" t="s">
        <v>3973</v>
      </c>
      <c r="I2338" s="129"/>
      <c r="J2338" s="183" t="s">
        <v>428</v>
      </c>
      <c r="K2338" s="129"/>
      <c r="L2338" s="1754" t="s">
        <v>3335</v>
      </c>
      <c r="M2338" s="1012"/>
      <c r="N2338" s="665"/>
      <c r="O2338" s="1044"/>
      <c r="P2338" s="648" t="b">
        <v>0</v>
      </c>
      <c r="Q2338" s="648" t="b">
        <v>1</v>
      </c>
      <c r="R2338" s="94" t="b">
        <v>0</v>
      </c>
      <c r="S2338" s="94" t="b">
        <f>IF(AY2262=INDEX(ddSingleOrMulti,2),TRUE,FALSE)</f>
        <v>0</v>
      </c>
      <c r="T2338" s="94" t="b">
        <f>AND(NOT(S2338),W2338=TRUE)</f>
        <v>0</v>
      </c>
      <c r="U2338" s="94"/>
      <c r="V2338" s="94"/>
      <c r="W2338" s="25"/>
      <c r="X2338" s="1770"/>
      <c r="Y2338" s="2081" t="str">
        <f>IF(LEN('Ch10'!X95)=0,"None",'Ch10'!X95)</f>
        <v>None</v>
      </c>
      <c r="Z2338" s="2084"/>
      <c r="AB2338" s="648"/>
      <c r="AC2338" s="970" t="b">
        <f>OR(AD2338:AE2338)</f>
        <v>0</v>
      </c>
      <c r="AD2338" s="970" t="b">
        <f>T2338</f>
        <v>0</v>
      </c>
      <c r="AE2338" s="970"/>
      <c r="AF2338" s="648"/>
      <c r="AG2338" s="648"/>
      <c r="AH2338" s="648"/>
      <c r="AI2338" s="648"/>
      <c r="AJ2338" s="648"/>
      <c r="AK2338" s="648"/>
      <c r="AL2338" s="1336"/>
      <c r="AM2338" s="1336"/>
      <c r="AN2338" s="1336"/>
      <c r="AO2338" s="1336"/>
      <c r="AP2338" s="254" t="str">
        <f>SUBSTITUTE(SUBSTITUTE(SUBSTITUTE("vch"&amp;$B2338&amp;$C2338&amp;$D2338&amp;$E2338,".","_"),"(","_"),")","")</f>
        <v>vch1002_1_8</v>
      </c>
      <c r="AQ2338" s="254" t="str">
        <f>IF(LEN(W2338)=0,"",W2338)</f>
        <v/>
      </c>
      <c r="AR2338" s="254" t="str">
        <f>SUBSTITUTE(SUBSTITUTE(SUBSTITUTE("vnt"&amp;$B2338&amp;$C2338&amp;$D2338&amp;$E2338,".","_"),"(","_"),")","")</f>
        <v>vnt1002_1_8</v>
      </c>
      <c r="AS2338" s="254" t="str">
        <f>IF(LEN(X2338)=0,"",X2338)</f>
        <v/>
      </c>
      <c r="AT2338" s="648"/>
      <c r="AU2338" s="648"/>
      <c r="AV2338" s="648"/>
      <c r="AW2338" s="648"/>
      <c r="AX2338" s="648"/>
      <c r="AY2338" s="648"/>
      <c r="AZ2338" s="648"/>
      <c r="BA2338" s="648"/>
      <c r="BB2338" s="648"/>
      <c r="BC2338" s="648"/>
      <c r="BD2338" s="648"/>
      <c r="BE2338" s="648"/>
      <c r="BF2338" s="648"/>
      <c r="BG2338" s="648"/>
      <c r="BH2338" s="648"/>
    </row>
    <row r="2339" spans="1:60" ht="15.75" thickBot="1" x14ac:dyDescent="0.3">
      <c r="A2339" s="2371">
        <v>10</v>
      </c>
      <c r="B2339" s="2385">
        <v>1002.1</v>
      </c>
      <c r="C2339" s="2374" t="s">
        <v>428</v>
      </c>
      <c r="D2339" s="2374"/>
      <c r="E2339" s="2374"/>
      <c r="F2339" s="2374"/>
      <c r="G2339" s="2373" t="str">
        <f t="shared" si="120"/>
        <v/>
      </c>
      <c r="H2339" s="2371" t="s">
        <v>3973</v>
      </c>
      <c r="I2339" s="240"/>
      <c r="J2339" s="240"/>
      <c r="K2339" s="240"/>
      <c r="L2339" s="1783"/>
      <c r="M2339" s="1013"/>
      <c r="N2339" s="1052"/>
      <c r="O2339" s="1045"/>
      <c r="P2339" s="99"/>
      <c r="Q2339" s="99"/>
      <c r="R2339" s="99"/>
      <c r="S2339" s="99"/>
      <c r="T2339" s="99"/>
      <c r="U2339" s="99"/>
      <c r="V2339" s="99"/>
      <c r="W2339" s="99"/>
      <c r="X2339" s="1771"/>
      <c r="Y2339" s="2082"/>
      <c r="Z2339" s="2086"/>
      <c r="AB2339" s="648"/>
      <c r="AC2339" s="970"/>
      <c r="AD2339" s="970"/>
      <c r="AE2339" s="970"/>
      <c r="AF2339" s="648"/>
      <c r="AG2339" s="648"/>
      <c r="AH2339" s="648"/>
      <c r="AI2339" s="648"/>
      <c r="AJ2339" s="648"/>
      <c r="AK2339" s="648"/>
      <c r="AL2339" s="1336"/>
      <c r="AM2339" s="1336"/>
      <c r="AN2339" s="1336"/>
      <c r="AO2339" s="1336"/>
      <c r="AP2339" s="1336"/>
      <c r="AQ2339" s="1336"/>
      <c r="AR2339" s="1336"/>
      <c r="AS2339" s="1336"/>
      <c r="AT2339" s="648"/>
      <c r="AU2339" s="648"/>
      <c r="AV2339" s="648"/>
      <c r="AW2339" s="648"/>
      <c r="AX2339" s="648"/>
      <c r="AY2339" s="648"/>
      <c r="AZ2339" s="648"/>
      <c r="BA2339" s="648"/>
      <c r="BB2339" s="648"/>
      <c r="BC2339" s="648"/>
      <c r="BD2339" s="648"/>
      <c r="BE2339" s="648"/>
      <c r="BF2339" s="648"/>
      <c r="BG2339" s="648"/>
      <c r="BH2339" s="648"/>
    </row>
    <row r="2340" spans="1:60" ht="15.75" thickTop="1" x14ac:dyDescent="0.25">
      <c r="A2340" s="2371">
        <v>10</v>
      </c>
      <c r="B2340" s="2385">
        <v>1002.2</v>
      </c>
      <c r="C2340" s="2374"/>
      <c r="D2340" s="2374"/>
      <c r="E2340" s="2374"/>
      <c r="F2340" s="2374"/>
      <c r="G2340" s="2373" t="str">
        <f>IF(N2340&gt;0,"P","")</f>
        <v/>
      </c>
      <c r="H2340" s="2371" t="s">
        <v>3973</v>
      </c>
      <c r="I2340" s="139">
        <v>1002.2</v>
      </c>
      <c r="J2340" s="4"/>
      <c r="K2340" s="4"/>
      <c r="L2340" s="1796" t="s">
        <v>3376</v>
      </c>
      <c r="M2340" s="1767">
        <v>1</v>
      </c>
      <c r="N2340" s="2080">
        <f>'Ch10'!O97</f>
        <v>0</v>
      </c>
      <c r="O2340" s="2132">
        <f>IF(AND(COUNTIF(W2344:W2346,TRUE)=2,COUNTIF(W2349:W2365,TRUE)&gt;2,S2344),ROUNDDOWN(COUNTIF(W2349:W2365,TRUE)/2,0),0)</f>
        <v>0</v>
      </c>
      <c r="P2340" s="648"/>
      <c r="Q2340" s="648"/>
      <c r="R2340" s="648"/>
      <c r="S2340" s="648"/>
      <c r="T2340" s="648"/>
      <c r="U2340" s="648"/>
      <c r="V2340" s="648"/>
      <c r="W2340" s="648"/>
      <c r="X2340" s="648"/>
      <c r="Y2340" s="648"/>
      <c r="AB2340" s="648"/>
      <c r="AC2340" s="970"/>
      <c r="AD2340" s="970"/>
      <c r="AE2340" s="970"/>
      <c r="AF2340" s="648"/>
      <c r="AG2340" s="648"/>
      <c r="AH2340" s="648"/>
      <c r="AI2340" s="648"/>
      <c r="AJ2340" s="648"/>
      <c r="AK2340" s="648"/>
      <c r="AL2340" s="254" t="str">
        <f>SUBSTITUTE(SUBSTITUTE(SUBSTITUTE("vpa"&amp;$B2340&amp;$C2340&amp;$D2340&amp;$E2340,".","_"),"(","_"),")","")</f>
        <v>vpa1002_2</v>
      </c>
      <c r="AM2340" s="254">
        <f>M2340</f>
        <v>1</v>
      </c>
      <c r="AN2340" s="254" t="str">
        <f>SUBSTITUTE(SUBSTITUTE(SUBSTITUTE("vpc"&amp;$B2340&amp;$C2340&amp;$D2340&amp;$E2340,".","_"),"(","_"),")","")</f>
        <v>vpc1002_2</v>
      </c>
      <c r="AO2340" s="254">
        <f>O2340</f>
        <v>0</v>
      </c>
      <c r="AP2340" s="1336"/>
      <c r="AQ2340" s="1336"/>
      <c r="AR2340" s="1336"/>
      <c r="AS2340" s="1336"/>
      <c r="AT2340" s="648"/>
      <c r="AU2340" s="648"/>
      <c r="AV2340" s="648"/>
      <c r="AW2340" s="648"/>
      <c r="AX2340" s="648"/>
      <c r="AY2340" s="648"/>
      <c r="AZ2340" s="648"/>
      <c r="BA2340" s="648"/>
      <c r="BB2340" s="648"/>
      <c r="BC2340" s="648"/>
      <c r="BD2340" s="648"/>
      <c r="BE2340" s="648"/>
      <c r="BF2340" s="648"/>
      <c r="BG2340" s="648"/>
      <c r="BH2340" s="648"/>
    </row>
    <row r="2341" spans="1:60" x14ac:dyDescent="0.25">
      <c r="A2341" s="2371">
        <v>10</v>
      </c>
      <c r="B2341" s="2385">
        <v>1002.2</v>
      </c>
      <c r="C2341" s="2374"/>
      <c r="D2341" s="2374"/>
      <c r="E2341" s="2374"/>
      <c r="F2341" s="2374"/>
      <c r="G2341" s="2373" t="str">
        <f t="shared" ref="G2341:G2366" si="122">G2340</f>
        <v/>
      </c>
      <c r="H2341" s="2371" t="s">
        <v>3973</v>
      </c>
      <c r="I2341" s="4"/>
      <c r="J2341" s="4"/>
      <c r="K2341" s="4"/>
      <c r="L2341" s="1796"/>
      <c r="M2341" s="1767"/>
      <c r="N2341" s="2075"/>
      <c r="O2341" s="2132"/>
      <c r="P2341" s="648"/>
      <c r="Q2341" s="648"/>
      <c r="R2341" s="648"/>
      <c r="S2341" s="648"/>
      <c r="T2341" s="648"/>
      <c r="U2341" s="648"/>
      <c r="V2341" s="648"/>
      <c r="W2341" s="648"/>
      <c r="X2341" s="648"/>
      <c r="Y2341" s="648"/>
      <c r="AB2341" s="648"/>
      <c r="AC2341" s="970"/>
      <c r="AD2341" s="970"/>
      <c r="AE2341" s="970"/>
      <c r="AF2341" s="648"/>
      <c r="AG2341" s="648"/>
      <c r="AH2341" s="648"/>
      <c r="AI2341" s="648"/>
      <c r="AJ2341" s="648"/>
      <c r="AK2341" s="648"/>
      <c r="AL2341" s="1336"/>
      <c r="AM2341" s="1336"/>
      <c r="AN2341" s="1336"/>
      <c r="AO2341" s="1336"/>
      <c r="AP2341" s="1336"/>
      <c r="AQ2341" s="1336"/>
      <c r="AR2341" s="1336"/>
      <c r="AS2341" s="1336"/>
      <c r="AT2341" s="648"/>
      <c r="AU2341" s="648"/>
      <c r="AV2341" s="648"/>
      <c r="AW2341" s="648"/>
      <c r="AX2341" s="648"/>
      <c r="AY2341" s="648"/>
      <c r="AZ2341" s="648"/>
      <c r="BA2341" s="648"/>
      <c r="BB2341" s="648"/>
      <c r="BC2341" s="648"/>
      <c r="BD2341" s="648"/>
      <c r="BE2341" s="648"/>
      <c r="BF2341" s="648"/>
      <c r="BG2341" s="648"/>
      <c r="BH2341" s="648"/>
    </row>
    <row r="2342" spans="1:60" x14ac:dyDescent="0.25">
      <c r="A2342" s="2371">
        <v>10</v>
      </c>
      <c r="B2342" s="2385">
        <v>1002.2</v>
      </c>
      <c r="C2342" s="2374"/>
      <c r="D2342" s="2374"/>
      <c r="E2342" s="2374"/>
      <c r="F2342" s="2374"/>
      <c r="G2342" s="2373" t="str">
        <f t="shared" si="122"/>
        <v/>
      </c>
      <c r="H2342" s="2371" t="s">
        <v>3973</v>
      </c>
      <c r="I2342" s="4"/>
      <c r="J2342" s="4"/>
      <c r="K2342" s="4"/>
      <c r="L2342" s="1796"/>
      <c r="M2342" s="1767"/>
      <c r="N2342" s="2075"/>
      <c r="O2342" s="2132"/>
      <c r="P2342" s="648"/>
      <c r="Q2342" s="648"/>
      <c r="R2342" s="648"/>
      <c r="S2342" s="648"/>
      <c r="T2342" s="648"/>
      <c r="U2342" s="648"/>
      <c r="V2342" s="648"/>
      <c r="W2342" s="648"/>
      <c r="X2342" s="648"/>
      <c r="Y2342" s="648"/>
      <c r="AB2342" s="648"/>
      <c r="AC2342" s="970"/>
      <c r="AD2342" s="970"/>
      <c r="AE2342" s="970"/>
      <c r="AF2342" s="648"/>
      <c r="AG2342" s="648"/>
      <c r="AH2342" s="648"/>
      <c r="AI2342" s="648"/>
      <c r="AJ2342" s="648"/>
      <c r="AK2342" s="648"/>
      <c r="AL2342" s="1336"/>
      <c r="AM2342" s="1336"/>
      <c r="AN2342" s="1336"/>
      <c r="AO2342" s="1336"/>
      <c r="AP2342" s="1336"/>
      <c r="AQ2342" s="1336"/>
      <c r="AR2342" s="1336"/>
      <c r="AS2342" s="1336"/>
      <c r="AT2342" s="648"/>
      <c r="AU2342" s="648"/>
      <c r="AV2342" s="648"/>
      <c r="AW2342" s="648"/>
      <c r="AX2342" s="648"/>
      <c r="AY2342" s="648"/>
      <c r="AZ2342" s="648"/>
      <c r="BA2342" s="648"/>
      <c r="BB2342" s="648"/>
      <c r="BC2342" s="648"/>
      <c r="BD2342" s="648"/>
      <c r="BE2342" s="648"/>
      <c r="BF2342" s="648"/>
      <c r="BG2342" s="648"/>
      <c r="BH2342" s="648"/>
    </row>
    <row r="2343" spans="1:60" x14ac:dyDescent="0.25">
      <c r="A2343" s="2371">
        <v>10</v>
      </c>
      <c r="B2343" s="2385">
        <v>1002.2</v>
      </c>
      <c r="C2343" s="2374"/>
      <c r="D2343" s="2374"/>
      <c r="E2343" s="2374"/>
      <c r="F2343" s="2374"/>
      <c r="G2343" s="2373" t="str">
        <f t="shared" si="122"/>
        <v/>
      </c>
      <c r="H2343" s="2371" t="s">
        <v>3973</v>
      </c>
      <c r="I2343" s="4"/>
      <c r="J2343" s="4"/>
      <c r="K2343" s="4"/>
      <c r="L2343" s="226" t="s">
        <v>3373</v>
      </c>
      <c r="M2343" s="1767"/>
      <c r="N2343" s="2075"/>
      <c r="O2343" s="2132"/>
      <c r="P2343" s="648"/>
      <c r="Q2343" s="648"/>
      <c r="R2343" s="648"/>
      <c r="S2343" s="648"/>
      <c r="T2343" s="648"/>
      <c r="U2343" s="648"/>
      <c r="V2343" s="648"/>
      <c r="W2343" s="648"/>
      <c r="X2343" s="648"/>
      <c r="Y2343" s="648"/>
      <c r="AB2343" s="648"/>
      <c r="AC2343" s="970"/>
      <c r="AD2343" s="970"/>
      <c r="AE2343" s="970"/>
      <c r="AF2343" s="648"/>
      <c r="AG2343" s="648"/>
      <c r="AH2343" s="648"/>
      <c r="AI2343" s="648"/>
      <c r="AJ2343" s="648"/>
      <c r="AK2343" s="648"/>
      <c r="AL2343" s="1336"/>
      <c r="AM2343" s="1336"/>
      <c r="AN2343" s="1336"/>
      <c r="AO2343" s="1336"/>
      <c r="AP2343" s="1336"/>
      <c r="AQ2343" s="1336"/>
      <c r="AR2343" s="1336"/>
      <c r="AS2343" s="1336"/>
      <c r="AT2343" s="648"/>
      <c r="AU2343" s="648"/>
      <c r="AV2343" s="648"/>
      <c r="AW2343" s="648"/>
      <c r="AX2343" s="648"/>
      <c r="AY2343" s="648"/>
      <c r="AZ2343" s="648"/>
      <c r="BA2343" s="648"/>
      <c r="BB2343" s="648"/>
      <c r="BC2343" s="648"/>
      <c r="BD2343" s="648"/>
      <c r="BE2343" s="648"/>
      <c r="BF2343" s="648"/>
      <c r="BG2343" s="648"/>
      <c r="BH2343" s="648"/>
    </row>
    <row r="2344" spans="1:60" x14ac:dyDescent="0.25">
      <c r="A2344" s="2371">
        <v>10</v>
      </c>
      <c r="B2344" s="2385">
        <v>1002.2</v>
      </c>
      <c r="C2344" s="2374" t="s">
        <v>256</v>
      </c>
      <c r="D2344" s="2374"/>
      <c r="E2344" s="2374"/>
      <c r="F2344" s="2374"/>
      <c r="G2344" s="2373" t="str">
        <f t="shared" si="122"/>
        <v/>
      </c>
      <c r="H2344" s="2371" t="s">
        <v>3973</v>
      </c>
      <c r="I2344" s="4"/>
      <c r="J2344" s="183" t="s">
        <v>256</v>
      </c>
      <c r="K2344" s="129"/>
      <c r="L2344" s="1754" t="s">
        <v>3336</v>
      </c>
      <c r="M2344" s="1837" t="str">
        <f>IF(R2344,"Mandatory","N/A")</f>
        <v>N/A</v>
      </c>
      <c r="N2344" s="664"/>
      <c r="O2344" s="1042"/>
      <c r="P2344" s="648" t="b">
        <v>0</v>
      </c>
      <c r="Q2344" s="648" t="b">
        <v>1</v>
      </c>
      <c r="R2344" s="648" t="b">
        <f>S2344</f>
        <v>0</v>
      </c>
      <c r="S2344" s="648" t="b">
        <f>IF(AY2262=INDEX(ddSingleOrMulti,2),TRUE,FALSE)</f>
        <v>0</v>
      </c>
      <c r="T2344" s="94" t="b">
        <f>AND(NOT(S2344),W2344=TRUE)</f>
        <v>0</v>
      </c>
      <c r="U2344" s="648"/>
      <c r="V2344" s="648"/>
      <c r="W2344" s="25"/>
      <c r="X2344" s="1757"/>
      <c r="Y2344" s="2077" t="str">
        <f>IF(LEN('Ch10'!X101)=0,"None",'Ch10'!X101)</f>
        <v>None</v>
      </c>
      <c r="Z2344" s="2083"/>
      <c r="AB2344" s="648"/>
      <c r="AC2344" s="970" t="b">
        <f>OR(AD2344:AE2344)</f>
        <v>0</v>
      </c>
      <c r="AD2344" s="970" t="b">
        <f>T2344</f>
        <v>0</v>
      </c>
      <c r="AE2344" s="970" t="b">
        <f>AND(R2344,NOT(W2344=TRUE))</f>
        <v>0</v>
      </c>
      <c r="AF2344" s="784"/>
      <c r="AG2344" s="648"/>
      <c r="AH2344" s="648"/>
      <c r="AI2344" s="648"/>
      <c r="AJ2344" s="648"/>
      <c r="AK2344" s="648"/>
      <c r="AL2344" s="254" t="str">
        <f>SUBSTITUTE(SUBSTITUTE(SUBSTITUTE("vpa"&amp;$B2344&amp;$C2344&amp;$D2344&amp;$E2344,".","_"),"(","_"),")","")</f>
        <v>vpa1002_2_1</v>
      </c>
      <c r="AM2344" s="254" t="str">
        <f>M2344</f>
        <v>N/A</v>
      </c>
      <c r="AN2344" s="1336"/>
      <c r="AO2344" s="1336"/>
      <c r="AP2344" s="254" t="str">
        <f>SUBSTITUTE(SUBSTITUTE(SUBSTITUTE("vch"&amp;$B2344&amp;$C2344&amp;$D2344&amp;$E2344,".","_"),"(","_"),")","")</f>
        <v>vch1002_2_1</v>
      </c>
      <c r="AQ2344" s="254" t="str">
        <f>IF(LEN(W2344)=0,"",W2344)</f>
        <v/>
      </c>
      <c r="AR2344" s="254" t="str">
        <f>SUBSTITUTE(SUBSTITUTE(SUBSTITUTE("vnt"&amp;$B2344&amp;$C2344&amp;$D2344&amp;$E2344,".","_"),"(","_"),")","")</f>
        <v>vnt1002_2_1</v>
      </c>
      <c r="AS2344" s="254" t="str">
        <f>IF(LEN(X2344)=0,"",X2344)</f>
        <v/>
      </c>
      <c r="AT2344" s="648"/>
      <c r="AU2344" s="648"/>
      <c r="AV2344" s="648"/>
      <c r="AW2344" s="648"/>
      <c r="AX2344" s="648"/>
      <c r="AY2344" s="648"/>
      <c r="AZ2344" s="648"/>
      <c r="BA2344" s="648"/>
      <c r="BB2344" s="648"/>
      <c r="BC2344" s="648"/>
      <c r="BD2344" s="648"/>
      <c r="BE2344" s="648"/>
      <c r="BF2344" s="648"/>
      <c r="BG2344" s="648"/>
      <c r="BH2344" s="648"/>
    </row>
    <row r="2345" spans="1:60" x14ac:dyDescent="0.25">
      <c r="A2345" s="2371">
        <v>10</v>
      </c>
      <c r="B2345" s="2385">
        <v>1002.2</v>
      </c>
      <c r="C2345" s="2374" t="s">
        <v>256</v>
      </c>
      <c r="D2345" s="2374"/>
      <c r="E2345" s="2374"/>
      <c r="F2345" s="2374"/>
      <c r="G2345" s="2373" t="str">
        <f t="shared" si="122"/>
        <v/>
      </c>
      <c r="H2345" s="2371" t="s">
        <v>3973</v>
      </c>
      <c r="I2345" s="4"/>
      <c r="J2345" s="206"/>
      <c r="K2345" s="210"/>
      <c r="L2345" s="1755"/>
      <c r="M2345" s="1844" t="str">
        <f>IF(R2345,"Mandatory","N/A")</f>
        <v>N/A</v>
      </c>
      <c r="N2345" s="664"/>
      <c r="O2345" s="1042"/>
      <c r="P2345" s="648"/>
      <c r="Q2345" s="648"/>
      <c r="R2345" s="648"/>
      <c r="S2345" s="648"/>
      <c r="T2345" s="648"/>
      <c r="U2345" s="648"/>
      <c r="V2345" s="648"/>
      <c r="W2345" s="648"/>
      <c r="X2345" s="1757"/>
      <c r="Y2345" s="2077"/>
      <c r="Z2345" s="2083"/>
      <c r="AB2345" s="648"/>
      <c r="AC2345" s="970"/>
      <c r="AD2345" s="970"/>
      <c r="AE2345" s="970"/>
      <c r="AF2345" s="648"/>
      <c r="AG2345" s="648"/>
      <c r="AH2345" s="648"/>
      <c r="AI2345" s="648"/>
      <c r="AJ2345" s="648"/>
      <c r="AK2345" s="648"/>
      <c r="AL2345" s="1336"/>
      <c r="AM2345" s="1336"/>
      <c r="AN2345" s="1336"/>
      <c r="AO2345" s="1336"/>
      <c r="AP2345" s="1336"/>
      <c r="AQ2345" s="1336"/>
      <c r="AR2345" s="1336"/>
      <c r="AS2345" s="1336"/>
      <c r="AT2345" s="648"/>
      <c r="AU2345" s="648"/>
      <c r="AV2345" s="648"/>
      <c r="AW2345" s="648"/>
      <c r="AX2345" s="648"/>
      <c r="AY2345" s="648"/>
      <c r="AZ2345" s="648"/>
      <c r="BA2345" s="648"/>
      <c r="BB2345" s="648"/>
      <c r="BC2345" s="648"/>
      <c r="BD2345" s="648"/>
      <c r="BE2345" s="648"/>
      <c r="BF2345" s="648"/>
      <c r="BG2345" s="648"/>
      <c r="BH2345" s="648"/>
    </row>
    <row r="2346" spans="1:60" x14ac:dyDescent="0.25">
      <c r="A2346" s="2371">
        <v>10</v>
      </c>
      <c r="B2346" s="2385">
        <v>1002.2</v>
      </c>
      <c r="C2346" s="2374" t="s">
        <v>258</v>
      </c>
      <c r="D2346" s="2374"/>
      <c r="E2346" s="2374"/>
      <c r="F2346" s="2374"/>
      <c r="G2346" s="2373" t="str">
        <f t="shared" si="122"/>
        <v/>
      </c>
      <c r="H2346" s="2371" t="s">
        <v>3973</v>
      </c>
      <c r="I2346" s="4"/>
      <c r="J2346" s="209" t="s">
        <v>258</v>
      </c>
      <c r="K2346" s="193"/>
      <c r="L2346" s="1778" t="s">
        <v>3337</v>
      </c>
      <c r="M2346" s="1872" t="str">
        <f>IF(R2346,"Mandatory","N/A")</f>
        <v>N/A</v>
      </c>
      <c r="N2346" s="664"/>
      <c r="O2346" s="1042"/>
      <c r="P2346" s="648" t="b">
        <v>0</v>
      </c>
      <c r="Q2346" s="648" t="b">
        <v>1</v>
      </c>
      <c r="R2346" s="648" t="b">
        <f>S2346</f>
        <v>0</v>
      </c>
      <c r="S2346" s="648" t="b">
        <f>IF(AY2262=INDEX(ddSingleOrMulti,2),TRUE,FALSE)</f>
        <v>0</v>
      </c>
      <c r="T2346" s="94" t="b">
        <f>AND(NOT(S2346),W2346=TRUE)</f>
        <v>0</v>
      </c>
      <c r="U2346" s="648"/>
      <c r="V2346" s="648"/>
      <c r="W2346" s="25"/>
      <c r="X2346" s="1757"/>
      <c r="Y2346" s="2077" t="str">
        <f>IF(LEN('Ch10'!X103)=0,"None",'Ch10'!X103)</f>
        <v>None</v>
      </c>
      <c r="Z2346" s="2083"/>
      <c r="AB2346" s="648"/>
      <c r="AC2346" s="970" t="b">
        <f>OR(AD2346:AE2346)</f>
        <v>0</v>
      </c>
      <c r="AD2346" s="970" t="b">
        <f>T2346</f>
        <v>0</v>
      </c>
      <c r="AE2346" s="970" t="b">
        <f>AND(R2346,NOT(W2346=TRUE))</f>
        <v>0</v>
      </c>
      <c r="AF2346" s="784"/>
      <c r="AG2346" s="648"/>
      <c r="AH2346" s="648"/>
      <c r="AI2346" s="648"/>
      <c r="AJ2346" s="648"/>
      <c r="AK2346" s="648"/>
      <c r="AL2346" s="254" t="str">
        <f>SUBSTITUTE(SUBSTITUTE(SUBSTITUTE("vpa"&amp;$B2346&amp;$C2346&amp;$D2346&amp;$E2346,".","_"),"(","_"),")","")</f>
        <v>vpa1002_2_2</v>
      </c>
      <c r="AM2346" s="254" t="str">
        <f>M2346</f>
        <v>N/A</v>
      </c>
      <c r="AN2346" s="1336"/>
      <c r="AO2346" s="1336"/>
      <c r="AP2346" s="254" t="str">
        <f>SUBSTITUTE(SUBSTITUTE(SUBSTITUTE("vch"&amp;$B2346&amp;$C2346&amp;$D2346&amp;$E2346,".","_"),"(","_"),")","")</f>
        <v>vch1002_2_2</v>
      </c>
      <c r="AQ2346" s="254" t="str">
        <f>IF(LEN(W2346)=0,"",W2346)</f>
        <v/>
      </c>
      <c r="AR2346" s="254" t="str">
        <f>SUBSTITUTE(SUBSTITUTE(SUBSTITUTE("vnt"&amp;$B2346&amp;$C2346&amp;$D2346&amp;$E2346,".","_"),"(","_"),")","")</f>
        <v>vnt1002_2_2</v>
      </c>
      <c r="AS2346" s="254" t="str">
        <f>IF(LEN(X2346)=0,"",X2346)</f>
        <v/>
      </c>
      <c r="AT2346" s="648"/>
      <c r="AU2346" s="648"/>
      <c r="AV2346" s="648"/>
      <c r="AW2346" s="648"/>
      <c r="AX2346" s="648"/>
      <c r="AY2346" s="648"/>
      <c r="AZ2346" s="648"/>
      <c r="BA2346" s="648"/>
      <c r="BB2346" s="648"/>
      <c r="BC2346" s="648"/>
      <c r="BD2346" s="648"/>
      <c r="BE2346" s="648"/>
      <c r="BF2346" s="648"/>
      <c r="BG2346" s="648"/>
      <c r="BH2346" s="648"/>
    </row>
    <row r="2347" spans="1:60" x14ac:dyDescent="0.25">
      <c r="A2347" s="2371">
        <v>10</v>
      </c>
      <c r="B2347" s="2385">
        <v>1002.2</v>
      </c>
      <c r="C2347" s="2374" t="s">
        <v>258</v>
      </c>
      <c r="D2347" s="2374"/>
      <c r="E2347" s="2374"/>
      <c r="F2347" s="2374"/>
      <c r="G2347" s="2373" t="str">
        <f t="shared" si="122"/>
        <v/>
      </c>
      <c r="H2347" s="2371" t="s">
        <v>3973</v>
      </c>
      <c r="I2347" s="4"/>
      <c r="J2347" s="183"/>
      <c r="K2347" s="129"/>
      <c r="L2347" s="1754"/>
      <c r="M2347" s="1837" t="str">
        <f>IF(R2347,"Mandatory","N/A")</f>
        <v>N/A</v>
      </c>
      <c r="N2347" s="664"/>
      <c r="O2347" s="1042"/>
      <c r="P2347" s="648"/>
      <c r="Q2347" s="648"/>
      <c r="R2347" s="648"/>
      <c r="S2347" s="648"/>
      <c r="T2347" s="648"/>
      <c r="U2347" s="648"/>
      <c r="V2347" s="648"/>
      <c r="W2347" s="648"/>
      <c r="X2347" s="1757"/>
      <c r="Y2347" s="2077"/>
      <c r="Z2347" s="2083"/>
      <c r="AB2347" s="648"/>
      <c r="AC2347" s="970"/>
      <c r="AD2347" s="970"/>
      <c r="AE2347" s="970"/>
      <c r="AF2347" s="648"/>
      <c r="AG2347" s="648"/>
      <c r="AH2347" s="648"/>
      <c r="AI2347" s="648"/>
      <c r="AJ2347" s="648"/>
      <c r="AK2347" s="648"/>
      <c r="AL2347" s="1336"/>
      <c r="AM2347" s="1336"/>
      <c r="AN2347" s="1336"/>
      <c r="AO2347" s="1336"/>
      <c r="AP2347" s="1336"/>
      <c r="AQ2347" s="1336"/>
      <c r="AR2347" s="1336"/>
      <c r="AS2347" s="1336"/>
      <c r="AT2347" s="648"/>
      <c r="AU2347" s="648"/>
      <c r="AV2347" s="648"/>
      <c r="AW2347" s="648"/>
      <c r="AX2347" s="648"/>
      <c r="AY2347" s="648"/>
      <c r="AZ2347" s="648"/>
      <c r="BA2347" s="648"/>
      <c r="BB2347" s="648"/>
      <c r="BC2347" s="648"/>
      <c r="BD2347" s="648"/>
      <c r="BE2347" s="648"/>
      <c r="BF2347" s="648"/>
      <c r="BG2347" s="648"/>
      <c r="BH2347" s="648"/>
    </row>
    <row r="2348" spans="1:60" x14ac:dyDescent="0.25">
      <c r="A2348" s="2371">
        <v>10</v>
      </c>
      <c r="B2348" s="2385">
        <v>1002.2</v>
      </c>
      <c r="C2348" s="2374" t="s">
        <v>258</v>
      </c>
      <c r="D2348" s="2374"/>
      <c r="E2348" s="2374"/>
      <c r="F2348" s="2374"/>
      <c r="G2348" s="2373" t="str">
        <f t="shared" si="122"/>
        <v/>
      </c>
      <c r="H2348" s="2371" t="s">
        <v>3973</v>
      </c>
      <c r="I2348" s="4"/>
      <c r="J2348" s="206"/>
      <c r="K2348" s="210"/>
      <c r="L2348" s="1755"/>
      <c r="M2348" s="1844" t="str">
        <f>IF(R2348,"Mandatory","N/A")</f>
        <v>N/A</v>
      </c>
      <c r="N2348" s="664"/>
      <c r="O2348" s="1042"/>
      <c r="P2348" s="648"/>
      <c r="Q2348" s="648"/>
      <c r="R2348" s="648"/>
      <c r="S2348" s="648"/>
      <c r="T2348" s="648"/>
      <c r="U2348" s="648"/>
      <c r="V2348" s="648"/>
      <c r="W2348" s="648"/>
      <c r="X2348" s="1757"/>
      <c r="Y2348" s="2077"/>
      <c r="Z2348" s="2083"/>
      <c r="AB2348" s="648"/>
      <c r="AC2348" s="970"/>
      <c r="AD2348" s="970"/>
      <c r="AE2348" s="970"/>
      <c r="AF2348" s="648"/>
      <c r="AG2348" s="648"/>
      <c r="AH2348" s="648"/>
      <c r="AI2348" s="648"/>
      <c r="AJ2348" s="648"/>
      <c r="AK2348" s="648"/>
      <c r="AL2348" s="1336"/>
      <c r="AM2348" s="1336"/>
      <c r="AN2348" s="1336"/>
      <c r="AO2348" s="1336"/>
      <c r="AP2348" s="1336"/>
      <c r="AQ2348" s="1336"/>
      <c r="AR2348" s="1336"/>
      <c r="AS2348" s="1336"/>
      <c r="AT2348" s="648"/>
      <c r="AU2348" s="648"/>
      <c r="AV2348" s="648"/>
      <c r="AW2348" s="648"/>
      <c r="AX2348" s="648"/>
      <c r="AY2348" s="648"/>
      <c r="AZ2348" s="648"/>
      <c r="BA2348" s="648"/>
      <c r="BB2348" s="648"/>
      <c r="BC2348" s="648"/>
      <c r="BD2348" s="648"/>
      <c r="BE2348" s="648"/>
      <c r="BF2348" s="648"/>
      <c r="BG2348" s="648"/>
      <c r="BH2348" s="648"/>
    </row>
    <row r="2349" spans="1:60" x14ac:dyDescent="0.25">
      <c r="A2349" s="2371">
        <v>10</v>
      </c>
      <c r="B2349" s="2385">
        <v>1002.2</v>
      </c>
      <c r="C2349" s="2374" t="s">
        <v>260</v>
      </c>
      <c r="D2349" s="2374"/>
      <c r="E2349" s="2374"/>
      <c r="F2349" s="2374"/>
      <c r="G2349" s="2373" t="str">
        <f t="shared" si="122"/>
        <v/>
      </c>
      <c r="H2349" s="2371" t="s">
        <v>3973</v>
      </c>
      <c r="I2349" s="4"/>
      <c r="J2349" s="209" t="s">
        <v>260</v>
      </c>
      <c r="K2349" s="193"/>
      <c r="L2349" s="1778" t="s">
        <v>3306</v>
      </c>
      <c r="M2349" s="1018"/>
      <c r="N2349" s="664"/>
      <c r="O2349" s="1042"/>
      <c r="P2349" s="648" t="b">
        <v>0</v>
      </c>
      <c r="Q2349" s="648" t="b">
        <v>1</v>
      </c>
      <c r="R2349" s="648" t="b">
        <v>0</v>
      </c>
      <c r="S2349" s="648" t="b">
        <f>IF(AY2262=INDEX(ddSingleOrMulti,2),TRUE,FALSE)</f>
        <v>0</v>
      </c>
      <c r="T2349" s="94" t="b">
        <f>AND(NOT(S2349),W2349=TRUE)</f>
        <v>0</v>
      </c>
      <c r="U2349" s="648"/>
      <c r="V2349" s="648"/>
      <c r="W2349" s="25"/>
      <c r="X2349" s="1757"/>
      <c r="Y2349" s="2077" t="str">
        <f>IF(LEN('Ch10'!X106)=0,"None",'Ch10'!X106)</f>
        <v>None</v>
      </c>
      <c r="Z2349" s="2083"/>
      <c r="AB2349" s="648"/>
      <c r="AC2349" s="970" t="b">
        <f>OR(AD2349:AE2349)</f>
        <v>0</v>
      </c>
      <c r="AD2349" s="970" t="b">
        <f>T2349</f>
        <v>0</v>
      </c>
      <c r="AE2349" s="970"/>
      <c r="AF2349" s="648"/>
      <c r="AG2349" s="648"/>
      <c r="AH2349" s="648"/>
      <c r="AI2349" s="648"/>
      <c r="AJ2349" s="648"/>
      <c r="AK2349" s="648"/>
      <c r="AL2349" s="1336"/>
      <c r="AM2349" s="1336"/>
      <c r="AN2349" s="1336"/>
      <c r="AO2349" s="1336"/>
      <c r="AP2349" s="254" t="str">
        <f>SUBSTITUTE(SUBSTITUTE(SUBSTITUTE("vch"&amp;$B2349&amp;$C2349&amp;$D2349&amp;$E2349,".","_"),"(","_"),")","")</f>
        <v>vch1002_2_3</v>
      </c>
      <c r="AQ2349" s="254" t="str">
        <f>IF(LEN(W2349)=0,"",W2349)</f>
        <v/>
      </c>
      <c r="AR2349" s="254" t="str">
        <f>SUBSTITUTE(SUBSTITUTE(SUBSTITUTE("vnt"&amp;$B2349&amp;$C2349&amp;$D2349&amp;$E2349,".","_"),"(","_"),")","")</f>
        <v>vnt1002_2_3</v>
      </c>
      <c r="AS2349" s="254" t="str">
        <f>IF(LEN(X2349)=0,"",X2349)</f>
        <v/>
      </c>
      <c r="AT2349" s="648"/>
      <c r="AU2349" s="648"/>
      <c r="AV2349" s="648"/>
      <c r="AW2349" s="648"/>
      <c r="AX2349" s="648"/>
      <c r="AY2349" s="648"/>
      <c r="AZ2349" s="648"/>
      <c r="BA2349" s="648"/>
      <c r="BB2349" s="648"/>
      <c r="BC2349" s="648"/>
      <c r="BD2349" s="648"/>
      <c r="BE2349" s="648"/>
      <c r="BF2349" s="648"/>
      <c r="BG2349" s="648"/>
      <c r="BH2349" s="648"/>
    </row>
    <row r="2350" spans="1:60" x14ac:dyDescent="0.25">
      <c r="A2350" s="2371">
        <v>10</v>
      </c>
      <c r="B2350" s="2385">
        <v>1002.2</v>
      </c>
      <c r="C2350" s="2374" t="s">
        <v>260</v>
      </c>
      <c r="D2350" s="2374"/>
      <c r="E2350" s="2374"/>
      <c r="F2350" s="2374"/>
      <c r="G2350" s="2373" t="str">
        <f t="shared" si="122"/>
        <v/>
      </c>
      <c r="H2350" s="2371" t="s">
        <v>3973</v>
      </c>
      <c r="I2350" s="4"/>
      <c r="J2350" s="210"/>
      <c r="K2350" s="210"/>
      <c r="L2350" s="1755"/>
      <c r="M2350" s="1018"/>
      <c r="N2350" s="664"/>
      <c r="O2350" s="1042"/>
      <c r="P2350" s="648"/>
      <c r="Q2350" s="648"/>
      <c r="R2350" s="648"/>
      <c r="S2350" s="648"/>
      <c r="T2350" s="648"/>
      <c r="U2350" s="648"/>
      <c r="V2350" s="648"/>
      <c r="W2350" s="648"/>
      <c r="X2350" s="1757"/>
      <c r="Y2350" s="2077"/>
      <c r="Z2350" s="2083"/>
      <c r="AB2350" s="648"/>
      <c r="AC2350" s="970"/>
      <c r="AD2350" s="970"/>
      <c r="AE2350" s="970"/>
      <c r="AF2350" s="648"/>
      <c r="AG2350" s="648"/>
      <c r="AH2350" s="648"/>
      <c r="AI2350" s="648"/>
      <c r="AJ2350" s="648"/>
      <c r="AK2350" s="648"/>
      <c r="AL2350" s="1336"/>
      <c r="AM2350" s="1336"/>
      <c r="AN2350" s="1336"/>
      <c r="AO2350" s="1336"/>
      <c r="AP2350" s="1336"/>
      <c r="AQ2350" s="1336"/>
      <c r="AR2350" s="1336"/>
      <c r="AS2350" s="1336"/>
      <c r="AT2350" s="648"/>
      <c r="AU2350" s="648"/>
      <c r="AV2350" s="648"/>
      <c r="AW2350" s="648"/>
      <c r="AX2350" s="648"/>
      <c r="AY2350" s="648"/>
      <c r="AZ2350" s="648"/>
      <c r="BA2350" s="648"/>
      <c r="BB2350" s="648"/>
      <c r="BC2350" s="648"/>
      <c r="BD2350" s="648"/>
      <c r="BE2350" s="648"/>
      <c r="BF2350" s="648"/>
      <c r="BG2350" s="648"/>
      <c r="BH2350" s="648"/>
    </row>
    <row r="2351" spans="1:60" x14ac:dyDescent="0.25">
      <c r="A2351" s="2371">
        <v>10</v>
      </c>
      <c r="B2351" s="2385">
        <v>1002.2</v>
      </c>
      <c r="C2351" s="2374" t="s">
        <v>269</v>
      </c>
      <c r="D2351" s="2374"/>
      <c r="E2351" s="2374"/>
      <c r="F2351" s="2374"/>
      <c r="G2351" s="2373" t="str">
        <f t="shared" si="122"/>
        <v/>
      </c>
      <c r="H2351" s="2371" t="s">
        <v>3973</v>
      </c>
      <c r="I2351" s="4"/>
      <c r="J2351" s="27" t="s">
        <v>269</v>
      </c>
      <c r="K2351" s="4"/>
      <c r="L2351" s="1779" t="s">
        <v>3338</v>
      </c>
      <c r="M2351" s="1018"/>
      <c r="N2351" s="664"/>
      <c r="O2351" s="1042"/>
      <c r="P2351" s="648" t="b">
        <v>0</v>
      </c>
      <c r="Q2351" s="648" t="b">
        <v>1</v>
      </c>
      <c r="R2351" s="648" t="b">
        <v>0</v>
      </c>
      <c r="S2351" s="648" t="b">
        <f>IF(AY2262=INDEX(ddSingleOrMulti,2),TRUE,FALSE)</f>
        <v>0</v>
      </c>
      <c r="T2351" s="94" t="b">
        <f>AND(NOT(S2351),W2351=TRUE)</f>
        <v>0</v>
      </c>
      <c r="U2351" s="648"/>
      <c r="V2351" s="648"/>
      <c r="W2351" s="25"/>
      <c r="X2351" s="1757"/>
      <c r="Y2351" s="2077" t="str">
        <f>IF(LEN('Ch10'!X108)=0,"None",'Ch10'!X108)</f>
        <v>None</v>
      </c>
      <c r="Z2351" s="2083"/>
      <c r="AB2351" s="648"/>
      <c r="AC2351" s="970" t="b">
        <f>OR(AD2351:AE2351)</f>
        <v>0</v>
      </c>
      <c r="AD2351" s="970" t="b">
        <f>T2351</f>
        <v>0</v>
      </c>
      <c r="AE2351" s="970"/>
      <c r="AF2351" s="648"/>
      <c r="AG2351" s="648"/>
      <c r="AH2351" s="648"/>
      <c r="AI2351" s="648"/>
      <c r="AJ2351" s="648"/>
      <c r="AK2351" s="648"/>
      <c r="AL2351" s="1336"/>
      <c r="AM2351" s="1336"/>
      <c r="AN2351" s="1336"/>
      <c r="AO2351" s="1336"/>
      <c r="AP2351" s="254" t="str">
        <f>SUBSTITUTE(SUBSTITUTE(SUBSTITUTE("vch"&amp;$B2351&amp;$C2351&amp;$D2351&amp;$E2351,".","_"),"(","_"),")","")</f>
        <v>vch1002_2_4</v>
      </c>
      <c r="AQ2351" s="254" t="str">
        <f>IF(LEN(W2351)=0,"",W2351)</f>
        <v/>
      </c>
      <c r="AR2351" s="254" t="str">
        <f>SUBSTITUTE(SUBSTITUTE(SUBSTITUTE("vnt"&amp;$B2351&amp;$C2351&amp;$D2351&amp;$E2351,".","_"),"(","_"),")","")</f>
        <v>vnt1002_2_4</v>
      </c>
      <c r="AS2351" s="254" t="str">
        <f>IF(LEN(X2351)=0,"",X2351)</f>
        <v/>
      </c>
      <c r="AT2351" s="648"/>
      <c r="AU2351" s="648"/>
      <c r="AV2351" s="648"/>
      <c r="AW2351" s="648"/>
      <c r="AX2351" s="648"/>
      <c r="AY2351" s="648"/>
      <c r="AZ2351" s="648"/>
      <c r="BA2351" s="648"/>
      <c r="BB2351" s="648"/>
      <c r="BC2351" s="648"/>
      <c r="BD2351" s="648"/>
      <c r="BE2351" s="648"/>
      <c r="BF2351" s="648"/>
      <c r="BG2351" s="648"/>
      <c r="BH2351" s="648"/>
    </row>
    <row r="2352" spans="1:60" x14ac:dyDescent="0.25">
      <c r="A2352" s="2371">
        <v>10</v>
      </c>
      <c r="B2352" s="2385">
        <v>1002.2</v>
      </c>
      <c r="C2352" s="2374" t="s">
        <v>269</v>
      </c>
      <c r="D2352" s="2374"/>
      <c r="E2352" s="2374"/>
      <c r="F2352" s="2374"/>
      <c r="G2352" s="2373" t="str">
        <f t="shared" si="122"/>
        <v/>
      </c>
      <c r="H2352" s="2371" t="s">
        <v>3973</v>
      </c>
      <c r="I2352" s="4"/>
      <c r="J2352" s="4"/>
      <c r="K2352" s="4"/>
      <c r="L2352" s="1779"/>
      <c r="M2352" s="1018"/>
      <c r="N2352" s="664"/>
      <c r="O2352" s="1042"/>
      <c r="P2352" s="648"/>
      <c r="Q2352" s="648"/>
      <c r="R2352" s="648"/>
      <c r="S2352" s="648"/>
      <c r="T2352" s="648"/>
      <c r="U2352" s="648"/>
      <c r="V2352" s="648"/>
      <c r="W2352" s="648"/>
      <c r="X2352" s="1757"/>
      <c r="Y2352" s="2077"/>
      <c r="Z2352" s="2083"/>
      <c r="AB2352" s="648"/>
      <c r="AC2352" s="970"/>
      <c r="AD2352" s="970"/>
      <c r="AE2352" s="970"/>
      <c r="AF2352" s="648"/>
      <c r="AG2352" s="648"/>
      <c r="AH2352" s="648"/>
      <c r="AI2352" s="648"/>
      <c r="AJ2352" s="648"/>
      <c r="AK2352" s="648"/>
      <c r="AL2352" s="1336"/>
      <c r="AM2352" s="1336"/>
      <c r="AN2352" s="1336"/>
      <c r="AO2352" s="1336"/>
      <c r="AP2352" s="1336"/>
      <c r="AQ2352" s="1336"/>
      <c r="AR2352" s="1336"/>
      <c r="AS2352" s="1336"/>
      <c r="AT2352" s="648"/>
      <c r="AU2352" s="648"/>
      <c r="AV2352" s="648"/>
      <c r="AW2352" s="648"/>
      <c r="AX2352" s="648"/>
      <c r="AY2352" s="648"/>
      <c r="AZ2352" s="648"/>
      <c r="BA2352" s="648"/>
      <c r="BB2352" s="648"/>
      <c r="BC2352" s="648"/>
      <c r="BD2352" s="648"/>
      <c r="BE2352" s="648"/>
      <c r="BF2352" s="648"/>
      <c r="BG2352" s="648"/>
      <c r="BH2352" s="648"/>
    </row>
    <row r="2353" spans="1:60" x14ac:dyDescent="0.25">
      <c r="A2353" s="2371">
        <v>10</v>
      </c>
      <c r="B2353" s="2385">
        <v>1002.2</v>
      </c>
      <c r="C2353" s="2374" t="s">
        <v>269</v>
      </c>
      <c r="D2353" s="2374"/>
      <c r="E2353" s="2374"/>
      <c r="F2353" s="2374"/>
      <c r="G2353" s="2373" t="str">
        <f t="shared" si="122"/>
        <v/>
      </c>
      <c r="H2353" s="2371" t="s">
        <v>3973</v>
      </c>
      <c r="I2353" s="4"/>
      <c r="J2353" s="4"/>
      <c r="K2353" s="4"/>
      <c r="L2353" s="1779"/>
      <c r="M2353" s="1018"/>
      <c r="N2353" s="664"/>
      <c r="O2353" s="1042"/>
      <c r="P2353" s="648"/>
      <c r="Q2353" s="648"/>
      <c r="R2353" s="648"/>
      <c r="S2353" s="648"/>
      <c r="T2353" s="648"/>
      <c r="U2353" s="648"/>
      <c r="V2353" s="648"/>
      <c r="W2353" s="648"/>
      <c r="X2353" s="1757"/>
      <c r="Y2353" s="2077"/>
      <c r="Z2353" s="2083"/>
      <c r="AB2353" s="648"/>
      <c r="AC2353" s="970"/>
      <c r="AD2353" s="970"/>
      <c r="AE2353" s="970"/>
      <c r="AF2353" s="648"/>
      <c r="AG2353" s="648"/>
      <c r="AH2353" s="648"/>
      <c r="AI2353" s="648"/>
      <c r="AJ2353" s="648"/>
      <c r="AK2353" s="648"/>
      <c r="AL2353" s="1336"/>
      <c r="AM2353" s="1336"/>
      <c r="AN2353" s="1336"/>
      <c r="AO2353" s="1336"/>
      <c r="AP2353" s="1336"/>
      <c r="AQ2353" s="1336"/>
      <c r="AR2353" s="1336"/>
      <c r="AS2353" s="1336"/>
      <c r="AT2353" s="648"/>
      <c r="AU2353" s="648"/>
      <c r="AV2353" s="648"/>
      <c r="AW2353" s="648"/>
      <c r="AX2353" s="648"/>
      <c r="AY2353" s="648"/>
      <c r="AZ2353" s="648"/>
      <c r="BA2353" s="648"/>
      <c r="BB2353" s="648"/>
      <c r="BC2353" s="648"/>
      <c r="BD2353" s="648"/>
      <c r="BE2353" s="648"/>
      <c r="BF2353" s="648"/>
      <c r="BG2353" s="648"/>
      <c r="BH2353" s="648"/>
    </row>
    <row r="2354" spans="1:60" x14ac:dyDescent="0.25">
      <c r="A2354" s="2371">
        <v>10</v>
      </c>
      <c r="B2354" s="2385">
        <v>1002.2</v>
      </c>
      <c r="C2354" s="2374" t="s">
        <v>275</v>
      </c>
      <c r="D2354" s="2374"/>
      <c r="E2354" s="2374"/>
      <c r="F2354" s="2374"/>
      <c r="G2354" s="2373" t="str">
        <f t="shared" si="122"/>
        <v/>
      </c>
      <c r="H2354" s="2371" t="s">
        <v>3973</v>
      </c>
      <c r="I2354" s="4"/>
      <c r="J2354" s="209" t="s">
        <v>275</v>
      </c>
      <c r="K2354" s="193"/>
      <c r="L2354" s="1778" t="s">
        <v>3339</v>
      </c>
      <c r="M2354" s="1018"/>
      <c r="N2354" s="664"/>
      <c r="O2354" s="1042"/>
      <c r="P2354" s="648" t="b">
        <v>0</v>
      </c>
      <c r="Q2354" s="648" t="b">
        <v>1</v>
      </c>
      <c r="R2354" s="648" t="b">
        <v>0</v>
      </c>
      <c r="S2354" s="648" t="b">
        <f>IF(AY2262=INDEX(ddSingleOrMulti,2),TRUE,FALSE)</f>
        <v>0</v>
      </c>
      <c r="T2354" s="94" t="b">
        <f>AND(NOT(S2354),W2354=TRUE)</f>
        <v>0</v>
      </c>
      <c r="U2354" s="648"/>
      <c r="V2354" s="648"/>
      <c r="W2354" s="25"/>
      <c r="X2354" s="1757"/>
      <c r="Y2354" s="2077" t="str">
        <f>IF(LEN('Ch10'!X111)=0,"None",'Ch10'!X111)</f>
        <v>None</v>
      </c>
      <c r="Z2354" s="2083"/>
      <c r="AB2354" s="648"/>
      <c r="AC2354" s="970" t="b">
        <f>OR(AD2354:AE2354)</f>
        <v>0</v>
      </c>
      <c r="AD2354" s="970" t="b">
        <f>T2354</f>
        <v>0</v>
      </c>
      <c r="AE2354" s="970"/>
      <c r="AF2354" s="648"/>
      <c r="AG2354" s="648"/>
      <c r="AH2354" s="648"/>
      <c r="AI2354" s="648"/>
      <c r="AJ2354" s="648"/>
      <c r="AK2354" s="648"/>
      <c r="AL2354" s="1336"/>
      <c r="AM2354" s="1336"/>
      <c r="AN2354" s="1336"/>
      <c r="AO2354" s="1336"/>
      <c r="AP2354" s="254" t="str">
        <f>SUBSTITUTE(SUBSTITUTE(SUBSTITUTE("vch"&amp;$B2354&amp;$C2354&amp;$D2354&amp;$E2354,".","_"),"(","_"),")","")</f>
        <v>vch1002_2_5</v>
      </c>
      <c r="AQ2354" s="254" t="str">
        <f>IF(LEN(W2354)=0,"",W2354)</f>
        <v/>
      </c>
      <c r="AR2354" s="254" t="str">
        <f>SUBSTITUTE(SUBSTITUTE(SUBSTITUTE("vnt"&amp;$B2354&amp;$C2354&amp;$D2354&amp;$E2354,".","_"),"(","_"),")","")</f>
        <v>vnt1002_2_5</v>
      </c>
      <c r="AS2354" s="254" t="str">
        <f>IF(LEN(X2354)=0,"",X2354)</f>
        <v/>
      </c>
      <c r="AT2354" s="648"/>
      <c r="AU2354" s="648"/>
      <c r="AV2354" s="648"/>
      <c r="AW2354" s="648"/>
      <c r="AX2354" s="648"/>
      <c r="AY2354" s="648"/>
      <c r="AZ2354" s="648"/>
      <c r="BA2354" s="648"/>
      <c r="BB2354" s="648"/>
      <c r="BC2354" s="648"/>
      <c r="BD2354" s="648"/>
      <c r="BE2354" s="648"/>
      <c r="BF2354" s="648"/>
      <c r="BG2354" s="648"/>
      <c r="BH2354" s="648"/>
    </row>
    <row r="2355" spans="1:60" x14ac:dyDescent="0.25">
      <c r="A2355" s="2371">
        <v>10</v>
      </c>
      <c r="B2355" s="2385">
        <v>1002.2</v>
      </c>
      <c r="C2355" s="2374" t="s">
        <v>275</v>
      </c>
      <c r="D2355" s="2374"/>
      <c r="E2355" s="2374"/>
      <c r="F2355" s="2374"/>
      <c r="G2355" s="2373" t="str">
        <f t="shared" si="122"/>
        <v/>
      </c>
      <c r="H2355" s="2371" t="s">
        <v>3973</v>
      </c>
      <c r="I2355" s="4"/>
      <c r="J2355" s="206"/>
      <c r="K2355" s="210"/>
      <c r="L2355" s="1755"/>
      <c r="M2355" s="1018"/>
      <c r="N2355" s="664"/>
      <c r="O2355" s="1042"/>
      <c r="P2355" s="648"/>
      <c r="Q2355" s="648"/>
      <c r="R2355" s="648"/>
      <c r="S2355" s="648"/>
      <c r="T2355" s="648"/>
      <c r="U2355" s="648"/>
      <c r="V2355" s="648"/>
      <c r="W2355" s="648"/>
      <c r="X2355" s="1757"/>
      <c r="Y2355" s="2077"/>
      <c r="Z2355" s="2083"/>
      <c r="AB2355" s="648"/>
      <c r="AC2355" s="970"/>
      <c r="AD2355" s="970"/>
      <c r="AE2355" s="970"/>
      <c r="AF2355" s="648"/>
      <c r="AG2355" s="648"/>
      <c r="AH2355" s="648"/>
      <c r="AI2355" s="648"/>
      <c r="AJ2355" s="648"/>
      <c r="AK2355" s="648"/>
      <c r="AL2355" s="1336"/>
      <c r="AM2355" s="1336"/>
      <c r="AN2355" s="1336"/>
      <c r="AO2355" s="1336"/>
      <c r="AP2355" s="1336"/>
      <c r="AQ2355" s="1336"/>
      <c r="AR2355" s="1336"/>
      <c r="AS2355" s="1336"/>
      <c r="AT2355" s="648"/>
      <c r="AU2355" s="648"/>
      <c r="AV2355" s="648"/>
      <c r="AW2355" s="648"/>
      <c r="AX2355" s="648"/>
      <c r="AY2355" s="648"/>
      <c r="AZ2355" s="648"/>
      <c r="BA2355" s="648"/>
      <c r="BB2355" s="648"/>
      <c r="BC2355" s="648"/>
      <c r="BD2355" s="648"/>
      <c r="BE2355" s="648"/>
      <c r="BF2355" s="648"/>
      <c r="BG2355" s="648"/>
      <c r="BH2355" s="648"/>
    </row>
    <row r="2356" spans="1:60" x14ac:dyDescent="0.25">
      <c r="A2356" s="2371">
        <v>10</v>
      </c>
      <c r="B2356" s="2385">
        <v>1002.2</v>
      </c>
      <c r="C2356" s="2374" t="s">
        <v>277</v>
      </c>
      <c r="D2356" s="2374"/>
      <c r="E2356" s="2374"/>
      <c r="F2356" s="2374"/>
      <c r="G2356" s="2373" t="str">
        <f t="shared" si="122"/>
        <v/>
      </c>
      <c r="H2356" s="2371" t="s">
        <v>3973</v>
      </c>
      <c r="I2356" s="4"/>
      <c r="J2356" s="27" t="s">
        <v>277</v>
      </c>
      <c r="K2356" s="4"/>
      <c r="L2356" s="1170" t="s">
        <v>3289</v>
      </c>
      <c r="M2356" s="1018"/>
      <c r="N2356" s="664"/>
      <c r="O2356" s="1042"/>
      <c r="P2356" s="648" t="b">
        <v>0</v>
      </c>
      <c r="Q2356" s="648" t="b">
        <v>1</v>
      </c>
      <c r="R2356" s="648" t="b">
        <v>0</v>
      </c>
      <c r="S2356" s="648" t="b">
        <f>IF(AY2262=INDEX(ddSingleOrMulti,2),TRUE,FALSE)</f>
        <v>0</v>
      </c>
      <c r="T2356" s="94" t="b">
        <f>AND(NOT(S2356),W2356=TRUE)</f>
        <v>0</v>
      </c>
      <c r="U2356" s="648"/>
      <c r="V2356" s="648"/>
      <c r="W2356" s="25"/>
      <c r="X2356" s="650"/>
      <c r="Y2356" s="653" t="str">
        <f>IF(LEN('Ch10'!X113)=0,"None",'Ch10'!X113)</f>
        <v>None</v>
      </c>
      <c r="Z2356" s="1587"/>
      <c r="AB2356" s="648"/>
      <c r="AC2356" s="970" t="b">
        <f>OR(AD2356:AE2356)</f>
        <v>0</v>
      </c>
      <c r="AD2356" s="970" t="b">
        <f>T2356</f>
        <v>0</v>
      </c>
      <c r="AE2356" s="970"/>
      <c r="AF2356" s="648"/>
      <c r="AG2356" s="648"/>
      <c r="AH2356" s="648"/>
      <c r="AI2356" s="648"/>
      <c r="AJ2356" s="648"/>
      <c r="AK2356" s="648"/>
      <c r="AL2356" s="1336"/>
      <c r="AM2356" s="1336"/>
      <c r="AN2356" s="1336"/>
      <c r="AO2356" s="1336"/>
      <c r="AP2356" s="254" t="str">
        <f>SUBSTITUTE(SUBSTITUTE(SUBSTITUTE("vch"&amp;$B2356&amp;$C2356&amp;$D2356&amp;$E2356,".","_"),"(","_"),")","")</f>
        <v>vch1002_2_6</v>
      </c>
      <c r="AQ2356" s="254" t="str">
        <f>IF(LEN(W2356)=0,"",W2356)</f>
        <v/>
      </c>
      <c r="AR2356" s="254" t="str">
        <f>SUBSTITUTE(SUBSTITUTE(SUBSTITUTE("vnt"&amp;$B2356&amp;$C2356&amp;$D2356&amp;$E2356,".","_"),"(","_"),")","")</f>
        <v>vnt1002_2_6</v>
      </c>
      <c r="AS2356" s="254" t="str">
        <f>IF(LEN(X2356)=0,"",X2356)</f>
        <v/>
      </c>
      <c r="AT2356" s="648"/>
      <c r="AU2356" s="648"/>
      <c r="AV2356" s="648"/>
      <c r="AW2356" s="648"/>
      <c r="AX2356" s="648"/>
      <c r="AY2356" s="648"/>
      <c r="AZ2356" s="648"/>
      <c r="BA2356" s="648"/>
      <c r="BB2356" s="648"/>
      <c r="BC2356" s="648"/>
      <c r="BD2356" s="648"/>
      <c r="BE2356" s="648"/>
      <c r="BF2356" s="648"/>
      <c r="BG2356" s="648"/>
      <c r="BH2356" s="648"/>
    </row>
    <row r="2357" spans="1:60" x14ac:dyDescent="0.25">
      <c r="A2357" s="2371">
        <v>10</v>
      </c>
      <c r="B2357" s="2385">
        <v>1002.2</v>
      </c>
      <c r="C2357" s="2374" t="s">
        <v>383</v>
      </c>
      <c r="D2357" s="2374"/>
      <c r="E2357" s="2374"/>
      <c r="F2357" s="2374"/>
      <c r="G2357" s="2373" t="str">
        <f t="shared" si="122"/>
        <v/>
      </c>
      <c r="H2357" s="2371" t="s">
        <v>3973</v>
      </c>
      <c r="I2357" s="4"/>
      <c r="J2357" s="209" t="s">
        <v>383</v>
      </c>
      <c r="K2357" s="193"/>
      <c r="L2357" s="1778" t="s">
        <v>3340</v>
      </c>
      <c r="M2357" s="1018"/>
      <c r="N2357" s="664"/>
      <c r="O2357" s="1042"/>
      <c r="P2357" s="648" t="b">
        <v>0</v>
      </c>
      <c r="Q2357" s="648" t="b">
        <v>1</v>
      </c>
      <c r="R2357" s="648" t="b">
        <v>0</v>
      </c>
      <c r="S2357" s="648" t="b">
        <f>IF(AY2262=INDEX(ddSingleOrMulti,2),TRUE,FALSE)</f>
        <v>0</v>
      </c>
      <c r="T2357" s="94" t="b">
        <f>AND(NOT(S2357),W2357=TRUE)</f>
        <v>0</v>
      </c>
      <c r="U2357" s="648"/>
      <c r="V2357" s="648"/>
      <c r="W2357" s="25"/>
      <c r="X2357" s="1757"/>
      <c r="Y2357" s="2077" t="str">
        <f>IF(LEN('Ch10'!X114)=0,"None",'Ch10'!X114)</f>
        <v>None</v>
      </c>
      <c r="Z2357" s="2083"/>
      <c r="AB2357" s="648"/>
      <c r="AC2357" s="970" t="b">
        <f>OR(AD2357:AE2357)</f>
        <v>0</v>
      </c>
      <c r="AD2357" s="970" t="b">
        <f>T2357</f>
        <v>0</v>
      </c>
      <c r="AE2357" s="970"/>
      <c r="AF2357" s="648"/>
      <c r="AG2357" s="648"/>
      <c r="AH2357" s="648"/>
      <c r="AI2357" s="648"/>
      <c r="AJ2357" s="648"/>
      <c r="AK2357" s="648"/>
      <c r="AL2357" s="1336"/>
      <c r="AM2357" s="1336"/>
      <c r="AN2357" s="1336"/>
      <c r="AO2357" s="1336"/>
      <c r="AP2357" s="254" t="str">
        <f>SUBSTITUTE(SUBSTITUTE(SUBSTITUTE("vch"&amp;$B2357&amp;$C2357&amp;$D2357&amp;$E2357,".","_"),"(","_"),")","")</f>
        <v>vch1002_2_7</v>
      </c>
      <c r="AQ2357" s="254" t="str">
        <f>IF(LEN(W2357)=0,"",W2357)</f>
        <v/>
      </c>
      <c r="AR2357" s="254" t="str">
        <f>SUBSTITUTE(SUBSTITUTE(SUBSTITUTE("vnt"&amp;$B2357&amp;$C2357&amp;$D2357&amp;$E2357,".","_"),"(","_"),")","")</f>
        <v>vnt1002_2_7</v>
      </c>
      <c r="AS2357" s="254" t="str">
        <f>IF(LEN(X2357)=0,"",X2357)</f>
        <v/>
      </c>
      <c r="AT2357" s="648"/>
      <c r="AU2357" s="648"/>
      <c r="AV2357" s="648"/>
      <c r="AW2357" s="648"/>
      <c r="AX2357" s="648"/>
      <c r="AY2357" s="648"/>
      <c r="AZ2357" s="648"/>
      <c r="BA2357" s="648"/>
      <c r="BB2357" s="648"/>
      <c r="BC2357" s="648"/>
      <c r="BD2357" s="648"/>
      <c r="BE2357" s="648"/>
      <c r="BF2357" s="648"/>
      <c r="BG2357" s="648"/>
      <c r="BH2357" s="648"/>
    </row>
    <row r="2358" spans="1:60" x14ac:dyDescent="0.25">
      <c r="A2358" s="2371">
        <v>10</v>
      </c>
      <c r="B2358" s="2385">
        <v>1002.2</v>
      </c>
      <c r="C2358" s="2374" t="s">
        <v>383</v>
      </c>
      <c r="D2358" s="2374"/>
      <c r="E2358" s="2374"/>
      <c r="F2358" s="2374"/>
      <c r="G2358" s="2373" t="str">
        <f t="shared" si="122"/>
        <v/>
      </c>
      <c r="H2358" s="2371" t="s">
        <v>3973</v>
      </c>
      <c r="I2358" s="4"/>
      <c r="J2358" s="210"/>
      <c r="K2358" s="210"/>
      <c r="L2358" s="1755"/>
      <c r="M2358" s="1018"/>
      <c r="N2358" s="664"/>
      <c r="O2358" s="1042"/>
      <c r="P2358" s="648"/>
      <c r="Q2358" s="648"/>
      <c r="R2358" s="648"/>
      <c r="S2358" s="648"/>
      <c r="T2358" s="648"/>
      <c r="U2358" s="648"/>
      <c r="V2358" s="648"/>
      <c r="W2358" s="648"/>
      <c r="X2358" s="1757"/>
      <c r="Y2358" s="2077"/>
      <c r="Z2358" s="2083"/>
      <c r="AB2358" s="648"/>
      <c r="AC2358" s="970"/>
      <c r="AD2358" s="970"/>
      <c r="AE2358" s="970"/>
      <c r="AF2358" s="648"/>
      <c r="AG2358" s="648"/>
      <c r="AH2358" s="648"/>
      <c r="AI2358" s="648"/>
      <c r="AJ2358" s="648"/>
      <c r="AK2358" s="648"/>
      <c r="AL2358" s="1336"/>
      <c r="AM2358" s="1336"/>
      <c r="AN2358" s="1336"/>
      <c r="AO2358" s="1336"/>
      <c r="AP2358" s="1336"/>
      <c r="AQ2358" s="1336"/>
      <c r="AR2358" s="1336"/>
      <c r="AS2358" s="1336"/>
      <c r="AT2358" s="648"/>
      <c r="AU2358" s="648"/>
      <c r="AV2358" s="648"/>
      <c r="AW2358" s="648"/>
      <c r="AX2358" s="648"/>
      <c r="AY2358" s="648"/>
      <c r="AZ2358" s="648"/>
      <c r="BA2358" s="648"/>
      <c r="BB2358" s="648"/>
      <c r="BC2358" s="648"/>
      <c r="BD2358" s="648"/>
      <c r="BE2358" s="648"/>
      <c r="BF2358" s="648"/>
      <c r="BG2358" s="648"/>
      <c r="BH2358" s="648"/>
    </row>
    <row r="2359" spans="1:60" x14ac:dyDescent="0.25">
      <c r="A2359" s="2371">
        <v>10</v>
      </c>
      <c r="B2359" s="2385">
        <v>1002.2</v>
      </c>
      <c r="C2359" s="2374" t="s">
        <v>428</v>
      </c>
      <c r="D2359" s="2374"/>
      <c r="E2359" s="2374"/>
      <c r="F2359" s="2374"/>
      <c r="G2359" s="2373" t="str">
        <f t="shared" si="122"/>
        <v/>
      </c>
      <c r="H2359" s="2371" t="s">
        <v>3973</v>
      </c>
      <c r="I2359" s="4"/>
      <c r="J2359" s="27" t="s">
        <v>428</v>
      </c>
      <c r="K2359" s="4"/>
      <c r="L2359" s="1841" t="s">
        <v>3304</v>
      </c>
      <c r="M2359" s="1018"/>
      <c r="N2359" s="664"/>
      <c r="O2359" s="1042"/>
      <c r="P2359" s="648" t="b">
        <v>0</v>
      </c>
      <c r="Q2359" s="648" t="b">
        <v>1</v>
      </c>
      <c r="R2359" s="648" t="b">
        <v>0</v>
      </c>
      <c r="S2359" s="648" t="b">
        <f>IF(AY2262=INDEX(ddSingleOrMulti,2),TRUE,FALSE)</f>
        <v>0</v>
      </c>
      <c r="T2359" s="94" t="b">
        <f>AND(NOT(S2359),W2359=TRUE)</f>
        <v>0</v>
      </c>
      <c r="U2359" s="648"/>
      <c r="V2359" s="648"/>
      <c r="W2359" s="25"/>
      <c r="X2359" s="1757"/>
      <c r="Y2359" s="2077" t="str">
        <f>IF(LEN('Ch10'!X116)=0,"None",'Ch10'!X116)</f>
        <v>None</v>
      </c>
      <c r="Z2359" s="2083"/>
      <c r="AB2359" s="648"/>
      <c r="AC2359" s="970" t="b">
        <f>OR(AD2359:AE2359)</f>
        <v>0</v>
      </c>
      <c r="AD2359" s="970" t="b">
        <f>T2359</f>
        <v>0</v>
      </c>
      <c r="AE2359" s="970"/>
      <c r="AF2359" s="648"/>
      <c r="AG2359" s="648"/>
      <c r="AH2359" s="648"/>
      <c r="AI2359" s="648"/>
      <c r="AJ2359" s="648"/>
      <c r="AK2359" s="648"/>
      <c r="AL2359" s="1336"/>
      <c r="AM2359" s="1336"/>
      <c r="AN2359" s="1336"/>
      <c r="AO2359" s="1336"/>
      <c r="AP2359" s="254" t="str">
        <f>SUBSTITUTE(SUBSTITUTE(SUBSTITUTE("vch"&amp;$B2359&amp;$C2359&amp;$D2359&amp;$E2359,".","_"),"(","_"),")","")</f>
        <v>vch1002_2_8</v>
      </c>
      <c r="AQ2359" s="254" t="str">
        <f>IF(LEN(W2359)=0,"",W2359)</f>
        <v/>
      </c>
      <c r="AR2359" s="254" t="str">
        <f>SUBSTITUTE(SUBSTITUTE(SUBSTITUTE("vnt"&amp;$B2359&amp;$C2359&amp;$D2359&amp;$E2359,".","_"),"(","_"),")","")</f>
        <v>vnt1002_2_8</v>
      </c>
      <c r="AS2359" s="254" t="str">
        <f>IF(LEN(X2359)=0,"",X2359)</f>
        <v/>
      </c>
      <c r="AT2359" s="648"/>
      <c r="AU2359" s="648"/>
      <c r="AV2359" s="648"/>
      <c r="AW2359" s="648"/>
      <c r="AX2359" s="648"/>
      <c r="AY2359" s="648"/>
      <c r="AZ2359" s="648"/>
      <c r="BA2359" s="648"/>
      <c r="BB2359" s="648"/>
      <c r="BC2359" s="648"/>
      <c r="BD2359" s="648"/>
      <c r="BE2359" s="648"/>
      <c r="BF2359" s="648"/>
      <c r="BG2359" s="648"/>
      <c r="BH2359" s="648"/>
    </row>
    <row r="2360" spans="1:60" x14ac:dyDescent="0.25">
      <c r="A2360" s="2371">
        <v>10</v>
      </c>
      <c r="B2360" s="2385">
        <v>1002.2</v>
      </c>
      <c r="C2360" s="2374" t="s">
        <v>428</v>
      </c>
      <c r="D2360" s="2374"/>
      <c r="E2360" s="2374"/>
      <c r="F2360" s="2374"/>
      <c r="G2360" s="2373" t="str">
        <f t="shared" si="122"/>
        <v/>
      </c>
      <c r="H2360" s="2371" t="s">
        <v>3973</v>
      </c>
      <c r="I2360" s="4"/>
      <c r="J2360" s="27"/>
      <c r="K2360" s="4"/>
      <c r="L2360" s="1841"/>
      <c r="M2360" s="1018"/>
      <c r="N2360" s="664"/>
      <c r="O2360" s="1042"/>
      <c r="P2360" s="648"/>
      <c r="Q2360" s="648"/>
      <c r="R2360" s="648"/>
      <c r="S2360" s="648"/>
      <c r="T2360" s="648"/>
      <c r="U2360" s="648"/>
      <c r="V2360" s="648"/>
      <c r="W2360" s="648"/>
      <c r="X2360" s="1757"/>
      <c r="Y2360" s="2077"/>
      <c r="Z2360" s="2083"/>
      <c r="AB2360" s="648"/>
      <c r="AC2360" s="970"/>
      <c r="AD2360" s="970"/>
      <c r="AE2360" s="970"/>
      <c r="AF2360" s="648"/>
      <c r="AG2360" s="648"/>
      <c r="AH2360" s="648"/>
      <c r="AI2360" s="648"/>
      <c r="AJ2360" s="648"/>
      <c r="AK2360" s="648"/>
      <c r="AL2360" s="1336"/>
      <c r="AM2360" s="1336"/>
      <c r="AN2360" s="1336"/>
      <c r="AO2360" s="1336"/>
      <c r="AP2360" s="1336"/>
      <c r="AQ2360" s="1336"/>
      <c r="AR2360" s="1336"/>
      <c r="AS2360" s="1336"/>
      <c r="AT2360" s="648"/>
      <c r="AU2360" s="648"/>
      <c r="AV2360" s="648"/>
      <c r="AW2360" s="648"/>
      <c r="AX2360" s="648"/>
      <c r="AY2360" s="648"/>
      <c r="AZ2360" s="648"/>
      <c r="BA2360" s="648"/>
      <c r="BB2360" s="648"/>
      <c r="BC2360" s="648"/>
      <c r="BD2360" s="648"/>
      <c r="BE2360" s="648"/>
      <c r="BF2360" s="648"/>
      <c r="BG2360" s="648"/>
      <c r="BH2360" s="648"/>
    </row>
    <row r="2361" spans="1:60" x14ac:dyDescent="0.25">
      <c r="A2361" s="2371">
        <v>10</v>
      </c>
      <c r="B2361" s="2385">
        <v>1002.2</v>
      </c>
      <c r="C2361" s="2374" t="s">
        <v>430</v>
      </c>
      <c r="D2361" s="2374"/>
      <c r="E2361" s="2374"/>
      <c r="F2361" s="2374"/>
      <c r="G2361" s="2373" t="str">
        <f t="shared" si="122"/>
        <v/>
      </c>
      <c r="H2361" s="2371" t="s">
        <v>3973</v>
      </c>
      <c r="I2361" s="4"/>
      <c r="J2361" s="209" t="s">
        <v>430</v>
      </c>
      <c r="K2361" s="193"/>
      <c r="L2361" s="1164" t="s">
        <v>3341</v>
      </c>
      <c r="M2361" s="1018"/>
      <c r="N2361" s="664"/>
      <c r="O2361" s="1042"/>
      <c r="P2361" s="648" t="b">
        <v>0</v>
      </c>
      <c r="Q2361" s="648" t="b">
        <v>1</v>
      </c>
      <c r="R2361" s="648" t="b">
        <v>0</v>
      </c>
      <c r="S2361" s="648" t="b">
        <f>IF(AY2262=INDEX(ddSingleOrMulti,2),TRUE,FALSE)</f>
        <v>0</v>
      </c>
      <c r="T2361" s="94" t="b">
        <f>AND(NOT(S2361),W2361=TRUE)</f>
        <v>0</v>
      </c>
      <c r="U2361" s="648"/>
      <c r="V2361" s="648"/>
      <c r="W2361" s="25"/>
      <c r="X2361" s="650"/>
      <c r="Y2361" s="653" t="str">
        <f>IF(LEN('Ch10'!X118)=0,"None",'Ch10'!X118)</f>
        <v>None</v>
      </c>
      <c r="Z2361" s="1587"/>
      <c r="AB2361" s="648"/>
      <c r="AC2361" s="970" t="b">
        <f>OR(AD2361:AE2361)</f>
        <v>0</v>
      </c>
      <c r="AD2361" s="970" t="b">
        <f>T2361</f>
        <v>0</v>
      </c>
      <c r="AE2361" s="970"/>
      <c r="AF2361" s="648"/>
      <c r="AG2361" s="648"/>
      <c r="AH2361" s="648"/>
      <c r="AI2361" s="648"/>
      <c r="AJ2361" s="648"/>
      <c r="AK2361" s="648"/>
      <c r="AL2361" s="1336"/>
      <c r="AM2361" s="1336"/>
      <c r="AN2361" s="1336"/>
      <c r="AO2361" s="1336"/>
      <c r="AP2361" s="254" t="str">
        <f>SUBSTITUTE(SUBSTITUTE(SUBSTITUTE("vch"&amp;$B2361&amp;$C2361&amp;$D2361&amp;$E2361,".","_"),"(","_"),")","")</f>
        <v>vch1002_2_9</v>
      </c>
      <c r="AQ2361" s="254" t="str">
        <f>IF(LEN(W2361)=0,"",W2361)</f>
        <v/>
      </c>
      <c r="AR2361" s="254" t="str">
        <f>SUBSTITUTE(SUBSTITUTE(SUBSTITUTE("vnt"&amp;$B2361&amp;$C2361&amp;$D2361&amp;$E2361,".","_"),"(","_"),")","")</f>
        <v>vnt1002_2_9</v>
      </c>
      <c r="AS2361" s="254" t="str">
        <f>IF(LEN(X2361)=0,"",X2361)</f>
        <v/>
      </c>
      <c r="AT2361" s="648"/>
      <c r="AU2361" s="648"/>
      <c r="AV2361" s="648"/>
      <c r="AW2361" s="648"/>
      <c r="AX2361" s="648"/>
      <c r="AY2361" s="648"/>
      <c r="AZ2361" s="648"/>
      <c r="BA2361" s="648"/>
      <c r="BB2361" s="648"/>
      <c r="BC2361" s="648"/>
      <c r="BD2361" s="648"/>
      <c r="BE2361" s="648"/>
      <c r="BF2361" s="648"/>
      <c r="BG2361" s="648"/>
      <c r="BH2361" s="648"/>
    </row>
    <row r="2362" spans="1:60" x14ac:dyDescent="0.25">
      <c r="A2362" s="2371">
        <v>10</v>
      </c>
      <c r="B2362" s="2385">
        <v>1002.2</v>
      </c>
      <c r="C2362" s="2374" t="s">
        <v>432</v>
      </c>
      <c r="D2362" s="2374"/>
      <c r="E2362" s="2374"/>
      <c r="F2362" s="2374"/>
      <c r="G2362" s="2373" t="str">
        <f t="shared" si="122"/>
        <v/>
      </c>
      <c r="H2362" s="2371" t="s">
        <v>3973</v>
      </c>
      <c r="I2362" s="4"/>
      <c r="J2362" s="209" t="s">
        <v>432</v>
      </c>
      <c r="K2362" s="193"/>
      <c r="L2362" s="1778" t="s">
        <v>3342</v>
      </c>
      <c r="M2362" s="1018"/>
      <c r="N2362" s="664"/>
      <c r="O2362" s="1042"/>
      <c r="P2362" s="648" t="b">
        <v>0</v>
      </c>
      <c r="Q2362" s="648" t="b">
        <v>1</v>
      </c>
      <c r="R2362" s="648" t="b">
        <v>0</v>
      </c>
      <c r="S2362" s="648" t="b">
        <f>IF(AY2262=INDEX(ddSingleOrMulti,2),TRUE,FALSE)</f>
        <v>0</v>
      </c>
      <c r="T2362" s="94" t="b">
        <f>AND(NOT(S2362),W2362=TRUE)</f>
        <v>0</v>
      </c>
      <c r="U2362" s="648"/>
      <c r="V2362" s="648"/>
      <c r="W2362" s="25"/>
      <c r="X2362" s="1757"/>
      <c r="Y2362" s="2077" t="str">
        <f>IF(LEN('Ch10'!X119)=0,"None",'Ch10'!X119)</f>
        <v>None</v>
      </c>
      <c r="Z2362" s="2083"/>
      <c r="AB2362" s="648"/>
      <c r="AC2362" s="970" t="b">
        <f>OR(AD2362:AE2362)</f>
        <v>0</v>
      </c>
      <c r="AD2362" s="970" t="b">
        <f>T2362</f>
        <v>0</v>
      </c>
      <c r="AE2362" s="970"/>
      <c r="AF2362" s="648"/>
      <c r="AG2362" s="648"/>
      <c r="AH2362" s="648"/>
      <c r="AI2362" s="648"/>
      <c r="AJ2362" s="648"/>
      <c r="AK2362" s="648"/>
      <c r="AL2362" s="1336"/>
      <c r="AM2362" s="1336"/>
      <c r="AN2362" s="1336"/>
      <c r="AO2362" s="1336"/>
      <c r="AP2362" s="254" t="str">
        <f>SUBSTITUTE(SUBSTITUTE(SUBSTITUTE("vch"&amp;$B2362&amp;$C2362&amp;$D2362&amp;$E2362,".","_"),"(","_"),")","")</f>
        <v>vch1002_2_10</v>
      </c>
      <c r="AQ2362" s="254" t="str">
        <f>IF(LEN(W2362)=0,"",W2362)</f>
        <v/>
      </c>
      <c r="AR2362" s="254" t="str">
        <f>SUBSTITUTE(SUBSTITUTE(SUBSTITUTE("vnt"&amp;$B2362&amp;$C2362&amp;$D2362&amp;$E2362,".","_"),"(","_"),")","")</f>
        <v>vnt1002_2_10</v>
      </c>
      <c r="AS2362" s="254" t="str">
        <f>IF(LEN(X2362)=0,"",X2362)</f>
        <v/>
      </c>
      <c r="AT2362" s="648"/>
      <c r="AU2362" s="648"/>
      <c r="AV2362" s="648"/>
      <c r="AW2362" s="648"/>
      <c r="AX2362" s="648"/>
      <c r="AY2362" s="648"/>
      <c r="AZ2362" s="648"/>
      <c r="BA2362" s="648"/>
      <c r="BB2362" s="648"/>
      <c r="BC2362" s="648"/>
      <c r="BD2362" s="648"/>
      <c r="BE2362" s="648"/>
      <c r="BF2362" s="648"/>
      <c r="BG2362" s="648"/>
      <c r="BH2362" s="648"/>
    </row>
    <row r="2363" spans="1:60" x14ac:dyDescent="0.25">
      <c r="A2363" s="2371">
        <v>10</v>
      </c>
      <c r="B2363" s="2385">
        <v>1002.2</v>
      </c>
      <c r="C2363" s="2374" t="s">
        <v>432</v>
      </c>
      <c r="D2363" s="2374"/>
      <c r="E2363" s="2374"/>
      <c r="F2363" s="2374"/>
      <c r="G2363" s="2373" t="str">
        <f t="shared" si="122"/>
        <v/>
      </c>
      <c r="H2363" s="2371" t="s">
        <v>3973</v>
      </c>
      <c r="I2363" s="4"/>
      <c r="J2363" s="183"/>
      <c r="K2363" s="129"/>
      <c r="L2363" s="1754"/>
      <c r="M2363" s="1018"/>
      <c r="N2363" s="664"/>
      <c r="O2363" s="1042"/>
      <c r="P2363" s="648"/>
      <c r="Q2363" s="648"/>
      <c r="R2363" s="648"/>
      <c r="S2363" s="648"/>
      <c r="T2363" s="648"/>
      <c r="U2363" s="648"/>
      <c r="V2363" s="648"/>
      <c r="W2363" s="648"/>
      <c r="X2363" s="1757"/>
      <c r="Y2363" s="2077"/>
      <c r="Z2363" s="2083"/>
      <c r="AB2363" s="648"/>
      <c r="AC2363" s="970"/>
      <c r="AD2363" s="970"/>
      <c r="AE2363" s="970"/>
      <c r="AF2363" s="648"/>
      <c r="AG2363" s="648"/>
      <c r="AH2363" s="648"/>
      <c r="AI2363" s="648"/>
      <c r="AJ2363" s="648"/>
      <c r="AK2363" s="648"/>
      <c r="AL2363" s="1336"/>
      <c r="AM2363" s="1336"/>
      <c r="AN2363" s="1336"/>
      <c r="AO2363" s="1336"/>
      <c r="AP2363" s="1336"/>
      <c r="AQ2363" s="1336"/>
      <c r="AR2363" s="1336"/>
      <c r="AS2363" s="1336"/>
      <c r="AT2363" s="648"/>
      <c r="AU2363" s="648"/>
      <c r="AV2363" s="648"/>
      <c r="AW2363" s="648"/>
      <c r="AX2363" s="648"/>
      <c r="AY2363" s="648"/>
      <c r="AZ2363" s="648"/>
      <c r="BA2363" s="648"/>
      <c r="BB2363" s="648"/>
      <c r="BC2363" s="648"/>
      <c r="BD2363" s="648"/>
      <c r="BE2363" s="648"/>
      <c r="BF2363" s="648"/>
      <c r="BG2363" s="648"/>
      <c r="BH2363" s="648"/>
    </row>
    <row r="2364" spans="1:60" x14ac:dyDescent="0.25">
      <c r="A2364" s="2371">
        <v>10</v>
      </c>
      <c r="B2364" s="2385">
        <v>1002.2</v>
      </c>
      <c r="C2364" s="2374" t="s">
        <v>432</v>
      </c>
      <c r="D2364" s="2374"/>
      <c r="E2364" s="2374"/>
      <c r="F2364" s="2374"/>
      <c r="G2364" s="2373" t="str">
        <f t="shared" si="122"/>
        <v/>
      </c>
      <c r="H2364" s="2371" t="s">
        <v>3973</v>
      </c>
      <c r="I2364" s="4"/>
      <c r="J2364" s="206"/>
      <c r="K2364" s="210"/>
      <c r="L2364" s="1755"/>
      <c r="M2364" s="1018"/>
      <c r="N2364" s="664"/>
      <c r="O2364" s="1042"/>
      <c r="P2364" s="648"/>
      <c r="Q2364" s="648"/>
      <c r="R2364" s="648"/>
      <c r="S2364" s="648"/>
      <c r="T2364" s="648"/>
      <c r="U2364" s="648"/>
      <c r="V2364" s="648"/>
      <c r="W2364" s="648"/>
      <c r="X2364" s="1757"/>
      <c r="Y2364" s="2077"/>
      <c r="Z2364" s="2083"/>
      <c r="AB2364" s="648"/>
      <c r="AC2364" s="970"/>
      <c r="AD2364" s="970"/>
      <c r="AE2364" s="970"/>
      <c r="AF2364" s="648"/>
      <c r="AG2364" s="648"/>
      <c r="AH2364" s="648"/>
      <c r="AI2364" s="648"/>
      <c r="AJ2364" s="648"/>
      <c r="AK2364" s="648"/>
      <c r="AL2364" s="1336"/>
      <c r="AM2364" s="1336"/>
      <c r="AN2364" s="1336"/>
      <c r="AO2364" s="1336"/>
      <c r="AP2364" s="1336"/>
      <c r="AQ2364" s="1336"/>
      <c r="AR2364" s="1336"/>
      <c r="AS2364" s="1336"/>
      <c r="AT2364" s="648"/>
      <c r="AU2364" s="648"/>
      <c r="AV2364" s="648"/>
      <c r="AW2364" s="648"/>
      <c r="AX2364" s="648"/>
      <c r="AY2364" s="648"/>
      <c r="AZ2364" s="648"/>
      <c r="BA2364" s="648"/>
      <c r="BB2364" s="648"/>
      <c r="BC2364" s="648"/>
      <c r="BD2364" s="648"/>
      <c r="BE2364" s="648"/>
      <c r="BF2364" s="648"/>
      <c r="BG2364" s="648"/>
      <c r="BH2364" s="648"/>
    </row>
    <row r="2365" spans="1:60" x14ac:dyDescent="0.25">
      <c r="A2365" s="2371">
        <v>10</v>
      </c>
      <c r="B2365" s="2385">
        <v>1002.2</v>
      </c>
      <c r="C2365" s="2374" t="s">
        <v>434</v>
      </c>
      <c r="D2365" s="2374"/>
      <c r="E2365" s="2374"/>
      <c r="F2365" s="2374"/>
      <c r="G2365" s="2373" t="str">
        <f t="shared" si="122"/>
        <v/>
      </c>
      <c r="H2365" s="2371" t="s">
        <v>3973</v>
      </c>
      <c r="I2365" s="129"/>
      <c r="J2365" s="183" t="s">
        <v>434</v>
      </c>
      <c r="K2365" s="129"/>
      <c r="L2365" s="1793" t="s">
        <v>3343</v>
      </c>
      <c r="M2365" s="1857" t="str">
        <f ca="1">IF(R2365,"Mandatory per 902.2.1","N/A")</f>
        <v>N/A</v>
      </c>
      <c r="N2365" s="665"/>
      <c r="O2365" s="1044"/>
      <c r="P2365" s="648" t="b">
        <v>0</v>
      </c>
      <c r="Q2365" s="648" t="b">
        <v>1</v>
      </c>
      <c r="R2365" s="1" t="b">
        <f ca="1">AND(S2365,OR($O$2085&gt;0,$R$2085))</f>
        <v>0</v>
      </c>
      <c r="S2365" s="94" t="b">
        <f>IF(AY2262=INDEX(ddSingleOrMulti,2),TRUE,FALSE)</f>
        <v>0</v>
      </c>
      <c r="T2365" s="94" t="b">
        <f>AND(NOT(S2365),W2365=TRUE)</f>
        <v>0</v>
      </c>
      <c r="U2365" s="94"/>
      <c r="V2365" s="94"/>
      <c r="W2365" s="25"/>
      <c r="X2365" s="1770"/>
      <c r="Y2365" s="2081" t="str">
        <f>IF(LEN('Ch10'!X122)=0,"None",'Ch10'!X122)</f>
        <v>None</v>
      </c>
      <c r="Z2365" s="2084"/>
      <c r="AB2365" s="648"/>
      <c r="AC2365" s="970" t="b">
        <f ca="1">OR(AD2365:AE2365)</f>
        <v>0</v>
      </c>
      <c r="AD2365" s="970" t="b">
        <f>T2365</f>
        <v>0</v>
      </c>
      <c r="AE2365" s="970" t="b">
        <f ca="1">AND(R2365,NOT(W2365=TRUE))</f>
        <v>0</v>
      </c>
      <c r="AF2365" s="784"/>
      <c r="AG2365" s="648"/>
      <c r="AH2365" s="648"/>
      <c r="AI2365" s="648"/>
      <c r="AJ2365" s="648"/>
      <c r="AK2365" s="648"/>
      <c r="AL2365" s="254" t="str">
        <f>SUBSTITUTE(SUBSTITUTE(SUBSTITUTE("vpa"&amp;$B2365&amp;$C2365&amp;$D2365&amp;$E2365,".","_"),"(","_"),")","")</f>
        <v>vpa1002_2_11</v>
      </c>
      <c r="AM2365" s="254" t="str">
        <f ca="1">M2365</f>
        <v>N/A</v>
      </c>
      <c r="AN2365" s="1336"/>
      <c r="AO2365" s="1336"/>
      <c r="AP2365" s="254" t="str">
        <f>SUBSTITUTE(SUBSTITUTE(SUBSTITUTE("vch"&amp;$B2365&amp;$C2365&amp;$D2365&amp;$E2365,".","_"),"(","_"),")","")</f>
        <v>vch1002_2_11</v>
      </c>
      <c r="AQ2365" s="254" t="str">
        <f>IF(LEN(W2365)=0,"",W2365)</f>
        <v/>
      </c>
      <c r="AR2365" s="254" t="str">
        <f>SUBSTITUTE(SUBSTITUTE(SUBSTITUTE("vnt"&amp;$B2365&amp;$C2365&amp;$D2365&amp;$E2365,".","_"),"(","_"),")","")</f>
        <v>vnt1002_2_11</v>
      </c>
      <c r="AS2365" s="254" t="str">
        <f>IF(LEN(X2365)=0,"",X2365)</f>
        <v/>
      </c>
      <c r="AT2365" s="648"/>
      <c r="AU2365" s="648"/>
      <c r="AV2365" s="648"/>
      <c r="AW2365" s="648"/>
      <c r="AX2365" s="648"/>
      <c r="AY2365" s="648"/>
      <c r="AZ2365" s="648"/>
      <c r="BA2365" s="648"/>
      <c r="BB2365" s="648"/>
      <c r="BC2365" s="648"/>
      <c r="BD2365" s="648"/>
      <c r="BE2365" s="648"/>
      <c r="BF2365" s="648"/>
      <c r="BG2365" s="648"/>
      <c r="BH2365" s="648"/>
    </row>
    <row r="2366" spans="1:60" ht="15.75" thickBot="1" x14ac:dyDescent="0.3">
      <c r="A2366" s="2371">
        <v>10</v>
      </c>
      <c r="B2366" s="2385">
        <v>1002.2</v>
      </c>
      <c r="C2366" s="2374" t="s">
        <v>434</v>
      </c>
      <c r="D2366" s="2374"/>
      <c r="E2366" s="2374"/>
      <c r="F2366" s="2374"/>
      <c r="G2366" s="2373" t="str">
        <f t="shared" si="122"/>
        <v/>
      </c>
      <c r="H2366" s="2371" t="s">
        <v>3973</v>
      </c>
      <c r="I2366" s="240"/>
      <c r="J2366" s="190"/>
      <c r="K2366" s="240"/>
      <c r="L2366" s="1842"/>
      <c r="M2366" s="1949"/>
      <c r="N2366" s="1052"/>
      <c r="O2366" s="1045"/>
      <c r="P2366" s="99"/>
      <c r="Q2366" s="99"/>
      <c r="R2366" s="99"/>
      <c r="S2366" s="99"/>
      <c r="T2366" s="99"/>
      <c r="U2366" s="99"/>
      <c r="V2366" s="99"/>
      <c r="W2366" s="99"/>
      <c r="X2366" s="1771"/>
      <c r="Y2366" s="2082"/>
      <c r="Z2366" s="2086"/>
      <c r="AB2366" s="648"/>
      <c r="AC2366" s="970"/>
      <c r="AD2366" s="970"/>
      <c r="AE2366" s="970"/>
      <c r="AF2366" s="648"/>
      <c r="AG2366" s="648"/>
      <c r="AH2366" s="648"/>
      <c r="AI2366" s="648"/>
      <c r="AJ2366" s="648"/>
      <c r="AK2366" s="648"/>
      <c r="AL2366" s="1336"/>
      <c r="AM2366" s="1336"/>
      <c r="AN2366" s="1336"/>
      <c r="AO2366" s="1336"/>
      <c r="AP2366" s="1336"/>
      <c r="AQ2366" s="1336"/>
      <c r="AR2366" s="1336"/>
      <c r="AS2366" s="1336"/>
      <c r="AT2366" s="648"/>
      <c r="AU2366" s="648"/>
      <c r="AV2366" s="648"/>
      <c r="AW2366" s="648"/>
      <c r="AX2366" s="648"/>
      <c r="AY2366" s="648"/>
      <c r="AZ2366" s="648"/>
      <c r="BA2366" s="648"/>
      <c r="BB2366" s="648"/>
      <c r="BC2366" s="648"/>
      <c r="BD2366" s="648"/>
      <c r="BE2366" s="648"/>
      <c r="BF2366" s="648"/>
      <c r="BG2366" s="648"/>
      <c r="BH2366" s="648"/>
    </row>
    <row r="2367" spans="1:60" ht="15.75" thickTop="1" x14ac:dyDescent="0.25">
      <c r="A2367" s="2371">
        <v>10</v>
      </c>
      <c r="B2367" s="2385">
        <v>1002.3</v>
      </c>
      <c r="C2367" s="2374"/>
      <c r="D2367" s="2374"/>
      <c r="E2367" s="2374"/>
      <c r="F2367" s="2374"/>
      <c r="G2367" s="2373" t="str">
        <f>IF(N2367&gt;0,"P","")</f>
        <v/>
      </c>
      <c r="H2367" s="2371" t="s">
        <v>3973</v>
      </c>
      <c r="I2367" s="139">
        <v>1002.3</v>
      </c>
      <c r="J2367" s="4"/>
      <c r="K2367" s="4"/>
      <c r="L2367" s="1796" t="s">
        <v>3377</v>
      </c>
      <c r="M2367" s="1767">
        <v>1</v>
      </c>
      <c r="N2367" s="2080">
        <f>'Ch10'!O124</f>
        <v>0</v>
      </c>
      <c r="O2367" s="2132">
        <f>IF(AND(W2371=TRUE,COUNTIF(W2373:W2393,TRUE)&gt;3,S2371),ROUNDDOWN(COUNTIF(W2373:W2393,TRUE)/2,0),0)</f>
        <v>0</v>
      </c>
      <c r="P2367" s="648"/>
      <c r="Q2367" s="648"/>
      <c r="R2367" s="648"/>
      <c r="S2367" s="648"/>
      <c r="T2367" s="648"/>
      <c r="U2367" s="648"/>
      <c r="V2367" s="648"/>
      <c r="W2367" s="648"/>
      <c r="X2367" s="648"/>
      <c r="Y2367" s="648"/>
      <c r="AB2367" s="648"/>
      <c r="AC2367" s="970"/>
      <c r="AD2367" s="970"/>
      <c r="AE2367" s="970"/>
      <c r="AF2367" s="648"/>
      <c r="AG2367" s="648"/>
      <c r="AH2367" s="648"/>
      <c r="AI2367" s="648"/>
      <c r="AJ2367" s="648"/>
      <c r="AK2367" s="648"/>
      <c r="AL2367" s="254" t="str">
        <f>SUBSTITUTE(SUBSTITUTE(SUBSTITUTE("vpa"&amp;$B2367&amp;$C2367&amp;$D2367&amp;$E2367,".","_"),"(","_"),")","")</f>
        <v>vpa1002_3</v>
      </c>
      <c r="AM2367" s="254">
        <f>M2367</f>
        <v>1</v>
      </c>
      <c r="AN2367" s="254" t="str">
        <f>SUBSTITUTE(SUBSTITUTE(SUBSTITUTE("vpc"&amp;$B2367&amp;$C2367&amp;$D2367&amp;$E2367,".","_"),"(","_"),")","")</f>
        <v>vpc1002_3</v>
      </c>
      <c r="AO2367" s="254">
        <f>O2367</f>
        <v>0</v>
      </c>
      <c r="AP2367" s="1336"/>
      <c r="AQ2367" s="1336"/>
      <c r="AR2367" s="1336"/>
      <c r="AS2367" s="1336"/>
      <c r="AT2367" s="648"/>
      <c r="AU2367" s="648"/>
      <c r="AV2367" s="648"/>
      <c r="AW2367" s="648"/>
      <c r="AX2367" s="648"/>
      <c r="AY2367" s="648"/>
      <c r="AZ2367" s="648"/>
      <c r="BA2367" s="648"/>
      <c r="BB2367" s="648"/>
      <c r="BC2367" s="648"/>
      <c r="BD2367" s="648"/>
      <c r="BE2367" s="648"/>
      <c r="BF2367" s="648"/>
      <c r="BG2367" s="648"/>
      <c r="BH2367" s="648"/>
    </row>
    <row r="2368" spans="1:60" x14ac:dyDescent="0.25">
      <c r="A2368" s="2371">
        <v>10</v>
      </c>
      <c r="B2368" s="2385">
        <v>1002.3</v>
      </c>
      <c r="C2368" s="2374"/>
      <c r="D2368" s="2374"/>
      <c r="E2368" s="2374"/>
      <c r="F2368" s="2374"/>
      <c r="G2368" s="2373" t="str">
        <f t="shared" ref="G2368:G2394" si="123">G2367</f>
        <v/>
      </c>
      <c r="H2368" s="2371" t="s">
        <v>3973</v>
      </c>
      <c r="I2368" s="4"/>
      <c r="J2368" s="4"/>
      <c r="K2368" s="4"/>
      <c r="L2368" s="1796"/>
      <c r="M2368" s="1767"/>
      <c r="N2368" s="2075"/>
      <c r="O2368" s="2132"/>
      <c r="P2368" s="648"/>
      <c r="Q2368" s="648"/>
      <c r="R2368" s="648"/>
      <c r="S2368" s="648"/>
      <c r="T2368" s="648"/>
      <c r="U2368" s="648"/>
      <c r="V2368" s="648"/>
      <c r="W2368" s="648"/>
      <c r="X2368" s="648"/>
      <c r="Y2368" s="648"/>
      <c r="AB2368" s="648"/>
      <c r="AC2368" s="970"/>
      <c r="AD2368" s="970"/>
      <c r="AE2368" s="970"/>
      <c r="AF2368" s="648"/>
      <c r="AG2368" s="648"/>
      <c r="AH2368" s="648"/>
      <c r="AI2368" s="648"/>
      <c r="AJ2368" s="648"/>
      <c r="AK2368" s="648"/>
      <c r="AL2368" s="1336"/>
      <c r="AM2368" s="1336"/>
      <c r="AN2368" s="1336"/>
      <c r="AO2368" s="1336"/>
      <c r="AP2368" s="1336"/>
      <c r="AQ2368" s="1336"/>
      <c r="AR2368" s="1336"/>
      <c r="AS2368" s="1336"/>
      <c r="AT2368" s="648"/>
      <c r="AU2368" s="648"/>
      <c r="AV2368" s="648"/>
      <c r="AW2368" s="648"/>
      <c r="AX2368" s="648"/>
      <c r="AY2368" s="648"/>
      <c r="AZ2368" s="648"/>
      <c r="BA2368" s="648"/>
      <c r="BB2368" s="648"/>
      <c r="BC2368" s="648"/>
      <c r="BD2368" s="648"/>
      <c r="BE2368" s="648"/>
      <c r="BF2368" s="648"/>
      <c r="BG2368" s="648"/>
      <c r="BH2368" s="648"/>
    </row>
    <row r="2369" spans="1:60" x14ac:dyDescent="0.25">
      <c r="A2369" s="2371">
        <v>10</v>
      </c>
      <c r="B2369" s="2385">
        <v>1002.3</v>
      </c>
      <c r="C2369" s="2374"/>
      <c r="D2369" s="2374"/>
      <c r="E2369" s="2374"/>
      <c r="F2369" s="2374"/>
      <c r="G2369" s="2373" t="str">
        <f t="shared" si="123"/>
        <v/>
      </c>
      <c r="H2369" s="2371" t="s">
        <v>3973</v>
      </c>
      <c r="I2369" s="4"/>
      <c r="J2369" s="4"/>
      <c r="K2369" s="4"/>
      <c r="L2369" s="1796"/>
      <c r="M2369" s="1767"/>
      <c r="N2369" s="2075"/>
      <c r="O2369" s="2132"/>
      <c r="P2369" s="648"/>
      <c r="Q2369" s="648"/>
      <c r="R2369" s="648"/>
      <c r="S2369" s="648"/>
      <c r="T2369" s="648"/>
      <c r="U2369" s="648"/>
      <c r="V2369" s="648"/>
      <c r="W2369" s="648"/>
      <c r="X2369" s="648"/>
      <c r="Y2369" s="648"/>
      <c r="AB2369" s="648"/>
      <c r="AC2369" s="970"/>
      <c r="AD2369" s="970"/>
      <c r="AE2369" s="970"/>
      <c r="AF2369" s="648"/>
      <c r="AG2369" s="648"/>
      <c r="AH2369" s="648"/>
      <c r="AI2369" s="648"/>
      <c r="AJ2369" s="648"/>
      <c r="AK2369" s="648"/>
      <c r="AL2369" s="1336"/>
      <c r="AM2369" s="1336"/>
      <c r="AN2369" s="1336"/>
      <c r="AO2369" s="1336"/>
      <c r="AP2369" s="1336"/>
      <c r="AQ2369" s="1336"/>
      <c r="AR2369" s="1336"/>
      <c r="AS2369" s="1336"/>
      <c r="AT2369" s="648"/>
      <c r="AU2369" s="648"/>
      <c r="AV2369" s="648"/>
      <c r="AW2369" s="648"/>
      <c r="AX2369" s="648"/>
      <c r="AY2369" s="648"/>
      <c r="AZ2369" s="648"/>
      <c r="BA2369" s="648"/>
      <c r="BB2369" s="648"/>
      <c r="BC2369" s="648"/>
      <c r="BD2369" s="648"/>
      <c r="BE2369" s="648"/>
      <c r="BF2369" s="648"/>
      <c r="BG2369" s="648"/>
      <c r="BH2369" s="648"/>
    </row>
    <row r="2370" spans="1:60" x14ac:dyDescent="0.25">
      <c r="A2370" s="2371">
        <v>10</v>
      </c>
      <c r="B2370" s="2385">
        <v>1002.3</v>
      </c>
      <c r="C2370" s="2374"/>
      <c r="D2370" s="2374"/>
      <c r="E2370" s="2374"/>
      <c r="F2370" s="2374"/>
      <c r="G2370" s="2373" t="str">
        <f t="shared" si="123"/>
        <v/>
      </c>
      <c r="H2370" s="2371" t="s">
        <v>3973</v>
      </c>
      <c r="I2370" s="4"/>
      <c r="J2370" s="4"/>
      <c r="K2370" s="4"/>
      <c r="L2370" s="226" t="s">
        <v>3373</v>
      </c>
      <c r="M2370" s="1767"/>
      <c r="N2370" s="2075"/>
      <c r="O2370" s="2132"/>
      <c r="P2370" s="648"/>
      <c r="Q2370" s="648"/>
      <c r="R2370" s="648"/>
      <c r="S2370" s="648"/>
      <c r="T2370" s="648"/>
      <c r="U2370" s="648"/>
      <c r="V2370" s="648"/>
      <c r="W2370" s="648"/>
      <c r="X2370" s="648"/>
      <c r="Y2370" s="648"/>
      <c r="AB2370" s="648"/>
      <c r="AC2370" s="970"/>
      <c r="AD2370" s="970"/>
      <c r="AE2370" s="970"/>
      <c r="AF2370" s="648"/>
      <c r="AG2370" s="648"/>
      <c r="AH2370" s="648"/>
      <c r="AI2370" s="648"/>
      <c r="AJ2370" s="648"/>
      <c r="AK2370" s="648"/>
      <c r="AL2370" s="1336"/>
      <c r="AM2370" s="1336"/>
      <c r="AN2370" s="1336"/>
      <c r="AO2370" s="1336"/>
      <c r="AP2370" s="1336"/>
      <c r="AQ2370" s="1336"/>
      <c r="AR2370" s="1336"/>
      <c r="AS2370" s="1336"/>
      <c r="AT2370" s="648"/>
      <c r="AU2370" s="648"/>
      <c r="AV2370" s="648"/>
      <c r="AW2370" s="648"/>
      <c r="AX2370" s="648"/>
      <c r="AY2370" s="648"/>
      <c r="AZ2370" s="648"/>
      <c r="BA2370" s="648"/>
      <c r="BB2370" s="648"/>
      <c r="BC2370" s="648"/>
      <c r="BD2370" s="648"/>
      <c r="BE2370" s="648"/>
      <c r="BF2370" s="648"/>
      <c r="BG2370" s="648"/>
      <c r="BH2370" s="648"/>
    </row>
    <row r="2371" spans="1:60" x14ac:dyDescent="0.25">
      <c r="A2371" s="2371">
        <v>10</v>
      </c>
      <c r="B2371" s="2385">
        <v>1002.3</v>
      </c>
      <c r="C2371" s="2374" t="s">
        <v>256</v>
      </c>
      <c r="D2371" s="2374"/>
      <c r="E2371" s="2374"/>
      <c r="F2371" s="2397"/>
      <c r="G2371" s="2373" t="str">
        <f t="shared" si="123"/>
        <v/>
      </c>
      <c r="H2371" s="2371" t="s">
        <v>3973</v>
      </c>
      <c r="I2371" s="4"/>
      <c r="J2371" s="183" t="s">
        <v>256</v>
      </c>
      <c r="K2371" s="129"/>
      <c r="L2371" s="1754" t="s">
        <v>3344</v>
      </c>
      <c r="M2371" s="1837" t="str">
        <f>IF(R2371,"Mandatory","N/A")</f>
        <v>N/A</v>
      </c>
      <c r="N2371" s="664"/>
      <c r="O2371" s="1042"/>
      <c r="P2371" s="648" t="b">
        <v>0</v>
      </c>
      <c r="Q2371" s="648" t="b">
        <v>1</v>
      </c>
      <c r="R2371" s="648" t="b">
        <f>S2371</f>
        <v>0</v>
      </c>
      <c r="S2371" s="648" t="b">
        <f>IF(AY2262=INDEX(ddSingleOrMulti,2),TRUE,FALSE)</f>
        <v>0</v>
      </c>
      <c r="T2371" s="94" t="b">
        <f>AND(NOT(S2371),W2371=TRUE)</f>
        <v>0</v>
      </c>
      <c r="U2371" s="648"/>
      <c r="V2371" s="648"/>
      <c r="W2371" s="25"/>
      <c r="X2371" s="1757"/>
      <c r="Y2371" s="2077" t="str">
        <f>IF(LEN('Ch10'!X128)=0,"None",'Ch10'!X128)</f>
        <v>None</v>
      </c>
      <c r="Z2371" s="2083"/>
      <c r="AB2371" s="648"/>
      <c r="AC2371" s="970" t="b">
        <f>OR(AD2371:AE2371)</f>
        <v>0</v>
      </c>
      <c r="AD2371" s="970" t="b">
        <f>T2371</f>
        <v>0</v>
      </c>
      <c r="AE2371" s="970" t="b">
        <f>AND(R2371,O2367&lt;1)</f>
        <v>0</v>
      </c>
      <c r="AF2371" s="784"/>
      <c r="AG2371" s="648"/>
      <c r="AH2371" s="648"/>
      <c r="AI2371" s="648"/>
      <c r="AJ2371" s="648"/>
      <c r="AK2371" s="648"/>
      <c r="AL2371" s="254" t="str">
        <f>SUBSTITUTE(SUBSTITUTE(SUBSTITUTE("vpa"&amp;$B2371&amp;$C2371&amp;$D2371&amp;$E2371,".","_"),"(","_"),")","")</f>
        <v>vpa1002_3_1</v>
      </c>
      <c r="AM2371" s="254" t="str">
        <f>M2371</f>
        <v>N/A</v>
      </c>
      <c r="AN2371" s="1336"/>
      <c r="AO2371" s="1336"/>
      <c r="AP2371" s="254" t="str">
        <f>SUBSTITUTE(SUBSTITUTE(SUBSTITUTE("vch"&amp;$B2371&amp;$C2371&amp;$D2371&amp;$E2371,".","_"),"(","_"),")","")</f>
        <v>vch1002_3_1</v>
      </c>
      <c r="AQ2371" s="254" t="str">
        <f>IF(LEN(W2371)=0,"",W2371)</f>
        <v/>
      </c>
      <c r="AR2371" s="254" t="str">
        <f>SUBSTITUTE(SUBSTITUTE(SUBSTITUTE("vnt"&amp;$B2371&amp;$C2371&amp;$D2371&amp;$E2371,".","_"),"(","_"),")","")</f>
        <v>vnt1002_3_1</v>
      </c>
      <c r="AS2371" s="254" t="str">
        <f>IF(LEN(X2371)=0,"",X2371)</f>
        <v/>
      </c>
      <c r="AT2371" s="648"/>
      <c r="AU2371" s="648"/>
      <c r="AV2371" s="648"/>
      <c r="AW2371" s="648"/>
      <c r="AX2371" s="648"/>
      <c r="AY2371" s="648"/>
      <c r="AZ2371" s="648"/>
      <c r="BA2371" s="648"/>
      <c r="BB2371" s="648"/>
      <c r="BC2371" s="648"/>
      <c r="BD2371" s="648"/>
      <c r="BE2371" s="648"/>
      <c r="BF2371" s="648"/>
      <c r="BG2371" s="648"/>
      <c r="BH2371" s="648"/>
    </row>
    <row r="2372" spans="1:60" x14ac:dyDescent="0.25">
      <c r="A2372" s="2371">
        <v>10</v>
      </c>
      <c r="B2372" s="2385">
        <v>1002.3</v>
      </c>
      <c r="C2372" s="2374" t="s">
        <v>256</v>
      </c>
      <c r="D2372" s="2374"/>
      <c r="E2372" s="2374"/>
      <c r="F2372" s="2397"/>
      <c r="G2372" s="2373" t="str">
        <f t="shared" si="123"/>
        <v/>
      </c>
      <c r="H2372" s="2371" t="s">
        <v>3973</v>
      </c>
      <c r="I2372" s="4"/>
      <c r="J2372" s="206"/>
      <c r="K2372" s="210"/>
      <c r="L2372" s="1755"/>
      <c r="M2372" s="1844" t="str">
        <f>IF(R2372,"Mandatory","N/A")</f>
        <v>N/A</v>
      </c>
      <c r="N2372" s="664"/>
      <c r="O2372" s="1042"/>
      <c r="P2372" s="648"/>
      <c r="Q2372" s="648"/>
      <c r="R2372" s="648"/>
      <c r="S2372" s="648"/>
      <c r="T2372" s="648"/>
      <c r="U2372" s="648"/>
      <c r="V2372" s="648"/>
      <c r="W2372" s="648"/>
      <c r="X2372" s="1757"/>
      <c r="Y2372" s="2077"/>
      <c r="Z2372" s="2083"/>
      <c r="AB2372" s="648"/>
      <c r="AC2372" s="970"/>
      <c r="AD2372" s="970"/>
      <c r="AE2372" s="970"/>
      <c r="AF2372" s="648"/>
      <c r="AG2372" s="648"/>
      <c r="AH2372" s="648"/>
      <c r="AI2372" s="648"/>
      <c r="AJ2372" s="648"/>
      <c r="AK2372" s="648"/>
      <c r="AL2372" s="1336"/>
      <c r="AM2372" s="1336"/>
      <c r="AN2372" s="1336"/>
      <c r="AO2372" s="1336"/>
      <c r="AP2372" s="1336"/>
      <c r="AQ2372" s="1336"/>
      <c r="AR2372" s="1336"/>
      <c r="AS2372" s="1336"/>
      <c r="AT2372" s="648"/>
      <c r="AU2372" s="648"/>
      <c r="AV2372" s="648"/>
      <c r="AW2372" s="648"/>
      <c r="AX2372" s="648"/>
      <c r="AY2372" s="648"/>
      <c r="AZ2372" s="648"/>
      <c r="BA2372" s="648"/>
      <c r="BB2372" s="648"/>
      <c r="BC2372" s="648"/>
      <c r="BD2372" s="648"/>
      <c r="BE2372" s="648"/>
      <c r="BF2372" s="648"/>
      <c r="BG2372" s="648"/>
      <c r="BH2372" s="648"/>
    </row>
    <row r="2373" spans="1:60" x14ac:dyDescent="0.25">
      <c r="A2373" s="2371">
        <v>10</v>
      </c>
      <c r="B2373" s="2385">
        <v>1002.3</v>
      </c>
      <c r="C2373" s="2374" t="s">
        <v>258</v>
      </c>
      <c r="D2373" s="2374"/>
      <c r="E2373" s="2374"/>
      <c r="F2373" s="2397"/>
      <c r="G2373" s="2373" t="str">
        <f t="shared" si="123"/>
        <v/>
      </c>
      <c r="H2373" s="2371" t="s">
        <v>3973</v>
      </c>
      <c r="I2373" s="4"/>
      <c r="J2373" s="209" t="s">
        <v>258</v>
      </c>
      <c r="K2373" s="193"/>
      <c r="L2373" s="1778" t="s">
        <v>3296</v>
      </c>
      <c r="M2373" s="1018"/>
      <c r="N2373" s="664"/>
      <c r="O2373" s="1042"/>
      <c r="P2373" s="648" t="b">
        <v>0</v>
      </c>
      <c r="Q2373" s="648" t="b">
        <v>1</v>
      </c>
      <c r="R2373" s="648" t="b">
        <v>0</v>
      </c>
      <c r="S2373" s="648" t="b">
        <f>IF(AY2262=INDEX(ddSingleOrMulti,2),TRUE,FALSE)</f>
        <v>0</v>
      </c>
      <c r="T2373" s="94" t="b">
        <f>AND(NOT(S2373),W2373=TRUE)</f>
        <v>0</v>
      </c>
      <c r="U2373" s="648"/>
      <c r="V2373" s="648"/>
      <c r="W2373" s="25"/>
      <c r="X2373" s="1757"/>
      <c r="Y2373" s="2077" t="str">
        <f>IF(LEN('Ch10'!X130)=0,"None",'Ch10'!X130)</f>
        <v>None</v>
      </c>
      <c r="Z2373" s="2083"/>
      <c r="AB2373" s="648"/>
      <c r="AC2373" s="970" t="b">
        <f>OR(AD2373:AE2373)</f>
        <v>0</v>
      </c>
      <c r="AD2373" s="970" t="b">
        <f>T2373</f>
        <v>0</v>
      </c>
      <c r="AE2373" s="970"/>
      <c r="AF2373" s="648"/>
      <c r="AG2373" s="648"/>
      <c r="AH2373" s="648"/>
      <c r="AI2373" s="648"/>
      <c r="AJ2373" s="648"/>
      <c r="AK2373" s="648"/>
      <c r="AL2373" s="1336"/>
      <c r="AM2373" s="1336"/>
      <c r="AN2373" s="1336"/>
      <c r="AO2373" s="1336"/>
      <c r="AP2373" s="254" t="str">
        <f>SUBSTITUTE(SUBSTITUTE(SUBSTITUTE("vch"&amp;$B2373&amp;$C2373&amp;$D2373&amp;$E2373,".","_"),"(","_"),")","")</f>
        <v>vch1002_3_2</v>
      </c>
      <c r="AQ2373" s="254" t="str">
        <f>IF(LEN(W2373)=0,"",W2373)</f>
        <v/>
      </c>
      <c r="AR2373" s="254" t="str">
        <f>SUBSTITUTE(SUBSTITUTE(SUBSTITUTE("vnt"&amp;$B2373&amp;$C2373&amp;$D2373&amp;$E2373,".","_"),"(","_"),")","")</f>
        <v>vnt1002_3_2</v>
      </c>
      <c r="AS2373" s="254" t="str">
        <f>IF(LEN(X2373)=0,"",X2373)</f>
        <v/>
      </c>
      <c r="AT2373" s="648"/>
      <c r="AU2373" s="648"/>
      <c r="AV2373" s="648"/>
      <c r="AW2373" s="648"/>
      <c r="AX2373" s="648"/>
      <c r="AY2373" s="648"/>
      <c r="AZ2373" s="648"/>
      <c r="BA2373" s="648"/>
      <c r="BB2373" s="648"/>
      <c r="BC2373" s="648"/>
      <c r="BD2373" s="648"/>
      <c r="BE2373" s="648"/>
      <c r="BF2373" s="648"/>
      <c r="BG2373" s="648"/>
      <c r="BH2373" s="648"/>
    </row>
    <row r="2374" spans="1:60" x14ac:dyDescent="0.25">
      <c r="A2374" s="2371">
        <v>10</v>
      </c>
      <c r="B2374" s="2385">
        <v>1002.3</v>
      </c>
      <c r="C2374" s="2374" t="s">
        <v>258</v>
      </c>
      <c r="D2374" s="2374"/>
      <c r="E2374" s="2374"/>
      <c r="F2374" s="2397"/>
      <c r="G2374" s="2373" t="str">
        <f t="shared" si="123"/>
        <v/>
      </c>
      <c r="H2374" s="2371" t="s">
        <v>3973</v>
      </c>
      <c r="I2374" s="4"/>
      <c r="J2374" s="129"/>
      <c r="K2374" s="129"/>
      <c r="L2374" s="1754"/>
      <c r="M2374" s="1018"/>
      <c r="N2374" s="664"/>
      <c r="O2374" s="1042"/>
      <c r="P2374" s="648"/>
      <c r="Q2374" s="648"/>
      <c r="R2374" s="648"/>
      <c r="S2374" s="648"/>
      <c r="T2374" s="648"/>
      <c r="U2374" s="648"/>
      <c r="V2374" s="648"/>
      <c r="W2374" s="648"/>
      <c r="X2374" s="1757"/>
      <c r="Y2374" s="2077"/>
      <c r="Z2374" s="2083"/>
      <c r="AB2374" s="648"/>
      <c r="AC2374" s="970"/>
      <c r="AD2374" s="970"/>
      <c r="AE2374" s="970"/>
      <c r="AF2374" s="648"/>
      <c r="AG2374" s="648"/>
      <c r="AH2374" s="648"/>
      <c r="AI2374" s="648"/>
      <c r="AJ2374" s="648"/>
      <c r="AK2374" s="648"/>
      <c r="AL2374" s="1336"/>
      <c r="AM2374" s="1336"/>
      <c r="AN2374" s="1336"/>
      <c r="AO2374" s="1336"/>
      <c r="AP2374" s="1336"/>
      <c r="AQ2374" s="1336"/>
      <c r="AR2374" s="1336"/>
      <c r="AS2374" s="1336"/>
      <c r="AT2374" s="648"/>
      <c r="AU2374" s="648"/>
      <c r="AV2374" s="648"/>
      <c r="AW2374" s="648"/>
      <c r="AX2374" s="648"/>
      <c r="AY2374" s="648"/>
      <c r="AZ2374" s="648"/>
      <c r="BA2374" s="648"/>
      <c r="BB2374" s="648"/>
      <c r="BC2374" s="648"/>
      <c r="BD2374" s="648"/>
      <c r="BE2374" s="648"/>
      <c r="BF2374" s="648"/>
      <c r="BG2374" s="648"/>
      <c r="BH2374" s="648"/>
    </row>
    <row r="2375" spans="1:60" x14ac:dyDescent="0.25">
      <c r="A2375" s="2371">
        <v>10</v>
      </c>
      <c r="B2375" s="2385">
        <v>1002.3</v>
      </c>
      <c r="C2375" s="2374" t="s">
        <v>258</v>
      </c>
      <c r="D2375" s="2374"/>
      <c r="E2375" s="2374"/>
      <c r="F2375" s="2397"/>
      <c r="G2375" s="2373" t="str">
        <f t="shared" si="123"/>
        <v/>
      </c>
      <c r="H2375" s="2371" t="s">
        <v>3973</v>
      </c>
      <c r="I2375" s="4"/>
      <c r="J2375" s="129"/>
      <c r="K2375" s="129"/>
      <c r="L2375" s="1754"/>
      <c r="M2375" s="1018"/>
      <c r="N2375" s="664"/>
      <c r="O2375" s="1042"/>
      <c r="P2375" s="648"/>
      <c r="Q2375" s="648"/>
      <c r="R2375" s="648"/>
      <c r="S2375" s="648"/>
      <c r="T2375" s="648"/>
      <c r="U2375" s="648"/>
      <c r="V2375" s="648"/>
      <c r="W2375" s="648"/>
      <c r="X2375" s="1757"/>
      <c r="Y2375" s="2077"/>
      <c r="Z2375" s="2083"/>
      <c r="AB2375" s="648"/>
      <c r="AC2375" s="970"/>
      <c r="AD2375" s="970"/>
      <c r="AE2375" s="970"/>
      <c r="AF2375" s="648"/>
      <c r="AG2375" s="648"/>
      <c r="AH2375" s="648"/>
      <c r="AI2375" s="648"/>
      <c r="AJ2375" s="648"/>
      <c r="AK2375" s="648"/>
      <c r="AL2375" s="1336"/>
      <c r="AM2375" s="1336"/>
      <c r="AN2375" s="1336"/>
      <c r="AO2375" s="1336"/>
      <c r="AP2375" s="1336"/>
      <c r="AQ2375" s="1336"/>
      <c r="AR2375" s="1336"/>
      <c r="AS2375" s="1336"/>
      <c r="AT2375" s="648"/>
      <c r="AU2375" s="648"/>
      <c r="AV2375" s="648"/>
      <c r="AW2375" s="648"/>
      <c r="AX2375" s="648"/>
      <c r="AY2375" s="648"/>
      <c r="AZ2375" s="648"/>
      <c r="BA2375" s="648"/>
      <c r="BB2375" s="648"/>
      <c r="BC2375" s="648"/>
      <c r="BD2375" s="648"/>
      <c r="BE2375" s="648"/>
      <c r="BF2375" s="648"/>
      <c r="BG2375" s="648"/>
      <c r="BH2375" s="648"/>
    </row>
    <row r="2376" spans="1:60" x14ac:dyDescent="0.25">
      <c r="A2376" s="2371">
        <v>10</v>
      </c>
      <c r="B2376" s="2385">
        <v>1002.3</v>
      </c>
      <c r="C2376" s="2374" t="s">
        <v>258</v>
      </c>
      <c r="D2376" s="2374"/>
      <c r="E2376" s="2374"/>
      <c r="F2376" s="2397"/>
      <c r="G2376" s="2373" t="str">
        <f t="shared" si="123"/>
        <v/>
      </c>
      <c r="H2376" s="2371" t="s">
        <v>3973</v>
      </c>
      <c r="I2376" s="4"/>
      <c r="J2376" s="210"/>
      <c r="K2376" s="210"/>
      <c r="L2376" s="1755"/>
      <c r="M2376" s="1018"/>
      <c r="N2376" s="664"/>
      <c r="O2376" s="1042"/>
      <c r="P2376" s="648"/>
      <c r="Q2376" s="648"/>
      <c r="R2376" s="648"/>
      <c r="S2376" s="648"/>
      <c r="T2376" s="648"/>
      <c r="U2376" s="648"/>
      <c r="V2376" s="648"/>
      <c r="W2376" s="648"/>
      <c r="X2376" s="1757"/>
      <c r="Y2376" s="2077"/>
      <c r="Z2376" s="2083"/>
      <c r="AB2376" s="648"/>
      <c r="AC2376" s="970"/>
      <c r="AD2376" s="970"/>
      <c r="AE2376" s="970"/>
      <c r="AF2376" s="648"/>
      <c r="AG2376" s="648"/>
      <c r="AH2376" s="648"/>
      <c r="AI2376" s="648"/>
      <c r="AJ2376" s="648"/>
      <c r="AK2376" s="648"/>
      <c r="AL2376" s="1336"/>
      <c r="AM2376" s="1336"/>
      <c r="AN2376" s="1336"/>
      <c r="AO2376" s="1336"/>
      <c r="AP2376" s="1336"/>
      <c r="AQ2376" s="1336"/>
      <c r="AR2376" s="1336"/>
      <c r="AS2376" s="1336"/>
      <c r="AT2376" s="648"/>
      <c r="AU2376" s="648"/>
      <c r="AV2376" s="648"/>
      <c r="AW2376" s="648"/>
      <c r="AX2376" s="648"/>
      <c r="AY2376" s="648"/>
      <c r="AZ2376" s="648"/>
      <c r="BA2376" s="648"/>
      <c r="BB2376" s="648"/>
      <c r="BC2376" s="648"/>
      <c r="BD2376" s="648"/>
      <c r="BE2376" s="648"/>
      <c r="BF2376" s="648"/>
      <c r="BG2376" s="648"/>
      <c r="BH2376" s="648"/>
    </row>
    <row r="2377" spans="1:60" x14ac:dyDescent="0.25">
      <c r="A2377" s="2371">
        <v>10</v>
      </c>
      <c r="B2377" s="2385">
        <v>1002.3</v>
      </c>
      <c r="C2377" s="2374" t="s">
        <v>260</v>
      </c>
      <c r="D2377" s="2374"/>
      <c r="E2377" s="2374"/>
      <c r="F2377" s="2397"/>
      <c r="G2377" s="2373" t="str">
        <f t="shared" si="123"/>
        <v/>
      </c>
      <c r="H2377" s="2371" t="s">
        <v>3973</v>
      </c>
      <c r="I2377" s="4"/>
      <c r="J2377" s="209" t="s">
        <v>260</v>
      </c>
      <c r="K2377" s="193"/>
      <c r="L2377" s="1196" t="s">
        <v>3345</v>
      </c>
      <c r="M2377" s="1018"/>
      <c r="N2377" s="664"/>
      <c r="O2377" s="1042"/>
      <c r="P2377" s="648" t="b">
        <v>0</v>
      </c>
      <c r="Q2377" s="648" t="b">
        <v>1</v>
      </c>
      <c r="R2377" s="648" t="b">
        <v>0</v>
      </c>
      <c r="S2377" s="648" t="b">
        <f>IF(AY2262=INDEX(ddSingleOrMulti,2),TRUE,FALSE)</f>
        <v>0</v>
      </c>
      <c r="T2377" s="94" t="b">
        <f>AND(NOT(S2377),W2377=TRUE)</f>
        <v>0</v>
      </c>
      <c r="U2377" s="648"/>
      <c r="V2377" s="648"/>
      <c r="W2377" s="25"/>
      <c r="X2377" s="1757"/>
      <c r="Y2377" s="2077" t="str">
        <f>IF(LEN('Ch10'!X134)=0,"None",'Ch10'!X134)</f>
        <v>None</v>
      </c>
      <c r="Z2377" s="2083"/>
      <c r="AB2377" s="648"/>
      <c r="AC2377" s="970" t="b">
        <f>OR(AD2377:AE2377)</f>
        <v>0</v>
      </c>
      <c r="AD2377" s="970" t="b">
        <f>T2377</f>
        <v>0</v>
      </c>
      <c r="AE2377" s="970"/>
      <c r="AF2377" s="648"/>
      <c r="AG2377" s="648"/>
      <c r="AH2377" s="648"/>
      <c r="AI2377" s="648"/>
      <c r="AJ2377" s="648"/>
      <c r="AK2377" s="648"/>
      <c r="AL2377" s="1336"/>
      <c r="AM2377" s="1336"/>
      <c r="AN2377" s="1336"/>
      <c r="AO2377" s="1336"/>
      <c r="AP2377" s="254" t="str">
        <f>SUBSTITUTE(SUBSTITUTE(SUBSTITUTE("vch"&amp;$B2377&amp;$C2377&amp;$D2377&amp;$E2377,".","_"),"(","_"),")","")</f>
        <v>vch1002_3_3</v>
      </c>
      <c r="AQ2377" s="254" t="str">
        <f>IF(LEN(W2377)=0,"",W2377)</f>
        <v/>
      </c>
      <c r="AR2377" s="254" t="str">
        <f>SUBSTITUTE(SUBSTITUTE(SUBSTITUTE("vnt"&amp;$B2377&amp;$C2377&amp;$D2377&amp;$E2377,".","_"),"(","_"),")","")</f>
        <v>vnt1002_3_3</v>
      </c>
      <c r="AS2377" s="254" t="str">
        <f>IF(LEN(X2377)=0,"",X2377)</f>
        <v/>
      </c>
      <c r="AT2377" s="648"/>
      <c r="AU2377" s="648"/>
      <c r="AV2377" s="648"/>
      <c r="AW2377" s="648"/>
      <c r="AX2377" s="648"/>
      <c r="AY2377" s="648"/>
      <c r="AZ2377" s="648"/>
      <c r="BA2377" s="648"/>
      <c r="BB2377" s="648"/>
      <c r="BC2377" s="648"/>
      <c r="BD2377" s="648"/>
      <c r="BE2377" s="648"/>
      <c r="BF2377" s="648"/>
      <c r="BG2377" s="648"/>
      <c r="BH2377" s="648"/>
    </row>
    <row r="2378" spans="1:60" x14ac:dyDescent="0.25">
      <c r="A2378" s="2371">
        <v>10</v>
      </c>
      <c r="B2378" s="2385">
        <v>1002.3</v>
      </c>
      <c r="C2378" s="2374" t="s">
        <v>260</v>
      </c>
      <c r="D2378" s="2374" t="s">
        <v>121</v>
      </c>
      <c r="E2378" s="2374"/>
      <c r="F2378" s="2397"/>
      <c r="G2378" s="2373" t="str">
        <f t="shared" si="123"/>
        <v/>
      </c>
      <c r="H2378" s="2375" t="s">
        <v>3973</v>
      </c>
      <c r="I2378" s="4"/>
      <c r="J2378" s="129"/>
      <c r="K2378" s="183" t="s">
        <v>121</v>
      </c>
      <c r="L2378" s="1199" t="s">
        <v>3346</v>
      </c>
      <c r="M2378" s="1018"/>
      <c r="N2378" s="664"/>
      <c r="O2378" s="1042"/>
      <c r="P2378" s="648"/>
      <c r="Q2378" s="648"/>
      <c r="R2378" s="648"/>
      <c r="S2378" s="648"/>
      <c r="T2378" s="648"/>
      <c r="U2378" s="648"/>
      <c r="V2378" s="648"/>
      <c r="W2378" s="648"/>
      <c r="X2378" s="1757"/>
      <c r="Y2378" s="2077"/>
      <c r="Z2378" s="2083"/>
      <c r="AB2378" s="648"/>
      <c r="AC2378" s="970"/>
      <c r="AD2378" s="970"/>
      <c r="AE2378" s="970"/>
      <c r="AF2378" s="648"/>
      <c r="AG2378" s="648"/>
      <c r="AH2378" s="648"/>
      <c r="AI2378" s="648"/>
      <c r="AJ2378" s="648"/>
      <c r="AK2378" s="648"/>
      <c r="AL2378" s="1336"/>
      <c r="AM2378" s="1336"/>
      <c r="AN2378" s="1336"/>
      <c r="AO2378" s="1336"/>
      <c r="AP2378" s="1336"/>
      <c r="AQ2378" s="1336"/>
      <c r="AR2378" s="1336"/>
      <c r="AS2378" s="1336"/>
      <c r="AT2378" s="648"/>
      <c r="AU2378" s="648"/>
      <c r="AV2378" s="648"/>
      <c r="AW2378" s="648"/>
      <c r="AX2378" s="648"/>
      <c r="AY2378" s="648"/>
      <c r="AZ2378" s="648"/>
      <c r="BA2378" s="648"/>
      <c r="BB2378" s="648"/>
      <c r="BC2378" s="648"/>
      <c r="BD2378" s="648"/>
      <c r="BE2378" s="648"/>
      <c r="BF2378" s="648"/>
      <c r="BG2378" s="648"/>
      <c r="BH2378" s="648"/>
    </row>
    <row r="2379" spans="1:60" x14ac:dyDescent="0.25">
      <c r="A2379" s="2371">
        <v>10</v>
      </c>
      <c r="B2379" s="2385">
        <v>1002.3</v>
      </c>
      <c r="C2379" s="2374" t="s">
        <v>260</v>
      </c>
      <c r="D2379" s="2374" t="s">
        <v>122</v>
      </c>
      <c r="E2379" s="2374"/>
      <c r="F2379" s="2397"/>
      <c r="G2379" s="2373" t="str">
        <f t="shared" si="123"/>
        <v/>
      </c>
      <c r="H2379" s="2375" t="s">
        <v>3973</v>
      </c>
      <c r="I2379" s="4"/>
      <c r="J2379" s="129"/>
      <c r="K2379" s="183" t="s">
        <v>122</v>
      </c>
      <c r="L2379" s="1199" t="s">
        <v>3347</v>
      </c>
      <c r="M2379" s="1018"/>
      <c r="N2379" s="664"/>
      <c r="O2379" s="1042"/>
      <c r="P2379" s="648"/>
      <c r="Q2379" s="648"/>
      <c r="R2379" s="648"/>
      <c r="S2379" s="648"/>
      <c r="T2379" s="648"/>
      <c r="U2379" s="648"/>
      <c r="V2379" s="648"/>
      <c r="W2379" s="648"/>
      <c r="X2379" s="1757"/>
      <c r="Y2379" s="2077"/>
      <c r="Z2379" s="2083"/>
      <c r="AB2379" s="648"/>
      <c r="AC2379" s="970"/>
      <c r="AD2379" s="970"/>
      <c r="AE2379" s="970"/>
      <c r="AF2379" s="648"/>
      <c r="AG2379" s="648"/>
      <c r="AH2379" s="648"/>
      <c r="AI2379" s="648"/>
      <c r="AJ2379" s="648"/>
      <c r="AK2379" s="648"/>
      <c r="AL2379" s="1336"/>
      <c r="AM2379" s="1336"/>
      <c r="AN2379" s="1336"/>
      <c r="AO2379" s="1336"/>
      <c r="AP2379" s="1336"/>
      <c r="AQ2379" s="1336"/>
      <c r="AR2379" s="1336"/>
      <c r="AS2379" s="1336"/>
      <c r="AT2379" s="648"/>
      <c r="AU2379" s="648"/>
      <c r="AV2379" s="648"/>
      <c r="AW2379" s="648"/>
      <c r="AX2379" s="648"/>
      <c r="AY2379" s="648"/>
      <c r="AZ2379" s="648"/>
      <c r="BA2379" s="648"/>
      <c r="BB2379" s="648"/>
      <c r="BC2379" s="648"/>
      <c r="BD2379" s="648"/>
      <c r="BE2379" s="648"/>
      <c r="BF2379" s="648"/>
      <c r="BG2379" s="648"/>
      <c r="BH2379" s="648"/>
    </row>
    <row r="2380" spans="1:60" x14ac:dyDescent="0.25">
      <c r="A2380" s="2371">
        <v>10</v>
      </c>
      <c r="B2380" s="2385">
        <v>1002.3</v>
      </c>
      <c r="C2380" s="2374" t="s">
        <v>260</v>
      </c>
      <c r="D2380" s="2374" t="s">
        <v>123</v>
      </c>
      <c r="E2380" s="2374"/>
      <c r="F2380" s="2397"/>
      <c r="G2380" s="2373" t="str">
        <f t="shared" si="123"/>
        <v/>
      </c>
      <c r="H2380" s="2375" t="s">
        <v>3973</v>
      </c>
      <c r="I2380" s="4"/>
      <c r="J2380" s="129"/>
      <c r="K2380" s="183" t="s">
        <v>123</v>
      </c>
      <c r="L2380" s="1199" t="s">
        <v>3348</v>
      </c>
      <c r="M2380" s="1018"/>
      <c r="N2380" s="664"/>
      <c r="O2380" s="1042"/>
      <c r="P2380" s="648"/>
      <c r="Q2380" s="648"/>
      <c r="R2380" s="648"/>
      <c r="S2380" s="648"/>
      <c r="T2380" s="648"/>
      <c r="U2380" s="648"/>
      <c r="V2380" s="648"/>
      <c r="W2380" s="648"/>
      <c r="X2380" s="1757"/>
      <c r="Y2380" s="2077"/>
      <c r="Z2380" s="2083"/>
      <c r="AB2380" s="648"/>
      <c r="AC2380" s="970"/>
      <c r="AD2380" s="970"/>
      <c r="AE2380" s="970"/>
      <c r="AF2380" s="648"/>
      <c r="AG2380" s="648"/>
      <c r="AH2380" s="648"/>
      <c r="AI2380" s="648"/>
      <c r="AJ2380" s="648"/>
      <c r="AK2380" s="648"/>
      <c r="AL2380" s="1336"/>
      <c r="AM2380" s="1336"/>
      <c r="AN2380" s="1336"/>
      <c r="AO2380" s="1336"/>
      <c r="AP2380" s="1336"/>
      <c r="AQ2380" s="1336"/>
      <c r="AR2380" s="1336"/>
      <c r="AS2380" s="1336"/>
      <c r="AT2380" s="648"/>
      <c r="AU2380" s="648"/>
      <c r="AV2380" s="648"/>
      <c r="AW2380" s="648"/>
      <c r="AX2380" s="648"/>
      <c r="AY2380" s="648"/>
      <c r="AZ2380" s="648"/>
      <c r="BA2380" s="648"/>
      <c r="BB2380" s="648"/>
      <c r="BC2380" s="648"/>
      <c r="BD2380" s="648"/>
      <c r="BE2380" s="648"/>
      <c r="BF2380" s="648"/>
      <c r="BG2380" s="648"/>
      <c r="BH2380" s="648"/>
    </row>
    <row r="2381" spans="1:60" x14ac:dyDescent="0.25">
      <c r="A2381" s="2371">
        <v>10</v>
      </c>
      <c r="B2381" s="2385">
        <v>1002.3</v>
      </c>
      <c r="C2381" s="2374" t="s">
        <v>260</v>
      </c>
      <c r="D2381" s="2374" t="s">
        <v>401</v>
      </c>
      <c r="E2381" s="2374"/>
      <c r="F2381" s="2397"/>
      <c r="G2381" s="2373" t="str">
        <f t="shared" si="123"/>
        <v/>
      </c>
      <c r="H2381" s="2375" t="s">
        <v>3973</v>
      </c>
      <c r="I2381" s="4"/>
      <c r="J2381" s="129"/>
      <c r="K2381" s="183" t="s">
        <v>401</v>
      </c>
      <c r="L2381" s="1199" t="s">
        <v>3349</v>
      </c>
      <c r="M2381" s="1018"/>
      <c r="N2381" s="664"/>
      <c r="O2381" s="1042"/>
      <c r="P2381" s="648"/>
      <c r="Q2381" s="648"/>
      <c r="R2381" s="648"/>
      <c r="S2381" s="648"/>
      <c r="T2381" s="648"/>
      <c r="U2381" s="648"/>
      <c r="V2381" s="648"/>
      <c r="W2381" s="648"/>
      <c r="X2381" s="1757"/>
      <c r="Y2381" s="2077"/>
      <c r="Z2381" s="2083"/>
      <c r="AB2381" s="648"/>
      <c r="AC2381" s="970"/>
      <c r="AD2381" s="970"/>
      <c r="AE2381" s="970"/>
      <c r="AF2381" s="648"/>
      <c r="AG2381" s="648"/>
      <c r="AH2381" s="648"/>
      <c r="AI2381" s="648"/>
      <c r="AJ2381" s="648"/>
      <c r="AK2381" s="648"/>
      <c r="AL2381" s="1336"/>
      <c r="AM2381" s="1336"/>
      <c r="AN2381" s="1336"/>
      <c r="AO2381" s="1336"/>
      <c r="AP2381" s="1336"/>
      <c r="AQ2381" s="1336"/>
      <c r="AR2381" s="1336"/>
      <c r="AS2381" s="1336"/>
      <c r="AT2381" s="648"/>
      <c r="AU2381" s="648"/>
      <c r="AV2381" s="648"/>
      <c r="AW2381" s="648"/>
      <c r="AX2381" s="648"/>
      <c r="AY2381" s="648"/>
      <c r="AZ2381" s="648"/>
      <c r="BA2381" s="648"/>
      <c r="BB2381" s="648"/>
      <c r="BC2381" s="648"/>
      <c r="BD2381" s="648"/>
      <c r="BE2381" s="648"/>
      <c r="BF2381" s="648"/>
      <c r="BG2381" s="648"/>
      <c r="BH2381" s="648"/>
    </row>
    <row r="2382" spans="1:60" x14ac:dyDescent="0.25">
      <c r="A2382" s="2371">
        <v>10</v>
      </c>
      <c r="B2382" s="2385">
        <v>1002.3</v>
      </c>
      <c r="C2382" s="2374" t="s">
        <v>260</v>
      </c>
      <c r="D2382" s="2374" t="s">
        <v>539</v>
      </c>
      <c r="E2382" s="2374"/>
      <c r="F2382" s="2397"/>
      <c r="G2382" s="2373" t="str">
        <f t="shared" si="123"/>
        <v/>
      </c>
      <c r="H2382" s="2375" t="s">
        <v>3973</v>
      </c>
      <c r="I2382" s="4"/>
      <c r="J2382" s="129"/>
      <c r="K2382" s="183" t="s">
        <v>539</v>
      </c>
      <c r="L2382" s="1199" t="s">
        <v>3350</v>
      </c>
      <c r="M2382" s="1018"/>
      <c r="N2382" s="664"/>
      <c r="O2382" s="1042"/>
      <c r="P2382" s="648"/>
      <c r="Q2382" s="648"/>
      <c r="R2382" s="648"/>
      <c r="S2382" s="648"/>
      <c r="T2382" s="648"/>
      <c r="U2382" s="648"/>
      <c r="V2382" s="648"/>
      <c r="W2382" s="648"/>
      <c r="X2382" s="1757"/>
      <c r="Y2382" s="2077"/>
      <c r="Z2382" s="2083"/>
      <c r="AB2382" s="648"/>
      <c r="AC2382" s="970"/>
      <c r="AD2382" s="970"/>
      <c r="AE2382" s="970"/>
      <c r="AF2382" s="648"/>
      <c r="AG2382" s="648"/>
      <c r="AH2382" s="648"/>
      <c r="AI2382" s="648"/>
      <c r="AJ2382" s="648"/>
      <c r="AK2382" s="648"/>
      <c r="AL2382" s="1336"/>
      <c r="AM2382" s="1336"/>
      <c r="AN2382" s="1336"/>
      <c r="AO2382" s="1336"/>
      <c r="AP2382" s="1336"/>
      <c r="AQ2382" s="1336"/>
      <c r="AR2382" s="1336"/>
      <c r="AS2382" s="1336"/>
      <c r="AT2382" s="648"/>
      <c r="AU2382" s="648"/>
      <c r="AV2382" s="648"/>
      <c r="AW2382" s="648"/>
      <c r="AX2382" s="648"/>
      <c r="AY2382" s="648"/>
      <c r="AZ2382" s="648"/>
      <c r="BA2382" s="648"/>
      <c r="BB2382" s="648"/>
      <c r="BC2382" s="648"/>
      <c r="BD2382" s="648"/>
      <c r="BE2382" s="648"/>
      <c r="BF2382" s="648"/>
      <c r="BG2382" s="648"/>
      <c r="BH2382" s="648"/>
    </row>
    <row r="2383" spans="1:60" x14ac:dyDescent="0.25">
      <c r="A2383" s="2371">
        <v>10</v>
      </c>
      <c r="B2383" s="2385">
        <v>1002.3</v>
      </c>
      <c r="C2383" s="2374" t="s">
        <v>260</v>
      </c>
      <c r="D2383" s="2374" t="s">
        <v>604</v>
      </c>
      <c r="E2383" s="2374"/>
      <c r="F2383" s="2397"/>
      <c r="G2383" s="2373" t="str">
        <f t="shared" si="123"/>
        <v/>
      </c>
      <c r="H2383" s="2375" t="s">
        <v>3973</v>
      </c>
      <c r="I2383" s="4"/>
      <c r="J2383" s="210"/>
      <c r="K2383" s="206" t="s">
        <v>604</v>
      </c>
      <c r="L2383" s="1197" t="s">
        <v>3351</v>
      </c>
      <c r="M2383" s="1018"/>
      <c r="N2383" s="664"/>
      <c r="O2383" s="1042"/>
      <c r="P2383" s="648"/>
      <c r="Q2383" s="648"/>
      <c r="R2383" s="648"/>
      <c r="S2383" s="648"/>
      <c r="T2383" s="648"/>
      <c r="U2383" s="648"/>
      <c r="V2383" s="648"/>
      <c r="W2383" s="648"/>
      <c r="X2383" s="1757"/>
      <c r="Y2383" s="2077"/>
      <c r="Z2383" s="2083"/>
      <c r="AB2383" s="648"/>
      <c r="AC2383" s="970"/>
      <c r="AD2383" s="970"/>
      <c r="AE2383" s="970"/>
      <c r="AF2383" s="648"/>
      <c r="AG2383" s="648"/>
      <c r="AH2383" s="648"/>
      <c r="AI2383" s="648"/>
      <c r="AJ2383" s="648"/>
      <c r="AK2383" s="648"/>
      <c r="AL2383" s="1336"/>
      <c r="AM2383" s="1336"/>
      <c r="AN2383" s="1336"/>
      <c r="AO2383" s="1336"/>
      <c r="AP2383" s="1336"/>
      <c r="AQ2383" s="1336"/>
      <c r="AR2383" s="1336"/>
      <c r="AS2383" s="1336"/>
      <c r="AT2383" s="648"/>
      <c r="AU2383" s="648"/>
      <c r="AV2383" s="648"/>
      <c r="AW2383" s="648"/>
      <c r="AX2383" s="648"/>
      <c r="AY2383" s="648"/>
      <c r="AZ2383" s="648"/>
      <c r="BA2383" s="648"/>
      <c r="BB2383" s="648"/>
      <c r="BC2383" s="648"/>
      <c r="BD2383" s="648"/>
      <c r="BE2383" s="648"/>
      <c r="BF2383" s="648"/>
      <c r="BG2383" s="648"/>
      <c r="BH2383" s="648"/>
    </row>
    <row r="2384" spans="1:60" x14ac:dyDescent="0.25">
      <c r="A2384" s="2371">
        <v>10</v>
      </c>
      <c r="B2384" s="2385">
        <v>1002.3</v>
      </c>
      <c r="C2384" s="2374" t="s">
        <v>269</v>
      </c>
      <c r="D2384" s="2374"/>
      <c r="E2384" s="2374"/>
      <c r="F2384" s="2397"/>
      <c r="G2384" s="2373" t="str">
        <f t="shared" si="123"/>
        <v/>
      </c>
      <c r="H2384" s="2371" t="s">
        <v>3973</v>
      </c>
      <c r="I2384" s="4"/>
      <c r="J2384" s="27" t="s">
        <v>269</v>
      </c>
      <c r="K2384" s="4"/>
      <c r="L2384" s="1779" t="s">
        <v>3300</v>
      </c>
      <c r="M2384" s="1018"/>
      <c r="N2384" s="664"/>
      <c r="O2384" s="1042"/>
      <c r="P2384" s="648" t="b">
        <v>0</v>
      </c>
      <c r="Q2384" s="648" t="b">
        <v>1</v>
      </c>
      <c r="R2384" s="648" t="b">
        <v>0</v>
      </c>
      <c r="S2384" s="648" t="b">
        <f>IF(AY2262=INDEX(ddSingleOrMulti,2),TRUE,FALSE)</f>
        <v>0</v>
      </c>
      <c r="T2384" s="94" t="b">
        <f>AND(NOT(S2384),W2384=TRUE)</f>
        <v>0</v>
      </c>
      <c r="U2384" s="648"/>
      <c r="V2384" s="648"/>
      <c r="W2384" s="25"/>
      <c r="X2384" s="1757"/>
      <c r="Y2384" s="2077" t="str">
        <f>IF(LEN('Ch10'!X141)=0,"None",'Ch10'!X141)</f>
        <v>None</v>
      </c>
      <c r="Z2384" s="2083"/>
      <c r="AB2384" s="648"/>
      <c r="AC2384" s="970" t="b">
        <f>OR(AD2384:AE2384)</f>
        <v>0</v>
      </c>
      <c r="AD2384" s="970" t="b">
        <f>T2384</f>
        <v>0</v>
      </c>
      <c r="AE2384" s="970"/>
      <c r="AF2384" s="648"/>
      <c r="AG2384" s="648"/>
      <c r="AH2384" s="648"/>
      <c r="AI2384" s="648"/>
      <c r="AJ2384" s="648"/>
      <c r="AK2384" s="648"/>
      <c r="AL2384" s="1336"/>
      <c r="AM2384" s="1336"/>
      <c r="AN2384" s="1336"/>
      <c r="AO2384" s="1336"/>
      <c r="AP2384" s="254" t="str">
        <f>SUBSTITUTE(SUBSTITUTE(SUBSTITUTE("vch"&amp;$B2384&amp;$C2384&amp;$D2384&amp;$E2384,".","_"),"(","_"),")","")</f>
        <v>vch1002_3_4</v>
      </c>
      <c r="AQ2384" s="254" t="str">
        <f>IF(LEN(W2384)=0,"",W2384)</f>
        <v/>
      </c>
      <c r="AR2384" s="254" t="str">
        <f>SUBSTITUTE(SUBSTITUTE(SUBSTITUTE("vnt"&amp;$B2384&amp;$C2384&amp;$D2384&amp;$E2384,".","_"),"(","_"),")","")</f>
        <v>vnt1002_3_4</v>
      </c>
      <c r="AS2384" s="254" t="str">
        <f>IF(LEN(X2384)=0,"",X2384)</f>
        <v/>
      </c>
      <c r="AT2384" s="648"/>
      <c r="AU2384" s="648"/>
      <c r="AV2384" s="648"/>
      <c r="AW2384" s="648"/>
      <c r="AX2384" s="648"/>
      <c r="AY2384" s="648"/>
      <c r="AZ2384" s="648"/>
      <c r="BA2384" s="648"/>
      <c r="BB2384" s="648"/>
      <c r="BC2384" s="648"/>
      <c r="BD2384" s="648"/>
      <c r="BE2384" s="648"/>
      <c r="BF2384" s="648"/>
      <c r="BG2384" s="648"/>
      <c r="BH2384" s="648"/>
    </row>
    <row r="2385" spans="1:60" x14ac:dyDescent="0.25">
      <c r="A2385" s="2371">
        <v>10</v>
      </c>
      <c r="B2385" s="2385">
        <v>1002.3</v>
      </c>
      <c r="C2385" s="2374" t="s">
        <v>269</v>
      </c>
      <c r="D2385" s="2374"/>
      <c r="E2385" s="2374"/>
      <c r="F2385" s="2397"/>
      <c r="G2385" s="2373" t="str">
        <f t="shared" si="123"/>
        <v/>
      </c>
      <c r="H2385" s="2371" t="s">
        <v>3973</v>
      </c>
      <c r="I2385" s="4"/>
      <c r="J2385" s="4"/>
      <c r="K2385" s="4"/>
      <c r="L2385" s="1779"/>
      <c r="M2385" s="1018"/>
      <c r="N2385" s="664"/>
      <c r="O2385" s="1042"/>
      <c r="P2385" s="648"/>
      <c r="Q2385" s="648"/>
      <c r="R2385" s="648"/>
      <c r="S2385" s="648"/>
      <c r="T2385" s="648"/>
      <c r="U2385" s="648"/>
      <c r="V2385" s="648"/>
      <c r="W2385" s="648"/>
      <c r="X2385" s="1757"/>
      <c r="Y2385" s="2077"/>
      <c r="Z2385" s="2083"/>
      <c r="AB2385" s="648"/>
      <c r="AC2385" s="970"/>
      <c r="AD2385" s="970"/>
      <c r="AE2385" s="970"/>
      <c r="AF2385" s="648"/>
      <c r="AG2385" s="648"/>
      <c r="AH2385" s="648"/>
      <c r="AI2385" s="648"/>
      <c r="AJ2385" s="648"/>
      <c r="AK2385" s="648"/>
      <c r="AL2385" s="1336"/>
      <c r="AM2385" s="1336"/>
      <c r="AN2385" s="1336"/>
      <c r="AO2385" s="1336"/>
      <c r="AP2385" s="1336"/>
      <c r="AQ2385" s="1336"/>
      <c r="AR2385" s="1336"/>
      <c r="AS2385" s="1336"/>
      <c r="AT2385" s="648"/>
      <c r="AU2385" s="648"/>
      <c r="AV2385" s="648"/>
      <c r="AW2385" s="648"/>
      <c r="AX2385" s="648"/>
      <c r="AY2385" s="648"/>
      <c r="AZ2385" s="648"/>
      <c r="BA2385" s="648"/>
      <c r="BB2385" s="648"/>
      <c r="BC2385" s="648"/>
      <c r="BD2385" s="648"/>
      <c r="BE2385" s="648"/>
      <c r="BF2385" s="648"/>
      <c r="BG2385" s="648"/>
      <c r="BH2385" s="648"/>
    </row>
    <row r="2386" spans="1:60" x14ac:dyDescent="0.25">
      <c r="A2386" s="2371">
        <v>10</v>
      </c>
      <c r="B2386" s="2385">
        <v>1002.3</v>
      </c>
      <c r="C2386" s="2374" t="s">
        <v>275</v>
      </c>
      <c r="D2386" s="2374"/>
      <c r="E2386" s="2374"/>
      <c r="F2386" s="2397"/>
      <c r="G2386" s="2373" t="str">
        <f t="shared" si="123"/>
        <v/>
      </c>
      <c r="H2386" s="2371" t="s">
        <v>3973</v>
      </c>
      <c r="I2386" s="4"/>
      <c r="J2386" s="207" t="s">
        <v>275</v>
      </c>
      <c r="K2386" s="243"/>
      <c r="L2386" s="244" t="s">
        <v>3302</v>
      </c>
      <c r="M2386" s="1018"/>
      <c r="N2386" s="664"/>
      <c r="O2386" s="1042"/>
      <c r="P2386" s="648" t="b">
        <v>0</v>
      </c>
      <c r="Q2386" s="648" t="b">
        <v>1</v>
      </c>
      <c r="R2386" s="648" t="b">
        <v>0</v>
      </c>
      <c r="S2386" s="648" t="b">
        <f>IF(AY2262=INDEX(ddSingleOrMulti,2),TRUE,FALSE)</f>
        <v>0</v>
      </c>
      <c r="T2386" s="94" t="b">
        <f>AND(NOT(S2386),W2386=TRUE)</f>
        <v>0</v>
      </c>
      <c r="U2386" s="648"/>
      <c r="V2386" s="648"/>
      <c r="W2386" s="25"/>
      <c r="X2386" s="650"/>
      <c r="Y2386" s="653" t="str">
        <f>IF(LEN('Ch10'!X143)=0,"None",'Ch10'!X143)</f>
        <v>None</v>
      </c>
      <c r="Z2386" s="1587"/>
      <c r="AB2386" s="648"/>
      <c r="AC2386" s="970" t="b">
        <f>OR(AD2386:AE2386)</f>
        <v>0</v>
      </c>
      <c r="AD2386" s="970" t="b">
        <f>T2386</f>
        <v>0</v>
      </c>
      <c r="AE2386" s="970"/>
      <c r="AF2386" s="648"/>
      <c r="AG2386" s="648"/>
      <c r="AH2386" s="648"/>
      <c r="AI2386" s="648"/>
      <c r="AJ2386" s="648"/>
      <c r="AK2386" s="648"/>
      <c r="AL2386" s="1336"/>
      <c r="AM2386" s="1336"/>
      <c r="AN2386" s="1336"/>
      <c r="AO2386" s="1336"/>
      <c r="AP2386" s="254" t="str">
        <f>SUBSTITUTE(SUBSTITUTE(SUBSTITUTE("vch"&amp;$B2386&amp;$C2386&amp;$D2386&amp;$E2386,".","_"),"(","_"),")","")</f>
        <v>vch1002_3_5</v>
      </c>
      <c r="AQ2386" s="254" t="str">
        <f>IF(LEN(W2386)=0,"",W2386)</f>
        <v/>
      </c>
      <c r="AR2386" s="254" t="str">
        <f>SUBSTITUTE(SUBSTITUTE(SUBSTITUTE("vnt"&amp;$B2386&amp;$C2386&amp;$D2386&amp;$E2386,".","_"),"(","_"),")","")</f>
        <v>vnt1002_3_5</v>
      </c>
      <c r="AS2386" s="254" t="str">
        <f>IF(LEN(X2386)=0,"",X2386)</f>
        <v/>
      </c>
      <c r="AT2386" s="648"/>
      <c r="AU2386" s="648"/>
      <c r="AV2386" s="648"/>
      <c r="AW2386" s="648"/>
      <c r="AX2386" s="648"/>
      <c r="AY2386" s="648"/>
      <c r="AZ2386" s="648"/>
      <c r="BA2386" s="648"/>
      <c r="BB2386" s="648"/>
      <c r="BC2386" s="648"/>
      <c r="BD2386" s="648"/>
      <c r="BE2386" s="648"/>
      <c r="BF2386" s="648"/>
      <c r="BG2386" s="648"/>
      <c r="BH2386" s="648"/>
    </row>
    <row r="2387" spans="1:60" x14ac:dyDescent="0.25">
      <c r="A2387" s="2371">
        <v>10</v>
      </c>
      <c r="B2387" s="2385">
        <v>1002.3</v>
      </c>
      <c r="C2387" s="2374" t="s">
        <v>277</v>
      </c>
      <c r="D2387" s="2374"/>
      <c r="E2387" s="2374"/>
      <c r="F2387" s="2397"/>
      <c r="G2387" s="2373" t="str">
        <f t="shared" si="123"/>
        <v/>
      </c>
      <c r="H2387" s="2371" t="s">
        <v>3973</v>
      </c>
      <c r="I2387" s="4"/>
      <c r="J2387" s="27" t="s">
        <v>277</v>
      </c>
      <c r="K2387" s="4"/>
      <c r="L2387" s="1779" t="s">
        <v>3352</v>
      </c>
      <c r="M2387" s="1018"/>
      <c r="N2387" s="664"/>
      <c r="O2387" s="1042"/>
      <c r="P2387" s="648" t="b">
        <v>0</v>
      </c>
      <c r="Q2387" s="648" t="b">
        <v>1</v>
      </c>
      <c r="R2387" s="648" t="b">
        <v>0</v>
      </c>
      <c r="S2387" s="648" t="b">
        <f>IF(AY2262=INDEX(ddSingleOrMulti,2),TRUE,FALSE)</f>
        <v>0</v>
      </c>
      <c r="T2387" s="94" t="b">
        <f>AND(NOT(S2387),W2387=TRUE)</f>
        <v>0</v>
      </c>
      <c r="U2387" s="648"/>
      <c r="V2387" s="648"/>
      <c r="W2387" s="25"/>
      <c r="X2387" s="1757"/>
      <c r="Y2387" s="2077" t="str">
        <f>IF(LEN('Ch10'!X144)=0,"None",'Ch10'!X144)</f>
        <v>None</v>
      </c>
      <c r="Z2387" s="2083"/>
      <c r="AB2387" s="648"/>
      <c r="AC2387" s="970" t="b">
        <f>OR(AD2387:AE2387)</f>
        <v>0</v>
      </c>
      <c r="AD2387" s="970" t="b">
        <f>T2387</f>
        <v>0</v>
      </c>
      <c r="AE2387" s="970"/>
      <c r="AF2387" s="648"/>
      <c r="AG2387" s="648"/>
      <c r="AH2387" s="648"/>
      <c r="AI2387" s="648"/>
      <c r="AJ2387" s="648"/>
      <c r="AK2387" s="648"/>
      <c r="AL2387" s="1336"/>
      <c r="AM2387" s="1336"/>
      <c r="AN2387" s="1336"/>
      <c r="AO2387" s="1336"/>
      <c r="AP2387" s="254" t="str">
        <f>SUBSTITUTE(SUBSTITUTE(SUBSTITUTE("vch"&amp;$B2387&amp;$C2387&amp;$D2387&amp;$E2387,".","_"),"(","_"),")","")</f>
        <v>vch1002_3_6</v>
      </c>
      <c r="AQ2387" s="254" t="str">
        <f>IF(LEN(W2387)=0,"",W2387)</f>
        <v/>
      </c>
      <c r="AR2387" s="254" t="str">
        <f>SUBSTITUTE(SUBSTITUTE(SUBSTITUTE("vnt"&amp;$B2387&amp;$C2387&amp;$D2387&amp;$E2387,".","_"),"(","_"),")","")</f>
        <v>vnt1002_3_6</v>
      </c>
      <c r="AS2387" s="254" t="str">
        <f>IF(LEN(X2387)=0,"",X2387)</f>
        <v/>
      </c>
      <c r="AT2387" s="648"/>
      <c r="AU2387" s="648"/>
      <c r="AV2387" s="648"/>
      <c r="AW2387" s="648"/>
      <c r="AX2387" s="648"/>
      <c r="AY2387" s="648"/>
      <c r="AZ2387" s="648"/>
      <c r="BA2387" s="648"/>
      <c r="BB2387" s="648"/>
      <c r="BC2387" s="648"/>
      <c r="BD2387" s="648"/>
      <c r="BE2387" s="648"/>
      <c r="BF2387" s="648"/>
      <c r="BG2387" s="648"/>
      <c r="BH2387" s="648"/>
    </row>
    <row r="2388" spans="1:60" x14ac:dyDescent="0.25">
      <c r="A2388" s="2371">
        <v>10</v>
      </c>
      <c r="B2388" s="2385">
        <v>1002.3</v>
      </c>
      <c r="C2388" s="2374" t="s">
        <v>277</v>
      </c>
      <c r="D2388" s="2374"/>
      <c r="E2388" s="2374"/>
      <c r="F2388" s="2397"/>
      <c r="G2388" s="2373" t="str">
        <f t="shared" si="123"/>
        <v/>
      </c>
      <c r="H2388" s="2371" t="s">
        <v>3973</v>
      </c>
      <c r="I2388" s="4"/>
      <c r="J2388" s="27"/>
      <c r="K2388" s="4"/>
      <c r="L2388" s="1779"/>
      <c r="M2388" s="1018"/>
      <c r="N2388" s="664"/>
      <c r="O2388" s="1042"/>
      <c r="P2388" s="648"/>
      <c r="Q2388" s="648"/>
      <c r="R2388" s="648"/>
      <c r="S2388" s="648"/>
      <c r="T2388" s="648"/>
      <c r="U2388" s="648"/>
      <c r="V2388" s="648"/>
      <c r="W2388" s="648"/>
      <c r="X2388" s="1757"/>
      <c r="Y2388" s="2077"/>
      <c r="Z2388" s="2083"/>
      <c r="AB2388" s="648"/>
      <c r="AC2388" s="970"/>
      <c r="AD2388" s="970"/>
      <c r="AE2388" s="970"/>
      <c r="AF2388" s="648"/>
      <c r="AG2388" s="648"/>
      <c r="AH2388" s="648"/>
      <c r="AI2388" s="648"/>
      <c r="AJ2388" s="648"/>
      <c r="AK2388" s="648"/>
      <c r="AL2388" s="1336"/>
      <c r="AM2388" s="1336"/>
      <c r="AN2388" s="1336"/>
      <c r="AO2388" s="1336"/>
      <c r="AP2388" s="1336"/>
      <c r="AQ2388" s="1336"/>
      <c r="AR2388" s="1336"/>
      <c r="AS2388" s="1336"/>
      <c r="AT2388" s="648"/>
      <c r="AU2388" s="648"/>
      <c r="AV2388" s="648"/>
      <c r="AW2388" s="648"/>
      <c r="AX2388" s="648"/>
      <c r="AY2388" s="648"/>
      <c r="AZ2388" s="648"/>
      <c r="BA2388" s="648"/>
      <c r="BB2388" s="648"/>
      <c r="BC2388" s="648"/>
      <c r="BD2388" s="648"/>
      <c r="BE2388" s="648"/>
      <c r="BF2388" s="648"/>
      <c r="BG2388" s="648"/>
      <c r="BH2388" s="648"/>
    </row>
    <row r="2389" spans="1:60" x14ac:dyDescent="0.25">
      <c r="A2389" s="2371">
        <v>10</v>
      </c>
      <c r="B2389" s="2385">
        <v>1002.3</v>
      </c>
      <c r="C2389" s="2374" t="s">
        <v>383</v>
      </c>
      <c r="D2389" s="2374"/>
      <c r="E2389" s="2374"/>
      <c r="F2389" s="2397"/>
      <c r="G2389" s="2373" t="str">
        <f t="shared" si="123"/>
        <v/>
      </c>
      <c r="H2389" s="2371" t="s">
        <v>3973</v>
      </c>
      <c r="I2389" s="4"/>
      <c r="J2389" s="207" t="s">
        <v>383</v>
      </c>
      <c r="K2389" s="243"/>
      <c r="L2389" s="244" t="s">
        <v>3308</v>
      </c>
      <c r="M2389" s="1018"/>
      <c r="N2389" s="664"/>
      <c r="O2389" s="1042"/>
      <c r="P2389" s="648" t="b">
        <v>0</v>
      </c>
      <c r="Q2389" s="648" t="b">
        <v>1</v>
      </c>
      <c r="R2389" s="648" t="b">
        <v>0</v>
      </c>
      <c r="S2389" s="648" t="b">
        <f>IF(AY2262=INDEX(ddSingleOrMulti,2),TRUE,FALSE)</f>
        <v>0</v>
      </c>
      <c r="T2389" s="94" t="b">
        <f>AND(NOT(S2389),W2389=TRUE)</f>
        <v>0</v>
      </c>
      <c r="U2389" s="648"/>
      <c r="V2389" s="648"/>
      <c r="W2389" s="25"/>
      <c r="X2389" s="650"/>
      <c r="Y2389" s="653" t="str">
        <f>IF(LEN('Ch10'!X146)=0,"None",'Ch10'!X146)</f>
        <v>None</v>
      </c>
      <c r="Z2389" s="1587"/>
      <c r="AB2389" s="648"/>
      <c r="AC2389" s="970" t="b">
        <f>OR(AD2389:AE2389)</f>
        <v>0</v>
      </c>
      <c r="AD2389" s="970" t="b">
        <f>T2389</f>
        <v>0</v>
      </c>
      <c r="AE2389" s="970"/>
      <c r="AF2389" s="648"/>
      <c r="AG2389" s="648"/>
      <c r="AH2389" s="648"/>
      <c r="AI2389" s="648"/>
      <c r="AJ2389" s="648"/>
      <c r="AK2389" s="648"/>
      <c r="AL2389" s="1336"/>
      <c r="AM2389" s="1336"/>
      <c r="AN2389" s="1336"/>
      <c r="AO2389" s="1336"/>
      <c r="AP2389" s="254" t="str">
        <f>SUBSTITUTE(SUBSTITUTE(SUBSTITUTE("vch"&amp;$B2389&amp;$C2389&amp;$D2389&amp;$E2389,".","_"),"(","_"),")","")</f>
        <v>vch1002_3_7</v>
      </c>
      <c r="AQ2389" s="254" t="str">
        <f>IF(LEN(W2389)=0,"",W2389)</f>
        <v/>
      </c>
      <c r="AR2389" s="254" t="str">
        <f>SUBSTITUTE(SUBSTITUTE(SUBSTITUTE("vnt"&amp;$B2389&amp;$C2389&amp;$D2389&amp;$E2389,".","_"),"(","_"),")","")</f>
        <v>vnt1002_3_7</v>
      </c>
      <c r="AS2389" s="254" t="str">
        <f>IF(LEN(X2389)=0,"",X2389)</f>
        <v/>
      </c>
      <c r="AT2389" s="648"/>
      <c r="AU2389" s="648"/>
      <c r="AV2389" s="648"/>
      <c r="AW2389" s="648"/>
      <c r="AX2389" s="648"/>
      <c r="AY2389" s="648"/>
      <c r="AZ2389" s="648"/>
      <c r="BA2389" s="648"/>
      <c r="BB2389" s="648"/>
      <c r="BC2389" s="648"/>
      <c r="BD2389" s="648"/>
      <c r="BE2389" s="648"/>
      <c r="BF2389" s="648"/>
      <c r="BG2389" s="648"/>
      <c r="BH2389" s="648"/>
    </row>
    <row r="2390" spans="1:60" x14ac:dyDescent="0.25">
      <c r="A2390" s="2371">
        <v>10</v>
      </c>
      <c r="B2390" s="2385">
        <v>1002.3</v>
      </c>
      <c r="C2390" s="2374" t="s">
        <v>428</v>
      </c>
      <c r="D2390" s="2374"/>
      <c r="E2390" s="2374"/>
      <c r="F2390" s="2397"/>
      <c r="G2390" s="2373" t="str">
        <f t="shared" si="123"/>
        <v/>
      </c>
      <c r="H2390" s="2371" t="s">
        <v>3973</v>
      </c>
      <c r="I2390" s="4"/>
      <c r="J2390" s="27" t="s">
        <v>428</v>
      </c>
      <c r="K2390" s="4"/>
      <c r="L2390" s="1198" t="s">
        <v>3353</v>
      </c>
      <c r="M2390" s="1018"/>
      <c r="N2390" s="664"/>
      <c r="O2390" s="1042"/>
      <c r="P2390" s="648" t="b">
        <v>0</v>
      </c>
      <c r="Q2390" s="648" t="b">
        <v>1</v>
      </c>
      <c r="R2390" s="648" t="b">
        <v>0</v>
      </c>
      <c r="S2390" s="648" t="b">
        <f>IF(AY2262=INDEX(ddSingleOrMulti,2),TRUE,FALSE)</f>
        <v>0</v>
      </c>
      <c r="T2390" s="94" t="b">
        <f>AND(NOT(S2390),W2390=TRUE)</f>
        <v>0</v>
      </c>
      <c r="U2390" s="648"/>
      <c r="V2390" s="648"/>
      <c r="W2390" s="25"/>
      <c r="X2390" s="650"/>
      <c r="Y2390" s="653" t="str">
        <f>IF(LEN('Ch10'!X147)=0,"None",'Ch10'!X147)</f>
        <v>None</v>
      </c>
      <c r="Z2390" s="1587"/>
      <c r="AB2390" s="648"/>
      <c r="AC2390" s="970" t="b">
        <f>OR(AD2390:AE2390)</f>
        <v>0</v>
      </c>
      <c r="AD2390" s="970" t="b">
        <f>T2390</f>
        <v>0</v>
      </c>
      <c r="AE2390" s="970"/>
      <c r="AF2390" s="648"/>
      <c r="AG2390" s="648"/>
      <c r="AH2390" s="648"/>
      <c r="AI2390" s="648"/>
      <c r="AJ2390" s="648"/>
      <c r="AK2390" s="648"/>
      <c r="AL2390" s="1336"/>
      <c r="AM2390" s="1336"/>
      <c r="AN2390" s="1336"/>
      <c r="AO2390" s="1336"/>
      <c r="AP2390" s="254" t="str">
        <f>SUBSTITUTE(SUBSTITUTE(SUBSTITUTE("vch"&amp;$B2390&amp;$C2390&amp;$D2390&amp;$E2390,".","_"),"(","_"),")","")</f>
        <v>vch1002_3_8</v>
      </c>
      <c r="AQ2390" s="254" t="str">
        <f>IF(LEN(W2390)=0,"",W2390)</f>
        <v/>
      </c>
      <c r="AR2390" s="254" t="str">
        <f>SUBSTITUTE(SUBSTITUTE(SUBSTITUTE("vnt"&amp;$B2390&amp;$C2390&amp;$D2390&amp;$E2390,".","_"),"(","_"),")","")</f>
        <v>vnt1002_3_8</v>
      </c>
      <c r="AS2390" s="254" t="str">
        <f>IF(LEN(X2390)=0,"",X2390)</f>
        <v/>
      </c>
      <c r="AT2390" s="648"/>
      <c r="AU2390" s="648"/>
      <c r="AV2390" s="648"/>
      <c r="AW2390" s="648"/>
      <c r="AX2390" s="648"/>
      <c r="AY2390" s="648"/>
      <c r="AZ2390" s="648"/>
      <c r="BA2390" s="648"/>
      <c r="BB2390" s="648"/>
      <c r="BC2390" s="648"/>
      <c r="BD2390" s="648"/>
      <c r="BE2390" s="648"/>
      <c r="BF2390" s="648"/>
      <c r="BG2390" s="648"/>
      <c r="BH2390" s="648"/>
    </row>
    <row r="2391" spans="1:60" x14ac:dyDescent="0.25">
      <c r="A2391" s="2371">
        <v>10</v>
      </c>
      <c r="B2391" s="2385">
        <v>1002.3</v>
      </c>
      <c r="C2391" s="2374" t="s">
        <v>430</v>
      </c>
      <c r="D2391" s="2374"/>
      <c r="E2391" s="2374"/>
      <c r="F2391" s="2397"/>
      <c r="G2391" s="2373" t="str">
        <f t="shared" si="123"/>
        <v/>
      </c>
      <c r="H2391" s="2371" t="s">
        <v>3973</v>
      </c>
      <c r="I2391" s="4"/>
      <c r="J2391" s="207" t="s">
        <v>430</v>
      </c>
      <c r="K2391" s="243"/>
      <c r="L2391" s="244" t="s">
        <v>3354</v>
      </c>
      <c r="M2391" s="1018"/>
      <c r="N2391" s="664"/>
      <c r="O2391" s="1042"/>
      <c r="P2391" s="648" t="b">
        <v>0</v>
      </c>
      <c r="Q2391" s="648" t="b">
        <v>1</v>
      </c>
      <c r="R2391" s="648" t="b">
        <v>0</v>
      </c>
      <c r="S2391" s="648" t="b">
        <f>IF(AY2262=INDEX(ddSingleOrMulti,2),TRUE,FALSE)</f>
        <v>0</v>
      </c>
      <c r="T2391" s="94" t="b">
        <f>AND(NOT(S2391),W2391=TRUE)</f>
        <v>0</v>
      </c>
      <c r="U2391" s="648"/>
      <c r="V2391" s="648"/>
      <c r="W2391" s="25"/>
      <c r="X2391" s="650"/>
      <c r="Y2391" s="653" t="str">
        <f>IF(LEN('Ch10'!X148)=0,"None",'Ch10'!X148)</f>
        <v>None</v>
      </c>
      <c r="Z2391" s="1587"/>
      <c r="AA2391" s="868"/>
      <c r="AB2391" s="648"/>
      <c r="AC2391" s="970" t="b">
        <f>OR(AD2391:AE2391)</f>
        <v>0</v>
      </c>
      <c r="AD2391" s="970" t="b">
        <f>T2391</f>
        <v>0</v>
      </c>
      <c r="AE2391" s="970"/>
      <c r="AF2391" s="648"/>
      <c r="AG2391" s="648"/>
      <c r="AH2391" s="648"/>
      <c r="AI2391" s="648"/>
      <c r="AJ2391" s="648"/>
      <c r="AK2391" s="648"/>
      <c r="AL2391" s="1336"/>
      <c r="AM2391" s="1336"/>
      <c r="AN2391" s="1336"/>
      <c r="AO2391" s="1336"/>
      <c r="AP2391" s="254" t="str">
        <f>SUBSTITUTE(SUBSTITUTE(SUBSTITUTE("vch"&amp;$B2391&amp;$C2391&amp;$D2391&amp;$E2391,".","_"),"(","_"),")","")</f>
        <v>vch1002_3_9</v>
      </c>
      <c r="AQ2391" s="254" t="str">
        <f>IF(LEN(W2391)=0,"",W2391)</f>
        <v/>
      </c>
      <c r="AR2391" s="254" t="str">
        <f>SUBSTITUTE(SUBSTITUTE(SUBSTITUTE("vnt"&amp;$B2391&amp;$C2391&amp;$D2391&amp;$E2391,".","_"),"(","_"),")","")</f>
        <v>vnt1002_3_9</v>
      </c>
      <c r="AS2391" s="254" t="str">
        <f>IF(LEN(X2391)=0,"",X2391)</f>
        <v/>
      </c>
      <c r="AT2391" s="648"/>
      <c r="AU2391" s="648"/>
      <c r="AV2391" s="648"/>
      <c r="AW2391" s="648"/>
      <c r="AX2391" s="648"/>
      <c r="AY2391" s="648"/>
      <c r="AZ2391" s="648"/>
      <c r="BA2391" s="648"/>
      <c r="BB2391" s="648"/>
      <c r="BC2391" s="648"/>
      <c r="BD2391" s="648"/>
      <c r="BE2391" s="648"/>
      <c r="BF2391" s="648"/>
      <c r="BG2391" s="648"/>
      <c r="BH2391" s="648"/>
    </row>
    <row r="2392" spans="1:60" x14ac:dyDescent="0.25">
      <c r="A2392" s="2371">
        <v>10</v>
      </c>
      <c r="B2392" s="2385">
        <v>1002.3</v>
      </c>
      <c r="C2392" s="2374" t="s">
        <v>432</v>
      </c>
      <c r="D2392" s="2374"/>
      <c r="E2392" s="2374"/>
      <c r="F2392" s="2397"/>
      <c r="G2392" s="2373" t="str">
        <f t="shared" si="123"/>
        <v/>
      </c>
      <c r="H2392" s="2371" t="s">
        <v>3973</v>
      </c>
      <c r="I2392" s="129"/>
      <c r="J2392" s="207" t="s">
        <v>432</v>
      </c>
      <c r="K2392" s="243"/>
      <c r="L2392" s="244" t="s">
        <v>3355</v>
      </c>
      <c r="M2392" s="1012"/>
      <c r="N2392" s="665"/>
      <c r="O2392" s="1044"/>
      <c r="P2392" s="94" t="b">
        <v>0</v>
      </c>
      <c r="Q2392" s="94" t="b">
        <v>1</v>
      </c>
      <c r="R2392" s="94" t="b">
        <v>0</v>
      </c>
      <c r="S2392" s="94" t="b">
        <f>IF(AY2262=INDEX(ddSingleOrMulti,2),TRUE,FALSE)</f>
        <v>0</v>
      </c>
      <c r="T2392" s="94" t="b">
        <f>AND(NOT(S2392),W2392=TRUE)</f>
        <v>0</v>
      </c>
      <c r="U2392" s="94"/>
      <c r="V2392" s="94"/>
      <c r="W2392" s="186"/>
      <c r="X2392" s="918"/>
      <c r="Y2392" s="939" t="str">
        <f>IF(LEN('Ch10'!X149)=0,"None",'Ch10'!X149)</f>
        <v>None</v>
      </c>
      <c r="Z2392" s="1599"/>
      <c r="AA2392" s="868"/>
      <c r="AB2392" s="648"/>
      <c r="AC2392" s="970" t="b">
        <f>OR(AD2392:AE2392)</f>
        <v>0</v>
      </c>
      <c r="AD2392" s="970" t="b">
        <f>T2392</f>
        <v>0</v>
      </c>
      <c r="AE2392" s="970"/>
      <c r="AF2392" s="648"/>
      <c r="AG2392" s="648"/>
      <c r="AH2392" s="648"/>
      <c r="AI2392" s="648"/>
      <c r="AJ2392" s="648"/>
      <c r="AK2392" s="648"/>
      <c r="AL2392" s="1336"/>
      <c r="AM2392" s="1336"/>
      <c r="AN2392" s="1336"/>
      <c r="AO2392" s="1336"/>
      <c r="AP2392" s="254" t="str">
        <f>SUBSTITUTE(SUBSTITUTE(SUBSTITUTE("vch"&amp;$B2392&amp;$C2392&amp;$D2392&amp;$E2392,".","_"),"(","_"),")","")</f>
        <v>vch1002_3_10</v>
      </c>
      <c r="AQ2392" s="254" t="str">
        <f>IF(LEN(W2392)=0,"",W2392)</f>
        <v/>
      </c>
      <c r="AR2392" s="254" t="str">
        <f>SUBSTITUTE(SUBSTITUTE(SUBSTITUTE("vnt"&amp;$B2392&amp;$C2392&amp;$D2392&amp;$E2392,".","_"),"(","_"),")","")</f>
        <v>vnt1002_3_10</v>
      </c>
      <c r="AS2392" s="254" t="str">
        <f>IF(LEN(X2392)=0,"",X2392)</f>
        <v/>
      </c>
      <c r="AT2392" s="648"/>
      <c r="AU2392" s="648"/>
      <c r="AV2392" s="648"/>
      <c r="AW2392" s="648"/>
      <c r="AX2392" s="648"/>
      <c r="AY2392" s="648"/>
      <c r="AZ2392" s="648"/>
      <c r="BA2392" s="648"/>
      <c r="BB2392" s="648"/>
      <c r="BC2392" s="648"/>
      <c r="BD2392" s="648"/>
      <c r="BE2392" s="648"/>
      <c r="BF2392" s="648"/>
      <c r="BG2392" s="648"/>
      <c r="BH2392" s="648"/>
    </row>
    <row r="2393" spans="1:60" s="868" customFormat="1" ht="15" customHeight="1" x14ac:dyDescent="0.25">
      <c r="A2393" s="2371">
        <v>10</v>
      </c>
      <c r="B2393" s="2385">
        <v>1002.3</v>
      </c>
      <c r="C2393" s="2374" t="s">
        <v>434</v>
      </c>
      <c r="D2393" s="585"/>
      <c r="E2393" s="585"/>
      <c r="F2393" s="585"/>
      <c r="G2393" s="2373" t="str">
        <f t="shared" si="123"/>
        <v/>
      </c>
      <c r="H2393" s="2371" t="s">
        <v>3973</v>
      </c>
      <c r="I2393" s="911"/>
      <c r="J2393" s="668" t="s">
        <v>434</v>
      </c>
      <c r="K2393" s="680"/>
      <c r="L2393" s="2133" t="s">
        <v>4551</v>
      </c>
      <c r="M2393" s="4"/>
      <c r="N2393" s="664"/>
      <c r="O2393" s="664"/>
      <c r="P2393" s="911" t="b">
        <v>0</v>
      </c>
      <c r="Q2393" s="911" t="b">
        <v>1</v>
      </c>
      <c r="R2393" s="911" t="b">
        <v>0</v>
      </c>
      <c r="S2393" s="911" t="b">
        <f>IF(AY2262=INDEX(ddSingleOrMulti,2),TRUE,FALSE)</f>
        <v>0</v>
      </c>
      <c r="T2393" s="911" t="b">
        <f>AND(NOT(S2393),W2393=TRUE)</f>
        <v>0</v>
      </c>
      <c r="U2393" s="94"/>
      <c r="V2393" s="94"/>
      <c r="W2393" s="25"/>
      <c r="X2393" s="1757"/>
      <c r="Y2393" s="2099" t="str">
        <f>IF(LEN('Ch10'!X150)=0,"None",'Ch10'!X150)</f>
        <v>None</v>
      </c>
      <c r="Z2393" s="2087"/>
      <c r="AA2393" s="783"/>
      <c r="AC2393" s="970"/>
      <c r="AD2393" s="970"/>
      <c r="AE2393" s="970"/>
      <c r="AL2393" s="1336"/>
      <c r="AM2393" s="1336"/>
      <c r="AN2393" s="1336"/>
      <c r="AO2393" s="1336"/>
      <c r="AP2393" s="254" t="str">
        <f>SUBSTITUTE(SUBSTITUTE(SUBSTITUTE("vch"&amp;$B2393&amp;$C2393&amp;$D2393&amp;$E2393,".","_"),"(","_"),")","")</f>
        <v>vch1002_3_11</v>
      </c>
      <c r="AQ2393" s="254" t="str">
        <f>IF(LEN(W2393)=0,"",W2393)</f>
        <v/>
      </c>
      <c r="AR2393" s="254" t="str">
        <f>SUBSTITUTE(SUBSTITUTE(SUBSTITUTE("vnt"&amp;$B2393&amp;$C2393&amp;$D2393&amp;$E2393,".","_"),"(","_"),")","")</f>
        <v>vnt1002_3_11</v>
      </c>
      <c r="AS2393" s="254" t="str">
        <f>IF(LEN(X2393)=0,"",X2393)</f>
        <v/>
      </c>
    </row>
    <row r="2394" spans="1:60" s="868" customFormat="1" ht="15.75" thickBot="1" x14ac:dyDescent="0.3">
      <c r="A2394" s="2371">
        <v>10</v>
      </c>
      <c r="B2394" s="2385">
        <v>1002.3</v>
      </c>
      <c r="C2394" s="2374" t="s">
        <v>434</v>
      </c>
      <c r="D2394" s="585"/>
      <c r="E2394" s="585"/>
      <c r="F2394" s="585"/>
      <c r="G2394" s="2373" t="str">
        <f t="shared" si="123"/>
        <v/>
      </c>
      <c r="H2394" s="2371" t="s">
        <v>3973</v>
      </c>
      <c r="I2394" s="99"/>
      <c r="J2394" s="681"/>
      <c r="K2394" s="681"/>
      <c r="L2394" s="1947"/>
      <c r="M2394" s="240"/>
      <c r="N2394" s="1052"/>
      <c r="O2394" s="1052"/>
      <c r="P2394" s="99"/>
      <c r="Q2394" s="99"/>
      <c r="R2394" s="99"/>
      <c r="S2394" s="99"/>
      <c r="T2394" s="99"/>
      <c r="U2394" s="99"/>
      <c r="V2394" s="99"/>
      <c r="W2394" s="112"/>
      <c r="X2394" s="1771"/>
      <c r="Y2394" s="2102"/>
      <c r="Z2394" s="2090"/>
      <c r="AA2394" s="783"/>
      <c r="AC2394" s="970"/>
      <c r="AD2394" s="970"/>
      <c r="AE2394" s="970"/>
      <c r="AL2394" s="1336"/>
      <c r="AM2394" s="1336"/>
      <c r="AN2394" s="1336"/>
      <c r="AO2394" s="1336"/>
      <c r="AP2394" s="1336"/>
      <c r="AQ2394" s="1336"/>
      <c r="AR2394" s="1336"/>
      <c r="AS2394" s="1336"/>
    </row>
    <row r="2395" spans="1:60" ht="15.75" thickTop="1" x14ac:dyDescent="0.25">
      <c r="A2395" s="2371">
        <v>10</v>
      </c>
      <c r="B2395" s="2385">
        <v>1002.4</v>
      </c>
      <c r="C2395" s="2374"/>
      <c r="D2395" s="2374"/>
      <c r="E2395" s="2374"/>
      <c r="F2395" s="2374" t="s">
        <v>4893</v>
      </c>
      <c r="G2395" s="2373" t="str">
        <f>IF(M2395="Mandatory","P","")</f>
        <v/>
      </c>
      <c r="H2395" s="2371" t="s">
        <v>3973</v>
      </c>
      <c r="I2395" s="139">
        <v>1002.4</v>
      </c>
      <c r="J2395" s="4"/>
      <c r="K2395" s="4"/>
      <c r="L2395" s="1796" t="s">
        <v>3356</v>
      </c>
      <c r="M2395" s="1856" t="str">
        <f>IF(R2395,"Mandatory","N/A")</f>
        <v>N/A</v>
      </c>
      <c r="N2395" s="2080">
        <f>'Ch10'!O152</f>
        <v>0</v>
      </c>
      <c r="O2395" s="2080">
        <f>M2397*W2395*S2395</f>
        <v>0</v>
      </c>
      <c r="P2395" s="648" t="b">
        <v>0</v>
      </c>
      <c r="Q2395" s="648" t="b">
        <v>1</v>
      </c>
      <c r="R2395" s="648" t="b">
        <f>S2395</f>
        <v>0</v>
      </c>
      <c r="S2395" s="648" t="b">
        <f>IF(AY2262=INDEX(ddSingleOrMulti,2),TRUE,FALSE)</f>
        <v>0</v>
      </c>
      <c r="T2395" s="94" t="b">
        <f>AND(NOT(S2395),W2395=TRUE)</f>
        <v>0</v>
      </c>
      <c r="U2395" s="648"/>
      <c r="V2395" s="648"/>
      <c r="W2395" s="117"/>
      <c r="X2395" s="1815"/>
      <c r="Y2395" s="2129" t="str">
        <f>IF(LEN('Ch10'!X152)=0,"None",'Ch10'!X152)</f>
        <v>None</v>
      </c>
      <c r="Z2395" s="2089"/>
      <c r="AB2395" s="648"/>
      <c r="AC2395" s="970" t="b">
        <f>OR(AD2395:AE2395)</f>
        <v>0</v>
      </c>
      <c r="AD2395" s="970" t="b">
        <f>T2395</f>
        <v>0</v>
      </c>
      <c r="AE2395" s="970" t="b">
        <f>AND(R2395,NOT(W2395=TRUE))</f>
        <v>0</v>
      </c>
      <c r="AF2395" s="784"/>
      <c r="AG2395" s="648"/>
      <c r="AH2395" s="648"/>
      <c r="AI2395" s="648"/>
      <c r="AJ2395" s="648"/>
      <c r="AK2395" s="648"/>
      <c r="AL2395" s="36" t="str">
        <f>SUBSTITUTE(SUBSTITUTE(SUBSTITUTE("vpa"&amp;$B2395&amp;$C2395&amp;$D2395&amp;$E2395&amp;$F2395,".","_"),"(","_"),")","")</f>
        <v>vpa1002_4_m</v>
      </c>
      <c r="AM2395" s="254" t="str">
        <f>M2395</f>
        <v>N/A</v>
      </c>
      <c r="AN2395" s="254" t="str">
        <f>SUBSTITUTE(SUBSTITUTE(SUBSTITUTE("vpc"&amp;$B2395&amp;$C2395&amp;$D2395&amp;$E2395,".","_"),"(","_"),")","")</f>
        <v>vpc1002_4</v>
      </c>
      <c r="AO2395" s="254">
        <f>O2395</f>
        <v>0</v>
      </c>
      <c r="AP2395" s="254" t="str">
        <f>SUBSTITUTE(SUBSTITUTE(SUBSTITUTE("vch"&amp;$B2395&amp;$C2395&amp;$D2395&amp;$E2395,".","_"),"(","_"),")","")</f>
        <v>vch1002_4</v>
      </c>
      <c r="AQ2395" s="254" t="str">
        <f>IF(LEN(W2395)=0,"",W2395)</f>
        <v/>
      </c>
      <c r="AR2395" s="254" t="str">
        <f>SUBSTITUTE(SUBSTITUTE(SUBSTITUTE("vnt"&amp;$B2395&amp;$C2395&amp;$D2395&amp;$E2395,".","_"),"(","_"),")","")</f>
        <v>vnt1002_4</v>
      </c>
      <c r="AS2395" s="254" t="str">
        <f>IF(LEN(X2395)=0,"",X2395)</f>
        <v/>
      </c>
      <c r="AT2395" s="648"/>
      <c r="AU2395" s="648"/>
      <c r="AV2395" s="648"/>
      <c r="AW2395" s="648"/>
      <c r="AX2395" s="648"/>
      <c r="AY2395" s="648"/>
      <c r="AZ2395" s="648"/>
      <c r="BA2395" s="648"/>
      <c r="BB2395" s="648"/>
      <c r="BC2395" s="648"/>
      <c r="BD2395" s="648"/>
      <c r="BE2395" s="648"/>
      <c r="BF2395" s="648"/>
      <c r="BG2395" s="648"/>
      <c r="BH2395" s="648"/>
    </row>
    <row r="2396" spans="1:60" x14ac:dyDescent="0.25">
      <c r="A2396" s="2371">
        <v>10</v>
      </c>
      <c r="B2396" s="2385">
        <v>1002.4</v>
      </c>
      <c r="C2396" s="2374"/>
      <c r="D2396" s="2374"/>
      <c r="E2396" s="2374"/>
      <c r="F2396" s="2374"/>
      <c r="G2396" s="2373" t="str">
        <f t="shared" ref="G2396:G2407" si="124">G2395</f>
        <v/>
      </c>
      <c r="H2396" s="2371" t="s">
        <v>3973</v>
      </c>
      <c r="I2396" s="4"/>
      <c r="J2396" s="4"/>
      <c r="K2396" s="4"/>
      <c r="L2396" s="1796"/>
      <c r="M2396" s="1838"/>
      <c r="N2396" s="1927"/>
      <c r="O2396" s="1927"/>
      <c r="P2396" s="648"/>
      <c r="Q2396" s="648"/>
      <c r="R2396" s="648"/>
      <c r="S2396" s="648"/>
      <c r="T2396" s="648"/>
      <c r="U2396" s="648"/>
      <c r="V2396" s="648"/>
      <c r="W2396" s="648"/>
      <c r="X2396" s="1799"/>
      <c r="Y2396" s="2100"/>
      <c r="Z2396" s="2091"/>
      <c r="AB2396" s="648"/>
      <c r="AC2396" s="970"/>
      <c r="AD2396" s="970"/>
      <c r="AE2396" s="970"/>
      <c r="AF2396" s="648"/>
      <c r="AG2396" s="648"/>
      <c r="AH2396" s="648"/>
      <c r="AI2396" s="648"/>
      <c r="AJ2396" s="648"/>
      <c r="AK2396" s="648"/>
      <c r="AL2396" s="1336"/>
      <c r="AM2396" s="1336"/>
      <c r="AN2396" s="1336"/>
      <c r="AO2396" s="1336"/>
      <c r="AP2396" s="1336"/>
      <c r="AQ2396" s="1336"/>
      <c r="AR2396" s="1336"/>
      <c r="AS2396" s="1336"/>
      <c r="AT2396" s="648"/>
      <c r="AU2396" s="648"/>
      <c r="AV2396" s="648"/>
      <c r="AW2396" s="648"/>
      <c r="AX2396" s="648"/>
      <c r="AY2396" s="648"/>
      <c r="AZ2396" s="648"/>
      <c r="BA2396" s="648"/>
      <c r="BB2396" s="648"/>
      <c r="BC2396" s="648"/>
      <c r="BD2396" s="648"/>
      <c r="BE2396" s="648"/>
      <c r="BF2396" s="648"/>
      <c r="BG2396" s="648"/>
      <c r="BH2396" s="648"/>
    </row>
    <row r="2397" spans="1:60" x14ac:dyDescent="0.25">
      <c r="A2397" s="2371">
        <v>10</v>
      </c>
      <c r="B2397" s="2385">
        <v>1002.4</v>
      </c>
      <c r="C2397" s="2374"/>
      <c r="D2397" s="2374"/>
      <c r="E2397" s="2374"/>
      <c r="F2397" s="2374"/>
      <c r="G2397" s="2373" t="str">
        <f t="shared" si="124"/>
        <v/>
      </c>
      <c r="H2397" s="2371" t="s">
        <v>3973</v>
      </c>
      <c r="I2397" s="4"/>
      <c r="J2397" s="4"/>
      <c r="K2397" s="4"/>
      <c r="L2397" s="1796"/>
      <c r="M2397" s="1780">
        <v>8</v>
      </c>
      <c r="N2397" s="1927"/>
      <c r="O2397" s="1927"/>
      <c r="P2397" s="648"/>
      <c r="Q2397" s="648"/>
      <c r="R2397" s="648"/>
      <c r="S2397" s="648"/>
      <c r="T2397" s="648"/>
      <c r="U2397" s="648"/>
      <c r="V2397" s="648"/>
      <c r="W2397" s="648"/>
      <c r="X2397" s="1799"/>
      <c r="Y2397" s="2100"/>
      <c r="Z2397" s="2091"/>
      <c r="AB2397" s="648"/>
      <c r="AC2397" s="970"/>
      <c r="AD2397" s="970"/>
      <c r="AE2397" s="970"/>
      <c r="AF2397" s="648"/>
      <c r="AG2397" s="648"/>
      <c r="AH2397" s="648"/>
      <c r="AI2397" s="648"/>
      <c r="AJ2397" s="648"/>
      <c r="AK2397" s="648"/>
      <c r="AL2397" s="254" t="str">
        <f>SUBSTITUTE(SUBSTITUTE(SUBSTITUTE("vpa"&amp;$B2397&amp;$C2397&amp;$D2397&amp;$E2397,".","_"),"(","_"),")","")</f>
        <v>vpa1002_4</v>
      </c>
      <c r="AM2397" s="254">
        <f>M2397</f>
        <v>8</v>
      </c>
      <c r="AN2397" s="1336"/>
      <c r="AO2397" s="1336"/>
      <c r="AP2397" s="1336"/>
      <c r="AQ2397" s="1336"/>
      <c r="AR2397" s="1336"/>
      <c r="AS2397" s="1336"/>
      <c r="AT2397" s="648"/>
      <c r="AU2397" s="648"/>
      <c r="AV2397" s="648"/>
      <c r="AW2397" s="648"/>
      <c r="AX2397" s="648"/>
      <c r="AY2397" s="648"/>
      <c r="AZ2397" s="648"/>
      <c r="BA2397" s="648"/>
      <c r="BB2397" s="648"/>
      <c r="BC2397" s="648"/>
      <c r="BD2397" s="648"/>
      <c r="BE2397" s="648"/>
      <c r="BF2397" s="648"/>
      <c r="BG2397" s="648"/>
      <c r="BH2397" s="648"/>
    </row>
    <row r="2398" spans="1:60" x14ac:dyDescent="0.25">
      <c r="A2398" s="2371">
        <v>10</v>
      </c>
      <c r="B2398" s="2385">
        <v>1002.4</v>
      </c>
      <c r="C2398" s="2374"/>
      <c r="D2398" s="2374"/>
      <c r="E2398" s="2374"/>
      <c r="F2398" s="2374"/>
      <c r="G2398" s="2373" t="str">
        <f t="shared" si="124"/>
        <v/>
      </c>
      <c r="H2398" s="2371" t="s">
        <v>3973</v>
      </c>
      <c r="I2398" s="4"/>
      <c r="J2398" s="4"/>
      <c r="K2398" s="4"/>
      <c r="L2398" s="1796"/>
      <c r="M2398" s="1780"/>
      <c r="N2398" s="1927"/>
      <c r="O2398" s="1927"/>
      <c r="P2398" s="648"/>
      <c r="Q2398" s="648"/>
      <c r="R2398" s="648"/>
      <c r="S2398" s="648"/>
      <c r="T2398" s="648"/>
      <c r="U2398" s="648"/>
      <c r="V2398" s="648"/>
      <c r="W2398" s="648"/>
      <c r="X2398" s="1799"/>
      <c r="Y2398" s="2100"/>
      <c r="Z2398" s="2091"/>
      <c r="AB2398" s="648"/>
      <c r="AC2398" s="970"/>
      <c r="AD2398" s="970"/>
      <c r="AE2398" s="970"/>
      <c r="AF2398" s="648"/>
      <c r="AG2398" s="648"/>
      <c r="AH2398" s="648"/>
      <c r="AI2398" s="648"/>
      <c r="AJ2398" s="648"/>
      <c r="AK2398" s="648"/>
      <c r="AL2398" s="1336"/>
      <c r="AM2398" s="1336"/>
      <c r="AN2398" s="1336"/>
      <c r="AO2398" s="1336"/>
      <c r="AP2398" s="1336"/>
      <c r="AQ2398" s="1336"/>
      <c r="AR2398" s="1336"/>
      <c r="AS2398" s="1336"/>
      <c r="AT2398" s="648"/>
      <c r="AU2398" s="648"/>
      <c r="AV2398" s="648"/>
      <c r="AW2398" s="648"/>
      <c r="AX2398" s="648"/>
      <c r="AY2398" s="648"/>
      <c r="AZ2398" s="648"/>
      <c r="BA2398" s="648"/>
      <c r="BB2398" s="648"/>
      <c r="BC2398" s="648"/>
      <c r="BD2398" s="648"/>
      <c r="BE2398" s="648"/>
      <c r="BF2398" s="648"/>
      <c r="BG2398" s="648"/>
      <c r="BH2398" s="648"/>
    </row>
    <row r="2399" spans="1:60" x14ac:dyDescent="0.25">
      <c r="A2399" s="2371">
        <v>10</v>
      </c>
      <c r="B2399" s="2385">
        <v>1002.4</v>
      </c>
      <c r="C2399" s="2374"/>
      <c r="D2399" s="2374"/>
      <c r="E2399" s="2374"/>
      <c r="F2399" s="2374"/>
      <c r="G2399" s="2373" t="str">
        <f t="shared" si="124"/>
        <v/>
      </c>
      <c r="H2399" s="2371" t="s">
        <v>3973</v>
      </c>
      <c r="I2399" s="4"/>
      <c r="J2399" s="4"/>
      <c r="K2399" s="4"/>
      <c r="L2399" s="1796"/>
      <c r="M2399" s="1780"/>
      <c r="N2399" s="1927"/>
      <c r="O2399" s="1927"/>
      <c r="P2399" s="648"/>
      <c r="Q2399" s="648"/>
      <c r="R2399" s="648"/>
      <c r="S2399" s="648"/>
      <c r="T2399" s="648"/>
      <c r="U2399" s="648"/>
      <c r="V2399" s="648"/>
      <c r="W2399" s="648"/>
      <c r="X2399" s="1799"/>
      <c r="Y2399" s="2100"/>
      <c r="Z2399" s="2091"/>
      <c r="AB2399" s="648"/>
      <c r="AC2399" s="970"/>
      <c r="AD2399" s="970"/>
      <c r="AE2399" s="970"/>
      <c r="AF2399" s="648"/>
      <c r="AG2399" s="648"/>
      <c r="AH2399" s="648"/>
      <c r="AI2399" s="648"/>
      <c r="AJ2399" s="648"/>
      <c r="AK2399" s="648"/>
      <c r="AL2399" s="1336"/>
      <c r="AM2399" s="1336"/>
      <c r="AN2399" s="1336"/>
      <c r="AO2399" s="1336"/>
      <c r="AP2399" s="1336"/>
      <c r="AQ2399" s="1336"/>
      <c r="AR2399" s="1336"/>
      <c r="AS2399" s="1336"/>
      <c r="AT2399" s="648"/>
      <c r="AU2399" s="648"/>
      <c r="AV2399" s="648"/>
      <c r="AW2399" s="648"/>
      <c r="AX2399" s="648"/>
      <c r="AY2399" s="648"/>
      <c r="AZ2399" s="648"/>
      <c r="BA2399" s="648"/>
      <c r="BB2399" s="648"/>
      <c r="BC2399" s="648"/>
      <c r="BD2399" s="648"/>
      <c r="BE2399" s="648"/>
      <c r="BF2399" s="648"/>
      <c r="BG2399" s="648"/>
      <c r="BH2399" s="648"/>
    </row>
    <row r="2400" spans="1:60" x14ac:dyDescent="0.25">
      <c r="A2400" s="2371">
        <v>10</v>
      </c>
      <c r="B2400" s="2385">
        <v>1002.4</v>
      </c>
      <c r="C2400" s="2374" t="s">
        <v>256</v>
      </c>
      <c r="D2400" s="2374"/>
      <c r="E2400" s="2374"/>
      <c r="F2400" s="2374"/>
      <c r="G2400" s="2373" t="str">
        <f t="shared" si="124"/>
        <v/>
      </c>
      <c r="H2400" s="2371" t="s">
        <v>3973</v>
      </c>
      <c r="I2400" s="4"/>
      <c r="J2400" s="27" t="s">
        <v>256</v>
      </c>
      <c r="K2400" s="4"/>
      <c r="L2400" s="1198" t="s">
        <v>3346</v>
      </c>
      <c r="M2400" s="1018"/>
      <c r="N2400" s="664"/>
      <c r="O2400" s="1042"/>
      <c r="P2400" s="648"/>
      <c r="Q2400" s="648"/>
      <c r="R2400" s="648"/>
      <c r="S2400" s="648"/>
      <c r="T2400" s="648"/>
      <c r="U2400" s="648"/>
      <c r="V2400" s="648"/>
      <c r="W2400" s="648"/>
      <c r="X2400" s="1799"/>
      <c r="Y2400" s="2100"/>
      <c r="Z2400" s="2091"/>
      <c r="AB2400" s="648"/>
      <c r="AC2400" s="970"/>
      <c r="AD2400" s="970"/>
      <c r="AE2400" s="970"/>
      <c r="AF2400" s="648"/>
      <c r="AG2400" s="648"/>
      <c r="AH2400" s="648"/>
      <c r="AI2400" s="648"/>
      <c r="AJ2400" s="648"/>
      <c r="AK2400" s="648"/>
      <c r="AL2400" s="1336"/>
      <c r="AM2400" s="1336"/>
      <c r="AN2400" s="1336"/>
      <c r="AO2400" s="1336"/>
      <c r="AP2400" s="1336"/>
      <c r="AQ2400" s="1336"/>
      <c r="AR2400" s="1336"/>
      <c r="AS2400" s="1336"/>
      <c r="AT2400" s="648"/>
      <c r="AU2400" s="648"/>
      <c r="AV2400" s="648"/>
      <c r="AW2400" s="648"/>
      <c r="AX2400" s="648"/>
      <c r="AY2400" s="648"/>
      <c r="AZ2400" s="648"/>
      <c r="BA2400" s="648"/>
      <c r="BB2400" s="648"/>
      <c r="BC2400" s="648"/>
      <c r="BD2400" s="648"/>
      <c r="BE2400" s="648"/>
      <c r="BF2400" s="648"/>
      <c r="BG2400" s="648"/>
      <c r="BH2400" s="648"/>
    </row>
    <row r="2401" spans="1:60" x14ac:dyDescent="0.25">
      <c r="A2401" s="2371">
        <v>10</v>
      </c>
      <c r="B2401" s="2385">
        <v>1002.4</v>
      </c>
      <c r="C2401" s="2374" t="s">
        <v>258</v>
      </c>
      <c r="D2401" s="2374"/>
      <c r="E2401" s="2374"/>
      <c r="F2401" s="2374"/>
      <c r="G2401" s="2373" t="str">
        <f t="shared" si="124"/>
        <v/>
      </c>
      <c r="H2401" s="2371" t="s">
        <v>3973</v>
      </c>
      <c r="I2401" s="4"/>
      <c r="J2401" s="27" t="s">
        <v>258</v>
      </c>
      <c r="K2401" s="4"/>
      <c r="L2401" s="1198" t="s">
        <v>3347</v>
      </c>
      <c r="M2401" s="1018"/>
      <c r="N2401" s="664"/>
      <c r="O2401" s="1042"/>
      <c r="P2401" s="648"/>
      <c r="Q2401" s="648"/>
      <c r="R2401" s="648"/>
      <c r="S2401" s="648"/>
      <c r="T2401" s="648"/>
      <c r="U2401" s="648"/>
      <c r="V2401" s="648"/>
      <c r="W2401" s="648"/>
      <c r="X2401" s="1799"/>
      <c r="Y2401" s="2100"/>
      <c r="Z2401" s="2091"/>
      <c r="AB2401" s="648"/>
      <c r="AC2401" s="970"/>
      <c r="AD2401" s="970"/>
      <c r="AE2401" s="970"/>
      <c r="AF2401" s="648"/>
      <c r="AG2401" s="648"/>
      <c r="AH2401" s="648"/>
      <c r="AI2401" s="648"/>
      <c r="AJ2401" s="648"/>
      <c r="AK2401" s="648"/>
      <c r="AL2401" s="1336"/>
      <c r="AM2401" s="1336"/>
      <c r="AN2401" s="1336"/>
      <c r="AO2401" s="1336"/>
      <c r="AP2401" s="1336"/>
      <c r="AQ2401" s="1336"/>
      <c r="AR2401" s="1336"/>
      <c r="AS2401" s="1336"/>
      <c r="AT2401" s="648"/>
      <c r="AU2401" s="648"/>
      <c r="AV2401" s="648"/>
      <c r="AW2401" s="648"/>
      <c r="AX2401" s="648"/>
      <c r="AY2401" s="648"/>
      <c r="AZ2401" s="648"/>
      <c r="BA2401" s="648"/>
      <c r="BB2401" s="648"/>
      <c r="BC2401" s="648"/>
      <c r="BD2401" s="648"/>
      <c r="BE2401" s="648"/>
      <c r="BF2401" s="648"/>
      <c r="BG2401" s="648"/>
      <c r="BH2401" s="648"/>
    </row>
    <row r="2402" spans="1:60" x14ac:dyDescent="0.25">
      <c r="A2402" s="2371">
        <v>10</v>
      </c>
      <c r="B2402" s="2385">
        <v>1002.4</v>
      </c>
      <c r="C2402" s="2374" t="s">
        <v>260</v>
      </c>
      <c r="D2402" s="2374"/>
      <c r="E2402" s="2374"/>
      <c r="F2402" s="2374"/>
      <c r="G2402" s="2373" t="str">
        <f t="shared" si="124"/>
        <v/>
      </c>
      <c r="H2402" s="2371" t="s">
        <v>3973</v>
      </c>
      <c r="I2402" s="4"/>
      <c r="J2402" s="27" t="s">
        <v>260</v>
      </c>
      <c r="K2402" s="4"/>
      <c r="L2402" s="1198" t="s">
        <v>3348</v>
      </c>
      <c r="M2402" s="1018"/>
      <c r="N2402" s="664"/>
      <c r="O2402" s="1042"/>
      <c r="P2402" s="648"/>
      <c r="Q2402" s="648"/>
      <c r="R2402" s="648"/>
      <c r="S2402" s="648"/>
      <c r="T2402" s="648"/>
      <c r="U2402" s="648"/>
      <c r="V2402" s="648"/>
      <c r="W2402" s="648"/>
      <c r="X2402" s="1799"/>
      <c r="Y2402" s="2100"/>
      <c r="Z2402" s="2091"/>
      <c r="AB2402" s="648"/>
      <c r="AC2402" s="970"/>
      <c r="AD2402" s="970"/>
      <c r="AE2402" s="970"/>
      <c r="AF2402" s="648"/>
      <c r="AG2402" s="648"/>
      <c r="AH2402" s="648"/>
      <c r="AI2402" s="648"/>
      <c r="AJ2402" s="648"/>
      <c r="AK2402" s="648"/>
      <c r="AL2402" s="1336"/>
      <c r="AM2402" s="1336"/>
      <c r="AN2402" s="1336"/>
      <c r="AO2402" s="1336"/>
      <c r="AP2402" s="1336"/>
      <c r="AQ2402" s="1336"/>
      <c r="AR2402" s="1336"/>
      <c r="AS2402" s="1336"/>
      <c r="AT2402" s="648"/>
      <c r="AU2402" s="648"/>
      <c r="AV2402" s="648"/>
      <c r="AW2402" s="648"/>
      <c r="AX2402" s="648"/>
      <c r="AY2402" s="648"/>
      <c r="AZ2402" s="648"/>
      <c r="BA2402" s="648"/>
      <c r="BB2402" s="648"/>
      <c r="BC2402" s="648"/>
      <c r="BD2402" s="648"/>
      <c r="BE2402" s="648"/>
      <c r="BF2402" s="648"/>
      <c r="BG2402" s="648"/>
      <c r="BH2402" s="648"/>
    </row>
    <row r="2403" spans="1:60" x14ac:dyDescent="0.25">
      <c r="A2403" s="2371">
        <v>10</v>
      </c>
      <c r="B2403" s="2385">
        <v>1002.4</v>
      </c>
      <c r="C2403" s="2374" t="s">
        <v>269</v>
      </c>
      <c r="D2403" s="2374"/>
      <c r="E2403" s="2374"/>
      <c r="F2403" s="2374"/>
      <c r="G2403" s="2373" t="str">
        <f t="shared" si="124"/>
        <v/>
      </c>
      <c r="H2403" s="2371" t="s">
        <v>3973</v>
      </c>
      <c r="I2403" s="4"/>
      <c r="J2403" s="27" t="s">
        <v>269</v>
      </c>
      <c r="K2403" s="4"/>
      <c r="L2403" s="1198" t="s">
        <v>3357</v>
      </c>
      <c r="M2403" s="1018"/>
      <c r="N2403" s="664"/>
      <c r="O2403" s="1042"/>
      <c r="P2403" s="648"/>
      <c r="Q2403" s="648"/>
      <c r="R2403" s="648"/>
      <c r="S2403" s="648"/>
      <c r="T2403" s="648"/>
      <c r="U2403" s="648"/>
      <c r="V2403" s="648"/>
      <c r="W2403" s="648"/>
      <c r="X2403" s="1799"/>
      <c r="Y2403" s="2100"/>
      <c r="Z2403" s="2091"/>
      <c r="AB2403" s="648"/>
      <c r="AC2403" s="970"/>
      <c r="AD2403" s="970"/>
      <c r="AE2403" s="970"/>
      <c r="AF2403" s="648"/>
      <c r="AG2403" s="648"/>
      <c r="AH2403" s="648"/>
      <c r="AI2403" s="648"/>
      <c r="AJ2403" s="648"/>
      <c r="AK2403" s="648"/>
      <c r="AL2403" s="1336"/>
      <c r="AM2403" s="1336"/>
      <c r="AN2403" s="1336"/>
      <c r="AO2403" s="1336"/>
      <c r="AP2403" s="1336"/>
      <c r="AQ2403" s="1336"/>
      <c r="AR2403" s="1336"/>
      <c r="AS2403" s="1336"/>
      <c r="AT2403" s="648"/>
      <c r="AU2403" s="648"/>
      <c r="AV2403" s="648"/>
      <c r="AW2403" s="648"/>
      <c r="AX2403" s="648"/>
      <c r="AY2403" s="648"/>
      <c r="AZ2403" s="648"/>
      <c r="BA2403" s="648"/>
      <c r="BB2403" s="648"/>
      <c r="BC2403" s="648"/>
      <c r="BD2403" s="648"/>
      <c r="BE2403" s="648"/>
      <c r="BF2403" s="648"/>
      <c r="BG2403" s="648"/>
      <c r="BH2403" s="648"/>
    </row>
    <row r="2404" spans="1:60" x14ac:dyDescent="0.25">
      <c r="A2404" s="2371">
        <v>10</v>
      </c>
      <c r="B2404" s="2385">
        <v>1002.4</v>
      </c>
      <c r="C2404" s="2374" t="s">
        <v>275</v>
      </c>
      <c r="D2404" s="2374"/>
      <c r="E2404" s="2374"/>
      <c r="F2404" s="2374"/>
      <c r="G2404" s="2373" t="str">
        <f t="shared" si="124"/>
        <v/>
      </c>
      <c r="H2404" s="2371" t="s">
        <v>3973</v>
      </c>
      <c r="I2404" s="4"/>
      <c r="J2404" s="27" t="s">
        <v>275</v>
      </c>
      <c r="K2404" s="4"/>
      <c r="L2404" s="1198" t="s">
        <v>3358</v>
      </c>
      <c r="M2404" s="1018"/>
      <c r="N2404" s="664"/>
      <c r="O2404" s="1042"/>
      <c r="P2404" s="648"/>
      <c r="Q2404" s="648"/>
      <c r="R2404" s="648"/>
      <c r="S2404" s="648"/>
      <c r="T2404" s="648"/>
      <c r="U2404" s="648"/>
      <c r="V2404" s="648"/>
      <c r="W2404" s="648"/>
      <c r="X2404" s="1799"/>
      <c r="Y2404" s="2100"/>
      <c r="Z2404" s="2091"/>
      <c r="AB2404" s="648"/>
      <c r="AC2404" s="970"/>
      <c r="AD2404" s="970"/>
      <c r="AE2404" s="970"/>
      <c r="AF2404" s="648"/>
      <c r="AG2404" s="648"/>
      <c r="AH2404" s="648"/>
      <c r="AI2404" s="648"/>
      <c r="AJ2404" s="648"/>
      <c r="AK2404" s="648"/>
      <c r="AL2404" s="1336"/>
      <c r="AM2404" s="1336"/>
      <c r="AN2404" s="1336"/>
      <c r="AO2404" s="1336"/>
      <c r="AP2404" s="1336"/>
      <c r="AQ2404" s="1336"/>
      <c r="AR2404" s="1336"/>
      <c r="AS2404" s="1336"/>
      <c r="AT2404" s="648"/>
      <c r="AU2404" s="648"/>
      <c r="AV2404" s="648"/>
      <c r="AW2404" s="648"/>
      <c r="AX2404" s="648"/>
      <c r="AY2404" s="648"/>
      <c r="AZ2404" s="648"/>
      <c r="BA2404" s="648"/>
      <c r="BB2404" s="648"/>
      <c r="BC2404" s="648"/>
      <c r="BD2404" s="648"/>
      <c r="BE2404" s="648"/>
      <c r="BF2404" s="648"/>
      <c r="BG2404" s="648"/>
      <c r="BH2404" s="648"/>
    </row>
    <row r="2405" spans="1:60" x14ac:dyDescent="0.25">
      <c r="A2405" s="2371">
        <v>10</v>
      </c>
      <c r="B2405" s="2385">
        <v>1002.4</v>
      </c>
      <c r="C2405" s="2374" t="s">
        <v>277</v>
      </c>
      <c r="D2405" s="2374"/>
      <c r="E2405" s="2374"/>
      <c r="F2405" s="2374"/>
      <c r="G2405" s="2373" t="str">
        <f t="shared" si="124"/>
        <v/>
      </c>
      <c r="H2405" s="2371" t="s">
        <v>3973</v>
      </c>
      <c r="I2405" s="4"/>
      <c r="J2405" s="27" t="s">
        <v>277</v>
      </c>
      <c r="K2405" s="4"/>
      <c r="L2405" s="1198" t="s">
        <v>3351</v>
      </c>
      <c r="M2405" s="1018"/>
      <c r="N2405" s="664"/>
      <c r="O2405" s="1042"/>
      <c r="P2405" s="648"/>
      <c r="Q2405" s="648"/>
      <c r="R2405" s="648"/>
      <c r="S2405" s="648"/>
      <c r="T2405" s="648"/>
      <c r="U2405" s="648"/>
      <c r="V2405" s="648"/>
      <c r="W2405" s="648"/>
      <c r="X2405" s="1799"/>
      <c r="Y2405" s="2100"/>
      <c r="Z2405" s="2091"/>
      <c r="AA2405"/>
      <c r="AB2405" s="648"/>
      <c r="AC2405" s="970"/>
      <c r="AD2405" s="970"/>
      <c r="AE2405" s="970"/>
      <c r="AF2405" s="648"/>
      <c r="AG2405" s="648"/>
      <c r="AH2405" s="648"/>
      <c r="AI2405" s="648"/>
      <c r="AJ2405" s="648"/>
      <c r="AK2405" s="648"/>
      <c r="AL2405" s="1336"/>
      <c r="AM2405" s="1336"/>
      <c r="AN2405" s="1336"/>
      <c r="AO2405" s="1336"/>
      <c r="AP2405" s="1336"/>
      <c r="AQ2405" s="1336"/>
      <c r="AR2405" s="1336"/>
      <c r="AS2405" s="1336"/>
      <c r="AT2405" s="648"/>
      <c r="AU2405" s="648"/>
      <c r="AV2405" s="648"/>
      <c r="AW2405" s="648"/>
      <c r="AX2405" s="648"/>
      <c r="AY2405" s="648"/>
      <c r="AZ2405" s="648"/>
      <c r="BA2405" s="648"/>
      <c r="BB2405" s="648"/>
      <c r="BC2405" s="648"/>
      <c r="BD2405" s="648"/>
      <c r="BE2405" s="648"/>
      <c r="BF2405" s="648"/>
      <c r="BG2405" s="648"/>
      <c r="BH2405" s="648"/>
    </row>
    <row r="2406" spans="1:60" x14ac:dyDescent="0.25">
      <c r="A2406" s="2371">
        <v>10</v>
      </c>
      <c r="B2406" s="2385">
        <v>1002.4</v>
      </c>
      <c r="C2406" s="2374" t="s">
        <v>383</v>
      </c>
      <c r="D2406" s="2374"/>
      <c r="E2406" s="2374"/>
      <c r="F2406" s="2374"/>
      <c r="G2406" s="2373" t="str">
        <f t="shared" si="124"/>
        <v/>
      </c>
      <c r="H2406" s="2371" t="s">
        <v>3973</v>
      </c>
      <c r="I2406" s="4"/>
      <c r="J2406" s="27" t="s">
        <v>383</v>
      </c>
      <c r="K2406" s="4"/>
      <c r="L2406" s="1198" t="s">
        <v>3359</v>
      </c>
      <c r="M2406" s="1018"/>
      <c r="N2406" s="664"/>
      <c r="O2406" s="1042"/>
      <c r="P2406" s="648"/>
      <c r="Q2406" s="648"/>
      <c r="R2406" s="648"/>
      <c r="S2406" s="648"/>
      <c r="T2406" s="648"/>
      <c r="U2406" s="648"/>
      <c r="V2406" s="648"/>
      <c r="W2406" s="648"/>
      <c r="X2406" s="1799"/>
      <c r="Y2406" s="2100"/>
      <c r="Z2406" s="2091"/>
      <c r="AA2406" s="868"/>
      <c r="AB2406" s="648"/>
      <c r="AC2406" s="970"/>
      <c r="AD2406" s="970"/>
      <c r="AE2406" s="970"/>
      <c r="AF2406" s="648"/>
      <c r="AG2406" s="648"/>
      <c r="AH2406" s="648"/>
      <c r="AI2406" s="648"/>
      <c r="AJ2406" s="648"/>
      <c r="AK2406" s="648"/>
      <c r="AL2406" s="1336"/>
      <c r="AM2406" s="1336"/>
      <c r="AN2406" s="1336"/>
      <c r="AO2406" s="1336"/>
      <c r="AP2406" s="1336"/>
      <c r="AQ2406" s="1336"/>
      <c r="AR2406" s="1336"/>
      <c r="AS2406" s="1336"/>
      <c r="AT2406" s="648"/>
      <c r="AU2406" s="648"/>
      <c r="AV2406" s="648"/>
      <c r="AW2406" s="648"/>
      <c r="AX2406" s="648"/>
      <c r="AY2406" s="648"/>
      <c r="AZ2406" s="648"/>
      <c r="BA2406" s="648"/>
      <c r="BB2406" s="648"/>
      <c r="BC2406" s="648"/>
      <c r="BD2406" s="648"/>
      <c r="BE2406" s="648"/>
      <c r="BF2406" s="648"/>
      <c r="BG2406" s="648"/>
      <c r="BH2406" s="648"/>
    </row>
    <row r="2407" spans="1:60" ht="15.75" thickBot="1" x14ac:dyDescent="0.3">
      <c r="A2407" s="2371">
        <v>10</v>
      </c>
      <c r="B2407" s="2385">
        <v>1002.4</v>
      </c>
      <c r="C2407" s="2374" t="s">
        <v>428</v>
      </c>
      <c r="D2407" s="2374"/>
      <c r="E2407" s="2374"/>
      <c r="F2407" s="2374"/>
      <c r="G2407" s="2373" t="str">
        <f t="shared" si="124"/>
        <v/>
      </c>
      <c r="H2407" s="2371" t="s">
        <v>3973</v>
      </c>
      <c r="I2407" s="240"/>
      <c r="J2407" s="673" t="s">
        <v>428</v>
      </c>
      <c r="K2407" s="681"/>
      <c r="L2407" s="1171" t="s">
        <v>4552</v>
      </c>
      <c r="M2407" s="1013"/>
      <c r="N2407" s="1052"/>
      <c r="O2407" s="1045"/>
      <c r="P2407" s="99"/>
      <c r="Q2407" s="99"/>
      <c r="R2407" s="99"/>
      <c r="S2407" s="99"/>
      <c r="T2407" s="99"/>
      <c r="U2407" s="99"/>
      <c r="V2407" s="99"/>
      <c r="W2407" s="99"/>
      <c r="X2407" s="1800"/>
      <c r="Y2407" s="2102"/>
      <c r="Z2407" s="2090"/>
      <c r="AA2407"/>
      <c r="AC2407" s="970"/>
      <c r="AD2407" s="970"/>
      <c r="AE2407" s="970"/>
      <c r="AF2407"/>
      <c r="AG2407"/>
      <c r="AH2407"/>
      <c r="AI2407"/>
      <c r="AJ2407"/>
      <c r="AK2407"/>
      <c r="AL2407" s="1336"/>
      <c r="AM2407" s="1336"/>
      <c r="AN2407" s="1336"/>
      <c r="AO2407" s="1336"/>
      <c r="AP2407" s="1336"/>
      <c r="AQ2407" s="1336"/>
      <c r="AR2407" s="1336"/>
      <c r="AS2407" s="1336"/>
      <c r="AT2407"/>
    </row>
    <row r="2408" spans="1:60" s="868" customFormat="1" ht="15.75" thickTop="1" x14ac:dyDescent="0.25">
      <c r="A2408" s="2371">
        <v>10</v>
      </c>
      <c r="B2408" s="2385" t="s">
        <v>4553</v>
      </c>
      <c r="C2408" s="2385"/>
      <c r="D2408" s="585"/>
      <c r="E2408" s="585"/>
      <c r="F2408" s="585"/>
      <c r="G2408" s="2373" t="str">
        <f>IF(N2408&gt;0,"P","")</f>
        <v/>
      </c>
      <c r="H2408" s="2371" t="s">
        <v>3973</v>
      </c>
      <c r="I2408" s="667" t="s">
        <v>4553</v>
      </c>
      <c r="J2408" s="667"/>
      <c r="K2408" s="679"/>
      <c r="L2408" s="1884" t="s">
        <v>4555</v>
      </c>
      <c r="M2408" s="1767" t="s">
        <v>4572</v>
      </c>
      <c r="N2408" s="2080">
        <f>'Ch10'!O165</f>
        <v>0</v>
      </c>
      <c r="O2408" s="2075">
        <f>ROUNDDOWN(COUNTIF(W2410:W2419,TRUE)/2,0)</f>
        <v>0</v>
      </c>
      <c r="P2408" s="911"/>
      <c r="Q2408" s="911"/>
      <c r="R2408" s="911"/>
      <c r="S2408" s="911"/>
      <c r="T2408" s="911"/>
      <c r="U2408" s="911"/>
      <c r="V2408" s="911"/>
      <c r="W2408" s="911"/>
      <c r="X2408" s="911"/>
      <c r="Z2408" s="731"/>
      <c r="AA2408"/>
      <c r="AC2408" s="970"/>
      <c r="AD2408" s="970"/>
      <c r="AE2408" s="970"/>
      <c r="AL2408" s="254" t="str">
        <f>SUBSTITUTE(SUBSTITUTE(SUBSTITUTE("vpa"&amp;$B2408&amp;$C2408&amp;$D2408&amp;$E2408,".","_"),"(","_"),")","")</f>
        <v>vpa1002_5</v>
      </c>
      <c r="AM2408" s="254" t="str">
        <f>M2408</f>
        <v>1 per 2 items</v>
      </c>
      <c r="AN2408" s="254" t="str">
        <f>SUBSTITUTE(SUBSTITUTE(SUBSTITUTE("vpc"&amp;$B2408&amp;$C2408&amp;$D2408&amp;$E2408,".","_"),"(","_"),")","")</f>
        <v>vpc1002_5</v>
      </c>
      <c r="AO2408" s="254">
        <f>O2408</f>
        <v>0</v>
      </c>
      <c r="AP2408" s="1336"/>
      <c r="AQ2408" s="1336"/>
      <c r="AR2408" s="1336"/>
      <c r="AS2408" s="1336"/>
    </row>
    <row r="2409" spans="1:60" x14ac:dyDescent="0.25">
      <c r="A2409" s="2371">
        <v>10</v>
      </c>
      <c r="B2409" s="2385" t="s">
        <v>4553</v>
      </c>
      <c r="C2409" s="2385"/>
      <c r="G2409" s="2373" t="str">
        <f t="shared" ref="G2409:G2430" si="125">G2408</f>
        <v/>
      </c>
      <c r="H2409" s="2371" t="s">
        <v>3973</v>
      </c>
      <c r="I2409" s="667"/>
      <c r="J2409" s="667"/>
      <c r="K2409" s="679"/>
      <c r="L2409" s="1884"/>
      <c r="M2409" s="1767"/>
      <c r="N2409" s="1927"/>
      <c r="O2409" s="2075"/>
      <c r="P2409" s="911"/>
      <c r="Q2409" s="911"/>
      <c r="R2409" s="911"/>
      <c r="S2409" s="911"/>
      <c r="T2409" s="911"/>
      <c r="U2409" s="911"/>
      <c r="V2409" s="911"/>
      <c r="W2409" s="911"/>
      <c r="X2409" s="911"/>
      <c r="Y2409"/>
      <c r="AA2409"/>
      <c r="AC2409" s="970"/>
      <c r="AD2409" s="970"/>
      <c r="AE2409" s="970"/>
      <c r="AF2409"/>
      <c r="AG2409"/>
      <c r="AH2409"/>
      <c r="AI2409"/>
      <c r="AJ2409"/>
      <c r="AK2409"/>
      <c r="AL2409" s="1336"/>
      <c r="AM2409" s="1336"/>
      <c r="AN2409" s="1336"/>
      <c r="AO2409" s="1336"/>
      <c r="AP2409" s="1336"/>
      <c r="AQ2409" s="1336"/>
      <c r="AR2409" s="1336"/>
      <c r="AS2409" s="1336"/>
      <c r="AT2409"/>
    </row>
    <row r="2410" spans="1:60" x14ac:dyDescent="0.25">
      <c r="A2410" s="2371">
        <v>10</v>
      </c>
      <c r="B2410" s="2385" t="s">
        <v>4553</v>
      </c>
      <c r="C2410" s="2385" t="s">
        <v>256</v>
      </c>
      <c r="G2410" s="2373" t="str">
        <f t="shared" si="125"/>
        <v/>
      </c>
      <c r="H2410" s="2371" t="s">
        <v>3973</v>
      </c>
      <c r="I2410" s="667"/>
      <c r="J2410" s="667" t="s">
        <v>256</v>
      </c>
      <c r="K2410" s="679"/>
      <c r="L2410" s="1170" t="s">
        <v>4556</v>
      </c>
      <c r="M2410" s="1023" t="str">
        <f>IF(R2410,"Mandatory","N/A")</f>
        <v>N/A</v>
      </c>
      <c r="N2410" s="1044"/>
      <c r="O2410" s="1042"/>
      <c r="P2410" s="911" t="b">
        <v>0</v>
      </c>
      <c r="Q2410" s="911" t="b">
        <v>1</v>
      </c>
      <c r="R2410" s="911" t="b">
        <f>S2410</f>
        <v>0</v>
      </c>
      <c r="S2410" s="911" t="b">
        <f>IF(AY2262=INDEX(ddSingleOrMulti,2),TRUE,FALSE)</f>
        <v>0</v>
      </c>
      <c r="T2410" s="911" t="b">
        <f>AND(NOT(S2410),W2410=TRUE)</f>
        <v>0</v>
      </c>
      <c r="U2410"/>
      <c r="V2410"/>
      <c r="W2410" s="25"/>
      <c r="X2410" s="918"/>
      <c r="Y2410" s="939" t="str">
        <f>IF(LEN('Ch10'!X167)=0,"None",'Ch10'!X167)</f>
        <v>None</v>
      </c>
      <c r="Z2410" s="1599"/>
      <c r="AA2410"/>
      <c r="AC2410" s="970" t="b">
        <f>OR(AD2410:AE2410)</f>
        <v>0</v>
      </c>
      <c r="AD2410" s="970" t="b">
        <f>T2410</f>
        <v>0</v>
      </c>
      <c r="AE2410" s="970" t="b">
        <f>AND(R2410,NOT(W2410=TRUE))</f>
        <v>0</v>
      </c>
      <c r="AF2410"/>
      <c r="AG2410"/>
      <c r="AH2410"/>
      <c r="AI2410"/>
      <c r="AJ2410"/>
      <c r="AK2410"/>
      <c r="AL2410" s="254" t="str">
        <f>SUBSTITUTE(SUBSTITUTE(SUBSTITUTE("vpa"&amp;$B2410&amp;$C2410&amp;$D2410&amp;$E2410,".","_"),"(","_"),")","")</f>
        <v>vpa1002_5_1</v>
      </c>
      <c r="AM2410" s="254" t="str">
        <f>M2410</f>
        <v>N/A</v>
      </c>
      <c r="AN2410" s="1336"/>
      <c r="AO2410" s="1336"/>
      <c r="AP2410" s="254" t="str">
        <f>SUBSTITUTE(SUBSTITUTE(SUBSTITUTE("vch"&amp;$B2410&amp;$C2410&amp;$D2410&amp;$E2410,".","_"),"(","_"),")","")</f>
        <v>vch1002_5_1</v>
      </c>
      <c r="AQ2410" s="254" t="str">
        <f>IF(LEN(W2410)=0,"",W2410)</f>
        <v/>
      </c>
      <c r="AR2410" s="254" t="str">
        <f>SUBSTITUTE(SUBSTITUTE(SUBSTITUTE("vnt"&amp;$B2410&amp;$C2410&amp;$D2410&amp;$E2410,".","_"),"(","_"),")","")</f>
        <v>vnt1002_5_1</v>
      </c>
      <c r="AS2410" s="254" t="str">
        <f>IF(LEN(X2410)=0,"",X2410)</f>
        <v/>
      </c>
      <c r="AT2410"/>
    </row>
    <row r="2411" spans="1:60" x14ac:dyDescent="0.25">
      <c r="A2411" s="2371">
        <v>10</v>
      </c>
      <c r="B2411" s="2385" t="s">
        <v>4553</v>
      </c>
      <c r="C2411" s="2385" t="s">
        <v>258</v>
      </c>
      <c r="G2411" s="2373" t="str">
        <f t="shared" si="125"/>
        <v/>
      </c>
      <c r="H2411" s="2371" t="s">
        <v>3973</v>
      </c>
      <c r="I2411" s="667"/>
      <c r="J2411" s="667" t="s">
        <v>258</v>
      </c>
      <c r="K2411" s="679"/>
      <c r="L2411" s="1170" t="s">
        <v>4557</v>
      </c>
      <c r="M2411" s="1023" t="str">
        <f>IF(R2411,"Mandatory","N/A")</f>
        <v>N/A</v>
      </c>
      <c r="N2411" s="1044"/>
      <c r="O2411" s="1042"/>
      <c r="P2411" s="911" t="b">
        <v>0</v>
      </c>
      <c r="Q2411" s="911" t="b">
        <v>1</v>
      </c>
      <c r="R2411" s="911" t="b">
        <f>S2411</f>
        <v>0</v>
      </c>
      <c r="S2411" s="911" t="b">
        <f>IF(AY2262=INDEX(ddSingleOrMulti,2),TRUE,FALSE)</f>
        <v>0</v>
      </c>
      <c r="T2411" s="911" t="b">
        <f>AND(NOT(S2411),W2411=TRUE)</f>
        <v>0</v>
      </c>
      <c r="U2411"/>
      <c r="V2411"/>
      <c r="W2411" s="25"/>
      <c r="X2411" s="918"/>
      <c r="Y2411" s="939" t="str">
        <f>IF(LEN('Ch10'!X168)=0,"None",'Ch10'!X168)</f>
        <v>None</v>
      </c>
      <c r="Z2411" s="1599"/>
      <c r="AA2411"/>
      <c r="AC2411" s="970" t="b">
        <f>OR(AD2411:AE2411)</f>
        <v>0</v>
      </c>
      <c r="AD2411" s="970" t="b">
        <f>T2411</f>
        <v>0</v>
      </c>
      <c r="AE2411" s="970" t="b">
        <f>AND(R2411,NOT(W2411=TRUE))</f>
        <v>0</v>
      </c>
      <c r="AF2411"/>
      <c r="AG2411"/>
      <c r="AH2411"/>
      <c r="AI2411"/>
      <c r="AJ2411"/>
      <c r="AK2411"/>
      <c r="AL2411" s="254" t="str">
        <f>SUBSTITUTE(SUBSTITUTE(SUBSTITUTE("vpa"&amp;$B2411&amp;$C2411&amp;$D2411&amp;$E2411,".","_"),"(","_"),")","")</f>
        <v>vpa1002_5_2</v>
      </c>
      <c r="AM2411" s="254" t="str">
        <f>M2411</f>
        <v>N/A</v>
      </c>
      <c r="AN2411" s="1336"/>
      <c r="AO2411" s="1336"/>
      <c r="AP2411" s="254" t="str">
        <f>SUBSTITUTE(SUBSTITUTE(SUBSTITUTE("vch"&amp;$B2411&amp;$C2411&amp;$D2411&amp;$E2411,".","_"),"(","_"),")","")</f>
        <v>vch1002_5_2</v>
      </c>
      <c r="AQ2411" s="254" t="str">
        <f>IF(LEN(W2411)=0,"",W2411)</f>
        <v/>
      </c>
      <c r="AR2411" s="254" t="str">
        <f>SUBSTITUTE(SUBSTITUTE(SUBSTITUTE("vnt"&amp;$B2411&amp;$C2411&amp;$D2411&amp;$E2411,".","_"),"(","_"),")","")</f>
        <v>vnt1002_5_2</v>
      </c>
      <c r="AS2411" s="254" t="str">
        <f>IF(LEN(X2411)=0,"",X2411)</f>
        <v/>
      </c>
      <c r="AT2411"/>
    </row>
    <row r="2412" spans="1:60" x14ac:dyDescent="0.25">
      <c r="A2412" s="2371">
        <v>10</v>
      </c>
      <c r="B2412" s="2385" t="s">
        <v>4553</v>
      </c>
      <c r="C2412" s="2385" t="s">
        <v>260</v>
      </c>
      <c r="G2412" s="2373" t="str">
        <f t="shared" si="125"/>
        <v/>
      </c>
      <c r="H2412" s="2371" t="s">
        <v>3973</v>
      </c>
      <c r="I2412" s="667"/>
      <c r="J2412" s="667" t="s">
        <v>260</v>
      </c>
      <c r="K2412" s="679"/>
      <c r="L2412" s="1841" t="s">
        <v>4558</v>
      </c>
      <c r="M2412" s="1023" t="str">
        <f>IF(R2412,"Mandatory","N/A")</f>
        <v>N/A</v>
      </c>
      <c r="N2412" s="1044"/>
      <c r="O2412" s="1042"/>
      <c r="P2412" s="911" t="b">
        <v>0</v>
      </c>
      <c r="Q2412" s="911" t="b">
        <v>1</v>
      </c>
      <c r="R2412" s="911" t="b">
        <f>S2412</f>
        <v>0</v>
      </c>
      <c r="S2412" s="911" t="b">
        <f>IF(AY2262=INDEX(ddSingleOrMulti,2),TRUE,FALSE)</f>
        <v>0</v>
      </c>
      <c r="T2412" s="911" t="b">
        <f>AND(NOT(S2412),W2412=TRUE)</f>
        <v>0</v>
      </c>
      <c r="U2412"/>
      <c r="V2412"/>
      <c r="W2412" s="25"/>
      <c r="X2412" s="1757"/>
      <c r="Y2412" s="2099" t="str">
        <f>IF(LEN('Ch10'!X169)=0,"None",'Ch10'!X169)</f>
        <v>None</v>
      </c>
      <c r="Z2412" s="2087"/>
      <c r="AA2412"/>
      <c r="AC2412" s="970" t="b">
        <f>OR(AD2412:AE2412)</f>
        <v>0</v>
      </c>
      <c r="AD2412" s="970" t="b">
        <f>T2412</f>
        <v>0</v>
      </c>
      <c r="AE2412" s="970" t="b">
        <f>AND(R2412,NOT(W2412=TRUE))</f>
        <v>0</v>
      </c>
      <c r="AF2412"/>
      <c r="AG2412"/>
      <c r="AH2412"/>
      <c r="AI2412"/>
      <c r="AJ2412"/>
      <c r="AK2412"/>
      <c r="AL2412" s="254" t="str">
        <f>SUBSTITUTE(SUBSTITUTE(SUBSTITUTE("vpa"&amp;$B2412&amp;$C2412&amp;$D2412&amp;$E2412,".","_"),"(","_"),")","")</f>
        <v>vpa1002_5_3</v>
      </c>
      <c r="AM2412" s="254" t="str">
        <f>M2412</f>
        <v>N/A</v>
      </c>
      <c r="AN2412" s="1336"/>
      <c r="AO2412" s="1336"/>
      <c r="AP2412" s="254" t="str">
        <f>SUBSTITUTE(SUBSTITUTE(SUBSTITUTE("vch"&amp;$B2412&amp;$C2412&amp;$D2412&amp;$E2412,".","_"),"(","_"),")","")</f>
        <v>vch1002_5_3</v>
      </c>
      <c r="AQ2412" s="254" t="str">
        <f>IF(LEN(W2412)=0,"",W2412)</f>
        <v/>
      </c>
      <c r="AR2412" s="254" t="str">
        <f>SUBSTITUTE(SUBSTITUTE(SUBSTITUTE("vnt"&amp;$B2412&amp;$C2412&amp;$D2412&amp;$E2412,".","_"),"(","_"),")","")</f>
        <v>vnt1002_5_3</v>
      </c>
      <c r="AS2412" s="254" t="str">
        <f>IF(LEN(X2412)=0,"",X2412)</f>
        <v/>
      </c>
      <c r="AT2412"/>
    </row>
    <row r="2413" spans="1:60" x14ac:dyDescent="0.25">
      <c r="A2413" s="2371">
        <v>10</v>
      </c>
      <c r="B2413" s="2385" t="s">
        <v>4553</v>
      </c>
      <c r="C2413" s="2385" t="s">
        <v>260</v>
      </c>
      <c r="G2413" s="2373" t="str">
        <f t="shared" si="125"/>
        <v/>
      </c>
      <c r="H2413" s="2371" t="s">
        <v>3973</v>
      </c>
      <c r="I2413" s="667"/>
      <c r="J2413" s="667"/>
      <c r="K2413" s="679"/>
      <c r="L2413" s="1841"/>
      <c r="M2413" s="1018"/>
      <c r="N2413" s="664"/>
      <c r="O2413" s="1042"/>
      <c r="P2413" s="911"/>
      <c r="Q2413" s="911"/>
      <c r="R2413" s="911"/>
      <c r="S2413" s="911"/>
      <c r="T2413" s="911"/>
      <c r="U2413"/>
      <c r="V2413"/>
      <c r="W2413"/>
      <c r="X2413" s="1757"/>
      <c r="Y2413" s="2097"/>
      <c r="Z2413" s="2085"/>
      <c r="AA2413"/>
      <c r="AC2413" s="970"/>
      <c r="AD2413" s="970"/>
      <c r="AE2413" s="970"/>
      <c r="AF2413"/>
      <c r="AG2413"/>
      <c r="AH2413"/>
      <c r="AI2413"/>
      <c r="AJ2413"/>
      <c r="AK2413"/>
      <c r="AL2413" s="1336"/>
      <c r="AM2413" s="1336"/>
      <c r="AN2413" s="1336"/>
      <c r="AO2413" s="1336"/>
      <c r="AP2413" s="1336"/>
      <c r="AQ2413" s="1336"/>
      <c r="AR2413" s="1336"/>
      <c r="AS2413" s="1336"/>
      <c r="AT2413"/>
    </row>
    <row r="2414" spans="1:60" x14ac:dyDescent="0.25">
      <c r="A2414" s="2371">
        <v>10</v>
      </c>
      <c r="B2414" s="2385" t="s">
        <v>4553</v>
      </c>
      <c r="C2414" s="2385" t="s">
        <v>269</v>
      </c>
      <c r="G2414" s="2373" t="str">
        <f t="shared" si="125"/>
        <v/>
      </c>
      <c r="H2414" s="2371" t="s">
        <v>3973</v>
      </c>
      <c r="I2414" s="667"/>
      <c r="J2414" s="667" t="s">
        <v>269</v>
      </c>
      <c r="K2414" s="679"/>
      <c r="L2414" s="1170" t="s">
        <v>4559</v>
      </c>
      <c r="M2414" s="1018"/>
      <c r="N2414" s="664"/>
      <c r="O2414" s="1042"/>
      <c r="P2414" s="911" t="b">
        <v>0</v>
      </c>
      <c r="Q2414" s="911" t="b">
        <v>1</v>
      </c>
      <c r="R2414" s="911" t="b">
        <v>0</v>
      </c>
      <c r="S2414" s="911" t="b">
        <f>IF(AY2262=INDEX(ddSingleOrMulti,2),TRUE,FALSE)</f>
        <v>0</v>
      </c>
      <c r="T2414" s="911" t="b">
        <f t="shared" ref="T2414:T2419" si="126">AND(NOT(S2414),W2414=TRUE)</f>
        <v>0</v>
      </c>
      <c r="U2414"/>
      <c r="V2414"/>
      <c r="W2414" s="25"/>
      <c r="X2414" s="918"/>
      <c r="Y2414" s="939" t="str">
        <f>IF(LEN('Ch10'!X171)=0,"None",'Ch10'!X171)</f>
        <v>None</v>
      </c>
      <c r="Z2414" s="1599"/>
      <c r="AA2414"/>
      <c r="AC2414" s="970" t="b">
        <f t="shared" ref="AC2414:AC2419" si="127">OR(AD2414:AE2414)</f>
        <v>0</v>
      </c>
      <c r="AD2414" s="970" t="b">
        <f t="shared" ref="AD2414:AD2419" si="128">T2414</f>
        <v>0</v>
      </c>
      <c r="AE2414" s="970"/>
      <c r="AF2414"/>
      <c r="AG2414"/>
      <c r="AH2414"/>
      <c r="AI2414"/>
      <c r="AJ2414"/>
      <c r="AK2414"/>
      <c r="AL2414" s="1336"/>
      <c r="AM2414" s="1336"/>
      <c r="AN2414" s="1336"/>
      <c r="AO2414" s="1336"/>
      <c r="AP2414" s="254" t="str">
        <f t="shared" ref="AP2414:AP2419" si="129">SUBSTITUTE(SUBSTITUTE(SUBSTITUTE("vch"&amp;$B2414&amp;$C2414&amp;$D2414&amp;$E2414,".","_"),"(","_"),")","")</f>
        <v>vch1002_5_4</v>
      </c>
      <c r="AQ2414" s="254" t="str">
        <f t="shared" ref="AQ2414:AQ2419" si="130">IF(LEN(W2414)=0,"",W2414)</f>
        <v/>
      </c>
      <c r="AR2414" s="254" t="str">
        <f t="shared" ref="AR2414:AR2419" si="131">SUBSTITUTE(SUBSTITUTE(SUBSTITUTE("vnt"&amp;$B2414&amp;$C2414&amp;$D2414&amp;$E2414,".","_"),"(","_"),")","")</f>
        <v>vnt1002_5_4</v>
      </c>
      <c r="AS2414" s="254" t="str">
        <f t="shared" ref="AS2414:AS2419" si="132">IF(LEN(X2414)=0,"",X2414)</f>
        <v/>
      </c>
      <c r="AT2414"/>
    </row>
    <row r="2415" spans="1:60" x14ac:dyDescent="0.25">
      <c r="A2415" s="2371">
        <v>10</v>
      </c>
      <c r="B2415" s="2385" t="s">
        <v>4553</v>
      </c>
      <c r="C2415" s="2385" t="s">
        <v>275</v>
      </c>
      <c r="G2415" s="2373" t="str">
        <f t="shared" si="125"/>
        <v/>
      </c>
      <c r="H2415" s="2371" t="s">
        <v>3973</v>
      </c>
      <c r="I2415" s="667"/>
      <c r="J2415" s="667" t="s">
        <v>275</v>
      </c>
      <c r="K2415" s="679"/>
      <c r="L2415" s="1170" t="s">
        <v>4560</v>
      </c>
      <c r="M2415" s="1018"/>
      <c r="N2415" s="664"/>
      <c r="O2415" s="1042"/>
      <c r="P2415" s="911" t="b">
        <v>0</v>
      </c>
      <c r="Q2415" s="911" t="b">
        <v>1</v>
      </c>
      <c r="R2415" s="911" t="b">
        <v>0</v>
      </c>
      <c r="S2415" s="911" t="b">
        <f>IF(AY2262=INDEX(ddSingleOrMulti,2),TRUE,FALSE)</f>
        <v>0</v>
      </c>
      <c r="T2415" s="911" t="b">
        <f t="shared" si="126"/>
        <v>0</v>
      </c>
      <c r="U2415"/>
      <c r="V2415"/>
      <c r="W2415" s="25"/>
      <c r="X2415" s="918"/>
      <c r="Y2415" s="939" t="str">
        <f>IF(LEN('Ch10'!X172)=0,"None",'Ch10'!X172)</f>
        <v>None</v>
      </c>
      <c r="Z2415" s="1599"/>
      <c r="AA2415"/>
      <c r="AC2415" s="970" t="b">
        <f t="shared" si="127"/>
        <v>0</v>
      </c>
      <c r="AD2415" s="970" t="b">
        <f t="shared" si="128"/>
        <v>0</v>
      </c>
      <c r="AE2415" s="970"/>
      <c r="AF2415"/>
      <c r="AG2415"/>
      <c r="AH2415"/>
      <c r="AI2415"/>
      <c r="AJ2415"/>
      <c r="AK2415"/>
      <c r="AL2415" s="1336"/>
      <c r="AM2415" s="1336"/>
      <c r="AN2415" s="1336"/>
      <c r="AO2415" s="1336"/>
      <c r="AP2415" s="254" t="str">
        <f t="shared" si="129"/>
        <v>vch1002_5_5</v>
      </c>
      <c r="AQ2415" s="254" t="str">
        <f t="shared" si="130"/>
        <v/>
      </c>
      <c r="AR2415" s="254" t="str">
        <f t="shared" si="131"/>
        <v>vnt1002_5_5</v>
      </c>
      <c r="AS2415" s="254" t="str">
        <f t="shared" si="132"/>
        <v/>
      </c>
      <c r="AT2415"/>
    </row>
    <row r="2416" spans="1:60" x14ac:dyDescent="0.25">
      <c r="A2416" s="2371">
        <v>10</v>
      </c>
      <c r="B2416" s="2385" t="s">
        <v>4553</v>
      </c>
      <c r="C2416" s="2385" t="s">
        <v>277</v>
      </c>
      <c r="G2416" s="2373" t="str">
        <f t="shared" si="125"/>
        <v/>
      </c>
      <c r="H2416" s="2371" t="s">
        <v>3973</v>
      </c>
      <c r="I2416" s="667"/>
      <c r="J2416" s="667" t="s">
        <v>277</v>
      </c>
      <c r="K2416" s="679"/>
      <c r="L2416" s="1170" t="s">
        <v>4561</v>
      </c>
      <c r="M2416" s="1018"/>
      <c r="N2416" s="664"/>
      <c r="O2416" s="1042"/>
      <c r="P2416" s="911" t="b">
        <v>0</v>
      </c>
      <c r="Q2416" s="911" t="b">
        <v>1</v>
      </c>
      <c r="R2416" s="911" t="b">
        <v>0</v>
      </c>
      <c r="S2416" s="911" t="b">
        <f>IF(AY2262=INDEX(ddSingleOrMulti,2),TRUE,FALSE)</f>
        <v>0</v>
      </c>
      <c r="T2416" s="911" t="b">
        <f t="shared" si="126"/>
        <v>0</v>
      </c>
      <c r="U2416"/>
      <c r="V2416"/>
      <c r="W2416" s="25"/>
      <c r="X2416" s="918"/>
      <c r="Y2416" s="939" t="str">
        <f>IF(LEN('Ch10'!X173)=0,"None",'Ch10'!X173)</f>
        <v>None</v>
      </c>
      <c r="Z2416" s="1599"/>
      <c r="AA2416"/>
      <c r="AC2416" s="970" t="b">
        <f t="shared" si="127"/>
        <v>0</v>
      </c>
      <c r="AD2416" s="970" t="b">
        <f t="shared" si="128"/>
        <v>0</v>
      </c>
      <c r="AE2416" s="970"/>
      <c r="AF2416"/>
      <c r="AG2416"/>
      <c r="AH2416"/>
      <c r="AI2416"/>
      <c r="AJ2416"/>
      <c r="AK2416"/>
      <c r="AL2416" s="1336"/>
      <c r="AM2416" s="1336"/>
      <c r="AN2416" s="1336"/>
      <c r="AO2416" s="1336"/>
      <c r="AP2416" s="254" t="str">
        <f t="shared" si="129"/>
        <v>vch1002_5_6</v>
      </c>
      <c r="AQ2416" s="254" t="str">
        <f t="shared" si="130"/>
        <v/>
      </c>
      <c r="AR2416" s="254" t="str">
        <f t="shared" si="131"/>
        <v>vnt1002_5_6</v>
      </c>
      <c r="AS2416" s="254" t="str">
        <f t="shared" si="132"/>
        <v/>
      </c>
      <c r="AT2416"/>
    </row>
    <row r="2417" spans="1:60" x14ac:dyDescent="0.25">
      <c r="A2417" s="2371">
        <v>10</v>
      </c>
      <c r="B2417" s="2385" t="s">
        <v>4553</v>
      </c>
      <c r="C2417" s="2385" t="s">
        <v>383</v>
      </c>
      <c r="G2417" s="2373" t="str">
        <f t="shared" si="125"/>
        <v/>
      </c>
      <c r="H2417" s="2371" t="s">
        <v>3973</v>
      </c>
      <c r="I2417" s="667"/>
      <c r="J2417" s="667" t="s">
        <v>383</v>
      </c>
      <c r="K2417" s="679"/>
      <c r="L2417" s="1170" t="s">
        <v>4562</v>
      </c>
      <c r="M2417" s="1018"/>
      <c r="N2417" s="664"/>
      <c r="O2417" s="1042"/>
      <c r="P2417" s="911" t="b">
        <v>0</v>
      </c>
      <c r="Q2417" s="911" t="b">
        <v>1</v>
      </c>
      <c r="R2417" s="911" t="b">
        <v>0</v>
      </c>
      <c r="S2417" s="911" t="b">
        <f>IF(AY2262=INDEX(ddSingleOrMulti,2),TRUE,FALSE)</f>
        <v>0</v>
      </c>
      <c r="T2417" s="911" t="b">
        <f t="shared" si="126"/>
        <v>0</v>
      </c>
      <c r="U2417"/>
      <c r="V2417"/>
      <c r="W2417" s="25"/>
      <c r="X2417" s="918"/>
      <c r="Y2417" s="939" t="str">
        <f>IF(LEN('Ch10'!X174)=0,"None",'Ch10'!X174)</f>
        <v>None</v>
      </c>
      <c r="Z2417" s="1599"/>
      <c r="AA2417"/>
      <c r="AC2417" s="970" t="b">
        <f t="shared" si="127"/>
        <v>0</v>
      </c>
      <c r="AD2417" s="970" t="b">
        <f t="shared" si="128"/>
        <v>0</v>
      </c>
      <c r="AE2417" s="970"/>
      <c r="AF2417"/>
      <c r="AG2417"/>
      <c r="AH2417"/>
      <c r="AI2417"/>
      <c r="AJ2417"/>
      <c r="AK2417"/>
      <c r="AL2417" s="1336"/>
      <c r="AM2417" s="1336"/>
      <c r="AN2417" s="1336"/>
      <c r="AO2417" s="1336"/>
      <c r="AP2417" s="254" t="str">
        <f t="shared" si="129"/>
        <v>vch1002_5_7</v>
      </c>
      <c r="AQ2417" s="254" t="str">
        <f t="shared" si="130"/>
        <v/>
      </c>
      <c r="AR2417" s="254" t="str">
        <f t="shared" si="131"/>
        <v>vnt1002_5_7</v>
      </c>
      <c r="AS2417" s="254" t="str">
        <f t="shared" si="132"/>
        <v/>
      </c>
      <c r="AT2417"/>
    </row>
    <row r="2418" spans="1:60" x14ac:dyDescent="0.25">
      <c r="A2418" s="2371">
        <v>10</v>
      </c>
      <c r="B2418" s="2385" t="s">
        <v>4553</v>
      </c>
      <c r="C2418" s="2385" t="s">
        <v>428</v>
      </c>
      <c r="G2418" s="2373" t="str">
        <f t="shared" si="125"/>
        <v/>
      </c>
      <c r="H2418" s="2371" t="s">
        <v>3973</v>
      </c>
      <c r="I2418" s="667"/>
      <c r="J2418" s="667" t="s">
        <v>428</v>
      </c>
      <c r="K2418" s="679"/>
      <c r="L2418" s="1170" t="s">
        <v>4563</v>
      </c>
      <c r="M2418" s="1018"/>
      <c r="N2418" s="664"/>
      <c r="O2418" s="1042"/>
      <c r="P2418" s="911" t="b">
        <v>0</v>
      </c>
      <c r="Q2418" s="911" t="b">
        <v>1</v>
      </c>
      <c r="R2418" s="911" t="b">
        <v>0</v>
      </c>
      <c r="S2418" s="911" t="b">
        <f>IF(AY2262=INDEX(ddSingleOrMulti,2),TRUE,FALSE)</f>
        <v>0</v>
      </c>
      <c r="T2418" s="911" t="b">
        <f t="shared" si="126"/>
        <v>0</v>
      </c>
      <c r="U2418"/>
      <c r="V2418"/>
      <c r="W2418" s="25"/>
      <c r="X2418" s="918"/>
      <c r="Y2418" s="939" t="str">
        <f>IF(LEN('Ch10'!X175)=0,"None",'Ch10'!X175)</f>
        <v>None</v>
      </c>
      <c r="Z2418" s="1599"/>
      <c r="AA2418"/>
      <c r="AC2418" s="970" t="b">
        <f t="shared" si="127"/>
        <v>0</v>
      </c>
      <c r="AD2418" s="970" t="b">
        <f t="shared" si="128"/>
        <v>0</v>
      </c>
      <c r="AE2418" s="970"/>
      <c r="AF2418"/>
      <c r="AG2418"/>
      <c r="AH2418"/>
      <c r="AI2418"/>
      <c r="AJ2418"/>
      <c r="AK2418"/>
      <c r="AL2418" s="1336"/>
      <c r="AM2418" s="1336"/>
      <c r="AN2418" s="1336"/>
      <c r="AO2418" s="1336"/>
      <c r="AP2418" s="254" t="str">
        <f t="shared" si="129"/>
        <v>vch1002_5_8</v>
      </c>
      <c r="AQ2418" s="254" t="str">
        <f t="shared" si="130"/>
        <v/>
      </c>
      <c r="AR2418" s="254" t="str">
        <f t="shared" si="131"/>
        <v>vnt1002_5_8</v>
      </c>
      <c r="AS2418" s="254" t="str">
        <f t="shared" si="132"/>
        <v/>
      </c>
      <c r="AT2418"/>
    </row>
    <row r="2419" spans="1:60" ht="15.75" thickBot="1" x14ac:dyDescent="0.3">
      <c r="A2419" s="2371">
        <v>10</v>
      </c>
      <c r="B2419" s="2385" t="s">
        <v>4553</v>
      </c>
      <c r="C2419" s="2385" t="s">
        <v>430</v>
      </c>
      <c r="G2419" s="2373" t="str">
        <f t="shared" si="125"/>
        <v/>
      </c>
      <c r="H2419" s="2371" t="s">
        <v>3973</v>
      </c>
      <c r="I2419" s="673"/>
      <c r="J2419" s="673" t="s">
        <v>430</v>
      </c>
      <c r="K2419" s="681"/>
      <c r="L2419" s="1171" t="s">
        <v>4564</v>
      </c>
      <c r="M2419" s="1013"/>
      <c r="N2419" s="1052"/>
      <c r="O2419" s="1045"/>
      <c r="P2419" s="99" t="b">
        <v>0</v>
      </c>
      <c r="Q2419" s="99" t="b">
        <v>1</v>
      </c>
      <c r="R2419" s="99" t="b">
        <v>0</v>
      </c>
      <c r="S2419" s="99" t="b">
        <f>IF(AY2262=INDEX(ddSingleOrMulti,2),TRUE,FALSE)</f>
        <v>0</v>
      </c>
      <c r="T2419" s="99" t="b">
        <f t="shared" si="126"/>
        <v>0</v>
      </c>
      <c r="U2419" s="99"/>
      <c r="V2419" s="99"/>
      <c r="W2419" s="100"/>
      <c r="X2419" s="914"/>
      <c r="Y2419" s="938" t="str">
        <f>IF(LEN('Ch10'!X176)=0,"None",'Ch10'!X176)</f>
        <v>None</v>
      </c>
      <c r="Z2419" s="1595"/>
      <c r="AA2419"/>
      <c r="AC2419" s="970" t="b">
        <f t="shared" si="127"/>
        <v>0</v>
      </c>
      <c r="AD2419" s="970" t="b">
        <f t="shared" si="128"/>
        <v>0</v>
      </c>
      <c r="AE2419" s="970"/>
      <c r="AF2419"/>
      <c r="AG2419"/>
      <c r="AH2419"/>
      <c r="AI2419"/>
      <c r="AJ2419"/>
      <c r="AK2419"/>
      <c r="AL2419" s="1336"/>
      <c r="AM2419" s="1336"/>
      <c r="AN2419" s="1336"/>
      <c r="AO2419" s="1336"/>
      <c r="AP2419" s="254" t="str">
        <f t="shared" si="129"/>
        <v>vch1002_5_9</v>
      </c>
      <c r="AQ2419" s="254" t="str">
        <f t="shared" si="130"/>
        <v/>
      </c>
      <c r="AR2419" s="254" t="str">
        <f t="shared" si="131"/>
        <v>vnt1002_5_9</v>
      </c>
      <c r="AS2419" s="254" t="str">
        <f t="shared" si="132"/>
        <v/>
      </c>
      <c r="AT2419"/>
    </row>
    <row r="2420" spans="1:60" ht="15.75" thickTop="1" x14ac:dyDescent="0.25">
      <c r="A2420" s="2371">
        <v>10</v>
      </c>
      <c r="B2420" s="2385" t="s">
        <v>4554</v>
      </c>
      <c r="E2420" s="2385"/>
      <c r="G2420" s="2373" t="str">
        <f>IF(N2420&gt;0,"P","")</f>
        <v/>
      </c>
      <c r="H2420" s="2371" t="s">
        <v>3973</v>
      </c>
      <c r="I2420" s="667" t="s">
        <v>4554</v>
      </c>
      <c r="J2420" s="667"/>
      <c r="K2420" s="679"/>
      <c r="L2420" s="1884" t="s">
        <v>4565</v>
      </c>
      <c r="M2420" s="1767" t="s">
        <v>4572</v>
      </c>
      <c r="N2420" s="2080">
        <f>'Ch10'!O177</f>
        <v>0</v>
      </c>
      <c r="O2420" s="2075">
        <f>ROUNDDOWN(COUNTIF(W2424:W2430,TRUE)/2,0)</f>
        <v>0</v>
      </c>
      <c r="P2420" s="911"/>
      <c r="Q2420" s="911"/>
      <c r="R2420" s="911"/>
      <c r="S2420" s="911"/>
      <c r="T2420" s="911"/>
      <c r="U2420"/>
      <c r="V2420"/>
      <c r="W2420"/>
      <c r="X2420"/>
      <c r="Y2420"/>
      <c r="AA2420"/>
      <c r="AC2420" s="970"/>
      <c r="AD2420" s="970"/>
      <c r="AE2420" s="970"/>
      <c r="AF2420"/>
      <c r="AG2420"/>
      <c r="AH2420"/>
      <c r="AI2420"/>
      <c r="AJ2420"/>
      <c r="AK2420"/>
      <c r="AL2420" s="254" t="str">
        <f>SUBSTITUTE(SUBSTITUTE(SUBSTITUTE("vpa"&amp;$B2420&amp;$C2420&amp;$D2420&amp;$E2420,".","_"),"(","_"),")","")</f>
        <v>vpa1002_6</v>
      </c>
      <c r="AM2420" s="254" t="str">
        <f>M2420</f>
        <v>1 per 2 items</v>
      </c>
      <c r="AN2420" s="254" t="str">
        <f>SUBSTITUTE(SUBSTITUTE(SUBSTITUTE("vpc"&amp;$B2420&amp;$C2420&amp;$D2420&amp;$E2420,".","_"),"(","_"),")","")</f>
        <v>vpc1002_6</v>
      </c>
      <c r="AO2420" s="254">
        <f>O2420</f>
        <v>0</v>
      </c>
      <c r="AP2420" s="1336"/>
      <c r="AQ2420" s="1336"/>
      <c r="AR2420" s="1336"/>
      <c r="AS2420" s="1336"/>
      <c r="AT2420"/>
    </row>
    <row r="2421" spans="1:60" x14ac:dyDescent="0.25">
      <c r="A2421" s="2371">
        <v>10</v>
      </c>
      <c r="B2421" s="2385" t="s">
        <v>4554</v>
      </c>
      <c r="E2421" s="2385"/>
      <c r="G2421" s="2373" t="str">
        <f t="shared" si="125"/>
        <v/>
      </c>
      <c r="H2421" s="2371" t="s">
        <v>3973</v>
      </c>
      <c r="I2421" s="667"/>
      <c r="J2421" s="667"/>
      <c r="K2421" s="679"/>
      <c r="L2421" s="1884"/>
      <c r="M2421" s="1767"/>
      <c r="N2421" s="1927"/>
      <c r="O2421" s="2075"/>
      <c r="P2421" s="911"/>
      <c r="Q2421" s="911"/>
      <c r="R2421" s="911"/>
      <c r="S2421" s="911"/>
      <c r="T2421" s="911"/>
      <c r="U2421"/>
      <c r="V2421"/>
      <c r="W2421"/>
      <c r="X2421"/>
      <c r="Y2421"/>
      <c r="AA2421"/>
      <c r="AC2421" s="970"/>
      <c r="AD2421" s="970"/>
      <c r="AE2421" s="970"/>
      <c r="AF2421"/>
      <c r="AG2421"/>
      <c r="AH2421"/>
      <c r="AI2421"/>
      <c r="AJ2421"/>
      <c r="AK2421"/>
      <c r="AL2421" s="1336"/>
      <c r="AM2421" s="1336"/>
      <c r="AN2421" s="1336"/>
      <c r="AO2421" s="1336"/>
      <c r="AP2421" s="1336"/>
      <c r="AQ2421" s="1336"/>
      <c r="AR2421" s="1336"/>
      <c r="AS2421" s="1336"/>
      <c r="AT2421"/>
    </row>
    <row r="2422" spans="1:60" x14ac:dyDescent="0.25">
      <c r="A2422" s="2371">
        <v>10</v>
      </c>
      <c r="B2422" s="2385" t="s">
        <v>4554</v>
      </c>
      <c r="E2422" s="2385"/>
      <c r="G2422" s="2373" t="str">
        <f t="shared" si="125"/>
        <v/>
      </c>
      <c r="H2422" s="2371" t="s">
        <v>3973</v>
      </c>
      <c r="I2422" s="667"/>
      <c r="J2422" s="667"/>
      <c r="K2422" s="679"/>
      <c r="L2422" s="1884"/>
      <c r="M2422" s="1767"/>
      <c r="N2422" s="1927"/>
      <c r="O2422" s="2075"/>
      <c r="P2422" s="911"/>
      <c r="Q2422" s="911"/>
      <c r="R2422" s="911"/>
      <c r="S2422" s="911"/>
      <c r="T2422" s="911"/>
      <c r="U2422"/>
      <c r="V2422"/>
      <c r="W2422"/>
      <c r="X2422"/>
      <c r="Y2422"/>
      <c r="AA2422"/>
      <c r="AC2422" s="970"/>
      <c r="AD2422" s="970"/>
      <c r="AE2422" s="970"/>
      <c r="AF2422"/>
      <c r="AG2422"/>
      <c r="AH2422"/>
      <c r="AI2422"/>
      <c r="AJ2422"/>
      <c r="AK2422"/>
      <c r="AL2422" s="1336"/>
      <c r="AM2422" s="1336"/>
      <c r="AN2422" s="1336"/>
      <c r="AO2422" s="1336"/>
      <c r="AP2422" s="1336"/>
      <c r="AQ2422" s="1336"/>
      <c r="AR2422" s="1336"/>
      <c r="AS2422" s="1336"/>
      <c r="AT2422"/>
    </row>
    <row r="2423" spans="1:60" x14ac:dyDescent="0.25">
      <c r="A2423" s="2371">
        <v>10</v>
      </c>
      <c r="B2423" s="2385" t="s">
        <v>4554</v>
      </c>
      <c r="E2423" s="2385"/>
      <c r="G2423" s="2373" t="str">
        <f t="shared" si="125"/>
        <v/>
      </c>
      <c r="H2423" s="2371" t="s">
        <v>3973</v>
      </c>
      <c r="I2423" s="667"/>
      <c r="J2423" s="667"/>
      <c r="K2423" s="679"/>
      <c r="L2423" s="1884"/>
      <c r="M2423" s="1767"/>
      <c r="N2423" s="1927"/>
      <c r="O2423" s="2075"/>
      <c r="P2423" s="911"/>
      <c r="Q2423" s="911"/>
      <c r="R2423" s="911"/>
      <c r="S2423" s="911"/>
      <c r="T2423" s="911"/>
      <c r="U2423"/>
      <c r="V2423"/>
      <c r="W2423"/>
      <c r="X2423"/>
      <c r="Y2423"/>
      <c r="AA2423"/>
      <c r="AC2423" s="970"/>
      <c r="AD2423" s="970"/>
      <c r="AE2423" s="970"/>
      <c r="AF2423"/>
      <c r="AG2423"/>
      <c r="AH2423"/>
      <c r="AI2423"/>
      <c r="AJ2423"/>
      <c r="AK2423"/>
      <c r="AL2423" s="1336"/>
      <c r="AM2423" s="1336"/>
      <c r="AN2423" s="1336"/>
      <c r="AO2423" s="1336"/>
      <c r="AP2423" s="1336"/>
      <c r="AQ2423" s="1336"/>
      <c r="AR2423" s="1336"/>
      <c r="AS2423" s="1336"/>
      <c r="AT2423"/>
    </row>
    <row r="2424" spans="1:60" x14ac:dyDescent="0.25">
      <c r="A2424" s="2371">
        <v>10</v>
      </c>
      <c r="B2424" s="2385" t="s">
        <v>4554</v>
      </c>
      <c r="C2424" s="2385" t="s">
        <v>256</v>
      </c>
      <c r="G2424" s="2373" t="str">
        <f t="shared" si="125"/>
        <v/>
      </c>
      <c r="H2424" s="2371" t="s">
        <v>3973</v>
      </c>
      <c r="I2424" s="667"/>
      <c r="J2424" s="667" t="s">
        <v>256</v>
      </c>
      <c r="K2424" s="679"/>
      <c r="L2424" s="1170" t="s">
        <v>4566</v>
      </c>
      <c r="M2424" s="1018"/>
      <c r="N2424" s="664"/>
      <c r="O2424" s="1042"/>
      <c r="P2424" s="911" t="b">
        <v>0</v>
      </c>
      <c r="Q2424" s="911" t="b">
        <v>1</v>
      </c>
      <c r="R2424" s="911" t="b">
        <v>0</v>
      </c>
      <c r="S2424" s="911" t="b">
        <f>IF(AY2262=INDEX(ddSingleOrMulti,2),TRUE,FALSE)</f>
        <v>0</v>
      </c>
      <c r="T2424" s="911" t="b">
        <f t="shared" ref="T2424:T2430" si="133">AND(NOT(S2424),W2424=TRUE)</f>
        <v>0</v>
      </c>
      <c r="U2424"/>
      <c r="V2424"/>
      <c r="W2424" s="25"/>
      <c r="X2424" s="918"/>
      <c r="Y2424" s="939" t="str">
        <f>IF(LEN('Ch10'!X181)=0,"None",'Ch10'!X181)</f>
        <v>None</v>
      </c>
      <c r="Z2424" s="1599"/>
      <c r="AA2424"/>
      <c r="AC2424" s="970" t="b">
        <f t="shared" ref="AC2424:AC2430" si="134">OR(AD2424:AE2424)</f>
        <v>0</v>
      </c>
      <c r="AD2424" s="970" t="b">
        <f t="shared" ref="AD2424:AD2430" si="135">T2424</f>
        <v>0</v>
      </c>
      <c r="AE2424" s="970"/>
      <c r="AF2424"/>
      <c r="AG2424"/>
      <c r="AH2424"/>
      <c r="AI2424"/>
      <c r="AJ2424"/>
      <c r="AK2424"/>
      <c r="AL2424" s="1336"/>
      <c r="AM2424" s="1336"/>
      <c r="AN2424" s="1336"/>
      <c r="AO2424" s="1336"/>
      <c r="AP2424" s="254" t="str">
        <f t="shared" ref="AP2424:AP2430" si="136">SUBSTITUTE(SUBSTITUTE(SUBSTITUTE("vch"&amp;$B2424&amp;$C2424&amp;$D2424&amp;$E2424,".","_"),"(","_"),")","")</f>
        <v>vch1002_6_1</v>
      </c>
      <c r="AQ2424" s="254" t="str">
        <f t="shared" ref="AQ2424:AQ2430" si="137">IF(LEN(W2424)=0,"",W2424)</f>
        <v/>
      </c>
      <c r="AR2424" s="254" t="str">
        <f t="shared" ref="AR2424:AR2430" si="138">SUBSTITUTE(SUBSTITUTE(SUBSTITUTE("vnt"&amp;$B2424&amp;$C2424&amp;$D2424&amp;$E2424,".","_"),"(","_"),")","")</f>
        <v>vnt1002_6_1</v>
      </c>
      <c r="AS2424" s="254" t="str">
        <f t="shared" ref="AS2424:AS2430" si="139">IF(LEN(X2424)=0,"",X2424)</f>
        <v/>
      </c>
      <c r="AT2424"/>
    </row>
    <row r="2425" spans="1:60" x14ac:dyDescent="0.25">
      <c r="A2425" s="2371">
        <v>10</v>
      </c>
      <c r="B2425" s="2385" t="s">
        <v>4554</v>
      </c>
      <c r="C2425" s="2385" t="s">
        <v>258</v>
      </c>
      <c r="G2425" s="2373" t="str">
        <f t="shared" si="125"/>
        <v/>
      </c>
      <c r="H2425" s="2371" t="s">
        <v>3973</v>
      </c>
      <c r="I2425" s="667"/>
      <c r="J2425" s="667" t="s">
        <v>258</v>
      </c>
      <c r="K2425" s="679"/>
      <c r="L2425" s="1170" t="s">
        <v>4567</v>
      </c>
      <c r="M2425" s="1018"/>
      <c r="N2425" s="664"/>
      <c r="O2425" s="1042"/>
      <c r="P2425" s="911" t="b">
        <v>0</v>
      </c>
      <c r="Q2425" s="911" t="b">
        <v>1</v>
      </c>
      <c r="R2425" s="911" t="b">
        <v>0</v>
      </c>
      <c r="S2425" s="911" t="b">
        <f>IF(AY2262=INDEX(ddSingleOrMulti,2),TRUE,FALSE)</f>
        <v>0</v>
      </c>
      <c r="T2425" s="911" t="b">
        <f t="shared" si="133"/>
        <v>0</v>
      </c>
      <c r="U2425"/>
      <c r="V2425"/>
      <c r="W2425" s="25"/>
      <c r="X2425" s="918"/>
      <c r="Y2425" s="939" t="str">
        <f>IF(LEN('Ch10'!X182)=0,"None",'Ch10'!X182)</f>
        <v>None</v>
      </c>
      <c r="Z2425" s="1599"/>
      <c r="AA2425"/>
      <c r="AC2425" s="970" t="b">
        <f t="shared" si="134"/>
        <v>0</v>
      </c>
      <c r="AD2425" s="970" t="b">
        <f t="shared" si="135"/>
        <v>0</v>
      </c>
      <c r="AE2425" s="970"/>
      <c r="AF2425"/>
      <c r="AG2425"/>
      <c r="AH2425"/>
      <c r="AI2425"/>
      <c r="AJ2425"/>
      <c r="AK2425"/>
      <c r="AL2425" s="1336"/>
      <c r="AM2425" s="1336"/>
      <c r="AN2425" s="1336"/>
      <c r="AO2425" s="1336"/>
      <c r="AP2425" s="254" t="str">
        <f t="shared" si="136"/>
        <v>vch1002_6_2</v>
      </c>
      <c r="AQ2425" s="254" t="str">
        <f t="shared" si="137"/>
        <v/>
      </c>
      <c r="AR2425" s="254" t="str">
        <f t="shared" si="138"/>
        <v>vnt1002_6_2</v>
      </c>
      <c r="AS2425" s="254" t="str">
        <f t="shared" si="139"/>
        <v/>
      </c>
      <c r="AT2425"/>
    </row>
    <row r="2426" spans="1:60" x14ac:dyDescent="0.25">
      <c r="A2426" s="2371">
        <v>10</v>
      </c>
      <c r="B2426" s="2385" t="s">
        <v>4554</v>
      </c>
      <c r="C2426" s="2385" t="s">
        <v>260</v>
      </c>
      <c r="G2426" s="2373" t="str">
        <f t="shared" si="125"/>
        <v/>
      </c>
      <c r="H2426" s="2371" t="s">
        <v>3973</v>
      </c>
      <c r="I2426" s="667"/>
      <c r="J2426" s="667" t="s">
        <v>260</v>
      </c>
      <c r="K2426" s="679"/>
      <c r="L2426" s="1170" t="s">
        <v>4568</v>
      </c>
      <c r="M2426" s="1018"/>
      <c r="N2426" s="664"/>
      <c r="O2426" s="1042"/>
      <c r="P2426" s="911" t="b">
        <v>0</v>
      </c>
      <c r="Q2426" s="911" t="b">
        <v>1</v>
      </c>
      <c r="R2426" s="911" t="b">
        <v>0</v>
      </c>
      <c r="S2426" s="911" t="b">
        <f>IF(AY2262=INDEX(ddSingleOrMulti,2),TRUE,FALSE)</f>
        <v>0</v>
      </c>
      <c r="T2426" s="911" t="b">
        <f t="shared" si="133"/>
        <v>0</v>
      </c>
      <c r="U2426"/>
      <c r="V2426"/>
      <c r="W2426" s="25"/>
      <c r="X2426" s="918"/>
      <c r="Y2426" s="939" t="str">
        <f>IF(LEN('Ch10'!X183)=0,"None",'Ch10'!X183)</f>
        <v>None</v>
      </c>
      <c r="Z2426" s="1599"/>
      <c r="AA2426"/>
      <c r="AC2426" s="970" t="b">
        <f t="shared" si="134"/>
        <v>0</v>
      </c>
      <c r="AD2426" s="970" t="b">
        <f t="shared" si="135"/>
        <v>0</v>
      </c>
      <c r="AE2426" s="970"/>
      <c r="AF2426"/>
      <c r="AG2426"/>
      <c r="AH2426"/>
      <c r="AI2426"/>
      <c r="AJ2426"/>
      <c r="AK2426"/>
      <c r="AL2426" s="1336"/>
      <c r="AM2426" s="1336"/>
      <c r="AN2426" s="1336"/>
      <c r="AO2426" s="1336"/>
      <c r="AP2426" s="254" t="str">
        <f t="shared" si="136"/>
        <v>vch1002_6_3</v>
      </c>
      <c r="AQ2426" s="254" t="str">
        <f t="shared" si="137"/>
        <v/>
      </c>
      <c r="AR2426" s="254" t="str">
        <f t="shared" si="138"/>
        <v>vnt1002_6_3</v>
      </c>
      <c r="AS2426" s="254" t="str">
        <f t="shared" si="139"/>
        <v/>
      </c>
      <c r="AT2426"/>
    </row>
    <row r="2427" spans="1:60" x14ac:dyDescent="0.25">
      <c r="A2427" s="2371">
        <v>10</v>
      </c>
      <c r="B2427" s="2385" t="s">
        <v>4554</v>
      </c>
      <c r="C2427" s="2385" t="s">
        <v>269</v>
      </c>
      <c r="G2427" s="2373" t="str">
        <f t="shared" si="125"/>
        <v/>
      </c>
      <c r="H2427" s="2371" t="s">
        <v>3973</v>
      </c>
      <c r="I2427" s="667"/>
      <c r="J2427" s="667" t="s">
        <v>269</v>
      </c>
      <c r="K2427" s="679"/>
      <c r="L2427" s="1170" t="s">
        <v>4569</v>
      </c>
      <c r="M2427" s="1018"/>
      <c r="N2427" s="664"/>
      <c r="O2427" s="1042"/>
      <c r="P2427" s="911" t="b">
        <v>0</v>
      </c>
      <c r="Q2427" s="911" t="b">
        <v>1</v>
      </c>
      <c r="R2427" s="911" t="b">
        <v>0</v>
      </c>
      <c r="S2427" s="911" t="b">
        <f>IF(AY2262=INDEX(ddSingleOrMulti,2),TRUE,FALSE)</f>
        <v>0</v>
      </c>
      <c r="T2427" s="911" t="b">
        <f t="shared" si="133"/>
        <v>0</v>
      </c>
      <c r="U2427"/>
      <c r="V2427"/>
      <c r="W2427" s="25"/>
      <c r="X2427" s="918"/>
      <c r="Y2427" s="939" t="str">
        <f>IF(LEN('Ch10'!X184)=0,"None",'Ch10'!X184)</f>
        <v>None</v>
      </c>
      <c r="Z2427" s="1599"/>
      <c r="AA2427"/>
      <c r="AC2427" s="970" t="b">
        <f t="shared" si="134"/>
        <v>0</v>
      </c>
      <c r="AD2427" s="970" t="b">
        <f t="shared" si="135"/>
        <v>0</v>
      </c>
      <c r="AE2427" s="970"/>
      <c r="AF2427"/>
      <c r="AG2427"/>
      <c r="AH2427"/>
      <c r="AI2427"/>
      <c r="AJ2427"/>
      <c r="AK2427"/>
      <c r="AL2427" s="1336"/>
      <c r="AM2427" s="1336"/>
      <c r="AN2427" s="1336"/>
      <c r="AO2427" s="1336"/>
      <c r="AP2427" s="254" t="str">
        <f t="shared" si="136"/>
        <v>vch1002_6_4</v>
      </c>
      <c r="AQ2427" s="254" t="str">
        <f t="shared" si="137"/>
        <v/>
      </c>
      <c r="AR2427" s="254" t="str">
        <f t="shared" si="138"/>
        <v>vnt1002_6_4</v>
      </c>
      <c r="AS2427" s="254" t="str">
        <f t="shared" si="139"/>
        <v/>
      </c>
      <c r="AT2427"/>
    </row>
    <row r="2428" spans="1:60" x14ac:dyDescent="0.25">
      <c r="A2428" s="2371">
        <v>10</v>
      </c>
      <c r="B2428" s="2385" t="s">
        <v>4554</v>
      </c>
      <c r="C2428" s="2385" t="s">
        <v>275</v>
      </c>
      <c r="G2428" s="2373" t="str">
        <f t="shared" si="125"/>
        <v/>
      </c>
      <c r="H2428" s="2371" t="s">
        <v>3973</v>
      </c>
      <c r="I2428" s="667"/>
      <c r="J2428" s="667" t="s">
        <v>275</v>
      </c>
      <c r="K2428" s="679"/>
      <c r="L2428" s="1170" t="s">
        <v>4570</v>
      </c>
      <c r="M2428" s="1018"/>
      <c r="N2428" s="664"/>
      <c r="O2428" s="1042"/>
      <c r="P2428" s="911" t="b">
        <v>0</v>
      </c>
      <c r="Q2428" s="911" t="b">
        <v>1</v>
      </c>
      <c r="R2428" s="911" t="b">
        <v>0</v>
      </c>
      <c r="S2428" s="911" t="b">
        <f>IF(AY2262=INDEX(ddSingleOrMulti,2),TRUE,FALSE)</f>
        <v>0</v>
      </c>
      <c r="T2428" s="911" t="b">
        <f t="shared" si="133"/>
        <v>0</v>
      </c>
      <c r="U2428"/>
      <c r="V2428"/>
      <c r="W2428" s="25"/>
      <c r="X2428" s="918"/>
      <c r="Y2428" s="939" t="str">
        <f>IF(LEN('Ch10'!X185)=0,"None",'Ch10'!X185)</f>
        <v>None</v>
      </c>
      <c r="Z2428" s="1599"/>
      <c r="AA2428"/>
      <c r="AC2428" s="970" t="b">
        <f t="shared" si="134"/>
        <v>0</v>
      </c>
      <c r="AD2428" s="970" t="b">
        <f t="shared" si="135"/>
        <v>0</v>
      </c>
      <c r="AE2428" s="970"/>
      <c r="AF2428"/>
      <c r="AG2428"/>
      <c r="AH2428"/>
      <c r="AI2428"/>
      <c r="AJ2428"/>
      <c r="AK2428"/>
      <c r="AL2428" s="1336"/>
      <c r="AM2428" s="1336"/>
      <c r="AN2428" s="1336"/>
      <c r="AO2428" s="1336"/>
      <c r="AP2428" s="254" t="str">
        <f t="shared" si="136"/>
        <v>vch1002_6_5</v>
      </c>
      <c r="AQ2428" s="254" t="str">
        <f t="shared" si="137"/>
        <v/>
      </c>
      <c r="AR2428" s="254" t="str">
        <f t="shared" si="138"/>
        <v>vnt1002_6_5</v>
      </c>
      <c r="AS2428" s="254" t="str">
        <f t="shared" si="139"/>
        <v/>
      </c>
      <c r="AT2428"/>
    </row>
    <row r="2429" spans="1:60" x14ac:dyDescent="0.25">
      <c r="A2429" s="2371">
        <v>10</v>
      </c>
      <c r="B2429" s="2385" t="s">
        <v>4554</v>
      </c>
      <c r="C2429" s="2385" t="s">
        <v>277</v>
      </c>
      <c r="G2429" s="2373" t="str">
        <f t="shared" si="125"/>
        <v/>
      </c>
      <c r="H2429" s="2371" t="s">
        <v>3973</v>
      </c>
      <c r="I2429" s="667"/>
      <c r="J2429" s="667" t="s">
        <v>277</v>
      </c>
      <c r="K2429" s="679"/>
      <c r="L2429" s="1170" t="s">
        <v>3346</v>
      </c>
      <c r="M2429" s="1018"/>
      <c r="N2429" s="664"/>
      <c r="O2429" s="1042"/>
      <c r="P2429" s="911" t="b">
        <v>0</v>
      </c>
      <c r="Q2429" s="911" t="b">
        <v>1</v>
      </c>
      <c r="R2429" s="911" t="b">
        <v>0</v>
      </c>
      <c r="S2429" s="911" t="b">
        <f>IF(AY2262=INDEX(ddSingleOrMulti,2),TRUE,FALSE)</f>
        <v>0</v>
      </c>
      <c r="T2429" s="911" t="b">
        <f t="shared" si="133"/>
        <v>0</v>
      </c>
      <c r="U2429"/>
      <c r="V2429"/>
      <c r="W2429" s="25"/>
      <c r="X2429" s="918"/>
      <c r="Y2429" s="939" t="str">
        <f>IF(LEN('Ch10'!X186)=0,"None",'Ch10'!X186)</f>
        <v>None</v>
      </c>
      <c r="Z2429" s="1599"/>
      <c r="AC2429" s="970" t="b">
        <f t="shared" si="134"/>
        <v>0</v>
      </c>
      <c r="AD2429" s="970" t="b">
        <f t="shared" si="135"/>
        <v>0</v>
      </c>
      <c r="AE2429" s="970"/>
      <c r="AF2429"/>
      <c r="AG2429"/>
      <c r="AH2429"/>
      <c r="AI2429"/>
      <c r="AJ2429"/>
      <c r="AK2429"/>
      <c r="AL2429" s="1336"/>
      <c r="AM2429" s="1336"/>
      <c r="AN2429" s="1336"/>
      <c r="AO2429" s="1336"/>
      <c r="AP2429" s="254" t="str">
        <f t="shared" si="136"/>
        <v>vch1002_6_6</v>
      </c>
      <c r="AQ2429" s="254" t="str">
        <f t="shared" si="137"/>
        <v/>
      </c>
      <c r="AR2429" s="254" t="str">
        <f t="shared" si="138"/>
        <v>vnt1002_6_6</v>
      </c>
      <c r="AS2429" s="254" t="str">
        <f t="shared" si="139"/>
        <v/>
      </c>
      <c r="AT2429"/>
    </row>
    <row r="2430" spans="1:60" x14ac:dyDescent="0.25">
      <c r="A2430" s="2371">
        <v>10</v>
      </c>
      <c r="B2430" s="2385" t="s">
        <v>4554</v>
      </c>
      <c r="C2430" s="2385" t="s">
        <v>383</v>
      </c>
      <c r="G2430" s="2373" t="str">
        <f t="shared" si="125"/>
        <v/>
      </c>
      <c r="H2430" s="2371" t="s">
        <v>3973</v>
      </c>
      <c r="I2430" s="667"/>
      <c r="J2430" s="667" t="s">
        <v>383</v>
      </c>
      <c r="K2430" s="679"/>
      <c r="L2430" s="1170" t="s">
        <v>4571</v>
      </c>
      <c r="M2430" s="4"/>
      <c r="N2430" s="664"/>
      <c r="O2430" s="664"/>
      <c r="P2430" s="911" t="b">
        <v>0</v>
      </c>
      <c r="Q2430" s="911" t="b">
        <v>1</v>
      </c>
      <c r="R2430" s="911" t="b">
        <v>0</v>
      </c>
      <c r="S2430" s="911" t="b">
        <f>IF(AY2262=INDEX(ddSingleOrMulti,2),TRUE,FALSE)</f>
        <v>0</v>
      </c>
      <c r="T2430" s="911" t="b">
        <f t="shared" si="133"/>
        <v>0</v>
      </c>
      <c r="U2430"/>
      <c r="V2430"/>
      <c r="W2430" s="25"/>
      <c r="X2430" s="918"/>
      <c r="Y2430" s="939" t="str">
        <f>IF(LEN('Ch10'!X187)=0,"None",'Ch10'!X187)</f>
        <v>None</v>
      </c>
      <c r="Z2430" s="1599"/>
      <c r="AC2430" s="970" t="b">
        <f t="shared" si="134"/>
        <v>0</v>
      </c>
      <c r="AD2430" s="970" t="b">
        <f t="shared" si="135"/>
        <v>0</v>
      </c>
      <c r="AE2430" s="970"/>
      <c r="AF2430"/>
      <c r="AG2430"/>
      <c r="AH2430"/>
      <c r="AI2430"/>
      <c r="AJ2430"/>
      <c r="AK2430"/>
      <c r="AL2430" s="1336"/>
      <c r="AM2430" s="1336"/>
      <c r="AN2430" s="1336"/>
      <c r="AO2430" s="1336"/>
      <c r="AP2430" s="254" t="str">
        <f t="shared" si="136"/>
        <v>vch1002_6_7</v>
      </c>
      <c r="AQ2430" s="254" t="str">
        <f t="shared" si="137"/>
        <v/>
      </c>
      <c r="AR2430" s="254" t="str">
        <f t="shared" si="138"/>
        <v>vnt1002_6_7</v>
      </c>
      <c r="AS2430" s="254" t="str">
        <f t="shared" si="139"/>
        <v/>
      </c>
      <c r="AT2430"/>
    </row>
    <row r="2431" spans="1:60" ht="18.75" x14ac:dyDescent="0.3">
      <c r="A2431" s="2371">
        <v>10</v>
      </c>
      <c r="B2431" s="2385">
        <v>1003</v>
      </c>
      <c r="C2431" s="2374"/>
      <c r="D2431" s="2374"/>
      <c r="E2431" s="2374"/>
      <c r="F2431" s="2374"/>
      <c r="G2431" s="2373" t="s">
        <v>3974</v>
      </c>
      <c r="H2431" s="2371" t="s">
        <v>3971</v>
      </c>
      <c r="I2431" s="69" t="s">
        <v>3360</v>
      </c>
      <c r="J2431" s="23"/>
      <c r="K2431" s="23"/>
      <c r="L2431" s="228"/>
      <c r="M2431" s="498"/>
      <c r="N2431" s="1054"/>
      <c r="O2431" s="1043"/>
      <c r="P2431" s="23"/>
      <c r="Q2431" s="23"/>
      <c r="R2431" s="23"/>
      <c r="S2431" s="23"/>
      <c r="T2431" s="23"/>
      <c r="U2431" s="23"/>
      <c r="V2431" s="23"/>
      <c r="W2431" s="23"/>
      <c r="X2431" s="23"/>
      <c r="Y2431" s="23"/>
      <c r="Z2431" s="1586"/>
      <c r="AB2431" s="648"/>
      <c r="AC2431" s="970"/>
      <c r="AD2431" s="970"/>
      <c r="AE2431" s="970"/>
      <c r="AF2431" s="648"/>
      <c r="AG2431" s="648"/>
      <c r="AH2431" s="648"/>
      <c r="AI2431" s="648"/>
      <c r="AJ2431" s="648"/>
      <c r="AK2431" s="648"/>
      <c r="AL2431" s="1336"/>
      <c r="AM2431" s="1336"/>
      <c r="AN2431" s="1336"/>
      <c r="AO2431" s="1336"/>
      <c r="AP2431" s="1336"/>
      <c r="AQ2431" s="1336"/>
      <c r="AR2431" s="1336"/>
      <c r="AS2431" s="1336"/>
      <c r="AT2431" s="648"/>
      <c r="AU2431" s="648"/>
      <c r="AV2431" s="648"/>
      <c r="AW2431" s="648"/>
      <c r="AX2431" s="648"/>
      <c r="AY2431" s="648"/>
      <c r="AZ2431" s="648"/>
      <c r="BA2431" s="648"/>
      <c r="BB2431" s="648"/>
      <c r="BC2431" s="648"/>
      <c r="BD2431" s="648"/>
      <c r="BE2431" s="648"/>
      <c r="BF2431" s="648"/>
      <c r="BG2431" s="648"/>
      <c r="BH2431" s="648"/>
    </row>
    <row r="2432" spans="1:60" x14ac:dyDescent="0.25">
      <c r="A2432" s="2371">
        <v>10</v>
      </c>
      <c r="B2432" s="2385" t="s">
        <v>3985</v>
      </c>
      <c r="C2432" s="2374"/>
      <c r="D2432" s="2374"/>
      <c r="E2432" s="2374"/>
      <c r="F2432" s="2374"/>
      <c r="G2432" s="2371"/>
      <c r="H2432" s="2371"/>
      <c r="I2432" s="668" t="s">
        <v>3985</v>
      </c>
      <c r="J2432" s="129"/>
      <c r="K2432" s="129"/>
      <c r="L2432" s="1782" t="s">
        <v>3361</v>
      </c>
      <c r="M2432" s="1012"/>
      <c r="N2432" s="665"/>
      <c r="O2432" s="1044"/>
      <c r="P2432" s="94"/>
      <c r="Q2432" s="94"/>
      <c r="R2432" s="94"/>
      <c r="S2432" s="94"/>
      <c r="T2432" s="94"/>
      <c r="U2432" s="94"/>
      <c r="V2432" s="94"/>
      <c r="W2432" s="94"/>
      <c r="X2432" s="94"/>
      <c r="Y2432" s="94"/>
      <c r="Z2432" s="1588"/>
      <c r="AB2432" s="648"/>
      <c r="AC2432" s="970"/>
      <c r="AD2432" s="970"/>
      <c r="AE2432" s="970"/>
      <c r="AF2432" s="648"/>
      <c r="AG2432" s="648"/>
      <c r="AH2432" s="648"/>
      <c r="AI2432" s="648"/>
      <c r="AJ2432" s="648"/>
      <c r="AK2432" s="648"/>
      <c r="AL2432" s="1336"/>
      <c r="AM2432" s="1336"/>
      <c r="AN2432" s="1336"/>
      <c r="AO2432" s="1336"/>
      <c r="AP2432" s="1336"/>
      <c r="AQ2432" s="1336"/>
      <c r="AR2432" s="1336"/>
      <c r="AS2432" s="1336"/>
      <c r="AT2432" s="648"/>
      <c r="AU2432" s="648"/>
      <c r="AV2432" s="648"/>
      <c r="AW2432" s="648"/>
      <c r="AX2432" s="648"/>
      <c r="AY2432" s="648"/>
      <c r="AZ2432" s="648"/>
      <c r="BA2432" s="648"/>
      <c r="BB2432" s="648"/>
      <c r="BC2432" s="648"/>
      <c r="BD2432" s="648"/>
      <c r="BE2432" s="648"/>
      <c r="BF2432" s="648"/>
      <c r="BG2432" s="648"/>
      <c r="BH2432" s="648"/>
    </row>
    <row r="2433" spans="1:60" x14ac:dyDescent="0.25">
      <c r="A2433" s="2371">
        <v>10</v>
      </c>
      <c r="B2433" s="2385" t="s">
        <v>3985</v>
      </c>
      <c r="C2433" s="2374"/>
      <c r="D2433" s="2374"/>
      <c r="E2433" s="2374"/>
      <c r="F2433" s="2374"/>
      <c r="G2433" s="2371"/>
      <c r="H2433" s="2371"/>
      <c r="I2433" s="657"/>
      <c r="J2433" s="129"/>
      <c r="K2433" s="129"/>
      <c r="L2433" s="1782"/>
      <c r="M2433" s="1012"/>
      <c r="N2433" s="665"/>
      <c r="O2433" s="1044"/>
      <c r="P2433" s="94"/>
      <c r="Q2433" s="94"/>
      <c r="R2433" s="94"/>
      <c r="S2433" s="94"/>
      <c r="T2433" s="94"/>
      <c r="U2433" s="94"/>
      <c r="V2433" s="94"/>
      <c r="W2433" s="94"/>
      <c r="X2433" s="94"/>
      <c r="Y2433" s="94"/>
      <c r="Z2433" s="1588"/>
      <c r="AB2433" s="648"/>
      <c r="AC2433" s="970"/>
      <c r="AD2433" s="970"/>
      <c r="AE2433" s="970"/>
      <c r="AF2433" s="648"/>
      <c r="AG2433" s="648"/>
      <c r="AH2433" s="648"/>
      <c r="AI2433" s="648"/>
      <c r="AJ2433" s="648"/>
      <c r="AK2433" s="648"/>
      <c r="AL2433" s="1336"/>
      <c r="AM2433" s="1336"/>
      <c r="AN2433" s="1336"/>
      <c r="AO2433" s="1336"/>
      <c r="AP2433" s="1336"/>
      <c r="AQ2433" s="1336"/>
      <c r="AR2433" s="1336"/>
      <c r="AS2433" s="1336"/>
      <c r="AT2433" s="648"/>
      <c r="AU2433" s="648"/>
      <c r="AV2433" s="648"/>
      <c r="AW2433" s="648"/>
      <c r="AX2433" s="648"/>
      <c r="AY2433" s="648"/>
      <c r="AZ2433" s="648"/>
      <c r="BA2433" s="648"/>
      <c r="BB2433" s="648"/>
      <c r="BC2433" s="648"/>
      <c r="BD2433" s="648"/>
      <c r="BE2433" s="648"/>
      <c r="BF2433" s="648"/>
      <c r="BG2433" s="648"/>
      <c r="BH2433" s="648"/>
    </row>
    <row r="2434" spans="1:60" ht="15.75" thickBot="1" x14ac:dyDescent="0.3">
      <c r="A2434" s="2371">
        <v>10</v>
      </c>
      <c r="B2434" s="2385" t="s">
        <v>3985</v>
      </c>
      <c r="C2434" s="2374"/>
      <c r="D2434" s="2374"/>
      <c r="E2434" s="2374"/>
      <c r="F2434" s="2374"/>
      <c r="G2434" s="2371"/>
      <c r="H2434" s="2371"/>
      <c r="I2434" s="658"/>
      <c r="J2434" s="240"/>
      <c r="K2434" s="240"/>
      <c r="L2434" s="1797"/>
      <c r="M2434" s="1013"/>
      <c r="N2434" s="1052"/>
      <c r="O2434" s="1045"/>
      <c r="P2434" s="99"/>
      <c r="Q2434" s="99"/>
      <c r="R2434" s="99"/>
      <c r="S2434" s="99"/>
      <c r="T2434" s="99"/>
      <c r="U2434" s="99"/>
      <c r="V2434" s="99"/>
      <c r="W2434" s="99"/>
      <c r="X2434" s="99"/>
      <c r="Y2434" s="99"/>
      <c r="Z2434" s="1589"/>
      <c r="AB2434" s="648"/>
      <c r="AC2434" s="970"/>
      <c r="AD2434" s="970"/>
      <c r="AE2434" s="970"/>
      <c r="AF2434" s="648"/>
      <c r="AG2434" s="648"/>
      <c r="AH2434" s="648"/>
      <c r="AI2434" s="648"/>
      <c r="AJ2434" s="648"/>
      <c r="AK2434" s="648"/>
      <c r="AL2434" s="1336"/>
      <c r="AM2434" s="1336"/>
      <c r="AN2434" s="1336"/>
      <c r="AO2434" s="1336"/>
      <c r="AP2434" s="1336"/>
      <c r="AQ2434" s="1336"/>
      <c r="AR2434" s="1336"/>
      <c r="AS2434" s="1336"/>
      <c r="AT2434" s="648"/>
      <c r="AU2434" s="648"/>
      <c r="AV2434" s="648"/>
      <c r="AW2434" s="648"/>
      <c r="AX2434" s="648"/>
      <c r="AY2434" s="648"/>
      <c r="AZ2434" s="648"/>
      <c r="BA2434" s="648"/>
      <c r="BB2434" s="648"/>
      <c r="BC2434" s="648"/>
      <c r="BD2434" s="648"/>
      <c r="BE2434" s="648"/>
      <c r="BF2434" s="648"/>
      <c r="BG2434" s="648"/>
      <c r="BH2434" s="648"/>
    </row>
    <row r="2435" spans="1:60" ht="15.75" thickTop="1" x14ac:dyDescent="0.25">
      <c r="A2435" s="2371">
        <v>10</v>
      </c>
      <c r="B2435" s="2385">
        <v>1003.1</v>
      </c>
      <c r="C2435" s="2374"/>
      <c r="D2435" s="2374"/>
      <c r="E2435" s="2374"/>
      <c r="F2435" s="2374"/>
      <c r="G2435" s="2373" t="str">
        <f>IF(N2435&gt;0,"P","")</f>
        <v/>
      </c>
      <c r="H2435" s="2371" t="s">
        <v>3971</v>
      </c>
      <c r="I2435" s="139">
        <v>1003.1</v>
      </c>
      <c r="J2435" s="4"/>
      <c r="K2435" s="4"/>
      <c r="L2435" s="227" t="s">
        <v>3362</v>
      </c>
      <c r="M2435" s="1014" t="s">
        <v>3363</v>
      </c>
      <c r="N2435" s="1042">
        <f>'Ch10'!O192</f>
        <v>0</v>
      </c>
      <c r="O2435" s="1042">
        <f>MIN(2,COUNTIF(W2436:W2441,TRUE))</f>
        <v>0</v>
      </c>
      <c r="P2435" s="648"/>
      <c r="Q2435" s="648"/>
      <c r="R2435" s="648"/>
      <c r="S2435" s="648"/>
      <c r="T2435" s="648"/>
      <c r="U2435" s="648"/>
      <c r="V2435" s="648"/>
      <c r="W2435" s="648"/>
      <c r="X2435" s="648"/>
      <c r="Y2435" s="648"/>
      <c r="AB2435" s="648"/>
      <c r="AC2435" s="970"/>
      <c r="AD2435" s="970"/>
      <c r="AE2435" s="970"/>
      <c r="AF2435" s="648"/>
      <c r="AG2435" s="648"/>
      <c r="AH2435" s="648"/>
      <c r="AI2435" s="648"/>
      <c r="AJ2435" s="648"/>
      <c r="AK2435" s="648"/>
      <c r="AL2435" s="254" t="str">
        <f>SUBSTITUTE(SUBSTITUTE(SUBSTITUTE("vpa"&amp;$B2435&amp;$C2435&amp;$D2435&amp;$E2435,".","_"),"(","_"),")","")</f>
        <v>vpa1003_1</v>
      </c>
      <c r="AM2435" s="254" t="str">
        <f>M2435</f>
        <v>2 Max</v>
      </c>
      <c r="AN2435" s="254" t="str">
        <f>SUBSTITUTE(SUBSTITUTE(SUBSTITUTE("vpc"&amp;$B2435&amp;$C2435&amp;$D2435&amp;$E2435,".","_"),"(","_"),")","")</f>
        <v>vpc1003_1</v>
      </c>
      <c r="AO2435" s="254">
        <f>O2435</f>
        <v>0</v>
      </c>
      <c r="AP2435" s="1336"/>
      <c r="AQ2435" s="1336"/>
      <c r="AR2435" s="1336"/>
      <c r="AS2435" s="1336"/>
      <c r="AT2435" s="648"/>
      <c r="AU2435" s="648"/>
      <c r="AV2435" s="648"/>
      <c r="AW2435" s="648"/>
      <c r="AX2435" s="648"/>
      <c r="AY2435" s="648"/>
      <c r="AZ2435" s="648"/>
      <c r="BA2435" s="648"/>
      <c r="BB2435" s="648"/>
      <c r="BC2435" s="648"/>
      <c r="BD2435" s="648"/>
      <c r="BE2435" s="648"/>
      <c r="BF2435" s="648"/>
      <c r="BG2435" s="648"/>
      <c r="BH2435" s="648"/>
    </row>
    <row r="2436" spans="1:60" x14ac:dyDescent="0.25">
      <c r="A2436" s="2371">
        <v>10</v>
      </c>
      <c r="B2436" s="2385">
        <v>1003.1</v>
      </c>
      <c r="C2436" s="2374" t="s">
        <v>256</v>
      </c>
      <c r="D2436" s="2374"/>
      <c r="E2436" s="2374"/>
      <c r="F2436" s="2374"/>
      <c r="G2436" s="2373" t="str">
        <f t="shared" ref="G2436:G2443" si="140">G2435</f>
        <v/>
      </c>
      <c r="H2436" s="2371" t="s">
        <v>3972</v>
      </c>
      <c r="I2436" s="655"/>
      <c r="J2436" s="183" t="s">
        <v>256</v>
      </c>
      <c r="K2436" s="129"/>
      <c r="L2436" s="1782" t="s">
        <v>3364</v>
      </c>
      <c r="M2436" s="1758">
        <v>1</v>
      </c>
      <c r="N2436" s="664"/>
      <c r="O2436" s="1042"/>
      <c r="P2436" s="648" t="b">
        <v>1</v>
      </c>
      <c r="Q2436" s="648" t="b">
        <v>0</v>
      </c>
      <c r="R2436" s="648" t="b">
        <v>0</v>
      </c>
      <c r="S2436" s="648" t="b">
        <v>1</v>
      </c>
      <c r="T2436" s="648" t="b">
        <v>0</v>
      </c>
      <c r="U2436" s="648"/>
      <c r="V2436" s="648"/>
      <c r="W2436" s="25"/>
      <c r="X2436" s="1757"/>
      <c r="Y2436" s="2077" t="str">
        <f>IF(LEN('Ch10'!X193)=0,"None",'Ch10'!X193)</f>
        <v>None</v>
      </c>
      <c r="Z2436" s="2083"/>
      <c r="AB2436" s="648"/>
      <c r="AC2436" s="970"/>
      <c r="AD2436" s="970"/>
      <c r="AE2436" s="970"/>
      <c r="AF2436" s="648"/>
      <c r="AG2436" s="648"/>
      <c r="AH2436" s="648"/>
      <c r="AI2436" s="648"/>
      <c r="AJ2436" s="648"/>
      <c r="AK2436" s="648"/>
      <c r="AL2436" s="254" t="str">
        <f>SUBSTITUTE(SUBSTITUTE(SUBSTITUTE("vpa"&amp;$B2436&amp;$C2436&amp;$D2436&amp;$E2436,".","_"),"(","_"),")","")</f>
        <v>vpa1003_1_1</v>
      </c>
      <c r="AM2436" s="254">
        <f>M2436</f>
        <v>1</v>
      </c>
      <c r="AN2436" s="1336"/>
      <c r="AO2436" s="1336"/>
      <c r="AP2436" s="254" t="str">
        <f>SUBSTITUTE(SUBSTITUTE(SUBSTITUTE("vch"&amp;$B2436&amp;$C2436&amp;$D2436&amp;$E2436,".","_"),"(","_"),")","")</f>
        <v>vch1003_1_1</v>
      </c>
      <c r="AQ2436" s="254" t="str">
        <f>IF(LEN(W2436)=0,"",W2436)</f>
        <v/>
      </c>
      <c r="AR2436" s="254" t="str">
        <f>SUBSTITUTE(SUBSTITUTE(SUBSTITUTE("vnt"&amp;$B2436&amp;$C2436&amp;$D2436&amp;$E2436,".","_"),"(","_"),")","")</f>
        <v>vnt1003_1_1</v>
      </c>
      <c r="AS2436" s="254" t="str">
        <f>IF(LEN(X2436)=0,"",X2436)</f>
        <v/>
      </c>
      <c r="AT2436" s="648"/>
      <c r="AU2436" s="648"/>
      <c r="AV2436" s="648"/>
      <c r="AW2436" s="648"/>
      <c r="AX2436" s="648"/>
      <c r="AY2436" s="648"/>
      <c r="AZ2436" s="648"/>
      <c r="BA2436" s="648"/>
      <c r="BB2436" s="648"/>
      <c r="BC2436" s="648"/>
      <c r="BD2436" s="648"/>
      <c r="BE2436" s="648"/>
      <c r="BF2436" s="648"/>
      <c r="BG2436" s="648"/>
      <c r="BH2436" s="648"/>
    </row>
    <row r="2437" spans="1:60" x14ac:dyDescent="0.25">
      <c r="A2437" s="2371">
        <v>10</v>
      </c>
      <c r="B2437" s="2385">
        <v>1003.1</v>
      </c>
      <c r="C2437" s="2374" t="s">
        <v>256</v>
      </c>
      <c r="D2437" s="2374"/>
      <c r="E2437" s="2374"/>
      <c r="F2437" s="2374"/>
      <c r="G2437" s="2373" t="str">
        <f t="shared" si="140"/>
        <v/>
      </c>
      <c r="H2437" s="2371" t="s">
        <v>3972</v>
      </c>
      <c r="I2437" s="655"/>
      <c r="J2437" s="206"/>
      <c r="K2437" s="210"/>
      <c r="L2437" s="1843"/>
      <c r="M2437" s="1759"/>
      <c r="N2437" s="664"/>
      <c r="O2437" s="1042"/>
      <c r="P2437" s="648"/>
      <c r="Q2437" s="648"/>
      <c r="R2437" s="648"/>
      <c r="S2437" s="648"/>
      <c r="T2437" s="648"/>
      <c r="U2437" s="648"/>
      <c r="V2437" s="648"/>
      <c r="W2437" s="648"/>
      <c r="X2437" s="1757"/>
      <c r="Y2437" s="2077"/>
      <c r="Z2437" s="2083"/>
      <c r="AB2437" s="648"/>
      <c r="AC2437" s="970"/>
      <c r="AD2437" s="970"/>
      <c r="AE2437" s="970"/>
      <c r="AF2437" s="648"/>
      <c r="AG2437" s="648"/>
      <c r="AH2437" s="648"/>
      <c r="AI2437" s="648"/>
      <c r="AJ2437" s="648"/>
      <c r="AK2437" s="648"/>
      <c r="AL2437" s="1336"/>
      <c r="AM2437" s="1336"/>
      <c r="AN2437" s="1336"/>
      <c r="AO2437" s="1336"/>
      <c r="AP2437" s="1336"/>
      <c r="AQ2437" s="1336"/>
      <c r="AR2437" s="1336"/>
      <c r="AS2437" s="1336"/>
      <c r="AT2437" s="648"/>
      <c r="AU2437" s="648"/>
      <c r="AV2437" s="648"/>
      <c r="AW2437" s="648"/>
      <c r="AX2437" s="648"/>
      <c r="AY2437" s="648"/>
      <c r="AZ2437" s="648"/>
      <c r="BA2437" s="648"/>
      <c r="BB2437" s="648"/>
      <c r="BC2437" s="648"/>
      <c r="BD2437" s="648"/>
      <c r="BE2437" s="648"/>
      <c r="BF2437" s="648"/>
      <c r="BG2437" s="648"/>
      <c r="BH2437" s="648"/>
    </row>
    <row r="2438" spans="1:60" x14ac:dyDescent="0.25">
      <c r="A2438" s="2371">
        <v>10</v>
      </c>
      <c r="B2438" s="2385">
        <v>1003.1</v>
      </c>
      <c r="C2438" s="2374" t="s">
        <v>258</v>
      </c>
      <c r="D2438" s="2374"/>
      <c r="E2438" s="2374"/>
      <c r="F2438" s="2374"/>
      <c r="G2438" s="2373" t="str">
        <f t="shared" si="140"/>
        <v/>
      </c>
      <c r="H2438" s="2371" t="s">
        <v>3973</v>
      </c>
      <c r="I2438" s="655"/>
      <c r="J2438" s="209" t="s">
        <v>258</v>
      </c>
      <c r="K2438" s="193"/>
      <c r="L2438" s="1864" t="s">
        <v>3365</v>
      </c>
      <c r="M2438" s="1762">
        <v>1</v>
      </c>
      <c r="N2438" s="664"/>
      <c r="O2438" s="1042"/>
      <c r="P2438" s="648" t="b">
        <v>0</v>
      </c>
      <c r="Q2438" s="648" t="b">
        <v>1</v>
      </c>
      <c r="R2438" s="648" t="b">
        <v>0</v>
      </c>
      <c r="S2438" s="648" t="b">
        <v>1</v>
      </c>
      <c r="T2438" s="648" t="b">
        <v>0</v>
      </c>
      <c r="U2438" s="648"/>
      <c r="V2438" s="648"/>
      <c r="W2438" s="25"/>
      <c r="X2438" s="1757"/>
      <c r="Y2438" s="2077" t="str">
        <f>IF(LEN('Ch10'!X195)=0,"None",'Ch10'!X195)</f>
        <v>None</v>
      </c>
      <c r="Z2438" s="2083"/>
      <c r="AB2438" s="648"/>
      <c r="AC2438" s="970"/>
      <c r="AD2438" s="970"/>
      <c r="AE2438" s="970"/>
      <c r="AF2438" s="648"/>
      <c r="AG2438" s="648"/>
      <c r="AH2438" s="648"/>
      <c r="AI2438" s="648"/>
      <c r="AJ2438" s="648"/>
      <c r="AK2438" s="648"/>
      <c r="AL2438" s="254" t="str">
        <f>SUBSTITUTE(SUBSTITUTE(SUBSTITUTE("vpa"&amp;$B2438&amp;$C2438&amp;$D2438&amp;$E2438,".","_"),"(","_"),")","")</f>
        <v>vpa1003_1_2</v>
      </c>
      <c r="AM2438" s="254">
        <f>M2438</f>
        <v>1</v>
      </c>
      <c r="AN2438" s="1336"/>
      <c r="AO2438" s="1336"/>
      <c r="AP2438" s="254" t="str">
        <f>SUBSTITUTE(SUBSTITUTE(SUBSTITUTE("vch"&amp;$B2438&amp;$C2438&amp;$D2438&amp;$E2438,".","_"),"(","_"),")","")</f>
        <v>vch1003_1_2</v>
      </c>
      <c r="AQ2438" s="254" t="str">
        <f>IF(LEN(W2438)=0,"",W2438)</f>
        <v/>
      </c>
      <c r="AR2438" s="254" t="str">
        <f>SUBSTITUTE(SUBSTITUTE(SUBSTITUTE("vnt"&amp;$B2438&amp;$C2438&amp;$D2438&amp;$E2438,".","_"),"(","_"),")","")</f>
        <v>vnt1003_1_2</v>
      </c>
      <c r="AS2438" s="254" t="str">
        <f>IF(LEN(X2438)=0,"",X2438)</f>
        <v/>
      </c>
      <c r="AT2438" s="648"/>
      <c r="AU2438" s="648"/>
      <c r="AV2438" s="648"/>
      <c r="AW2438" s="648"/>
      <c r="AX2438" s="648"/>
      <c r="AY2438" s="648"/>
      <c r="AZ2438" s="648"/>
      <c r="BA2438" s="648"/>
      <c r="BB2438" s="648"/>
      <c r="BC2438" s="648"/>
      <c r="BD2438" s="648"/>
      <c r="BE2438" s="648"/>
      <c r="BF2438" s="648"/>
      <c r="BG2438" s="648"/>
      <c r="BH2438" s="648"/>
    </row>
    <row r="2439" spans="1:60" x14ac:dyDescent="0.25">
      <c r="A2439" s="2371">
        <v>10</v>
      </c>
      <c r="B2439" s="2385">
        <v>1003.1</v>
      </c>
      <c r="C2439" s="2374" t="s">
        <v>258</v>
      </c>
      <c r="D2439" s="2374"/>
      <c r="E2439" s="2374"/>
      <c r="F2439" s="2374"/>
      <c r="G2439" s="2373" t="str">
        <f t="shared" si="140"/>
        <v/>
      </c>
      <c r="H2439" s="2371" t="s">
        <v>3973</v>
      </c>
      <c r="I2439" s="655"/>
      <c r="J2439" s="183"/>
      <c r="K2439" s="129"/>
      <c r="L2439" s="1782"/>
      <c r="M2439" s="1758"/>
      <c r="N2439" s="664"/>
      <c r="O2439" s="1042"/>
      <c r="P2439" s="648"/>
      <c r="Q2439" s="648"/>
      <c r="R2439" s="648"/>
      <c r="S2439" s="648"/>
      <c r="T2439" s="648"/>
      <c r="U2439" s="648"/>
      <c r="V2439" s="648"/>
      <c r="W2439" s="648"/>
      <c r="X2439" s="1757"/>
      <c r="Y2439" s="2077"/>
      <c r="Z2439" s="2083"/>
      <c r="AB2439" s="648"/>
      <c r="AC2439" s="970"/>
      <c r="AD2439" s="970"/>
      <c r="AE2439" s="970"/>
      <c r="AF2439" s="648"/>
      <c r="AG2439" s="648"/>
      <c r="AH2439" s="648"/>
      <c r="AI2439" s="648"/>
      <c r="AJ2439" s="648"/>
      <c r="AK2439" s="648"/>
      <c r="AL2439" s="1336"/>
      <c r="AM2439" s="1336"/>
      <c r="AN2439" s="1336"/>
      <c r="AO2439" s="1336"/>
      <c r="AP2439" s="1336"/>
      <c r="AQ2439" s="1336"/>
      <c r="AR2439" s="1336"/>
      <c r="AS2439" s="1336"/>
      <c r="AT2439" s="648"/>
      <c r="AU2439" s="648"/>
      <c r="AV2439" s="648"/>
      <c r="AW2439" s="648"/>
      <c r="AX2439" s="648"/>
      <c r="AY2439" s="648"/>
      <c r="AZ2439" s="648"/>
      <c r="BA2439" s="648"/>
      <c r="BB2439" s="648"/>
      <c r="BC2439" s="648"/>
      <c r="BD2439" s="648"/>
      <c r="BE2439" s="648"/>
      <c r="BF2439" s="648"/>
      <c r="BG2439" s="648"/>
      <c r="BH2439" s="648"/>
    </row>
    <row r="2440" spans="1:60" x14ac:dyDescent="0.25">
      <c r="A2440" s="2371">
        <v>10</v>
      </c>
      <c r="B2440" s="2385">
        <v>1003.1</v>
      </c>
      <c r="C2440" s="2374" t="s">
        <v>258</v>
      </c>
      <c r="D2440" s="2374"/>
      <c r="E2440" s="2374"/>
      <c r="F2440" s="2374"/>
      <c r="G2440" s="2373" t="str">
        <f t="shared" si="140"/>
        <v/>
      </c>
      <c r="H2440" s="2371" t="s">
        <v>3973</v>
      </c>
      <c r="I2440" s="655"/>
      <c r="J2440" s="206"/>
      <c r="K2440" s="210"/>
      <c r="L2440" s="1843"/>
      <c r="M2440" s="1759"/>
      <c r="N2440" s="664"/>
      <c r="O2440" s="1042"/>
      <c r="P2440" s="648"/>
      <c r="Q2440" s="648"/>
      <c r="R2440" s="648"/>
      <c r="S2440" s="648"/>
      <c r="T2440" s="648"/>
      <c r="U2440" s="648"/>
      <c r="V2440" s="648"/>
      <c r="W2440" s="648"/>
      <c r="X2440" s="1757"/>
      <c r="Y2440" s="2077"/>
      <c r="Z2440" s="2083"/>
      <c r="AB2440" s="648"/>
      <c r="AC2440" s="970"/>
      <c r="AD2440" s="970"/>
      <c r="AE2440" s="970"/>
      <c r="AF2440" s="648"/>
      <c r="AG2440" s="648"/>
      <c r="AH2440" s="648"/>
      <c r="AI2440" s="648"/>
      <c r="AJ2440" s="648"/>
      <c r="AK2440" s="648"/>
      <c r="AL2440" s="1336"/>
      <c r="AM2440" s="1336"/>
      <c r="AN2440" s="1336"/>
      <c r="AO2440" s="1336"/>
      <c r="AP2440" s="1336"/>
      <c r="AQ2440" s="1336"/>
      <c r="AR2440" s="1336"/>
      <c r="AS2440" s="1336"/>
      <c r="AT2440" s="648"/>
      <c r="AU2440" s="648"/>
      <c r="AV2440" s="648"/>
      <c r="AW2440" s="648"/>
      <c r="AX2440" s="648"/>
      <c r="AY2440" s="648"/>
      <c r="AZ2440" s="648"/>
      <c r="BA2440" s="648"/>
      <c r="BB2440" s="648"/>
      <c r="BC2440" s="648"/>
      <c r="BD2440" s="648"/>
      <c r="BE2440" s="648"/>
      <c r="BF2440" s="648"/>
      <c r="BG2440" s="648"/>
      <c r="BH2440" s="648"/>
    </row>
    <row r="2441" spans="1:60" x14ac:dyDescent="0.25">
      <c r="A2441" s="2371">
        <v>10</v>
      </c>
      <c r="B2441" s="2385">
        <v>1003.1</v>
      </c>
      <c r="C2441" s="2374" t="s">
        <v>260</v>
      </c>
      <c r="D2441" s="2374"/>
      <c r="E2441" s="2374"/>
      <c r="F2441" s="2374"/>
      <c r="G2441" s="2373" t="str">
        <f t="shared" si="140"/>
        <v/>
      </c>
      <c r="H2441" s="2371" t="s">
        <v>3972</v>
      </c>
      <c r="I2441" s="655"/>
      <c r="J2441" s="27" t="s">
        <v>260</v>
      </c>
      <c r="K2441" s="4"/>
      <c r="L2441" s="1796" t="s">
        <v>3366</v>
      </c>
      <c r="M2441" s="1767">
        <v>1</v>
      </c>
      <c r="N2441" s="664"/>
      <c r="O2441" s="1042"/>
      <c r="P2441" s="648" t="b">
        <v>1</v>
      </c>
      <c r="Q2441" s="648" t="b">
        <v>0</v>
      </c>
      <c r="R2441" s="648" t="b">
        <v>0</v>
      </c>
      <c r="S2441" s="648" t="b">
        <v>1</v>
      </c>
      <c r="T2441" s="648" t="b">
        <v>0</v>
      </c>
      <c r="U2441" s="648"/>
      <c r="V2441" s="648"/>
      <c r="W2441" s="25"/>
      <c r="X2441" s="1757"/>
      <c r="Y2441" s="2077" t="str">
        <f>IF(LEN('Ch10'!X198)=0,"None",'Ch10'!X198)</f>
        <v>None</v>
      </c>
      <c r="Z2441" s="2083"/>
      <c r="AB2441" s="648"/>
      <c r="AC2441" s="970"/>
      <c r="AD2441" s="970"/>
      <c r="AE2441" s="970"/>
      <c r="AF2441" s="648"/>
      <c r="AG2441" s="648"/>
      <c r="AH2441" s="648"/>
      <c r="AI2441" s="648"/>
      <c r="AJ2441" s="648"/>
      <c r="AK2441" s="648"/>
      <c r="AL2441" s="254" t="str">
        <f>SUBSTITUTE(SUBSTITUTE(SUBSTITUTE("vpa"&amp;$B2441&amp;$C2441&amp;$D2441&amp;$E2441,".","_"),"(","_"),")","")</f>
        <v>vpa1003_1_3</v>
      </c>
      <c r="AM2441" s="254">
        <f>M2441</f>
        <v>1</v>
      </c>
      <c r="AN2441" s="1336"/>
      <c r="AO2441" s="1336"/>
      <c r="AP2441" s="254" t="str">
        <f>SUBSTITUTE(SUBSTITUTE(SUBSTITUTE("vch"&amp;$B2441&amp;$C2441&amp;$D2441&amp;$E2441,".","_"),"(","_"),")","")</f>
        <v>vch1003_1_3</v>
      </c>
      <c r="AQ2441" s="254" t="str">
        <f>IF(LEN(W2441)=0,"",W2441)</f>
        <v/>
      </c>
      <c r="AR2441" s="254" t="str">
        <f>SUBSTITUTE(SUBSTITUTE(SUBSTITUTE("vnt"&amp;$B2441&amp;$C2441&amp;$D2441&amp;$E2441,".","_"),"(","_"),")","")</f>
        <v>vnt1003_1_3</v>
      </c>
      <c r="AS2441" s="254" t="str">
        <f>IF(LEN(X2441)=0,"",X2441)</f>
        <v/>
      </c>
      <c r="AT2441" s="648"/>
      <c r="AU2441" s="648"/>
      <c r="AV2441" s="648"/>
      <c r="AW2441" s="648"/>
      <c r="AX2441" s="648"/>
      <c r="AY2441" s="648"/>
      <c r="AZ2441" s="648"/>
      <c r="BA2441" s="648"/>
      <c r="BB2441" s="648"/>
      <c r="BC2441" s="648"/>
      <c r="BD2441" s="648"/>
      <c r="BE2441" s="648"/>
      <c r="BF2441" s="648"/>
      <c r="BG2441" s="648"/>
      <c r="BH2441" s="648"/>
    </row>
    <row r="2442" spans="1:60" x14ac:dyDescent="0.25">
      <c r="A2442" s="2371">
        <v>10</v>
      </c>
      <c r="B2442" s="2385">
        <v>1003.1</v>
      </c>
      <c r="C2442" s="2374" t="s">
        <v>260</v>
      </c>
      <c r="D2442" s="2374"/>
      <c r="E2442" s="2374"/>
      <c r="F2442" s="2374"/>
      <c r="G2442" s="2373" t="str">
        <f t="shared" si="140"/>
        <v/>
      </c>
      <c r="H2442" s="2371" t="s">
        <v>3972</v>
      </c>
      <c r="I2442" s="655"/>
      <c r="J2442" s="4"/>
      <c r="K2442" s="4"/>
      <c r="L2442" s="1796"/>
      <c r="M2442" s="1767"/>
      <c r="N2442" s="664"/>
      <c r="O2442" s="1042"/>
      <c r="P2442" s="648"/>
      <c r="Q2442" s="648"/>
      <c r="R2442" s="648"/>
      <c r="S2442" s="648"/>
      <c r="T2442" s="648"/>
      <c r="U2442" s="648"/>
      <c r="V2442" s="648"/>
      <c r="W2442" s="648"/>
      <c r="X2442" s="1757"/>
      <c r="Y2442" s="2077"/>
      <c r="Z2442" s="2083"/>
      <c r="AB2442" s="648"/>
      <c r="AC2442" s="970"/>
      <c r="AD2442" s="970"/>
      <c r="AE2442" s="970"/>
      <c r="AF2442" s="648"/>
      <c r="AG2442" s="648"/>
      <c r="AH2442" s="648"/>
      <c r="AI2442" s="648"/>
      <c r="AJ2442" s="648"/>
      <c r="AK2442" s="648"/>
      <c r="AL2442" s="1336"/>
      <c r="AM2442" s="1336"/>
      <c r="AN2442" s="1336"/>
      <c r="AO2442" s="1336"/>
      <c r="AP2442" s="1336"/>
      <c r="AQ2442" s="1336"/>
      <c r="AR2442" s="1336"/>
      <c r="AS2442" s="1336"/>
      <c r="AT2442" s="648"/>
      <c r="AU2442" s="648"/>
      <c r="AV2442" s="648"/>
      <c r="AW2442" s="648"/>
      <c r="AX2442" s="648"/>
      <c r="AY2442" s="648"/>
      <c r="AZ2442" s="648"/>
      <c r="BA2442" s="648"/>
      <c r="BB2442" s="648"/>
      <c r="BC2442" s="648"/>
      <c r="BD2442" s="648"/>
      <c r="BE2442" s="648"/>
      <c r="BF2442" s="648"/>
      <c r="BG2442" s="648"/>
      <c r="BH2442" s="648"/>
    </row>
    <row r="2443" spans="1:60" x14ac:dyDescent="0.25">
      <c r="A2443" s="2371">
        <v>10</v>
      </c>
      <c r="B2443" s="2385">
        <v>1003.1</v>
      </c>
      <c r="C2443" s="2374" t="s">
        <v>260</v>
      </c>
      <c r="D2443" s="2374"/>
      <c r="E2443" s="2374"/>
      <c r="F2443" s="2374"/>
      <c r="G2443" s="2373" t="str">
        <f t="shared" si="140"/>
        <v/>
      </c>
      <c r="H2443" s="2371" t="s">
        <v>3972</v>
      </c>
      <c r="I2443" s="655"/>
      <c r="J2443" s="4"/>
      <c r="K2443" s="4"/>
      <c r="L2443" s="1796"/>
      <c r="M2443" s="1767"/>
      <c r="N2443" s="664"/>
      <c r="O2443" s="1042"/>
      <c r="P2443" s="648"/>
      <c r="Q2443" s="648"/>
      <c r="R2443" s="648"/>
      <c r="S2443" s="648"/>
      <c r="T2443" s="648"/>
      <c r="U2443" s="648"/>
      <c r="V2443" s="648"/>
      <c r="W2443" s="648"/>
      <c r="X2443" s="1757"/>
      <c r="Y2443" s="2077"/>
      <c r="Z2443" s="2083"/>
      <c r="AB2443" s="648"/>
      <c r="AC2443" s="970"/>
      <c r="AD2443" s="970"/>
      <c r="AE2443" s="970"/>
      <c r="AF2443" s="648"/>
      <c r="AG2443" s="648"/>
      <c r="AH2443" s="648"/>
      <c r="AI2443" s="648"/>
      <c r="AJ2443" s="648"/>
      <c r="AK2443" s="648"/>
      <c r="AL2443" s="1336"/>
      <c r="AM2443" s="1336"/>
      <c r="AN2443" s="1336"/>
      <c r="AO2443" s="1336"/>
      <c r="AP2443" s="1336"/>
      <c r="AQ2443" s="1336"/>
      <c r="AR2443" s="1336"/>
      <c r="AS2443" s="1336"/>
      <c r="AT2443" s="648"/>
      <c r="AU2443" s="648"/>
      <c r="AV2443" s="648"/>
      <c r="AW2443" s="648"/>
      <c r="AX2443" s="648"/>
      <c r="AY2443" s="648"/>
      <c r="AZ2443" s="648"/>
      <c r="BA2443" s="648"/>
      <c r="BB2443" s="648"/>
      <c r="BC2443" s="648"/>
      <c r="BD2443" s="648"/>
      <c r="BE2443" s="648"/>
      <c r="BF2443" s="648"/>
      <c r="BG2443" s="648"/>
      <c r="BH2443" s="648"/>
    </row>
    <row r="2444" spans="1:60" ht="18.75" x14ac:dyDescent="0.3">
      <c r="A2444" s="2371">
        <v>10</v>
      </c>
      <c r="B2444" s="2385">
        <v>1004</v>
      </c>
      <c r="C2444" s="2383"/>
      <c r="D2444" s="2383"/>
      <c r="E2444" s="2383"/>
      <c r="F2444" s="2383"/>
      <c r="G2444" s="2373" t="s">
        <v>3974</v>
      </c>
      <c r="H2444" s="2371" t="s">
        <v>3971</v>
      </c>
      <c r="I2444" s="69" t="s">
        <v>3367</v>
      </c>
      <c r="J2444" s="23"/>
      <c r="K2444" s="23"/>
      <c r="L2444" s="228"/>
      <c r="M2444" s="498"/>
      <c r="N2444" s="1054"/>
      <c r="O2444" s="1043"/>
      <c r="P2444" s="23"/>
      <c r="Q2444" s="23"/>
      <c r="R2444" s="23"/>
      <c r="S2444" s="23"/>
      <c r="T2444" s="23"/>
      <c r="U2444" s="23"/>
      <c r="V2444" s="23"/>
      <c r="W2444" s="23"/>
      <c r="X2444" s="23"/>
      <c r="Y2444" s="23"/>
      <c r="Z2444" s="1586"/>
      <c r="AB2444" s="648"/>
      <c r="AC2444" s="970"/>
      <c r="AD2444" s="970"/>
      <c r="AE2444" s="970"/>
      <c r="AF2444" s="648"/>
      <c r="AG2444" s="648"/>
      <c r="AH2444" s="648"/>
      <c r="AI2444" s="648"/>
      <c r="AJ2444" s="648"/>
      <c r="AK2444" s="648"/>
      <c r="AL2444" s="1336"/>
      <c r="AM2444" s="1336"/>
      <c r="AN2444" s="1336"/>
      <c r="AO2444" s="1336"/>
      <c r="AP2444" s="1336"/>
      <c r="AQ2444" s="1336"/>
      <c r="AR2444" s="1336"/>
      <c r="AS2444" s="1336"/>
      <c r="AT2444" s="648"/>
      <c r="AU2444" s="648"/>
      <c r="AV2444" s="648"/>
      <c r="AW2444" s="648"/>
      <c r="AX2444" s="648"/>
      <c r="AY2444" s="648"/>
      <c r="AZ2444" s="648"/>
      <c r="BA2444" s="648"/>
      <c r="BB2444" s="648"/>
      <c r="BC2444" s="648"/>
      <c r="BD2444" s="648"/>
      <c r="BE2444" s="648"/>
      <c r="BF2444" s="648"/>
      <c r="BG2444" s="648"/>
      <c r="BH2444" s="648"/>
    </row>
    <row r="2445" spans="1:60" x14ac:dyDescent="0.25">
      <c r="A2445" s="2371">
        <v>10</v>
      </c>
      <c r="B2445" s="2385" t="s">
        <v>3986</v>
      </c>
      <c r="C2445" s="2374"/>
      <c r="D2445" s="2374"/>
      <c r="E2445" s="2374"/>
      <c r="F2445" s="2374"/>
      <c r="G2445" s="2371"/>
      <c r="H2445" s="2371"/>
      <c r="I2445" s="668" t="s">
        <v>3986</v>
      </c>
      <c r="J2445" s="129"/>
      <c r="K2445" s="129"/>
      <c r="L2445" s="1782" t="s">
        <v>3368</v>
      </c>
      <c r="M2445" s="1012"/>
      <c r="N2445" s="665"/>
      <c r="O2445" s="1044"/>
      <c r="P2445" s="94"/>
      <c r="Q2445" s="94"/>
      <c r="R2445" s="94"/>
      <c r="S2445" s="94"/>
      <c r="T2445" s="94"/>
      <c r="U2445" s="94"/>
      <c r="V2445" s="94"/>
      <c r="W2445" s="94"/>
      <c r="X2445" s="94"/>
      <c r="Y2445" s="94"/>
      <c r="Z2445" s="1588"/>
      <c r="AB2445" s="648"/>
      <c r="AC2445" s="970"/>
      <c r="AD2445" s="970"/>
      <c r="AE2445" s="970"/>
      <c r="AF2445" s="648"/>
      <c r="AG2445" s="648"/>
      <c r="AH2445" s="648"/>
      <c r="AI2445" s="648"/>
      <c r="AJ2445" s="648"/>
      <c r="AK2445" s="648"/>
      <c r="AL2445" s="1336"/>
      <c r="AM2445" s="1336"/>
      <c r="AN2445" s="1336"/>
      <c r="AO2445" s="1336"/>
      <c r="AP2445" s="1336"/>
      <c r="AQ2445" s="1336"/>
      <c r="AR2445" s="1336"/>
      <c r="AS2445" s="1336"/>
      <c r="AT2445" s="648"/>
      <c r="AU2445" s="648"/>
      <c r="AV2445" s="648"/>
      <c r="AW2445" s="648"/>
      <c r="AX2445" s="648"/>
      <c r="AY2445" s="648"/>
      <c r="AZ2445" s="648"/>
      <c r="BA2445" s="648"/>
      <c r="BB2445" s="648"/>
      <c r="BC2445" s="648"/>
      <c r="BD2445" s="648"/>
      <c r="BE2445" s="648"/>
      <c r="BF2445" s="648"/>
      <c r="BG2445" s="648"/>
      <c r="BH2445" s="648"/>
    </row>
    <row r="2446" spans="1:60" x14ac:dyDescent="0.25">
      <c r="A2446" s="2371">
        <v>10</v>
      </c>
      <c r="B2446" s="2385" t="s">
        <v>3986</v>
      </c>
      <c r="C2446" s="2374"/>
      <c r="D2446" s="2374"/>
      <c r="E2446" s="2374"/>
      <c r="F2446" s="2374"/>
      <c r="G2446" s="2371"/>
      <c r="H2446" s="2371"/>
      <c r="I2446" s="657"/>
      <c r="J2446" s="129"/>
      <c r="K2446" s="129"/>
      <c r="L2446" s="1782"/>
      <c r="M2446" s="1012"/>
      <c r="N2446" s="665"/>
      <c r="O2446" s="1044"/>
      <c r="P2446" s="94"/>
      <c r="Q2446" s="94"/>
      <c r="R2446" s="94"/>
      <c r="S2446" s="94"/>
      <c r="T2446" s="94"/>
      <c r="U2446" s="94"/>
      <c r="V2446" s="94"/>
      <c r="W2446" s="94"/>
      <c r="X2446" s="94"/>
      <c r="Y2446" s="94"/>
      <c r="Z2446" s="1588"/>
      <c r="AB2446" s="648"/>
      <c r="AC2446" s="970"/>
      <c r="AD2446" s="970"/>
      <c r="AE2446" s="970"/>
      <c r="AF2446" s="648"/>
      <c r="AG2446" s="648"/>
      <c r="AH2446" s="648"/>
      <c r="AI2446" s="648"/>
      <c r="AJ2446" s="648"/>
      <c r="AK2446" s="648"/>
      <c r="AL2446" s="1336"/>
      <c r="AM2446" s="1336"/>
      <c r="AN2446" s="1336"/>
      <c r="AO2446" s="1336"/>
      <c r="AP2446" s="1336"/>
      <c r="AQ2446" s="1336"/>
      <c r="AR2446" s="1336"/>
      <c r="AS2446" s="1336"/>
      <c r="AT2446" s="648"/>
      <c r="AU2446" s="648"/>
      <c r="AV2446" s="648"/>
      <c r="AW2446" s="648"/>
      <c r="AX2446" s="648"/>
      <c r="AY2446" s="648"/>
      <c r="AZ2446" s="648"/>
      <c r="BA2446" s="648"/>
      <c r="BB2446" s="648"/>
      <c r="BC2446" s="648"/>
      <c r="BD2446" s="648"/>
      <c r="BE2446" s="648"/>
      <c r="BF2446" s="648"/>
      <c r="BG2446" s="648"/>
      <c r="BH2446" s="648"/>
    </row>
    <row r="2447" spans="1:60" x14ac:dyDescent="0.25">
      <c r="A2447" s="2371">
        <v>10</v>
      </c>
      <c r="B2447" s="2385" t="s">
        <v>3986</v>
      </c>
      <c r="C2447" s="2374"/>
      <c r="D2447" s="2374"/>
      <c r="E2447" s="2374"/>
      <c r="F2447" s="2374"/>
      <c r="G2447" s="2371"/>
      <c r="H2447" s="2371"/>
      <c r="I2447" s="657"/>
      <c r="J2447" s="129"/>
      <c r="K2447" s="129"/>
      <c r="L2447" s="1782"/>
      <c r="M2447" s="1012"/>
      <c r="N2447" s="665"/>
      <c r="O2447" s="1044"/>
      <c r="P2447" s="94"/>
      <c r="Q2447" s="94"/>
      <c r="R2447" s="94"/>
      <c r="S2447" s="94"/>
      <c r="T2447" s="94"/>
      <c r="U2447" s="94"/>
      <c r="V2447" s="94"/>
      <c r="W2447" s="94"/>
      <c r="X2447" s="94"/>
      <c r="Y2447" s="94"/>
      <c r="Z2447" s="1588"/>
      <c r="AB2447" s="648"/>
      <c r="AC2447" s="970"/>
      <c r="AD2447" s="970"/>
      <c r="AE2447" s="970"/>
      <c r="AF2447" s="648"/>
      <c r="AG2447" s="648"/>
      <c r="AH2447" s="648"/>
      <c r="AI2447" s="648"/>
      <c r="AJ2447" s="648"/>
      <c r="AK2447" s="648"/>
      <c r="AL2447" s="1336"/>
      <c r="AM2447" s="1336"/>
      <c r="AN2447" s="1336"/>
      <c r="AO2447" s="1336"/>
      <c r="AP2447" s="1336"/>
      <c r="AQ2447" s="1336"/>
      <c r="AR2447" s="1336"/>
      <c r="AS2447" s="1336"/>
      <c r="AT2447" s="648"/>
      <c r="AU2447" s="648"/>
      <c r="AV2447" s="648"/>
      <c r="AW2447" s="648"/>
      <c r="AX2447" s="648"/>
      <c r="AY2447" s="648"/>
      <c r="AZ2447" s="648"/>
      <c r="BA2447" s="648"/>
      <c r="BB2447" s="648"/>
      <c r="BC2447" s="648"/>
      <c r="BD2447" s="648"/>
      <c r="BE2447" s="648"/>
      <c r="BF2447" s="648"/>
      <c r="BG2447" s="648"/>
      <c r="BH2447" s="648"/>
    </row>
    <row r="2448" spans="1:60" ht="15.75" thickBot="1" x14ac:dyDescent="0.3">
      <c r="A2448" s="2371">
        <v>10</v>
      </c>
      <c r="B2448" s="2385" t="s">
        <v>3986</v>
      </c>
      <c r="C2448" s="2374"/>
      <c r="D2448" s="2374"/>
      <c r="E2448" s="2374"/>
      <c r="F2448" s="2374"/>
      <c r="G2448" s="2371"/>
      <c r="H2448" s="2371"/>
      <c r="I2448" s="658"/>
      <c r="J2448" s="240"/>
      <c r="K2448" s="240"/>
      <c r="L2448" s="1797"/>
      <c r="M2448" s="1013"/>
      <c r="N2448" s="1052"/>
      <c r="O2448" s="1045"/>
      <c r="P2448" s="99"/>
      <c r="Q2448" s="99"/>
      <c r="R2448" s="99"/>
      <c r="S2448" s="99"/>
      <c r="T2448" s="99"/>
      <c r="U2448" s="99"/>
      <c r="V2448" s="99"/>
      <c r="W2448" s="99"/>
      <c r="X2448" s="99"/>
      <c r="Y2448" s="99"/>
      <c r="Z2448" s="1589"/>
      <c r="AB2448" s="648"/>
      <c r="AC2448" s="970"/>
      <c r="AD2448" s="970"/>
      <c r="AE2448" s="970"/>
      <c r="AF2448" s="648"/>
      <c r="AG2448" s="648"/>
      <c r="AH2448" s="648"/>
      <c r="AI2448" s="648"/>
      <c r="AJ2448" s="648"/>
      <c r="AK2448" s="648"/>
      <c r="AL2448" s="1336"/>
      <c r="AM2448" s="1336"/>
      <c r="AN2448" s="1336"/>
      <c r="AO2448" s="1336"/>
      <c r="AP2448" s="1336"/>
      <c r="AQ2448" s="1336"/>
      <c r="AR2448" s="1336"/>
      <c r="AS2448" s="1336"/>
      <c r="AT2448" s="648"/>
      <c r="AU2448" s="648"/>
      <c r="AV2448" s="648"/>
      <c r="AW2448" s="648"/>
      <c r="AX2448" s="648"/>
      <c r="AY2448" s="648"/>
      <c r="AZ2448" s="648"/>
      <c r="BA2448" s="648"/>
      <c r="BB2448" s="648"/>
      <c r="BC2448" s="648"/>
      <c r="BD2448" s="648"/>
      <c r="BE2448" s="648"/>
      <c r="BF2448" s="648"/>
      <c r="BG2448" s="648"/>
      <c r="BH2448" s="648"/>
    </row>
    <row r="2449" spans="1:60" ht="15.75" thickTop="1" x14ac:dyDescent="0.25">
      <c r="A2449" s="2371">
        <v>10</v>
      </c>
      <c r="B2449" s="2385">
        <v>1004.1</v>
      </c>
      <c r="C2449" s="2374"/>
      <c r="D2449" s="2374"/>
      <c r="E2449" s="2374"/>
      <c r="F2449" s="2374"/>
      <c r="G2449" s="2363" t="str">
        <f>IF(COUNTIF(G2454:G2456,"P")&gt;0,"P","")</f>
        <v/>
      </c>
      <c r="H2449" s="2371" t="s">
        <v>3973</v>
      </c>
      <c r="I2449" s="139">
        <v>1004.1</v>
      </c>
      <c r="J2449" s="4"/>
      <c r="K2449" s="4"/>
      <c r="L2449" s="1796" t="s">
        <v>3369</v>
      </c>
      <c r="M2449" s="1018"/>
      <c r="N2449" s="664"/>
      <c r="O2449" s="1042"/>
      <c r="P2449" s="648"/>
      <c r="Q2449" s="648"/>
      <c r="R2449" s="648"/>
      <c r="S2449" s="648"/>
      <c r="T2449" s="648"/>
      <c r="U2449" s="648"/>
      <c r="V2449" s="648"/>
      <c r="W2449" s="648"/>
      <c r="X2449" s="648"/>
      <c r="Y2449" s="648"/>
      <c r="AB2449" s="648"/>
      <c r="AC2449" s="970"/>
      <c r="AD2449" s="970"/>
      <c r="AE2449" s="970"/>
      <c r="AF2449" s="648"/>
      <c r="AG2449" s="648"/>
      <c r="AH2449" s="648"/>
      <c r="AI2449" s="648"/>
      <c r="AJ2449" s="648"/>
      <c r="AK2449" s="648"/>
      <c r="AL2449" s="1336"/>
      <c r="AM2449" s="1336"/>
      <c r="AN2449" s="1336"/>
      <c r="AO2449" s="1336"/>
      <c r="AP2449" s="1336"/>
      <c r="AQ2449" s="1336"/>
      <c r="AR2449" s="1336"/>
      <c r="AS2449" s="1336"/>
      <c r="AT2449" s="648"/>
      <c r="AU2449" s="648"/>
      <c r="AV2449" s="648"/>
      <c r="AW2449" s="648"/>
      <c r="AX2449" s="648"/>
      <c r="AY2449" s="648"/>
      <c r="AZ2449" s="648"/>
      <c r="BA2449" s="648"/>
      <c r="BB2449" s="648"/>
      <c r="BC2449" s="648"/>
      <c r="BD2449" s="648"/>
      <c r="BE2449" s="648"/>
      <c r="BF2449" s="648"/>
      <c r="BG2449" s="648"/>
      <c r="BH2449" s="648"/>
    </row>
    <row r="2450" spans="1:60" x14ac:dyDescent="0.25">
      <c r="A2450" s="2371">
        <v>10</v>
      </c>
      <c r="B2450" s="2385">
        <v>1004.1</v>
      </c>
      <c r="C2450" s="2374"/>
      <c r="D2450" s="2374"/>
      <c r="E2450" s="2374"/>
      <c r="F2450" s="2374"/>
      <c r="G2450" s="2373" t="str">
        <f>G2449</f>
        <v/>
      </c>
      <c r="H2450" s="2371" t="s">
        <v>3973</v>
      </c>
      <c r="I2450" s="4"/>
      <c r="J2450" s="4"/>
      <c r="K2450" s="4"/>
      <c r="L2450" s="1796"/>
      <c r="M2450" s="1018"/>
      <c r="N2450" s="664"/>
      <c r="O2450" s="1042"/>
      <c r="P2450" s="648"/>
      <c r="Q2450" s="648"/>
      <c r="R2450" s="648"/>
      <c r="S2450" s="648"/>
      <c r="T2450" s="648"/>
      <c r="U2450" s="648"/>
      <c r="V2450" s="648"/>
      <c r="W2450" s="648"/>
      <c r="X2450" s="648"/>
      <c r="Y2450" s="648"/>
      <c r="AB2450" s="648"/>
      <c r="AC2450" s="970"/>
      <c r="AD2450" s="970"/>
      <c r="AE2450" s="970"/>
      <c r="AF2450" s="648"/>
      <c r="AG2450" s="648"/>
      <c r="AH2450" s="648"/>
      <c r="AI2450" s="648"/>
      <c r="AJ2450" s="648"/>
      <c r="AK2450" s="648"/>
      <c r="AL2450" s="1336"/>
      <c r="AM2450" s="1336"/>
      <c r="AN2450" s="1336"/>
      <c r="AO2450" s="1336"/>
      <c r="AP2450" s="1336"/>
      <c r="AQ2450" s="1336"/>
      <c r="AR2450" s="1336"/>
      <c r="AS2450" s="1336"/>
      <c r="AT2450" s="648"/>
      <c r="AU2450" s="648"/>
      <c r="AV2450" s="648"/>
      <c r="AW2450" s="648"/>
      <c r="AX2450" s="648"/>
      <c r="AY2450" s="648"/>
      <c r="AZ2450" s="648"/>
      <c r="BA2450" s="648"/>
      <c r="BB2450" s="648"/>
      <c r="BC2450" s="648"/>
      <c r="BD2450" s="648"/>
      <c r="BE2450" s="648"/>
      <c r="BF2450" s="648"/>
      <c r="BG2450" s="648"/>
      <c r="BH2450" s="648"/>
    </row>
    <row r="2451" spans="1:60" x14ac:dyDescent="0.25">
      <c r="A2451" s="2371">
        <v>10</v>
      </c>
      <c r="B2451" s="2385">
        <v>1004.1</v>
      </c>
      <c r="C2451" s="2374"/>
      <c r="D2451" s="2374"/>
      <c r="E2451" s="2374"/>
      <c r="F2451" s="2374"/>
      <c r="G2451" s="2373" t="str">
        <f>G2450</f>
        <v/>
      </c>
      <c r="H2451" s="2371" t="s">
        <v>3973</v>
      </c>
      <c r="I2451" s="4"/>
      <c r="J2451" s="4"/>
      <c r="K2451" s="4"/>
      <c r="L2451" s="1796"/>
      <c r="M2451" s="1018"/>
      <c r="N2451" s="664"/>
      <c r="O2451" s="1042"/>
      <c r="P2451" s="648"/>
      <c r="Q2451" s="648"/>
      <c r="R2451" s="648"/>
      <c r="S2451" s="648"/>
      <c r="T2451" s="648"/>
      <c r="U2451" s="648"/>
      <c r="V2451" s="648"/>
      <c r="W2451" s="648"/>
      <c r="X2451" s="648"/>
      <c r="Y2451" s="648"/>
      <c r="AB2451" s="648"/>
      <c r="AC2451" s="970"/>
      <c r="AD2451" s="970"/>
      <c r="AE2451" s="970"/>
      <c r="AF2451" s="648"/>
      <c r="AG2451" s="648"/>
      <c r="AH2451" s="648"/>
      <c r="AI2451" s="648"/>
      <c r="AJ2451" s="648"/>
      <c r="AK2451" s="648"/>
      <c r="AL2451" s="1336"/>
      <c r="AM2451" s="1336"/>
      <c r="AN2451" s="1336"/>
      <c r="AO2451" s="1336"/>
      <c r="AP2451" s="1336"/>
      <c r="AQ2451" s="1336"/>
      <c r="AR2451" s="1336"/>
      <c r="AS2451" s="1336"/>
      <c r="AT2451" s="648"/>
      <c r="AU2451" s="648"/>
      <c r="AV2451" s="648"/>
      <c r="AW2451" s="648"/>
      <c r="AX2451" s="648"/>
      <c r="AY2451" s="648"/>
      <c r="AZ2451" s="648"/>
      <c r="BA2451" s="648"/>
      <c r="BB2451" s="648"/>
      <c r="BC2451" s="648"/>
      <c r="BD2451" s="648"/>
      <c r="BE2451" s="648"/>
      <c r="BF2451" s="648"/>
      <c r="BG2451" s="648"/>
      <c r="BH2451" s="648"/>
    </row>
    <row r="2452" spans="1:60" x14ac:dyDescent="0.25">
      <c r="A2452" s="2371">
        <v>10</v>
      </c>
      <c r="B2452" s="2385">
        <v>1004.1</v>
      </c>
      <c r="C2452" s="2374"/>
      <c r="D2452" s="2374"/>
      <c r="E2452" s="2374"/>
      <c r="F2452" s="2374"/>
      <c r="G2452" s="2373" t="str">
        <f>G2451</f>
        <v/>
      </c>
      <c r="H2452" s="2371" t="s">
        <v>3973</v>
      </c>
      <c r="I2452" s="4"/>
      <c r="J2452" s="4"/>
      <c r="K2452" s="4"/>
      <c r="L2452" s="1796"/>
      <c r="M2452" s="1018"/>
      <c r="N2452" s="664"/>
      <c r="O2452" s="1042"/>
      <c r="P2452" s="648"/>
      <c r="Q2452" s="648"/>
      <c r="R2452" s="648"/>
      <c r="S2452" s="648"/>
      <c r="T2452" s="648"/>
      <c r="U2452" s="648"/>
      <c r="V2452" s="648"/>
      <c r="W2452" s="648"/>
      <c r="X2452" s="648"/>
      <c r="Y2452" s="648"/>
      <c r="AB2452" s="648"/>
      <c r="AC2452" s="970"/>
      <c r="AD2452" s="970"/>
      <c r="AE2452" s="970"/>
      <c r="AF2452" s="648"/>
      <c r="AG2452" s="648"/>
      <c r="AH2452" s="648"/>
      <c r="AI2452" s="648"/>
      <c r="AJ2452" s="648"/>
      <c r="AK2452" s="648"/>
      <c r="AL2452" s="1336"/>
      <c r="AM2452" s="1336"/>
      <c r="AN2452" s="1336"/>
      <c r="AO2452" s="1336"/>
      <c r="AP2452" s="1336"/>
      <c r="AQ2452" s="1336"/>
      <c r="AR2452" s="1336"/>
      <c r="AS2452" s="1336"/>
      <c r="AT2452" s="648"/>
      <c r="AU2452" s="648"/>
      <c r="AV2452" s="648"/>
      <c r="AW2452" s="648"/>
      <c r="AX2452" s="648"/>
      <c r="AY2452" s="648"/>
      <c r="AZ2452" s="648"/>
      <c r="BA2452" s="648"/>
      <c r="BB2452" s="648"/>
      <c r="BC2452" s="648"/>
      <c r="BD2452" s="648"/>
      <c r="BE2452" s="648"/>
      <c r="BF2452" s="648"/>
      <c r="BG2452" s="648"/>
      <c r="BH2452" s="648"/>
    </row>
    <row r="2453" spans="1:60" x14ac:dyDescent="0.25">
      <c r="A2453" s="2371">
        <v>10</v>
      </c>
      <c r="B2453" s="2385">
        <v>1004.1</v>
      </c>
      <c r="C2453" s="2374"/>
      <c r="D2453" s="2374"/>
      <c r="E2453" s="2374"/>
      <c r="F2453" s="2374"/>
      <c r="G2453" s="2373" t="str">
        <f>G2452</f>
        <v/>
      </c>
      <c r="H2453" s="2371" t="s">
        <v>3973</v>
      </c>
      <c r="I2453" s="4"/>
      <c r="J2453" s="4"/>
      <c r="K2453" s="4"/>
      <c r="L2453" s="1796"/>
      <c r="M2453" s="1018"/>
      <c r="N2453" s="664"/>
      <c r="O2453" s="1042"/>
      <c r="P2453" s="648"/>
      <c r="Q2453" s="648"/>
      <c r="R2453" s="648"/>
      <c r="S2453" s="648"/>
      <c r="T2453" s="648"/>
      <c r="U2453" s="648"/>
      <c r="V2453" s="648"/>
      <c r="W2453" s="648"/>
      <c r="X2453" s="648"/>
      <c r="Y2453" s="648"/>
      <c r="AB2453" s="648"/>
      <c r="AC2453" s="970"/>
      <c r="AD2453" s="970"/>
      <c r="AE2453" s="970"/>
      <c r="AF2453" s="648"/>
      <c r="AG2453" s="648"/>
      <c r="AH2453" s="648"/>
      <c r="AI2453" s="648"/>
      <c r="AJ2453" s="648"/>
      <c r="AK2453" s="648"/>
      <c r="AL2453" s="1336"/>
      <c r="AM2453" s="1336"/>
      <c r="AN2453" s="1336"/>
      <c r="AO2453" s="1336"/>
      <c r="AP2453" s="1336"/>
      <c r="AQ2453" s="1336"/>
      <c r="AR2453" s="1336"/>
      <c r="AS2453" s="1336"/>
      <c r="AT2453" s="648"/>
      <c r="AU2453" s="648"/>
      <c r="AV2453" s="648"/>
      <c r="AW2453" s="648"/>
      <c r="AX2453" s="648"/>
      <c r="AY2453" s="648"/>
      <c r="AZ2453" s="648"/>
      <c r="BA2453" s="648"/>
      <c r="BB2453" s="648"/>
      <c r="BC2453" s="648"/>
      <c r="BD2453" s="648"/>
      <c r="BE2453" s="648"/>
      <c r="BF2453" s="648"/>
      <c r="BG2453" s="648"/>
      <c r="BH2453" s="648"/>
    </row>
    <row r="2454" spans="1:60" x14ac:dyDescent="0.25">
      <c r="A2454" s="2371">
        <v>10</v>
      </c>
      <c r="B2454" s="2385">
        <v>1004.1</v>
      </c>
      <c r="C2454" s="2374" t="s">
        <v>256</v>
      </c>
      <c r="D2454" s="2374"/>
      <c r="E2454" s="2374"/>
      <c r="F2454" s="2374"/>
      <c r="G2454" s="2373" t="str">
        <f>IF(N2454&gt;0,"P","")</f>
        <v/>
      </c>
      <c r="H2454" s="2371" t="s">
        <v>3973</v>
      </c>
      <c r="I2454" s="4"/>
      <c r="J2454" s="183" t="s">
        <v>256</v>
      </c>
      <c r="K2454" s="129"/>
      <c r="L2454" s="1754" t="s">
        <v>3950</v>
      </c>
      <c r="M2454" s="1758">
        <v>1</v>
      </c>
      <c r="N2454" s="2075">
        <f>'Ch10'!O211</f>
        <v>0</v>
      </c>
      <c r="O2454" s="1927">
        <f>M2454*S2454*W2454</f>
        <v>0</v>
      </c>
      <c r="P2454" s="648" t="b">
        <v>0</v>
      </c>
      <c r="Q2454" s="648" t="b">
        <v>1</v>
      </c>
      <c r="R2454" s="648" t="b">
        <v>0</v>
      </c>
      <c r="S2454" s="648" t="b">
        <v>1</v>
      </c>
      <c r="T2454" s="648" t="b">
        <v>0</v>
      </c>
      <c r="U2454" s="648"/>
      <c r="V2454" s="648"/>
      <c r="W2454" s="25"/>
      <c r="X2454" s="1757"/>
      <c r="Y2454" s="2077" t="str">
        <f>IF(LEN('Ch10'!X211)=0,"None",'Ch10'!X211)</f>
        <v>None</v>
      </c>
      <c r="Z2454" s="2083"/>
      <c r="AB2454" s="648"/>
      <c r="AC2454" s="970"/>
      <c r="AD2454" s="970"/>
      <c r="AE2454" s="970"/>
      <c r="AF2454" s="648"/>
      <c r="AG2454" s="648"/>
      <c r="AH2454" s="648"/>
      <c r="AI2454" s="648"/>
      <c r="AJ2454" s="648"/>
      <c r="AK2454" s="648"/>
      <c r="AL2454" s="254" t="str">
        <f>SUBSTITUTE(SUBSTITUTE(SUBSTITUTE("vpa"&amp;$B2454&amp;$C2454&amp;$D2454&amp;$E2454,".","_"),"(","_"),")","")</f>
        <v>vpa1004_1_1</v>
      </c>
      <c r="AM2454" s="254">
        <f>M2454</f>
        <v>1</v>
      </c>
      <c r="AN2454" s="254" t="str">
        <f>SUBSTITUTE(SUBSTITUTE(SUBSTITUTE("vpc"&amp;$B2454&amp;$C2454&amp;$D2454&amp;$E2454,".","_"),"(","_"),")","")</f>
        <v>vpc1004_1_1</v>
      </c>
      <c r="AO2454" s="254">
        <f>O2454</f>
        <v>0</v>
      </c>
      <c r="AP2454" s="254" t="str">
        <f>SUBSTITUTE(SUBSTITUTE(SUBSTITUTE("vch"&amp;$B2454&amp;$C2454&amp;$D2454&amp;$E2454,".","_"),"(","_"),")","")</f>
        <v>vch1004_1_1</v>
      </c>
      <c r="AQ2454" s="254" t="str">
        <f>IF(LEN(W2454)=0,"",W2454)</f>
        <v/>
      </c>
      <c r="AR2454" s="254" t="str">
        <f>SUBSTITUTE(SUBSTITUTE(SUBSTITUTE("vnt"&amp;$B2454&amp;$C2454&amp;$D2454&amp;$E2454,".","_"),"(","_"),")","")</f>
        <v>vnt1004_1_1</v>
      </c>
      <c r="AS2454" s="254" t="str">
        <f>IF(LEN(X2454)=0,"",X2454)</f>
        <v/>
      </c>
      <c r="AT2454" s="648"/>
      <c r="AU2454" s="648"/>
      <c r="AV2454" s="648"/>
      <c r="AW2454" s="648"/>
      <c r="AX2454" s="648"/>
      <c r="AY2454" s="648"/>
      <c r="AZ2454" s="648"/>
      <c r="BA2454" s="648"/>
      <c r="BB2454" s="648"/>
      <c r="BC2454" s="648"/>
      <c r="BD2454" s="648"/>
      <c r="BE2454" s="648"/>
      <c r="BF2454" s="648"/>
      <c r="BG2454" s="648"/>
      <c r="BH2454" s="648"/>
    </row>
    <row r="2455" spans="1:60" x14ac:dyDescent="0.25">
      <c r="A2455" s="2371">
        <v>10</v>
      </c>
      <c r="B2455" s="2385">
        <v>1004.1</v>
      </c>
      <c r="C2455" s="2374" t="s">
        <v>256</v>
      </c>
      <c r="D2455" s="2374"/>
      <c r="E2455" s="2374"/>
      <c r="F2455" s="2374"/>
      <c r="G2455" s="2373" t="str">
        <f>G2454</f>
        <v/>
      </c>
      <c r="H2455" s="2371" t="s">
        <v>3973</v>
      </c>
      <c r="I2455" s="4"/>
      <c r="J2455" s="206"/>
      <c r="K2455" s="210"/>
      <c r="L2455" s="1755"/>
      <c r="M2455" s="1759"/>
      <c r="N2455" s="2076"/>
      <c r="O2455" s="2076"/>
      <c r="P2455" s="648"/>
      <c r="Q2455" s="648"/>
      <c r="R2455" s="648"/>
      <c r="S2455" s="648"/>
      <c r="T2455" s="648"/>
      <c r="U2455" s="648"/>
      <c r="V2455" s="648"/>
      <c r="W2455" s="648"/>
      <c r="X2455" s="1757"/>
      <c r="Y2455" s="2077"/>
      <c r="Z2455" s="2083"/>
      <c r="AB2455" s="648"/>
      <c r="AC2455" s="970"/>
      <c r="AD2455" s="970"/>
      <c r="AE2455" s="970"/>
      <c r="AF2455" s="648"/>
      <c r="AG2455" s="648"/>
      <c r="AH2455" s="648"/>
      <c r="AI2455" s="648"/>
      <c r="AJ2455" s="648"/>
      <c r="AK2455" s="648"/>
      <c r="AL2455" s="1336"/>
      <c r="AM2455" s="1336"/>
      <c r="AN2455" s="1336"/>
      <c r="AO2455" s="1336"/>
      <c r="AP2455" s="1336"/>
      <c r="AQ2455" s="1336"/>
      <c r="AR2455" s="1336"/>
      <c r="AS2455" s="1336"/>
      <c r="AT2455" s="648"/>
      <c r="AU2455" s="648"/>
      <c r="AV2455" s="648"/>
      <c r="AW2455" s="648"/>
      <c r="AX2455" s="648"/>
      <c r="AY2455" s="648"/>
      <c r="AZ2455" s="648"/>
      <c r="BA2455" s="648"/>
      <c r="BB2455" s="648"/>
      <c r="BC2455" s="648"/>
      <c r="BD2455" s="648"/>
      <c r="BE2455" s="648"/>
      <c r="BF2455" s="648"/>
      <c r="BG2455" s="648"/>
      <c r="BH2455" s="648"/>
    </row>
    <row r="2456" spans="1:60" x14ac:dyDescent="0.25">
      <c r="A2456" s="2371">
        <v>10</v>
      </c>
      <c r="B2456" s="2385">
        <v>1004.1</v>
      </c>
      <c r="C2456" s="2374" t="s">
        <v>258</v>
      </c>
      <c r="D2456" s="2374"/>
      <c r="E2456" s="2374"/>
      <c r="F2456" s="2374"/>
      <c r="G2456" s="2373" t="str">
        <f>IF(N2456&gt;0,"P","")</f>
        <v/>
      </c>
      <c r="H2456" s="2371" t="s">
        <v>3973</v>
      </c>
      <c r="I2456" s="4"/>
      <c r="J2456" s="209" t="s">
        <v>258</v>
      </c>
      <c r="K2456" s="193"/>
      <c r="L2456" s="1778" t="s">
        <v>3370</v>
      </c>
      <c r="M2456" s="1762">
        <v>3</v>
      </c>
      <c r="N2456" s="2079">
        <f>'Ch10'!O213</f>
        <v>0</v>
      </c>
      <c r="O2456" s="2079">
        <f>M2456*S2456*W2456</f>
        <v>0</v>
      </c>
      <c r="P2456" s="648" t="b">
        <v>0</v>
      </c>
      <c r="Q2456" s="648" t="b">
        <v>1</v>
      </c>
      <c r="R2456" s="648" t="b">
        <v>0</v>
      </c>
      <c r="S2456" s="648" t="b">
        <v>1</v>
      </c>
      <c r="T2456" s="648" t="b">
        <v>0</v>
      </c>
      <c r="U2456" s="648"/>
      <c r="V2456" s="648"/>
      <c r="W2456" s="25"/>
      <c r="X2456" s="1757"/>
      <c r="Y2456" s="2077" t="str">
        <f>IF(LEN('Ch10'!X213)=0,"None",'Ch10'!X213)</f>
        <v>None</v>
      </c>
      <c r="Z2456" s="2083"/>
      <c r="AB2456" s="648"/>
      <c r="AC2456" s="970"/>
      <c r="AD2456" s="970"/>
      <c r="AE2456" s="970"/>
      <c r="AF2456" s="648"/>
      <c r="AG2456" s="648"/>
      <c r="AH2456" s="648"/>
      <c r="AI2456" s="648"/>
      <c r="AJ2456" s="648"/>
      <c r="AK2456" s="648"/>
      <c r="AL2456" s="254" t="str">
        <f>SUBSTITUTE(SUBSTITUTE(SUBSTITUTE("vpa"&amp;$B2456&amp;$C2456&amp;$D2456&amp;$E2456,".","_"),"(","_"),")","")</f>
        <v>vpa1004_1_2</v>
      </c>
      <c r="AM2456" s="254">
        <f>M2456</f>
        <v>3</v>
      </c>
      <c r="AN2456" s="254" t="str">
        <f>SUBSTITUTE(SUBSTITUTE(SUBSTITUTE("vpc"&amp;$B2456&amp;$C2456&amp;$D2456&amp;$E2456,".","_"),"(","_"),")","")</f>
        <v>vpc1004_1_2</v>
      </c>
      <c r="AO2456" s="254">
        <f>O2456</f>
        <v>0</v>
      </c>
      <c r="AP2456" s="254" t="str">
        <f>SUBSTITUTE(SUBSTITUTE(SUBSTITUTE("vch"&amp;$B2456&amp;$C2456&amp;$D2456&amp;$E2456,".","_"),"(","_"),")","")</f>
        <v>vch1004_1_2</v>
      </c>
      <c r="AQ2456" s="254" t="str">
        <f>IF(LEN(W2456)=0,"",W2456)</f>
        <v/>
      </c>
      <c r="AR2456" s="254" t="str">
        <f>SUBSTITUTE(SUBSTITUTE(SUBSTITUTE("vnt"&amp;$B2456&amp;$C2456&amp;$D2456&amp;$E2456,".","_"),"(","_"),")","")</f>
        <v>vnt1004_1_2</v>
      </c>
      <c r="AS2456" s="254" t="str">
        <f>IF(LEN(X2456)=0,"",X2456)</f>
        <v/>
      </c>
      <c r="AT2456" s="648"/>
      <c r="AU2456" s="648"/>
      <c r="AV2456" s="648"/>
      <c r="AW2456" s="648"/>
      <c r="AX2456" s="648"/>
      <c r="AY2456" s="648"/>
      <c r="AZ2456" s="648"/>
      <c r="BA2456" s="648"/>
      <c r="BB2456" s="648"/>
      <c r="BC2456" s="648"/>
      <c r="BD2456" s="648"/>
      <c r="BE2456" s="648"/>
      <c r="BF2456" s="648"/>
      <c r="BG2456" s="648"/>
      <c r="BH2456" s="648"/>
    </row>
    <row r="2457" spans="1:60" x14ac:dyDescent="0.25">
      <c r="A2457" s="2371">
        <v>10</v>
      </c>
      <c r="B2457" s="2385">
        <v>1004.1</v>
      </c>
      <c r="C2457" s="2374" t="s">
        <v>258</v>
      </c>
      <c r="D2457" s="2374"/>
      <c r="E2457" s="2374"/>
      <c r="F2457" s="2374"/>
      <c r="G2457" s="2373" t="str">
        <f>G2456</f>
        <v/>
      </c>
      <c r="H2457" s="2371" t="s">
        <v>3973</v>
      </c>
      <c r="I2457" s="4"/>
      <c r="J2457" s="210"/>
      <c r="K2457" s="210"/>
      <c r="L2457" s="1755"/>
      <c r="M2457" s="1759"/>
      <c r="N2457" s="2076"/>
      <c r="O2457" s="2076"/>
      <c r="P2457" s="648"/>
      <c r="Q2457" s="648"/>
      <c r="R2457" s="648"/>
      <c r="S2457" s="648"/>
      <c r="T2457" s="648"/>
      <c r="U2457" s="648"/>
      <c r="V2457" s="648"/>
      <c r="W2457" s="648"/>
      <c r="X2457" s="1757"/>
      <c r="Y2457" s="2077"/>
      <c r="Z2457" s="2083"/>
      <c r="AB2457" s="648"/>
      <c r="AC2457" s="970"/>
      <c r="AD2457" s="970"/>
      <c r="AE2457" s="970"/>
      <c r="AF2457" s="648"/>
      <c r="AG2457" s="648"/>
      <c r="AH2457" s="648"/>
      <c r="AI2457" s="648"/>
      <c r="AJ2457" s="648"/>
      <c r="AK2457" s="648"/>
      <c r="AL2457" s="1336"/>
      <c r="AM2457" s="1336"/>
      <c r="AN2457" s="1336"/>
      <c r="AO2457" s="1336"/>
      <c r="AP2457" s="1336"/>
      <c r="AQ2457" s="1336"/>
      <c r="AR2457" s="1336"/>
      <c r="AS2457" s="1336"/>
      <c r="AT2457" s="648"/>
      <c r="AU2457" s="648"/>
      <c r="AV2457" s="648"/>
      <c r="AW2457" s="648"/>
      <c r="AX2457" s="648"/>
      <c r="AY2457" s="648"/>
      <c r="AZ2457" s="648"/>
      <c r="BA2457" s="648"/>
      <c r="BB2457" s="648"/>
      <c r="BC2457" s="648"/>
      <c r="BD2457" s="648"/>
      <c r="BE2457" s="648"/>
      <c r="BF2457" s="648"/>
      <c r="BG2457" s="648"/>
      <c r="BH2457" s="648"/>
    </row>
    <row r="2458" spans="1:60" ht="18.75" x14ac:dyDescent="0.3">
      <c r="A2458" s="2371">
        <v>10</v>
      </c>
      <c r="B2458" s="2385" t="s">
        <v>4573</v>
      </c>
      <c r="C2458" s="2374"/>
      <c r="D2458" s="2374"/>
      <c r="E2458" s="2374"/>
      <c r="F2458" s="2374"/>
      <c r="G2458" s="2373" t="s">
        <v>3974</v>
      </c>
      <c r="H2458" s="2371" t="s">
        <v>3971</v>
      </c>
      <c r="I2458" s="69" t="s">
        <v>4574</v>
      </c>
      <c r="J2458" s="79"/>
      <c r="K2458" s="79"/>
      <c r="L2458" s="84"/>
      <c r="M2458" s="1000"/>
      <c r="N2458" s="1054"/>
      <c r="O2458" s="1053"/>
      <c r="P2458" s="23"/>
      <c r="Q2458" s="23"/>
      <c r="R2458" s="23"/>
      <c r="S2458" s="23"/>
      <c r="T2458" s="23"/>
      <c r="U2458" s="23"/>
      <c r="V2458" s="23"/>
      <c r="W2458" s="23"/>
      <c r="X2458" s="23"/>
      <c r="Y2458" s="23"/>
      <c r="Z2458" s="1586"/>
      <c r="AC2458" s="970"/>
      <c r="AD2458" s="970"/>
      <c r="AE2458" s="970"/>
      <c r="AL2458" s="1336"/>
      <c r="AM2458" s="1336"/>
      <c r="AN2458" s="1336"/>
      <c r="AO2458" s="1336"/>
      <c r="AP2458" s="1336"/>
      <c r="AQ2458" s="1336"/>
      <c r="AR2458" s="1336"/>
      <c r="AS2458" s="1336"/>
    </row>
    <row r="2459" spans="1:60" x14ac:dyDescent="0.25">
      <c r="A2459" s="2371">
        <v>10</v>
      </c>
      <c r="B2459" s="2385" t="s">
        <v>4575</v>
      </c>
      <c r="C2459" s="2374"/>
      <c r="D2459" s="2374"/>
      <c r="E2459" s="2374"/>
      <c r="F2459" s="2374"/>
      <c r="G2459" s="2373" t="s">
        <v>3974</v>
      </c>
      <c r="H2459" s="2371" t="s">
        <v>3973</v>
      </c>
      <c r="I2459" s="679" t="s">
        <v>4575</v>
      </c>
      <c r="J2459" s="679"/>
      <c r="K2459" s="679"/>
      <c r="L2459" s="1180" t="s">
        <v>4576</v>
      </c>
      <c r="M2459" s="1010"/>
      <c r="N2459" s="665"/>
      <c r="O2459" s="1044"/>
      <c r="P2459" s="911"/>
      <c r="Q2459" s="911"/>
      <c r="R2459" s="911"/>
      <c r="S2459" s="911"/>
      <c r="T2459" s="911"/>
      <c r="U2459" s="911"/>
      <c r="V2459" s="911"/>
      <c r="AC2459" s="970"/>
      <c r="AD2459" s="970"/>
      <c r="AE2459" s="970"/>
      <c r="AL2459" s="1336"/>
      <c r="AM2459" s="1336"/>
      <c r="AN2459" s="1336"/>
      <c r="AO2459" s="1336"/>
      <c r="AP2459" s="1336"/>
      <c r="AQ2459" s="1336"/>
      <c r="AR2459" s="1336"/>
      <c r="AS2459" s="1336"/>
    </row>
    <row r="2460" spans="1:60" x14ac:dyDescent="0.25">
      <c r="A2460" s="2371">
        <v>10</v>
      </c>
      <c r="B2460" s="2385" t="s">
        <v>4575</v>
      </c>
      <c r="C2460" s="2385" t="s">
        <v>256</v>
      </c>
      <c r="D2460" s="2374"/>
      <c r="E2460" s="2374"/>
      <c r="F2460" s="2374"/>
      <c r="G2460" s="2373" t="str">
        <f>IF(N2460&gt;0,"P","")</f>
        <v/>
      </c>
      <c r="H2460" s="2371" t="s">
        <v>3973</v>
      </c>
      <c r="I2460" s="679"/>
      <c r="J2460" s="680" t="s">
        <v>256</v>
      </c>
      <c r="K2460" s="680"/>
      <c r="L2460" s="1793" t="s">
        <v>4577</v>
      </c>
      <c r="M2460" s="1758">
        <v>2</v>
      </c>
      <c r="N2460" s="1927">
        <f>'Ch10'!O217</f>
        <v>0</v>
      </c>
      <c r="O2460" s="1927">
        <f>M2460*S2460*W2460</f>
        <v>0</v>
      </c>
      <c r="P2460" s="94" t="b">
        <v>0</v>
      </c>
      <c r="Q2460" s="94" t="b">
        <v>1</v>
      </c>
      <c r="R2460" s="94" t="b">
        <v>0</v>
      </c>
      <c r="S2460" s="94" t="b">
        <v>1</v>
      </c>
      <c r="T2460" s="94" t="b">
        <v>0</v>
      </c>
      <c r="U2460" s="94"/>
      <c r="V2460" s="94"/>
      <c r="W2460" s="25"/>
      <c r="X2460" s="1757"/>
      <c r="Y2460" s="2099" t="str">
        <f>IF(LEN('Ch10'!X217)=0,"None",'Ch10'!X217)</f>
        <v>None</v>
      </c>
      <c r="Z2460" s="2087"/>
      <c r="AC2460" s="970"/>
      <c r="AD2460" s="970"/>
      <c r="AE2460" s="970"/>
      <c r="AL2460" s="254" t="str">
        <f>SUBSTITUTE(SUBSTITUTE(SUBSTITUTE("vpa"&amp;$B2460&amp;$C2460&amp;$D2460&amp;$E2460,".","_"),"(","_"),")","")</f>
        <v>vpa1005_1_1</v>
      </c>
      <c r="AM2460" s="254">
        <f>M2460</f>
        <v>2</v>
      </c>
      <c r="AN2460" s="254" t="str">
        <f>SUBSTITUTE(SUBSTITUTE(SUBSTITUTE("vpc"&amp;$B2460&amp;$C2460&amp;$D2460&amp;$E2460,".","_"),"(","_"),")","")</f>
        <v>vpc1005_1_1</v>
      </c>
      <c r="AO2460" s="254">
        <f>O2460</f>
        <v>0</v>
      </c>
      <c r="AP2460" s="254" t="str">
        <f>SUBSTITUTE(SUBSTITUTE(SUBSTITUTE("vch"&amp;$B2460&amp;$C2460&amp;$D2460&amp;$E2460,".","_"),"(","_"),")","")</f>
        <v>vch1005_1_1</v>
      </c>
      <c r="AQ2460" s="254" t="str">
        <f>IF(LEN(W2460)=0,"",W2460)</f>
        <v/>
      </c>
      <c r="AR2460" s="254" t="str">
        <f>SUBSTITUTE(SUBSTITUTE(SUBSTITUTE("vnt"&amp;$B2460&amp;$C2460&amp;$D2460&amp;$E2460,".","_"),"(","_"),")","")</f>
        <v>vnt1005_1_1</v>
      </c>
      <c r="AS2460" s="254" t="str">
        <f>IF(LEN(X2460)=0,"",X2460)</f>
        <v/>
      </c>
    </row>
    <row r="2461" spans="1:60" x14ac:dyDescent="0.25">
      <c r="A2461" s="2371">
        <v>10</v>
      </c>
      <c r="B2461" s="2385" t="s">
        <v>4575</v>
      </c>
      <c r="C2461" s="2385" t="s">
        <v>256</v>
      </c>
      <c r="D2461" s="2374"/>
      <c r="E2461" s="2374"/>
      <c r="F2461" s="2374"/>
      <c r="G2461" s="2373" t="str">
        <f>G2460</f>
        <v/>
      </c>
      <c r="H2461" s="2371" t="s">
        <v>3973</v>
      </c>
      <c r="I2461" s="679"/>
      <c r="J2461" s="680"/>
      <c r="K2461" s="680"/>
      <c r="L2461" s="1793"/>
      <c r="M2461" s="1758"/>
      <c r="N2461" s="1927"/>
      <c r="O2461" s="1927"/>
      <c r="P2461" s="94"/>
      <c r="Q2461" s="94"/>
      <c r="R2461" s="94"/>
      <c r="S2461" s="94"/>
      <c r="T2461" s="94"/>
      <c r="U2461" s="94"/>
      <c r="V2461" s="94"/>
      <c r="X2461" s="1757"/>
      <c r="Y2461" s="2100"/>
      <c r="Z2461" s="2091"/>
      <c r="AC2461" s="970"/>
      <c r="AD2461" s="970"/>
      <c r="AE2461" s="970"/>
      <c r="AL2461" s="1336"/>
      <c r="AM2461" s="1336"/>
      <c r="AN2461" s="1336"/>
      <c r="AO2461" s="1336"/>
      <c r="AP2461" s="1336"/>
      <c r="AQ2461" s="1336"/>
      <c r="AR2461" s="1336"/>
      <c r="AS2461" s="1336"/>
    </row>
    <row r="2462" spans="1:60" x14ac:dyDescent="0.25">
      <c r="A2462" s="2371">
        <v>10</v>
      </c>
      <c r="B2462" s="2385" t="s">
        <v>4575</v>
      </c>
      <c r="C2462" s="2385" t="s">
        <v>256</v>
      </c>
      <c r="D2462" s="2374"/>
      <c r="E2462" s="2374"/>
      <c r="F2462" s="2374"/>
      <c r="G2462" s="2373" t="str">
        <f>G2461</f>
        <v/>
      </c>
      <c r="H2462" s="2371" t="s">
        <v>3973</v>
      </c>
      <c r="I2462" s="679"/>
      <c r="J2462" s="686"/>
      <c r="K2462" s="686"/>
      <c r="L2462" s="1761"/>
      <c r="M2462" s="1759"/>
      <c r="N2462" s="2076"/>
      <c r="O2462" s="2076"/>
      <c r="P2462" s="178"/>
      <c r="Q2462" s="178"/>
      <c r="R2462" s="178"/>
      <c r="S2462" s="178"/>
      <c r="T2462" s="178"/>
      <c r="U2462" s="178"/>
      <c r="V2462" s="178"/>
      <c r="X2462" s="1757"/>
      <c r="Y2462" s="2097"/>
      <c r="Z2462" s="2085"/>
      <c r="AC2462" s="970"/>
      <c r="AD2462" s="970"/>
      <c r="AE2462" s="970"/>
      <c r="AL2462" s="1336"/>
      <c r="AM2462" s="1336"/>
      <c r="AN2462" s="1336"/>
      <c r="AO2462" s="1336"/>
      <c r="AP2462" s="1336"/>
      <c r="AQ2462" s="1336"/>
      <c r="AR2462" s="1336"/>
      <c r="AS2462" s="1336"/>
    </row>
    <row r="2463" spans="1:60" x14ac:dyDescent="0.25">
      <c r="A2463" s="2371">
        <v>10</v>
      </c>
      <c r="B2463" s="2385" t="s">
        <v>4575</v>
      </c>
      <c r="C2463" s="2385" t="s">
        <v>258</v>
      </c>
      <c r="D2463" s="2374"/>
      <c r="E2463" s="2374"/>
      <c r="F2463" s="2374"/>
      <c r="G2463" s="2373" t="str">
        <f>IF(N2463&gt;0,"P","")</f>
        <v/>
      </c>
      <c r="H2463" s="2371" t="s">
        <v>3973</v>
      </c>
      <c r="I2463" s="679"/>
      <c r="J2463" s="966" t="s">
        <v>258</v>
      </c>
      <c r="K2463" s="966"/>
      <c r="L2463" s="1760" t="s">
        <v>4578</v>
      </c>
      <c r="M2463" s="1758">
        <v>2</v>
      </c>
      <c r="N2463" s="2079">
        <f>'Ch10'!O220</f>
        <v>0</v>
      </c>
      <c r="O2463" s="1927">
        <f>M2463*S2463*W2463</f>
        <v>0</v>
      </c>
      <c r="P2463" s="195" t="b">
        <v>0</v>
      </c>
      <c r="Q2463" s="195" t="b">
        <v>1</v>
      </c>
      <c r="R2463" s="195" t="b">
        <v>0</v>
      </c>
      <c r="S2463" s="195" t="b">
        <v>1</v>
      </c>
      <c r="T2463" s="195" t="b">
        <v>0</v>
      </c>
      <c r="U2463" s="195"/>
      <c r="V2463" s="195"/>
      <c r="W2463" s="360"/>
      <c r="X2463" s="1757"/>
      <c r="Y2463" s="2077" t="str">
        <f>IF(LEN('Ch10'!X220)=0,"None",'Ch10'!X220)</f>
        <v>None</v>
      </c>
      <c r="Z2463" s="2083"/>
      <c r="AC2463" s="970"/>
      <c r="AD2463" s="970"/>
      <c r="AE2463" s="970"/>
      <c r="AL2463" s="254" t="str">
        <f>SUBSTITUTE(SUBSTITUTE(SUBSTITUTE("vpa"&amp;$B2463&amp;$C2463&amp;$D2463&amp;$E2463,".","_"),"(","_"),")","")</f>
        <v>vpa1005_1_2</v>
      </c>
      <c r="AM2463" s="254">
        <f>M2463</f>
        <v>2</v>
      </c>
      <c r="AN2463" s="254" t="str">
        <f>SUBSTITUTE(SUBSTITUTE(SUBSTITUTE("vpc"&amp;$B2463&amp;$C2463&amp;$D2463&amp;$E2463,".","_"),"(","_"),")","")</f>
        <v>vpc1005_1_2</v>
      </c>
      <c r="AO2463" s="254">
        <f>O2463</f>
        <v>0</v>
      </c>
      <c r="AP2463" s="254" t="str">
        <f>SUBSTITUTE(SUBSTITUTE(SUBSTITUTE("vch"&amp;$B2463&amp;$C2463&amp;$D2463&amp;$E2463,".","_"),"(","_"),")","")</f>
        <v>vch1005_1_2</v>
      </c>
      <c r="AQ2463" s="254" t="str">
        <f>IF(LEN(W2463)=0,"",W2463)</f>
        <v/>
      </c>
      <c r="AR2463" s="254" t="str">
        <f>SUBSTITUTE(SUBSTITUTE(SUBSTITUTE("vnt"&amp;$B2463&amp;$C2463&amp;$D2463&amp;$E2463,".","_"),"(","_"),")","")</f>
        <v>vnt1005_1_2</v>
      </c>
      <c r="AS2463" s="254" t="str">
        <f>IF(LEN(X2463)=0,"",X2463)</f>
        <v/>
      </c>
    </row>
    <row r="2464" spans="1:60" x14ac:dyDescent="0.25">
      <c r="A2464" s="2371">
        <v>10</v>
      </c>
      <c r="B2464" s="2385" t="s">
        <v>4575</v>
      </c>
      <c r="C2464" s="2385" t="s">
        <v>258</v>
      </c>
      <c r="D2464" s="2374"/>
      <c r="E2464" s="2374"/>
      <c r="F2464" s="2374"/>
      <c r="G2464" s="2373" t="str">
        <f>G2463</f>
        <v/>
      </c>
      <c r="H2464" s="2371" t="s">
        <v>3973</v>
      </c>
      <c r="I2464" s="679"/>
      <c r="J2464" s="680"/>
      <c r="K2464" s="680"/>
      <c r="L2464" s="1793"/>
      <c r="M2464" s="1758"/>
      <c r="N2464" s="1927"/>
      <c r="O2464" s="1927"/>
      <c r="P2464" s="94"/>
      <c r="Q2464" s="94"/>
      <c r="R2464" s="94"/>
      <c r="S2464" s="94"/>
      <c r="T2464" s="94"/>
      <c r="U2464" s="94"/>
      <c r="V2464" s="94"/>
      <c r="W2464" s="113"/>
      <c r="X2464" s="1757"/>
      <c r="Y2464" s="2077"/>
      <c r="Z2464" s="2083"/>
      <c r="AC2464" s="970"/>
      <c r="AD2464" s="970"/>
      <c r="AE2464" s="970"/>
      <c r="AL2464" s="1336"/>
      <c r="AM2464" s="1336"/>
      <c r="AN2464" s="1336"/>
      <c r="AO2464" s="1336"/>
      <c r="AP2464" s="1336"/>
      <c r="AQ2464" s="1336"/>
      <c r="AR2464" s="1336"/>
      <c r="AS2464" s="1336"/>
    </row>
    <row r="2465" spans="1:45" x14ac:dyDescent="0.25">
      <c r="A2465" s="2371">
        <v>10</v>
      </c>
      <c r="B2465" s="2385" t="s">
        <v>4575</v>
      </c>
      <c r="C2465" s="2385" t="s">
        <v>258</v>
      </c>
      <c r="D2465" s="2374"/>
      <c r="E2465" s="2374"/>
      <c r="F2465" s="2374"/>
      <c r="G2465" s="2373" t="str">
        <f>G2464</f>
        <v/>
      </c>
      <c r="H2465" s="2371" t="s">
        <v>3973</v>
      </c>
      <c r="I2465" s="679"/>
      <c r="J2465" s="680"/>
      <c r="K2465" s="680"/>
      <c r="L2465" s="1793"/>
      <c r="M2465" s="1758"/>
      <c r="N2465" s="1927"/>
      <c r="O2465" s="1927"/>
      <c r="P2465" s="94"/>
      <c r="Q2465" s="94"/>
      <c r="R2465" s="94"/>
      <c r="S2465" s="94"/>
      <c r="T2465" s="94"/>
      <c r="U2465" s="94"/>
      <c r="V2465" s="94"/>
      <c r="W2465" s="113"/>
      <c r="X2465" s="1757"/>
      <c r="Y2465" s="2077"/>
      <c r="Z2465" s="2083"/>
      <c r="AC2465" s="970"/>
      <c r="AD2465" s="970"/>
      <c r="AE2465" s="970"/>
      <c r="AL2465" s="1336"/>
      <c r="AM2465" s="1336"/>
      <c r="AN2465" s="1336"/>
      <c r="AO2465" s="1336"/>
      <c r="AP2465" s="1336"/>
      <c r="AQ2465" s="1336"/>
      <c r="AR2465" s="1336"/>
      <c r="AS2465" s="1336"/>
    </row>
    <row r="2466" spans="1:45" x14ac:dyDescent="0.25">
      <c r="A2466" s="2371">
        <v>10</v>
      </c>
      <c r="B2466" s="2385" t="s">
        <v>4575</v>
      </c>
      <c r="C2466" s="2385" t="s">
        <v>258</v>
      </c>
      <c r="D2466" s="2374"/>
      <c r="E2466" s="2374"/>
      <c r="F2466" s="2374"/>
      <c r="G2466" s="2373" t="str">
        <f>G2465</f>
        <v/>
      </c>
      <c r="H2466" s="2371" t="s">
        <v>3973</v>
      </c>
      <c r="I2466" s="679"/>
      <c r="J2466" s="686"/>
      <c r="K2466" s="686"/>
      <c r="L2466" s="1761"/>
      <c r="M2466" s="1759"/>
      <c r="N2466" s="2076"/>
      <c r="O2466" s="2076"/>
      <c r="P2466" s="178"/>
      <c r="Q2466" s="178"/>
      <c r="R2466" s="178"/>
      <c r="S2466" s="178"/>
      <c r="T2466" s="178"/>
      <c r="U2466" s="178"/>
      <c r="V2466" s="178"/>
      <c r="W2466" s="538"/>
      <c r="X2466" s="1757"/>
      <c r="Y2466" s="2077"/>
      <c r="Z2466" s="2083"/>
      <c r="AC2466" s="970"/>
      <c r="AD2466" s="970"/>
      <c r="AE2466" s="970"/>
      <c r="AL2466" s="1336"/>
      <c r="AM2466" s="1336"/>
      <c r="AN2466" s="1336"/>
      <c r="AO2466" s="1336"/>
      <c r="AP2466" s="1336"/>
      <c r="AQ2466" s="1336"/>
      <c r="AR2466" s="1336"/>
      <c r="AS2466" s="1336"/>
    </row>
    <row r="2467" spans="1:45" x14ac:dyDescent="0.25">
      <c r="A2467" s="2371">
        <v>10</v>
      </c>
      <c r="B2467" s="2385" t="s">
        <v>4575</v>
      </c>
      <c r="C2467" s="2385" t="s">
        <v>260</v>
      </c>
      <c r="D2467" s="2374"/>
      <c r="E2467" s="2374"/>
      <c r="F2467" s="2374"/>
      <c r="G2467" s="2373" t="s">
        <v>3974</v>
      </c>
      <c r="H2467" s="2371" t="s">
        <v>3973</v>
      </c>
      <c r="I2467" s="679"/>
      <c r="J2467" s="679" t="s">
        <v>260</v>
      </c>
      <c r="K2467" s="679"/>
      <c r="L2467" s="1841" t="s">
        <v>4579</v>
      </c>
      <c r="M2467" s="1767">
        <v>2</v>
      </c>
      <c r="N2467" s="2079">
        <f>'Ch10'!O224</f>
        <v>2</v>
      </c>
      <c r="O2467" s="2075">
        <f>M2467*S2467</f>
        <v>2</v>
      </c>
      <c r="P2467" s="94" t="b">
        <v>0</v>
      </c>
      <c r="Q2467" s="94" t="b">
        <v>1</v>
      </c>
      <c r="R2467" s="94" t="b">
        <v>0</v>
      </c>
      <c r="S2467" s="94" t="b">
        <v>1</v>
      </c>
      <c r="T2467" s="94" t="b">
        <v>0</v>
      </c>
      <c r="U2467" s="94"/>
      <c r="V2467" s="94"/>
      <c r="W2467" s="1847" t="s">
        <v>4580</v>
      </c>
      <c r="AC2467" s="970"/>
      <c r="AD2467" s="970"/>
      <c r="AE2467" s="970"/>
      <c r="AL2467" s="254" t="str">
        <f>SUBSTITUTE(SUBSTITUTE(SUBSTITUTE("vpa"&amp;$B2467&amp;$C2467&amp;$D2467&amp;$E2467,".","_"),"(","_"),")","")</f>
        <v>vpa1005_1_3</v>
      </c>
      <c r="AM2467" s="254">
        <f>M2467</f>
        <v>2</v>
      </c>
      <c r="AN2467" s="254" t="str">
        <f>SUBSTITUTE(SUBSTITUTE(SUBSTITUTE("vpc"&amp;$B2467&amp;$C2467&amp;$D2467&amp;$E2467,".","_"),"(","_"),")","")</f>
        <v>vpc1005_1_3</v>
      </c>
      <c r="AO2467" s="254">
        <f>O2467</f>
        <v>2</v>
      </c>
      <c r="AP2467" s="1336"/>
      <c r="AQ2467" s="1336"/>
      <c r="AR2467" s="1336"/>
      <c r="AS2467" s="1336"/>
    </row>
    <row r="2468" spans="1:45" x14ac:dyDescent="0.25">
      <c r="A2468" s="2371">
        <v>10</v>
      </c>
      <c r="B2468" s="2385" t="s">
        <v>4575</v>
      </c>
      <c r="C2468" s="2385" t="s">
        <v>260</v>
      </c>
      <c r="D2468" s="2374"/>
      <c r="E2468" s="2374"/>
      <c r="F2468" s="2374"/>
      <c r="G2468" s="2373" t="s">
        <v>3974</v>
      </c>
      <c r="H2468" s="2371" t="s">
        <v>3973</v>
      </c>
      <c r="I2468" s="679"/>
      <c r="J2468" s="679"/>
      <c r="K2468" s="679"/>
      <c r="L2468" s="1841"/>
      <c r="M2468" s="1767"/>
      <c r="N2468" s="1927"/>
      <c r="O2468" s="2075"/>
      <c r="P2468" s="94"/>
      <c r="Q2468" s="94"/>
      <c r="R2468" s="94"/>
      <c r="S2468" s="94"/>
      <c r="T2468" s="94"/>
      <c r="U2468" s="94"/>
      <c r="V2468" s="94"/>
      <c r="W2468" s="1847"/>
      <c r="AC2468" s="970"/>
      <c r="AD2468" s="970"/>
      <c r="AE2468" s="970"/>
      <c r="AL2468"/>
      <c r="AM2468"/>
      <c r="AN2468"/>
      <c r="AO2468"/>
      <c r="AP2468"/>
      <c r="AQ2468"/>
      <c r="AR2468"/>
      <c r="AS2468"/>
    </row>
    <row r="2469" spans="1:45" x14ac:dyDescent="0.25">
      <c r="A2469" s="2371">
        <v>10</v>
      </c>
      <c r="B2469" s="2385" t="s">
        <v>4575</v>
      </c>
      <c r="C2469" s="2385" t="s">
        <v>260</v>
      </c>
      <c r="D2469" s="2374"/>
      <c r="E2469" s="2374"/>
      <c r="F2469" s="2374"/>
      <c r="G2469" s="2373" t="s">
        <v>3974</v>
      </c>
      <c r="H2469" s="2371" t="s">
        <v>3973</v>
      </c>
      <c r="I2469" s="679"/>
      <c r="J2469" s="679"/>
      <c r="K2469" s="679"/>
      <c r="L2469" s="1841"/>
      <c r="M2469" s="1767"/>
      <c r="N2469" s="1927"/>
      <c r="O2469" s="2075"/>
      <c r="P2469" s="94"/>
      <c r="Q2469" s="94"/>
      <c r="R2469" s="94"/>
      <c r="S2469" s="94"/>
      <c r="T2469" s="94"/>
      <c r="U2469" s="94"/>
      <c r="V2469" s="94"/>
      <c r="W2469" s="1847"/>
      <c r="AC2469" s="970"/>
      <c r="AD2469" s="970"/>
      <c r="AE2469" s="970"/>
      <c r="AL2469"/>
      <c r="AM2469"/>
      <c r="AN2469"/>
      <c r="AO2469"/>
      <c r="AP2469"/>
      <c r="AQ2469"/>
      <c r="AR2469"/>
      <c r="AS2469"/>
    </row>
    <row r="2470" spans="1:45" x14ac:dyDescent="0.25">
      <c r="A2470" s="2371">
        <v>10</v>
      </c>
      <c r="B2470" s="2385" t="s">
        <v>4575</v>
      </c>
      <c r="C2470" s="2385" t="s">
        <v>260</v>
      </c>
      <c r="D2470" s="2374"/>
      <c r="E2470" s="2374"/>
      <c r="F2470" s="2374"/>
      <c r="G2470" s="2373" t="s">
        <v>3974</v>
      </c>
      <c r="H2470" s="2371" t="s">
        <v>3973</v>
      </c>
      <c r="I2470" s="4"/>
      <c r="J2470" s="4"/>
      <c r="K2470" s="4"/>
      <c r="L2470" s="1157"/>
      <c r="M2470" s="940"/>
      <c r="N2470" s="94"/>
      <c r="O2470" s="935"/>
      <c r="P2470" s="94"/>
      <c r="Q2470" s="94"/>
      <c r="R2470" s="94"/>
      <c r="S2470" s="94"/>
      <c r="T2470" s="94"/>
      <c r="U2470" s="94"/>
      <c r="V2470" s="94"/>
      <c r="W2470" s="1847"/>
      <c r="AC2470" s="970"/>
      <c r="AD2470" s="970"/>
      <c r="AE2470" s="970"/>
      <c r="AL2470"/>
      <c r="AM2470"/>
      <c r="AN2470"/>
      <c r="AO2470"/>
      <c r="AP2470"/>
      <c r="AQ2470"/>
      <c r="AR2470"/>
      <c r="AS2470"/>
    </row>
    <row r="2471" spans="1:45" x14ac:dyDescent="0.25">
      <c r="A2471" s="2371">
        <v>10</v>
      </c>
      <c r="B2471" s="2385" t="s">
        <v>4575</v>
      </c>
      <c r="C2471" s="2385" t="s">
        <v>260</v>
      </c>
      <c r="D2471" s="2374"/>
      <c r="E2471" s="2374"/>
      <c r="F2471" s="2374"/>
      <c r="G2471" s="2373" t="s">
        <v>3974</v>
      </c>
      <c r="H2471" s="2371" t="s">
        <v>3973</v>
      </c>
      <c r="I2471" s="4"/>
      <c r="J2471" s="4"/>
      <c r="K2471" s="4"/>
      <c r="L2471" s="1157"/>
      <c r="M2471" s="940"/>
      <c r="N2471" s="94"/>
      <c r="O2471" s="935"/>
      <c r="P2471" s="94"/>
      <c r="Q2471" s="94"/>
      <c r="R2471" s="94"/>
      <c r="S2471" s="94"/>
      <c r="T2471" s="94"/>
      <c r="U2471" s="94"/>
      <c r="V2471" s="94"/>
      <c r="W2471" s="1847"/>
      <c r="AC2471" s="970"/>
      <c r="AD2471" s="970"/>
      <c r="AE2471" s="970"/>
      <c r="AL2471"/>
      <c r="AM2471"/>
      <c r="AN2471"/>
      <c r="AO2471"/>
      <c r="AP2471"/>
      <c r="AQ2471"/>
      <c r="AR2471"/>
      <c r="AS2471"/>
    </row>
    <row r="2472" spans="1:45" x14ac:dyDescent="0.25">
      <c r="A2472" s="2371">
        <v>10</v>
      </c>
      <c r="B2472" s="2385" t="s">
        <v>4575</v>
      </c>
      <c r="C2472" s="2385" t="s">
        <v>260</v>
      </c>
      <c r="D2472" s="2374"/>
      <c r="E2472" s="2374"/>
      <c r="F2472" s="2374"/>
      <c r="G2472" s="2373" t="s">
        <v>3974</v>
      </c>
      <c r="H2472" s="2371" t="s">
        <v>3973</v>
      </c>
      <c r="I2472" s="4"/>
      <c r="J2472" s="4"/>
      <c r="K2472" s="4"/>
      <c r="L2472" s="1157"/>
      <c r="M2472" s="940"/>
      <c r="N2472" s="94"/>
      <c r="O2472" s="935"/>
      <c r="P2472" s="94"/>
      <c r="Q2472" s="94"/>
      <c r="R2472" s="94"/>
      <c r="S2472" s="94"/>
      <c r="T2472" s="94"/>
      <c r="U2472" s="94"/>
      <c r="V2472" s="94"/>
      <c r="W2472" s="1847"/>
      <c r="AC2472" s="970"/>
      <c r="AD2472" s="970"/>
      <c r="AE2472" s="970"/>
      <c r="AL2472"/>
      <c r="AM2472"/>
      <c r="AN2472"/>
      <c r="AO2472"/>
      <c r="AP2472"/>
      <c r="AQ2472"/>
      <c r="AR2472"/>
      <c r="AS2472"/>
    </row>
    <row r="2473" spans="1:45" x14ac:dyDescent="0.25">
      <c r="A2473" s="2371">
        <v>10</v>
      </c>
      <c r="B2473" s="2385" t="s">
        <v>4575</v>
      </c>
      <c r="C2473" s="2385" t="s">
        <v>260</v>
      </c>
      <c r="D2473" s="2374"/>
      <c r="E2473" s="2374"/>
      <c r="F2473" s="2374"/>
      <c r="G2473" s="2373" t="s">
        <v>3974</v>
      </c>
      <c r="H2473" s="2371" t="s">
        <v>3973</v>
      </c>
      <c r="I2473" s="4"/>
      <c r="J2473" s="4"/>
      <c r="K2473" s="4"/>
      <c r="L2473" s="1157"/>
      <c r="M2473" s="940"/>
      <c r="N2473" s="94"/>
      <c r="O2473" s="935"/>
      <c r="P2473" s="94"/>
      <c r="Q2473" s="94"/>
      <c r="R2473" s="94"/>
      <c r="S2473" s="94"/>
      <c r="T2473" s="94"/>
      <c r="U2473" s="94"/>
      <c r="V2473" s="94"/>
      <c r="W2473" s="1847"/>
      <c r="AC2473" s="970"/>
      <c r="AD2473" s="970"/>
      <c r="AE2473" s="970"/>
      <c r="AL2473"/>
      <c r="AM2473"/>
      <c r="AN2473"/>
      <c r="AO2473"/>
      <c r="AP2473"/>
      <c r="AQ2473"/>
      <c r="AR2473"/>
      <c r="AS2473"/>
    </row>
    <row r="2474" spans="1:45" x14ac:dyDescent="0.25">
      <c r="A2474" s="2371">
        <v>10</v>
      </c>
      <c r="B2474" s="2385" t="s">
        <v>4575</v>
      </c>
      <c r="C2474" s="2385" t="s">
        <v>260</v>
      </c>
      <c r="D2474" s="2374"/>
      <c r="E2474" s="2374"/>
      <c r="F2474" s="2374"/>
      <c r="G2474" s="2373" t="s">
        <v>3974</v>
      </c>
      <c r="H2474" s="2371" t="s">
        <v>3973</v>
      </c>
      <c r="I2474" s="4"/>
      <c r="J2474" s="4"/>
      <c r="K2474" s="4"/>
      <c r="L2474" s="1157"/>
      <c r="M2474" s="940"/>
      <c r="N2474" s="94"/>
      <c r="O2474" s="935"/>
      <c r="P2474" s="94"/>
      <c r="Q2474" s="94"/>
      <c r="R2474" s="94"/>
      <c r="S2474" s="94"/>
      <c r="T2474" s="94"/>
      <c r="U2474" s="94"/>
      <c r="V2474" s="94"/>
      <c r="W2474" s="1847"/>
      <c r="AC2474" s="970"/>
      <c r="AD2474" s="970"/>
      <c r="AE2474" s="970"/>
      <c r="AL2474"/>
      <c r="AM2474"/>
      <c r="AN2474"/>
      <c r="AO2474"/>
      <c r="AP2474"/>
      <c r="AQ2474"/>
      <c r="AR2474"/>
      <c r="AS2474"/>
    </row>
    <row r="2475" spans="1:45" x14ac:dyDescent="0.25">
      <c r="A2475" s="2371">
        <v>10</v>
      </c>
      <c r="B2475" s="2385" t="s">
        <v>4575</v>
      </c>
      <c r="C2475" s="2385" t="s">
        <v>260</v>
      </c>
      <c r="D2475" s="2374"/>
      <c r="E2475" s="2374"/>
      <c r="F2475" s="2374"/>
      <c r="G2475" s="2373" t="s">
        <v>3974</v>
      </c>
      <c r="H2475" s="2371" t="s">
        <v>3973</v>
      </c>
      <c r="I2475" s="4"/>
      <c r="J2475" s="4"/>
      <c r="K2475" s="4"/>
      <c r="L2475" s="1157"/>
      <c r="M2475" s="940"/>
      <c r="N2475" s="94"/>
      <c r="O2475" s="935"/>
      <c r="P2475" s="94"/>
      <c r="Q2475" s="94"/>
      <c r="R2475" s="94"/>
      <c r="S2475" s="94"/>
      <c r="T2475" s="94"/>
      <c r="U2475" s="94"/>
      <c r="V2475" s="94"/>
      <c r="W2475" s="1847"/>
      <c r="AC2475" s="970"/>
      <c r="AD2475" s="970"/>
      <c r="AE2475" s="970"/>
      <c r="AL2475"/>
      <c r="AM2475"/>
      <c r="AN2475"/>
      <c r="AO2475"/>
      <c r="AP2475"/>
      <c r="AQ2475"/>
      <c r="AR2475"/>
      <c r="AS2475"/>
    </row>
    <row r="2476" spans="1:45" x14ac:dyDescent="0.25">
      <c r="A2476" s="2371">
        <v>10</v>
      </c>
      <c r="B2476" s="2385" t="s">
        <v>4575</v>
      </c>
      <c r="C2476" s="2385" t="s">
        <v>260</v>
      </c>
      <c r="D2476" s="2374"/>
      <c r="E2476" s="2374"/>
      <c r="F2476" s="2374"/>
      <c r="G2476" s="2373" t="s">
        <v>3974</v>
      </c>
      <c r="H2476" s="2371" t="s">
        <v>3973</v>
      </c>
      <c r="I2476" s="4"/>
      <c r="J2476" s="4"/>
      <c r="K2476" s="4"/>
      <c r="L2476" s="1157"/>
      <c r="M2476" s="940"/>
      <c r="N2476" s="94"/>
      <c r="O2476" s="935"/>
      <c r="P2476" s="94"/>
      <c r="Q2476" s="94"/>
      <c r="R2476" s="94"/>
      <c r="S2476" s="94"/>
      <c r="T2476" s="94"/>
      <c r="U2476" s="94"/>
      <c r="V2476" s="94"/>
      <c r="W2476" s="1847"/>
      <c r="AC2476" s="970"/>
      <c r="AD2476" s="970"/>
      <c r="AE2476" s="970"/>
      <c r="AL2476"/>
      <c r="AM2476"/>
      <c r="AN2476"/>
      <c r="AO2476"/>
      <c r="AP2476"/>
      <c r="AQ2476"/>
      <c r="AR2476"/>
      <c r="AS2476"/>
    </row>
    <row r="2477" spans="1:45" x14ac:dyDescent="0.25">
      <c r="AL2477"/>
      <c r="AM2477"/>
      <c r="AN2477"/>
      <c r="AO2477"/>
      <c r="AP2477"/>
      <c r="AQ2477"/>
      <c r="AR2477"/>
      <c r="AS2477"/>
    </row>
    <row r="2478" spans="1:45" x14ac:dyDescent="0.25">
      <c r="AL2478"/>
      <c r="AM2478"/>
      <c r="AN2478"/>
      <c r="AO2478"/>
      <c r="AP2478"/>
      <c r="AQ2478"/>
      <c r="AR2478"/>
      <c r="AS2478"/>
    </row>
    <row r="2479" spans="1:45" x14ac:dyDescent="0.25">
      <c r="AL2479"/>
      <c r="AM2479"/>
      <c r="AN2479"/>
      <c r="AO2479"/>
      <c r="AP2479"/>
      <c r="AQ2479"/>
      <c r="AR2479"/>
      <c r="AS2479"/>
    </row>
    <row r="2480" spans="1:45" x14ac:dyDescent="0.25">
      <c r="AL2480"/>
      <c r="AM2480"/>
      <c r="AN2480"/>
      <c r="AO2480"/>
      <c r="AP2480"/>
      <c r="AQ2480"/>
      <c r="AR2480"/>
      <c r="AS2480"/>
    </row>
    <row r="2481" spans="38:45" x14ac:dyDescent="0.25">
      <c r="AL2481"/>
      <c r="AM2481"/>
      <c r="AN2481"/>
      <c r="AO2481"/>
      <c r="AP2481"/>
      <c r="AQ2481"/>
      <c r="AR2481"/>
      <c r="AS2481"/>
    </row>
    <row r="2482" spans="38:45" x14ac:dyDescent="0.25">
      <c r="AL2482"/>
      <c r="AM2482"/>
      <c r="AN2482"/>
      <c r="AO2482"/>
      <c r="AP2482"/>
      <c r="AQ2482"/>
      <c r="AR2482"/>
      <c r="AS2482"/>
    </row>
    <row r="2483" spans="38:45" x14ac:dyDescent="0.25">
      <c r="AL2483"/>
      <c r="AM2483"/>
      <c r="AN2483"/>
      <c r="AO2483"/>
      <c r="AP2483"/>
      <c r="AQ2483"/>
      <c r="AR2483"/>
      <c r="AS2483"/>
    </row>
    <row r="2484" spans="38:45" x14ac:dyDescent="0.25">
      <c r="AL2484"/>
      <c r="AM2484"/>
      <c r="AN2484"/>
      <c r="AO2484"/>
      <c r="AP2484"/>
      <c r="AQ2484"/>
      <c r="AR2484"/>
      <c r="AS2484"/>
    </row>
    <row r="2485" spans="38:45" x14ac:dyDescent="0.25">
      <c r="AL2485"/>
      <c r="AM2485"/>
      <c r="AN2485"/>
      <c r="AO2485"/>
      <c r="AP2485"/>
      <c r="AQ2485"/>
      <c r="AR2485"/>
      <c r="AS2485"/>
    </row>
    <row r="2486" spans="38:45" x14ac:dyDescent="0.25">
      <c r="AL2486"/>
      <c r="AM2486"/>
      <c r="AN2486"/>
      <c r="AO2486"/>
      <c r="AP2486"/>
      <c r="AQ2486"/>
      <c r="AR2486"/>
      <c r="AS2486"/>
    </row>
    <row r="2487" spans="38:45" x14ac:dyDescent="0.25">
      <c r="AL2487"/>
      <c r="AM2487"/>
      <c r="AN2487"/>
      <c r="AO2487"/>
      <c r="AP2487"/>
      <c r="AQ2487"/>
      <c r="AR2487"/>
      <c r="AS2487"/>
    </row>
    <row r="2488" spans="38:45" x14ac:dyDescent="0.25">
      <c r="AL2488"/>
      <c r="AM2488"/>
      <c r="AN2488"/>
      <c r="AO2488"/>
      <c r="AP2488"/>
      <c r="AQ2488"/>
      <c r="AR2488"/>
      <c r="AS2488"/>
    </row>
    <row r="2489" spans="38:45" x14ac:dyDescent="0.25">
      <c r="AL2489"/>
      <c r="AM2489"/>
      <c r="AN2489"/>
      <c r="AO2489"/>
      <c r="AP2489"/>
      <c r="AQ2489"/>
      <c r="AR2489"/>
      <c r="AS2489"/>
    </row>
    <row r="2490" spans="38:45" x14ac:dyDescent="0.25">
      <c r="AL2490"/>
      <c r="AM2490"/>
      <c r="AN2490"/>
      <c r="AO2490"/>
      <c r="AP2490"/>
      <c r="AQ2490"/>
      <c r="AR2490"/>
      <c r="AS2490"/>
    </row>
    <row r="2491" spans="38:45" x14ac:dyDescent="0.25">
      <c r="AL2491"/>
      <c r="AM2491"/>
      <c r="AN2491"/>
      <c r="AO2491"/>
      <c r="AP2491"/>
      <c r="AQ2491"/>
      <c r="AR2491"/>
      <c r="AS2491"/>
    </row>
    <row r="2492" spans="38:45" x14ac:dyDescent="0.25">
      <c r="AL2492"/>
      <c r="AM2492"/>
      <c r="AN2492"/>
      <c r="AO2492"/>
      <c r="AP2492"/>
      <c r="AQ2492"/>
      <c r="AR2492"/>
      <c r="AS2492"/>
    </row>
    <row r="2493" spans="38:45" x14ac:dyDescent="0.25">
      <c r="AL2493"/>
      <c r="AM2493"/>
      <c r="AN2493"/>
      <c r="AO2493"/>
      <c r="AP2493"/>
      <c r="AQ2493"/>
      <c r="AR2493"/>
      <c r="AS2493"/>
    </row>
    <row r="2494" spans="38:45" x14ac:dyDescent="0.25">
      <c r="AL2494"/>
      <c r="AM2494"/>
      <c r="AN2494"/>
      <c r="AO2494"/>
      <c r="AP2494"/>
      <c r="AQ2494"/>
      <c r="AR2494"/>
      <c r="AS2494"/>
    </row>
    <row r="2495" spans="38:45" x14ac:dyDescent="0.25">
      <c r="AL2495"/>
      <c r="AM2495"/>
      <c r="AN2495"/>
      <c r="AO2495"/>
      <c r="AP2495"/>
      <c r="AQ2495"/>
      <c r="AR2495"/>
      <c r="AS2495"/>
    </row>
    <row r="2496" spans="38:45" x14ac:dyDescent="0.25">
      <c r="AL2496"/>
      <c r="AM2496"/>
      <c r="AN2496"/>
      <c r="AO2496"/>
      <c r="AP2496"/>
      <c r="AQ2496"/>
      <c r="AR2496"/>
      <c r="AS2496"/>
    </row>
    <row r="2497" spans="38:45" x14ac:dyDescent="0.25">
      <c r="AL2497"/>
      <c r="AM2497"/>
      <c r="AN2497"/>
      <c r="AO2497"/>
      <c r="AP2497"/>
      <c r="AQ2497"/>
      <c r="AR2497"/>
      <c r="AS2497"/>
    </row>
    <row r="2498" spans="38:45" x14ac:dyDescent="0.25">
      <c r="AL2498"/>
      <c r="AM2498"/>
      <c r="AN2498"/>
      <c r="AO2498"/>
      <c r="AP2498"/>
      <c r="AQ2498"/>
      <c r="AR2498"/>
      <c r="AS2498"/>
    </row>
    <row r="2499" spans="38:45" x14ac:dyDescent="0.25">
      <c r="AL2499"/>
      <c r="AM2499"/>
      <c r="AN2499"/>
      <c r="AO2499"/>
      <c r="AP2499"/>
      <c r="AQ2499"/>
      <c r="AR2499"/>
      <c r="AS2499"/>
    </row>
    <row r="2500" spans="38:45" x14ac:dyDescent="0.25">
      <c r="AL2500"/>
      <c r="AM2500"/>
      <c r="AN2500"/>
      <c r="AO2500"/>
      <c r="AP2500"/>
      <c r="AQ2500"/>
      <c r="AR2500"/>
      <c r="AS2500"/>
    </row>
    <row r="2501" spans="38:45" x14ac:dyDescent="0.25">
      <c r="AL2501"/>
      <c r="AM2501"/>
      <c r="AN2501"/>
      <c r="AO2501"/>
      <c r="AP2501"/>
      <c r="AQ2501"/>
      <c r="AR2501"/>
      <c r="AS2501"/>
    </row>
    <row r="2502" spans="38:45" x14ac:dyDescent="0.25">
      <c r="AL2502"/>
      <c r="AM2502"/>
      <c r="AN2502"/>
      <c r="AO2502"/>
      <c r="AP2502"/>
      <c r="AQ2502"/>
      <c r="AR2502"/>
      <c r="AS2502"/>
    </row>
    <row r="2503" spans="38:45" x14ac:dyDescent="0.25">
      <c r="AL2503"/>
      <c r="AM2503"/>
      <c r="AN2503"/>
      <c r="AO2503"/>
      <c r="AP2503"/>
      <c r="AQ2503"/>
      <c r="AR2503"/>
      <c r="AS2503"/>
    </row>
    <row r="2504" spans="38:45" x14ac:dyDescent="0.25">
      <c r="AL2504"/>
      <c r="AM2504"/>
      <c r="AN2504"/>
      <c r="AO2504"/>
      <c r="AP2504"/>
      <c r="AQ2504"/>
      <c r="AR2504"/>
      <c r="AS2504"/>
    </row>
    <row r="2505" spans="38:45" x14ac:dyDescent="0.25">
      <c r="AL2505"/>
      <c r="AM2505"/>
      <c r="AN2505"/>
      <c r="AO2505"/>
      <c r="AP2505"/>
      <c r="AQ2505"/>
      <c r="AR2505"/>
      <c r="AS2505"/>
    </row>
    <row r="2506" spans="38:45" x14ac:dyDescent="0.25">
      <c r="AL2506"/>
      <c r="AM2506"/>
      <c r="AN2506"/>
      <c r="AO2506"/>
      <c r="AP2506"/>
      <c r="AQ2506"/>
      <c r="AR2506"/>
      <c r="AS2506"/>
    </row>
    <row r="2507" spans="38:45" x14ac:dyDescent="0.25">
      <c r="AL2507"/>
      <c r="AM2507"/>
      <c r="AN2507"/>
      <c r="AO2507"/>
      <c r="AP2507"/>
      <c r="AQ2507"/>
      <c r="AR2507"/>
      <c r="AS2507"/>
    </row>
    <row r="2508" spans="38:45" x14ac:dyDescent="0.25">
      <c r="AL2508"/>
      <c r="AM2508"/>
      <c r="AN2508"/>
      <c r="AO2508"/>
      <c r="AP2508"/>
      <c r="AQ2508"/>
      <c r="AR2508"/>
      <c r="AS2508"/>
    </row>
    <row r="2509" spans="38:45" x14ac:dyDescent="0.25">
      <c r="AL2509"/>
      <c r="AM2509"/>
      <c r="AN2509"/>
      <c r="AO2509"/>
      <c r="AP2509"/>
      <c r="AQ2509"/>
      <c r="AR2509"/>
      <c r="AS2509"/>
    </row>
    <row r="2510" spans="38:45" x14ac:dyDescent="0.25">
      <c r="AL2510"/>
      <c r="AM2510"/>
      <c r="AN2510"/>
      <c r="AO2510"/>
      <c r="AP2510"/>
      <c r="AQ2510"/>
      <c r="AR2510"/>
      <c r="AS2510"/>
    </row>
    <row r="2511" spans="38:45" x14ac:dyDescent="0.25">
      <c r="AL2511"/>
      <c r="AM2511"/>
      <c r="AN2511"/>
      <c r="AO2511"/>
      <c r="AP2511"/>
      <c r="AQ2511"/>
      <c r="AR2511"/>
      <c r="AS2511"/>
    </row>
    <row r="2512" spans="38:45" x14ac:dyDescent="0.25">
      <c r="AL2512"/>
      <c r="AM2512"/>
      <c r="AN2512"/>
      <c r="AO2512"/>
      <c r="AP2512"/>
      <c r="AQ2512"/>
      <c r="AR2512"/>
      <c r="AS2512"/>
    </row>
    <row r="2513" spans="38:45" x14ac:dyDescent="0.25">
      <c r="AL2513"/>
      <c r="AM2513"/>
      <c r="AN2513"/>
      <c r="AO2513"/>
      <c r="AP2513"/>
      <c r="AQ2513"/>
      <c r="AR2513"/>
      <c r="AS2513"/>
    </row>
    <row r="2514" spans="38:45" x14ac:dyDescent="0.25">
      <c r="AL2514"/>
      <c r="AM2514"/>
      <c r="AN2514"/>
      <c r="AO2514"/>
      <c r="AP2514"/>
      <c r="AQ2514"/>
      <c r="AR2514"/>
      <c r="AS2514"/>
    </row>
    <row r="2515" spans="38:45" x14ac:dyDescent="0.25">
      <c r="AL2515"/>
      <c r="AM2515"/>
      <c r="AN2515"/>
      <c r="AO2515"/>
      <c r="AP2515"/>
      <c r="AQ2515"/>
      <c r="AR2515"/>
      <c r="AS2515"/>
    </row>
    <row r="2516" spans="38:45" x14ac:dyDescent="0.25">
      <c r="AL2516"/>
      <c r="AM2516"/>
      <c r="AN2516"/>
      <c r="AO2516"/>
      <c r="AP2516"/>
      <c r="AQ2516"/>
      <c r="AR2516"/>
      <c r="AS2516"/>
    </row>
    <row r="2517" spans="38:45" x14ac:dyDescent="0.25">
      <c r="AL2517"/>
      <c r="AM2517"/>
      <c r="AN2517"/>
      <c r="AO2517"/>
      <c r="AP2517"/>
      <c r="AQ2517"/>
      <c r="AR2517"/>
      <c r="AS2517"/>
    </row>
    <row r="2518" spans="38:45" x14ac:dyDescent="0.25">
      <c r="AL2518"/>
      <c r="AM2518"/>
      <c r="AN2518"/>
      <c r="AO2518"/>
      <c r="AP2518"/>
      <c r="AQ2518"/>
      <c r="AR2518"/>
      <c r="AS2518"/>
    </row>
    <row r="2519" spans="38:45" x14ac:dyDescent="0.25">
      <c r="AL2519"/>
      <c r="AM2519"/>
      <c r="AN2519"/>
      <c r="AO2519"/>
      <c r="AP2519"/>
      <c r="AQ2519"/>
      <c r="AR2519"/>
      <c r="AS2519"/>
    </row>
    <row r="2520" spans="38:45" x14ac:dyDescent="0.25">
      <c r="AL2520"/>
      <c r="AM2520"/>
      <c r="AN2520"/>
      <c r="AO2520"/>
      <c r="AP2520"/>
      <c r="AQ2520"/>
      <c r="AR2520"/>
      <c r="AS2520"/>
    </row>
    <row r="2521" spans="38:45" x14ac:dyDescent="0.25">
      <c r="AL2521"/>
      <c r="AM2521"/>
      <c r="AN2521"/>
      <c r="AO2521"/>
      <c r="AP2521"/>
      <c r="AQ2521"/>
      <c r="AR2521"/>
      <c r="AS2521"/>
    </row>
    <row r="2522" spans="38:45" x14ac:dyDescent="0.25">
      <c r="AL2522"/>
      <c r="AM2522"/>
      <c r="AN2522"/>
      <c r="AO2522"/>
      <c r="AP2522"/>
      <c r="AQ2522"/>
      <c r="AR2522"/>
      <c r="AS2522"/>
    </row>
    <row r="2523" spans="38:45" x14ac:dyDescent="0.25">
      <c r="AL2523"/>
      <c r="AM2523"/>
      <c r="AN2523"/>
      <c r="AO2523"/>
      <c r="AP2523"/>
      <c r="AQ2523"/>
      <c r="AR2523"/>
      <c r="AS2523"/>
    </row>
    <row r="2524" spans="38:45" x14ac:dyDescent="0.25">
      <c r="AL2524"/>
      <c r="AM2524"/>
      <c r="AN2524"/>
      <c r="AO2524"/>
      <c r="AP2524"/>
      <c r="AQ2524"/>
      <c r="AR2524"/>
      <c r="AS2524"/>
    </row>
    <row r="2525" spans="38:45" x14ac:dyDescent="0.25">
      <c r="AL2525"/>
      <c r="AM2525"/>
      <c r="AN2525"/>
      <c r="AO2525"/>
      <c r="AP2525"/>
      <c r="AQ2525"/>
      <c r="AR2525"/>
      <c r="AS2525"/>
    </row>
    <row r="2526" spans="38:45" x14ac:dyDescent="0.25">
      <c r="AL2526"/>
      <c r="AM2526"/>
      <c r="AN2526"/>
      <c r="AO2526"/>
      <c r="AP2526"/>
      <c r="AQ2526"/>
      <c r="AR2526"/>
      <c r="AS2526"/>
    </row>
    <row r="2527" spans="38:45" x14ac:dyDescent="0.25">
      <c r="AL2527"/>
      <c r="AM2527"/>
      <c r="AN2527"/>
      <c r="AO2527"/>
      <c r="AP2527"/>
      <c r="AQ2527"/>
      <c r="AR2527"/>
      <c r="AS2527"/>
    </row>
    <row r="2528" spans="38:45" x14ac:dyDescent="0.25">
      <c r="AL2528"/>
      <c r="AM2528"/>
      <c r="AN2528"/>
      <c r="AO2528"/>
      <c r="AP2528"/>
      <c r="AQ2528"/>
      <c r="AR2528"/>
      <c r="AS2528"/>
    </row>
    <row r="2529" spans="38:45" x14ac:dyDescent="0.25">
      <c r="AL2529"/>
      <c r="AM2529"/>
      <c r="AN2529"/>
      <c r="AO2529"/>
      <c r="AP2529"/>
      <c r="AQ2529"/>
      <c r="AR2529"/>
      <c r="AS2529"/>
    </row>
    <row r="2530" spans="38:45" x14ac:dyDescent="0.25">
      <c r="AL2530"/>
      <c r="AM2530"/>
      <c r="AN2530"/>
      <c r="AO2530"/>
      <c r="AP2530"/>
      <c r="AQ2530"/>
      <c r="AR2530"/>
      <c r="AS2530"/>
    </row>
    <row r="2531" spans="38:45" x14ac:dyDescent="0.25">
      <c r="AL2531"/>
      <c r="AM2531"/>
      <c r="AN2531"/>
      <c r="AO2531"/>
      <c r="AP2531"/>
      <c r="AQ2531"/>
      <c r="AR2531"/>
      <c r="AS2531"/>
    </row>
    <row r="2532" spans="38:45" x14ac:dyDescent="0.25">
      <c r="AL2532"/>
      <c r="AM2532"/>
      <c r="AN2532"/>
      <c r="AO2532"/>
      <c r="AP2532"/>
      <c r="AQ2532"/>
      <c r="AR2532"/>
      <c r="AS2532"/>
    </row>
    <row r="2533" spans="38:45" x14ac:dyDescent="0.25">
      <c r="AL2533"/>
      <c r="AM2533"/>
      <c r="AN2533"/>
      <c r="AO2533"/>
      <c r="AP2533"/>
      <c r="AQ2533"/>
      <c r="AR2533"/>
      <c r="AS2533"/>
    </row>
    <row r="2534" spans="38:45" x14ac:dyDescent="0.25">
      <c r="AL2534"/>
      <c r="AM2534"/>
      <c r="AN2534"/>
      <c r="AO2534"/>
      <c r="AP2534"/>
      <c r="AQ2534"/>
      <c r="AR2534"/>
      <c r="AS2534"/>
    </row>
  </sheetData>
  <sheetProtection algorithmName="SHA-512" hashValue="iy7JoL35Fdjcm4073H4HI/qrmI5T3OVeglnX3ntxXz+hLjdF5J7XemthAx6o+EfEXLpJ+RihYF4vqVcASWERIQ==" saltValue="e7VjuTsrlQMxHEwZyvBiVQ==" spinCount="100000" sheet="1" objects="1" scenarios="1" selectLockedCells="1" autoFilter="0"/>
  <autoFilter ref="A7:H2457" xr:uid="{00000000-0009-0000-0000-00000F000000}"/>
  <mergeCells count="2940">
    <mergeCell ref="L884:L886"/>
    <mergeCell ref="Y884:Y886"/>
    <mergeCell ref="Z884:Z886"/>
    <mergeCell ref="M1866:M1869"/>
    <mergeCell ref="O1870:O1874"/>
    <mergeCell ref="N1870:N1874"/>
    <mergeCell ref="Z1957:Z1958"/>
    <mergeCell ref="Z1959:Z1961"/>
    <mergeCell ref="Z1996:Z1997"/>
    <mergeCell ref="Y2044:Y2045"/>
    <mergeCell ref="Y2050:Y2051"/>
    <mergeCell ref="Y1860:Y1861"/>
    <mergeCell ref="X1857:X1859"/>
    <mergeCell ref="X1862:X1864"/>
    <mergeCell ref="Y1631:Y1632"/>
    <mergeCell ref="Y1622:Y1625"/>
    <mergeCell ref="L1587:L1592"/>
    <mergeCell ref="X1852:X1856"/>
    <mergeCell ref="Z1618:Z1621"/>
    <mergeCell ref="Z1394:Z1396"/>
    <mergeCell ref="Z1397:Z1404"/>
    <mergeCell ref="Y1693:Y1694"/>
    <mergeCell ref="Y1695:Y1698"/>
    <mergeCell ref="Y1702:Y1703"/>
    <mergeCell ref="Y1704:Y1707"/>
    <mergeCell ref="Y1729:Y1740"/>
    <mergeCell ref="Z1522:Z1523"/>
    <mergeCell ref="Z1525:Z1526"/>
    <mergeCell ref="Z1527:Z1528"/>
    <mergeCell ref="Z1427:Z1430"/>
    <mergeCell ref="Y1793:Y1794"/>
    <mergeCell ref="Z1674:Z1678"/>
    <mergeCell ref="Z507:Z508"/>
    <mergeCell ref="Z511:Z522"/>
    <mergeCell ref="Z523:Z524"/>
    <mergeCell ref="Z525:Z527"/>
    <mergeCell ref="Z528:Z531"/>
    <mergeCell ref="Z1385:Z1386"/>
    <mergeCell ref="Z1381:Z1382"/>
    <mergeCell ref="Z1616:Z1617"/>
    <mergeCell ref="Z1962:Z1963"/>
    <mergeCell ref="Z1824:Z1831"/>
    <mergeCell ref="Z1909:Z1911"/>
    <mergeCell ref="Z1985:Z1990"/>
    <mergeCell ref="Z1991:Z1993"/>
    <mergeCell ref="Z1971:Z1980"/>
    <mergeCell ref="Z1981:Z1984"/>
    <mergeCell ref="Z1556:Z1563"/>
    <mergeCell ref="Z1574:Z1575"/>
    <mergeCell ref="Z1576:Z1577"/>
    <mergeCell ref="Z1578:Z1579"/>
    <mergeCell ref="Z1595:Z1596"/>
    <mergeCell ref="Z1622:Z1625"/>
    <mergeCell ref="Z1627:Z1630"/>
    <mergeCell ref="Z1631:Z1632"/>
    <mergeCell ref="Z1642:Z1647"/>
    <mergeCell ref="Z1693:Z1694"/>
    <mergeCell ref="Z1338:Z1339"/>
    <mergeCell ref="Z1340:Z1341"/>
    <mergeCell ref="Z1345:Z1346"/>
    <mergeCell ref="Z1347:Z1349"/>
    <mergeCell ref="Z1369:Z1370"/>
    <mergeCell ref="Z1371:Z1373"/>
    <mergeCell ref="Z1376:Z1377"/>
    <mergeCell ref="Z1679:Z1681"/>
    <mergeCell ref="Y1981:Y1984"/>
    <mergeCell ref="Z1726:Z1727"/>
    <mergeCell ref="Z1746:Z1748"/>
    <mergeCell ref="Z1751:Z1752"/>
    <mergeCell ref="Z1753:Z1759"/>
    <mergeCell ref="Z1763:Z1766"/>
    <mergeCell ref="X1580:X1594"/>
    <mergeCell ref="X1611:X1615"/>
    <mergeCell ref="Y1962:Y1963"/>
    <mergeCell ref="X1903:X1905"/>
    <mergeCell ref="X1663:X1673"/>
    <mergeCell ref="Z1852:Z1856"/>
    <mergeCell ref="Z1857:Z1859"/>
    <mergeCell ref="Z1860:Z1861"/>
    <mergeCell ref="Z1862:Z1864"/>
    <mergeCell ref="Z1878:Z1883"/>
    <mergeCell ref="Z1884:Z1886"/>
    <mergeCell ref="Z1709:Z1720"/>
    <mergeCell ref="Z1721:Z1725"/>
    <mergeCell ref="Z1695:Z1698"/>
    <mergeCell ref="Z1702:Z1703"/>
    <mergeCell ref="Z1849:Z1851"/>
    <mergeCell ref="Y1919:Y1920"/>
    <mergeCell ref="Y1924:Y1925"/>
    <mergeCell ref="Y1926:Y1927"/>
    <mergeCell ref="Y1928:Y1933"/>
    <mergeCell ref="Y1938:Y1942"/>
    <mergeCell ref="Z1868:Z1869"/>
    <mergeCell ref="Z1895:Z1899"/>
    <mergeCell ref="Z1900:Z1902"/>
    <mergeCell ref="Z1390:Z1391"/>
    <mergeCell ref="Z1685:Z1690"/>
    <mergeCell ref="Z1832:Z1835"/>
    <mergeCell ref="Y1462:Y1464"/>
    <mergeCell ref="Y1465:Y1466"/>
    <mergeCell ref="Y1903:Y1905"/>
    <mergeCell ref="Y1453:Y1455"/>
    <mergeCell ref="L2463:L2466"/>
    <mergeCell ref="Z416:Z419"/>
    <mergeCell ref="Z421:Z422"/>
    <mergeCell ref="Z423:Z424"/>
    <mergeCell ref="Z429:Z430"/>
    <mergeCell ref="Z435:Z436"/>
    <mergeCell ref="Z437:Z438"/>
    <mergeCell ref="Z440:Z445"/>
    <mergeCell ref="Z1298:Z1314"/>
    <mergeCell ref="Z1374:Z1375"/>
    <mergeCell ref="Z1462:Z1464"/>
    <mergeCell ref="Z1465:Z1466"/>
    <mergeCell ref="Z1476:Z1477"/>
    <mergeCell ref="Z1502:Z1503"/>
    <mergeCell ref="Z1504:Z1506"/>
    <mergeCell ref="Z1606:Z1610"/>
    <mergeCell ref="Z449:Z459"/>
    <mergeCell ref="Z464:Z466"/>
    <mergeCell ref="Z467:Z468"/>
    <mergeCell ref="Z469:Z470"/>
    <mergeCell ref="Z471:Z474"/>
    <mergeCell ref="Z1544:Z1548"/>
    <mergeCell ref="Z1549:Z1555"/>
    <mergeCell ref="Y1862:Y1864"/>
    <mergeCell ref="Y1878:Y1883"/>
    <mergeCell ref="Z475:Z477"/>
    <mergeCell ref="Z483:Z492"/>
    <mergeCell ref="Z493:Z495"/>
    <mergeCell ref="Z1352:Z1356"/>
    <mergeCell ref="Z1357:Z1358"/>
    <mergeCell ref="Z1365:Z1366"/>
    <mergeCell ref="X708:X709"/>
    <mergeCell ref="Y708:Y709"/>
    <mergeCell ref="Y710:Y711"/>
    <mergeCell ref="Z708:Z709"/>
    <mergeCell ref="Z710:Z711"/>
    <mergeCell ref="Z497:Z500"/>
    <mergeCell ref="Z501:Z506"/>
    <mergeCell ref="N706:N711"/>
    <mergeCell ref="Y1959:Y1961"/>
    <mergeCell ref="L2467:L2469"/>
    <mergeCell ref="X2460:X2462"/>
    <mergeCell ref="X2463:X2466"/>
    <mergeCell ref="W2467:W2476"/>
    <mergeCell ref="M2467:M2469"/>
    <mergeCell ref="O2467:O2469"/>
    <mergeCell ref="Y2460:Y2462"/>
    <mergeCell ref="Y2463:Y2466"/>
    <mergeCell ref="N2467:N2469"/>
    <mergeCell ref="N2463:N2466"/>
    <mergeCell ref="N2460:N2462"/>
    <mergeCell ref="N2248:N2251"/>
    <mergeCell ref="L2393:L2394"/>
    <mergeCell ref="X2393:X2394"/>
    <mergeCell ref="Y2393:Y2394"/>
    <mergeCell ref="L2408:L2409"/>
    <mergeCell ref="M2408:M2409"/>
    <mergeCell ref="M2395:M2396"/>
    <mergeCell ref="M2397:M2399"/>
    <mergeCell ref="O2395:O2399"/>
    <mergeCell ref="X2395:X2407"/>
    <mergeCell ref="Y2395:Y2407"/>
    <mergeCell ref="Y2194:Y2197"/>
    <mergeCell ref="Y2198:Y2201"/>
    <mergeCell ref="Y2202:Y2206"/>
    <mergeCell ref="Y2210:Y2214"/>
    <mergeCell ref="L2460:L2462"/>
    <mergeCell ref="M2460:M2462"/>
    <mergeCell ref="Z2412:Z2413"/>
    <mergeCell ref="Z1917:Z1918"/>
    <mergeCell ref="Z1919:Z1920"/>
    <mergeCell ref="Z1924:Z1925"/>
    <mergeCell ref="Z1926:Z1927"/>
    <mergeCell ref="Z1928:Z1933"/>
    <mergeCell ref="Z1938:Z1942"/>
    <mergeCell ref="Z2460:Z2462"/>
    <mergeCell ref="Z2393:Z2394"/>
    <mergeCell ref="Z2395:Z2407"/>
    <mergeCell ref="Z2243:Z2245"/>
    <mergeCell ref="Y2052:Y2053"/>
    <mergeCell ref="Y2054:Y2055"/>
    <mergeCell ref="Y2056:Y2058"/>
    <mergeCell ref="Y2015:Y2019"/>
    <mergeCell ref="Y2021:Y2024"/>
    <mergeCell ref="Y2025:Y2029"/>
    <mergeCell ref="Y2387:Y2388"/>
    <mergeCell ref="Y2076:Y2077"/>
    <mergeCell ref="O2460:O2462"/>
    <mergeCell ref="Z1943:Z1953"/>
    <mergeCell ref="Z2463:Z2466"/>
    <mergeCell ref="Z1704:Z1707"/>
    <mergeCell ref="Z1729:Z1740"/>
    <mergeCell ref="Z1741:Z1745"/>
    <mergeCell ref="Z1769:Z1770"/>
    <mergeCell ref="Z1772:Z1773"/>
    <mergeCell ref="Z1774:Z1776"/>
    <mergeCell ref="Z1793:Z1794"/>
    <mergeCell ref="Z1795:Z1796"/>
    <mergeCell ref="Z1798:Z1799"/>
    <mergeCell ref="Z1800:Z1801"/>
    <mergeCell ref="Z1780:Z1781"/>
    <mergeCell ref="Z1787:Z1790"/>
    <mergeCell ref="Z1804:Z1814"/>
    <mergeCell ref="Z1818:Z1819"/>
    <mergeCell ref="Z1889:Z1891"/>
    <mergeCell ref="Y1846:Y1847"/>
    <mergeCell ref="Y1852:Y1856"/>
    <mergeCell ref="Y1943:Y1953"/>
    <mergeCell ref="Z2081:Z2083"/>
    <mergeCell ref="Z2085:Z2095"/>
    <mergeCell ref="Y2359:Y2360"/>
    <mergeCell ref="Y2285:Y2286"/>
    <mergeCell ref="Y2354:Y2355"/>
    <mergeCell ref="Y2438:Y2440"/>
    <mergeCell ref="Y2292:Y2293"/>
    <mergeCell ref="Y2295:Y2296"/>
    <mergeCell ref="Y2297:Y2298"/>
    <mergeCell ref="Y2299:Y2300"/>
    <mergeCell ref="Y2362:Y2364"/>
    <mergeCell ref="Y2365:Y2366"/>
    <mergeCell ref="Y2042:Y2043"/>
    <mergeCell ref="O2408:O2409"/>
    <mergeCell ref="Y1917:Y1918"/>
    <mergeCell ref="Y2176:Y2177"/>
    <mergeCell ref="Y2030:Y2033"/>
    <mergeCell ref="Y2215:Y2217"/>
    <mergeCell ref="Y2357:Y2358"/>
    <mergeCell ref="Y2371:Y2372"/>
    <mergeCell ref="Z1912:Z1913"/>
    <mergeCell ref="Z1914:Z1916"/>
    <mergeCell ref="Y2287:Y2288"/>
    <mergeCell ref="Y2290:Y2291"/>
    <mergeCell ref="M2463:M2466"/>
    <mergeCell ref="O2463:O2466"/>
    <mergeCell ref="Y2154:Y2175"/>
    <mergeCell ref="Y2268:Y2269"/>
    <mergeCell ref="Y2104:Y2112"/>
    <mergeCell ref="Y2441:Y2443"/>
    <mergeCell ref="Y2454:Y2455"/>
    <mergeCell ref="Y2456:Y2457"/>
    <mergeCell ref="N2456:N2457"/>
    <mergeCell ref="N2454:N2455"/>
    <mergeCell ref="Y2344:Y2345"/>
    <mergeCell ref="Y2346:Y2348"/>
    <mergeCell ref="Y2349:Y2350"/>
    <mergeCell ref="Y2351:Y2353"/>
    <mergeCell ref="X2384:X2385"/>
    <mergeCell ref="N2303:N2306"/>
    <mergeCell ref="X2387:X2388"/>
    <mergeCell ref="Y2384:Y2385"/>
    <mergeCell ref="Y2373:Y2376"/>
    <mergeCell ref="Y2377:Y2383"/>
    <mergeCell ref="Y2436:Y2437"/>
    <mergeCell ref="Y2081:Y2083"/>
    <mergeCell ref="Y2085:Y2095"/>
    <mergeCell ref="Y2180:Y2181"/>
    <mergeCell ref="Y2182:Y2184"/>
    <mergeCell ref="Y2188:Y2189"/>
    <mergeCell ref="L2160:L2161"/>
    <mergeCell ref="L2162:L2164"/>
    <mergeCell ref="L2165:L2166"/>
    <mergeCell ref="L2167:L2168"/>
    <mergeCell ref="L2169:L2170"/>
    <mergeCell ref="L2171:L2173"/>
    <mergeCell ref="L2174:L2175"/>
    <mergeCell ref="Y2096:Y2097"/>
    <mergeCell ref="Y2098:Y2100"/>
    <mergeCell ref="M2176:M2177"/>
    <mergeCell ref="O2176:O2177"/>
    <mergeCell ref="N2176:N2177"/>
    <mergeCell ref="L2136:L2140"/>
    <mergeCell ref="L2141:L2142"/>
    <mergeCell ref="L2143:L2146"/>
    <mergeCell ref="L2147:L2149"/>
    <mergeCell ref="L2152:L2153"/>
    <mergeCell ref="L2156:L2157"/>
    <mergeCell ref="L2158:L2159"/>
    <mergeCell ref="O2101:O2103"/>
    <mergeCell ref="X2101:X2103"/>
    <mergeCell ref="L2104:L2106"/>
    <mergeCell ref="L2178:L2179"/>
    <mergeCell ref="M2178:M2179"/>
    <mergeCell ref="O2178:O2179"/>
    <mergeCell ref="N2178:N2179"/>
    <mergeCell ref="N2101:N2103"/>
    <mergeCell ref="M2072:M2073"/>
    <mergeCell ref="O2072:O2073"/>
    <mergeCell ref="L2074:L2075"/>
    <mergeCell ref="Y2412:Y2413"/>
    <mergeCell ref="L2412:L2413"/>
    <mergeCell ref="L2180:L2181"/>
    <mergeCell ref="X2180:X2181"/>
    <mergeCell ref="L2182:L2184"/>
    <mergeCell ref="X2182:X2184"/>
    <mergeCell ref="L2188:L2189"/>
    <mergeCell ref="M2188:M2189"/>
    <mergeCell ref="O2188:O2189"/>
    <mergeCell ref="X2188:X2189"/>
    <mergeCell ref="M2104:M2106"/>
    <mergeCell ref="L2114:L2121"/>
    <mergeCell ref="X2104:X2112"/>
    <mergeCell ref="Y2232:Y2236"/>
    <mergeCell ref="Y2237:Y2238"/>
    <mergeCell ref="Y2260:Y2263"/>
    <mergeCell ref="Y2266:Y2267"/>
    <mergeCell ref="L2340:L2342"/>
    <mergeCell ref="M2340:M2343"/>
    <mergeCell ref="O2340:O2343"/>
    <mergeCell ref="L2344:L2345"/>
    <mergeCell ref="M2344:M2345"/>
    <mergeCell ref="X2344:X2345"/>
    <mergeCell ref="L2346:L2348"/>
    <mergeCell ref="M2346:M2348"/>
    <mergeCell ref="X2346:X2348"/>
    <mergeCell ref="L2349:L2350"/>
    <mergeCell ref="X2349:X2350"/>
    <mergeCell ref="Y2101:Y2103"/>
    <mergeCell ref="Y1493:Y1495"/>
    <mergeCell ref="Y1884:Y1886"/>
    <mergeCell ref="Y1889:Y1891"/>
    <mergeCell ref="Y1849:Y1851"/>
    <mergeCell ref="Y1857:Y1859"/>
    <mergeCell ref="Y1824:Y1831"/>
    <mergeCell ref="Y1892:Y1894"/>
    <mergeCell ref="Y1895:Y1899"/>
    <mergeCell ref="Y1900:Y1902"/>
    <mergeCell ref="M1693:M1694"/>
    <mergeCell ref="M1695:M1698"/>
    <mergeCell ref="M1702:M1703"/>
    <mergeCell ref="M1704:M1707"/>
    <mergeCell ref="Y2067:Y2071"/>
    <mergeCell ref="M1711:M1717"/>
    <mergeCell ref="M1772:M1773"/>
    <mergeCell ref="M1774:M1776"/>
    <mergeCell ref="M1785:M1786"/>
    <mergeCell ref="O1774:O1776"/>
    <mergeCell ref="O1785:O1786"/>
    <mergeCell ref="M1767:M1768"/>
    <mergeCell ref="X1767:X1768"/>
    <mergeCell ref="O1611:O1613"/>
    <mergeCell ref="M1581:M1582"/>
    <mergeCell ref="M1583:M1584"/>
    <mergeCell ref="N1815:N1817"/>
    <mergeCell ref="M1821:M1822"/>
    <mergeCell ref="N1821:N1822"/>
    <mergeCell ref="O1821:O1822"/>
    <mergeCell ref="X1679:X1681"/>
    <mergeCell ref="X1868:X1869"/>
    <mergeCell ref="Y1868:Y1869"/>
    <mergeCell ref="Z1539:Z1540"/>
    <mergeCell ref="Z1600:Z1602"/>
    <mergeCell ref="Z1603:Z1605"/>
    <mergeCell ref="Z1611:Z1615"/>
    <mergeCell ref="Z1663:Z1673"/>
    <mergeCell ref="L2129:L2135"/>
    <mergeCell ref="Y1832:Y1835"/>
    <mergeCell ref="Y1606:Y1610"/>
    <mergeCell ref="Y1627:Y1630"/>
    <mergeCell ref="Y1618:Y1621"/>
    <mergeCell ref="Z1821:Z1822"/>
    <mergeCell ref="Z1846:Z1847"/>
    <mergeCell ref="Y1616:Y1617"/>
    <mergeCell ref="Y1909:Y1911"/>
    <mergeCell ref="Y1912:Y1913"/>
    <mergeCell ref="Y1914:Y1916"/>
    <mergeCell ref="Y2036:Y2039"/>
    <mergeCell ref="L1751:L1752"/>
    <mergeCell ref="M1751:M1752"/>
    <mergeCell ref="X1751:X1752"/>
    <mergeCell ref="L1753:L1756"/>
    <mergeCell ref="M1753:M1756"/>
    <mergeCell ref="O1753:O1756"/>
    <mergeCell ref="X1726:X1727"/>
    <mergeCell ref="Y2059:Y2062"/>
    <mergeCell ref="Y2078:Y2080"/>
    <mergeCell ref="Y1971:Y1980"/>
    <mergeCell ref="Y2063:Y2066"/>
    <mergeCell ref="Z1903:Z1905"/>
    <mergeCell ref="Z1767:Z1768"/>
    <mergeCell ref="Z1892:Z1894"/>
    <mergeCell ref="L2072:L2073"/>
    <mergeCell ref="Z1451:Z1452"/>
    <mergeCell ref="Z1453:Z1455"/>
    <mergeCell ref="Z1457:Z1459"/>
    <mergeCell ref="Z1493:Z1495"/>
    <mergeCell ref="Y1504:Y1506"/>
    <mergeCell ref="Y1795:Y1796"/>
    <mergeCell ref="Y1798:Y1799"/>
    <mergeCell ref="Y1800:Y1801"/>
    <mergeCell ref="Y1741:Y1745"/>
    <mergeCell ref="Y1769:Y1770"/>
    <mergeCell ref="Y1772:Y1773"/>
    <mergeCell ref="Y1774:Y1776"/>
    <mergeCell ref="Z1383:Z1384"/>
    <mergeCell ref="Z1467:Z1468"/>
    <mergeCell ref="Z1480:Z1485"/>
    <mergeCell ref="Z1496:Z1498"/>
    <mergeCell ref="Z1507:Z1512"/>
    <mergeCell ref="Z1405:Z1407"/>
    <mergeCell ref="Z1408:Z1409"/>
    <mergeCell ref="Z1411:Z1421"/>
    <mergeCell ref="Z1431:Z1432"/>
    <mergeCell ref="Z1434:Z1437"/>
    <mergeCell ref="Z1438:Z1442"/>
    <mergeCell ref="Z1443:Z1447"/>
    <mergeCell ref="Z1448:Z1450"/>
    <mergeCell ref="Y1642:Y1647"/>
    <mergeCell ref="Y1443:Y1447"/>
    <mergeCell ref="Y1448:Y1450"/>
    <mergeCell ref="Y1451:Y1452"/>
    <mergeCell ref="Y1383:Y1384"/>
    <mergeCell ref="Y1476:Y1477"/>
    <mergeCell ref="Z1529:Z1532"/>
    <mergeCell ref="N1780:N1781"/>
    <mergeCell ref="N1767:N1768"/>
    <mergeCell ref="X1769:X1770"/>
    <mergeCell ref="X1695:X1698"/>
    <mergeCell ref="X1702:X1703"/>
    <mergeCell ref="X1704:X1707"/>
    <mergeCell ref="L1721:L1723"/>
    <mergeCell ref="N1721:N1723"/>
    <mergeCell ref="M1738:M1739"/>
    <mergeCell ref="L1700:L1701"/>
    <mergeCell ref="L1702:L1703"/>
    <mergeCell ref="L1704:L1707"/>
    <mergeCell ref="X1772:X1773"/>
    <mergeCell ref="L1695:L1698"/>
    <mergeCell ref="L1729:L1731"/>
    <mergeCell ref="M1732:M1735"/>
    <mergeCell ref="L1733:L1735"/>
    <mergeCell ref="L1746:L1747"/>
    <mergeCell ref="M1746:M1748"/>
    <mergeCell ref="L1639:L1641"/>
    <mergeCell ref="L1642:L1647"/>
    <mergeCell ref="X1642:X1647"/>
    <mergeCell ref="N1693:N1694"/>
    <mergeCell ref="N1695:N1698"/>
    <mergeCell ref="N1702:N1703"/>
    <mergeCell ref="N1704:N1707"/>
    <mergeCell ref="N1746:N1748"/>
    <mergeCell ref="N1726:N1727"/>
    <mergeCell ref="L1674:L1678"/>
    <mergeCell ref="M1674:M1678"/>
    <mergeCell ref="X1674:X1678"/>
    <mergeCell ref="N1649:N1653"/>
    <mergeCell ref="L1679:L1681"/>
    <mergeCell ref="M1679:M1681"/>
    <mergeCell ref="O1679:O1681"/>
    <mergeCell ref="Y1385:Y1386"/>
    <mergeCell ref="Y1390:Y1391"/>
    <mergeCell ref="O1462:O1464"/>
    <mergeCell ref="L1693:L1694"/>
    <mergeCell ref="N1465:N1466"/>
    <mergeCell ref="N1462:N1464"/>
    <mergeCell ref="N1685:N1686"/>
    <mergeCell ref="N1679:N1681"/>
    <mergeCell ref="Y1394:Y1396"/>
    <mergeCell ref="Y1397:Y1404"/>
    <mergeCell ref="Y1405:Y1407"/>
    <mergeCell ref="Y1408:Y1409"/>
    <mergeCell ref="N1603:N1605"/>
    <mergeCell ref="N1595:N1596"/>
    <mergeCell ref="L1593:L1594"/>
    <mergeCell ref="M1611:M1613"/>
    <mergeCell ref="X672:X673"/>
    <mergeCell ref="N566:N571"/>
    <mergeCell ref="X1224:X1225"/>
    <mergeCell ref="X1295:X1296"/>
    <mergeCell ref="O1746:O1748"/>
    <mergeCell ref="X1746:X1748"/>
    <mergeCell ref="X1693:X1694"/>
    <mergeCell ref="O1693:O1694"/>
    <mergeCell ref="O1695:O1698"/>
    <mergeCell ref="O1702:O1703"/>
    <mergeCell ref="O1704:O1707"/>
    <mergeCell ref="O1721:O1723"/>
    <mergeCell ref="O1729:O1731"/>
    <mergeCell ref="O1741:O1743"/>
    <mergeCell ref="X1721:X1725"/>
    <mergeCell ref="N1709:N1717"/>
    <mergeCell ref="M1726:M1727"/>
    <mergeCell ref="O1726:O1727"/>
    <mergeCell ref="O1631:O1632"/>
    <mergeCell ref="N1627:N1630"/>
    <mergeCell ref="N1622:N1623"/>
    <mergeCell ref="N1631:N1632"/>
    <mergeCell ref="X1622:X1625"/>
    <mergeCell ref="X1627:X1630"/>
    <mergeCell ref="X1631:X1632"/>
    <mergeCell ref="O1581:O1582"/>
    <mergeCell ref="O1583:O1584"/>
    <mergeCell ref="O1585:O1586"/>
    <mergeCell ref="M1595:M1596"/>
    <mergeCell ref="O1595:O1596"/>
    <mergeCell ref="X1595:X1596"/>
    <mergeCell ref="N1611:N1613"/>
    <mergeCell ref="L1585:L1586"/>
    <mergeCell ref="M1585:M1586"/>
    <mergeCell ref="N1583:N1584"/>
    <mergeCell ref="L1622:L1623"/>
    <mergeCell ref="L1627:L1630"/>
    <mergeCell ref="Y1502:Y1503"/>
    <mergeCell ref="Y795:Y804"/>
    <mergeCell ref="Y805:Y811"/>
    <mergeCell ref="Y572:Y578"/>
    <mergeCell ref="Y579:Y581"/>
    <mergeCell ref="Y1298:Y1314"/>
    <mergeCell ref="Y583:Y584"/>
    <mergeCell ref="Y1374:Y1375"/>
    <mergeCell ref="Y887:Y889"/>
    <mergeCell ref="Y890:Y893"/>
    <mergeCell ref="Y894:Y896"/>
    <mergeCell ref="Y897:Y905"/>
    <mergeCell ref="Y933:Y935"/>
    <mergeCell ref="X710:X711"/>
    <mergeCell ref="Y938:Y940"/>
    <mergeCell ref="Y941:Y945"/>
    <mergeCell ref="Y947:Y949"/>
    <mergeCell ref="Y951:Y952"/>
    <mergeCell ref="Y975:Y977"/>
    <mergeCell ref="Y912:Y913"/>
    <mergeCell ref="Y915:Y916"/>
    <mergeCell ref="Y917:Y918"/>
    <mergeCell ref="Y1381:Y1382"/>
    <mergeCell ref="X854:X857"/>
    <mergeCell ref="X727:X735"/>
    <mergeCell ref="X764:X770"/>
    <mergeCell ref="X771:X776"/>
    <mergeCell ref="X1381:X1382"/>
    <mergeCell ref="X897:X905"/>
    <mergeCell ref="X831:X832"/>
    <mergeCell ref="X833:X834"/>
    <mergeCell ref="X864:X878"/>
    <mergeCell ref="Y585:Y586"/>
    <mergeCell ref="Y587:Y588"/>
    <mergeCell ref="Y589:Y590"/>
    <mergeCell ref="L1420:L1421"/>
    <mergeCell ref="M1462:M1464"/>
    <mergeCell ref="Y596:Y610"/>
    <mergeCell ref="Y611:Y619"/>
    <mergeCell ref="Y624:Y630"/>
    <mergeCell ref="L1381:L1382"/>
    <mergeCell ref="Y288:Y290"/>
    <mergeCell ref="Y286:Y287"/>
    <mergeCell ref="Y305:Y308"/>
    <mergeCell ref="Y312:Y314"/>
    <mergeCell ref="Y316:Y317"/>
    <mergeCell ref="Y321:Y322"/>
    <mergeCell ref="Y323:Y324"/>
    <mergeCell ref="X316:X317"/>
    <mergeCell ref="X321:X322"/>
    <mergeCell ref="X323:X324"/>
    <mergeCell ref="X325:X326"/>
    <mergeCell ref="N1301:N1302"/>
    <mergeCell ref="N1308:N1309"/>
    <mergeCell ref="O1256:O1257"/>
    <mergeCell ref="O1261:O1263"/>
    <mergeCell ref="N1252:N1253"/>
    <mergeCell ref="N1256:N1257"/>
    <mergeCell ref="N1261:N1263"/>
    <mergeCell ref="N897:N905"/>
    <mergeCell ref="X825:X826"/>
    <mergeCell ref="X827:X828"/>
    <mergeCell ref="X829:X830"/>
    <mergeCell ref="O1453:O1455"/>
    <mergeCell ref="O1443:O1445"/>
    <mergeCell ref="X1443:X1447"/>
    <mergeCell ref="L1448:L1449"/>
    <mergeCell ref="Y978:Y979"/>
    <mergeCell ref="X1476:X1477"/>
    <mergeCell ref="L1462:L1464"/>
    <mergeCell ref="L1614:L1615"/>
    <mergeCell ref="L1595:L1596"/>
    <mergeCell ref="Y927:Y928"/>
    <mergeCell ref="Y538:Y540"/>
    <mergeCell ref="Y831:Y832"/>
    <mergeCell ref="Y833:Y834"/>
    <mergeCell ref="Y864:Y878"/>
    <mergeCell ref="Y736:Y743"/>
    <mergeCell ref="Y744:Y745"/>
    <mergeCell ref="Y750:Y756"/>
    <mergeCell ref="Y757:Y763"/>
    <mergeCell ref="Y764:Y770"/>
    <mergeCell ref="Y858:Y859"/>
    <mergeCell ref="Y860:Y862"/>
    <mergeCell ref="Y839:Y843"/>
    <mergeCell ref="Y844:Y847"/>
    <mergeCell ref="Y848:Y849"/>
    <mergeCell ref="Y850:Y851"/>
    <mergeCell ref="Y854:Y857"/>
    <mergeCell ref="Y566:Y571"/>
    <mergeCell ref="Y593:Y595"/>
    <mergeCell ref="Y688:Y693"/>
    <mergeCell ref="Y825:Y826"/>
    <mergeCell ref="Y827:Y828"/>
    <mergeCell ref="Y829:Y830"/>
    <mergeCell ref="L1633:L1635"/>
    <mergeCell ref="Y1580:Y1594"/>
    <mergeCell ref="Z1580:Z1594"/>
    <mergeCell ref="L1606:L1610"/>
    <mergeCell ref="L1616:L1617"/>
    <mergeCell ref="M1616:M1617"/>
    <mergeCell ref="L1618:L1621"/>
    <mergeCell ref="M1618:M1621"/>
    <mergeCell ref="O1616:O1617"/>
    <mergeCell ref="O1618:O1621"/>
    <mergeCell ref="M1606:M1610"/>
    <mergeCell ref="O1606:O1610"/>
    <mergeCell ref="N1606:N1610"/>
    <mergeCell ref="N1616:N1617"/>
    <mergeCell ref="N1618:N1621"/>
    <mergeCell ref="X1606:X1610"/>
    <mergeCell ref="X1616:X1617"/>
    <mergeCell ref="X1618:X1621"/>
    <mergeCell ref="L1597:L1598"/>
    <mergeCell ref="X1600:X1602"/>
    <mergeCell ref="L1601:L1602"/>
    <mergeCell ref="L1603:L1605"/>
    <mergeCell ref="M1603:M1605"/>
    <mergeCell ref="O1603:O1605"/>
    <mergeCell ref="X1603:X1605"/>
    <mergeCell ref="L1611:L1613"/>
    <mergeCell ref="N1585:N1586"/>
    <mergeCell ref="M1627:M1630"/>
    <mergeCell ref="L1631:L1632"/>
    <mergeCell ref="M1631:M1632"/>
    <mergeCell ref="O1622:O1623"/>
    <mergeCell ref="O1627:O1630"/>
    <mergeCell ref="N1320:N1321"/>
    <mergeCell ref="L1298:L1300"/>
    <mergeCell ref="L1316:L1317"/>
    <mergeCell ref="L1511:L1512"/>
    <mergeCell ref="M1511:M1512"/>
    <mergeCell ref="L1513:L1514"/>
    <mergeCell ref="M1513:M1514"/>
    <mergeCell ref="O1513:O1514"/>
    <mergeCell ref="L1522:L1523"/>
    <mergeCell ref="N1581:N1582"/>
    <mergeCell ref="L1405:L1407"/>
    <mergeCell ref="X1405:X1407"/>
    <mergeCell ref="L1408:L1409"/>
    <mergeCell ref="X1408:X1409"/>
    <mergeCell ref="O1411:O1421"/>
    <mergeCell ref="X1411:X1421"/>
    <mergeCell ref="L1417:L1419"/>
    <mergeCell ref="L1390:L1391"/>
    <mergeCell ref="X1390:X1391"/>
    <mergeCell ref="L1392:L1393"/>
    <mergeCell ref="L1394:L1396"/>
    <mergeCell ref="X1394:X1396"/>
    <mergeCell ref="L1397:L1398"/>
    <mergeCell ref="X1397:X1404"/>
    <mergeCell ref="L1399:L1400"/>
    <mergeCell ref="L1401:L1402"/>
    <mergeCell ref="L1403:L1404"/>
    <mergeCell ref="N1411:N1421"/>
    <mergeCell ref="L1415:L1416"/>
    <mergeCell ref="L1411:L1414"/>
    <mergeCell ref="O1476:O1477"/>
    <mergeCell ref="N1476:N1477"/>
    <mergeCell ref="L1357:L1358"/>
    <mergeCell ref="M1357:M1358"/>
    <mergeCell ref="O1357:O1358"/>
    <mergeCell ref="L1301:L1302"/>
    <mergeCell ref="L1308:L1309"/>
    <mergeCell ref="M1318:M1319"/>
    <mergeCell ref="O1318:O1319"/>
    <mergeCell ref="X1334:X1335"/>
    <mergeCell ref="L1336:L1337"/>
    <mergeCell ref="X1336:X1337"/>
    <mergeCell ref="L1320:L1321"/>
    <mergeCell ref="M1320:M1321"/>
    <mergeCell ref="O1320:O1321"/>
    <mergeCell ref="X1320:X1321"/>
    <mergeCell ref="L1322:L1323"/>
    <mergeCell ref="M1322:M1323"/>
    <mergeCell ref="O1322:O1323"/>
    <mergeCell ref="X1322:X1323"/>
    <mergeCell ref="X1327:X1328"/>
    <mergeCell ref="X1298:X1314"/>
    <mergeCell ref="L1330:L1331"/>
    <mergeCell ref="M1330:M1331"/>
    <mergeCell ref="L1352:L1356"/>
    <mergeCell ref="X1352:X1356"/>
    <mergeCell ref="O1330:O1331"/>
    <mergeCell ref="L1332:L1333"/>
    <mergeCell ref="X1332:X1333"/>
    <mergeCell ref="L1334:L1335"/>
    <mergeCell ref="X1318:X1319"/>
    <mergeCell ref="X1357:X1358"/>
    <mergeCell ref="N1330:N1331"/>
    <mergeCell ref="N1322:N1323"/>
    <mergeCell ref="Y2303:Y2313"/>
    <mergeCell ref="Y2325:Y2327"/>
    <mergeCell ref="Y2328:Y2330"/>
    <mergeCell ref="Y2331:Y2332"/>
    <mergeCell ref="Y2334:Y2335"/>
    <mergeCell ref="Y2338:Y2339"/>
    <mergeCell ref="Y1957:Y1958"/>
    <mergeCell ref="N2243:N2245"/>
    <mergeCell ref="O2243:O2245"/>
    <mergeCell ref="Y2275:Y2280"/>
    <mergeCell ref="Y2271:Y2272"/>
    <mergeCell ref="Y2281:Y2284"/>
    <mergeCell ref="Y2185:Y2187"/>
    <mergeCell ref="Y2228:Y2230"/>
    <mergeCell ref="Y2220:Y2227"/>
    <mergeCell ref="Y2241:Y2242"/>
    <mergeCell ref="Y2243:Y2245"/>
    <mergeCell ref="Y2248:Y2251"/>
    <mergeCell ref="Y1985:Y1990"/>
    <mergeCell ref="Y1991:Y1993"/>
    <mergeCell ref="Y1996:Y1997"/>
    <mergeCell ref="Y1999:Y2000"/>
    <mergeCell ref="Y2001:Y2005"/>
    <mergeCell ref="Y2006:Y2011"/>
    <mergeCell ref="X2154:X2175"/>
    <mergeCell ref="Y2034:Y2035"/>
    <mergeCell ref="Y2190:Y2191"/>
    <mergeCell ref="Y2074:Y2075"/>
    <mergeCell ref="L2454:L2455"/>
    <mergeCell ref="M2454:M2455"/>
    <mergeCell ref="O2454:O2455"/>
    <mergeCell ref="X2454:X2455"/>
    <mergeCell ref="L2449:L2453"/>
    <mergeCell ref="L2359:L2360"/>
    <mergeCell ref="X2359:X2360"/>
    <mergeCell ref="L2362:L2364"/>
    <mergeCell ref="X2362:X2364"/>
    <mergeCell ref="L2365:L2366"/>
    <mergeCell ref="X2365:X2366"/>
    <mergeCell ref="L2367:L2369"/>
    <mergeCell ref="M2367:M2370"/>
    <mergeCell ref="O2367:O2370"/>
    <mergeCell ref="L2371:L2372"/>
    <mergeCell ref="M2371:M2372"/>
    <mergeCell ref="X2371:X2372"/>
    <mergeCell ref="L2373:L2376"/>
    <mergeCell ref="X2373:X2376"/>
    <mergeCell ref="X2377:X2383"/>
    <mergeCell ref="M2365:M2366"/>
    <mergeCell ref="L2420:L2423"/>
    <mergeCell ref="M2420:M2423"/>
    <mergeCell ref="L2395:L2399"/>
    <mergeCell ref="L2384:L2385"/>
    <mergeCell ref="L2387:L2388"/>
    <mergeCell ref="O2420:O2423"/>
    <mergeCell ref="N2395:N2399"/>
    <mergeCell ref="N2408:N2409"/>
    <mergeCell ref="N2420:N2423"/>
    <mergeCell ref="N2367:N2370"/>
    <mergeCell ref="X2412:X2413"/>
    <mergeCell ref="L2456:L2457"/>
    <mergeCell ref="M2456:M2457"/>
    <mergeCell ref="O2456:O2457"/>
    <mergeCell ref="X2456:X2457"/>
    <mergeCell ref="Y1663:Y1673"/>
    <mergeCell ref="Y1674:Y1678"/>
    <mergeCell ref="Y1679:Y1681"/>
    <mergeCell ref="Y1685:Y1690"/>
    <mergeCell ref="Y1709:Y1720"/>
    <mergeCell ref="Y1721:Y1725"/>
    <mergeCell ref="Y1726:Y1727"/>
    <mergeCell ref="Y1746:Y1748"/>
    <mergeCell ref="Y1751:Y1752"/>
    <mergeCell ref="Y1753:Y1759"/>
    <mergeCell ref="Y1763:Y1766"/>
    <mergeCell ref="Y1767:Y1768"/>
    <mergeCell ref="Y1780:Y1781"/>
    <mergeCell ref="Y1787:Y1790"/>
    <mergeCell ref="Y1804:Y1814"/>
    <mergeCell ref="Y1818:Y1819"/>
    <mergeCell ref="Y1821:Y1822"/>
    <mergeCell ref="L2432:L2434"/>
    <mergeCell ref="L2436:L2437"/>
    <mergeCell ref="M2436:M2437"/>
    <mergeCell ref="X2436:X2437"/>
    <mergeCell ref="L2438:L2440"/>
    <mergeCell ref="M2438:M2440"/>
    <mergeCell ref="X2438:X2440"/>
    <mergeCell ref="L2441:L2443"/>
    <mergeCell ref="M2441:M2443"/>
    <mergeCell ref="X2441:X2443"/>
    <mergeCell ref="L2445:L2448"/>
    <mergeCell ref="L2351:L2353"/>
    <mergeCell ref="X2351:X2353"/>
    <mergeCell ref="L2354:L2355"/>
    <mergeCell ref="X2354:X2355"/>
    <mergeCell ref="L2357:L2358"/>
    <mergeCell ref="X2357:X2358"/>
    <mergeCell ref="N2340:N2343"/>
    <mergeCell ref="L2316:L2321"/>
    <mergeCell ref="L2322:L2323"/>
    <mergeCell ref="M2322:M2324"/>
    <mergeCell ref="O2322:O2324"/>
    <mergeCell ref="L2325:L2327"/>
    <mergeCell ref="M2325:M2327"/>
    <mergeCell ref="X2325:X2327"/>
    <mergeCell ref="L2328:L2330"/>
    <mergeCell ref="M2328:M2330"/>
    <mergeCell ref="X2328:X2330"/>
    <mergeCell ref="L2331:L2332"/>
    <mergeCell ref="M2331:M2332"/>
    <mergeCell ref="X2331:X2332"/>
    <mergeCell ref="L2334:L2335"/>
    <mergeCell ref="X2334:X2335"/>
    <mergeCell ref="L2338:L2339"/>
    <mergeCell ref="X2338:X2339"/>
    <mergeCell ref="N2322:N2324"/>
    <mergeCell ref="L2281:L2284"/>
    <mergeCell ref="X2281:X2284"/>
    <mergeCell ref="L2285:L2286"/>
    <mergeCell ref="X2285:X2286"/>
    <mergeCell ref="L2287:L2288"/>
    <mergeCell ref="X2287:X2288"/>
    <mergeCell ref="L2290:L2291"/>
    <mergeCell ref="X2290:X2291"/>
    <mergeCell ref="L2292:L2293"/>
    <mergeCell ref="X2292:X2293"/>
    <mergeCell ref="L2295:L2296"/>
    <mergeCell ref="X2295:X2296"/>
    <mergeCell ref="L2297:L2298"/>
    <mergeCell ref="X2297:X2298"/>
    <mergeCell ref="L2299:L2300"/>
    <mergeCell ref="X2299:X2300"/>
    <mergeCell ref="L2303:L2306"/>
    <mergeCell ref="X2303:X2313"/>
    <mergeCell ref="M2303:M2304"/>
    <mergeCell ref="M2305:M2306"/>
    <mergeCell ref="O2303:O2306"/>
    <mergeCell ref="L2237:L2238"/>
    <mergeCell ref="M2237:M2238"/>
    <mergeCell ref="O2237:O2238"/>
    <mergeCell ref="X2237:X2238"/>
    <mergeCell ref="L2253:L2254"/>
    <mergeCell ref="L2255:L2256"/>
    <mergeCell ref="M2255:M2257"/>
    <mergeCell ref="O2255:O2257"/>
    <mergeCell ref="L2260:L2263"/>
    <mergeCell ref="M2260:M2263"/>
    <mergeCell ref="X2260:X2263"/>
    <mergeCell ref="L2266:L2267"/>
    <mergeCell ref="X2266:X2267"/>
    <mergeCell ref="L2268:L2269"/>
    <mergeCell ref="X2268:X2269"/>
    <mergeCell ref="L2275:L2276"/>
    <mergeCell ref="X2275:X2280"/>
    <mergeCell ref="L2279:L2280"/>
    <mergeCell ref="X2271:X2272"/>
    <mergeCell ref="M2271:M2272"/>
    <mergeCell ref="L2271:L2272"/>
    <mergeCell ref="N2255:N2257"/>
    <mergeCell ref="N2237:N2238"/>
    <mergeCell ref="L2241:L2242"/>
    <mergeCell ref="L2243:L2247"/>
    <mergeCell ref="M2243:M2245"/>
    <mergeCell ref="L2248:L2251"/>
    <mergeCell ref="M2248:M2251"/>
    <mergeCell ref="O2248:O2251"/>
    <mergeCell ref="X2241:X2242"/>
    <mergeCell ref="X2243:X2245"/>
    <mergeCell ref="X2248:X2251"/>
    <mergeCell ref="L2215:L2217"/>
    <mergeCell ref="M2215:M2217"/>
    <mergeCell ref="O2215:O2217"/>
    <mergeCell ref="X2215:X2217"/>
    <mergeCell ref="L2232:L2236"/>
    <mergeCell ref="M2232:M2236"/>
    <mergeCell ref="O2232:O2236"/>
    <mergeCell ref="X2232:X2236"/>
    <mergeCell ref="N2232:N2236"/>
    <mergeCell ref="N2215:N2217"/>
    <mergeCell ref="N2210:N2214"/>
    <mergeCell ref="N2202:N2203"/>
    <mergeCell ref="L2218:L2219"/>
    <mergeCell ref="L2220:L2227"/>
    <mergeCell ref="M2220:M2221"/>
    <mergeCell ref="L2228:L2230"/>
    <mergeCell ref="M2228:M2229"/>
    <mergeCell ref="X2220:X2227"/>
    <mergeCell ref="X2228:X2230"/>
    <mergeCell ref="N2098:N2100"/>
    <mergeCell ref="N2096:N2097"/>
    <mergeCell ref="L2202:L2203"/>
    <mergeCell ref="M2202:M2203"/>
    <mergeCell ref="O2202:O2203"/>
    <mergeCell ref="X2202:X2206"/>
    <mergeCell ref="L2205:L2206"/>
    <mergeCell ref="L2208:L2209"/>
    <mergeCell ref="L2210:L2214"/>
    <mergeCell ref="M2210:M2214"/>
    <mergeCell ref="O2210:O2214"/>
    <mergeCell ref="X2210:X2214"/>
    <mergeCell ref="L2176:L2177"/>
    <mergeCell ref="X2176:X2177"/>
    <mergeCell ref="L2091:L2092"/>
    <mergeCell ref="M2091:M2092"/>
    <mergeCell ref="N2072:N2073"/>
    <mergeCell ref="N2085:N2088"/>
    <mergeCell ref="L2081:L2083"/>
    <mergeCell ref="M2081:M2083"/>
    <mergeCell ref="O2081:O2083"/>
    <mergeCell ref="N2081:N2083"/>
    <mergeCell ref="X2081:X2083"/>
    <mergeCell ref="X2085:X2095"/>
    <mergeCell ref="L2190:L2191"/>
    <mergeCell ref="M2190:M2191"/>
    <mergeCell ref="X2190:X2191"/>
    <mergeCell ref="X2194:X2197"/>
    <mergeCell ref="L2195:L2196"/>
    <mergeCell ref="M2195:M2196"/>
    <mergeCell ref="X2198:X2201"/>
    <mergeCell ref="L2200:L2201"/>
    <mergeCell ref="M2200:M2201"/>
    <mergeCell ref="N2188:N2189"/>
    <mergeCell ref="L2185:L2187"/>
    <mergeCell ref="X2185:X2187"/>
    <mergeCell ref="L2096:L2097"/>
    <mergeCell ref="M2096:M2097"/>
    <mergeCell ref="O2096:O2097"/>
    <mergeCell ref="X2096:X2097"/>
    <mergeCell ref="L2098:L2100"/>
    <mergeCell ref="M2098:M2100"/>
    <mergeCell ref="O2098:O2100"/>
    <mergeCell ref="X2098:X2100"/>
    <mergeCell ref="L2101:L2103"/>
    <mergeCell ref="M2101:M2103"/>
    <mergeCell ref="L2122:L2128"/>
    <mergeCell ref="X2074:X2075"/>
    <mergeCell ref="L2054:L2055"/>
    <mergeCell ref="M2054:M2055"/>
    <mergeCell ref="X2054:X2055"/>
    <mergeCell ref="L2056:L2058"/>
    <mergeCell ref="M2056:M2058"/>
    <mergeCell ref="O2056:O2058"/>
    <mergeCell ref="X2056:X2058"/>
    <mergeCell ref="L2059:L2060"/>
    <mergeCell ref="M2059:M2060"/>
    <mergeCell ref="O2059:O2060"/>
    <mergeCell ref="X2059:X2062"/>
    <mergeCell ref="L2063:L2064"/>
    <mergeCell ref="M2063:M2064"/>
    <mergeCell ref="O2063:O2064"/>
    <mergeCell ref="X2063:X2066"/>
    <mergeCell ref="X2067:X2071"/>
    <mergeCell ref="M2068:M2069"/>
    <mergeCell ref="M2070:M2071"/>
    <mergeCell ref="N2063:N2064"/>
    <mergeCell ref="N2059:N2060"/>
    <mergeCell ref="N2056:N2058"/>
    <mergeCell ref="L2076:L2077"/>
    <mergeCell ref="X2076:X2077"/>
    <mergeCell ref="L2078:L2080"/>
    <mergeCell ref="X2078:X2080"/>
    <mergeCell ref="L2085:L2088"/>
    <mergeCell ref="M2085:M2088"/>
    <mergeCell ref="O2085:O2088"/>
    <mergeCell ref="L2089:L2090"/>
    <mergeCell ref="M2089:M2090"/>
    <mergeCell ref="L2036:L2037"/>
    <mergeCell ref="O2036:O2037"/>
    <mergeCell ref="X2036:X2039"/>
    <mergeCell ref="L2040:L2041"/>
    <mergeCell ref="L2042:L2043"/>
    <mergeCell ref="M2042:M2043"/>
    <mergeCell ref="O2042:O2043"/>
    <mergeCell ref="X2042:X2043"/>
    <mergeCell ref="L2044:L2045"/>
    <mergeCell ref="M2044:M2045"/>
    <mergeCell ref="O2044:O2045"/>
    <mergeCell ref="X2044:X2045"/>
    <mergeCell ref="L2050:L2051"/>
    <mergeCell ref="M2050:M2051"/>
    <mergeCell ref="X2050:X2051"/>
    <mergeCell ref="L2052:L2053"/>
    <mergeCell ref="M2052:M2053"/>
    <mergeCell ref="O2052:O2053"/>
    <mergeCell ref="X2052:X2053"/>
    <mergeCell ref="N2052:N2053"/>
    <mergeCell ref="N2044:N2045"/>
    <mergeCell ref="N2042:N2043"/>
    <mergeCell ref="N2036:N2037"/>
    <mergeCell ref="L2006:L2011"/>
    <mergeCell ref="M2006:M2011"/>
    <mergeCell ref="O2006:O2011"/>
    <mergeCell ref="X2006:X2011"/>
    <mergeCell ref="L2012:L2014"/>
    <mergeCell ref="O2012:O2014"/>
    <mergeCell ref="L2015:L2019"/>
    <mergeCell ref="M2015:M2019"/>
    <mergeCell ref="X2015:X2019"/>
    <mergeCell ref="L2021:L2023"/>
    <mergeCell ref="M2021:M2023"/>
    <mergeCell ref="X2021:X2024"/>
    <mergeCell ref="L2025:L2029"/>
    <mergeCell ref="M2025:M2029"/>
    <mergeCell ref="O2025:O2029"/>
    <mergeCell ref="X2025:X2029"/>
    <mergeCell ref="L2034:L2035"/>
    <mergeCell ref="M2034:M2035"/>
    <mergeCell ref="X2034:X2035"/>
    <mergeCell ref="N2025:N2029"/>
    <mergeCell ref="N2012:N2014"/>
    <mergeCell ref="N2006:N2011"/>
    <mergeCell ref="M2030:M2033"/>
    <mergeCell ref="O2030:O2033"/>
    <mergeCell ref="N2030:N2033"/>
    <mergeCell ref="X2030:X2033"/>
    <mergeCell ref="L2030:L2033"/>
    <mergeCell ref="L1983:L1984"/>
    <mergeCell ref="L1985:L1990"/>
    <mergeCell ref="M1985:M1990"/>
    <mergeCell ref="O1985:O1990"/>
    <mergeCell ref="X1985:X1990"/>
    <mergeCell ref="L1991:L1993"/>
    <mergeCell ref="X1991:X1993"/>
    <mergeCell ref="L1994:L1995"/>
    <mergeCell ref="M1994:M1995"/>
    <mergeCell ref="O1994:O1995"/>
    <mergeCell ref="L1996:L1997"/>
    <mergeCell ref="X1996:X1997"/>
    <mergeCell ref="X1999:X2000"/>
    <mergeCell ref="L2001:L2002"/>
    <mergeCell ref="M2001:M2004"/>
    <mergeCell ref="O2001:O2004"/>
    <mergeCell ref="X2001:X2005"/>
    <mergeCell ref="L2003:L2004"/>
    <mergeCell ref="N2001:N2004"/>
    <mergeCell ref="N1994:N1995"/>
    <mergeCell ref="N1985:N1990"/>
    <mergeCell ref="X1981:X1984"/>
    <mergeCell ref="L1954:L1955"/>
    <mergeCell ref="L1957:L1958"/>
    <mergeCell ref="M1957:M1958"/>
    <mergeCell ref="O1957:O1958"/>
    <mergeCell ref="X1957:X1958"/>
    <mergeCell ref="L1959:L1961"/>
    <mergeCell ref="M1959:M1961"/>
    <mergeCell ref="O1959:O1961"/>
    <mergeCell ref="X1959:X1961"/>
    <mergeCell ref="L1962:L1963"/>
    <mergeCell ref="M1962:M1963"/>
    <mergeCell ref="X1962:X1963"/>
    <mergeCell ref="L1964:L1968"/>
    <mergeCell ref="M1964:M1970"/>
    <mergeCell ref="O1964:O1970"/>
    <mergeCell ref="L1969:L1970"/>
    <mergeCell ref="L1971:L1974"/>
    <mergeCell ref="X1971:X1980"/>
    <mergeCell ref="N1964:N1970"/>
    <mergeCell ref="N1959:N1961"/>
    <mergeCell ref="N1957:N1958"/>
    <mergeCell ref="L1926:L1927"/>
    <mergeCell ref="O1926:O1927"/>
    <mergeCell ref="X1926:X1927"/>
    <mergeCell ref="L1928:L1933"/>
    <mergeCell ref="M1928:M1933"/>
    <mergeCell ref="O1928:O1933"/>
    <mergeCell ref="X1928:X1933"/>
    <mergeCell ref="L1935:L1937"/>
    <mergeCell ref="M1935:M1937"/>
    <mergeCell ref="L1938:L1941"/>
    <mergeCell ref="M1938:M1942"/>
    <mergeCell ref="X1938:X1942"/>
    <mergeCell ref="X1943:X1953"/>
    <mergeCell ref="L1947:L1948"/>
    <mergeCell ref="M1947:M1948"/>
    <mergeCell ref="L1951:L1952"/>
    <mergeCell ref="M1951:M1952"/>
    <mergeCell ref="N1928:N1933"/>
    <mergeCell ref="N1926:N1927"/>
    <mergeCell ref="N1935:N1937"/>
    <mergeCell ref="O1935:O1937"/>
    <mergeCell ref="L1914:L1916"/>
    <mergeCell ref="O1914:O1916"/>
    <mergeCell ref="X1914:X1916"/>
    <mergeCell ref="M1915:M1916"/>
    <mergeCell ref="L1917:L1918"/>
    <mergeCell ref="O1917:O1918"/>
    <mergeCell ref="X1917:X1918"/>
    <mergeCell ref="L1919:L1920"/>
    <mergeCell ref="O1919:O1920"/>
    <mergeCell ref="X1919:X1920"/>
    <mergeCell ref="N1919:N1920"/>
    <mergeCell ref="N1917:N1918"/>
    <mergeCell ref="N1914:N1916"/>
    <mergeCell ref="N1912:N1913"/>
    <mergeCell ref="N1909:N1911"/>
    <mergeCell ref="L1924:L1925"/>
    <mergeCell ref="O1924:O1925"/>
    <mergeCell ref="X1924:X1925"/>
    <mergeCell ref="N1924:N1925"/>
    <mergeCell ref="L1912:L1913"/>
    <mergeCell ref="O1912:O1913"/>
    <mergeCell ref="X1912:X1913"/>
    <mergeCell ref="L1860:L1861"/>
    <mergeCell ref="M1860:M1861"/>
    <mergeCell ref="O1860:O1861"/>
    <mergeCell ref="L1862:L1863"/>
    <mergeCell ref="M1862:M1864"/>
    <mergeCell ref="O1862:O1864"/>
    <mergeCell ref="N1862:N1864"/>
    <mergeCell ref="L1884:L1885"/>
    <mergeCell ref="M1884:M1885"/>
    <mergeCell ref="O1884:O1885"/>
    <mergeCell ref="X1884:X1886"/>
    <mergeCell ref="L1887:L1888"/>
    <mergeCell ref="X1889:X1891"/>
    <mergeCell ref="X1892:X1894"/>
    <mergeCell ref="M1849:M1851"/>
    <mergeCell ref="O1849:O1851"/>
    <mergeCell ref="X1849:X1851"/>
    <mergeCell ref="L1866:L1867"/>
    <mergeCell ref="L1868:L1869"/>
    <mergeCell ref="L1870:L1872"/>
    <mergeCell ref="L1852:L1854"/>
    <mergeCell ref="M1852:M1854"/>
    <mergeCell ref="O1852:O1854"/>
    <mergeCell ref="L1857:L1859"/>
    <mergeCell ref="M1857:M1859"/>
    <mergeCell ref="O1857:O1859"/>
    <mergeCell ref="L1878:L1881"/>
    <mergeCell ref="M1878:M1883"/>
    <mergeCell ref="O1878:O1883"/>
    <mergeCell ref="X1878:X1883"/>
    <mergeCell ref="L1882:L1883"/>
    <mergeCell ref="X1860:X1861"/>
    <mergeCell ref="L1907:L1908"/>
    <mergeCell ref="L1909:L1911"/>
    <mergeCell ref="O1909:O1911"/>
    <mergeCell ref="X1909:X1911"/>
    <mergeCell ref="M1910:M1911"/>
    <mergeCell ref="L1810:L1811"/>
    <mergeCell ref="M1810:M1811"/>
    <mergeCell ref="L1812:L1814"/>
    <mergeCell ref="L1895:L1899"/>
    <mergeCell ref="M1895:M1899"/>
    <mergeCell ref="X1895:X1899"/>
    <mergeCell ref="L1900:L1902"/>
    <mergeCell ref="M1900:M1902"/>
    <mergeCell ref="O1900:O1902"/>
    <mergeCell ref="X1900:X1902"/>
    <mergeCell ref="N1900:N1902"/>
    <mergeCell ref="N1884:N1885"/>
    <mergeCell ref="N1878:N1883"/>
    <mergeCell ref="N1860:N1861"/>
    <mergeCell ref="N1857:N1859"/>
    <mergeCell ref="N1852:N1854"/>
    <mergeCell ref="L1815:L1817"/>
    <mergeCell ref="O1815:O1817"/>
    <mergeCell ref="M1818:M1819"/>
    <mergeCell ref="X1818:X1819"/>
    <mergeCell ref="L1821:L1822"/>
    <mergeCell ref="X1821:X1822"/>
    <mergeCell ref="L1842:L1843"/>
    <mergeCell ref="O1842:O1844"/>
    <mergeCell ref="M1846:M1847"/>
    <mergeCell ref="X1846:X1847"/>
    <mergeCell ref="N1842:N1844"/>
    <mergeCell ref="L1849:L1851"/>
    <mergeCell ref="X1753:X1759"/>
    <mergeCell ref="L1757:L1759"/>
    <mergeCell ref="N1753:N1756"/>
    <mergeCell ref="N1849:N1851"/>
    <mergeCell ref="O1832:O1833"/>
    <mergeCell ref="X1824:X1831"/>
    <mergeCell ref="X1832:X1835"/>
    <mergeCell ref="L1824:L1829"/>
    <mergeCell ref="L1832:L1833"/>
    <mergeCell ref="L1837:L1839"/>
    <mergeCell ref="N1824:N1828"/>
    <mergeCell ref="N1832:N1833"/>
    <mergeCell ref="X1774:X1776"/>
    <mergeCell ref="X1793:X1794"/>
    <mergeCell ref="X1795:X1796"/>
    <mergeCell ref="X1798:X1799"/>
    <mergeCell ref="X1800:X1801"/>
    <mergeCell ref="O1824:O1828"/>
    <mergeCell ref="L1785:L1786"/>
    <mergeCell ref="N1785:N1786"/>
    <mergeCell ref="N1774:N1776"/>
    <mergeCell ref="L1787:L1788"/>
    <mergeCell ref="M1787:M1788"/>
    <mergeCell ref="O1787:O1788"/>
    <mergeCell ref="X1787:X1790"/>
    <mergeCell ref="L1789:L1790"/>
    <mergeCell ref="L1791:L1792"/>
    <mergeCell ref="N1791:N1792"/>
    <mergeCell ref="N1787:N1788"/>
    <mergeCell ref="L1802:L1803"/>
    <mergeCell ref="X1804:X1814"/>
    <mergeCell ref="L1806:L1807"/>
    <mergeCell ref="L1761:L1762"/>
    <mergeCell ref="M1763:M1766"/>
    <mergeCell ref="O1763:O1766"/>
    <mergeCell ref="X1763:X1766"/>
    <mergeCell ref="L1764:L1766"/>
    <mergeCell ref="L1738:L1739"/>
    <mergeCell ref="L1741:L1743"/>
    <mergeCell ref="N1741:N1743"/>
    <mergeCell ref="N1729:N1731"/>
    <mergeCell ref="M1769:M1770"/>
    <mergeCell ref="N1769:N1770"/>
    <mergeCell ref="O1769:O1770"/>
    <mergeCell ref="X1729:X1740"/>
    <mergeCell ref="X1741:X1745"/>
    <mergeCell ref="L1767:L1768"/>
    <mergeCell ref="M1812:M1814"/>
    <mergeCell ref="L1793:L1794"/>
    <mergeCell ref="L1795:L1796"/>
    <mergeCell ref="L1798:L1799"/>
    <mergeCell ref="L1800:L1801"/>
    <mergeCell ref="N1763:N1766"/>
    <mergeCell ref="L1782:L1783"/>
    <mergeCell ref="L1769:L1770"/>
    <mergeCell ref="L1772:L1773"/>
    <mergeCell ref="L1774:L1776"/>
    <mergeCell ref="L1749:L1750"/>
    <mergeCell ref="O1767:O1768"/>
    <mergeCell ref="L1780:L1781"/>
    <mergeCell ref="M1780:M1781"/>
    <mergeCell ref="O1780:O1781"/>
    <mergeCell ref="X1780:X1781"/>
    <mergeCell ref="L1682:L1683"/>
    <mergeCell ref="O1685:O1686"/>
    <mergeCell ref="X1685:X1690"/>
    <mergeCell ref="L1687:L1688"/>
    <mergeCell ref="L1689:L1690"/>
    <mergeCell ref="L1709:L1717"/>
    <mergeCell ref="M1709:M1710"/>
    <mergeCell ref="O1709:O1717"/>
    <mergeCell ref="X1709:X1720"/>
    <mergeCell ref="L1718:L1720"/>
    <mergeCell ref="M1718:M1720"/>
    <mergeCell ref="M1700:M1701"/>
    <mergeCell ref="L1649:L1653"/>
    <mergeCell ref="O1649:O1653"/>
    <mergeCell ref="L1654:L1656"/>
    <mergeCell ref="L1657:L1659"/>
    <mergeCell ref="L1663:L1664"/>
    <mergeCell ref="M1663:M1664"/>
    <mergeCell ref="L1665:L1666"/>
    <mergeCell ref="M1665:M1666"/>
    <mergeCell ref="L1667:L1668"/>
    <mergeCell ref="M1667:M1668"/>
    <mergeCell ref="L1669:L1671"/>
    <mergeCell ref="M1669:M1671"/>
    <mergeCell ref="L1672:L1673"/>
    <mergeCell ref="M1672:M1673"/>
    <mergeCell ref="L907:L909"/>
    <mergeCell ref="O907:O909"/>
    <mergeCell ref="L912:L913"/>
    <mergeCell ref="L915:L916"/>
    <mergeCell ref="L917:L918"/>
    <mergeCell ref="L927:L928"/>
    <mergeCell ref="L929:L930"/>
    <mergeCell ref="L994:L997"/>
    <mergeCell ref="M929:M930"/>
    <mergeCell ref="M1020:M1029"/>
    <mergeCell ref="L1059:L1061"/>
    <mergeCell ref="L1090:L1095"/>
    <mergeCell ref="M1090:M1095"/>
    <mergeCell ref="O1090:O1095"/>
    <mergeCell ref="L1122:L1126"/>
    <mergeCell ref="M1122:M1126"/>
    <mergeCell ref="O1122:O1126"/>
    <mergeCell ref="L999:L1002"/>
    <mergeCell ref="M958:M970"/>
    <mergeCell ref="L1003:L1004"/>
    <mergeCell ref="L1189:L1191"/>
    <mergeCell ref="L1198:L1199"/>
    <mergeCell ref="M1198:M1199"/>
    <mergeCell ref="O1198:O1199"/>
    <mergeCell ref="M1226:M1227"/>
    <mergeCell ref="O1226:O1227"/>
    <mergeCell ref="L1318:L1319"/>
    <mergeCell ref="X912:X913"/>
    <mergeCell ref="X915:X916"/>
    <mergeCell ref="X917:X918"/>
    <mergeCell ref="X927:X928"/>
    <mergeCell ref="X929:X930"/>
    <mergeCell ref="L971:L974"/>
    <mergeCell ref="M971:M974"/>
    <mergeCell ref="L975:L979"/>
    <mergeCell ref="L981:L982"/>
    <mergeCell ref="X981:X982"/>
    <mergeCell ref="L984:L985"/>
    <mergeCell ref="L947:L949"/>
    <mergeCell ref="M947:M949"/>
    <mergeCell ref="X947:X949"/>
    <mergeCell ref="L951:L952"/>
    <mergeCell ref="M951:M952"/>
    <mergeCell ref="X951:X952"/>
    <mergeCell ref="L954:L957"/>
    <mergeCell ref="X954:X957"/>
    <mergeCell ref="X975:X977"/>
    <mergeCell ref="X978:X979"/>
    <mergeCell ref="X1020:X1029"/>
    <mergeCell ref="L991:L992"/>
    <mergeCell ref="X991:X993"/>
    <mergeCell ref="X999:X1002"/>
    <mergeCell ref="L858:L859"/>
    <mergeCell ref="M858:M859"/>
    <mergeCell ref="X858:X859"/>
    <mergeCell ref="L860:L862"/>
    <mergeCell ref="M860:M862"/>
    <mergeCell ref="X860:X862"/>
    <mergeCell ref="L931:L932"/>
    <mergeCell ref="M931:M932"/>
    <mergeCell ref="L933:L934"/>
    <mergeCell ref="X933:X935"/>
    <mergeCell ref="L938:L940"/>
    <mergeCell ref="M938:M940"/>
    <mergeCell ref="X938:X940"/>
    <mergeCell ref="L941:L945"/>
    <mergeCell ref="M941:M945"/>
    <mergeCell ref="X941:X945"/>
    <mergeCell ref="L880:L883"/>
    <mergeCell ref="L887:L889"/>
    <mergeCell ref="M887:M896"/>
    <mergeCell ref="X887:X889"/>
    <mergeCell ref="L890:L893"/>
    <mergeCell ref="X890:X893"/>
    <mergeCell ref="L894:L896"/>
    <mergeCell ref="X894:X896"/>
    <mergeCell ref="L897:L905"/>
    <mergeCell ref="O897:O905"/>
    <mergeCell ref="M912:M913"/>
    <mergeCell ref="M915:M916"/>
    <mergeCell ref="M917:M918"/>
    <mergeCell ref="M927:M928"/>
    <mergeCell ref="M871:M874"/>
    <mergeCell ref="N864:N868"/>
    <mergeCell ref="L850:L851"/>
    <mergeCell ref="Y694:Y695"/>
    <mergeCell ref="Y697:Y704"/>
    <mergeCell ref="Y727:Y735"/>
    <mergeCell ref="Y637:Y652"/>
    <mergeCell ref="Y669:Y670"/>
    <mergeCell ref="Y672:Y673"/>
    <mergeCell ref="Y674:Y679"/>
    <mergeCell ref="Y683:Y687"/>
    <mergeCell ref="Y771:Y776"/>
    <mergeCell ref="Y777:Y782"/>
    <mergeCell ref="Y783:Y788"/>
    <mergeCell ref="Y813:Y820"/>
    <mergeCell ref="Y835:Y836"/>
    <mergeCell ref="L854:L857"/>
    <mergeCell ref="M854:M857"/>
    <mergeCell ref="M821:M823"/>
    <mergeCell ref="O821:O823"/>
    <mergeCell ref="L835:L836"/>
    <mergeCell ref="M835:M836"/>
    <mergeCell ref="L813:L817"/>
    <mergeCell ref="M813:M820"/>
    <mergeCell ref="O813:O820"/>
    <mergeCell ref="L819:L820"/>
    <mergeCell ref="L825:L826"/>
    <mergeCell ref="M825:M826"/>
    <mergeCell ref="L827:L828"/>
    <mergeCell ref="X850:X851"/>
    <mergeCell ref="L805:L810"/>
    <mergeCell ref="W805:W806"/>
    <mergeCell ref="X805:X811"/>
    <mergeCell ref="L790:L794"/>
    <mergeCell ref="M790:M794"/>
    <mergeCell ref="O790:O794"/>
    <mergeCell ref="L795:L803"/>
    <mergeCell ref="X795:X804"/>
    <mergeCell ref="N790:N794"/>
    <mergeCell ref="N837:N838"/>
    <mergeCell ref="N821:N823"/>
    <mergeCell ref="L764:L772"/>
    <mergeCell ref="L844:L847"/>
    <mergeCell ref="M844:M847"/>
    <mergeCell ref="L848:L849"/>
    <mergeCell ref="M848:M849"/>
    <mergeCell ref="X848:X849"/>
    <mergeCell ref="L837:L838"/>
    <mergeCell ref="M837:M838"/>
    <mergeCell ref="O837:O838"/>
    <mergeCell ref="L839:L843"/>
    <mergeCell ref="L777:L778"/>
    <mergeCell ref="L785:L786"/>
    <mergeCell ref="L787:L788"/>
    <mergeCell ref="L821:L823"/>
    <mergeCell ref="M827:M828"/>
    <mergeCell ref="L829:L830"/>
    <mergeCell ref="M829:M830"/>
    <mergeCell ref="L831:L832"/>
    <mergeCell ref="M831:M832"/>
    <mergeCell ref="L833:L834"/>
    <mergeCell ref="M833:M834"/>
    <mergeCell ref="M839:M843"/>
    <mergeCell ref="Y469:Y470"/>
    <mergeCell ref="Y471:Y474"/>
    <mergeCell ref="Y475:Y477"/>
    <mergeCell ref="Y545:Y546"/>
    <mergeCell ref="Y548:Y550"/>
    <mergeCell ref="Y551:Y553"/>
    <mergeCell ref="Y555:Y559"/>
    <mergeCell ref="Y560:Y561"/>
    <mergeCell ref="Y511:Y522"/>
    <mergeCell ref="Y523:Y524"/>
    <mergeCell ref="Y525:Y527"/>
    <mergeCell ref="Y528:Y531"/>
    <mergeCell ref="Y534:Y535"/>
    <mergeCell ref="Y375:Y379"/>
    <mergeCell ref="Y398:Y405"/>
    <mergeCell ref="Y411:Y413"/>
    <mergeCell ref="Y483:Y492"/>
    <mergeCell ref="Y493:Y495"/>
    <mergeCell ref="Y497:Y500"/>
    <mergeCell ref="Y501:Y506"/>
    <mergeCell ref="Y507:Y508"/>
    <mergeCell ref="Y349:Y351"/>
    <mergeCell ref="Y352:Y354"/>
    <mergeCell ref="Y364:Y366"/>
    <mergeCell ref="Y380:Y397"/>
    <mergeCell ref="Y435:Y436"/>
    <mergeCell ref="Y437:Y438"/>
    <mergeCell ref="Y440:Y445"/>
    <mergeCell ref="Y449:Y459"/>
    <mergeCell ref="Y462:Y463"/>
    <mergeCell ref="Y414:Y415"/>
    <mergeCell ref="Y416:Y419"/>
    <mergeCell ref="Y421:Y422"/>
    <mergeCell ref="Y423:Y424"/>
    <mergeCell ref="Y429:Y430"/>
    <mergeCell ref="Y325:Y326"/>
    <mergeCell ref="Y464:Y466"/>
    <mergeCell ref="Y467:Y468"/>
    <mergeCell ref="Y149:Y154"/>
    <mergeCell ref="Y155:Y156"/>
    <mergeCell ref="Y194:Y199"/>
    <mergeCell ref="Y200:Y204"/>
    <mergeCell ref="Y208:Y212"/>
    <mergeCell ref="Y213:Y219"/>
    <mergeCell ref="Y220:Y222"/>
    <mergeCell ref="Y178:Y180"/>
    <mergeCell ref="Y181:Y182"/>
    <mergeCell ref="Y183:Y184"/>
    <mergeCell ref="Y185:Y186"/>
    <mergeCell ref="Y187:Y193"/>
    <mergeCell ref="Y140:Y141"/>
    <mergeCell ref="Y142:Y144"/>
    <mergeCell ref="Y162:Y164"/>
    <mergeCell ref="Y293:Y304"/>
    <mergeCell ref="Y331:Y346"/>
    <mergeCell ref="Y101:Y113"/>
    <mergeCell ref="Y114:Y120"/>
    <mergeCell ref="Y121:Y123"/>
    <mergeCell ref="Y124:Y127"/>
    <mergeCell ref="X844:X847"/>
    <mergeCell ref="Y238:Y245"/>
    <mergeCell ref="Y275:Y280"/>
    <mergeCell ref="Y223:Y224"/>
    <mergeCell ref="Y226:Y227"/>
    <mergeCell ref="Y228:Y229"/>
    <mergeCell ref="Y230:Y233"/>
    <mergeCell ref="Y234:Y236"/>
    <mergeCell ref="Y253:Y254"/>
    <mergeCell ref="Y257:Y260"/>
    <mergeCell ref="Y262:Y271"/>
    <mergeCell ref="Y272:Y274"/>
    <mergeCell ref="X835:X836"/>
    <mergeCell ref="X839:X843"/>
    <mergeCell ref="X777:X782"/>
    <mergeCell ref="X783:X788"/>
    <mergeCell ref="X813:X820"/>
    <mergeCell ref="X501:X506"/>
    <mergeCell ref="X483:X492"/>
    <mergeCell ref="X293:X304"/>
    <mergeCell ref="Y157:Y159"/>
    <mergeCell ref="Y160:Y161"/>
    <mergeCell ref="Y165:Y169"/>
    <mergeCell ref="Y171:Y175"/>
    <mergeCell ref="Y176:Y177"/>
    <mergeCell ref="Y128:Y134"/>
    <mergeCell ref="Y135:Y139"/>
    <mergeCell ref="Y145:Y148"/>
    <mergeCell ref="L736:L743"/>
    <mergeCell ref="M736:M743"/>
    <mergeCell ref="O736:O743"/>
    <mergeCell ref="X736:X743"/>
    <mergeCell ref="L725:L726"/>
    <mergeCell ref="L727:L729"/>
    <mergeCell ref="M727:M735"/>
    <mergeCell ref="O727:O735"/>
    <mergeCell ref="L750:L752"/>
    <mergeCell ref="M750:M763"/>
    <mergeCell ref="W750:W751"/>
    <mergeCell ref="X750:X756"/>
    <mergeCell ref="W757:W758"/>
    <mergeCell ref="X757:X763"/>
    <mergeCell ref="L759:L761"/>
    <mergeCell ref="L762:L763"/>
    <mergeCell ref="L744:L745"/>
    <mergeCell ref="M744:M745"/>
    <mergeCell ref="O744:O745"/>
    <mergeCell ref="X744:X745"/>
    <mergeCell ref="L746:L749"/>
    <mergeCell ref="N744:N745"/>
    <mergeCell ref="M746:M749"/>
    <mergeCell ref="L683:L687"/>
    <mergeCell ref="M683:M687"/>
    <mergeCell ref="O683:O687"/>
    <mergeCell ref="X683:X687"/>
    <mergeCell ref="L694:L695"/>
    <mergeCell ref="M694:M695"/>
    <mergeCell ref="O694:O695"/>
    <mergeCell ref="X694:X695"/>
    <mergeCell ref="L674:L677"/>
    <mergeCell ref="M674:M679"/>
    <mergeCell ref="O674:O679"/>
    <mergeCell ref="X674:X679"/>
    <mergeCell ref="L681:L682"/>
    <mergeCell ref="N694:N695"/>
    <mergeCell ref="N683:N687"/>
    <mergeCell ref="N674:N679"/>
    <mergeCell ref="L706:L707"/>
    <mergeCell ref="X688:X693"/>
    <mergeCell ref="L712:L714"/>
    <mergeCell ref="L715:L716"/>
    <mergeCell ref="L697:L699"/>
    <mergeCell ref="M697:M704"/>
    <mergeCell ref="O697:O704"/>
    <mergeCell ref="X697:X704"/>
    <mergeCell ref="L700:L701"/>
    <mergeCell ref="N697:N704"/>
    <mergeCell ref="L688:L693"/>
    <mergeCell ref="M706:M707"/>
    <mergeCell ref="M708:M709"/>
    <mergeCell ref="M710:M711"/>
    <mergeCell ref="O706:O711"/>
    <mergeCell ref="L620:L621"/>
    <mergeCell ref="M620:M621"/>
    <mergeCell ref="O620:O621"/>
    <mergeCell ref="X624:X630"/>
    <mergeCell ref="O636:O645"/>
    <mergeCell ref="X637:X652"/>
    <mergeCell ref="L644:L645"/>
    <mergeCell ref="L647:L648"/>
    <mergeCell ref="M647:M648"/>
    <mergeCell ref="L649:L650"/>
    <mergeCell ref="M649:M650"/>
    <mergeCell ref="L651:L652"/>
    <mergeCell ref="M651:M652"/>
    <mergeCell ref="N636:N645"/>
    <mergeCell ref="N620:N621"/>
    <mergeCell ref="X669:X670"/>
    <mergeCell ref="L671:L672"/>
    <mergeCell ref="M671:M673"/>
    <mergeCell ref="O671:O673"/>
    <mergeCell ref="L653:L654"/>
    <mergeCell ref="L656:L657"/>
    <mergeCell ref="L668:L669"/>
    <mergeCell ref="M668:M670"/>
    <mergeCell ref="O668:O670"/>
    <mergeCell ref="N671:N673"/>
    <mergeCell ref="N668:N670"/>
    <mergeCell ref="L663:L667"/>
    <mergeCell ref="L579:L580"/>
    <mergeCell ref="M579:M581"/>
    <mergeCell ref="O579:O581"/>
    <mergeCell ref="X579:X581"/>
    <mergeCell ref="L583:L584"/>
    <mergeCell ref="M583:M590"/>
    <mergeCell ref="O583:O590"/>
    <mergeCell ref="X583:X584"/>
    <mergeCell ref="X585:X586"/>
    <mergeCell ref="L587:L588"/>
    <mergeCell ref="X587:X588"/>
    <mergeCell ref="X589:X590"/>
    <mergeCell ref="N583:N590"/>
    <mergeCell ref="N579:N581"/>
    <mergeCell ref="L611:L612"/>
    <mergeCell ref="M611:M612"/>
    <mergeCell ref="O611:O612"/>
    <mergeCell ref="X611:X619"/>
    <mergeCell ref="L613:L615"/>
    <mergeCell ref="L617:L619"/>
    <mergeCell ref="L596:L601"/>
    <mergeCell ref="M596:M610"/>
    <mergeCell ref="O596:O610"/>
    <mergeCell ref="X596:X610"/>
    <mergeCell ref="L602:L605"/>
    <mergeCell ref="L607:L608"/>
    <mergeCell ref="L609:L610"/>
    <mergeCell ref="N611:N612"/>
    <mergeCell ref="N596:N610"/>
    <mergeCell ref="L593:L595"/>
    <mergeCell ref="M593:M595"/>
    <mergeCell ref="X593:X595"/>
    <mergeCell ref="L560:L561"/>
    <mergeCell ref="M560:M561"/>
    <mergeCell ref="O560:O561"/>
    <mergeCell ref="X560:X561"/>
    <mergeCell ref="L548:L550"/>
    <mergeCell ref="X548:X550"/>
    <mergeCell ref="L551:L553"/>
    <mergeCell ref="M551:M553"/>
    <mergeCell ref="O551:O553"/>
    <mergeCell ref="X551:X553"/>
    <mergeCell ref="N560:N561"/>
    <mergeCell ref="N551:N553"/>
    <mergeCell ref="L572:L574"/>
    <mergeCell ref="M572:M578"/>
    <mergeCell ref="O572:O578"/>
    <mergeCell ref="X572:X578"/>
    <mergeCell ref="L576:L578"/>
    <mergeCell ref="L564:L565"/>
    <mergeCell ref="L566:L567"/>
    <mergeCell ref="M566:M571"/>
    <mergeCell ref="O566:O571"/>
    <mergeCell ref="X566:X571"/>
    <mergeCell ref="L569:L571"/>
    <mergeCell ref="N572:N578"/>
    <mergeCell ref="L541:L544"/>
    <mergeCell ref="M541:M544"/>
    <mergeCell ref="O541:O544"/>
    <mergeCell ref="L545:L546"/>
    <mergeCell ref="X545:X546"/>
    <mergeCell ref="L528:L531"/>
    <mergeCell ref="M528:M531"/>
    <mergeCell ref="X528:X531"/>
    <mergeCell ref="L532:L533"/>
    <mergeCell ref="L534:L535"/>
    <mergeCell ref="M534:M535"/>
    <mergeCell ref="O534:O535"/>
    <mergeCell ref="X534:X535"/>
    <mergeCell ref="N541:N544"/>
    <mergeCell ref="N534:N535"/>
    <mergeCell ref="L555:L559"/>
    <mergeCell ref="M555:M559"/>
    <mergeCell ref="X555:X559"/>
    <mergeCell ref="L538:L539"/>
    <mergeCell ref="M538:M540"/>
    <mergeCell ref="O538:O540"/>
    <mergeCell ref="N538:N540"/>
    <mergeCell ref="X538:X540"/>
    <mergeCell ref="L502:L504"/>
    <mergeCell ref="M502:M504"/>
    <mergeCell ref="L505:L506"/>
    <mergeCell ref="M505:M506"/>
    <mergeCell ref="N497:N500"/>
    <mergeCell ref="L523:L524"/>
    <mergeCell ref="M523:M524"/>
    <mergeCell ref="X523:X524"/>
    <mergeCell ref="L525:L526"/>
    <mergeCell ref="M525:M527"/>
    <mergeCell ref="O525:O527"/>
    <mergeCell ref="X525:X527"/>
    <mergeCell ref="L507:L508"/>
    <mergeCell ref="M507:M508"/>
    <mergeCell ref="O507:O508"/>
    <mergeCell ref="X507:X508"/>
    <mergeCell ref="L510:L515"/>
    <mergeCell ref="M510:M522"/>
    <mergeCell ref="O510:O522"/>
    <mergeCell ref="X511:X522"/>
    <mergeCell ref="L521:L522"/>
    <mergeCell ref="N525:N527"/>
    <mergeCell ref="N510:N522"/>
    <mergeCell ref="N507:N508"/>
    <mergeCell ref="L487:L488"/>
    <mergeCell ref="L493:L495"/>
    <mergeCell ref="M493:M495"/>
    <mergeCell ref="O493:O495"/>
    <mergeCell ref="X493:X495"/>
    <mergeCell ref="L471:L474"/>
    <mergeCell ref="M471:M474"/>
    <mergeCell ref="O471:O474"/>
    <mergeCell ref="X471:X474"/>
    <mergeCell ref="L475:L476"/>
    <mergeCell ref="M475:M477"/>
    <mergeCell ref="X475:X477"/>
    <mergeCell ref="N493:N495"/>
    <mergeCell ref="N471:N474"/>
    <mergeCell ref="L497:L500"/>
    <mergeCell ref="M497:M500"/>
    <mergeCell ref="O497:O500"/>
    <mergeCell ref="X497:X500"/>
    <mergeCell ref="M483:M492"/>
    <mergeCell ref="L469:L470"/>
    <mergeCell ref="M469:M470"/>
    <mergeCell ref="O469:O470"/>
    <mergeCell ref="X469:X470"/>
    <mergeCell ref="L462:L463"/>
    <mergeCell ref="M462:M463"/>
    <mergeCell ref="O462:O463"/>
    <mergeCell ref="X462:X463"/>
    <mergeCell ref="L464:L465"/>
    <mergeCell ref="M464:M466"/>
    <mergeCell ref="O464:O466"/>
    <mergeCell ref="X464:X466"/>
    <mergeCell ref="N469:N470"/>
    <mergeCell ref="N467:N468"/>
    <mergeCell ref="N464:N466"/>
    <mergeCell ref="N462:N463"/>
    <mergeCell ref="L478:L482"/>
    <mergeCell ref="L446:L447"/>
    <mergeCell ref="L449:L452"/>
    <mergeCell ref="M449:M452"/>
    <mergeCell ref="O449:O452"/>
    <mergeCell ref="X449:X459"/>
    <mergeCell ref="L453:L456"/>
    <mergeCell ref="M453:M456"/>
    <mergeCell ref="O453:O456"/>
    <mergeCell ref="L457:L459"/>
    <mergeCell ref="M457:M459"/>
    <mergeCell ref="O457:O459"/>
    <mergeCell ref="N457:N459"/>
    <mergeCell ref="N453:N456"/>
    <mergeCell ref="N449:N452"/>
    <mergeCell ref="L467:L468"/>
    <mergeCell ref="M467:M468"/>
    <mergeCell ref="O467:O468"/>
    <mergeCell ref="X467:X468"/>
    <mergeCell ref="L429:L430"/>
    <mergeCell ref="M429:M430"/>
    <mergeCell ref="O429:O430"/>
    <mergeCell ref="X429:X430"/>
    <mergeCell ref="L432:L434"/>
    <mergeCell ref="L423:L424"/>
    <mergeCell ref="M423:M424"/>
    <mergeCell ref="O423:O424"/>
    <mergeCell ref="X423:X424"/>
    <mergeCell ref="L426:L428"/>
    <mergeCell ref="N429:N430"/>
    <mergeCell ref="N423:N424"/>
    <mergeCell ref="X440:X445"/>
    <mergeCell ref="L441:L442"/>
    <mergeCell ref="M441:M442"/>
    <mergeCell ref="O441:O442"/>
    <mergeCell ref="L443:L445"/>
    <mergeCell ref="M443:M445"/>
    <mergeCell ref="O443:O445"/>
    <mergeCell ref="L435:L436"/>
    <mergeCell ref="M435:M436"/>
    <mergeCell ref="O435:O436"/>
    <mergeCell ref="X435:X436"/>
    <mergeCell ref="L437:L438"/>
    <mergeCell ref="M437:M438"/>
    <mergeCell ref="X437:X438"/>
    <mergeCell ref="N443:N445"/>
    <mergeCell ref="N441:N442"/>
    <mergeCell ref="N435:N436"/>
    <mergeCell ref="L398:L402"/>
    <mergeCell ref="M398:M405"/>
    <mergeCell ref="O398:O405"/>
    <mergeCell ref="X398:X405"/>
    <mergeCell ref="L403:L405"/>
    <mergeCell ref="N398:N405"/>
    <mergeCell ref="L416:L417"/>
    <mergeCell ref="M416:M419"/>
    <mergeCell ref="O416:O419"/>
    <mergeCell ref="X416:X419"/>
    <mergeCell ref="L421:L422"/>
    <mergeCell ref="M421:M422"/>
    <mergeCell ref="X421:X422"/>
    <mergeCell ref="L407:L408"/>
    <mergeCell ref="L411:L413"/>
    <mergeCell ref="M411:M413"/>
    <mergeCell ref="X411:X413"/>
    <mergeCell ref="L414:L415"/>
    <mergeCell ref="M414:M415"/>
    <mergeCell ref="O414:O415"/>
    <mergeCell ref="X414:X415"/>
    <mergeCell ref="N416:N419"/>
    <mergeCell ref="N414:N415"/>
    <mergeCell ref="L391:L392"/>
    <mergeCell ref="N380:N381"/>
    <mergeCell ref="N375:N377"/>
    <mergeCell ref="X380:X397"/>
    <mergeCell ref="L396:L397"/>
    <mergeCell ref="M394:M395"/>
    <mergeCell ref="L394:L395"/>
    <mergeCell ref="L364:L366"/>
    <mergeCell ref="M364:M366"/>
    <mergeCell ref="O364:O366"/>
    <mergeCell ref="X364:X366"/>
    <mergeCell ref="L367:L369"/>
    <mergeCell ref="M367:M369"/>
    <mergeCell ref="L375:L377"/>
    <mergeCell ref="M375:M377"/>
    <mergeCell ref="O375:O377"/>
    <mergeCell ref="X375:X379"/>
    <mergeCell ref="L380:L381"/>
    <mergeCell ref="M380:M381"/>
    <mergeCell ref="O380:O381"/>
    <mergeCell ref="L385:L386"/>
    <mergeCell ref="L389:L390"/>
    <mergeCell ref="L328:L330"/>
    <mergeCell ref="L331:L336"/>
    <mergeCell ref="O331:O336"/>
    <mergeCell ref="X331:X346"/>
    <mergeCell ref="L343:L344"/>
    <mergeCell ref="L345:L346"/>
    <mergeCell ref="N331:N336"/>
    <mergeCell ref="L352:L354"/>
    <mergeCell ref="M352:M354"/>
    <mergeCell ref="O352:O354"/>
    <mergeCell ref="X352:X354"/>
    <mergeCell ref="L356:L358"/>
    <mergeCell ref="N364:N366"/>
    <mergeCell ref="N352:N354"/>
    <mergeCell ref="L347:L348"/>
    <mergeCell ref="L349:L351"/>
    <mergeCell ref="M349:M351"/>
    <mergeCell ref="O349:O351"/>
    <mergeCell ref="X349:X351"/>
    <mergeCell ref="N349:N351"/>
    <mergeCell ref="L316:L317"/>
    <mergeCell ref="M316:M317"/>
    <mergeCell ref="O316:O317"/>
    <mergeCell ref="L318:L320"/>
    <mergeCell ref="L321:L322"/>
    <mergeCell ref="M321:M322"/>
    <mergeCell ref="O321:O322"/>
    <mergeCell ref="L323:L324"/>
    <mergeCell ref="M323:M324"/>
    <mergeCell ref="X305:X308"/>
    <mergeCell ref="X312:X314"/>
    <mergeCell ref="X238:X245"/>
    <mergeCell ref="L248:L250"/>
    <mergeCell ref="L251:L252"/>
    <mergeCell ref="L253:L254"/>
    <mergeCell ref="M253:M254"/>
    <mergeCell ref="O253:O254"/>
    <mergeCell ref="N253:N254"/>
    <mergeCell ref="N238:N245"/>
    <mergeCell ref="X253:X254"/>
    <mergeCell ref="X257:X260"/>
    <mergeCell ref="X262:X271"/>
    <mergeCell ref="X275:X280"/>
    <mergeCell ref="L283:L285"/>
    <mergeCell ref="L262:L263"/>
    <mergeCell ref="M262:M263"/>
    <mergeCell ref="O262:O263"/>
    <mergeCell ref="L264:L266"/>
    <mergeCell ref="L267:L270"/>
    <mergeCell ref="L272:L274"/>
    <mergeCell ref="M272:M274"/>
    <mergeCell ref="O272:O274"/>
    <mergeCell ref="N272:N274"/>
    <mergeCell ref="N262:N263"/>
    <mergeCell ref="X272:X274"/>
    <mergeCell ref="L255:L256"/>
    <mergeCell ref="M255:M256"/>
    <mergeCell ref="N255:N256"/>
    <mergeCell ref="O255:O256"/>
    <mergeCell ref="X255:X256"/>
    <mergeCell ref="L226:L227"/>
    <mergeCell ref="M226:M227"/>
    <mergeCell ref="O226:O227"/>
    <mergeCell ref="X226:X227"/>
    <mergeCell ref="L228:L229"/>
    <mergeCell ref="M228:M229"/>
    <mergeCell ref="O228:O229"/>
    <mergeCell ref="X228:X229"/>
    <mergeCell ref="N228:N229"/>
    <mergeCell ref="N226:N227"/>
    <mergeCell ref="L230:L233"/>
    <mergeCell ref="M230:M233"/>
    <mergeCell ref="O230:O233"/>
    <mergeCell ref="X230:X233"/>
    <mergeCell ref="L234:L236"/>
    <mergeCell ref="M234:M236"/>
    <mergeCell ref="O234:O236"/>
    <mergeCell ref="X234:X236"/>
    <mergeCell ref="N234:N236"/>
    <mergeCell ref="N230:N233"/>
    <mergeCell ref="L206:L207"/>
    <mergeCell ref="L208:L211"/>
    <mergeCell ref="M208:M212"/>
    <mergeCell ref="O208:O212"/>
    <mergeCell ref="X208:X212"/>
    <mergeCell ref="N208:N212"/>
    <mergeCell ref="L200:L202"/>
    <mergeCell ref="M200:M202"/>
    <mergeCell ref="O200:O202"/>
    <mergeCell ref="X200:X204"/>
    <mergeCell ref="L203:L204"/>
    <mergeCell ref="M203:M204"/>
    <mergeCell ref="N200:N202"/>
    <mergeCell ref="L220:L222"/>
    <mergeCell ref="X220:X222"/>
    <mergeCell ref="L223:L224"/>
    <mergeCell ref="M223:M224"/>
    <mergeCell ref="O223:O224"/>
    <mergeCell ref="X223:X224"/>
    <mergeCell ref="N223:N224"/>
    <mergeCell ref="L213:L214"/>
    <mergeCell ref="X213:X219"/>
    <mergeCell ref="L216:L217"/>
    <mergeCell ref="M216:M217"/>
    <mergeCell ref="O216:O217"/>
    <mergeCell ref="L218:L219"/>
    <mergeCell ref="M218:M219"/>
    <mergeCell ref="O218:O219"/>
    <mergeCell ref="N218:N219"/>
    <mergeCell ref="N216:N217"/>
    <mergeCell ref="L185:L186"/>
    <mergeCell ref="M185:M186"/>
    <mergeCell ref="O185:O186"/>
    <mergeCell ref="X185:X186"/>
    <mergeCell ref="L187:L188"/>
    <mergeCell ref="O187:O188"/>
    <mergeCell ref="X187:X193"/>
    <mergeCell ref="L191:L192"/>
    <mergeCell ref="M191:M192"/>
    <mergeCell ref="N187:N188"/>
    <mergeCell ref="N185:N186"/>
    <mergeCell ref="L194:L195"/>
    <mergeCell ref="X194:X199"/>
    <mergeCell ref="L196:L197"/>
    <mergeCell ref="M196:M197"/>
    <mergeCell ref="L198:L199"/>
    <mergeCell ref="M198:M199"/>
    <mergeCell ref="N194:N195"/>
    <mergeCell ref="O194:O195"/>
    <mergeCell ref="X162:X164"/>
    <mergeCell ref="L176:L177"/>
    <mergeCell ref="M176:M177"/>
    <mergeCell ref="O176:O177"/>
    <mergeCell ref="X176:X177"/>
    <mergeCell ref="L178:L180"/>
    <mergeCell ref="X178:X180"/>
    <mergeCell ref="M178:M180"/>
    <mergeCell ref="N178:N180"/>
    <mergeCell ref="O178:O180"/>
    <mergeCell ref="N176:N177"/>
    <mergeCell ref="L181:L182"/>
    <mergeCell ref="M181:M182"/>
    <mergeCell ref="O181:O182"/>
    <mergeCell ref="X181:X182"/>
    <mergeCell ref="L183:L184"/>
    <mergeCell ref="M183:M184"/>
    <mergeCell ref="O183:O184"/>
    <mergeCell ref="X183:X184"/>
    <mergeCell ref="N183:N184"/>
    <mergeCell ref="N181:N182"/>
    <mergeCell ref="L149:L150"/>
    <mergeCell ref="O149:O150"/>
    <mergeCell ref="X149:X154"/>
    <mergeCell ref="O142:O144"/>
    <mergeCell ref="X140:X141"/>
    <mergeCell ref="X142:X144"/>
    <mergeCell ref="L155:L156"/>
    <mergeCell ref="M155:M156"/>
    <mergeCell ref="O155:O156"/>
    <mergeCell ref="X155:X156"/>
    <mergeCell ref="N155:N156"/>
    <mergeCell ref="N149:N150"/>
    <mergeCell ref="X165:X169"/>
    <mergeCell ref="L171:L175"/>
    <mergeCell ref="M171:M175"/>
    <mergeCell ref="O171:O175"/>
    <mergeCell ref="X171:X175"/>
    <mergeCell ref="N171:N175"/>
    <mergeCell ref="L157:L159"/>
    <mergeCell ref="M157:M159"/>
    <mergeCell ref="O157:O159"/>
    <mergeCell ref="X157:X159"/>
    <mergeCell ref="L160:L161"/>
    <mergeCell ref="M160:M161"/>
    <mergeCell ref="O160:O161"/>
    <mergeCell ref="X160:X161"/>
    <mergeCell ref="N160:N161"/>
    <mergeCell ref="N157:N159"/>
    <mergeCell ref="L162:L164"/>
    <mergeCell ref="M162:M164"/>
    <mergeCell ref="O162:O164"/>
    <mergeCell ref="N162:N164"/>
    <mergeCell ref="L135:L136"/>
    <mergeCell ref="O135:O136"/>
    <mergeCell ref="X135:X139"/>
    <mergeCell ref="L145:L146"/>
    <mergeCell ref="X145:X148"/>
    <mergeCell ref="L147:L148"/>
    <mergeCell ref="N135:N136"/>
    <mergeCell ref="L124:L127"/>
    <mergeCell ref="M124:M127"/>
    <mergeCell ref="O124:O127"/>
    <mergeCell ref="X124:X127"/>
    <mergeCell ref="L128:L131"/>
    <mergeCell ref="O128:O131"/>
    <mergeCell ref="X128:X134"/>
    <mergeCell ref="N128:N131"/>
    <mergeCell ref="N124:N127"/>
    <mergeCell ref="L77:L78"/>
    <mergeCell ref="M77:M78"/>
    <mergeCell ref="N77:N78"/>
    <mergeCell ref="O77:O78"/>
    <mergeCell ref="L121:L123"/>
    <mergeCell ref="M121:M123"/>
    <mergeCell ref="O121:O123"/>
    <mergeCell ref="X121:X123"/>
    <mergeCell ref="N121:N123"/>
    <mergeCell ref="L101:L102"/>
    <mergeCell ref="X101:X113"/>
    <mergeCell ref="L104:L105"/>
    <mergeCell ref="L106:L107"/>
    <mergeCell ref="M106:M112"/>
    <mergeCell ref="O106:O112"/>
    <mergeCell ref="L109:L110"/>
    <mergeCell ref="Y68:Y87"/>
    <mergeCell ref="X50:X51"/>
    <mergeCell ref="X52:X54"/>
    <mergeCell ref="X55:X56"/>
    <mergeCell ref="O23:O24"/>
    <mergeCell ref="Y23:Y24"/>
    <mergeCell ref="N21:N22"/>
    <mergeCell ref="N23:N24"/>
    <mergeCell ref="X21:X22"/>
    <mergeCell ref="X23:X24"/>
    <mergeCell ref="N91:N92"/>
    <mergeCell ref="L69:L70"/>
    <mergeCell ref="M69:M70"/>
    <mergeCell ref="O73:O74"/>
    <mergeCell ref="L73:L74"/>
    <mergeCell ref="L81:L82"/>
    <mergeCell ref="L75:L76"/>
    <mergeCell ref="Y88:Y100"/>
    <mergeCell ref="X88:X100"/>
    <mergeCell ref="L21:L22"/>
    <mergeCell ref="Y45:Y49"/>
    <mergeCell ref="N42:N44"/>
    <mergeCell ref="N45:N46"/>
    <mergeCell ref="X42:X44"/>
    <mergeCell ref="X45:X49"/>
    <mergeCell ref="L42:L44"/>
    <mergeCell ref="M42:M44"/>
    <mergeCell ref="O42:O44"/>
    <mergeCell ref="Y42:Y44"/>
    <mergeCell ref="Y25:Y26"/>
    <mergeCell ref="Y27:Y35"/>
    <mergeCell ref="L36:L39"/>
    <mergeCell ref="O37:O39"/>
    <mergeCell ref="N37:N39"/>
    <mergeCell ref="X37:X41"/>
    <mergeCell ref="Y37:Y41"/>
    <mergeCell ref="L25:L26"/>
    <mergeCell ref="M25:M26"/>
    <mergeCell ref="O25:O26"/>
    <mergeCell ref="X27:X35"/>
    <mergeCell ref="L45:L46"/>
    <mergeCell ref="M45:M46"/>
    <mergeCell ref="O45:O46"/>
    <mergeCell ref="M21:M22"/>
    <mergeCell ref="O21:O22"/>
    <mergeCell ref="L27:L30"/>
    <mergeCell ref="M27:M35"/>
    <mergeCell ref="O27:O35"/>
    <mergeCell ref="Y21:Y22"/>
    <mergeCell ref="L23:L24"/>
    <mergeCell ref="M23:M24"/>
    <mergeCell ref="X2:Y2"/>
    <mergeCell ref="X1:Y1"/>
    <mergeCell ref="Y6:Y7"/>
    <mergeCell ref="O6:O7"/>
    <mergeCell ref="I6:K7"/>
    <mergeCell ref="L6:L7"/>
    <mergeCell ref="M6:M7"/>
    <mergeCell ref="W6:W7"/>
    <mergeCell ref="X6:X7"/>
    <mergeCell ref="N6:N7"/>
    <mergeCell ref="X4:Y4"/>
    <mergeCell ref="X5:Y5"/>
    <mergeCell ref="Y13:Y18"/>
    <mergeCell ref="L19:L20"/>
    <mergeCell ref="M19:M20"/>
    <mergeCell ref="O19:O20"/>
    <mergeCell ref="Y19:Y20"/>
    <mergeCell ref="X13:X18"/>
    <mergeCell ref="X19:X20"/>
    <mergeCell ref="L9:L11"/>
    <mergeCell ref="N19:N20"/>
    <mergeCell ref="I5:K5"/>
    <mergeCell ref="I1:K1"/>
    <mergeCell ref="M1:O5"/>
    <mergeCell ref="I2:L2"/>
    <mergeCell ref="I3:L3"/>
    <mergeCell ref="I4:L4"/>
    <mergeCell ref="W1:W3"/>
    <mergeCell ref="X3:Y3"/>
    <mergeCell ref="Y984:Y985"/>
    <mergeCell ref="Y989:Y990"/>
    <mergeCell ref="Y991:Y993"/>
    <mergeCell ref="Y999:Y1002"/>
    <mergeCell ref="Y1003:Y1004"/>
    <mergeCell ref="Y929:Y930"/>
    <mergeCell ref="Y954:Y957"/>
    <mergeCell ref="Y981:Y982"/>
    <mergeCell ref="L864:L868"/>
    <mergeCell ref="M864:M866"/>
    <mergeCell ref="O864:O868"/>
    <mergeCell ref="L869:L870"/>
    <mergeCell ref="M869:M870"/>
    <mergeCell ref="L871:L874"/>
    <mergeCell ref="N25:N26"/>
    <mergeCell ref="N27:N35"/>
    <mergeCell ref="X25:X26"/>
    <mergeCell ref="X68:X87"/>
    <mergeCell ref="N69:N70"/>
    <mergeCell ref="O71:O72"/>
    <mergeCell ref="N106:N112"/>
    <mergeCell ref="N104:N105"/>
    <mergeCell ref="Y58:Y61"/>
    <mergeCell ref="Y63:Y67"/>
    <mergeCell ref="Y50:Y51"/>
    <mergeCell ref="Y55:Y56"/>
    <mergeCell ref="L91:L92"/>
    <mergeCell ref="M91:M92"/>
    <mergeCell ref="O91:O92"/>
    <mergeCell ref="N73:N74"/>
    <mergeCell ref="N71:N72"/>
    <mergeCell ref="Y52:Y54"/>
    <mergeCell ref="X1003:X1004"/>
    <mergeCell ref="L1005:L1007"/>
    <mergeCell ref="X1005:X1007"/>
    <mergeCell ref="M994:M997"/>
    <mergeCell ref="L1020:L1026"/>
    <mergeCell ref="L1027:L1029"/>
    <mergeCell ref="X984:X985"/>
    <mergeCell ref="L989:L990"/>
    <mergeCell ref="X989:X990"/>
    <mergeCell ref="L1053:L1057"/>
    <mergeCell ref="M1053:M1057"/>
    <mergeCell ref="O1053:O1057"/>
    <mergeCell ref="W1053:W1054"/>
    <mergeCell ref="X1053:X1058"/>
    <mergeCell ref="L1008:L1009"/>
    <mergeCell ref="X1008:X1009"/>
    <mergeCell ref="L1012:L1014"/>
    <mergeCell ref="X1012:X1014"/>
    <mergeCell ref="L1015:L1016"/>
    <mergeCell ref="X1015:X1016"/>
    <mergeCell ref="L1017:L1019"/>
    <mergeCell ref="X1017:X1019"/>
    <mergeCell ref="X1059:X1061"/>
    <mergeCell ref="L1062:L1063"/>
    <mergeCell ref="X1062:X1063"/>
    <mergeCell ref="L1030:L1037"/>
    <mergeCell ref="M1030:M1037"/>
    <mergeCell ref="X1030:X1037"/>
    <mergeCell ref="L1038:L1039"/>
    <mergeCell ref="M1038:M1039"/>
    <mergeCell ref="L1040:L1041"/>
    <mergeCell ref="X1040:X1041"/>
    <mergeCell ref="L1046:L1047"/>
    <mergeCell ref="L1049:L1052"/>
    <mergeCell ref="M1049:M1052"/>
    <mergeCell ref="X1049:X1052"/>
    <mergeCell ref="N1053:N1057"/>
    <mergeCell ref="L1043:L1044"/>
    <mergeCell ref="M1043:M1044"/>
    <mergeCell ref="X1043:X1044"/>
    <mergeCell ref="X1090:X1096"/>
    <mergeCell ref="L1097:L1098"/>
    <mergeCell ref="M1097:M1098"/>
    <mergeCell ref="O1097:O1098"/>
    <mergeCell ref="X1097:X1098"/>
    <mergeCell ref="L1099:L1101"/>
    <mergeCell ref="M1099:M1101"/>
    <mergeCell ref="O1099:O1101"/>
    <mergeCell ref="X1099:X1101"/>
    <mergeCell ref="L1066:L1067"/>
    <mergeCell ref="M1066:M1067"/>
    <mergeCell ref="X1066:X1080"/>
    <mergeCell ref="L1069:L1076"/>
    <mergeCell ref="L1077:L1080"/>
    <mergeCell ref="L1081:L1082"/>
    <mergeCell ref="M1081:M1082"/>
    <mergeCell ref="X1081:X1083"/>
    <mergeCell ref="L1084:L1088"/>
    <mergeCell ref="M1084:M1088"/>
    <mergeCell ref="X1084:X1088"/>
    <mergeCell ref="N1099:N1101"/>
    <mergeCell ref="N1097:N1098"/>
    <mergeCell ref="N1090:N1095"/>
    <mergeCell ref="N1186:N1187"/>
    <mergeCell ref="X1186:X1187"/>
    <mergeCell ref="X1122:X1129"/>
    <mergeCell ref="L1130:L1138"/>
    <mergeCell ref="X1130:X1138"/>
    <mergeCell ref="L1140:L1148"/>
    <mergeCell ref="X1140:X1146"/>
    <mergeCell ref="X1147:X1153"/>
    <mergeCell ref="L1149:L1150"/>
    <mergeCell ref="L1102:L1104"/>
    <mergeCell ref="M1102:M1104"/>
    <mergeCell ref="O1102:O1104"/>
    <mergeCell ref="X1102:X1104"/>
    <mergeCell ref="L1106:L1112"/>
    <mergeCell ref="M1106:M1112"/>
    <mergeCell ref="X1106:X1113"/>
    <mergeCell ref="L1114:L1121"/>
    <mergeCell ref="X1114:X1121"/>
    <mergeCell ref="N1122:N1126"/>
    <mergeCell ref="N1102:N1104"/>
    <mergeCell ref="W1102:W1103"/>
    <mergeCell ref="M1290:M1291"/>
    <mergeCell ref="O1271:O1272"/>
    <mergeCell ref="O1286:O1287"/>
    <mergeCell ref="O1288:O1289"/>
    <mergeCell ref="O1290:O1291"/>
    <mergeCell ref="N1271:N1272"/>
    <mergeCell ref="N1286:N1287"/>
    <mergeCell ref="N1288:N1289"/>
    <mergeCell ref="N1290:N1291"/>
    <mergeCell ref="N1280:N1281"/>
    <mergeCell ref="O1280:O1281"/>
    <mergeCell ref="X1198:X1199"/>
    <mergeCell ref="L1201:L1203"/>
    <mergeCell ref="M1201:M1204"/>
    <mergeCell ref="O1201:O1204"/>
    <mergeCell ref="X1201:X1204"/>
    <mergeCell ref="L1154:L1158"/>
    <mergeCell ref="M1154:M1158"/>
    <mergeCell ref="O1154:O1158"/>
    <mergeCell ref="X1154:X1158"/>
    <mergeCell ref="X1160:X1165"/>
    <mergeCell ref="X1166:X1168"/>
    <mergeCell ref="X1169:X1173"/>
    <mergeCell ref="X1174:X1176"/>
    <mergeCell ref="L1177:L1179"/>
    <mergeCell ref="N1201:N1204"/>
    <mergeCell ref="N1198:N1199"/>
    <mergeCell ref="N1154:N1158"/>
    <mergeCell ref="X1180:X1185"/>
    <mergeCell ref="X1192:X1197"/>
    <mergeCell ref="M1186:M1187"/>
    <mergeCell ref="O1186:O1187"/>
    <mergeCell ref="X1226:X1227"/>
    <mergeCell ref="L1230:L1231"/>
    <mergeCell ref="X1230:X1231"/>
    <mergeCell ref="X1232:X1233"/>
    <mergeCell ref="L1205:L1207"/>
    <mergeCell ref="O1205:O1207"/>
    <mergeCell ref="X1205:X1210"/>
    <mergeCell ref="X1211:X1217"/>
    <mergeCell ref="L1213:L1216"/>
    <mergeCell ref="L1218:L1219"/>
    <mergeCell ref="M1218:M1219"/>
    <mergeCell ref="O1218:O1219"/>
    <mergeCell ref="X1218:X1222"/>
    <mergeCell ref="L1221:L1222"/>
    <mergeCell ref="N1226:N1227"/>
    <mergeCell ref="N1224:N1225"/>
    <mergeCell ref="N1218:N1219"/>
    <mergeCell ref="N1205:N1207"/>
    <mergeCell ref="M1224:M1225"/>
    <mergeCell ref="O1224:O1225"/>
    <mergeCell ref="L1234:L1238"/>
    <mergeCell ref="O1234:O1238"/>
    <mergeCell ref="X1234:X1242"/>
    <mergeCell ref="X1244:X1292"/>
    <mergeCell ref="L1266:L1267"/>
    <mergeCell ref="O1266:O1267"/>
    <mergeCell ref="L1293:L1294"/>
    <mergeCell ref="M1293:M1294"/>
    <mergeCell ref="O1293:O1294"/>
    <mergeCell ref="X1293:X1294"/>
    <mergeCell ref="N1318:N1319"/>
    <mergeCell ref="N1298:N1300"/>
    <mergeCell ref="N1293:N1294"/>
    <mergeCell ref="N1266:N1267"/>
    <mergeCell ref="N1234:N1238"/>
    <mergeCell ref="L1245:L1246"/>
    <mergeCell ref="L1247:L1248"/>
    <mergeCell ref="L1249:L1250"/>
    <mergeCell ref="L1252:L1253"/>
    <mergeCell ref="L1256:L1257"/>
    <mergeCell ref="M1256:M1257"/>
    <mergeCell ref="L1261:L1263"/>
    <mergeCell ref="O1252:O1253"/>
    <mergeCell ref="O1301:O1302"/>
    <mergeCell ref="O1308:O1309"/>
    <mergeCell ref="L1271:L1272"/>
    <mergeCell ref="L1280:L1281"/>
    <mergeCell ref="L1286:L1287"/>
    <mergeCell ref="M1286:M1287"/>
    <mergeCell ref="L1288:L1289"/>
    <mergeCell ref="M1288:M1289"/>
    <mergeCell ref="L1290:L1291"/>
    <mergeCell ref="L1359:L1360"/>
    <mergeCell ref="O1359:O1360"/>
    <mergeCell ref="L1363:L1364"/>
    <mergeCell ref="L1338:L1339"/>
    <mergeCell ref="X1338:X1339"/>
    <mergeCell ref="L1340:L1341"/>
    <mergeCell ref="X1340:X1341"/>
    <mergeCell ref="L1345:L1346"/>
    <mergeCell ref="X1345:X1346"/>
    <mergeCell ref="L1347:L1348"/>
    <mergeCell ref="X1347:X1349"/>
    <mergeCell ref="N1359:N1360"/>
    <mergeCell ref="N1357:N1358"/>
    <mergeCell ref="X1385:X1386"/>
    <mergeCell ref="L1387:L1388"/>
    <mergeCell ref="M1387:M1388"/>
    <mergeCell ref="O1387:O1388"/>
    <mergeCell ref="L1365:L1366"/>
    <mergeCell ref="X1365:X1366"/>
    <mergeCell ref="L1369:L1370"/>
    <mergeCell ref="X1369:X1370"/>
    <mergeCell ref="L1371:L1372"/>
    <mergeCell ref="X1371:X1373"/>
    <mergeCell ref="L1376:L1377"/>
    <mergeCell ref="X1376:X1377"/>
    <mergeCell ref="L1378:L1380"/>
    <mergeCell ref="N1387:N1388"/>
    <mergeCell ref="X1374:X1375"/>
    <mergeCell ref="L1383:L1384"/>
    <mergeCell ref="X1383:X1384"/>
    <mergeCell ref="L1385:L1386"/>
    <mergeCell ref="L1374:L1375"/>
    <mergeCell ref="M1448:M1449"/>
    <mergeCell ref="O1448:O1449"/>
    <mergeCell ref="X1448:X1450"/>
    <mergeCell ref="L1425:L1426"/>
    <mergeCell ref="L1427:L1428"/>
    <mergeCell ref="O1427:O1428"/>
    <mergeCell ref="X1427:X1430"/>
    <mergeCell ref="L1431:L1432"/>
    <mergeCell ref="M1431:M1432"/>
    <mergeCell ref="O1431:O1432"/>
    <mergeCell ref="X1431:X1432"/>
    <mergeCell ref="L1434:L1435"/>
    <mergeCell ref="O1434:O1435"/>
    <mergeCell ref="X1434:X1437"/>
    <mergeCell ref="N1448:N1449"/>
    <mergeCell ref="N1443:N1445"/>
    <mergeCell ref="N1438:N1440"/>
    <mergeCell ref="N1434:N1435"/>
    <mergeCell ref="N1431:N1432"/>
    <mergeCell ref="N1427:N1428"/>
    <mergeCell ref="L1443:L1445"/>
    <mergeCell ref="O1438:O1440"/>
    <mergeCell ref="X1438:X1442"/>
    <mergeCell ref="L1438:L1440"/>
    <mergeCell ref="X1453:X1455"/>
    <mergeCell ref="L1457:L1459"/>
    <mergeCell ref="M1457:M1459"/>
    <mergeCell ref="O1457:O1459"/>
    <mergeCell ref="X1457:X1459"/>
    <mergeCell ref="N1467:N1468"/>
    <mergeCell ref="N1457:N1459"/>
    <mergeCell ref="N1453:N1455"/>
    <mergeCell ref="N1451:N1452"/>
    <mergeCell ref="N1480:N1485"/>
    <mergeCell ref="L1476:L1477"/>
    <mergeCell ref="M1476:M1477"/>
    <mergeCell ref="L1465:L1466"/>
    <mergeCell ref="M1465:M1466"/>
    <mergeCell ref="O1465:O1466"/>
    <mergeCell ref="X1462:X1464"/>
    <mergeCell ref="X1465:X1466"/>
    <mergeCell ref="L1467:L1468"/>
    <mergeCell ref="M1467:M1468"/>
    <mergeCell ref="O1467:O1468"/>
    <mergeCell ref="X1467:X1468"/>
    <mergeCell ref="L1480:L1485"/>
    <mergeCell ref="M1480:M1485"/>
    <mergeCell ref="O1480:O1485"/>
    <mergeCell ref="W1480:W1485"/>
    <mergeCell ref="X1480:X1485"/>
    <mergeCell ref="L1451:L1452"/>
    <mergeCell ref="M1451:M1452"/>
    <mergeCell ref="O1451:O1452"/>
    <mergeCell ref="X1451:X1452"/>
    <mergeCell ref="L1453:L1455"/>
    <mergeCell ref="M1453:M1455"/>
    <mergeCell ref="L1487:L1489"/>
    <mergeCell ref="L1490:L1491"/>
    <mergeCell ref="X1496:X1498"/>
    <mergeCell ref="L1497:L1498"/>
    <mergeCell ref="L1499:L1501"/>
    <mergeCell ref="L1502:L1503"/>
    <mergeCell ref="L1505:L1506"/>
    <mergeCell ref="N1513:N1514"/>
    <mergeCell ref="N1507:N1509"/>
    <mergeCell ref="L1534:L1535"/>
    <mergeCell ref="M1534:M1535"/>
    <mergeCell ref="O1534:O1535"/>
    <mergeCell ref="L1539:L1540"/>
    <mergeCell ref="M1539:M1540"/>
    <mergeCell ref="X1539:X1540"/>
    <mergeCell ref="L1542:L1543"/>
    <mergeCell ref="M1502:M1503"/>
    <mergeCell ref="O1502:O1503"/>
    <mergeCell ref="M1504:M1506"/>
    <mergeCell ref="O1504:O1506"/>
    <mergeCell ref="N1502:N1503"/>
    <mergeCell ref="N1504:N1506"/>
    <mergeCell ref="X1502:X1503"/>
    <mergeCell ref="M1493:M1495"/>
    <mergeCell ref="O1493:O1495"/>
    <mergeCell ref="X1493:X1495"/>
    <mergeCell ref="N1493:N1495"/>
    <mergeCell ref="X1529:X1532"/>
    <mergeCell ref="X1504:X1506"/>
    <mergeCell ref="O1507:O1509"/>
    <mergeCell ref="X1507:X1512"/>
    <mergeCell ref="L1576:L1577"/>
    <mergeCell ref="M1576:M1577"/>
    <mergeCell ref="O1576:O1577"/>
    <mergeCell ref="X1576:X1577"/>
    <mergeCell ref="L1578:L1579"/>
    <mergeCell ref="M1578:M1579"/>
    <mergeCell ref="O1578:O1579"/>
    <mergeCell ref="X1578:X1579"/>
    <mergeCell ref="L1549:L1551"/>
    <mergeCell ref="O1549:O1551"/>
    <mergeCell ref="X1549:X1555"/>
    <mergeCell ref="L1552:L1553"/>
    <mergeCell ref="M1552:M1553"/>
    <mergeCell ref="L1554:L1555"/>
    <mergeCell ref="M1554:M1555"/>
    <mergeCell ref="L1556:L1557"/>
    <mergeCell ref="O1556:O1557"/>
    <mergeCell ref="X1556:X1563"/>
    <mergeCell ref="L1560:L1561"/>
    <mergeCell ref="L1562:L1563"/>
    <mergeCell ref="N1578:N1579"/>
    <mergeCell ref="N1576:N1577"/>
    <mergeCell ref="N1574:N1575"/>
    <mergeCell ref="N1556:N1557"/>
    <mergeCell ref="N1549:N1551"/>
    <mergeCell ref="Y1166:Y1168"/>
    <mergeCell ref="Y1169:Y1173"/>
    <mergeCell ref="L1574:L1575"/>
    <mergeCell ref="M1574:M1575"/>
    <mergeCell ref="O1574:O1575"/>
    <mergeCell ref="X1574:X1575"/>
    <mergeCell ref="L1544:L1548"/>
    <mergeCell ref="X1544:X1548"/>
    <mergeCell ref="L1525:L1526"/>
    <mergeCell ref="M1525:M1526"/>
    <mergeCell ref="O1525:O1526"/>
    <mergeCell ref="X1525:X1526"/>
    <mergeCell ref="L1527:L1528"/>
    <mergeCell ref="M1527:M1528"/>
    <mergeCell ref="O1527:O1528"/>
    <mergeCell ref="X1527:X1528"/>
    <mergeCell ref="L1529:L1532"/>
    <mergeCell ref="M1529:M1532"/>
    <mergeCell ref="O1529:O1532"/>
    <mergeCell ref="Y1174:Y1176"/>
    <mergeCell ref="Y1198:Y1199"/>
    <mergeCell ref="Y1201:Y1204"/>
    <mergeCell ref="Y1318:Y1319"/>
    <mergeCell ref="Y1320:Y1321"/>
    <mergeCell ref="N1534:N1535"/>
    <mergeCell ref="N1529:N1532"/>
    <mergeCell ref="N1527:N1528"/>
    <mergeCell ref="N1525:N1526"/>
    <mergeCell ref="M1544:M1548"/>
    <mergeCell ref="N1544:N1548"/>
    <mergeCell ref="O1544:O1548"/>
    <mergeCell ref="X1522:X1523"/>
    <mergeCell ref="Y1053:Y1058"/>
    <mergeCell ref="Y1005:Y1007"/>
    <mergeCell ref="Y1008:Y1009"/>
    <mergeCell ref="Y1012:Y1014"/>
    <mergeCell ref="Y1015:Y1016"/>
    <mergeCell ref="Y1017:Y1019"/>
    <mergeCell ref="Y1020:Y1029"/>
    <mergeCell ref="Y1030:Y1037"/>
    <mergeCell ref="Y1040:Y1041"/>
    <mergeCell ref="Y1049:Y1052"/>
    <mergeCell ref="Y1043:Y1044"/>
    <mergeCell ref="Y1205:Y1210"/>
    <mergeCell ref="Y1211:Y1217"/>
    <mergeCell ref="Y1102:Y1104"/>
    <mergeCell ref="Y1106:Y1113"/>
    <mergeCell ref="Y1114:Y1121"/>
    <mergeCell ref="Y1122:Y1129"/>
    <mergeCell ref="Y1130:Y1138"/>
    <mergeCell ref="Y1140:Y1146"/>
    <mergeCell ref="Y1147:Y1153"/>
    <mergeCell ref="Y1154:Y1158"/>
    <mergeCell ref="Y1160:Y1165"/>
    <mergeCell ref="Y1180:Y1185"/>
    <mergeCell ref="Y1192:Y1197"/>
    <mergeCell ref="Y1059:Y1061"/>
    <mergeCell ref="Y1062:Y1063"/>
    <mergeCell ref="Y1066:Y1080"/>
    <mergeCell ref="Y1081:Y1083"/>
    <mergeCell ref="Y1084:Y1088"/>
    <mergeCell ref="Y1090:Y1096"/>
    <mergeCell ref="Y1097:Y1098"/>
    <mergeCell ref="Y1099:Y1101"/>
    <mergeCell ref="Y1338:Y1339"/>
    <mergeCell ref="Y1218:Y1222"/>
    <mergeCell ref="Y1224:Y1225"/>
    <mergeCell ref="Y1226:Y1227"/>
    <mergeCell ref="Y1230:Y1231"/>
    <mergeCell ref="Y1232:Y1233"/>
    <mergeCell ref="Y1234:Y1242"/>
    <mergeCell ref="Y1244:Y1292"/>
    <mergeCell ref="Y1293:Y1294"/>
    <mergeCell ref="Y1295:Y1296"/>
    <mergeCell ref="Y1376:Y1377"/>
    <mergeCell ref="Y1340:Y1341"/>
    <mergeCell ref="Y1345:Y1346"/>
    <mergeCell ref="Y1347:Y1349"/>
    <mergeCell ref="Y1352:Y1356"/>
    <mergeCell ref="Y1357:Y1358"/>
    <mergeCell ref="Y1365:Y1366"/>
    <mergeCell ref="Y1369:Y1370"/>
    <mergeCell ref="Y1371:Y1373"/>
    <mergeCell ref="Y1332:Y1333"/>
    <mergeCell ref="Y1334:Y1335"/>
    <mergeCell ref="Y1336:Y1337"/>
    <mergeCell ref="A1:H3"/>
    <mergeCell ref="A4:A6"/>
    <mergeCell ref="G4:G6"/>
    <mergeCell ref="H4:H6"/>
    <mergeCell ref="Y1595:Y1596"/>
    <mergeCell ref="Y1600:Y1602"/>
    <mergeCell ref="Y1603:Y1605"/>
    <mergeCell ref="Y1611:Y1615"/>
    <mergeCell ref="Y1527:Y1528"/>
    <mergeCell ref="Y1529:Y1532"/>
    <mergeCell ref="Y1539:Y1540"/>
    <mergeCell ref="Y1544:Y1548"/>
    <mergeCell ref="Y1549:Y1555"/>
    <mergeCell ref="Y1556:Y1563"/>
    <mergeCell ref="Y1574:Y1575"/>
    <mergeCell ref="Y1576:Y1577"/>
    <mergeCell ref="Y1578:Y1579"/>
    <mergeCell ref="Y1457:Y1459"/>
    <mergeCell ref="Y1467:Y1468"/>
    <mergeCell ref="Y1480:Y1485"/>
    <mergeCell ref="Y1496:Y1498"/>
    <mergeCell ref="Y1507:Y1512"/>
    <mergeCell ref="Y1522:Y1523"/>
    <mergeCell ref="Y1525:Y1526"/>
    <mergeCell ref="Y1411:Y1421"/>
    <mergeCell ref="Y1427:Y1430"/>
    <mergeCell ref="Y1431:Y1432"/>
    <mergeCell ref="Y1434:Y1437"/>
    <mergeCell ref="Y1438:Y1442"/>
    <mergeCell ref="L58:L61"/>
    <mergeCell ref="L50:L51"/>
    <mergeCell ref="M50:M51"/>
    <mergeCell ref="Z13:Z18"/>
    <mergeCell ref="Z19:Z20"/>
    <mergeCell ref="Z21:Z22"/>
    <mergeCell ref="Z23:Z24"/>
    <mergeCell ref="Z25:Z26"/>
    <mergeCell ref="Z27:Z35"/>
    <mergeCell ref="Z42:Z44"/>
    <mergeCell ref="Z45:Z49"/>
    <mergeCell ref="Z58:Z61"/>
    <mergeCell ref="Z63:Z67"/>
    <mergeCell ref="Z88:Z100"/>
    <mergeCell ref="Z101:Z113"/>
    <mergeCell ref="Z114:Z120"/>
    <mergeCell ref="Z121:Z123"/>
    <mergeCell ref="Z124:Z127"/>
    <mergeCell ref="Z128:Z134"/>
    <mergeCell ref="Z37:Z41"/>
    <mergeCell ref="Z50:Z51"/>
    <mergeCell ref="Z52:Z54"/>
    <mergeCell ref="Z55:Z56"/>
    <mergeCell ref="Z68:Z87"/>
    <mergeCell ref="Z135:Z139"/>
    <mergeCell ref="Z145:Z148"/>
    <mergeCell ref="Z149:Z154"/>
    <mergeCell ref="Z155:Z156"/>
    <mergeCell ref="Z157:Z159"/>
    <mergeCell ref="Z160:Z161"/>
    <mergeCell ref="Z165:Z169"/>
    <mergeCell ref="Z171:Z175"/>
    <mergeCell ref="Z176:Z177"/>
    <mergeCell ref="Z178:Z180"/>
    <mergeCell ref="Z181:Z182"/>
    <mergeCell ref="Z183:Z184"/>
    <mergeCell ref="Z185:Z186"/>
    <mergeCell ref="Z187:Z193"/>
    <mergeCell ref="Z194:Z199"/>
    <mergeCell ref="Z200:Z204"/>
    <mergeCell ref="Z208:Z212"/>
    <mergeCell ref="Z140:Z141"/>
    <mergeCell ref="Z142:Z144"/>
    <mergeCell ref="Z162:Z164"/>
    <mergeCell ref="Z213:Z219"/>
    <mergeCell ref="Z220:Z222"/>
    <mergeCell ref="Z223:Z224"/>
    <mergeCell ref="Z226:Z227"/>
    <mergeCell ref="Z228:Z229"/>
    <mergeCell ref="Z230:Z233"/>
    <mergeCell ref="Z234:Z236"/>
    <mergeCell ref="Z238:Z245"/>
    <mergeCell ref="Z253:Z254"/>
    <mergeCell ref="Z257:Z260"/>
    <mergeCell ref="Z262:Z271"/>
    <mergeCell ref="Z272:Z274"/>
    <mergeCell ref="Z275:Z280"/>
    <mergeCell ref="Z293:Z304"/>
    <mergeCell ref="Z331:Z346"/>
    <mergeCell ref="Z462:Z463"/>
    <mergeCell ref="Z286:Z287"/>
    <mergeCell ref="Z288:Z290"/>
    <mergeCell ref="Z305:Z308"/>
    <mergeCell ref="Z312:Z314"/>
    <mergeCell ref="Z316:Z317"/>
    <mergeCell ref="Z321:Z322"/>
    <mergeCell ref="Z323:Z324"/>
    <mergeCell ref="Z325:Z326"/>
    <mergeCell ref="Z349:Z351"/>
    <mergeCell ref="Z352:Z354"/>
    <mergeCell ref="Z364:Z366"/>
    <mergeCell ref="Z375:Z379"/>
    <mergeCell ref="Z380:Z397"/>
    <mergeCell ref="Z398:Z405"/>
    <mergeCell ref="Z411:Z413"/>
    <mergeCell ref="Z414:Z415"/>
    <mergeCell ref="Z534:Z535"/>
    <mergeCell ref="Z545:Z546"/>
    <mergeCell ref="Z548:Z550"/>
    <mergeCell ref="Z538:Z540"/>
    <mergeCell ref="Z551:Z553"/>
    <mergeCell ref="Z555:Z559"/>
    <mergeCell ref="Z560:Z561"/>
    <mergeCell ref="Z566:Z571"/>
    <mergeCell ref="Z572:Z578"/>
    <mergeCell ref="Z579:Z581"/>
    <mergeCell ref="Z583:Z584"/>
    <mergeCell ref="Z585:Z586"/>
    <mergeCell ref="Z587:Z588"/>
    <mergeCell ref="Z589:Z590"/>
    <mergeCell ref="Z596:Z610"/>
    <mergeCell ref="Z611:Z619"/>
    <mergeCell ref="Z624:Z630"/>
    <mergeCell ref="Z795:Z804"/>
    <mergeCell ref="Z805:Z811"/>
    <mergeCell ref="Z718:Z724"/>
    <mergeCell ref="Z637:Z652"/>
    <mergeCell ref="Z669:Z670"/>
    <mergeCell ref="Z672:Z673"/>
    <mergeCell ref="Z674:Z679"/>
    <mergeCell ref="Z593:Z595"/>
    <mergeCell ref="Z683:Z687"/>
    <mergeCell ref="Z694:Z695"/>
    <mergeCell ref="Z697:Z704"/>
    <mergeCell ref="Z727:Z735"/>
    <mergeCell ref="Z736:Z743"/>
    <mergeCell ref="Z744:Z745"/>
    <mergeCell ref="Z750:Z756"/>
    <mergeCell ref="Z757:Z763"/>
    <mergeCell ref="Z764:Z770"/>
    <mergeCell ref="Z771:Z776"/>
    <mergeCell ref="Z777:Z782"/>
    <mergeCell ref="Z783:Z788"/>
    <mergeCell ref="Z688:Z693"/>
    <mergeCell ref="Z864:Z878"/>
    <mergeCell ref="Z951:Z952"/>
    <mergeCell ref="Z954:Z957"/>
    <mergeCell ref="Z975:Z977"/>
    <mergeCell ref="Z813:Z820"/>
    <mergeCell ref="Z835:Z836"/>
    <mergeCell ref="Z839:Z843"/>
    <mergeCell ref="Z825:Z826"/>
    <mergeCell ref="Z827:Z828"/>
    <mergeCell ref="Z829:Z830"/>
    <mergeCell ref="Z831:Z832"/>
    <mergeCell ref="Z833:Z834"/>
    <mergeCell ref="Z844:Z847"/>
    <mergeCell ref="Z848:Z849"/>
    <mergeCell ref="Z850:Z851"/>
    <mergeCell ref="Z854:Z857"/>
    <mergeCell ref="Z858:Z859"/>
    <mergeCell ref="Z860:Z862"/>
    <mergeCell ref="Z1049:Z1052"/>
    <mergeCell ref="Z1053:Z1058"/>
    <mergeCell ref="Z1140:Z1146"/>
    <mergeCell ref="Z1147:Z1153"/>
    <mergeCell ref="Z1043:Z1044"/>
    <mergeCell ref="Z887:Z889"/>
    <mergeCell ref="Z890:Z893"/>
    <mergeCell ref="Z894:Z896"/>
    <mergeCell ref="Z897:Z905"/>
    <mergeCell ref="Z933:Z935"/>
    <mergeCell ref="Z938:Z940"/>
    <mergeCell ref="Z941:Z945"/>
    <mergeCell ref="Z947:Z949"/>
    <mergeCell ref="Z912:Z913"/>
    <mergeCell ref="Z915:Z916"/>
    <mergeCell ref="Z917:Z918"/>
    <mergeCell ref="Z927:Z928"/>
    <mergeCell ref="Z929:Z930"/>
    <mergeCell ref="Z1059:Z1061"/>
    <mergeCell ref="Z1062:Z1063"/>
    <mergeCell ref="Z1066:Z1080"/>
    <mergeCell ref="Z1099:Z1101"/>
    <mergeCell ref="Z1081:Z1083"/>
    <mergeCell ref="Z1084:Z1088"/>
    <mergeCell ref="Z1090:Z1096"/>
    <mergeCell ref="Z1097:Z1098"/>
    <mergeCell ref="Z1130:Z1138"/>
    <mergeCell ref="L310:L311"/>
    <mergeCell ref="L312:L314"/>
    <mergeCell ref="M312:M314"/>
    <mergeCell ref="O312:O314"/>
    <mergeCell ref="M288:M290"/>
    <mergeCell ref="O288:O290"/>
    <mergeCell ref="X718:X724"/>
    <mergeCell ref="Y718:Y724"/>
    <mergeCell ref="Z1180:Z1185"/>
    <mergeCell ref="Z978:Z979"/>
    <mergeCell ref="Z981:Z982"/>
    <mergeCell ref="Z984:Z985"/>
    <mergeCell ref="Z989:Z990"/>
    <mergeCell ref="Z991:Z993"/>
    <mergeCell ref="Z999:Z1002"/>
    <mergeCell ref="Z1003:Z1004"/>
    <mergeCell ref="Z1005:Z1007"/>
    <mergeCell ref="Z1008:Z1009"/>
    <mergeCell ref="Z1012:Z1014"/>
    <mergeCell ref="Z1015:Z1016"/>
    <mergeCell ref="Z1017:Z1019"/>
    <mergeCell ref="Z1020:Z1029"/>
    <mergeCell ref="Z1030:Z1037"/>
    <mergeCell ref="Z1040:Z1041"/>
    <mergeCell ref="Z1102:Z1104"/>
    <mergeCell ref="Z1106:Z1113"/>
    <mergeCell ref="Z1114:Z1121"/>
    <mergeCell ref="Z1122:Z1129"/>
    <mergeCell ref="Z1154:Z1158"/>
    <mergeCell ref="Z1160:Z1165"/>
    <mergeCell ref="Z1166:Z1168"/>
    <mergeCell ref="Z1169:Z1173"/>
    <mergeCell ref="Z1192:Z1197"/>
    <mergeCell ref="Z1232:Z1233"/>
    <mergeCell ref="Z1234:Z1242"/>
    <mergeCell ref="Z1244:Z1292"/>
    <mergeCell ref="Z1293:Z1294"/>
    <mergeCell ref="Z1295:Z1296"/>
    <mergeCell ref="Z1318:Z1319"/>
    <mergeCell ref="Z1320:Z1321"/>
    <mergeCell ref="Z1322:Z1323"/>
    <mergeCell ref="Z1327:Z1328"/>
    <mergeCell ref="Z1332:Z1333"/>
    <mergeCell ref="Z1334:Z1335"/>
    <mergeCell ref="Z1336:Z1337"/>
    <mergeCell ref="Z1174:Z1176"/>
    <mergeCell ref="Z1198:Z1199"/>
    <mergeCell ref="Z1201:Z1204"/>
    <mergeCell ref="Z1205:Z1210"/>
    <mergeCell ref="Z1211:Z1217"/>
    <mergeCell ref="Z1218:Z1222"/>
    <mergeCell ref="Z1224:Z1225"/>
    <mergeCell ref="Z1226:Z1227"/>
    <mergeCell ref="Z1186:Z1187"/>
    <mergeCell ref="Z1230:Z1231"/>
    <mergeCell ref="Z1999:Z2000"/>
    <mergeCell ref="Z2454:Z2455"/>
    <mergeCell ref="Z2154:Z2175"/>
    <mergeCell ref="Z2438:Z2440"/>
    <mergeCell ref="Z2285:Z2286"/>
    <mergeCell ref="Z2287:Z2288"/>
    <mergeCell ref="Z2290:Z2291"/>
    <mergeCell ref="Z2292:Z2293"/>
    <mergeCell ref="Z2295:Z2296"/>
    <mergeCell ref="Z2456:Z2457"/>
    <mergeCell ref="Z6:Z7"/>
    <mergeCell ref="Z2338:Z2339"/>
    <mergeCell ref="Z2344:Z2345"/>
    <mergeCell ref="Z2346:Z2348"/>
    <mergeCell ref="Z2349:Z2350"/>
    <mergeCell ref="Z2351:Z2353"/>
    <mergeCell ref="Z2354:Z2355"/>
    <mergeCell ref="Z2357:Z2358"/>
    <mergeCell ref="Z2359:Z2360"/>
    <mergeCell ref="Z2362:Z2364"/>
    <mergeCell ref="Z2365:Z2366"/>
    <mergeCell ref="Z2371:Z2372"/>
    <mergeCell ref="Z2373:Z2376"/>
    <mergeCell ref="Z2377:Z2383"/>
    <mergeCell ref="Z2384:Z2385"/>
    <mergeCell ref="Z2387:Z2388"/>
    <mergeCell ref="Z2436:Z2437"/>
    <mergeCell ref="Z2266:Z2267"/>
    <mergeCell ref="Z2268:Z2269"/>
    <mergeCell ref="Z2271:Z2272"/>
    <mergeCell ref="Z2275:Z2280"/>
    <mergeCell ref="Z2334:Z2335"/>
    <mergeCell ref="Z2441:Z2443"/>
    <mergeCell ref="Z2098:Z2100"/>
    <mergeCell ref="Z2101:Z2103"/>
    <mergeCell ref="Z2180:Z2181"/>
    <mergeCell ref="Z2182:Z2184"/>
    <mergeCell ref="Z2188:Z2189"/>
    <mergeCell ref="Z2190:Z2191"/>
    <mergeCell ref="Z2194:Z2197"/>
    <mergeCell ref="Z2198:Z2201"/>
    <mergeCell ref="Z2202:Z2206"/>
    <mergeCell ref="Z2210:Z2214"/>
    <mergeCell ref="Z2215:Z2217"/>
    <mergeCell ref="Z2232:Z2236"/>
    <mergeCell ref="Z2237:Z2238"/>
    <mergeCell ref="Z2260:Z2263"/>
    <mergeCell ref="Z2248:Z2251"/>
    <mergeCell ref="Z2185:Z2187"/>
    <mergeCell ref="Z2220:Z2227"/>
    <mergeCell ref="Z2228:Z2230"/>
    <mergeCell ref="Z2241:Z2242"/>
    <mergeCell ref="Z2067:Z2071"/>
    <mergeCell ref="Z2074:Z2075"/>
    <mergeCell ref="Z2076:Z2077"/>
    <mergeCell ref="Z2078:Z2080"/>
    <mergeCell ref="Z2297:Z2298"/>
    <mergeCell ref="Z2299:Z2300"/>
    <mergeCell ref="Z2303:Z2313"/>
    <mergeCell ref="Z2325:Z2327"/>
    <mergeCell ref="Z2328:Z2330"/>
    <mergeCell ref="Z2331:Z2332"/>
    <mergeCell ref="Z2001:Z2005"/>
    <mergeCell ref="Z2006:Z2011"/>
    <mergeCell ref="Z2015:Z2019"/>
    <mergeCell ref="Z2021:Z2024"/>
    <mergeCell ref="Z2025:Z2029"/>
    <mergeCell ref="Z2034:Z2035"/>
    <mergeCell ref="Z2036:Z2039"/>
    <mergeCell ref="Z2042:Z2043"/>
    <mergeCell ref="Z2044:Z2045"/>
    <mergeCell ref="Z2050:Z2051"/>
    <mergeCell ref="Z2052:Z2053"/>
    <mergeCell ref="Z2054:Z2055"/>
    <mergeCell ref="Z2056:Z2058"/>
    <mergeCell ref="Z2059:Z2062"/>
    <mergeCell ref="Z2063:Z2066"/>
    <mergeCell ref="Z2030:Z2033"/>
    <mergeCell ref="Z2281:Z2284"/>
    <mergeCell ref="Z2096:Z2097"/>
    <mergeCell ref="Z2104:Z2112"/>
    <mergeCell ref="Z2176:Z2177"/>
    <mergeCell ref="L325:L326"/>
    <mergeCell ref="M325:M326"/>
    <mergeCell ref="O325:O326"/>
    <mergeCell ref="N140:N141"/>
    <mergeCell ref="N142:N144"/>
    <mergeCell ref="N83:N87"/>
    <mergeCell ref="M688:M693"/>
    <mergeCell ref="N688:N693"/>
    <mergeCell ref="O688:O693"/>
    <mergeCell ref="L718:L723"/>
    <mergeCell ref="L83:L87"/>
    <mergeCell ref="M83:M87"/>
    <mergeCell ref="O83:O87"/>
    <mergeCell ref="L140:L141"/>
    <mergeCell ref="M140:M141"/>
    <mergeCell ref="O140:O141"/>
    <mergeCell ref="L142:L144"/>
    <mergeCell ref="M142:M144"/>
    <mergeCell ref="L286:L287"/>
    <mergeCell ref="M286:M287"/>
    <mergeCell ref="O286:O287"/>
    <mergeCell ref="L293:L296"/>
    <mergeCell ref="L118:L120"/>
    <mergeCell ref="N316:N317"/>
    <mergeCell ref="N321:N322"/>
    <mergeCell ref="N323:N324"/>
    <mergeCell ref="N325:N326"/>
    <mergeCell ref="N286:N287"/>
    <mergeCell ref="N288:N290"/>
    <mergeCell ref="L114:L117"/>
    <mergeCell ref="M104:M105"/>
    <mergeCell ref="O104:O105"/>
    <mergeCell ref="L63:L66"/>
    <mergeCell ref="L288:L290"/>
    <mergeCell ref="L71:L72"/>
    <mergeCell ref="L52:L53"/>
    <mergeCell ref="M52:M54"/>
    <mergeCell ref="O52:O54"/>
    <mergeCell ref="M55:M56"/>
    <mergeCell ref="O55:O56"/>
    <mergeCell ref="L297:L304"/>
    <mergeCell ref="L305:L308"/>
    <mergeCell ref="X63:X67"/>
    <mergeCell ref="L93:L94"/>
    <mergeCell ref="N58:N61"/>
    <mergeCell ref="O93:O94"/>
    <mergeCell ref="L98:L99"/>
    <mergeCell ref="M98:M99"/>
    <mergeCell ref="O79:O80"/>
    <mergeCell ref="M238:M245"/>
    <mergeCell ref="O238:O245"/>
    <mergeCell ref="M81:M82"/>
    <mergeCell ref="O81:O82"/>
    <mergeCell ref="N81:N82"/>
    <mergeCell ref="N79:N80"/>
    <mergeCell ref="M75:M76"/>
    <mergeCell ref="N75:N76"/>
    <mergeCell ref="O75:O76"/>
    <mergeCell ref="O98:O99"/>
    <mergeCell ref="N98:N99"/>
    <mergeCell ref="N93:N94"/>
    <mergeCell ref="X114:X120"/>
    <mergeCell ref="L79:L80"/>
    <mergeCell ref="M79:M80"/>
    <mergeCell ref="X884:X886"/>
    <mergeCell ref="N312:N314"/>
    <mergeCell ref="M850:M851"/>
    <mergeCell ref="M58:M61"/>
    <mergeCell ref="O58:O61"/>
    <mergeCell ref="M71:M72"/>
    <mergeCell ref="M293:M295"/>
    <mergeCell ref="O69:O70"/>
    <mergeCell ref="M1837:M1839"/>
    <mergeCell ref="X1837:X1839"/>
    <mergeCell ref="Y1837:Y1839"/>
    <mergeCell ref="N50:N51"/>
    <mergeCell ref="N55:N56"/>
    <mergeCell ref="N52:N54"/>
    <mergeCell ref="M305:M308"/>
    <mergeCell ref="N305:N308"/>
    <mergeCell ref="O305:O308"/>
    <mergeCell ref="X58:X61"/>
    <mergeCell ref="O746:O749"/>
    <mergeCell ref="O50:O51"/>
    <mergeCell ref="N813:N820"/>
    <mergeCell ref="M764:M788"/>
    <mergeCell ref="N746:N749"/>
    <mergeCell ref="N736:N743"/>
    <mergeCell ref="N727:N735"/>
    <mergeCell ref="O323:O324"/>
    <mergeCell ref="Y1322:Y1323"/>
    <mergeCell ref="Y1327:Y1328"/>
    <mergeCell ref="Y1186:Y1187"/>
    <mergeCell ref="M73:M74"/>
    <mergeCell ref="X286:X287"/>
    <mergeCell ref="X288:X290"/>
  </mergeCells>
  <conditionalFormatting sqref="X2">
    <cfRule type="expression" dxfId="2948" priority="5615">
      <formula>$AG$3</formula>
    </cfRule>
  </conditionalFormatting>
  <conditionalFormatting sqref="X3">
    <cfRule type="expression" dxfId="2947" priority="5616">
      <formula>$AI$3</formula>
    </cfRule>
  </conditionalFormatting>
  <conditionalFormatting sqref="I2">
    <cfRule type="expression" dxfId="2946" priority="5588">
      <formula>$AM$2="Gold"</formula>
    </cfRule>
    <cfRule type="expression" dxfId="2945" priority="5589">
      <formula>$AM$2="Silver"</formula>
    </cfRule>
    <cfRule type="expression" dxfId="2944" priority="5590">
      <formula>$AM$2="Bronze"</formula>
    </cfRule>
    <cfRule type="expression" dxfId="2943" priority="5591">
      <formula>$AM$2="Emerald"</formula>
    </cfRule>
  </conditionalFormatting>
  <conditionalFormatting sqref="L5">
    <cfRule type="notContainsBlanks" dxfId="2942" priority="5587">
      <formula>LEN(TRIM(L5))&gt;0</formula>
    </cfRule>
  </conditionalFormatting>
  <conditionalFormatting sqref="L1">
    <cfRule type="notContainsBlanks" dxfId="2941" priority="5546">
      <formula>LEN(TRIM(L1))&gt;0</formula>
    </cfRule>
  </conditionalFormatting>
  <conditionalFormatting sqref="W89">
    <cfRule type="notContainsBlanks" dxfId="2940" priority="5545">
      <formula>LEN(TRIM(W89))&gt;0</formula>
    </cfRule>
  </conditionalFormatting>
  <conditionalFormatting sqref="W566">
    <cfRule type="expression" dxfId="2939" priority="4850">
      <formula>AND($R$566,$S$566)</formula>
    </cfRule>
  </conditionalFormatting>
  <conditionalFormatting sqref="W566">
    <cfRule type="expression" dxfId="2938" priority="4849">
      <formula>AND(IF($R$566,$W$566,TRUE),LEN(TRIM($W$566))&gt;0)</formula>
    </cfRule>
  </conditionalFormatting>
  <conditionalFormatting sqref="W566">
    <cfRule type="expression" dxfId="2937" priority="4848">
      <formula>OR($S$566 = FALSE, AND($P$566 = FALSE, ReportType &lt;&gt; "Final"), AND($Q$566 = FALSE, ReportType &lt;&gt; "Rough"))</formula>
    </cfRule>
  </conditionalFormatting>
  <conditionalFormatting sqref="W566">
    <cfRule type="expression" dxfId="2936" priority="4847">
      <formula>OR($T$566 = TRUE, AND($W$566 = TRUE, $S$566 = FALSE))</formula>
    </cfRule>
  </conditionalFormatting>
  <conditionalFormatting sqref="W572">
    <cfRule type="expression" dxfId="2935" priority="4845">
      <formula>AND(R572,S572)</formula>
    </cfRule>
  </conditionalFormatting>
  <conditionalFormatting sqref="W572">
    <cfRule type="expression" dxfId="2934" priority="4844">
      <formula>AND(IF(R572,W572,TRUE),LEN(TRIM(W572))&gt;0)</formula>
    </cfRule>
  </conditionalFormatting>
  <conditionalFormatting sqref="W572">
    <cfRule type="expression" dxfId="2933" priority="4843">
      <formula>OR(S572 = FALSE, AND(P572 = FALSE, ReportType &lt;&gt; "Final"), AND(Q572 = FALSE, ReportType &lt;&gt; "Rough"))</formula>
    </cfRule>
  </conditionalFormatting>
  <conditionalFormatting sqref="W572">
    <cfRule type="expression" dxfId="2932" priority="4842">
      <formula>OR(T572 = TRUE, AND(W572 = TRUE, S572 = FALSE))</formula>
    </cfRule>
  </conditionalFormatting>
  <conditionalFormatting sqref="W584">
    <cfRule type="expression" dxfId="2931" priority="4841">
      <formula>AND(R584,S584)</formula>
    </cfRule>
  </conditionalFormatting>
  <conditionalFormatting sqref="W584">
    <cfRule type="expression" dxfId="2930" priority="4840">
      <formula>AND(IF(R584,W584,TRUE),LEN(TRIM(W584))&gt;0)</formula>
    </cfRule>
  </conditionalFormatting>
  <conditionalFormatting sqref="W584">
    <cfRule type="expression" dxfId="2929" priority="4839">
      <formula>OR(S584 = FALSE, AND($P$584 = FALSE, ReportType &lt;&gt; "Final"), AND($Q$584 = FALSE, ReportType &lt;&gt; "Rough"))</formula>
    </cfRule>
  </conditionalFormatting>
  <conditionalFormatting sqref="W584">
    <cfRule type="expression" dxfId="2928" priority="4838">
      <formula>OR(T584 = TRUE, AND(W584 = TRUE, S584 = FALSE))</formula>
    </cfRule>
  </conditionalFormatting>
  <conditionalFormatting sqref="W586">
    <cfRule type="expression" dxfId="2927" priority="4837">
      <formula>AND(R586,S586)</formula>
    </cfRule>
  </conditionalFormatting>
  <conditionalFormatting sqref="W586">
    <cfRule type="expression" dxfId="2926" priority="4836">
      <formula>AND(IF(R586,W586,TRUE),LEN(TRIM(W586))&gt;0)</formula>
    </cfRule>
  </conditionalFormatting>
  <conditionalFormatting sqref="W586">
    <cfRule type="expression" dxfId="2925" priority="4835">
      <formula>OR(S586 = FALSE, AND($P$586 = FALSE, ReportType &lt;&gt; "Final"), AND($Q$586 = FALSE, ReportType &lt;&gt; "Rough"))</formula>
    </cfRule>
  </conditionalFormatting>
  <conditionalFormatting sqref="W586">
    <cfRule type="expression" dxfId="2924" priority="4834">
      <formula>OR(T586 = TRUE, AND(W586 = TRUE, S586 = FALSE))</formula>
    </cfRule>
  </conditionalFormatting>
  <conditionalFormatting sqref="W588">
    <cfRule type="expression" dxfId="2923" priority="4833">
      <formula>AND(R588,S588)</formula>
    </cfRule>
  </conditionalFormatting>
  <conditionalFormatting sqref="W588">
    <cfRule type="expression" dxfId="2922" priority="4832">
      <formula>AND(IF(R588,W588,TRUE),LEN(TRIM(W588))&gt;0)</formula>
    </cfRule>
  </conditionalFormatting>
  <conditionalFormatting sqref="W588">
    <cfRule type="expression" dxfId="2921" priority="4831">
      <formula>OR(S588 = FALSE, AND($P$588 = FALSE, ReportType &lt;&gt; "Final"), AND($Q$588 = FALSE, ReportType &lt;&gt; "Rough"))</formula>
    </cfRule>
  </conditionalFormatting>
  <conditionalFormatting sqref="W588">
    <cfRule type="expression" dxfId="2920" priority="4830">
      <formula>OR(T588 = TRUE, AND(W588 = TRUE, S588 = FALSE))</formula>
    </cfRule>
  </conditionalFormatting>
  <conditionalFormatting sqref="W590">
    <cfRule type="expression" dxfId="2919" priority="4829">
      <formula>AND(R590,S590)</formula>
    </cfRule>
  </conditionalFormatting>
  <conditionalFormatting sqref="W590">
    <cfRule type="expression" dxfId="2918" priority="4828">
      <formula>AND(IF(R590,W590,TRUE),LEN(TRIM(W590))&gt;0)</formula>
    </cfRule>
  </conditionalFormatting>
  <conditionalFormatting sqref="W590">
    <cfRule type="expression" dxfId="2917" priority="4827">
      <formula>OR(S590 = FALSE, AND($P$590 = FALSE, ReportType &lt;&gt; "Final"), AND($Q$590 = FALSE, ReportType &lt;&gt; "Rough"))</formula>
    </cfRule>
  </conditionalFormatting>
  <conditionalFormatting sqref="W590">
    <cfRule type="expression" dxfId="2916" priority="4826">
      <formula>OR(T590 = TRUE, AND(W590 = TRUE, S590 = FALSE))</formula>
    </cfRule>
  </conditionalFormatting>
  <conditionalFormatting sqref="W796">
    <cfRule type="expression" dxfId="2915" priority="4670">
      <formula>AND(R796,S796)</formula>
    </cfRule>
  </conditionalFormatting>
  <conditionalFormatting sqref="W796">
    <cfRule type="expression" dxfId="2914" priority="4669">
      <formula>AND(IF(R796,W796,TRUE),LEN(TRIM(W796))&gt;0)</formula>
    </cfRule>
  </conditionalFormatting>
  <conditionalFormatting sqref="W796">
    <cfRule type="expression" dxfId="2913" priority="4667">
      <formula>OR(T796 = TRUE, AND(W796 = TRUE, S796 = FALSE))</formula>
    </cfRule>
  </conditionalFormatting>
  <conditionalFormatting sqref="W807">
    <cfRule type="expression" dxfId="2912" priority="4666">
      <formula>AND(R807,S807)</formula>
    </cfRule>
  </conditionalFormatting>
  <conditionalFormatting sqref="W807">
    <cfRule type="expression" dxfId="2911" priority="4665">
      <formula>AND(IF(R807,W807,TRUE),LEN(TRIM(W807))&gt;0)</formula>
    </cfRule>
  </conditionalFormatting>
  <conditionalFormatting sqref="W807">
    <cfRule type="expression" dxfId="2910" priority="4663">
      <formula>OR(T807 = TRUE, AND(W807 = TRUE, S807 = FALSE))</formula>
    </cfRule>
  </conditionalFormatting>
  <conditionalFormatting sqref="W45">
    <cfRule type="expression" dxfId="2909" priority="4624">
      <formula>AND($R$45,$S$45)</formula>
    </cfRule>
  </conditionalFormatting>
  <conditionalFormatting sqref="W45">
    <cfRule type="expression" dxfId="2908" priority="4623">
      <formula>AND(IF($R$45,$W$45,TRUE),LEN(TRIM($W$45))&gt;0)</formula>
    </cfRule>
  </conditionalFormatting>
  <conditionalFormatting sqref="W45">
    <cfRule type="expression" dxfId="2907" priority="4622">
      <formula>OR($S$45 = FALSE, AND($P$45 = FALSE, ReportType &lt;&gt; "Final"), AND($Q$45 = FALSE, ReportType &lt;&gt; "Rough"))</formula>
    </cfRule>
  </conditionalFormatting>
  <conditionalFormatting sqref="W45">
    <cfRule type="expression" dxfId="2906" priority="4621">
      <formula>OR($T$45 = TRUE, AND(LEN(TRIM($W$45))&gt;0, $S$45 = FALSE))</formula>
    </cfRule>
  </conditionalFormatting>
  <conditionalFormatting sqref="W93">
    <cfRule type="expression" dxfId="2905" priority="4580">
      <formula>AND($R$93,$S$93)</formula>
    </cfRule>
  </conditionalFormatting>
  <conditionalFormatting sqref="W93">
    <cfRule type="expression" dxfId="2904" priority="4579">
      <formula>AND(IF($R$93,$W$93,TRUE),LEN(TRIM($W$93))&gt;0)</formula>
    </cfRule>
  </conditionalFormatting>
  <conditionalFormatting sqref="W93">
    <cfRule type="expression" dxfId="2903" priority="4578">
      <formula>OR($S$93 = FALSE, AND($P$93 = FALSE, ReportType &lt;&gt; "Final"), AND($Q$93 = FALSE, ReportType &lt;&gt; "Rough"))</formula>
    </cfRule>
  </conditionalFormatting>
  <conditionalFormatting sqref="W93">
    <cfRule type="expression" dxfId="2902" priority="4577">
      <formula>OR($T$93 = TRUE, AND(LEN(TRIM($W$93))&gt;0, $S$93 = FALSE))</formula>
    </cfRule>
  </conditionalFormatting>
  <conditionalFormatting sqref="W128">
    <cfRule type="expression" dxfId="2901" priority="4536">
      <formula>AND($R$128,$S$128)</formula>
    </cfRule>
  </conditionalFormatting>
  <conditionalFormatting sqref="W128">
    <cfRule type="expression" dxfId="2900" priority="4535">
      <formula>AND(IF($R$128,$W$128,TRUE),LEN(TRIM($W$128))&gt;0)</formula>
    </cfRule>
  </conditionalFormatting>
  <conditionalFormatting sqref="W128">
    <cfRule type="expression" dxfId="2899" priority="4534">
      <formula>OR($S$128 = FALSE, AND($P$128 = FALSE, ReportType &lt;&gt; "Final"), AND($Q$128 = FALSE, ReportType &lt;&gt; "Rough"))</formula>
    </cfRule>
  </conditionalFormatting>
  <conditionalFormatting sqref="W128">
    <cfRule type="expression" dxfId="2898" priority="4533">
      <formula>OR($T$128 = TRUE, AND(LEN(TRIM($W$128))&gt;0, $S$128 = FALSE))</formula>
    </cfRule>
  </conditionalFormatting>
  <conditionalFormatting sqref="W135">
    <cfRule type="expression" dxfId="2897" priority="4532">
      <formula>AND($R$135,$S$135)</formula>
    </cfRule>
  </conditionalFormatting>
  <conditionalFormatting sqref="W135">
    <cfRule type="expression" dxfId="2896" priority="4531">
      <formula>AND(IF($R$135,$W$135,TRUE),LEN(TRIM($W$135))&gt;0)</formula>
    </cfRule>
  </conditionalFormatting>
  <conditionalFormatting sqref="W135">
    <cfRule type="expression" dxfId="2895" priority="4530">
      <formula>OR($S$135 = FALSE, AND($P$135 = FALSE, ReportType &lt;&gt; "Final"), AND($Q$135 = FALSE, ReportType &lt;&gt; "Rough"))</formula>
    </cfRule>
  </conditionalFormatting>
  <conditionalFormatting sqref="W135">
    <cfRule type="expression" dxfId="2894" priority="4529">
      <formula>OR($T$135 = TRUE, AND(LEN(TRIM($W$135))&gt;0, $S$135 = FALSE))</formula>
    </cfRule>
  </conditionalFormatting>
  <conditionalFormatting sqref="W147">
    <cfRule type="expression" dxfId="2893" priority="4528">
      <formula>AND($R$147,$S$147)</formula>
    </cfRule>
  </conditionalFormatting>
  <conditionalFormatting sqref="W147">
    <cfRule type="expression" dxfId="2892" priority="4527">
      <formula>AND(IF($R$147,$W$147,TRUE),LEN(TRIM($W$147))&gt;0)</formula>
    </cfRule>
  </conditionalFormatting>
  <conditionalFormatting sqref="W147">
    <cfRule type="expression" dxfId="2891" priority="4526">
      <formula>OR($S$147 = FALSE, AND($P$147 = FALSE, ReportType &lt;&gt; "Final"), AND($Q$147 = FALSE, ReportType &lt;&gt; "Rough"))</formula>
    </cfRule>
  </conditionalFormatting>
  <conditionalFormatting sqref="W147">
    <cfRule type="expression" dxfId="2890" priority="4525">
      <formula>OR($T$147 = TRUE, AND(LEN(TRIM($W$147))&gt;0, $S$147 = FALSE))</formula>
    </cfRule>
  </conditionalFormatting>
  <conditionalFormatting sqref="W149">
    <cfRule type="expression" dxfId="2889" priority="4524">
      <formula>AND($R$149,$S$149)</formula>
    </cfRule>
  </conditionalFormatting>
  <conditionalFormatting sqref="W149">
    <cfRule type="expression" dxfId="2888" priority="4523">
      <formula>AND(IF($R$149,$W$149,TRUE),LEN(TRIM($W$149))&gt;0)</formula>
    </cfRule>
  </conditionalFormatting>
  <conditionalFormatting sqref="W149">
    <cfRule type="expression" dxfId="2887" priority="4522">
      <formula>OR($S$149 = FALSE, AND($P$149 = FALSE, ReportType &lt;&gt; "Final"), AND($Q$149 = FALSE, ReportType &lt;&gt; "Rough"))</formula>
    </cfRule>
  </conditionalFormatting>
  <conditionalFormatting sqref="W149">
    <cfRule type="expression" dxfId="2886" priority="4521">
      <formula>OR($T$149 = TRUE, AND(LEN(TRIM($W$149))&gt;0, $S$149 = FALSE))</formula>
    </cfRule>
  </conditionalFormatting>
  <conditionalFormatting sqref="W165">
    <cfRule type="expression" dxfId="2885" priority="4520">
      <formula>AND($R$165,$S$165)</formula>
    </cfRule>
  </conditionalFormatting>
  <conditionalFormatting sqref="W165">
    <cfRule type="expression" dxfId="2884" priority="4519">
      <formula>AND(IF($R$165,$W$165,TRUE),LEN(TRIM($W$165))&gt;0)</formula>
    </cfRule>
  </conditionalFormatting>
  <conditionalFormatting sqref="W165">
    <cfRule type="expression" dxfId="2883" priority="4518">
      <formula>OR($S$165 = FALSE, AND($P$165 = FALSE, ReportType &lt;&gt; "Final"), AND($Q$165 = FALSE, ReportType &lt;&gt; "Rough"))</formula>
    </cfRule>
  </conditionalFormatting>
  <conditionalFormatting sqref="W165">
    <cfRule type="expression" dxfId="2882" priority="4517">
      <formula>OR($T$165 = TRUE, AND(LEN(TRIM($W$165))&gt;0, $S$165 = FALSE))</formula>
    </cfRule>
  </conditionalFormatting>
  <conditionalFormatting sqref="W201">
    <cfRule type="expression" dxfId="2881" priority="4452">
      <formula>AND($R$201,$S$201)</formula>
    </cfRule>
  </conditionalFormatting>
  <conditionalFormatting sqref="W201">
    <cfRule type="expression" dxfId="2880" priority="4451">
      <formula>AND(IF($R$201,$W$201,TRUE),LEN(TRIM($W$201))&gt;0)</formula>
    </cfRule>
  </conditionalFormatting>
  <conditionalFormatting sqref="W201">
    <cfRule type="expression" dxfId="2879" priority="4450">
      <formula>OR($S$201 = FALSE, AND($P$201 = FALSE, ReportType &lt;&gt; "Final"), AND($Q$201 = FALSE, ReportType &lt;&gt; "Rough"))</formula>
    </cfRule>
  </conditionalFormatting>
  <conditionalFormatting sqref="W201">
    <cfRule type="expression" dxfId="2878" priority="4449">
      <formula>OR($T$201 = TRUE, AND(LEN(TRIM($W$201))&gt;0, $S$201 = FALSE))</formula>
    </cfRule>
  </conditionalFormatting>
  <conditionalFormatting sqref="W257">
    <cfRule type="expression" dxfId="2877" priority="4364">
      <formula>AND($R$257,$S$257)</formula>
    </cfRule>
  </conditionalFormatting>
  <conditionalFormatting sqref="W257">
    <cfRule type="expression" dxfId="2876" priority="4363">
      <formula>AND(IF($R$257,$W$257,TRUE),LEN(TRIM($W$257))&gt;0)</formula>
    </cfRule>
  </conditionalFormatting>
  <conditionalFormatting sqref="W257">
    <cfRule type="expression" dxfId="2875" priority="4362">
      <formula>OR($S$257 = FALSE, AND($P$257 = FALSE, ReportType &lt;&gt; "Final"), AND($Q$257 = FALSE, ReportType &lt;&gt; "Rough"))</formula>
    </cfRule>
  </conditionalFormatting>
  <conditionalFormatting sqref="W257">
    <cfRule type="expression" dxfId="2874" priority="4361">
      <formula>OR($T$257 = TRUE, AND(LEN(TRIM($W$257))&gt;0, $S$257 = FALSE))</formula>
    </cfRule>
  </conditionalFormatting>
  <conditionalFormatting sqref="W383">
    <cfRule type="expression" dxfId="2873" priority="4264">
      <formula>AND($R$383,$S$383)</formula>
    </cfRule>
  </conditionalFormatting>
  <conditionalFormatting sqref="W383">
    <cfRule type="expression" dxfId="2872" priority="4263">
      <formula>AND(IF($R$383,$W$383,TRUE),LEN(TRIM($W$383))&gt;0)</formula>
    </cfRule>
  </conditionalFormatting>
  <conditionalFormatting sqref="W383">
    <cfRule type="expression" dxfId="2871" priority="4262">
      <formula>OR($S$383 = FALSE, AND($P$383 = FALSE, ReportType &lt;&gt; "Final"), AND($Q$383 = FALSE, ReportType &lt;&gt; "Rough"))</formula>
    </cfRule>
  </conditionalFormatting>
  <conditionalFormatting sqref="W383">
    <cfRule type="expression" dxfId="2870" priority="4261">
      <formula>OR($T$383 = TRUE, AND(LEN(TRIM($W$383))&gt;0, $S$383 = FALSE))</formula>
    </cfRule>
  </conditionalFormatting>
  <conditionalFormatting sqref="W384">
    <cfRule type="expression" dxfId="2869" priority="4260">
      <formula>AND($R$384,$S$384)</formula>
    </cfRule>
  </conditionalFormatting>
  <conditionalFormatting sqref="W384">
    <cfRule type="expression" dxfId="2868" priority="4259">
      <formula>AND(IF($R$384,$W$384,TRUE),LEN(TRIM($W$384))&gt;0)</formula>
    </cfRule>
  </conditionalFormatting>
  <conditionalFormatting sqref="W384">
    <cfRule type="expression" dxfId="2867" priority="4258">
      <formula>OR($S$384 = FALSE, AND($P$384 = FALSE, ReportType &lt;&gt; "Final"), AND($Q$384 = FALSE, ReportType &lt;&gt; "Rough"))</formula>
    </cfRule>
  </conditionalFormatting>
  <conditionalFormatting sqref="W384">
    <cfRule type="expression" dxfId="2866" priority="4257">
      <formula>OR($T$384 = TRUE, AND(LEN(TRIM($W$384))&gt;0, $S$384 = FALSE))</formula>
    </cfRule>
  </conditionalFormatting>
  <conditionalFormatting sqref="W385">
    <cfRule type="expression" dxfId="2865" priority="4256">
      <formula>AND($R$385,$S$385)</formula>
    </cfRule>
  </conditionalFormatting>
  <conditionalFormatting sqref="W385">
    <cfRule type="expression" dxfId="2864" priority="4255">
      <formula>AND(IF($R$385,$W$385,TRUE),LEN(TRIM($W$385))&gt;0)</formula>
    </cfRule>
  </conditionalFormatting>
  <conditionalFormatting sqref="W385">
    <cfRule type="expression" dxfId="2863" priority="4254">
      <formula>OR($S$385 = FALSE, AND($P$385 = FALSE, ReportType &lt;&gt; "Final"), AND($Q$385 = FALSE, ReportType &lt;&gt; "Rough"))</formula>
    </cfRule>
  </conditionalFormatting>
  <conditionalFormatting sqref="W385">
    <cfRule type="expression" dxfId="2862" priority="4253">
      <formula>OR($T$385 = TRUE, AND(LEN(TRIM($W$385))&gt;0, $S$385 = FALSE))</formula>
    </cfRule>
  </conditionalFormatting>
  <conditionalFormatting sqref="W389">
    <cfRule type="expression" dxfId="2861" priority="4252">
      <formula>AND($R$389,$S$389)</formula>
    </cfRule>
  </conditionalFormatting>
  <conditionalFormatting sqref="W389">
    <cfRule type="expression" dxfId="2860" priority="4251">
      <formula>AND(IF($R$389,$W$389,TRUE),LEN(TRIM($W$389))&gt;0)</formula>
    </cfRule>
  </conditionalFormatting>
  <conditionalFormatting sqref="W389">
    <cfRule type="expression" dxfId="2859" priority="4250">
      <formula>OR($S$389 = FALSE, AND($P$389 = FALSE, ReportType &lt;&gt; "Final"), AND($Q$389 = FALSE, ReportType &lt;&gt; "Rough"))</formula>
    </cfRule>
  </conditionalFormatting>
  <conditionalFormatting sqref="W389">
    <cfRule type="expression" dxfId="2858" priority="4249">
      <formula>OR($T$389 = TRUE, AND(LEN(TRIM($W$389))&gt;0, $S$389 = FALSE))</formula>
    </cfRule>
  </conditionalFormatting>
  <conditionalFormatting sqref="W391">
    <cfRule type="expression" dxfId="2857" priority="4248">
      <formula>AND($R$391,$S$391)</formula>
    </cfRule>
  </conditionalFormatting>
  <conditionalFormatting sqref="W391">
    <cfRule type="expression" dxfId="2856" priority="4247">
      <formula>AND(IF($R$391,$W$391,TRUE),LEN(TRIM($W$391))&gt;0)</formula>
    </cfRule>
  </conditionalFormatting>
  <conditionalFormatting sqref="W391">
    <cfRule type="expression" dxfId="2855" priority="4246">
      <formula>OR($S$391 = FALSE, AND($P$391 = FALSE, ReportType &lt;&gt; "Final"), AND($Q$391 = FALSE, ReportType &lt;&gt; "Rough"))</formula>
    </cfRule>
  </conditionalFormatting>
  <conditionalFormatting sqref="W391">
    <cfRule type="expression" dxfId="2854" priority="4245">
      <formula>OR($T$391 = TRUE, AND(LEN(TRIM($W$391))&gt;0, $S$391 = FALSE))</formula>
    </cfRule>
  </conditionalFormatting>
  <conditionalFormatting sqref="W440">
    <cfRule type="expression" dxfId="2853" priority="4196">
      <formula>AND($R$440,$S$440)</formula>
    </cfRule>
  </conditionalFormatting>
  <conditionalFormatting sqref="W440">
    <cfRule type="expression" dxfId="2852" priority="4195">
      <formula>AND(IF($R$440,$W$440,TRUE),LEN(TRIM($W$440))&gt;0)</formula>
    </cfRule>
  </conditionalFormatting>
  <conditionalFormatting sqref="W440">
    <cfRule type="expression" dxfId="2851" priority="4194">
      <formula>OR($S$440 = FALSE, AND($P$440 = FALSE, ReportType &lt;&gt; "Final"), AND($Q$440 = FALSE, ReportType &lt;&gt; "Rough"))</formula>
    </cfRule>
  </conditionalFormatting>
  <conditionalFormatting sqref="W440">
    <cfRule type="expression" dxfId="2850" priority="4193">
      <formula>OR($T$440 = TRUE, AND(LEN(TRIM($W$440))&gt;0, $S$440 = FALSE))</formula>
    </cfRule>
  </conditionalFormatting>
  <conditionalFormatting sqref="W501">
    <cfRule type="expression" dxfId="2849" priority="4132">
      <formula>AND($R$501,$S$501)</formula>
    </cfRule>
  </conditionalFormatting>
  <conditionalFormatting sqref="W501">
    <cfRule type="expression" dxfId="2848" priority="4131">
      <formula>AND(IF($R$501,$W$501,TRUE),LEN(TRIM($W$501))&gt;0)</formula>
    </cfRule>
  </conditionalFormatting>
  <conditionalFormatting sqref="W501">
    <cfRule type="expression" dxfId="2847" priority="4130">
      <formula>OR($S$501 = FALSE, AND($P$501 = FALSE, ReportType &lt;&gt; "Final"), AND($Q$501 = FALSE, ReportType &lt;&gt; "Rough"))</formula>
    </cfRule>
  </conditionalFormatting>
  <conditionalFormatting sqref="W501">
    <cfRule type="expression" dxfId="2846" priority="4129">
      <formula>OR($T$501 = TRUE, AND(LEN(TRIM($W$501))&gt;0, $S$501 = FALSE))</formula>
    </cfRule>
  </conditionalFormatting>
  <conditionalFormatting sqref="W511">
    <cfRule type="expression" dxfId="2845" priority="4120">
      <formula>AND($R$511,$S$511)</formula>
    </cfRule>
  </conditionalFormatting>
  <conditionalFormatting sqref="W511">
    <cfRule type="expression" dxfId="2844" priority="4119">
      <formula>AND(IF($R$511,$W$511,TRUE),LEN(TRIM($W$511))&gt;0)</formula>
    </cfRule>
  </conditionalFormatting>
  <conditionalFormatting sqref="W511">
    <cfRule type="expression" dxfId="2843" priority="4118">
      <formula>OR($S$511 = FALSE, AND($P$511 = FALSE, ReportType &lt;&gt; "Final"), AND($Q$511 = FALSE, ReportType &lt;&gt; "Rough"))</formula>
    </cfRule>
  </conditionalFormatting>
  <conditionalFormatting sqref="W511">
    <cfRule type="expression" dxfId="2842" priority="4117">
      <formula>OR($T$511 = TRUE, AND(LEN(TRIM($W$511))&gt;0, $S$511 = FALSE))</formula>
    </cfRule>
  </conditionalFormatting>
  <conditionalFormatting sqref="W637">
    <cfRule type="expression" dxfId="2841" priority="4012">
      <formula>AND($R$637,$S$637)</formula>
    </cfRule>
  </conditionalFormatting>
  <conditionalFormatting sqref="W637">
    <cfRule type="expression" dxfId="2840" priority="4011">
      <formula>AND(IF($R$637,$W$637,TRUE),LEN(TRIM($W$637))&gt;0)</formula>
    </cfRule>
  </conditionalFormatting>
  <conditionalFormatting sqref="W637">
    <cfRule type="expression" dxfId="2839" priority="4010">
      <formula>OR($S$637 = FALSE, AND($P$637 = FALSE, ReportType &lt;&gt; "Final"), AND($Q$637 = FALSE, ReportType &lt;&gt; "Rough"))</formula>
    </cfRule>
  </conditionalFormatting>
  <conditionalFormatting sqref="W637">
    <cfRule type="expression" dxfId="2838" priority="4009">
      <formula>OR($T$637 = TRUE, AND(LEN(TRIM($W$637))&gt;0, $S$637 = FALSE))</formula>
    </cfRule>
  </conditionalFormatting>
  <conditionalFormatting sqref="W638">
    <cfRule type="expression" dxfId="2837" priority="4008">
      <formula>AND($R$638,$S$638)</formula>
    </cfRule>
  </conditionalFormatting>
  <conditionalFormatting sqref="W638">
    <cfRule type="expression" dxfId="2836" priority="4007">
      <formula>AND(IF($R$638,$W$638,TRUE),LEN(TRIM($W$638))&gt;0)</formula>
    </cfRule>
  </conditionalFormatting>
  <conditionalFormatting sqref="W638">
    <cfRule type="expression" dxfId="2835" priority="4006">
      <formula>OR($S$638 = FALSE, AND($P$638 = FALSE, ReportType &lt;&gt; "Final"), AND($Q$638 = FALSE, ReportType &lt;&gt; "Rough"))</formula>
    </cfRule>
  </conditionalFormatting>
  <conditionalFormatting sqref="W638">
    <cfRule type="expression" dxfId="2834" priority="4005">
      <formula>OR($T$638 = TRUE, AND(LEN(TRIM($W$638))&gt;0, $S$638 = FALSE))</formula>
    </cfRule>
  </conditionalFormatting>
  <conditionalFormatting sqref="W639">
    <cfRule type="expression" dxfId="2833" priority="4004">
      <formula>AND($R$639,$S$639)</formula>
    </cfRule>
  </conditionalFormatting>
  <conditionalFormatting sqref="W639">
    <cfRule type="expression" dxfId="2832" priority="4003">
      <formula>AND(IF($R$639,$W$639,TRUE),LEN(TRIM($W$639))&gt;0)</formula>
    </cfRule>
  </conditionalFormatting>
  <conditionalFormatting sqref="W639">
    <cfRule type="expression" dxfId="2831" priority="4002">
      <formula>OR($S$639 = FALSE, AND($P$639 = FALSE, ReportType &lt;&gt; "Final"), AND($Q$639 = FALSE, ReportType &lt;&gt; "Rough"))</formula>
    </cfRule>
  </conditionalFormatting>
  <conditionalFormatting sqref="W639">
    <cfRule type="expression" dxfId="2830" priority="4001">
      <formula>OR($T$639 = TRUE, AND(LEN(TRIM($W$639))&gt;0, $S$639 = FALSE))</formula>
    </cfRule>
  </conditionalFormatting>
  <conditionalFormatting sqref="W640">
    <cfRule type="expression" dxfId="2829" priority="4000">
      <formula>AND($R$640,$S$640)</formula>
    </cfRule>
  </conditionalFormatting>
  <conditionalFormatting sqref="W640">
    <cfRule type="expression" dxfId="2828" priority="3999">
      <formula>AND(IF($R$640,$W$640,TRUE),LEN(TRIM($W$640))&gt;0)</formula>
    </cfRule>
  </conditionalFormatting>
  <conditionalFormatting sqref="W640">
    <cfRule type="expression" dxfId="2827" priority="3998">
      <formula>OR($S$640 = FALSE, AND($P$640 = FALSE, ReportType &lt;&gt; "Final"), AND($Q$640 = FALSE, ReportType &lt;&gt; "Rough"))</formula>
    </cfRule>
  </conditionalFormatting>
  <conditionalFormatting sqref="W640">
    <cfRule type="expression" dxfId="2826" priority="3997">
      <formula>OR($T$640 = TRUE, AND(LEN(TRIM($W$640))&gt;0, $S$640 = FALSE))</formula>
    </cfRule>
  </conditionalFormatting>
  <conditionalFormatting sqref="W641">
    <cfRule type="expression" dxfId="2825" priority="3996">
      <formula>AND($R$641,$S$641)</formula>
    </cfRule>
  </conditionalFormatting>
  <conditionalFormatting sqref="W641">
    <cfRule type="expression" dxfId="2824" priority="3995">
      <formula>AND(IF($R$641,$W$641,TRUE),LEN(TRIM($W$641))&gt;0)</formula>
    </cfRule>
  </conditionalFormatting>
  <conditionalFormatting sqref="W641">
    <cfRule type="expression" dxfId="2823" priority="3994">
      <formula>OR($S$641 = FALSE, AND($P$641 = FALSE, ReportType &lt;&gt; "Final"), AND($Q$641 = FALSE, ReportType &lt;&gt; "Rough"))</formula>
    </cfRule>
  </conditionalFormatting>
  <conditionalFormatting sqref="W641">
    <cfRule type="expression" dxfId="2822" priority="3993">
      <formula>OR($T$641 = TRUE, AND(LEN(TRIM($W$641))&gt;0, $S$641 = FALSE))</formula>
    </cfRule>
  </conditionalFormatting>
  <conditionalFormatting sqref="W642">
    <cfRule type="expression" dxfId="2821" priority="3992">
      <formula>AND($R$642,$S$642)</formula>
    </cfRule>
  </conditionalFormatting>
  <conditionalFormatting sqref="W642">
    <cfRule type="expression" dxfId="2820" priority="3991">
      <formula>AND(IF($R$642,$W$642,TRUE),LEN(TRIM($W$642))&gt;0)</formula>
    </cfRule>
  </conditionalFormatting>
  <conditionalFormatting sqref="W642">
    <cfRule type="expression" dxfId="2819" priority="3990">
      <formula>OR($S$642 = FALSE, AND($P$642 = FALSE, ReportType &lt;&gt; "Final"), AND($Q$642 = FALSE, ReportType &lt;&gt; "Rough"))</formula>
    </cfRule>
  </conditionalFormatting>
  <conditionalFormatting sqref="W642">
    <cfRule type="expression" dxfId="2818" priority="3989">
      <formula>OR($T$642 = TRUE, AND(LEN(TRIM($W$642))&gt;0, $S$642 = FALSE))</formula>
    </cfRule>
  </conditionalFormatting>
  <conditionalFormatting sqref="W643">
    <cfRule type="expression" dxfId="2817" priority="3988">
      <formula>AND($R$643,$S$643)</formula>
    </cfRule>
  </conditionalFormatting>
  <conditionalFormatting sqref="W643">
    <cfRule type="expression" dxfId="2816" priority="3987">
      <formula>AND(IF($R$643,$W$643,TRUE),LEN(TRIM($W$643))&gt;0)</formula>
    </cfRule>
  </conditionalFormatting>
  <conditionalFormatting sqref="W643">
    <cfRule type="expression" dxfId="2815" priority="3986">
      <formula>OR($S$643 = FALSE, AND($P$643 = FALSE, ReportType &lt;&gt; "Final"), AND($Q$643 = FALSE, ReportType &lt;&gt; "Rough"))</formula>
    </cfRule>
  </conditionalFormatting>
  <conditionalFormatting sqref="W643">
    <cfRule type="expression" dxfId="2814" priority="3985">
      <formula>OR($T$643 = TRUE, AND(LEN(TRIM($W$643))&gt;0, $S$643 = FALSE))</formula>
    </cfRule>
  </conditionalFormatting>
  <conditionalFormatting sqref="W644">
    <cfRule type="expression" dxfId="2813" priority="3984">
      <formula>AND($R$644,$S$644)</formula>
    </cfRule>
  </conditionalFormatting>
  <conditionalFormatting sqref="W644">
    <cfRule type="expression" dxfId="2812" priority="3983">
      <formula>AND(IF($R$644,$W$644,TRUE),LEN(TRIM($W$644))&gt;0)</formula>
    </cfRule>
  </conditionalFormatting>
  <conditionalFormatting sqref="W644">
    <cfRule type="expression" dxfId="2811" priority="3982">
      <formula>OR($S$644 = FALSE, AND($P$644 = FALSE, ReportType &lt;&gt; "Final"), AND($Q$644 = FALSE, ReportType &lt;&gt; "Rough"))</formula>
    </cfRule>
  </conditionalFormatting>
  <conditionalFormatting sqref="W644">
    <cfRule type="expression" dxfId="2810" priority="3981">
      <formula>OR($T$644 = TRUE, AND(LEN(TRIM($W$644))&gt;0, $S$644 = FALSE))</formula>
    </cfRule>
  </conditionalFormatting>
  <conditionalFormatting sqref="W668">
    <cfRule type="expression" dxfId="2809" priority="3980">
      <formula>AND($R$668,$S$668)</formula>
    </cfRule>
  </conditionalFormatting>
  <conditionalFormatting sqref="W668">
    <cfRule type="expression" dxfId="2808" priority="3979">
      <formula>AND(IF($R$668,$W$668,TRUE),LEN(TRIM($W$668))&gt;0)</formula>
    </cfRule>
  </conditionalFormatting>
  <conditionalFormatting sqref="W668">
    <cfRule type="expression" dxfId="2807" priority="3978">
      <formula>OR($S$668 = FALSE, AND($P$668 = FALSE, ReportType &lt;&gt; "Final"), AND($Q$668 = FALSE, ReportType &lt;&gt; "Rough"))</formula>
    </cfRule>
  </conditionalFormatting>
  <conditionalFormatting sqref="W668">
    <cfRule type="expression" dxfId="2806" priority="3977">
      <formula>OR($T$668 = TRUE, AND(LEN(TRIM($W$668))&gt;0, $S$668 = FALSE))</formula>
    </cfRule>
  </conditionalFormatting>
  <conditionalFormatting sqref="W669">
    <cfRule type="expression" dxfId="2805" priority="3976">
      <formula>AND($R$669,$S$669)</formula>
    </cfRule>
  </conditionalFormatting>
  <conditionalFormatting sqref="W669">
    <cfRule type="expression" dxfId="2804" priority="3975">
      <formula>AND(IF($R$669,$W$669,TRUE),LEN(TRIM($W$669))&gt;0)</formula>
    </cfRule>
  </conditionalFormatting>
  <conditionalFormatting sqref="W669">
    <cfRule type="expression" dxfId="2803" priority="3974">
      <formula>OR($S$669 = FALSE, AND($P$669 = FALSE, ReportType &lt;&gt; "Final"), AND($Q$669 = FALSE, ReportType &lt;&gt; "Rough"))</formula>
    </cfRule>
  </conditionalFormatting>
  <conditionalFormatting sqref="W669">
    <cfRule type="expression" dxfId="2802" priority="3973">
      <formula>OR($T$669 = TRUE, AND(LEN(TRIM($W$669))&gt;0, $S$669 = FALSE))</formula>
    </cfRule>
  </conditionalFormatting>
  <conditionalFormatting sqref="W671">
    <cfRule type="expression" dxfId="2801" priority="3972">
      <formula>AND($R$671,$S$671)</formula>
    </cfRule>
  </conditionalFormatting>
  <conditionalFormatting sqref="W671">
    <cfRule type="expression" dxfId="2800" priority="3971">
      <formula>AND(IF($R$671,$W$671,TRUE),LEN(TRIM($W$671))&gt;0)</formula>
    </cfRule>
  </conditionalFormatting>
  <conditionalFormatting sqref="W671">
    <cfRule type="expression" dxfId="2799" priority="3970">
      <formula>OR($S$671 = FALSE, AND($P$671 = FALSE, ReportType &lt;&gt; "Final"), AND($Q$671 = FALSE, ReportType &lt;&gt; "Rough"))</formula>
    </cfRule>
  </conditionalFormatting>
  <conditionalFormatting sqref="W671">
    <cfRule type="expression" dxfId="2798" priority="3969">
      <formula>OR($T$671 = TRUE, AND(LEN(TRIM($W$671))&gt;0, $S$671 = FALSE))</formula>
    </cfRule>
  </conditionalFormatting>
  <conditionalFormatting sqref="W672">
    <cfRule type="expression" dxfId="2797" priority="3968">
      <formula>AND($R$672,$S$672)</formula>
    </cfRule>
  </conditionalFormatting>
  <conditionalFormatting sqref="W672">
    <cfRule type="expression" dxfId="2796" priority="3967">
      <formula>AND(IF($R$672,$W$672,TRUE),LEN(TRIM($W$672))&gt;0)</formula>
    </cfRule>
  </conditionalFormatting>
  <conditionalFormatting sqref="W672">
    <cfRule type="expression" dxfId="2795" priority="3966">
      <formula>OR($S$672 = FALSE, AND($P$672 = FALSE, ReportType &lt;&gt; "Final"), AND($Q$672 = FALSE, ReportType &lt;&gt; "Rough"))</formula>
    </cfRule>
  </conditionalFormatting>
  <conditionalFormatting sqref="W672">
    <cfRule type="expression" dxfId="2794" priority="3965">
      <formula>OR($T$672 = TRUE, AND(LEN(TRIM($W$672))&gt;0, $S$672 = FALSE))</formula>
    </cfRule>
  </conditionalFormatting>
  <conditionalFormatting sqref="W674">
    <cfRule type="expression" dxfId="2793" priority="3964">
      <formula>AND($R$674,$S$674)</formula>
    </cfRule>
  </conditionalFormatting>
  <conditionalFormatting sqref="W674">
    <cfRule type="expression" dxfId="2792" priority="3963">
      <formula>AND(IF($R$674,$W$674,TRUE),LEN(TRIM($W$674))&gt;0)</formula>
    </cfRule>
  </conditionalFormatting>
  <conditionalFormatting sqref="W674">
    <cfRule type="expression" dxfId="2791" priority="3962">
      <formula>OR($S$674 = FALSE, AND($P$674 = FALSE, ReportType &lt;&gt; "Final"), AND($Q$674 = FALSE, ReportType &lt;&gt; "Rough"))</formula>
    </cfRule>
  </conditionalFormatting>
  <conditionalFormatting sqref="W674">
    <cfRule type="expression" dxfId="2790" priority="3961">
      <formula>OR($T$674 = TRUE, AND(LEN(TRIM($W$674))&gt;0, $S$674 = FALSE))</formula>
    </cfRule>
  </conditionalFormatting>
  <conditionalFormatting sqref="W697">
    <cfRule type="expression" dxfId="2789" priority="3948">
      <formula>AND($R$697,$S$697)</formula>
    </cfRule>
  </conditionalFormatting>
  <conditionalFormatting sqref="W697">
    <cfRule type="expression" dxfId="2788" priority="3947">
      <formula>AND(IF($R$697,$W$697,TRUE),LEN(TRIM($W$697))&gt;0)</formula>
    </cfRule>
  </conditionalFormatting>
  <conditionalFormatting sqref="W697">
    <cfRule type="expression" dxfId="2787" priority="3946">
      <formula>OR($S$697 = FALSE, AND($P$697 = FALSE, ReportType &lt;&gt; "Final"), AND($Q$697 = FALSE, ReportType &lt;&gt; "Rough"))</formula>
    </cfRule>
  </conditionalFormatting>
  <conditionalFormatting sqref="W697">
    <cfRule type="expression" dxfId="2786" priority="3945">
      <formula>OR($T$697 = TRUE, AND(LEN(TRIM($W$697))&gt;0, $S$697 = FALSE))</formula>
    </cfRule>
  </conditionalFormatting>
  <conditionalFormatting sqref="W708">
    <cfRule type="expression" dxfId="2785" priority="3944">
      <formula>AND($R$708,$S$708)</formula>
    </cfRule>
  </conditionalFormatting>
  <conditionalFormatting sqref="W708">
    <cfRule type="expression" dxfId="2784" priority="3943">
      <formula>AND(IF($R$708,$W$708,TRUE),LEN(TRIM($W$708))&gt;0)</formula>
    </cfRule>
  </conditionalFormatting>
  <conditionalFormatting sqref="W708">
    <cfRule type="expression" dxfId="2783" priority="3942">
      <formula>OR($S$708 = FALSE, AND($P$708 = FALSE, ReportType &lt;&gt; "Final"), AND($Q$708 = FALSE, ReportType &lt;&gt; "Rough"))</formula>
    </cfRule>
  </conditionalFormatting>
  <conditionalFormatting sqref="W708">
    <cfRule type="expression" dxfId="2782" priority="3941">
      <formula>OR($T$708 = TRUE, AND(LEN(TRIM($W$708))&gt;0, $S$708 = FALSE))</formula>
    </cfRule>
  </conditionalFormatting>
  <conditionalFormatting sqref="W710">
    <cfRule type="expression" dxfId="2781" priority="3940">
      <formula>AND($R$710,$S$710)</formula>
    </cfRule>
  </conditionalFormatting>
  <conditionalFormatting sqref="W710">
    <cfRule type="expression" dxfId="2780" priority="3939">
      <formula>AND(IF($R$710,$W$710,TRUE),LEN(TRIM($W$710))&gt;0)</formula>
    </cfRule>
  </conditionalFormatting>
  <conditionalFormatting sqref="W710">
    <cfRule type="expression" dxfId="2779" priority="3938">
      <formula>OR($S$710 = FALSE, AND($P$710 = FALSE, ReportType &lt;&gt; "Final"), AND($Q$710 = FALSE, ReportType &lt;&gt; "Rough"))</formula>
    </cfRule>
  </conditionalFormatting>
  <conditionalFormatting sqref="W710">
    <cfRule type="expression" dxfId="2778" priority="3937">
      <formula>OR($T$710 = TRUE, AND(LEN(TRIM($W$710))&gt;0, $S$710 = FALSE))</formula>
    </cfRule>
  </conditionalFormatting>
  <conditionalFormatting sqref="W752">
    <cfRule type="expression" dxfId="2777" priority="3924">
      <formula>AND($R$752,$S$752)</formula>
    </cfRule>
  </conditionalFormatting>
  <conditionalFormatting sqref="W752">
    <cfRule type="expression" dxfId="2776" priority="3923">
      <formula>AND(IF($R$752,$W$752,TRUE),LEN(TRIM($W$752))&gt;0)</formula>
    </cfRule>
  </conditionalFormatting>
  <conditionalFormatting sqref="W752">
    <cfRule type="expression" dxfId="2775" priority="3922">
      <formula>OR($S$752 = FALSE, AND($P$752 = FALSE, ReportType &lt;&gt; "Final"), AND($Q$752 = FALSE, ReportType &lt;&gt; "Rough"))</formula>
    </cfRule>
  </conditionalFormatting>
  <conditionalFormatting sqref="W752">
    <cfRule type="expression" dxfId="2774" priority="3921">
      <formula>OR($T$752 = TRUE, AND(LEN(TRIM($W$752))&gt;0, $S$752 = FALSE))</formula>
    </cfRule>
  </conditionalFormatting>
  <conditionalFormatting sqref="W759">
    <cfRule type="expression" dxfId="2773" priority="3920">
      <formula>AND($R$759,$S$759)</formula>
    </cfRule>
  </conditionalFormatting>
  <conditionalFormatting sqref="W759">
    <cfRule type="expression" dxfId="2772" priority="3919">
      <formula>AND(IF($R$759,$W$759,TRUE),LEN(TRIM($W$759))&gt;0)</formula>
    </cfRule>
  </conditionalFormatting>
  <conditionalFormatting sqref="W759">
    <cfRule type="expression" dxfId="2771" priority="3918">
      <formula>OR($S$759 = FALSE, AND($P$759 = FALSE, ReportType &lt;&gt; "Final"), AND($Q$759 = FALSE, ReportType &lt;&gt; "Rough"))</formula>
    </cfRule>
  </conditionalFormatting>
  <conditionalFormatting sqref="W759">
    <cfRule type="expression" dxfId="2770" priority="3917">
      <formula>OR($T$759 = TRUE, AND(LEN(TRIM($W$759))&gt;0, $S$759 = FALSE))</formula>
    </cfRule>
  </conditionalFormatting>
  <conditionalFormatting sqref="W765">
    <cfRule type="expression" dxfId="2769" priority="3916">
      <formula>AND($R$765,$S$765)</formula>
    </cfRule>
  </conditionalFormatting>
  <conditionalFormatting sqref="W765">
    <cfRule type="expression" dxfId="2768" priority="3915">
      <formula>AND(IF($R$765,$W$765,TRUE),LEN(TRIM($W$765))&gt;0)</formula>
    </cfRule>
  </conditionalFormatting>
  <conditionalFormatting sqref="W765">
    <cfRule type="expression" dxfId="2767" priority="3914">
      <formula>OR($S$765 = FALSE, AND($P$765 = FALSE, ReportType &lt;&gt; "Final"), AND($Q$765 = FALSE, ReportType &lt;&gt; "Rough"))</formula>
    </cfRule>
  </conditionalFormatting>
  <conditionalFormatting sqref="W765">
    <cfRule type="expression" dxfId="2766" priority="3913">
      <formula>OR($T$765 = TRUE, AND(LEN(TRIM($W$765))&gt;0, $S$765 = FALSE))</formula>
    </cfRule>
  </conditionalFormatting>
  <conditionalFormatting sqref="W772">
    <cfRule type="expression" dxfId="2765" priority="3912">
      <formula>AND($R$772,$S$772)</formula>
    </cfRule>
  </conditionalFormatting>
  <conditionalFormatting sqref="W772">
    <cfRule type="expression" dxfId="2764" priority="3911">
      <formula>AND(IF($R$772,$W$772,TRUE),LEN(TRIM($W$772))&gt;0)</formula>
    </cfRule>
  </conditionalFormatting>
  <conditionalFormatting sqref="W772">
    <cfRule type="expression" dxfId="2763" priority="3910">
      <formula>OR($S$772 = FALSE, AND($P$772 = FALSE, ReportType &lt;&gt; "Final"), AND($Q$772 = FALSE, ReportType &lt;&gt; "Rough"))</formula>
    </cfRule>
  </conditionalFormatting>
  <conditionalFormatting sqref="W772">
    <cfRule type="expression" dxfId="2762" priority="3909">
      <formula>OR($T$772 = TRUE, AND(LEN(TRIM($W$772))&gt;0, $S$772 = FALSE))</formula>
    </cfRule>
  </conditionalFormatting>
  <conditionalFormatting sqref="W778">
    <cfRule type="expression" dxfId="2761" priority="3908">
      <formula>AND($R$778,$S$778)</formula>
    </cfRule>
  </conditionalFormatting>
  <conditionalFormatting sqref="W778">
    <cfRule type="expression" dxfId="2760" priority="3907">
      <formula>AND(IF($R$778,$W$778,TRUE),LEN(TRIM($W$778))&gt;0)</formula>
    </cfRule>
  </conditionalFormatting>
  <conditionalFormatting sqref="W778">
    <cfRule type="expression" dxfId="2759" priority="3906">
      <formula>OR($S$778 = FALSE, AND($P$778 = FALSE, ReportType &lt;&gt; "Final"), AND($Q$778 = FALSE, ReportType &lt;&gt; "Rough"))</formula>
    </cfRule>
  </conditionalFormatting>
  <conditionalFormatting sqref="W778">
    <cfRule type="expression" dxfId="2758" priority="3905">
      <formula>OR($T$778 = TRUE, AND(LEN(TRIM($W$778))&gt;0, $S$778 = FALSE))</formula>
    </cfRule>
  </conditionalFormatting>
  <conditionalFormatting sqref="W784">
    <cfRule type="expression" dxfId="2757" priority="3904">
      <formula>AND($R$784,$S$784)</formula>
    </cfRule>
  </conditionalFormatting>
  <conditionalFormatting sqref="W784">
    <cfRule type="expression" dxfId="2756" priority="3903">
      <formula>AND(IF($R$784,$W$784,TRUE),LEN(TRIM($W$784))&gt;0)</formula>
    </cfRule>
  </conditionalFormatting>
  <conditionalFormatting sqref="W784">
    <cfRule type="expression" dxfId="2755" priority="3902">
      <formula>OR($S$784 = FALSE, AND($P$784 = FALSE, ReportType &lt;&gt; "Final"), AND($Q$784 = FALSE, ReportType &lt;&gt; "Rough"))</formula>
    </cfRule>
  </conditionalFormatting>
  <conditionalFormatting sqref="W784">
    <cfRule type="expression" dxfId="2754" priority="3901">
      <formula>OR($T$784 = TRUE, AND(LEN(TRIM($W$784))&gt;0, $S$784 = FALSE))</formula>
    </cfRule>
  </conditionalFormatting>
  <conditionalFormatting sqref="W813">
    <cfRule type="expression" dxfId="2753" priority="3900">
      <formula>AND($R$813,$S$813)</formula>
    </cfRule>
  </conditionalFormatting>
  <conditionalFormatting sqref="W813">
    <cfRule type="expression" dxfId="2752" priority="3899">
      <formula>AND(IF($R$813,$W$813,TRUE),LEN(TRIM($W$813))&gt;0)</formula>
    </cfRule>
  </conditionalFormatting>
  <conditionalFormatting sqref="W813">
    <cfRule type="expression" dxfId="2751" priority="3898">
      <formula>OR($S$813 = FALSE, AND($P$813 = FALSE, ReportType &lt;&gt; "Final"), AND($Q$813 = FALSE, ReportType &lt;&gt; "Rough"))</formula>
    </cfRule>
  </conditionalFormatting>
  <conditionalFormatting sqref="W813">
    <cfRule type="expression" dxfId="2750" priority="3897">
      <formula>OR($T$813 = TRUE, AND(LEN(TRIM($W$813))&gt;0, $S$813 = FALSE))</formula>
    </cfRule>
  </conditionalFormatting>
  <conditionalFormatting sqref="W431">
    <cfRule type="expression" dxfId="2749" priority="3832">
      <formula>AND($R$431,$S$431)</formula>
    </cfRule>
  </conditionalFormatting>
  <conditionalFormatting sqref="W431">
    <cfRule type="expression" dxfId="2748" priority="3831">
      <formula>AND($W$431&lt;&gt;"Not Met",LEN(TRIM($W$431))&gt;0)</formula>
    </cfRule>
  </conditionalFormatting>
  <conditionalFormatting sqref="W431">
    <cfRule type="expression" dxfId="2747" priority="3830">
      <formula>OR($S$431 = FALSE, AND($P$431 = FALSE, ReportType &lt;&gt; "Final"), AND($Q$431 = FALSE, ReportType &lt;&gt; "Rough"))</formula>
    </cfRule>
  </conditionalFormatting>
  <conditionalFormatting sqref="W431">
    <cfRule type="expression" dxfId="2746" priority="3829">
      <formula>OR($T$431 = TRUE, AND(LEN(TRIM($W$431))&gt;0, $S$431 = FALSE))</formula>
    </cfRule>
  </conditionalFormatting>
  <conditionalFormatting sqref="W437">
    <cfRule type="expression" dxfId="2745" priority="3828">
      <formula>AND($R$437,$S$437)</formula>
    </cfRule>
  </conditionalFormatting>
  <conditionalFormatting sqref="W437">
    <cfRule type="expression" dxfId="2744" priority="3827">
      <formula>AND($W$437&lt;&gt;"Not Met",LEN(TRIM($W$437))&gt;0)</formula>
    </cfRule>
  </conditionalFormatting>
  <conditionalFormatting sqref="W437">
    <cfRule type="expression" dxfId="2743" priority="3826">
      <formula>OR($S$437 = FALSE, AND($P$437 = FALSE, ReportType &lt;&gt; "Final"), AND($Q$437 = FALSE, ReportType &lt;&gt; "Rough"))</formula>
    </cfRule>
  </conditionalFormatting>
  <conditionalFormatting sqref="W437">
    <cfRule type="expression" dxfId="2742" priority="3825">
      <formula>OR($T$437 = TRUE, AND(LEN(TRIM($W$437))&gt;0, $S$437 = FALSE))</formula>
    </cfRule>
  </conditionalFormatting>
  <conditionalFormatting sqref="W464">
    <cfRule type="expression" dxfId="2741" priority="3824">
      <formula>AND($R$464,$S$464)</formula>
    </cfRule>
  </conditionalFormatting>
  <conditionalFormatting sqref="W464">
    <cfRule type="expression" dxfId="2740" priority="3823">
      <formula>AND($W$464&lt;&gt;"Not Met",LEN(TRIM($W$464))&gt;0)</formula>
    </cfRule>
  </conditionalFormatting>
  <conditionalFormatting sqref="W464">
    <cfRule type="expression" dxfId="2739" priority="3822">
      <formula>OR($S$464 = FALSE, AND($P$464 = FALSE, ReportType &lt;&gt; "Final"), AND($Q$464 = FALSE, ReportType &lt;&gt; "Rough"))</formula>
    </cfRule>
  </conditionalFormatting>
  <conditionalFormatting sqref="W464">
    <cfRule type="expression" dxfId="2738" priority="3821">
      <formula>OR($T$464 = TRUE, AND(LEN(TRIM($W$464))&gt;0, $S$464 = FALSE))</formula>
    </cfRule>
  </conditionalFormatting>
  <conditionalFormatting sqref="W475">
    <cfRule type="expression" dxfId="2737" priority="3820">
      <formula>AND($R$475,$S$475)</formula>
    </cfRule>
  </conditionalFormatting>
  <conditionalFormatting sqref="W475">
    <cfRule type="expression" dxfId="2736" priority="3819">
      <formula>AND($W$475&lt;&gt;"Not Met",LEN(TRIM($W$475))&gt;0)</formula>
    </cfRule>
  </conditionalFormatting>
  <conditionalFormatting sqref="W475">
    <cfRule type="expression" dxfId="2735" priority="3818">
      <formula>OR($S$475 = FALSE, AND($P$475 = FALSE, ReportType &lt;&gt; "Final"), AND($Q$475 = FALSE, ReportType &lt;&gt; "Rough"))</formula>
    </cfRule>
  </conditionalFormatting>
  <conditionalFormatting sqref="W475">
    <cfRule type="expression" dxfId="2734" priority="3817">
      <formula>OR($T$475 = TRUE, AND(LEN(TRIM($W$475))&gt;0, $S$475 = FALSE))</formula>
    </cfRule>
  </conditionalFormatting>
  <conditionalFormatting sqref="W523">
    <cfRule type="expression" dxfId="2733" priority="3816">
      <formula>AND($R$523,$S$523)</formula>
    </cfRule>
  </conditionalFormatting>
  <conditionalFormatting sqref="W523">
    <cfRule type="expression" dxfId="2732" priority="3815">
      <formula>AND($W$523&lt;&gt;"Not Met",LEN(TRIM($W$523))&gt;0)</formula>
    </cfRule>
  </conditionalFormatting>
  <conditionalFormatting sqref="W523">
    <cfRule type="expression" dxfId="2731" priority="3814">
      <formula>OR($S$523 = FALSE, AND($P$523 = FALSE, ReportType &lt;&gt; "Final"), AND($Q$523 = FALSE, ReportType &lt;&gt; "Rough"))</formula>
    </cfRule>
  </conditionalFormatting>
  <conditionalFormatting sqref="W523">
    <cfRule type="expression" dxfId="2730" priority="3813">
      <formula>OR($T$523 = TRUE, AND(LEN(TRIM($W$523))&gt;0, $S$523 = FALSE))</formula>
    </cfRule>
  </conditionalFormatting>
  <conditionalFormatting sqref="W528">
    <cfRule type="expression" dxfId="2729" priority="3812">
      <formula>AND($R$528,$S$528)</formula>
    </cfRule>
  </conditionalFormatting>
  <conditionalFormatting sqref="W528">
    <cfRule type="expression" dxfId="2728" priority="3811">
      <formula>AND($W$528&lt;&gt;"Not Met",LEN(TRIM($W$528))&gt;0)</formula>
    </cfRule>
  </conditionalFormatting>
  <conditionalFormatting sqref="W528">
    <cfRule type="expression" dxfId="2727" priority="3810">
      <formula>OR($S$528 = FALSE, AND($P$528 = FALSE, ReportType &lt;&gt; "Final"), AND($Q$528 = FALSE, ReportType &lt;&gt; "Rough"))</formula>
    </cfRule>
  </conditionalFormatting>
  <conditionalFormatting sqref="W528">
    <cfRule type="expression" dxfId="2726" priority="3809">
      <formula>OR($T$528 = TRUE, AND(LEN(TRIM($W$528))&gt;0, $S$528 = FALSE))</formula>
    </cfRule>
  </conditionalFormatting>
  <conditionalFormatting sqref="W534">
    <cfRule type="expression" dxfId="2725" priority="3808">
      <formula>AND($R$534,$S$534)</formula>
    </cfRule>
  </conditionalFormatting>
  <conditionalFormatting sqref="W534">
    <cfRule type="expression" dxfId="2724" priority="3807">
      <formula>AND($W$534&lt;&gt;"Not Met",LEN(TRIM($W$534))&gt;0)</formula>
    </cfRule>
  </conditionalFormatting>
  <conditionalFormatting sqref="W534">
    <cfRule type="expression" dxfId="2723" priority="3806">
      <formula>OR($S$534 = FALSE, AND($P$534 = FALSE, ReportType &lt;&gt; "Final"), AND($Q$534 = FALSE, ReportType &lt;&gt; "Rough"))</formula>
    </cfRule>
  </conditionalFormatting>
  <conditionalFormatting sqref="W534">
    <cfRule type="expression" dxfId="2722" priority="3805">
      <formula>OR($T$534 = TRUE, AND(LEN(TRIM($W$534))&gt;0, $S$534 = FALSE))</formula>
    </cfRule>
  </conditionalFormatting>
  <conditionalFormatting sqref="W14">
    <cfRule type="expression" dxfId="2721" priority="3801">
      <formula>OR($T$14 = TRUE, AND($W$14 = TRUE, $S$14 = FALSE))</formula>
    </cfRule>
    <cfRule type="expression" dxfId="2720" priority="3802">
      <formula>OR($S$14 = FALSE, AND($P$14 = FALSE, ReportType &lt;&gt; "Final"), AND($Q$14 = FALSE, ReportType &lt;&gt; "Rough"))</formula>
    </cfRule>
    <cfRule type="expression" dxfId="2719" priority="3803">
      <formula>AND(IF($R$14,$W$14,TRUE),LEN(TRIM($W$14))&gt;0)</formula>
    </cfRule>
    <cfRule type="expression" dxfId="2718" priority="3804">
      <formula>AND($R$14,$S$14)</formula>
    </cfRule>
  </conditionalFormatting>
  <conditionalFormatting sqref="W16">
    <cfRule type="expression" dxfId="2717" priority="3797">
      <formula>OR($T$16 = TRUE, AND($W$16 = TRUE, $S$16 = FALSE))</formula>
    </cfRule>
    <cfRule type="expression" dxfId="2716" priority="3798">
      <formula>OR($S$16 = FALSE, AND($P$16 = FALSE, ReportType &lt;&gt; "Final"), AND($Q$16 = FALSE, ReportType &lt;&gt; "Rough"))</formula>
    </cfRule>
    <cfRule type="expression" dxfId="2715" priority="3799">
      <formula>AND(IF($R$16,$W$16,TRUE),LEN(TRIM($W$16))&gt;0)</formula>
    </cfRule>
    <cfRule type="expression" dxfId="2714" priority="3800">
      <formula>AND($R$16,$S$16)</formula>
    </cfRule>
  </conditionalFormatting>
  <conditionalFormatting sqref="W17">
    <cfRule type="expression" dxfId="2713" priority="3793">
      <formula>OR($T$17 = TRUE, AND($W$17 = TRUE, $S$17 = FALSE))</formula>
    </cfRule>
    <cfRule type="expression" dxfId="2712" priority="3794">
      <formula>OR($S$17 = FALSE, AND($P$17 = FALSE, ReportType &lt;&gt; "Final"), AND($Q$17 = FALSE, ReportType &lt;&gt; "Rough"))</formula>
    </cfRule>
    <cfRule type="expression" dxfId="2711" priority="3795">
      <formula>AND(IF($R$17,$W$17,TRUE),LEN(TRIM($W$17))&gt;0)</formula>
    </cfRule>
    <cfRule type="expression" dxfId="2710" priority="3796">
      <formula>AND($R$17,$S$17)</formula>
    </cfRule>
  </conditionalFormatting>
  <conditionalFormatting sqref="W18">
    <cfRule type="expression" dxfId="2709" priority="3792">
      <formula>AND($R$18,$S$18)</formula>
    </cfRule>
  </conditionalFormatting>
  <conditionalFormatting sqref="W18">
    <cfRule type="expression" dxfId="2708" priority="3791">
      <formula>AND(IF($R$18,$W$18,TRUE),LEN(TRIM($W$18))&gt;0)</formula>
    </cfRule>
  </conditionalFormatting>
  <conditionalFormatting sqref="W18">
    <cfRule type="expression" dxfId="2707" priority="3790">
      <formula>OR($S$18 = FALSE, AND($P$18 = FALSE, ReportType &lt;&gt; "Final"), AND($Q$18 = FALSE, ReportType &lt;&gt; "Rough"))</formula>
    </cfRule>
  </conditionalFormatting>
  <conditionalFormatting sqref="W18">
    <cfRule type="expression" dxfId="2706" priority="3789">
      <formula>OR($T$18 = TRUE, AND($W$18 = TRUE, $S$18 = FALSE))</formula>
    </cfRule>
  </conditionalFormatting>
  <conditionalFormatting sqref="W21">
    <cfRule type="expression" dxfId="2705" priority="3785">
      <formula>OR($T$21 = TRUE, AND($W$21 = TRUE, $S$21 = FALSE))</formula>
    </cfRule>
    <cfRule type="expression" dxfId="2704" priority="3786">
      <formula>OR($S$21 = FALSE, AND($P$21 = FALSE, ReportType &lt;&gt; "Final"), AND($Q$21 = FALSE, ReportType &lt;&gt; "Rough"))</formula>
    </cfRule>
    <cfRule type="expression" dxfId="2703" priority="3787">
      <formula>AND(IF($R$21,$W$21,TRUE),LEN(TRIM($W$21))&gt;0)</formula>
    </cfRule>
    <cfRule type="expression" dxfId="2702" priority="3788">
      <formula>AND($R$21,$S$21)</formula>
    </cfRule>
  </conditionalFormatting>
  <conditionalFormatting sqref="W23">
    <cfRule type="expression" dxfId="2701" priority="3784">
      <formula>AND($R$23,$S$23)</formula>
    </cfRule>
  </conditionalFormatting>
  <conditionalFormatting sqref="W23">
    <cfRule type="expression" dxfId="2700" priority="3783">
      <formula>AND(IF($R$23,$W$23,TRUE),LEN(TRIM($W$23))&gt;0)</formula>
    </cfRule>
  </conditionalFormatting>
  <conditionalFormatting sqref="W23">
    <cfRule type="expression" dxfId="2699" priority="3782">
      <formula>OR($S$23 = FALSE, AND($P$23 = FALSE, ReportType &lt;&gt; "Final"), AND($Q$23 = FALSE, ReportType &lt;&gt; "Rough"))</formula>
    </cfRule>
  </conditionalFormatting>
  <conditionalFormatting sqref="W23">
    <cfRule type="expression" dxfId="2698" priority="3781">
      <formula>OR($T$23 = TRUE, AND($W$23 = TRUE, $S$23 = FALSE))</formula>
    </cfRule>
  </conditionalFormatting>
  <conditionalFormatting sqref="W25">
    <cfRule type="expression" dxfId="2697" priority="3780">
      <formula>AND($R$25,$S$25)</formula>
    </cfRule>
  </conditionalFormatting>
  <conditionalFormatting sqref="W25">
    <cfRule type="expression" dxfId="2696" priority="3779">
      <formula>AND(IF($R$25,$W$25,TRUE),LEN(TRIM($W$25))&gt;0)</formula>
    </cfRule>
  </conditionalFormatting>
  <conditionalFormatting sqref="W25">
    <cfRule type="expression" dxfId="2695" priority="3778">
      <formula>OR($S$25 = FALSE, AND($P$25 = FALSE, ReportType &lt;&gt; "Final"), AND($Q$25 = FALSE, ReportType &lt;&gt; "Rough"))</formula>
    </cfRule>
  </conditionalFormatting>
  <conditionalFormatting sqref="W25">
    <cfRule type="expression" dxfId="2694" priority="3777">
      <formula>OR($T$25 = TRUE, AND($W$25 = TRUE, $S$25 = FALSE))</formula>
    </cfRule>
  </conditionalFormatting>
  <conditionalFormatting sqref="W27">
    <cfRule type="expression" dxfId="2693" priority="3776">
      <formula>AND($R$27,$S$27)</formula>
    </cfRule>
  </conditionalFormatting>
  <conditionalFormatting sqref="W27">
    <cfRule type="expression" dxfId="2692" priority="3775">
      <formula>AND(IF($R$27,$W$27,TRUE),LEN(TRIM($W$27))&gt;0)</formula>
    </cfRule>
  </conditionalFormatting>
  <conditionalFormatting sqref="W27">
    <cfRule type="expression" dxfId="2691" priority="3774">
      <formula>OR($S$27 = FALSE, AND($P$27 = FALSE, ReportType &lt;&gt; "Final"), AND($Q$27 = FALSE, ReportType &lt;&gt; "Rough"))</formula>
    </cfRule>
  </conditionalFormatting>
  <conditionalFormatting sqref="W27">
    <cfRule type="expression" dxfId="2690" priority="3773">
      <formula>OR($T$27 = TRUE, AND($W$27 = TRUE, $S$27 = FALSE))</formula>
    </cfRule>
  </conditionalFormatting>
  <conditionalFormatting sqref="W42">
    <cfRule type="expression" dxfId="2689" priority="3772">
      <formula>AND($R$42,$S$42)</formula>
    </cfRule>
  </conditionalFormatting>
  <conditionalFormatting sqref="W42">
    <cfRule type="expression" dxfId="2688" priority="3771">
      <formula>AND(IF($R$42,$W$42,TRUE),LEN(TRIM($W$42))&gt;0)</formula>
    </cfRule>
  </conditionalFormatting>
  <conditionalFormatting sqref="W42">
    <cfRule type="expression" dxfId="2687" priority="3770">
      <formula>OR($S$42 = FALSE, AND($P$42 = FALSE, ReportType &lt;&gt; "Final"), AND($Q$42 = FALSE, ReportType &lt;&gt; "Rough"))</formula>
    </cfRule>
  </conditionalFormatting>
  <conditionalFormatting sqref="W42">
    <cfRule type="expression" dxfId="2686" priority="3769">
      <formula>OR($T$42 = TRUE, AND($W$42 = TRUE, $S$42 = FALSE))</formula>
    </cfRule>
  </conditionalFormatting>
  <conditionalFormatting sqref="W58">
    <cfRule type="expression" dxfId="2685" priority="3768">
      <formula>AND($R$58,$S$58)</formula>
    </cfRule>
  </conditionalFormatting>
  <conditionalFormatting sqref="W58">
    <cfRule type="expression" dxfId="2684" priority="3767">
      <formula>AND(IF($R$58,$W$58,TRUE),LEN(TRIM($W$58))&gt;0)</formula>
    </cfRule>
  </conditionalFormatting>
  <conditionalFormatting sqref="W58">
    <cfRule type="expression" dxfId="2683" priority="3766">
      <formula>OR($S$58 = FALSE, AND($P$58 = FALSE, ReportType &lt;&gt; "Final"), AND($Q$58 = FALSE, ReportType &lt;&gt; "Rough"))</formula>
    </cfRule>
  </conditionalFormatting>
  <conditionalFormatting sqref="W58">
    <cfRule type="expression" dxfId="2682" priority="3765">
      <formula>OR($T$58 = TRUE, AND($W$58 = TRUE, $S$58 = FALSE))</formula>
    </cfRule>
  </conditionalFormatting>
  <conditionalFormatting sqref="W69">
    <cfRule type="expression" dxfId="2681" priority="3764">
      <formula>AND($R$69,$S$69)</formula>
    </cfRule>
  </conditionalFormatting>
  <conditionalFormatting sqref="W69">
    <cfRule type="expression" dxfId="2680" priority="3763">
      <formula>AND(IF($R$69,$W$69,TRUE),LEN(TRIM($W$69))&gt;0)</formula>
    </cfRule>
  </conditionalFormatting>
  <conditionalFormatting sqref="W69">
    <cfRule type="expression" dxfId="2679" priority="3762">
      <formula>OR($S$69 = FALSE, AND($P$69 = FALSE, ReportType &lt;&gt; "Final"), AND($Q$69 = FALSE, ReportType &lt;&gt; "Rough"))</formula>
    </cfRule>
  </conditionalFormatting>
  <conditionalFormatting sqref="W69">
    <cfRule type="expression" dxfId="2678" priority="3761">
      <formula>OR($T$69 = TRUE, AND($W$69 = TRUE, $S$69 = FALSE))</formula>
    </cfRule>
  </conditionalFormatting>
  <conditionalFormatting sqref="W71">
    <cfRule type="expression" dxfId="2677" priority="3760">
      <formula>AND($R$71,$S$71)</formula>
    </cfRule>
  </conditionalFormatting>
  <conditionalFormatting sqref="W71">
    <cfRule type="expression" dxfId="2676" priority="3759">
      <formula>AND(IF($R$71,$W$71,TRUE),LEN(TRIM($W$71))&gt;0)</formula>
    </cfRule>
  </conditionalFormatting>
  <conditionalFormatting sqref="W71">
    <cfRule type="expression" dxfId="2675" priority="3758">
      <formula>OR($S$71 = FALSE, AND($P$71 = FALSE, ReportType &lt;&gt; "Final"), AND($Q$71 = FALSE, ReportType &lt;&gt; "Rough"))</formula>
    </cfRule>
  </conditionalFormatting>
  <conditionalFormatting sqref="W71">
    <cfRule type="expression" dxfId="2674" priority="3757">
      <formula>OR($T$71 = TRUE, AND($W$71 = TRUE, $S$71 = FALSE))</formula>
    </cfRule>
  </conditionalFormatting>
  <conditionalFormatting sqref="W73">
    <cfRule type="expression" dxfId="2673" priority="3756">
      <formula>AND($R$73,$S$73)</formula>
    </cfRule>
  </conditionalFormatting>
  <conditionalFormatting sqref="W73">
    <cfRule type="expression" dxfId="2672" priority="3755">
      <formula>AND(IF($R$73,$W$73,TRUE),LEN(TRIM($W$73))&gt;0)</formula>
    </cfRule>
  </conditionalFormatting>
  <conditionalFormatting sqref="W73">
    <cfRule type="expression" dxfId="2671" priority="3754">
      <formula>OR($S$73 = FALSE, AND($P$73 = FALSE, ReportType &lt;&gt; "Final"), AND($Q$73 = FALSE, ReportType &lt;&gt; "Rough"))</formula>
    </cfRule>
  </conditionalFormatting>
  <conditionalFormatting sqref="W73">
    <cfRule type="expression" dxfId="2670" priority="3753">
      <formula>OR($T$73 = TRUE, AND($W$73 = TRUE, $S$73 = FALSE))</formula>
    </cfRule>
  </conditionalFormatting>
  <conditionalFormatting sqref="W75">
    <cfRule type="expression" dxfId="2669" priority="3752">
      <formula>AND($R$75,$S$75)</formula>
    </cfRule>
  </conditionalFormatting>
  <conditionalFormatting sqref="W75">
    <cfRule type="expression" dxfId="2668" priority="3751">
      <formula>AND(IF($R$75,$W$75,TRUE),LEN(TRIM($W$75))&gt;0)</formula>
    </cfRule>
  </conditionalFormatting>
  <conditionalFormatting sqref="W75">
    <cfRule type="expression" dxfId="2667" priority="3750">
      <formula>OR($S$75 = FALSE, AND($P$75 = FALSE, ReportType &lt;&gt; "Final"), AND($Q$75 = FALSE, ReportType &lt;&gt; "Rough"))</formula>
    </cfRule>
  </conditionalFormatting>
  <conditionalFormatting sqref="W75">
    <cfRule type="expression" dxfId="2666" priority="3749">
      <formula>OR($T$75 = TRUE, AND($W$75 = TRUE, $S$75 = FALSE))</formula>
    </cfRule>
  </conditionalFormatting>
  <conditionalFormatting sqref="W77">
    <cfRule type="expression" dxfId="2665" priority="3748">
      <formula>AND($R$77,$S$77)</formula>
    </cfRule>
  </conditionalFormatting>
  <conditionalFormatting sqref="W77">
    <cfRule type="expression" dxfId="2664" priority="3747">
      <formula>AND(IF($R$77,$W$77,TRUE),LEN(TRIM($W$77))&gt;0)</formula>
    </cfRule>
  </conditionalFormatting>
  <conditionalFormatting sqref="W77">
    <cfRule type="expression" dxfId="2663" priority="3746">
      <formula>OR($S$77 = FALSE, AND($P$77 = FALSE, ReportType &lt;&gt; "Final"), AND($Q$77 = FALSE, ReportType &lt;&gt; "Rough"))</formula>
    </cfRule>
  </conditionalFormatting>
  <conditionalFormatting sqref="W77">
    <cfRule type="expression" dxfId="2662" priority="3745">
      <formula>OR($T$77 = TRUE, AND($W$77 = TRUE, $S$77 = FALSE))</formula>
    </cfRule>
  </conditionalFormatting>
  <conditionalFormatting sqref="W79">
    <cfRule type="expression" dxfId="2661" priority="3744">
      <formula>AND($R$79,$S$79)</formula>
    </cfRule>
  </conditionalFormatting>
  <conditionalFormatting sqref="W79">
    <cfRule type="expression" dxfId="2660" priority="3743">
      <formula>AND(IF($R$79,$W$79,TRUE),LEN(TRIM($W$79))&gt;0)</formula>
    </cfRule>
  </conditionalFormatting>
  <conditionalFormatting sqref="W79">
    <cfRule type="expression" dxfId="2659" priority="3742">
      <formula>OR($S$79 = FALSE, AND($P$79 = FALSE, ReportType &lt;&gt; "Final"), AND($Q$79 = FALSE, ReportType &lt;&gt; "Rough"))</formula>
    </cfRule>
  </conditionalFormatting>
  <conditionalFormatting sqref="W79">
    <cfRule type="expression" dxfId="2658" priority="3741">
      <formula>OR($T$79 = TRUE, AND($W$79 = TRUE, $S$79 = FALSE))</formula>
    </cfRule>
  </conditionalFormatting>
  <conditionalFormatting sqref="W81">
    <cfRule type="expression" dxfId="2657" priority="3740">
      <formula>AND($R$81,$S$81)</formula>
    </cfRule>
  </conditionalFormatting>
  <conditionalFormatting sqref="W81">
    <cfRule type="expression" dxfId="2656" priority="3739">
      <formula>AND(IF($R$81,$W$81,TRUE),LEN(TRIM($W$81))&gt;0)</formula>
    </cfRule>
  </conditionalFormatting>
  <conditionalFormatting sqref="W81">
    <cfRule type="expression" dxfId="2655" priority="3738">
      <formula>OR($S$81 = FALSE, AND($P$81 = FALSE, ReportType &lt;&gt; "Final"), AND($Q$81 = FALSE, ReportType &lt;&gt; "Rough"))</formula>
    </cfRule>
  </conditionalFormatting>
  <conditionalFormatting sqref="W81">
    <cfRule type="expression" dxfId="2654" priority="3737">
      <formula>OR($T$81 = TRUE, AND($W$81 = TRUE, $S$81 = FALSE))</formula>
    </cfRule>
  </conditionalFormatting>
  <conditionalFormatting sqref="W90">
    <cfRule type="expression" dxfId="2653" priority="3736">
      <formula>AND($R$90,$S$90)</formula>
    </cfRule>
  </conditionalFormatting>
  <conditionalFormatting sqref="W90">
    <cfRule type="expression" dxfId="2652" priority="3735">
      <formula>AND(IF($R$90,$W$90,TRUE),LEN(TRIM($W$90))&gt;0)</formula>
    </cfRule>
  </conditionalFormatting>
  <conditionalFormatting sqref="W90">
    <cfRule type="expression" dxfId="2651" priority="3734">
      <formula>OR($S$90 = FALSE, AND($P$90 = FALSE, ReportType &lt;&gt; "Final"), AND($Q$90 = FALSE, ReportType &lt;&gt; "Rough"))</formula>
    </cfRule>
  </conditionalFormatting>
  <conditionalFormatting sqref="W90">
    <cfRule type="expression" dxfId="2650" priority="3733">
      <formula>OR($T$90 = TRUE, AND($W$90 = TRUE, $S$90 = FALSE))</formula>
    </cfRule>
  </conditionalFormatting>
  <conditionalFormatting sqref="W91">
    <cfRule type="expression" dxfId="2649" priority="3732">
      <formula>AND($R$91,$S$91)</formula>
    </cfRule>
  </conditionalFormatting>
  <conditionalFormatting sqref="W91">
    <cfRule type="expression" dxfId="2648" priority="3731">
      <formula>AND(IF($R$91,$W$91,TRUE),LEN(TRIM($W$91))&gt;0)</formula>
    </cfRule>
  </conditionalFormatting>
  <conditionalFormatting sqref="W91">
    <cfRule type="expression" dxfId="2647" priority="3730">
      <formula>OR($S$91 = FALSE, AND($P$91 = FALSE, ReportType &lt;&gt; "Final"), AND($Q$91 = FALSE, ReportType &lt;&gt; "Rough"))</formula>
    </cfRule>
  </conditionalFormatting>
  <conditionalFormatting sqref="W91">
    <cfRule type="expression" dxfId="2646" priority="3729">
      <formula>OR($T$91 = TRUE, AND($W$91 = TRUE, $S$91 = FALSE))</formula>
    </cfRule>
  </conditionalFormatting>
  <conditionalFormatting sqref="W98">
    <cfRule type="expression" dxfId="2645" priority="3728">
      <formula>AND($R$98,$S$98)</formula>
    </cfRule>
  </conditionalFormatting>
  <conditionalFormatting sqref="W98">
    <cfRule type="expression" dxfId="2644" priority="3727">
      <formula>AND(IF($R$98,$W$98,TRUE),LEN(TRIM($W$98))&gt;0)</formula>
    </cfRule>
  </conditionalFormatting>
  <conditionalFormatting sqref="W98">
    <cfRule type="expression" dxfId="2643" priority="3726">
      <formula>OR($S$98 = FALSE, AND($P$98 = FALSE, ReportType &lt;&gt; "Final"), AND($Q$98 = FALSE, ReportType &lt;&gt; "Rough"))</formula>
    </cfRule>
  </conditionalFormatting>
  <conditionalFormatting sqref="W98">
    <cfRule type="expression" dxfId="2642" priority="3725">
      <formula>OR($T$98 = TRUE, AND($W$98 = TRUE, $S$98 = FALSE))</formula>
    </cfRule>
  </conditionalFormatting>
  <conditionalFormatting sqref="W100">
    <cfRule type="expression" dxfId="2641" priority="3724">
      <formula>AND($R$100,$S$100)</formula>
    </cfRule>
  </conditionalFormatting>
  <conditionalFormatting sqref="W100">
    <cfRule type="expression" dxfId="2640" priority="3723">
      <formula>AND(IF($R$100,$W$100,TRUE),LEN(TRIM($W$100))&gt;0)</formula>
    </cfRule>
  </conditionalFormatting>
  <conditionalFormatting sqref="W100">
    <cfRule type="expression" dxfId="2639" priority="3722">
      <formula>OR($S$100 = FALSE, AND($P$100 = FALSE, ReportType &lt;&gt; "Final"), AND($Q$100 = FALSE, ReportType &lt;&gt; "Rough"))</formula>
    </cfRule>
  </conditionalFormatting>
  <conditionalFormatting sqref="W100">
    <cfRule type="expression" dxfId="2638" priority="3721">
      <formula>OR($T$100 = TRUE, AND($W$100 = TRUE, $S$100 = FALSE))</formula>
    </cfRule>
  </conditionalFormatting>
  <conditionalFormatting sqref="W104">
    <cfRule type="expression" dxfId="2637" priority="3720">
      <formula>AND($R$104,$S$104)</formula>
    </cfRule>
  </conditionalFormatting>
  <conditionalFormatting sqref="W104">
    <cfRule type="expression" dxfId="2636" priority="3719">
      <formula>AND(IF($R$104,$W$104,TRUE),LEN(TRIM($W$104))&gt;0)</formula>
    </cfRule>
  </conditionalFormatting>
  <conditionalFormatting sqref="W104">
    <cfRule type="expression" dxfId="2635" priority="3718">
      <formula>OR($S$104 = FALSE, AND($P$104 = FALSE, ReportType &lt;&gt; "Final"), AND($Q$104 = FALSE, ReportType &lt;&gt; "Rough"))</formula>
    </cfRule>
  </conditionalFormatting>
  <conditionalFormatting sqref="W104">
    <cfRule type="expression" dxfId="2634" priority="3717">
      <formula>OR($T$104 = TRUE, AND($W$104 = TRUE, $S$104 = FALSE))</formula>
    </cfRule>
  </conditionalFormatting>
  <conditionalFormatting sqref="W108">
    <cfRule type="expression" dxfId="2633" priority="3716">
      <formula>AND($R$108,$S$108)</formula>
    </cfRule>
  </conditionalFormatting>
  <conditionalFormatting sqref="W108">
    <cfRule type="expression" dxfId="2632" priority="3715">
      <formula>AND(IF($R$108,$W$108,TRUE),LEN(TRIM($W$108))&gt;0)</formula>
    </cfRule>
  </conditionalFormatting>
  <conditionalFormatting sqref="W108">
    <cfRule type="expression" dxfId="2631" priority="3714">
      <formula>OR($S$108 = FALSE, AND($P$108 = FALSE, ReportType &lt;&gt; "Final"), AND($Q$108 = FALSE, ReportType &lt;&gt; "Rough"))</formula>
    </cfRule>
  </conditionalFormatting>
  <conditionalFormatting sqref="W108">
    <cfRule type="expression" dxfId="2630" priority="3713">
      <formula>OR($T$108 = TRUE, AND($W$108 = TRUE, $S$108 = FALSE))</formula>
    </cfRule>
  </conditionalFormatting>
  <conditionalFormatting sqref="W109">
    <cfRule type="expression" dxfId="2629" priority="3712">
      <formula>AND($R$109,$S$109)</formula>
    </cfRule>
  </conditionalFormatting>
  <conditionalFormatting sqref="W109">
    <cfRule type="expression" dxfId="2628" priority="3711">
      <formula>AND(IF($R$109,$W$109,TRUE),LEN(TRIM($W$109))&gt;0)</formula>
    </cfRule>
  </conditionalFormatting>
  <conditionalFormatting sqref="W109">
    <cfRule type="expression" dxfId="2627" priority="3710">
      <formula>OR($S$109 = FALSE, AND($P$109 = FALSE, ReportType &lt;&gt; "Final"), AND($Q$109 = FALSE, ReportType &lt;&gt; "Rough"))</formula>
    </cfRule>
  </conditionalFormatting>
  <conditionalFormatting sqref="W109">
    <cfRule type="expression" dxfId="2626" priority="3709">
      <formula>OR($T$109 = TRUE, AND($W$109 = TRUE, $S$109 = FALSE))</formula>
    </cfRule>
  </conditionalFormatting>
  <conditionalFormatting sqref="W111">
    <cfRule type="expression" dxfId="2625" priority="3708">
      <formula>AND($R$111,$S$111)</formula>
    </cfRule>
  </conditionalFormatting>
  <conditionalFormatting sqref="W111">
    <cfRule type="expression" dxfId="2624" priority="3707">
      <formula>AND(IF($R$111,$W$111,TRUE),LEN(TRIM($W$111))&gt;0)</formula>
    </cfRule>
  </conditionalFormatting>
  <conditionalFormatting sqref="W111">
    <cfRule type="expression" dxfId="2623" priority="3706">
      <formula>OR($S$111 = FALSE, AND($P$111 = FALSE, ReportType &lt;&gt; "Final"), AND($Q$111 = FALSE, ReportType &lt;&gt; "Rough"))</formula>
    </cfRule>
  </conditionalFormatting>
  <conditionalFormatting sqref="W111">
    <cfRule type="expression" dxfId="2622" priority="3705">
      <formula>OR($T$111 = TRUE, AND($W$111 = TRUE, $S$111 = FALSE))</formula>
    </cfRule>
  </conditionalFormatting>
  <conditionalFormatting sqref="W112">
    <cfRule type="expression" dxfId="2621" priority="3704">
      <formula>AND($R$112,$S$112)</formula>
    </cfRule>
  </conditionalFormatting>
  <conditionalFormatting sqref="W112">
    <cfRule type="expression" dxfId="2620" priority="3703">
      <formula>AND(IF($R$112,$W$112,TRUE),LEN(TRIM($W$112))&gt;0)</formula>
    </cfRule>
  </conditionalFormatting>
  <conditionalFormatting sqref="W112">
    <cfRule type="expression" dxfId="2619" priority="3702">
      <formula>OR($S$112 = FALSE, AND($P$112 = FALSE, ReportType &lt;&gt; "Final"), AND($Q$112 = FALSE, ReportType &lt;&gt; "Rough"))</formula>
    </cfRule>
  </conditionalFormatting>
  <conditionalFormatting sqref="W112">
    <cfRule type="expression" dxfId="2618" priority="3701">
      <formula>OR($T$112 = TRUE, AND($W$112 = TRUE, $S$112 = FALSE))</formula>
    </cfRule>
  </conditionalFormatting>
  <conditionalFormatting sqref="W113">
    <cfRule type="expression" dxfId="2617" priority="3700">
      <formula>AND($R$113,$S$113)</formula>
    </cfRule>
  </conditionalFormatting>
  <conditionalFormatting sqref="W113">
    <cfRule type="expression" dxfId="2616" priority="3699">
      <formula>AND(IF($R$113,$W$113,TRUE),LEN(TRIM($W$113))&gt;0)</formula>
    </cfRule>
  </conditionalFormatting>
  <conditionalFormatting sqref="W113">
    <cfRule type="expression" dxfId="2615" priority="3698">
      <formula>OR($S$113 = FALSE, AND($P$113 = FALSE, ReportType &lt;&gt; "Final"), AND($Q$113 = FALSE, ReportType &lt;&gt; "Rough"))</formula>
    </cfRule>
  </conditionalFormatting>
  <conditionalFormatting sqref="W113">
    <cfRule type="expression" dxfId="2614" priority="3697">
      <formula>OR($T$113 = TRUE, AND($W$113 = TRUE, $S$113 = FALSE))</formula>
    </cfRule>
  </conditionalFormatting>
  <conditionalFormatting sqref="W121">
    <cfRule type="expression" dxfId="2613" priority="3696">
      <formula>AND($R$121,$S$121)</formula>
    </cfRule>
  </conditionalFormatting>
  <conditionalFormatting sqref="W121">
    <cfRule type="expression" dxfId="2612" priority="3695">
      <formula>AND(IF($R$121,$W$121,TRUE),LEN(TRIM($W$121))&gt;0)</formula>
    </cfRule>
  </conditionalFormatting>
  <conditionalFormatting sqref="W121">
    <cfRule type="expression" dxfId="2611" priority="3694">
      <formula>OR($S$121 = FALSE, AND($P$121 = FALSE, ReportType &lt;&gt; "Final"), AND($Q$121 = FALSE, ReportType &lt;&gt; "Rough"))</formula>
    </cfRule>
  </conditionalFormatting>
  <conditionalFormatting sqref="W121">
    <cfRule type="expression" dxfId="2610" priority="3693">
      <formula>OR($T$121 = TRUE, AND($W$121 = TRUE, $S$121 = FALSE))</formula>
    </cfRule>
  </conditionalFormatting>
  <conditionalFormatting sqref="W124">
    <cfRule type="expression" dxfId="2609" priority="3692">
      <formula>AND($R$124,$S$124)</formula>
    </cfRule>
  </conditionalFormatting>
  <conditionalFormatting sqref="W124">
    <cfRule type="expression" dxfId="2608" priority="3691">
      <formula>AND(IF($R$124,$W$124,TRUE),LEN(TRIM($W$124))&gt;0)</formula>
    </cfRule>
  </conditionalFormatting>
  <conditionalFormatting sqref="W124">
    <cfRule type="expression" dxfId="2607" priority="3690">
      <formula>OR($S$124 = FALSE, AND($P$124 = FALSE, ReportType &lt;&gt; "Final"), AND($Q$124 = FALSE, ReportType &lt;&gt; "Rough"))</formula>
    </cfRule>
  </conditionalFormatting>
  <conditionalFormatting sqref="W124">
    <cfRule type="expression" dxfId="2606" priority="3689">
      <formula>OR($T$124 = TRUE, AND($W$124 = TRUE, $S$124 = FALSE))</formula>
    </cfRule>
  </conditionalFormatting>
  <conditionalFormatting sqref="W155">
    <cfRule type="expression" dxfId="2605" priority="3688">
      <formula>AND($R$155,$S$155)</formula>
    </cfRule>
  </conditionalFormatting>
  <conditionalFormatting sqref="W155">
    <cfRule type="expression" dxfId="2604" priority="3687">
      <formula>AND(IF($R$155,$W$155,TRUE),LEN(TRIM($W$155))&gt;0)</formula>
    </cfRule>
  </conditionalFormatting>
  <conditionalFormatting sqref="W155">
    <cfRule type="expression" dxfId="2603" priority="3686">
      <formula>OR($S$155 = FALSE, AND($P$155 = FALSE, ReportType &lt;&gt; "Final"), AND($Q$155 = FALSE, ReportType &lt;&gt; "Rough"))</formula>
    </cfRule>
  </conditionalFormatting>
  <conditionalFormatting sqref="W155">
    <cfRule type="expression" dxfId="2602" priority="3685">
      <formula>OR($T$155 = TRUE, AND($W$155 = TRUE, $S$155 = FALSE))</formula>
    </cfRule>
  </conditionalFormatting>
  <conditionalFormatting sqref="W157">
    <cfRule type="expression" dxfId="2601" priority="3684">
      <formula>AND($R$157,$S$157)</formula>
    </cfRule>
  </conditionalFormatting>
  <conditionalFormatting sqref="W157">
    <cfRule type="expression" dxfId="2600" priority="3683">
      <formula>AND(IF($R$157,$W$157,TRUE),LEN(TRIM($W$157))&gt;0)</formula>
    </cfRule>
  </conditionalFormatting>
  <conditionalFormatting sqref="W157">
    <cfRule type="expression" dxfId="2599" priority="3682">
      <formula>OR($S$157 = FALSE, AND($P$157 = FALSE, ReportType &lt;&gt; "Final"), AND($Q$157 = FALSE, ReportType &lt;&gt; "Rough"))</formula>
    </cfRule>
  </conditionalFormatting>
  <conditionalFormatting sqref="W157">
    <cfRule type="expression" dxfId="2598" priority="3681">
      <formula>OR($T$157 = TRUE, AND($W$157 = TRUE, $S$157 = FALSE))</formula>
    </cfRule>
  </conditionalFormatting>
  <conditionalFormatting sqref="W160">
    <cfRule type="expression" dxfId="2597" priority="3680">
      <formula>AND($R$160,$S$160)</formula>
    </cfRule>
  </conditionalFormatting>
  <conditionalFormatting sqref="W160">
    <cfRule type="expression" dxfId="2596" priority="3679">
      <formula>AND(IF($R$160,$W$160,TRUE),LEN(TRIM($W$160))&gt;0)</formula>
    </cfRule>
  </conditionalFormatting>
  <conditionalFormatting sqref="W160">
    <cfRule type="expression" dxfId="2595" priority="3678">
      <formula>OR($S$160 = FALSE, AND($P$160 = FALSE, ReportType &lt;&gt; "Final"), AND($Q$160 = FALSE, ReportType &lt;&gt; "Rough"))</formula>
    </cfRule>
  </conditionalFormatting>
  <conditionalFormatting sqref="W160">
    <cfRule type="expression" dxfId="2594" priority="3677">
      <formula>OR($T$160 = TRUE, AND($W$160 = TRUE, $S$160 = FALSE))</formula>
    </cfRule>
  </conditionalFormatting>
  <conditionalFormatting sqref="W170">
    <cfRule type="expression" dxfId="2593" priority="3676">
      <formula>AND($R$170,$S$170)</formula>
    </cfRule>
  </conditionalFormatting>
  <conditionalFormatting sqref="W170">
    <cfRule type="expression" dxfId="2592" priority="3675">
      <formula>AND(IF($R$170,$W$170,TRUE),LEN(TRIM($W$170))&gt;0)</formula>
    </cfRule>
  </conditionalFormatting>
  <conditionalFormatting sqref="W170">
    <cfRule type="expression" dxfId="2591" priority="3674">
      <formula>OR($S$170 = FALSE, AND($P$170 = FALSE, ReportType &lt;&gt; "Final"), AND($Q$170 = FALSE, ReportType &lt;&gt; "Rough"))</formula>
    </cfRule>
  </conditionalFormatting>
  <conditionalFormatting sqref="W170">
    <cfRule type="expression" dxfId="2590" priority="3673">
      <formula>OR($T$170 = TRUE, AND($W$170 = TRUE, $S$170 = FALSE))</formula>
    </cfRule>
  </conditionalFormatting>
  <conditionalFormatting sqref="W171">
    <cfRule type="expression" dxfId="2589" priority="3672">
      <formula>AND($R$171,$S$171)</formula>
    </cfRule>
  </conditionalFormatting>
  <conditionalFormatting sqref="W171">
    <cfRule type="expression" dxfId="2588" priority="3671">
      <formula>AND(IF($R$171,$W$171,TRUE),LEN(TRIM($W$171))&gt;0)</formula>
    </cfRule>
  </conditionalFormatting>
  <conditionalFormatting sqref="W171">
    <cfRule type="expression" dxfId="2587" priority="3670">
      <formula>OR($S$171 = FALSE, AND($P$171 = FALSE, ReportType &lt;&gt; "Final"), AND($Q$171 = FALSE, ReportType &lt;&gt; "Rough"))</formula>
    </cfRule>
  </conditionalFormatting>
  <conditionalFormatting sqref="W171">
    <cfRule type="expression" dxfId="2586" priority="3669">
      <formula>OR($T$171 = TRUE, AND($W$171 = TRUE, $S$171 = FALSE))</formula>
    </cfRule>
  </conditionalFormatting>
  <conditionalFormatting sqref="W176">
    <cfRule type="expression" dxfId="2585" priority="3668">
      <formula>AND($R$176,$S$176)</formula>
    </cfRule>
  </conditionalFormatting>
  <conditionalFormatting sqref="W176">
    <cfRule type="expression" dxfId="2584" priority="3667">
      <formula>AND(IF($R$176,$W$176,TRUE),LEN(TRIM($W$176))&gt;0)</formula>
    </cfRule>
  </conditionalFormatting>
  <conditionalFormatting sqref="W176">
    <cfRule type="expression" dxfId="2583" priority="3666">
      <formula>OR($S$176 = FALSE, AND($P$176 = FALSE, ReportType &lt;&gt; "Final"), AND($Q$176 = FALSE, ReportType &lt;&gt; "Rough"))</formula>
    </cfRule>
  </conditionalFormatting>
  <conditionalFormatting sqref="W176">
    <cfRule type="expression" dxfId="2582" priority="3665">
      <formula>OR($T$176 = TRUE, AND($W$176 = TRUE, $S$176 = FALSE))</formula>
    </cfRule>
  </conditionalFormatting>
  <conditionalFormatting sqref="W178">
    <cfRule type="expression" dxfId="2581" priority="3664">
      <formula>AND($R$178,$S$178)</formula>
    </cfRule>
  </conditionalFormatting>
  <conditionalFormatting sqref="W178">
    <cfRule type="expression" dxfId="2580" priority="3663">
      <formula>AND(IF($R$178,$W$178,TRUE),LEN(TRIM($W$178))&gt;0)</formula>
    </cfRule>
  </conditionalFormatting>
  <conditionalFormatting sqref="W178">
    <cfRule type="expression" dxfId="2579" priority="3662">
      <formula>OR($S$178 = FALSE, AND($P$178 = FALSE, ReportType &lt;&gt; "Final"), AND($Q$178 = FALSE, ReportType &lt;&gt; "Rough"))</formula>
    </cfRule>
  </conditionalFormatting>
  <conditionalFormatting sqref="W178">
    <cfRule type="expression" dxfId="2578" priority="3661">
      <formula>OR($T$178 = TRUE, AND($W$178 = TRUE, $S$178 = FALSE))</formula>
    </cfRule>
  </conditionalFormatting>
  <conditionalFormatting sqref="W181">
    <cfRule type="expression" dxfId="2577" priority="3660">
      <formula>AND($R$181,$S$181)</formula>
    </cfRule>
  </conditionalFormatting>
  <conditionalFormatting sqref="W181">
    <cfRule type="expression" dxfId="2576" priority="3659">
      <formula>AND(IF($R$181,$W$181,TRUE),LEN(TRIM($W$181))&gt;0)</formula>
    </cfRule>
  </conditionalFormatting>
  <conditionalFormatting sqref="W181">
    <cfRule type="expression" dxfId="2575" priority="3658">
      <formula>OR($S$181 = FALSE, AND($P$181 = FALSE, ReportType &lt;&gt; "Final"), AND($Q$181 = FALSE, ReportType &lt;&gt; "Rough"))</formula>
    </cfRule>
  </conditionalFormatting>
  <conditionalFormatting sqref="W181">
    <cfRule type="expression" dxfId="2574" priority="3657">
      <formula>OR($T$181 = TRUE, AND($W$181 = TRUE, $S$181 = FALSE))</formula>
    </cfRule>
  </conditionalFormatting>
  <conditionalFormatting sqref="W183">
    <cfRule type="expression" dxfId="2573" priority="3656">
      <formula>AND($R$183,$S$183)</formula>
    </cfRule>
  </conditionalFormatting>
  <conditionalFormatting sqref="W183">
    <cfRule type="expression" dxfId="2572" priority="3655">
      <formula>AND(IF($R$183,$W$183,TRUE),LEN(TRIM($W$183))&gt;0)</formula>
    </cfRule>
  </conditionalFormatting>
  <conditionalFormatting sqref="W183">
    <cfRule type="expression" dxfId="2571" priority="3654">
      <formula>OR($S$183 = FALSE, AND($P$183 = FALSE, ReportType &lt;&gt; "Final"), AND($Q$183 = FALSE, ReportType &lt;&gt; "Rough"))</formula>
    </cfRule>
  </conditionalFormatting>
  <conditionalFormatting sqref="W183">
    <cfRule type="expression" dxfId="2570" priority="3653">
      <formula>OR($T$183 = TRUE, AND($W$183 = TRUE, $S$183 = FALSE))</formula>
    </cfRule>
  </conditionalFormatting>
  <conditionalFormatting sqref="W185">
    <cfRule type="expression" dxfId="2569" priority="3652">
      <formula>AND($R$185,$S$185)</formula>
    </cfRule>
  </conditionalFormatting>
  <conditionalFormatting sqref="W185">
    <cfRule type="expression" dxfId="2568" priority="3651">
      <formula>AND(IF($R$185,$W$185,TRUE),LEN(TRIM($W$185))&gt;0)</formula>
    </cfRule>
  </conditionalFormatting>
  <conditionalFormatting sqref="W185">
    <cfRule type="expression" dxfId="2567" priority="3650">
      <formula>OR($S$185 = FALSE, AND($P$185 = FALSE, ReportType &lt;&gt; "Final"), AND($Q$185 = FALSE, ReportType &lt;&gt; "Rough"))</formula>
    </cfRule>
  </conditionalFormatting>
  <conditionalFormatting sqref="W185">
    <cfRule type="expression" dxfId="2566" priority="3649">
      <formula>OR($T$185 = TRUE, AND($W$185 = TRUE, $S$185 = FALSE))</formula>
    </cfRule>
  </conditionalFormatting>
  <conditionalFormatting sqref="W189">
    <cfRule type="expression" dxfId="2565" priority="3648">
      <formula>AND($R$189,$S$189)</formula>
    </cfRule>
  </conditionalFormatting>
  <conditionalFormatting sqref="W189">
    <cfRule type="expression" dxfId="2564" priority="3647">
      <formula>AND(IF($R$189,$W$189,TRUE),LEN(TRIM($W$189))&gt;0)</formula>
    </cfRule>
  </conditionalFormatting>
  <conditionalFormatting sqref="W189">
    <cfRule type="expression" dxfId="2563" priority="3646">
      <formula>OR($S$189 = FALSE, AND($P$189 = FALSE, ReportType &lt;&gt; "Final"), AND($Q$189 = FALSE, ReportType &lt;&gt; "Rough"))</formula>
    </cfRule>
  </conditionalFormatting>
  <conditionalFormatting sqref="W189">
    <cfRule type="expression" dxfId="2562" priority="3645">
      <formula>OR($T$189 = TRUE, AND($W$189 = TRUE, $S$189 = FALSE))</formula>
    </cfRule>
  </conditionalFormatting>
  <conditionalFormatting sqref="W190">
    <cfRule type="expression" dxfId="2561" priority="3644">
      <formula>AND($R$190,$S$190)</formula>
    </cfRule>
  </conditionalFormatting>
  <conditionalFormatting sqref="W190">
    <cfRule type="expression" dxfId="2560" priority="3643">
      <formula>AND(IF($R$190,$W$190,TRUE),LEN(TRIM($W$190))&gt;0)</formula>
    </cfRule>
  </conditionalFormatting>
  <conditionalFormatting sqref="W190">
    <cfRule type="expression" dxfId="2559" priority="3642">
      <formula>OR($S$190 = FALSE, AND($P$190 = FALSE, ReportType &lt;&gt; "Final"), AND($Q$190 = FALSE, ReportType &lt;&gt; "Rough"))</formula>
    </cfRule>
  </conditionalFormatting>
  <conditionalFormatting sqref="W190">
    <cfRule type="expression" dxfId="2558" priority="3641">
      <formula>OR($T$190 = TRUE, AND($W$190 = TRUE, $S$190 = FALSE))</formula>
    </cfRule>
  </conditionalFormatting>
  <conditionalFormatting sqref="W191">
    <cfRule type="expression" dxfId="2557" priority="3640">
      <formula>AND($R$191,$S$191)</formula>
    </cfRule>
  </conditionalFormatting>
  <conditionalFormatting sqref="W191">
    <cfRule type="expression" dxfId="2556" priority="3639">
      <formula>AND(IF($R$191,$W$191,TRUE),LEN(TRIM($W$191))&gt;0)</formula>
    </cfRule>
  </conditionalFormatting>
  <conditionalFormatting sqref="W191">
    <cfRule type="expression" dxfId="2555" priority="3638">
      <formula>OR($S$191 = FALSE, AND($P$191 = FALSE, ReportType &lt;&gt; "Final"), AND($Q$191 = FALSE, ReportType &lt;&gt; "Rough"))</formula>
    </cfRule>
  </conditionalFormatting>
  <conditionalFormatting sqref="W191">
    <cfRule type="expression" dxfId="2554" priority="3637">
      <formula>OR($T$191 = TRUE, AND($W$191 = TRUE, $S$191 = FALSE))</formula>
    </cfRule>
  </conditionalFormatting>
  <conditionalFormatting sqref="W193">
    <cfRule type="expression" dxfId="2553" priority="3636">
      <formula>AND($R$193,$S$193)</formula>
    </cfRule>
  </conditionalFormatting>
  <conditionalFormatting sqref="W193">
    <cfRule type="expression" dxfId="2552" priority="3635">
      <formula>AND(IF($R$193,$W$193,TRUE),LEN(TRIM($W$193))&gt;0)</formula>
    </cfRule>
  </conditionalFormatting>
  <conditionalFormatting sqref="W193">
    <cfRule type="expression" dxfId="2551" priority="3634">
      <formula>OR($S$193 = FALSE, AND($P$193 = FALSE, ReportType &lt;&gt; "Final"), AND($Q$193 = FALSE, ReportType &lt;&gt; "Rough"))</formula>
    </cfRule>
  </conditionalFormatting>
  <conditionalFormatting sqref="W193">
    <cfRule type="expression" dxfId="2550" priority="3633">
      <formula>OR($T$193 = TRUE, AND($W$193 = TRUE, $S$193 = FALSE))</formula>
    </cfRule>
  </conditionalFormatting>
  <conditionalFormatting sqref="W208">
    <cfRule type="expression" dxfId="2549" priority="3624">
      <formula>AND($R$208,$S$208)</formula>
    </cfRule>
  </conditionalFormatting>
  <conditionalFormatting sqref="W208">
    <cfRule type="expression" dxfId="2548" priority="3623">
      <formula>AND(IF($R$208,$W$208,TRUE),LEN(TRIM($W$208))&gt;0)</formula>
    </cfRule>
  </conditionalFormatting>
  <conditionalFormatting sqref="W208">
    <cfRule type="expression" dxfId="2547" priority="3622">
      <formula>OR($S$208 = FALSE, AND($P$208 = FALSE, ReportType &lt;&gt; "Final"), AND($Q$208 = FALSE, ReportType &lt;&gt; "Rough"))</formula>
    </cfRule>
  </conditionalFormatting>
  <conditionalFormatting sqref="W208">
    <cfRule type="expression" dxfId="2546" priority="3621">
      <formula>OR($T$208 = TRUE, AND($W$208 = TRUE, $S$208 = FALSE))</formula>
    </cfRule>
  </conditionalFormatting>
  <conditionalFormatting sqref="W215">
    <cfRule type="expression" dxfId="2545" priority="3620">
      <formula>AND($R$215,$S$215)</formula>
    </cfRule>
  </conditionalFormatting>
  <conditionalFormatting sqref="W215">
    <cfRule type="expression" dxfId="2544" priority="3619">
      <formula>AND(IF($R$215,$W$215,TRUE),LEN(TRIM($W$215))&gt;0)</formula>
    </cfRule>
  </conditionalFormatting>
  <conditionalFormatting sqref="W215">
    <cfRule type="expression" dxfId="2543" priority="3618">
      <formula>OR($S$215 = FALSE, AND($P$215 = FALSE, ReportType &lt;&gt; "Final"), AND($Q$215 = FALSE, ReportType &lt;&gt; "Rough"))</formula>
    </cfRule>
  </conditionalFormatting>
  <conditionalFormatting sqref="W215">
    <cfRule type="expression" dxfId="2542" priority="3617">
      <formula>OR($T$215 = TRUE, AND($W$215 = TRUE, $S$215 = FALSE))</formula>
    </cfRule>
  </conditionalFormatting>
  <conditionalFormatting sqref="W216">
    <cfRule type="expression" dxfId="2541" priority="3616">
      <formula>AND($R$216,$S$216)</formula>
    </cfRule>
  </conditionalFormatting>
  <conditionalFormatting sqref="W216">
    <cfRule type="expression" dxfId="2540" priority="3615">
      <formula>AND(IF($R$216,$W$216,TRUE),LEN(TRIM($W$216))&gt;0)</formula>
    </cfRule>
  </conditionalFormatting>
  <conditionalFormatting sqref="W216">
    <cfRule type="expression" dxfId="2539" priority="3614">
      <formula>OR($S$216 = FALSE, AND($P$216 = FALSE, ReportType &lt;&gt; "Final"), AND($Q$216 = FALSE, ReportType &lt;&gt; "Rough"))</formula>
    </cfRule>
  </conditionalFormatting>
  <conditionalFormatting sqref="W216">
    <cfRule type="expression" dxfId="2538" priority="3613">
      <formula>OR($T$216 = TRUE, AND($W$216 = TRUE, $S$216 = FALSE))</formula>
    </cfRule>
  </conditionalFormatting>
  <conditionalFormatting sqref="W218">
    <cfRule type="expression" dxfId="2537" priority="3612">
      <formula>AND($R$218,$S$218)</formula>
    </cfRule>
  </conditionalFormatting>
  <conditionalFormatting sqref="W218">
    <cfRule type="expression" dxfId="2536" priority="3611">
      <formula>AND(IF($R$218,$W$218,TRUE),LEN(TRIM($W$218))&gt;0)</formula>
    </cfRule>
  </conditionalFormatting>
  <conditionalFormatting sqref="W218">
    <cfRule type="expression" dxfId="2535" priority="3610">
      <formula>OR($S$218 = FALSE, AND($P$218 = FALSE, ReportType &lt;&gt; "Final"), AND($Q$218 = FALSE, ReportType &lt;&gt; "Rough"))</formula>
    </cfRule>
  </conditionalFormatting>
  <conditionalFormatting sqref="W218">
    <cfRule type="expression" dxfId="2534" priority="3609">
      <formula>OR($T$218 = TRUE, AND($W$218 = TRUE, $S$218 = FALSE))</formula>
    </cfRule>
  </conditionalFormatting>
  <conditionalFormatting sqref="W223">
    <cfRule type="expression" dxfId="2533" priority="3608">
      <formula>AND($R$223,$S$223)</formula>
    </cfRule>
  </conditionalFormatting>
  <conditionalFormatting sqref="W223">
    <cfRule type="expression" dxfId="2532" priority="3607">
      <formula>AND(IF($R$223,$W$223,TRUE),LEN(TRIM($W$223))&gt;0)</formula>
    </cfRule>
  </conditionalFormatting>
  <conditionalFormatting sqref="W223">
    <cfRule type="expression" dxfId="2531" priority="3606">
      <formula>OR($S$223 = FALSE, AND($P$223 = FALSE, ReportType &lt;&gt; "Final"), AND($Q$223 = FALSE, ReportType &lt;&gt; "Rough"))</formula>
    </cfRule>
  </conditionalFormatting>
  <conditionalFormatting sqref="W223">
    <cfRule type="expression" dxfId="2530" priority="3605">
      <formula>OR($T$223 = TRUE, AND($W$223 = TRUE, $S$223 = FALSE))</formula>
    </cfRule>
  </conditionalFormatting>
  <conditionalFormatting sqref="W225">
    <cfRule type="expression" dxfId="2529" priority="3604">
      <formula>AND($R$225,$S$225)</formula>
    </cfRule>
  </conditionalFormatting>
  <conditionalFormatting sqref="W225">
    <cfRule type="expression" dxfId="2528" priority="3603">
      <formula>AND(IF($R$225,$W$225,TRUE),LEN(TRIM($W$225))&gt;0)</formula>
    </cfRule>
  </conditionalFormatting>
  <conditionalFormatting sqref="W225">
    <cfRule type="expression" dxfId="2527" priority="3602">
      <formula>OR($S$225 = FALSE, AND($P$225 = FALSE, ReportType &lt;&gt; "Final"), AND($Q$225 = FALSE, ReportType &lt;&gt; "Rough"))</formula>
    </cfRule>
  </conditionalFormatting>
  <conditionalFormatting sqref="W225">
    <cfRule type="expression" dxfId="2526" priority="3601">
      <formula>OR($T$225 = TRUE, AND($W$225 = TRUE, $S$225 = FALSE))</formula>
    </cfRule>
  </conditionalFormatting>
  <conditionalFormatting sqref="W226">
    <cfRule type="expression" dxfId="2525" priority="3600">
      <formula>AND($R$226,$S$226)</formula>
    </cfRule>
  </conditionalFormatting>
  <conditionalFormatting sqref="W226">
    <cfRule type="expression" dxfId="2524" priority="3599">
      <formula>AND(IF($R$226,$W$226,TRUE),LEN(TRIM($W$226))&gt;0)</formula>
    </cfRule>
  </conditionalFormatting>
  <conditionalFormatting sqref="W226">
    <cfRule type="expression" dxfId="2523" priority="3598">
      <formula>OR($S$226 = FALSE, AND($P$226 = FALSE, ReportType &lt;&gt; "Final"), AND($Q$226 = FALSE, ReportType &lt;&gt; "Rough"))</formula>
    </cfRule>
  </conditionalFormatting>
  <conditionalFormatting sqref="W226">
    <cfRule type="expression" dxfId="2522" priority="3597">
      <formula>OR($T$226 = TRUE, AND($W$226 = TRUE, $S$226 = FALSE))</formula>
    </cfRule>
  </conditionalFormatting>
  <conditionalFormatting sqref="W228">
    <cfRule type="expression" dxfId="2521" priority="3596">
      <formula>AND($R$228,$S$228)</formula>
    </cfRule>
  </conditionalFormatting>
  <conditionalFormatting sqref="W228">
    <cfRule type="expression" dxfId="2520" priority="3595">
      <formula>AND(IF($R$228,$W$228,TRUE),LEN(TRIM($W$228))&gt;0)</formula>
    </cfRule>
  </conditionalFormatting>
  <conditionalFormatting sqref="W228">
    <cfRule type="expression" dxfId="2519" priority="3594">
      <formula>OR($S$228 = FALSE, AND($P$228 = FALSE, ReportType &lt;&gt; "Final"), AND($Q$228 = FALSE, ReportType &lt;&gt; "Rough"))</formula>
    </cfRule>
  </conditionalFormatting>
  <conditionalFormatting sqref="W228">
    <cfRule type="expression" dxfId="2518" priority="3593">
      <formula>OR($T$228 = TRUE, AND($W$228 = TRUE, $S$228 = FALSE))</formula>
    </cfRule>
  </conditionalFormatting>
  <conditionalFormatting sqref="W230">
    <cfRule type="expression" dxfId="2517" priority="3592">
      <formula>AND($R$230,$S$230)</formula>
    </cfRule>
  </conditionalFormatting>
  <conditionalFormatting sqref="W230">
    <cfRule type="expression" dxfId="2516" priority="3591">
      <formula>AND(IF($R$230,$W$230,TRUE),LEN(TRIM($W$230))&gt;0)</formula>
    </cfRule>
  </conditionalFormatting>
  <conditionalFormatting sqref="W230">
    <cfRule type="expression" dxfId="2515" priority="3590">
      <formula>OR($S$230 = FALSE, AND($P$230 = FALSE, ReportType &lt;&gt; "Final"), AND($Q$230 = FALSE, ReportType &lt;&gt; "Rough"))</formula>
    </cfRule>
  </conditionalFormatting>
  <conditionalFormatting sqref="W230">
    <cfRule type="expression" dxfId="2514" priority="3589">
      <formula>OR($T$230 = TRUE, AND($W$230 = TRUE, $S$230 = FALSE))</formula>
    </cfRule>
  </conditionalFormatting>
  <conditionalFormatting sqref="W234">
    <cfRule type="expression" dxfId="2513" priority="3588">
      <formula>AND($R$234,$S$234)</formula>
    </cfRule>
  </conditionalFormatting>
  <conditionalFormatting sqref="W234">
    <cfRule type="expression" dxfId="2512" priority="3587">
      <formula>AND(IF($R$234,$W$234,TRUE),LEN(TRIM($W$234))&gt;0)</formula>
    </cfRule>
  </conditionalFormatting>
  <conditionalFormatting sqref="W234">
    <cfRule type="expression" dxfId="2511" priority="3586">
      <formula>OR($S$234 = FALSE, AND($P$234 = FALSE, ReportType &lt;&gt; "Final"), AND($Q$234 = FALSE, ReportType &lt;&gt; "Rough"))</formula>
    </cfRule>
  </conditionalFormatting>
  <conditionalFormatting sqref="W234">
    <cfRule type="expression" dxfId="2510" priority="3585">
      <formula>OR($T$234 = TRUE, AND($W$234 = TRUE, $S$234 = FALSE))</formula>
    </cfRule>
  </conditionalFormatting>
  <conditionalFormatting sqref="W237">
    <cfRule type="expression" dxfId="2509" priority="3584">
      <formula>AND($R$237,$S$237)</formula>
    </cfRule>
  </conditionalFormatting>
  <conditionalFormatting sqref="W237">
    <cfRule type="expression" dxfId="2508" priority="3583">
      <formula>AND(IF($R$237,$W$237,TRUE),LEN(TRIM($W$237))&gt;0)</formula>
    </cfRule>
  </conditionalFormatting>
  <conditionalFormatting sqref="W237">
    <cfRule type="expression" dxfId="2507" priority="3582">
      <formula>OR($S$237 = FALSE, AND($P$237 = FALSE, ReportType &lt;&gt; "Final"), AND($Q$237 = FALSE, ReportType &lt;&gt; "Rough"))</formula>
    </cfRule>
  </conditionalFormatting>
  <conditionalFormatting sqref="W237">
    <cfRule type="expression" dxfId="2506" priority="3581">
      <formula>OR($T$237 = TRUE, AND($W$237 = TRUE, $S$237 = FALSE))</formula>
    </cfRule>
  </conditionalFormatting>
  <conditionalFormatting sqref="W239">
    <cfRule type="expression" dxfId="2505" priority="3580">
      <formula>AND($R$239,$S$239)</formula>
    </cfRule>
  </conditionalFormatting>
  <conditionalFormatting sqref="W239">
    <cfRule type="expression" dxfId="2504" priority="3579">
      <formula>AND(IF($R$239,$W$239,TRUE),LEN(TRIM($W$239))&gt;0)</formula>
    </cfRule>
  </conditionalFormatting>
  <conditionalFormatting sqref="W239">
    <cfRule type="expression" dxfId="2503" priority="3578">
      <formula>OR($S$239 = FALSE, AND($P$239 = FALSE, ReportType &lt;&gt; "Final"), AND($Q$239 = FALSE, ReportType &lt;&gt; "Rough"))</formula>
    </cfRule>
  </conditionalFormatting>
  <conditionalFormatting sqref="W239">
    <cfRule type="expression" dxfId="2502" priority="3577">
      <formula>OR($T$239 = TRUE, AND($W$239 = TRUE, $S$239 = FALSE))</formula>
    </cfRule>
  </conditionalFormatting>
  <conditionalFormatting sqref="W240">
    <cfRule type="expression" dxfId="2501" priority="3576">
      <formula>AND($R$240,$S$240)</formula>
    </cfRule>
  </conditionalFormatting>
  <conditionalFormatting sqref="W240">
    <cfRule type="expression" dxfId="2500" priority="3575">
      <formula>AND(IF($R$240,$W$240,TRUE),LEN(TRIM($W$240))&gt;0)</formula>
    </cfRule>
  </conditionalFormatting>
  <conditionalFormatting sqref="W240">
    <cfRule type="expression" dxfId="2499" priority="3574">
      <formula>OR($S$240 = FALSE, AND($P$240 = FALSE, ReportType &lt;&gt; "Final"), AND($Q$240 = FALSE, ReportType &lt;&gt; "Rough"))</formula>
    </cfRule>
  </conditionalFormatting>
  <conditionalFormatting sqref="W240">
    <cfRule type="expression" dxfId="2498" priority="3573">
      <formula>OR($T$240 = TRUE, AND($W$240 = TRUE, $S$240 = FALSE))</formula>
    </cfRule>
  </conditionalFormatting>
  <conditionalFormatting sqref="W241">
    <cfRule type="expression" dxfId="2497" priority="3572">
      <formula>AND($R$241,$S$241)</formula>
    </cfRule>
  </conditionalFormatting>
  <conditionalFormatting sqref="W241">
    <cfRule type="expression" dxfId="2496" priority="3571">
      <formula>AND(IF($R$241,$W$241,TRUE),LEN(TRIM($W$241))&gt;0)</formula>
    </cfRule>
  </conditionalFormatting>
  <conditionalFormatting sqref="W241">
    <cfRule type="expression" dxfId="2495" priority="3570">
      <formula>OR($S$241 = FALSE, AND($P$241 = FALSE, ReportType &lt;&gt; "Final"), AND($Q$241 = FALSE, ReportType &lt;&gt; "Rough"))</formula>
    </cfRule>
  </conditionalFormatting>
  <conditionalFormatting sqref="W241">
    <cfRule type="expression" dxfId="2494" priority="3569">
      <formula>OR($T$241 = TRUE, AND($W$241 = TRUE, $S$241 = FALSE))</formula>
    </cfRule>
  </conditionalFormatting>
  <conditionalFormatting sqref="W242">
    <cfRule type="expression" dxfId="2493" priority="3568">
      <formula>AND($R$242,$S$242)</formula>
    </cfRule>
  </conditionalFormatting>
  <conditionalFormatting sqref="W242">
    <cfRule type="expression" dxfId="2492" priority="3567">
      <formula>AND(IF($R$242,$W$242,TRUE),LEN(TRIM($W$242))&gt;0)</formula>
    </cfRule>
  </conditionalFormatting>
  <conditionalFormatting sqref="W242">
    <cfRule type="expression" dxfId="2491" priority="3566">
      <formula>OR($S$242 = FALSE, AND($P$242 = FALSE, ReportType &lt;&gt; "Final"), AND($Q$242 = FALSE, ReportType &lt;&gt; "Rough"))</formula>
    </cfRule>
  </conditionalFormatting>
  <conditionalFormatting sqref="W242">
    <cfRule type="expression" dxfId="2490" priority="3565">
      <formula>OR($T$242 = TRUE, AND($W$242 = TRUE, $S$242 = FALSE))</formula>
    </cfRule>
  </conditionalFormatting>
  <conditionalFormatting sqref="W243">
    <cfRule type="expression" dxfId="2489" priority="3564">
      <formula>AND($R$243,$S$243)</formula>
    </cfRule>
  </conditionalFormatting>
  <conditionalFormatting sqref="W243">
    <cfRule type="expression" dxfId="2488" priority="3563">
      <formula>AND(IF($R$243,$W$243,TRUE),LEN(TRIM($W$243))&gt;0)</formula>
    </cfRule>
  </conditionalFormatting>
  <conditionalFormatting sqref="W243">
    <cfRule type="expression" dxfId="2487" priority="3562">
      <formula>OR($S$243 = FALSE, AND($P$243 = FALSE, ReportType &lt;&gt; "Final"), AND($Q$243 = FALSE, ReportType &lt;&gt; "Rough"))</formula>
    </cfRule>
  </conditionalFormatting>
  <conditionalFormatting sqref="W243">
    <cfRule type="expression" dxfId="2486" priority="3561">
      <formula>OR($T$243 = TRUE, AND($W$243 = TRUE, $S$243 = FALSE))</formula>
    </cfRule>
  </conditionalFormatting>
  <conditionalFormatting sqref="W244">
    <cfRule type="expression" dxfId="2485" priority="3560">
      <formula>AND($R$244,$S$244)</formula>
    </cfRule>
  </conditionalFormatting>
  <conditionalFormatting sqref="W244">
    <cfRule type="expression" dxfId="2484" priority="3559">
      <formula>AND(IF($R$244,$W$244,TRUE),LEN(TRIM($W$244))&gt;0)</formula>
    </cfRule>
  </conditionalFormatting>
  <conditionalFormatting sqref="W244">
    <cfRule type="expression" dxfId="2483" priority="3558">
      <formula>OR($S$244 = FALSE, AND($P$244 = FALSE, ReportType &lt;&gt; "Final"), AND($Q$244 = FALSE, ReportType &lt;&gt; "Rough"))</formula>
    </cfRule>
  </conditionalFormatting>
  <conditionalFormatting sqref="W244">
    <cfRule type="expression" dxfId="2482" priority="3557">
      <formula>OR($T$244 = TRUE, AND($W$244 = TRUE, $S$244 = FALSE))</formula>
    </cfRule>
  </conditionalFormatting>
  <conditionalFormatting sqref="W246">
    <cfRule type="expression" dxfId="2481" priority="3556">
      <formula>AND($R$246,$S$246)</formula>
    </cfRule>
  </conditionalFormatting>
  <conditionalFormatting sqref="W246">
    <cfRule type="expression" dxfId="2480" priority="3555">
      <formula>AND(IF($R$246,$W$246,TRUE),LEN(TRIM($W$246))&gt;0)</formula>
    </cfRule>
  </conditionalFormatting>
  <conditionalFormatting sqref="W246">
    <cfRule type="expression" dxfId="2479" priority="3554">
      <formula>OR($S$246 = FALSE, AND($P$246 = FALSE, ReportType &lt;&gt; "Final"), AND($Q$246 = FALSE, ReportType &lt;&gt; "Rough"))</formula>
    </cfRule>
  </conditionalFormatting>
  <conditionalFormatting sqref="W246">
    <cfRule type="expression" dxfId="2478" priority="3553">
      <formula>OR($T$246 = TRUE, AND($W$246 = TRUE, $S$246 = FALSE))</formula>
    </cfRule>
  </conditionalFormatting>
  <conditionalFormatting sqref="W253">
    <cfRule type="expression" dxfId="2477" priority="3552">
      <formula>AND($R$253,$S$253)</formula>
    </cfRule>
  </conditionalFormatting>
  <conditionalFormatting sqref="W253">
    <cfRule type="expression" dxfId="2476" priority="3551">
      <formula>AND(IF($R$253,$W$253,TRUE),LEN(TRIM($W$253))&gt;0)</formula>
    </cfRule>
  </conditionalFormatting>
  <conditionalFormatting sqref="W253">
    <cfRule type="expression" dxfId="2475" priority="3550">
      <formula>OR($S$253 = FALSE, AND($P$253 = FALSE, ReportType &lt;&gt; "Final"), AND($Q$253 = FALSE, ReportType &lt;&gt; "Rough"))</formula>
    </cfRule>
  </conditionalFormatting>
  <conditionalFormatting sqref="W253">
    <cfRule type="expression" dxfId="2474" priority="3549">
      <formula>OR($T$253 = TRUE, AND($W$253 = TRUE, $S$253 = FALSE))</formula>
    </cfRule>
  </conditionalFormatting>
  <conditionalFormatting sqref="W255">
    <cfRule type="expression" dxfId="2473" priority="3548">
      <formula>AND($R$255,$S$255)</formula>
    </cfRule>
  </conditionalFormatting>
  <conditionalFormatting sqref="W255">
    <cfRule type="expression" dxfId="2472" priority="3547">
      <formula>AND(IF($R$255,$W$255,TRUE),LEN(TRIM($W$255))&gt;0)</formula>
    </cfRule>
  </conditionalFormatting>
  <conditionalFormatting sqref="W255">
    <cfRule type="expression" dxfId="2471" priority="3546">
      <formula>OR($S$255 = FALSE, AND($P$255 = FALSE, ReportType &lt;&gt; "Final"), AND($Q$255 = FALSE, ReportType &lt;&gt; "Rough"))</formula>
    </cfRule>
  </conditionalFormatting>
  <conditionalFormatting sqref="W255">
    <cfRule type="expression" dxfId="2470" priority="3545">
      <formula>OR($T$255 = TRUE, AND($W$255 = TRUE, $S$255 = FALSE))</formula>
    </cfRule>
  </conditionalFormatting>
  <conditionalFormatting sqref="W264">
    <cfRule type="expression" dxfId="2469" priority="3544">
      <formula>AND($R$264,$S$264)</formula>
    </cfRule>
  </conditionalFormatting>
  <conditionalFormatting sqref="W264">
    <cfRule type="expression" dxfId="2468" priority="3543">
      <formula>AND(IF($R$264,$W$264,TRUE),LEN(TRIM($W$264))&gt;0)</formula>
    </cfRule>
  </conditionalFormatting>
  <conditionalFormatting sqref="W264">
    <cfRule type="expression" dxfId="2467" priority="3542">
      <formula>OR($S$264 = FALSE, AND($P$264 = FALSE, ReportType &lt;&gt; "Final"), AND($Q$264 = FALSE, ReportType &lt;&gt; "Rough"))</formula>
    </cfRule>
  </conditionalFormatting>
  <conditionalFormatting sqref="W264">
    <cfRule type="expression" dxfId="2466" priority="3541">
      <formula>OR($T$264 = TRUE, AND($W$264 = TRUE, $S$264 = FALSE))</formula>
    </cfRule>
  </conditionalFormatting>
  <conditionalFormatting sqref="W267">
    <cfRule type="expression" dxfId="2465" priority="3540">
      <formula>AND($R$267,$S$267)</formula>
    </cfRule>
  </conditionalFormatting>
  <conditionalFormatting sqref="W267">
    <cfRule type="expression" dxfId="2464" priority="3539">
      <formula>AND(IF($R$267,$W$267,TRUE),LEN(TRIM($W$267))&gt;0)</formula>
    </cfRule>
  </conditionalFormatting>
  <conditionalFormatting sqref="W267">
    <cfRule type="expression" dxfId="2463" priority="3538">
      <formula>OR($S$267 = FALSE, AND($P$267 = FALSE, ReportType &lt;&gt; "Final"), AND($Q$267 = FALSE, ReportType &lt;&gt; "Rough"))</formula>
    </cfRule>
  </conditionalFormatting>
  <conditionalFormatting sqref="W267">
    <cfRule type="expression" dxfId="2462" priority="3537">
      <formula>OR($T$267 = TRUE, AND($W$267 = TRUE, $S$267 = FALSE))</formula>
    </cfRule>
  </conditionalFormatting>
  <conditionalFormatting sqref="W271">
    <cfRule type="expression" dxfId="2461" priority="3536">
      <formula>AND($R$271,$S$271)</formula>
    </cfRule>
  </conditionalFormatting>
  <conditionalFormatting sqref="W271">
    <cfRule type="expression" dxfId="2460" priority="3535">
      <formula>AND(IF($R$271,$W$271,TRUE),LEN(TRIM($W$271))&gt;0)</formula>
    </cfRule>
  </conditionalFormatting>
  <conditionalFormatting sqref="W271">
    <cfRule type="expression" dxfId="2459" priority="3534">
      <formula>OR($S$271 = FALSE, AND($P$271 = FALSE, ReportType &lt;&gt; "Final"), AND($Q$271 = FALSE, ReportType &lt;&gt; "Rough"))</formula>
    </cfRule>
  </conditionalFormatting>
  <conditionalFormatting sqref="W271">
    <cfRule type="expression" dxfId="2458" priority="3533">
      <formula>OR($T$271 = TRUE, AND($W$271 = TRUE, $S$271 = FALSE))</formula>
    </cfRule>
  </conditionalFormatting>
  <conditionalFormatting sqref="W272">
    <cfRule type="expression" dxfId="2457" priority="3532">
      <formula>AND($R$272,$S$272)</formula>
    </cfRule>
  </conditionalFormatting>
  <conditionalFormatting sqref="W272">
    <cfRule type="expression" dxfId="2456" priority="3531">
      <formula>AND(IF($R$272,$W$272,TRUE),LEN(TRIM($W$272))&gt;0)</formula>
    </cfRule>
  </conditionalFormatting>
  <conditionalFormatting sqref="W272">
    <cfRule type="expression" dxfId="2455" priority="3530">
      <formula>OR($S$272 = FALSE, AND($P$272 = FALSE, ReportType &lt;&gt; "Final"), AND($Q$272 = FALSE, ReportType &lt;&gt; "Rough"))</formula>
    </cfRule>
  </conditionalFormatting>
  <conditionalFormatting sqref="W272">
    <cfRule type="expression" dxfId="2454" priority="3529">
      <formula>OR($T$272 = TRUE, AND($W$272 = TRUE, $S$272 = FALSE))</formula>
    </cfRule>
  </conditionalFormatting>
  <conditionalFormatting sqref="W282">
    <cfRule type="expression" dxfId="2453" priority="3528">
      <formula>AND($R$282,$S$282)</formula>
    </cfRule>
  </conditionalFormatting>
  <conditionalFormatting sqref="W282">
    <cfRule type="expression" dxfId="2452" priority="3527">
      <formula>AND(IF($R$282,$W$282,TRUE),LEN(TRIM($W$282))&gt;0)</formula>
    </cfRule>
  </conditionalFormatting>
  <conditionalFormatting sqref="W282">
    <cfRule type="expression" dxfId="2451" priority="3526">
      <formula>OR($S$282 = FALSE, AND($P$282 = FALSE, ReportType &lt;&gt; "Final"), AND($Q$282 = FALSE, ReportType &lt;&gt; "Rough"))</formula>
    </cfRule>
  </conditionalFormatting>
  <conditionalFormatting sqref="W282">
    <cfRule type="expression" dxfId="2450" priority="3525">
      <formula>OR($T$282 = TRUE, AND($W$282 = TRUE, $S$282 = FALSE))</formula>
    </cfRule>
  </conditionalFormatting>
  <conditionalFormatting sqref="W349">
    <cfRule type="expression" dxfId="2449" priority="3516">
      <formula>AND($R$349,$S$349)</formula>
    </cfRule>
  </conditionalFormatting>
  <conditionalFormatting sqref="W349">
    <cfRule type="expression" dxfId="2448" priority="3515">
      <formula>AND(IF($R$349,$W$349,TRUE),LEN(TRIM($W$349))&gt;0)</formula>
    </cfRule>
  </conditionalFormatting>
  <conditionalFormatting sqref="W349">
    <cfRule type="expression" dxfId="2447" priority="3514">
      <formula>OR($S$349 = FALSE, AND($P$349 = FALSE, ReportType &lt;&gt; "Final"), AND($Q$349 = FALSE, ReportType &lt;&gt; "Rough"))</formula>
    </cfRule>
  </conditionalFormatting>
  <conditionalFormatting sqref="W349">
    <cfRule type="expression" dxfId="2446" priority="3513">
      <formula>OR($T$349 = TRUE, AND($W$349 = TRUE, $S$349 = FALSE))</formula>
    </cfRule>
  </conditionalFormatting>
  <conditionalFormatting sqref="W352">
    <cfRule type="expression" dxfId="2445" priority="3512">
      <formula>AND($R$352,$S$352)</formula>
    </cfRule>
  </conditionalFormatting>
  <conditionalFormatting sqref="W352">
    <cfRule type="expression" dxfId="2444" priority="3511">
      <formula>AND(IF($R$352,$W$352,TRUE),LEN(TRIM($W$352))&gt;0)</formula>
    </cfRule>
  </conditionalFormatting>
  <conditionalFormatting sqref="W352">
    <cfRule type="expression" dxfId="2443" priority="3510">
      <formula>OR($S$352 = FALSE, AND($P$352 = FALSE, ReportType &lt;&gt; "Final"), AND($Q$352 = FALSE, ReportType &lt;&gt; "Rough"))</formula>
    </cfRule>
  </conditionalFormatting>
  <conditionalFormatting sqref="W352">
    <cfRule type="expression" dxfId="2442" priority="3509">
      <formula>OR($T$352 = TRUE, AND($W$352 = TRUE, $S$352 = FALSE))</formula>
    </cfRule>
  </conditionalFormatting>
  <conditionalFormatting sqref="W355">
    <cfRule type="expression" dxfId="2441" priority="3508">
      <formula>AND($R$355,$S$355)</formula>
    </cfRule>
  </conditionalFormatting>
  <conditionalFormatting sqref="W355">
    <cfRule type="expression" dxfId="2440" priority="3507">
      <formula>AND(IF($R$355,$W$355,TRUE),LEN(TRIM($W$355))&gt;0)</formula>
    </cfRule>
  </conditionalFormatting>
  <conditionalFormatting sqref="W355">
    <cfRule type="expression" dxfId="2439" priority="3506">
      <formula>OR($S$355 = FALSE, AND($P$355 = FALSE, ReportType &lt;&gt; "Final"), AND($Q$355 = FALSE, ReportType &lt;&gt; "Rough"))</formula>
    </cfRule>
  </conditionalFormatting>
  <conditionalFormatting sqref="W355">
    <cfRule type="expression" dxfId="2438" priority="3505">
      <formula>OR($T$355 = TRUE, AND($W$355 = TRUE, $S$355 = FALSE))</formula>
    </cfRule>
  </conditionalFormatting>
  <conditionalFormatting sqref="W359">
    <cfRule type="expression" dxfId="2437" priority="3504">
      <formula>AND($R$359,$S$359)</formula>
    </cfRule>
  </conditionalFormatting>
  <conditionalFormatting sqref="W359">
    <cfRule type="expression" dxfId="2436" priority="3503">
      <formula>AND(IF($R$359,$W$359,TRUE),LEN(TRIM($W$359))&gt;0)</formula>
    </cfRule>
  </conditionalFormatting>
  <conditionalFormatting sqref="W359">
    <cfRule type="expression" dxfId="2435" priority="3502">
      <formula>OR($S$359 = FALSE, AND($P$359 = FALSE, ReportType &lt;&gt; "Final"), AND($Q$359 = FALSE, ReportType &lt;&gt; "Rough"))</formula>
    </cfRule>
  </conditionalFormatting>
  <conditionalFormatting sqref="W359">
    <cfRule type="expression" dxfId="2434" priority="3501">
      <formula>OR($T$359 = TRUE, AND($W$359 = TRUE, $S$359 = FALSE))</formula>
    </cfRule>
  </conditionalFormatting>
  <conditionalFormatting sqref="W360">
    <cfRule type="expression" dxfId="2433" priority="3500">
      <formula>AND($R$360,$S$360)</formula>
    </cfRule>
  </conditionalFormatting>
  <conditionalFormatting sqref="W360">
    <cfRule type="expression" dxfId="2432" priority="3499">
      <formula>AND(IF($R$360,$W$360,TRUE),LEN(TRIM($W$360))&gt;0)</formula>
    </cfRule>
  </conditionalFormatting>
  <conditionalFormatting sqref="W360">
    <cfRule type="expression" dxfId="2431" priority="3498">
      <formula>OR($S$360 = FALSE, AND($P$360 = FALSE, ReportType &lt;&gt; "Final"), AND($Q$360 = FALSE, ReportType &lt;&gt; "Rough"))</formula>
    </cfRule>
  </conditionalFormatting>
  <conditionalFormatting sqref="W360">
    <cfRule type="expression" dxfId="2430" priority="3497">
      <formula>OR($T$360 = TRUE, AND($W$360 = TRUE, $S$360 = FALSE))</formula>
    </cfRule>
  </conditionalFormatting>
  <conditionalFormatting sqref="W361">
    <cfRule type="expression" dxfId="2429" priority="3496">
      <formula>AND($R$361,$S$361)</formula>
    </cfRule>
  </conditionalFormatting>
  <conditionalFormatting sqref="W361">
    <cfRule type="expression" dxfId="2428" priority="3495">
      <formula>AND(IF($R$361,$W$361,TRUE),LEN(TRIM($W$361))&gt;0)</formula>
    </cfRule>
  </conditionalFormatting>
  <conditionalFormatting sqref="W361">
    <cfRule type="expression" dxfId="2427" priority="3494">
      <formula>OR($S$361 = FALSE, AND($P$361 = FALSE, ReportType &lt;&gt; "Final"), AND($Q$361 = FALSE, ReportType &lt;&gt; "Rough"))</formula>
    </cfRule>
  </conditionalFormatting>
  <conditionalFormatting sqref="W361">
    <cfRule type="expression" dxfId="2426" priority="3493">
      <formula>OR($T$361 = TRUE, AND($W$361 = TRUE, $S$361 = FALSE))</formula>
    </cfRule>
  </conditionalFormatting>
  <conditionalFormatting sqref="W362">
    <cfRule type="expression" dxfId="2425" priority="3492">
      <formula>AND($R$362,$S$362)</formula>
    </cfRule>
  </conditionalFormatting>
  <conditionalFormatting sqref="W362">
    <cfRule type="expression" dxfId="2424" priority="3491">
      <formula>AND(IF($R$362,$W$362,TRUE),LEN(TRIM($W$362))&gt;0)</formula>
    </cfRule>
  </conditionalFormatting>
  <conditionalFormatting sqref="W362">
    <cfRule type="expression" dxfId="2423" priority="3490">
      <formula>OR($S$362 = FALSE, AND($P$362 = FALSE, ReportType &lt;&gt; "Final"), AND($Q$362 = FALSE, ReportType &lt;&gt; "Rough"))</formula>
    </cfRule>
  </conditionalFormatting>
  <conditionalFormatting sqref="W362">
    <cfRule type="expression" dxfId="2422" priority="3489">
      <formula>OR($T$362 = TRUE, AND($W$362 = TRUE, $S$362 = FALSE))</formula>
    </cfRule>
  </conditionalFormatting>
  <conditionalFormatting sqref="W363">
    <cfRule type="expression" dxfId="2421" priority="3488">
      <formula>AND($R$363,$S$363)</formula>
    </cfRule>
  </conditionalFormatting>
  <conditionalFormatting sqref="W363">
    <cfRule type="expression" dxfId="2420" priority="3487">
      <formula>AND(IF($R$363,$W$363,TRUE),LEN(TRIM($W$363))&gt;0)</formula>
    </cfRule>
  </conditionalFormatting>
  <conditionalFormatting sqref="W363">
    <cfRule type="expression" dxfId="2419" priority="3486">
      <formula>OR($S$363 = FALSE, AND($P$363 = FALSE, ReportType &lt;&gt; "Final"), AND($Q$363 = FALSE, ReportType &lt;&gt; "Rough"))</formula>
    </cfRule>
  </conditionalFormatting>
  <conditionalFormatting sqref="W363">
    <cfRule type="expression" dxfId="2418" priority="3485">
      <formula>OR($T$363 = TRUE, AND($W$363 = TRUE, $S$363 = FALSE))</formula>
    </cfRule>
  </conditionalFormatting>
  <conditionalFormatting sqref="W364">
    <cfRule type="expression" dxfId="2417" priority="3484">
      <formula>AND($R$364,$S$364)</formula>
    </cfRule>
  </conditionalFormatting>
  <conditionalFormatting sqref="W364">
    <cfRule type="expression" dxfId="2416" priority="3483">
      <formula>AND(IF($R$364,$W$364,TRUE),LEN(TRIM($W$364))&gt;0)</formula>
    </cfRule>
  </conditionalFormatting>
  <conditionalFormatting sqref="W364">
    <cfRule type="expression" dxfId="2415" priority="3482">
      <formula>OR($S$364 = FALSE, AND($P$364 = FALSE, ReportType &lt;&gt; "Final"), AND($Q$364 = FALSE, ReportType &lt;&gt; "Rough"))</formula>
    </cfRule>
  </conditionalFormatting>
  <conditionalFormatting sqref="W364">
    <cfRule type="expression" dxfId="2414" priority="3481">
      <formula>OR($T$364 = TRUE, AND($W$364 = TRUE, $S$364 = FALSE))</formula>
    </cfRule>
  </conditionalFormatting>
  <conditionalFormatting sqref="W370">
    <cfRule type="expression" dxfId="2413" priority="3480">
      <formula>AND($R$370,$S$370)</formula>
    </cfRule>
  </conditionalFormatting>
  <conditionalFormatting sqref="W370">
    <cfRule type="expression" dxfId="2412" priority="3479">
      <formula>AND(IF($R$370,$W$370,TRUE),LEN(TRIM($W$370))&gt;0)</formula>
    </cfRule>
  </conditionalFormatting>
  <conditionalFormatting sqref="W370">
    <cfRule type="expression" dxfId="2411" priority="3478">
      <formula>OR($S$370 = FALSE, AND($P$370 = FALSE, ReportType &lt;&gt; "Final"), AND($Q$370 = FALSE, ReportType &lt;&gt; "Rough"))</formula>
    </cfRule>
  </conditionalFormatting>
  <conditionalFormatting sqref="W370">
    <cfRule type="expression" dxfId="2410" priority="3477">
      <formula>OR($T$370 = TRUE, AND($W$370 = TRUE, $S$370 = FALSE))</formula>
    </cfRule>
  </conditionalFormatting>
  <conditionalFormatting sqref="W371">
    <cfRule type="expression" dxfId="2409" priority="3476">
      <formula>AND($R$371,$S$371)</formula>
    </cfRule>
  </conditionalFormatting>
  <conditionalFormatting sqref="W371">
    <cfRule type="expression" dxfId="2408" priority="3475">
      <formula>AND(IF($R$371,$W$371,TRUE),LEN(TRIM($W$371))&gt;0)</formula>
    </cfRule>
  </conditionalFormatting>
  <conditionalFormatting sqref="W371">
    <cfRule type="expression" dxfId="2407" priority="3474">
      <formula>OR($S$371 = FALSE, AND($P$371 = FALSE, ReportType &lt;&gt; "Final"), AND($Q$371 = FALSE, ReportType &lt;&gt; "Rough"))</formula>
    </cfRule>
  </conditionalFormatting>
  <conditionalFormatting sqref="W371">
    <cfRule type="expression" dxfId="2406" priority="3473">
      <formula>OR($T$371 = TRUE, AND($W$371 = TRUE, $S$371 = FALSE))</formula>
    </cfRule>
  </conditionalFormatting>
  <conditionalFormatting sqref="W372">
    <cfRule type="expression" dxfId="2405" priority="3472">
      <formula>AND($R$372,$S$372)</formula>
    </cfRule>
  </conditionalFormatting>
  <conditionalFormatting sqref="W372">
    <cfRule type="expression" dxfId="2404" priority="3471">
      <formula>AND(IF($R$372,$W$372,TRUE),LEN(TRIM($W$372))&gt;0)</formula>
    </cfRule>
  </conditionalFormatting>
  <conditionalFormatting sqref="W372">
    <cfRule type="expression" dxfId="2403" priority="3470">
      <formula>OR($S$372 = FALSE, AND($P$372 = FALSE, ReportType &lt;&gt; "Final"), AND($Q$372 = FALSE, ReportType &lt;&gt; "Rough"))</formula>
    </cfRule>
  </conditionalFormatting>
  <conditionalFormatting sqref="W372">
    <cfRule type="expression" dxfId="2402" priority="3469">
      <formula>OR($T$372 = TRUE, AND($W$372 = TRUE, $S$372 = FALSE))</formula>
    </cfRule>
  </conditionalFormatting>
  <conditionalFormatting sqref="W373">
    <cfRule type="expression" dxfId="2401" priority="3468">
      <formula>AND($R$373,$S$373)</formula>
    </cfRule>
  </conditionalFormatting>
  <conditionalFormatting sqref="W373">
    <cfRule type="expression" dxfId="2400" priority="3467">
      <formula>AND(IF($R$373,$W$373,TRUE),LEN(TRIM($W$373))&gt;0)</formula>
    </cfRule>
  </conditionalFormatting>
  <conditionalFormatting sqref="W373">
    <cfRule type="expression" dxfId="2399" priority="3466">
      <formula>OR($S$373 = FALSE, AND($P$373 = FALSE, ReportType &lt;&gt; "Final"), AND($Q$373 = FALSE, ReportType &lt;&gt; "Rough"))</formula>
    </cfRule>
  </conditionalFormatting>
  <conditionalFormatting sqref="W373">
    <cfRule type="expression" dxfId="2398" priority="3465">
      <formula>OR($T$373 = TRUE, AND($W$373 = TRUE, $S$373 = FALSE))</formula>
    </cfRule>
  </conditionalFormatting>
  <conditionalFormatting sqref="W374">
    <cfRule type="expression" dxfId="2397" priority="3464">
      <formula>AND($R$374,$S$374)</formula>
    </cfRule>
  </conditionalFormatting>
  <conditionalFormatting sqref="W374">
    <cfRule type="expression" dxfId="2396" priority="3463">
      <formula>AND(IF($R$374,$W$374,TRUE),LEN(TRIM($W$374))&gt;0)</formula>
    </cfRule>
  </conditionalFormatting>
  <conditionalFormatting sqref="W374">
    <cfRule type="expression" dxfId="2395" priority="3462">
      <formula>OR($S$374 = FALSE, AND($P$374 = FALSE, ReportType &lt;&gt; "Final"), AND($Q$374 = FALSE, ReportType &lt;&gt; "Rough"))</formula>
    </cfRule>
  </conditionalFormatting>
  <conditionalFormatting sqref="W374">
    <cfRule type="expression" dxfId="2394" priority="3461">
      <formula>OR($T$374 = TRUE, AND($W$374 = TRUE, $S$374 = FALSE))</formula>
    </cfRule>
  </conditionalFormatting>
  <conditionalFormatting sqref="W398">
    <cfRule type="expression" dxfId="2393" priority="3460">
      <formula>AND($R$398,$S$398)</formula>
    </cfRule>
  </conditionalFormatting>
  <conditionalFormatting sqref="W398">
    <cfRule type="expression" dxfId="2392" priority="3459">
      <formula>AND(IF($R$398,$W$398,TRUE),LEN(TRIM($W$398))&gt;0)</formula>
    </cfRule>
  </conditionalFormatting>
  <conditionalFormatting sqref="W398">
    <cfRule type="expression" dxfId="2391" priority="3458">
      <formula>OR($S$398 = FALSE, AND($P$398 = FALSE, ReportType &lt;&gt; "Final"), AND($Q$398 = FALSE, ReportType &lt;&gt; "Rough"))</formula>
    </cfRule>
  </conditionalFormatting>
  <conditionalFormatting sqref="W398">
    <cfRule type="expression" dxfId="2390" priority="3457">
      <formula>OR($T$398 = TRUE, AND($W$398 = TRUE, $S$398 = FALSE))</formula>
    </cfRule>
  </conditionalFormatting>
  <conditionalFormatting sqref="W414">
    <cfRule type="expression" dxfId="2389" priority="3448">
      <formula>AND($R$414,$S$414)</formula>
    </cfRule>
  </conditionalFormatting>
  <conditionalFormatting sqref="W414">
    <cfRule type="expression" dxfId="2388" priority="3447">
      <formula>AND(IF($R$414,$W$414,TRUE),LEN(TRIM($W$414))&gt;0)</formula>
    </cfRule>
  </conditionalFormatting>
  <conditionalFormatting sqref="W414">
    <cfRule type="expression" dxfId="2387" priority="3446">
      <formula>OR($S$414 = FALSE, AND($P$414 = FALSE, ReportType &lt;&gt; "Final"), AND($Q$414 = FALSE, ReportType &lt;&gt; "Rough"))</formula>
    </cfRule>
  </conditionalFormatting>
  <conditionalFormatting sqref="W414">
    <cfRule type="expression" dxfId="2386" priority="3445">
      <formula>OR($T$414 = TRUE, AND($W$414 = TRUE, $S$414 = FALSE))</formula>
    </cfRule>
  </conditionalFormatting>
  <conditionalFormatting sqref="W418">
    <cfRule type="expression" dxfId="2385" priority="3444">
      <formula>AND($R$418,$S$418)</formula>
    </cfRule>
  </conditionalFormatting>
  <conditionalFormatting sqref="W418">
    <cfRule type="expression" dxfId="2384" priority="3443">
      <formula>AND(IF($R$418,$W$418,TRUE),LEN(TRIM($W$418))&gt;0)</formula>
    </cfRule>
  </conditionalFormatting>
  <conditionalFormatting sqref="W418">
    <cfRule type="expression" dxfId="2383" priority="3442">
      <formula>OR($S$418 = FALSE, AND($P$418 = FALSE, ReportType &lt;&gt; "Final"), AND($Q$418 = FALSE, ReportType &lt;&gt; "Rough"))</formula>
    </cfRule>
  </conditionalFormatting>
  <conditionalFormatting sqref="W418">
    <cfRule type="expression" dxfId="2382" priority="3441">
      <formula>OR($T$418 = TRUE, AND($W$418 = TRUE, $S$418 = FALSE))</formula>
    </cfRule>
  </conditionalFormatting>
  <conditionalFormatting sqref="W419">
    <cfRule type="expression" dxfId="2381" priority="3440">
      <formula>AND($R$419,$S$419)</formula>
    </cfRule>
  </conditionalFormatting>
  <conditionalFormatting sqref="W419">
    <cfRule type="expression" dxfId="2380" priority="3439">
      <formula>AND(IF($R$419,$W$419,TRUE),LEN(TRIM($W$419))&gt;0)</formula>
    </cfRule>
  </conditionalFormatting>
  <conditionalFormatting sqref="W419">
    <cfRule type="expression" dxfId="2379" priority="3438">
      <formula>OR($S$419 = FALSE, AND($P$419 = FALSE, ReportType &lt;&gt; "Final"), AND($Q$419 = FALSE, ReportType &lt;&gt; "Rough"))</formula>
    </cfRule>
  </conditionalFormatting>
  <conditionalFormatting sqref="W419">
    <cfRule type="expression" dxfId="2378" priority="3437">
      <formula>OR($T$419 = TRUE, AND($W$419 = TRUE, $S$419 = FALSE))</formula>
    </cfRule>
  </conditionalFormatting>
  <conditionalFormatting sqref="W421">
    <cfRule type="expression" dxfId="2377" priority="3436">
      <formula>AND($R$421,$S$421)</formula>
    </cfRule>
  </conditionalFormatting>
  <conditionalFormatting sqref="W421">
    <cfRule type="expression" dxfId="2376" priority="3435">
      <formula>AND(IF($R$421,$W$421,TRUE),LEN(TRIM($W$421))&gt;0)</formula>
    </cfRule>
  </conditionalFormatting>
  <conditionalFormatting sqref="W421">
    <cfRule type="expression" dxfId="2375" priority="3434">
      <formula>OR($S$421 = FALSE, AND($P$421 = FALSE, ReportType &lt;&gt; "Final"), AND($Q$421 = FALSE, ReportType &lt;&gt; "Rough"))</formula>
    </cfRule>
  </conditionalFormatting>
  <conditionalFormatting sqref="W421">
    <cfRule type="expression" dxfId="2374" priority="3433">
      <formula>OR($T$421 = TRUE, AND($W$421 = TRUE, $S$421 = FALSE))</formula>
    </cfRule>
  </conditionalFormatting>
  <conditionalFormatting sqref="W423">
    <cfRule type="expression" dxfId="2373" priority="3432">
      <formula>AND($R$423,$S$423)</formula>
    </cfRule>
  </conditionalFormatting>
  <conditionalFormatting sqref="W423">
    <cfRule type="expression" dxfId="2372" priority="3431">
      <formula>AND(IF($R$423,$W$423,TRUE),LEN(TRIM($W$423))&gt;0)</formula>
    </cfRule>
  </conditionalFormatting>
  <conditionalFormatting sqref="W423">
    <cfRule type="expression" dxfId="2371" priority="3430">
      <formula>OR($S$423 = FALSE, AND($P$423 = FALSE, ReportType &lt;&gt; "Final"), AND($Q$423 = FALSE, ReportType &lt;&gt; "Rough"))</formula>
    </cfRule>
  </conditionalFormatting>
  <conditionalFormatting sqref="W423">
    <cfRule type="expression" dxfId="2370" priority="3429">
      <formula>OR($T$423 = TRUE, AND($W$423 = TRUE, $S$423 = FALSE))</formula>
    </cfRule>
  </conditionalFormatting>
  <conditionalFormatting sqref="W429">
    <cfRule type="expression" dxfId="2369" priority="3428">
      <formula>AND($R$429,$S$429)</formula>
    </cfRule>
  </conditionalFormatting>
  <conditionalFormatting sqref="W429">
    <cfRule type="expression" dxfId="2368" priority="3427">
      <formula>AND(IF($R$429,$W$429,TRUE),LEN(TRIM($W$429))&gt;0)</formula>
    </cfRule>
  </conditionalFormatting>
  <conditionalFormatting sqref="W429">
    <cfRule type="expression" dxfId="2367" priority="3426">
      <formula>OR($S$429 = FALSE, AND($P$429 = FALSE, ReportType &lt;&gt; "Final"), AND($Q$429 = FALSE, ReportType &lt;&gt; "Rough"))</formula>
    </cfRule>
  </conditionalFormatting>
  <conditionalFormatting sqref="W429">
    <cfRule type="expression" dxfId="2366" priority="3425">
      <formula>OR($T$429 = TRUE, AND($W$429 = TRUE, $S$429 = FALSE))</formula>
    </cfRule>
  </conditionalFormatting>
  <conditionalFormatting sqref="W435">
    <cfRule type="expression" dxfId="2365" priority="3424">
      <formula>AND($R$435,$S$435)</formula>
    </cfRule>
  </conditionalFormatting>
  <conditionalFormatting sqref="W435">
    <cfRule type="expression" dxfId="2364" priority="3423">
      <formula>AND(IF($R$435,$W$435,TRUE),LEN(TRIM($W$435))&gt;0)</formula>
    </cfRule>
  </conditionalFormatting>
  <conditionalFormatting sqref="W435">
    <cfRule type="expression" dxfId="2363" priority="3422">
      <formula>OR($S$435 = FALSE, AND($P$435 = FALSE, ReportType &lt;&gt; "Final"), AND($Q$435 = FALSE, ReportType &lt;&gt; "Rough"))</formula>
    </cfRule>
  </conditionalFormatting>
  <conditionalFormatting sqref="W435">
    <cfRule type="expression" dxfId="2362" priority="3421">
      <formula>OR($T$435 = TRUE, AND($W$435 = TRUE, $S$435 = FALSE))</formula>
    </cfRule>
  </conditionalFormatting>
  <conditionalFormatting sqref="W441">
    <cfRule type="expression" dxfId="2361" priority="3420">
      <formula>AND($R$441,$S$441)</formula>
    </cfRule>
  </conditionalFormatting>
  <conditionalFormatting sqref="W441">
    <cfRule type="expression" dxfId="2360" priority="3419">
      <formula>AND(IF($R$441,$W$441,TRUE),LEN(TRIM($W$441))&gt;0)</formula>
    </cfRule>
  </conditionalFormatting>
  <conditionalFormatting sqref="W441">
    <cfRule type="expression" dxfId="2359" priority="3418">
      <formula>OR($S$441 = FALSE, AND($P$441 = FALSE, ReportType &lt;&gt; "Final"), AND($Q$441 = FALSE, ReportType &lt;&gt; "Rough"))</formula>
    </cfRule>
  </conditionalFormatting>
  <conditionalFormatting sqref="W441">
    <cfRule type="expression" dxfId="2358" priority="3417">
      <formula>OR($T$441 = TRUE, AND($W$441 = TRUE, $S$441 = FALSE))</formula>
    </cfRule>
  </conditionalFormatting>
  <conditionalFormatting sqref="W443">
    <cfRule type="expression" dxfId="2357" priority="3416">
      <formula>AND($R$443,$S$443)</formula>
    </cfRule>
  </conditionalFormatting>
  <conditionalFormatting sqref="W443">
    <cfRule type="expression" dxfId="2356" priority="3415">
      <formula>AND(IF($R$443,$W$443,TRUE),LEN(TRIM($W$443))&gt;0)</formula>
    </cfRule>
  </conditionalFormatting>
  <conditionalFormatting sqref="W443">
    <cfRule type="expression" dxfId="2355" priority="3414">
      <formula>OR($S$443 = FALSE, AND($P$443 = FALSE, ReportType &lt;&gt; "Final"), AND($Q$443 = FALSE, ReportType &lt;&gt; "Rough"))</formula>
    </cfRule>
  </conditionalFormatting>
  <conditionalFormatting sqref="W443">
    <cfRule type="expression" dxfId="2354" priority="3413">
      <formula>OR($T$443 = TRUE, AND($W$443 = TRUE, $S$443 = FALSE))</formula>
    </cfRule>
  </conditionalFormatting>
  <conditionalFormatting sqref="W449">
    <cfRule type="expression" dxfId="2353" priority="3412">
      <formula>AND($R$449,$S$449)</formula>
    </cfRule>
  </conditionalFormatting>
  <conditionalFormatting sqref="W449">
    <cfRule type="expression" dxfId="2352" priority="3411">
      <formula>AND(IF($R$449,$W$449,TRUE),LEN(TRIM($W$449))&gt;0)</formula>
    </cfRule>
  </conditionalFormatting>
  <conditionalFormatting sqref="W449">
    <cfRule type="expression" dxfId="2351" priority="3410">
      <formula>OR($S$449 = FALSE, AND($P$449 = FALSE, ReportType &lt;&gt; "Final"), AND($Q$449 = FALSE, ReportType &lt;&gt; "Rough"))</formula>
    </cfRule>
  </conditionalFormatting>
  <conditionalFormatting sqref="W449">
    <cfRule type="expression" dxfId="2350" priority="3409">
      <formula>OR($T$449 = TRUE, AND($W$449 = TRUE, $S$449 = FALSE))</formula>
    </cfRule>
  </conditionalFormatting>
  <conditionalFormatting sqref="W453">
    <cfRule type="expression" dxfId="2349" priority="3408">
      <formula>AND($R$453,$S$453)</formula>
    </cfRule>
  </conditionalFormatting>
  <conditionalFormatting sqref="W453">
    <cfRule type="expression" dxfId="2348" priority="3407">
      <formula>AND(IF($R$453,$W$453,TRUE),LEN(TRIM($W$453))&gt;0)</formula>
    </cfRule>
  </conditionalFormatting>
  <conditionalFormatting sqref="W453">
    <cfRule type="expression" dxfId="2347" priority="3406">
      <formula>OR($S$453 = FALSE, AND($P$453 = FALSE, ReportType &lt;&gt; "Final"), AND($Q$453 = FALSE, ReportType &lt;&gt; "Rough"))</formula>
    </cfRule>
  </conditionalFormatting>
  <conditionalFormatting sqref="W453">
    <cfRule type="expression" dxfId="2346" priority="3405">
      <formula>OR($T$453 = TRUE, AND($W$453 = TRUE, $S$453 = FALSE))</formula>
    </cfRule>
  </conditionalFormatting>
  <conditionalFormatting sqref="W457">
    <cfRule type="expression" dxfId="2345" priority="3404">
      <formula>AND($R$457,$S$457)</formula>
    </cfRule>
  </conditionalFormatting>
  <conditionalFormatting sqref="W457">
    <cfRule type="expression" dxfId="2344" priority="3403">
      <formula>AND(IF($R$457,$W$457,TRUE),LEN(TRIM($W$457))&gt;0)</formula>
    </cfRule>
  </conditionalFormatting>
  <conditionalFormatting sqref="W457">
    <cfRule type="expression" dxfId="2343" priority="3402">
      <formula>OR($S$457 = FALSE, AND($P$457 = FALSE, ReportType &lt;&gt; "Final"), AND($Q$457 = FALSE, ReportType &lt;&gt; "Rough"))</formula>
    </cfRule>
  </conditionalFormatting>
  <conditionalFormatting sqref="W457">
    <cfRule type="expression" dxfId="2342" priority="3401">
      <formula>OR($T$457 = TRUE, AND($W$457 = TRUE, $S$457 = FALSE))</formula>
    </cfRule>
  </conditionalFormatting>
  <conditionalFormatting sqref="W462">
    <cfRule type="expression" dxfId="2341" priority="3400">
      <formula>AND($R$462,$S$462)</formula>
    </cfRule>
  </conditionalFormatting>
  <conditionalFormatting sqref="W462">
    <cfRule type="expression" dxfId="2340" priority="3399">
      <formula>AND(IF($R$462,$W$462,TRUE),LEN(TRIM($W$462))&gt;0)</formula>
    </cfRule>
  </conditionalFormatting>
  <conditionalFormatting sqref="W462">
    <cfRule type="expression" dxfId="2339" priority="3398">
      <formula>OR($S$462 = FALSE, AND($P$462 = FALSE, ReportType &lt;&gt; "Final"), AND($Q$462 = FALSE, ReportType &lt;&gt; "Rough"))</formula>
    </cfRule>
  </conditionalFormatting>
  <conditionalFormatting sqref="W462">
    <cfRule type="expression" dxfId="2338" priority="3397">
      <formula>OR($T$462 = TRUE, AND($W$462 = TRUE, $S$462 = FALSE))</formula>
    </cfRule>
  </conditionalFormatting>
  <conditionalFormatting sqref="W467">
    <cfRule type="expression" dxfId="2337" priority="3396">
      <formula>AND($R$467,$S$467)</formula>
    </cfRule>
  </conditionalFormatting>
  <conditionalFormatting sqref="W467">
    <cfRule type="expression" dxfId="2336" priority="3395">
      <formula>AND(IF($R$467,$W$467,TRUE),LEN(TRIM($W$467))&gt;0)</formula>
    </cfRule>
  </conditionalFormatting>
  <conditionalFormatting sqref="W467">
    <cfRule type="expression" dxfId="2335" priority="3394">
      <formula>OR($S$467 = FALSE, AND($P$467 = FALSE, ReportType &lt;&gt; "Final"), AND($Q$467 = FALSE, ReportType &lt;&gt; "Rough"))</formula>
    </cfRule>
  </conditionalFormatting>
  <conditionalFormatting sqref="W467">
    <cfRule type="expression" dxfId="2334" priority="3393">
      <formula>OR($T$467 = TRUE, AND($W$467 = TRUE, $S$467 = FALSE))</formula>
    </cfRule>
  </conditionalFormatting>
  <conditionalFormatting sqref="W469">
    <cfRule type="expression" dxfId="2333" priority="3392">
      <formula>AND($R$469,$S$469)</formula>
    </cfRule>
  </conditionalFormatting>
  <conditionalFormatting sqref="W469">
    <cfRule type="expression" dxfId="2332" priority="3391">
      <formula>AND(IF($R$469,$W$469,TRUE),LEN(TRIM($W$469))&gt;0)</formula>
    </cfRule>
  </conditionalFormatting>
  <conditionalFormatting sqref="W469">
    <cfRule type="expression" dxfId="2331" priority="3390">
      <formula>OR($S$469 = FALSE, AND($P$469 = FALSE, ReportType &lt;&gt; "Final"), AND($Q$469 = FALSE, ReportType &lt;&gt; "Rough"))</formula>
    </cfRule>
  </conditionalFormatting>
  <conditionalFormatting sqref="W469">
    <cfRule type="expression" dxfId="2330" priority="3389">
      <formula>OR($T$469 = TRUE, AND($W$469 = TRUE, $S$469 = FALSE))</formula>
    </cfRule>
  </conditionalFormatting>
  <conditionalFormatting sqref="W471">
    <cfRule type="expression" dxfId="2329" priority="3388">
      <formula>AND($R$471,$S$471)</formula>
    </cfRule>
  </conditionalFormatting>
  <conditionalFormatting sqref="W471">
    <cfRule type="expression" dxfId="2328" priority="3387">
      <formula>AND(IF($R$471,$W$471,TRUE),LEN(TRIM($W$471))&gt;0)</formula>
    </cfRule>
  </conditionalFormatting>
  <conditionalFormatting sqref="W471">
    <cfRule type="expression" dxfId="2327" priority="3386">
      <formula>OR($S$471 = FALSE, AND($P$471 = FALSE, ReportType &lt;&gt; "Final"), AND($Q$471 = FALSE, ReportType &lt;&gt; "Rough"))</formula>
    </cfRule>
  </conditionalFormatting>
  <conditionalFormatting sqref="W471">
    <cfRule type="expression" dxfId="2326" priority="3385">
      <formula>OR($T$471 = TRUE, AND($W$471 = TRUE, $S$471 = FALSE))</formula>
    </cfRule>
  </conditionalFormatting>
  <conditionalFormatting sqref="W483">
    <cfRule type="expression" dxfId="2325" priority="3384">
      <formula>AND($R$483,$S$483)</formula>
    </cfRule>
  </conditionalFormatting>
  <conditionalFormatting sqref="W483">
    <cfRule type="expression" dxfId="2324" priority="3383">
      <formula>AND(IF($R$483,$W$483,TRUE),LEN(TRIM($W$483))&gt;0)</formula>
    </cfRule>
  </conditionalFormatting>
  <conditionalFormatting sqref="W483">
    <cfRule type="expression" dxfId="2323" priority="3382">
      <formula>OR($S$483 = FALSE, AND($P$483 = FALSE, ReportType &lt;&gt; "Final"), AND($Q$483 = FALSE, ReportType &lt;&gt; "Rough"))</formula>
    </cfRule>
  </conditionalFormatting>
  <conditionalFormatting sqref="W483">
    <cfRule type="expression" dxfId="2322" priority="3381">
      <formula>OR($T$483 = TRUE, AND($W$483 = TRUE, $S$483 = FALSE))</formula>
    </cfRule>
  </conditionalFormatting>
  <conditionalFormatting sqref="W493">
    <cfRule type="expression" dxfId="2321" priority="3380">
      <formula>AND($R$493,$S$493)</formula>
    </cfRule>
  </conditionalFormatting>
  <conditionalFormatting sqref="W493">
    <cfRule type="expression" dxfId="2320" priority="3379">
      <formula>AND(IF($R$493,$W$493,TRUE),LEN(TRIM($W$493))&gt;0)</formula>
    </cfRule>
  </conditionalFormatting>
  <conditionalFormatting sqref="W493">
    <cfRule type="expression" dxfId="2319" priority="3378">
      <formula>OR($S$493 = FALSE, AND($P$493 = FALSE, ReportType &lt;&gt; "Final"), AND($Q$493 = FALSE, ReportType &lt;&gt; "Rough"))</formula>
    </cfRule>
  </conditionalFormatting>
  <conditionalFormatting sqref="W493">
    <cfRule type="expression" dxfId="2318" priority="3377">
      <formula>OR($T$493 = TRUE, AND($W$493 = TRUE, $S$493 = FALSE))</formula>
    </cfRule>
  </conditionalFormatting>
  <conditionalFormatting sqref="W496">
    <cfRule type="expression" dxfId="2317" priority="3376">
      <formula>AND($R$496,$S$496)</formula>
    </cfRule>
  </conditionalFormatting>
  <conditionalFormatting sqref="W496">
    <cfRule type="expression" dxfId="2316" priority="3375">
      <formula>AND(IF($R$496,$W$496,TRUE),LEN(TRIM($W$496))&gt;0)</formula>
    </cfRule>
  </conditionalFormatting>
  <conditionalFormatting sqref="W496">
    <cfRule type="expression" dxfId="2315" priority="3374">
      <formula>OR($S$496 = FALSE, AND($P$496 = FALSE, ReportType &lt;&gt; "Final"), AND($Q$496 = FALSE, ReportType &lt;&gt; "Rough"))</formula>
    </cfRule>
  </conditionalFormatting>
  <conditionalFormatting sqref="W496">
    <cfRule type="expression" dxfId="2314" priority="3373">
      <formula>OR($T$496 = TRUE, AND($W$496 = TRUE, $S$496 = FALSE))</formula>
    </cfRule>
  </conditionalFormatting>
  <conditionalFormatting sqref="W497">
    <cfRule type="expression" dxfId="2313" priority="3372">
      <formula>AND($R$497,$S$497)</formula>
    </cfRule>
  </conditionalFormatting>
  <conditionalFormatting sqref="W497">
    <cfRule type="expression" dxfId="2312" priority="3371">
      <formula>AND(IF($R$497,$W$497,TRUE),LEN(TRIM($W$497))&gt;0)</formula>
    </cfRule>
  </conditionalFormatting>
  <conditionalFormatting sqref="W497">
    <cfRule type="expression" dxfId="2311" priority="3370">
      <formula>OR($S$497 = FALSE, AND($P$497 = FALSE, ReportType &lt;&gt; "Final"), AND($Q$497 = FALSE, ReportType &lt;&gt; "Rough"))</formula>
    </cfRule>
  </conditionalFormatting>
  <conditionalFormatting sqref="W497">
    <cfRule type="expression" dxfId="2310" priority="3369">
      <formula>OR($T$497 = TRUE, AND($W$497 = TRUE, $S$497 = FALSE))</formula>
    </cfRule>
  </conditionalFormatting>
  <conditionalFormatting sqref="W507">
    <cfRule type="expression" dxfId="2309" priority="3368">
      <formula>AND($R$507,$S$507)</formula>
    </cfRule>
  </conditionalFormatting>
  <conditionalFormatting sqref="W507">
    <cfRule type="expression" dxfId="2308" priority="3367">
      <formula>AND(IF($R$507,$W$507,TRUE),LEN(TRIM($W$507))&gt;0)</formula>
    </cfRule>
  </conditionalFormatting>
  <conditionalFormatting sqref="W507">
    <cfRule type="expression" dxfId="2307" priority="3366">
      <formula>OR($S$507 = FALSE, AND($P$507 = FALSE, ReportType &lt;&gt; "Final"), AND($Q$507 = FALSE, ReportType &lt;&gt; "Rough"))</formula>
    </cfRule>
  </conditionalFormatting>
  <conditionalFormatting sqref="W507">
    <cfRule type="expression" dxfId="2306" priority="3365">
      <formula>OR($T$507 = TRUE, AND($W$507 = TRUE, $S$507 = FALSE))</formula>
    </cfRule>
  </conditionalFormatting>
  <conditionalFormatting sqref="W509">
    <cfRule type="expression" dxfId="2305" priority="3364">
      <formula>AND($R$509,$S$509)</formula>
    </cfRule>
  </conditionalFormatting>
  <conditionalFormatting sqref="W509">
    <cfRule type="expression" dxfId="2304" priority="3363">
      <formula>AND(IF($R$509,$W$509,TRUE),LEN(TRIM($W$509))&gt;0)</formula>
    </cfRule>
  </conditionalFormatting>
  <conditionalFormatting sqref="W509">
    <cfRule type="expression" dxfId="2303" priority="3362">
      <formula>OR($S$509 = FALSE, AND($P$509 = FALSE, ReportType &lt;&gt; "Final"), AND($Q$509 = FALSE, ReportType &lt;&gt; "Rough"))</formula>
    </cfRule>
  </conditionalFormatting>
  <conditionalFormatting sqref="W509">
    <cfRule type="expression" dxfId="2302" priority="3361">
      <formula>OR($T$509 = TRUE, AND($W$509 = TRUE, $S$509 = FALSE))</formula>
    </cfRule>
  </conditionalFormatting>
  <conditionalFormatting sqref="W525">
    <cfRule type="expression" dxfId="2301" priority="3360">
      <formula>AND($R$525,$S$525)</formula>
    </cfRule>
  </conditionalFormatting>
  <conditionalFormatting sqref="W525">
    <cfRule type="expression" dxfId="2300" priority="3359">
      <formula>AND(IF($R$525,$W$525,TRUE),LEN(TRIM($W$525))&gt;0)</formula>
    </cfRule>
  </conditionalFormatting>
  <conditionalFormatting sqref="W525">
    <cfRule type="expression" dxfId="2299" priority="3358">
      <formula>OR($S$525 = FALSE, AND($P$525 = FALSE, ReportType &lt;&gt; "Final"), AND($Q$525 = FALSE, ReportType &lt;&gt; "Rough"))</formula>
    </cfRule>
  </conditionalFormatting>
  <conditionalFormatting sqref="W525">
    <cfRule type="expression" dxfId="2298" priority="3357">
      <formula>OR($T$525 = TRUE, AND($W$525 = TRUE, $S$525 = FALSE))</formula>
    </cfRule>
  </conditionalFormatting>
  <conditionalFormatting sqref="W536">
    <cfRule type="expression" dxfId="2297" priority="3356">
      <formula>AND($R$536,$S$536)</formula>
    </cfRule>
  </conditionalFormatting>
  <conditionalFormatting sqref="W536">
    <cfRule type="expression" dxfId="2296" priority="3355">
      <formula>AND(IF($R$536,$W$536,TRUE),LEN(TRIM($W$536))&gt;0)</formula>
    </cfRule>
  </conditionalFormatting>
  <conditionalFormatting sqref="W536">
    <cfRule type="expression" dxfId="2295" priority="3354">
      <formula>OR($S$536 = FALSE, AND($P$536 = FALSE, ReportType &lt;&gt; "Final"), AND($Q$536 = FALSE, ReportType &lt;&gt; "Rough"))</formula>
    </cfRule>
  </conditionalFormatting>
  <conditionalFormatting sqref="W536">
    <cfRule type="expression" dxfId="2294" priority="3353">
      <formula>OR($T$536 = TRUE, AND($W$536 = TRUE, $S$536 = FALSE))</formula>
    </cfRule>
  </conditionalFormatting>
  <conditionalFormatting sqref="W537">
    <cfRule type="expression" dxfId="2293" priority="3352">
      <formula>AND($R$537,$S$537)</formula>
    </cfRule>
  </conditionalFormatting>
  <conditionalFormatting sqref="W537">
    <cfRule type="expression" dxfId="2292" priority="3351">
      <formula>AND(IF($R$537,$W$537,TRUE),LEN(TRIM($W$537))&gt;0)</formula>
    </cfRule>
  </conditionalFormatting>
  <conditionalFormatting sqref="W537">
    <cfRule type="expression" dxfId="2291" priority="3350">
      <formula>OR($S$537 = FALSE, AND($P$537 = FALSE, ReportType &lt;&gt; "Final"), AND($Q$537 = FALSE, ReportType &lt;&gt; "Rough"))</formula>
    </cfRule>
  </conditionalFormatting>
  <conditionalFormatting sqref="W537">
    <cfRule type="expression" dxfId="2290" priority="3349">
      <formula>OR($T$537 = TRUE, AND($W$537 = TRUE, $S$537 = FALSE))</formula>
    </cfRule>
  </conditionalFormatting>
  <conditionalFormatting sqref="W545">
    <cfRule type="expression" dxfId="2289" priority="3348">
      <formula>AND($R$545,$S$545)</formula>
    </cfRule>
  </conditionalFormatting>
  <conditionalFormatting sqref="W545">
    <cfRule type="expression" dxfId="2288" priority="3347">
      <formula>AND(IF($R$545,$W$545,TRUE),LEN(TRIM($W$545))&gt;0)</formula>
    </cfRule>
  </conditionalFormatting>
  <conditionalFormatting sqref="W545">
    <cfRule type="expression" dxfId="2287" priority="3346">
      <formula>OR($S$545 = FALSE, AND($P$545 = FALSE, ReportType &lt;&gt; "Final"), AND($Q$545 = FALSE, ReportType &lt;&gt; "Rough"))</formula>
    </cfRule>
  </conditionalFormatting>
  <conditionalFormatting sqref="W545">
    <cfRule type="expression" dxfId="2286" priority="3345">
      <formula>OR($T$545 = TRUE, AND($W$545 = TRUE, $S$545 = FALSE))</formula>
    </cfRule>
  </conditionalFormatting>
  <conditionalFormatting sqref="W547">
    <cfRule type="expression" dxfId="2285" priority="3344">
      <formula>AND($R$547,$S$547)</formula>
    </cfRule>
  </conditionalFormatting>
  <conditionalFormatting sqref="W547">
    <cfRule type="expression" dxfId="2284" priority="3343">
      <formula>AND(IF($R$547,$W$547,TRUE),LEN(TRIM($W$547))&gt;0)</formula>
    </cfRule>
  </conditionalFormatting>
  <conditionalFormatting sqref="W547">
    <cfRule type="expression" dxfId="2283" priority="3342">
      <formula>OR($S$547 = FALSE, AND($P$547 = FALSE, ReportType &lt;&gt; "Final"), AND($Q$547 = FALSE, ReportType &lt;&gt; "Rough"))</formula>
    </cfRule>
  </conditionalFormatting>
  <conditionalFormatting sqref="W547">
    <cfRule type="expression" dxfId="2282" priority="3341">
      <formula>OR($T$547 = TRUE, AND($W$547 = TRUE, $S$547 = FALSE))</formula>
    </cfRule>
  </conditionalFormatting>
  <conditionalFormatting sqref="W548">
    <cfRule type="expression" dxfId="2281" priority="3340">
      <formula>AND($R$548,$S$548)</formula>
    </cfRule>
  </conditionalFormatting>
  <conditionalFormatting sqref="W548">
    <cfRule type="expression" dxfId="2280" priority="3339">
      <formula>AND(IF($R$548,$W$548,TRUE),LEN(TRIM($W$548))&gt;0)</formula>
    </cfRule>
  </conditionalFormatting>
  <conditionalFormatting sqref="W548">
    <cfRule type="expression" dxfId="2279" priority="3338">
      <formula>OR($S$548 = FALSE, AND($P$548 = FALSE, ReportType &lt;&gt; "Final"), AND($Q$548 = FALSE, ReportType &lt;&gt; "Rough"))</formula>
    </cfRule>
  </conditionalFormatting>
  <conditionalFormatting sqref="W548">
    <cfRule type="expression" dxfId="2278" priority="3337">
      <formula>OR($T$548 = TRUE, AND($W$548 = TRUE, $S$548 = FALSE))</formula>
    </cfRule>
  </conditionalFormatting>
  <conditionalFormatting sqref="W551">
    <cfRule type="expression" dxfId="2277" priority="3336">
      <formula>AND($R$551,$S$551)</formula>
    </cfRule>
  </conditionalFormatting>
  <conditionalFormatting sqref="W551">
    <cfRule type="expression" dxfId="2276" priority="3335">
      <formula>AND(IF($R$551,$W$551,TRUE),LEN(TRIM($W$551))&gt;0)</formula>
    </cfRule>
  </conditionalFormatting>
  <conditionalFormatting sqref="W551">
    <cfRule type="expression" dxfId="2275" priority="3334">
      <formula>OR($S$551 = FALSE, AND($P$551 = FALSE, ReportType &lt;&gt; "Final"), AND($Q$551 = FALSE, ReportType &lt;&gt; "Rough"))</formula>
    </cfRule>
  </conditionalFormatting>
  <conditionalFormatting sqref="W551">
    <cfRule type="expression" dxfId="2274" priority="3333">
      <formula>OR($T$551 = TRUE, AND($W$551 = TRUE, $S$551 = FALSE))</formula>
    </cfRule>
  </conditionalFormatting>
  <conditionalFormatting sqref="W555">
    <cfRule type="expression" dxfId="2273" priority="3332">
      <formula>AND($R$555,$S$555)</formula>
    </cfRule>
  </conditionalFormatting>
  <conditionalFormatting sqref="W555">
    <cfRule type="expression" dxfId="2272" priority="3331">
      <formula>AND(IF($R$555,$W$555,TRUE),LEN(TRIM($W$555))&gt;0)</formula>
    </cfRule>
  </conditionalFormatting>
  <conditionalFormatting sqref="W555">
    <cfRule type="expression" dxfId="2271" priority="3330">
      <formula>OR($S$555 = FALSE, AND($P$555 = FALSE, ReportType &lt;&gt; "Final"), AND($Q$555 = FALSE, ReportType &lt;&gt; "Rough"))</formula>
    </cfRule>
  </conditionalFormatting>
  <conditionalFormatting sqref="W555">
    <cfRule type="expression" dxfId="2270" priority="3329">
      <formula>OR($T$555 = TRUE, AND($W$555 = TRUE, $S$555 = FALSE))</formula>
    </cfRule>
  </conditionalFormatting>
  <conditionalFormatting sqref="W560">
    <cfRule type="expression" dxfId="2269" priority="3328">
      <formula>AND($R$560,$S$560)</formula>
    </cfRule>
  </conditionalFormatting>
  <conditionalFormatting sqref="W560">
    <cfRule type="expression" dxfId="2268" priority="3327">
      <formula>AND(IF($R$560,$W$560,TRUE),LEN(TRIM($W$560))&gt;0)</formula>
    </cfRule>
  </conditionalFormatting>
  <conditionalFormatting sqref="W560">
    <cfRule type="expression" dxfId="2267" priority="3326">
      <formula>OR($S$560 = FALSE, AND($P$560 = FALSE, ReportType &lt;&gt; "Final"), AND($Q$560 = FALSE, ReportType &lt;&gt; "Rough"))</formula>
    </cfRule>
  </conditionalFormatting>
  <conditionalFormatting sqref="W560">
    <cfRule type="expression" dxfId="2266" priority="3325">
      <formula>OR($T$560 = TRUE, AND($W$560 = TRUE, $S$560 = FALSE))</formula>
    </cfRule>
  </conditionalFormatting>
  <conditionalFormatting sqref="W562">
    <cfRule type="expression" dxfId="2265" priority="3324">
      <formula>AND($R$562,$S$562)</formula>
    </cfRule>
  </conditionalFormatting>
  <conditionalFormatting sqref="W562">
    <cfRule type="expression" dxfId="2264" priority="3323">
      <formula>AND(IF($R$562,$W$562,TRUE),LEN(TRIM($W$562))&gt;0)</formula>
    </cfRule>
  </conditionalFormatting>
  <conditionalFormatting sqref="W562">
    <cfRule type="expression" dxfId="2263" priority="3322">
      <formula>OR($S$562 = FALSE, AND($P$562 = FALSE, ReportType &lt;&gt; "Final"), AND($Q$562 = FALSE, ReportType &lt;&gt; "Rough"))</formula>
    </cfRule>
  </conditionalFormatting>
  <conditionalFormatting sqref="W562">
    <cfRule type="expression" dxfId="2262" priority="3321">
      <formula>OR($T$562 = TRUE, AND($W$562 = TRUE, $S$562 = FALSE))</formula>
    </cfRule>
  </conditionalFormatting>
  <conditionalFormatting sqref="W579">
    <cfRule type="expression" dxfId="2261" priority="3320">
      <formula>AND($R$579,$S$579)</formula>
    </cfRule>
  </conditionalFormatting>
  <conditionalFormatting sqref="W579">
    <cfRule type="expression" dxfId="2260" priority="3319">
      <formula>AND(IF($R$579,$W$579,TRUE),LEN(TRIM($W$579))&gt;0)</formula>
    </cfRule>
  </conditionalFormatting>
  <conditionalFormatting sqref="W579">
    <cfRule type="expression" dxfId="2259" priority="3318">
      <formula>OR($S$579 = FALSE, AND($P$579 = FALSE, ReportType &lt;&gt; "Final"), AND($Q$579 = FALSE, ReportType &lt;&gt; "Rough"))</formula>
    </cfRule>
  </conditionalFormatting>
  <conditionalFormatting sqref="W579">
    <cfRule type="expression" dxfId="2258" priority="3317">
      <formula>OR($T$579 = TRUE, AND($W$579 = TRUE, $S$579 = FALSE))</formula>
    </cfRule>
  </conditionalFormatting>
  <conditionalFormatting sqref="W596">
    <cfRule type="expression" dxfId="2257" priority="3316">
      <formula>AND($R$596,$S$596)</formula>
    </cfRule>
  </conditionalFormatting>
  <conditionalFormatting sqref="W596">
    <cfRule type="expression" dxfId="2256" priority="3315">
      <formula>AND(IF($R$596,$W$596,TRUE),LEN(TRIM($W$596))&gt;0)</formula>
    </cfRule>
  </conditionalFormatting>
  <conditionalFormatting sqref="W596">
    <cfRule type="expression" dxfId="2255" priority="3314">
      <formula>OR($S$596 = FALSE, AND($P$596 = FALSE, ReportType &lt;&gt; "Final"), AND($Q$596 = FALSE, ReportType &lt;&gt; "Rough"))</formula>
    </cfRule>
  </conditionalFormatting>
  <conditionalFormatting sqref="W596">
    <cfRule type="expression" dxfId="2254" priority="3313">
      <formula>OR($T$596 = TRUE, AND($W$596 = TRUE, $S$596 = FALSE))</formula>
    </cfRule>
  </conditionalFormatting>
  <conditionalFormatting sqref="W609">
    <cfRule type="expression" dxfId="2253" priority="3312">
      <formula>AND($R$609,$S$609)</formula>
    </cfRule>
  </conditionalFormatting>
  <conditionalFormatting sqref="W609">
    <cfRule type="expression" dxfId="2252" priority="3311">
      <formula>AND(IF($R$609,$W$609,TRUE),LEN(TRIM($W$609))&gt;0)</formula>
    </cfRule>
  </conditionalFormatting>
  <conditionalFormatting sqref="W609">
    <cfRule type="expression" dxfId="2251" priority="3310">
      <formula>OR($S$609 = FALSE, AND($P$609 = FALSE, ReportType &lt;&gt; "Final"), AND($Q$609 = FALSE, ReportType &lt;&gt; "Rough"))</formula>
    </cfRule>
  </conditionalFormatting>
  <conditionalFormatting sqref="W609">
    <cfRule type="expression" dxfId="2250" priority="3309">
      <formula>OR($T$609 = TRUE, AND($W$609 = TRUE, $S$609 = FALSE))</formula>
    </cfRule>
  </conditionalFormatting>
  <conditionalFormatting sqref="W611">
    <cfRule type="expression" dxfId="2249" priority="3308">
      <formula>AND($R$611,$S$611)</formula>
    </cfRule>
  </conditionalFormatting>
  <conditionalFormatting sqref="W611">
    <cfRule type="expression" dxfId="2248" priority="3307">
      <formula>AND(IF($R$611,$W$611,TRUE),LEN(TRIM($W$611))&gt;0)</formula>
    </cfRule>
  </conditionalFormatting>
  <conditionalFormatting sqref="W611">
    <cfRule type="expression" dxfId="2247" priority="3306">
      <formula>OR($S$611 = FALSE, AND($P$611 = FALSE, ReportType &lt;&gt; "Final"), AND($Q$611 = FALSE, ReportType &lt;&gt; "Rough"))</formula>
    </cfRule>
  </conditionalFormatting>
  <conditionalFormatting sqref="W611">
    <cfRule type="expression" dxfId="2246" priority="3305">
      <formula>OR($T$611 = TRUE, AND($W$611 = TRUE, $S$611 = FALSE))</formula>
    </cfRule>
  </conditionalFormatting>
  <conditionalFormatting sqref="W624">
    <cfRule type="expression" dxfId="2245" priority="3304">
      <formula>AND($R$624,$S$624)</formula>
    </cfRule>
  </conditionalFormatting>
  <conditionalFormatting sqref="W624">
    <cfRule type="expression" dxfId="2244" priority="3303">
      <formula>AND(IF($R$624,$W$624,TRUE),LEN(TRIM($W$624))&gt;0)</formula>
    </cfRule>
  </conditionalFormatting>
  <conditionalFormatting sqref="W624">
    <cfRule type="expression" dxfId="2243" priority="3302">
      <formula>OR($S$624 = FALSE, AND($P$624 = FALSE, ReportType &lt;&gt; "Final"), AND($Q$624 = FALSE, ReportType &lt;&gt; "Rough"))</formula>
    </cfRule>
  </conditionalFormatting>
  <conditionalFormatting sqref="W624">
    <cfRule type="expression" dxfId="2242" priority="3301">
      <formula>OR($T$624 = TRUE, AND($W$624 = TRUE, $S$624 = FALSE))</formula>
    </cfRule>
  </conditionalFormatting>
  <conditionalFormatting sqref="W625">
    <cfRule type="expression" dxfId="2241" priority="3300">
      <formula>AND($R$625,$S$625)</formula>
    </cfRule>
  </conditionalFormatting>
  <conditionalFormatting sqref="W625">
    <cfRule type="expression" dxfId="2240" priority="3299">
      <formula>AND(IF($R$625,$W$625,TRUE),LEN(TRIM($W$625))&gt;0)</formula>
    </cfRule>
  </conditionalFormatting>
  <conditionalFormatting sqref="W625">
    <cfRule type="expression" dxfId="2239" priority="3298">
      <formula>OR($S$625 = FALSE, AND($P$625 = FALSE, ReportType &lt;&gt; "Final"), AND($Q$625 = FALSE, ReportType &lt;&gt; "Rough"))</formula>
    </cfRule>
  </conditionalFormatting>
  <conditionalFormatting sqref="W625">
    <cfRule type="expression" dxfId="2238" priority="3297">
      <formula>OR($T$625 = TRUE, AND($W$625 = TRUE, $S$625 = FALSE))</formula>
    </cfRule>
  </conditionalFormatting>
  <conditionalFormatting sqref="W626">
    <cfRule type="expression" dxfId="2237" priority="3296">
      <formula>AND($R$626,$S$626)</formula>
    </cfRule>
  </conditionalFormatting>
  <conditionalFormatting sqref="W626">
    <cfRule type="expression" dxfId="2236" priority="3295">
      <formula>AND(IF($R$626,$W$626,TRUE),LEN(TRIM($W$626))&gt;0)</formula>
    </cfRule>
  </conditionalFormatting>
  <conditionalFormatting sqref="W626">
    <cfRule type="expression" dxfId="2235" priority="3294">
      <formula>OR($S$626 = FALSE, AND($P$626 = FALSE, ReportType &lt;&gt; "Final"), AND($Q$626 = FALSE, ReportType &lt;&gt; "Rough"))</formula>
    </cfRule>
  </conditionalFormatting>
  <conditionalFormatting sqref="W626">
    <cfRule type="expression" dxfId="2234" priority="3293">
      <formula>OR($T$626 = TRUE, AND($W$626 = TRUE, $S$626 = FALSE))</formula>
    </cfRule>
  </conditionalFormatting>
  <conditionalFormatting sqref="W627">
    <cfRule type="expression" dxfId="2233" priority="3292">
      <formula>AND($R$627,$S$627)</formula>
    </cfRule>
  </conditionalFormatting>
  <conditionalFormatting sqref="W627">
    <cfRule type="expression" dxfId="2232" priority="3291">
      <formula>AND(IF($R$627,$W$627,TRUE),LEN(TRIM($W$627))&gt;0)</formula>
    </cfRule>
  </conditionalFormatting>
  <conditionalFormatting sqref="W627">
    <cfRule type="expression" dxfId="2231" priority="3290">
      <formula>OR($S$627 = FALSE, AND($P$627 = FALSE, ReportType &lt;&gt; "Final"), AND($Q$627 = FALSE, ReportType &lt;&gt; "Rough"))</formula>
    </cfRule>
  </conditionalFormatting>
  <conditionalFormatting sqref="W627">
    <cfRule type="expression" dxfId="2230" priority="3289">
      <formula>OR($T$627 = TRUE, AND($W$627 = TRUE, $S$627 = FALSE))</formula>
    </cfRule>
  </conditionalFormatting>
  <conditionalFormatting sqref="W628">
    <cfRule type="expression" dxfId="2229" priority="3288">
      <formula>AND($R$628,$S$628)</formula>
    </cfRule>
  </conditionalFormatting>
  <conditionalFormatting sqref="W628">
    <cfRule type="expression" dxfId="2228" priority="3287">
      <formula>AND(IF($R$628,$W$628,TRUE),LEN(TRIM($W$628))&gt;0)</formula>
    </cfRule>
  </conditionalFormatting>
  <conditionalFormatting sqref="W628">
    <cfRule type="expression" dxfId="2227" priority="3286">
      <formula>OR($S$628 = FALSE, AND($P$628 = FALSE, ReportType &lt;&gt; "Final"), AND($Q$628 = FALSE, ReportType &lt;&gt; "Rough"))</formula>
    </cfRule>
  </conditionalFormatting>
  <conditionalFormatting sqref="W628">
    <cfRule type="expression" dxfId="2226" priority="3285">
      <formula>OR($T$628 = TRUE, AND($W$628 = TRUE, $S$628 = FALSE))</formula>
    </cfRule>
  </conditionalFormatting>
  <conditionalFormatting sqref="W629">
    <cfRule type="expression" dxfId="2225" priority="3284">
      <formula>AND($R$629,$S$629)</formula>
    </cfRule>
  </conditionalFormatting>
  <conditionalFormatting sqref="W629">
    <cfRule type="expression" dxfId="2224" priority="3283">
      <formula>AND(IF($R$629,$W$629,TRUE),LEN(TRIM($W$629))&gt;0)</formula>
    </cfRule>
  </conditionalFormatting>
  <conditionalFormatting sqref="W629">
    <cfRule type="expression" dxfId="2223" priority="3282">
      <formula>OR($S$629 = FALSE, AND($P$629 = FALSE, ReportType &lt;&gt; "Final"), AND($Q$629 = FALSE, ReportType &lt;&gt; "Rough"))</formula>
    </cfRule>
  </conditionalFormatting>
  <conditionalFormatting sqref="W629">
    <cfRule type="expression" dxfId="2222" priority="3281">
      <formula>OR($T$629 = TRUE, AND($W$629 = TRUE, $S$629 = FALSE))</formula>
    </cfRule>
  </conditionalFormatting>
  <conditionalFormatting sqref="W630">
    <cfRule type="expression" dxfId="2221" priority="3280">
      <formula>AND($R$630,$S$630)</formula>
    </cfRule>
  </conditionalFormatting>
  <conditionalFormatting sqref="W630">
    <cfRule type="expression" dxfId="2220" priority="3279">
      <formula>AND(IF($R$630,$W$630,TRUE),LEN(TRIM($W$630))&gt;0)</formula>
    </cfRule>
  </conditionalFormatting>
  <conditionalFormatting sqref="W630">
    <cfRule type="expression" dxfId="2219" priority="3278">
      <formula>OR($S$630 = FALSE, AND($P$630 = FALSE, ReportType &lt;&gt; "Final"), AND($Q$630 = FALSE, ReportType &lt;&gt; "Rough"))</formula>
    </cfRule>
  </conditionalFormatting>
  <conditionalFormatting sqref="W630">
    <cfRule type="expression" dxfId="2218" priority="3277">
      <formula>OR($T$630 = TRUE, AND($W$630 = TRUE, $S$630 = FALSE))</formula>
    </cfRule>
  </conditionalFormatting>
  <conditionalFormatting sqref="W631">
    <cfRule type="expression" dxfId="2217" priority="3276">
      <formula>AND($R$631,$S$631)</formula>
    </cfRule>
  </conditionalFormatting>
  <conditionalFormatting sqref="W631">
    <cfRule type="expression" dxfId="2216" priority="3275">
      <formula>AND(IF($R$631,$W$631,TRUE),LEN(TRIM($W$631))&gt;0)</formula>
    </cfRule>
  </conditionalFormatting>
  <conditionalFormatting sqref="W631">
    <cfRule type="expression" dxfId="2215" priority="3274">
      <formula>OR($S$631 = FALSE, AND($P$631 = FALSE, ReportType &lt;&gt; "Final"), AND($Q$631 = FALSE, ReportType &lt;&gt; "Rough"))</formula>
    </cfRule>
  </conditionalFormatting>
  <conditionalFormatting sqref="W631">
    <cfRule type="expression" dxfId="2214" priority="3273">
      <formula>OR($T$631 = TRUE, AND($W$631 = TRUE, $S$631 = FALSE))</formula>
    </cfRule>
  </conditionalFormatting>
  <conditionalFormatting sqref="W632">
    <cfRule type="expression" dxfId="2213" priority="3272">
      <formula>AND($R$632,$S$632)</formula>
    </cfRule>
  </conditionalFormatting>
  <conditionalFormatting sqref="W632">
    <cfRule type="expression" dxfId="2212" priority="3271">
      <formula>AND(IF($R$632,$W$632,TRUE),LEN(TRIM($W$632))&gt;0)</formula>
    </cfRule>
  </conditionalFormatting>
  <conditionalFormatting sqref="W632">
    <cfRule type="expression" dxfId="2211" priority="3270">
      <formula>OR($S$632 = FALSE, AND($P$632 = FALSE, ReportType &lt;&gt; "Final"), AND($Q$632 = FALSE, ReportType &lt;&gt; "Rough"))</formula>
    </cfRule>
  </conditionalFormatting>
  <conditionalFormatting sqref="W632">
    <cfRule type="expression" dxfId="2210" priority="3269">
      <formula>OR($T$632 = TRUE, AND($W$632 = TRUE, $S$632 = FALSE))</formula>
    </cfRule>
  </conditionalFormatting>
  <conditionalFormatting sqref="W683">
    <cfRule type="expression" dxfId="2209" priority="3268">
      <formula>AND($R$683,$S$683)</formula>
    </cfRule>
  </conditionalFormatting>
  <conditionalFormatting sqref="W683">
    <cfRule type="expression" dxfId="2208" priority="3267">
      <formula>AND(IF($R$683,$W$683,TRUE),LEN(TRIM($W$683))&gt;0)</formula>
    </cfRule>
  </conditionalFormatting>
  <conditionalFormatting sqref="W683">
    <cfRule type="expression" dxfId="2207" priority="3266">
      <formula>OR($S$683 = FALSE, AND($P$683 = FALSE, ReportType &lt;&gt; "Final"), AND($Q$683 = FALSE, ReportType &lt;&gt; "Rough"))</formula>
    </cfRule>
  </conditionalFormatting>
  <conditionalFormatting sqref="W683">
    <cfRule type="expression" dxfId="2206" priority="3265">
      <formula>OR($T$683 = TRUE, AND($W$683 = TRUE, $S$683 = FALSE))</formula>
    </cfRule>
  </conditionalFormatting>
  <conditionalFormatting sqref="W688">
    <cfRule type="expression" dxfId="2205" priority="3264">
      <formula>AND($R$688,$S$688)</formula>
    </cfRule>
  </conditionalFormatting>
  <conditionalFormatting sqref="W688">
    <cfRule type="expression" dxfId="2204" priority="3263">
      <formula>AND(IF($R$688,$W$688,TRUE),LEN(TRIM($W$688))&gt;0)</formula>
    </cfRule>
  </conditionalFormatting>
  <conditionalFormatting sqref="W688">
    <cfRule type="expression" dxfId="2203" priority="3262">
      <formula>OR($S$688 = FALSE, AND($P$688 = FALSE, ReportType &lt;&gt; "Final"), AND($Q$688 = FALSE, ReportType &lt;&gt; "Rough"))</formula>
    </cfRule>
  </conditionalFormatting>
  <conditionalFormatting sqref="W688">
    <cfRule type="expression" dxfId="2202" priority="3261">
      <formula>OR($T$688 = TRUE, AND($W$688 = TRUE, $S$688 = FALSE))</formula>
    </cfRule>
  </conditionalFormatting>
  <conditionalFormatting sqref="W694">
    <cfRule type="expression" dxfId="2201" priority="3260">
      <formula>AND($R$694,$S$694)</formula>
    </cfRule>
  </conditionalFormatting>
  <conditionalFormatting sqref="W694">
    <cfRule type="expression" dxfId="2200" priority="3259">
      <formula>AND(IF($R$694,$W$694,TRUE),LEN(TRIM($W$694))&gt;0)</formula>
    </cfRule>
  </conditionalFormatting>
  <conditionalFormatting sqref="W694">
    <cfRule type="expression" dxfId="2199" priority="3258">
      <formula>OR($S$694 = FALSE, AND($P$694 = FALSE, ReportType &lt;&gt; "Final"), AND($Q$694 = FALSE, ReportType &lt;&gt; "Rough"))</formula>
    </cfRule>
  </conditionalFormatting>
  <conditionalFormatting sqref="W694">
    <cfRule type="expression" dxfId="2198" priority="3257">
      <formula>OR($T$694 = TRUE, AND($W$694 = TRUE, $S$694 = FALSE))</formula>
    </cfRule>
  </conditionalFormatting>
  <conditionalFormatting sqref="W727">
    <cfRule type="expression" dxfId="2197" priority="3256">
      <formula>AND($R$727,$S$727)</formula>
    </cfRule>
  </conditionalFormatting>
  <conditionalFormatting sqref="W727">
    <cfRule type="expression" dxfId="2196" priority="3255">
      <formula>AND(IF($R$727,$W$727,TRUE),LEN(TRIM($W$727))&gt;0)</formula>
    </cfRule>
  </conditionalFormatting>
  <conditionalFormatting sqref="W727">
    <cfRule type="expression" dxfId="2195" priority="3254">
      <formula>OR($S$727 = FALSE, AND($P$727 = FALSE, ReportType &lt;&gt; "Final"), AND($Q$727 = FALSE, ReportType &lt;&gt; "Rough"))</formula>
    </cfRule>
  </conditionalFormatting>
  <conditionalFormatting sqref="W727">
    <cfRule type="expression" dxfId="2194" priority="3253">
      <formula>OR($T$727 = TRUE, AND($W$727 = TRUE, $S$727 = FALSE))</formula>
    </cfRule>
  </conditionalFormatting>
  <conditionalFormatting sqref="W736">
    <cfRule type="expression" dxfId="2193" priority="3252">
      <formula>AND($R$736,$S$736)</formula>
    </cfRule>
  </conditionalFormatting>
  <conditionalFormatting sqref="W736">
    <cfRule type="expression" dxfId="2192" priority="3251">
      <formula>AND(IF($R$736,$W$736,TRUE),LEN(TRIM($W$736))&gt;0)</formula>
    </cfRule>
  </conditionalFormatting>
  <conditionalFormatting sqref="W736">
    <cfRule type="expression" dxfId="2191" priority="3250">
      <formula>OR($S$736 = FALSE, AND($P$736 = FALSE, ReportType &lt;&gt; "Final"), AND($Q$736 = FALSE, ReportType &lt;&gt; "Rough"))</formula>
    </cfRule>
  </conditionalFormatting>
  <conditionalFormatting sqref="W736">
    <cfRule type="expression" dxfId="2190" priority="3249">
      <formula>OR($T$736 = TRUE, AND($W$736 = TRUE, $S$736 = FALSE))</formula>
    </cfRule>
  </conditionalFormatting>
  <conditionalFormatting sqref="W744">
    <cfRule type="expression" dxfId="2189" priority="3248">
      <formula>AND($R$744,$S$744)</formula>
    </cfRule>
  </conditionalFormatting>
  <conditionalFormatting sqref="W744">
    <cfRule type="expression" dxfId="2188" priority="3247">
      <formula>AND(IF($R$744,$W$744,TRUE),LEN(TRIM($W$744))&gt;0)</formula>
    </cfRule>
  </conditionalFormatting>
  <conditionalFormatting sqref="W744">
    <cfRule type="expression" dxfId="2187" priority="3246">
      <formula>OR($S$744 = FALSE, AND($P$744 = FALSE, ReportType &lt;&gt; "Final"), AND($Q$744 = FALSE, ReportType &lt;&gt; "Rough"))</formula>
    </cfRule>
  </conditionalFormatting>
  <conditionalFormatting sqref="W744">
    <cfRule type="expression" dxfId="2186" priority="3245">
      <formula>OR($T$744 = TRUE, AND($W$744 = TRUE, $S$744 = FALSE))</formula>
    </cfRule>
  </conditionalFormatting>
  <conditionalFormatting sqref="W824">
    <cfRule type="expression" dxfId="2185" priority="3244">
      <formula>AND($R$824,$S$824)</formula>
    </cfRule>
  </conditionalFormatting>
  <conditionalFormatting sqref="W824">
    <cfRule type="expression" dxfId="2184" priority="3243">
      <formula>AND(IF($R$824,$W$824,TRUE),LEN(TRIM($W$824))&gt;0)</formula>
    </cfRule>
  </conditionalFormatting>
  <conditionalFormatting sqref="W824">
    <cfRule type="expression" dxfId="2183" priority="3242">
      <formula>OR($S$824 = FALSE, AND($P$824 = FALSE, ReportType &lt;&gt; "Final"), AND($Q$824 = FALSE, ReportType &lt;&gt; "Rough"))</formula>
    </cfRule>
  </conditionalFormatting>
  <conditionalFormatting sqref="W824">
    <cfRule type="expression" dxfId="2182" priority="3241">
      <formula>OR($T$824 = TRUE, AND($W$824 = TRUE, $S$824 = FALSE))</formula>
    </cfRule>
  </conditionalFormatting>
  <conditionalFormatting sqref="W825">
    <cfRule type="expression" dxfId="2181" priority="3240">
      <formula>AND($R$825,$S$825)</formula>
    </cfRule>
  </conditionalFormatting>
  <conditionalFormatting sqref="W825">
    <cfRule type="expression" dxfId="2180" priority="3239">
      <formula>AND(IF($R$825,$W$825,TRUE),LEN(TRIM($W$825))&gt;0)</formula>
    </cfRule>
  </conditionalFormatting>
  <conditionalFormatting sqref="W825">
    <cfRule type="expression" dxfId="2179" priority="3238">
      <formula>OR($S$825 = FALSE, AND($P$825 = FALSE, ReportType &lt;&gt; "Final"), AND($Q$825 = FALSE, ReportType &lt;&gt; "Rough"))</formula>
    </cfRule>
  </conditionalFormatting>
  <conditionalFormatting sqref="W825">
    <cfRule type="expression" dxfId="2178" priority="3237">
      <formula>OR($T$825 = TRUE, AND($W$825 = TRUE, $S$825 = FALSE))</formula>
    </cfRule>
  </conditionalFormatting>
  <conditionalFormatting sqref="W829">
    <cfRule type="expression" dxfId="2177" priority="3236">
      <formula>AND($R$829,$S$829)</formula>
    </cfRule>
  </conditionalFormatting>
  <conditionalFormatting sqref="W829">
    <cfRule type="expression" dxfId="2176" priority="3235">
      <formula>AND(IF($R$829,$W$829,TRUE),LEN(TRIM($W$829))&gt;0)</formula>
    </cfRule>
  </conditionalFormatting>
  <conditionalFormatting sqref="W829">
    <cfRule type="expression" dxfId="2175" priority="3234">
      <formula>OR($S$829 = FALSE, AND($P$829 = FALSE, ReportType &lt;&gt; "Final"), AND($Q$829 = FALSE, ReportType &lt;&gt; "Rough"))</formula>
    </cfRule>
  </conditionalFormatting>
  <conditionalFormatting sqref="W829">
    <cfRule type="expression" dxfId="2174" priority="3233">
      <formula>OR($T$829 = TRUE, AND($W$829 = TRUE, $S$829 = FALSE))</formula>
    </cfRule>
  </conditionalFormatting>
  <conditionalFormatting sqref="W827">
    <cfRule type="expression" dxfId="2173" priority="3232">
      <formula>AND($R$827,$S$827)</formula>
    </cfRule>
  </conditionalFormatting>
  <conditionalFormatting sqref="W827">
    <cfRule type="expression" dxfId="2172" priority="3231">
      <formula>AND(IF($R$827,$W$827,TRUE),LEN(TRIM($W$827))&gt;0)</formula>
    </cfRule>
  </conditionalFormatting>
  <conditionalFormatting sqref="W827">
    <cfRule type="expression" dxfId="2171" priority="3230">
      <formula>OR($S$827 = FALSE, AND($P$827 = FALSE, ReportType &lt;&gt; "Final"), AND($Q$827 = FALSE, ReportType &lt;&gt; "Rough"))</formula>
    </cfRule>
  </conditionalFormatting>
  <conditionalFormatting sqref="W827">
    <cfRule type="expression" dxfId="2170" priority="3229">
      <formula>OR($T$827 = TRUE, AND($W$827 = TRUE, $S$827 = FALSE))</formula>
    </cfRule>
  </conditionalFormatting>
  <conditionalFormatting sqref="W831">
    <cfRule type="expression" dxfId="2169" priority="3228">
      <formula>AND($R$831,$S$831)</formula>
    </cfRule>
  </conditionalFormatting>
  <conditionalFormatting sqref="W831">
    <cfRule type="expression" dxfId="2168" priority="3227">
      <formula>AND(IF($R$831,$W$831,TRUE),LEN(TRIM($W$831))&gt;0)</formula>
    </cfRule>
  </conditionalFormatting>
  <conditionalFormatting sqref="W831">
    <cfRule type="expression" dxfId="2167" priority="3226">
      <formula>OR($S$831 = FALSE, AND($P$831 = FALSE, ReportType &lt;&gt; "Final"), AND($Q$831 = FALSE, ReportType &lt;&gt; "Rough"))</formula>
    </cfRule>
  </conditionalFormatting>
  <conditionalFormatting sqref="W831">
    <cfRule type="expression" dxfId="2166" priority="3225">
      <formula>OR($T$831 = TRUE, AND($W$831 = TRUE, $S$831 = FALSE))</formula>
    </cfRule>
  </conditionalFormatting>
  <conditionalFormatting sqref="W833">
    <cfRule type="expression" dxfId="2165" priority="3224">
      <formula>AND($R$833,$S$833)</formula>
    </cfRule>
  </conditionalFormatting>
  <conditionalFormatting sqref="W833">
    <cfRule type="expression" dxfId="2164" priority="3223">
      <formula>AND(IF($R$833,$W$833,TRUE),LEN(TRIM($W$833))&gt;0)</formula>
    </cfRule>
  </conditionalFormatting>
  <conditionalFormatting sqref="W833">
    <cfRule type="expression" dxfId="2163" priority="3222">
      <formula>OR($S$833 = FALSE, AND($P$833 = FALSE, ReportType &lt;&gt; "Final"), AND($Q$833 = FALSE, ReportType &lt;&gt; "Rough"))</formula>
    </cfRule>
  </conditionalFormatting>
  <conditionalFormatting sqref="W833">
    <cfRule type="expression" dxfId="2162" priority="3221">
      <formula>OR($T$833 = TRUE, AND($W$833 = TRUE, $S$833 = FALSE))</formula>
    </cfRule>
  </conditionalFormatting>
  <conditionalFormatting sqref="W835">
    <cfRule type="expression" dxfId="2161" priority="3220">
      <formula>AND($R$835,$S$835)</formula>
    </cfRule>
  </conditionalFormatting>
  <conditionalFormatting sqref="W835">
    <cfRule type="expression" dxfId="2160" priority="3219">
      <formula>AND(IF($R$835,$W$835,TRUE),LEN(TRIM($W$835))&gt;0)</formula>
    </cfRule>
  </conditionalFormatting>
  <conditionalFormatting sqref="W835">
    <cfRule type="expression" dxfId="2159" priority="3218">
      <formula>OR($S$835 = FALSE, AND($P$835 = FALSE, ReportType &lt;&gt; "Final"), AND($Q$835 = FALSE, ReportType &lt;&gt; "Rough"))</formula>
    </cfRule>
  </conditionalFormatting>
  <conditionalFormatting sqref="W835">
    <cfRule type="expression" dxfId="2158" priority="3217">
      <formula>OR($T$835 = TRUE, AND($W$835 = TRUE, $S$835 = FALSE))</formula>
    </cfRule>
  </conditionalFormatting>
  <conditionalFormatting sqref="W839">
    <cfRule type="expression" dxfId="2157" priority="3216">
      <formula>AND($R$839,$S$839)</formula>
    </cfRule>
  </conditionalFormatting>
  <conditionalFormatting sqref="W839">
    <cfRule type="expression" dxfId="2156" priority="3215">
      <formula>AND(IF($R$839,$W$839,TRUE),LEN(TRIM($W$839))&gt;0)</formula>
    </cfRule>
  </conditionalFormatting>
  <conditionalFormatting sqref="W839">
    <cfRule type="expression" dxfId="2155" priority="3214">
      <formula>OR($S$839 = FALSE, AND($P$839 = FALSE, ReportType &lt;&gt; "Final"), AND($Q$839 = FALSE, ReportType &lt;&gt; "Rough"))</formula>
    </cfRule>
  </conditionalFormatting>
  <conditionalFormatting sqref="W839">
    <cfRule type="expression" dxfId="2154" priority="3213">
      <formula>OR($T$839 = TRUE, AND($W$839 = TRUE, $S$839 = FALSE))</formula>
    </cfRule>
  </conditionalFormatting>
  <conditionalFormatting sqref="W844">
    <cfRule type="expression" dxfId="2153" priority="3212">
      <formula>AND($R$844,$S$844)</formula>
    </cfRule>
  </conditionalFormatting>
  <conditionalFormatting sqref="W844">
    <cfRule type="expression" dxfId="2152" priority="3211">
      <formula>AND(IF($R$844,$W$844,TRUE),LEN(TRIM($W$844))&gt;0)</formula>
    </cfRule>
  </conditionalFormatting>
  <conditionalFormatting sqref="W844">
    <cfRule type="expression" dxfId="2151" priority="3210">
      <formula>OR($S$844 = FALSE, AND($P$844 = FALSE, ReportType &lt;&gt; "Final"), AND($Q$844 = FALSE, ReportType &lt;&gt; "Rough"))</formula>
    </cfRule>
  </conditionalFormatting>
  <conditionalFormatting sqref="W844">
    <cfRule type="expression" dxfId="2150" priority="3209">
      <formula>OR($T$844 = TRUE, AND($W$844 = TRUE, $S$844 = FALSE))</formula>
    </cfRule>
  </conditionalFormatting>
  <conditionalFormatting sqref="W848">
    <cfRule type="expression" dxfId="2149" priority="3208">
      <formula>AND($R$848,$S$848)</formula>
    </cfRule>
  </conditionalFormatting>
  <conditionalFormatting sqref="W848">
    <cfRule type="expression" dxfId="2148" priority="3207">
      <formula>AND(IF($R$848,$W$848,TRUE),LEN(TRIM($W$848))&gt;0)</formula>
    </cfRule>
  </conditionalFormatting>
  <conditionalFormatting sqref="W848">
    <cfRule type="expression" dxfId="2147" priority="3206">
      <formula>OR($S$848 = FALSE, AND($P$848 = FALSE, ReportType &lt;&gt; "Final"), AND($Q$848 = FALSE, ReportType &lt;&gt; "Rough"))</formula>
    </cfRule>
  </conditionalFormatting>
  <conditionalFormatting sqref="W848">
    <cfRule type="expression" dxfId="2146" priority="3205">
      <formula>OR($T$848 = TRUE, AND($W$848 = TRUE, $S$848 = FALSE))</formula>
    </cfRule>
  </conditionalFormatting>
  <conditionalFormatting sqref="W850">
    <cfRule type="expression" dxfId="2145" priority="3204">
      <formula>AND($R$850,$S$850)</formula>
    </cfRule>
  </conditionalFormatting>
  <conditionalFormatting sqref="W850">
    <cfRule type="expression" dxfId="2144" priority="3203">
      <formula>AND(IF($R$850,$W$850,TRUE),LEN(TRIM($W$850))&gt;0)</formula>
    </cfRule>
  </conditionalFormatting>
  <conditionalFormatting sqref="W850">
    <cfRule type="expression" dxfId="2143" priority="3202">
      <formula>OR($S$850 = FALSE, AND($P$850 = FALSE, ReportType &lt;&gt; "Final"), AND($Q$850 = FALSE, ReportType &lt;&gt; "Rough"))</formula>
    </cfRule>
  </conditionalFormatting>
  <conditionalFormatting sqref="W850">
    <cfRule type="expression" dxfId="2142" priority="3201">
      <formula>OR($T$850 = TRUE, AND($W$850 = TRUE, $S$850 = FALSE))</formula>
    </cfRule>
  </conditionalFormatting>
  <conditionalFormatting sqref="W852">
    <cfRule type="expression" dxfId="2141" priority="3200">
      <formula>AND($R$852,$S$852)</formula>
    </cfRule>
  </conditionalFormatting>
  <conditionalFormatting sqref="W852">
    <cfRule type="expression" dxfId="2140" priority="3199">
      <formula>AND(IF($R$852,$W$852,TRUE),LEN(TRIM($W$852))&gt;0)</formula>
    </cfRule>
  </conditionalFormatting>
  <conditionalFormatting sqref="W852">
    <cfRule type="expression" dxfId="2139" priority="3198">
      <formula>OR($S$852 = FALSE, AND($P$852 = FALSE, ReportType &lt;&gt; "Final"), AND($Q$852 = FALSE, ReportType &lt;&gt; "Rough"))</formula>
    </cfRule>
  </conditionalFormatting>
  <conditionalFormatting sqref="W852">
    <cfRule type="expression" dxfId="2138" priority="3197">
      <formula>OR($T$852 = TRUE, AND($W$852 = TRUE, $S$852 = FALSE))</formula>
    </cfRule>
  </conditionalFormatting>
  <conditionalFormatting sqref="W853">
    <cfRule type="expression" dxfId="2137" priority="3196">
      <formula>AND($R$853,$S$853)</formula>
    </cfRule>
  </conditionalFormatting>
  <conditionalFormatting sqref="W853">
    <cfRule type="expression" dxfId="2136" priority="3195">
      <formula>AND(IF($R$853,$W$853,TRUE),LEN(TRIM($W$853))&gt;0)</formula>
    </cfRule>
  </conditionalFormatting>
  <conditionalFormatting sqref="W853">
    <cfRule type="expression" dxfId="2135" priority="3194">
      <formula>OR($S$853 = FALSE, AND($P$853 = FALSE, ReportType &lt;&gt; "Final"), AND($Q$853 = FALSE, ReportType &lt;&gt; "Rough"))</formula>
    </cfRule>
  </conditionalFormatting>
  <conditionalFormatting sqref="W853">
    <cfRule type="expression" dxfId="2134" priority="3193">
      <formula>OR($T$853 = TRUE, AND($W$853 = TRUE, $S$853 = FALSE))</formula>
    </cfRule>
  </conditionalFormatting>
  <conditionalFormatting sqref="W854">
    <cfRule type="expression" dxfId="2133" priority="3192">
      <formula>AND($R$854,$S$854)</formula>
    </cfRule>
  </conditionalFormatting>
  <conditionalFormatting sqref="W854">
    <cfRule type="expression" dxfId="2132" priority="3191">
      <formula>AND(IF($R$854,$W$854,TRUE),LEN(TRIM($W$854))&gt;0)</formula>
    </cfRule>
  </conditionalFormatting>
  <conditionalFormatting sqref="W854">
    <cfRule type="expression" dxfId="2131" priority="3190">
      <formula>OR($S$854 = FALSE, AND($P$854 = FALSE, ReportType &lt;&gt; "Final"), AND($Q$854 = FALSE, ReportType &lt;&gt; "Rough"))</formula>
    </cfRule>
  </conditionalFormatting>
  <conditionalFormatting sqref="W854">
    <cfRule type="expression" dxfId="2130" priority="3189">
      <formula>OR($T$854 = TRUE, AND($W$854 = TRUE, $S$854 = FALSE))</formula>
    </cfRule>
  </conditionalFormatting>
  <conditionalFormatting sqref="W858">
    <cfRule type="expression" dxfId="2129" priority="3188">
      <formula>AND($R$858,$S$858)</formula>
    </cfRule>
  </conditionalFormatting>
  <conditionalFormatting sqref="W858">
    <cfRule type="expression" dxfId="2128" priority="3187">
      <formula>AND(IF($R$858,$W$858,TRUE),LEN(TRIM($W$858))&gt;0)</formula>
    </cfRule>
  </conditionalFormatting>
  <conditionalFormatting sqref="W858">
    <cfRule type="expression" dxfId="2127" priority="3186">
      <formula>OR($S$858 = FALSE, AND($P$858 = FALSE, ReportType &lt;&gt; "Final"), AND($Q$858 = FALSE, ReportType &lt;&gt; "Rough"))</formula>
    </cfRule>
  </conditionalFormatting>
  <conditionalFormatting sqref="W858">
    <cfRule type="expression" dxfId="2126" priority="3185">
      <formula>OR($T$858 = TRUE, AND($W$858 = TRUE, $S$858 = FALSE))</formula>
    </cfRule>
  </conditionalFormatting>
  <conditionalFormatting sqref="W1055">
    <cfRule type="expression" dxfId="2125" priority="3128">
      <formula>AND(R1055,S1055)</formula>
    </cfRule>
  </conditionalFormatting>
  <conditionalFormatting sqref="W1055">
    <cfRule type="expression" dxfId="2124" priority="3127">
      <formula>NOT(ISBLANK(W1055))</formula>
    </cfRule>
  </conditionalFormatting>
  <conditionalFormatting sqref="W1055">
    <cfRule type="expression" dxfId="2123" priority="3126">
      <formula>OR(S1055 = FALSE, AND(P1055 = FALSE, ReportType &lt;&gt; "Final"), AND(Q1055 = FALSE, ReportType &lt;&gt; "Rough"))</formula>
    </cfRule>
  </conditionalFormatting>
  <conditionalFormatting sqref="W1055">
    <cfRule type="expression" dxfId="2122" priority="3125">
      <formula>OR(T1055 = TRUE, AND(W1055 = TRUE, S1055 = FALSE))</formula>
    </cfRule>
  </conditionalFormatting>
  <conditionalFormatting sqref="W1092">
    <cfRule type="expression" dxfId="2121" priority="3080">
      <formula>AND(R1092,S1092)</formula>
    </cfRule>
  </conditionalFormatting>
  <conditionalFormatting sqref="W1092">
    <cfRule type="expression" dxfId="2120" priority="3079">
      <formula>NOT(ISBLANK(W1092))</formula>
    </cfRule>
  </conditionalFormatting>
  <conditionalFormatting sqref="W1092">
    <cfRule type="expression" dxfId="2119" priority="3078">
      <formula>OR(S1092 = FALSE, AND(P1092 = FALSE, ReportType &lt;&gt; "Final"), AND(Q1092 = FALSE, ReportType &lt;&gt; "Rough"))</formula>
    </cfRule>
  </conditionalFormatting>
  <conditionalFormatting sqref="W1092">
    <cfRule type="expression" dxfId="2118" priority="3077">
      <formula>OR(T1092 = TRUE, AND(W1092 = TRUE, S1092 = FALSE))</formula>
    </cfRule>
  </conditionalFormatting>
  <conditionalFormatting sqref="W1098">
    <cfRule type="expression" dxfId="2117" priority="3076">
      <formula>AND(R1098,S1098)</formula>
    </cfRule>
  </conditionalFormatting>
  <conditionalFormatting sqref="W1098">
    <cfRule type="expression" dxfId="2116" priority="3075">
      <formula>NOT(ISBLANK(W1098))</formula>
    </cfRule>
  </conditionalFormatting>
  <conditionalFormatting sqref="W1098">
    <cfRule type="expression" dxfId="2115" priority="3074">
      <formula>OR(S1098 = FALSE, AND(P1098 = FALSE, ReportType &lt;&gt; "Final"), AND(Q1098 = FALSE, ReportType &lt;&gt; "Rough"))</formula>
    </cfRule>
  </conditionalFormatting>
  <conditionalFormatting sqref="W1098">
    <cfRule type="expression" dxfId="2114" priority="3073">
      <formula>OR(T1098 = TRUE, AND(W1098 = TRUE, S1098 = FALSE))</formula>
    </cfRule>
  </conditionalFormatting>
  <conditionalFormatting sqref="W1583">
    <cfRule type="expression" dxfId="2113" priority="2996">
      <formula>AND(R1583,S1583)</formula>
    </cfRule>
  </conditionalFormatting>
  <conditionalFormatting sqref="W1583">
    <cfRule type="expression" dxfId="2112" priority="2995">
      <formula>AND(S1583,LEN(TRIM(W1583))&gt;0)</formula>
    </cfRule>
  </conditionalFormatting>
  <conditionalFormatting sqref="W1583">
    <cfRule type="expression" dxfId="2111" priority="2994">
      <formula>OR(S1583 = FALSE, AND(P1583 = FALSE, ReportType &lt;&gt; "Final"), AND(Q1583 = FALSE, ReportType &lt;&gt; "Rough"))</formula>
    </cfRule>
  </conditionalFormatting>
  <conditionalFormatting sqref="W1583">
    <cfRule type="expression" dxfId="2110" priority="2993">
      <formula>OR(T1583 = TRUE, AND(W1583 &gt; 0, S1583 = FALSE))</formula>
    </cfRule>
  </conditionalFormatting>
  <conditionalFormatting sqref="W1417">
    <cfRule type="expression" dxfId="2109" priority="2972">
      <formula>AND(R1417,S1417)</formula>
    </cfRule>
  </conditionalFormatting>
  <conditionalFormatting sqref="W1417">
    <cfRule type="expression" dxfId="2108" priority="2971">
      <formula>AND(IF(S1417,W1417,TRUE),LEN(TRIM(W1417))&gt;0)</formula>
    </cfRule>
  </conditionalFormatting>
  <conditionalFormatting sqref="W1417">
    <cfRule type="expression" dxfId="2107" priority="2970">
      <formula>OR(S1417 = FALSE, AND(P1417 = FALSE, ReportType &lt;&gt; "Final"), AND(Q1417 = FALSE, ReportType &lt;&gt; "Rough"))</formula>
    </cfRule>
  </conditionalFormatting>
  <conditionalFormatting sqref="W1417">
    <cfRule type="expression" dxfId="2106" priority="2969">
      <formula>OR(T1417 = TRUE, AND(W1417 = TRUE, S1417 = FALSE))</formula>
    </cfRule>
  </conditionalFormatting>
  <conditionalFormatting sqref="W1454">
    <cfRule type="expression" dxfId="2105" priority="2822">
      <formula>AND(R1454,S1454)</formula>
    </cfRule>
  </conditionalFormatting>
  <conditionalFormatting sqref="W1454">
    <cfRule type="expression" dxfId="2104" priority="2821">
      <formula>AND(S1454,LEN(TRIM(W1454))&gt;0)</formula>
    </cfRule>
  </conditionalFormatting>
  <conditionalFormatting sqref="W1454">
    <cfRule type="expression" dxfId="2103" priority="2820">
      <formula>OR(S1454 = FALSE, AND(P1454 = FALSE, ReportType &lt;&gt; "Final"), AND(Q1454 = FALSE, ReportType &lt;&gt; "Rough"))</formula>
    </cfRule>
  </conditionalFormatting>
  <conditionalFormatting sqref="W1454">
    <cfRule type="expression" dxfId="2102" priority="2819">
      <formula>OR(T1454 = TRUE, AND(W1454 &gt; 0, S1454 = FALSE))</formula>
    </cfRule>
  </conditionalFormatting>
  <conditionalFormatting sqref="W1301">
    <cfRule type="expression" dxfId="2101" priority="2814">
      <formula>AND(R1301,S1301)</formula>
    </cfRule>
  </conditionalFormatting>
  <conditionalFormatting sqref="W1301">
    <cfRule type="expression" dxfId="2100" priority="2813">
      <formula>AND(R1301,LEN(TRIM(W1301))&gt;0)</formula>
    </cfRule>
  </conditionalFormatting>
  <conditionalFormatting sqref="W1301">
    <cfRule type="expression" dxfId="2099" priority="2812">
      <formula>OR(S1301 = FALSE, AND(P1301 = FALSE, ReportType &lt;&gt; "Final"), AND(Q1301 = FALSE, ReportType &lt;&gt; "Rough"))</formula>
    </cfRule>
  </conditionalFormatting>
  <conditionalFormatting sqref="W1301">
    <cfRule type="expression" dxfId="2098" priority="2811">
      <formula>OR(T1301 = TRUE, AND(W1301 &gt; 0, S1301 = FALSE))</formula>
    </cfRule>
  </conditionalFormatting>
  <conditionalFormatting sqref="W975">
    <cfRule type="expression" dxfId="2097" priority="2766">
      <formula>AND(R975,S975)</formula>
    </cfRule>
  </conditionalFormatting>
  <conditionalFormatting sqref="W975">
    <cfRule type="expression" dxfId="2096" priority="2765">
      <formula>NOT(ISBLANK(W975))</formula>
    </cfRule>
  </conditionalFormatting>
  <conditionalFormatting sqref="W975">
    <cfRule type="expression" dxfId="2095" priority="2764">
      <formula>OR(S975 = FALSE, AND(P975 = FALSE, ReportType &lt;&gt; "Final"), AND(Q975 = FALSE, ReportType &lt;&gt; "Rough"))</formula>
    </cfRule>
  </conditionalFormatting>
  <conditionalFormatting sqref="W975">
    <cfRule type="expression" dxfId="2094" priority="2763">
      <formula>OR(T975 = TRUE, AND(W975 = TRUE, S975 = FALSE))</formula>
    </cfRule>
  </conditionalFormatting>
  <conditionalFormatting sqref="W1493">
    <cfRule type="expression" dxfId="2093" priority="2762">
      <formula>AND(R1493,S1493)</formula>
    </cfRule>
  </conditionalFormatting>
  <conditionalFormatting sqref="W1493">
    <cfRule type="expression" dxfId="2092" priority="2761">
      <formula>NOT(ISBLANK(W1493))</formula>
    </cfRule>
  </conditionalFormatting>
  <conditionalFormatting sqref="W1493">
    <cfRule type="expression" dxfId="2091" priority="2760">
      <formula>OR(S1493 = FALSE, AND(P1493 = FALSE, ReportType &lt;&gt; "Final"), AND(Q1493 = FALSE, ReportType &lt;&gt; "Rough"))</formula>
    </cfRule>
  </conditionalFormatting>
  <conditionalFormatting sqref="W1493">
    <cfRule type="expression" dxfId="2090" priority="2759">
      <formula>OR(T1493 = TRUE, AND(W1493 = TRUE, S1493 = FALSE))</formula>
    </cfRule>
  </conditionalFormatting>
  <conditionalFormatting sqref="W1161">
    <cfRule type="expression" dxfId="2089" priority="2729">
      <formula>AND(R1161,S1161)</formula>
    </cfRule>
  </conditionalFormatting>
  <conditionalFormatting sqref="W1161">
    <cfRule type="expression" dxfId="2088" priority="2728">
      <formula>NOT(ISBLANK(W1161))</formula>
    </cfRule>
  </conditionalFormatting>
  <conditionalFormatting sqref="W1161">
    <cfRule type="expression" dxfId="2087" priority="2727">
      <formula>OR(S1161 = FALSE, AND(P1161 = FALSE, ReportType &lt;&gt; "Final"), AND(Q1161 = FALSE, ReportType &lt;&gt; "Rough"))</formula>
    </cfRule>
  </conditionalFormatting>
  <conditionalFormatting sqref="W1161">
    <cfRule type="expression" dxfId="2086" priority="2726">
      <formula>OR(T1161 = TRUE, AND(W1161 = TRUE, S1161 = FALSE))</formula>
    </cfRule>
  </conditionalFormatting>
  <conditionalFormatting sqref="W1167">
    <cfRule type="expression" dxfId="2085" priority="2725">
      <formula>AND(R1167,S1167)</formula>
    </cfRule>
  </conditionalFormatting>
  <conditionalFormatting sqref="W1167">
    <cfRule type="expression" dxfId="2084" priority="2724">
      <formula>NOT(ISBLANK(W1167))</formula>
    </cfRule>
  </conditionalFormatting>
  <conditionalFormatting sqref="W1167">
    <cfRule type="expression" dxfId="2083" priority="2723">
      <formula>OR(S1167 = FALSE, AND(P1167 = FALSE, ReportType &lt;&gt; "Final"), AND(Q1167 = FALSE, ReportType &lt;&gt; "Rough"))</formula>
    </cfRule>
  </conditionalFormatting>
  <conditionalFormatting sqref="W1167">
    <cfRule type="expression" dxfId="2082" priority="2722">
      <formula>OR(T1167 = TRUE, AND(W1167 = TRUE, S1167 = FALSE))</formula>
    </cfRule>
  </conditionalFormatting>
  <conditionalFormatting sqref="W1170">
    <cfRule type="expression" dxfId="2081" priority="2721">
      <formula>AND(R1170,S1170)</formula>
    </cfRule>
  </conditionalFormatting>
  <conditionalFormatting sqref="W1170">
    <cfRule type="expression" dxfId="2080" priority="2720">
      <formula>NOT(ISBLANK(W1170))</formula>
    </cfRule>
  </conditionalFormatting>
  <conditionalFormatting sqref="W1170">
    <cfRule type="expression" dxfId="2079" priority="2719">
      <formula>OR(S1170 = FALSE, AND(P1170 = FALSE, ReportType &lt;&gt; "Final"), AND(Q1170 = FALSE, ReportType &lt;&gt; "Rough"))</formula>
    </cfRule>
  </conditionalFormatting>
  <conditionalFormatting sqref="W1170">
    <cfRule type="expression" dxfId="2078" priority="2718">
      <formula>OR(T1170 = TRUE, AND(W1170 = TRUE, S1170 = FALSE))</formula>
    </cfRule>
  </conditionalFormatting>
  <conditionalFormatting sqref="W1175">
    <cfRule type="expression" dxfId="2077" priority="2717">
      <formula>AND(R1175,S1175)</formula>
    </cfRule>
  </conditionalFormatting>
  <conditionalFormatting sqref="W1175">
    <cfRule type="expression" dxfId="2076" priority="2716">
      <formula>NOT(ISBLANK(W1175))</formula>
    </cfRule>
  </conditionalFormatting>
  <conditionalFormatting sqref="W1175">
    <cfRule type="expression" dxfId="2075" priority="2715">
      <formula>OR(S1175 = FALSE, AND(P1175 = FALSE, ReportType &lt;&gt; "Final"), AND(Q1175 = FALSE, ReportType &lt;&gt; "Rough"))</formula>
    </cfRule>
  </conditionalFormatting>
  <conditionalFormatting sqref="W1175">
    <cfRule type="expression" dxfId="2074" priority="2714">
      <formula>OR(T1175 = TRUE, AND(W1175 = TRUE, S1175 = FALSE))</formula>
    </cfRule>
  </conditionalFormatting>
  <conditionalFormatting sqref="W1181">
    <cfRule type="expression" dxfId="2073" priority="2713">
      <formula>AND(R1181,S1181)</formula>
    </cfRule>
  </conditionalFormatting>
  <conditionalFormatting sqref="W1181">
    <cfRule type="expression" dxfId="2072" priority="2712">
      <formula>NOT(ISBLANK(W1181))</formula>
    </cfRule>
  </conditionalFormatting>
  <conditionalFormatting sqref="W1181">
    <cfRule type="expression" dxfId="2071" priority="2711">
      <formula>OR(S1181 = FALSE, AND(P1181 = FALSE, ReportType &lt;&gt; "Final"), AND(Q1181 = FALSE, ReportType &lt;&gt; "Rough"))</formula>
    </cfRule>
  </conditionalFormatting>
  <conditionalFormatting sqref="W1181">
    <cfRule type="expression" dxfId="2070" priority="2710">
      <formula>OR(T1181 = TRUE, AND(W1181 = TRUE, S1181 = FALSE))</formula>
    </cfRule>
  </conditionalFormatting>
  <conditionalFormatting sqref="W1188">
    <cfRule type="expression" dxfId="2069" priority="2709">
      <formula>AND(R1188,S1188)</formula>
    </cfRule>
  </conditionalFormatting>
  <conditionalFormatting sqref="W1188">
    <cfRule type="expression" dxfId="2068" priority="2708">
      <formula>NOT(ISBLANK(W1188))</formula>
    </cfRule>
  </conditionalFormatting>
  <conditionalFormatting sqref="W1188">
    <cfRule type="expression" dxfId="2067" priority="2707">
      <formula>OR(S1188 = FALSE, AND(P1188 = FALSE, ReportType &lt;&gt; "Final"), AND(Q1188 = FALSE, ReportType &lt;&gt; "Rough"))</formula>
    </cfRule>
  </conditionalFormatting>
  <conditionalFormatting sqref="W1188">
    <cfRule type="expression" dxfId="2066" priority="2706">
      <formula>OR(T1188 = TRUE, AND(W1188 = TRUE, S1188 = FALSE))</formula>
    </cfRule>
  </conditionalFormatting>
  <conditionalFormatting sqref="W1193">
    <cfRule type="expression" dxfId="2065" priority="2705">
      <formula>AND(R1193,S1193)</formula>
    </cfRule>
  </conditionalFormatting>
  <conditionalFormatting sqref="W1193">
    <cfRule type="expression" dxfId="2064" priority="2704">
      <formula>NOT(ISBLANK(W1193))</formula>
    </cfRule>
  </conditionalFormatting>
  <conditionalFormatting sqref="W1193">
    <cfRule type="expression" dxfId="2063" priority="2703">
      <formula>OR(S1193 = FALSE, AND(P1193 = FALSE, ReportType &lt;&gt; "Final"), AND(Q1193 = FALSE, ReportType &lt;&gt; "Rough"))</formula>
    </cfRule>
  </conditionalFormatting>
  <conditionalFormatting sqref="W1193">
    <cfRule type="expression" dxfId="2062" priority="2702">
      <formula>OR(T1193 = TRUE, AND(W1193 = TRUE, S1193 = FALSE))</formula>
    </cfRule>
  </conditionalFormatting>
  <conditionalFormatting sqref="W1200">
    <cfRule type="expression" dxfId="2061" priority="2701">
      <formula>AND(R1200,S1200)</formula>
    </cfRule>
  </conditionalFormatting>
  <conditionalFormatting sqref="W1200">
    <cfRule type="expression" dxfId="2060" priority="2700">
      <formula>NOT(ISBLANK(W1200))</formula>
    </cfRule>
  </conditionalFormatting>
  <conditionalFormatting sqref="W1200">
    <cfRule type="expression" dxfId="2059" priority="2699">
      <formula>OR(S1200 = FALSE, AND(P1200 = FALSE, ReportType &lt;&gt; "Final"), AND(Q1200 = FALSE, ReportType &lt;&gt; "Rough"))</formula>
    </cfRule>
  </conditionalFormatting>
  <conditionalFormatting sqref="W1200">
    <cfRule type="expression" dxfId="2058" priority="2698">
      <formula>OR(T1200 = TRUE, AND(W1200 = TRUE, S1200 = FALSE))</formula>
    </cfRule>
  </conditionalFormatting>
  <conditionalFormatting sqref="W1206">
    <cfRule type="expression" dxfId="2057" priority="2689">
      <formula>AND(R1206,S1206)</formula>
    </cfRule>
  </conditionalFormatting>
  <conditionalFormatting sqref="W1206">
    <cfRule type="expression" dxfId="2056" priority="2688">
      <formula>NOT(ISBLANK(W1206))</formula>
    </cfRule>
  </conditionalFormatting>
  <conditionalFormatting sqref="W1206">
    <cfRule type="expression" dxfId="2055" priority="2687">
      <formula>OR(S1206 = FALSE, AND(P1206 = FALSE, ReportType &lt;&gt; "Final"), AND(Q1206 = FALSE, ReportType &lt;&gt; "Rough"))</formula>
    </cfRule>
  </conditionalFormatting>
  <conditionalFormatting sqref="W1206">
    <cfRule type="expression" dxfId="2054" priority="2686">
      <formula>OR(T1206 = TRUE, AND(W1206 = TRUE, S1206 = FALSE))</formula>
    </cfRule>
  </conditionalFormatting>
  <conditionalFormatting sqref="W1213">
    <cfRule type="expression" dxfId="2053" priority="2681">
      <formula>AND(R1213,S1213)</formula>
    </cfRule>
  </conditionalFormatting>
  <conditionalFormatting sqref="W1213">
    <cfRule type="expression" dxfId="2052" priority="2680">
      <formula>NOT(ISBLANK(W1213))</formula>
    </cfRule>
  </conditionalFormatting>
  <conditionalFormatting sqref="W1213">
    <cfRule type="expression" dxfId="2051" priority="2679">
      <formula>OR(S1213 = FALSE, AND(P1213 = FALSE, ReportType &lt;&gt; "Final"), AND(Q1213 = FALSE, ReportType &lt;&gt; "Rough"))</formula>
    </cfRule>
  </conditionalFormatting>
  <conditionalFormatting sqref="W1213">
    <cfRule type="expression" dxfId="2050" priority="2678">
      <formula>OR(T1213 = TRUE, AND(W1213 = TRUE, S1213 = FALSE))</formula>
    </cfRule>
  </conditionalFormatting>
  <conditionalFormatting sqref="W882">
    <cfRule type="expression" dxfId="2049" priority="2675">
      <formula>AND($R$882,$S$882)</formula>
    </cfRule>
  </conditionalFormatting>
  <conditionalFormatting sqref="W882">
    <cfRule type="expression" dxfId="2048" priority="2674">
      <formula>AND($W$882&lt;&gt;"Not Met",LEN(TRIM($W$882))&gt;0)</formula>
    </cfRule>
  </conditionalFormatting>
  <conditionalFormatting sqref="W882">
    <cfRule type="expression" dxfId="2047" priority="2673">
      <formula>OR($S$882 = FALSE, AND($P$882 = FALSE, ReportType &lt;&gt; "Final"), AND($Q$882 = FALSE, ReportType &lt;&gt; "Rough"))</formula>
    </cfRule>
  </conditionalFormatting>
  <conditionalFormatting sqref="W882">
    <cfRule type="expression" dxfId="2046" priority="2672">
      <formula>OR($T$882 = TRUE, AND(LEN(TRIM($W$882))&gt;0, $S$882 = FALSE))</formula>
    </cfRule>
  </conditionalFormatting>
  <conditionalFormatting sqref="W898">
    <cfRule type="expression" dxfId="2045" priority="2671">
      <formula>AND($R$898,$S$898)</formula>
    </cfRule>
  </conditionalFormatting>
  <conditionalFormatting sqref="W898">
    <cfRule type="expression" dxfId="2044" priority="2670">
      <formula>AND($W$898&lt;&gt;"Not Met",LEN(TRIM($W$898))&gt;0)</formula>
    </cfRule>
  </conditionalFormatting>
  <conditionalFormatting sqref="W898">
    <cfRule type="expression" dxfId="2043" priority="2669">
      <formula>OR($S$898 = FALSE, AND($P$898 = FALSE, ReportType &lt;&gt; "Final"), AND($Q$898 = FALSE, ReportType &lt;&gt; "Rough"))</formula>
    </cfRule>
  </conditionalFormatting>
  <conditionalFormatting sqref="W898">
    <cfRule type="expression" dxfId="2042" priority="2668">
      <formula>OR($T$898 = TRUE, AND(LEN(TRIM($W$898))&gt;0, $S$898 = FALSE))</formula>
    </cfRule>
  </conditionalFormatting>
  <conditionalFormatting sqref="W933">
    <cfRule type="expression" dxfId="2041" priority="2667">
      <formula>AND($R$933,$S$933)</formula>
    </cfRule>
  </conditionalFormatting>
  <conditionalFormatting sqref="W933">
    <cfRule type="expression" dxfId="2040" priority="2666">
      <formula>AND(IF($R$933,$W$933,TRUE),LEN(TRIM($W$933))&gt;0)</formula>
    </cfRule>
  </conditionalFormatting>
  <conditionalFormatting sqref="W933">
    <cfRule type="expression" dxfId="2039" priority="2665">
      <formula>OR($S$933 = FALSE, AND($P$933 = FALSE, ReportType &lt;&gt; "Final"), AND($Q$933 = FALSE, ReportType &lt;&gt; "Rough"))</formula>
    </cfRule>
  </conditionalFormatting>
  <conditionalFormatting sqref="W933">
    <cfRule type="expression" dxfId="2038" priority="2664">
      <formula>OR($T$933 = TRUE, AND($W$933 = TRUE, $S$933 = FALSE))</formula>
    </cfRule>
  </conditionalFormatting>
  <conditionalFormatting sqref="W938">
    <cfRule type="expression" dxfId="2037" priority="2663">
      <formula>AND($R$938,$S$938)</formula>
    </cfRule>
  </conditionalFormatting>
  <conditionalFormatting sqref="W938">
    <cfRule type="expression" dxfId="2036" priority="2662">
      <formula>AND(IF($R$938,$W$938,TRUE),LEN(TRIM($W$938))&gt;0)</formula>
    </cfRule>
  </conditionalFormatting>
  <conditionalFormatting sqref="W938">
    <cfRule type="expression" dxfId="2035" priority="2661">
      <formula>OR($S$938 = FALSE, AND($P$938 = FALSE, ReportType &lt;&gt; "Final"), AND($Q$938 = FALSE, ReportType &lt;&gt; "Rough"))</formula>
    </cfRule>
  </conditionalFormatting>
  <conditionalFormatting sqref="W938">
    <cfRule type="expression" dxfId="2034" priority="2660">
      <formula>OR($T$938 = TRUE, AND($W$938 = TRUE, $S$938 = FALSE))</formula>
    </cfRule>
  </conditionalFormatting>
  <conditionalFormatting sqref="W941">
    <cfRule type="expression" dxfId="2033" priority="2659">
      <formula>AND($R$941,$S$941)</formula>
    </cfRule>
  </conditionalFormatting>
  <conditionalFormatting sqref="W941">
    <cfRule type="expression" dxfId="2032" priority="2658">
      <formula>AND($W$941&lt;&gt;"Not Met",LEN(TRIM($W$941))&gt;0)</formula>
    </cfRule>
  </conditionalFormatting>
  <conditionalFormatting sqref="W941">
    <cfRule type="expression" dxfId="2031" priority="2657">
      <formula>OR($S$941 = FALSE, AND($P$941 = FALSE, ReportType &lt;&gt; "Final"), AND($Q$941 = FALSE, ReportType &lt;&gt; "Rough"))</formula>
    </cfRule>
  </conditionalFormatting>
  <conditionalFormatting sqref="W941">
    <cfRule type="expression" dxfId="2030" priority="2656">
      <formula>OR($T$941 = TRUE, AND(LEN(TRIM($W$941))&gt;0, $S$941 = FALSE))</formula>
    </cfRule>
  </conditionalFormatting>
  <conditionalFormatting sqref="W947">
    <cfRule type="expression" dxfId="2029" priority="2655">
      <formula>AND($R$947,$S$947)</formula>
    </cfRule>
  </conditionalFormatting>
  <conditionalFormatting sqref="W947">
    <cfRule type="expression" dxfId="2028" priority="2654">
      <formula>AND(IF($R$947,$W$947,TRUE),LEN(TRIM($W$947))&gt;0)</formula>
    </cfRule>
  </conditionalFormatting>
  <conditionalFormatting sqref="W947">
    <cfRule type="expression" dxfId="2027" priority="2653">
      <formula>OR($S$947 = FALSE, AND($P$947 = FALSE, ReportType &lt;&gt; "Final"), AND($Q$947 = FALSE, ReportType &lt;&gt; "Rough"))</formula>
    </cfRule>
  </conditionalFormatting>
  <conditionalFormatting sqref="W947">
    <cfRule type="expression" dxfId="2026" priority="2652">
      <formula>OR($T$947 = TRUE, AND($W$947 = TRUE, $S$947 = FALSE))</formula>
    </cfRule>
  </conditionalFormatting>
  <conditionalFormatting sqref="W950">
    <cfRule type="expression" dxfId="2025" priority="2651">
      <formula>AND($R$950,$S$950)</formula>
    </cfRule>
  </conditionalFormatting>
  <conditionalFormatting sqref="W950">
    <cfRule type="expression" dxfId="2024" priority="2650">
      <formula>AND(IF($R$950,$W$950,TRUE),LEN(TRIM($W$950))&gt;0)</formula>
    </cfRule>
  </conditionalFormatting>
  <conditionalFormatting sqref="W950">
    <cfRule type="expression" dxfId="2023" priority="2649">
      <formula>OR($S$950 = FALSE, AND($P$950 = FALSE, ReportType &lt;&gt; "Final"), AND($Q$950 = FALSE, ReportType &lt;&gt; "Rough"))</formula>
    </cfRule>
  </conditionalFormatting>
  <conditionalFormatting sqref="W950">
    <cfRule type="expression" dxfId="2022" priority="2648">
      <formula>OR($T$950 = TRUE, AND($W$950 = TRUE, $S$950 = FALSE))</formula>
    </cfRule>
  </conditionalFormatting>
  <conditionalFormatting sqref="W951">
    <cfRule type="expression" dxfId="2021" priority="2647">
      <formula>AND($R$951,$S$951)</formula>
    </cfRule>
  </conditionalFormatting>
  <conditionalFormatting sqref="W951">
    <cfRule type="expression" dxfId="2020" priority="2646">
      <formula>AND(IF($R$951,$W$951,TRUE),LEN(TRIM($W$951))&gt;0)</formula>
    </cfRule>
  </conditionalFormatting>
  <conditionalFormatting sqref="W951">
    <cfRule type="expression" dxfId="2019" priority="2645">
      <formula>OR($S$951 = FALSE, AND($P$951 = FALSE, ReportType &lt;&gt; "Final"), AND($Q$951 = FALSE, ReportType &lt;&gt; "Rough"))</formula>
    </cfRule>
  </conditionalFormatting>
  <conditionalFormatting sqref="W951">
    <cfRule type="expression" dxfId="2018" priority="2644">
      <formula>OR($T$951 = TRUE, AND($W$951 = TRUE, $S$951 = FALSE))</formula>
    </cfRule>
  </conditionalFormatting>
  <conditionalFormatting sqref="W955">
    <cfRule type="expression" dxfId="2017" priority="2643">
      <formula>AND($R$955,$S$955)</formula>
    </cfRule>
  </conditionalFormatting>
  <conditionalFormatting sqref="W955">
    <cfRule type="expression" dxfId="2016" priority="2642">
      <formula>AND(IF($R$955,$W$955,TRUE),LEN(TRIM($W$955))&gt;0)</formula>
    </cfRule>
  </conditionalFormatting>
  <conditionalFormatting sqref="W955">
    <cfRule type="expression" dxfId="2015" priority="2641">
      <formula>OR($S$955 = FALSE, AND($P$955 = FALSE, ReportType &lt;&gt; "Final"), AND($Q$955 = FALSE, ReportType &lt;&gt; "Rough"))</formula>
    </cfRule>
  </conditionalFormatting>
  <conditionalFormatting sqref="W955">
    <cfRule type="expression" dxfId="2014" priority="2640">
      <formula>OR($T$955 = TRUE, AND($W$955 = TRUE, $S$955 = FALSE))</formula>
    </cfRule>
  </conditionalFormatting>
  <conditionalFormatting sqref="W991">
    <cfRule type="expression" dxfId="2013" priority="2635">
      <formula>AND($R$991,$S$991)</formula>
    </cfRule>
  </conditionalFormatting>
  <conditionalFormatting sqref="W991">
    <cfRule type="expression" dxfId="2012" priority="2634">
      <formula>AND(IF($R$991,$W$991,TRUE),LEN(TRIM($W$991))&gt;0)</formula>
    </cfRule>
  </conditionalFormatting>
  <conditionalFormatting sqref="W991">
    <cfRule type="expression" dxfId="2011" priority="2633">
      <formula>OR($S$991 = FALSE, AND($P$991 = FALSE, ReportType &lt;&gt; "Final"), AND($Q$991 = FALSE, ReportType &lt;&gt; "Rough"))</formula>
    </cfRule>
  </conditionalFormatting>
  <conditionalFormatting sqref="W991">
    <cfRule type="expression" dxfId="2010" priority="2632">
      <formula>OR($T$991 = TRUE, AND($W$991 = TRUE, $S$991 = FALSE))</formula>
    </cfRule>
  </conditionalFormatting>
  <conditionalFormatting sqref="W994">
    <cfRule type="expression" dxfId="2009" priority="2631">
      <formula>AND($R$994,$S$994)</formula>
    </cfRule>
  </conditionalFormatting>
  <conditionalFormatting sqref="W994">
    <cfRule type="expression" dxfId="2008" priority="2630">
      <formula>AND(IF($R$994,$W$994,TRUE),LEN(TRIM($W$994))&gt;0)</formula>
    </cfRule>
  </conditionalFormatting>
  <conditionalFormatting sqref="W994">
    <cfRule type="expression" dxfId="2007" priority="2629">
      <formula>OR($S$994 = FALSE, AND($P$994 = FALSE, ReportType &lt;&gt; "Final"), AND($Q$994 = FALSE, ReportType &lt;&gt; "Rough"))</formula>
    </cfRule>
  </conditionalFormatting>
  <conditionalFormatting sqref="W994">
    <cfRule type="expression" dxfId="2006" priority="2628">
      <formula>OR($T$994 = TRUE, AND($W$994 = TRUE, $S$994 = FALSE))</formula>
    </cfRule>
  </conditionalFormatting>
  <conditionalFormatting sqref="W1020">
    <cfRule type="expression" dxfId="2005" priority="2627">
      <formula>AND($R$1020,$S$1020)</formula>
    </cfRule>
  </conditionalFormatting>
  <conditionalFormatting sqref="W1020">
    <cfRule type="expression" dxfId="2004" priority="2626">
      <formula>AND(IF($R$1020,$W$1020,TRUE),LEN(TRIM($W$1020))&gt;0)</formula>
    </cfRule>
  </conditionalFormatting>
  <conditionalFormatting sqref="W1020">
    <cfRule type="expression" dxfId="2003" priority="2625">
      <formula>OR($S$1020 = FALSE, AND($P$1020 = FALSE, ReportType &lt;&gt; "Final"), AND($Q$1020 = FALSE, ReportType &lt;&gt; "Rough"))</formula>
    </cfRule>
  </conditionalFormatting>
  <conditionalFormatting sqref="W1020">
    <cfRule type="expression" dxfId="2002" priority="2624">
      <formula>OR($T$1020 = TRUE, AND($W$1020 = TRUE, $S$1020 = FALSE))</formula>
    </cfRule>
  </conditionalFormatting>
  <conditionalFormatting sqref="W1030">
    <cfRule type="expression" dxfId="2001" priority="2623">
      <formula>AND($R$1030,$S$1030)</formula>
    </cfRule>
  </conditionalFormatting>
  <conditionalFormatting sqref="W1030">
    <cfRule type="expression" dxfId="2000" priority="2622">
      <formula>AND($W$1030&lt;&gt;"Not Met",LEN(TRIM($W$1030))&gt;0)</formula>
    </cfRule>
  </conditionalFormatting>
  <conditionalFormatting sqref="W1030">
    <cfRule type="expression" dxfId="1999" priority="2621">
      <formula>OR($S$1030 = FALSE, AND($P$1030 = FALSE, ReportType &lt;&gt; "Final"), AND($Q$1030 = FALSE, ReportType &lt;&gt; "Rough"))</formula>
    </cfRule>
  </conditionalFormatting>
  <conditionalFormatting sqref="W1030">
    <cfRule type="expression" dxfId="1998" priority="2620">
      <formula>OR($T$1030 = TRUE, AND(LEN(TRIM($W$1030))&gt;0, $S$1030 = FALSE))</formula>
    </cfRule>
  </conditionalFormatting>
  <conditionalFormatting sqref="W1040">
    <cfRule type="expression" dxfId="1997" priority="2619">
      <formula>AND($R$1040,$S$1040)</formula>
    </cfRule>
  </conditionalFormatting>
  <conditionalFormatting sqref="W1040">
    <cfRule type="expression" dxfId="1996" priority="2618">
      <formula>AND(IF($R$1040,$W$1040,TRUE),LEN(TRIM($W$1040))&gt;0)</formula>
    </cfRule>
  </conditionalFormatting>
  <conditionalFormatting sqref="W1040">
    <cfRule type="expression" dxfId="1995" priority="2617">
      <formula>OR($S$1040 = FALSE, AND($P$1040 = FALSE, ReportType &lt;&gt; "Final"), AND($Q$1040 = FALSE, ReportType &lt;&gt; "Rough"))</formula>
    </cfRule>
  </conditionalFormatting>
  <conditionalFormatting sqref="W1040">
    <cfRule type="expression" dxfId="1994" priority="2616">
      <formula>OR($T$1040 = TRUE, AND($W$1040 = TRUE, $S$1040 = FALSE))</formula>
    </cfRule>
  </conditionalFormatting>
  <conditionalFormatting sqref="W1042">
    <cfRule type="expression" dxfId="1993" priority="2615">
      <formula>AND($R$1042,$S$1042)</formula>
    </cfRule>
  </conditionalFormatting>
  <conditionalFormatting sqref="W1042">
    <cfRule type="expression" dxfId="1992" priority="2614">
      <formula>AND(IF($R$1042,$W$1042,TRUE),LEN(TRIM($W$1042))&gt;0)</formula>
    </cfRule>
  </conditionalFormatting>
  <conditionalFormatting sqref="W1042">
    <cfRule type="expression" dxfId="1991" priority="2613">
      <formula>OR($S$1042 = FALSE, AND($P$1042 = FALSE, ReportType &lt;&gt; "Final"), AND($Q$1042 = FALSE, ReportType &lt;&gt; "Rough"))</formula>
    </cfRule>
  </conditionalFormatting>
  <conditionalFormatting sqref="W1042">
    <cfRule type="expression" dxfId="1990" priority="2612">
      <formula>OR($T$1042 = TRUE, AND($W$1042 = TRUE, $S$1042 = FALSE))</formula>
    </cfRule>
  </conditionalFormatting>
  <conditionalFormatting sqref="W1043">
    <cfRule type="expression" dxfId="1989" priority="2611">
      <formula>AND($R$1043,$S$1043)</formula>
    </cfRule>
  </conditionalFormatting>
  <conditionalFormatting sqref="W1043">
    <cfRule type="expression" dxfId="1988" priority="2610">
      <formula>AND(IF($R$1043,$W$1043,TRUE),LEN(TRIM($W$1043))&gt;0)</formula>
    </cfRule>
  </conditionalFormatting>
  <conditionalFormatting sqref="W1043">
    <cfRule type="expression" dxfId="1987" priority="2609">
      <formula>OR($S$1043 = FALSE, AND($P$1043 = FALSE, ReportType &lt;&gt; "Final"), AND($Q$1043 = FALSE, ReportType &lt;&gt; "Rough"))</formula>
    </cfRule>
  </conditionalFormatting>
  <conditionalFormatting sqref="W1043">
    <cfRule type="expression" dxfId="1986" priority="2608">
      <formula>OR($T$1043 = TRUE, AND($W$1043 = TRUE, $S$1043 = FALSE))</formula>
    </cfRule>
  </conditionalFormatting>
  <conditionalFormatting sqref="W1049">
    <cfRule type="expression" dxfId="1985" priority="2607">
      <formula>AND($R$1049,$S$1049)</formula>
    </cfRule>
  </conditionalFormatting>
  <conditionalFormatting sqref="W1049">
    <cfRule type="expression" dxfId="1984" priority="2606">
      <formula>AND(IF($R$1049,$W$1049,TRUE),LEN(TRIM($W$1049))&gt;0)</formula>
    </cfRule>
  </conditionalFormatting>
  <conditionalFormatting sqref="W1049">
    <cfRule type="expression" dxfId="1983" priority="2605">
      <formula>OR($S$1049 = FALSE, AND($P$1049 = FALSE, ReportType &lt;&gt; "Final"), AND($Q$1049 = FALSE, ReportType &lt;&gt; "Rough"))</formula>
    </cfRule>
  </conditionalFormatting>
  <conditionalFormatting sqref="W1049">
    <cfRule type="expression" dxfId="1982" priority="2604">
      <formula>OR($T$1049 = TRUE, AND($W$1049 = TRUE, $S$1049 = FALSE))</formula>
    </cfRule>
  </conditionalFormatting>
  <conditionalFormatting sqref="W1066">
    <cfRule type="expression" dxfId="1981" priority="2603">
      <formula>AND($R$1066,$S$1066)</formula>
    </cfRule>
  </conditionalFormatting>
  <conditionalFormatting sqref="W1066">
    <cfRule type="expression" dxfId="1980" priority="2602">
      <formula>AND(IF($R$1066,$W$1066,TRUE),LEN(TRIM($W$1066))&gt;0)</formula>
    </cfRule>
  </conditionalFormatting>
  <conditionalFormatting sqref="W1066">
    <cfRule type="expression" dxfId="1979" priority="2601">
      <formula>OR($S$1066 = FALSE, AND($P$1066 = FALSE, ReportType &lt;&gt; "Final"), AND($Q$1066 = FALSE, ReportType &lt;&gt; "Rough"))</formula>
    </cfRule>
  </conditionalFormatting>
  <conditionalFormatting sqref="W1066">
    <cfRule type="expression" dxfId="1978" priority="2600">
      <formula>OR($T$1066 = TRUE, AND($W$1066 = TRUE, $S$1066 = FALSE))</formula>
    </cfRule>
  </conditionalFormatting>
  <conditionalFormatting sqref="W1081">
    <cfRule type="expression" dxfId="1977" priority="2599">
      <formula>AND($R$1081,$S$1081)</formula>
    </cfRule>
  </conditionalFormatting>
  <conditionalFormatting sqref="W1081">
    <cfRule type="expression" dxfId="1976" priority="2598">
      <formula>AND(IF($R$1081,$W$1081,TRUE),LEN(TRIM($W$1081))&gt;0)</formula>
    </cfRule>
  </conditionalFormatting>
  <conditionalFormatting sqref="W1081">
    <cfRule type="expression" dxfId="1975" priority="2597">
      <formula>OR($S$1081 = FALSE, AND($P$1081 = FALSE, ReportType &lt;&gt; "Final"), AND($Q$1081 = FALSE, ReportType &lt;&gt; "Rough"))</formula>
    </cfRule>
  </conditionalFormatting>
  <conditionalFormatting sqref="W1081">
    <cfRule type="expression" dxfId="1974" priority="2596">
      <formula>OR($T$1081 = TRUE, AND($W$1081 = TRUE, $S$1081 = FALSE))</formula>
    </cfRule>
  </conditionalFormatting>
  <conditionalFormatting sqref="W1090">
    <cfRule type="expression" dxfId="1973" priority="2591">
      <formula>AND($R$1090,$S$1090)</formula>
    </cfRule>
  </conditionalFormatting>
  <conditionalFormatting sqref="W1090">
    <cfRule type="expression" dxfId="1972" priority="2590">
      <formula>AND(IF($R$1090,$W$1090,TRUE),LEN(TRIM($W$1090))&gt;0)</formula>
    </cfRule>
  </conditionalFormatting>
  <conditionalFormatting sqref="W1090">
    <cfRule type="expression" dxfId="1971" priority="2589">
      <formula>OR($S$1090 = FALSE, AND($P$1090 = FALSE, ReportType &lt;&gt; "Final"), AND($Q$1090 = FALSE, ReportType &lt;&gt; "Rough"))</formula>
    </cfRule>
  </conditionalFormatting>
  <conditionalFormatting sqref="W1090">
    <cfRule type="expression" dxfId="1970" priority="2588">
      <formula>OR($T$1090 = TRUE, AND($W$1090 = TRUE, $S$1090 = FALSE))</formula>
    </cfRule>
  </conditionalFormatting>
  <conditionalFormatting sqref="W1099">
    <cfRule type="expression" dxfId="1969" priority="2587">
      <formula>AND($R$1099,$S$1099)</formula>
    </cfRule>
  </conditionalFormatting>
  <conditionalFormatting sqref="W1099">
    <cfRule type="expression" dxfId="1968" priority="2586">
      <formula>AND(IF($R$1099,$W$1099,TRUE),LEN(TRIM($W$1099))&gt;0)</formula>
    </cfRule>
  </conditionalFormatting>
  <conditionalFormatting sqref="W1099">
    <cfRule type="expression" dxfId="1967" priority="2585">
      <formula>OR($S$1099 = FALSE, AND($P$1099 = FALSE, ReportType &lt;&gt; "Final"), AND($Q$1099 = FALSE, ReportType &lt;&gt; "Rough"))</formula>
    </cfRule>
  </conditionalFormatting>
  <conditionalFormatting sqref="W1099">
    <cfRule type="expression" dxfId="1966" priority="2584">
      <formula>OR($T$1099 = TRUE, AND($W$1099 = TRUE, $S$1099 = FALSE))</formula>
    </cfRule>
  </conditionalFormatting>
  <conditionalFormatting sqref="W1114">
    <cfRule type="expression" dxfId="1965" priority="2579">
      <formula>AND($R$1114,$S$1114)</formula>
    </cfRule>
  </conditionalFormatting>
  <conditionalFormatting sqref="W1114">
    <cfRule type="expression" dxfId="1964" priority="2578">
      <formula>AND($W$1114&lt;&gt;"Not Met",LEN(TRIM($W$1114))&gt;0)</formula>
    </cfRule>
  </conditionalFormatting>
  <conditionalFormatting sqref="W1114">
    <cfRule type="expression" dxfId="1963" priority="2577">
      <formula>OR($S$1114 = FALSE, AND($P$1114 = FALSE, ReportType &lt;&gt; "Final"), AND($Q$1114 = FALSE, ReportType &lt;&gt; "Rough"))</formula>
    </cfRule>
  </conditionalFormatting>
  <conditionalFormatting sqref="W1114">
    <cfRule type="expression" dxfId="1962" priority="2576">
      <formula>OR($T$1114 = TRUE, AND(LEN(TRIM($W$1114))&gt;0, $S$1114 = FALSE))</formula>
    </cfRule>
  </conditionalFormatting>
  <conditionalFormatting sqref="W1122">
    <cfRule type="expression" dxfId="1961" priority="2575">
      <formula>AND($R$1122,$S$1122)</formula>
    </cfRule>
  </conditionalFormatting>
  <conditionalFormatting sqref="W1122">
    <cfRule type="expression" dxfId="1960" priority="2574">
      <formula>AND($W$1122&lt;&gt;"Not Met",LEN(TRIM($W$1122))&gt;0)</formula>
    </cfRule>
  </conditionalFormatting>
  <conditionalFormatting sqref="W1122">
    <cfRule type="expression" dxfId="1959" priority="2573">
      <formula>OR($S$1122 = FALSE, AND($P$1122 = FALSE, ReportType &lt;&gt; "Final"), AND($Q$1122 = FALSE, ReportType &lt;&gt; "Rough"))</formula>
    </cfRule>
  </conditionalFormatting>
  <conditionalFormatting sqref="W1122">
    <cfRule type="expression" dxfId="1958" priority="2572">
      <formula>OR($T$1122 = TRUE, AND(LEN(TRIM($W$1122))&gt;0, $S$1122 = FALSE))</formula>
    </cfRule>
  </conditionalFormatting>
  <conditionalFormatting sqref="W1130">
    <cfRule type="expression" dxfId="1957" priority="2571">
      <formula>AND($R$1130,$S$1130)</formula>
    </cfRule>
  </conditionalFormatting>
  <conditionalFormatting sqref="W1130">
    <cfRule type="expression" dxfId="1956" priority="2570">
      <formula>AND($W$1130&lt;&gt;"Not Met",LEN(TRIM($W$1130))&gt;0)</formula>
    </cfRule>
  </conditionalFormatting>
  <conditionalFormatting sqref="W1130">
    <cfRule type="expression" dxfId="1955" priority="2569">
      <formula>OR($S$1130 = FALSE, AND($P$1130 = FALSE, ReportType &lt;&gt; "Final"), AND($Q$1130 = FALSE, ReportType &lt;&gt; "Rough"))</formula>
    </cfRule>
  </conditionalFormatting>
  <conditionalFormatting sqref="W1130">
    <cfRule type="expression" dxfId="1954" priority="2568">
      <formula>OR($T$1130 = TRUE, AND(LEN(TRIM($W$1130))&gt;0, $S$1130 = FALSE))</formula>
    </cfRule>
  </conditionalFormatting>
  <conditionalFormatting sqref="W1141">
    <cfRule type="expression" dxfId="1953" priority="2567">
      <formula>AND($R$1141,$S$1141)</formula>
    </cfRule>
  </conditionalFormatting>
  <conditionalFormatting sqref="W1141">
    <cfRule type="expression" dxfId="1952" priority="2566">
      <formula>AND($W$1141&lt;&gt;"Not Met",LEN(TRIM($W$1141))&gt;0)</formula>
    </cfRule>
  </conditionalFormatting>
  <conditionalFormatting sqref="W1141">
    <cfRule type="expression" dxfId="1951" priority="2565">
      <formula>OR($S$1141 = FALSE, AND($P$1141 = FALSE, ReportType &lt;&gt; "Final"), AND($Q$1141 = FALSE, ReportType &lt;&gt; "Rough"))</formula>
    </cfRule>
  </conditionalFormatting>
  <conditionalFormatting sqref="W1141">
    <cfRule type="expression" dxfId="1950" priority="2564">
      <formula>OR($T$1141 = TRUE, AND(LEN(TRIM($W$1141))&gt;0, $S$1141 = FALSE))</formula>
    </cfRule>
  </conditionalFormatting>
  <conditionalFormatting sqref="W1148">
    <cfRule type="expression" dxfId="1949" priority="2563">
      <formula>AND($R$1148,$S$1148)</formula>
    </cfRule>
  </conditionalFormatting>
  <conditionalFormatting sqref="W1148">
    <cfRule type="expression" dxfId="1948" priority="2562">
      <formula>AND($W$1148&lt;&gt;"Not Met",LEN(TRIM($W$1148))&gt;0)</formula>
    </cfRule>
  </conditionalFormatting>
  <conditionalFormatting sqref="W1148">
    <cfRule type="expression" dxfId="1947" priority="2561">
      <formula>OR($S$1148 = FALSE, AND($P$1148 = FALSE, ReportType &lt;&gt; "Final"), AND($Q$1148 = FALSE, ReportType &lt;&gt; "Rough"))</formula>
    </cfRule>
  </conditionalFormatting>
  <conditionalFormatting sqref="W1148">
    <cfRule type="expression" dxfId="1946" priority="2560">
      <formula>OR($T$1148 = TRUE, AND(LEN(TRIM($W$1148))&gt;0, $S$1148 = FALSE))</formula>
    </cfRule>
  </conditionalFormatting>
  <conditionalFormatting sqref="W1154">
    <cfRule type="expression" dxfId="1945" priority="2559">
      <formula>AND($R$1154,$S$1154)</formula>
    </cfRule>
  </conditionalFormatting>
  <conditionalFormatting sqref="W1154">
    <cfRule type="expression" dxfId="1944" priority="2558">
      <formula>AND(IF($R$1154,$W$1154,TRUE),LEN(TRIM($W$1154))&gt;0)</formula>
    </cfRule>
  </conditionalFormatting>
  <conditionalFormatting sqref="W1154">
    <cfRule type="expression" dxfId="1943" priority="2557">
      <formula>OR($S$1154 = FALSE, AND($P$1154 = FALSE, ReportType &lt;&gt; "Final"), AND($Q$1154 = FALSE, ReportType &lt;&gt; "Rough"))</formula>
    </cfRule>
  </conditionalFormatting>
  <conditionalFormatting sqref="W1154">
    <cfRule type="expression" dxfId="1942" priority="2556">
      <formula>OR($T$1154 = TRUE, AND($W$1154 = TRUE, $S$1154 = FALSE))</formula>
    </cfRule>
  </conditionalFormatting>
  <conditionalFormatting sqref="W1198">
    <cfRule type="expression" dxfId="1941" priority="2555">
      <formula>AND($R$1198,$S$1198)</formula>
    </cfRule>
  </conditionalFormatting>
  <conditionalFormatting sqref="W1198">
    <cfRule type="expression" dxfId="1940" priority="2554">
      <formula>AND(IF($R$1198,$W$1198,TRUE),LEN(TRIM($W$1198))&gt;0)</formula>
    </cfRule>
  </conditionalFormatting>
  <conditionalFormatting sqref="W1198">
    <cfRule type="expression" dxfId="1939" priority="2553">
      <formula>OR($S$1198 = FALSE, AND($P$1198 = FALSE, ReportType &lt;&gt; "Final"), AND($Q$1198 = FALSE, ReportType &lt;&gt; "Rough"))</formula>
    </cfRule>
  </conditionalFormatting>
  <conditionalFormatting sqref="W1198">
    <cfRule type="expression" dxfId="1938" priority="2552">
      <formula>OR($T$1198 = TRUE, AND($W$1198 = TRUE, $S$1198 = FALSE))</formula>
    </cfRule>
  </conditionalFormatting>
  <conditionalFormatting sqref="W1201">
    <cfRule type="expression" dxfId="1937" priority="2551">
      <formula>AND($R$1201,$S$1201)</formula>
    </cfRule>
  </conditionalFormatting>
  <conditionalFormatting sqref="W1201">
    <cfRule type="expression" dxfId="1936" priority="2550">
      <formula>AND(IF($R$1201,$W$1201,TRUE),LEN(TRIM($W$1201))&gt;0)</formula>
    </cfRule>
  </conditionalFormatting>
  <conditionalFormatting sqref="W1201">
    <cfRule type="expression" dxfId="1935" priority="2549">
      <formula>OR($S$1201 = FALSE, AND($P$1201 = FALSE, ReportType &lt;&gt; "Final"), AND($Q$1201 = FALSE, ReportType &lt;&gt; "Rough"))</formula>
    </cfRule>
  </conditionalFormatting>
  <conditionalFormatting sqref="W1201">
    <cfRule type="expression" dxfId="1934" priority="2548">
      <formula>OR($T$1201 = TRUE, AND($W$1201 = TRUE, $S$1201 = FALSE))</formula>
    </cfRule>
  </conditionalFormatting>
  <conditionalFormatting sqref="W1211">
    <cfRule type="expression" dxfId="1933" priority="2547">
      <formula>AND($R$1211,$S$1211)</formula>
    </cfRule>
  </conditionalFormatting>
  <conditionalFormatting sqref="W1211">
    <cfRule type="expression" dxfId="1932" priority="2546">
      <formula>AND(IF($R$1211,$W$1211,TRUE),LEN(TRIM($W$1211))&gt;0)</formula>
    </cfRule>
  </conditionalFormatting>
  <conditionalFormatting sqref="W1211">
    <cfRule type="expression" dxfId="1931" priority="2545">
      <formula>OR($S$1211 = FALSE, AND($P$1211 = FALSE, ReportType &lt;&gt; "Final"), AND($Q$1211 = FALSE, ReportType &lt;&gt; "Rough"))</formula>
    </cfRule>
  </conditionalFormatting>
  <conditionalFormatting sqref="W1211">
    <cfRule type="expression" dxfId="1930" priority="2544">
      <formula>OR($T$1211 = TRUE, AND($W$1211 = TRUE, $S$1211 = FALSE))</formula>
    </cfRule>
  </conditionalFormatting>
  <conditionalFormatting sqref="W1218">
    <cfRule type="expression" dxfId="1929" priority="2543">
      <formula>AND($R$1218,$S$1218)</formula>
    </cfRule>
  </conditionalFormatting>
  <conditionalFormatting sqref="W1218">
    <cfRule type="expression" dxfId="1928" priority="2542">
      <formula>AND(IF($R$1218,$W$1218,TRUE),LEN(TRIM($W$1218))&gt;0)</formula>
    </cfRule>
  </conditionalFormatting>
  <conditionalFormatting sqref="W1218">
    <cfRule type="expression" dxfId="1927" priority="2541">
      <formula>OR($S$1218 = FALSE, AND($P$1218 = FALSE, ReportType &lt;&gt; "Final"), AND($Q$1218 = FALSE, ReportType &lt;&gt; "Rough"))</formula>
    </cfRule>
  </conditionalFormatting>
  <conditionalFormatting sqref="W1218">
    <cfRule type="expression" dxfId="1926" priority="2540">
      <formula>OR($T$1218 = TRUE, AND($W$1218 = TRUE, $S$1218 = FALSE))</formula>
    </cfRule>
  </conditionalFormatting>
  <conditionalFormatting sqref="W1224">
    <cfRule type="expression" dxfId="1925" priority="2539">
      <formula>AND($R$1224,$S$1224)</formula>
    </cfRule>
  </conditionalFormatting>
  <conditionalFormatting sqref="W1224">
    <cfRule type="expression" dxfId="1924" priority="2538">
      <formula>AND(IF($R$1224,$W$1224,TRUE),LEN(TRIM($W$1224))&gt;0)</formula>
    </cfRule>
  </conditionalFormatting>
  <conditionalFormatting sqref="W1224">
    <cfRule type="expression" dxfId="1923" priority="2537">
      <formula>OR($S$1224 = FALSE, AND($P$1224 = FALSE, ReportType &lt;&gt; "Final"), AND($Q$1224 = FALSE, ReportType &lt;&gt; "Rough"))</formula>
    </cfRule>
  </conditionalFormatting>
  <conditionalFormatting sqref="W1224">
    <cfRule type="expression" dxfId="1922" priority="2536">
      <formula>OR($T$1224 = TRUE, AND($W$1224 = TRUE, $S$1224 = FALSE))</formula>
    </cfRule>
  </conditionalFormatting>
  <conditionalFormatting sqref="W1226">
    <cfRule type="expression" dxfId="1921" priority="2535">
      <formula>AND($R$1226,$S$1226)</formula>
    </cfRule>
  </conditionalFormatting>
  <conditionalFormatting sqref="W1226">
    <cfRule type="expression" dxfId="1920" priority="2534">
      <formula>AND(IF($R$1226,$W$1226,TRUE),LEN(TRIM($W$1226))&gt;0)</formula>
    </cfRule>
  </conditionalFormatting>
  <conditionalFormatting sqref="W1226">
    <cfRule type="expression" dxfId="1919" priority="2533">
      <formula>OR($S$1226 = FALSE, AND($P$1226 = FALSE, ReportType &lt;&gt; "Final"), AND($Q$1226 = FALSE, ReportType &lt;&gt; "Rough"))</formula>
    </cfRule>
  </conditionalFormatting>
  <conditionalFormatting sqref="W1226">
    <cfRule type="expression" dxfId="1918" priority="2532">
      <formula>OR($T$1226 = TRUE, AND($W$1226 = TRUE, $S$1226 = FALSE))</formula>
    </cfRule>
  </conditionalFormatting>
  <conditionalFormatting sqref="W1229">
    <cfRule type="expression" dxfId="1917" priority="2531">
      <formula>AND($R$1229,$S$1229)</formula>
    </cfRule>
  </conditionalFormatting>
  <conditionalFormatting sqref="W1229">
    <cfRule type="expression" dxfId="1916" priority="2530">
      <formula>AND(IF($R$1229,$W$1229,TRUE),LEN(TRIM($W$1229))&gt;0)</formula>
    </cfRule>
  </conditionalFormatting>
  <conditionalFormatting sqref="W1229">
    <cfRule type="expression" dxfId="1915" priority="2529">
      <formula>OR($S$1229 = FALSE, AND($P$1229 = FALSE, ReportType &lt;&gt; "Final"), AND($Q$1229 = FALSE, ReportType &lt;&gt; "Rough"))</formula>
    </cfRule>
  </conditionalFormatting>
  <conditionalFormatting sqref="W1229">
    <cfRule type="expression" dxfId="1914" priority="2528">
      <formula>OR($T$1229 = TRUE, AND($W$1229 = TRUE, $S$1229 = FALSE))</formula>
    </cfRule>
  </conditionalFormatting>
  <conditionalFormatting sqref="W1230">
    <cfRule type="expression" dxfId="1913" priority="2527">
      <formula>AND($R$1230,$S$1230)</formula>
    </cfRule>
  </conditionalFormatting>
  <conditionalFormatting sqref="W1230">
    <cfRule type="expression" dxfId="1912" priority="2526">
      <formula>AND(IF($R$1230,$W$1230,TRUE),LEN(TRIM($W$1230))&gt;0)</formula>
    </cfRule>
  </conditionalFormatting>
  <conditionalFormatting sqref="W1230">
    <cfRule type="expression" dxfId="1911" priority="2525">
      <formula>OR($S$1230 = FALSE, AND($P$1230 = FALSE, ReportType &lt;&gt; "Final"), AND($Q$1230 = FALSE, ReportType &lt;&gt; "Rough"))</formula>
    </cfRule>
  </conditionalFormatting>
  <conditionalFormatting sqref="W1230">
    <cfRule type="expression" dxfId="1910" priority="2524">
      <formula>OR($T$1230 = TRUE, AND($W$1230 = TRUE, $S$1230 = FALSE))</formula>
    </cfRule>
  </conditionalFormatting>
  <conditionalFormatting sqref="W1232">
    <cfRule type="expression" dxfId="1909" priority="2523">
      <formula>AND($R$1232,$S$1232)</formula>
    </cfRule>
  </conditionalFormatting>
  <conditionalFormatting sqref="W1232">
    <cfRule type="expression" dxfId="1908" priority="2522">
      <formula>AND(IF($R$1232,$W$1232,TRUE),LEN(TRIM($W$1232))&gt;0)</formula>
    </cfRule>
  </conditionalFormatting>
  <conditionalFormatting sqref="W1232">
    <cfRule type="expression" dxfId="1907" priority="2521">
      <formula>OR($S$1232 = FALSE, AND($P$1232 = FALSE, ReportType &lt;&gt; "Final"), AND($Q$1232 = FALSE, ReportType &lt;&gt; "Rough"))</formula>
    </cfRule>
  </conditionalFormatting>
  <conditionalFormatting sqref="W1232">
    <cfRule type="expression" dxfId="1906" priority="2520">
      <formula>OR($T$1232 = TRUE, AND($W$1232 = TRUE, $S$1232 = FALSE))</formula>
    </cfRule>
  </conditionalFormatting>
  <conditionalFormatting sqref="W1234">
    <cfRule type="expression" dxfId="1905" priority="2519">
      <formula>AND($R$1234,$S$1234)</formula>
    </cfRule>
  </conditionalFormatting>
  <conditionalFormatting sqref="W1234">
    <cfRule type="expression" dxfId="1904" priority="2518">
      <formula>AND($W$1234&lt;&gt;"Not Met",LEN(TRIM($W$1234))&gt;0)</formula>
    </cfRule>
  </conditionalFormatting>
  <conditionalFormatting sqref="W1234">
    <cfRule type="expression" dxfId="1903" priority="2517">
      <formula>OR($S$1234 = FALSE, AND($P$1234 = FALSE, ReportType &lt;&gt; "Final"), AND($Q$1234 = FALSE, ReportType &lt;&gt; "Rough"))</formula>
    </cfRule>
  </conditionalFormatting>
  <conditionalFormatting sqref="W1234">
    <cfRule type="expression" dxfId="1902" priority="2516">
      <formula>OR($T$1234 = TRUE, AND(LEN(TRIM($W$1234))&gt;0, $S$1234 = FALSE))</formula>
    </cfRule>
  </conditionalFormatting>
  <conditionalFormatting sqref="W1245">
    <cfRule type="expression" dxfId="1901" priority="2515">
      <formula>AND($R$1245,$S$1245)</formula>
    </cfRule>
  </conditionalFormatting>
  <conditionalFormatting sqref="W1245">
    <cfRule type="expression" dxfId="1900" priority="2514">
      <formula>AND($W$1245&lt;&gt;"Not Met",LEN(TRIM($W$1245))&gt;0)</formula>
    </cfRule>
  </conditionalFormatting>
  <conditionalFormatting sqref="W1245">
    <cfRule type="expression" dxfId="1899" priority="2513">
      <formula>OR($S$1245 = FALSE, AND($P$1245 = FALSE, ReportType &lt;&gt; "Final"), AND($Q$1245 = FALSE, ReportType &lt;&gt; "Rough"))</formula>
    </cfRule>
  </conditionalFormatting>
  <conditionalFormatting sqref="W1245">
    <cfRule type="expression" dxfId="1898" priority="2512">
      <formula>OR($T$1245 = TRUE, AND(LEN(TRIM($W$1245))&gt;0, $S$1245 = FALSE))</formula>
    </cfRule>
  </conditionalFormatting>
  <conditionalFormatting sqref="W1293">
    <cfRule type="expression" dxfId="1897" priority="2511">
      <formula>AND($R$1293,$S$1293)</formula>
    </cfRule>
  </conditionalFormatting>
  <conditionalFormatting sqref="W1293">
    <cfRule type="expression" dxfId="1896" priority="2510">
      <formula>AND(IF($R$1293,$W$1293,TRUE),LEN(TRIM($W$1293))&gt;0)</formula>
    </cfRule>
  </conditionalFormatting>
  <conditionalFormatting sqref="W1293">
    <cfRule type="expression" dxfId="1895" priority="2509">
      <formula>OR($S$1293 = FALSE, AND($P$1293 = FALSE, ReportType &lt;&gt; "Final"), AND($Q$1293 = FALSE, ReportType &lt;&gt; "Rough"))</formula>
    </cfRule>
  </conditionalFormatting>
  <conditionalFormatting sqref="W1293">
    <cfRule type="expression" dxfId="1894" priority="2508">
      <formula>OR($T$1293 = TRUE, AND($W$1293 = TRUE, $S$1293 = FALSE))</formula>
    </cfRule>
  </conditionalFormatting>
  <conditionalFormatting sqref="W1295">
    <cfRule type="expression" dxfId="1893" priority="2507">
      <formula>AND($R$1295,$S$1295)</formula>
    </cfRule>
  </conditionalFormatting>
  <conditionalFormatting sqref="W1295">
    <cfRule type="expression" dxfId="1892" priority="2506">
      <formula>AND(IF($R$1295,$W$1295,TRUE),LEN(TRIM($W$1295))&gt;0)</formula>
    </cfRule>
  </conditionalFormatting>
  <conditionalFormatting sqref="W1295">
    <cfRule type="expression" dxfId="1891" priority="2505">
      <formula>OR($S$1295 = FALSE, AND($P$1295 = FALSE, ReportType &lt;&gt; "Final"), AND($Q$1295 = FALSE, ReportType &lt;&gt; "Rough"))</formula>
    </cfRule>
  </conditionalFormatting>
  <conditionalFormatting sqref="W1295">
    <cfRule type="expression" dxfId="1890" priority="2504">
      <formula>OR($T$1295 = TRUE, AND($W$1295 = TRUE, $S$1295 = FALSE))</formula>
    </cfRule>
  </conditionalFormatting>
  <conditionalFormatting sqref="W1297">
    <cfRule type="expression" dxfId="1889" priority="2503">
      <formula>AND($R$1297,$S$1297)</formula>
    </cfRule>
  </conditionalFormatting>
  <conditionalFormatting sqref="W1297">
    <cfRule type="expression" dxfId="1888" priority="2502">
      <formula>AND(IF($R$1297,$W$1297,TRUE),LEN(TRIM($W$1297))&gt;0)</formula>
    </cfRule>
  </conditionalFormatting>
  <conditionalFormatting sqref="W1297">
    <cfRule type="expression" dxfId="1887" priority="2501">
      <formula>OR($S$1297 = FALSE, AND($P$1297 = FALSE, ReportType &lt;&gt; "Final"), AND($Q$1297 = FALSE, ReportType &lt;&gt; "Rough"))</formula>
    </cfRule>
  </conditionalFormatting>
  <conditionalFormatting sqref="W1297">
    <cfRule type="expression" dxfId="1886" priority="2500">
      <formula>OR($T$1297 = TRUE, AND($W$1297 = TRUE, $S$1297 = FALSE))</formula>
    </cfRule>
  </conditionalFormatting>
  <conditionalFormatting sqref="W1318">
    <cfRule type="expression" dxfId="1885" priority="2499">
      <formula>AND($R$1318,$S$1318)</formula>
    </cfRule>
  </conditionalFormatting>
  <conditionalFormatting sqref="W1318">
    <cfRule type="expression" dxfId="1884" priority="2498">
      <formula>AND(IF($R$1318,$W$1318,TRUE),LEN(TRIM($W$1318))&gt;0)</formula>
    </cfRule>
  </conditionalFormatting>
  <conditionalFormatting sqref="W1318">
    <cfRule type="expression" dxfId="1883" priority="2497">
      <formula>OR($S$1318 = FALSE, AND($P$1318 = FALSE, ReportType &lt;&gt; "Final"), AND($Q$1318 = FALSE, ReportType &lt;&gt; "Rough"))</formula>
    </cfRule>
  </conditionalFormatting>
  <conditionalFormatting sqref="W1318">
    <cfRule type="expression" dxfId="1882" priority="2496">
      <formula>OR($T$1318 = TRUE, AND($W$1318 = TRUE, $S$1318 = FALSE))</formula>
    </cfRule>
  </conditionalFormatting>
  <conditionalFormatting sqref="W1320">
    <cfRule type="expression" dxfId="1881" priority="2495">
      <formula>AND($R$1320,$S$1320)</formula>
    </cfRule>
  </conditionalFormatting>
  <conditionalFormatting sqref="W1320">
    <cfRule type="expression" dxfId="1880" priority="2494">
      <formula>AND(IF($R$1320,$W$1320,TRUE),LEN(TRIM($W$1320))&gt;0)</formula>
    </cfRule>
  </conditionalFormatting>
  <conditionalFormatting sqref="W1320">
    <cfRule type="expression" dxfId="1879" priority="2493">
      <formula>OR($S$1320 = FALSE, AND($P$1320 = FALSE, ReportType &lt;&gt; "Final"), AND($Q$1320 = FALSE, ReportType &lt;&gt; "Rough"))</formula>
    </cfRule>
  </conditionalFormatting>
  <conditionalFormatting sqref="W1320">
    <cfRule type="expression" dxfId="1878" priority="2492">
      <formula>OR($T$1320 = TRUE, AND($W$1320 = TRUE, $S$1320 = FALSE))</formula>
    </cfRule>
  </conditionalFormatting>
  <conditionalFormatting sqref="W1322">
    <cfRule type="expression" dxfId="1877" priority="2491">
      <formula>AND($R$1322,$S$1322)</formula>
    </cfRule>
  </conditionalFormatting>
  <conditionalFormatting sqref="W1322">
    <cfRule type="expression" dxfId="1876" priority="2490">
      <formula>AND(IF($R$1322,$W$1322,TRUE),LEN(TRIM($W$1322))&gt;0)</formula>
    </cfRule>
  </conditionalFormatting>
  <conditionalFormatting sqref="W1322">
    <cfRule type="expression" dxfId="1875" priority="2489">
      <formula>OR($S$1322 = FALSE, AND($P$1322 = FALSE, ReportType &lt;&gt; "Final"), AND($Q$1322 = FALSE, ReportType &lt;&gt; "Rough"))</formula>
    </cfRule>
  </conditionalFormatting>
  <conditionalFormatting sqref="W1322">
    <cfRule type="expression" dxfId="1874" priority="2488">
      <formula>OR($T$1322 = TRUE, AND($W$1322 = TRUE, $S$1322 = FALSE))</formula>
    </cfRule>
  </conditionalFormatting>
  <conditionalFormatting sqref="W1325">
    <cfRule type="expression" dxfId="1873" priority="2487">
      <formula>AND($R$1325,$S$1325)</formula>
    </cfRule>
  </conditionalFormatting>
  <conditionalFormatting sqref="W1325">
    <cfRule type="expression" dxfId="1872" priority="2486">
      <formula>AND(IF($R$1325,$W$1325,TRUE),LEN(TRIM($W$1325))&gt;0)</formula>
    </cfRule>
  </conditionalFormatting>
  <conditionalFormatting sqref="W1325">
    <cfRule type="expression" dxfId="1871" priority="2485">
      <formula>OR($S$1325 = FALSE, AND($P$1325 = FALSE, ReportType &lt;&gt; "Final"), AND($Q$1325 = FALSE, ReportType &lt;&gt; "Rough"))</formula>
    </cfRule>
  </conditionalFormatting>
  <conditionalFormatting sqref="W1325">
    <cfRule type="expression" dxfId="1870" priority="2484">
      <formula>OR($T$1325 = TRUE, AND($W$1325 = TRUE, $S$1325 = FALSE))</formula>
    </cfRule>
  </conditionalFormatting>
  <conditionalFormatting sqref="W1326">
    <cfRule type="expression" dxfId="1869" priority="2483">
      <formula>AND($R$1326,$S$1326)</formula>
    </cfRule>
  </conditionalFormatting>
  <conditionalFormatting sqref="W1326">
    <cfRule type="expression" dxfId="1868" priority="2482">
      <formula>AND(IF($R$1326,$W$1326,TRUE),LEN(TRIM($W$1326))&gt;0)</formula>
    </cfRule>
  </conditionalFormatting>
  <conditionalFormatting sqref="W1326">
    <cfRule type="expression" dxfId="1867" priority="2481">
      <formula>OR($S$1326 = FALSE, AND($P$1326 = FALSE, ReportType &lt;&gt; "Final"), AND($Q$1326 = FALSE, ReportType &lt;&gt; "Rough"))</formula>
    </cfRule>
  </conditionalFormatting>
  <conditionalFormatting sqref="W1326">
    <cfRule type="expression" dxfId="1866" priority="2480">
      <formula>OR($T$1326 = TRUE, AND($W$1326 = TRUE, $S$1326 = FALSE))</formula>
    </cfRule>
  </conditionalFormatting>
  <conditionalFormatting sqref="W1327">
    <cfRule type="expression" dxfId="1865" priority="2479">
      <formula>AND($R$1327,$S$1327)</formula>
    </cfRule>
  </conditionalFormatting>
  <conditionalFormatting sqref="W1327">
    <cfRule type="expression" dxfId="1864" priority="2478">
      <formula>AND(IF($R$1327,$W$1327,TRUE),LEN(TRIM($W$1327))&gt;0)</formula>
    </cfRule>
  </conditionalFormatting>
  <conditionalFormatting sqref="W1327">
    <cfRule type="expression" dxfId="1863" priority="2477">
      <formula>OR($S$1327 = FALSE, AND($P$1327 = FALSE, ReportType &lt;&gt; "Final"), AND($Q$1327 = FALSE, ReportType &lt;&gt; "Rough"))</formula>
    </cfRule>
  </conditionalFormatting>
  <conditionalFormatting sqref="W1327">
    <cfRule type="expression" dxfId="1862" priority="2476">
      <formula>OR($T$1327 = TRUE, AND($W$1327 = TRUE, $S$1327 = FALSE))</formula>
    </cfRule>
  </conditionalFormatting>
  <conditionalFormatting sqref="W1330">
    <cfRule type="expression" dxfId="1861" priority="2475">
      <formula>AND($R$1330,$S$1330)</formula>
    </cfRule>
  </conditionalFormatting>
  <conditionalFormatting sqref="W1330">
    <cfRule type="expression" dxfId="1860" priority="2474">
      <formula>AND(IF($R$1330,$W$1330,TRUE),LEN(TRIM($W$1330))&gt;0)</formula>
    </cfRule>
  </conditionalFormatting>
  <conditionalFormatting sqref="W1330">
    <cfRule type="expression" dxfId="1859" priority="2473">
      <formula>OR($S$1330 = FALSE, AND($P$1330 = FALSE, ReportType &lt;&gt; "Final"), AND($Q$1330 = FALSE, ReportType &lt;&gt; "Rough"))</formula>
    </cfRule>
  </conditionalFormatting>
  <conditionalFormatting sqref="W1330">
    <cfRule type="expression" dxfId="1858" priority="2472">
      <formula>OR($T$1330 = TRUE, AND($W$1330 = TRUE, $S$1330 = FALSE))</formula>
    </cfRule>
  </conditionalFormatting>
  <conditionalFormatting sqref="W1357">
    <cfRule type="expression" dxfId="1857" priority="2471">
      <formula>AND($R$1357,$S$1357)</formula>
    </cfRule>
  </conditionalFormatting>
  <conditionalFormatting sqref="W1357">
    <cfRule type="expression" dxfId="1856" priority="2470">
      <formula>AND(IF($R$1357,$W$1357,TRUE),LEN(TRIM($W$1357))&gt;0)</formula>
    </cfRule>
  </conditionalFormatting>
  <conditionalFormatting sqref="W1357">
    <cfRule type="expression" dxfId="1855" priority="2469">
      <formula>OR($S$1357 = FALSE, AND($P$1357 = FALSE, ReportType &lt;&gt; "Final"), AND($Q$1357 = FALSE, ReportType &lt;&gt; "Rough"))</formula>
    </cfRule>
  </conditionalFormatting>
  <conditionalFormatting sqref="W1357">
    <cfRule type="expression" dxfId="1854" priority="2468">
      <formula>OR($T$1357 = TRUE, AND($W$1357 = TRUE, $S$1357 = FALSE))</formula>
    </cfRule>
  </conditionalFormatting>
  <conditionalFormatting sqref="W1365">
    <cfRule type="expression" dxfId="1853" priority="2467">
      <formula>AND($R$1365,$S$1365)</formula>
    </cfRule>
  </conditionalFormatting>
  <conditionalFormatting sqref="W1365">
    <cfRule type="expression" dxfId="1852" priority="2466">
      <formula>AND(IF($R$1365,$W$1365,TRUE),LEN(TRIM($W$1365))&gt;0)</formula>
    </cfRule>
  </conditionalFormatting>
  <conditionalFormatting sqref="W1365">
    <cfRule type="expression" dxfId="1851" priority="2465">
      <formula>OR($S$1365 = FALSE, AND($P$1365 = FALSE, ReportType &lt;&gt; "Final"), AND($Q$1365 = FALSE, ReportType &lt;&gt; "Rough"))</formula>
    </cfRule>
  </conditionalFormatting>
  <conditionalFormatting sqref="W1365">
    <cfRule type="expression" dxfId="1850" priority="2464">
      <formula>OR($T$1365 = TRUE, AND($W$1365 = TRUE, $S$1365 = FALSE))</formula>
    </cfRule>
  </conditionalFormatting>
  <conditionalFormatting sqref="W1367">
    <cfRule type="expression" dxfId="1849" priority="2463">
      <formula>AND($R$1367,$S$1367)</formula>
    </cfRule>
  </conditionalFormatting>
  <conditionalFormatting sqref="W1367">
    <cfRule type="expression" dxfId="1848" priority="2462">
      <formula>AND(IF($R$1367,$W$1367,TRUE),LEN(TRIM($W$1367))&gt;0)</formula>
    </cfRule>
  </conditionalFormatting>
  <conditionalFormatting sqref="W1367">
    <cfRule type="expression" dxfId="1847" priority="2461">
      <formula>OR($S$1367 = FALSE, AND($P$1367 = FALSE, ReportType &lt;&gt; "Final"), AND($Q$1367 = FALSE, ReportType &lt;&gt; "Rough"))</formula>
    </cfRule>
  </conditionalFormatting>
  <conditionalFormatting sqref="W1367">
    <cfRule type="expression" dxfId="1846" priority="2460">
      <formula>OR($T$1367 = TRUE, AND($W$1367 = TRUE, $S$1367 = FALSE))</formula>
    </cfRule>
  </conditionalFormatting>
  <conditionalFormatting sqref="W1368">
    <cfRule type="expression" dxfId="1845" priority="2459">
      <formula>AND($R$1368,$S$1368)</formula>
    </cfRule>
  </conditionalFormatting>
  <conditionalFormatting sqref="W1368">
    <cfRule type="expression" dxfId="1844" priority="2458">
      <formula>AND(IF($R$1368,$W$1368,TRUE),LEN(TRIM($W$1368))&gt;0)</formula>
    </cfRule>
  </conditionalFormatting>
  <conditionalFormatting sqref="W1368">
    <cfRule type="expression" dxfId="1843" priority="2457">
      <formula>OR($S$1368 = FALSE, AND($P$1368 = FALSE, ReportType &lt;&gt; "Final"), AND($Q$1368 = FALSE, ReportType &lt;&gt; "Rough"))</formula>
    </cfRule>
  </conditionalFormatting>
  <conditionalFormatting sqref="W1368">
    <cfRule type="expression" dxfId="1842" priority="2456">
      <formula>OR($T$1368 = TRUE, AND($W$1368 = TRUE, $S$1368 = FALSE))</formula>
    </cfRule>
  </conditionalFormatting>
  <conditionalFormatting sqref="W1369">
    <cfRule type="expression" dxfId="1841" priority="2455">
      <formula>AND($R$1369,$S$1369)</formula>
    </cfRule>
  </conditionalFormatting>
  <conditionalFormatting sqref="W1369">
    <cfRule type="expression" dxfId="1840" priority="2454">
      <formula>AND(IF($R$1369,$W$1369,TRUE),LEN(TRIM($W$1369))&gt;0)</formula>
    </cfRule>
  </conditionalFormatting>
  <conditionalFormatting sqref="W1369">
    <cfRule type="expression" dxfId="1839" priority="2453">
      <formula>OR($S$1369 = FALSE, AND($P$1369 = FALSE, ReportType &lt;&gt; "Final"), AND($Q$1369 = FALSE, ReportType &lt;&gt; "Rough"))</formula>
    </cfRule>
  </conditionalFormatting>
  <conditionalFormatting sqref="W1369">
    <cfRule type="expression" dxfId="1838" priority="2452">
      <formula>OR($T$1369 = TRUE, AND($W$1369 = TRUE, $S$1369 = FALSE))</formula>
    </cfRule>
  </conditionalFormatting>
  <conditionalFormatting sqref="W1371">
    <cfRule type="expression" dxfId="1837" priority="2451">
      <formula>AND($R$1371,$S$1371)</formula>
    </cfRule>
  </conditionalFormatting>
  <conditionalFormatting sqref="W1371">
    <cfRule type="expression" dxfId="1836" priority="2450">
      <formula>AND(IF($R$1371,$W$1371,TRUE),LEN(TRIM($W$1371))&gt;0)</formula>
    </cfRule>
  </conditionalFormatting>
  <conditionalFormatting sqref="W1371">
    <cfRule type="expression" dxfId="1835" priority="2449">
      <formula>OR($S$1371 = FALSE, AND($P$1371 = FALSE, ReportType &lt;&gt; "Final"), AND($Q$1371 = FALSE, ReportType &lt;&gt; "Rough"))</formula>
    </cfRule>
  </conditionalFormatting>
  <conditionalFormatting sqref="W1371">
    <cfRule type="expression" dxfId="1834" priority="2448">
      <formula>OR($T$1371 = TRUE, AND($W$1371 = TRUE, $S$1371 = FALSE))</formula>
    </cfRule>
  </conditionalFormatting>
  <conditionalFormatting sqref="W1374">
    <cfRule type="expression" dxfId="1833" priority="2447">
      <formula>AND($R$1374,$S$1374)</formula>
    </cfRule>
  </conditionalFormatting>
  <conditionalFormatting sqref="W1374">
    <cfRule type="expression" dxfId="1832" priority="2446">
      <formula>AND(IF($R$1374,$W$1374,TRUE),LEN(TRIM($W$1374))&gt;0)</formula>
    </cfRule>
  </conditionalFormatting>
  <conditionalFormatting sqref="W1374">
    <cfRule type="expression" dxfId="1831" priority="2445">
      <formula>OR($S$1374 = FALSE, AND($P$1374 = FALSE, ReportType &lt;&gt; "Final"), AND($Q$1374 = FALSE, ReportType &lt;&gt; "Rough"))</formula>
    </cfRule>
  </conditionalFormatting>
  <conditionalFormatting sqref="W1374">
    <cfRule type="expression" dxfId="1830" priority="2444">
      <formula>OR($T$1374 = TRUE, AND($W$1374 = TRUE, $S$1374 = FALSE))</formula>
    </cfRule>
  </conditionalFormatting>
  <conditionalFormatting sqref="W1376">
    <cfRule type="expression" dxfId="1829" priority="2443">
      <formula>AND($R$1376,$S$1376)</formula>
    </cfRule>
  </conditionalFormatting>
  <conditionalFormatting sqref="W1376">
    <cfRule type="expression" dxfId="1828" priority="2442">
      <formula>AND(IF($R$1376,$W$1376,TRUE),LEN(TRIM($W$1376))&gt;0)</formula>
    </cfRule>
  </conditionalFormatting>
  <conditionalFormatting sqref="W1376">
    <cfRule type="expression" dxfId="1827" priority="2441">
      <formula>OR($S$1376 = FALSE, AND($P$1376 = FALSE, ReportType &lt;&gt; "Final"), AND($Q$1376 = FALSE, ReportType &lt;&gt; "Rough"))</formula>
    </cfRule>
  </conditionalFormatting>
  <conditionalFormatting sqref="W1376">
    <cfRule type="expression" dxfId="1826" priority="2440">
      <formula>OR($T$1376 = TRUE, AND($W$1376 = TRUE, $S$1376 = FALSE))</formula>
    </cfRule>
  </conditionalFormatting>
  <conditionalFormatting sqref="W1381">
    <cfRule type="expression" dxfId="1825" priority="2439">
      <formula>AND($R$1381,$S$1381)</formula>
    </cfRule>
  </conditionalFormatting>
  <conditionalFormatting sqref="W1381">
    <cfRule type="expression" dxfId="1824" priority="2438">
      <formula>AND(IF($R$1381,$W$1381,TRUE),LEN(TRIM($W$1381))&gt;0)</formula>
    </cfRule>
  </conditionalFormatting>
  <conditionalFormatting sqref="W1381">
    <cfRule type="expression" dxfId="1823" priority="2437">
      <formula>OR($S$1381 = FALSE, AND($P$1381 = FALSE, ReportType &lt;&gt; "Final"), AND($Q$1381 = FALSE, ReportType &lt;&gt; "Rough"))</formula>
    </cfRule>
  </conditionalFormatting>
  <conditionalFormatting sqref="W1381">
    <cfRule type="expression" dxfId="1822" priority="2436">
      <formula>OR($T$1381 = TRUE, AND($W$1381 = TRUE, $S$1381 = FALSE))</formula>
    </cfRule>
  </conditionalFormatting>
  <conditionalFormatting sqref="W1383">
    <cfRule type="expression" dxfId="1821" priority="2435">
      <formula>AND($R$1383,$S$1383)</formula>
    </cfRule>
  </conditionalFormatting>
  <conditionalFormatting sqref="W1383">
    <cfRule type="expression" dxfId="1820" priority="2434">
      <formula>AND(IF($R$1383,$W$1383,TRUE),LEN(TRIM($W$1383))&gt;0)</formula>
    </cfRule>
  </conditionalFormatting>
  <conditionalFormatting sqref="W1383">
    <cfRule type="expression" dxfId="1819" priority="2433">
      <formula>OR($S$1383 = FALSE, AND($P$1383 = FALSE, ReportType &lt;&gt; "Final"), AND($Q$1383 = FALSE, ReportType &lt;&gt; "Rough"))</formula>
    </cfRule>
  </conditionalFormatting>
  <conditionalFormatting sqref="W1383">
    <cfRule type="expression" dxfId="1818" priority="2432">
      <formula>OR($T$1383 = TRUE, AND($W$1383 = TRUE, $S$1383 = FALSE))</formula>
    </cfRule>
  </conditionalFormatting>
  <conditionalFormatting sqref="W1385">
    <cfRule type="expression" dxfId="1817" priority="2431">
      <formula>AND($R$1385,$S$1385)</formula>
    </cfRule>
  </conditionalFormatting>
  <conditionalFormatting sqref="W1385">
    <cfRule type="expression" dxfId="1816" priority="2430">
      <formula>AND(IF($R$1385,$W$1385,TRUE),LEN(TRIM($W$1385))&gt;0)</formula>
    </cfRule>
  </conditionalFormatting>
  <conditionalFormatting sqref="W1385">
    <cfRule type="expression" dxfId="1815" priority="2429">
      <formula>OR($S$1385 = FALSE, AND($P$1385 = FALSE, ReportType &lt;&gt; "Final"), AND($Q$1385 = FALSE, ReportType &lt;&gt; "Rough"))</formula>
    </cfRule>
  </conditionalFormatting>
  <conditionalFormatting sqref="W1385">
    <cfRule type="expression" dxfId="1814" priority="2428">
      <formula>OR($T$1385 = TRUE, AND($W$1385 = TRUE, $S$1385 = FALSE))</formula>
    </cfRule>
  </conditionalFormatting>
  <conditionalFormatting sqref="W1387">
    <cfRule type="expression" dxfId="1813" priority="2427">
      <formula>AND($R$1387,$S$1387)</formula>
    </cfRule>
  </conditionalFormatting>
  <conditionalFormatting sqref="W1387">
    <cfRule type="expression" dxfId="1812" priority="2426">
      <formula>AND(IF($R$1387,$W$1387,TRUE),LEN(TRIM($W$1387))&gt;0)</formula>
    </cfRule>
  </conditionalFormatting>
  <conditionalFormatting sqref="W1387">
    <cfRule type="expression" dxfId="1811" priority="2425">
      <formula>OR($S$1387 = FALSE, AND($P$1387 = FALSE, ReportType &lt;&gt; "Final"), AND($Q$1387 = FALSE, ReportType &lt;&gt; "Rough"))</formula>
    </cfRule>
  </conditionalFormatting>
  <conditionalFormatting sqref="W1387">
    <cfRule type="expression" dxfId="1810" priority="2424">
      <formula>OR($T$1387 = TRUE, AND($W$1387 = TRUE, $S$1387 = FALSE))</formula>
    </cfRule>
  </conditionalFormatting>
  <conditionalFormatting sqref="W1427">
    <cfRule type="expression" dxfId="1809" priority="2423">
      <formula>AND($R$1427,$S$1427)</formula>
    </cfRule>
  </conditionalFormatting>
  <conditionalFormatting sqref="W1427">
    <cfRule type="expression" dxfId="1808" priority="2422">
      <formula>AND($W$1427&lt;&gt;"Not Met",LEN(TRIM($W$1427))&gt;0)</formula>
    </cfRule>
  </conditionalFormatting>
  <conditionalFormatting sqref="W1427">
    <cfRule type="expression" dxfId="1807" priority="2421">
      <formula>OR($S$1427 = FALSE, AND($P$1427 = FALSE, ReportType &lt;&gt; "Final"), AND($Q$1427 = FALSE, ReportType &lt;&gt; "Rough"))</formula>
    </cfRule>
  </conditionalFormatting>
  <conditionalFormatting sqref="W1427">
    <cfRule type="expression" dxfId="1806" priority="2420">
      <formula>OR($T$1427 = TRUE, AND(LEN(TRIM($W$1427))&gt;0, $S$1427 = FALSE))</formula>
    </cfRule>
  </conditionalFormatting>
  <conditionalFormatting sqref="W1434">
    <cfRule type="expression" dxfId="1805" priority="2419">
      <formula>AND($R$1434,$S$1434)</formula>
    </cfRule>
  </conditionalFormatting>
  <conditionalFormatting sqref="W1434">
    <cfRule type="expression" dxfId="1804" priority="2418">
      <formula>AND($W$1434&lt;&gt;"Not Met",LEN(TRIM($W$1434))&gt;0)</formula>
    </cfRule>
  </conditionalFormatting>
  <conditionalFormatting sqref="W1434">
    <cfRule type="expression" dxfId="1803" priority="2417">
      <formula>OR($S$1434 = FALSE, AND($P$1434 = FALSE, ReportType &lt;&gt; "Final"), AND($Q$1434 = FALSE, ReportType &lt;&gt; "Rough"))</formula>
    </cfRule>
  </conditionalFormatting>
  <conditionalFormatting sqref="W1434">
    <cfRule type="expression" dxfId="1802" priority="2416">
      <formula>OR($T$1434 = TRUE, AND(LEN(TRIM($W$1434))&gt;0, $S$1434 = FALSE))</formula>
    </cfRule>
  </conditionalFormatting>
  <conditionalFormatting sqref="W1438">
    <cfRule type="expression" dxfId="1801" priority="2415">
      <formula>AND($R$1438,$S$1438)</formula>
    </cfRule>
  </conditionalFormatting>
  <conditionalFormatting sqref="W1438">
    <cfRule type="expression" dxfId="1800" priority="2414">
      <formula>AND($W$1438&lt;&gt;"Not Met",LEN(TRIM($W$1438))&gt;0)</formula>
    </cfRule>
  </conditionalFormatting>
  <conditionalFormatting sqref="W1438">
    <cfRule type="expression" dxfId="1799" priority="2413">
      <formula>OR($S$1438 = FALSE, AND($P$1438 = FALSE, ReportType &lt;&gt; "Final"), AND($Q$1438 = FALSE, ReportType &lt;&gt; "Rough"))</formula>
    </cfRule>
  </conditionalFormatting>
  <conditionalFormatting sqref="W1438">
    <cfRule type="expression" dxfId="1798" priority="2412">
      <formula>OR($T$1438 = TRUE, AND(LEN(TRIM($W$1438))&gt;0, $S$1438 = FALSE))</formula>
    </cfRule>
  </conditionalFormatting>
  <conditionalFormatting sqref="W1431">
    <cfRule type="expression" dxfId="1797" priority="2407">
      <formula>AND($R$1431,$S$1431)</formula>
    </cfRule>
  </conditionalFormatting>
  <conditionalFormatting sqref="W1431">
    <cfRule type="expression" dxfId="1796" priority="2406">
      <formula>AND(IF($R$1431,$W$1431,TRUE),LEN(TRIM($W$1431))&gt;0)</formula>
    </cfRule>
  </conditionalFormatting>
  <conditionalFormatting sqref="W1431">
    <cfRule type="expression" dxfId="1795" priority="2405">
      <formula>OR($S$1431 = FALSE, AND($P$1431 = FALSE, ReportType &lt;&gt; "Final"), AND($Q$1431 = FALSE, ReportType &lt;&gt; "Rough"))</formula>
    </cfRule>
  </conditionalFormatting>
  <conditionalFormatting sqref="W1431">
    <cfRule type="expression" dxfId="1794" priority="2404">
      <formula>OR($T$1431 = TRUE, AND($W$1431 = TRUE, $S$1431 = FALSE))</formula>
    </cfRule>
  </conditionalFormatting>
  <conditionalFormatting sqref="W1443">
    <cfRule type="expression" dxfId="1793" priority="2403">
      <formula>AND($R$1443,$S$1443)</formula>
    </cfRule>
  </conditionalFormatting>
  <conditionalFormatting sqref="W1443">
    <cfRule type="expression" dxfId="1792" priority="2402">
      <formula>AND($W$1443&lt;&gt;"Not Met",LEN(TRIM($W$1443))&gt;0)</formula>
    </cfRule>
  </conditionalFormatting>
  <conditionalFormatting sqref="W1443">
    <cfRule type="expression" dxfId="1791" priority="2401">
      <formula>OR($S$1443 = FALSE, AND($P$1443 = FALSE, ReportType &lt;&gt; "Final"), AND($Q$1443 = FALSE, ReportType &lt;&gt; "Rough"))</formula>
    </cfRule>
  </conditionalFormatting>
  <conditionalFormatting sqref="W1443">
    <cfRule type="expression" dxfId="1790" priority="2400">
      <formula>OR($T$1443 = TRUE, AND(LEN(TRIM($W$1443))&gt;0, $S$1443 = FALSE))</formula>
    </cfRule>
  </conditionalFormatting>
  <conditionalFormatting sqref="W1448">
    <cfRule type="expression" dxfId="1789" priority="2399">
      <formula>AND($R$1448,$S$1448)</formula>
    </cfRule>
  </conditionalFormatting>
  <conditionalFormatting sqref="W1448">
    <cfRule type="expression" dxfId="1788" priority="2398">
      <formula>AND(IF($R$1448,$W$1448,TRUE),LEN(TRIM($W$1448))&gt;0)</formula>
    </cfRule>
  </conditionalFormatting>
  <conditionalFormatting sqref="W1448">
    <cfRule type="expression" dxfId="1787" priority="2397">
      <formula>OR($S$1448 = FALSE, AND($P$1448 = FALSE, ReportType &lt;&gt; "Final"), AND($Q$1448 = FALSE, ReportType &lt;&gt; "Rough"))</formula>
    </cfRule>
  </conditionalFormatting>
  <conditionalFormatting sqref="W1448">
    <cfRule type="expression" dxfId="1786" priority="2396">
      <formula>OR($T$1448 = TRUE, AND($W$1448 = TRUE, $S$1448 = FALSE))</formula>
    </cfRule>
  </conditionalFormatting>
  <conditionalFormatting sqref="W1451">
    <cfRule type="expression" dxfId="1785" priority="2395">
      <formula>AND($R$1451,$S$1451)</formula>
    </cfRule>
  </conditionalFormatting>
  <conditionalFormatting sqref="W1451">
    <cfRule type="expression" dxfId="1784" priority="2394">
      <formula>AND(IF($R$1451,$W$1451,TRUE),LEN(TRIM($W$1451))&gt;0)</formula>
    </cfRule>
  </conditionalFormatting>
  <conditionalFormatting sqref="W1451">
    <cfRule type="expression" dxfId="1783" priority="2393">
      <formula>OR($S$1451 = FALSE, AND($P$1451 = FALSE, ReportType &lt;&gt; "Final"), AND($Q$1451 = FALSE, ReportType &lt;&gt; "Rough"))</formula>
    </cfRule>
  </conditionalFormatting>
  <conditionalFormatting sqref="W1451">
    <cfRule type="expression" dxfId="1782" priority="2392">
      <formula>OR($T$1451 = TRUE, AND($W$1451 = TRUE, $S$1451 = FALSE))</formula>
    </cfRule>
  </conditionalFormatting>
  <conditionalFormatting sqref="W1456">
    <cfRule type="expression" dxfId="1781" priority="2391">
      <formula>AND($R$1456,$S$1456)</formula>
    </cfRule>
  </conditionalFormatting>
  <conditionalFormatting sqref="W1456">
    <cfRule type="expression" dxfId="1780" priority="2390">
      <formula>AND(IF($R$1456,$W$1456,TRUE),LEN(TRIM($W$1456))&gt;0)</formula>
    </cfRule>
  </conditionalFormatting>
  <conditionalFormatting sqref="W1456">
    <cfRule type="expression" dxfId="1779" priority="2389">
      <formula>OR($S$1456 = FALSE, AND($P$1456 = FALSE, ReportType &lt;&gt; "Final"), AND($Q$1456 = FALSE, ReportType &lt;&gt; "Rough"))</formula>
    </cfRule>
  </conditionalFormatting>
  <conditionalFormatting sqref="W1456">
    <cfRule type="expression" dxfId="1778" priority="2388">
      <formula>OR($T$1456 = TRUE, AND($W$1456 = TRUE, $S$1456 = FALSE))</formula>
    </cfRule>
  </conditionalFormatting>
  <conditionalFormatting sqref="W1457">
    <cfRule type="expression" dxfId="1777" priority="2387">
      <formula>AND($R$1457,$S$1457)</formula>
    </cfRule>
  </conditionalFormatting>
  <conditionalFormatting sqref="W1457">
    <cfRule type="expression" dxfId="1776" priority="2386">
      <formula>AND(IF($R$1457,$W$1457,TRUE),LEN(TRIM($W$1457))&gt;0)</formula>
    </cfRule>
  </conditionalFormatting>
  <conditionalFormatting sqref="W1457">
    <cfRule type="expression" dxfId="1775" priority="2385">
      <formula>OR($S$1457 = FALSE, AND($P$1457 = FALSE, ReportType &lt;&gt; "Final"), AND($Q$1457 = FALSE, ReportType &lt;&gt; "Rough"))</formula>
    </cfRule>
  </conditionalFormatting>
  <conditionalFormatting sqref="W1457">
    <cfRule type="expression" dxfId="1774" priority="2384">
      <formula>OR($T$1457 = TRUE, AND($W$1457 = TRUE, $S$1457 = FALSE))</formula>
    </cfRule>
  </conditionalFormatting>
  <conditionalFormatting sqref="W1467">
    <cfRule type="expression" dxfId="1773" priority="2379">
      <formula>AND($R$1467,$S$1467)</formula>
    </cfRule>
  </conditionalFormatting>
  <conditionalFormatting sqref="W1467">
    <cfRule type="expression" dxfId="1772" priority="2378">
      <formula>AND(IF($R$1467,$W$1467,TRUE),LEN(TRIM($W$1467))&gt;0)</formula>
    </cfRule>
  </conditionalFormatting>
  <conditionalFormatting sqref="W1467">
    <cfRule type="expression" dxfId="1771" priority="2377">
      <formula>OR($S$1467 = FALSE, AND($P$1467 = FALSE, ReportType &lt;&gt; "Final"), AND($Q$1467 = FALSE, ReportType &lt;&gt; "Rough"))</formula>
    </cfRule>
  </conditionalFormatting>
  <conditionalFormatting sqref="W1467">
    <cfRule type="expression" dxfId="1770" priority="2376">
      <formula>OR($T$1467 = TRUE, AND($W$1467 = TRUE, $S$1467 = FALSE))</formula>
    </cfRule>
  </conditionalFormatting>
  <conditionalFormatting sqref="W1496">
    <cfRule type="expression" dxfId="1769" priority="2375">
      <formula>AND($R$1496,$S$1496)</formula>
    </cfRule>
  </conditionalFormatting>
  <conditionalFormatting sqref="W1496">
    <cfRule type="expression" dxfId="1768" priority="2374">
      <formula>AND(IF($R$1496,$W$1496,TRUE),LEN(TRIM($W$1496))&gt;0)</formula>
    </cfRule>
  </conditionalFormatting>
  <conditionalFormatting sqref="W1496">
    <cfRule type="expression" dxfId="1767" priority="2373">
      <formula>OR($S$1496 = FALSE, AND($P$1496 = FALSE, ReportType &lt;&gt; "Final"), AND($Q$1496 = FALSE, ReportType &lt;&gt; "Rough"))</formula>
    </cfRule>
  </conditionalFormatting>
  <conditionalFormatting sqref="W1496">
    <cfRule type="expression" dxfId="1766" priority="2372">
      <formula>OR($T$1496 = TRUE, AND($W$1496 = TRUE, $S$1496 = FALSE))</formula>
    </cfRule>
  </conditionalFormatting>
  <conditionalFormatting sqref="W1507">
    <cfRule type="expression" dxfId="1765" priority="2367">
      <formula>AND($R$1507,$S$1507)</formula>
    </cfRule>
  </conditionalFormatting>
  <conditionalFormatting sqref="W1507">
    <cfRule type="expression" dxfId="1764" priority="2366">
      <formula>AND($W$1507&lt;&gt;"Not Met",LEN(TRIM($W$1507))&gt;0)</formula>
    </cfRule>
  </conditionalFormatting>
  <conditionalFormatting sqref="W1507">
    <cfRule type="expression" dxfId="1763" priority="2365">
      <formula>OR($S$1507 = FALSE, AND($P$1507 = FALSE, ReportType &lt;&gt; "Final"), AND($Q$1507 = FALSE, ReportType &lt;&gt; "Rough"))</formula>
    </cfRule>
  </conditionalFormatting>
  <conditionalFormatting sqref="W1507">
    <cfRule type="expression" dxfId="1762" priority="2364">
      <formula>OR($T$1507 = TRUE, AND(LEN(TRIM($W$1507))&gt;0, $S$1507 = FALSE))</formula>
    </cfRule>
  </conditionalFormatting>
  <conditionalFormatting sqref="W1513">
    <cfRule type="expression" dxfId="1761" priority="2363">
      <formula>AND($R$1513,$S$1513)</formula>
    </cfRule>
  </conditionalFormatting>
  <conditionalFormatting sqref="W1513">
    <cfRule type="expression" dxfId="1760" priority="2362">
      <formula>AND(IF($R$1513,$W$1513,TRUE),LEN(TRIM($W$1513))&gt;0)</formula>
    </cfRule>
  </conditionalFormatting>
  <conditionalFormatting sqref="W1513">
    <cfRule type="expression" dxfId="1759" priority="2361">
      <formula>OR($S$1513 = FALSE, AND($P$1513 = FALSE, ReportType &lt;&gt; "Final"), AND($Q$1513 = FALSE, ReportType &lt;&gt; "Rough"))</formula>
    </cfRule>
  </conditionalFormatting>
  <conditionalFormatting sqref="W1513">
    <cfRule type="expression" dxfId="1758" priority="2360">
      <formula>OR($T$1513 = TRUE, AND($W$1513 = TRUE, $S$1513 = FALSE))</formula>
    </cfRule>
  </conditionalFormatting>
  <conditionalFormatting sqref="W1525">
    <cfRule type="expression" dxfId="1757" priority="2359">
      <formula>AND($R$1525,$S$1525)</formula>
    </cfRule>
  </conditionalFormatting>
  <conditionalFormatting sqref="W1525">
    <cfRule type="expression" dxfId="1756" priority="2358">
      <formula>AND(IF($R$1525,$W$1525,TRUE),LEN(TRIM($W$1525))&gt;0)</formula>
    </cfRule>
  </conditionalFormatting>
  <conditionalFormatting sqref="W1525">
    <cfRule type="expression" dxfId="1755" priority="2357">
      <formula>OR($S$1525 = FALSE, AND($P$1525 = FALSE, ReportType &lt;&gt; "Final"), AND($Q$1525 = FALSE, ReportType &lt;&gt; "Rough"))</formula>
    </cfRule>
  </conditionalFormatting>
  <conditionalFormatting sqref="W1525">
    <cfRule type="expression" dxfId="1754" priority="2356">
      <formula>OR($T$1525 = TRUE, AND($W$1525 = TRUE, $S$1525 = FALSE))</formula>
    </cfRule>
  </conditionalFormatting>
  <conditionalFormatting sqref="W1527">
    <cfRule type="expression" dxfId="1753" priority="2355">
      <formula>AND($R$1527,$S$1527)</formula>
    </cfRule>
  </conditionalFormatting>
  <conditionalFormatting sqref="W1527">
    <cfRule type="expression" dxfId="1752" priority="2354">
      <formula>AND(IF($R$1527,$W$1527,TRUE),LEN(TRIM($W$1527))&gt;0)</formula>
    </cfRule>
  </conditionalFormatting>
  <conditionalFormatting sqref="W1527">
    <cfRule type="expression" dxfId="1751" priority="2353">
      <formula>OR($S$1527 = FALSE, AND($P$1527 = FALSE, ReportType &lt;&gt; "Final"), AND($Q$1527 = FALSE, ReportType &lt;&gt; "Rough"))</formula>
    </cfRule>
  </conditionalFormatting>
  <conditionalFormatting sqref="W1527">
    <cfRule type="expression" dxfId="1750" priority="2352">
      <formula>OR($T$1527 = TRUE, AND($W$1527 = TRUE, $S$1527 = FALSE))</formula>
    </cfRule>
  </conditionalFormatting>
  <conditionalFormatting sqref="W1529">
    <cfRule type="expression" dxfId="1749" priority="2351">
      <formula>AND($R$1529,$S$1529)</formula>
    </cfRule>
  </conditionalFormatting>
  <conditionalFormatting sqref="W1529">
    <cfRule type="expression" dxfId="1748" priority="2350">
      <formula>AND(IF($R$1529,$W$1529,TRUE),LEN(TRIM($W$1529))&gt;0)</formula>
    </cfRule>
  </conditionalFormatting>
  <conditionalFormatting sqref="W1529">
    <cfRule type="expression" dxfId="1747" priority="2349">
      <formula>OR($S$1529 = FALSE, AND($P$1529 = FALSE, ReportType &lt;&gt; "Final"), AND($Q$1529 = FALSE, ReportType &lt;&gt; "Rough"))</formula>
    </cfRule>
  </conditionalFormatting>
  <conditionalFormatting sqref="W1529">
    <cfRule type="expression" dxfId="1746" priority="2348">
      <formula>OR($T$1529 = TRUE, AND($W$1529 = TRUE, $S$1529 = FALSE))</formula>
    </cfRule>
  </conditionalFormatting>
  <conditionalFormatting sqref="W1536">
    <cfRule type="expression" dxfId="1745" priority="2347">
      <formula>AND($R$1536,$S$1536)</formula>
    </cfRule>
  </conditionalFormatting>
  <conditionalFormatting sqref="W1536">
    <cfRule type="expression" dxfId="1744" priority="2346">
      <formula>AND(IF($R$1536,$W$1536,TRUE),LEN(TRIM($W$1536))&gt;0)</formula>
    </cfRule>
  </conditionalFormatting>
  <conditionalFormatting sqref="W1536">
    <cfRule type="expression" dxfId="1743" priority="2345">
      <formula>OR($S$1536 = FALSE, AND($P$1536 = FALSE, ReportType &lt;&gt; "Final"), AND($Q$1536 = FALSE, ReportType &lt;&gt; "Rough"))</formula>
    </cfRule>
  </conditionalFormatting>
  <conditionalFormatting sqref="W1536">
    <cfRule type="expression" dxfId="1742" priority="2344">
      <formula>OR($T$1536 = TRUE, AND($W$1536 = TRUE, $S$1536 = FALSE))</formula>
    </cfRule>
  </conditionalFormatting>
  <conditionalFormatting sqref="W1537">
    <cfRule type="expression" dxfId="1741" priority="2343">
      <formula>AND($R$1537,$S$1537)</formula>
    </cfRule>
  </conditionalFormatting>
  <conditionalFormatting sqref="W1537">
    <cfRule type="expression" dxfId="1740" priority="2342">
      <formula>AND(IF($R$1537,$W$1537,TRUE),LEN(TRIM($W$1537))&gt;0)</formula>
    </cfRule>
  </conditionalFormatting>
  <conditionalFormatting sqref="W1537">
    <cfRule type="expression" dxfId="1739" priority="2341">
      <formula>OR($S$1537 = FALSE, AND($P$1537 = FALSE, ReportType &lt;&gt; "Final"), AND($Q$1537 = FALSE, ReportType &lt;&gt; "Rough"))</formula>
    </cfRule>
  </conditionalFormatting>
  <conditionalFormatting sqref="W1537">
    <cfRule type="expression" dxfId="1738" priority="2340">
      <formula>OR($T$1537 = TRUE, AND($W$1537 = TRUE, $S$1537 = FALSE))</formula>
    </cfRule>
  </conditionalFormatting>
  <conditionalFormatting sqref="W1538">
    <cfRule type="expression" dxfId="1737" priority="2339">
      <formula>AND($R$1538,$S$1538)</formula>
    </cfRule>
  </conditionalFormatting>
  <conditionalFormatting sqref="W1538">
    <cfRule type="expression" dxfId="1736" priority="2338">
      <formula>AND(IF($R$1538,$W$1538,TRUE),LEN(TRIM($W$1538))&gt;0)</formula>
    </cfRule>
  </conditionalFormatting>
  <conditionalFormatting sqref="W1538">
    <cfRule type="expression" dxfId="1735" priority="2337">
      <formula>OR($S$1538 = FALSE, AND($P$1538 = FALSE, ReportType &lt;&gt; "Final"), AND($Q$1538 = FALSE, ReportType &lt;&gt; "Rough"))</formula>
    </cfRule>
  </conditionalFormatting>
  <conditionalFormatting sqref="W1538">
    <cfRule type="expression" dxfId="1734" priority="2336">
      <formula>OR($T$1538 = TRUE, AND($W$1538 = TRUE, $S$1538 = FALSE))</formula>
    </cfRule>
  </conditionalFormatting>
  <conditionalFormatting sqref="W1539">
    <cfRule type="expression" dxfId="1733" priority="2335">
      <formula>AND($R$1539,$S$1539)</formula>
    </cfRule>
  </conditionalFormatting>
  <conditionalFormatting sqref="W1539">
    <cfRule type="expression" dxfId="1732" priority="2334">
      <formula>AND(IF($R$1539,$W$1539,TRUE),LEN(TRIM($W$1539))&gt;0)</formula>
    </cfRule>
  </conditionalFormatting>
  <conditionalFormatting sqref="W1539">
    <cfRule type="expression" dxfId="1731" priority="2333">
      <formula>OR($S$1539 = FALSE, AND($P$1539 = FALSE, ReportType &lt;&gt; "Final"), AND($Q$1539 = FALSE, ReportType &lt;&gt; "Rough"))</formula>
    </cfRule>
  </conditionalFormatting>
  <conditionalFormatting sqref="W1539">
    <cfRule type="expression" dxfId="1730" priority="2332">
      <formula>OR($T$1539 = TRUE, AND($W$1539 = TRUE, $S$1539 = FALSE))</formula>
    </cfRule>
  </conditionalFormatting>
  <conditionalFormatting sqref="W1541">
    <cfRule type="expression" dxfId="1729" priority="2331">
      <formula>AND($R$1541,$S$1541)</formula>
    </cfRule>
  </conditionalFormatting>
  <conditionalFormatting sqref="W1541">
    <cfRule type="expression" dxfId="1728" priority="2330">
      <formula>AND(IF($R$1541,$W$1541,TRUE),LEN(TRIM($W$1541))&gt;0)</formula>
    </cfRule>
  </conditionalFormatting>
  <conditionalFormatting sqref="W1541">
    <cfRule type="expression" dxfId="1727" priority="2329">
      <formula>OR($S$1541 = FALSE, AND($P$1541 = FALSE, ReportType &lt;&gt; "Final"), AND($Q$1541 = FALSE, ReportType &lt;&gt; "Rough"))</formula>
    </cfRule>
  </conditionalFormatting>
  <conditionalFormatting sqref="W1541">
    <cfRule type="expression" dxfId="1726" priority="2328">
      <formula>OR($T$1541 = TRUE, AND($W$1541 = TRUE, $S$1541 = FALSE))</formula>
    </cfRule>
  </conditionalFormatting>
  <conditionalFormatting sqref="W1544">
    <cfRule type="expression" dxfId="1725" priority="2327">
      <formula>AND($R$1544,$S$1544)</formula>
    </cfRule>
  </conditionalFormatting>
  <conditionalFormatting sqref="W1544">
    <cfRule type="expression" dxfId="1724" priority="2326">
      <formula>AND(IF($R$1544,$W$1544,TRUE),LEN(TRIM($W$1544))&gt;0)</formula>
    </cfRule>
  </conditionalFormatting>
  <conditionalFormatting sqref="W1544">
    <cfRule type="expression" dxfId="1723" priority="2325">
      <formula>OR($S$1544 = FALSE, AND($P$1544 = FALSE, ReportType &lt;&gt; "Final"), AND($Q$1544 = FALSE, ReportType &lt;&gt; "Rough"))</formula>
    </cfRule>
  </conditionalFormatting>
  <conditionalFormatting sqref="W1544">
    <cfRule type="expression" dxfId="1722" priority="2324">
      <formula>OR($T$1544 = TRUE, AND($W$1544 = TRUE, $S$1544 = FALSE))</formula>
    </cfRule>
  </conditionalFormatting>
  <conditionalFormatting sqref="W1549">
    <cfRule type="expression" dxfId="1721" priority="2323">
      <formula>AND($R$1549,$S$1549)</formula>
    </cfRule>
  </conditionalFormatting>
  <conditionalFormatting sqref="W1549">
    <cfRule type="expression" dxfId="1720" priority="2322">
      <formula>AND($W$1549&lt;&gt;"Not Met",LEN(TRIM($W$1549))&gt;0)</formula>
    </cfRule>
  </conditionalFormatting>
  <conditionalFormatting sqref="W1549">
    <cfRule type="expression" dxfId="1719" priority="2321">
      <formula>OR($S$1549 = FALSE, AND($P$1549 = FALSE, ReportType &lt;&gt; "Final"), AND($Q$1549 = FALSE, ReportType &lt;&gt; "Rough"))</formula>
    </cfRule>
  </conditionalFormatting>
  <conditionalFormatting sqref="W1549">
    <cfRule type="expression" dxfId="1718" priority="2320">
      <formula>OR($T$1549 = TRUE, AND(LEN(TRIM($W$1549))&gt;0, $S$1549 = FALSE))</formula>
    </cfRule>
  </conditionalFormatting>
  <conditionalFormatting sqref="W1564">
    <cfRule type="expression" dxfId="1717" priority="2319">
      <formula>AND($R$1564,$S$1564)</formula>
    </cfRule>
  </conditionalFormatting>
  <conditionalFormatting sqref="W1564">
    <cfRule type="expression" dxfId="1716" priority="2318">
      <formula>AND(IF($R$1564,$W$1564,TRUE),LEN(TRIM($W$1564))&gt;0)</formula>
    </cfRule>
  </conditionalFormatting>
  <conditionalFormatting sqref="W1564">
    <cfRule type="expression" dxfId="1715" priority="2317">
      <formula>OR($S$1564 = FALSE, AND($P$1564 = FALSE, ReportType &lt;&gt; "Final"), AND($Q$1564 = FALSE, ReportType &lt;&gt; "Rough"))</formula>
    </cfRule>
  </conditionalFormatting>
  <conditionalFormatting sqref="W1564">
    <cfRule type="expression" dxfId="1714" priority="2316">
      <formula>OR($T$1564 = TRUE, AND($W$1564 = TRUE, $S$1564 = FALSE))</formula>
    </cfRule>
  </conditionalFormatting>
  <conditionalFormatting sqref="W1565">
    <cfRule type="expression" dxfId="1713" priority="2315">
      <formula>AND($R$1565,$S$1565)</formula>
    </cfRule>
  </conditionalFormatting>
  <conditionalFormatting sqref="W1565">
    <cfRule type="expression" dxfId="1712" priority="2314">
      <formula>AND(IF($R$1565,$W$1565,TRUE),LEN(TRIM($W$1565))&gt;0)</formula>
    </cfRule>
  </conditionalFormatting>
  <conditionalFormatting sqref="W1565">
    <cfRule type="expression" dxfId="1711" priority="2313">
      <formula>OR($S$1565 = FALSE, AND($P$1565 = FALSE, ReportType &lt;&gt; "Final"), AND($Q$1565 = FALSE, ReportType &lt;&gt; "Rough"))</formula>
    </cfRule>
  </conditionalFormatting>
  <conditionalFormatting sqref="W1565">
    <cfRule type="expression" dxfId="1710" priority="2312">
      <formula>OR($T$1565 = TRUE, AND($W$1565 = TRUE, $S$1565 = FALSE))</formula>
    </cfRule>
  </conditionalFormatting>
  <conditionalFormatting sqref="W1566">
    <cfRule type="expression" dxfId="1709" priority="2311">
      <formula>AND($R$1566,$S$1566)</formula>
    </cfRule>
  </conditionalFormatting>
  <conditionalFormatting sqref="W1566">
    <cfRule type="expression" dxfId="1708" priority="2310">
      <formula>AND(IF($R$1566,$W$1566,TRUE),LEN(TRIM($W$1566))&gt;0)</formula>
    </cfRule>
  </conditionalFormatting>
  <conditionalFormatting sqref="W1566">
    <cfRule type="expression" dxfId="1707" priority="2309">
      <formula>OR($S$1566 = FALSE, AND($P$1566 = FALSE, ReportType &lt;&gt; "Final"), AND($Q$1566 = FALSE, ReportType &lt;&gt; "Rough"))</formula>
    </cfRule>
  </conditionalFormatting>
  <conditionalFormatting sqref="W1566">
    <cfRule type="expression" dxfId="1706" priority="2308">
      <formula>OR($T$1566 = TRUE, AND($W$1566 = TRUE, $S$1566 = FALSE))</formula>
    </cfRule>
  </conditionalFormatting>
  <conditionalFormatting sqref="W1567">
    <cfRule type="expression" dxfId="1705" priority="2307">
      <formula>AND($R$1567,$S$1567)</formula>
    </cfRule>
  </conditionalFormatting>
  <conditionalFormatting sqref="W1567">
    <cfRule type="expression" dxfId="1704" priority="2306">
      <formula>AND(IF($R$1567,$W$1567,TRUE),LEN(TRIM($W$1567))&gt;0)</formula>
    </cfRule>
  </conditionalFormatting>
  <conditionalFormatting sqref="W1567">
    <cfRule type="expression" dxfId="1703" priority="2305">
      <formula>OR($S$1567 = FALSE, AND($P$1567 = FALSE, ReportType &lt;&gt; "Final"), AND($Q$1567 = FALSE, ReportType &lt;&gt; "Rough"))</formula>
    </cfRule>
  </conditionalFormatting>
  <conditionalFormatting sqref="W1567">
    <cfRule type="expression" dxfId="1702" priority="2304">
      <formula>OR($T$1567 = TRUE, AND($W$1567 = TRUE, $S$1567 = FALSE))</formula>
    </cfRule>
  </conditionalFormatting>
  <conditionalFormatting sqref="W1568">
    <cfRule type="expression" dxfId="1701" priority="2303">
      <formula>AND($R$1568,$S$1568)</formula>
    </cfRule>
  </conditionalFormatting>
  <conditionalFormatting sqref="W1568">
    <cfRule type="expression" dxfId="1700" priority="2302">
      <formula>AND(IF($R$1568,$W$1568,TRUE),LEN(TRIM($W$1568))&gt;0)</formula>
    </cfRule>
  </conditionalFormatting>
  <conditionalFormatting sqref="W1568">
    <cfRule type="expression" dxfId="1699" priority="2301">
      <formula>OR($S$1568 = FALSE, AND($P$1568 = FALSE, ReportType &lt;&gt; "Final"), AND($Q$1568 = FALSE, ReportType &lt;&gt; "Rough"))</formula>
    </cfRule>
  </conditionalFormatting>
  <conditionalFormatting sqref="W1568">
    <cfRule type="expression" dxfId="1698" priority="2300">
      <formula>OR($T$1568 = TRUE, AND($W$1568 = TRUE, $S$1568 = FALSE))</formula>
    </cfRule>
  </conditionalFormatting>
  <conditionalFormatting sqref="W1569">
    <cfRule type="expression" dxfId="1697" priority="2299">
      <formula>AND($R$1569,$S$1569)</formula>
    </cfRule>
  </conditionalFormatting>
  <conditionalFormatting sqref="W1569">
    <cfRule type="expression" dxfId="1696" priority="2298">
      <formula>AND(IF($R$1569,$W$1569,TRUE),LEN(TRIM($W$1569))&gt;0)</formula>
    </cfRule>
  </conditionalFormatting>
  <conditionalFormatting sqref="W1569">
    <cfRule type="expression" dxfId="1695" priority="2297">
      <formula>OR($S$1569 = FALSE, AND($P$1569 = FALSE, ReportType &lt;&gt; "Final"), AND($Q$1569 = FALSE, ReportType &lt;&gt; "Rough"))</formula>
    </cfRule>
  </conditionalFormatting>
  <conditionalFormatting sqref="W1569">
    <cfRule type="expression" dxfId="1694" priority="2296">
      <formula>OR($T$1569 = TRUE, AND($W$1569 = TRUE, $S$1569 = FALSE))</formula>
    </cfRule>
  </conditionalFormatting>
  <conditionalFormatting sqref="W1570">
    <cfRule type="expression" dxfId="1693" priority="2295">
      <formula>AND($R$1570,$S$1570)</formula>
    </cfRule>
  </conditionalFormatting>
  <conditionalFormatting sqref="W1570">
    <cfRule type="expression" dxfId="1692" priority="2294">
      <formula>AND(IF($R$1570,$W$1570,TRUE),LEN(TRIM($W$1570))&gt;0)</formula>
    </cfRule>
  </conditionalFormatting>
  <conditionalFormatting sqref="W1570">
    <cfRule type="expression" dxfId="1691" priority="2293">
      <formula>OR($S$1570 = FALSE, AND($P$1570 = FALSE, ReportType &lt;&gt; "Final"), AND($Q$1570 = FALSE, ReportType &lt;&gt; "Rough"))</formula>
    </cfRule>
  </conditionalFormatting>
  <conditionalFormatting sqref="W1570">
    <cfRule type="expression" dxfId="1690" priority="2292">
      <formula>OR($T$1570 = TRUE, AND($W$1570 = TRUE, $S$1570 = FALSE))</formula>
    </cfRule>
  </conditionalFormatting>
  <conditionalFormatting sqref="W1571">
    <cfRule type="expression" dxfId="1689" priority="2291">
      <formula>AND($R$1571,$S$1571)</formula>
    </cfRule>
  </conditionalFormatting>
  <conditionalFormatting sqref="W1571">
    <cfRule type="expression" dxfId="1688" priority="2290">
      <formula>AND(IF($R$1571,$W$1571,TRUE),LEN(TRIM($W$1571))&gt;0)</formula>
    </cfRule>
  </conditionalFormatting>
  <conditionalFormatting sqref="W1571">
    <cfRule type="expression" dxfId="1687" priority="2289">
      <formula>OR($S$1571 = FALSE, AND($P$1571 = FALSE, ReportType &lt;&gt; "Final"), AND($Q$1571 = FALSE, ReportType &lt;&gt; "Rough"))</formula>
    </cfRule>
  </conditionalFormatting>
  <conditionalFormatting sqref="W1571">
    <cfRule type="expression" dxfId="1686" priority="2288">
      <formula>OR($T$1571 = TRUE, AND($W$1571 = TRUE, $S$1571 = FALSE))</formula>
    </cfRule>
  </conditionalFormatting>
  <conditionalFormatting sqref="W1574">
    <cfRule type="expression" dxfId="1685" priority="2287">
      <formula>AND($R$1574,$S$1574)</formula>
    </cfRule>
  </conditionalFormatting>
  <conditionalFormatting sqref="W1574">
    <cfRule type="expression" dxfId="1684" priority="2286">
      <formula>AND(IF($R$1574,$W$1574,TRUE),LEN(TRIM($W$1574))&gt;0)</formula>
    </cfRule>
  </conditionalFormatting>
  <conditionalFormatting sqref="W1574">
    <cfRule type="expression" dxfId="1683" priority="2285">
      <formula>OR($S$1574 = FALSE, AND($P$1574 = FALSE, ReportType &lt;&gt; "Final"), AND($Q$1574 = FALSE, ReportType &lt;&gt; "Rough"))</formula>
    </cfRule>
  </conditionalFormatting>
  <conditionalFormatting sqref="W1574">
    <cfRule type="expression" dxfId="1682" priority="2284">
      <formula>OR($T$1574 = TRUE, AND($W$1574 = TRUE, $S$1574 = FALSE))</formula>
    </cfRule>
  </conditionalFormatting>
  <conditionalFormatting sqref="W1576">
    <cfRule type="expression" dxfId="1681" priority="2283">
      <formula>AND($R$1576,$S$1576)</formula>
    </cfRule>
  </conditionalFormatting>
  <conditionalFormatting sqref="W1576">
    <cfRule type="expression" dxfId="1680" priority="2282">
      <formula>AND(IF($R$1576,$W$1576,TRUE),LEN(TRIM($W$1576))&gt;0)</formula>
    </cfRule>
  </conditionalFormatting>
  <conditionalFormatting sqref="W1576">
    <cfRule type="expression" dxfId="1679" priority="2281">
      <formula>OR($S$1576 = FALSE, AND($P$1576 = FALSE, ReportType &lt;&gt; "Final"), AND($Q$1576 = FALSE, ReportType &lt;&gt; "Rough"))</formula>
    </cfRule>
  </conditionalFormatting>
  <conditionalFormatting sqref="W1576">
    <cfRule type="expression" dxfId="1678" priority="2280">
      <formula>OR($T$1576 = TRUE, AND($W$1576 = TRUE, $S$1576 = FALSE))</formula>
    </cfRule>
  </conditionalFormatting>
  <conditionalFormatting sqref="W1578">
    <cfRule type="expression" dxfId="1677" priority="2279">
      <formula>AND($R$1578,$S$1578)</formula>
    </cfRule>
  </conditionalFormatting>
  <conditionalFormatting sqref="W1578">
    <cfRule type="expression" dxfId="1676" priority="2278">
      <formula>AND(IF($R$1578,$W$1578,TRUE),LEN(TRIM($W$1578))&gt;0)</formula>
    </cfRule>
  </conditionalFormatting>
  <conditionalFormatting sqref="W1578">
    <cfRule type="expression" dxfId="1675" priority="2277">
      <formula>OR($S$1578 = FALSE, AND($P$1578 = FALSE, ReportType &lt;&gt; "Final"), AND($Q$1578 = FALSE, ReportType &lt;&gt; "Rough"))</formula>
    </cfRule>
  </conditionalFormatting>
  <conditionalFormatting sqref="W1578">
    <cfRule type="expression" dxfId="1674" priority="2276">
      <formula>OR($T$1578 = TRUE, AND($W$1578 = TRUE, $S$1578 = FALSE))</formula>
    </cfRule>
  </conditionalFormatting>
  <conditionalFormatting sqref="W1595">
    <cfRule type="expression" dxfId="1673" priority="2275">
      <formula>AND($R$1595,$S$1595)</formula>
    </cfRule>
  </conditionalFormatting>
  <conditionalFormatting sqref="W1595">
    <cfRule type="expression" dxfId="1672" priority="2274">
      <formula>AND(IF($R$1595,$W$1595,TRUE),LEN(TRIM($W$1595))&gt;0)</formula>
    </cfRule>
  </conditionalFormatting>
  <conditionalFormatting sqref="W1595">
    <cfRule type="expression" dxfId="1671" priority="2273">
      <formula>OR($S$1595 = FALSE, AND($P$1595 = FALSE, ReportType &lt;&gt; "Final"), AND($Q$1595 = FALSE, ReportType &lt;&gt; "Rough"))</formula>
    </cfRule>
  </conditionalFormatting>
  <conditionalFormatting sqref="W1595">
    <cfRule type="expression" dxfId="1670" priority="2272">
      <formula>OR($T$1595 = TRUE, AND($W$1595 = TRUE, $S$1595 = FALSE))</formula>
    </cfRule>
  </conditionalFormatting>
  <conditionalFormatting sqref="W1599">
    <cfRule type="expression" dxfId="1669" priority="2271">
      <formula>AND($R$1599,$S$1599)</formula>
    </cfRule>
  </conditionalFormatting>
  <conditionalFormatting sqref="W1599">
    <cfRule type="expression" dxfId="1668" priority="2270">
      <formula>AND(IF($R$1599,$W$1599,TRUE),LEN(TRIM($W$1599))&gt;0)</formula>
    </cfRule>
  </conditionalFormatting>
  <conditionalFormatting sqref="W1599">
    <cfRule type="expression" dxfId="1667" priority="2269">
      <formula>OR($S$1599 = FALSE, AND($P$1599 = FALSE, ReportType &lt;&gt; "Final"), AND($Q$1599 = FALSE, ReportType &lt;&gt; "Rough"))</formula>
    </cfRule>
  </conditionalFormatting>
  <conditionalFormatting sqref="W1599">
    <cfRule type="expression" dxfId="1666" priority="2268">
      <formula>OR($T$1599 = TRUE, AND($W$1599 = TRUE, $S$1599 = FALSE))</formula>
    </cfRule>
  </conditionalFormatting>
  <conditionalFormatting sqref="W1600">
    <cfRule type="expression" dxfId="1665" priority="2267">
      <formula>AND($R$1600,$S$1600)</formula>
    </cfRule>
  </conditionalFormatting>
  <conditionalFormatting sqref="W1600">
    <cfRule type="expression" dxfId="1664" priority="2266">
      <formula>AND(IF($R$1600,$W$1600,TRUE),LEN(TRIM($W$1600))&gt;0)</formula>
    </cfRule>
  </conditionalFormatting>
  <conditionalFormatting sqref="W1600">
    <cfRule type="expression" dxfId="1663" priority="2265">
      <formula>OR($S$1600 = FALSE, AND($P$1600 = FALSE, ReportType &lt;&gt; "Final"), AND($Q$1600 = FALSE, ReportType &lt;&gt; "Rough"))</formula>
    </cfRule>
  </conditionalFormatting>
  <conditionalFormatting sqref="W1600">
    <cfRule type="expression" dxfId="1662" priority="2264">
      <formula>OR($T$1600 = TRUE, AND($W$1600 = TRUE, $S$1600 = FALSE))</formula>
    </cfRule>
  </conditionalFormatting>
  <conditionalFormatting sqref="W1603">
    <cfRule type="expression" dxfId="1661" priority="2263">
      <formula>AND($R$1603,$S$1603)</formula>
    </cfRule>
  </conditionalFormatting>
  <conditionalFormatting sqref="W1603">
    <cfRule type="expression" dxfId="1660" priority="2262">
      <formula>AND(IF($R$1603,$W$1603,TRUE),LEN(TRIM($W$1603))&gt;0)</formula>
    </cfRule>
  </conditionalFormatting>
  <conditionalFormatting sqref="W1603">
    <cfRule type="expression" dxfId="1659" priority="2261">
      <formula>OR($S$1603 = FALSE, AND($P$1603 = FALSE, ReportType &lt;&gt; "Final"), AND($Q$1603 = FALSE, ReportType &lt;&gt; "Rough"))</formula>
    </cfRule>
  </conditionalFormatting>
  <conditionalFormatting sqref="W1603">
    <cfRule type="expression" dxfId="1658" priority="2260">
      <formula>OR($T$1603 = TRUE, AND($W$1603 = TRUE, $S$1603 = FALSE))</formula>
    </cfRule>
  </conditionalFormatting>
  <conditionalFormatting sqref="W1611">
    <cfRule type="expression" dxfId="1657" priority="2259">
      <formula>AND($R$1611,$S$1611)</formula>
    </cfRule>
  </conditionalFormatting>
  <conditionalFormatting sqref="W1611">
    <cfRule type="expression" dxfId="1656" priority="2258">
      <formula>AND(IF($R$1611,$W$1611,TRUE),LEN(TRIM($W$1611))&gt;0)</formula>
    </cfRule>
  </conditionalFormatting>
  <conditionalFormatting sqref="W1611">
    <cfRule type="expression" dxfId="1655" priority="2257">
      <formula>OR($S$1611 = FALSE, AND($P$1611 = FALSE, ReportType &lt;&gt; "Final"), AND($Q$1611 = FALSE, ReportType &lt;&gt; "Rough"))</formula>
    </cfRule>
  </conditionalFormatting>
  <conditionalFormatting sqref="W1611">
    <cfRule type="expression" dxfId="1654" priority="2256">
      <formula>OR($T$1611 = TRUE, AND($W$1611 = TRUE, $S$1611 = FALSE))</formula>
    </cfRule>
  </conditionalFormatting>
  <conditionalFormatting sqref="W1850">
    <cfRule type="expression" dxfId="1653" priority="2118">
      <formula>AND(R1850,S1850)</formula>
    </cfRule>
  </conditionalFormatting>
  <conditionalFormatting sqref="W1850">
    <cfRule type="expression" dxfId="1652" priority="2117">
      <formula>AND(R1850,LEN(TRIM(W1850))&gt;0)</formula>
    </cfRule>
  </conditionalFormatting>
  <conditionalFormatting sqref="W1850">
    <cfRule type="expression" dxfId="1651" priority="2116">
      <formula>OR(S1850 = FALSE, AND(P1850 = FALSE, ReportType &lt;&gt; "Final"), AND(Q1850 = FALSE, ReportType &lt;&gt; "Rough"))</formula>
    </cfRule>
  </conditionalFormatting>
  <conditionalFormatting sqref="W1850">
    <cfRule type="expression" dxfId="1650" priority="2115">
      <formula>OR(T1850 = TRUE, AND(W1850 &gt; 0, S1850 = FALSE))</formula>
    </cfRule>
  </conditionalFormatting>
  <conditionalFormatting sqref="W1650">
    <cfRule type="expression" dxfId="1649" priority="2110">
      <formula>AND($R$1650,$S$1650)</formula>
    </cfRule>
  </conditionalFormatting>
  <conditionalFormatting sqref="W1650">
    <cfRule type="expression" dxfId="1648" priority="2109">
      <formula>AND($W$1650&lt;&gt;"Not Met",LEN(TRIM($W$1650))&gt;0)</formula>
    </cfRule>
  </conditionalFormatting>
  <conditionalFormatting sqref="W1650">
    <cfRule type="expression" dxfId="1647" priority="2108">
      <formula>OR($S$1650 = FALSE, AND($P$1650 = FALSE, ReportType &lt;&gt; "Final"), AND($Q$1650 = FALSE, ReportType &lt;&gt; "Rough"))</formula>
    </cfRule>
  </conditionalFormatting>
  <conditionalFormatting sqref="W1650">
    <cfRule type="expression" dxfId="1646" priority="2107">
      <formula>OR($T$1650 = TRUE, AND(LEN(TRIM($W$1650))&gt;0, $S$1650 = FALSE))</formula>
    </cfRule>
  </conditionalFormatting>
  <conditionalFormatting sqref="W1679">
    <cfRule type="expression" dxfId="1645" priority="2106">
      <formula>AND($R$1679,$S$1679)</formula>
    </cfRule>
  </conditionalFormatting>
  <conditionalFormatting sqref="W1679">
    <cfRule type="expression" dxfId="1644" priority="2105">
      <formula>AND(IF($R$1679,$W$1679,TRUE),LEN(TRIM($W$1679))&gt;0)</formula>
    </cfRule>
  </conditionalFormatting>
  <conditionalFormatting sqref="W1679">
    <cfRule type="expression" dxfId="1643" priority="2104">
      <formula>OR($S$1679 = FALSE, AND($P$1679 = FALSE, ReportType &lt;&gt; "Final"), AND($Q$1679 = FALSE, ReportType &lt;&gt; "Rough"))</formula>
    </cfRule>
  </conditionalFormatting>
  <conditionalFormatting sqref="W1679">
    <cfRule type="expression" dxfId="1642" priority="2103">
      <formula>OR($T$1679 = TRUE, AND($W$1679 = TRUE, $S$1679 = FALSE))</formula>
    </cfRule>
  </conditionalFormatting>
  <conditionalFormatting sqref="W1684">
    <cfRule type="expression" dxfId="1641" priority="2102">
      <formula>AND($R$1684,$S$1684)</formula>
    </cfRule>
  </conditionalFormatting>
  <conditionalFormatting sqref="W1684">
    <cfRule type="expression" dxfId="1640" priority="2101">
      <formula>AND(IF($R$1684,$W$1684,TRUE),LEN(TRIM($W$1684))&gt;0)</formula>
    </cfRule>
  </conditionalFormatting>
  <conditionalFormatting sqref="W1684">
    <cfRule type="expression" dxfId="1639" priority="2100">
      <formula>OR($S$1684 = FALSE, AND($P$1684 = FALSE, ReportType &lt;&gt; "Final"), AND($Q$1684 = FALSE, ReportType &lt;&gt; "Rough"))</formula>
    </cfRule>
  </conditionalFormatting>
  <conditionalFormatting sqref="W1684">
    <cfRule type="expression" dxfId="1638" priority="2099">
      <formula>OR($T$1684 = TRUE, AND($W$1684 = TRUE, $S$1684 = FALSE))</formula>
    </cfRule>
  </conditionalFormatting>
  <conditionalFormatting sqref="W1685">
    <cfRule type="expression" dxfId="1637" priority="2098">
      <formula>AND($R$1685,$S$1685)</formula>
    </cfRule>
  </conditionalFormatting>
  <conditionalFormatting sqref="W1685">
    <cfRule type="expression" dxfId="1636" priority="2097">
      <formula>AND($W$1685&lt;&gt;"Not Met",LEN(TRIM($W$1685))&gt;0)</formula>
    </cfRule>
  </conditionalFormatting>
  <conditionalFormatting sqref="W1685">
    <cfRule type="expression" dxfId="1635" priority="2096">
      <formula>OR($S$1685 = FALSE, AND($P$1685 = FALSE, ReportType &lt;&gt; "Final"), AND($Q$1685 = FALSE, ReportType &lt;&gt; "Rough"))</formula>
    </cfRule>
  </conditionalFormatting>
  <conditionalFormatting sqref="W1685">
    <cfRule type="expression" dxfId="1634" priority="2095">
      <formula>OR($T$1685 = TRUE, AND(LEN(TRIM($W$1685))&gt;0, $S$1685 = FALSE))</formula>
    </cfRule>
  </conditionalFormatting>
  <conditionalFormatting sqref="W1709">
    <cfRule type="expression" dxfId="1633" priority="2094">
      <formula>AND($R$1709,$S$1709)</formula>
    </cfRule>
  </conditionalFormatting>
  <conditionalFormatting sqref="W1709">
    <cfRule type="expression" dxfId="1632" priority="2093">
      <formula>AND($W$1709&lt;&gt;"Not Met",LEN(TRIM($W$1709))&gt;0)</formula>
    </cfRule>
  </conditionalFormatting>
  <conditionalFormatting sqref="W1709">
    <cfRule type="expression" dxfId="1631" priority="2092">
      <formula>OR($S$1709 = FALSE, AND($P$1709 = FALSE, ReportType &lt;&gt; "Final"), AND($Q$1709 = FALSE, ReportType &lt;&gt; "Rough"))</formula>
    </cfRule>
  </conditionalFormatting>
  <conditionalFormatting sqref="W1709">
    <cfRule type="expression" dxfId="1630" priority="2091">
      <formula>OR($T$1709 = TRUE, AND(LEN(TRIM($W$1709))&gt;0, $S$1709 = FALSE))</formula>
    </cfRule>
  </conditionalFormatting>
  <conditionalFormatting sqref="W1721">
    <cfRule type="expression" dxfId="1629" priority="2090">
      <formula>AND($R$1721,$S$1721)</formula>
    </cfRule>
  </conditionalFormatting>
  <conditionalFormatting sqref="W1721">
    <cfRule type="expression" dxfId="1628" priority="2089">
      <formula>AND($W$1721&lt;&gt;"Not Met",LEN(TRIM($W$1721))&gt;0)</formula>
    </cfRule>
  </conditionalFormatting>
  <conditionalFormatting sqref="W1721">
    <cfRule type="expression" dxfId="1627" priority="2088">
      <formula>OR($S$1721 = FALSE, AND($P$1721 = FALSE, ReportType &lt;&gt; "Final"), AND($Q$1721 = FALSE, ReportType &lt;&gt; "Rough"))</formula>
    </cfRule>
  </conditionalFormatting>
  <conditionalFormatting sqref="W1721">
    <cfRule type="expression" dxfId="1626" priority="2087">
      <formula>OR($T$1721 = TRUE, AND(LEN(TRIM($W$1721))&gt;0, $S$1721 = FALSE))</formula>
    </cfRule>
  </conditionalFormatting>
  <conditionalFormatting sqref="W1726">
    <cfRule type="expression" dxfId="1625" priority="2086">
      <formula>AND($R$1726,$S$1726)</formula>
    </cfRule>
  </conditionalFormatting>
  <conditionalFormatting sqref="W1726">
    <cfRule type="expression" dxfId="1624" priority="2085">
      <formula>AND($W$1726&lt;&gt;"Not Met",LEN(TRIM($W$1726))&gt;0)</formula>
    </cfRule>
  </conditionalFormatting>
  <conditionalFormatting sqref="W1726">
    <cfRule type="expression" dxfId="1623" priority="2084">
      <formula>OR($S$1726 = FALSE, AND($P$1726 = FALSE, ReportType &lt;&gt; "Final"), AND($Q$1726 = FALSE, ReportType &lt;&gt; "Rough"))</formula>
    </cfRule>
  </conditionalFormatting>
  <conditionalFormatting sqref="W1726">
    <cfRule type="expression" dxfId="1622" priority="2083">
      <formula>OR($T$1726 = TRUE, AND(LEN(TRIM($W$1726))&gt;0, $S$1726 = FALSE))</formula>
    </cfRule>
  </conditionalFormatting>
  <conditionalFormatting sqref="W1746">
    <cfRule type="expression" dxfId="1621" priority="2078">
      <formula>AND($R$1746,$S$1746)</formula>
    </cfRule>
  </conditionalFormatting>
  <conditionalFormatting sqref="W1746">
    <cfRule type="expression" dxfId="1620" priority="2077">
      <formula>AND($W$1746&lt;&gt;"Not Met",LEN(TRIM($W$1746))&gt;0)</formula>
    </cfRule>
  </conditionalFormatting>
  <conditionalFormatting sqref="W1746">
    <cfRule type="expression" dxfId="1619" priority="2076">
      <formula>OR($S$1746 = FALSE, AND($P$1746 = FALSE, ReportType &lt;&gt; "Final"), AND($Q$1746 = FALSE, ReportType &lt;&gt; "Rough"))</formula>
    </cfRule>
  </conditionalFormatting>
  <conditionalFormatting sqref="W1746">
    <cfRule type="expression" dxfId="1618" priority="2075">
      <formula>OR($T$1746 = TRUE, AND(LEN(TRIM($W$1746))&gt;0, $S$1746 = FALSE))</formula>
    </cfRule>
  </conditionalFormatting>
  <conditionalFormatting sqref="W1753">
    <cfRule type="expression" dxfId="1617" priority="2070">
      <formula>AND($R$1753,$S$1753)</formula>
    </cfRule>
  </conditionalFormatting>
  <conditionalFormatting sqref="W1753">
    <cfRule type="expression" dxfId="1616" priority="2069">
      <formula>AND($W$1753&lt;&gt;"Not Met",LEN(TRIM($W$1753))&gt;0)</formula>
    </cfRule>
  </conditionalFormatting>
  <conditionalFormatting sqref="W1753">
    <cfRule type="expression" dxfId="1615" priority="2068">
      <formula>OR($S$1753 = FALSE, AND($P$1753 = FALSE, ReportType &lt;&gt; "Final"), AND($Q$1753 = FALSE, ReportType &lt;&gt; "Rough"))</formula>
    </cfRule>
  </conditionalFormatting>
  <conditionalFormatting sqref="W1753">
    <cfRule type="expression" dxfId="1614" priority="2067">
      <formula>OR($T$1753 = TRUE, AND(LEN(TRIM($W$1753))&gt;0, $S$1753 = FALSE))</formula>
    </cfRule>
  </conditionalFormatting>
  <conditionalFormatting sqref="W1760">
    <cfRule type="expression" dxfId="1613" priority="2066">
      <formula>AND($R$1760,$S$1760)</formula>
    </cfRule>
  </conditionalFormatting>
  <conditionalFormatting sqref="W1760">
    <cfRule type="expression" dxfId="1612" priority="2065">
      <formula>AND(IF($R$1760,$W$1760,TRUE),LEN(TRIM($W$1760))&gt;0)</formula>
    </cfRule>
  </conditionalFormatting>
  <conditionalFormatting sqref="W1760">
    <cfRule type="expression" dxfId="1611" priority="2064">
      <formula>OR($S$1760 = FALSE, AND($P$1760 = FALSE, ReportType &lt;&gt; "Final"), AND($Q$1760 = FALSE, ReportType &lt;&gt; "Rough"))</formula>
    </cfRule>
  </conditionalFormatting>
  <conditionalFormatting sqref="W1760">
    <cfRule type="expression" dxfId="1610" priority="2063">
      <formula>OR($T$1760 = TRUE, AND($W$1760 = TRUE, $S$1760 = FALSE))</formula>
    </cfRule>
  </conditionalFormatting>
  <conditionalFormatting sqref="W1763">
    <cfRule type="expression" dxfId="1609" priority="2062">
      <formula>AND($R$1763,$S$1763)</formula>
    </cfRule>
  </conditionalFormatting>
  <conditionalFormatting sqref="W1763">
    <cfRule type="expression" dxfId="1608" priority="2061">
      <formula>AND($W$1763&lt;&gt;"Not Met",LEN(TRIM($W$1763))&gt;0)</formula>
    </cfRule>
  </conditionalFormatting>
  <conditionalFormatting sqref="W1763">
    <cfRule type="expression" dxfId="1607" priority="2060">
      <formula>OR($S$1763 = FALSE, AND($P$1763 = FALSE, ReportType &lt;&gt; "Final"), AND($Q$1763 = FALSE, ReportType &lt;&gt; "Rough"))</formula>
    </cfRule>
  </conditionalFormatting>
  <conditionalFormatting sqref="W1763">
    <cfRule type="expression" dxfId="1606" priority="2059">
      <formula>OR($T$1763 = TRUE, AND(LEN(TRIM($W$1763))&gt;0, $S$1763 = FALSE))</formula>
    </cfRule>
  </conditionalFormatting>
  <conditionalFormatting sqref="W1767">
    <cfRule type="expression" dxfId="1605" priority="2058">
      <formula>AND($R$1767,$S$1767)</formula>
    </cfRule>
  </conditionalFormatting>
  <conditionalFormatting sqref="W1767">
    <cfRule type="expression" dxfId="1604" priority="2057">
      <formula>AND(IF($R$1767,$W$1767,TRUE),LEN(TRIM($W$1767))&gt;0)</formula>
    </cfRule>
  </conditionalFormatting>
  <conditionalFormatting sqref="W1767">
    <cfRule type="expression" dxfId="1603" priority="2056">
      <formula>OR($S$1767 = FALSE, AND($P$1767 = FALSE, ReportType &lt;&gt; "Final"), AND($Q$1767 = FALSE, ReportType &lt;&gt; "Rough"))</formula>
    </cfRule>
  </conditionalFormatting>
  <conditionalFormatting sqref="W1767">
    <cfRule type="expression" dxfId="1602" priority="2055">
      <formula>OR($T$1767 = TRUE, AND($W$1767 = TRUE, $S$1767 = FALSE))</formula>
    </cfRule>
  </conditionalFormatting>
  <conditionalFormatting sqref="W1769">
    <cfRule type="expression" dxfId="1601" priority="2054">
      <formula>AND($R$1769,$S$1769)</formula>
    </cfRule>
  </conditionalFormatting>
  <conditionalFormatting sqref="W1769">
    <cfRule type="expression" dxfId="1600" priority="2053">
      <formula>AND(IF($R$1769,$W$1769,TRUE),LEN(TRIM($W$1769))&gt;0)</formula>
    </cfRule>
  </conditionalFormatting>
  <conditionalFormatting sqref="W1769">
    <cfRule type="expression" dxfId="1599" priority="2052">
      <formula>OR($S$1769 = FALSE, AND($P$1769 = FALSE, ReportType &lt;&gt; "Final"), AND($Q$1769 = FALSE, ReportType &lt;&gt; "Rough"))</formula>
    </cfRule>
  </conditionalFormatting>
  <conditionalFormatting sqref="W1769">
    <cfRule type="expression" dxfId="1598" priority="2051">
      <formula>OR($T$1769 = TRUE, AND($W$1769 = TRUE, $S$1769 = FALSE))</formula>
    </cfRule>
  </conditionalFormatting>
  <conditionalFormatting sqref="W1778">
    <cfRule type="expression" dxfId="1597" priority="2046">
      <formula>AND($R$1778,$S$1778)</formula>
    </cfRule>
  </conditionalFormatting>
  <conditionalFormatting sqref="W1778">
    <cfRule type="expression" dxfId="1596" priority="2045">
      <formula>AND(IF($R$1778,$W$1778,TRUE),LEN(TRIM($W$1778))&gt;0)</formula>
    </cfRule>
  </conditionalFormatting>
  <conditionalFormatting sqref="W1778">
    <cfRule type="expression" dxfId="1595" priority="2044">
      <formula>OR($S$1778 = FALSE, AND($P$1778 = FALSE, ReportType &lt;&gt; "Final"), AND($Q$1778 = FALSE, ReportType &lt;&gt; "Rough"))</formula>
    </cfRule>
  </conditionalFormatting>
  <conditionalFormatting sqref="W1778">
    <cfRule type="expression" dxfId="1594" priority="2043">
      <formula>OR($T$1778 = TRUE, AND($W$1778 = TRUE, $S$1778 = FALSE))</formula>
    </cfRule>
  </conditionalFormatting>
  <conditionalFormatting sqref="W1779">
    <cfRule type="expression" dxfId="1593" priority="2042">
      <formula>AND($R$1779,$S$1779)</formula>
    </cfRule>
  </conditionalFormatting>
  <conditionalFormatting sqref="W1779">
    <cfRule type="expression" dxfId="1592" priority="2041">
      <formula>AND(IF($R$1779,$W$1779,TRUE),LEN(TRIM($W$1779))&gt;0)</formula>
    </cfRule>
  </conditionalFormatting>
  <conditionalFormatting sqref="W1779">
    <cfRule type="expression" dxfId="1591" priority="2040">
      <formula>OR($S$1779 = FALSE, AND($P$1779 = FALSE, ReportType &lt;&gt; "Final"), AND($Q$1779 = FALSE, ReportType &lt;&gt; "Rough"))</formula>
    </cfRule>
  </conditionalFormatting>
  <conditionalFormatting sqref="W1779">
    <cfRule type="expression" dxfId="1590" priority="2039">
      <formula>OR($T$1779 = TRUE, AND($W$1779 = TRUE, $S$1779 = FALSE))</formula>
    </cfRule>
  </conditionalFormatting>
  <conditionalFormatting sqref="W1780">
    <cfRule type="expression" dxfId="1589" priority="2038">
      <formula>AND($R$1780,$S$1780)</formula>
    </cfRule>
  </conditionalFormatting>
  <conditionalFormatting sqref="W1780">
    <cfRule type="expression" dxfId="1588" priority="2037">
      <formula>AND(IF($R$1780,$W$1780,TRUE),LEN(TRIM($W$1780))&gt;0)</formula>
    </cfRule>
  </conditionalFormatting>
  <conditionalFormatting sqref="W1780">
    <cfRule type="expression" dxfId="1587" priority="2036">
      <formula>OR($S$1780 = FALSE, AND($P$1780 = FALSE, ReportType &lt;&gt; "Final"), AND($Q$1780 = FALSE, ReportType &lt;&gt; "Rough"))</formula>
    </cfRule>
  </conditionalFormatting>
  <conditionalFormatting sqref="W1780">
    <cfRule type="expression" dxfId="1586" priority="2035">
      <formula>OR($T$1780 = TRUE, AND($W$1780 = TRUE, $S$1780 = FALSE))</formula>
    </cfRule>
  </conditionalFormatting>
  <conditionalFormatting sqref="W1785">
    <cfRule type="expression" dxfId="1585" priority="2026">
      <formula>AND($R$1785,$S$1785)</formula>
    </cfRule>
  </conditionalFormatting>
  <conditionalFormatting sqref="W1785">
    <cfRule type="expression" dxfId="1584" priority="2025">
      <formula>AND(IF($R$1785,$W$1785,TRUE),LEN(TRIM($W$1785))&gt;0)</formula>
    </cfRule>
  </conditionalFormatting>
  <conditionalFormatting sqref="W1785">
    <cfRule type="expression" dxfId="1583" priority="2024">
      <formula>OR($S$1785 = FALSE, AND($P$1785 = FALSE, ReportType &lt;&gt; "Final"), AND($Q$1785 = FALSE, ReportType &lt;&gt; "Rough"))</formula>
    </cfRule>
  </conditionalFormatting>
  <conditionalFormatting sqref="W1785">
    <cfRule type="expression" dxfId="1582" priority="2023">
      <formula>OR($T$1785 = TRUE, AND($W$1785 = TRUE, $S$1785 = FALSE))</formula>
    </cfRule>
  </conditionalFormatting>
  <conditionalFormatting sqref="W1787">
    <cfRule type="expression" dxfId="1581" priority="2022">
      <formula>AND($R$1787,$S$1787)</formula>
    </cfRule>
  </conditionalFormatting>
  <conditionalFormatting sqref="W1787">
    <cfRule type="expression" dxfId="1580" priority="2021">
      <formula>AND(IF($R$1787,$W$1787,TRUE),LEN(TRIM($W$1787))&gt;0)</formula>
    </cfRule>
  </conditionalFormatting>
  <conditionalFormatting sqref="W1787">
    <cfRule type="expression" dxfId="1579" priority="2020">
      <formula>OR($S$1787 = FALSE, AND($P$1787 = FALSE, ReportType &lt;&gt; "Final"), AND($Q$1787 = FALSE, ReportType &lt;&gt; "Rough"))</formula>
    </cfRule>
  </conditionalFormatting>
  <conditionalFormatting sqref="W1787">
    <cfRule type="expression" dxfId="1578" priority="2019">
      <formula>OR($T$1787 = TRUE, AND($W$1787 = TRUE, $S$1787 = FALSE))</formula>
    </cfRule>
  </conditionalFormatting>
  <conditionalFormatting sqref="W1804">
    <cfRule type="expression" dxfId="1577" priority="2014">
      <formula>AND($R$1804,$S$1804)</formula>
    </cfRule>
  </conditionalFormatting>
  <conditionalFormatting sqref="W1804">
    <cfRule type="expression" dxfId="1576" priority="2013">
      <formula>AND($W$1804&lt;&gt;"Not Met",LEN(TRIM($W$1804))&gt;0)</formula>
    </cfRule>
  </conditionalFormatting>
  <conditionalFormatting sqref="W1804">
    <cfRule type="expression" dxfId="1575" priority="2012">
      <formula>OR($S$1804 = FALSE, AND($P$1804 = FALSE, ReportType &lt;&gt; "Final"), AND($Q$1804 = FALSE, ReportType &lt;&gt; "Rough"))</formula>
    </cfRule>
  </conditionalFormatting>
  <conditionalFormatting sqref="W1804">
    <cfRule type="expression" dxfId="1574" priority="2011">
      <formula>OR($T$1804 = TRUE, AND(LEN(TRIM($W$1804))&gt;0, $S$1804 = FALSE))</formula>
    </cfRule>
  </conditionalFormatting>
  <conditionalFormatting sqref="W1818">
    <cfRule type="expression" dxfId="1573" priority="2010">
      <formula>AND($R$1818,$S$1818)</formula>
    </cfRule>
  </conditionalFormatting>
  <conditionalFormatting sqref="W1818">
    <cfRule type="expression" dxfId="1572" priority="2009">
      <formula>AND($W$1818&lt;&gt;"Not Met",LEN(TRIM($W$1818))&gt;0)</formula>
    </cfRule>
  </conditionalFormatting>
  <conditionalFormatting sqref="W1818">
    <cfRule type="expression" dxfId="1571" priority="2008">
      <formula>OR($S$1818 = FALSE, AND($P$1818 = FALSE, ReportType &lt;&gt; "Final"), AND($Q$1818 = FALSE, ReportType &lt;&gt; "Rough"))</formula>
    </cfRule>
  </conditionalFormatting>
  <conditionalFormatting sqref="W1818">
    <cfRule type="expression" dxfId="1570" priority="2007">
      <formula>OR($T$1818 = TRUE, AND(LEN(TRIM($W$1818))&gt;0, $S$1818 = FALSE))</formula>
    </cfRule>
  </conditionalFormatting>
  <conditionalFormatting sqref="W1820">
    <cfRule type="expression" dxfId="1569" priority="2006">
      <formula>AND($R$1820,$S$1820)</formula>
    </cfRule>
  </conditionalFormatting>
  <conditionalFormatting sqref="W1820">
    <cfRule type="expression" dxfId="1568" priority="2005">
      <formula>AND(IF($R$1820,$W$1820,TRUE),LEN(TRIM($W$1820))&gt;0)</formula>
    </cfRule>
  </conditionalFormatting>
  <conditionalFormatting sqref="W1820">
    <cfRule type="expression" dxfId="1567" priority="2004">
      <formula>OR($S$1820 = FALSE, AND($P$1820 = FALSE, ReportType &lt;&gt; "Final"), AND($Q$1820 = FALSE, ReportType &lt;&gt; "Rough"))</formula>
    </cfRule>
  </conditionalFormatting>
  <conditionalFormatting sqref="W1820">
    <cfRule type="expression" dxfId="1566" priority="2003">
      <formula>OR($T$1820 = TRUE, AND($W$1820 = TRUE, $S$1820 = FALSE))</formula>
    </cfRule>
  </conditionalFormatting>
  <conditionalFormatting sqref="W1821">
    <cfRule type="expression" dxfId="1565" priority="2002">
      <formula>AND($R$1821,$S$1821)</formula>
    </cfRule>
  </conditionalFormatting>
  <conditionalFormatting sqref="W1821">
    <cfRule type="expression" dxfId="1564" priority="2001">
      <formula>AND(IF($R$1821,$W$1821,TRUE),LEN(TRIM($W$1821))&gt;0)</formula>
    </cfRule>
  </conditionalFormatting>
  <conditionalFormatting sqref="W1821">
    <cfRule type="expression" dxfId="1563" priority="2000">
      <formula>OR($S$1821 = FALSE, AND($P$1821 = FALSE, ReportType &lt;&gt; "Final"), AND($Q$1821 = FALSE, ReportType &lt;&gt; "Rough"))</formula>
    </cfRule>
  </conditionalFormatting>
  <conditionalFormatting sqref="W1821">
    <cfRule type="expression" dxfId="1562" priority="1999">
      <formula>OR($T$1821 = TRUE, AND($W$1821 = TRUE, $S$1821 = FALSE))</formula>
    </cfRule>
  </conditionalFormatting>
  <conditionalFormatting sqref="W1846">
    <cfRule type="expression" dxfId="1561" priority="1998">
      <formula>AND($R$1846,$S$1846)</formula>
    </cfRule>
  </conditionalFormatting>
  <conditionalFormatting sqref="W1846">
    <cfRule type="expression" dxfId="1560" priority="1997">
      <formula>AND($W$1846&lt;&gt;"Not Met",LEN(TRIM($W$1846))&gt;0)</formula>
    </cfRule>
  </conditionalFormatting>
  <conditionalFormatting sqref="W1846">
    <cfRule type="expression" dxfId="1559" priority="1996">
      <formula>OR($S$1846 = FALSE, AND($P$1846 = FALSE, ReportType &lt;&gt; "Final"), AND($Q$1846 = FALSE, ReportType &lt;&gt; "Rough"))</formula>
    </cfRule>
  </conditionalFormatting>
  <conditionalFormatting sqref="W1846">
    <cfRule type="expression" dxfId="1558" priority="1995">
      <formula>OR($T$1846 = TRUE, AND(LEN(TRIM($W$1846))&gt;0, $S$1846 = FALSE))</formula>
    </cfRule>
  </conditionalFormatting>
  <conditionalFormatting sqref="W1848">
    <cfRule type="expression" dxfId="1557" priority="1994">
      <formula>AND($R$1848,$S$1848)</formula>
    </cfRule>
  </conditionalFormatting>
  <conditionalFormatting sqref="W1848">
    <cfRule type="expression" dxfId="1556" priority="1993">
      <formula>AND(IF($R$1848,$W$1848,TRUE),LEN(TRIM($W$1848))&gt;0)</formula>
    </cfRule>
  </conditionalFormatting>
  <conditionalFormatting sqref="W1848">
    <cfRule type="expression" dxfId="1555" priority="1992">
      <formula>OR($S$1848 = FALSE, AND($P$1848 = FALSE, ReportType &lt;&gt; "Final"), AND($Q$1848 = FALSE, ReportType &lt;&gt; "Rough"))</formula>
    </cfRule>
  </conditionalFormatting>
  <conditionalFormatting sqref="W1848">
    <cfRule type="expression" dxfId="1554" priority="1991">
      <formula>OR($T$1848 = TRUE, AND($W$1848 = TRUE, $S$1848 = FALSE))</formula>
    </cfRule>
  </conditionalFormatting>
  <conditionalFormatting sqref="W1857">
    <cfRule type="expression" dxfId="1553" priority="1982">
      <formula>AND($R$1857,$S$1857)</formula>
    </cfRule>
  </conditionalFormatting>
  <conditionalFormatting sqref="W1857">
    <cfRule type="expression" dxfId="1552" priority="1981">
      <formula>AND(IF($R$1857,$W$1857,TRUE),LEN(TRIM($W$1857))&gt;0)</formula>
    </cfRule>
  </conditionalFormatting>
  <conditionalFormatting sqref="W1857">
    <cfRule type="expression" dxfId="1551" priority="1980">
      <formula>OR($S$1857 = FALSE, AND($P$1857 = FALSE, ReportType &lt;&gt; "Final"), AND($Q$1857 = FALSE, ReportType &lt;&gt; "Rough"))</formula>
    </cfRule>
  </conditionalFormatting>
  <conditionalFormatting sqref="W1857">
    <cfRule type="expression" dxfId="1550" priority="1979">
      <formula>OR($T$1857 = TRUE, AND($W$1857 = TRUE, $S$1857 = FALSE))</formula>
    </cfRule>
  </conditionalFormatting>
  <conditionalFormatting sqref="W1860">
    <cfRule type="expression" dxfId="1549" priority="1978">
      <formula>AND($R$1860,$S$1860)</formula>
    </cfRule>
  </conditionalFormatting>
  <conditionalFormatting sqref="W1860">
    <cfRule type="expression" dxfId="1548" priority="1977">
      <formula>AND(IF($R$1860,$W$1860,TRUE),LEN(TRIM($W$1860))&gt;0)</formula>
    </cfRule>
  </conditionalFormatting>
  <conditionalFormatting sqref="W1860">
    <cfRule type="expression" dxfId="1547" priority="1976">
      <formula>OR($S$1860 = FALSE, AND($P$1860 = FALSE, ReportType &lt;&gt; "Final"), AND($Q$1860 = FALSE, ReportType &lt;&gt; "Rough"))</formula>
    </cfRule>
  </conditionalFormatting>
  <conditionalFormatting sqref="W1860">
    <cfRule type="expression" dxfId="1546" priority="1975">
      <formula>OR($T$1860 = TRUE, AND($W$1860 = TRUE, $S$1860 = FALSE))</formula>
    </cfRule>
  </conditionalFormatting>
  <conditionalFormatting sqref="W1862">
    <cfRule type="expression" dxfId="1545" priority="1974">
      <formula>AND($R$1862,$S$1862)</formula>
    </cfRule>
  </conditionalFormatting>
  <conditionalFormatting sqref="W1862">
    <cfRule type="expression" dxfId="1544" priority="1973">
      <formula>AND(IF($R$1862,$W$1862,TRUE),LEN(TRIM($W$1862))&gt;0)</formula>
    </cfRule>
  </conditionalFormatting>
  <conditionalFormatting sqref="W1862">
    <cfRule type="expression" dxfId="1543" priority="1972">
      <formula>OR($S$1862 = FALSE, AND($P$1862 = FALSE, ReportType &lt;&gt; "Final"), AND($Q$1862 = FALSE, ReportType &lt;&gt; "Rough"))</formula>
    </cfRule>
  </conditionalFormatting>
  <conditionalFormatting sqref="W1862">
    <cfRule type="expression" dxfId="1542" priority="1971">
      <formula>OR($T$1862 = TRUE, AND($W$1862 = TRUE, $S$1862 = FALSE))</formula>
    </cfRule>
  </conditionalFormatting>
  <conditionalFormatting sqref="W2060">
    <cfRule type="expression" dxfId="1541" priority="1704">
      <formula>AND(R2060,S2060)</formula>
    </cfRule>
  </conditionalFormatting>
  <conditionalFormatting sqref="W2060">
    <cfRule type="expression" dxfId="1540" priority="1703">
      <formula>AND(IF(R2060,W2060,TRUE),LEN(TRIM(W2060))&gt;0)</formula>
    </cfRule>
  </conditionalFormatting>
  <conditionalFormatting sqref="W2060">
    <cfRule type="expression" dxfId="1539" priority="1702">
      <formula>OR(S2060 = FALSE, AND(P2060 = FALSE, ReportType &lt;&gt; "Final"), AND(Q2060 = FALSE, ReportType &lt;&gt; "Rough"))</formula>
    </cfRule>
  </conditionalFormatting>
  <conditionalFormatting sqref="W2060">
    <cfRule type="expression" dxfId="1538" priority="1701">
      <formula>OR(T2060 = TRUE, AND(W2060 = TRUE, S2060 = FALSE))</formula>
    </cfRule>
  </conditionalFormatting>
  <conditionalFormatting sqref="W2062">
    <cfRule type="expression" dxfId="1537" priority="1700">
      <formula>AND(R2062,S2062)</formula>
    </cfRule>
  </conditionalFormatting>
  <conditionalFormatting sqref="W2062">
    <cfRule type="expression" dxfId="1536" priority="1699">
      <formula>AND(IF(R2062,W2062,TRUE),LEN(TRIM(W2062))&gt;0)</formula>
    </cfRule>
  </conditionalFormatting>
  <conditionalFormatting sqref="W2062">
    <cfRule type="expression" dxfId="1535" priority="1698">
      <formula>OR(S2062 = FALSE, AND(P2062 = FALSE, ReportType &lt;&gt; "Final"), AND(Q2062 = FALSE, ReportType &lt;&gt; "Rough"))</formula>
    </cfRule>
  </conditionalFormatting>
  <conditionalFormatting sqref="W2062">
    <cfRule type="expression" dxfId="1534" priority="1697">
      <formula>OR(T2062 = TRUE, AND(W2062 = TRUE, S2062 = FALSE))</formula>
    </cfRule>
  </conditionalFormatting>
  <conditionalFormatting sqref="W2069">
    <cfRule type="expression" dxfId="1533" priority="1696">
      <formula>AND(R2069,S2069)</formula>
    </cfRule>
  </conditionalFormatting>
  <conditionalFormatting sqref="W2069">
    <cfRule type="expression" dxfId="1532" priority="1695">
      <formula>AND(IF(R2069,W2069,TRUE),LEN(TRIM(W2069))&gt;0)</formula>
    </cfRule>
  </conditionalFormatting>
  <conditionalFormatting sqref="W2069">
    <cfRule type="expression" dxfId="1531" priority="1694">
      <formula>OR(S2069 = FALSE, AND(P2069 = FALSE, ReportType &lt;&gt; "Final"), AND(Q2069 = FALSE, ReportType &lt;&gt; "Rough"))</formula>
    </cfRule>
  </conditionalFormatting>
  <conditionalFormatting sqref="W2069">
    <cfRule type="expression" dxfId="1530" priority="1693">
      <formula>OR(T2069 = TRUE, AND(W2069 = TRUE, S2069 = FALSE))</formula>
    </cfRule>
  </conditionalFormatting>
  <conditionalFormatting sqref="W2071">
    <cfRule type="expression" dxfId="1529" priority="1692">
      <formula>AND(R2071,S2071)</formula>
    </cfRule>
  </conditionalFormatting>
  <conditionalFormatting sqref="W2071">
    <cfRule type="expression" dxfId="1528" priority="1691">
      <formula>AND(IF(R2071,W2071,TRUE),LEN(TRIM(W2071))&gt;0)</formula>
    </cfRule>
  </conditionalFormatting>
  <conditionalFormatting sqref="W2071">
    <cfRule type="expression" dxfId="1527" priority="1690">
      <formula>OR(S2071 = FALSE, AND(P2071 = FALSE, ReportType &lt;&gt; "Final"), AND(Q2071 = FALSE, ReportType &lt;&gt; "Rough"))</formula>
    </cfRule>
  </conditionalFormatting>
  <conditionalFormatting sqref="W2071">
    <cfRule type="expression" dxfId="1526" priority="1689">
      <formula>OR(T2071 = TRUE, AND(W2071 = TRUE, S2071 = FALSE))</formula>
    </cfRule>
  </conditionalFormatting>
  <conditionalFormatting sqref="X1938:X1942">
    <cfRule type="expression" dxfId="1525" priority="1688">
      <formula>W1938="N/A"</formula>
    </cfRule>
  </conditionalFormatting>
  <conditionalFormatting sqref="W1878">
    <cfRule type="expression" dxfId="1524" priority="1683">
      <formula>AND($R$1878,$S$1878)</formula>
    </cfRule>
  </conditionalFormatting>
  <conditionalFormatting sqref="W1878">
    <cfRule type="expression" dxfId="1523" priority="1682">
      <formula>AND(IF($R$1878,$W$1878,TRUE),LEN(TRIM($W$1878))&gt;0)</formula>
    </cfRule>
  </conditionalFormatting>
  <conditionalFormatting sqref="W1878">
    <cfRule type="expression" dxfId="1522" priority="1681">
      <formula>OR($S$1878 = FALSE, AND($P$1878 = FALSE, ReportType &lt;&gt; "Final"), AND($Q$1878 = FALSE, ReportType &lt;&gt; "Rough"))</formula>
    </cfRule>
  </conditionalFormatting>
  <conditionalFormatting sqref="W1878">
    <cfRule type="expression" dxfId="1521" priority="1680">
      <formula>OR($T$1878 = TRUE, AND($W$1878 = TRUE, $S$1878 = FALSE))</formula>
    </cfRule>
  </conditionalFormatting>
  <conditionalFormatting sqref="W1884">
    <cfRule type="expression" dxfId="1520" priority="1679">
      <formula>AND($R$1884,$S$1884)</formula>
    </cfRule>
  </conditionalFormatting>
  <conditionalFormatting sqref="W1884">
    <cfRule type="expression" dxfId="1519" priority="1678">
      <formula>AND(IF($R$1884,$W$1884,TRUE),LEN(TRIM($W$1884))&gt;0)</formula>
    </cfRule>
  </conditionalFormatting>
  <conditionalFormatting sqref="W1884">
    <cfRule type="expression" dxfId="1518" priority="1677">
      <formula>OR($S$1884 = FALSE, AND($P$1884 = FALSE, ReportType &lt;&gt; "Final"), AND($Q$1884 = FALSE, ReportType &lt;&gt; "Rough"))</formula>
    </cfRule>
  </conditionalFormatting>
  <conditionalFormatting sqref="W1884">
    <cfRule type="expression" dxfId="1517" priority="1676">
      <formula>OR($T$1884 = TRUE, AND($W$1884 = TRUE, $S$1884 = FALSE))</formula>
    </cfRule>
  </conditionalFormatting>
  <conditionalFormatting sqref="W1889">
    <cfRule type="expression" dxfId="1516" priority="1675">
      <formula>AND($R$1889,$S$1889)</formula>
    </cfRule>
  </conditionalFormatting>
  <conditionalFormatting sqref="W1889">
    <cfRule type="expression" dxfId="1515" priority="1674">
      <formula>AND($W$1889&lt;&gt;"Not Met",LEN(TRIM($W$1889))&gt;0)</formula>
    </cfRule>
  </conditionalFormatting>
  <conditionalFormatting sqref="W1889">
    <cfRule type="expression" dxfId="1514" priority="1673">
      <formula>OR($S$1889 = FALSE, AND($P$1889 = FALSE, ReportType &lt;&gt; "Final"), AND($Q$1889 = FALSE, ReportType &lt;&gt; "Rough"))</formula>
    </cfRule>
  </conditionalFormatting>
  <conditionalFormatting sqref="W1889">
    <cfRule type="expression" dxfId="1513" priority="1672">
      <formula>OR($T$1889 = TRUE, AND(LEN(TRIM($W$1889))&gt;0, $S$1889 = FALSE))</formula>
    </cfRule>
  </conditionalFormatting>
  <conditionalFormatting sqref="W1892">
    <cfRule type="expression" dxfId="1512" priority="1671">
      <formula>AND($R$1892,$S$1892)</formula>
    </cfRule>
  </conditionalFormatting>
  <conditionalFormatting sqref="W1892">
    <cfRule type="expression" dxfId="1511" priority="1670">
      <formula>AND($W$1892&lt;&gt;"Not Met",LEN(TRIM($W$1892))&gt;0)</formula>
    </cfRule>
  </conditionalFormatting>
  <conditionalFormatting sqref="W1892">
    <cfRule type="expression" dxfId="1510" priority="1669">
      <formula>OR($S$1892 = FALSE, AND($P$1892 = FALSE, ReportType &lt;&gt; "Final"), AND($Q$1892 = FALSE, ReportType &lt;&gt; "Rough"))</formula>
    </cfRule>
  </conditionalFormatting>
  <conditionalFormatting sqref="W1892">
    <cfRule type="expression" dxfId="1509" priority="1668">
      <formula>OR($T$1892 = TRUE, AND(LEN(TRIM($W$1892))&gt;0, $S$1892 = FALSE))</formula>
    </cfRule>
  </conditionalFormatting>
  <conditionalFormatting sqref="W1895">
    <cfRule type="expression" dxfId="1508" priority="1667">
      <formula>AND($R$1895,$S$1895)</formula>
    </cfRule>
  </conditionalFormatting>
  <conditionalFormatting sqref="W1895">
    <cfRule type="expression" dxfId="1507" priority="1666">
      <formula>AND($W$1895&lt;&gt;"Not Met",LEN(TRIM($W$1895))&gt;0)</formula>
    </cfRule>
  </conditionalFormatting>
  <conditionalFormatting sqref="W1895">
    <cfRule type="expression" dxfId="1506" priority="1665">
      <formula>OR($S$1895 = FALSE, AND($P$1895 = FALSE, ReportType &lt;&gt; "Final"), AND($Q$1895 = FALSE, ReportType &lt;&gt; "Rough"))</formula>
    </cfRule>
  </conditionalFormatting>
  <conditionalFormatting sqref="W1895">
    <cfRule type="expression" dxfId="1505" priority="1664">
      <formula>OR($T$1895 = TRUE, AND(LEN(TRIM($W$1895))&gt;0, $S$1895 = FALSE))</formula>
    </cfRule>
  </conditionalFormatting>
  <conditionalFormatting sqref="W1900">
    <cfRule type="expression" dxfId="1504" priority="1663">
      <formula>AND($R$1900,$S$1900)</formula>
    </cfRule>
  </conditionalFormatting>
  <conditionalFormatting sqref="W1900">
    <cfRule type="expression" dxfId="1503" priority="1662">
      <formula>AND(IF($R$1900,$W$1900,TRUE),LEN(TRIM($W$1900))&gt;0)</formula>
    </cfRule>
  </conditionalFormatting>
  <conditionalFormatting sqref="W1900">
    <cfRule type="expression" dxfId="1502" priority="1661">
      <formula>OR($S$1900 = FALSE, AND($P$1900 = FALSE, ReportType &lt;&gt; "Final"), AND($Q$1900 = FALSE, ReportType &lt;&gt; "Rough"))</formula>
    </cfRule>
  </conditionalFormatting>
  <conditionalFormatting sqref="W1900">
    <cfRule type="expression" dxfId="1501" priority="1660">
      <formula>OR($T$1900 = TRUE, AND($W$1900 = TRUE, $S$1900 = FALSE))</formula>
    </cfRule>
  </conditionalFormatting>
  <conditionalFormatting sqref="W1903">
    <cfRule type="expression" dxfId="1500" priority="1659">
      <formula>AND($R$1903,$S$1903)</formula>
    </cfRule>
  </conditionalFormatting>
  <conditionalFormatting sqref="W1903">
    <cfRule type="expression" dxfId="1499" priority="1658">
      <formula>AND($W$1903&lt;&gt;"Not Met",LEN(TRIM($W$1903))&gt;0)</formula>
    </cfRule>
  </conditionalFormatting>
  <conditionalFormatting sqref="W1903">
    <cfRule type="expression" dxfId="1498" priority="1657">
      <formula>OR($S$1903 = FALSE, AND($P$1903 = FALSE, ReportType &lt;&gt; "Final"), AND($Q$1903 = FALSE, ReportType &lt;&gt; "Rough"))</formula>
    </cfRule>
  </conditionalFormatting>
  <conditionalFormatting sqref="W1903">
    <cfRule type="expression" dxfId="1497" priority="1656">
      <formula>OR($T$1903 = TRUE, AND(LEN(TRIM($W$1903))&gt;0, $S$1903 = FALSE))</formula>
    </cfRule>
  </conditionalFormatting>
  <conditionalFormatting sqref="W1909">
    <cfRule type="expression" dxfId="1496" priority="1655">
      <formula>AND($R$1909,$S$1909)</formula>
    </cfRule>
  </conditionalFormatting>
  <conditionalFormatting sqref="W1909">
    <cfRule type="expression" dxfId="1495" priority="1654">
      <formula>AND($W$1909&lt;&gt;"Not Met",LEN(TRIM($W$1909))&gt;0)</formula>
    </cfRule>
  </conditionalFormatting>
  <conditionalFormatting sqref="W1909">
    <cfRule type="expression" dxfId="1494" priority="1653">
      <formula>OR($S$1909 = FALSE, AND($P$1909 = FALSE, ReportType &lt;&gt; "Final"), AND($Q$1909 = FALSE, ReportType &lt;&gt; "Rough"))</formula>
    </cfRule>
  </conditionalFormatting>
  <conditionalFormatting sqref="W1909">
    <cfRule type="expression" dxfId="1493" priority="1652">
      <formula>OR($T$1909 = TRUE, AND(LEN(TRIM($W$1909))&gt;0, $S$1909 = FALSE,W1909&lt;&gt;"N/A"))</formula>
    </cfRule>
  </conditionalFormatting>
  <conditionalFormatting sqref="W1912">
    <cfRule type="expression" dxfId="1492" priority="1651">
      <formula>AND($R$1912,$S$1912)</formula>
    </cfRule>
  </conditionalFormatting>
  <conditionalFormatting sqref="W1912">
    <cfRule type="expression" dxfId="1491" priority="1650">
      <formula>AND($W$1912&lt;&gt;"Not Met",LEN(TRIM($W$1912))&gt;0)</formula>
    </cfRule>
  </conditionalFormatting>
  <conditionalFormatting sqref="W1912">
    <cfRule type="expression" dxfId="1490" priority="1649">
      <formula>OR($S$1912 = FALSE, AND($P$1912 = FALSE, ReportType &lt;&gt; "Final"), AND($Q$1912 = FALSE, ReportType &lt;&gt; "Rough"))</formula>
    </cfRule>
  </conditionalFormatting>
  <conditionalFormatting sqref="W1912">
    <cfRule type="expression" dxfId="1489" priority="1648">
      <formula>OR($T$1912 = TRUE, AND(LEN(TRIM($W$1912))&gt;0, $S$1912 = FALSE,W1912&lt;&gt;"N/A"))</formula>
    </cfRule>
  </conditionalFormatting>
  <conditionalFormatting sqref="W1914">
    <cfRule type="expression" dxfId="1488" priority="1647">
      <formula>AND($R$1914,$S$1914)</formula>
    </cfRule>
  </conditionalFormatting>
  <conditionalFormatting sqref="W1914">
    <cfRule type="expression" dxfId="1487" priority="1646">
      <formula>AND($W$1914&lt;&gt;"Not Met",LEN(TRIM($W$1914))&gt;0)</formula>
    </cfRule>
  </conditionalFormatting>
  <conditionalFormatting sqref="W1914">
    <cfRule type="expression" dxfId="1486" priority="1645">
      <formula>OR($S$1914 = FALSE, AND($P$1914 = FALSE, ReportType &lt;&gt; "Final"), AND($Q$1914 = FALSE, ReportType &lt;&gt; "Rough"))</formula>
    </cfRule>
  </conditionalFormatting>
  <conditionalFormatting sqref="W1914">
    <cfRule type="expression" dxfId="1485" priority="1644">
      <formula>OR($T$1914 = TRUE, AND(LEN(TRIM($W$1914))&gt;0, $S$1914 = FALSE,W1914&lt;&gt;"N/A"))</formula>
    </cfRule>
  </conditionalFormatting>
  <conditionalFormatting sqref="W1917">
    <cfRule type="expression" dxfId="1484" priority="1643">
      <formula>AND($R$1917,$S$1917)</formula>
    </cfRule>
  </conditionalFormatting>
  <conditionalFormatting sqref="W1917">
    <cfRule type="expression" dxfId="1483" priority="1642">
      <formula>AND($W$1917&lt;&gt;"Not Met",LEN(TRIM($W$1917))&gt;0)</formula>
    </cfRule>
  </conditionalFormatting>
  <conditionalFormatting sqref="W1917">
    <cfRule type="expression" dxfId="1482" priority="1641">
      <formula>OR($S$1917 = FALSE, AND($P$1917 = FALSE, ReportType &lt;&gt; "Final"), AND($Q$1917 = FALSE, ReportType &lt;&gt; "Rough"))</formula>
    </cfRule>
  </conditionalFormatting>
  <conditionalFormatting sqref="W1917">
    <cfRule type="expression" dxfId="1481" priority="1640">
      <formula>OR($T$1917 = TRUE, AND(LEN(TRIM($W$1917))&gt;0, $S$1917 = FALSE,W1917&lt;&gt;"N/A"))</formula>
    </cfRule>
  </conditionalFormatting>
  <conditionalFormatting sqref="W1919">
    <cfRule type="expression" dxfId="1480" priority="1639">
      <formula>AND($R$1919,$S$1919)</formula>
    </cfRule>
  </conditionalFormatting>
  <conditionalFormatting sqref="W1919">
    <cfRule type="expression" dxfId="1479" priority="1638">
      <formula>AND($W$1919&lt;&gt;"Not Met",LEN(TRIM($W$1919))&gt;0)</formula>
    </cfRule>
  </conditionalFormatting>
  <conditionalFormatting sqref="W1919">
    <cfRule type="expression" dxfId="1478" priority="1637">
      <formula>OR($S$1919 = FALSE, AND($P$1919 = FALSE, ReportType &lt;&gt; "Final"), AND($Q$1919 = FALSE, ReportType &lt;&gt; "Rough"))</formula>
    </cfRule>
  </conditionalFormatting>
  <conditionalFormatting sqref="W1919">
    <cfRule type="expression" dxfId="1477" priority="1636">
      <formula>OR($T$1919 = TRUE, AND(LEN(TRIM($W$1919))&gt;0, $S$1919 = FALSE,W1919&lt;&gt;"N/A"))</formula>
    </cfRule>
  </conditionalFormatting>
  <conditionalFormatting sqref="W1928">
    <cfRule type="expression" dxfId="1476" priority="1635">
      <formula>AND($R$1928,$S$1928)</formula>
    </cfRule>
  </conditionalFormatting>
  <conditionalFormatting sqref="W1928">
    <cfRule type="expression" dxfId="1475" priority="1634">
      <formula>AND(IF($R$1928,$W$1928,TRUE),LEN(TRIM($W$1928))&gt;0)</formula>
    </cfRule>
  </conditionalFormatting>
  <conditionalFormatting sqref="W1928">
    <cfRule type="expression" dxfId="1474" priority="1633">
      <formula>OR($S$1928 = FALSE, AND($P$1928 = FALSE, ReportType &lt;&gt; "Final"), AND($Q$1928 = FALSE, ReportType &lt;&gt; "Rough"))</formula>
    </cfRule>
  </conditionalFormatting>
  <conditionalFormatting sqref="W1928">
    <cfRule type="expression" dxfId="1473" priority="1632">
      <formula>OR($T$1928 = TRUE, AND($W$1928 = TRUE, $S$1928 = FALSE))</formula>
    </cfRule>
  </conditionalFormatting>
  <conditionalFormatting sqref="W1934">
    <cfRule type="expression" dxfId="1472" priority="1631">
      <formula>AND($R$1934,$S$1934)</formula>
    </cfRule>
  </conditionalFormatting>
  <conditionalFormatting sqref="W1934">
    <cfRule type="expression" dxfId="1471" priority="1630">
      <formula>AND(IF($R$1934,$W$1934,TRUE),LEN(TRIM($W$1934))&gt;0)</formula>
    </cfRule>
  </conditionalFormatting>
  <conditionalFormatting sqref="W1934">
    <cfRule type="expression" dxfId="1470" priority="1629">
      <formula>OR($S$1934 = FALSE, AND($P$1934 = FALSE, ReportType &lt;&gt; "Final"), AND($Q$1934 = FALSE, ReportType &lt;&gt; "Rough"))</formula>
    </cfRule>
  </conditionalFormatting>
  <conditionalFormatting sqref="W1934">
    <cfRule type="expression" dxfId="1469" priority="1628">
      <formula>OR($T$1934 = TRUE, AND($W$1934 = TRUE, $S$1934 = FALSE))</formula>
    </cfRule>
  </conditionalFormatting>
  <conditionalFormatting sqref="W1938">
    <cfRule type="expression" dxfId="1468" priority="1627">
      <formula>AND($R$1938,$S$1938)</formula>
    </cfRule>
  </conditionalFormatting>
  <conditionalFormatting sqref="W1938">
    <cfRule type="expression" dxfId="1467" priority="1626">
      <formula>AND($W$1938&lt;&gt;"Not Met",LEN(TRIM($W$1938))&gt;0)</formula>
    </cfRule>
  </conditionalFormatting>
  <conditionalFormatting sqref="W1938">
    <cfRule type="expression" dxfId="1466" priority="1625">
      <formula>OR($S$1938 = FALSE, AND($P$1938 = FALSE, ReportType &lt;&gt; "Final"), AND($Q$1938 = FALSE, ReportType &lt;&gt; "Rough"))</formula>
    </cfRule>
  </conditionalFormatting>
  <conditionalFormatting sqref="W1938">
    <cfRule type="expression" dxfId="1465" priority="1624">
      <formula>OR($T$1938 = TRUE, AND(LEN(TRIM($W$1938))&gt;0, $S$1938 = FALSE))</formula>
    </cfRule>
  </conditionalFormatting>
  <conditionalFormatting sqref="W1943">
    <cfRule type="expression" dxfId="1464" priority="1623">
      <formula>AND($R$1943,$S$1943)</formula>
    </cfRule>
  </conditionalFormatting>
  <conditionalFormatting sqref="W1943">
    <cfRule type="expression" dxfId="1463" priority="1622">
      <formula>AND($W$1943&lt;&gt;"Not Met",LEN(TRIM($W$1943))&gt;0)</formula>
    </cfRule>
  </conditionalFormatting>
  <conditionalFormatting sqref="W1943">
    <cfRule type="expression" dxfId="1462" priority="1621">
      <formula>OR($S$1943 = FALSE, AND($P$1943 = FALSE, ReportType &lt;&gt; "Final"), AND($Q$1943 = FALSE, ReportType &lt;&gt; "Rough"))</formula>
    </cfRule>
  </conditionalFormatting>
  <conditionalFormatting sqref="W1943">
    <cfRule type="expression" dxfId="1461" priority="1620">
      <formula>OR($T$1943 = TRUE, AND(LEN(TRIM($W$1943))&gt;0, $S$1943 = FALSE))</formula>
    </cfRule>
  </conditionalFormatting>
  <conditionalFormatting sqref="W1944">
    <cfRule type="expression" dxfId="1460" priority="1619">
      <formula>AND($R$1944,$S$1944)</formula>
    </cfRule>
  </conditionalFormatting>
  <conditionalFormatting sqref="W1944">
    <cfRule type="expression" dxfId="1459" priority="1618">
      <formula>AND($W$1944&lt;&gt;"Not Met",LEN(TRIM($W$1944))&gt;0)</formula>
    </cfRule>
  </conditionalFormatting>
  <conditionalFormatting sqref="W1944">
    <cfRule type="expression" dxfId="1458" priority="1617">
      <formula>OR($S$1944 = FALSE, AND($P$1944 = FALSE, ReportType &lt;&gt; "Final"), AND($Q$1944 = FALSE, ReportType &lt;&gt; "Rough"))</formula>
    </cfRule>
  </conditionalFormatting>
  <conditionalFormatting sqref="W1944">
    <cfRule type="expression" dxfId="1457" priority="1616">
      <formula>OR($T$1944 = TRUE, AND(LEN(TRIM($W$1944))&gt;0, $S$1944 = FALSE))</formula>
    </cfRule>
  </conditionalFormatting>
  <conditionalFormatting sqref="W1945">
    <cfRule type="expression" dxfId="1456" priority="1615">
      <formula>AND($R$1945,$S$1945)</formula>
    </cfRule>
  </conditionalFormatting>
  <conditionalFormatting sqref="W1945">
    <cfRule type="expression" dxfId="1455" priority="1614">
      <formula>AND($W$1945&lt;&gt;"Not Met",LEN(TRIM($W$1945))&gt;0)</formula>
    </cfRule>
  </conditionalFormatting>
  <conditionalFormatting sqref="W1945">
    <cfRule type="expression" dxfId="1454" priority="1613">
      <formula>OR($S$1945 = FALSE, AND($P$1945 = FALSE, ReportType &lt;&gt; "Final"), AND($Q$1945 = FALSE, ReportType &lt;&gt; "Rough"))</formula>
    </cfRule>
  </conditionalFormatting>
  <conditionalFormatting sqref="W1945">
    <cfRule type="expression" dxfId="1453" priority="1612">
      <formula>OR($T$1945 = TRUE, AND(LEN(TRIM($W$1945))&gt;0, $S$1945 = FALSE))</formula>
    </cfRule>
  </conditionalFormatting>
  <conditionalFormatting sqref="W1946">
    <cfRule type="expression" dxfId="1452" priority="1611">
      <formula>AND($R$1946,$S$1946)</formula>
    </cfRule>
  </conditionalFormatting>
  <conditionalFormatting sqref="W1946">
    <cfRule type="expression" dxfId="1451" priority="1610">
      <formula>AND($W$1946&lt;&gt;"Not Met",LEN(TRIM($W$1946))&gt;0)</formula>
    </cfRule>
  </conditionalFormatting>
  <conditionalFormatting sqref="W1946">
    <cfRule type="expression" dxfId="1450" priority="1609">
      <formula>OR($S$1946 = FALSE, AND($P$1946 = FALSE, ReportType &lt;&gt; "Final"), AND($Q$1946 = FALSE, ReportType &lt;&gt; "Rough"))</formula>
    </cfRule>
  </conditionalFormatting>
  <conditionalFormatting sqref="W1946">
    <cfRule type="expression" dxfId="1449" priority="1608">
      <formula>OR($T$1946 = TRUE, AND(LEN(TRIM($W$1946))&gt;0, $S$1946 = FALSE))</formula>
    </cfRule>
  </conditionalFormatting>
  <conditionalFormatting sqref="W1957">
    <cfRule type="expression" dxfId="1448" priority="1607">
      <formula>AND($R$1957,$S$1957)</formula>
    </cfRule>
  </conditionalFormatting>
  <conditionalFormatting sqref="W1957">
    <cfRule type="expression" dxfId="1447" priority="1606">
      <formula>AND(IF($R$1957,$W$1957,TRUE),LEN(TRIM($W$1957))&gt;0)</formula>
    </cfRule>
  </conditionalFormatting>
  <conditionalFormatting sqref="W1957">
    <cfRule type="expression" dxfId="1446" priority="1605">
      <formula>OR($S$1957 = FALSE, AND($P$1957 = FALSE, ReportType &lt;&gt; "Final"), AND($Q$1957 = FALSE, ReportType &lt;&gt; "Rough"))</formula>
    </cfRule>
  </conditionalFormatting>
  <conditionalFormatting sqref="W1957">
    <cfRule type="expression" dxfId="1445" priority="1604">
      <formula>OR($T$1957 = TRUE, AND($W$1957 = TRUE, $S$1957 = FALSE))</formula>
    </cfRule>
  </conditionalFormatting>
  <conditionalFormatting sqref="W1959">
    <cfRule type="expression" dxfId="1444" priority="1603">
      <formula>AND($R$1959,$S$1959)</formula>
    </cfRule>
  </conditionalFormatting>
  <conditionalFormatting sqref="W1959">
    <cfRule type="expression" dxfId="1443" priority="1602">
      <formula>AND(IF($R$1959,$W$1959,TRUE),LEN(TRIM($W$1959))&gt;0)</formula>
    </cfRule>
  </conditionalFormatting>
  <conditionalFormatting sqref="W1959">
    <cfRule type="expression" dxfId="1442" priority="1601">
      <formula>OR($S$1959 = FALSE, AND($P$1959 = FALSE, ReportType &lt;&gt; "Final"), AND($Q$1959 = FALSE, ReportType &lt;&gt; "Rough"))</formula>
    </cfRule>
  </conditionalFormatting>
  <conditionalFormatting sqref="W1959">
    <cfRule type="expression" dxfId="1441" priority="1600">
      <formula>OR($T$1959 = TRUE, AND($W$1959 = TRUE, $S$1959 = FALSE))</formula>
    </cfRule>
  </conditionalFormatting>
  <conditionalFormatting sqref="W1962">
    <cfRule type="expression" dxfId="1440" priority="1599">
      <formula>AND($R$1962,$S$1962)</formula>
    </cfRule>
  </conditionalFormatting>
  <conditionalFormatting sqref="W1962">
    <cfRule type="expression" dxfId="1439" priority="1598">
      <formula>AND(IF($R$1962,$W$1962,TRUE),LEN(TRIM($W$1962))&gt;0)</formula>
    </cfRule>
  </conditionalFormatting>
  <conditionalFormatting sqref="W1962">
    <cfRule type="expression" dxfId="1438" priority="1597">
      <formula>OR($S$1962 = FALSE, AND($P$1962 = FALSE, ReportType &lt;&gt; "Final"), AND($Q$1962 = FALSE, ReportType &lt;&gt; "Rough"))</formula>
    </cfRule>
  </conditionalFormatting>
  <conditionalFormatting sqref="W1962">
    <cfRule type="expression" dxfId="1437" priority="1596">
      <formula>OR($T$1962 = TRUE, AND($W$1962 = TRUE, $S$1962 = FALSE))</formula>
    </cfRule>
  </conditionalFormatting>
  <conditionalFormatting sqref="W1985">
    <cfRule type="expression" dxfId="1436" priority="1595">
      <formula>AND($R$1985,$S$1985)</formula>
    </cfRule>
  </conditionalFormatting>
  <conditionalFormatting sqref="W1985">
    <cfRule type="expression" dxfId="1435" priority="1594">
      <formula>AND(IF($R$1985,$W$1985,TRUE),LEN(TRIM($W$1985))&gt;0)</formula>
    </cfRule>
  </conditionalFormatting>
  <conditionalFormatting sqref="W1985">
    <cfRule type="expression" dxfId="1434" priority="1593">
      <formula>OR($S$1985 = FALSE, AND($P$1985 = FALSE, ReportType &lt;&gt; "Final"), AND($Q$1985 = FALSE, ReportType &lt;&gt; "Rough"))</formula>
    </cfRule>
  </conditionalFormatting>
  <conditionalFormatting sqref="W1985">
    <cfRule type="expression" dxfId="1433" priority="1592">
      <formula>OR($T$1985 = TRUE, AND($W$1985 = TRUE, $S$1985 = FALSE))</formula>
    </cfRule>
  </conditionalFormatting>
  <conditionalFormatting sqref="W1996">
    <cfRule type="expression" dxfId="1432" priority="1591">
      <formula>AND($R$1996,$S$1996)</formula>
    </cfRule>
  </conditionalFormatting>
  <conditionalFormatting sqref="W1996">
    <cfRule type="expression" dxfId="1431" priority="1590">
      <formula>AND(IF($R$1996,$W$1996,TRUE),LEN(TRIM($W$1996))&gt;0)</formula>
    </cfRule>
  </conditionalFormatting>
  <conditionalFormatting sqref="W1996">
    <cfRule type="expression" dxfId="1430" priority="1589">
      <formula>OR($S$1996 = FALSE, AND($P$1996 = FALSE, ReportType &lt;&gt; "Final"), AND($Q$1996 = FALSE, ReportType &lt;&gt; "Rough"))</formula>
    </cfRule>
  </conditionalFormatting>
  <conditionalFormatting sqref="W1996">
    <cfRule type="expression" dxfId="1429" priority="1588">
      <formula>OR($T$1996 = TRUE, AND($W$1996 = TRUE, $S$1996 = FALSE))</formula>
    </cfRule>
  </conditionalFormatting>
  <conditionalFormatting sqref="W1998">
    <cfRule type="expression" dxfId="1428" priority="1587">
      <formula>AND($R$1998,$S$1998)</formula>
    </cfRule>
  </conditionalFormatting>
  <conditionalFormatting sqref="W1998">
    <cfRule type="expression" dxfId="1427" priority="1586">
      <formula>AND(IF($R$1998,$W$1998,TRUE),LEN(TRIM($W$1998))&gt;0)</formula>
    </cfRule>
  </conditionalFormatting>
  <conditionalFormatting sqref="W1998">
    <cfRule type="expression" dxfId="1426" priority="1585">
      <formula>OR($S$1998 = FALSE, AND($P$1998 = FALSE, ReportType &lt;&gt; "Final"), AND($Q$1998 = FALSE, ReportType &lt;&gt; "Rough"))</formula>
    </cfRule>
  </conditionalFormatting>
  <conditionalFormatting sqref="W1998">
    <cfRule type="expression" dxfId="1425" priority="1584">
      <formula>OR($T$1998 = TRUE, AND($W$1998 = TRUE, $S$1998 = FALSE))</formula>
    </cfRule>
  </conditionalFormatting>
  <conditionalFormatting sqref="W1999">
    <cfRule type="expression" dxfId="1424" priority="1583">
      <formula>AND($R$1999,$S$1999)</formula>
    </cfRule>
  </conditionalFormatting>
  <conditionalFormatting sqref="W1999">
    <cfRule type="expression" dxfId="1423" priority="1582">
      <formula>AND(IF($R$1999,$W$1999,TRUE),LEN(TRIM($W$1999))&gt;0)</formula>
    </cfRule>
  </conditionalFormatting>
  <conditionalFormatting sqref="W1999">
    <cfRule type="expression" dxfId="1422" priority="1581">
      <formula>OR($S$1999 = FALSE, AND($P$1999 = FALSE, ReportType &lt;&gt; "Final"), AND($Q$1999 = FALSE, ReportType &lt;&gt; "Rough"))</formula>
    </cfRule>
  </conditionalFormatting>
  <conditionalFormatting sqref="W1999">
    <cfRule type="expression" dxfId="1421" priority="1580">
      <formula>OR($T$1999 = TRUE, AND($W$1999 = TRUE, $S$1999 = FALSE))</formula>
    </cfRule>
  </conditionalFormatting>
  <conditionalFormatting sqref="W2001">
    <cfRule type="expression" dxfId="1420" priority="1579">
      <formula>AND($R$2001,$S$2001)</formula>
    </cfRule>
  </conditionalFormatting>
  <conditionalFormatting sqref="W2001">
    <cfRule type="expression" dxfId="1419" priority="1578">
      <formula>AND(IF($R$2001,$W$2001,TRUE),LEN(TRIM($W$2001))&gt;0)</formula>
    </cfRule>
  </conditionalFormatting>
  <conditionalFormatting sqref="W2001">
    <cfRule type="expression" dxfId="1418" priority="1577">
      <formula>OR($S$2001 = FALSE, AND($P$2001 = FALSE, ReportType &lt;&gt; "Final"), AND($Q$2001 = FALSE, ReportType &lt;&gt; "Rough"))</formula>
    </cfRule>
  </conditionalFormatting>
  <conditionalFormatting sqref="W2001">
    <cfRule type="expression" dxfId="1417" priority="1576">
      <formula>OR($T$2001 = TRUE, AND($W$2001 = TRUE, $S$2001 = FALSE))</formula>
    </cfRule>
  </conditionalFormatting>
  <conditionalFormatting sqref="W2006">
    <cfRule type="expression" dxfId="1416" priority="1575">
      <formula>AND($R$2006,$S$2006)</formula>
    </cfRule>
  </conditionalFormatting>
  <conditionalFormatting sqref="W2006">
    <cfRule type="expression" dxfId="1415" priority="1574">
      <formula>AND(IF($R$2006,$W$2006,TRUE),LEN(TRIM($W$2006))&gt;0)</formula>
    </cfRule>
  </conditionalFormatting>
  <conditionalFormatting sqref="W2006">
    <cfRule type="expression" dxfId="1414" priority="1573">
      <formula>OR($S$2006 = FALSE, AND($P$2006 = FALSE, ReportType &lt;&gt; "Final"), AND($Q$2006 = FALSE, ReportType &lt;&gt; "Rough"))</formula>
    </cfRule>
  </conditionalFormatting>
  <conditionalFormatting sqref="W2006">
    <cfRule type="expression" dxfId="1413" priority="1572">
      <formula>OR($T$2006 = TRUE, AND($W$2006 = TRUE, $S$2006 = FALSE))</formula>
    </cfRule>
  </conditionalFormatting>
  <conditionalFormatting sqref="W2015">
    <cfRule type="expression" dxfId="1412" priority="1571">
      <formula>AND($R$2015,$S$2015)</formula>
    </cfRule>
  </conditionalFormatting>
  <conditionalFormatting sqref="W2015">
    <cfRule type="expression" dxfId="1411" priority="1570">
      <formula>AND(IF($R$2015,$W$2015,TRUE),LEN(TRIM($W$2015))&gt;0)</formula>
    </cfRule>
  </conditionalFormatting>
  <conditionalFormatting sqref="W2015">
    <cfRule type="expression" dxfId="1410" priority="1569">
      <formula>OR($S$2015 = FALSE, AND($P$2015 = FALSE, ReportType &lt;&gt; "Final"), AND($Q$2015 = FALSE, ReportType &lt;&gt; "Rough"))</formula>
    </cfRule>
  </conditionalFormatting>
  <conditionalFormatting sqref="W2015">
    <cfRule type="expression" dxfId="1409" priority="1568">
      <formula>OR($T$2015 = TRUE, AND($W$2015 = TRUE, $S$2015 = FALSE))</formula>
    </cfRule>
  </conditionalFormatting>
  <conditionalFormatting sqref="W2020">
    <cfRule type="expression" dxfId="1408" priority="1567">
      <formula>AND($R$2020,$S$2020)</formula>
    </cfRule>
  </conditionalFormatting>
  <conditionalFormatting sqref="W2020">
    <cfRule type="expression" dxfId="1407" priority="1566">
      <formula>AND(IF($R$2020,$W$2020,TRUE),LEN(TRIM($W$2020))&gt;0)</formula>
    </cfRule>
  </conditionalFormatting>
  <conditionalFormatting sqref="W2020">
    <cfRule type="expression" dxfId="1406" priority="1565">
      <formula>OR($S$2020 = FALSE, AND($P$2020 = FALSE, ReportType &lt;&gt; "Final"), AND($Q$2020 = FALSE, ReportType &lt;&gt; "Rough"))</formula>
    </cfRule>
  </conditionalFormatting>
  <conditionalFormatting sqref="W2020">
    <cfRule type="expression" dxfId="1405" priority="1564">
      <formula>OR($T$2020 = TRUE, AND($W$2020 = TRUE, $S$2020 = FALSE))</formula>
    </cfRule>
  </conditionalFormatting>
  <conditionalFormatting sqref="W2021">
    <cfRule type="expression" dxfId="1404" priority="1563">
      <formula>AND($R$2021,$S$2021)</formula>
    </cfRule>
  </conditionalFormatting>
  <conditionalFormatting sqref="W2021">
    <cfRule type="expression" dxfId="1403" priority="1562">
      <formula>AND(IF($R$2021,$W$2021,TRUE),LEN(TRIM($W$2021))&gt;0)</formula>
    </cfRule>
  </conditionalFormatting>
  <conditionalFormatting sqref="W2021">
    <cfRule type="expression" dxfId="1402" priority="1561">
      <formula>OR($S$2021 = FALSE, AND($P$2021 = FALSE, ReportType &lt;&gt; "Final"), AND($Q$2021 = FALSE, ReportType &lt;&gt; "Rough"))</formula>
    </cfRule>
  </conditionalFormatting>
  <conditionalFormatting sqref="W2021">
    <cfRule type="expression" dxfId="1401" priority="1560">
      <formula>OR($T$2021 = TRUE, AND($W$2021 = TRUE, $S$2021 = FALSE))</formula>
    </cfRule>
  </conditionalFormatting>
  <conditionalFormatting sqref="W2025">
    <cfRule type="expression" dxfId="1400" priority="1559">
      <formula>AND($R$2025,$S$2025)</formula>
    </cfRule>
  </conditionalFormatting>
  <conditionalFormatting sqref="W2025">
    <cfRule type="expression" dxfId="1399" priority="1558">
      <formula>AND(IF($R$2025,$W$2025,TRUE),LEN(TRIM($W$2025))&gt;0)</formula>
    </cfRule>
  </conditionalFormatting>
  <conditionalFormatting sqref="W2025">
    <cfRule type="expression" dxfId="1398" priority="1557">
      <formula>OR($S$2025 = FALSE, AND($P$2025 = FALSE, ReportType &lt;&gt; "Final"), AND($Q$2025 = FALSE, ReportType &lt;&gt; "Rough"))</formula>
    </cfRule>
  </conditionalFormatting>
  <conditionalFormatting sqref="W2025">
    <cfRule type="expression" dxfId="1397" priority="1556">
      <formula>OR($T$2025 = TRUE, AND($W$2025 = TRUE, $S$2025 = FALSE))</formula>
    </cfRule>
  </conditionalFormatting>
  <conditionalFormatting sqref="W2034">
    <cfRule type="expression" dxfId="1396" priority="1555">
      <formula>AND($R$2034,$S$2034)</formula>
    </cfRule>
  </conditionalFormatting>
  <conditionalFormatting sqref="W2034">
    <cfRule type="expression" dxfId="1395" priority="1554">
      <formula>AND($W$2034&lt;&gt;"Not Met",LEN(TRIM($W$2034))&gt;0)</formula>
    </cfRule>
  </conditionalFormatting>
  <conditionalFormatting sqref="W2034">
    <cfRule type="expression" dxfId="1394" priority="1553">
      <formula>OR($S$2034 = FALSE, AND($P$2034 = FALSE, ReportType &lt;&gt; "Final"), AND($Q$2034 = FALSE, ReportType &lt;&gt; "Rough"))</formula>
    </cfRule>
  </conditionalFormatting>
  <conditionalFormatting sqref="W2034">
    <cfRule type="expression" dxfId="1393" priority="1552">
      <formula>OR($T$2034 = TRUE, AND(LEN(TRIM($W$2034))&gt;0, $S$2034 = FALSE))</formula>
    </cfRule>
  </conditionalFormatting>
  <conditionalFormatting sqref="W2038">
    <cfRule type="expression" dxfId="1392" priority="1551">
      <formula>AND($R$2038,$S$2038)</formula>
    </cfRule>
  </conditionalFormatting>
  <conditionalFormatting sqref="W2038">
    <cfRule type="expression" dxfId="1391" priority="1550">
      <formula>AND(IF($R$2038,$W$2038,TRUE),LEN(TRIM($W$2038))&gt;0)</formula>
    </cfRule>
  </conditionalFormatting>
  <conditionalFormatting sqref="W2038">
    <cfRule type="expression" dxfId="1390" priority="1549">
      <formula>OR($S$2038 = FALSE, AND($P$2038 = FALSE, ReportType &lt;&gt; "Final"), AND($Q$2038 = FALSE, ReportType &lt;&gt; "Rough"))</formula>
    </cfRule>
  </conditionalFormatting>
  <conditionalFormatting sqref="W2038">
    <cfRule type="expression" dxfId="1389" priority="1548">
      <formula>OR($T$2038 = TRUE, AND($W$2038 = TRUE, $S$2038 = FALSE))</formula>
    </cfRule>
  </conditionalFormatting>
  <conditionalFormatting sqref="W2039">
    <cfRule type="expression" dxfId="1388" priority="1547">
      <formula>AND($R$2039,$S$2039)</formula>
    </cfRule>
  </conditionalFormatting>
  <conditionalFormatting sqref="W2039">
    <cfRule type="expression" dxfId="1387" priority="1546">
      <formula>AND(IF($R$2039,$W$2039,TRUE),LEN(TRIM($W$2039))&gt;0)</formula>
    </cfRule>
  </conditionalFormatting>
  <conditionalFormatting sqref="W2039">
    <cfRule type="expression" dxfId="1386" priority="1545">
      <formula>OR($S$2039 = FALSE, AND($P$2039 = FALSE, ReportType &lt;&gt; "Final"), AND($Q$2039 = FALSE, ReportType &lt;&gt; "Rough"))</formula>
    </cfRule>
  </conditionalFormatting>
  <conditionalFormatting sqref="W2039">
    <cfRule type="expression" dxfId="1385" priority="1544">
      <formula>OR($T$2039 = TRUE, AND($W$2039 = TRUE, $S$2039 = FALSE))</formula>
    </cfRule>
  </conditionalFormatting>
  <conditionalFormatting sqref="W2042">
    <cfRule type="expression" dxfId="1384" priority="1543">
      <formula>AND($R$2042,$S$2042)</formula>
    </cfRule>
  </conditionalFormatting>
  <conditionalFormatting sqref="W2042">
    <cfRule type="expression" dxfId="1383" priority="1542">
      <formula>AND(IF($R$2042,$W$2042,TRUE),LEN(TRIM($W$2042))&gt;0)</formula>
    </cfRule>
  </conditionalFormatting>
  <conditionalFormatting sqref="W2042">
    <cfRule type="expression" dxfId="1382" priority="1541">
      <formula>OR($S$2042 = FALSE, AND($P$2042 = FALSE, ReportType &lt;&gt; "Final"), AND($Q$2042 = FALSE, ReportType &lt;&gt; "Rough"))</formula>
    </cfRule>
  </conditionalFormatting>
  <conditionalFormatting sqref="W2042">
    <cfRule type="expression" dxfId="1381" priority="1540">
      <formula>OR($T$2042 = TRUE, AND($W$2042 = TRUE, $S$2042 = FALSE))</formula>
    </cfRule>
  </conditionalFormatting>
  <conditionalFormatting sqref="W2044">
    <cfRule type="expression" dxfId="1380" priority="1539">
      <formula>AND($R$2044,$S$2044)</formula>
    </cfRule>
  </conditionalFormatting>
  <conditionalFormatting sqref="W2044">
    <cfRule type="expression" dxfId="1379" priority="1538">
      <formula>AND(IF($R$2044,$W$2044,TRUE),LEN(TRIM($W$2044))&gt;0)</formula>
    </cfRule>
  </conditionalFormatting>
  <conditionalFormatting sqref="W2044">
    <cfRule type="expression" dxfId="1378" priority="1537">
      <formula>OR($S$2044 = FALSE, AND($P$2044 = FALSE, ReportType &lt;&gt; "Final"), AND($Q$2044 = FALSE, ReportType &lt;&gt; "Rough"))</formula>
    </cfRule>
  </conditionalFormatting>
  <conditionalFormatting sqref="W2044">
    <cfRule type="expression" dxfId="1377" priority="1536">
      <formula>OR($T$2044 = TRUE, AND($W$2044 = TRUE, $S$2044 = FALSE))</formula>
    </cfRule>
  </conditionalFormatting>
  <conditionalFormatting sqref="W2050">
    <cfRule type="expression" dxfId="1376" priority="1535">
      <formula>AND($R$2050,$S$2050)</formula>
    </cfRule>
  </conditionalFormatting>
  <conditionalFormatting sqref="W2050">
    <cfRule type="expression" dxfId="1375" priority="1534">
      <formula>AND(IF($R$2050,$W$2050,TRUE),LEN(TRIM($W$2050))&gt;0)</formula>
    </cfRule>
  </conditionalFormatting>
  <conditionalFormatting sqref="W2050">
    <cfRule type="expression" dxfId="1374" priority="1533">
      <formula>OR($S$2050 = FALSE, AND($P$2050 = FALSE, ReportType &lt;&gt; "Final"), AND($Q$2050 = FALSE, ReportType &lt;&gt; "Rough"))</formula>
    </cfRule>
  </conditionalFormatting>
  <conditionalFormatting sqref="W2050">
    <cfRule type="expression" dxfId="1373" priority="1532">
      <formula>OR($T$2050 = TRUE, AND($W$2050 = TRUE, $S$2050 = FALSE))</formula>
    </cfRule>
  </conditionalFormatting>
  <conditionalFormatting sqref="W2052">
    <cfRule type="expression" dxfId="1372" priority="1531">
      <formula>AND($R$2052,$S$2052)</formula>
    </cfRule>
  </conditionalFormatting>
  <conditionalFormatting sqref="W2052">
    <cfRule type="expression" dxfId="1371" priority="1530">
      <formula>AND(IF($R$2052,$W$2052,TRUE),LEN(TRIM($W$2052))&gt;0)</formula>
    </cfRule>
  </conditionalFormatting>
  <conditionalFormatting sqref="W2052">
    <cfRule type="expression" dxfId="1370" priority="1529">
      <formula>OR($S$2052 = FALSE, AND($P$2052 = FALSE, ReportType &lt;&gt; "Final"), AND($Q$2052 = FALSE, ReportType &lt;&gt; "Rough"))</formula>
    </cfRule>
  </conditionalFormatting>
  <conditionalFormatting sqref="W2052">
    <cfRule type="expression" dxfId="1369" priority="1528">
      <formula>OR($T$2052 = TRUE, AND($W$2052 = TRUE, $S$2052 = FALSE))</formula>
    </cfRule>
  </conditionalFormatting>
  <conditionalFormatting sqref="W2054">
    <cfRule type="expression" dxfId="1368" priority="1527">
      <formula>AND($R$2054,$S$2054)</formula>
    </cfRule>
  </conditionalFormatting>
  <conditionalFormatting sqref="W2054">
    <cfRule type="expression" dxfId="1367" priority="1526">
      <formula>AND($W$2054&lt;&gt;"Not Met",LEN(TRIM($W$2054))&gt;0)</formula>
    </cfRule>
  </conditionalFormatting>
  <conditionalFormatting sqref="W2054">
    <cfRule type="expression" dxfId="1366" priority="1525">
      <formula>OR($S$2054 = FALSE, AND($P$2054 = FALSE, ReportType &lt;&gt; "Final"), AND($Q$2054 = FALSE, ReportType &lt;&gt; "Rough"))</formula>
    </cfRule>
  </conditionalFormatting>
  <conditionalFormatting sqref="W2054">
    <cfRule type="expression" dxfId="1365" priority="1524">
      <formula>OR($T$2054 = TRUE, AND(LEN(TRIM($W$2054))&gt;0, $S$2054 = FALSE))</formula>
    </cfRule>
  </conditionalFormatting>
  <conditionalFormatting sqref="W2056">
    <cfRule type="expression" dxfId="1364" priority="1523">
      <formula>AND($R$2056,$S$2056)</formula>
    </cfRule>
  </conditionalFormatting>
  <conditionalFormatting sqref="W2056">
    <cfRule type="expression" dxfId="1363" priority="1522">
      <formula>AND(IF($R$2056,$W$2056,TRUE),LEN(TRIM($W$2056))&gt;0)</formula>
    </cfRule>
  </conditionalFormatting>
  <conditionalFormatting sqref="W2056">
    <cfRule type="expression" dxfId="1362" priority="1521">
      <formula>OR($S$2056 = FALSE, AND($P$2056 = FALSE, ReportType &lt;&gt; "Final"), AND($Q$2056 = FALSE, ReportType &lt;&gt; "Rough"))</formula>
    </cfRule>
  </conditionalFormatting>
  <conditionalFormatting sqref="W2056">
    <cfRule type="expression" dxfId="1361" priority="1520">
      <formula>OR($T$2056 = TRUE, AND($W$2056 = TRUE, $S$2056 = FALSE))</formula>
    </cfRule>
  </conditionalFormatting>
  <conditionalFormatting sqref="W2063">
    <cfRule type="expression" dxfId="1360" priority="1519">
      <formula>AND($R$2063,$S$2063)</formula>
    </cfRule>
  </conditionalFormatting>
  <conditionalFormatting sqref="W2063">
    <cfRule type="expression" dxfId="1359" priority="1518">
      <formula>AND(IF($R$2063,$W$2063,TRUE),LEN(TRIM($W$2063))&gt;0)</formula>
    </cfRule>
  </conditionalFormatting>
  <conditionalFormatting sqref="W2063">
    <cfRule type="expression" dxfId="1358" priority="1517">
      <formula>OR($S$2063 = FALSE, AND($P$2063 = FALSE, ReportType &lt;&gt; "Final"), AND($Q$2063 = FALSE, ReportType &lt;&gt; "Rough"))</formula>
    </cfRule>
  </conditionalFormatting>
  <conditionalFormatting sqref="W2063">
    <cfRule type="expression" dxfId="1357" priority="1516">
      <formula>OR($T$2063 = TRUE, AND($W$2063 = TRUE, $S$2063 = FALSE))</formula>
    </cfRule>
  </conditionalFormatting>
  <conditionalFormatting sqref="W2074">
    <cfRule type="expression" dxfId="1356" priority="1515">
      <formula>AND($R$2074,$S$2074)</formula>
    </cfRule>
  </conditionalFormatting>
  <conditionalFormatting sqref="W2074">
    <cfRule type="expression" dxfId="1355" priority="1514">
      <formula>AND(IF($R$2074,$W$2074,TRUE),LEN(TRIM($W$2074))&gt;0)</formula>
    </cfRule>
  </conditionalFormatting>
  <conditionalFormatting sqref="W2074">
    <cfRule type="expression" dxfId="1354" priority="1513">
      <formula>OR($S$2074 = FALSE, AND($P$2074 = FALSE, ReportType &lt;&gt; "Final"), AND($Q$2074 = FALSE, ReportType &lt;&gt; "Rough"))</formula>
    </cfRule>
  </conditionalFormatting>
  <conditionalFormatting sqref="W2074">
    <cfRule type="expression" dxfId="1353" priority="1512">
      <formula>OR($T$2074 = TRUE, AND($W$2074 = TRUE, $S$2074 = FALSE))</formula>
    </cfRule>
  </conditionalFormatting>
  <conditionalFormatting sqref="W2076">
    <cfRule type="expression" dxfId="1352" priority="1511">
      <formula>AND($R$2076,$S$2076)</formula>
    </cfRule>
  </conditionalFormatting>
  <conditionalFormatting sqref="W2076">
    <cfRule type="expression" dxfId="1351" priority="1510">
      <formula>AND(IF($R$2076,$W$2076,TRUE),LEN(TRIM($W$2076))&gt;0)</formula>
    </cfRule>
  </conditionalFormatting>
  <conditionalFormatting sqref="W2076">
    <cfRule type="expression" dxfId="1350" priority="1509">
      <formula>OR($S$2076 = FALSE, AND($P$2076 = FALSE, ReportType &lt;&gt; "Final"), AND($Q$2076 = FALSE, ReportType &lt;&gt; "Rough"))</formula>
    </cfRule>
  </conditionalFormatting>
  <conditionalFormatting sqref="W2076">
    <cfRule type="expression" dxfId="1349" priority="1508">
      <formula>OR($T$2076 = TRUE, AND($W$2076 = TRUE, $S$2076 = FALSE))</formula>
    </cfRule>
  </conditionalFormatting>
  <conditionalFormatting sqref="W2078">
    <cfRule type="expression" dxfId="1348" priority="1507">
      <formula>AND($R$2078,$S$2078)</formula>
    </cfRule>
  </conditionalFormatting>
  <conditionalFormatting sqref="W2078">
    <cfRule type="expression" dxfId="1347" priority="1506">
      <formula>AND(IF($R$2078,$W$2078,TRUE),LEN(TRIM($W$2078))&gt;0)</formula>
    </cfRule>
  </conditionalFormatting>
  <conditionalFormatting sqref="W2078">
    <cfRule type="expression" dxfId="1346" priority="1505">
      <formula>OR($S$2078 = FALSE, AND($P$2078 = FALSE, ReportType &lt;&gt; "Final"), AND($Q$2078 = FALSE, ReportType &lt;&gt; "Rough"))</formula>
    </cfRule>
  </conditionalFormatting>
  <conditionalFormatting sqref="W2078">
    <cfRule type="expression" dxfId="1345" priority="1504">
      <formula>OR($T$2078 = TRUE, AND($W$2078 = TRUE, $S$2078 = FALSE))</formula>
    </cfRule>
  </conditionalFormatting>
  <conditionalFormatting sqref="W2085">
    <cfRule type="expression" dxfId="1344" priority="1503">
      <formula>AND($R$2085,$S$2085)</formula>
    </cfRule>
  </conditionalFormatting>
  <conditionalFormatting sqref="W2085">
    <cfRule type="expression" dxfId="1343" priority="1502">
      <formula>AND($W$2085&lt;&gt;"Not Met",LEN(TRIM($W$2085))&gt;0)</formula>
    </cfRule>
  </conditionalFormatting>
  <conditionalFormatting sqref="W2085">
    <cfRule type="expression" dxfId="1342" priority="1501">
      <formula>OR($S$2085 = FALSE, AND($P$2085 = FALSE, ReportType &lt;&gt; "Final"), AND($Q$2085 = FALSE, ReportType &lt;&gt; "Rough"))</formula>
    </cfRule>
  </conditionalFormatting>
  <conditionalFormatting sqref="W2085">
    <cfRule type="expression" dxfId="1341" priority="1500">
      <formula>OR($T$2085 = TRUE, AND(LEN(TRIM($W$2085))&gt;0, $S$2085 = FALSE))</formula>
    </cfRule>
  </conditionalFormatting>
  <conditionalFormatting sqref="W2096">
    <cfRule type="expression" dxfId="1340" priority="1499">
      <formula>AND($R$2096,$S$2096)</formula>
    </cfRule>
  </conditionalFormatting>
  <conditionalFormatting sqref="W2096">
    <cfRule type="expression" dxfId="1339" priority="1498">
      <formula>AND(IF($R$2096,$W$2096,TRUE),LEN(TRIM($W$2096))&gt;0)</formula>
    </cfRule>
  </conditionalFormatting>
  <conditionalFormatting sqref="W2096">
    <cfRule type="expression" dxfId="1338" priority="1497">
      <formula>OR($S$2096 = FALSE, AND($P$2096 = FALSE, ReportType &lt;&gt; "Final"), AND($Q$2096 = FALSE, ReportType &lt;&gt; "Rough"))</formula>
    </cfRule>
  </conditionalFormatting>
  <conditionalFormatting sqref="W2096">
    <cfRule type="expression" dxfId="1337" priority="1496">
      <formula>OR($T$2096 = TRUE, AND($W$2096 = TRUE, $S$2096 = FALSE))</formula>
    </cfRule>
  </conditionalFormatting>
  <conditionalFormatting sqref="W2098">
    <cfRule type="expression" dxfId="1336" priority="1495">
      <formula>AND($R$2098,$S$2098)</formula>
    </cfRule>
  </conditionalFormatting>
  <conditionalFormatting sqref="W2098">
    <cfRule type="expression" dxfId="1335" priority="1494">
      <formula>AND(IF($R$2098,$W$2098,TRUE),LEN(TRIM($W$2098))&gt;0)</formula>
    </cfRule>
  </conditionalFormatting>
  <conditionalFormatting sqref="W2098">
    <cfRule type="expression" dxfId="1334" priority="1493">
      <formula>OR($S$2098 = FALSE, AND($P$2098 = FALSE, ReportType &lt;&gt; "Final"), AND($Q$2098 = FALSE, ReportType &lt;&gt; "Rough"))</formula>
    </cfRule>
  </conditionalFormatting>
  <conditionalFormatting sqref="W2098">
    <cfRule type="expression" dxfId="1333" priority="1492">
      <formula>OR($T$2098 = TRUE, AND($W$2098 = TRUE, $S$2098 = FALSE))</formula>
    </cfRule>
  </conditionalFormatting>
  <conditionalFormatting sqref="W2101">
    <cfRule type="expression" dxfId="1332" priority="1491">
      <formula>AND($R$2101,$S$2101)</formula>
    </cfRule>
  </conditionalFormatting>
  <conditionalFormatting sqref="W2101">
    <cfRule type="expression" dxfId="1331" priority="1490">
      <formula>AND(IF($R$2101,$W$2101,TRUE),LEN(TRIM($W$2101))&gt;0)</formula>
    </cfRule>
  </conditionalFormatting>
  <conditionalFormatting sqref="W2101">
    <cfRule type="expression" dxfId="1330" priority="1489">
      <formula>OR($S$2101 = FALSE, AND($P$2101 = FALSE, ReportType &lt;&gt; "Final"), AND($Q$2101 = FALSE, ReportType &lt;&gt; "Rough"))</formula>
    </cfRule>
  </conditionalFormatting>
  <conditionalFormatting sqref="W2101">
    <cfRule type="expression" dxfId="1329" priority="1488">
      <formula>OR($T$2101 = TRUE, AND($W$2101 = TRUE, $S$2101 = FALSE))</formula>
    </cfRule>
  </conditionalFormatting>
  <conditionalFormatting sqref="W2180">
    <cfRule type="expression" dxfId="1328" priority="1479">
      <formula>AND($R$2180,$S$2180)</formula>
    </cfRule>
  </conditionalFormatting>
  <conditionalFormatting sqref="W2180">
    <cfRule type="expression" dxfId="1327" priority="1478">
      <formula>AND(IF($R$2180,$W$2180,TRUE),LEN(TRIM($W$2180))&gt;0)</formula>
    </cfRule>
  </conditionalFormatting>
  <conditionalFormatting sqref="W2180">
    <cfRule type="expression" dxfId="1326" priority="1477">
      <formula>OR($S$2180 = FALSE, AND($P$2180 = FALSE, ReportType &lt;&gt; "Final"), AND($Q$2180 = FALSE, ReportType &lt;&gt; "Rough"))</formula>
    </cfRule>
  </conditionalFormatting>
  <conditionalFormatting sqref="W2180">
    <cfRule type="expression" dxfId="1325" priority="1476">
      <formula>OR($T$2180 = TRUE, AND($W$2180 = TRUE, $S$2180 = FALSE))</formula>
    </cfRule>
  </conditionalFormatting>
  <conditionalFormatting sqref="W2182">
    <cfRule type="expression" dxfId="1324" priority="1475">
      <formula>AND($R$2182,$S$2182)</formula>
    </cfRule>
  </conditionalFormatting>
  <conditionalFormatting sqref="W2182">
    <cfRule type="expression" dxfId="1323" priority="1474">
      <formula>AND(IF($R$2182,$W$2182,TRUE),LEN(TRIM($W$2182))&gt;0)</formula>
    </cfRule>
  </conditionalFormatting>
  <conditionalFormatting sqref="W2182">
    <cfRule type="expression" dxfId="1322" priority="1473">
      <formula>OR($S$2182 = FALSE, AND($P$2182 = FALSE, ReportType &lt;&gt; "Final"), AND($Q$2182 = FALSE, ReportType &lt;&gt; "Rough"))</formula>
    </cfRule>
  </conditionalFormatting>
  <conditionalFormatting sqref="W2182">
    <cfRule type="expression" dxfId="1321" priority="1472">
      <formula>OR($T$2182 = TRUE, AND($W$2182 = TRUE, $S$2182 = FALSE))</formula>
    </cfRule>
  </conditionalFormatting>
  <conditionalFormatting sqref="W2188">
    <cfRule type="expression" dxfId="1320" priority="1471">
      <formula>AND($R$2188,$S$2188)</formula>
    </cfRule>
  </conditionalFormatting>
  <conditionalFormatting sqref="W2188">
    <cfRule type="expression" dxfId="1319" priority="1470">
      <formula>AND(IF($R$2188,$W$2188,TRUE),LEN(TRIM($W$2188))&gt;0)</formula>
    </cfRule>
  </conditionalFormatting>
  <conditionalFormatting sqref="W2188">
    <cfRule type="expression" dxfId="1318" priority="1469">
      <formula>OR($S$2188 = FALSE, AND($P$2188 = FALSE, ReportType &lt;&gt; "Final"), AND($Q$2188 = FALSE, ReportType &lt;&gt; "Rough"))</formula>
    </cfRule>
  </conditionalFormatting>
  <conditionalFormatting sqref="W2188">
    <cfRule type="expression" dxfId="1317" priority="1468">
      <formula>OR($T$2188 = TRUE, AND($W$2188 = TRUE, $S$2188 = FALSE))</formula>
    </cfRule>
  </conditionalFormatting>
  <conditionalFormatting sqref="W2190">
    <cfRule type="expression" dxfId="1316" priority="1467">
      <formula>AND($R$2190,$S$2190)</formula>
    </cfRule>
  </conditionalFormatting>
  <conditionalFormatting sqref="W2190">
    <cfRule type="expression" dxfId="1315" priority="1466">
      <formula>AND(IF($R$2190,$W$2190,TRUE),LEN(TRIM($W$2190))&gt;0)</formula>
    </cfRule>
  </conditionalFormatting>
  <conditionalFormatting sqref="W2190">
    <cfRule type="expression" dxfId="1314" priority="1465">
      <formula>OR($S$2190 = FALSE, AND($P$2190 = FALSE, ReportType &lt;&gt; "Final"), AND($Q$2190 = FALSE, ReportType &lt;&gt; "Rough"))</formula>
    </cfRule>
  </conditionalFormatting>
  <conditionalFormatting sqref="W2190">
    <cfRule type="expression" dxfId="1313" priority="1464">
      <formula>OR($T$2190 = TRUE, AND($W$2190 = TRUE, $S$2190 = FALSE))</formula>
    </cfRule>
  </conditionalFormatting>
  <conditionalFormatting sqref="W2194">
    <cfRule type="expression" dxfId="1312" priority="1463">
      <formula>AND($R$2194,$S$2194)</formula>
    </cfRule>
  </conditionalFormatting>
  <conditionalFormatting sqref="W2194">
    <cfRule type="expression" dxfId="1311" priority="1462">
      <formula>AND($W$2194&lt;&gt;"Not Met",LEN(TRIM($W$2194))&gt;0)</formula>
    </cfRule>
  </conditionalFormatting>
  <conditionalFormatting sqref="W2194">
    <cfRule type="expression" dxfId="1310" priority="1461">
      <formula>OR($S$2194 = FALSE, AND($P$2194 = FALSE, ReportType &lt;&gt; "Final"), AND($Q$2194 = FALSE, ReportType &lt;&gt; "Rough"))</formula>
    </cfRule>
  </conditionalFormatting>
  <conditionalFormatting sqref="W2194">
    <cfRule type="expression" dxfId="1309" priority="1460">
      <formula>OR($T$2194 = TRUE, AND(LEN(TRIM($W$2194))&gt;0, $S$2194 = FALSE))</formula>
    </cfRule>
  </conditionalFormatting>
  <conditionalFormatting sqref="W2198">
    <cfRule type="expression" dxfId="1308" priority="1459">
      <formula>AND($R$2198,$S$2198)</formula>
    </cfRule>
  </conditionalFormatting>
  <conditionalFormatting sqref="W2198">
    <cfRule type="expression" dxfId="1307" priority="1458">
      <formula>AND($W$2198&lt;&gt;"Not Met",LEN(TRIM($W$2198))&gt;0)</formula>
    </cfRule>
  </conditionalFormatting>
  <conditionalFormatting sqref="W2198">
    <cfRule type="expression" dxfId="1306" priority="1457">
      <formula>OR($S$2198 = FALSE, AND($P$2198 = FALSE, ReportType &lt;&gt; "Final"), AND($Q$2198 = FALSE, ReportType &lt;&gt; "Rough"))</formula>
    </cfRule>
  </conditionalFormatting>
  <conditionalFormatting sqref="W2198">
    <cfRule type="expression" dxfId="1305" priority="1456">
      <formula>OR($T$2198 = TRUE, AND(LEN(TRIM($W$2198))&gt;0, $S$2198 = FALSE))</formula>
    </cfRule>
  </conditionalFormatting>
  <conditionalFormatting sqref="W2204">
    <cfRule type="expression" dxfId="1304" priority="1455">
      <formula>AND($R$2204,$S$2204)</formula>
    </cfRule>
  </conditionalFormatting>
  <conditionalFormatting sqref="W2204">
    <cfRule type="expression" dxfId="1303" priority="1454">
      <formula>AND(IF($R$2204,$W$2204,TRUE),LEN(TRIM($W$2204))&gt;0)</formula>
    </cfRule>
  </conditionalFormatting>
  <conditionalFormatting sqref="W2204">
    <cfRule type="expression" dxfId="1302" priority="1453">
      <formula>OR($S$2204 = FALSE, AND($P$2204 = FALSE, ReportType &lt;&gt; "Final"), AND($Q$2204 = FALSE, ReportType &lt;&gt; "Rough"))</formula>
    </cfRule>
  </conditionalFormatting>
  <conditionalFormatting sqref="W2204">
    <cfRule type="expression" dxfId="1301" priority="1452">
      <formula>OR($T$2204 = TRUE, AND($W$2204 = TRUE, $S$2204 = FALSE))</formula>
    </cfRule>
  </conditionalFormatting>
  <conditionalFormatting sqref="W2205">
    <cfRule type="expression" dxfId="1300" priority="1451">
      <formula>AND($R$2205,$S$2205)</formula>
    </cfRule>
  </conditionalFormatting>
  <conditionalFormatting sqref="W2205">
    <cfRule type="expression" dxfId="1299" priority="1450">
      <formula>AND(IF($R$2205,$W$2205,TRUE),LEN(TRIM($W$2205))&gt;0)</formula>
    </cfRule>
  </conditionalFormatting>
  <conditionalFormatting sqref="W2205">
    <cfRule type="expression" dxfId="1298" priority="1449">
      <formula>OR($S$2205 = FALSE, AND($P$2205 = FALSE, ReportType &lt;&gt; "Final"), AND($Q$2205 = FALSE, ReportType &lt;&gt; "Rough"))</formula>
    </cfRule>
  </conditionalFormatting>
  <conditionalFormatting sqref="W2205">
    <cfRule type="expression" dxfId="1297" priority="1448">
      <formula>OR($T$2205 = TRUE, AND($W$2205 = TRUE, $S$2205 = FALSE))</formula>
    </cfRule>
  </conditionalFormatting>
  <conditionalFormatting sqref="W2210">
    <cfRule type="expression" dxfId="1296" priority="1447">
      <formula>AND($R$2210,$S$2210)</formula>
    </cfRule>
  </conditionalFormatting>
  <conditionalFormatting sqref="W2210">
    <cfRule type="expression" dxfId="1295" priority="1446">
      <formula>AND(IF($R$2210,$W$2210,TRUE),LEN(TRIM($W$2210))&gt;0)</formula>
    </cfRule>
  </conditionalFormatting>
  <conditionalFormatting sqref="W2210">
    <cfRule type="expression" dxfId="1294" priority="1445">
      <formula>OR($S$2210 = FALSE, AND($P$2210 = FALSE, ReportType &lt;&gt; "Final"), AND($Q$2210 = FALSE, ReportType &lt;&gt; "Rough"))</formula>
    </cfRule>
  </conditionalFormatting>
  <conditionalFormatting sqref="W2210">
    <cfRule type="expression" dxfId="1293" priority="1444">
      <formula>OR($T$2210 = TRUE, AND($W$2210 = TRUE, $S$2210 = FALSE))</formula>
    </cfRule>
  </conditionalFormatting>
  <conditionalFormatting sqref="W2215">
    <cfRule type="expression" dxfId="1292" priority="1443">
      <formula>AND($R$2215,$S$2215)</formula>
    </cfRule>
  </conditionalFormatting>
  <conditionalFormatting sqref="W2215">
    <cfRule type="expression" dxfId="1291" priority="1442">
      <formula>AND(IF($R$2215,$W$2215,TRUE),LEN(TRIM($W$2215))&gt;0)</formula>
    </cfRule>
  </conditionalFormatting>
  <conditionalFormatting sqref="W2215">
    <cfRule type="expression" dxfId="1290" priority="1441">
      <formula>OR($S$2215 = FALSE, AND($P$2215 = FALSE, ReportType &lt;&gt; "Final"), AND($Q$2215 = FALSE, ReportType &lt;&gt; "Rough"))</formula>
    </cfRule>
  </conditionalFormatting>
  <conditionalFormatting sqref="W2215">
    <cfRule type="expression" dxfId="1289" priority="1440">
      <formula>OR($T$2215 = TRUE, AND($W$2215 = TRUE, $S$2215 = FALSE))</formula>
    </cfRule>
  </conditionalFormatting>
  <conditionalFormatting sqref="W2232">
    <cfRule type="expression" dxfId="1288" priority="1439">
      <formula>AND($R$2232,$S$2232)</formula>
    </cfRule>
  </conditionalFormatting>
  <conditionalFormatting sqref="W2232">
    <cfRule type="expression" dxfId="1287" priority="1438">
      <formula>AND(IF($R$2232,$W$2232,TRUE),LEN(TRIM($W$2232))&gt;0)</formula>
    </cfRule>
  </conditionalFormatting>
  <conditionalFormatting sqref="W2232">
    <cfRule type="expression" dxfId="1286" priority="1437">
      <formula>OR($S$2232 = FALSE, AND($P$2232 = FALSE, ReportType &lt;&gt; "Final"), AND($Q$2232 = FALSE, ReportType &lt;&gt; "Rough"))</formula>
    </cfRule>
  </conditionalFormatting>
  <conditionalFormatting sqref="W2232">
    <cfRule type="expression" dxfId="1285" priority="1436">
      <formula>OR($T$2232 = TRUE, AND($W$2232 = TRUE, $S$2232 = FALSE))</formula>
    </cfRule>
  </conditionalFormatting>
  <conditionalFormatting sqref="W2237">
    <cfRule type="expression" dxfId="1284" priority="1435">
      <formula>AND($R$2237,$S$2237)</formula>
    </cfRule>
  </conditionalFormatting>
  <conditionalFormatting sqref="W2237">
    <cfRule type="expression" dxfId="1283" priority="1434">
      <formula>AND(IF($R$2237,$W$2237,TRUE),LEN(TRIM($W$2237))&gt;0)</formula>
    </cfRule>
  </conditionalFormatting>
  <conditionalFormatting sqref="W2237">
    <cfRule type="expression" dxfId="1282" priority="1433">
      <formula>OR($S$2237 = FALSE, AND($P$2237 = FALSE, ReportType &lt;&gt; "Final"), AND($Q$2237 = FALSE, ReportType &lt;&gt; "Rough"))</formula>
    </cfRule>
  </conditionalFormatting>
  <conditionalFormatting sqref="W2237">
    <cfRule type="expression" dxfId="1281" priority="1432">
      <formula>OR($T$2237 = TRUE, AND($W$2237 = TRUE, $S$2237 = FALSE))</formula>
    </cfRule>
  </conditionalFormatting>
  <conditionalFormatting sqref="W2258">
    <cfRule type="expression" dxfId="1280" priority="1188">
      <formula>AND($R$2258,$S$2258)</formula>
    </cfRule>
  </conditionalFormatting>
  <conditionalFormatting sqref="W2258">
    <cfRule type="expression" dxfId="1279" priority="1187">
      <formula>AND(IF($R$2258,$W$2258,TRUE),LEN(TRIM($W$2258))&gt;0)</formula>
    </cfRule>
  </conditionalFormatting>
  <conditionalFormatting sqref="W2258">
    <cfRule type="expression" dxfId="1278" priority="1186">
      <formula>OR($S$2258 = FALSE, AND($P$2258 = FALSE, ReportType &lt;&gt; "Final"), AND($Q$2258 = FALSE, ReportType &lt;&gt; "Rough"))</formula>
    </cfRule>
  </conditionalFormatting>
  <conditionalFormatting sqref="W2258">
    <cfRule type="expression" dxfId="1277" priority="1185">
      <formula>OR($T$2258 = TRUE, AND($W$2258 = TRUE, $S$2258 = FALSE))</formula>
    </cfRule>
  </conditionalFormatting>
  <conditionalFormatting sqref="W2259">
    <cfRule type="expression" dxfId="1276" priority="1184">
      <formula>AND($R$2259,$S$2259)</formula>
    </cfRule>
  </conditionalFormatting>
  <conditionalFormatting sqref="W2259">
    <cfRule type="expression" dxfId="1275" priority="1183">
      <formula>AND(IF($R$2259,$W$2259,TRUE),LEN(TRIM($W$2259))&gt;0)</formula>
    </cfRule>
  </conditionalFormatting>
  <conditionalFormatting sqref="W2259">
    <cfRule type="expression" dxfId="1274" priority="1182">
      <formula>OR($S$2259 = FALSE, AND($P$2259 = FALSE, ReportType &lt;&gt; "Final"), AND($Q$2259 = FALSE, ReportType &lt;&gt; "Rough"))</formula>
    </cfRule>
  </conditionalFormatting>
  <conditionalFormatting sqref="W2259">
    <cfRule type="expression" dxfId="1273" priority="1181">
      <formula>OR($T$2259 = TRUE, AND($W$2259 = TRUE, $S$2259 = FALSE))</formula>
    </cfRule>
  </conditionalFormatting>
  <conditionalFormatting sqref="W2260">
    <cfRule type="expression" dxfId="1272" priority="1180">
      <formula>AND($R$2260,$S$2260)</formula>
    </cfRule>
  </conditionalFormatting>
  <conditionalFormatting sqref="W2260">
    <cfRule type="expression" dxfId="1271" priority="1179">
      <formula>AND(IF($R$2260,$W$2260,TRUE),LEN(TRIM($W$2260))&gt;0)</formula>
    </cfRule>
  </conditionalFormatting>
  <conditionalFormatting sqref="W2260">
    <cfRule type="expression" dxfId="1270" priority="1178">
      <formula>OR($S$2260 = FALSE, AND($P$2260 = FALSE, ReportType &lt;&gt; "Final"), AND($Q$2260 = FALSE, ReportType &lt;&gt; "Rough"))</formula>
    </cfRule>
  </conditionalFormatting>
  <conditionalFormatting sqref="W2260">
    <cfRule type="expression" dxfId="1269" priority="1177">
      <formula>OR($T$2260 = TRUE, AND($W$2260 = TRUE, $S$2260 = FALSE))</formula>
    </cfRule>
  </conditionalFormatting>
  <conditionalFormatting sqref="W2264">
    <cfRule type="expression" dxfId="1268" priority="1176">
      <formula>AND($R$2264,$S$2264)</formula>
    </cfRule>
  </conditionalFormatting>
  <conditionalFormatting sqref="W2264">
    <cfRule type="expression" dxfId="1267" priority="1175">
      <formula>AND(IF($R$2264,$W$2264,TRUE),LEN(TRIM($W$2264))&gt;0)</formula>
    </cfRule>
  </conditionalFormatting>
  <conditionalFormatting sqref="W2264">
    <cfRule type="expression" dxfId="1266" priority="1174">
      <formula>OR($S$2264 = FALSE, AND($P$2264 = FALSE, ReportType &lt;&gt; "Final"), AND($Q$2264 = FALSE, ReportType &lt;&gt; "Rough"))</formula>
    </cfRule>
  </conditionalFormatting>
  <conditionalFormatting sqref="W2264">
    <cfRule type="expression" dxfId="1265" priority="1173">
      <formula>OR($T$2264 = TRUE, AND($W$2264 = TRUE, $S$2264 = FALSE))</formula>
    </cfRule>
  </conditionalFormatting>
  <conditionalFormatting sqref="W2265">
    <cfRule type="expression" dxfId="1264" priority="1172">
      <formula>AND($R$2265,$S$2265)</formula>
    </cfRule>
  </conditionalFormatting>
  <conditionalFormatting sqref="W2265">
    <cfRule type="expression" dxfId="1263" priority="1171">
      <formula>AND(IF($R$2265,$W$2265,TRUE),LEN(TRIM($W$2265))&gt;0)</formula>
    </cfRule>
  </conditionalFormatting>
  <conditionalFormatting sqref="W2265">
    <cfRule type="expression" dxfId="1262" priority="1170">
      <formula>OR($S$2265 = FALSE, AND($P$2265 = FALSE, ReportType &lt;&gt; "Final"), AND($Q$2265 = FALSE, ReportType &lt;&gt; "Rough"))</formula>
    </cfRule>
  </conditionalFormatting>
  <conditionalFormatting sqref="W2265">
    <cfRule type="expression" dxfId="1261" priority="1169">
      <formula>OR($T$2265 = TRUE, AND($W$2265 = TRUE, $S$2265 = FALSE))</formula>
    </cfRule>
  </conditionalFormatting>
  <conditionalFormatting sqref="W2266">
    <cfRule type="expression" dxfId="1260" priority="1168">
      <formula>AND($R$2266,$S$2266)</formula>
    </cfRule>
  </conditionalFormatting>
  <conditionalFormatting sqref="W2266">
    <cfRule type="expression" dxfId="1259" priority="1167">
      <formula>AND(IF($R$2266,$W$2266,TRUE),LEN(TRIM($W$2266))&gt;0)</formula>
    </cfRule>
  </conditionalFormatting>
  <conditionalFormatting sqref="W2266">
    <cfRule type="expression" dxfId="1258" priority="1166">
      <formula>OR($S$2266 = FALSE, AND($P$2266 = FALSE, ReportType &lt;&gt; "Final"), AND($Q$2266 = FALSE, ReportType &lt;&gt; "Rough"))</formula>
    </cfRule>
  </conditionalFormatting>
  <conditionalFormatting sqref="W2266">
    <cfRule type="expression" dxfId="1257" priority="1165">
      <formula>OR($T$2266 = TRUE, AND($W$2266 = TRUE, $S$2266 = FALSE))</formula>
    </cfRule>
  </conditionalFormatting>
  <conditionalFormatting sqref="W2268">
    <cfRule type="expression" dxfId="1256" priority="1164">
      <formula>AND($R$2268,$S$2268)</formula>
    </cfRule>
  </conditionalFormatting>
  <conditionalFormatting sqref="W2268">
    <cfRule type="expression" dxfId="1255" priority="1163">
      <formula>AND(IF($R$2268,$W$2268,TRUE),LEN(TRIM($W$2268))&gt;0)</formula>
    </cfRule>
  </conditionalFormatting>
  <conditionalFormatting sqref="W2268">
    <cfRule type="expression" dxfId="1254" priority="1162">
      <formula>OR($S$2268 = FALSE, AND($P$2268 = FALSE, ReportType &lt;&gt; "Final"), AND($Q$2268 = FALSE, ReportType &lt;&gt; "Rough"))</formula>
    </cfRule>
  </conditionalFormatting>
  <conditionalFormatting sqref="W2268">
    <cfRule type="expression" dxfId="1253" priority="1161">
      <formula>OR($T$2268 = TRUE, AND($W$2268 = TRUE, $S$2268 = FALSE))</formula>
    </cfRule>
  </conditionalFormatting>
  <conditionalFormatting sqref="W2270">
    <cfRule type="expression" dxfId="1252" priority="1160">
      <formula>AND($R$2270,$S$2270)</formula>
    </cfRule>
  </conditionalFormatting>
  <conditionalFormatting sqref="W2270">
    <cfRule type="expression" dxfId="1251" priority="1159">
      <formula>AND(IF($R$2270,$W$2270,TRUE),LEN(TRIM($W$2270))&gt;0)</formula>
    </cfRule>
  </conditionalFormatting>
  <conditionalFormatting sqref="W2270">
    <cfRule type="expression" dxfId="1250" priority="1158">
      <formula>OR($S$2270 = FALSE, AND($P$2270 = FALSE, ReportType &lt;&gt; "Final"), AND($Q$2270 = FALSE, ReportType &lt;&gt; "Rough"))</formula>
    </cfRule>
  </conditionalFormatting>
  <conditionalFormatting sqref="W2270">
    <cfRule type="expression" dxfId="1249" priority="1157">
      <formula>OR($T$2270 = TRUE, AND($W$2270 = TRUE, $S$2270 = FALSE))</formula>
    </cfRule>
  </conditionalFormatting>
  <conditionalFormatting sqref="W2271">
    <cfRule type="expression" dxfId="1248" priority="1156">
      <formula>AND($R$2271,$S$2271)</formula>
    </cfRule>
  </conditionalFormatting>
  <conditionalFormatting sqref="W2271">
    <cfRule type="expression" dxfId="1247" priority="1155">
      <formula>AND(IF($R$2271,$W$2271,TRUE),LEN(TRIM($W$2271))&gt;0)</formula>
    </cfRule>
  </conditionalFormatting>
  <conditionalFormatting sqref="W2271">
    <cfRule type="expression" dxfId="1246" priority="1154">
      <formula>OR($S$2271 = FALSE, AND($P$2271 = FALSE, ReportType &lt;&gt; "Final"), AND($Q$2271 = FALSE, ReportType &lt;&gt; "Rough"))</formula>
    </cfRule>
  </conditionalFormatting>
  <conditionalFormatting sqref="W2271">
    <cfRule type="expression" dxfId="1245" priority="1153">
      <formula>OR($T$2271 = TRUE, AND($W$2271 = TRUE, $S$2271 = FALSE))</formula>
    </cfRule>
  </conditionalFormatting>
  <conditionalFormatting sqref="W2273">
    <cfRule type="expression" dxfId="1244" priority="1152">
      <formula>AND($R$2273,$S$2273)</formula>
    </cfRule>
  </conditionalFormatting>
  <conditionalFormatting sqref="W2273">
    <cfRule type="expression" dxfId="1243" priority="1151">
      <formula>AND(IF($R$2273,$W$2273,TRUE),LEN(TRIM($W$2273))&gt;0)</formula>
    </cfRule>
  </conditionalFormatting>
  <conditionalFormatting sqref="W2273">
    <cfRule type="expression" dxfId="1242" priority="1150">
      <formula>OR($S$2273 = FALSE, AND($P$2273 = FALSE, ReportType &lt;&gt; "Final"), AND($Q$2273 = FALSE, ReportType &lt;&gt; "Rough"))</formula>
    </cfRule>
  </conditionalFormatting>
  <conditionalFormatting sqref="W2273">
    <cfRule type="expression" dxfId="1241" priority="1149">
      <formula>OR($T$2273 = TRUE, AND($W$2273 = TRUE, $S$2273 = FALSE))</formula>
    </cfRule>
  </conditionalFormatting>
  <conditionalFormatting sqref="W2274">
    <cfRule type="expression" dxfId="1240" priority="1148">
      <formula>AND($R$2274,$S$2274)</formula>
    </cfRule>
  </conditionalFormatting>
  <conditionalFormatting sqref="W2274">
    <cfRule type="expression" dxfId="1239" priority="1147">
      <formula>AND(IF($R$2274,$W$2274,TRUE),LEN(TRIM($W$2274))&gt;0)</formula>
    </cfRule>
  </conditionalFormatting>
  <conditionalFormatting sqref="W2274">
    <cfRule type="expression" dxfId="1238" priority="1146">
      <formula>OR($S$2274 = FALSE, AND($P$2274 = FALSE, ReportType &lt;&gt; "Final"), AND($Q$2274 = FALSE, ReportType &lt;&gt; "Rough"))</formula>
    </cfRule>
  </conditionalFormatting>
  <conditionalFormatting sqref="W2274">
    <cfRule type="expression" dxfId="1237" priority="1145">
      <formula>OR($T$2274 = TRUE, AND($W$2274 = TRUE, $S$2274 = FALSE))</formula>
    </cfRule>
  </conditionalFormatting>
  <conditionalFormatting sqref="W2275">
    <cfRule type="expression" dxfId="1236" priority="1144">
      <formula>AND($R$2275,$S$2275)</formula>
    </cfRule>
  </conditionalFormatting>
  <conditionalFormatting sqref="W2275">
    <cfRule type="expression" dxfId="1235" priority="1143">
      <formula>AND(IF($R$2275,$W$2275,TRUE),LEN(TRIM($W$2275))&gt;0)</formula>
    </cfRule>
  </conditionalFormatting>
  <conditionalFormatting sqref="W2275">
    <cfRule type="expression" dxfId="1234" priority="1142">
      <formula>OR($S$2275 = FALSE, AND($P$2275 = FALSE, ReportType &lt;&gt; "Final"), AND($Q$2275 = FALSE, ReportType &lt;&gt; "Rough"))</formula>
    </cfRule>
  </conditionalFormatting>
  <conditionalFormatting sqref="W2275">
    <cfRule type="expression" dxfId="1233" priority="1141">
      <formula>OR($T$2275 = TRUE, AND($W$2275 = TRUE, $S$2275 = FALSE))</formula>
    </cfRule>
  </conditionalFormatting>
  <conditionalFormatting sqref="W2281">
    <cfRule type="expression" dxfId="1232" priority="1140">
      <formula>AND($R$2281,$S$2281)</formula>
    </cfRule>
  </conditionalFormatting>
  <conditionalFormatting sqref="W2281">
    <cfRule type="expression" dxfId="1231" priority="1139">
      <formula>AND(IF($R$2281,$W$2281,TRUE),LEN(TRIM($W$2281))&gt;0)</formula>
    </cfRule>
  </conditionalFormatting>
  <conditionalFormatting sqref="W2281">
    <cfRule type="expression" dxfId="1230" priority="1138">
      <formula>OR($S$2281 = FALSE, AND($P$2281 = FALSE, ReportType &lt;&gt; "Final"), AND($Q$2281 = FALSE, ReportType &lt;&gt; "Rough"))</formula>
    </cfRule>
  </conditionalFormatting>
  <conditionalFormatting sqref="W2281">
    <cfRule type="expression" dxfId="1229" priority="1137">
      <formula>OR($T$2281 = TRUE, AND($W$2281 = TRUE, $S$2281 = FALSE))</formula>
    </cfRule>
  </conditionalFormatting>
  <conditionalFormatting sqref="W2285">
    <cfRule type="expression" dxfId="1228" priority="1136">
      <formula>AND($R$2285,$S$2285)</formula>
    </cfRule>
  </conditionalFormatting>
  <conditionalFormatting sqref="W2285">
    <cfRule type="expression" dxfId="1227" priority="1135">
      <formula>AND(IF($R$2285,$W$2285,TRUE),LEN(TRIM($W$2285))&gt;0)</formula>
    </cfRule>
  </conditionalFormatting>
  <conditionalFormatting sqref="W2285">
    <cfRule type="expression" dxfId="1226" priority="1134">
      <formula>OR($S$2285 = FALSE, AND($P$2285 = FALSE, ReportType &lt;&gt; "Final"), AND($Q$2285 = FALSE, ReportType &lt;&gt; "Rough"))</formula>
    </cfRule>
  </conditionalFormatting>
  <conditionalFormatting sqref="W2285">
    <cfRule type="expression" dxfId="1225" priority="1133">
      <formula>OR($T$2285 = TRUE, AND($W$2285 = TRUE, $S$2285 = FALSE))</formula>
    </cfRule>
  </conditionalFormatting>
  <conditionalFormatting sqref="W2287">
    <cfRule type="expression" dxfId="1224" priority="1132">
      <formula>AND($R$2287,$S$2287)</formula>
    </cfRule>
  </conditionalFormatting>
  <conditionalFormatting sqref="W2287">
    <cfRule type="expression" dxfId="1223" priority="1131">
      <formula>AND(IF($R$2287,$W$2287,TRUE),LEN(TRIM($W$2287))&gt;0)</formula>
    </cfRule>
  </conditionalFormatting>
  <conditionalFormatting sqref="W2287">
    <cfRule type="expression" dxfId="1222" priority="1130">
      <formula>OR($S$2287 = FALSE, AND($P$2287 = FALSE, ReportType &lt;&gt; "Final"), AND($Q$2287 = FALSE, ReportType &lt;&gt; "Rough"))</formula>
    </cfRule>
  </conditionalFormatting>
  <conditionalFormatting sqref="W2287">
    <cfRule type="expression" dxfId="1221" priority="1129">
      <formula>OR($T$2287 = TRUE, AND($W$2287 = TRUE, $S$2287 = FALSE))</formula>
    </cfRule>
  </conditionalFormatting>
  <conditionalFormatting sqref="W2289">
    <cfRule type="expression" dxfId="1220" priority="1128">
      <formula>AND($R$2289,$S$2289)</formula>
    </cfRule>
  </conditionalFormatting>
  <conditionalFormatting sqref="W2289">
    <cfRule type="expression" dxfId="1219" priority="1127">
      <formula>AND(IF($R$2289,$W$2289,TRUE),LEN(TRIM($W$2289))&gt;0)</formula>
    </cfRule>
  </conditionalFormatting>
  <conditionalFormatting sqref="W2289">
    <cfRule type="expression" dxfId="1218" priority="1126">
      <formula>OR($S$2289 = FALSE, AND($P$2289 = FALSE, ReportType &lt;&gt; "Final"), AND($Q$2289 = FALSE, ReportType &lt;&gt; "Rough"))</formula>
    </cfRule>
  </conditionalFormatting>
  <conditionalFormatting sqref="W2289">
    <cfRule type="expression" dxfId="1217" priority="1125">
      <formula>OR($T$2289 = TRUE, AND($W$2289 = TRUE, $S$2289 = FALSE))</formula>
    </cfRule>
  </conditionalFormatting>
  <conditionalFormatting sqref="W2290">
    <cfRule type="expression" dxfId="1216" priority="1124">
      <formula>AND($R$2290,$S$2290)</formula>
    </cfRule>
  </conditionalFormatting>
  <conditionalFormatting sqref="W2290">
    <cfRule type="expression" dxfId="1215" priority="1123">
      <formula>AND(IF($R$2290,$W$2290,TRUE),LEN(TRIM($W$2290))&gt;0)</formula>
    </cfRule>
  </conditionalFormatting>
  <conditionalFormatting sqref="W2290">
    <cfRule type="expression" dxfId="1214" priority="1122">
      <formula>OR($S$2290 = FALSE, AND($P$2290 = FALSE, ReportType &lt;&gt; "Final"), AND($Q$2290 = FALSE, ReportType &lt;&gt; "Rough"))</formula>
    </cfRule>
  </conditionalFormatting>
  <conditionalFormatting sqref="W2290">
    <cfRule type="expression" dxfId="1213" priority="1121">
      <formula>OR($T$2290 = TRUE, AND($W$2290 = TRUE, $S$2290 = FALSE))</formula>
    </cfRule>
  </conditionalFormatting>
  <conditionalFormatting sqref="W2292">
    <cfRule type="expression" dxfId="1212" priority="1120">
      <formula>AND($R$2292,$S$2292)</formula>
    </cfRule>
  </conditionalFormatting>
  <conditionalFormatting sqref="W2292">
    <cfRule type="expression" dxfId="1211" priority="1119">
      <formula>AND(IF($R$2292,$W$2292,TRUE),LEN(TRIM($W$2292))&gt;0)</formula>
    </cfRule>
  </conditionalFormatting>
  <conditionalFormatting sqref="W2292">
    <cfRule type="expression" dxfId="1210" priority="1118">
      <formula>OR($S$2292 = FALSE, AND($P$2292 = FALSE, ReportType &lt;&gt; "Final"), AND($Q$2292 = FALSE, ReportType &lt;&gt; "Rough"))</formula>
    </cfRule>
  </conditionalFormatting>
  <conditionalFormatting sqref="W2292">
    <cfRule type="expression" dxfId="1209" priority="1117">
      <formula>OR($T$2292 = TRUE, AND($W$2292 = TRUE, $S$2292 = FALSE))</formula>
    </cfRule>
  </conditionalFormatting>
  <conditionalFormatting sqref="W2294">
    <cfRule type="expression" dxfId="1208" priority="1116">
      <formula>AND($R$2294,$S$2294)</formula>
    </cfRule>
  </conditionalFormatting>
  <conditionalFormatting sqref="W2294">
    <cfRule type="expression" dxfId="1207" priority="1115">
      <formula>AND(IF($R$2294,$W$2294,TRUE),LEN(TRIM($W$2294))&gt;0)</formula>
    </cfRule>
  </conditionalFormatting>
  <conditionalFormatting sqref="W2294">
    <cfRule type="expression" dxfId="1206" priority="1114">
      <formula>OR($S$2294 = FALSE, AND($P$2294 = FALSE, ReportType &lt;&gt; "Final"), AND($Q$2294 = FALSE, ReportType &lt;&gt; "Rough"))</formula>
    </cfRule>
  </conditionalFormatting>
  <conditionalFormatting sqref="W2294">
    <cfRule type="expression" dxfId="1205" priority="1113">
      <formula>OR($T$2294 = TRUE, AND($W$2294 = TRUE, $S$2294 = FALSE))</formula>
    </cfRule>
  </conditionalFormatting>
  <conditionalFormatting sqref="W2295">
    <cfRule type="expression" dxfId="1204" priority="1112">
      <formula>AND($R$2295,$S$2295)</formula>
    </cfRule>
  </conditionalFormatting>
  <conditionalFormatting sqref="W2295">
    <cfRule type="expression" dxfId="1203" priority="1111">
      <formula>AND(IF($R$2295,$W$2295,TRUE),LEN(TRIM($W$2295))&gt;0)</formula>
    </cfRule>
  </conditionalFormatting>
  <conditionalFormatting sqref="W2295">
    <cfRule type="expression" dxfId="1202" priority="1110">
      <formula>OR($S$2295 = FALSE, AND($P$2295 = FALSE, ReportType &lt;&gt; "Final"), AND($Q$2295 = FALSE, ReportType &lt;&gt; "Rough"))</formula>
    </cfRule>
  </conditionalFormatting>
  <conditionalFormatting sqref="W2295">
    <cfRule type="expression" dxfId="1201" priority="1109">
      <formula>OR($T$2295 = TRUE, AND($W$2295 = TRUE, $S$2295 = FALSE))</formula>
    </cfRule>
  </conditionalFormatting>
  <conditionalFormatting sqref="W2297">
    <cfRule type="expression" dxfId="1200" priority="1108">
      <formula>AND($R$2297,$S$2297)</formula>
    </cfRule>
  </conditionalFormatting>
  <conditionalFormatting sqref="W2297">
    <cfRule type="expression" dxfId="1199" priority="1107">
      <formula>AND(IF($R$2297,$W$2297,TRUE),LEN(TRIM($W$2297))&gt;0)</formula>
    </cfRule>
  </conditionalFormatting>
  <conditionalFormatting sqref="W2297">
    <cfRule type="expression" dxfId="1198" priority="1106">
      <formula>OR($S$2297 = FALSE, AND($P$2297 = FALSE, ReportType &lt;&gt; "Final"), AND($Q$2297 = FALSE, ReportType &lt;&gt; "Rough"))</formula>
    </cfRule>
  </conditionalFormatting>
  <conditionalFormatting sqref="W2297">
    <cfRule type="expression" dxfId="1197" priority="1105">
      <formula>OR($T$2297 = TRUE, AND($W$2297 = TRUE, $S$2297 = FALSE))</formula>
    </cfRule>
  </conditionalFormatting>
  <conditionalFormatting sqref="W2299">
    <cfRule type="expression" dxfId="1196" priority="1104">
      <formula>AND($R$2299,$S$2299)</formula>
    </cfRule>
  </conditionalFormatting>
  <conditionalFormatting sqref="W2299">
    <cfRule type="expression" dxfId="1195" priority="1103">
      <formula>AND(IF($R$2299,$W$2299,TRUE),LEN(TRIM($W$2299))&gt;0)</formula>
    </cfRule>
  </conditionalFormatting>
  <conditionalFormatting sqref="W2299">
    <cfRule type="expression" dxfId="1194" priority="1102">
      <formula>OR($S$2299 = FALSE, AND($P$2299 = FALSE, ReportType &lt;&gt; "Final"), AND($Q$2299 = FALSE, ReportType &lt;&gt; "Rough"))</formula>
    </cfRule>
  </conditionalFormatting>
  <conditionalFormatting sqref="W2299">
    <cfRule type="expression" dxfId="1193" priority="1101">
      <formula>OR($T$2299 = TRUE, AND($W$2299 = TRUE, $S$2299 = FALSE))</formula>
    </cfRule>
  </conditionalFormatting>
  <conditionalFormatting sqref="W2301">
    <cfRule type="expression" dxfId="1192" priority="1100">
      <formula>AND($R$2301,$S$2301)</formula>
    </cfRule>
  </conditionalFormatting>
  <conditionalFormatting sqref="W2301">
    <cfRule type="expression" dxfId="1191" priority="1099">
      <formula>AND(IF($R$2301,$W$2301,TRUE),LEN(TRIM($W$2301))&gt;0)</formula>
    </cfRule>
  </conditionalFormatting>
  <conditionalFormatting sqref="W2301">
    <cfRule type="expression" dxfId="1190" priority="1098">
      <formula>OR($S$2301 = FALSE, AND($P$2301 = FALSE, ReportType &lt;&gt; "Final"), AND($Q$2301 = FALSE, ReportType &lt;&gt; "Rough"))</formula>
    </cfRule>
  </conditionalFormatting>
  <conditionalFormatting sqref="W2301">
    <cfRule type="expression" dxfId="1189" priority="1097">
      <formula>OR($T$2301 = TRUE, AND($W$2301 = TRUE, $S$2301 = FALSE))</formula>
    </cfRule>
  </conditionalFormatting>
  <conditionalFormatting sqref="W2302">
    <cfRule type="expression" dxfId="1188" priority="1096">
      <formula>AND($R$2302,$S$2302)</formula>
    </cfRule>
  </conditionalFormatting>
  <conditionalFormatting sqref="W2302">
    <cfRule type="expression" dxfId="1187" priority="1095">
      <formula>AND(IF($R$2302,$W$2302,TRUE),LEN(TRIM($W$2302))&gt;0)</formula>
    </cfRule>
  </conditionalFormatting>
  <conditionalFormatting sqref="W2302">
    <cfRule type="expression" dxfId="1186" priority="1094">
      <formula>OR($S$2302 = FALSE, AND($P$2302 = FALSE, ReportType &lt;&gt; "Final"), AND($Q$2302 = FALSE, ReportType &lt;&gt; "Rough"))</formula>
    </cfRule>
  </conditionalFormatting>
  <conditionalFormatting sqref="W2302">
    <cfRule type="expression" dxfId="1185" priority="1093">
      <formula>OR($T$2302 = TRUE, AND($W$2302 = TRUE, $S$2302 = FALSE))</formula>
    </cfRule>
  </conditionalFormatting>
  <conditionalFormatting sqref="W2303">
    <cfRule type="expression" dxfId="1184" priority="1092">
      <formula>AND($R$2303,$S$2303)</formula>
    </cfRule>
  </conditionalFormatting>
  <conditionalFormatting sqref="W2303">
    <cfRule type="expression" dxfId="1183" priority="1091">
      <formula>AND(IF($R$2303,$W$2303,TRUE),LEN(TRIM($W$2303))&gt;0)</formula>
    </cfRule>
  </conditionalFormatting>
  <conditionalFormatting sqref="W2303">
    <cfRule type="expression" dxfId="1182" priority="1090">
      <formula>OR($S$2303 = FALSE, AND($P$2303 = FALSE, ReportType &lt;&gt; "Final"), AND($Q$2303 = FALSE, ReportType &lt;&gt; "Rough"))</formula>
    </cfRule>
  </conditionalFormatting>
  <conditionalFormatting sqref="W2303">
    <cfRule type="expression" dxfId="1181" priority="1089">
      <formula>OR($T$2303 = TRUE, AND($W$2303 = TRUE, $S$2303 = FALSE))</formula>
    </cfRule>
  </conditionalFormatting>
  <conditionalFormatting sqref="W2325">
    <cfRule type="expression" dxfId="1180" priority="1088">
      <formula>AND($R$2325,$S$2325)</formula>
    </cfRule>
  </conditionalFormatting>
  <conditionalFormatting sqref="W2325">
    <cfRule type="expression" dxfId="1179" priority="1087">
      <formula>AND(IF($R$2325,$W$2325,TRUE),LEN(TRIM($W$2325))&gt;0)</formula>
    </cfRule>
  </conditionalFormatting>
  <conditionalFormatting sqref="W2325">
    <cfRule type="expression" dxfId="1178" priority="1086">
      <formula>OR($S$2325 = FALSE, AND($P$2325 = FALSE, ReportType &lt;&gt; "Final"), AND($Q$2325 = FALSE, ReportType &lt;&gt; "Rough"))</formula>
    </cfRule>
  </conditionalFormatting>
  <conditionalFormatting sqref="W2325">
    <cfRule type="expression" dxfId="1177" priority="1085">
      <formula>OR($T$2325 = TRUE, AND($W$2325 = TRUE, $S$2325 = FALSE))</formula>
    </cfRule>
  </conditionalFormatting>
  <conditionalFormatting sqref="W2328">
    <cfRule type="expression" dxfId="1176" priority="1084">
      <formula>AND($R$2328,$S$2328)</formula>
    </cfRule>
  </conditionalFormatting>
  <conditionalFormatting sqref="W2328">
    <cfRule type="expression" dxfId="1175" priority="1083">
      <formula>AND(IF($R$2328,$W$2328,TRUE),LEN(TRIM($W$2328))&gt;0)</formula>
    </cfRule>
  </conditionalFormatting>
  <conditionalFormatting sqref="W2328">
    <cfRule type="expression" dxfId="1174" priority="1082">
      <formula>OR($S$2328 = FALSE, AND($P$2328 = FALSE, ReportType &lt;&gt; "Final"), AND($Q$2328 = FALSE, ReportType &lt;&gt; "Rough"))</formula>
    </cfRule>
  </conditionalFormatting>
  <conditionalFormatting sqref="W2328">
    <cfRule type="expression" dxfId="1173" priority="1081">
      <formula>OR($T$2328 = TRUE, AND($W$2328 = TRUE, $S$2328 = FALSE))</formula>
    </cfRule>
  </conditionalFormatting>
  <conditionalFormatting sqref="W2331">
    <cfRule type="expression" dxfId="1172" priority="1080">
      <formula>AND($R$2331,$S$2331)</formula>
    </cfRule>
  </conditionalFormatting>
  <conditionalFormatting sqref="W2331">
    <cfRule type="expression" dxfId="1171" priority="1079">
      <formula>AND(IF($R$2331,$W$2331,TRUE),LEN(TRIM($W$2331))&gt;0)</formula>
    </cfRule>
  </conditionalFormatting>
  <conditionalFormatting sqref="W2331">
    <cfRule type="expression" dxfId="1170" priority="1078">
      <formula>OR($S$2331 = FALSE, AND($P$2331 = FALSE, ReportType &lt;&gt; "Final"), AND($Q$2331 = FALSE, ReportType &lt;&gt; "Rough"))</formula>
    </cfRule>
  </conditionalFormatting>
  <conditionalFormatting sqref="W2331">
    <cfRule type="expression" dxfId="1169" priority="1077">
      <formula>OR($T$2331 = TRUE, AND($W$2331 = TRUE, $S$2331 = FALSE))</formula>
    </cfRule>
  </conditionalFormatting>
  <conditionalFormatting sqref="W2333">
    <cfRule type="expression" dxfId="1168" priority="1076">
      <formula>AND($R$2333,$S$2333)</formula>
    </cfRule>
  </conditionalFormatting>
  <conditionalFormatting sqref="W2333">
    <cfRule type="expression" dxfId="1167" priority="1075">
      <formula>AND(IF($R$2333,$W$2333,TRUE),LEN(TRIM($W$2333))&gt;0)</formula>
    </cfRule>
  </conditionalFormatting>
  <conditionalFormatting sqref="W2333">
    <cfRule type="expression" dxfId="1166" priority="1074">
      <formula>OR($S$2333 = FALSE, AND($P$2333 = FALSE, ReportType &lt;&gt; "Final"), AND($Q$2333 = FALSE, ReportType &lt;&gt; "Rough"))</formula>
    </cfRule>
  </conditionalFormatting>
  <conditionalFormatting sqref="W2333">
    <cfRule type="expression" dxfId="1165" priority="1073">
      <formula>OR($T$2333 = TRUE, AND($W$2333 = TRUE, $S$2333 = FALSE))</formula>
    </cfRule>
  </conditionalFormatting>
  <conditionalFormatting sqref="W2334">
    <cfRule type="expression" dxfId="1164" priority="1072">
      <formula>AND($R$2334,$S$2334)</formula>
    </cfRule>
  </conditionalFormatting>
  <conditionalFormatting sqref="W2334">
    <cfRule type="expression" dxfId="1163" priority="1071">
      <formula>AND(IF($R$2334,$W$2334,TRUE),LEN(TRIM($W$2334))&gt;0)</formula>
    </cfRule>
  </conditionalFormatting>
  <conditionalFormatting sqref="W2334">
    <cfRule type="expression" dxfId="1162" priority="1070">
      <formula>OR($S$2334 = FALSE, AND($P$2334 = FALSE, ReportType &lt;&gt; "Final"), AND($Q$2334 = FALSE, ReportType &lt;&gt; "Rough"))</formula>
    </cfRule>
  </conditionalFormatting>
  <conditionalFormatting sqref="W2334">
    <cfRule type="expression" dxfId="1161" priority="1069">
      <formula>OR($T$2334 = TRUE, AND($W$2334 = TRUE, $S$2334 = FALSE))</formula>
    </cfRule>
  </conditionalFormatting>
  <conditionalFormatting sqref="W2336">
    <cfRule type="expression" dxfId="1160" priority="1068">
      <formula>AND($R$2336,$S$2336)</formula>
    </cfRule>
  </conditionalFormatting>
  <conditionalFormatting sqref="W2336">
    <cfRule type="expression" dxfId="1159" priority="1067">
      <formula>AND(IF($R$2336,$W$2336,TRUE),LEN(TRIM($W$2336))&gt;0)</formula>
    </cfRule>
  </conditionalFormatting>
  <conditionalFormatting sqref="W2336">
    <cfRule type="expression" dxfId="1158" priority="1066">
      <formula>OR($S$2336 = FALSE, AND($P$2336 = FALSE, ReportType &lt;&gt; "Final"), AND($Q$2336 = FALSE, ReportType &lt;&gt; "Rough"))</formula>
    </cfRule>
  </conditionalFormatting>
  <conditionalFormatting sqref="W2336">
    <cfRule type="expression" dxfId="1157" priority="1065">
      <formula>OR($T$2336 = TRUE, AND($W$2336 = TRUE, $S$2336 = FALSE))</formula>
    </cfRule>
  </conditionalFormatting>
  <conditionalFormatting sqref="W2337">
    <cfRule type="expression" dxfId="1156" priority="1064">
      <formula>AND($R$2337,$S$2337)</formula>
    </cfRule>
  </conditionalFormatting>
  <conditionalFormatting sqref="W2337">
    <cfRule type="expression" dxfId="1155" priority="1063">
      <formula>AND(IF($R$2337,$W$2337,TRUE),LEN(TRIM($W$2337))&gt;0)</formula>
    </cfRule>
  </conditionalFormatting>
  <conditionalFormatting sqref="W2337">
    <cfRule type="expression" dxfId="1154" priority="1062">
      <formula>OR($S$2337 = FALSE, AND($P$2337 = FALSE, ReportType &lt;&gt; "Final"), AND($Q$2337 = FALSE, ReportType &lt;&gt; "Rough"))</formula>
    </cfRule>
  </conditionalFormatting>
  <conditionalFormatting sqref="W2337">
    <cfRule type="expression" dxfId="1153" priority="1061">
      <formula>OR($T$2337 = TRUE, AND($W$2337 = TRUE, $S$2337 = FALSE))</formula>
    </cfRule>
  </conditionalFormatting>
  <conditionalFormatting sqref="W2338">
    <cfRule type="expression" dxfId="1152" priority="1060">
      <formula>AND($R$2338,$S$2338)</formula>
    </cfRule>
  </conditionalFormatting>
  <conditionalFormatting sqref="W2338">
    <cfRule type="expression" dxfId="1151" priority="1059">
      <formula>AND(IF($R$2338,$W$2338,TRUE),LEN(TRIM($W$2338))&gt;0)</formula>
    </cfRule>
  </conditionalFormatting>
  <conditionalFormatting sqref="W2338">
    <cfRule type="expression" dxfId="1150" priority="1058">
      <formula>OR($S$2338 = FALSE, AND($P$2338 = FALSE, ReportType &lt;&gt; "Final"), AND($Q$2338 = FALSE, ReportType &lt;&gt; "Rough"))</formula>
    </cfRule>
  </conditionalFormatting>
  <conditionalFormatting sqref="W2338">
    <cfRule type="expression" dxfId="1149" priority="1057">
      <formula>OR($T$2338 = TRUE, AND($W$2338 = TRUE, $S$2338 = FALSE))</formula>
    </cfRule>
  </conditionalFormatting>
  <conditionalFormatting sqref="W2344">
    <cfRule type="expression" dxfId="1148" priority="1056">
      <formula>AND($R$2344,$S$2344)</formula>
    </cfRule>
  </conditionalFormatting>
  <conditionalFormatting sqref="W2344">
    <cfRule type="expression" dxfId="1147" priority="1055">
      <formula>AND(IF($R$2344,$W$2344,TRUE),LEN(TRIM($W$2344))&gt;0)</formula>
    </cfRule>
  </conditionalFormatting>
  <conditionalFormatting sqref="W2344">
    <cfRule type="expression" dxfId="1146" priority="1054">
      <formula>OR($S$2344 = FALSE, AND($P$2344 = FALSE, ReportType &lt;&gt; "Final"), AND($Q$2344 = FALSE, ReportType &lt;&gt; "Rough"))</formula>
    </cfRule>
  </conditionalFormatting>
  <conditionalFormatting sqref="W2344">
    <cfRule type="expression" dxfId="1145" priority="1053">
      <formula>OR($T$2344 = TRUE, AND($W$2344 = TRUE, $S$2344 = FALSE))</formula>
    </cfRule>
  </conditionalFormatting>
  <conditionalFormatting sqref="W2346">
    <cfRule type="expression" dxfId="1144" priority="1052">
      <formula>AND($R$2346,$S$2346)</formula>
    </cfRule>
  </conditionalFormatting>
  <conditionalFormatting sqref="W2346">
    <cfRule type="expression" dxfId="1143" priority="1051">
      <formula>AND(IF($R$2346,$W$2346,TRUE),LEN(TRIM($W$2346))&gt;0)</formula>
    </cfRule>
  </conditionalFormatting>
  <conditionalFormatting sqref="W2346">
    <cfRule type="expression" dxfId="1142" priority="1050">
      <formula>OR($S$2346 = FALSE, AND($P$2346 = FALSE, ReportType &lt;&gt; "Final"), AND($Q$2346 = FALSE, ReportType &lt;&gt; "Rough"))</formula>
    </cfRule>
  </conditionalFormatting>
  <conditionalFormatting sqref="W2346">
    <cfRule type="expression" dxfId="1141" priority="1049">
      <formula>OR($T$2346 = TRUE, AND($W$2346 = TRUE, $S$2346 = FALSE))</formula>
    </cfRule>
  </conditionalFormatting>
  <conditionalFormatting sqref="W2349">
    <cfRule type="expression" dxfId="1140" priority="1048">
      <formula>AND($R$2349,$S$2349)</formula>
    </cfRule>
  </conditionalFormatting>
  <conditionalFormatting sqref="W2349">
    <cfRule type="expression" dxfId="1139" priority="1047">
      <formula>AND(IF($R$2349,$W$2349,TRUE),LEN(TRIM($W$2349))&gt;0)</formula>
    </cfRule>
  </conditionalFormatting>
  <conditionalFormatting sqref="W2349">
    <cfRule type="expression" dxfId="1138" priority="1046">
      <formula>OR($S$2349 = FALSE, AND($P$2349 = FALSE, ReportType &lt;&gt; "Final"), AND($Q$2349 = FALSE, ReportType &lt;&gt; "Rough"))</formula>
    </cfRule>
  </conditionalFormatting>
  <conditionalFormatting sqref="W2349">
    <cfRule type="expression" dxfId="1137" priority="1045">
      <formula>OR($T$2349 = TRUE, AND($W$2349 = TRUE, $S$2349 = FALSE))</formula>
    </cfRule>
  </conditionalFormatting>
  <conditionalFormatting sqref="W2351">
    <cfRule type="expression" dxfId="1136" priority="1044">
      <formula>AND($R$2351,$S$2351)</formula>
    </cfRule>
  </conditionalFormatting>
  <conditionalFormatting sqref="W2351">
    <cfRule type="expression" dxfId="1135" priority="1043">
      <formula>AND(IF($R$2351,$W$2351,TRUE),LEN(TRIM($W$2351))&gt;0)</formula>
    </cfRule>
  </conditionalFormatting>
  <conditionalFormatting sqref="W2351">
    <cfRule type="expression" dxfId="1134" priority="1042">
      <formula>OR($S$2351 = FALSE, AND($P$2351 = FALSE, ReportType &lt;&gt; "Final"), AND($Q$2351 = FALSE, ReportType &lt;&gt; "Rough"))</formula>
    </cfRule>
  </conditionalFormatting>
  <conditionalFormatting sqref="W2351">
    <cfRule type="expression" dxfId="1133" priority="1041">
      <formula>OR($T$2351 = TRUE, AND($W$2351 = TRUE, $S$2351 = FALSE))</formula>
    </cfRule>
  </conditionalFormatting>
  <conditionalFormatting sqref="W2354">
    <cfRule type="expression" dxfId="1132" priority="1040">
      <formula>AND($R$2354,$S$2354)</formula>
    </cfRule>
  </conditionalFormatting>
  <conditionalFormatting sqref="W2354">
    <cfRule type="expression" dxfId="1131" priority="1039">
      <formula>AND(IF($R$2354,$W$2354,TRUE),LEN(TRIM($W$2354))&gt;0)</formula>
    </cfRule>
  </conditionalFormatting>
  <conditionalFormatting sqref="W2354">
    <cfRule type="expression" dxfId="1130" priority="1038">
      <formula>OR($S$2354 = FALSE, AND($P$2354 = FALSE, ReportType &lt;&gt; "Final"), AND($Q$2354 = FALSE, ReportType &lt;&gt; "Rough"))</formula>
    </cfRule>
  </conditionalFormatting>
  <conditionalFormatting sqref="W2354">
    <cfRule type="expression" dxfId="1129" priority="1037">
      <formula>OR($T$2354 = TRUE, AND($W$2354 = TRUE, $S$2354 = FALSE))</formula>
    </cfRule>
  </conditionalFormatting>
  <conditionalFormatting sqref="W2356">
    <cfRule type="expression" dxfId="1128" priority="1036">
      <formula>AND($R$2356,$S$2356)</formula>
    </cfRule>
  </conditionalFormatting>
  <conditionalFormatting sqref="W2356">
    <cfRule type="expression" dxfId="1127" priority="1035">
      <formula>AND(IF($R$2356,$W$2356,TRUE),LEN(TRIM($W$2356))&gt;0)</formula>
    </cfRule>
  </conditionalFormatting>
  <conditionalFormatting sqref="W2356">
    <cfRule type="expression" dxfId="1126" priority="1034">
      <formula>OR($S$2356 = FALSE, AND($P$2356 = FALSE, ReportType &lt;&gt; "Final"), AND($Q$2356 = FALSE, ReportType &lt;&gt; "Rough"))</formula>
    </cfRule>
  </conditionalFormatting>
  <conditionalFormatting sqref="W2356">
    <cfRule type="expression" dxfId="1125" priority="1033">
      <formula>OR($T$2356 = TRUE, AND($W$2356 = TRUE, $S$2356 = FALSE))</formula>
    </cfRule>
  </conditionalFormatting>
  <conditionalFormatting sqref="W2357">
    <cfRule type="expression" dxfId="1124" priority="1032">
      <formula>AND($R$2357,$S$2357)</formula>
    </cfRule>
  </conditionalFormatting>
  <conditionalFormatting sqref="W2357">
    <cfRule type="expression" dxfId="1123" priority="1031">
      <formula>AND(IF($R$2357,$W$2357,TRUE),LEN(TRIM($W$2357))&gt;0)</formula>
    </cfRule>
  </conditionalFormatting>
  <conditionalFormatting sqref="W2357">
    <cfRule type="expression" dxfId="1122" priority="1030">
      <formula>OR($S$2357 = FALSE, AND($P$2357 = FALSE, ReportType &lt;&gt; "Final"), AND($Q$2357 = FALSE, ReportType &lt;&gt; "Rough"))</formula>
    </cfRule>
  </conditionalFormatting>
  <conditionalFormatting sqref="W2357">
    <cfRule type="expression" dxfId="1121" priority="1029">
      <formula>OR($T$2357 = TRUE, AND($W$2357 = TRUE, $S$2357 = FALSE))</formula>
    </cfRule>
  </conditionalFormatting>
  <conditionalFormatting sqref="W2359">
    <cfRule type="expression" dxfId="1120" priority="1028">
      <formula>AND($R$2359,$S$2359)</formula>
    </cfRule>
  </conditionalFormatting>
  <conditionalFormatting sqref="W2359">
    <cfRule type="expression" dxfId="1119" priority="1027">
      <formula>AND(IF($R$2359,$W$2359,TRUE),LEN(TRIM($W$2359))&gt;0)</formula>
    </cfRule>
  </conditionalFormatting>
  <conditionalFormatting sqref="W2359">
    <cfRule type="expression" dxfId="1118" priority="1026">
      <formula>OR($S$2359 = FALSE, AND($P$2359 = FALSE, ReportType &lt;&gt; "Final"), AND($Q$2359 = FALSE, ReportType &lt;&gt; "Rough"))</formula>
    </cfRule>
  </conditionalFormatting>
  <conditionalFormatting sqref="W2359">
    <cfRule type="expression" dxfId="1117" priority="1025">
      <formula>OR($T$2359 = TRUE, AND($W$2359 = TRUE, $S$2359 = FALSE))</formula>
    </cfRule>
  </conditionalFormatting>
  <conditionalFormatting sqref="W2361">
    <cfRule type="expression" dxfId="1116" priority="1024">
      <formula>AND($R$2361,$S$2361)</formula>
    </cfRule>
  </conditionalFormatting>
  <conditionalFormatting sqref="W2361">
    <cfRule type="expression" dxfId="1115" priority="1023">
      <formula>AND(IF($R$2361,$W$2361,TRUE),LEN(TRIM($W$2361))&gt;0)</formula>
    </cfRule>
  </conditionalFormatting>
  <conditionalFormatting sqref="W2361">
    <cfRule type="expression" dxfId="1114" priority="1022">
      <formula>OR($S$2361 = FALSE, AND($P$2361 = FALSE, ReportType &lt;&gt; "Final"), AND($Q$2361 = FALSE, ReportType &lt;&gt; "Rough"))</formula>
    </cfRule>
  </conditionalFormatting>
  <conditionalFormatting sqref="W2361">
    <cfRule type="expression" dxfId="1113" priority="1021">
      <formula>OR($T$2361 = TRUE, AND($W$2361 = TRUE, $S$2361 = FALSE))</formula>
    </cfRule>
  </conditionalFormatting>
  <conditionalFormatting sqref="W2362">
    <cfRule type="expression" dxfId="1112" priority="1020">
      <formula>AND($R$2362,$S$2362)</formula>
    </cfRule>
  </conditionalFormatting>
  <conditionalFormatting sqref="W2362">
    <cfRule type="expression" dxfId="1111" priority="1019">
      <formula>AND(IF($R$2362,$W$2362,TRUE),LEN(TRIM($W$2362))&gt;0)</formula>
    </cfRule>
  </conditionalFormatting>
  <conditionalFormatting sqref="W2362">
    <cfRule type="expression" dxfId="1110" priority="1018">
      <formula>OR($S$2362 = FALSE, AND($P$2362 = FALSE, ReportType &lt;&gt; "Final"), AND($Q$2362 = FALSE, ReportType &lt;&gt; "Rough"))</formula>
    </cfRule>
  </conditionalFormatting>
  <conditionalFormatting sqref="W2362">
    <cfRule type="expression" dxfId="1109" priority="1017">
      <formula>OR($T$2362 = TRUE, AND($W$2362 = TRUE, $S$2362 = FALSE))</formula>
    </cfRule>
  </conditionalFormatting>
  <conditionalFormatting sqref="W2365">
    <cfRule type="expression" dxfId="1108" priority="1016">
      <formula>AND($R$2365,$S$2365)</formula>
    </cfRule>
  </conditionalFormatting>
  <conditionalFormatting sqref="W2365">
    <cfRule type="expression" dxfId="1107" priority="1015">
      <formula>AND(IF($R$2365,$W$2365,TRUE),LEN(TRIM($W$2365))&gt;0)</formula>
    </cfRule>
  </conditionalFormatting>
  <conditionalFormatting sqref="W2365">
    <cfRule type="expression" dxfId="1106" priority="1014">
      <formula>OR($S$2365 = FALSE, AND($P$2365 = FALSE, ReportType &lt;&gt; "Final"), AND($Q$2365 = FALSE, ReportType &lt;&gt; "Rough"))</formula>
    </cfRule>
  </conditionalFormatting>
  <conditionalFormatting sqref="W2365">
    <cfRule type="expression" dxfId="1105" priority="1013">
      <formula>OR($T$2365 = TRUE, AND($W$2365 = TRUE, $S$2365 = FALSE))</formula>
    </cfRule>
  </conditionalFormatting>
  <conditionalFormatting sqref="W2371">
    <cfRule type="expression" dxfId="1104" priority="1012">
      <formula>AND($R$2371,$S$2371)</formula>
    </cfRule>
  </conditionalFormatting>
  <conditionalFormatting sqref="W2371">
    <cfRule type="expression" dxfId="1103" priority="1011">
      <formula>AND(IF($R$2371,$W$2371,TRUE),LEN(TRIM($W$2371))&gt;0)</formula>
    </cfRule>
  </conditionalFormatting>
  <conditionalFormatting sqref="W2371">
    <cfRule type="expression" dxfId="1102" priority="1010">
      <formula>OR($S$2371 = FALSE, AND($P$2371 = FALSE, ReportType &lt;&gt; "Final"), AND($Q$2371 = FALSE, ReportType &lt;&gt; "Rough"))</formula>
    </cfRule>
  </conditionalFormatting>
  <conditionalFormatting sqref="W2371">
    <cfRule type="expression" dxfId="1101" priority="1009">
      <formula>OR($T$2371 = TRUE, AND($W$2371 = TRUE, $S$2371 = FALSE))</formula>
    </cfRule>
  </conditionalFormatting>
  <conditionalFormatting sqref="W2373">
    <cfRule type="expression" dxfId="1100" priority="1008">
      <formula>AND($R$2373,$S$2373)</formula>
    </cfRule>
  </conditionalFormatting>
  <conditionalFormatting sqref="W2373">
    <cfRule type="expression" dxfId="1099" priority="1007">
      <formula>AND(IF($R$2373,$W$2373,TRUE),LEN(TRIM($W$2373))&gt;0)</formula>
    </cfRule>
  </conditionalFormatting>
  <conditionalFormatting sqref="W2373">
    <cfRule type="expression" dxfId="1098" priority="1006">
      <formula>OR($S$2373 = FALSE, AND($P$2373 = FALSE, ReportType &lt;&gt; "Final"), AND($Q$2373 = FALSE, ReportType &lt;&gt; "Rough"))</formula>
    </cfRule>
  </conditionalFormatting>
  <conditionalFormatting sqref="W2373">
    <cfRule type="expression" dxfId="1097" priority="1005">
      <formula>OR($T$2373 = TRUE, AND($W$2373 = TRUE, $S$2373 = FALSE))</formula>
    </cfRule>
  </conditionalFormatting>
  <conditionalFormatting sqref="W2377">
    <cfRule type="expression" dxfId="1096" priority="1004">
      <formula>AND($R$2377,$S$2377)</formula>
    </cfRule>
  </conditionalFormatting>
  <conditionalFormatting sqref="W2377">
    <cfRule type="expression" dxfId="1095" priority="1003">
      <formula>AND(IF($R$2377,$W$2377,TRUE),LEN(TRIM($W$2377))&gt;0)</formula>
    </cfRule>
  </conditionalFormatting>
  <conditionalFormatting sqref="W2377">
    <cfRule type="expression" dxfId="1094" priority="1002">
      <formula>OR($S$2377 = FALSE, AND($P$2377 = FALSE, ReportType &lt;&gt; "Final"), AND($Q$2377 = FALSE, ReportType &lt;&gt; "Rough"))</formula>
    </cfRule>
  </conditionalFormatting>
  <conditionalFormatting sqref="W2377">
    <cfRule type="expression" dxfId="1093" priority="1001">
      <formula>OR($T$2377 = TRUE, AND($W$2377 = TRUE, $S$2377 = FALSE))</formula>
    </cfRule>
  </conditionalFormatting>
  <conditionalFormatting sqref="W2384">
    <cfRule type="expression" dxfId="1092" priority="1000">
      <formula>AND($R$2384,$S$2384)</formula>
    </cfRule>
  </conditionalFormatting>
  <conditionalFormatting sqref="W2384">
    <cfRule type="expression" dxfId="1091" priority="999">
      <formula>AND(IF($R$2384,$W$2384,TRUE),LEN(TRIM($W$2384))&gt;0)</formula>
    </cfRule>
  </conditionalFormatting>
  <conditionalFormatting sqref="W2384">
    <cfRule type="expression" dxfId="1090" priority="998">
      <formula>OR($S$2384 = FALSE, AND($P$2384 = FALSE, ReportType &lt;&gt; "Final"), AND($Q$2384 = FALSE, ReportType &lt;&gt; "Rough"))</formula>
    </cfRule>
  </conditionalFormatting>
  <conditionalFormatting sqref="W2384">
    <cfRule type="expression" dxfId="1089" priority="997">
      <formula>OR($T$2384 = TRUE, AND($W$2384 = TRUE, $S$2384 = FALSE))</formula>
    </cfRule>
  </conditionalFormatting>
  <conditionalFormatting sqref="W2386">
    <cfRule type="expression" dxfId="1088" priority="996">
      <formula>AND($R$2386,$S$2386)</formula>
    </cfRule>
  </conditionalFormatting>
  <conditionalFormatting sqref="W2386">
    <cfRule type="expression" dxfId="1087" priority="995">
      <formula>AND(IF($R$2386,$W$2386,TRUE),LEN(TRIM($W$2386))&gt;0)</formula>
    </cfRule>
  </conditionalFormatting>
  <conditionalFormatting sqref="W2386">
    <cfRule type="expression" dxfId="1086" priority="994">
      <formula>OR($S$2386 = FALSE, AND($P$2386 = FALSE, ReportType &lt;&gt; "Final"), AND($Q$2386 = FALSE, ReportType &lt;&gt; "Rough"))</formula>
    </cfRule>
  </conditionalFormatting>
  <conditionalFormatting sqref="W2386">
    <cfRule type="expression" dxfId="1085" priority="993">
      <formula>OR($T$2386 = TRUE, AND($W$2386 = TRUE, $S$2386 = FALSE))</formula>
    </cfRule>
  </conditionalFormatting>
  <conditionalFormatting sqref="W2387">
    <cfRule type="expression" dxfId="1084" priority="992">
      <formula>AND($R$2387,$S$2387)</formula>
    </cfRule>
  </conditionalFormatting>
  <conditionalFormatting sqref="W2387">
    <cfRule type="expression" dxfId="1083" priority="991">
      <formula>AND(IF($R$2387,$W$2387,TRUE),LEN(TRIM($W$2387))&gt;0)</formula>
    </cfRule>
  </conditionalFormatting>
  <conditionalFormatting sqref="W2387">
    <cfRule type="expression" dxfId="1082" priority="990">
      <formula>OR($S$2387 = FALSE, AND($P$2387 = FALSE, ReportType &lt;&gt; "Final"), AND($Q$2387 = FALSE, ReportType &lt;&gt; "Rough"))</formula>
    </cfRule>
  </conditionalFormatting>
  <conditionalFormatting sqref="W2387">
    <cfRule type="expression" dxfId="1081" priority="989">
      <formula>OR($T$2387 = TRUE, AND($W$2387 = TRUE, $S$2387 = FALSE))</formula>
    </cfRule>
  </conditionalFormatting>
  <conditionalFormatting sqref="W2389">
    <cfRule type="expression" dxfId="1080" priority="988">
      <formula>AND($R$2389,$S$2389)</formula>
    </cfRule>
  </conditionalFormatting>
  <conditionalFormatting sqref="W2389">
    <cfRule type="expression" dxfId="1079" priority="987">
      <formula>AND(IF($R$2389,$W$2389,TRUE),LEN(TRIM($W$2389))&gt;0)</formula>
    </cfRule>
  </conditionalFormatting>
  <conditionalFormatting sqref="W2389">
    <cfRule type="expression" dxfId="1078" priority="986">
      <formula>OR($S$2389 = FALSE, AND($P$2389 = FALSE, ReportType &lt;&gt; "Final"), AND($Q$2389 = FALSE, ReportType &lt;&gt; "Rough"))</formula>
    </cfRule>
  </conditionalFormatting>
  <conditionalFormatting sqref="W2389">
    <cfRule type="expression" dxfId="1077" priority="985">
      <formula>OR($T$2389 = TRUE, AND($W$2389 = TRUE, $S$2389 = FALSE))</formula>
    </cfRule>
  </conditionalFormatting>
  <conditionalFormatting sqref="W2390">
    <cfRule type="expression" dxfId="1076" priority="984">
      <formula>AND($R$2390,$S$2390)</formula>
    </cfRule>
  </conditionalFormatting>
  <conditionalFormatting sqref="W2390">
    <cfRule type="expression" dxfId="1075" priority="983">
      <formula>AND(IF($R$2390,$W$2390,TRUE),LEN(TRIM($W$2390))&gt;0)</formula>
    </cfRule>
  </conditionalFormatting>
  <conditionalFormatting sqref="W2390">
    <cfRule type="expression" dxfId="1074" priority="982">
      <formula>OR($S$2390 = FALSE, AND($P$2390 = FALSE, ReportType &lt;&gt; "Final"), AND($Q$2390 = FALSE, ReportType &lt;&gt; "Rough"))</formula>
    </cfRule>
  </conditionalFormatting>
  <conditionalFormatting sqref="W2390">
    <cfRule type="expression" dxfId="1073" priority="981">
      <formula>OR($T$2390 = TRUE, AND($W$2390 = TRUE, $S$2390 = FALSE))</formula>
    </cfRule>
  </conditionalFormatting>
  <conditionalFormatting sqref="W2391">
    <cfRule type="expression" dxfId="1072" priority="980">
      <formula>AND($R$2391,$S$2391)</formula>
    </cfRule>
  </conditionalFormatting>
  <conditionalFormatting sqref="W2391">
    <cfRule type="expression" dxfId="1071" priority="979">
      <formula>AND(IF($R$2391,$W$2391,TRUE),LEN(TRIM($W$2391))&gt;0)</formula>
    </cfRule>
  </conditionalFormatting>
  <conditionalFormatting sqref="W2391">
    <cfRule type="expression" dxfId="1070" priority="978">
      <formula>OR($S$2391 = FALSE, AND($P$2391 = FALSE, ReportType &lt;&gt; "Final"), AND($Q$2391 = FALSE, ReportType &lt;&gt; "Rough"))</formula>
    </cfRule>
  </conditionalFormatting>
  <conditionalFormatting sqref="W2391">
    <cfRule type="expression" dxfId="1069" priority="977">
      <formula>OR($T$2391 = TRUE, AND($W$2391 = TRUE, $S$2391 = FALSE))</formula>
    </cfRule>
  </conditionalFormatting>
  <conditionalFormatting sqref="W2392">
    <cfRule type="expression" dxfId="1068" priority="976">
      <formula>AND($R$2392,$S$2392)</formula>
    </cfRule>
  </conditionalFormatting>
  <conditionalFormatting sqref="W2392">
    <cfRule type="expression" dxfId="1067" priority="975">
      <formula>AND(IF($R$2392,$W$2392,TRUE),LEN(TRIM($W$2392))&gt;0)</formula>
    </cfRule>
  </conditionalFormatting>
  <conditionalFormatting sqref="W2392">
    <cfRule type="expression" dxfId="1066" priority="974">
      <formula>OR($S$2392 = FALSE, AND($P$2392 = FALSE, ReportType &lt;&gt; "Final"), AND($Q$2392 = FALSE, ReportType &lt;&gt; "Rough"))</formula>
    </cfRule>
  </conditionalFormatting>
  <conditionalFormatting sqref="W2392">
    <cfRule type="expression" dxfId="1065" priority="973">
      <formula>OR($T$2392 = TRUE, AND($W$2392 = TRUE, $S$2392 = FALSE))</formula>
    </cfRule>
  </conditionalFormatting>
  <conditionalFormatting sqref="W2395">
    <cfRule type="expression" dxfId="1064" priority="972">
      <formula>AND($R$2395,$S$2395)</formula>
    </cfRule>
  </conditionalFormatting>
  <conditionalFormatting sqref="W2395">
    <cfRule type="expression" dxfId="1063" priority="971">
      <formula>AND(IF($R$2395,$W$2395,TRUE),LEN(TRIM($W$2395))&gt;0)</formula>
    </cfRule>
  </conditionalFormatting>
  <conditionalFormatting sqref="W2395">
    <cfRule type="expression" dxfId="1062" priority="970">
      <formula>OR($S$2395 = FALSE, AND($P$2395 = FALSE, ReportType &lt;&gt; "Final"), AND($Q$2395 = FALSE, ReportType &lt;&gt; "Rough"))</formula>
    </cfRule>
  </conditionalFormatting>
  <conditionalFormatting sqref="W2395">
    <cfRule type="expression" dxfId="1061" priority="969">
      <formula>OR($T$2395 = TRUE, AND($W$2395 = TRUE, $S$2395 = FALSE))</formula>
    </cfRule>
  </conditionalFormatting>
  <conditionalFormatting sqref="W2436">
    <cfRule type="expression" dxfId="1060" priority="968">
      <formula>AND($R$2436,$S$2436)</formula>
    </cfRule>
  </conditionalFormatting>
  <conditionalFormatting sqref="W2436">
    <cfRule type="expression" dxfId="1059" priority="967">
      <formula>AND(IF($R$2436,$W$2436,TRUE),LEN(TRIM($W$2436))&gt;0)</formula>
    </cfRule>
  </conditionalFormatting>
  <conditionalFormatting sqref="W2436">
    <cfRule type="expression" dxfId="1058" priority="966">
      <formula>OR($S$2436 = FALSE, AND($P$2436 = FALSE, ReportType &lt;&gt; "Final"), AND($Q$2436 = FALSE, ReportType &lt;&gt; "Rough"))</formula>
    </cfRule>
  </conditionalFormatting>
  <conditionalFormatting sqref="W2436">
    <cfRule type="expression" dxfId="1057" priority="965">
      <formula>OR($T$2436 = TRUE, AND($W$2436 = TRUE, $S$2436 = FALSE))</formula>
    </cfRule>
  </conditionalFormatting>
  <conditionalFormatting sqref="W2438">
    <cfRule type="expression" dxfId="1056" priority="964">
      <formula>AND($R$2438,$S$2438)</formula>
    </cfRule>
  </conditionalFormatting>
  <conditionalFormatting sqref="W2438">
    <cfRule type="expression" dxfId="1055" priority="963">
      <formula>AND(IF($R$2438,$W$2438,TRUE),LEN(TRIM($W$2438))&gt;0)</formula>
    </cfRule>
  </conditionalFormatting>
  <conditionalFormatting sqref="W2438">
    <cfRule type="expression" dxfId="1054" priority="962">
      <formula>OR($S$2438 = FALSE, AND($P$2438 = FALSE, ReportType &lt;&gt; "Final"), AND($Q$2438 = FALSE, ReportType &lt;&gt; "Rough"))</formula>
    </cfRule>
  </conditionalFormatting>
  <conditionalFormatting sqref="W2438">
    <cfRule type="expression" dxfId="1053" priority="961">
      <formula>OR($T$2438 = TRUE, AND($W$2438 = TRUE, $S$2438 = FALSE))</formula>
    </cfRule>
  </conditionalFormatting>
  <conditionalFormatting sqref="W2441">
    <cfRule type="expression" dxfId="1052" priority="960">
      <formula>AND($R$2441,$S$2441)</formula>
    </cfRule>
  </conditionalFormatting>
  <conditionalFormatting sqref="W2441">
    <cfRule type="expression" dxfId="1051" priority="959">
      <formula>AND(IF($R$2441,$W$2441,TRUE),LEN(TRIM($W$2441))&gt;0)</formula>
    </cfRule>
  </conditionalFormatting>
  <conditionalFormatting sqref="W2441">
    <cfRule type="expression" dxfId="1050" priority="958">
      <formula>OR($S$2441 = FALSE, AND($P$2441 = FALSE, ReportType &lt;&gt; "Final"), AND($Q$2441 = FALSE, ReportType &lt;&gt; "Rough"))</formula>
    </cfRule>
  </conditionalFormatting>
  <conditionalFormatting sqref="W2441">
    <cfRule type="expression" dxfId="1049" priority="957">
      <formula>OR($T$2441 = TRUE, AND($W$2441 = TRUE, $S$2441 = FALSE))</formula>
    </cfRule>
  </conditionalFormatting>
  <conditionalFormatting sqref="W2454">
    <cfRule type="expression" dxfId="1048" priority="956">
      <formula>AND($R$2454,$S$2454)</formula>
    </cfRule>
  </conditionalFormatting>
  <conditionalFormatting sqref="W2454">
    <cfRule type="expression" dxfId="1047" priority="955">
      <formula>AND(IF($R$2454,$W$2454,TRUE),LEN(TRIM($W$2454))&gt;0)</formula>
    </cfRule>
  </conditionalFormatting>
  <conditionalFormatting sqref="W2454">
    <cfRule type="expression" dxfId="1046" priority="954">
      <formula>OR($S$2454 = FALSE, AND($P$2454 = FALSE, ReportType &lt;&gt; "Final"), AND($Q$2454 = FALSE, ReportType &lt;&gt; "Rough"))</formula>
    </cfRule>
  </conditionalFormatting>
  <conditionalFormatting sqref="W2454">
    <cfRule type="expression" dxfId="1045" priority="953">
      <formula>OR($T$2454 = TRUE, AND($W$2454 = TRUE, $S$2454 = FALSE))</formula>
    </cfRule>
  </conditionalFormatting>
  <conditionalFormatting sqref="W2456">
    <cfRule type="expression" dxfId="1044" priority="952">
      <formula>AND($R$2456,$S$2456)</formula>
    </cfRule>
  </conditionalFormatting>
  <conditionalFormatting sqref="W2456">
    <cfRule type="expression" dxfId="1043" priority="951">
      <formula>AND(IF($R$2456,$W$2456,TRUE),LEN(TRIM($W$2456))&gt;0)</formula>
    </cfRule>
  </conditionalFormatting>
  <conditionalFormatting sqref="W2456">
    <cfRule type="expression" dxfId="1042" priority="950">
      <formula>OR($S$2456 = FALSE, AND($P$2456 = FALSE, ReportType &lt;&gt; "Final"), AND($Q$2456 = FALSE, ReportType &lt;&gt; "Rough"))</formula>
    </cfRule>
  </conditionalFormatting>
  <conditionalFormatting sqref="W2456">
    <cfRule type="expression" dxfId="1041" priority="949">
      <formula>OR($T$2456 = TRUE, AND($W$2456 = TRUE, $S$2456 = FALSE))</formula>
    </cfRule>
  </conditionalFormatting>
  <conditionalFormatting sqref="W1971">
    <cfRule type="expression" dxfId="1040" priority="948">
      <formula>AND(R1971,S1971)</formula>
    </cfRule>
  </conditionalFormatting>
  <conditionalFormatting sqref="W1971">
    <cfRule type="expression" dxfId="1039" priority="947">
      <formula>NOT(ISBLANK(W1971))</formula>
    </cfRule>
  </conditionalFormatting>
  <conditionalFormatting sqref="W1971">
    <cfRule type="expression" dxfId="1038" priority="946">
      <formula>OR(S1971 = FALSE, AND(P1971 = FALSE, ReportType &lt;&gt; "Final"), AND(Q1971 = FALSE, ReportType &lt;&gt; "Rough"))</formula>
    </cfRule>
  </conditionalFormatting>
  <conditionalFormatting sqref="W1971">
    <cfRule type="expression" dxfId="1037" priority="945">
      <formula>OR(T1971 = TRUE, AND(W1971 = TRUE, S1971 = FALSE))</formula>
    </cfRule>
  </conditionalFormatting>
  <conditionalFormatting sqref="W1981">
    <cfRule type="expression" dxfId="1036" priority="944">
      <formula>AND(R1981,S1981)</formula>
    </cfRule>
  </conditionalFormatting>
  <conditionalFormatting sqref="W1981">
    <cfRule type="expression" dxfId="1035" priority="943">
      <formula>NOT(ISBLANK(W1981))</formula>
    </cfRule>
  </conditionalFormatting>
  <conditionalFormatting sqref="W1981">
    <cfRule type="expression" dxfId="1034" priority="942">
      <formula>OR(S1981 = FALSE, AND(P1981 = FALSE, ReportType &lt;&gt; "Final"), AND(Q1981 = FALSE, ReportType &lt;&gt; "Rough"))</formula>
    </cfRule>
  </conditionalFormatting>
  <conditionalFormatting sqref="W1981">
    <cfRule type="expression" dxfId="1033" priority="941">
      <formula>OR(T1981 = TRUE, AND(W1981 = TRUE, S1981 = FALSE))</formula>
    </cfRule>
  </conditionalFormatting>
  <conditionalFormatting sqref="W1982">
    <cfRule type="expression" dxfId="1032" priority="940">
      <formula>AND(R1982,S1982)</formula>
    </cfRule>
  </conditionalFormatting>
  <conditionalFormatting sqref="W1982">
    <cfRule type="expression" dxfId="1031" priority="939">
      <formula>NOT(ISBLANK(W1982))</formula>
    </cfRule>
  </conditionalFormatting>
  <conditionalFormatting sqref="W1982">
    <cfRule type="expression" dxfId="1030" priority="938">
      <formula>OR(S1982 = FALSE, AND(P1982 = FALSE, ReportType &lt;&gt; "Final"), AND(Q1982 = FALSE, ReportType &lt;&gt; "Rough"))</formula>
    </cfRule>
  </conditionalFormatting>
  <conditionalFormatting sqref="W1982">
    <cfRule type="expression" dxfId="1029" priority="937">
      <formula>OR(T1982 = TRUE, AND(W1982 = TRUE, S1982 = FALSE))</formula>
    </cfRule>
  </conditionalFormatting>
  <conditionalFormatting sqref="W1924">
    <cfRule type="expression" dxfId="1028" priority="932">
      <formula>AND($R$1924,$S$1924)</formula>
    </cfRule>
  </conditionalFormatting>
  <conditionalFormatting sqref="W1924">
    <cfRule type="expression" dxfId="1027" priority="931">
      <formula>AND($W$1924&lt;&gt;"Not Met",LEN(TRIM($W$1924))&gt;0)</formula>
    </cfRule>
  </conditionalFormatting>
  <conditionalFormatting sqref="W1924">
    <cfRule type="expression" dxfId="1026" priority="930">
      <formula>OR($S$1924 = FALSE, AND($P$1924 = FALSE, ReportType &lt;&gt; "Final"), AND($Q$1924 = FALSE, ReportType &lt;&gt; "Rough"))</formula>
    </cfRule>
  </conditionalFormatting>
  <conditionalFormatting sqref="W1924">
    <cfRule type="expression" dxfId="1025" priority="929">
      <formula>OR($T$1924 = TRUE, AND($W$1924="Met", $S$1924 = FALSE))</formula>
    </cfRule>
  </conditionalFormatting>
  <conditionalFormatting sqref="W1926">
    <cfRule type="expression" dxfId="1024" priority="928">
      <formula>AND($R$1926,$S$1926)</formula>
    </cfRule>
  </conditionalFormatting>
  <conditionalFormatting sqref="W1926">
    <cfRule type="expression" dxfId="1023" priority="927">
      <formula>AND($W$1926&lt;&gt;"Not Met",LEN(TRIM($W$1926))&gt;0)</formula>
    </cfRule>
  </conditionalFormatting>
  <conditionalFormatting sqref="W1926">
    <cfRule type="expression" dxfId="1022" priority="926">
      <formula>OR($S$1926 = FALSE, AND($P$1926 = FALSE, ReportType &lt;&gt; "Final"), AND($Q$1926 = FALSE, ReportType &lt;&gt; "Rough"))</formula>
    </cfRule>
  </conditionalFormatting>
  <conditionalFormatting sqref="W1926">
    <cfRule type="expression" dxfId="1021" priority="925">
      <formula>OR($T$1926 = TRUE, AND($W$1926="Met", $S$1926 = FALSE))</formula>
    </cfRule>
  </conditionalFormatting>
  <conditionalFormatting sqref="X1">
    <cfRule type="expression" dxfId="1020" priority="5620">
      <formula>verStartError</formula>
    </cfRule>
  </conditionalFormatting>
  <conditionalFormatting sqref="W1921">
    <cfRule type="expression" dxfId="1019" priority="924">
      <formula>AND($R$1921,$S$1921)</formula>
    </cfRule>
  </conditionalFormatting>
  <conditionalFormatting sqref="W1921">
    <cfRule type="expression" dxfId="1018" priority="923">
      <formula>AND(IF($R$1921,$W$1921,TRUE),LEN(TRIM($W$1921))&gt;0)</formula>
    </cfRule>
  </conditionalFormatting>
  <conditionalFormatting sqref="W1921">
    <cfRule type="expression" dxfId="1017" priority="922">
      <formula>OR($S$1921 = FALSE, AND($P$1921 = FALSE, ReportType &lt;&gt; "Final"), AND($Q$1921 = FALSE, ReportType &lt;&gt; "Rough"))</formula>
    </cfRule>
  </conditionalFormatting>
  <conditionalFormatting sqref="W1921">
    <cfRule type="expression" dxfId="1016" priority="921">
      <formula>OR($T$1921 = TRUE, AND($W$1921 = TRUE, $S$1921 = FALSE))</formula>
    </cfRule>
  </conditionalFormatting>
  <conditionalFormatting sqref="W978">
    <cfRule type="expression" dxfId="1015" priority="915">
      <formula>AND(R978,S978)</formula>
    </cfRule>
  </conditionalFormatting>
  <conditionalFormatting sqref="W978">
    <cfRule type="expression" dxfId="1014" priority="914">
      <formula>NOT(ISBLANK(W978))</formula>
    </cfRule>
  </conditionalFormatting>
  <conditionalFormatting sqref="W978">
    <cfRule type="expression" dxfId="1013" priority="913">
      <formula>S978 = FALSE</formula>
    </cfRule>
  </conditionalFormatting>
  <conditionalFormatting sqref="W978">
    <cfRule type="expression" dxfId="1012" priority="912">
      <formula>OR(T978 = TRUE, AND(W978 = TRUE, S978 = FALSE))</formula>
    </cfRule>
  </conditionalFormatting>
  <conditionalFormatting sqref="W1515">
    <cfRule type="expression" dxfId="1011" priority="911">
      <formula>AND($R$1515,$S$1515)</formula>
    </cfRule>
  </conditionalFormatting>
  <conditionalFormatting sqref="W1515">
    <cfRule type="expression" dxfId="1010" priority="910">
      <formula>AND(IF($R$1515,$W$1515,TRUE),LEN(TRIM($W$1515))&gt;0)</formula>
    </cfRule>
  </conditionalFormatting>
  <conditionalFormatting sqref="W1515">
    <cfRule type="expression" dxfId="1009" priority="909">
      <formula>OR($S$1515 = FALSE, AND($P$1515 = FALSE, ReportType &lt;&gt; "Final"), AND($Q$1515 = FALSE, ReportType &lt;&gt; "Rough"))</formula>
    </cfRule>
  </conditionalFormatting>
  <conditionalFormatting sqref="W1515">
    <cfRule type="expression" dxfId="1008" priority="908">
      <formula>OR($T$1515 = TRUE, AND($W$1515 = TRUE, $S$1515 = FALSE))</formula>
    </cfRule>
  </conditionalFormatting>
  <conditionalFormatting sqref="W796">
    <cfRule type="expression" dxfId="1007" priority="11235">
      <formula>OR(S796 = FALSE, AND(P796 = FALSE, ReportType &lt;&gt; "Final"), AND(Q796 = FALSE, ReportType &lt;&gt; "Rough"))</formula>
    </cfRule>
  </conditionalFormatting>
  <conditionalFormatting sqref="W807">
    <cfRule type="expression" dxfId="1006" priority="11236">
      <formula>OR(S807 = FALSE, AND($P$807 = FALSE, ReportType &lt;&gt; "Final"), AND($Q$807 = FALSE, ReportType &lt;&gt; "Rough"))</formula>
    </cfRule>
  </conditionalFormatting>
  <conditionalFormatting sqref="W37">
    <cfRule type="expression" dxfId="1005" priority="857">
      <formula>AND($R$37,$S$37)</formula>
    </cfRule>
  </conditionalFormatting>
  <conditionalFormatting sqref="W37">
    <cfRule type="expression" dxfId="1004" priority="856">
      <formula>AND($W$37&lt;&gt;"Not Met",LEN(TRIM($W$37))&gt;0)</formula>
    </cfRule>
  </conditionalFormatting>
  <conditionalFormatting sqref="W37">
    <cfRule type="expression" dxfId="1003" priority="855">
      <formula>OR($S$37 = FALSE, AND($P$37 = FALSE, ReportType &lt;&gt; "Final"), AND($Q$37 = FALSE, ReportType &lt;&gt; "Rough"))</formula>
    </cfRule>
  </conditionalFormatting>
  <conditionalFormatting sqref="W37">
    <cfRule type="expression" dxfId="1002" priority="854">
      <formula>OR($T$37 = TRUE, AND(LEN(TRIM($W$37))&gt;0, $S$37 = FALSE))</formula>
    </cfRule>
  </conditionalFormatting>
  <conditionalFormatting sqref="W50">
    <cfRule type="expression" dxfId="1001" priority="853">
      <formula>AND($R$50,$S$50)</formula>
    </cfRule>
  </conditionalFormatting>
  <conditionalFormatting sqref="W50">
    <cfRule type="expression" dxfId="1000" priority="852">
      <formula>AND(IF($R$50,$W$50,TRUE),LEN(TRIM($W$50))&gt;0)</formula>
    </cfRule>
  </conditionalFormatting>
  <conditionalFormatting sqref="W50">
    <cfRule type="expression" dxfId="999" priority="851">
      <formula>OR($S$50 = FALSE, AND($P$50 = FALSE, ReportType &lt;&gt; "Final"), AND($Q$50 = FALSE, ReportType &lt;&gt; "Rough"))</formula>
    </cfRule>
  </conditionalFormatting>
  <conditionalFormatting sqref="W50">
    <cfRule type="expression" dxfId="998" priority="850">
      <formula>OR($T$50 = TRUE, AND($W$50 = TRUE, $S$50 = FALSE))</formula>
    </cfRule>
  </conditionalFormatting>
  <conditionalFormatting sqref="W52">
    <cfRule type="expression" dxfId="997" priority="849">
      <formula>AND($R$52,$S$52)</formula>
    </cfRule>
  </conditionalFormatting>
  <conditionalFormatting sqref="W52">
    <cfRule type="expression" dxfId="996" priority="848">
      <formula>AND(IF($R$52,$W$52,TRUE),LEN(TRIM($W$52))&gt;0)</formula>
    </cfRule>
  </conditionalFormatting>
  <conditionalFormatting sqref="W52">
    <cfRule type="expression" dxfId="995" priority="847">
      <formula>OR($S$52 = FALSE, AND($P$52 = FALSE, ReportType &lt;&gt; "Final"), AND($Q$52 = FALSE, ReportType &lt;&gt; "Rough"))</formula>
    </cfRule>
  </conditionalFormatting>
  <conditionalFormatting sqref="W52">
    <cfRule type="expression" dxfId="994" priority="846">
      <formula>OR($T$52 = TRUE, AND($W$52 = TRUE, $S$52 = FALSE))</formula>
    </cfRule>
  </conditionalFormatting>
  <conditionalFormatting sqref="W55">
    <cfRule type="expression" dxfId="993" priority="845">
      <formula>AND($R$55,$S$55)</formula>
    </cfRule>
  </conditionalFormatting>
  <conditionalFormatting sqref="W55">
    <cfRule type="expression" dxfId="992" priority="844">
      <formula>AND(IF($R$55,$W$55,TRUE),LEN(TRIM($W$55))&gt;0)</formula>
    </cfRule>
  </conditionalFormatting>
  <conditionalFormatting sqref="W55">
    <cfRule type="expression" dxfId="991" priority="843">
      <formula>OR($S$55 = FALSE, AND($P$55 = FALSE, ReportType &lt;&gt; "Final"), AND($Q$55 = FALSE, ReportType &lt;&gt; "Rough"))</formula>
    </cfRule>
  </conditionalFormatting>
  <conditionalFormatting sqref="W55">
    <cfRule type="expression" dxfId="990" priority="842">
      <formula>OR($T$55 = TRUE, AND($W$55 = TRUE, $S$55 = FALSE))</formula>
    </cfRule>
  </conditionalFormatting>
  <conditionalFormatting sqref="W83">
    <cfRule type="expression" dxfId="989" priority="841">
      <formula>AND($R$83,$S$83)</formula>
    </cfRule>
  </conditionalFormatting>
  <conditionalFormatting sqref="W83">
    <cfRule type="expression" dxfId="988" priority="840">
      <formula>AND(IF($R$83,$W$83,TRUE),LEN(TRIM($W$83))&gt;0)</formula>
    </cfRule>
  </conditionalFormatting>
  <conditionalFormatting sqref="W83">
    <cfRule type="expression" dxfId="987" priority="839">
      <formula>OR($S$83 = FALSE, AND($P$83 = FALSE, ReportType &lt;&gt; "Final"), AND($Q$83 = FALSE, ReportType &lt;&gt; "Rough"))</formula>
    </cfRule>
  </conditionalFormatting>
  <conditionalFormatting sqref="W83">
    <cfRule type="expression" dxfId="986" priority="838">
      <formula>OR($T$83 = TRUE, AND($W$83 = TRUE, $S$83 = FALSE))</formula>
    </cfRule>
  </conditionalFormatting>
  <conditionalFormatting sqref="W140">
    <cfRule type="expression" dxfId="985" priority="837">
      <formula>AND($R$140,$S$140)</formula>
    </cfRule>
  </conditionalFormatting>
  <conditionalFormatting sqref="W140">
    <cfRule type="expression" dxfId="984" priority="836">
      <formula>AND(IF($R$140,$W$140,TRUE),LEN(TRIM($W$140))&gt;0)</formula>
    </cfRule>
  </conditionalFormatting>
  <conditionalFormatting sqref="W140">
    <cfRule type="expression" dxfId="983" priority="835">
      <formula>OR($S$140 = FALSE, AND($P$140 = FALSE, ReportType &lt;&gt; "Final"), AND($Q$140 = FALSE, ReportType &lt;&gt; "Rough"))</formula>
    </cfRule>
  </conditionalFormatting>
  <conditionalFormatting sqref="W140">
    <cfRule type="expression" dxfId="982" priority="834">
      <formula>OR($T$140 = TRUE, AND($W$140 = TRUE, $S$140 = FALSE))</formula>
    </cfRule>
  </conditionalFormatting>
  <conditionalFormatting sqref="W142">
    <cfRule type="expression" dxfId="981" priority="833">
      <formula>AND($R$142,$S$142)</formula>
    </cfRule>
  </conditionalFormatting>
  <conditionalFormatting sqref="W142">
    <cfRule type="expression" dxfId="980" priority="832">
      <formula>AND(IF($R$142,$W$142,TRUE),LEN(TRIM($W$142))&gt;0)</formula>
    </cfRule>
  </conditionalFormatting>
  <conditionalFormatting sqref="W142">
    <cfRule type="expression" dxfId="979" priority="831">
      <formula>OR($S$142 = FALSE, AND($P$142 = FALSE, ReportType &lt;&gt; "Final"), AND($Q$142 = FALSE, ReportType &lt;&gt; "Rough"))</formula>
    </cfRule>
  </conditionalFormatting>
  <conditionalFormatting sqref="W142">
    <cfRule type="expression" dxfId="978" priority="830">
      <formula>OR($T$142 = TRUE, AND($W$142 = TRUE, $S$142 = FALSE))</formula>
    </cfRule>
  </conditionalFormatting>
  <conditionalFormatting sqref="W162">
    <cfRule type="expression" dxfId="977" priority="829">
      <formula>AND($R$162,$S$162)</formula>
    </cfRule>
  </conditionalFormatting>
  <conditionalFormatting sqref="W162">
    <cfRule type="expression" dxfId="976" priority="828">
      <formula>AND(IF($R$162,$W$162,TRUE),LEN(TRIM($W$162))&gt;0)</formula>
    </cfRule>
  </conditionalFormatting>
  <conditionalFormatting sqref="W162">
    <cfRule type="expression" dxfId="975" priority="827">
      <formula>OR($S$162 = FALSE, AND($P$162 = FALSE, ReportType &lt;&gt; "Final"), AND($Q$162 = FALSE, ReportType &lt;&gt; "Rough"))</formula>
    </cfRule>
  </conditionalFormatting>
  <conditionalFormatting sqref="W162">
    <cfRule type="expression" dxfId="974" priority="826">
      <formula>OR($T$162 = TRUE, AND($W$162 = TRUE, $S$162 = FALSE))</formula>
    </cfRule>
  </conditionalFormatting>
  <conditionalFormatting sqref="W288">
    <cfRule type="expression" dxfId="973" priority="825">
      <formula>AND($R$288,$S$288)</formula>
    </cfRule>
  </conditionalFormatting>
  <conditionalFormatting sqref="W288">
    <cfRule type="expression" dxfId="972" priority="824">
      <formula>AND(IF($R$288,$W$288,TRUE),LEN(TRIM($W$288))&gt;0)</formula>
    </cfRule>
  </conditionalFormatting>
  <conditionalFormatting sqref="W288">
    <cfRule type="expression" dxfId="971" priority="823">
      <formula>OR($S$288 = FALSE, AND($P$288 = FALSE, ReportType &lt;&gt; "Final"), AND($Q$288 = FALSE, ReportType &lt;&gt; "Rough"))</formula>
    </cfRule>
  </conditionalFormatting>
  <conditionalFormatting sqref="W288">
    <cfRule type="expression" dxfId="970" priority="822">
      <formula>OR($T$288 = TRUE, AND($W$288 = TRUE, $S$288 = FALSE))</formula>
    </cfRule>
  </conditionalFormatting>
  <conditionalFormatting sqref="W291">
    <cfRule type="expression" dxfId="969" priority="821">
      <formula>AND($R$291,$S$291)</formula>
    </cfRule>
  </conditionalFormatting>
  <conditionalFormatting sqref="W291">
    <cfRule type="expression" dxfId="968" priority="820">
      <formula>AND(IF($R$291,$W$291,TRUE),LEN(TRIM($W$291))&gt;0)</formula>
    </cfRule>
  </conditionalFormatting>
  <conditionalFormatting sqref="W291">
    <cfRule type="expression" dxfId="967" priority="819">
      <formula>OR($S$291 = FALSE, AND($P$291 = FALSE, ReportType &lt;&gt; "Final"), AND($Q$291 = FALSE, ReportType &lt;&gt; "Rough"))</formula>
    </cfRule>
  </conditionalFormatting>
  <conditionalFormatting sqref="W291">
    <cfRule type="expression" dxfId="966" priority="818">
      <formula>OR($T$291 = TRUE, AND($W$291 = TRUE, $S$291 = FALSE))</formula>
    </cfRule>
  </conditionalFormatting>
  <conditionalFormatting sqref="W292">
    <cfRule type="expression" dxfId="965" priority="817">
      <formula>AND($R$292,$S$292)</formula>
    </cfRule>
  </conditionalFormatting>
  <conditionalFormatting sqref="W292">
    <cfRule type="expression" dxfId="964" priority="816">
      <formula>AND(IF($R$292,$W$292,TRUE),LEN(TRIM($W$292))&gt;0)</formula>
    </cfRule>
  </conditionalFormatting>
  <conditionalFormatting sqref="W292">
    <cfRule type="expression" dxfId="963" priority="815">
      <formula>OR($S$292 = FALSE, AND($P$292 = FALSE, ReportType &lt;&gt; "Final"), AND($Q$292 = FALSE, ReportType &lt;&gt; "Rough"))</formula>
    </cfRule>
  </conditionalFormatting>
  <conditionalFormatting sqref="W292">
    <cfRule type="expression" dxfId="962" priority="814">
      <formula>OR($T$292 = TRUE, AND($W$292 = TRUE, $S$292 = FALSE))</formula>
    </cfRule>
  </conditionalFormatting>
  <conditionalFormatting sqref="W305">
    <cfRule type="expression" dxfId="961" priority="813">
      <formula>AND($R$305,$S$305)</formula>
    </cfRule>
  </conditionalFormatting>
  <conditionalFormatting sqref="W305">
    <cfRule type="expression" dxfId="960" priority="812">
      <formula>AND(IF($R$305,$W$305,TRUE),LEN(TRIM($W$305))&gt;0)</formula>
    </cfRule>
  </conditionalFormatting>
  <conditionalFormatting sqref="W305">
    <cfRule type="expression" dxfId="959" priority="811">
      <formula>OR($S$305 = FALSE, AND($P$305 = FALSE, ReportType &lt;&gt; "Final"), AND($Q$305 = FALSE, ReportType &lt;&gt; "Rough"))</formula>
    </cfRule>
  </conditionalFormatting>
  <conditionalFormatting sqref="W305">
    <cfRule type="expression" dxfId="958" priority="810">
      <formula>OR($T$305 = TRUE, AND($W$305 = TRUE, $S$305 = FALSE))</formula>
    </cfRule>
  </conditionalFormatting>
  <conditionalFormatting sqref="W309">
    <cfRule type="expression" dxfId="957" priority="809">
      <formula>AND($R$309,$S$309)</formula>
    </cfRule>
  </conditionalFormatting>
  <conditionalFormatting sqref="W309">
    <cfRule type="expression" dxfId="956" priority="808">
      <formula>AND(IF($R$309,$W$309,TRUE),LEN(TRIM($W$309))&gt;0)</formula>
    </cfRule>
  </conditionalFormatting>
  <conditionalFormatting sqref="W309">
    <cfRule type="expression" dxfId="955" priority="807">
      <formula>OR($S$309 = FALSE, AND($P$309 = FALSE, ReportType &lt;&gt; "Final"), AND($Q$309 = FALSE, ReportType &lt;&gt; "Rough"))</formula>
    </cfRule>
  </conditionalFormatting>
  <conditionalFormatting sqref="W309">
    <cfRule type="expression" dxfId="954" priority="806">
      <formula>OR($T$309 = TRUE, AND($W$309 = TRUE, $S$309 = FALSE))</formula>
    </cfRule>
  </conditionalFormatting>
  <conditionalFormatting sqref="W312">
    <cfRule type="expression" dxfId="953" priority="805">
      <formula>AND($R$312,$S$312)</formula>
    </cfRule>
  </conditionalFormatting>
  <conditionalFormatting sqref="W312">
    <cfRule type="expression" dxfId="952" priority="804">
      <formula>AND(IF($R$312,$W$312,TRUE),LEN(TRIM($W$312))&gt;0)</formula>
    </cfRule>
  </conditionalFormatting>
  <conditionalFormatting sqref="W312">
    <cfRule type="expression" dxfId="951" priority="803">
      <formula>OR($S$312 = FALSE, AND($P$312 = FALSE, ReportType &lt;&gt; "Final"), AND($Q$312 = FALSE, ReportType &lt;&gt; "Rough"))</formula>
    </cfRule>
  </conditionalFormatting>
  <conditionalFormatting sqref="W312">
    <cfRule type="expression" dxfId="950" priority="802">
      <formula>OR($T$312 = TRUE, AND($W$312 = TRUE, $S$312 = FALSE))</formula>
    </cfRule>
  </conditionalFormatting>
  <conditionalFormatting sqref="W315">
    <cfRule type="expression" dxfId="949" priority="801">
      <formula>AND($R$315,$S$315)</formula>
    </cfRule>
  </conditionalFormatting>
  <conditionalFormatting sqref="W315">
    <cfRule type="expression" dxfId="948" priority="800">
      <formula>AND(IF($R$315,$W$315,TRUE),LEN(TRIM($W$315))&gt;0)</formula>
    </cfRule>
  </conditionalFormatting>
  <conditionalFormatting sqref="W315">
    <cfRule type="expression" dxfId="947" priority="799">
      <formula>OR($S$315 = FALSE, AND($P$315 = FALSE, ReportType &lt;&gt; "Final"), AND($Q$315 = FALSE, ReportType &lt;&gt; "Rough"))</formula>
    </cfRule>
  </conditionalFormatting>
  <conditionalFormatting sqref="W315">
    <cfRule type="expression" dxfId="946" priority="798">
      <formula>OR($T$315 = TRUE, AND($W$315 = TRUE, $S$315 = FALSE))</formula>
    </cfRule>
  </conditionalFormatting>
  <conditionalFormatting sqref="W316">
    <cfRule type="expression" dxfId="945" priority="797">
      <formula>AND($R$316,$S$316)</formula>
    </cfRule>
  </conditionalFormatting>
  <conditionalFormatting sqref="W316">
    <cfRule type="expression" dxfId="944" priority="796">
      <formula>AND(IF($R$316,$W$316,TRUE),LEN(TRIM($W$316))&gt;0)</formula>
    </cfRule>
  </conditionalFormatting>
  <conditionalFormatting sqref="W316">
    <cfRule type="expression" dxfId="943" priority="795">
      <formula>OR($S$316 = FALSE, AND($P$316 = FALSE, ReportType &lt;&gt; "Final"), AND($Q$316 = FALSE, ReportType &lt;&gt; "Rough"))</formula>
    </cfRule>
  </conditionalFormatting>
  <conditionalFormatting sqref="W316">
    <cfRule type="expression" dxfId="942" priority="794">
      <formula>OR($T$316 = TRUE, AND($W$316 = TRUE, $S$316 = FALSE))</formula>
    </cfRule>
  </conditionalFormatting>
  <conditionalFormatting sqref="W321">
    <cfRule type="expression" dxfId="941" priority="793">
      <formula>AND($R$321,$S$321)</formula>
    </cfRule>
  </conditionalFormatting>
  <conditionalFormatting sqref="W321">
    <cfRule type="expression" dxfId="940" priority="792">
      <formula>AND(IF($R$321,$W$321,TRUE),LEN(TRIM($W$321))&gt;0)</formula>
    </cfRule>
  </conditionalFormatting>
  <conditionalFormatting sqref="W321">
    <cfRule type="expression" dxfId="939" priority="791">
      <formula>OR($S$321 = FALSE, AND($P$321 = FALSE, ReportType &lt;&gt; "Final"), AND($Q$321 = FALSE, ReportType &lt;&gt; "Rough"))</formula>
    </cfRule>
  </conditionalFormatting>
  <conditionalFormatting sqref="W321">
    <cfRule type="expression" dxfId="938" priority="790">
      <formula>OR($T$321 = TRUE, AND($W$321 = TRUE, $S$321 = FALSE))</formula>
    </cfRule>
  </conditionalFormatting>
  <conditionalFormatting sqref="W323">
    <cfRule type="expression" dxfId="937" priority="789">
      <formula>AND($R$323,$S$323)</formula>
    </cfRule>
  </conditionalFormatting>
  <conditionalFormatting sqref="W323">
    <cfRule type="expression" dxfId="936" priority="788">
      <formula>AND(IF($R$323,$W$323,TRUE),LEN(TRIM($W$323))&gt;0)</formula>
    </cfRule>
  </conditionalFormatting>
  <conditionalFormatting sqref="W323">
    <cfRule type="expression" dxfId="935" priority="787">
      <formula>OR($S$323 = FALSE, AND($P$323 = FALSE, ReportType &lt;&gt; "Final"), AND($Q$323 = FALSE, ReportType &lt;&gt; "Rough"))</formula>
    </cfRule>
  </conditionalFormatting>
  <conditionalFormatting sqref="W323">
    <cfRule type="expression" dxfId="934" priority="786">
      <formula>OR($T$323 = TRUE, AND($W$323 = TRUE, $S$323 = FALSE))</formula>
    </cfRule>
  </conditionalFormatting>
  <conditionalFormatting sqref="W325">
    <cfRule type="expression" dxfId="933" priority="785">
      <formula>AND($R$325,$S$325)</formula>
    </cfRule>
  </conditionalFormatting>
  <conditionalFormatting sqref="W325">
    <cfRule type="expression" dxfId="932" priority="784">
      <formula>AND(IF($R$325,$W$325,TRUE),LEN(TRIM($W$325))&gt;0)</formula>
    </cfRule>
  </conditionalFormatting>
  <conditionalFormatting sqref="W325">
    <cfRule type="expression" dxfId="931" priority="783">
      <formula>OR($S$325 = FALSE, AND($P$325 = FALSE, ReportType &lt;&gt; "Final"), AND($Q$325 = FALSE, ReportType &lt;&gt; "Rough"))</formula>
    </cfRule>
  </conditionalFormatting>
  <conditionalFormatting sqref="W325">
    <cfRule type="expression" dxfId="930" priority="782">
      <formula>OR($T$325 = TRUE, AND($W$325 = TRUE, $S$325 = FALSE))</formula>
    </cfRule>
  </conditionalFormatting>
  <conditionalFormatting sqref="W538">
    <cfRule type="expression" dxfId="929" priority="781">
      <formula>AND($R$538,$S$538)</formula>
    </cfRule>
  </conditionalFormatting>
  <conditionalFormatting sqref="W538">
    <cfRule type="expression" dxfId="928" priority="780">
      <formula>AND(IF($R$538,$W$538,TRUE),LEN(TRIM($W$538))&gt;0)</formula>
    </cfRule>
  </conditionalFormatting>
  <conditionalFormatting sqref="W538">
    <cfRule type="expression" dxfId="927" priority="779">
      <formula>OR($S$538 = FALSE, AND($P$538 = FALSE, ReportType &lt;&gt; "Final"), AND($Q$538 = FALSE, ReportType &lt;&gt; "Rough"))</formula>
    </cfRule>
  </conditionalFormatting>
  <conditionalFormatting sqref="W538">
    <cfRule type="expression" dxfId="926" priority="778">
      <formula>OR($T$538 = TRUE, AND($W$538 = TRUE, $S$538 = FALSE))</formula>
    </cfRule>
  </conditionalFormatting>
  <conditionalFormatting sqref="W593">
    <cfRule type="expression" dxfId="925" priority="777">
      <formula>AND($R$593,$S$593)</formula>
    </cfRule>
  </conditionalFormatting>
  <conditionalFormatting sqref="W593">
    <cfRule type="expression" dxfId="924" priority="776">
      <formula>AND(IF($R$593,$W$593,TRUE),LEN(TRIM($W$593))&gt;0)</formula>
    </cfRule>
  </conditionalFormatting>
  <conditionalFormatting sqref="W593">
    <cfRule type="expression" dxfId="923" priority="775">
      <formula>OR($S$593 = FALSE, AND($P$593 = FALSE, ReportType &lt;&gt; "Final"), AND($Q$593 = FALSE, ReportType &lt;&gt; "Rough"))</formula>
    </cfRule>
  </conditionalFormatting>
  <conditionalFormatting sqref="W593">
    <cfRule type="expression" dxfId="922" priority="774">
      <formula>OR($T$593 = TRUE, AND($W$593 = TRUE, $S$593 = FALSE))</formula>
    </cfRule>
  </conditionalFormatting>
  <conditionalFormatting sqref="W860">
    <cfRule type="expression" dxfId="921" priority="773">
      <formula>AND($R$860,$S$860)</formula>
    </cfRule>
  </conditionalFormatting>
  <conditionalFormatting sqref="W860">
    <cfRule type="expression" dxfId="920" priority="772">
      <formula>AND($W$860&lt;&gt;"Not Met",LEN(TRIM($W$860))&gt;0)</formula>
    </cfRule>
  </conditionalFormatting>
  <conditionalFormatting sqref="W860">
    <cfRule type="expression" dxfId="919" priority="771">
      <formula>OR($S$860 = FALSE, AND($P$860 = FALSE, ReportType &lt;&gt; "Final"), AND($Q$860 = FALSE, ReportType &lt;&gt; "Rough"))</formula>
    </cfRule>
  </conditionalFormatting>
  <conditionalFormatting sqref="W860">
    <cfRule type="expression" dxfId="918" priority="770">
      <formula>OR($T$860 = TRUE, AND(LEN(TRIM($W$860))&gt;0, $S$860 = FALSE))</formula>
    </cfRule>
  </conditionalFormatting>
  <conditionalFormatting sqref="W864">
    <cfRule type="expression" dxfId="917" priority="769">
      <formula>AND($R$864,$S$864)</formula>
    </cfRule>
  </conditionalFormatting>
  <conditionalFormatting sqref="W864">
    <cfRule type="expression" dxfId="916" priority="768">
      <formula>AND($W$864&lt;&gt;"Not Met",LEN(TRIM($W$864))&gt;0)</formula>
    </cfRule>
  </conditionalFormatting>
  <conditionalFormatting sqref="W864">
    <cfRule type="expression" dxfId="915" priority="767">
      <formula>OR($S$864 = FALSE, AND($P$864 = FALSE, ReportType &lt;&gt; "Final"), AND($Q$864 = FALSE, ReportType &lt;&gt; "Rough"))</formula>
    </cfRule>
  </conditionalFormatting>
  <conditionalFormatting sqref="W864">
    <cfRule type="expression" dxfId="914" priority="766">
      <formula>OR($T$864 = TRUE, AND(LEN(TRIM($W$864))&gt;0, $S$864 = FALSE))</formula>
    </cfRule>
  </conditionalFormatting>
  <conditionalFormatting sqref="W914">
    <cfRule type="expression" dxfId="913" priority="764">
      <formula>AND($R$914,$S$914)</formula>
    </cfRule>
  </conditionalFormatting>
  <conditionalFormatting sqref="W914">
    <cfRule type="expression" dxfId="912" priority="763">
      <formula>AND($W$914&lt;&gt;"Not Met",LEN(TRIM($W$914))&gt;0)</formula>
    </cfRule>
  </conditionalFormatting>
  <conditionalFormatting sqref="W914">
    <cfRule type="expression" dxfId="911" priority="762">
      <formula>OR($S$914 = FALSE, AND($P$914 = FALSE, ReportType &lt;&gt; "Final"), AND($Q$914 = FALSE, ReportType &lt;&gt; "Rough"))</formula>
    </cfRule>
  </conditionalFormatting>
  <conditionalFormatting sqref="W914">
    <cfRule type="expression" dxfId="910" priority="761">
      <formula>OR($T$914 = TRUE, AND(LEN(TRIM($W$914))&gt;0, $S$914 = FALSE))</formula>
    </cfRule>
  </conditionalFormatting>
  <conditionalFormatting sqref="W917">
    <cfRule type="expression" dxfId="909" priority="760">
      <formula>AND($R$917,$S$917)</formula>
    </cfRule>
  </conditionalFormatting>
  <conditionalFormatting sqref="W917">
    <cfRule type="expression" dxfId="908" priority="759">
      <formula>AND($W$917&lt;&gt;"Not Met",LEN(TRIM($W$917))&gt;0)</formula>
    </cfRule>
  </conditionalFormatting>
  <conditionalFormatting sqref="W917">
    <cfRule type="expression" dxfId="907" priority="758">
      <formula>OR($S$917 = FALSE, AND($P$917 = FALSE, ReportType &lt;&gt; "Final"), AND($Q$917 = FALSE, ReportType &lt;&gt; "Rough"))</formula>
    </cfRule>
  </conditionalFormatting>
  <conditionalFormatting sqref="W917">
    <cfRule type="expression" dxfId="906" priority="757">
      <formula>OR($T$917 = TRUE, AND(LEN(TRIM($W$917))&gt;0, $S$917 = FALSE))</formula>
    </cfRule>
  </conditionalFormatting>
  <conditionalFormatting sqref="W911">
    <cfRule type="expression" dxfId="905" priority="756">
      <formula>AND($R$911,$S$911)</formula>
    </cfRule>
  </conditionalFormatting>
  <conditionalFormatting sqref="W911">
    <cfRule type="expression" dxfId="904" priority="755">
      <formula>AND(IF($R$911,$W$911,TRUE),LEN(TRIM($W$911))&gt;0)</formula>
    </cfRule>
  </conditionalFormatting>
  <conditionalFormatting sqref="W911">
    <cfRule type="expression" dxfId="903" priority="754">
      <formula>OR($S$911 = FALSE, AND($P$911 = FALSE, ReportType &lt;&gt; "Final"), AND($Q$911 = FALSE, ReportType &lt;&gt; "Rough"))</formula>
    </cfRule>
  </conditionalFormatting>
  <conditionalFormatting sqref="W911">
    <cfRule type="expression" dxfId="902" priority="753">
      <formula>OR($T$911 = TRUE, AND($W$911 = TRUE, $S$911 = FALSE))</formula>
    </cfRule>
  </conditionalFormatting>
  <conditionalFormatting sqref="W912">
    <cfRule type="expression" dxfId="901" priority="752">
      <formula>AND($R$912,$S$912)</formula>
    </cfRule>
  </conditionalFormatting>
  <conditionalFormatting sqref="W912">
    <cfRule type="expression" dxfId="900" priority="751">
      <formula>AND(IF($R$912,$W$912,TRUE),LEN(TRIM($W$912))&gt;0)</formula>
    </cfRule>
  </conditionalFormatting>
  <conditionalFormatting sqref="W912">
    <cfRule type="expression" dxfId="899" priority="750">
      <formula>OR($S$912 = FALSE, AND($P$912 = FALSE, ReportType &lt;&gt; "Final"), AND($Q$912 = FALSE, ReportType &lt;&gt; "Rough"))</formula>
    </cfRule>
  </conditionalFormatting>
  <conditionalFormatting sqref="W912">
    <cfRule type="expression" dxfId="898" priority="749">
      <formula>OR($T$912 = TRUE, AND($W$912 = TRUE, $S$912 = FALSE))</formula>
    </cfRule>
  </conditionalFormatting>
  <conditionalFormatting sqref="W915">
    <cfRule type="expression" dxfId="897" priority="748">
      <formula>AND($R$915,$S$915)</formula>
    </cfRule>
  </conditionalFormatting>
  <conditionalFormatting sqref="W915">
    <cfRule type="expression" dxfId="896" priority="747">
      <formula>AND(IF($R$915,$W$915,TRUE),LEN(TRIM($W$915))&gt;0)</formula>
    </cfRule>
  </conditionalFormatting>
  <conditionalFormatting sqref="W915">
    <cfRule type="expression" dxfId="895" priority="746">
      <formula>OR($S$915 = FALSE, AND($P$915 = FALSE, ReportType &lt;&gt; "Final"), AND($Q$915 = FALSE, ReportType &lt;&gt; "Rough"))</formula>
    </cfRule>
  </conditionalFormatting>
  <conditionalFormatting sqref="W915">
    <cfRule type="expression" dxfId="894" priority="745">
      <formula>OR($T$915 = TRUE, AND($W$915 = TRUE, $S$915 = FALSE))</formula>
    </cfRule>
  </conditionalFormatting>
  <conditionalFormatting sqref="W920">
    <cfRule type="expression" dxfId="893" priority="744">
      <formula>AND($R$920,$S$920)</formula>
    </cfRule>
  </conditionalFormatting>
  <conditionalFormatting sqref="W920">
    <cfRule type="expression" dxfId="892" priority="743">
      <formula>AND(IF($R$920,$W$920,TRUE),LEN(TRIM($W$920))&gt;0)</formula>
    </cfRule>
  </conditionalFormatting>
  <conditionalFormatting sqref="W920">
    <cfRule type="expression" dxfId="891" priority="742">
      <formula>OR($S$920 = FALSE, AND($P$920 = FALSE, ReportType &lt;&gt; "Final"), AND($Q$920 = FALSE, ReportType &lt;&gt; "Rough"))</formula>
    </cfRule>
  </conditionalFormatting>
  <conditionalFormatting sqref="W920">
    <cfRule type="expression" dxfId="890" priority="741">
      <formula>OR($T$920 = TRUE, AND($W$920 = TRUE, $S$920 = FALSE))</formula>
    </cfRule>
  </conditionalFormatting>
  <conditionalFormatting sqref="W921">
    <cfRule type="expression" dxfId="889" priority="740">
      <formula>AND($R$921,$S$921)</formula>
    </cfRule>
  </conditionalFormatting>
  <conditionalFormatting sqref="W921">
    <cfRule type="expression" dxfId="888" priority="739">
      <formula>AND(IF($R$921,$W$921,TRUE),LEN(TRIM($W$921))&gt;0)</formula>
    </cfRule>
  </conditionalFormatting>
  <conditionalFormatting sqref="W921">
    <cfRule type="expression" dxfId="887" priority="738">
      <formula>OR($S$921 = FALSE, AND($P$921 = FALSE, ReportType &lt;&gt; "Final"), AND($Q$921 = FALSE, ReportType &lt;&gt; "Rough"))</formula>
    </cfRule>
  </conditionalFormatting>
  <conditionalFormatting sqref="W921">
    <cfRule type="expression" dxfId="886" priority="737">
      <formula>OR($T$921 = TRUE, AND($W$921 = TRUE, $S$921 = FALSE))</formula>
    </cfRule>
  </conditionalFormatting>
  <conditionalFormatting sqref="W922">
    <cfRule type="expression" dxfId="885" priority="736">
      <formula>AND($R$922,$S$922)</formula>
    </cfRule>
  </conditionalFormatting>
  <conditionalFormatting sqref="W922">
    <cfRule type="expression" dxfId="884" priority="735">
      <formula>AND(IF($R$922,$W$922,TRUE),LEN(TRIM($W$922))&gt;0)</formula>
    </cfRule>
  </conditionalFormatting>
  <conditionalFormatting sqref="W922">
    <cfRule type="expression" dxfId="883" priority="734">
      <formula>OR($S$922 = FALSE, AND($P$922 = FALSE, ReportType &lt;&gt; "Final"), AND($Q$922 = FALSE, ReportType &lt;&gt; "Rough"))</formula>
    </cfRule>
  </conditionalFormatting>
  <conditionalFormatting sqref="W922">
    <cfRule type="expression" dxfId="882" priority="733">
      <formula>OR($T$922 = TRUE, AND($W$922 = TRUE, $S$922 = FALSE))</formula>
    </cfRule>
  </conditionalFormatting>
  <conditionalFormatting sqref="W924">
    <cfRule type="expression" dxfId="881" priority="732">
      <formula>AND($R$924,$S$924)</formula>
    </cfRule>
  </conditionalFormatting>
  <conditionalFormatting sqref="W924">
    <cfRule type="expression" dxfId="880" priority="731">
      <formula>AND(IF($R$924,$W$924,TRUE),LEN(TRIM($W$924))&gt;0)</formula>
    </cfRule>
  </conditionalFormatting>
  <conditionalFormatting sqref="W924">
    <cfRule type="expression" dxfId="879" priority="730">
      <formula>OR($S$924 = FALSE, AND($P$924 = FALSE, ReportType &lt;&gt; "Final"), AND($Q$924 = FALSE, ReportType &lt;&gt; "Rough"))</formula>
    </cfRule>
  </conditionalFormatting>
  <conditionalFormatting sqref="W924">
    <cfRule type="expression" dxfId="878" priority="729">
      <formula>OR($T$924 = TRUE, AND($W$924 = TRUE, $S$924 = FALSE))</formula>
    </cfRule>
  </conditionalFormatting>
  <conditionalFormatting sqref="W925">
    <cfRule type="expression" dxfId="877" priority="728">
      <formula>AND($R$925,$S$925)</formula>
    </cfRule>
  </conditionalFormatting>
  <conditionalFormatting sqref="W925">
    <cfRule type="expression" dxfId="876" priority="727">
      <formula>AND(IF($R$925,$W$925,TRUE),LEN(TRIM($W$925))&gt;0)</formula>
    </cfRule>
  </conditionalFormatting>
  <conditionalFormatting sqref="W925">
    <cfRule type="expression" dxfId="875" priority="726">
      <formula>OR($S$925 = FALSE, AND($P$925 = FALSE, ReportType &lt;&gt; "Final"), AND($Q$925 = FALSE, ReportType &lt;&gt; "Rough"))</formula>
    </cfRule>
  </conditionalFormatting>
  <conditionalFormatting sqref="W925">
    <cfRule type="expression" dxfId="874" priority="725">
      <formula>OR($T$925 = TRUE, AND($W$925 = TRUE, $S$925 = FALSE))</formula>
    </cfRule>
  </conditionalFormatting>
  <conditionalFormatting sqref="W926">
    <cfRule type="expression" dxfId="873" priority="724">
      <formula>AND($R$926,$S$926)</formula>
    </cfRule>
  </conditionalFormatting>
  <conditionalFormatting sqref="W926">
    <cfRule type="expression" dxfId="872" priority="723">
      <formula>AND(IF($R$926,$W$926,TRUE),LEN(TRIM($W$926))&gt;0)</formula>
    </cfRule>
  </conditionalFormatting>
  <conditionalFormatting sqref="W926">
    <cfRule type="expression" dxfId="871" priority="722">
      <formula>OR($S$926 = FALSE, AND($P$926 = FALSE, ReportType &lt;&gt; "Final"), AND($Q$926 = FALSE, ReportType &lt;&gt; "Rough"))</formula>
    </cfRule>
  </conditionalFormatting>
  <conditionalFormatting sqref="W926">
    <cfRule type="expression" dxfId="870" priority="721">
      <formula>OR($T$926 = TRUE, AND($W$926 = TRUE, $S$926 = FALSE))</formula>
    </cfRule>
  </conditionalFormatting>
  <conditionalFormatting sqref="W927">
    <cfRule type="expression" dxfId="869" priority="720">
      <formula>AND($R$927,$S$927)</formula>
    </cfRule>
  </conditionalFormatting>
  <conditionalFormatting sqref="W927">
    <cfRule type="expression" dxfId="868" priority="719">
      <formula>AND(IF($R$927,$W$927,TRUE),LEN(TRIM($W$927))&gt;0)</formula>
    </cfRule>
  </conditionalFormatting>
  <conditionalFormatting sqref="W927">
    <cfRule type="expression" dxfId="867" priority="718">
      <formula>OR($S$927 = FALSE, AND($P$927 = FALSE, ReportType &lt;&gt; "Final"), AND($Q$927 = FALSE, ReportType &lt;&gt; "Rough"))</formula>
    </cfRule>
  </conditionalFormatting>
  <conditionalFormatting sqref="W927">
    <cfRule type="expression" dxfId="866" priority="717">
      <formula>OR($T$927 = TRUE, AND($W$927 = TRUE, $S$927 = FALSE))</formula>
    </cfRule>
  </conditionalFormatting>
  <conditionalFormatting sqref="W929">
    <cfRule type="expression" dxfId="865" priority="716">
      <formula>AND($R$929,$S$929)</formula>
    </cfRule>
  </conditionalFormatting>
  <conditionalFormatting sqref="W929">
    <cfRule type="expression" dxfId="864" priority="715">
      <formula>AND(IF($R$929,$W$929,TRUE),LEN(TRIM($W$929))&gt;0)</formula>
    </cfRule>
  </conditionalFormatting>
  <conditionalFormatting sqref="W929">
    <cfRule type="expression" dxfId="863" priority="714">
      <formula>OR($S$929 = FALSE, AND($P$929 = FALSE, ReportType &lt;&gt; "Final"), AND($Q$929 = FALSE, ReportType &lt;&gt; "Rough"))</formula>
    </cfRule>
  </conditionalFormatting>
  <conditionalFormatting sqref="W929">
    <cfRule type="expression" dxfId="862" priority="713">
      <formula>OR($T$929 = TRUE, AND($W$929 = TRUE, $S$929 = FALSE))</formula>
    </cfRule>
  </conditionalFormatting>
  <conditionalFormatting sqref="W1299">
    <cfRule type="expression" dxfId="861" priority="710">
      <formula>AND($R$1299,$S$1299)</formula>
    </cfRule>
  </conditionalFormatting>
  <conditionalFormatting sqref="W1299">
    <cfRule type="expression" dxfId="860" priority="709">
      <formula>AND($W$1299&lt;&gt;"Not Met",LEN(TRIM($W$1299))&gt;0)</formula>
    </cfRule>
  </conditionalFormatting>
  <conditionalFormatting sqref="W1299">
    <cfRule type="expression" dxfId="859" priority="708">
      <formula>OR($S$1299 = FALSE, AND($P$1299 = FALSE, ReportType &lt;&gt; "Final"), AND($Q$1299 = FALSE, ReportType &lt;&gt; "Rough"))</formula>
    </cfRule>
  </conditionalFormatting>
  <conditionalFormatting sqref="W1299">
    <cfRule type="expression" dxfId="858" priority="707">
      <formula>OR($T$1299 = TRUE, AND(LEN(TRIM($W$1299))&gt;0, $S$1299 = FALSE))</formula>
    </cfRule>
  </conditionalFormatting>
  <conditionalFormatting sqref="W1462">
    <cfRule type="expression" dxfId="857" priority="706">
      <formula>AND($R$1462,$S$1462)</formula>
    </cfRule>
  </conditionalFormatting>
  <conditionalFormatting sqref="W1462">
    <cfRule type="expression" dxfId="856" priority="705">
      <formula>AND(IF($R$1462,$W$1462,TRUE),LEN(TRIM($W$1462))&gt;0)</formula>
    </cfRule>
  </conditionalFormatting>
  <conditionalFormatting sqref="W1462">
    <cfRule type="expression" dxfId="855" priority="704">
      <formula>OR($S$1462 = FALSE, AND($P$1462 = FALSE, ReportType &lt;&gt; "Final"), AND($Q$1462 = FALSE, ReportType &lt;&gt; "Rough"))</formula>
    </cfRule>
  </conditionalFormatting>
  <conditionalFormatting sqref="W1462">
    <cfRule type="expression" dxfId="854" priority="703">
      <formula>OR($T$1462 = TRUE, AND($W$1462 = TRUE, $S$1462 = FALSE))</formula>
    </cfRule>
  </conditionalFormatting>
  <conditionalFormatting sqref="W1465">
    <cfRule type="expression" dxfId="853" priority="702">
      <formula>AND($R$1465,$S$1465)</formula>
    </cfRule>
  </conditionalFormatting>
  <conditionalFormatting sqref="W1465">
    <cfRule type="expression" dxfId="852" priority="701">
      <formula>AND(IF($R$1465,$W$1465,TRUE),LEN(TRIM($W$1465))&gt;0)</formula>
    </cfRule>
  </conditionalFormatting>
  <conditionalFormatting sqref="W1465">
    <cfRule type="expression" dxfId="851" priority="700">
      <formula>OR($S$1465 = FALSE, AND($P$1465 = FALSE, ReportType &lt;&gt; "Final"), AND($Q$1465 = FALSE, ReportType &lt;&gt; "Rough"))</formula>
    </cfRule>
  </conditionalFormatting>
  <conditionalFormatting sqref="W1465">
    <cfRule type="expression" dxfId="850" priority="699">
      <formula>OR($T$1465 = TRUE, AND($W$1465 = TRUE, $S$1465 = FALSE))</formula>
    </cfRule>
  </conditionalFormatting>
  <conditionalFormatting sqref="W1476">
    <cfRule type="expression" dxfId="849" priority="698">
      <formula>AND($R$1476,$S$1476)</formula>
    </cfRule>
  </conditionalFormatting>
  <conditionalFormatting sqref="W1476">
    <cfRule type="expression" dxfId="848" priority="697">
      <formula>AND(IF($R$1476,$W$1476,TRUE),LEN(TRIM($W$1476))&gt;0)</formula>
    </cfRule>
  </conditionalFormatting>
  <conditionalFormatting sqref="W1476">
    <cfRule type="expression" dxfId="847" priority="696">
      <formula>OR($S$1476 = FALSE, AND($P$1476 = FALSE, ReportType &lt;&gt; "Final"), AND($Q$1476 = FALSE, ReportType &lt;&gt; "Rough"))</formula>
    </cfRule>
  </conditionalFormatting>
  <conditionalFormatting sqref="W1476">
    <cfRule type="expression" dxfId="846" priority="695">
      <formula>OR($T$1476 = TRUE, AND($W$1476 = TRUE, $S$1476 = FALSE))</formula>
    </cfRule>
  </conditionalFormatting>
  <conditionalFormatting sqref="W1478">
    <cfRule type="expression" dxfId="845" priority="694">
      <formula>AND($R$1478,$S$1478)</formula>
    </cfRule>
  </conditionalFormatting>
  <conditionalFormatting sqref="W1478">
    <cfRule type="expression" dxfId="844" priority="693">
      <formula>AND(IF($R$1478,$W$1478,TRUE),LEN(TRIM($W$1478))&gt;0)</formula>
    </cfRule>
  </conditionalFormatting>
  <conditionalFormatting sqref="W1478">
    <cfRule type="expression" dxfId="843" priority="692">
      <formula>OR($S$1478 = FALSE, AND($P$1478 = FALSE, ReportType &lt;&gt; "Final"), AND($Q$1478 = FALSE, ReportType &lt;&gt; "Rough"))</formula>
    </cfRule>
  </conditionalFormatting>
  <conditionalFormatting sqref="W1478">
    <cfRule type="expression" dxfId="842" priority="691">
      <formula>OR($T$1478 = TRUE, AND($W$1478 = TRUE, $S$1478 = FALSE))</formula>
    </cfRule>
  </conditionalFormatting>
  <conditionalFormatting sqref="W1502">
    <cfRule type="expression" dxfId="841" priority="690">
      <formula>AND($R$1502,$S$1502)</formula>
    </cfRule>
  </conditionalFormatting>
  <conditionalFormatting sqref="W1502">
    <cfRule type="expression" dxfId="840" priority="689">
      <formula>AND(IF($R$1502,$W$1502,TRUE),LEN(TRIM($W$1502))&gt;0)</formula>
    </cfRule>
  </conditionalFormatting>
  <conditionalFormatting sqref="W1502">
    <cfRule type="expression" dxfId="839" priority="688">
      <formula>OR($S$1502 = FALSE, AND($P$1502 = FALSE, ReportType &lt;&gt; "Final"), AND($Q$1502 = FALSE, ReportType &lt;&gt; "Rough"))</formula>
    </cfRule>
  </conditionalFormatting>
  <conditionalFormatting sqref="W1502">
    <cfRule type="expression" dxfId="838" priority="687">
      <formula>OR($T$1502 = TRUE, AND($W$1502 = TRUE, $S$1502 = FALSE))</formula>
    </cfRule>
  </conditionalFormatting>
  <conditionalFormatting sqref="W1504">
    <cfRule type="expression" dxfId="837" priority="686">
      <formula>AND($R$1504,$S$1504)</formula>
    </cfRule>
  </conditionalFormatting>
  <conditionalFormatting sqref="W1504">
    <cfRule type="expression" dxfId="836" priority="685">
      <formula>AND(IF($R$1504,$W$1504,TRUE),LEN(TRIM($W$1504))&gt;0)</formula>
    </cfRule>
  </conditionalFormatting>
  <conditionalFormatting sqref="W1504">
    <cfRule type="expression" dxfId="835" priority="684">
      <formula>OR($S$1504 = FALSE, AND($P$1504 = FALSE, ReportType &lt;&gt; "Final"), AND($Q$1504 = FALSE, ReportType &lt;&gt; "Rough"))</formula>
    </cfRule>
  </conditionalFormatting>
  <conditionalFormatting sqref="W1504">
    <cfRule type="expression" dxfId="834" priority="683">
      <formula>OR($T$1504 = TRUE, AND($W$1504 = TRUE, $S$1504 = FALSE))</formula>
    </cfRule>
  </conditionalFormatting>
  <conditionalFormatting sqref="W1581">
    <cfRule type="expression" dxfId="833" priority="681">
      <formula>AND($R$1581,$S$1581)</formula>
    </cfRule>
  </conditionalFormatting>
  <conditionalFormatting sqref="W1581">
    <cfRule type="expression" dxfId="832" priority="680">
      <formula>AND(IF($R$1581,$W$1581,TRUE),LEN(TRIM($W$1581))&gt;0)</formula>
    </cfRule>
  </conditionalFormatting>
  <conditionalFormatting sqref="W1581">
    <cfRule type="expression" dxfId="831" priority="679">
      <formula>OR($S$1581 = FALSE, AND($P$1581 = FALSE, ReportType &lt;&gt; "Final"), AND($Q$1581 = FALSE, ReportType &lt;&gt; "Rough"))</formula>
    </cfRule>
  </conditionalFormatting>
  <conditionalFormatting sqref="W1581">
    <cfRule type="expression" dxfId="830" priority="678">
      <formula>OR($T$1581 = TRUE, AND($W$1581 = TRUE, $S$1581 = FALSE))</formula>
    </cfRule>
  </conditionalFormatting>
  <conditionalFormatting sqref="W1606">
    <cfRule type="expression" dxfId="829" priority="677">
      <formula>AND($R$1606,$S$1606)</formula>
    </cfRule>
  </conditionalFormatting>
  <conditionalFormatting sqref="W1606">
    <cfRule type="expression" dxfId="828" priority="676">
      <formula>AND(IF($R$1606,$W$1606,TRUE),LEN(TRIM($W$1606))&gt;0)</formula>
    </cfRule>
  </conditionalFormatting>
  <conditionalFormatting sqref="W1606">
    <cfRule type="expression" dxfId="827" priority="675">
      <formula>OR($S$1606 = FALSE, AND($P$1606 = FALSE, ReportType &lt;&gt; "Final"), AND($Q$1606 = FALSE, ReportType &lt;&gt; "Rough"))</formula>
    </cfRule>
  </conditionalFormatting>
  <conditionalFormatting sqref="W1606">
    <cfRule type="expression" dxfId="826" priority="674">
      <formula>OR($T$1606 = TRUE, AND($W$1606 = TRUE, $S$1606 = FALSE))</formula>
    </cfRule>
  </conditionalFormatting>
  <conditionalFormatting sqref="W1616">
    <cfRule type="expression" dxfId="825" priority="673">
      <formula>AND($R$1616,$S$1616)</formula>
    </cfRule>
  </conditionalFormatting>
  <conditionalFormatting sqref="W1616">
    <cfRule type="expression" dxfId="824" priority="672">
      <formula>AND(IF($R$1616,$W$1616,TRUE),LEN(TRIM($W$1616))&gt;0)</formula>
    </cfRule>
  </conditionalFormatting>
  <conditionalFormatting sqref="W1616">
    <cfRule type="expression" dxfId="823" priority="671">
      <formula>OR($S$1616 = FALSE, AND($P$1616 = FALSE, ReportType &lt;&gt; "Final"), AND($Q$1616 = FALSE, ReportType &lt;&gt; "Rough"))</formula>
    </cfRule>
  </conditionalFormatting>
  <conditionalFormatting sqref="W1616">
    <cfRule type="expression" dxfId="822" priority="670">
      <formula>OR($T$1616 = TRUE, AND($W$1616 = TRUE, $S$1616 = FALSE))</formula>
    </cfRule>
  </conditionalFormatting>
  <conditionalFormatting sqref="W1618">
    <cfRule type="expression" dxfId="821" priority="669">
      <formula>AND($R$1618,$S$1618)</formula>
    </cfRule>
  </conditionalFormatting>
  <conditionalFormatting sqref="W1618">
    <cfRule type="expression" dxfId="820" priority="668">
      <formula>AND(IF($R$1618,$W$1618,TRUE),LEN(TRIM($W$1618))&gt;0)</formula>
    </cfRule>
  </conditionalFormatting>
  <conditionalFormatting sqref="W1618">
    <cfRule type="expression" dxfId="819" priority="667">
      <formula>OR($S$1618 = FALSE, AND($P$1618 = FALSE, ReportType &lt;&gt; "Final"), AND($Q$1618 = FALSE, ReportType &lt;&gt; "Rough"))</formula>
    </cfRule>
  </conditionalFormatting>
  <conditionalFormatting sqref="W1618">
    <cfRule type="expression" dxfId="818" priority="666">
      <formula>OR($T$1618 = TRUE, AND($W$1618 = TRUE, $S$1618 = FALSE))</formula>
    </cfRule>
  </conditionalFormatting>
  <conditionalFormatting sqref="W1622">
    <cfRule type="expression" dxfId="817" priority="665">
      <formula>AND($R$1622,$S$1622)</formula>
    </cfRule>
  </conditionalFormatting>
  <conditionalFormatting sqref="W1622">
    <cfRule type="expression" dxfId="816" priority="664">
      <formula>AND($W$1622&lt;&gt;"Not Met",LEN(TRIM($W$1622))&gt;0)</formula>
    </cfRule>
  </conditionalFormatting>
  <conditionalFormatting sqref="W1622">
    <cfRule type="expression" dxfId="815" priority="663">
      <formula>OR($S$1622 = FALSE, AND($P$1622 = FALSE, ReportType &lt;&gt; "Final"), AND($Q$1622 = FALSE, ReportType &lt;&gt; "Rough"))</formula>
    </cfRule>
  </conditionalFormatting>
  <conditionalFormatting sqref="W1622">
    <cfRule type="expression" dxfId="814" priority="662">
      <formula>OR($T$1622 = TRUE, AND(LEN(TRIM($W$1622))&gt;0, $S$1622 = FALSE))</formula>
    </cfRule>
  </conditionalFormatting>
  <conditionalFormatting sqref="W1627">
    <cfRule type="expression" dxfId="813" priority="661">
      <formula>AND($R$1627,$S$1627)</formula>
    </cfRule>
  </conditionalFormatting>
  <conditionalFormatting sqref="W1627">
    <cfRule type="expression" dxfId="812" priority="660">
      <formula>AND(IF($R$1627,$W$1627,TRUE),LEN(TRIM($W$1627))&gt;0)</formula>
    </cfRule>
  </conditionalFormatting>
  <conditionalFormatting sqref="W1627">
    <cfRule type="expression" dxfId="811" priority="659">
      <formula>OR($S$1627 = FALSE, AND($P$1627 = FALSE, ReportType &lt;&gt; "Final"), AND($Q$1627 = FALSE, ReportType &lt;&gt; "Rough"))</formula>
    </cfRule>
  </conditionalFormatting>
  <conditionalFormatting sqref="W1627">
    <cfRule type="expression" dxfId="810" priority="658">
      <formula>OR($T$1627 = TRUE, AND($W$1627 = TRUE, $S$1627 = FALSE))</formula>
    </cfRule>
  </conditionalFormatting>
  <conditionalFormatting sqref="W1631">
    <cfRule type="expression" dxfId="809" priority="657">
      <formula>AND($R$1631,$S$1631)</formula>
    </cfRule>
  </conditionalFormatting>
  <conditionalFormatting sqref="W1631">
    <cfRule type="expression" dxfId="808" priority="656">
      <formula>AND(IF($R$1631,$W$1631,TRUE),LEN(TRIM($W$1631))&gt;0)</formula>
    </cfRule>
  </conditionalFormatting>
  <conditionalFormatting sqref="W1631">
    <cfRule type="expression" dxfId="807" priority="655">
      <formula>OR($S$1631 = FALSE, AND($P$1631 = FALSE, ReportType &lt;&gt; "Final"), AND($Q$1631 = FALSE, ReportType &lt;&gt; "Rough"))</formula>
    </cfRule>
  </conditionalFormatting>
  <conditionalFormatting sqref="W1631">
    <cfRule type="expression" dxfId="806" priority="654">
      <formula>OR($T$1631 = TRUE, AND($W$1631 = TRUE, $S$1631 = FALSE))</formula>
    </cfRule>
  </conditionalFormatting>
  <conditionalFormatting sqref="W1636">
    <cfRule type="expression" dxfId="805" priority="653">
      <formula>AND($R$1636,$S$1636)</formula>
    </cfRule>
  </conditionalFormatting>
  <conditionalFormatting sqref="W1636">
    <cfRule type="expression" dxfId="804" priority="652">
      <formula>AND(IF($R$1636,$W$1636,TRUE),LEN(TRIM($W$1636))&gt;0)</formula>
    </cfRule>
  </conditionalFormatting>
  <conditionalFormatting sqref="W1636">
    <cfRule type="expression" dxfId="803" priority="651">
      <formula>OR($S$1636 = FALSE, AND($P$1636 = FALSE, ReportType &lt;&gt; "Final"), AND($Q$1636 = FALSE, ReportType &lt;&gt; "Rough"))</formula>
    </cfRule>
  </conditionalFormatting>
  <conditionalFormatting sqref="W1636">
    <cfRule type="expression" dxfId="802" priority="650">
      <formula>OR($T$1636 = TRUE, AND($W$1636 = TRUE, $S$1636 = FALSE))</formula>
    </cfRule>
  </conditionalFormatting>
  <conditionalFormatting sqref="W1637">
    <cfRule type="expression" dxfId="801" priority="649">
      <formula>AND($R$1637,$S$1637)</formula>
    </cfRule>
  </conditionalFormatting>
  <conditionalFormatting sqref="W1637">
    <cfRule type="expression" dxfId="800" priority="648">
      <formula>AND(IF($R$1637,$W$1637,TRUE),LEN(TRIM($W$1637))&gt;0)</formula>
    </cfRule>
  </conditionalFormatting>
  <conditionalFormatting sqref="W1637">
    <cfRule type="expression" dxfId="799" priority="647">
      <formula>OR($S$1637 = FALSE, AND($P$1637 = FALSE, ReportType &lt;&gt; "Final"), AND($Q$1637 = FALSE, ReportType &lt;&gt; "Rough"))</formula>
    </cfRule>
  </conditionalFormatting>
  <conditionalFormatting sqref="W1637">
    <cfRule type="expression" dxfId="798" priority="646">
      <formula>OR($T$1637 = TRUE, AND($W$1637 = TRUE, $S$1637 = FALSE))</formula>
    </cfRule>
  </conditionalFormatting>
  <conditionalFormatting sqref="X933:X935">
    <cfRule type="expression" dxfId="797" priority="643">
      <formula>W933</formula>
    </cfRule>
  </conditionalFormatting>
  <conditionalFormatting sqref="X1496">
    <cfRule type="expression" dxfId="796" priority="642">
      <formula>W1496=TRUE</formula>
    </cfRule>
  </conditionalFormatting>
  <conditionalFormatting sqref="X1140:X1146">
    <cfRule type="expression" dxfId="795" priority="641">
      <formula>W1141=INDEX(INDIRECT(U1141),1)</formula>
    </cfRule>
  </conditionalFormatting>
  <conditionalFormatting sqref="X1147:X1153">
    <cfRule type="expression" dxfId="794" priority="640">
      <formula>W1148=INDEX(INDIRECT(U1148),1)</formula>
    </cfRule>
  </conditionalFormatting>
  <conditionalFormatting sqref="X1504">
    <cfRule type="expression" dxfId="793" priority="639">
      <formula>W1504=TRUE</formula>
    </cfRule>
  </conditionalFormatting>
  <conditionalFormatting sqref="X637:X652">
    <cfRule type="expression" dxfId="792" priority="638">
      <formula>NOT(ISBLANK(W644))</formula>
    </cfRule>
  </conditionalFormatting>
  <conditionalFormatting sqref="X398">
    <cfRule type="expression" dxfId="791" priority="637">
      <formula>W398=TRUE</formula>
    </cfRule>
  </conditionalFormatting>
  <conditionalFormatting sqref="X464:X466">
    <cfRule type="expression" dxfId="790" priority="636">
      <formula>W464="N/A"</formula>
    </cfRule>
  </conditionalFormatting>
  <conditionalFormatting sqref="X475">
    <cfRule type="expression" dxfId="789" priority="635">
      <formula>W475="N/A"</formula>
    </cfRule>
  </conditionalFormatting>
  <conditionalFormatting sqref="X579:X581">
    <cfRule type="expression" dxfId="788" priority="634">
      <formula>W579</formula>
    </cfRule>
  </conditionalFormatting>
  <conditionalFormatting sqref="X566 X572:X578">
    <cfRule type="expression" dxfId="787" priority="633">
      <formula>W566&gt;0</formula>
    </cfRule>
  </conditionalFormatting>
  <conditionalFormatting sqref="X583 X585 X587 X589 X795:X804">
    <cfRule type="expression" dxfId="786" priority="632">
      <formula>W584&gt;0</formula>
    </cfRule>
  </conditionalFormatting>
  <conditionalFormatting sqref="X631">
    <cfRule type="expression" dxfId="785" priority="631">
      <formula>W631</formula>
    </cfRule>
  </conditionalFormatting>
  <conditionalFormatting sqref="X632">
    <cfRule type="expression" dxfId="784" priority="630">
      <formula>W632</formula>
    </cfRule>
  </conditionalFormatting>
  <conditionalFormatting sqref="X668:X669 X671:X672 X710 X708">
    <cfRule type="expression" dxfId="783" priority="629">
      <formula>NOT(ISBLANK(W668))</formula>
    </cfRule>
  </conditionalFormatting>
  <conditionalFormatting sqref="X674:X679">
    <cfRule type="expression" dxfId="782" priority="628">
      <formula>NOT(ISBLANK(W674))</formula>
    </cfRule>
  </conditionalFormatting>
  <conditionalFormatting sqref="X697:X704">
    <cfRule type="expression" dxfId="781" priority="627">
      <formula>NOT(ISBLANK(W697))</formula>
    </cfRule>
  </conditionalFormatting>
  <conditionalFormatting sqref="X764:X770">
    <cfRule type="expression" dxfId="780" priority="626">
      <formula>NOT(ISBLANK(W765))</formula>
    </cfRule>
  </conditionalFormatting>
  <conditionalFormatting sqref="X750:X756">
    <cfRule type="expression" dxfId="779" priority="624">
      <formula>NOT(ISBLANK(W752))</formula>
    </cfRule>
  </conditionalFormatting>
  <conditionalFormatting sqref="X757:X763">
    <cfRule type="expression" dxfId="778" priority="623">
      <formula>NOT(ISBLANK(W759))</formula>
    </cfRule>
  </conditionalFormatting>
  <conditionalFormatting sqref="X771:X776">
    <cfRule type="expression" dxfId="777" priority="621">
      <formula>NOT(ISBLANK(W772))</formula>
    </cfRule>
  </conditionalFormatting>
  <conditionalFormatting sqref="X777:X782">
    <cfRule type="expression" dxfId="776" priority="620">
      <formula>NOT(ISBLANK(W778))</formula>
    </cfRule>
  </conditionalFormatting>
  <conditionalFormatting sqref="X783:X788">
    <cfRule type="expression" dxfId="775" priority="619">
      <formula>NOT(ISBLANK(W784))</formula>
    </cfRule>
  </conditionalFormatting>
  <conditionalFormatting sqref="X813:X820">
    <cfRule type="expression" dxfId="774" priority="618">
      <formula>NOT(ISBLANK(W813))</formula>
    </cfRule>
  </conditionalFormatting>
  <conditionalFormatting sqref="X805:X811">
    <cfRule type="expression" dxfId="773" priority="616">
      <formula>W807&gt;0</formula>
    </cfRule>
  </conditionalFormatting>
  <conditionalFormatting sqref="X238:X245">
    <cfRule type="expression" dxfId="772" priority="613">
      <formula>$W$245=TRUE</formula>
    </cfRule>
  </conditionalFormatting>
  <conditionalFormatting sqref="X52">
    <cfRule type="expression" dxfId="771" priority="612">
      <formula>W52=TRUE</formula>
    </cfRule>
  </conditionalFormatting>
  <conditionalFormatting sqref="X55">
    <cfRule type="expression" dxfId="770" priority="611">
      <formula>W55=TRUE</formula>
    </cfRule>
  </conditionalFormatting>
  <conditionalFormatting sqref="W1642">
    <cfRule type="expression" dxfId="769" priority="606">
      <formula>AND($R$1642,$S$1642)</formula>
    </cfRule>
  </conditionalFormatting>
  <conditionalFormatting sqref="W1642">
    <cfRule type="expression" dxfId="768" priority="605">
      <formula>AND($W$1642&lt;&gt;"Not Met",LEN(TRIM($W$1642))&gt;0)</formula>
    </cfRule>
  </conditionalFormatting>
  <conditionalFormatting sqref="W1642">
    <cfRule type="expression" dxfId="767" priority="604">
      <formula>OR($S$1642 = FALSE, AND($P$1642 = FALSE, ReportType &lt;&gt; "Final"), AND($Q$1642 = FALSE, ReportType &lt;&gt; "Rough"))</formula>
    </cfRule>
  </conditionalFormatting>
  <conditionalFormatting sqref="W1642">
    <cfRule type="expression" dxfId="766" priority="603">
      <formula>OR($T$1642 = TRUE, AND(LEN(TRIM($W$1642))&gt;0, $S$1642 = FALSE))</formula>
    </cfRule>
  </conditionalFormatting>
  <conditionalFormatting sqref="W1729">
    <cfRule type="expression" dxfId="765" priority="601">
      <formula>AND($R$1729,$S$1729)</formula>
    </cfRule>
  </conditionalFormatting>
  <conditionalFormatting sqref="W1729">
    <cfRule type="expression" dxfId="764" priority="600">
      <formula>AND($W$1729&lt;&gt;"Not Met",LEN(TRIM($W$1729))&gt;0)</formula>
    </cfRule>
  </conditionalFormatting>
  <conditionalFormatting sqref="W1729">
    <cfRule type="expression" dxfId="763" priority="599">
      <formula>OR($S$1729 = FALSE, AND($P$1729 = FALSE, ReportType &lt;&gt; "Final"), AND($Q$1729 = FALSE, ReportType &lt;&gt; "Rough"))</formula>
    </cfRule>
  </conditionalFormatting>
  <conditionalFormatting sqref="W1729">
    <cfRule type="expression" dxfId="762" priority="598">
      <formula>OR($T$1729 = TRUE, AND(LEN(TRIM($W$1729))&gt;0, $S$1729 = FALSE))</formula>
    </cfRule>
  </conditionalFormatting>
  <conditionalFormatting sqref="W1731">
    <cfRule type="expression" dxfId="761" priority="597">
      <formula>AND($R$1731,$S$1731)</formula>
    </cfRule>
  </conditionalFormatting>
  <conditionalFormatting sqref="W1731">
    <cfRule type="expression" dxfId="760" priority="596">
      <formula>AND($W$1731&lt;&gt;"Not Met",LEN(TRIM($W$1731))&gt;0)</formula>
    </cfRule>
  </conditionalFormatting>
  <conditionalFormatting sqref="W1731">
    <cfRule type="expression" dxfId="759" priority="595">
      <formula>OR($S$1731 = FALSE, AND($P$1731 = FALSE, ReportType &lt;&gt; "Final"), AND($Q$1731 = FALSE, ReportType &lt;&gt; "Rough"))</formula>
    </cfRule>
  </conditionalFormatting>
  <conditionalFormatting sqref="W1731">
    <cfRule type="expression" dxfId="758" priority="594">
      <formula>OR($T$1731 = TRUE, AND(LEN(TRIM($W$1731))&gt;0, $S$1731 = FALSE))</formula>
    </cfRule>
  </conditionalFormatting>
  <conditionalFormatting sqref="W1741">
    <cfRule type="expression" dxfId="757" priority="593">
      <formula>AND($R$1741,$S$1741)</formula>
    </cfRule>
  </conditionalFormatting>
  <conditionalFormatting sqref="W1741">
    <cfRule type="expression" dxfId="756" priority="592">
      <formula>AND($W$1741&lt;&gt;"Not Met",LEN(TRIM($W$1741))&gt;0)</formula>
    </cfRule>
  </conditionalFormatting>
  <conditionalFormatting sqref="W1741">
    <cfRule type="expression" dxfId="755" priority="591">
      <formula>OR($S$1741 = FALSE, AND($P$1741 = FALSE, ReportType &lt;&gt; "Final"), AND($Q$1741 = FALSE, ReportType &lt;&gt; "Rough"))</formula>
    </cfRule>
  </conditionalFormatting>
  <conditionalFormatting sqref="W1741">
    <cfRule type="expression" dxfId="754" priority="590">
      <formula>OR($T$1741 = TRUE, AND(LEN(TRIM($W$1741))&gt;0, $S$1741 = FALSE))</formula>
    </cfRule>
  </conditionalFormatting>
  <conditionalFormatting sqref="W1772">
    <cfRule type="expression" dxfId="753" priority="589">
      <formula>AND($R$1772,$S$1772)</formula>
    </cfRule>
  </conditionalFormatting>
  <conditionalFormatting sqref="W1772">
    <cfRule type="expression" dxfId="752" priority="588">
      <formula>AND($W$1772&lt;&gt;"Not Met",LEN(TRIM($W$1772))&gt;0)</formula>
    </cfRule>
  </conditionalFormatting>
  <conditionalFormatting sqref="W1772">
    <cfRule type="expression" dxfId="751" priority="587">
      <formula>OR($S$1772 = FALSE, AND($P$1772 = FALSE, ReportType &lt;&gt; "Final"), AND($Q$1772 = FALSE, ReportType &lt;&gt; "Rough"))</formula>
    </cfRule>
  </conditionalFormatting>
  <conditionalFormatting sqref="W1772">
    <cfRule type="expression" dxfId="750" priority="586">
      <formula>OR($T$1772 = TRUE, AND(LEN(TRIM($W$1772))&gt;0, $S$1772 = FALSE))</formula>
    </cfRule>
  </conditionalFormatting>
  <conditionalFormatting sqref="W1774">
    <cfRule type="expression" dxfId="749" priority="585">
      <formula>AND($R$1774,$S$1774)</formula>
    </cfRule>
  </conditionalFormatting>
  <conditionalFormatting sqref="W1774">
    <cfRule type="expression" dxfId="748" priority="584">
      <formula>AND(IF($R$1774,$W$1774,TRUE),LEN(TRIM($W$1774))&gt;0)</formula>
    </cfRule>
  </conditionalFormatting>
  <conditionalFormatting sqref="W1774">
    <cfRule type="expression" dxfId="747" priority="583">
      <formula>OR($S$1774 = FALSE, AND($P$1774 = FALSE, ReportType &lt;&gt; "Final"), AND($Q$1774 = FALSE, ReportType &lt;&gt; "Rough"))</formula>
    </cfRule>
  </conditionalFormatting>
  <conditionalFormatting sqref="W1774">
    <cfRule type="expression" dxfId="746" priority="582">
      <formula>OR($T$1774 = TRUE, AND($W$1774 = TRUE, $S$1774 = FALSE))</formula>
    </cfRule>
  </conditionalFormatting>
  <conditionalFormatting sqref="W1793">
    <cfRule type="expression" dxfId="745" priority="581">
      <formula>AND($R$1793,$S$1793)</formula>
    </cfRule>
  </conditionalFormatting>
  <conditionalFormatting sqref="W1793">
    <cfRule type="expression" dxfId="744" priority="580">
      <formula>AND(IF($R$1793,$W$1793,TRUE),LEN(TRIM($W$1793))&gt;0)</formula>
    </cfRule>
  </conditionalFormatting>
  <conditionalFormatting sqref="W1793">
    <cfRule type="expression" dxfId="743" priority="579">
      <formula>OR($S$1793 = FALSE, AND($P$1793 = FALSE, ReportType &lt;&gt; "Final"), AND($Q$1793 = FALSE, ReportType &lt;&gt; "Rough"))</formula>
    </cfRule>
  </conditionalFormatting>
  <conditionalFormatting sqref="W1793">
    <cfRule type="expression" dxfId="742" priority="578">
      <formula>OR($T$1793 = TRUE, AND($W$1793 = TRUE, $S$1793 = FALSE))</formula>
    </cfRule>
  </conditionalFormatting>
  <conditionalFormatting sqref="W1795">
    <cfRule type="expression" dxfId="741" priority="577">
      <formula>AND($R$1795,$S$1795)</formula>
    </cfRule>
  </conditionalFormatting>
  <conditionalFormatting sqref="W1795">
    <cfRule type="expression" dxfId="740" priority="576">
      <formula>AND(IF($R$1795,$W$1795,TRUE),LEN(TRIM($W$1795))&gt;0)</formula>
    </cfRule>
  </conditionalFormatting>
  <conditionalFormatting sqref="W1795">
    <cfRule type="expression" dxfId="739" priority="575">
      <formula>OR($S$1795 = FALSE, AND($P$1795 = FALSE, ReportType &lt;&gt; "Final"), AND($Q$1795 = FALSE, ReportType &lt;&gt; "Rough"))</formula>
    </cfRule>
  </conditionalFormatting>
  <conditionalFormatting sqref="W1795">
    <cfRule type="expression" dxfId="738" priority="574">
      <formula>OR($T$1795 = TRUE, AND($W$1795 = TRUE, $S$1795 = FALSE))</formula>
    </cfRule>
  </conditionalFormatting>
  <conditionalFormatting sqref="W1797">
    <cfRule type="expression" dxfId="737" priority="573">
      <formula>AND($R$1797,$S$1797)</formula>
    </cfRule>
  </conditionalFormatting>
  <conditionalFormatting sqref="W1797">
    <cfRule type="expression" dxfId="736" priority="572">
      <formula>AND(IF($R$1797,$W$1797,TRUE),LEN(TRIM($W$1797))&gt;0)</formula>
    </cfRule>
  </conditionalFormatting>
  <conditionalFormatting sqref="W1797">
    <cfRule type="expression" dxfId="735" priority="571">
      <formula>OR($S$1797 = FALSE, AND($P$1797 = FALSE, ReportType &lt;&gt; "Final"), AND($Q$1797 = FALSE, ReportType &lt;&gt; "Rough"))</formula>
    </cfRule>
  </conditionalFormatting>
  <conditionalFormatting sqref="W1797">
    <cfRule type="expression" dxfId="734" priority="570">
      <formula>OR($T$1797 = TRUE, AND($W$1797 = TRUE, $S$1797 = FALSE))</formula>
    </cfRule>
  </conditionalFormatting>
  <conditionalFormatting sqref="W1798">
    <cfRule type="expression" dxfId="733" priority="569">
      <formula>AND($R$1798,$S$1798)</formula>
    </cfRule>
  </conditionalFormatting>
  <conditionalFormatting sqref="W1798">
    <cfRule type="expression" dxfId="732" priority="568">
      <formula>AND(IF($R$1798,$W$1798,TRUE),LEN(TRIM($W$1798))&gt;0)</formula>
    </cfRule>
  </conditionalFormatting>
  <conditionalFormatting sqref="W1798">
    <cfRule type="expression" dxfId="731" priority="567">
      <formula>OR($S$1798 = FALSE, AND($P$1798 = FALSE, ReportType &lt;&gt; "Final"), AND($Q$1798 = FALSE, ReportType &lt;&gt; "Rough"))</formula>
    </cfRule>
  </conditionalFormatting>
  <conditionalFormatting sqref="W1798">
    <cfRule type="expression" dxfId="730" priority="566">
      <formula>OR($T$1798 = TRUE, AND($W$1798 = TRUE, $S$1798 = FALSE))</formula>
    </cfRule>
  </conditionalFormatting>
  <conditionalFormatting sqref="W1800">
    <cfRule type="expression" dxfId="729" priority="565">
      <formula>AND($R$1800,$S$1800)</formula>
    </cfRule>
  </conditionalFormatting>
  <conditionalFormatting sqref="W1800">
    <cfRule type="expression" dxfId="728" priority="564">
      <formula>AND(IF($R$1800,$W$1800,TRUE),LEN(TRIM($W$1800))&gt;0)</formula>
    </cfRule>
  </conditionalFormatting>
  <conditionalFormatting sqref="W1800">
    <cfRule type="expression" dxfId="727" priority="563">
      <formula>OR($S$1800 = FALSE, AND($P$1800 = FALSE, ReportType &lt;&gt; "Final"), AND($Q$1800 = FALSE, ReportType &lt;&gt; "Rough"))</formula>
    </cfRule>
  </conditionalFormatting>
  <conditionalFormatting sqref="W1800">
    <cfRule type="expression" dxfId="726" priority="562">
      <formula>OR($T$1800 = TRUE, AND($W$1800 = TRUE, $S$1800 = FALSE))</formula>
    </cfRule>
  </conditionalFormatting>
  <conditionalFormatting sqref="W1824">
    <cfRule type="expression" dxfId="725" priority="561">
      <formula>AND($R$1824,$S$1824)</formula>
    </cfRule>
  </conditionalFormatting>
  <conditionalFormatting sqref="W1824">
    <cfRule type="expression" dxfId="724" priority="560">
      <formula>AND($W$1824&lt;&gt;"Not Met",LEN(TRIM($W$1824))&gt;0)</formula>
    </cfRule>
  </conditionalFormatting>
  <conditionalFormatting sqref="W1824">
    <cfRule type="expression" dxfId="723" priority="559">
      <formula>OR($S$1824 = FALSE, AND($P$1824 = FALSE, ReportType &lt;&gt; "Final"), AND($Q$1824 = FALSE, ReportType &lt;&gt; "Rough"))</formula>
    </cfRule>
  </conditionalFormatting>
  <conditionalFormatting sqref="W1824">
    <cfRule type="expression" dxfId="722" priority="558">
      <formula>OR($T$1824 = TRUE, AND(LEN(TRIM($W$1824))&gt;0, $S$1824 = FALSE))</formula>
    </cfRule>
  </conditionalFormatting>
  <conditionalFormatting sqref="W1832">
    <cfRule type="expression" dxfId="721" priority="557">
      <formula>AND($R$1832,$S$1832)</formula>
    </cfRule>
  </conditionalFormatting>
  <conditionalFormatting sqref="W1832">
    <cfRule type="expression" dxfId="720" priority="556">
      <formula>AND($W$1832&lt;&gt;"Not Met",LEN(TRIM($W$1832))&gt;0)</formula>
    </cfRule>
  </conditionalFormatting>
  <conditionalFormatting sqref="W1832">
    <cfRule type="expression" dxfId="719" priority="555">
      <formula>OR($S$1832 = FALSE, AND($P$1832 = FALSE, ReportType &lt;&gt; "Final"), AND($Q$1832 = FALSE, ReportType &lt;&gt; "Rough"))</formula>
    </cfRule>
  </conditionalFormatting>
  <conditionalFormatting sqref="W1832">
    <cfRule type="expression" dxfId="718" priority="554">
      <formula>OR($T$1832 = TRUE, AND(LEN(TRIM($W$1832))&gt;0, $S$1832 = FALSE))</formula>
    </cfRule>
  </conditionalFormatting>
  <conditionalFormatting sqref="W1840">
    <cfRule type="expression" dxfId="717" priority="553">
      <formula>AND($R$1840,$S$1840)</formula>
    </cfRule>
  </conditionalFormatting>
  <conditionalFormatting sqref="W1840">
    <cfRule type="expression" dxfId="716" priority="552">
      <formula>AND(IF($R$1840,$W$1840,TRUE),LEN(TRIM($W$1840))&gt;0)</formula>
    </cfRule>
  </conditionalFormatting>
  <conditionalFormatting sqref="W1840">
    <cfRule type="expression" dxfId="715" priority="551">
      <formula>OR($S$1840 = FALSE, AND($P$1840 = FALSE, ReportType &lt;&gt; "Final"), AND($Q$1840 = FALSE, ReportType &lt;&gt; "Rough"))</formula>
    </cfRule>
  </conditionalFormatting>
  <conditionalFormatting sqref="W1840">
    <cfRule type="expression" dxfId="714" priority="550">
      <formula>OR($T$1840 = TRUE, AND($W$1840 = TRUE, $S$1840 = FALSE))</formula>
    </cfRule>
  </conditionalFormatting>
  <conditionalFormatting sqref="W2030">
    <cfRule type="expression" dxfId="713" priority="549">
      <formula>AND($R$2030,$S$2030)</formula>
    </cfRule>
  </conditionalFormatting>
  <conditionalFormatting sqref="W2030">
    <cfRule type="expression" dxfId="712" priority="548">
      <formula>AND(IF($R$2030,$W$2030,TRUE),LEN(TRIM($W$2030))&gt;0)</formula>
    </cfRule>
  </conditionalFormatting>
  <conditionalFormatting sqref="W2030">
    <cfRule type="expression" dxfId="711" priority="547">
      <formula>OR($S$2030 = FALSE, AND($P$2030 = FALSE, ReportType &lt;&gt; "Final"), AND($Q$2030 = FALSE, ReportType &lt;&gt; "Rough"))</formula>
    </cfRule>
  </conditionalFormatting>
  <conditionalFormatting sqref="W2030">
    <cfRule type="expression" dxfId="710" priority="546">
      <formula>OR($T$2030 = TRUE, AND($W$2030 = TRUE, $S$2030 = FALSE))</formula>
    </cfRule>
  </conditionalFormatting>
  <conditionalFormatting sqref="W2081">
    <cfRule type="expression" dxfId="709" priority="545">
      <formula>AND($R$2081,$S$2081)</formula>
    </cfRule>
  </conditionalFormatting>
  <conditionalFormatting sqref="W2081">
    <cfRule type="expression" dxfId="708" priority="544">
      <formula>AND(IF($R$2081,$W$2081,TRUE),LEN(TRIM($W$2081))&gt;0)</formula>
    </cfRule>
  </conditionalFormatting>
  <conditionalFormatting sqref="W2081">
    <cfRule type="expression" dxfId="707" priority="543">
      <formula>OR($S$2081 = FALSE, AND($P$2081 = FALSE, ReportType &lt;&gt; "Final"), AND($Q$2081 = FALSE, ReportType &lt;&gt; "Rough"))</formula>
    </cfRule>
  </conditionalFormatting>
  <conditionalFormatting sqref="W2081">
    <cfRule type="expression" dxfId="706" priority="542">
      <formula>OR($T$2081 = TRUE, AND($W$2081 = TRUE, $S$2081 = FALSE))</formula>
    </cfRule>
  </conditionalFormatting>
  <conditionalFormatting sqref="W2104">
    <cfRule type="expression" dxfId="705" priority="541">
      <formula>AND($R$2104,$S$2104)</formula>
    </cfRule>
  </conditionalFormatting>
  <conditionalFormatting sqref="W2104">
    <cfRule type="expression" dxfId="704" priority="540">
      <formula>AND($W$2104&lt;&gt;"Not Met",LEN(TRIM($W$2104))&gt;0)</formula>
    </cfRule>
  </conditionalFormatting>
  <conditionalFormatting sqref="W2104">
    <cfRule type="expression" dxfId="703" priority="539">
      <formula>OR($S$2104 = FALSE, AND($P$2104 = FALSE, ReportType &lt;&gt; "Final"), AND($Q$2104 = FALSE, ReportType &lt;&gt; "Rough"))</formula>
    </cfRule>
  </conditionalFormatting>
  <conditionalFormatting sqref="W2104">
    <cfRule type="expression" dxfId="702" priority="538">
      <formula>OR($T$2104 = TRUE, AND(LEN(TRIM($W$2104))&gt;0, $S$2104 = FALSE))</formula>
    </cfRule>
  </conditionalFormatting>
  <conditionalFormatting sqref="W2152">
    <cfRule type="expression" dxfId="701" priority="521">
      <formula>AND($R$2152,$S$2152)</formula>
    </cfRule>
  </conditionalFormatting>
  <conditionalFormatting sqref="W2152">
    <cfRule type="expression" dxfId="700" priority="520">
      <formula>AND(IF($R$2152,$W$2152,TRUE),LEN(TRIM($W$2152))&gt;0)</formula>
    </cfRule>
  </conditionalFormatting>
  <conditionalFormatting sqref="W2152">
    <cfRule type="expression" dxfId="699" priority="519">
      <formula>OR($S$2152 = FALSE, AND($P$2152 = FALSE, ReportType &lt;&gt; "Final"), AND($Q$2152 = FALSE, ReportType &lt;&gt; "Rough"))</formula>
    </cfRule>
  </conditionalFormatting>
  <conditionalFormatting sqref="W2152">
    <cfRule type="expression" dxfId="698" priority="518">
      <formula>OR($T$2152 = TRUE, AND($W$2152 = TRUE, $S$2152 = FALSE))</formula>
    </cfRule>
  </conditionalFormatting>
  <conditionalFormatting sqref="W2154">
    <cfRule type="expression" dxfId="697" priority="517">
      <formula>AND($R$2154,$S$2154)</formula>
    </cfRule>
  </conditionalFormatting>
  <conditionalFormatting sqref="W2154">
    <cfRule type="expression" dxfId="696" priority="516">
      <formula>AND(IF($R$2154,$W$2154,TRUE),LEN(TRIM($W$2154))&gt;0)</formula>
    </cfRule>
  </conditionalFormatting>
  <conditionalFormatting sqref="W2154">
    <cfRule type="expression" dxfId="695" priority="515">
      <formula>OR($S$2154 = FALSE, AND($P$2154 = FALSE, ReportType &lt;&gt; "Final"), AND($Q$2154 = FALSE, ReportType &lt;&gt; "Rough"))</formula>
    </cfRule>
  </conditionalFormatting>
  <conditionalFormatting sqref="W2154">
    <cfRule type="expression" dxfId="694" priority="514">
      <formula>OR($T$2154 = TRUE, AND($W$2154 = TRUE, $S$2154 = FALSE))</formula>
    </cfRule>
  </conditionalFormatting>
  <conditionalFormatting sqref="W2185">
    <cfRule type="expression" dxfId="693" priority="509">
      <formula>AND($R$2185,$S$2185)</formula>
    </cfRule>
  </conditionalFormatting>
  <conditionalFormatting sqref="W2185">
    <cfRule type="expression" dxfId="692" priority="508">
      <formula>AND(IF($R$2185,$W$2185,TRUE),LEN(TRIM($W$2185))&gt;0)</formula>
    </cfRule>
  </conditionalFormatting>
  <conditionalFormatting sqref="W2185">
    <cfRule type="expression" dxfId="691" priority="507">
      <formula>OR($S$2185 = FALSE, AND($P$2185 = FALSE, ReportType &lt;&gt; "Final"), AND($Q$2185 = FALSE, ReportType &lt;&gt; "Rough"))</formula>
    </cfRule>
  </conditionalFormatting>
  <conditionalFormatting sqref="W2185">
    <cfRule type="expression" dxfId="690" priority="506">
      <formula>OR($T$2185 = TRUE, AND($W$2185 = TRUE, $S$2185 = FALSE))</formula>
    </cfRule>
  </conditionalFormatting>
  <conditionalFormatting sqref="W2220">
    <cfRule type="expression" dxfId="689" priority="505">
      <formula>AND($R$2220,$S$2220)</formula>
    </cfRule>
  </conditionalFormatting>
  <conditionalFormatting sqref="W2220">
    <cfRule type="expression" dxfId="688" priority="504">
      <formula>AND(IF($R$2220,$W$2220,TRUE),LEN(TRIM($W$2220))&gt;0)</formula>
    </cfRule>
  </conditionalFormatting>
  <conditionalFormatting sqref="W2220">
    <cfRule type="expression" dxfId="687" priority="503">
      <formula>OR($S$2220 = FALSE, AND($P$2220 = FALSE, ReportType &lt;&gt; "Final"), AND($Q$2220 = FALSE, ReportType &lt;&gt; "Rough"))</formula>
    </cfRule>
  </conditionalFormatting>
  <conditionalFormatting sqref="W2220">
    <cfRule type="expression" dxfId="686" priority="502">
      <formula>OR($T$2220 = TRUE, AND($W$2220 = TRUE, $S$2220 = FALSE))</formula>
    </cfRule>
  </conditionalFormatting>
  <conditionalFormatting sqref="W2228">
    <cfRule type="expression" dxfId="685" priority="501">
      <formula>AND($R$2228,$S$2228)</formula>
    </cfRule>
  </conditionalFormatting>
  <conditionalFormatting sqref="W2228">
    <cfRule type="expression" dxfId="684" priority="500">
      <formula>AND(IF($R$2228,$W$2228,TRUE),LEN(TRIM($W$2228))&gt;0)</formula>
    </cfRule>
  </conditionalFormatting>
  <conditionalFormatting sqref="W2228">
    <cfRule type="expression" dxfId="683" priority="499">
      <formula>OR($S$2228 = FALSE, AND($P$2228 = FALSE, ReportType &lt;&gt; "Final"), AND($Q$2228 = FALSE, ReportType &lt;&gt; "Rough"))</formula>
    </cfRule>
  </conditionalFormatting>
  <conditionalFormatting sqref="W2228">
    <cfRule type="expression" dxfId="682" priority="498">
      <formula>OR($T$2228 = TRUE, AND($W$2228 = TRUE, $S$2228 = FALSE))</formula>
    </cfRule>
  </conditionalFormatting>
  <conditionalFormatting sqref="W2240">
    <cfRule type="expression" dxfId="681" priority="497">
      <formula>AND($R$2240,$S$2240)</formula>
    </cfRule>
  </conditionalFormatting>
  <conditionalFormatting sqref="W2240">
    <cfRule type="expression" dxfId="680" priority="496">
      <formula>AND(IF($R$2240,$W$2240,TRUE),LEN(TRIM($W$2240))&gt;0)</formula>
    </cfRule>
  </conditionalFormatting>
  <conditionalFormatting sqref="W2240">
    <cfRule type="expression" dxfId="679" priority="495">
      <formula>OR($S$2240 = FALSE, AND($P$2240 = FALSE, ReportType &lt;&gt; "Final"), AND($Q$2240 = FALSE, ReportType &lt;&gt; "Rough"))</formula>
    </cfRule>
  </conditionalFormatting>
  <conditionalFormatting sqref="W2240">
    <cfRule type="expression" dxfId="678" priority="494">
      <formula>OR($T$2240 = TRUE, AND($W$2240 = TRUE, $S$2240 = FALSE))</formula>
    </cfRule>
  </conditionalFormatting>
  <conditionalFormatting sqref="W2241">
    <cfRule type="expression" dxfId="677" priority="493">
      <formula>AND($R$2241,$S$2241)</formula>
    </cfRule>
  </conditionalFormatting>
  <conditionalFormatting sqref="W2241">
    <cfRule type="expression" dxfId="676" priority="492">
      <formula>AND(IF($R$2241,$W$2241,TRUE),LEN(TRIM($W$2241))&gt;0)</formula>
    </cfRule>
  </conditionalFormatting>
  <conditionalFormatting sqref="W2241">
    <cfRule type="expression" dxfId="675" priority="491">
      <formula>OR($S$2241 = FALSE, AND($P$2241 = FALSE, ReportType &lt;&gt; "Final"), AND($Q$2241 = FALSE, ReportType &lt;&gt; "Rough"))</formula>
    </cfRule>
  </conditionalFormatting>
  <conditionalFormatting sqref="W2241">
    <cfRule type="expression" dxfId="674" priority="490">
      <formula>OR($T$2241 = TRUE, AND($W$2241 = TRUE, $S$2241 = FALSE))</formula>
    </cfRule>
  </conditionalFormatting>
  <conditionalFormatting sqref="W2243">
    <cfRule type="expression" dxfId="673" priority="489">
      <formula>AND($R$2243,$S$2243)</formula>
    </cfRule>
  </conditionalFormatting>
  <conditionalFormatting sqref="W2243">
    <cfRule type="expression" dxfId="672" priority="488">
      <formula>AND(IF($R$2243,$W$2243,TRUE),LEN(TRIM($W$2243))&gt;0)</formula>
    </cfRule>
  </conditionalFormatting>
  <conditionalFormatting sqref="W2243">
    <cfRule type="expression" dxfId="671" priority="487">
      <formula>OR($S$2243 = FALSE, AND($P$2243 = FALSE, ReportType &lt;&gt; "Final"), AND($Q$2243 = FALSE, ReportType &lt;&gt; "Rough"))</formula>
    </cfRule>
  </conditionalFormatting>
  <conditionalFormatting sqref="W2243">
    <cfRule type="expression" dxfId="670" priority="486">
      <formula>OR($T$2243 = TRUE, AND($W$2243 = TRUE, $S$2243 = FALSE))</formula>
    </cfRule>
  </conditionalFormatting>
  <conditionalFormatting sqref="W2248">
    <cfRule type="expression" dxfId="669" priority="485">
      <formula>AND($R$2248,$S$2248)</formula>
    </cfRule>
  </conditionalFormatting>
  <conditionalFormatting sqref="W2248">
    <cfRule type="expression" dxfId="668" priority="484">
      <formula>AND(IF($R$2248,$W$2248,TRUE),LEN(TRIM($W$2248))&gt;0)</formula>
    </cfRule>
  </conditionalFormatting>
  <conditionalFormatting sqref="W2248">
    <cfRule type="expression" dxfId="667" priority="483">
      <formula>OR($S$2248 = FALSE, AND($P$2248 = FALSE, ReportType &lt;&gt; "Final"), AND($Q$2248 = FALSE, ReportType &lt;&gt; "Rough"))</formula>
    </cfRule>
  </conditionalFormatting>
  <conditionalFormatting sqref="W2248">
    <cfRule type="expression" dxfId="666" priority="482">
      <formula>OR($T$2248 = TRUE, AND($W$2248 = TRUE, $S$2248 = FALSE))</formula>
    </cfRule>
  </conditionalFormatting>
  <conditionalFormatting sqref="W2393">
    <cfRule type="expression" dxfId="665" priority="481">
      <formula>AND($R$2393,$S$2393)</formula>
    </cfRule>
  </conditionalFormatting>
  <conditionalFormatting sqref="W2393">
    <cfRule type="expression" dxfId="664" priority="480">
      <formula>AND(IF($R$2393,$W$2393,TRUE),LEN(TRIM($W$2393))&gt;0)</formula>
    </cfRule>
  </conditionalFormatting>
  <conditionalFormatting sqref="W2393">
    <cfRule type="expression" dxfId="663" priority="479">
      <formula>OR($S$2393 = FALSE, AND($P$2393 = FALSE, ReportType &lt;&gt; "Final"), AND($Q$2393 = FALSE, ReportType &lt;&gt; "Rough"))</formula>
    </cfRule>
  </conditionalFormatting>
  <conditionalFormatting sqref="W2393">
    <cfRule type="expression" dxfId="662" priority="478">
      <formula>OR($T$2393 = TRUE, AND($W$2393 = TRUE, $S$2393 = FALSE))</formula>
    </cfRule>
  </conditionalFormatting>
  <conditionalFormatting sqref="W2410">
    <cfRule type="expression" dxfId="661" priority="476">
      <formula>AND($R$2410,$S$2410)</formula>
    </cfRule>
  </conditionalFormatting>
  <conditionalFormatting sqref="W2410">
    <cfRule type="expression" dxfId="660" priority="475">
      <formula>AND(IF($R$2410,$W$2410,TRUE),LEN(TRIM($W$2410))&gt;0)</formula>
    </cfRule>
  </conditionalFormatting>
  <conditionalFormatting sqref="W2410">
    <cfRule type="expression" dxfId="659" priority="474">
      <formula>OR($S$2410 = FALSE, AND($P$2410 = FALSE, ReportType &lt;&gt; "Final"), AND($Q$2410 = FALSE, ReportType &lt;&gt; "Rough"))</formula>
    </cfRule>
  </conditionalFormatting>
  <conditionalFormatting sqref="W2410">
    <cfRule type="expression" dxfId="658" priority="473">
      <formula>OR($T$2410 = TRUE, AND($W$2410 = TRUE, $S$2410 = FALSE))</formula>
    </cfRule>
  </conditionalFormatting>
  <conditionalFormatting sqref="W2411">
    <cfRule type="expression" dxfId="657" priority="472">
      <formula>AND($R$2411,$S$2411)</formula>
    </cfRule>
  </conditionalFormatting>
  <conditionalFormatting sqref="W2411">
    <cfRule type="expression" dxfId="656" priority="471">
      <formula>AND(IF($R$2411,$W$2411,TRUE),LEN(TRIM($W$2411))&gt;0)</formula>
    </cfRule>
  </conditionalFormatting>
  <conditionalFormatting sqref="W2411">
    <cfRule type="expression" dxfId="655" priority="470">
      <formula>OR($S$2411 = FALSE, AND($P$2411 = FALSE, ReportType &lt;&gt; "Final"), AND($Q$2411 = FALSE, ReportType &lt;&gt; "Rough"))</formula>
    </cfRule>
  </conditionalFormatting>
  <conditionalFormatting sqref="W2411">
    <cfRule type="expression" dxfId="654" priority="469">
      <formula>OR($T$2411 = TRUE, AND($W$2411 = TRUE, $S$2411 = FALSE))</formula>
    </cfRule>
  </conditionalFormatting>
  <conditionalFormatting sqref="W2412">
    <cfRule type="expression" dxfId="653" priority="468">
      <formula>AND($R$2412,$S$2412)</formula>
    </cfRule>
  </conditionalFormatting>
  <conditionalFormatting sqref="W2412">
    <cfRule type="expression" dxfId="652" priority="467">
      <formula>AND(IF($R$2412,$W$2412,TRUE),LEN(TRIM($W$2412))&gt;0)</formula>
    </cfRule>
  </conditionalFormatting>
  <conditionalFormatting sqref="W2412">
    <cfRule type="expression" dxfId="651" priority="466">
      <formula>OR($S$2412 = FALSE, AND($P$2412 = FALSE, ReportType &lt;&gt; "Final"), AND($Q$2412 = FALSE, ReportType &lt;&gt; "Rough"))</formula>
    </cfRule>
  </conditionalFormatting>
  <conditionalFormatting sqref="W2412">
    <cfRule type="expression" dxfId="650" priority="465">
      <formula>OR($T$2412 = TRUE, AND($W$2412 = TRUE, $S$2412 = FALSE))</formula>
    </cfRule>
  </conditionalFormatting>
  <conditionalFormatting sqref="W2414">
    <cfRule type="expression" dxfId="649" priority="464">
      <formula>AND($R$2414,$S$2414)</formula>
    </cfRule>
  </conditionalFormatting>
  <conditionalFormatting sqref="W2414">
    <cfRule type="expression" dxfId="648" priority="463">
      <formula>AND(IF($R$2414,$W$2414,TRUE),LEN(TRIM($W$2414))&gt;0)</formula>
    </cfRule>
  </conditionalFormatting>
  <conditionalFormatting sqref="W2414">
    <cfRule type="expression" dxfId="647" priority="462">
      <formula>OR($S$2414 = FALSE, AND($P$2414 = FALSE, ReportType &lt;&gt; "Final"), AND($Q$2414 = FALSE, ReportType &lt;&gt; "Rough"))</formula>
    </cfRule>
  </conditionalFormatting>
  <conditionalFormatting sqref="W2414">
    <cfRule type="expression" dxfId="646" priority="461">
      <formula>OR($T$2414 = TRUE, AND($W$2414 = TRUE, $S$2414 = FALSE))</formula>
    </cfRule>
  </conditionalFormatting>
  <conditionalFormatting sqref="W2415">
    <cfRule type="expression" dxfId="645" priority="460">
      <formula>AND($R$2415,$S$2415)</formula>
    </cfRule>
  </conditionalFormatting>
  <conditionalFormatting sqref="W2415">
    <cfRule type="expression" dxfId="644" priority="459">
      <formula>AND(IF($R$2415,$W$2415,TRUE),LEN(TRIM($W$2415))&gt;0)</formula>
    </cfRule>
  </conditionalFormatting>
  <conditionalFormatting sqref="W2415">
    <cfRule type="expression" dxfId="643" priority="458">
      <formula>OR($S$2415 = FALSE, AND($P$2415 = FALSE, ReportType &lt;&gt; "Final"), AND($Q$2415 = FALSE, ReportType &lt;&gt; "Rough"))</formula>
    </cfRule>
  </conditionalFormatting>
  <conditionalFormatting sqref="W2415">
    <cfRule type="expression" dxfId="642" priority="457">
      <formula>OR($T$2415 = TRUE, AND($W$2415 = TRUE, $S$2415 = FALSE))</formula>
    </cfRule>
  </conditionalFormatting>
  <conditionalFormatting sqref="W2416">
    <cfRule type="expression" dxfId="641" priority="456">
      <formula>AND($R$2416,$S$2416)</formula>
    </cfRule>
  </conditionalFormatting>
  <conditionalFormatting sqref="W2416">
    <cfRule type="expression" dxfId="640" priority="455">
      <formula>AND(IF($R$2416,$W$2416,TRUE),LEN(TRIM($W$2416))&gt;0)</formula>
    </cfRule>
  </conditionalFormatting>
  <conditionalFormatting sqref="W2416">
    <cfRule type="expression" dxfId="639" priority="454">
      <formula>OR($S$2416 = FALSE, AND($P$2416 = FALSE, ReportType &lt;&gt; "Final"), AND($Q$2416 = FALSE, ReportType &lt;&gt; "Rough"))</formula>
    </cfRule>
  </conditionalFormatting>
  <conditionalFormatting sqref="W2416">
    <cfRule type="expression" dxfId="638" priority="453">
      <formula>OR($T$2416 = TRUE, AND($W$2416 = TRUE, $S$2416 = FALSE))</formula>
    </cfRule>
  </conditionalFormatting>
  <conditionalFormatting sqref="W2417">
    <cfRule type="expression" dxfId="637" priority="452">
      <formula>AND($R$2417,$S$2417)</formula>
    </cfRule>
  </conditionalFormatting>
  <conditionalFormatting sqref="W2417">
    <cfRule type="expression" dxfId="636" priority="451">
      <formula>AND(IF($R$2417,$W$2417,TRUE),LEN(TRIM($W$2417))&gt;0)</formula>
    </cfRule>
  </conditionalFormatting>
  <conditionalFormatting sqref="W2417">
    <cfRule type="expression" dxfId="635" priority="450">
      <formula>OR($S$2417 = FALSE, AND($P$2417 = FALSE, ReportType &lt;&gt; "Final"), AND($Q$2417 = FALSE, ReportType &lt;&gt; "Rough"))</formula>
    </cfRule>
  </conditionalFormatting>
  <conditionalFormatting sqref="W2417">
    <cfRule type="expression" dxfId="634" priority="449">
      <formula>OR($T$2417 = TRUE, AND($W$2417 = TRUE, $S$2417 = FALSE))</formula>
    </cfRule>
  </conditionalFormatting>
  <conditionalFormatting sqref="W2418">
    <cfRule type="expression" dxfId="633" priority="448">
      <formula>AND($R$2418,$S$2418)</formula>
    </cfRule>
  </conditionalFormatting>
  <conditionalFormatting sqref="W2418">
    <cfRule type="expression" dxfId="632" priority="447">
      <formula>AND(IF($R$2418,$W$2418,TRUE),LEN(TRIM($W$2418))&gt;0)</formula>
    </cfRule>
  </conditionalFormatting>
  <conditionalFormatting sqref="W2418">
    <cfRule type="expression" dxfId="631" priority="446">
      <formula>OR($S$2418 = FALSE, AND($P$2418 = FALSE, ReportType &lt;&gt; "Final"), AND($Q$2418 = FALSE, ReportType &lt;&gt; "Rough"))</formula>
    </cfRule>
  </conditionalFormatting>
  <conditionalFormatting sqref="W2418">
    <cfRule type="expression" dxfId="630" priority="445">
      <formula>OR($T$2418 = TRUE, AND($W$2418 = TRUE, $S$2418 = FALSE))</formula>
    </cfRule>
  </conditionalFormatting>
  <conditionalFormatting sqref="W2419">
    <cfRule type="expression" dxfId="629" priority="444">
      <formula>AND($R$2419,$S$2419)</formula>
    </cfRule>
  </conditionalFormatting>
  <conditionalFormatting sqref="W2419">
    <cfRule type="expression" dxfId="628" priority="443">
      <formula>AND(IF($R$2419,$W$2419,TRUE),LEN(TRIM($W$2419))&gt;0)</formula>
    </cfRule>
  </conditionalFormatting>
  <conditionalFormatting sqref="W2419">
    <cfRule type="expression" dxfId="627" priority="442">
      <formula>OR($S$2419 = FALSE, AND($P$2419 = FALSE, ReportType &lt;&gt; "Final"), AND($Q$2419 = FALSE, ReportType &lt;&gt; "Rough"))</formula>
    </cfRule>
  </conditionalFormatting>
  <conditionalFormatting sqref="W2419">
    <cfRule type="expression" dxfId="626" priority="441">
      <formula>OR($T$2419 = TRUE, AND($W$2419 = TRUE, $S$2419 = FALSE))</formula>
    </cfRule>
  </conditionalFormatting>
  <conditionalFormatting sqref="W2424">
    <cfRule type="expression" dxfId="625" priority="440">
      <formula>AND($R$2424,$S$2424)</formula>
    </cfRule>
  </conditionalFormatting>
  <conditionalFormatting sqref="W2424">
    <cfRule type="expression" dxfId="624" priority="439">
      <formula>AND(IF($R$2424,$W$2424,TRUE),LEN(TRIM($W$2424))&gt;0)</formula>
    </cfRule>
  </conditionalFormatting>
  <conditionalFormatting sqref="W2424">
    <cfRule type="expression" dxfId="623" priority="438">
      <formula>OR($S$2424 = FALSE, AND($P$2424 = FALSE, ReportType &lt;&gt; "Final"), AND($Q$2424 = FALSE, ReportType &lt;&gt; "Rough"))</formula>
    </cfRule>
  </conditionalFormatting>
  <conditionalFormatting sqref="W2424">
    <cfRule type="expression" dxfId="622" priority="437">
      <formula>OR($T$2424 = TRUE, AND($W$2424 = TRUE, $S$2424 = FALSE))</formula>
    </cfRule>
  </conditionalFormatting>
  <conditionalFormatting sqref="W2425">
    <cfRule type="expression" dxfId="621" priority="436">
      <formula>AND($R$2425,$S$2425)</formula>
    </cfRule>
  </conditionalFormatting>
  <conditionalFormatting sqref="W2425">
    <cfRule type="expression" dxfId="620" priority="435">
      <formula>AND(IF($R$2425,$W$2425,TRUE),LEN(TRIM($W$2425))&gt;0)</formula>
    </cfRule>
  </conditionalFormatting>
  <conditionalFormatting sqref="W2425">
    <cfRule type="expression" dxfId="619" priority="434">
      <formula>OR($S$2425 = FALSE, AND($P$2425 = FALSE, ReportType &lt;&gt; "Final"), AND($Q$2425 = FALSE, ReportType &lt;&gt; "Rough"))</formula>
    </cfRule>
  </conditionalFormatting>
  <conditionalFormatting sqref="W2425">
    <cfRule type="expression" dxfId="618" priority="433">
      <formula>OR($T$2425 = TRUE, AND($W$2425 = TRUE, $S$2425 = FALSE))</formula>
    </cfRule>
  </conditionalFormatting>
  <conditionalFormatting sqref="W2426">
    <cfRule type="expression" dxfId="617" priority="432">
      <formula>AND($R$2426,$S$2426)</formula>
    </cfRule>
  </conditionalFormatting>
  <conditionalFormatting sqref="W2426">
    <cfRule type="expression" dxfId="616" priority="431">
      <formula>AND(IF($R$2426,$W$2426,TRUE),LEN(TRIM($W$2426))&gt;0)</formula>
    </cfRule>
  </conditionalFormatting>
  <conditionalFormatting sqref="W2426">
    <cfRule type="expression" dxfId="615" priority="430">
      <formula>OR($S$2426 = FALSE, AND($P$2426 = FALSE, ReportType &lt;&gt; "Final"), AND($Q$2426 = FALSE, ReportType &lt;&gt; "Rough"))</formula>
    </cfRule>
  </conditionalFormatting>
  <conditionalFormatting sqref="W2426">
    <cfRule type="expression" dxfId="614" priority="429">
      <formula>OR($T$2426 = TRUE, AND($W$2426 = TRUE, $S$2426 = FALSE))</formula>
    </cfRule>
  </conditionalFormatting>
  <conditionalFormatting sqref="W2427">
    <cfRule type="expression" dxfId="613" priority="428">
      <formula>AND($R$2427,$S$2427)</formula>
    </cfRule>
  </conditionalFormatting>
  <conditionalFormatting sqref="W2427">
    <cfRule type="expression" dxfId="612" priority="427">
      <formula>AND(IF($R$2427,$W$2427,TRUE),LEN(TRIM($W$2427))&gt;0)</formula>
    </cfRule>
  </conditionalFormatting>
  <conditionalFormatting sqref="W2427">
    <cfRule type="expression" dxfId="611" priority="426">
      <formula>OR($S$2427 = FALSE, AND($P$2427 = FALSE, ReportType &lt;&gt; "Final"), AND($Q$2427 = FALSE, ReportType &lt;&gt; "Rough"))</formula>
    </cfRule>
  </conditionalFormatting>
  <conditionalFormatting sqref="W2427">
    <cfRule type="expression" dxfId="610" priority="425">
      <formula>OR($T$2427 = TRUE, AND($W$2427 = TRUE, $S$2427 = FALSE))</formula>
    </cfRule>
  </conditionalFormatting>
  <conditionalFormatting sqref="W2428">
    <cfRule type="expression" dxfId="609" priority="424">
      <formula>AND($R$2428,$S$2428)</formula>
    </cfRule>
  </conditionalFormatting>
  <conditionalFormatting sqref="W2428">
    <cfRule type="expression" dxfId="608" priority="423">
      <formula>AND(IF($R$2428,$W$2428,TRUE),LEN(TRIM($W$2428))&gt;0)</formula>
    </cfRule>
  </conditionalFormatting>
  <conditionalFormatting sqref="W2428">
    <cfRule type="expression" dxfId="607" priority="422">
      <formula>OR($S$2428 = FALSE, AND($P$2428 = FALSE, ReportType &lt;&gt; "Final"), AND($Q$2428 = FALSE, ReportType &lt;&gt; "Rough"))</formula>
    </cfRule>
  </conditionalFormatting>
  <conditionalFormatting sqref="W2428">
    <cfRule type="expression" dxfId="606" priority="421">
      <formula>OR($T$2428 = TRUE, AND($W$2428 = TRUE, $S$2428 = FALSE))</formula>
    </cfRule>
  </conditionalFormatting>
  <conditionalFormatting sqref="W2429">
    <cfRule type="expression" dxfId="605" priority="420">
      <formula>AND($R$2429,$S$2429)</formula>
    </cfRule>
  </conditionalFormatting>
  <conditionalFormatting sqref="W2429">
    <cfRule type="expression" dxfId="604" priority="419">
      <formula>AND(IF($R$2429,$W$2429,TRUE),LEN(TRIM($W$2429))&gt;0)</formula>
    </cfRule>
  </conditionalFormatting>
  <conditionalFormatting sqref="W2429">
    <cfRule type="expression" dxfId="603" priority="418">
      <formula>OR($S$2429 = FALSE, AND($P$2429 = FALSE, ReportType &lt;&gt; "Final"), AND($Q$2429 = FALSE, ReportType &lt;&gt; "Rough"))</formula>
    </cfRule>
  </conditionalFormatting>
  <conditionalFormatting sqref="W2429">
    <cfRule type="expression" dxfId="602" priority="417">
      <formula>OR($T$2429 = TRUE, AND($W$2429 = TRUE, $S$2429 = FALSE))</formula>
    </cfRule>
  </conditionalFormatting>
  <conditionalFormatting sqref="W2430">
    <cfRule type="expression" dxfId="601" priority="416">
      <formula>AND($R$2430,$S$2430)</formula>
    </cfRule>
  </conditionalFormatting>
  <conditionalFormatting sqref="W2430">
    <cfRule type="expression" dxfId="600" priority="415">
      <formula>AND(IF($R$2430,$W$2430,TRUE),LEN(TRIM($W$2430))&gt;0)</formula>
    </cfRule>
  </conditionalFormatting>
  <conditionalFormatting sqref="W2430">
    <cfRule type="expression" dxfId="599" priority="414">
      <formula>OR($S$2430 = FALSE, AND($P$2430 = FALSE, ReportType &lt;&gt; "Final"), AND($Q$2430 = FALSE, ReportType &lt;&gt; "Rough"))</formula>
    </cfRule>
  </conditionalFormatting>
  <conditionalFormatting sqref="W2430">
    <cfRule type="expression" dxfId="598" priority="413">
      <formula>OR($T$2430 = TRUE, AND($W$2430 = TRUE, $S$2430 = FALSE))</formula>
    </cfRule>
  </conditionalFormatting>
  <conditionalFormatting sqref="W2460">
    <cfRule type="expression" dxfId="597" priority="412">
      <formula>AND($R$2460,$S$2460)</formula>
    </cfRule>
  </conditionalFormatting>
  <conditionalFormatting sqref="W2460">
    <cfRule type="expression" dxfId="596" priority="411">
      <formula>AND(IF($R$2460,$W$2460,TRUE),LEN(TRIM($W$2460))&gt;0)</formula>
    </cfRule>
  </conditionalFormatting>
  <conditionalFormatting sqref="W2460">
    <cfRule type="expression" dxfId="595" priority="410">
      <formula>OR($S$2460 = FALSE, AND($P$2460 = FALSE, ReportType &lt;&gt; "Final"), AND($Q$2460 = FALSE, ReportType &lt;&gt; "Rough"))</formula>
    </cfRule>
  </conditionalFormatting>
  <conditionalFormatting sqref="W2460">
    <cfRule type="expression" dxfId="594" priority="409">
      <formula>OR($T$2460 = TRUE, AND($W$2460 = TRUE, $S$2460 = FALSE))</formula>
    </cfRule>
  </conditionalFormatting>
  <conditionalFormatting sqref="W2463">
    <cfRule type="expression" dxfId="593" priority="408">
      <formula>AND($R$2463,$S$2463)</formula>
    </cfRule>
  </conditionalFormatting>
  <conditionalFormatting sqref="W2463">
    <cfRule type="expression" dxfId="592" priority="407">
      <formula>AND(IF($R$2463,$W$2463,TRUE),LEN(TRIM($W$2463))&gt;0)</formula>
    </cfRule>
  </conditionalFormatting>
  <conditionalFormatting sqref="W2463">
    <cfRule type="expression" dxfId="591" priority="406">
      <formula>OR($S$2463 = FALSE, AND($P$2463 = FALSE, ReportType &lt;&gt; "Final"), AND($Q$2463 = FALSE, ReportType &lt;&gt; "Rough"))</formula>
    </cfRule>
  </conditionalFormatting>
  <conditionalFormatting sqref="W2463">
    <cfRule type="expression" dxfId="590" priority="405">
      <formula>OR($T$2463 = TRUE, AND($W$2463 = TRUE, $S$2463 = FALSE))</formula>
    </cfRule>
  </conditionalFormatting>
  <conditionalFormatting sqref="M887:M888">
    <cfRule type="expression" dxfId="589" priority="402">
      <formula>NOT(AE887)</formula>
    </cfRule>
  </conditionalFormatting>
  <conditionalFormatting sqref="M931">
    <cfRule type="expression" dxfId="588" priority="403">
      <formula>OR(S883=1,S883=3)</formula>
    </cfRule>
  </conditionalFormatting>
  <conditionalFormatting sqref="M1751:M1752">
    <cfRule type="expression" dxfId="587" priority="401">
      <formula>NOT(O1760&gt;0)</formula>
    </cfRule>
  </conditionalFormatting>
  <conditionalFormatting sqref="O2367:O2370">
    <cfRule type="cellIs" dxfId="586" priority="400" operator="greaterThan">
      <formula>0</formula>
    </cfRule>
  </conditionalFormatting>
  <conditionalFormatting sqref="O2340:O2343">
    <cfRule type="cellIs" dxfId="585" priority="399" operator="greaterThan">
      <formula>0</formula>
    </cfRule>
  </conditionalFormatting>
  <conditionalFormatting sqref="O2322:O2324">
    <cfRule type="cellIs" dxfId="584" priority="398" operator="greaterThan">
      <formula>0</formula>
    </cfRule>
  </conditionalFormatting>
  <conditionalFormatting sqref="W286">
    <cfRule type="expression" dxfId="583" priority="376">
      <formula>AND(R286,S286)</formula>
    </cfRule>
  </conditionalFormatting>
  <conditionalFormatting sqref="W286">
    <cfRule type="expression" dxfId="582" priority="375">
      <formula>AND(IF(R286,W286,TRUE),LEN(TRIM(W286))&gt;0)</formula>
    </cfRule>
  </conditionalFormatting>
  <conditionalFormatting sqref="W286">
    <cfRule type="expression" dxfId="581" priority="374">
      <formula>OR(T286 = TRUE, AND(W286 = TRUE, S286 = FALSE))</formula>
    </cfRule>
  </conditionalFormatting>
  <conditionalFormatting sqref="W286">
    <cfRule type="expression" dxfId="580" priority="377">
      <formula>OR(S286 = FALSE, AND(P286 = FALSE, ReportType &lt;&gt; "Final"), AND(Q286 = FALSE, ReportType &lt;&gt; "Rough"))</formula>
    </cfRule>
  </conditionalFormatting>
  <conditionalFormatting sqref="W294">
    <cfRule type="expression" dxfId="579" priority="372">
      <formula>AND(R294,S294)</formula>
    </cfRule>
  </conditionalFormatting>
  <conditionalFormatting sqref="W294">
    <cfRule type="expression" dxfId="578" priority="371">
      <formula>AND(IF(R294,W294,TRUE),LEN(TRIM(W294))&gt;0)</formula>
    </cfRule>
  </conditionalFormatting>
  <conditionalFormatting sqref="W294">
    <cfRule type="expression" dxfId="577" priority="370">
      <formula>OR(T294 = TRUE, AND(W294 = TRUE, S294 = FALSE))</formula>
    </cfRule>
  </conditionalFormatting>
  <conditionalFormatting sqref="W294">
    <cfRule type="expression" dxfId="576" priority="373">
      <formula>OR(S294 = FALSE, AND(P294 = FALSE, ReportType &lt;&gt; "Final"), AND(Q294 = FALSE, ReportType &lt;&gt; "Rough"))</formula>
    </cfRule>
  </conditionalFormatting>
  <conditionalFormatting sqref="W1585">
    <cfRule type="expression" dxfId="575" priority="368">
      <formula>AND(R1585,S1585)</formula>
    </cfRule>
  </conditionalFormatting>
  <conditionalFormatting sqref="W1585">
    <cfRule type="expression" dxfId="574" priority="367">
      <formula>AND(IF(R1585,W1585,TRUE),LEN(TRIM(W1585))&gt;0)</formula>
    </cfRule>
  </conditionalFormatting>
  <conditionalFormatting sqref="W1585">
    <cfRule type="expression" dxfId="573" priority="366">
      <formula>OR(T1585 = TRUE, AND(W1585 = TRUE, S1585 = FALSE))</formula>
    </cfRule>
  </conditionalFormatting>
  <conditionalFormatting sqref="W1585">
    <cfRule type="expression" dxfId="572" priority="369">
      <formula>OR(S1585 = FALSE, AND(P1585 = FALSE, ReportType &lt;&gt; "Final"), AND(Q1585 = FALSE, ReportType &lt;&gt; "Rough"))</formula>
    </cfRule>
  </conditionalFormatting>
  <conditionalFormatting sqref="W1693">
    <cfRule type="expression" dxfId="571" priority="364">
      <formula>AND(R1693,S1693)</formula>
    </cfRule>
  </conditionalFormatting>
  <conditionalFormatting sqref="W1693">
    <cfRule type="expression" dxfId="570" priority="363">
      <formula>AND(IF(R1693,W1693,TRUE),LEN(TRIM(W1693))&gt;0)</formula>
    </cfRule>
  </conditionalFormatting>
  <conditionalFormatting sqref="W1693">
    <cfRule type="expression" dxfId="569" priority="362">
      <formula>OR(T1693 = TRUE, AND(W1693 = TRUE, S1693 = FALSE))</formula>
    </cfRule>
  </conditionalFormatting>
  <conditionalFormatting sqref="W1693">
    <cfRule type="expression" dxfId="568" priority="365">
      <formula>OR(S1693 = FALSE, AND(P1693 = FALSE, ReportType &lt;&gt; "Final"), AND(Q1693 = FALSE, ReportType &lt;&gt; "Rough"))</formula>
    </cfRule>
  </conditionalFormatting>
  <conditionalFormatting sqref="W1695">
    <cfRule type="expression" dxfId="567" priority="360">
      <formula>AND(R1695,S1695)</formula>
    </cfRule>
  </conditionalFormatting>
  <conditionalFormatting sqref="W1695">
    <cfRule type="expression" dxfId="566" priority="359">
      <formula>AND(IF(R1695,W1695,TRUE),LEN(TRIM(W1695))&gt;0)</formula>
    </cfRule>
  </conditionalFormatting>
  <conditionalFormatting sqref="W1695">
    <cfRule type="expression" dxfId="565" priority="358">
      <formula>OR(T1695 = TRUE, AND(W1695 = TRUE, S1695 = FALSE))</formula>
    </cfRule>
  </conditionalFormatting>
  <conditionalFormatting sqref="W1695">
    <cfRule type="expression" dxfId="564" priority="361">
      <formula>OR(S1695 = FALSE, AND(P1695 = FALSE, ReportType &lt;&gt; "Final"), AND(Q1695 = FALSE, ReportType &lt;&gt; "Rough"))</formula>
    </cfRule>
  </conditionalFormatting>
  <conditionalFormatting sqref="W1702">
    <cfRule type="expression" dxfId="563" priority="356">
      <formula>AND(R1702,S1702)</formula>
    </cfRule>
  </conditionalFormatting>
  <conditionalFormatting sqref="W1702">
    <cfRule type="expression" dxfId="562" priority="355">
      <formula>AND(IF(R1702,W1702,TRUE),LEN(TRIM(W1702))&gt;0)</formula>
    </cfRule>
  </conditionalFormatting>
  <conditionalFormatting sqref="W1702">
    <cfRule type="expression" dxfId="561" priority="354">
      <formula>OR(T1702 = TRUE, AND(W1702 = TRUE, S1702 = FALSE))</formula>
    </cfRule>
  </conditionalFormatting>
  <conditionalFormatting sqref="W1702">
    <cfRule type="expression" dxfId="560" priority="357">
      <formula>OR(S1702 = FALSE, AND(P1702 = FALSE, ReportType &lt;&gt; "Final"), AND(Q1702 = FALSE, ReportType &lt;&gt; "Rough"))</formula>
    </cfRule>
  </conditionalFormatting>
  <conditionalFormatting sqref="W1704">
    <cfRule type="expression" dxfId="559" priority="352">
      <formula>AND(R1704,S1704)</formula>
    </cfRule>
  </conditionalFormatting>
  <conditionalFormatting sqref="W1704">
    <cfRule type="expression" dxfId="558" priority="351">
      <formula>AND(IF(R1704,W1704,TRUE),LEN(TRIM(W1704))&gt;0)</formula>
    </cfRule>
  </conditionalFormatting>
  <conditionalFormatting sqref="W1704">
    <cfRule type="expression" dxfId="557" priority="350">
      <formula>OR(T1704 = TRUE, AND(W1704 = TRUE, S1704 = FALSE))</formula>
    </cfRule>
  </conditionalFormatting>
  <conditionalFormatting sqref="W1704">
    <cfRule type="expression" dxfId="556" priority="353">
      <formula>OR(S1704 = FALSE, AND(P1704 = FALSE, ReportType &lt;&gt; "Final"), AND(Q1704 = FALSE, ReportType &lt;&gt; "Rough"))</formula>
    </cfRule>
  </conditionalFormatting>
  <conditionalFormatting sqref="M1700:M1701">
    <cfRule type="expression" dxfId="555" priority="349">
      <formula>R1699</formula>
    </cfRule>
  </conditionalFormatting>
  <conditionalFormatting sqref="W1495">
    <cfRule type="expression" dxfId="554" priority="348">
      <formula>AND(R1495,S1495)</formula>
    </cfRule>
  </conditionalFormatting>
  <conditionalFormatting sqref="W1495">
    <cfRule type="expression" dxfId="553" priority="347">
      <formula>NOT(ISBLANK(W1495))</formula>
    </cfRule>
  </conditionalFormatting>
  <conditionalFormatting sqref="W1495">
    <cfRule type="expression" dxfId="552" priority="346">
      <formula>S1495 = FALSE</formula>
    </cfRule>
  </conditionalFormatting>
  <conditionalFormatting sqref="W1495">
    <cfRule type="expression" dxfId="551" priority="345">
      <formula>OR(T1495 = TRUE, AND(W1495 = TRUE, S1495 = FALSE))</formula>
    </cfRule>
  </conditionalFormatting>
  <conditionalFormatting sqref="W1253">
    <cfRule type="expression" dxfId="550" priority="344">
      <formula>AND(R1253,S1253)</formula>
    </cfRule>
  </conditionalFormatting>
  <conditionalFormatting sqref="W1253">
    <cfRule type="expression" dxfId="549" priority="343">
      <formula>AND(S1253,LEN(TRIM(W1253))&gt;0)</formula>
    </cfRule>
  </conditionalFormatting>
  <conditionalFormatting sqref="W1253">
    <cfRule type="expression" dxfId="548" priority="342">
      <formula>OR(S1253 = FALSE, AND(P1253 = FALSE, ReportType &lt;&gt; "Final"), AND(Q1253 = FALSE, ReportType &lt;&gt; "Rough"))</formula>
    </cfRule>
  </conditionalFormatting>
  <conditionalFormatting sqref="W1253">
    <cfRule type="expression" dxfId="547" priority="341">
      <formula>OR(T1253 = TRUE, AND(W1253 &gt; 0, S1253 = FALSE))</formula>
    </cfRule>
  </conditionalFormatting>
  <conditionalFormatting sqref="W1272">
    <cfRule type="expression" dxfId="546" priority="340">
      <formula>AND(R1272,S1272)</formula>
    </cfRule>
  </conditionalFormatting>
  <conditionalFormatting sqref="W1272">
    <cfRule type="expression" dxfId="545" priority="339">
      <formula>AND(S1272,LEN(TRIM(W1272))&gt;0)</formula>
    </cfRule>
  </conditionalFormatting>
  <conditionalFormatting sqref="W1272">
    <cfRule type="expression" dxfId="544" priority="338">
      <formula>OR(S1272 = FALSE, AND(P1272 = FALSE, ReportType &lt;&gt; "Final"), AND(Q1272 = FALSE, ReportType &lt;&gt; "Rough"))</formula>
    </cfRule>
  </conditionalFormatting>
  <conditionalFormatting sqref="W1272">
    <cfRule type="expression" dxfId="543" priority="337">
      <formula>OR(T1272 = TRUE, AND(W1272 &gt; 0, S1272 = FALSE))</formula>
    </cfRule>
  </conditionalFormatting>
  <conditionalFormatting sqref="W1292">
    <cfRule type="expression" dxfId="542" priority="336">
      <formula>AND(R1292,S1292)</formula>
    </cfRule>
  </conditionalFormatting>
  <conditionalFormatting sqref="W1292">
    <cfRule type="expression" dxfId="541" priority="335">
      <formula>AND(S1292,LEN(TRIM(W1292))&gt;0)</formula>
    </cfRule>
  </conditionalFormatting>
  <conditionalFormatting sqref="W1292">
    <cfRule type="expression" dxfId="540" priority="334">
      <formula>OR(S1292 = FALSE, AND(P1292 = FALSE, ReportType &lt;&gt; "Final"), AND(Q1292 = FALSE, ReportType &lt;&gt; "Rough"))</formula>
    </cfRule>
  </conditionalFormatting>
  <conditionalFormatting sqref="W1292">
    <cfRule type="expression" dxfId="539" priority="333">
      <formula>OR(T1292 = TRUE, AND(W1292 &gt; 0, S1292 = FALSE))</formula>
    </cfRule>
  </conditionalFormatting>
  <conditionalFormatting sqref="W1251">
    <cfRule type="expression" dxfId="538" priority="332">
      <formula>AND($R$1251,$S$1251)</formula>
    </cfRule>
  </conditionalFormatting>
  <conditionalFormatting sqref="W1251">
    <cfRule type="expression" dxfId="537" priority="331">
      <formula>AND($W$1251&lt;&gt;"Not Met",LEN(TRIM($W$1251))&gt;0)</formula>
    </cfRule>
  </conditionalFormatting>
  <conditionalFormatting sqref="W1251">
    <cfRule type="expression" dxfId="536" priority="330">
      <formula>OR($S$1251 = FALSE, AND($P$1251 = FALSE, ReportType &lt;&gt; "Final"), AND($Q$1251 = FALSE, ReportType &lt;&gt; "Rough"))</formula>
    </cfRule>
  </conditionalFormatting>
  <conditionalFormatting sqref="W1251">
    <cfRule type="expression" dxfId="535" priority="329">
      <formula>OR($T$1251 = TRUE, AND(LEN(TRIM($W$1251))&gt;0, $S$1251 = FALSE))</formula>
    </cfRule>
  </conditionalFormatting>
  <conditionalFormatting sqref="W1270">
    <cfRule type="expression" dxfId="534" priority="328">
      <formula>AND($R$1270,$S$1270)</formula>
    </cfRule>
  </conditionalFormatting>
  <conditionalFormatting sqref="W1270">
    <cfRule type="expression" dxfId="533" priority="327">
      <formula>AND($W$1270&lt;&gt;"Not Met",LEN(TRIM($W$1270))&gt;0)</formula>
    </cfRule>
  </conditionalFormatting>
  <conditionalFormatting sqref="W1270">
    <cfRule type="expression" dxfId="532" priority="326">
      <formula>OR($S$1270 = FALSE, AND($P$1270 = FALSE, ReportType &lt;&gt; "Final"), AND($Q$1270 = FALSE, ReportType &lt;&gt; "Rough"))</formula>
    </cfRule>
  </conditionalFormatting>
  <conditionalFormatting sqref="W1270">
    <cfRule type="expression" dxfId="531" priority="325">
      <formula>OR($T$1270 = TRUE, AND(LEN(TRIM($W$1270))&gt;0, $S$1270 = FALSE))</formula>
    </cfRule>
  </conditionalFormatting>
  <conditionalFormatting sqref="L343:L344">
    <cfRule type="expression" dxfId="530" priority="11934">
      <formula>AY344&gt;4099</formula>
    </cfRule>
  </conditionalFormatting>
  <conditionalFormatting sqref="W958">
    <cfRule type="expression" dxfId="529" priority="324">
      <formula>AND($R$958,$S$958)</formula>
    </cfRule>
  </conditionalFormatting>
  <conditionalFormatting sqref="W958">
    <cfRule type="expression" dxfId="528" priority="323">
      <formula>AND($W$958&lt;&gt;"Not Met",LEN(TRIM($W$958))&gt;0)</formula>
    </cfRule>
  </conditionalFormatting>
  <conditionalFormatting sqref="W958">
    <cfRule type="expression" dxfId="527" priority="322">
      <formula>OR($S$958 = FALSE, AND($P$958 = FALSE, ReportType &lt;&gt; "Final"), AND($Q$958 = FALSE, ReportType &lt;&gt; "Rough"))</formula>
    </cfRule>
  </conditionalFormatting>
  <conditionalFormatting sqref="W958">
    <cfRule type="expression" dxfId="526" priority="321">
      <formula>OR($T$958 = TRUE, AND(LEN(TRIM($W$958))&gt;0, $S$958 = FALSE))</formula>
    </cfRule>
  </conditionalFormatting>
  <conditionalFormatting sqref="W959">
    <cfRule type="expression" dxfId="525" priority="320">
      <formula>AND($R$959,$S$959)</formula>
    </cfRule>
  </conditionalFormatting>
  <conditionalFormatting sqref="W959">
    <cfRule type="expression" dxfId="524" priority="319">
      <formula>AND($W$959&lt;&gt;"Not Met",LEN(TRIM($W$959))&gt;0)</formula>
    </cfRule>
  </conditionalFormatting>
  <conditionalFormatting sqref="W959">
    <cfRule type="expression" dxfId="523" priority="318">
      <formula>OR($S$959 = FALSE, AND($P$959 = FALSE, ReportType &lt;&gt; "Final"), AND($Q$959 = FALSE, ReportType &lt;&gt; "Rough"))</formula>
    </cfRule>
  </conditionalFormatting>
  <conditionalFormatting sqref="W959">
    <cfRule type="expression" dxfId="522" priority="317">
      <formula>OR($T$959 = TRUE, AND(LEN(TRIM($W$959))&gt;0, $S$959 = FALSE))</formula>
    </cfRule>
  </conditionalFormatting>
  <conditionalFormatting sqref="W960">
    <cfRule type="expression" dxfId="521" priority="316">
      <formula>AND($R$960,$S$960)</formula>
    </cfRule>
  </conditionalFormatting>
  <conditionalFormatting sqref="W960">
    <cfRule type="expression" dxfId="520" priority="315">
      <formula>AND($W$960&lt;&gt;"Not Met",LEN(TRIM($W$960))&gt;0)</formula>
    </cfRule>
  </conditionalFormatting>
  <conditionalFormatting sqref="W960">
    <cfRule type="expression" dxfId="519" priority="314">
      <formula>OR($S$960 = FALSE, AND($P$960 = FALSE, ReportType &lt;&gt; "Final"), AND($Q$960 = FALSE, ReportType &lt;&gt; "Rough"))</formula>
    </cfRule>
  </conditionalFormatting>
  <conditionalFormatting sqref="W960">
    <cfRule type="expression" dxfId="518" priority="313">
      <formula>OR($T$960 = TRUE, AND(LEN(TRIM($W$960))&gt;0, $S$960 = FALSE))</formula>
    </cfRule>
  </conditionalFormatting>
  <conditionalFormatting sqref="W961">
    <cfRule type="expression" dxfId="517" priority="312">
      <formula>AND($R$961,$S$961)</formula>
    </cfRule>
  </conditionalFormatting>
  <conditionalFormatting sqref="W961">
    <cfRule type="expression" dxfId="516" priority="311">
      <formula>AND($W$961&lt;&gt;"Not Met",LEN(TRIM($W$961))&gt;0)</formula>
    </cfRule>
  </conditionalFormatting>
  <conditionalFormatting sqref="W961">
    <cfRule type="expression" dxfId="515" priority="310">
      <formula>OR($S$961 = FALSE, AND($P$961 = FALSE, ReportType &lt;&gt; "Final"), AND($Q$961 = FALSE, ReportType &lt;&gt; "Rough"))</formula>
    </cfRule>
  </conditionalFormatting>
  <conditionalFormatting sqref="W961">
    <cfRule type="expression" dxfId="514" priority="309">
      <formula>OR($T$961 = TRUE, AND(LEN(TRIM($W$961))&gt;0, $S$961 = FALSE))</formula>
    </cfRule>
  </conditionalFormatting>
  <conditionalFormatting sqref="W962">
    <cfRule type="expression" dxfId="513" priority="308">
      <formula>AND($R$962,$S$962)</formula>
    </cfRule>
  </conditionalFormatting>
  <conditionalFormatting sqref="W962">
    <cfRule type="expression" dxfId="512" priority="307">
      <formula>AND($W$962&lt;&gt;"Not Met",LEN(TRIM($W$962))&gt;0)</formula>
    </cfRule>
  </conditionalFormatting>
  <conditionalFormatting sqref="W962">
    <cfRule type="expression" dxfId="511" priority="306">
      <formula>OR($S$962 = FALSE, AND($P$962 = FALSE, ReportType &lt;&gt; "Final"), AND($Q$962 = FALSE, ReportType &lt;&gt; "Rough"))</formula>
    </cfRule>
  </conditionalFormatting>
  <conditionalFormatting sqref="W962">
    <cfRule type="expression" dxfId="510" priority="305">
      <formula>OR($T$962 = TRUE, AND(LEN(TRIM($W$962))&gt;0, $S$962 = FALSE))</formula>
    </cfRule>
  </conditionalFormatting>
  <conditionalFormatting sqref="W963">
    <cfRule type="expression" dxfId="509" priority="304">
      <formula>AND($R$963,$S$963)</formula>
    </cfRule>
  </conditionalFormatting>
  <conditionalFormatting sqref="W963">
    <cfRule type="expression" dxfId="508" priority="303">
      <formula>AND($W$963&lt;&gt;"Not Met",LEN(TRIM($W$963))&gt;0)</formula>
    </cfRule>
  </conditionalFormatting>
  <conditionalFormatting sqref="W963">
    <cfRule type="expression" dxfId="507" priority="302">
      <formula>OR($S$963 = FALSE, AND($P$963 = FALSE, ReportType &lt;&gt; "Final"), AND($Q$963 = FALSE, ReportType &lt;&gt; "Rough"))</formula>
    </cfRule>
  </conditionalFormatting>
  <conditionalFormatting sqref="W963">
    <cfRule type="expression" dxfId="506" priority="301">
      <formula>OR($T$963 = TRUE, AND(LEN(TRIM($W$963))&gt;0, $S$963 = FALSE))</formula>
    </cfRule>
  </conditionalFormatting>
  <conditionalFormatting sqref="W964">
    <cfRule type="expression" dxfId="505" priority="300">
      <formula>AND($R$964,$S$964)</formula>
    </cfRule>
  </conditionalFormatting>
  <conditionalFormatting sqref="W964">
    <cfRule type="expression" dxfId="504" priority="299">
      <formula>AND($W$964&lt;&gt;"Not Met",LEN(TRIM($W$964))&gt;0)</formula>
    </cfRule>
  </conditionalFormatting>
  <conditionalFormatting sqref="W964">
    <cfRule type="expression" dxfId="503" priority="298">
      <formula>OR($S$964 = FALSE, AND($P$964 = FALSE, ReportType &lt;&gt; "Final"), AND($Q$964 = FALSE, ReportType &lt;&gt; "Rough"))</formula>
    </cfRule>
  </conditionalFormatting>
  <conditionalFormatting sqref="W964">
    <cfRule type="expression" dxfId="502" priority="297">
      <formula>OR($T$964 = TRUE, AND(LEN(TRIM($W$964))&gt;0, $S$964 = FALSE))</formula>
    </cfRule>
  </conditionalFormatting>
  <conditionalFormatting sqref="W965">
    <cfRule type="expression" dxfId="501" priority="296">
      <formula>AND($R$965,$S$965)</formula>
    </cfRule>
  </conditionalFormatting>
  <conditionalFormatting sqref="W965">
    <cfRule type="expression" dxfId="500" priority="295">
      <formula>AND($W$965&lt;&gt;"Not Met",LEN(TRIM($W$965))&gt;0)</formula>
    </cfRule>
  </conditionalFormatting>
  <conditionalFormatting sqref="W965">
    <cfRule type="expression" dxfId="499" priority="294">
      <formula>OR($S$965 = FALSE, AND($P$965 = FALSE, ReportType &lt;&gt; "Final"), AND($Q$965 = FALSE, ReportType &lt;&gt; "Rough"))</formula>
    </cfRule>
  </conditionalFormatting>
  <conditionalFormatting sqref="W965">
    <cfRule type="expression" dxfId="498" priority="293">
      <formula>OR($T$965 = TRUE, AND(LEN(TRIM($W$965))&gt;0, $S$965 = FALSE))</formula>
    </cfRule>
  </conditionalFormatting>
  <conditionalFormatting sqref="W966">
    <cfRule type="expression" dxfId="497" priority="292">
      <formula>AND($R$966,$S$966)</formula>
    </cfRule>
  </conditionalFormatting>
  <conditionalFormatting sqref="W966">
    <cfRule type="expression" dxfId="496" priority="291">
      <formula>AND($W$966&lt;&gt;"Not Met",LEN(TRIM($W$966))&gt;0)</formula>
    </cfRule>
  </conditionalFormatting>
  <conditionalFormatting sqref="W966">
    <cfRule type="expression" dxfId="495" priority="290">
      <formula>OR($S$966 = FALSE, AND($P$966 = FALSE, ReportType &lt;&gt; "Final"), AND($Q$966 = FALSE, ReportType &lt;&gt; "Rough"))</formula>
    </cfRule>
  </conditionalFormatting>
  <conditionalFormatting sqref="W966">
    <cfRule type="expression" dxfId="494" priority="289">
      <formula>OR($T$966 = TRUE, AND(LEN(TRIM($W$966))&gt;0, $S$966 = FALSE))</formula>
    </cfRule>
  </conditionalFormatting>
  <conditionalFormatting sqref="W967">
    <cfRule type="expression" dxfId="493" priority="288">
      <formula>AND($R$967,$S$967)</formula>
    </cfRule>
  </conditionalFormatting>
  <conditionalFormatting sqref="W967">
    <cfRule type="expression" dxfId="492" priority="287">
      <formula>AND($W$967&lt;&gt;"Not Met",LEN(TRIM($W$967))&gt;0)</formula>
    </cfRule>
  </conditionalFormatting>
  <conditionalFormatting sqref="W967">
    <cfRule type="expression" dxfId="491" priority="286">
      <formula>OR($S$967 = FALSE, AND($P$967 = FALSE, ReportType &lt;&gt; "Final"), AND($Q$967 = FALSE, ReportType &lt;&gt; "Rough"))</formula>
    </cfRule>
  </conditionalFormatting>
  <conditionalFormatting sqref="W967">
    <cfRule type="expression" dxfId="490" priority="285">
      <formula>OR($T$967 = TRUE, AND(LEN(TRIM($W$967))&gt;0, $S$967 = FALSE))</formula>
    </cfRule>
  </conditionalFormatting>
  <conditionalFormatting sqref="W968">
    <cfRule type="expression" dxfId="489" priority="284">
      <formula>AND($R$968,$S$968)</formula>
    </cfRule>
  </conditionalFormatting>
  <conditionalFormatting sqref="W968">
    <cfRule type="expression" dxfId="488" priority="283">
      <formula>AND($W$968&lt;&gt;"Not Met",LEN(TRIM($W$968))&gt;0)</formula>
    </cfRule>
  </conditionalFormatting>
  <conditionalFormatting sqref="W968">
    <cfRule type="expression" dxfId="487" priority="282">
      <formula>OR($S$968 = FALSE, AND($P$968 = FALSE, ReportType &lt;&gt; "Final"), AND($Q$968 = FALSE, ReportType &lt;&gt; "Rough"))</formula>
    </cfRule>
  </conditionalFormatting>
  <conditionalFormatting sqref="W968">
    <cfRule type="expression" dxfId="486" priority="281">
      <formula>OR($T$968 = TRUE, AND(LEN(TRIM($W$968))&gt;0, $S$968 = FALSE))</formula>
    </cfRule>
  </conditionalFormatting>
  <conditionalFormatting sqref="W969">
    <cfRule type="expression" dxfId="485" priority="280">
      <formula>AND($R$969,$S$969)</formula>
    </cfRule>
  </conditionalFormatting>
  <conditionalFormatting sqref="W969">
    <cfRule type="expression" dxfId="484" priority="279">
      <formula>AND($W$969&lt;&gt;"Not Met",LEN(TRIM($W$969))&gt;0)</formula>
    </cfRule>
  </conditionalFormatting>
  <conditionalFormatting sqref="W969">
    <cfRule type="expression" dxfId="483" priority="278">
      <formula>OR($S$969 = FALSE, AND($P$969 = FALSE, ReportType &lt;&gt; "Final"), AND($Q$969 = FALSE, ReportType &lt;&gt; "Rough"))</formula>
    </cfRule>
  </conditionalFormatting>
  <conditionalFormatting sqref="W969">
    <cfRule type="expression" dxfId="482" priority="277">
      <formula>OR($T$969 = TRUE, AND(LEN(TRIM($W$969))&gt;0, $S$969 = FALSE))</formula>
    </cfRule>
  </conditionalFormatting>
  <conditionalFormatting sqref="W970">
    <cfRule type="expression" dxfId="481" priority="276">
      <formula>AND($R$970,$S$970)</formula>
    </cfRule>
  </conditionalFormatting>
  <conditionalFormatting sqref="W970">
    <cfRule type="expression" dxfId="480" priority="275">
      <formula>AND($W$970&lt;&gt;"Not Met",LEN(TRIM($W$970))&gt;0)</formula>
    </cfRule>
  </conditionalFormatting>
  <conditionalFormatting sqref="W970">
    <cfRule type="expression" dxfId="479" priority="274">
      <formula>OR($S$970 = FALSE, AND($P$970 = FALSE, ReportType &lt;&gt; "Final"), AND($Q$970 = FALSE, ReportType &lt;&gt; "Rough"))</formula>
    </cfRule>
  </conditionalFormatting>
  <conditionalFormatting sqref="W970">
    <cfRule type="expression" dxfId="478" priority="273">
      <formula>OR($T$970 = TRUE, AND(LEN(TRIM($W$970))&gt;0, $S$970 = FALSE))</formula>
    </cfRule>
  </conditionalFormatting>
  <conditionalFormatting sqref="W1186">
    <cfRule type="expression" dxfId="477" priority="272">
      <formula>AND(R1186,S1186)</formula>
    </cfRule>
  </conditionalFormatting>
  <conditionalFormatting sqref="W1186">
    <cfRule type="expression" dxfId="476" priority="271">
      <formula>NOT(ISBLANK(W1186))</formula>
    </cfRule>
  </conditionalFormatting>
  <conditionalFormatting sqref="W1186">
    <cfRule type="expression" dxfId="475" priority="270">
      <formula>OR(S1186 = FALSE, AND(P1186 = FALSE, ReportType &lt;&gt; "Final"), AND(Q1186 = FALSE, ReportType &lt;&gt; "Rough"))</formula>
    </cfRule>
  </conditionalFormatting>
  <conditionalFormatting sqref="W1186">
    <cfRule type="expression" dxfId="474" priority="269">
      <formula>OR(T1186 = TRUE, AND(W1186 = TRUE, S1186 = FALSE))</formula>
    </cfRule>
  </conditionalFormatting>
  <conditionalFormatting sqref="W1852">
    <cfRule type="expression" dxfId="473" priority="268">
      <formula>AND($R$1852,$S$1852)</formula>
    </cfRule>
  </conditionalFormatting>
  <conditionalFormatting sqref="W1852">
    <cfRule type="expression" dxfId="472" priority="267">
      <formula>AND($W$1852&lt;&gt;"Not Met",LEN(TRIM($W$1852))&gt;0)</formula>
    </cfRule>
  </conditionalFormatting>
  <conditionalFormatting sqref="W1852">
    <cfRule type="expression" dxfId="471" priority="266">
      <formula>OR($S$1852 = FALSE, AND($P$1852 = FALSE, ReportType &lt;&gt; "Final"), AND($Q$1852 = FALSE, ReportType &lt;&gt; "Rough"))</formula>
    </cfRule>
  </conditionalFormatting>
  <conditionalFormatting sqref="W1852">
    <cfRule type="expression" dxfId="470" priority="265">
      <formula>OR($T$1852 = TRUE, AND(LEN(TRIM($W$1852))&gt;0, $S$1852 = FALSE))</formula>
    </cfRule>
  </conditionalFormatting>
  <conditionalFormatting sqref="X718:X724">
    <cfRule type="expression" dxfId="469" priority="260">
      <formula>R718</formula>
    </cfRule>
  </conditionalFormatting>
  <conditionalFormatting sqref="X27">
    <cfRule type="expression" dxfId="468" priority="259">
      <formula>W27=TRUE</formula>
    </cfRule>
  </conditionalFormatting>
  <conditionalFormatting sqref="W1106">
    <cfRule type="expression" dxfId="467" priority="258">
      <formula>AND($R$1106,$S$1106)</formula>
    </cfRule>
  </conditionalFormatting>
  <conditionalFormatting sqref="W1106">
    <cfRule type="expression" dxfId="466" priority="257">
      <formula>AND($W$1106&lt;&gt;"Not Met",LEN(TRIM($W$1106))&gt;0)</formula>
    </cfRule>
  </conditionalFormatting>
  <conditionalFormatting sqref="W1106">
    <cfRule type="expression" dxfId="465" priority="256">
      <formula>OR($S$1106 = FALSE, AND($P$1106 = FALSE, ReportType &lt;&gt; "Final"), AND($Q$1106 = FALSE, ReportType &lt;&gt; "Rough"))</formula>
    </cfRule>
  </conditionalFormatting>
  <conditionalFormatting sqref="W1106">
    <cfRule type="expression" dxfId="464" priority="255">
      <formula>OR($T$1106 = TRUE, AND(LEN(TRIM($W$1106))&gt;0, $S$1106 = FALSE))</formula>
    </cfRule>
  </conditionalFormatting>
  <conditionalFormatting sqref="W1837">
    <cfRule type="expression" dxfId="463" priority="247">
      <formula>AND($R$1837,$S$1837)</formula>
    </cfRule>
  </conditionalFormatting>
  <conditionalFormatting sqref="W1837">
    <cfRule type="expression" dxfId="462" priority="246">
      <formula>AND($W$1837&lt;&gt;"Not Met",LEN(TRIM($W$1837))&gt;0)</formula>
    </cfRule>
  </conditionalFormatting>
  <conditionalFormatting sqref="W1837">
    <cfRule type="expression" dxfId="461" priority="245">
      <formula>OR($S$1837 = FALSE, AND($P$1837 = FALSE, ReportType &lt;&gt; "Final"), AND($Q$1837 = FALSE, ReportType &lt;&gt; "Rough"))</formula>
    </cfRule>
  </conditionalFormatting>
  <conditionalFormatting sqref="W1837">
    <cfRule type="expression" dxfId="460" priority="244">
      <formula>OR($T$1837 = TRUE, AND(LEN(TRIM($W$1837))&gt;0, $S$1837 = FALSE))</formula>
    </cfRule>
  </conditionalFormatting>
  <conditionalFormatting sqref="W1419">
    <cfRule type="expression" dxfId="459" priority="243">
      <formula>AND(R1419,S1419)</formula>
    </cfRule>
  </conditionalFormatting>
  <conditionalFormatting sqref="W1419">
    <cfRule type="expression" dxfId="458" priority="242">
      <formula>AND(IF(S1419,W1419,TRUE),LEN(TRIM(W1419))&gt;0)</formula>
    </cfRule>
  </conditionalFormatting>
  <conditionalFormatting sqref="W1419">
    <cfRule type="expression" dxfId="457" priority="241">
      <formula>OR(S1419 = FALSE, AND(P1419 = FALSE, ReportType &lt;&gt; "Final"), AND(Q1419 = FALSE, ReportType &lt;&gt; "Rough"))</formula>
    </cfRule>
  </conditionalFormatting>
  <conditionalFormatting sqref="W1419">
    <cfRule type="expression" dxfId="456" priority="240">
      <formula>OR(T1419 = TRUE, AND(W1419 = TRUE, S1419 = FALSE))</formula>
    </cfRule>
  </conditionalFormatting>
  <conditionalFormatting sqref="M1866">
    <cfRule type="expression" dxfId="455" priority="232">
      <formula>M1866="Gold"</formula>
    </cfRule>
    <cfRule type="expression" dxfId="454" priority="233">
      <formula>M1866="Silver"</formula>
    </cfRule>
    <cfRule type="expression" dxfId="453" priority="234">
      <formula>M1866="Bronze"</formula>
    </cfRule>
    <cfRule type="expression" dxfId="452" priority="235">
      <formula>M1866="Emerald"</formula>
    </cfRule>
  </conditionalFormatting>
  <conditionalFormatting sqref="M343:M344">
    <cfRule type="expression" dxfId="451" priority="13914">
      <formula>$AY$26&gt;4099</formula>
    </cfRule>
  </conditionalFormatting>
  <conditionalFormatting sqref="W884">
    <cfRule type="expression" dxfId="450" priority="231">
      <formula>AND($R$884,$S$884)</formula>
    </cfRule>
  </conditionalFormatting>
  <conditionalFormatting sqref="W884">
    <cfRule type="expression" dxfId="449" priority="230">
      <formula>AND($W$884&lt;&gt;"Not Met",LEN(TRIM($W$884))&gt;0)</formula>
    </cfRule>
  </conditionalFormatting>
  <conditionalFormatting sqref="W884">
    <cfRule type="expression" dxfId="448" priority="229">
      <formula>OR($S$884 = FALSE, AND($P$884 = FALSE, ReportType &lt;&gt; "Final"), AND($Q$884 = FALSE, ReportType &lt;&gt; "Rough"))</formula>
    </cfRule>
  </conditionalFormatting>
  <conditionalFormatting sqref="W884">
    <cfRule type="expression" dxfId="447" priority="228">
      <formula>OR($T$884 = TRUE, AND(LEN(TRIM($W$884))&gt;0, $S$884 = FALSE))</formula>
    </cfRule>
  </conditionalFormatting>
  <conditionalFormatting sqref="W1868">
    <cfRule type="expression" dxfId="446" priority="227">
      <formula>AND(R1868,S1868)</formula>
    </cfRule>
  </conditionalFormatting>
  <conditionalFormatting sqref="W1868">
    <cfRule type="expression" dxfId="445" priority="226">
      <formula>AND(R1868,LEN(TRIM(W1868))&gt;0)</formula>
    </cfRule>
  </conditionalFormatting>
  <conditionalFormatting sqref="W1868">
    <cfRule type="expression" dxfId="444" priority="225">
      <formula>OR(S1868 = FALSE, AND(P1868 = FALSE, ReportType &lt;&gt; "Final"), AND(Q1868 = FALSE, ReportType &lt;&gt; "Rough"))</formula>
    </cfRule>
  </conditionalFormatting>
  <conditionalFormatting sqref="W1868">
    <cfRule type="expression" dxfId="443" priority="224">
      <formula>OR(T1868 = TRUE, AND(W1868 &gt; 0, S1868 = FALSE))</formula>
    </cfRule>
  </conditionalFormatting>
  <conditionalFormatting sqref="X884:X886">
    <cfRule type="expression" dxfId="442" priority="223">
      <formula>R884</formula>
    </cfRule>
  </conditionalFormatting>
  <conditionalFormatting sqref="W194">
    <cfRule type="expression" dxfId="441" priority="222">
      <formula>AND($R$194,$S$194)</formula>
    </cfRule>
  </conditionalFormatting>
  <conditionalFormatting sqref="W194">
    <cfRule type="expression" dxfId="440" priority="221">
      <formula>AND($W$194&lt;&gt;"Not Met",LEN(TRIM($W$194))&gt;0)</formula>
    </cfRule>
  </conditionalFormatting>
  <conditionalFormatting sqref="W194">
    <cfRule type="expression" dxfId="439" priority="220">
      <formula>OR($S$194 = FALSE, AND($P$194 = FALSE, ReportType &lt;&gt; "Final"), AND($Q$194 = FALSE, ReportType &lt;&gt; "Rough"))</formula>
    </cfRule>
  </conditionalFormatting>
  <conditionalFormatting sqref="W194">
    <cfRule type="expression" dxfId="438" priority="219">
      <formula>OR($T$194 = TRUE, AND(LEN(TRIM($W$194))&gt;0, $S$194 = FALSE))</formula>
    </cfRule>
  </conditionalFormatting>
  <conditionalFormatting sqref="BD195:BD198">
    <cfRule type="expression" dxfId="437" priority="13925">
      <formula>OR(AND(ReportType="Rough",P195=TRUE,R195=TRUE,W195=FALSE),AND(ReportType="Final",Q195=TRUE,R195=TRUE,W195=FALSE))</formula>
    </cfRule>
  </conditionalFormatting>
  <conditionalFormatting sqref="X538:X539">
    <cfRule type="expression" dxfId="436" priority="218">
      <formula>W538</formula>
    </cfRule>
  </conditionalFormatting>
  <conditionalFormatting sqref="W2156">
    <cfRule type="expression" dxfId="435" priority="217">
      <formula>AND(R2156,S2156)</formula>
    </cfRule>
  </conditionalFormatting>
  <conditionalFormatting sqref="W2156">
    <cfRule type="expression" dxfId="434" priority="216">
      <formula>AND(IF(R2156,W2156,TRUE),LEN(TRIM(W2156))&gt;0)</formula>
    </cfRule>
  </conditionalFormatting>
  <conditionalFormatting sqref="W2156">
    <cfRule type="expression" dxfId="433" priority="215">
      <formula>OR(S2156 = FALSE, AND(P2156 = FALSE, ReportType &lt;&gt; "Final"), AND(Q2156 = FALSE, ReportType &lt;&gt; "Rough"))</formula>
    </cfRule>
  </conditionalFormatting>
  <conditionalFormatting sqref="W2156">
    <cfRule type="expression" dxfId="432" priority="214">
      <formula>OR(T2156 = TRUE, AND(W2156 = TRUE, S2156 = FALSE))</formula>
    </cfRule>
  </conditionalFormatting>
  <conditionalFormatting sqref="AA15">
    <cfRule type="notContainsBlanks" dxfId="431" priority="213">
      <formula>LEN(TRIM(AA15))&gt;0</formula>
    </cfRule>
  </conditionalFormatting>
  <conditionalFormatting sqref="AA25">
    <cfRule type="notContainsBlanks" dxfId="430" priority="90">
      <formula>LEN(TRIM(AA25))&gt;0</formula>
    </cfRule>
  </conditionalFormatting>
  <conditionalFormatting sqref="AA89">
    <cfRule type="notContainsBlanks" dxfId="429" priority="89">
      <formula>LEN(TRIM(AA89))&gt;0</formula>
    </cfRule>
  </conditionalFormatting>
  <conditionalFormatting sqref="AA98">
    <cfRule type="notContainsBlanks" dxfId="428" priority="88">
      <formula>LEN(TRIM(AA98))&gt;0</formula>
    </cfRule>
  </conditionalFormatting>
  <conditionalFormatting sqref="AA142">
    <cfRule type="notContainsBlanks" dxfId="427" priority="87">
      <formula>LEN(TRIM(AA142))&gt;0</formula>
    </cfRule>
  </conditionalFormatting>
  <conditionalFormatting sqref="AA155">
    <cfRule type="notContainsBlanks" dxfId="426" priority="86">
      <formula>LEN(TRIM(AA155))&gt;0</formula>
    </cfRule>
  </conditionalFormatting>
  <conditionalFormatting sqref="AA157">
    <cfRule type="notContainsBlanks" dxfId="425" priority="85">
      <formula>LEN(TRIM(AA157))&gt;0</formula>
    </cfRule>
  </conditionalFormatting>
  <conditionalFormatting sqref="AA160">
    <cfRule type="notContainsBlanks" dxfId="424" priority="84">
      <formula>LEN(TRIM(AA160))&gt;0</formula>
    </cfRule>
  </conditionalFormatting>
  <conditionalFormatting sqref="AA162">
    <cfRule type="notContainsBlanks" dxfId="423" priority="83">
      <formula>LEN(TRIM(AA162))&gt;0</formula>
    </cfRule>
  </conditionalFormatting>
  <conditionalFormatting sqref="AA165">
    <cfRule type="notContainsBlanks" dxfId="422" priority="82">
      <formula>LEN(TRIM(AA165))&gt;0</formula>
    </cfRule>
  </conditionalFormatting>
  <conditionalFormatting sqref="AA170">
    <cfRule type="notContainsBlanks" dxfId="421" priority="81">
      <formula>LEN(TRIM(AA170))&gt;0</formula>
    </cfRule>
  </conditionalFormatting>
  <conditionalFormatting sqref="AA171">
    <cfRule type="notContainsBlanks" dxfId="420" priority="80">
      <formula>LEN(TRIM(AA171))&gt;0</formula>
    </cfRule>
  </conditionalFormatting>
  <conditionalFormatting sqref="AA176">
    <cfRule type="notContainsBlanks" dxfId="419" priority="79">
      <formula>LEN(TRIM(AA176))&gt;0</formula>
    </cfRule>
  </conditionalFormatting>
  <conditionalFormatting sqref="AA178">
    <cfRule type="notContainsBlanks" dxfId="418" priority="78">
      <formula>LEN(TRIM(AA178))&gt;0</formula>
    </cfRule>
  </conditionalFormatting>
  <conditionalFormatting sqref="AA187">
    <cfRule type="notContainsBlanks" dxfId="417" priority="77">
      <formula>LEN(TRIM(AA187))&gt;0</formula>
    </cfRule>
  </conditionalFormatting>
  <conditionalFormatting sqref="AA194">
    <cfRule type="notContainsBlanks" dxfId="416" priority="76">
      <formula>LEN(TRIM(AA194))&gt;0</formula>
    </cfRule>
  </conditionalFormatting>
  <conditionalFormatting sqref="AA214">
    <cfRule type="notContainsBlanks" dxfId="415" priority="75">
      <formula>LEN(TRIM(AA214))&gt;0</formula>
    </cfRule>
  </conditionalFormatting>
  <conditionalFormatting sqref="AA223">
    <cfRule type="notContainsBlanks" dxfId="414" priority="74">
      <formula>LEN(TRIM(AA223))&gt;0</formula>
    </cfRule>
  </conditionalFormatting>
  <conditionalFormatting sqref="AA225">
    <cfRule type="notContainsBlanks" dxfId="413" priority="73">
      <formula>LEN(TRIM(AA225))&gt;0</formula>
    </cfRule>
  </conditionalFormatting>
  <conditionalFormatting sqref="AA226">
    <cfRule type="notContainsBlanks" dxfId="412" priority="72">
      <formula>LEN(TRIM(AA226))&gt;0</formula>
    </cfRule>
  </conditionalFormatting>
  <conditionalFormatting sqref="AA228">
    <cfRule type="notContainsBlanks" dxfId="411" priority="71">
      <formula>LEN(TRIM(AA228))&gt;0</formula>
    </cfRule>
  </conditionalFormatting>
  <conditionalFormatting sqref="AA253">
    <cfRule type="notContainsBlanks" dxfId="410" priority="70">
      <formula>LEN(TRIM(AA253))&gt;0</formula>
    </cfRule>
  </conditionalFormatting>
  <conditionalFormatting sqref="AA257">
    <cfRule type="notContainsBlanks" dxfId="409" priority="69">
      <formula>LEN(TRIM(AA257))&gt;0</formula>
    </cfRule>
  </conditionalFormatting>
  <conditionalFormatting sqref="AA264">
    <cfRule type="notContainsBlanks" dxfId="408" priority="68">
      <formula>LEN(TRIM(AA264))&gt;0</formula>
    </cfRule>
  </conditionalFormatting>
  <conditionalFormatting sqref="AA267">
    <cfRule type="notContainsBlanks" dxfId="407" priority="67">
      <formula>LEN(TRIM(AA267))&gt;0</formula>
    </cfRule>
  </conditionalFormatting>
  <conditionalFormatting sqref="AA272">
    <cfRule type="notContainsBlanks" dxfId="406" priority="66">
      <formula>LEN(TRIM(AA272))&gt;0</formula>
    </cfRule>
  </conditionalFormatting>
  <conditionalFormatting sqref="AA275">
    <cfRule type="notContainsBlanks" dxfId="405" priority="65">
      <formula>LEN(TRIM(AA275))&gt;0</formula>
    </cfRule>
  </conditionalFormatting>
  <conditionalFormatting sqref="AA281">
    <cfRule type="notContainsBlanks" dxfId="404" priority="64">
      <formula>LEN(TRIM(AA281))&gt;0</formula>
    </cfRule>
  </conditionalFormatting>
  <conditionalFormatting sqref="AA331">
    <cfRule type="notContainsBlanks" dxfId="403" priority="63">
      <formula>LEN(TRIM(AA331))&gt;0</formula>
    </cfRule>
  </conditionalFormatting>
  <conditionalFormatting sqref="AA375">
    <cfRule type="notContainsBlanks" dxfId="402" priority="62">
      <formula>LEN(TRIM(AA375))&gt;0</formula>
    </cfRule>
  </conditionalFormatting>
  <conditionalFormatting sqref="AA475">
    <cfRule type="notContainsBlanks" dxfId="401" priority="61">
      <formula>LEN(TRIM(AA475))&gt;0</formula>
    </cfRule>
  </conditionalFormatting>
  <conditionalFormatting sqref="AA478">
    <cfRule type="notContainsBlanks" dxfId="400" priority="60">
      <formula>LEN(TRIM(AA478))&gt;0</formula>
    </cfRule>
  </conditionalFormatting>
  <conditionalFormatting sqref="AA510">
    <cfRule type="notContainsBlanks" dxfId="399" priority="59">
      <formula>LEN(TRIM(AA510))&gt;0</formula>
    </cfRule>
  </conditionalFormatting>
  <conditionalFormatting sqref="AA525">
    <cfRule type="notContainsBlanks" dxfId="398" priority="58">
      <formula>LEN(TRIM(AA525))&gt;0</formula>
    </cfRule>
  </conditionalFormatting>
  <conditionalFormatting sqref="AA532">
    <cfRule type="notContainsBlanks" dxfId="397" priority="57">
      <formula>LEN(TRIM(AA532))&gt;0</formula>
    </cfRule>
  </conditionalFormatting>
  <conditionalFormatting sqref="AA547">
    <cfRule type="notContainsBlanks" dxfId="396" priority="56">
      <formula>LEN(TRIM(AA547))&gt;0</formula>
    </cfRule>
  </conditionalFormatting>
  <conditionalFormatting sqref="AA552">
    <cfRule type="notContainsBlanks" dxfId="395" priority="55">
      <formula>LEN(TRIM(AA552))&gt;0</formula>
    </cfRule>
  </conditionalFormatting>
  <conditionalFormatting sqref="AA555">
    <cfRule type="notContainsBlanks" dxfId="394" priority="54">
      <formula>LEN(TRIM(AA555))&gt;0</formula>
    </cfRule>
  </conditionalFormatting>
  <conditionalFormatting sqref="AA560">
    <cfRule type="notContainsBlanks" dxfId="393" priority="53">
      <formula>LEN(TRIM(AA560))&gt;0</formula>
    </cfRule>
  </conditionalFormatting>
  <conditionalFormatting sqref="AA562">
    <cfRule type="notContainsBlanks" dxfId="392" priority="52">
      <formula>LEN(TRIM(AA562))&gt;0</formula>
    </cfRule>
  </conditionalFormatting>
  <conditionalFormatting sqref="AA839">
    <cfRule type="notContainsBlanks" dxfId="391" priority="51">
      <formula>LEN(TRIM(AA839))&gt;0</formula>
    </cfRule>
  </conditionalFormatting>
  <conditionalFormatting sqref="AA1357">
    <cfRule type="notContainsBlanks" dxfId="390" priority="50">
      <formula>LEN(TRIM(AA1357))&gt;0</formula>
    </cfRule>
  </conditionalFormatting>
  <conditionalFormatting sqref="AA1363">
    <cfRule type="notContainsBlanks" dxfId="389" priority="49">
      <formula>LEN(TRIM(AA1363))&gt;0</formula>
    </cfRule>
  </conditionalFormatting>
  <conditionalFormatting sqref="AA1371">
    <cfRule type="notContainsBlanks" dxfId="388" priority="48">
      <formula>LEN(TRIM(AA1371))&gt;0</formula>
    </cfRule>
  </conditionalFormatting>
  <conditionalFormatting sqref="AA1431">
    <cfRule type="notContainsBlanks" dxfId="387" priority="47">
      <formula>LEN(TRIM(AA1431))&gt;0</formula>
    </cfRule>
  </conditionalFormatting>
  <conditionalFormatting sqref="AA1583">
    <cfRule type="notContainsBlanks" dxfId="386" priority="46">
      <formula>LEN(TRIM(AA1583))&gt;0</formula>
    </cfRule>
  </conditionalFormatting>
  <conditionalFormatting sqref="AA1595">
    <cfRule type="notContainsBlanks" dxfId="385" priority="45">
      <formula>LEN(TRIM(AA1595))&gt;0</formula>
    </cfRule>
  </conditionalFormatting>
  <conditionalFormatting sqref="AA1907">
    <cfRule type="notContainsBlanks" dxfId="384" priority="44">
      <formula>LEN(TRIM(AA1907))&gt;0</formula>
    </cfRule>
  </conditionalFormatting>
  <conditionalFormatting sqref="AA1921">
    <cfRule type="notContainsBlanks" dxfId="383" priority="43">
      <formula>LEN(TRIM(AA1921))&gt;0</formula>
    </cfRule>
  </conditionalFormatting>
  <conditionalFormatting sqref="AA1922">
    <cfRule type="notContainsBlanks" dxfId="382" priority="42">
      <formula>LEN(TRIM(AA1922))&gt;0</formula>
    </cfRule>
  </conditionalFormatting>
  <conditionalFormatting sqref="AA1934">
    <cfRule type="notContainsBlanks" dxfId="381" priority="41">
      <formula>LEN(TRIM(AA1934))&gt;0</formula>
    </cfRule>
  </conditionalFormatting>
  <conditionalFormatting sqref="AA2038">
    <cfRule type="notContainsBlanks" dxfId="380" priority="40">
      <formula>LEN(TRIM(AA2038))&gt;0</formula>
    </cfRule>
  </conditionalFormatting>
  <conditionalFormatting sqref="W900">
    <cfRule type="expression" dxfId="379" priority="31">
      <formula>AND($R$900,$S$900)</formula>
    </cfRule>
  </conditionalFormatting>
  <conditionalFormatting sqref="W900">
    <cfRule type="expression" dxfId="378" priority="30">
      <formula>AND($W$900&lt;&gt;"Not Met",LEN(TRIM($W$900))&gt;0)</formula>
    </cfRule>
  </conditionalFormatting>
  <conditionalFormatting sqref="W900">
    <cfRule type="expression" dxfId="377" priority="29">
      <formula>OR($S$900 = FALSE, AND($P$900 = FALSE, ReportType &lt;&gt; "Final"), AND($Q$900 = FALSE, ReportType &lt;&gt; "Rough"))</formula>
    </cfRule>
  </conditionalFormatting>
  <conditionalFormatting sqref="W900">
    <cfRule type="expression" dxfId="376" priority="28">
      <formula>OR($T$900 = TRUE, AND(LEN(TRIM($W$900))&gt;0, $S$900 = FALSE))</formula>
    </cfRule>
  </conditionalFormatting>
  <conditionalFormatting sqref="W1086">
    <cfRule type="expression" dxfId="375" priority="25">
      <formula>AND(R1086,S1086)</formula>
    </cfRule>
  </conditionalFormatting>
  <conditionalFormatting sqref="W1086">
    <cfRule type="expression" dxfId="374" priority="24">
      <formula>NOT(ISBLANK(W1086))</formula>
    </cfRule>
  </conditionalFormatting>
  <conditionalFormatting sqref="W1086">
    <cfRule type="expression" dxfId="373" priority="23">
      <formula>OR(S1086 = FALSE, AND(P1086 = FALSE, ReportType &lt;&gt; "Final"), AND(Q1086 = FALSE, ReportType &lt;&gt; "Rough"))</formula>
    </cfRule>
  </conditionalFormatting>
  <conditionalFormatting sqref="W1086">
    <cfRule type="expression" dxfId="372" priority="22">
      <formula>OR(T1086 = TRUE, AND(W1086 = TRUE, S1086 = FALSE))</formula>
    </cfRule>
  </conditionalFormatting>
  <conditionalFormatting sqref="W1088">
    <cfRule type="expression" dxfId="371" priority="21">
      <formula>AND(R1088,S1088)</formula>
    </cfRule>
  </conditionalFormatting>
  <conditionalFormatting sqref="W1088">
    <cfRule type="expression" dxfId="370" priority="20">
      <formula>NOT(ISBLANK(W1088))</formula>
    </cfRule>
  </conditionalFormatting>
  <conditionalFormatting sqref="W1088">
    <cfRule type="expression" dxfId="369" priority="19">
      <formula>OR(S1088 = FALSE, AND(P1088 = FALSE, ReportType &lt;&gt; "Final"), AND(Q1088 = FALSE, ReportType &lt;&gt; "Rough"))</formula>
    </cfRule>
  </conditionalFormatting>
  <conditionalFormatting sqref="W1088">
    <cfRule type="expression" dxfId="368" priority="18">
      <formula>OR(T1088 = TRUE, AND(W1088 = TRUE, S1088 = FALSE))</formula>
    </cfRule>
  </conditionalFormatting>
  <conditionalFormatting sqref="W411">
    <cfRule type="expression" dxfId="367" priority="17">
      <formula>AND($R$411,$S$411)</formula>
    </cfRule>
  </conditionalFormatting>
  <conditionalFormatting sqref="W411">
    <cfRule type="expression" dxfId="366" priority="16">
      <formula>AND($W$411&lt;&gt;"Not Met",LEN(TRIM($W$411))&gt;0)</formula>
    </cfRule>
  </conditionalFormatting>
  <conditionalFormatting sqref="W411">
    <cfRule type="expression" dxfId="365" priority="15">
      <formula>OR($S$411 = FALSE, AND($P$411 = FALSE, ReportType &lt;&gt; "Final"), AND($Q$411 = FALSE, ReportType &lt;&gt; "Rough"))</formula>
    </cfRule>
  </conditionalFormatting>
  <conditionalFormatting sqref="W411">
    <cfRule type="expression" dxfId="364" priority="14">
      <formula>OR($T$411 = TRUE, AND(LEN(TRIM($W$411))&gt;0, $S$411 = FALSE))</formula>
    </cfRule>
  </conditionalFormatting>
  <conditionalFormatting sqref="X411:X413">
    <cfRule type="expression" dxfId="363" priority="13">
      <formula>W411="N/A"</formula>
    </cfRule>
  </conditionalFormatting>
  <conditionalFormatting sqref="W1084">
    <cfRule type="expression" dxfId="362" priority="12">
      <formula>AND($R$1084,$S$1084)</formula>
    </cfRule>
  </conditionalFormatting>
  <conditionalFormatting sqref="W1084">
    <cfRule type="expression" dxfId="361" priority="11">
      <formula>AND($W$1084&lt;&gt;"Not Met",LEN(TRIM($W$1084))&gt;0)</formula>
    </cfRule>
  </conditionalFormatting>
  <conditionalFormatting sqref="W1084">
    <cfRule type="expression" dxfId="360" priority="10">
      <formula>OR($S$1084 = FALSE, AND($P$1084 = FALSE, ReportType &lt;&gt; "Final"), AND($Q$1084 = FALSE, ReportType &lt;&gt; "Rough"))</formula>
    </cfRule>
  </conditionalFormatting>
  <conditionalFormatting sqref="W1084">
    <cfRule type="expression" dxfId="359" priority="9">
      <formula>OR($T$1084 = TRUE, AND(LEN(TRIM($W$1084))&gt;0, $S$1084 = FALSE))</formula>
    </cfRule>
  </conditionalFormatting>
  <conditionalFormatting sqref="W275">
    <cfRule type="expression" dxfId="358" priority="4">
      <formula>AND($R$275,$S$275)</formula>
    </cfRule>
  </conditionalFormatting>
  <conditionalFormatting sqref="W275">
    <cfRule type="expression" dxfId="357" priority="3">
      <formula>AND($W$275&lt;&gt;"Not Met",LEN(TRIM($W$275))&gt;0)</formula>
    </cfRule>
  </conditionalFormatting>
  <conditionalFormatting sqref="W275">
    <cfRule type="expression" dxfId="356" priority="2">
      <formula>OR($S$275 = FALSE, AND($P$275 = FALSE, ReportType &lt;&gt; "Final"), AND($Q$275 = FALSE, ReportType &lt;&gt; "Rough"))</formula>
    </cfRule>
  </conditionalFormatting>
  <conditionalFormatting sqref="W275">
    <cfRule type="expression" dxfId="355" priority="1">
      <formula>OR($T$275 = TRUE, AND(LEN(TRIM($W$275))&gt;0, $S$275 = FALSE))</formula>
    </cfRule>
  </conditionalFormatting>
  <dataValidations count="168">
    <dataValidation type="list" allowBlank="1" showInputMessage="1" showErrorMessage="1" sqref="L5" xr:uid="{00000000-0002-0000-0F00-000000000000}">
      <formula1>"Rough, Final"</formula1>
    </dataValidation>
    <dataValidation type="decimal" allowBlank="1" showDropDown="1" showInputMessage="1" showErrorMessage="1" error="Enter Percentage" prompt="Enter Percentage" sqref="W89" xr:uid="{00000000-0002-0000-0F00-000001000000}">
      <formula1>0</formula1>
      <formula2>1</formula2>
    </dataValidation>
    <dataValidation type="whole" allowBlank="1" showDropDown="1" showInputMessage="1" showErrorMessage="1" error="Enter a whole number" prompt="Enter number of products" sqref="W807 W796" xr:uid="{00000000-0002-0000-0F00-000002000000}">
      <formula1>0</formula1>
      <formula2>20</formula2>
    </dataValidation>
    <dataValidation type="decimal" allowBlank="1" showDropDown="1" showInputMessage="1" showErrorMessage="1" error="Enter a percentage" prompt="Enter a percentage" sqref="W572 W584 W586 W588 W590 W1055 W1092 W294 W1971 W1981:W1982" xr:uid="{00000000-0002-0000-0F00-000003000000}">
      <formula1>0</formula1>
      <formula2>1</formula2>
    </dataValidation>
    <dataValidation type="whole" allowBlank="1" showDropDown="1" showInputMessage="1" showErrorMessage="1" error="Enter a number" prompt="Enter number of square feet" sqref="W566" xr:uid="{00000000-0002-0000-0F00-000004000000}">
      <formula1>0</formula1>
      <formula2>10000</formula2>
    </dataValidation>
    <dataValidation type="list" allowBlank="1" showInputMessage="1" showErrorMessage="1" error="Please use the dropdown." sqref="W45" xr:uid="{00000000-0002-0000-0F00-000005000000}">
      <formula1>INDIRECT($U$45)</formula1>
    </dataValidation>
    <dataValidation type="list" allowBlank="1" showInputMessage="1" showErrorMessage="1" error="Please use the dropdown." sqref="W93" xr:uid="{00000000-0002-0000-0F00-000006000000}">
      <formula1>INDIRECT($U$93)</formula1>
    </dataValidation>
    <dataValidation type="list" allowBlank="1" showInputMessage="1" showErrorMessage="1" error="Please use the dropdown." sqref="W128" xr:uid="{00000000-0002-0000-0F00-000007000000}">
      <formula1>INDIRECT($U$128)</formula1>
    </dataValidation>
    <dataValidation type="list" allowBlank="1" showInputMessage="1" showErrorMessage="1" error="Please use the dropdown." sqref="W135" xr:uid="{00000000-0002-0000-0F00-000008000000}">
      <formula1>INDIRECT($U$135)</formula1>
    </dataValidation>
    <dataValidation type="list" allowBlank="1" showInputMessage="1" showErrorMessage="1" error="Please use the dropdown." sqref="W147" xr:uid="{00000000-0002-0000-0F00-000009000000}">
      <formula1>INDIRECT($U$147)</formula1>
    </dataValidation>
    <dataValidation type="list" allowBlank="1" showInputMessage="1" showErrorMessage="1" error="Please use the dropdown." sqref="W149" xr:uid="{00000000-0002-0000-0F00-00000A000000}">
      <formula1>INDIRECT($U$149)</formula1>
    </dataValidation>
    <dataValidation type="list" allowBlank="1" showInputMessage="1" showErrorMessage="1" error="Please use the dropdown." sqref="W165" xr:uid="{00000000-0002-0000-0F00-00000B000000}">
      <formula1>INDIRECT($U$165)</formula1>
    </dataValidation>
    <dataValidation type="list" allowBlank="1" showInputMessage="1" showErrorMessage="1" error="Please use the dropdown." sqref="W201" xr:uid="{00000000-0002-0000-0F00-00000C000000}">
      <formula1>INDIRECT($U$201)</formula1>
    </dataValidation>
    <dataValidation type="list" allowBlank="1" showInputMessage="1" showErrorMessage="1" error="Please use the dropdown." sqref="W257" xr:uid="{00000000-0002-0000-0F00-00000D000000}">
      <formula1>INDIRECT($U$257)</formula1>
    </dataValidation>
    <dataValidation type="list" allowBlank="1" showInputMessage="1" showErrorMessage="1" error="Please use the dropdown." sqref="W383" xr:uid="{00000000-0002-0000-0F00-000011000000}">
      <formula1>INDIRECT($U$383)</formula1>
    </dataValidation>
    <dataValidation type="list" allowBlank="1" showInputMessage="1" showErrorMessage="1" error="Please use the dropdown." sqref="W384" xr:uid="{00000000-0002-0000-0F00-000012000000}">
      <formula1>INDIRECT($U$384)</formula1>
    </dataValidation>
    <dataValidation type="list" allowBlank="1" showInputMessage="1" showErrorMessage="1" error="Please use the dropdown." sqref="W385" xr:uid="{00000000-0002-0000-0F00-000013000000}">
      <formula1>INDIRECT($U$385)</formula1>
    </dataValidation>
    <dataValidation type="list" allowBlank="1" showInputMessage="1" showErrorMessage="1" error="Please use the dropdown." sqref="W389" xr:uid="{00000000-0002-0000-0F00-000014000000}">
      <formula1>INDIRECT($U$389)</formula1>
    </dataValidation>
    <dataValidation type="list" allowBlank="1" showInputMessage="1" showErrorMessage="1" error="Please use the dropdown." sqref="W391" xr:uid="{00000000-0002-0000-0F00-000015000000}">
      <formula1>INDIRECT($U$391)</formula1>
    </dataValidation>
    <dataValidation type="list" allowBlank="1" showInputMessage="1" showErrorMessage="1" error="Please use the dropdown." sqref="W440" xr:uid="{00000000-0002-0000-0F00-000016000000}">
      <formula1>INDIRECT($U$440)</formula1>
    </dataValidation>
    <dataValidation type="list" allowBlank="1" showInputMessage="1" showErrorMessage="1" error="Please use the dropdown." sqref="W501" xr:uid="{00000000-0002-0000-0F00-000017000000}">
      <formula1>INDIRECT($U$501)</formula1>
    </dataValidation>
    <dataValidation type="list" allowBlank="1" showInputMessage="1" showErrorMessage="1" error="Please use the dropdown." sqref="W511" xr:uid="{00000000-0002-0000-0F00-000018000000}">
      <formula1>INDIRECT($U$511)</formula1>
    </dataValidation>
    <dataValidation type="list" allowBlank="1" showInputMessage="1" showErrorMessage="1" error="Please use the dropdown." sqref="W637" xr:uid="{00000000-0002-0000-0F00-000019000000}">
      <formula1>INDIRECT($U$637)</formula1>
    </dataValidation>
    <dataValidation type="list" allowBlank="1" showInputMessage="1" showErrorMessage="1" error="Please use the dropdown." sqref="W638" xr:uid="{00000000-0002-0000-0F00-00001A000000}">
      <formula1>INDIRECT($U$638)</formula1>
    </dataValidation>
    <dataValidation type="list" allowBlank="1" showInputMessage="1" showErrorMessage="1" error="Please use the dropdown." sqref="W639" xr:uid="{00000000-0002-0000-0F00-00001B000000}">
      <formula1>INDIRECT($U$639)</formula1>
    </dataValidation>
    <dataValidation type="list" allowBlank="1" showInputMessage="1" showErrorMessage="1" error="Please use the dropdown." sqref="W640" xr:uid="{00000000-0002-0000-0F00-00001C000000}">
      <formula1>INDIRECT($U$640)</formula1>
    </dataValidation>
    <dataValidation type="list" allowBlank="1" showInputMessage="1" showErrorMessage="1" error="Please use the dropdown." sqref="W641" xr:uid="{00000000-0002-0000-0F00-00001D000000}">
      <formula1>INDIRECT($U$641)</formula1>
    </dataValidation>
    <dataValidation type="list" allowBlank="1" showInputMessage="1" showErrorMessage="1" error="Please use the dropdown." sqref="W642" xr:uid="{00000000-0002-0000-0F00-00001E000000}">
      <formula1>INDIRECT($U$642)</formula1>
    </dataValidation>
    <dataValidation type="list" allowBlank="1" showInputMessage="1" showErrorMessage="1" error="Please use the dropdown." sqref="W643" xr:uid="{00000000-0002-0000-0F00-00001F000000}">
      <formula1>INDIRECT($U$643)</formula1>
    </dataValidation>
    <dataValidation type="list" allowBlank="1" showInputMessage="1" showErrorMessage="1" error="Please use the dropdown." sqref="W644" xr:uid="{00000000-0002-0000-0F00-000020000000}">
      <formula1>INDIRECT($U$644)</formula1>
    </dataValidation>
    <dataValidation type="list" allowBlank="1" showInputMessage="1" showErrorMessage="1" error="Please use the dropdown." sqref="W668" xr:uid="{00000000-0002-0000-0F00-000021000000}">
      <formula1>INDIRECT($U$668)</formula1>
    </dataValidation>
    <dataValidation type="list" allowBlank="1" showInputMessage="1" showErrorMessage="1" error="Please use the dropdown." sqref="W669" xr:uid="{00000000-0002-0000-0F00-000022000000}">
      <formula1>INDIRECT($U$669)</formula1>
    </dataValidation>
    <dataValidation type="list" allowBlank="1" showInputMessage="1" showErrorMessage="1" error="Please use the dropdown." sqref="W671" xr:uid="{00000000-0002-0000-0F00-000023000000}">
      <formula1>INDIRECT($U$671)</formula1>
    </dataValidation>
    <dataValidation type="list" allowBlank="1" showInputMessage="1" showErrorMessage="1" error="Please use the dropdown." sqref="W672" xr:uid="{00000000-0002-0000-0F00-000024000000}">
      <formula1>INDIRECT($U$672)</formula1>
    </dataValidation>
    <dataValidation type="list" allowBlank="1" showInputMessage="1" showErrorMessage="1" error="Please use the dropdown." sqref="W674" xr:uid="{00000000-0002-0000-0F00-000025000000}">
      <formula1>INDIRECT($U$674)</formula1>
    </dataValidation>
    <dataValidation type="list" allowBlank="1" showInputMessage="1" showErrorMessage="1" error="Please use the dropdown." sqref="W697" xr:uid="{00000000-0002-0000-0F00-000026000000}">
      <formula1>INDIRECT($U$697)</formula1>
    </dataValidation>
    <dataValidation type="list" allowBlank="1" showInputMessage="1" showErrorMessage="1" error="Please use the dropdown." sqref="W708" xr:uid="{00000000-0002-0000-0F00-000027000000}">
      <formula1>INDIRECT($U$708)</formula1>
    </dataValidation>
    <dataValidation type="list" allowBlank="1" showInputMessage="1" showErrorMessage="1" error="Please use the dropdown." sqref="W710" xr:uid="{00000000-0002-0000-0F00-000028000000}">
      <formula1>INDIRECT($U$710)</formula1>
    </dataValidation>
    <dataValidation type="list" allowBlank="1" showInputMessage="1" showErrorMessage="1" error="Please use the dropdown." sqref="W752" xr:uid="{00000000-0002-0000-0F00-000029000000}">
      <formula1>INDIRECT($U$752)</formula1>
    </dataValidation>
    <dataValidation type="list" allowBlank="1" showInputMessage="1" showErrorMessage="1" error="Please use the dropdown." sqref="W759" xr:uid="{00000000-0002-0000-0F00-00002A000000}">
      <formula1>INDIRECT($U$759)</formula1>
    </dataValidation>
    <dataValidation type="list" allowBlank="1" showInputMessage="1" showErrorMessage="1" error="Please use the dropdown." sqref="W765" xr:uid="{00000000-0002-0000-0F00-00002B000000}">
      <formula1>INDIRECT($U$765)</formula1>
    </dataValidation>
    <dataValidation type="list" allowBlank="1" showInputMessage="1" showErrorMessage="1" error="Please use the dropdown." sqref="W772" xr:uid="{00000000-0002-0000-0F00-00002C000000}">
      <formula1>INDIRECT($U$772)</formula1>
    </dataValidation>
    <dataValidation type="list" allowBlank="1" showInputMessage="1" showErrorMessage="1" error="Please use the dropdown." sqref="W778" xr:uid="{00000000-0002-0000-0F00-00002D000000}">
      <formula1>INDIRECT($U$778)</formula1>
    </dataValidation>
    <dataValidation type="list" allowBlank="1" showInputMessage="1" showErrorMessage="1" error="Please use the dropdown." sqref="W784" xr:uid="{00000000-0002-0000-0F00-00002E000000}">
      <formula1>INDIRECT($U$784)</formula1>
    </dataValidation>
    <dataValidation type="list" allowBlank="1" showInputMessage="1" showErrorMessage="1" error="Please use the dropdown." sqref="W813" xr:uid="{00000000-0002-0000-0F00-00002F000000}">
      <formula1>INDIRECT($U$813)</formula1>
    </dataValidation>
    <dataValidation type="list" allowBlank="1" showInputMessage="1" showErrorMessage="1" error="Please use the dropdown." sqref="W431" xr:uid="{00000000-0002-0000-0F00-000030000000}">
      <formula1>INDIRECT($U$431)</formula1>
    </dataValidation>
    <dataValidation type="list" allowBlank="1" showInputMessage="1" showErrorMessage="1" error="Please use the dropdown." sqref="W437" xr:uid="{00000000-0002-0000-0F00-000031000000}">
      <formula1>INDIRECT($U$437)</formula1>
    </dataValidation>
    <dataValidation type="list" allowBlank="1" showInputMessage="1" showErrorMessage="1" error="Please use the dropdown." sqref="W464" xr:uid="{00000000-0002-0000-0F00-000032000000}">
      <formula1>INDIRECT($U$464)</formula1>
    </dataValidation>
    <dataValidation type="list" allowBlank="1" showInputMessage="1" showErrorMessage="1" error="Please use the dropdown." sqref="W475" xr:uid="{00000000-0002-0000-0F00-000033000000}">
      <formula1>INDIRECT($U$475)</formula1>
    </dataValidation>
    <dataValidation type="list" allowBlank="1" showInputMessage="1" showErrorMessage="1" error="Please use the dropdown." sqref="W523" xr:uid="{00000000-0002-0000-0F00-000034000000}">
      <formula1>INDIRECT($U$523)</formula1>
    </dataValidation>
    <dataValidation type="list" allowBlank="1" showInputMessage="1" showErrorMessage="1" error="Please use the dropdown." sqref="W528" xr:uid="{00000000-0002-0000-0F00-000035000000}">
      <formula1>INDIRECT($U$528)</formula1>
    </dataValidation>
    <dataValidation type="list" allowBlank="1" showInputMessage="1" showErrorMessage="1" error="Please use the dropdown." sqref="W534" xr:uid="{00000000-0002-0000-0F00-000036000000}">
      <formula1>INDIRECT($U$534)</formula1>
    </dataValidation>
    <dataValidation type="list" allowBlank="1" showDropDown="1" showInputMessage="1" showErrorMessage="1" error="Use Checkbox" prompt="Use Checkbox" sqref="W835 W858 W852:W854 W850 W848 W844 W839 W694 W744 W736 W727 W683 W624:W632 W611 W609 W596 W579 W562 W560 W555 W551 W547:W548 W545 W157 W525 W509 W507 W496:W497 W493 W483 W471 W469 W467 W462 W457 W453 W449 W443 W441 W435 W429 W423 W421 W418:W419 W414 W1616 W398 W370:W374 W359:W364 W355 W352 W349 W282 W824:W825 W271:W272 W267 W264 W79 W253 W246 W239:W244 W237 W234 W230 W228 W225:W226 W223 W218 W215:W216 W208 W69 W77 W193 W189:W191 W185 W183 W181 W178 W176 W170:W171 W160 W1515 W155 W124 W121 W111:W113 W108:W109 W104 W100 W98 W90:W91 W81 W16:W18 W73 W71 W58 W42 W27 W25 W23 W21 W1606 W933 W2456 W2454 W2441 W2438 W2436 W688 W2386:W2387 W2384 W2377 W2373 W2371 W2365 W2361:W2362 W2359 W2356:W2357 W2354 W2351 W2349 W2346 W2344 W2336:W2338 W2333:W2334 W2331 W2328 W2325 W2301:W2303 W2299 W2297 W2294:W2295 W2292 W2289:W2290 W2287 W2285 W2281 W1921 W2268 W2264:W2266 W2258:W2260 W2237 W2232 W2215 W2210 W2204:W2205 W2190 W2188 W2182 W2180 W1787 W2101 W2098 W2096 W2078 W2076 W2074 W2063 W2056 W2052 W2050 W2044 W2042 W2038:W2039 W2025 W2020:W2021 W2015 W2006 W2001 W1998:W1999 W1996 W1985 W1962 W1959 W1957 W1934 W1928 W1900 W1884 W1878 W1862 W1860 W1581 W1848 W1820:W1821 W827 W1769 W2273:W2275 W1778:W1780 W829 W831 W1767 W1760 W1376 W1684 W1679 W1611 W1603 W1599:W1600 W1595 W1578 W1576 W1574 W1564:W1571 W1544 W1541 W1536:W1539 W1529 W1527 W1525 W1513 W833 W1496 W1467 W1374 W1456:W1457 W1451 W1448 W1431 W1387 W1385 W1383 W1381 W1042:W1043 W1371 W1367:W1369 W1365 W1357 W1330 W1325:W1327 W1322 W1320 W1318 W1297 W1295 W1293 W1232 W1229:W1230 W1226 W1224 W1218 W1211 W1201 W1198 W1154 W255 W1099 W1090 W14 W1081 W1066 W1049 W1785 W1040 W1020 W994 W991 W1857 W955 W950:W951 W947 W938 W2270:W2271 W2395 W2463 W2460 W2424:W2430 W2414:W2419 W2410:W2412 W2389:W2393 W2248 W2243 W2240:W2241 W2228 W2220 W2185 W75 W2154 W2152 W50 W929 W924:W927 W920:W922 W915 W911:W912 W593 W536:W538 W325 W323 W321 W315:W316 W312 W309 W305 W291:W292 W288 W162 W142 W140 W83 W55 W52 W1504 W1502 W1478 W1476 W1465 W1462 W2081 W2030 W1840 W1800 W1797:W1798 W1795 W1793 W1774 W1636:W1637 W1631 W1627 W1618" xr:uid="{00000000-0002-0000-0F00-000037000000}">
      <formula1>TorF</formula1>
    </dataValidation>
    <dataValidation type="whole" allowBlank="1" showDropDown="1" showInputMessage="1" showErrorMessage="1" prompt="Enter number of fans" sqref="W1213" xr:uid="{00000000-0002-0000-0F00-000038000000}">
      <formula1>0</formula1>
      <formula2>100</formula2>
    </dataValidation>
    <dataValidation type="decimal" allowBlank="1" showDropDown="1" showInputMessage="1" showErrorMessage="1" prompt="Enter the EER" sqref="W1206" xr:uid="{00000000-0002-0000-0F00-000039000000}">
      <formula1>0</formula1>
      <formula2>100</formula2>
    </dataValidation>
    <dataValidation type="decimal" allowBlank="1" showDropDown="1" showInputMessage="1" showErrorMessage="1" prompt="Enter the SEER" sqref="W1193" xr:uid="{00000000-0002-0000-0F00-00003A000000}">
      <formula1>0</formula1>
      <formula2>100</formula2>
    </dataValidation>
    <dataValidation type="decimal" allowBlank="1" showDropDown="1" showInputMessage="1" showErrorMessage="1" prompt="Enter the COP" sqref="W1188 W1200" xr:uid="{00000000-0002-0000-0F00-00003B000000}">
      <formula1>0</formula1>
      <formula2>100</formula2>
    </dataValidation>
    <dataValidation type="decimal" allowBlank="1" showDropDown="1" showInputMessage="1" showErrorMessage="1" prompt="Enter the HSPF" sqref="W1181 W1186" xr:uid="{00000000-0002-0000-0F00-00003C000000}">
      <formula1>0</formula1>
      <formula2>100</formula2>
    </dataValidation>
    <dataValidation type="decimal" allowBlank="1" showDropDown="1" showInputMessage="1" showErrorMessage="1" prompt="Enter the AFUE" sqref="W1161 W1167 W1170 W1175" xr:uid="{00000000-0002-0000-0F00-00003D000000}">
      <formula1>0</formula1>
      <formula2>1</formula2>
    </dataValidation>
    <dataValidation type="decimal" allowBlank="1" showDropDown="1" showInputMessage="1" showErrorMessage="1" prompt="Enter the ACH50" sqref="W975 W1493" xr:uid="{00000000-0002-0000-0F00-00003E000000}">
      <formula1>0</formula1>
      <formula2>50</formula2>
    </dataValidation>
    <dataValidation type="decimal" allowBlank="1" showDropDown="1" showInputMessage="1" showErrorMessage="1" error="Enter a number" prompt="Enter Energy Factor or Thermal Efficiency" sqref="W1292 W1253 W1272" xr:uid="{00000000-0002-0000-0F00-00003F000000}">
      <formula1>0</formula1>
      <formula2>3</formula2>
    </dataValidation>
    <dataValidation type="decimal" allowBlank="1" showDropDown="1" showInputMessage="1" showErrorMessage="1" error="Enter a number" prompt="Enter SEF" sqref="W1301" xr:uid="{00000000-0002-0000-0F00-000040000000}">
      <formula1>0</formula1>
      <formula2>5</formula2>
    </dataValidation>
    <dataValidation type="whole" allowBlank="1" showDropDown="1" showInputMessage="1" showErrorMessage="1" error="Enter a whole number" prompt="Enter number of recessed luminaires penetrating the thermal envelope" sqref="W1454" xr:uid="{00000000-0002-0000-0F00-000041000000}">
      <formula1>0</formula1>
      <formula2>100</formula2>
    </dataValidation>
    <dataValidation type="whole" allowBlank="1" showDropDown="1" showInputMessage="1" showErrorMessage="1" error="Enter a whole number" prompt="Enter number of kW" sqref="W1583" xr:uid="{00000000-0002-0000-0F00-000042000000}">
      <formula1>0</formula1>
      <formula2>10000000000</formula2>
    </dataValidation>
    <dataValidation type="decimal" allowBlank="1" showDropDown="1" showInputMessage="1" showErrorMessage="1" error="Enter a nuber of inches" prompt="Enter a number of inches" sqref="W1098" xr:uid="{00000000-0002-0000-0F00-000043000000}">
      <formula1>0</formula1>
      <formula2>36</formula2>
    </dataValidation>
    <dataValidation type="list" allowBlank="1" showInputMessage="1" showErrorMessage="1" error="Please use the dropdown." sqref="W882" xr:uid="{00000000-0002-0000-0F00-000044000000}">
      <formula1>INDIRECT($U$882)</formula1>
    </dataValidation>
    <dataValidation type="list" allowBlank="1" showInputMessage="1" showErrorMessage="1" error="Please use the dropdown." sqref="W898" xr:uid="{00000000-0002-0000-0F00-000045000000}">
      <formula1>INDIRECT($U$898)</formula1>
    </dataValidation>
    <dataValidation type="list" allowBlank="1" showInputMessage="1" showErrorMessage="1" error="Please use the dropdown." sqref="W941" xr:uid="{00000000-0002-0000-0F00-000046000000}">
      <formula1>INDIRECT($U$941)</formula1>
    </dataValidation>
    <dataValidation type="list" allowBlank="1" showInputMessage="1" showErrorMessage="1" error="Please use the dropdown." sqref="W1030" xr:uid="{00000000-0002-0000-0F00-000047000000}">
      <formula1>INDIRECT($U$1030)</formula1>
    </dataValidation>
    <dataValidation type="list" allowBlank="1" showInputMessage="1" showErrorMessage="1" error="Please use the dropdown." sqref="W1114" xr:uid="{00000000-0002-0000-0F00-000048000000}">
      <formula1>INDIRECT($U$1114)</formula1>
    </dataValidation>
    <dataValidation type="list" allowBlank="1" showInputMessage="1" showErrorMessage="1" error="Please use the dropdown." sqref="W1122" xr:uid="{00000000-0002-0000-0F00-000049000000}">
      <formula1>INDIRECT($U$1122)</formula1>
    </dataValidation>
    <dataValidation type="list" allowBlank="1" showInputMessage="1" showErrorMessage="1" error="Please use the dropdown." sqref="W1130" xr:uid="{00000000-0002-0000-0F00-00004A000000}">
      <formula1>INDIRECT($U$1130)</formula1>
    </dataValidation>
    <dataValidation type="list" allowBlank="1" showInputMessage="1" showErrorMessage="1" error="Please use the dropdown." sqref="W1141" xr:uid="{00000000-0002-0000-0F00-00004B000000}">
      <formula1>INDIRECT($U$1141)</formula1>
    </dataValidation>
    <dataValidation type="list" allowBlank="1" showInputMessage="1" showErrorMessage="1" error="Please use the dropdown." sqref="W1148" xr:uid="{00000000-0002-0000-0F00-00004C000000}">
      <formula1>INDIRECT($U$1148)</formula1>
    </dataValidation>
    <dataValidation type="list" allowBlank="1" showInputMessage="1" showErrorMessage="1" error="Please use the dropdown." sqref="W1234" xr:uid="{00000000-0002-0000-0F00-00004D000000}">
      <formula1>INDIRECT($U$1234)</formula1>
    </dataValidation>
    <dataValidation type="list" allowBlank="1" showInputMessage="1" showErrorMessage="1" error="Please use the dropdown." sqref="W1245" xr:uid="{00000000-0002-0000-0F00-00004E000000}">
      <formula1>INDIRECT($U$1245)</formula1>
    </dataValidation>
    <dataValidation type="list" allowBlank="1" showInputMessage="1" showErrorMessage="1" error="Please use the dropdown." sqref="W1427" xr:uid="{00000000-0002-0000-0F00-00004F000000}">
      <formula1>INDIRECT($U$1427)</formula1>
    </dataValidation>
    <dataValidation type="list" allowBlank="1" showInputMessage="1" showErrorMessage="1" error="Please use the dropdown." sqref="W1434" xr:uid="{00000000-0002-0000-0F00-000050000000}">
      <formula1>INDIRECT($U$1434)</formula1>
    </dataValidation>
    <dataValidation type="list" allowBlank="1" showInputMessage="1" showErrorMessage="1" error="Please use the dropdown." sqref="W1438" xr:uid="{00000000-0002-0000-0F00-000051000000}">
      <formula1>INDIRECT($U$1438)</formula1>
    </dataValidation>
    <dataValidation type="list" allowBlank="1" showInputMessage="1" showErrorMessage="1" error="Please use the dropdown." sqref="W1443" xr:uid="{00000000-0002-0000-0F00-000052000000}">
      <formula1>INDIRECT($U$1443)</formula1>
    </dataValidation>
    <dataValidation type="list" allowBlank="1" showInputMessage="1" showErrorMessage="1" error="Please use the dropdown." sqref="W1507" xr:uid="{00000000-0002-0000-0F00-000053000000}">
      <formula1>INDIRECT($U$1507)</formula1>
    </dataValidation>
    <dataValidation type="list" allowBlank="1" showInputMessage="1" showErrorMessage="1" error="Please use the dropdown." sqref="W1549" xr:uid="{00000000-0002-0000-0F00-000054000000}">
      <formula1>INDIRECT($U$1549)</formula1>
    </dataValidation>
    <dataValidation type="whole" allowBlank="1" showDropDown="1" showInputMessage="1" showErrorMessage="1" error="Enter a whole number" prompt="Enter number of systems" sqref="W1850" xr:uid="{00000000-0002-0000-0F00-000055000000}">
      <formula1>0</formula1>
      <formula2>5</formula2>
    </dataValidation>
    <dataValidation type="list" allowBlank="1" showInputMessage="1" showErrorMessage="1" error="Please use the dropdown." sqref="W1650" xr:uid="{00000000-0002-0000-0F00-000056000000}">
      <formula1>INDIRECT($U$1650)</formula1>
    </dataValidation>
    <dataValidation type="list" allowBlank="1" showInputMessage="1" showErrorMessage="1" error="Please use the dropdown." sqref="W1685" xr:uid="{00000000-0002-0000-0F00-000057000000}">
      <formula1>INDIRECT($U$1685)</formula1>
    </dataValidation>
    <dataValidation type="list" allowBlank="1" showInputMessage="1" showErrorMessage="1" error="Please use the dropdown." sqref="W1709" xr:uid="{00000000-0002-0000-0F00-000058000000}">
      <formula1>INDIRECT($U$1709)</formula1>
    </dataValidation>
    <dataValidation type="list" allowBlank="1" showInputMessage="1" showErrorMessage="1" error="Please use the dropdown." sqref="W1721" xr:uid="{00000000-0002-0000-0F00-000059000000}">
      <formula1>INDIRECT($U$1721)</formula1>
    </dataValidation>
    <dataValidation type="list" allowBlank="1" showInputMessage="1" showErrorMessage="1" error="Please use the dropdown." sqref="W1726" xr:uid="{00000000-0002-0000-0F00-00005A000000}">
      <formula1>INDIRECT($U$1726)</formula1>
    </dataValidation>
    <dataValidation type="list" allowBlank="1" showInputMessage="1" showErrorMessage="1" error="Please use the dropdown." sqref="W1746" xr:uid="{00000000-0002-0000-0F00-00005C000000}">
      <formula1>INDIRECT($U$1746)</formula1>
    </dataValidation>
    <dataValidation type="list" allowBlank="1" showInputMessage="1" showErrorMessage="1" error="Please use the dropdown." sqref="W1753" xr:uid="{00000000-0002-0000-0F00-00005D000000}">
      <formula1>INDIRECT($U$1753)</formula1>
    </dataValidation>
    <dataValidation type="list" allowBlank="1" showInputMessage="1" showErrorMessage="1" error="Please use the dropdown." sqref="W1763" xr:uid="{00000000-0002-0000-0F00-00005E000000}">
      <formula1>INDIRECT($U$1763)</formula1>
    </dataValidation>
    <dataValidation type="list" allowBlank="1" showInputMessage="1" showErrorMessage="1" error="Please use the dropdown." sqref="W1804" xr:uid="{00000000-0002-0000-0F00-00005F000000}">
      <formula1>INDIRECT($U$1804)</formula1>
    </dataValidation>
    <dataValidation type="list" allowBlank="1" showInputMessage="1" showErrorMessage="1" error="Please use the dropdown." sqref="W1818" xr:uid="{00000000-0002-0000-0F00-000060000000}">
      <formula1>INDIRECT($U$1818)</formula1>
    </dataValidation>
    <dataValidation type="list" allowBlank="1" showInputMessage="1" showErrorMessage="1" error="Please use the dropdown." sqref="W1846" xr:uid="{00000000-0002-0000-0F00-000061000000}">
      <formula1>INDIRECT($U$1846)</formula1>
    </dataValidation>
    <dataValidation type="whole" allowBlank="1" showDropDown="1" showInputMessage="1" showErrorMessage="1" error="Enter a whole number" prompt="Enter number of humidistats" sqref="W2062" xr:uid="{00000000-0002-0000-0F00-000062000000}">
      <formula1>0</formula1>
      <formula2>10</formula2>
    </dataValidation>
    <dataValidation type="whole" allowBlank="1" showDropDown="1" showInputMessage="1" showErrorMessage="1" error="Enter a whole number" prompt="Enter number of timers" sqref="W2060" xr:uid="{00000000-0002-0000-0F00-000063000000}">
      <formula1>0</formula1>
      <formula2>10</formula2>
    </dataValidation>
    <dataValidation type="list" allowBlank="1" showInputMessage="1" showErrorMessage="1" error="Please use the dropdown." sqref="W1889" xr:uid="{00000000-0002-0000-0F00-000064000000}">
      <formula1>INDIRECT($U$1889)</formula1>
    </dataValidation>
    <dataValidation type="list" allowBlank="1" showInputMessage="1" showErrorMessage="1" error="Please use the dropdown." sqref="W1892" xr:uid="{00000000-0002-0000-0F00-000065000000}">
      <formula1>INDIRECT($U$1892)</formula1>
    </dataValidation>
    <dataValidation type="list" allowBlank="1" showInputMessage="1" showErrorMessage="1" error="Please use the dropdown." sqref="W1895" xr:uid="{00000000-0002-0000-0F00-000066000000}">
      <formula1>INDIRECT($U$1895)</formula1>
    </dataValidation>
    <dataValidation type="list" allowBlank="1" showInputMessage="1" showErrorMessage="1" error="Please use the dropdown." sqref="W1903" xr:uid="{00000000-0002-0000-0F00-000067000000}">
      <formula1>INDIRECT($U$1903)</formula1>
    </dataValidation>
    <dataValidation type="list" allowBlank="1" showInputMessage="1" showErrorMessage="1" error="Please use the dropdown." sqref="W1909" xr:uid="{00000000-0002-0000-0F00-000068000000}">
      <formula1>INDIRECT($U$1909)</formula1>
    </dataValidation>
    <dataValidation type="list" allowBlank="1" showInputMessage="1" showErrorMessage="1" error="Please use the dropdown." sqref="W1912" xr:uid="{00000000-0002-0000-0F00-000069000000}">
      <formula1>INDIRECT($U$1912)</formula1>
    </dataValidation>
    <dataValidation type="list" allowBlank="1" showInputMessage="1" showErrorMessage="1" error="Please use the dropdown." sqref="W1914" xr:uid="{00000000-0002-0000-0F00-00006A000000}">
      <formula1>INDIRECT($U$1914)</formula1>
    </dataValidation>
    <dataValidation type="list" allowBlank="1" showInputMessage="1" showErrorMessage="1" error="Please use the dropdown." sqref="W1917" xr:uid="{00000000-0002-0000-0F00-00006B000000}">
      <formula1>INDIRECT($U$1917)</formula1>
    </dataValidation>
    <dataValidation type="list" allowBlank="1" showInputMessage="1" showErrorMessage="1" error="Please use the dropdown." sqref="W1919" xr:uid="{00000000-0002-0000-0F00-00006C000000}">
      <formula1>INDIRECT($U$1919)</formula1>
    </dataValidation>
    <dataValidation type="list" allowBlank="1" showInputMessage="1" showErrorMessage="1" error="Please use the dropdown." sqref="W1938" xr:uid="{00000000-0002-0000-0F00-00006D000000}">
      <formula1>INDIRECT($U$1938)</formula1>
    </dataValidation>
    <dataValidation type="list" allowBlank="1" showInputMessage="1" showErrorMessage="1" error="Please use the dropdown." sqref="W1943" xr:uid="{00000000-0002-0000-0F00-00006E000000}">
      <formula1>INDIRECT($U$1943)</formula1>
    </dataValidation>
    <dataValidation type="list" allowBlank="1" showInputMessage="1" showErrorMessage="1" error="Please use the dropdown." sqref="W1944" xr:uid="{00000000-0002-0000-0F00-00006F000000}">
      <formula1>INDIRECT($U$1944)</formula1>
    </dataValidation>
    <dataValidation type="list" allowBlank="1" showInputMessage="1" showErrorMessage="1" error="Please use the dropdown." sqref="W1945" xr:uid="{00000000-0002-0000-0F00-000070000000}">
      <formula1>INDIRECT($U$1945)</formula1>
    </dataValidation>
    <dataValidation type="list" allowBlank="1" showInputMessage="1" showErrorMessage="1" error="Please use the dropdown." sqref="W1946" xr:uid="{00000000-0002-0000-0F00-000071000000}">
      <formula1>INDIRECT($U$1946)</formula1>
    </dataValidation>
    <dataValidation type="list" allowBlank="1" showInputMessage="1" showErrorMessage="1" error="Please use the dropdown." sqref="W2034" xr:uid="{00000000-0002-0000-0F00-000072000000}">
      <formula1>INDIRECT($U$2034)</formula1>
    </dataValidation>
    <dataValidation type="list" allowBlank="1" showInputMessage="1" showErrorMessage="1" error="Please use the dropdown." sqref="W2054" xr:uid="{00000000-0002-0000-0F00-000073000000}">
      <formula1>INDIRECT($U$2054)</formula1>
    </dataValidation>
    <dataValidation type="list" allowBlank="1" showInputMessage="1" showErrorMessage="1" error="Please use the dropdown." sqref="W2085" xr:uid="{00000000-0002-0000-0F00-000074000000}">
      <formula1>INDIRECT($U$2085)</formula1>
    </dataValidation>
    <dataValidation type="list" allowBlank="1" showInputMessage="1" showErrorMessage="1" error="Please use the dropdown." sqref="W2194" xr:uid="{00000000-0002-0000-0F00-000076000000}">
      <formula1>INDIRECT($U$2194)</formula1>
    </dataValidation>
    <dataValidation type="list" allowBlank="1" showInputMessage="1" showErrorMessage="1" error="Please use the dropdown." sqref="W2198" xr:uid="{00000000-0002-0000-0F00-000077000000}">
      <formula1>INDIRECT($U$2198)</formula1>
    </dataValidation>
    <dataValidation type="list" allowBlank="1" showInputMessage="1" showErrorMessage="1" error="Please use the dropdown." sqref="W1924" xr:uid="{00000000-0002-0000-0F00-000078000000}">
      <formula1>INDIRECT($U$1924)</formula1>
    </dataValidation>
    <dataValidation type="list" allowBlank="1" showInputMessage="1" showErrorMessage="1" error="Please use the dropdown." sqref="W1926" xr:uid="{00000000-0002-0000-0F00-000079000000}">
      <formula1>INDIRECT($U$1926)</formula1>
    </dataValidation>
    <dataValidation type="whole" allowBlank="1" showDropDown="1" showInputMessage="1" showErrorMessage="1" error="Enter a whole number" prompt="Enter number of fans" sqref="W2069 W2071" xr:uid="{00000000-0002-0000-0F00-00007A000000}">
      <formula1>0</formula1>
      <formula2>10</formula2>
    </dataValidation>
    <dataValidation type="decimal" allowBlank="1" showDropDown="1" showInputMessage="1" showErrorMessage="1" prompt="Enter the ELR50" sqref="W978 W1495" xr:uid="{00000000-0002-0000-0F00-00007C000000}">
      <formula1>0</formula1>
      <formula2>1</formula2>
    </dataValidation>
    <dataValidation type="list" allowBlank="1" showInputMessage="1" showErrorMessage="1" error="Please use the dropdown." sqref="W37" xr:uid="{B1ADB36D-7518-458C-BE36-12D6F1FF481E}">
      <formula1>INDIRECT($U$37)</formula1>
    </dataValidation>
    <dataValidation type="list" allowBlank="1" showInputMessage="1" showErrorMessage="1" error="Please use the dropdown." sqref="W860" xr:uid="{2FF08753-F019-4244-998E-3D0B84FC8348}">
      <formula1>INDIRECT($U$860)</formula1>
    </dataValidation>
    <dataValidation type="list" allowBlank="1" showInputMessage="1" showErrorMessage="1" error="Please use the dropdown." sqref="W864" xr:uid="{879F1525-1ADE-4EB3-890E-00C66368653A}">
      <formula1>INDIRECT($U$864)</formula1>
    </dataValidation>
    <dataValidation type="list" allowBlank="1" showInputMessage="1" showErrorMessage="1" error="Please use the dropdown." sqref="W914" xr:uid="{4071879B-D4E1-488A-8527-60AE93BFFB8B}">
      <formula1>INDIRECT($U$914)</formula1>
    </dataValidation>
    <dataValidation type="list" allowBlank="1" showInputMessage="1" showErrorMessage="1" error="Please use the dropdown." sqref="W917" xr:uid="{0483D202-1E05-45FC-A18D-AE1FE2301643}">
      <formula1>INDIRECT($U$917)</formula1>
    </dataValidation>
    <dataValidation type="list" allowBlank="1" showInputMessage="1" showErrorMessage="1" error="Please use the dropdown." sqref="W1299" xr:uid="{396BA95B-0CBE-48E7-9CC5-C45A54AB9B4E}">
      <formula1>INDIRECT($U$1299)</formula1>
    </dataValidation>
    <dataValidation type="list" allowBlank="1" showInputMessage="1" showErrorMessage="1" error="Please use the dropdown." sqref="W1622" xr:uid="{2589DB5A-C81F-41ED-8747-650C2EF8A698}">
      <formula1>INDIRECT($U$1622)</formula1>
    </dataValidation>
    <dataValidation type="list" allowBlank="1" showInputMessage="1" showErrorMessage="1" error="Please use the dropdown." sqref="W1642" xr:uid="{4D9BFBCE-8491-477C-A850-A5E1346E173B}">
      <formula1>INDIRECT($U$1642)</formula1>
    </dataValidation>
    <dataValidation type="list" allowBlank="1" showInputMessage="1" showErrorMessage="1" error="Please use the dropdown." sqref="W1729" xr:uid="{460107E3-26BB-46E0-96EA-2BB22EBA7DA9}">
      <formula1>INDIRECT($U$1729)</formula1>
    </dataValidation>
    <dataValidation type="list" allowBlank="1" showInputMessage="1" showErrorMessage="1" error="Please use the dropdown." sqref="W1731" xr:uid="{183D8B05-C15D-4428-B0AC-C78105ADDB61}">
      <formula1>INDIRECT($U$1731)</formula1>
    </dataValidation>
    <dataValidation type="list" allowBlank="1" showInputMessage="1" showErrorMessage="1" error="Please use the dropdown." sqref="W1741" xr:uid="{2FC31FDA-3369-48F1-808D-14CF0BBD2B7B}">
      <formula1>INDIRECT($U$1741)</formula1>
    </dataValidation>
    <dataValidation type="list" allowBlank="1" showInputMessage="1" showErrorMessage="1" error="Please use the dropdown." sqref="W1772" xr:uid="{F0065495-061F-4285-924E-9DD1CD277ADD}">
      <formula1>INDIRECT($U$1772)</formula1>
    </dataValidation>
    <dataValidation type="list" allowBlank="1" showInputMessage="1" showErrorMessage="1" error="Please use the dropdown." sqref="W1824" xr:uid="{C4FEF3E1-1311-4267-AC79-4A46DFD24F7C}">
      <formula1>INDIRECT($U$1824)</formula1>
    </dataValidation>
    <dataValidation type="list" allowBlank="1" showInputMessage="1" showErrorMessage="1" error="Please use the dropdown." sqref="W1832" xr:uid="{118162EE-EF2B-4C99-B26C-D96CE7947B47}">
      <formula1>INDIRECT($U$1832)</formula1>
    </dataValidation>
    <dataValidation type="list" allowBlank="1" showInputMessage="1" showErrorMessage="1" error="Please use the dropdown." sqref="W2104" xr:uid="{D1C9CA97-4855-42D1-B637-DC9943DDDA86}">
      <formula1>INDIRECT($U$2104)</formula1>
    </dataValidation>
    <dataValidation type="decimal" allowBlank="1" showDropDown="1" showInputMessage="1" showErrorMessage="1" error="Enter a number" prompt="Enter square feet" sqref="W286" xr:uid="{F8458886-F5D1-4E88-BF9C-5163648566E7}">
      <formula1>0</formula1>
      <formula2>10000</formula2>
    </dataValidation>
    <dataValidation type="whole" allowBlank="1" showDropDown="1" showInputMessage="1" showErrorMessage="1" error="Enter a whole number" prompt="Enter number of kWh" sqref="W1585" xr:uid="{861D8469-52D4-4983-8E16-A23C0F22C4C7}">
      <formula1>0</formula1>
      <formula2>50000</formula2>
    </dataValidation>
    <dataValidation type="whole" allowBlank="1" showDropDown="1" showInputMessage="1" showErrorMessage="1" error="Enter a whole number" prompt="Enter number of meters" sqref="W1693" xr:uid="{55DDC624-A822-4BAE-A171-768E955884DB}">
      <formula1>0</formula1>
      <formula2>10</formula2>
    </dataValidation>
    <dataValidation type="whole" allowBlank="1" showDropDown="1" showInputMessage="1" showErrorMessage="1" error="Enter a whole number" prompt="Enter number of sensor packages" sqref="W1695" xr:uid="{DB6F4C22-1545-43F4-AA0B-20674C7E6178}">
      <formula1>0</formula1>
      <formula2>10</formula2>
    </dataValidation>
    <dataValidation type="whole" allowBlank="1" showDropDown="1" showInputMessage="1" showErrorMessage="1" error="Enter a whole number" prompt="Enter number of meters" sqref="W1702" xr:uid="{E80540BB-49A3-47D8-A5B1-79581F0E3E22}">
      <formula1>0</formula1>
      <formula2>700</formula2>
    </dataValidation>
    <dataValidation type="whole" allowBlank="1" showDropDown="1" showInputMessage="1" showErrorMessage="1" error="Enter a whole number" prompt="Enter number of sensor packages" sqref="W1704" xr:uid="{F5544C8A-D5FF-41C2-9DE4-7D38173A6DF2}">
      <formula1>0</formula1>
      <formula2>700</formula2>
    </dataValidation>
    <dataValidation type="list" allowBlank="1" showInputMessage="1" showErrorMessage="1" error="Please use the dropdown." sqref="W1251" xr:uid="{8E9CA870-C796-4449-92F6-0E9F9E7E9A49}">
      <formula1>INDIRECT($U$1251)</formula1>
    </dataValidation>
    <dataValidation type="list" allowBlank="1" showInputMessage="1" showErrorMessage="1" error="Please use the dropdown." sqref="W1270" xr:uid="{CD168FC3-24E8-4D04-8182-69780B829F23}">
      <formula1>INDIRECT($U$1270)</formula1>
    </dataValidation>
    <dataValidation type="list" allowBlank="1" showInputMessage="1" showErrorMessage="1" error="Please use the dropdown." sqref="W958" xr:uid="{7D00BFC5-6D0C-4349-9FA9-7D995F43C9A1}">
      <formula1>INDIRECT($U$958)</formula1>
    </dataValidation>
    <dataValidation type="list" allowBlank="1" showInputMessage="1" showErrorMessage="1" error="Please use the dropdown." sqref="W959" xr:uid="{7A4C83D0-6248-4BD5-AD67-9825DE086E78}">
      <formula1>INDIRECT($U$959)</formula1>
    </dataValidation>
    <dataValidation type="list" allowBlank="1" showInputMessage="1" showErrorMessage="1" error="Please use the dropdown." sqref="W960" xr:uid="{A6FD961D-603E-4DE1-A125-5D8A9CA8801A}">
      <formula1>INDIRECT($U$960)</formula1>
    </dataValidation>
    <dataValidation type="list" allowBlank="1" showInputMessage="1" showErrorMessage="1" error="Please use the dropdown." sqref="W961" xr:uid="{5818A06B-B437-42C5-955E-54B8CC8BAED0}">
      <formula1>INDIRECT($U$961)</formula1>
    </dataValidation>
    <dataValidation type="list" allowBlank="1" showInputMessage="1" showErrorMessage="1" error="Please use the dropdown." sqref="W962" xr:uid="{BE0FC360-20B4-4ED4-9826-E802FE0BD01B}">
      <formula1>INDIRECT($U$962)</formula1>
    </dataValidation>
    <dataValidation type="list" allowBlank="1" showInputMessage="1" showErrorMessage="1" error="Please use the dropdown." sqref="W963" xr:uid="{F381110C-F629-46E5-ADC1-4CC7C589440A}">
      <formula1>INDIRECT($U$963)</formula1>
    </dataValidation>
    <dataValidation type="list" allowBlank="1" showInputMessage="1" showErrorMessage="1" error="Please use the dropdown." sqref="W964" xr:uid="{A9B7CF64-D594-4A04-8A03-C0DF9735AB8C}">
      <formula1>INDIRECT($U$964)</formula1>
    </dataValidation>
    <dataValidation type="list" allowBlank="1" showInputMessage="1" showErrorMessage="1" error="Please use the dropdown." sqref="W965" xr:uid="{85EB017C-D387-45E0-BD92-ACD418FDDB2C}">
      <formula1>INDIRECT($U$965)</formula1>
    </dataValidation>
    <dataValidation type="list" allowBlank="1" showInputMessage="1" showErrorMessage="1" error="Please use the dropdown." sqref="W966" xr:uid="{8E404B89-05A9-411C-94CA-127E8B8ECC73}">
      <formula1>INDIRECT($U$966)</formula1>
    </dataValidation>
    <dataValidation type="list" allowBlank="1" showInputMessage="1" showErrorMessage="1" error="Please use the dropdown." sqref="W967" xr:uid="{51220F04-F941-4A30-B639-99706E3BAC84}">
      <formula1>INDIRECT($U$967)</formula1>
    </dataValidation>
    <dataValidation type="list" allowBlank="1" showInputMessage="1" showErrorMessage="1" error="Please use the dropdown." sqref="W968" xr:uid="{E699BD4B-BCF6-4D21-A330-6AA716A586E7}">
      <formula1>INDIRECT($U$968)</formula1>
    </dataValidation>
    <dataValidation type="list" allowBlank="1" showInputMessage="1" showErrorMessage="1" error="Please use the dropdown." sqref="W969" xr:uid="{809229D1-B989-4AC1-9F89-C03CBFC7ACA3}">
      <formula1>INDIRECT($U$969)</formula1>
    </dataValidation>
    <dataValidation type="list" allowBlank="1" showInputMessage="1" showErrorMessage="1" error="Please use the dropdown." sqref="W970" xr:uid="{4D2DE1D1-1118-4408-A6B0-4EE14211F17E}">
      <formula1>INDIRECT($U$970)</formula1>
    </dataValidation>
    <dataValidation type="list" allowBlank="1" showInputMessage="1" showErrorMessage="1" error="Please use the dropdown." sqref="W1852" xr:uid="{BA40C508-756F-4495-AE1D-8D7624658656}">
      <formula1>INDIRECT($U$1852)</formula1>
    </dataValidation>
    <dataValidation type="list" allowBlank="1" showInputMessage="1" showErrorMessage="1" error="Please use the dropdown." sqref="W1106" xr:uid="{7CC09B39-1A8D-4ACA-9F0D-72169D26CA93}">
      <formula1>INDIRECT($U$1106)</formula1>
    </dataValidation>
    <dataValidation type="list" allowBlank="1" showInputMessage="1" showErrorMessage="1" error="Please use the dropdown." sqref="W1837" xr:uid="{1C385F51-140D-41F7-8D68-05B0E69F2D8E}">
      <formula1>INDIRECT($U$1837)</formula1>
    </dataValidation>
    <dataValidation type="whole" allowBlank="1" showDropDown="1" showInputMessage="1" showErrorMessage="1" error="Enter a percentage" prompt="Enter a number" sqref="W1417 W1419" xr:uid="{036D906A-FFD0-4A2B-BF65-683A383FB5E6}">
      <formula1>0</formula1>
      <formula2>100</formula2>
    </dataValidation>
    <dataValidation type="list" allowBlank="1" showInputMessage="1" showErrorMessage="1" error="Please use the dropdown." sqref="W884" xr:uid="{1B71306B-6340-4AF7-9396-29AFA2E3E039}">
      <formula1>INDIRECT($U$884)</formula1>
    </dataValidation>
    <dataValidation type="whole" allowBlank="1" showDropDown="1" showInputMessage="1" showErrorMessage="1" error="Enter a whole number" prompt="Enter WRI Score" sqref="W1868" xr:uid="{35567343-E74B-4889-9DCC-EF8549BA920E}">
      <formula1>0</formula1>
      <formula2>100</formula2>
    </dataValidation>
    <dataValidation type="list" allowBlank="1" showInputMessage="1" showErrorMessage="1" error="Please use the dropdown." sqref="W194" xr:uid="{EBCBC0C3-85D2-40CB-8018-E14823C8C705}">
      <formula1>INDIRECT($U$194)</formula1>
    </dataValidation>
    <dataValidation type="decimal" allowBlank="1" showDropDown="1" showInputMessage="1" showErrorMessage="1" error="Enter a number" prompt="Enter Test Results" sqref="W2156" xr:uid="{2BB0F442-7CA0-400C-AEB3-DAB5546D8D2F}">
      <formula1>0</formula1>
      <formula2>10</formula2>
    </dataValidation>
    <dataValidation type="list" allowBlank="1" showInputMessage="1" showErrorMessage="1" error="Please use the dropdown." sqref="W900" xr:uid="{6DE2156F-CB39-46C8-9D43-7EECA72FD7B7}">
      <formula1>INDIRECT($U$900)</formula1>
    </dataValidation>
    <dataValidation type="decimal" allowBlank="1" showDropDown="1" showInputMessage="1" showErrorMessage="1" error="Enter a percentage up to 10" prompt="Enter CFM25/CFA in Percent" sqref="W1086 W1088" xr:uid="{FC43B5E1-A184-4E4A-8646-C452DFDEBB4B}">
      <formula1>0</formula1>
      <formula2>0.1</formula2>
    </dataValidation>
    <dataValidation type="list" allowBlank="1" showInputMessage="1" showErrorMessage="1" error="Please use the dropdown." sqref="W411" xr:uid="{E80400BA-938E-4550-B90C-5B605F64B02A}">
      <formula1>INDIRECT($U$411)</formula1>
    </dataValidation>
    <dataValidation type="list" allowBlank="1" showInputMessage="1" showErrorMessage="1" error="Please use the dropdown." sqref="W1084" xr:uid="{32B0162F-99B1-477F-B734-C3DEBC4EB023}">
      <formula1>INDIRECT($U$1084)</formula1>
    </dataValidation>
    <dataValidation type="list" allowBlank="1" showInputMessage="1" showErrorMessage="1" error="Please use the dropdown." sqref="W275" xr:uid="{E3C9472A-71A2-4206-B369-74A38550D680}">
      <formula1>INDIRECT($U$275)</formula1>
    </dataValidation>
  </dataValidations>
  <hyperlinks>
    <hyperlink ref="L448" location="'Figure 6(3)'!A1" display="See Figure 6(3)" xr:uid="{00000000-0004-0000-0F00-000000000000}"/>
    <hyperlink ref="L440" location="'Figure 6(3)'!A1" display="See Figure 6(3)" xr:uid="{00000000-0004-0000-0F00-000001000000}"/>
    <hyperlink ref="L586" location="'Table 604.1'!A1" display="See Table 604.1" xr:uid="{00000000-0004-0000-0F00-000003000000}"/>
    <hyperlink ref="L993" location="'Table 701.4.3.2(2)'!A1" display="See Table 701.4.3.2(2)" xr:uid="{00000000-0004-0000-0F00-000006000000}"/>
    <hyperlink ref="L1096" location="'Table 703.2.1(a)'!A1" display="See Table 703.2.1(a)" xr:uid="{00000000-0004-0000-0F00-000007000000}"/>
    <hyperlink ref="L1349" location="'Table 703.7.1(7)'!A1" display="See Table 703.7.1(7)" xr:uid="{00000000-0004-0000-0F00-000009000000}"/>
    <hyperlink ref="L1113" location="'Table 703.2.5.1'!A1" display="See Table 703.2.5.1" xr:uid="{00000000-0004-0000-0F00-00000C000000}"/>
    <hyperlink ref="L1661" location="'Table 801.1(1)'!A1" display="See Table 801.1(1)" xr:uid="{00000000-0004-0000-0F00-00000E000000}"/>
    <hyperlink ref="L1662" location="'Table 801.1(2)'!A1" display="See Table 801.1(2)" xr:uid="{00000000-0004-0000-0F00-00000F000000}"/>
    <hyperlink ref="L2000" location="'Table 901.9.1'!A1" display="See Table 901.9.1" xr:uid="{00000000-0004-0000-0F00-000010000000}"/>
    <hyperlink ref="L2005" location="'Table 901.9.2'!A1" display="See Table 901.9.2" xr:uid="{00000000-0004-0000-0F00-000011000000}"/>
    <hyperlink ref="L2024" location="'Table 901.10(3)'!A1" display="See Table 901.10(3)" xr:uid="{00000000-0004-0000-0F00-000012000000}"/>
    <hyperlink ref="L527" location="'Table 602.1.12'!A1" display="See Table 602.1.12" xr:uid="{D9583874-3286-4005-BA13-2F285F6C716F}"/>
    <hyperlink ref="M750:M763" location="'Table 610.1.2.1'!A1" display="per Table 610.1.2.1           10 Max" xr:uid="{0A081033-F871-4E27-9DD3-9EE3797D5747}"/>
    <hyperlink ref="M764:M788" location="'Table 610.1.2.2'!A1" display="'Table 610.1.2.2'!A1" xr:uid="{E0A61856-83E7-463D-96EE-935B60182DD3}"/>
    <hyperlink ref="M1090:M1095" location="'Table 703.2.1(b)'!A1" display="Per Table 703.2.1(b)" xr:uid="{9F0A388B-8CEF-4BEC-A918-13448731B516}"/>
    <hyperlink ref="M1097:M1098" location="'Table 703.2.2'!A1" display="Per Table 703.2.2" xr:uid="{7BB222CC-7157-42AF-B5D6-D4FB58B2D54D}"/>
    <hyperlink ref="M1102:M1104" location="'Table 703.2.4'!A1" display="Per Table 703.2.4" xr:uid="{A9522030-3005-4333-AC3E-36BC31828F9F}"/>
    <hyperlink ref="M1122:M1126" location="'Tables 703.2.5.2(a), (b) &amp; (c)'!A1" display="'Tables 703.2.5.2(a), (b) &amp; (c)'!A1" xr:uid="{099EE965-AB93-435F-9892-A88422E2B417}"/>
  </hyperlinks>
  <pageMargins left="0.7" right="0.7" top="0.75" bottom="0.75" header="0.3" footer="0.3"/>
  <pageSetup scale="43" fitToHeight="0" orientation="portrait" r:id="rId1"/>
  <rowBreaks count="5" manualBreakCount="5">
    <brk id="326" max="16383" man="1"/>
    <brk id="878" max="16383" man="1"/>
    <brk id="1637" max="16383" man="1"/>
    <brk id="1874" max="16383" man="1"/>
    <brk id="225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0" r:id="rId4" name="Check Box 200">
              <controlPr locked="0" defaultSize="0" autoFill="0" autoLine="0" autoPict="0">
                <anchor moveWithCells="1" sizeWithCells="1">
                  <from>
                    <xdr:col>22</xdr:col>
                    <xdr:colOff>0</xdr:colOff>
                    <xdr:row>13</xdr:row>
                    <xdr:rowOff>0</xdr:rowOff>
                  </from>
                  <to>
                    <xdr:col>22</xdr:col>
                    <xdr:colOff>180975</xdr:colOff>
                    <xdr:row>13</xdr:row>
                    <xdr:rowOff>180975</xdr:rowOff>
                  </to>
                </anchor>
              </controlPr>
            </control>
          </mc:Choice>
        </mc:AlternateContent>
        <mc:AlternateContent xmlns:mc="http://schemas.openxmlformats.org/markup-compatibility/2006">
          <mc:Choice Requires="x14">
            <control shapeId="15561" r:id="rId5" name="Check Box 201">
              <controlPr locked="0" defaultSize="0" autoFill="0" autoLine="0" autoPict="0">
                <anchor moveWithCells="1" sizeWithCells="1">
                  <from>
                    <xdr:col>22</xdr:col>
                    <xdr:colOff>0</xdr:colOff>
                    <xdr:row>15</xdr:row>
                    <xdr:rowOff>0</xdr:rowOff>
                  </from>
                  <to>
                    <xdr:col>22</xdr:col>
                    <xdr:colOff>180975</xdr:colOff>
                    <xdr:row>15</xdr:row>
                    <xdr:rowOff>180975</xdr:rowOff>
                  </to>
                </anchor>
              </controlPr>
            </control>
          </mc:Choice>
        </mc:AlternateContent>
        <mc:AlternateContent xmlns:mc="http://schemas.openxmlformats.org/markup-compatibility/2006">
          <mc:Choice Requires="x14">
            <control shapeId="15562" r:id="rId6" name="Check Box 202">
              <controlPr locked="0" defaultSize="0" autoFill="0" autoLine="0" autoPict="0">
                <anchor moveWithCells="1" sizeWithCells="1">
                  <from>
                    <xdr:col>22</xdr:col>
                    <xdr:colOff>0</xdr:colOff>
                    <xdr:row>16</xdr:row>
                    <xdr:rowOff>0</xdr:rowOff>
                  </from>
                  <to>
                    <xdr:col>22</xdr:col>
                    <xdr:colOff>180975</xdr:colOff>
                    <xdr:row>16</xdr:row>
                    <xdr:rowOff>180975</xdr:rowOff>
                  </to>
                </anchor>
              </controlPr>
            </control>
          </mc:Choice>
        </mc:AlternateContent>
        <mc:AlternateContent xmlns:mc="http://schemas.openxmlformats.org/markup-compatibility/2006">
          <mc:Choice Requires="x14">
            <control shapeId="15563" r:id="rId7" name="Check Box 203">
              <controlPr locked="0" defaultSize="0" autoFill="0" autoLine="0" autoPict="0">
                <anchor moveWithCells="1" sizeWithCells="1">
                  <from>
                    <xdr:col>22</xdr:col>
                    <xdr:colOff>0</xdr:colOff>
                    <xdr:row>17</xdr:row>
                    <xdr:rowOff>0</xdr:rowOff>
                  </from>
                  <to>
                    <xdr:col>22</xdr:col>
                    <xdr:colOff>180975</xdr:colOff>
                    <xdr:row>17</xdr:row>
                    <xdr:rowOff>180975</xdr:rowOff>
                  </to>
                </anchor>
              </controlPr>
            </control>
          </mc:Choice>
        </mc:AlternateContent>
        <mc:AlternateContent xmlns:mc="http://schemas.openxmlformats.org/markup-compatibility/2006">
          <mc:Choice Requires="x14">
            <control shapeId="15564" r:id="rId8" name="Check Box 204">
              <controlPr locked="0" defaultSize="0" autoFill="0" autoLine="0" autoPict="0">
                <anchor moveWithCells="1" sizeWithCells="1">
                  <from>
                    <xdr:col>22</xdr:col>
                    <xdr:colOff>0</xdr:colOff>
                    <xdr:row>20</xdr:row>
                    <xdr:rowOff>0</xdr:rowOff>
                  </from>
                  <to>
                    <xdr:col>22</xdr:col>
                    <xdr:colOff>180975</xdr:colOff>
                    <xdr:row>20</xdr:row>
                    <xdr:rowOff>180975</xdr:rowOff>
                  </to>
                </anchor>
              </controlPr>
            </control>
          </mc:Choice>
        </mc:AlternateContent>
        <mc:AlternateContent xmlns:mc="http://schemas.openxmlformats.org/markup-compatibility/2006">
          <mc:Choice Requires="x14">
            <control shapeId="15565" r:id="rId9" name="Check Box 205">
              <controlPr locked="0" defaultSize="0" autoFill="0" autoLine="0" autoPict="0">
                <anchor moveWithCells="1" sizeWithCells="1">
                  <from>
                    <xdr:col>22</xdr:col>
                    <xdr:colOff>0</xdr:colOff>
                    <xdr:row>22</xdr:row>
                    <xdr:rowOff>0</xdr:rowOff>
                  </from>
                  <to>
                    <xdr:col>22</xdr:col>
                    <xdr:colOff>180975</xdr:colOff>
                    <xdr:row>22</xdr:row>
                    <xdr:rowOff>180975</xdr:rowOff>
                  </to>
                </anchor>
              </controlPr>
            </control>
          </mc:Choice>
        </mc:AlternateContent>
        <mc:AlternateContent xmlns:mc="http://schemas.openxmlformats.org/markup-compatibility/2006">
          <mc:Choice Requires="x14">
            <control shapeId="15566" r:id="rId10" name="Check Box 206">
              <controlPr locked="0" defaultSize="0" autoFill="0" autoLine="0" autoPict="0">
                <anchor moveWithCells="1" sizeWithCells="1">
                  <from>
                    <xdr:col>22</xdr:col>
                    <xdr:colOff>0</xdr:colOff>
                    <xdr:row>24</xdr:row>
                    <xdr:rowOff>0</xdr:rowOff>
                  </from>
                  <to>
                    <xdr:col>22</xdr:col>
                    <xdr:colOff>180975</xdr:colOff>
                    <xdr:row>24</xdr:row>
                    <xdr:rowOff>180975</xdr:rowOff>
                  </to>
                </anchor>
              </controlPr>
            </control>
          </mc:Choice>
        </mc:AlternateContent>
        <mc:AlternateContent xmlns:mc="http://schemas.openxmlformats.org/markup-compatibility/2006">
          <mc:Choice Requires="x14">
            <control shapeId="15567" r:id="rId11" name="Check Box 207">
              <controlPr locked="0" defaultSize="0" autoFill="0" autoLine="0" autoPict="0">
                <anchor moveWithCells="1" sizeWithCells="1">
                  <from>
                    <xdr:col>22</xdr:col>
                    <xdr:colOff>0</xdr:colOff>
                    <xdr:row>26</xdr:row>
                    <xdr:rowOff>0</xdr:rowOff>
                  </from>
                  <to>
                    <xdr:col>22</xdr:col>
                    <xdr:colOff>180975</xdr:colOff>
                    <xdr:row>26</xdr:row>
                    <xdr:rowOff>180975</xdr:rowOff>
                  </to>
                </anchor>
              </controlPr>
            </control>
          </mc:Choice>
        </mc:AlternateContent>
        <mc:AlternateContent xmlns:mc="http://schemas.openxmlformats.org/markup-compatibility/2006">
          <mc:Choice Requires="x14">
            <control shapeId="15568" r:id="rId12" name="Check Box 208">
              <controlPr locked="0" defaultSize="0" autoFill="0" autoLine="0" autoPict="0">
                <anchor moveWithCells="1" siz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15569" r:id="rId13" name="Check Box 209">
              <controlPr locked="0" defaultSize="0" autoFill="0" autoLine="0" autoPict="0">
                <anchor moveWithCells="1" sizeWithCells="1">
                  <from>
                    <xdr:col>22</xdr:col>
                    <xdr:colOff>0</xdr:colOff>
                    <xdr:row>57</xdr:row>
                    <xdr:rowOff>0</xdr:rowOff>
                  </from>
                  <to>
                    <xdr:col>22</xdr:col>
                    <xdr:colOff>180975</xdr:colOff>
                    <xdr:row>57</xdr:row>
                    <xdr:rowOff>180975</xdr:rowOff>
                  </to>
                </anchor>
              </controlPr>
            </control>
          </mc:Choice>
        </mc:AlternateContent>
        <mc:AlternateContent xmlns:mc="http://schemas.openxmlformats.org/markup-compatibility/2006">
          <mc:Choice Requires="x14">
            <control shapeId="15570" r:id="rId14" name="Check Box 210">
              <controlPr locked="0" defaultSize="0" autoFill="0" autoLine="0" autoPict="0">
                <anchor moveWithCells="1" sizeWithCells="1">
                  <from>
                    <xdr:col>22</xdr:col>
                    <xdr:colOff>0</xdr:colOff>
                    <xdr:row>68</xdr:row>
                    <xdr:rowOff>0</xdr:rowOff>
                  </from>
                  <to>
                    <xdr:col>22</xdr:col>
                    <xdr:colOff>180975</xdr:colOff>
                    <xdr:row>68</xdr:row>
                    <xdr:rowOff>180975</xdr:rowOff>
                  </to>
                </anchor>
              </controlPr>
            </control>
          </mc:Choice>
        </mc:AlternateContent>
        <mc:AlternateContent xmlns:mc="http://schemas.openxmlformats.org/markup-compatibility/2006">
          <mc:Choice Requires="x14">
            <control shapeId="15571" r:id="rId15" name="Check Box 211">
              <controlPr locked="0" defaultSize="0" autoFill="0" autoLine="0" autoPict="0">
                <anchor moveWithCells="1" sizeWithCells="1">
                  <from>
                    <xdr:col>22</xdr:col>
                    <xdr:colOff>0</xdr:colOff>
                    <xdr:row>70</xdr:row>
                    <xdr:rowOff>0</xdr:rowOff>
                  </from>
                  <to>
                    <xdr:col>22</xdr:col>
                    <xdr:colOff>180975</xdr:colOff>
                    <xdr:row>70</xdr:row>
                    <xdr:rowOff>180975</xdr:rowOff>
                  </to>
                </anchor>
              </controlPr>
            </control>
          </mc:Choice>
        </mc:AlternateContent>
        <mc:AlternateContent xmlns:mc="http://schemas.openxmlformats.org/markup-compatibility/2006">
          <mc:Choice Requires="x14">
            <control shapeId="15572" r:id="rId16" name="Check Box 212">
              <controlPr locked="0" defaultSize="0" autoFill="0" autoLine="0" autoPict="0">
                <anchor moveWithCells="1" sizeWithCells="1">
                  <from>
                    <xdr:col>22</xdr:col>
                    <xdr:colOff>0</xdr:colOff>
                    <xdr:row>72</xdr:row>
                    <xdr:rowOff>0</xdr:rowOff>
                  </from>
                  <to>
                    <xdr:col>22</xdr:col>
                    <xdr:colOff>180975</xdr:colOff>
                    <xdr:row>72</xdr:row>
                    <xdr:rowOff>180975</xdr:rowOff>
                  </to>
                </anchor>
              </controlPr>
            </control>
          </mc:Choice>
        </mc:AlternateContent>
        <mc:AlternateContent xmlns:mc="http://schemas.openxmlformats.org/markup-compatibility/2006">
          <mc:Choice Requires="x14">
            <control shapeId="15573" r:id="rId17" name="Check Box 213">
              <controlPr locked="0" defaultSize="0" autoFill="0" autoLine="0" autoPict="0">
                <anchor moveWithCells="1" sizeWithCells="1">
                  <from>
                    <xdr:col>22</xdr:col>
                    <xdr:colOff>0</xdr:colOff>
                    <xdr:row>74</xdr:row>
                    <xdr:rowOff>0</xdr:rowOff>
                  </from>
                  <to>
                    <xdr:col>22</xdr:col>
                    <xdr:colOff>180975</xdr:colOff>
                    <xdr:row>74</xdr:row>
                    <xdr:rowOff>180975</xdr:rowOff>
                  </to>
                </anchor>
              </controlPr>
            </control>
          </mc:Choice>
        </mc:AlternateContent>
        <mc:AlternateContent xmlns:mc="http://schemas.openxmlformats.org/markup-compatibility/2006">
          <mc:Choice Requires="x14">
            <control shapeId="15574" r:id="rId18" name="Check Box 214">
              <controlPr locked="0" defaultSize="0" autoFill="0" autoLine="0" autoPict="0">
                <anchor moveWithCells="1" sizeWithCells="1">
                  <from>
                    <xdr:col>22</xdr:col>
                    <xdr:colOff>0</xdr:colOff>
                    <xdr:row>76</xdr:row>
                    <xdr:rowOff>0</xdr:rowOff>
                  </from>
                  <to>
                    <xdr:col>22</xdr:col>
                    <xdr:colOff>180975</xdr:colOff>
                    <xdr:row>76</xdr:row>
                    <xdr:rowOff>180975</xdr:rowOff>
                  </to>
                </anchor>
              </controlPr>
            </control>
          </mc:Choice>
        </mc:AlternateContent>
        <mc:AlternateContent xmlns:mc="http://schemas.openxmlformats.org/markup-compatibility/2006">
          <mc:Choice Requires="x14">
            <control shapeId="15575" r:id="rId19" name="Check Box 215">
              <controlPr locked="0" defaultSize="0" autoFill="0" autoLine="0" autoPict="0">
                <anchor moveWithCells="1" sizeWithCells="1">
                  <from>
                    <xdr:col>22</xdr:col>
                    <xdr:colOff>0</xdr:colOff>
                    <xdr:row>78</xdr:row>
                    <xdr:rowOff>0</xdr:rowOff>
                  </from>
                  <to>
                    <xdr:col>22</xdr:col>
                    <xdr:colOff>180975</xdr:colOff>
                    <xdr:row>78</xdr:row>
                    <xdr:rowOff>180975</xdr:rowOff>
                  </to>
                </anchor>
              </controlPr>
            </control>
          </mc:Choice>
        </mc:AlternateContent>
        <mc:AlternateContent xmlns:mc="http://schemas.openxmlformats.org/markup-compatibility/2006">
          <mc:Choice Requires="x14">
            <control shapeId="15576" r:id="rId20" name="Check Box 216">
              <controlPr locked="0" defaultSize="0" autoFill="0" autoLine="0" autoPict="0">
                <anchor moveWithCells="1" sizeWithCells="1">
                  <from>
                    <xdr:col>22</xdr:col>
                    <xdr:colOff>0</xdr:colOff>
                    <xdr:row>80</xdr:row>
                    <xdr:rowOff>0</xdr:rowOff>
                  </from>
                  <to>
                    <xdr:col>22</xdr:col>
                    <xdr:colOff>180975</xdr:colOff>
                    <xdr:row>80</xdr:row>
                    <xdr:rowOff>180975</xdr:rowOff>
                  </to>
                </anchor>
              </controlPr>
            </control>
          </mc:Choice>
        </mc:AlternateContent>
        <mc:AlternateContent xmlns:mc="http://schemas.openxmlformats.org/markup-compatibility/2006">
          <mc:Choice Requires="x14">
            <control shapeId="15577" r:id="rId21" name="Check Box 217">
              <controlPr locked="0" defaultSize="0" autoFill="0" autoLine="0" autoPict="0">
                <anchor moveWithCells="1" sizeWithCells="1">
                  <from>
                    <xdr:col>22</xdr:col>
                    <xdr:colOff>0</xdr:colOff>
                    <xdr:row>89</xdr:row>
                    <xdr:rowOff>0</xdr:rowOff>
                  </from>
                  <to>
                    <xdr:col>22</xdr:col>
                    <xdr:colOff>180975</xdr:colOff>
                    <xdr:row>89</xdr:row>
                    <xdr:rowOff>180975</xdr:rowOff>
                  </to>
                </anchor>
              </controlPr>
            </control>
          </mc:Choice>
        </mc:AlternateContent>
        <mc:AlternateContent xmlns:mc="http://schemas.openxmlformats.org/markup-compatibility/2006">
          <mc:Choice Requires="x14">
            <control shapeId="15578" r:id="rId22" name="Check Box 218">
              <controlPr locked="0" defaultSize="0" autoFill="0" autoLine="0" autoPict="0">
                <anchor moveWithCells="1" sizeWithCells="1">
                  <from>
                    <xdr:col>22</xdr:col>
                    <xdr:colOff>0</xdr:colOff>
                    <xdr:row>90</xdr:row>
                    <xdr:rowOff>0</xdr:rowOff>
                  </from>
                  <to>
                    <xdr:col>22</xdr:col>
                    <xdr:colOff>180975</xdr:colOff>
                    <xdr:row>90</xdr:row>
                    <xdr:rowOff>180975</xdr:rowOff>
                  </to>
                </anchor>
              </controlPr>
            </control>
          </mc:Choice>
        </mc:AlternateContent>
        <mc:AlternateContent xmlns:mc="http://schemas.openxmlformats.org/markup-compatibility/2006">
          <mc:Choice Requires="x14">
            <control shapeId="15579" r:id="rId23" name="Check Box 219">
              <controlPr locked="0" defaultSize="0" autoFill="0" autoLine="0" autoPict="0">
                <anchor moveWithCells="1" sizeWithCells="1">
                  <from>
                    <xdr:col>22</xdr:col>
                    <xdr:colOff>0</xdr:colOff>
                    <xdr:row>97</xdr:row>
                    <xdr:rowOff>0</xdr:rowOff>
                  </from>
                  <to>
                    <xdr:col>22</xdr:col>
                    <xdr:colOff>180975</xdr:colOff>
                    <xdr:row>97</xdr:row>
                    <xdr:rowOff>180975</xdr:rowOff>
                  </to>
                </anchor>
              </controlPr>
            </control>
          </mc:Choice>
        </mc:AlternateContent>
        <mc:AlternateContent xmlns:mc="http://schemas.openxmlformats.org/markup-compatibility/2006">
          <mc:Choice Requires="x14">
            <control shapeId="15580" r:id="rId24" name="Check Box 220">
              <controlPr locked="0" defaultSize="0" autoFill="0" autoLine="0" autoPict="0">
                <anchor moveWithCells="1" sizeWithCells="1">
                  <from>
                    <xdr:col>22</xdr:col>
                    <xdr:colOff>0</xdr:colOff>
                    <xdr:row>99</xdr:row>
                    <xdr:rowOff>0</xdr:rowOff>
                  </from>
                  <to>
                    <xdr:col>22</xdr:col>
                    <xdr:colOff>180975</xdr:colOff>
                    <xdr:row>99</xdr:row>
                    <xdr:rowOff>180975</xdr:rowOff>
                  </to>
                </anchor>
              </controlPr>
            </control>
          </mc:Choice>
        </mc:AlternateContent>
        <mc:AlternateContent xmlns:mc="http://schemas.openxmlformats.org/markup-compatibility/2006">
          <mc:Choice Requires="x14">
            <control shapeId="15581" r:id="rId25" name="Check Box 221">
              <controlPr locked="0" defaultSize="0" autoFill="0" autoLine="0" autoPict="0">
                <anchor moveWithCells="1" sizeWithCells="1">
                  <from>
                    <xdr:col>22</xdr:col>
                    <xdr:colOff>0</xdr:colOff>
                    <xdr:row>103</xdr:row>
                    <xdr:rowOff>0</xdr:rowOff>
                  </from>
                  <to>
                    <xdr:col>22</xdr:col>
                    <xdr:colOff>180975</xdr:colOff>
                    <xdr:row>103</xdr:row>
                    <xdr:rowOff>180975</xdr:rowOff>
                  </to>
                </anchor>
              </controlPr>
            </control>
          </mc:Choice>
        </mc:AlternateContent>
        <mc:AlternateContent xmlns:mc="http://schemas.openxmlformats.org/markup-compatibility/2006">
          <mc:Choice Requires="x14">
            <control shapeId="15582" r:id="rId26" name="Check Box 222">
              <controlPr locked="0" defaultSize="0" autoFill="0" autoLine="0" autoPict="0">
                <anchor moveWithCells="1" sizeWithCells="1">
                  <from>
                    <xdr:col>22</xdr:col>
                    <xdr:colOff>0</xdr:colOff>
                    <xdr:row>107</xdr:row>
                    <xdr:rowOff>0</xdr:rowOff>
                  </from>
                  <to>
                    <xdr:col>22</xdr:col>
                    <xdr:colOff>180975</xdr:colOff>
                    <xdr:row>107</xdr:row>
                    <xdr:rowOff>180975</xdr:rowOff>
                  </to>
                </anchor>
              </controlPr>
            </control>
          </mc:Choice>
        </mc:AlternateContent>
        <mc:AlternateContent xmlns:mc="http://schemas.openxmlformats.org/markup-compatibility/2006">
          <mc:Choice Requires="x14">
            <control shapeId="15583" r:id="rId27" name="Check Box 223">
              <controlPr locked="0" defaultSize="0" autoFill="0" autoLine="0" autoPict="0">
                <anchor moveWithCells="1" sizeWithCells="1">
                  <from>
                    <xdr:col>22</xdr:col>
                    <xdr:colOff>0</xdr:colOff>
                    <xdr:row>108</xdr:row>
                    <xdr:rowOff>0</xdr:rowOff>
                  </from>
                  <to>
                    <xdr:col>22</xdr:col>
                    <xdr:colOff>180975</xdr:colOff>
                    <xdr:row>108</xdr:row>
                    <xdr:rowOff>180975</xdr:rowOff>
                  </to>
                </anchor>
              </controlPr>
            </control>
          </mc:Choice>
        </mc:AlternateContent>
        <mc:AlternateContent xmlns:mc="http://schemas.openxmlformats.org/markup-compatibility/2006">
          <mc:Choice Requires="x14">
            <control shapeId="15584" r:id="rId28" name="Check Box 224">
              <controlPr locked="0" defaultSize="0" autoFill="0" autoLine="0" autoPict="0">
                <anchor moveWithCells="1" sizeWithCells="1">
                  <from>
                    <xdr:col>22</xdr:col>
                    <xdr:colOff>0</xdr:colOff>
                    <xdr:row>110</xdr:row>
                    <xdr:rowOff>0</xdr:rowOff>
                  </from>
                  <to>
                    <xdr:col>22</xdr:col>
                    <xdr:colOff>180975</xdr:colOff>
                    <xdr:row>110</xdr:row>
                    <xdr:rowOff>180975</xdr:rowOff>
                  </to>
                </anchor>
              </controlPr>
            </control>
          </mc:Choice>
        </mc:AlternateContent>
        <mc:AlternateContent xmlns:mc="http://schemas.openxmlformats.org/markup-compatibility/2006">
          <mc:Choice Requires="x14">
            <control shapeId="15585" r:id="rId29" name="Check Box 225">
              <controlPr locked="0" defaultSize="0" autoFill="0" autoLine="0" autoPict="0">
                <anchor moveWithCells="1" sizeWithCells="1">
                  <from>
                    <xdr:col>22</xdr:col>
                    <xdr:colOff>0</xdr:colOff>
                    <xdr:row>111</xdr:row>
                    <xdr:rowOff>0</xdr:rowOff>
                  </from>
                  <to>
                    <xdr:col>22</xdr:col>
                    <xdr:colOff>180975</xdr:colOff>
                    <xdr:row>111</xdr:row>
                    <xdr:rowOff>180975</xdr:rowOff>
                  </to>
                </anchor>
              </controlPr>
            </control>
          </mc:Choice>
        </mc:AlternateContent>
        <mc:AlternateContent xmlns:mc="http://schemas.openxmlformats.org/markup-compatibility/2006">
          <mc:Choice Requires="x14">
            <control shapeId="15586" r:id="rId30" name="Check Box 226">
              <controlPr locked="0" defaultSize="0" autoFill="0" autoLine="0" autoPict="0">
                <anchor moveWithCells="1" sizeWithCells="1">
                  <from>
                    <xdr:col>22</xdr:col>
                    <xdr:colOff>0</xdr:colOff>
                    <xdr:row>112</xdr:row>
                    <xdr:rowOff>0</xdr:rowOff>
                  </from>
                  <to>
                    <xdr:col>22</xdr:col>
                    <xdr:colOff>180975</xdr:colOff>
                    <xdr:row>112</xdr:row>
                    <xdr:rowOff>180975</xdr:rowOff>
                  </to>
                </anchor>
              </controlPr>
            </control>
          </mc:Choice>
        </mc:AlternateContent>
        <mc:AlternateContent xmlns:mc="http://schemas.openxmlformats.org/markup-compatibility/2006">
          <mc:Choice Requires="x14">
            <control shapeId="15587" r:id="rId31" name="Check Box 227">
              <controlPr locked="0" defaultSize="0" autoFill="0" autoLine="0" autoPict="0">
                <anchor moveWithCells="1" sizeWithCells="1">
                  <from>
                    <xdr:col>22</xdr:col>
                    <xdr:colOff>0</xdr:colOff>
                    <xdr:row>120</xdr:row>
                    <xdr:rowOff>0</xdr:rowOff>
                  </from>
                  <to>
                    <xdr:col>22</xdr:col>
                    <xdr:colOff>180975</xdr:colOff>
                    <xdr:row>120</xdr:row>
                    <xdr:rowOff>180975</xdr:rowOff>
                  </to>
                </anchor>
              </controlPr>
            </control>
          </mc:Choice>
        </mc:AlternateContent>
        <mc:AlternateContent xmlns:mc="http://schemas.openxmlformats.org/markup-compatibility/2006">
          <mc:Choice Requires="x14">
            <control shapeId="15588" r:id="rId32" name="Check Box 228">
              <controlPr locked="0" defaultSize="0" autoFill="0" autoLine="0" autoPict="0">
                <anchor moveWithCells="1" sizeWithCells="1">
                  <from>
                    <xdr:col>22</xdr:col>
                    <xdr:colOff>0</xdr:colOff>
                    <xdr:row>123</xdr:row>
                    <xdr:rowOff>0</xdr:rowOff>
                  </from>
                  <to>
                    <xdr:col>22</xdr:col>
                    <xdr:colOff>180975</xdr:colOff>
                    <xdr:row>123</xdr:row>
                    <xdr:rowOff>180975</xdr:rowOff>
                  </to>
                </anchor>
              </controlPr>
            </control>
          </mc:Choice>
        </mc:AlternateContent>
        <mc:AlternateContent xmlns:mc="http://schemas.openxmlformats.org/markup-compatibility/2006">
          <mc:Choice Requires="x14">
            <control shapeId="15589" r:id="rId33" name="Check Box 229">
              <controlPr locked="0" defaultSize="0" autoFill="0" autoLine="0" autoPict="0">
                <anchor moveWithCells="1" sizeWithCells="1">
                  <from>
                    <xdr:col>22</xdr:col>
                    <xdr:colOff>0</xdr:colOff>
                    <xdr:row>154</xdr:row>
                    <xdr:rowOff>0</xdr:rowOff>
                  </from>
                  <to>
                    <xdr:col>22</xdr:col>
                    <xdr:colOff>180975</xdr:colOff>
                    <xdr:row>154</xdr:row>
                    <xdr:rowOff>180975</xdr:rowOff>
                  </to>
                </anchor>
              </controlPr>
            </control>
          </mc:Choice>
        </mc:AlternateContent>
        <mc:AlternateContent xmlns:mc="http://schemas.openxmlformats.org/markup-compatibility/2006">
          <mc:Choice Requires="x14">
            <control shapeId="15590" r:id="rId34" name="Check Box 230">
              <controlPr locked="0" defaultSize="0" autoFill="0" autoLine="0" autoPict="0">
                <anchor moveWithCells="1" sizeWithCells="1">
                  <from>
                    <xdr:col>22</xdr:col>
                    <xdr:colOff>0</xdr:colOff>
                    <xdr:row>156</xdr:row>
                    <xdr:rowOff>0</xdr:rowOff>
                  </from>
                  <to>
                    <xdr:col>22</xdr:col>
                    <xdr:colOff>180975</xdr:colOff>
                    <xdr:row>156</xdr:row>
                    <xdr:rowOff>180975</xdr:rowOff>
                  </to>
                </anchor>
              </controlPr>
            </control>
          </mc:Choice>
        </mc:AlternateContent>
        <mc:AlternateContent xmlns:mc="http://schemas.openxmlformats.org/markup-compatibility/2006">
          <mc:Choice Requires="x14">
            <control shapeId="15591" r:id="rId35" name="Check Box 231">
              <controlPr locked="0" defaultSize="0" autoFill="0" autoLine="0" autoPict="0">
                <anchor moveWithCells="1" sizeWithCells="1">
                  <from>
                    <xdr:col>22</xdr:col>
                    <xdr:colOff>0</xdr:colOff>
                    <xdr:row>159</xdr:row>
                    <xdr:rowOff>0</xdr:rowOff>
                  </from>
                  <to>
                    <xdr:col>22</xdr:col>
                    <xdr:colOff>180975</xdr:colOff>
                    <xdr:row>159</xdr:row>
                    <xdr:rowOff>180975</xdr:rowOff>
                  </to>
                </anchor>
              </controlPr>
            </control>
          </mc:Choice>
        </mc:AlternateContent>
        <mc:AlternateContent xmlns:mc="http://schemas.openxmlformats.org/markup-compatibility/2006">
          <mc:Choice Requires="x14">
            <control shapeId="15592" r:id="rId36" name="Check Box 232">
              <controlPr locked="0" defaultSize="0" autoFill="0" autoLine="0" autoPict="0">
                <anchor moveWithCells="1" sizeWithCells="1">
                  <from>
                    <xdr:col>22</xdr:col>
                    <xdr:colOff>0</xdr:colOff>
                    <xdr:row>169</xdr:row>
                    <xdr:rowOff>0</xdr:rowOff>
                  </from>
                  <to>
                    <xdr:col>22</xdr:col>
                    <xdr:colOff>180975</xdr:colOff>
                    <xdr:row>169</xdr:row>
                    <xdr:rowOff>180975</xdr:rowOff>
                  </to>
                </anchor>
              </controlPr>
            </control>
          </mc:Choice>
        </mc:AlternateContent>
        <mc:AlternateContent xmlns:mc="http://schemas.openxmlformats.org/markup-compatibility/2006">
          <mc:Choice Requires="x14">
            <control shapeId="15593" r:id="rId37" name="Check Box 233">
              <controlPr locked="0" defaultSize="0" autoFill="0" autoLine="0" autoPict="0">
                <anchor moveWithCells="1" sizeWithCells="1">
                  <from>
                    <xdr:col>22</xdr:col>
                    <xdr:colOff>0</xdr:colOff>
                    <xdr:row>170</xdr:row>
                    <xdr:rowOff>0</xdr:rowOff>
                  </from>
                  <to>
                    <xdr:col>22</xdr:col>
                    <xdr:colOff>180975</xdr:colOff>
                    <xdr:row>170</xdr:row>
                    <xdr:rowOff>180975</xdr:rowOff>
                  </to>
                </anchor>
              </controlPr>
            </control>
          </mc:Choice>
        </mc:AlternateContent>
        <mc:AlternateContent xmlns:mc="http://schemas.openxmlformats.org/markup-compatibility/2006">
          <mc:Choice Requires="x14">
            <control shapeId="15594" r:id="rId38" name="Check Box 234">
              <controlPr locked="0" defaultSize="0" autoFill="0" autoLine="0" autoPict="0">
                <anchor moveWithCells="1" sizeWithCells="1">
                  <from>
                    <xdr:col>22</xdr:col>
                    <xdr:colOff>0</xdr:colOff>
                    <xdr:row>175</xdr:row>
                    <xdr:rowOff>0</xdr:rowOff>
                  </from>
                  <to>
                    <xdr:col>22</xdr:col>
                    <xdr:colOff>180975</xdr:colOff>
                    <xdr:row>175</xdr:row>
                    <xdr:rowOff>180975</xdr:rowOff>
                  </to>
                </anchor>
              </controlPr>
            </control>
          </mc:Choice>
        </mc:AlternateContent>
        <mc:AlternateContent xmlns:mc="http://schemas.openxmlformats.org/markup-compatibility/2006">
          <mc:Choice Requires="x14">
            <control shapeId="15595" r:id="rId39" name="Check Box 235">
              <controlPr locked="0" defaultSize="0" autoFill="0" autoLine="0" autoPict="0">
                <anchor moveWithCells="1" sizeWithCells="1">
                  <from>
                    <xdr:col>22</xdr:col>
                    <xdr:colOff>0</xdr:colOff>
                    <xdr:row>177</xdr:row>
                    <xdr:rowOff>0</xdr:rowOff>
                  </from>
                  <to>
                    <xdr:col>22</xdr:col>
                    <xdr:colOff>180975</xdr:colOff>
                    <xdr:row>177</xdr:row>
                    <xdr:rowOff>180975</xdr:rowOff>
                  </to>
                </anchor>
              </controlPr>
            </control>
          </mc:Choice>
        </mc:AlternateContent>
        <mc:AlternateContent xmlns:mc="http://schemas.openxmlformats.org/markup-compatibility/2006">
          <mc:Choice Requires="x14">
            <control shapeId="15596" r:id="rId40" name="Check Box 236">
              <controlPr locked="0" defaultSize="0" autoFill="0" autoLine="0" autoPict="0">
                <anchor moveWithCells="1" sizeWithCells="1">
                  <from>
                    <xdr:col>22</xdr:col>
                    <xdr:colOff>0</xdr:colOff>
                    <xdr:row>180</xdr:row>
                    <xdr:rowOff>0</xdr:rowOff>
                  </from>
                  <to>
                    <xdr:col>22</xdr:col>
                    <xdr:colOff>180975</xdr:colOff>
                    <xdr:row>180</xdr:row>
                    <xdr:rowOff>180975</xdr:rowOff>
                  </to>
                </anchor>
              </controlPr>
            </control>
          </mc:Choice>
        </mc:AlternateContent>
        <mc:AlternateContent xmlns:mc="http://schemas.openxmlformats.org/markup-compatibility/2006">
          <mc:Choice Requires="x14">
            <control shapeId="15597" r:id="rId41" name="Check Box 237">
              <controlPr locked="0" defaultSize="0" autoFill="0" autoLine="0" autoPict="0">
                <anchor moveWithCells="1" sizeWithCells="1">
                  <from>
                    <xdr:col>22</xdr:col>
                    <xdr:colOff>0</xdr:colOff>
                    <xdr:row>182</xdr:row>
                    <xdr:rowOff>0</xdr:rowOff>
                  </from>
                  <to>
                    <xdr:col>22</xdr:col>
                    <xdr:colOff>180975</xdr:colOff>
                    <xdr:row>182</xdr:row>
                    <xdr:rowOff>180975</xdr:rowOff>
                  </to>
                </anchor>
              </controlPr>
            </control>
          </mc:Choice>
        </mc:AlternateContent>
        <mc:AlternateContent xmlns:mc="http://schemas.openxmlformats.org/markup-compatibility/2006">
          <mc:Choice Requires="x14">
            <control shapeId="15598" r:id="rId42" name="Check Box 238">
              <controlPr locked="0" defaultSize="0" autoFill="0" autoLine="0" autoPict="0">
                <anchor moveWithCells="1" sizeWithCells="1">
                  <from>
                    <xdr:col>22</xdr:col>
                    <xdr:colOff>0</xdr:colOff>
                    <xdr:row>184</xdr:row>
                    <xdr:rowOff>0</xdr:rowOff>
                  </from>
                  <to>
                    <xdr:col>22</xdr:col>
                    <xdr:colOff>180975</xdr:colOff>
                    <xdr:row>184</xdr:row>
                    <xdr:rowOff>180975</xdr:rowOff>
                  </to>
                </anchor>
              </controlPr>
            </control>
          </mc:Choice>
        </mc:AlternateContent>
        <mc:AlternateContent xmlns:mc="http://schemas.openxmlformats.org/markup-compatibility/2006">
          <mc:Choice Requires="x14">
            <control shapeId="15599" r:id="rId43" name="Check Box 239">
              <controlPr locked="0" defaultSize="0" autoFill="0" autoLine="0" autoPict="0">
                <anchor moveWithCells="1" sizeWithCells="1">
                  <from>
                    <xdr:col>22</xdr:col>
                    <xdr:colOff>0</xdr:colOff>
                    <xdr:row>188</xdr:row>
                    <xdr:rowOff>0</xdr:rowOff>
                  </from>
                  <to>
                    <xdr:col>22</xdr:col>
                    <xdr:colOff>180975</xdr:colOff>
                    <xdr:row>188</xdr:row>
                    <xdr:rowOff>180975</xdr:rowOff>
                  </to>
                </anchor>
              </controlPr>
            </control>
          </mc:Choice>
        </mc:AlternateContent>
        <mc:AlternateContent xmlns:mc="http://schemas.openxmlformats.org/markup-compatibility/2006">
          <mc:Choice Requires="x14">
            <control shapeId="15600" r:id="rId44" name="Check Box 240">
              <controlPr locked="0" defaultSize="0" autoFill="0" autoLine="0" autoPict="0">
                <anchor moveWithCells="1" sizeWithCells="1">
                  <from>
                    <xdr:col>22</xdr:col>
                    <xdr:colOff>0</xdr:colOff>
                    <xdr:row>189</xdr:row>
                    <xdr:rowOff>0</xdr:rowOff>
                  </from>
                  <to>
                    <xdr:col>22</xdr:col>
                    <xdr:colOff>180975</xdr:colOff>
                    <xdr:row>189</xdr:row>
                    <xdr:rowOff>180975</xdr:rowOff>
                  </to>
                </anchor>
              </controlPr>
            </control>
          </mc:Choice>
        </mc:AlternateContent>
        <mc:AlternateContent xmlns:mc="http://schemas.openxmlformats.org/markup-compatibility/2006">
          <mc:Choice Requires="x14">
            <control shapeId="15601" r:id="rId45" name="Check Box 241">
              <controlPr locked="0" defaultSize="0" autoFill="0" autoLine="0" autoPict="0">
                <anchor moveWithCells="1" sizeWithCells="1">
                  <from>
                    <xdr:col>22</xdr:col>
                    <xdr:colOff>0</xdr:colOff>
                    <xdr:row>190</xdr:row>
                    <xdr:rowOff>0</xdr:rowOff>
                  </from>
                  <to>
                    <xdr:col>22</xdr:col>
                    <xdr:colOff>180975</xdr:colOff>
                    <xdr:row>190</xdr:row>
                    <xdr:rowOff>180975</xdr:rowOff>
                  </to>
                </anchor>
              </controlPr>
            </control>
          </mc:Choice>
        </mc:AlternateContent>
        <mc:AlternateContent xmlns:mc="http://schemas.openxmlformats.org/markup-compatibility/2006">
          <mc:Choice Requires="x14">
            <control shapeId="15602" r:id="rId46" name="Check Box 242">
              <controlPr locked="0" defaultSize="0" autoFill="0" autoLine="0" autoPict="0">
                <anchor moveWithCells="1" sizeWithCells="1">
                  <from>
                    <xdr:col>22</xdr:col>
                    <xdr:colOff>0</xdr:colOff>
                    <xdr:row>192</xdr:row>
                    <xdr:rowOff>0</xdr:rowOff>
                  </from>
                  <to>
                    <xdr:col>22</xdr:col>
                    <xdr:colOff>180975</xdr:colOff>
                    <xdr:row>192</xdr:row>
                    <xdr:rowOff>180975</xdr:rowOff>
                  </to>
                </anchor>
              </controlPr>
            </control>
          </mc:Choice>
        </mc:AlternateContent>
        <mc:AlternateContent xmlns:mc="http://schemas.openxmlformats.org/markup-compatibility/2006">
          <mc:Choice Requires="x14">
            <control shapeId="15605" r:id="rId47" name="Check Box 245">
              <controlPr locked="0" defaultSize="0" autoFill="0" autoLine="0" autoPict="0">
                <anchor moveWithCells="1" sizeWithCells="1">
                  <from>
                    <xdr:col>22</xdr:col>
                    <xdr:colOff>0</xdr:colOff>
                    <xdr:row>207</xdr:row>
                    <xdr:rowOff>0</xdr:rowOff>
                  </from>
                  <to>
                    <xdr:col>22</xdr:col>
                    <xdr:colOff>180975</xdr:colOff>
                    <xdr:row>207</xdr:row>
                    <xdr:rowOff>180975</xdr:rowOff>
                  </to>
                </anchor>
              </controlPr>
            </control>
          </mc:Choice>
        </mc:AlternateContent>
        <mc:AlternateContent xmlns:mc="http://schemas.openxmlformats.org/markup-compatibility/2006">
          <mc:Choice Requires="x14">
            <control shapeId="15606" r:id="rId48" name="Check Box 246">
              <controlPr locked="0" defaultSize="0" autoFill="0" autoLine="0" autoPict="0">
                <anchor moveWithCells="1" sizeWithCells="1">
                  <from>
                    <xdr:col>22</xdr:col>
                    <xdr:colOff>0</xdr:colOff>
                    <xdr:row>214</xdr:row>
                    <xdr:rowOff>0</xdr:rowOff>
                  </from>
                  <to>
                    <xdr:col>22</xdr:col>
                    <xdr:colOff>180975</xdr:colOff>
                    <xdr:row>214</xdr:row>
                    <xdr:rowOff>180975</xdr:rowOff>
                  </to>
                </anchor>
              </controlPr>
            </control>
          </mc:Choice>
        </mc:AlternateContent>
        <mc:AlternateContent xmlns:mc="http://schemas.openxmlformats.org/markup-compatibility/2006">
          <mc:Choice Requires="x14">
            <control shapeId="15607" r:id="rId49" name="Check Box 247">
              <controlPr locked="0" defaultSize="0" autoFill="0" autoLine="0" autoPict="0">
                <anchor moveWithCells="1" sizeWithCells="1">
                  <from>
                    <xdr:col>22</xdr:col>
                    <xdr:colOff>0</xdr:colOff>
                    <xdr:row>215</xdr:row>
                    <xdr:rowOff>0</xdr:rowOff>
                  </from>
                  <to>
                    <xdr:col>22</xdr:col>
                    <xdr:colOff>180975</xdr:colOff>
                    <xdr:row>215</xdr:row>
                    <xdr:rowOff>180975</xdr:rowOff>
                  </to>
                </anchor>
              </controlPr>
            </control>
          </mc:Choice>
        </mc:AlternateContent>
        <mc:AlternateContent xmlns:mc="http://schemas.openxmlformats.org/markup-compatibility/2006">
          <mc:Choice Requires="x14">
            <control shapeId="15608" r:id="rId50" name="Check Box 248">
              <controlPr locked="0" defaultSize="0" autoFill="0" autoLine="0" autoPict="0">
                <anchor moveWithCells="1" sizeWithCells="1">
                  <from>
                    <xdr:col>22</xdr:col>
                    <xdr:colOff>0</xdr:colOff>
                    <xdr:row>217</xdr:row>
                    <xdr:rowOff>0</xdr:rowOff>
                  </from>
                  <to>
                    <xdr:col>22</xdr:col>
                    <xdr:colOff>180975</xdr:colOff>
                    <xdr:row>217</xdr:row>
                    <xdr:rowOff>180975</xdr:rowOff>
                  </to>
                </anchor>
              </controlPr>
            </control>
          </mc:Choice>
        </mc:AlternateContent>
        <mc:AlternateContent xmlns:mc="http://schemas.openxmlformats.org/markup-compatibility/2006">
          <mc:Choice Requires="x14">
            <control shapeId="15609" r:id="rId51" name="Check Box 249">
              <controlPr locked="0" defaultSize="0" autoFill="0" autoLine="0" autoPict="0">
                <anchor moveWithCells="1" sizeWithCells="1">
                  <from>
                    <xdr:col>22</xdr:col>
                    <xdr:colOff>0</xdr:colOff>
                    <xdr:row>222</xdr:row>
                    <xdr:rowOff>0</xdr:rowOff>
                  </from>
                  <to>
                    <xdr:col>22</xdr:col>
                    <xdr:colOff>180975</xdr:colOff>
                    <xdr:row>222</xdr:row>
                    <xdr:rowOff>180975</xdr:rowOff>
                  </to>
                </anchor>
              </controlPr>
            </control>
          </mc:Choice>
        </mc:AlternateContent>
        <mc:AlternateContent xmlns:mc="http://schemas.openxmlformats.org/markup-compatibility/2006">
          <mc:Choice Requires="x14">
            <control shapeId="15610" r:id="rId52" name="Check Box 250">
              <controlPr locked="0" defaultSize="0" autoFill="0" autoLine="0" autoPict="0">
                <anchor moveWithCells="1" sizeWithCells="1">
                  <from>
                    <xdr:col>22</xdr:col>
                    <xdr:colOff>0</xdr:colOff>
                    <xdr:row>224</xdr:row>
                    <xdr:rowOff>0</xdr:rowOff>
                  </from>
                  <to>
                    <xdr:col>22</xdr:col>
                    <xdr:colOff>180975</xdr:colOff>
                    <xdr:row>224</xdr:row>
                    <xdr:rowOff>180975</xdr:rowOff>
                  </to>
                </anchor>
              </controlPr>
            </control>
          </mc:Choice>
        </mc:AlternateContent>
        <mc:AlternateContent xmlns:mc="http://schemas.openxmlformats.org/markup-compatibility/2006">
          <mc:Choice Requires="x14">
            <control shapeId="15611" r:id="rId53" name="Check Box 251">
              <controlPr locked="0" defaultSize="0" autoFill="0" autoLine="0" autoPict="0">
                <anchor moveWithCells="1" sizeWithCells="1">
                  <from>
                    <xdr:col>22</xdr:col>
                    <xdr:colOff>0</xdr:colOff>
                    <xdr:row>225</xdr:row>
                    <xdr:rowOff>0</xdr:rowOff>
                  </from>
                  <to>
                    <xdr:col>22</xdr:col>
                    <xdr:colOff>180975</xdr:colOff>
                    <xdr:row>225</xdr:row>
                    <xdr:rowOff>180975</xdr:rowOff>
                  </to>
                </anchor>
              </controlPr>
            </control>
          </mc:Choice>
        </mc:AlternateContent>
        <mc:AlternateContent xmlns:mc="http://schemas.openxmlformats.org/markup-compatibility/2006">
          <mc:Choice Requires="x14">
            <control shapeId="15612" r:id="rId54" name="Check Box 252">
              <controlPr locked="0" defaultSize="0" autoFill="0" autoLine="0" autoPict="0">
                <anchor moveWithCells="1" sizeWithCells="1">
                  <from>
                    <xdr:col>22</xdr:col>
                    <xdr:colOff>0</xdr:colOff>
                    <xdr:row>227</xdr:row>
                    <xdr:rowOff>0</xdr:rowOff>
                  </from>
                  <to>
                    <xdr:col>22</xdr:col>
                    <xdr:colOff>180975</xdr:colOff>
                    <xdr:row>227</xdr:row>
                    <xdr:rowOff>180975</xdr:rowOff>
                  </to>
                </anchor>
              </controlPr>
            </control>
          </mc:Choice>
        </mc:AlternateContent>
        <mc:AlternateContent xmlns:mc="http://schemas.openxmlformats.org/markup-compatibility/2006">
          <mc:Choice Requires="x14">
            <control shapeId="15613" r:id="rId55" name="Check Box 253">
              <controlPr locked="0" defaultSize="0" autoFill="0" autoLine="0" autoPict="0">
                <anchor moveWithCells="1" sizeWithCells="1">
                  <from>
                    <xdr:col>22</xdr:col>
                    <xdr:colOff>0</xdr:colOff>
                    <xdr:row>229</xdr:row>
                    <xdr:rowOff>0</xdr:rowOff>
                  </from>
                  <to>
                    <xdr:col>22</xdr:col>
                    <xdr:colOff>180975</xdr:colOff>
                    <xdr:row>229</xdr:row>
                    <xdr:rowOff>180975</xdr:rowOff>
                  </to>
                </anchor>
              </controlPr>
            </control>
          </mc:Choice>
        </mc:AlternateContent>
        <mc:AlternateContent xmlns:mc="http://schemas.openxmlformats.org/markup-compatibility/2006">
          <mc:Choice Requires="x14">
            <control shapeId="15614" r:id="rId56" name="Check Box 254">
              <controlPr locked="0" defaultSize="0" autoFill="0" autoLine="0" autoPict="0">
                <anchor moveWithCells="1" sizeWithCells="1">
                  <from>
                    <xdr:col>22</xdr:col>
                    <xdr:colOff>0</xdr:colOff>
                    <xdr:row>233</xdr:row>
                    <xdr:rowOff>0</xdr:rowOff>
                  </from>
                  <to>
                    <xdr:col>22</xdr:col>
                    <xdr:colOff>180975</xdr:colOff>
                    <xdr:row>233</xdr:row>
                    <xdr:rowOff>180975</xdr:rowOff>
                  </to>
                </anchor>
              </controlPr>
            </control>
          </mc:Choice>
        </mc:AlternateContent>
        <mc:AlternateContent xmlns:mc="http://schemas.openxmlformats.org/markup-compatibility/2006">
          <mc:Choice Requires="x14">
            <control shapeId="15615" r:id="rId57" name="Check Box 255">
              <controlPr locked="0" defaultSize="0" autoFill="0" autoLine="0" autoPict="0">
                <anchor moveWithCells="1" sizeWithCells="1">
                  <from>
                    <xdr:col>22</xdr:col>
                    <xdr:colOff>0</xdr:colOff>
                    <xdr:row>236</xdr:row>
                    <xdr:rowOff>0</xdr:rowOff>
                  </from>
                  <to>
                    <xdr:col>22</xdr:col>
                    <xdr:colOff>180975</xdr:colOff>
                    <xdr:row>236</xdr:row>
                    <xdr:rowOff>180975</xdr:rowOff>
                  </to>
                </anchor>
              </controlPr>
            </control>
          </mc:Choice>
        </mc:AlternateContent>
        <mc:AlternateContent xmlns:mc="http://schemas.openxmlformats.org/markup-compatibility/2006">
          <mc:Choice Requires="x14">
            <control shapeId="15616" r:id="rId58" name="Check Box 256">
              <controlPr locked="0" defaultSize="0" autoFill="0" autoLine="0" autoPict="0">
                <anchor moveWithCells="1" sizeWithCells="1">
                  <from>
                    <xdr:col>22</xdr:col>
                    <xdr:colOff>0</xdr:colOff>
                    <xdr:row>238</xdr:row>
                    <xdr:rowOff>0</xdr:rowOff>
                  </from>
                  <to>
                    <xdr:col>22</xdr:col>
                    <xdr:colOff>180975</xdr:colOff>
                    <xdr:row>238</xdr:row>
                    <xdr:rowOff>180975</xdr:rowOff>
                  </to>
                </anchor>
              </controlPr>
            </control>
          </mc:Choice>
        </mc:AlternateContent>
        <mc:AlternateContent xmlns:mc="http://schemas.openxmlformats.org/markup-compatibility/2006">
          <mc:Choice Requires="x14">
            <control shapeId="15617" r:id="rId59" name="Check Box 257">
              <controlPr locked="0" defaultSize="0" autoFill="0" autoLine="0" autoPict="0">
                <anchor moveWithCells="1" sizeWithCells="1">
                  <from>
                    <xdr:col>22</xdr:col>
                    <xdr:colOff>0</xdr:colOff>
                    <xdr:row>239</xdr:row>
                    <xdr:rowOff>0</xdr:rowOff>
                  </from>
                  <to>
                    <xdr:col>22</xdr:col>
                    <xdr:colOff>180975</xdr:colOff>
                    <xdr:row>239</xdr:row>
                    <xdr:rowOff>180975</xdr:rowOff>
                  </to>
                </anchor>
              </controlPr>
            </control>
          </mc:Choice>
        </mc:AlternateContent>
        <mc:AlternateContent xmlns:mc="http://schemas.openxmlformats.org/markup-compatibility/2006">
          <mc:Choice Requires="x14">
            <control shapeId="15618" r:id="rId60" name="Check Box 258">
              <controlPr locked="0" defaultSize="0" autoFill="0" autoLine="0" autoPict="0">
                <anchor moveWithCells="1" sizeWithCells="1">
                  <from>
                    <xdr:col>22</xdr:col>
                    <xdr:colOff>0</xdr:colOff>
                    <xdr:row>240</xdr:row>
                    <xdr:rowOff>0</xdr:rowOff>
                  </from>
                  <to>
                    <xdr:col>22</xdr:col>
                    <xdr:colOff>180975</xdr:colOff>
                    <xdr:row>240</xdr:row>
                    <xdr:rowOff>180975</xdr:rowOff>
                  </to>
                </anchor>
              </controlPr>
            </control>
          </mc:Choice>
        </mc:AlternateContent>
        <mc:AlternateContent xmlns:mc="http://schemas.openxmlformats.org/markup-compatibility/2006">
          <mc:Choice Requires="x14">
            <control shapeId="15619" r:id="rId61" name="Check Box 259">
              <controlPr locked="0" defaultSize="0" autoFill="0" autoLine="0" autoPict="0">
                <anchor moveWithCells="1" sizeWithCells="1">
                  <from>
                    <xdr:col>22</xdr:col>
                    <xdr:colOff>0</xdr:colOff>
                    <xdr:row>241</xdr:row>
                    <xdr:rowOff>0</xdr:rowOff>
                  </from>
                  <to>
                    <xdr:col>22</xdr:col>
                    <xdr:colOff>180975</xdr:colOff>
                    <xdr:row>241</xdr:row>
                    <xdr:rowOff>180975</xdr:rowOff>
                  </to>
                </anchor>
              </controlPr>
            </control>
          </mc:Choice>
        </mc:AlternateContent>
        <mc:AlternateContent xmlns:mc="http://schemas.openxmlformats.org/markup-compatibility/2006">
          <mc:Choice Requires="x14">
            <control shapeId="15620" r:id="rId62" name="Check Box 260">
              <controlPr locked="0" defaultSize="0" autoFill="0" autoLine="0" autoPict="0">
                <anchor moveWithCells="1" sizeWithCells="1">
                  <from>
                    <xdr:col>22</xdr:col>
                    <xdr:colOff>0</xdr:colOff>
                    <xdr:row>242</xdr:row>
                    <xdr:rowOff>0</xdr:rowOff>
                  </from>
                  <to>
                    <xdr:col>22</xdr:col>
                    <xdr:colOff>180975</xdr:colOff>
                    <xdr:row>242</xdr:row>
                    <xdr:rowOff>180975</xdr:rowOff>
                  </to>
                </anchor>
              </controlPr>
            </control>
          </mc:Choice>
        </mc:AlternateContent>
        <mc:AlternateContent xmlns:mc="http://schemas.openxmlformats.org/markup-compatibility/2006">
          <mc:Choice Requires="x14">
            <control shapeId="15621" r:id="rId63" name="Check Box 261">
              <controlPr locked="0" defaultSize="0" autoFill="0" autoLine="0" autoPict="0">
                <anchor moveWithCells="1" sizeWithCells="1">
                  <from>
                    <xdr:col>22</xdr:col>
                    <xdr:colOff>0</xdr:colOff>
                    <xdr:row>243</xdr:row>
                    <xdr:rowOff>0</xdr:rowOff>
                  </from>
                  <to>
                    <xdr:col>22</xdr:col>
                    <xdr:colOff>180975</xdr:colOff>
                    <xdr:row>243</xdr:row>
                    <xdr:rowOff>180975</xdr:rowOff>
                  </to>
                </anchor>
              </controlPr>
            </control>
          </mc:Choice>
        </mc:AlternateContent>
        <mc:AlternateContent xmlns:mc="http://schemas.openxmlformats.org/markup-compatibility/2006">
          <mc:Choice Requires="x14">
            <control shapeId="15622" r:id="rId64" name="Check Box 262">
              <controlPr locked="0" defaultSize="0" autoFill="0" autoLine="0" autoPict="0">
                <anchor moveWithCells="1" sizeWithCells="1">
                  <from>
                    <xdr:col>22</xdr:col>
                    <xdr:colOff>0</xdr:colOff>
                    <xdr:row>245</xdr:row>
                    <xdr:rowOff>0</xdr:rowOff>
                  </from>
                  <to>
                    <xdr:col>22</xdr:col>
                    <xdr:colOff>180975</xdr:colOff>
                    <xdr:row>245</xdr:row>
                    <xdr:rowOff>180975</xdr:rowOff>
                  </to>
                </anchor>
              </controlPr>
            </control>
          </mc:Choice>
        </mc:AlternateContent>
        <mc:AlternateContent xmlns:mc="http://schemas.openxmlformats.org/markup-compatibility/2006">
          <mc:Choice Requires="x14">
            <control shapeId="15623" r:id="rId65" name="Check Box 263">
              <controlPr locked="0" defaultSize="0" autoFill="0" autoLine="0" autoPict="0">
                <anchor moveWithCells="1" sizeWithCells="1">
                  <from>
                    <xdr:col>22</xdr:col>
                    <xdr:colOff>0</xdr:colOff>
                    <xdr:row>252</xdr:row>
                    <xdr:rowOff>0</xdr:rowOff>
                  </from>
                  <to>
                    <xdr:col>22</xdr:col>
                    <xdr:colOff>180975</xdr:colOff>
                    <xdr:row>252</xdr:row>
                    <xdr:rowOff>180975</xdr:rowOff>
                  </to>
                </anchor>
              </controlPr>
            </control>
          </mc:Choice>
        </mc:AlternateContent>
        <mc:AlternateContent xmlns:mc="http://schemas.openxmlformats.org/markup-compatibility/2006">
          <mc:Choice Requires="x14">
            <control shapeId="15624" r:id="rId66" name="Check Box 264">
              <controlPr locked="0" defaultSize="0" autoFill="0" autoLine="0" autoPict="0">
                <anchor moveWithCells="1" sizeWithCells="1">
                  <from>
                    <xdr:col>22</xdr:col>
                    <xdr:colOff>0</xdr:colOff>
                    <xdr:row>254</xdr:row>
                    <xdr:rowOff>0</xdr:rowOff>
                  </from>
                  <to>
                    <xdr:col>22</xdr:col>
                    <xdr:colOff>180975</xdr:colOff>
                    <xdr:row>254</xdr:row>
                    <xdr:rowOff>180975</xdr:rowOff>
                  </to>
                </anchor>
              </controlPr>
            </control>
          </mc:Choice>
        </mc:AlternateContent>
        <mc:AlternateContent xmlns:mc="http://schemas.openxmlformats.org/markup-compatibility/2006">
          <mc:Choice Requires="x14">
            <control shapeId="15625" r:id="rId67" name="Check Box 265">
              <controlPr locked="0" defaultSize="0" autoFill="0" autoLine="0" autoPict="0">
                <anchor moveWithCells="1" sizeWithCells="1">
                  <from>
                    <xdr:col>22</xdr:col>
                    <xdr:colOff>0</xdr:colOff>
                    <xdr:row>263</xdr:row>
                    <xdr:rowOff>0</xdr:rowOff>
                  </from>
                  <to>
                    <xdr:col>22</xdr:col>
                    <xdr:colOff>180975</xdr:colOff>
                    <xdr:row>263</xdr:row>
                    <xdr:rowOff>180975</xdr:rowOff>
                  </to>
                </anchor>
              </controlPr>
            </control>
          </mc:Choice>
        </mc:AlternateContent>
        <mc:AlternateContent xmlns:mc="http://schemas.openxmlformats.org/markup-compatibility/2006">
          <mc:Choice Requires="x14">
            <control shapeId="15626" r:id="rId68" name="Check Box 266">
              <controlPr locked="0" defaultSize="0" autoFill="0" autoLine="0" autoPict="0">
                <anchor moveWithCells="1" sizeWithCells="1">
                  <from>
                    <xdr:col>22</xdr:col>
                    <xdr:colOff>0</xdr:colOff>
                    <xdr:row>266</xdr:row>
                    <xdr:rowOff>0</xdr:rowOff>
                  </from>
                  <to>
                    <xdr:col>22</xdr:col>
                    <xdr:colOff>180975</xdr:colOff>
                    <xdr:row>266</xdr:row>
                    <xdr:rowOff>180975</xdr:rowOff>
                  </to>
                </anchor>
              </controlPr>
            </control>
          </mc:Choice>
        </mc:AlternateContent>
        <mc:AlternateContent xmlns:mc="http://schemas.openxmlformats.org/markup-compatibility/2006">
          <mc:Choice Requires="x14">
            <control shapeId="15627" r:id="rId69" name="Check Box 267">
              <controlPr locked="0" defaultSize="0" autoFill="0" autoLine="0" autoPict="0">
                <anchor moveWithCells="1" sizeWithCells="1">
                  <from>
                    <xdr:col>22</xdr:col>
                    <xdr:colOff>0</xdr:colOff>
                    <xdr:row>270</xdr:row>
                    <xdr:rowOff>0</xdr:rowOff>
                  </from>
                  <to>
                    <xdr:col>22</xdr:col>
                    <xdr:colOff>180975</xdr:colOff>
                    <xdr:row>270</xdr:row>
                    <xdr:rowOff>180975</xdr:rowOff>
                  </to>
                </anchor>
              </controlPr>
            </control>
          </mc:Choice>
        </mc:AlternateContent>
        <mc:AlternateContent xmlns:mc="http://schemas.openxmlformats.org/markup-compatibility/2006">
          <mc:Choice Requires="x14">
            <control shapeId="15628" r:id="rId70" name="Check Box 268">
              <controlPr locked="0" defaultSize="0" autoFill="0" autoLine="0" autoPict="0">
                <anchor moveWithCells="1" sizeWithCells="1">
                  <from>
                    <xdr:col>22</xdr:col>
                    <xdr:colOff>0</xdr:colOff>
                    <xdr:row>271</xdr:row>
                    <xdr:rowOff>0</xdr:rowOff>
                  </from>
                  <to>
                    <xdr:col>22</xdr:col>
                    <xdr:colOff>180975</xdr:colOff>
                    <xdr:row>271</xdr:row>
                    <xdr:rowOff>180975</xdr:rowOff>
                  </to>
                </anchor>
              </controlPr>
            </control>
          </mc:Choice>
        </mc:AlternateContent>
        <mc:AlternateContent xmlns:mc="http://schemas.openxmlformats.org/markup-compatibility/2006">
          <mc:Choice Requires="x14">
            <control shapeId="15629" r:id="rId71" name="Check Box 269">
              <controlPr locked="0" defaultSize="0" autoFill="0" autoLine="0" autoPict="0">
                <anchor moveWithCells="1" sizeWithCells="1">
                  <from>
                    <xdr:col>22</xdr:col>
                    <xdr:colOff>0</xdr:colOff>
                    <xdr:row>281</xdr:row>
                    <xdr:rowOff>0</xdr:rowOff>
                  </from>
                  <to>
                    <xdr:col>22</xdr:col>
                    <xdr:colOff>180975</xdr:colOff>
                    <xdr:row>281</xdr:row>
                    <xdr:rowOff>180975</xdr:rowOff>
                  </to>
                </anchor>
              </controlPr>
            </control>
          </mc:Choice>
        </mc:AlternateContent>
        <mc:AlternateContent xmlns:mc="http://schemas.openxmlformats.org/markup-compatibility/2006">
          <mc:Choice Requires="x14">
            <control shapeId="15632" r:id="rId72" name="Check Box 272">
              <controlPr locked="0" defaultSize="0" autoFill="0" autoLine="0" autoPict="0">
                <anchor moveWithCells="1" sizeWithCells="1">
                  <from>
                    <xdr:col>22</xdr:col>
                    <xdr:colOff>0</xdr:colOff>
                    <xdr:row>348</xdr:row>
                    <xdr:rowOff>0</xdr:rowOff>
                  </from>
                  <to>
                    <xdr:col>22</xdr:col>
                    <xdr:colOff>180975</xdr:colOff>
                    <xdr:row>348</xdr:row>
                    <xdr:rowOff>180975</xdr:rowOff>
                  </to>
                </anchor>
              </controlPr>
            </control>
          </mc:Choice>
        </mc:AlternateContent>
        <mc:AlternateContent xmlns:mc="http://schemas.openxmlformats.org/markup-compatibility/2006">
          <mc:Choice Requires="x14">
            <control shapeId="15633" r:id="rId73" name="Check Box 273">
              <controlPr locked="0" defaultSize="0" autoFill="0" autoLine="0" autoPict="0">
                <anchor moveWithCells="1" sizeWithCells="1">
                  <from>
                    <xdr:col>22</xdr:col>
                    <xdr:colOff>0</xdr:colOff>
                    <xdr:row>351</xdr:row>
                    <xdr:rowOff>0</xdr:rowOff>
                  </from>
                  <to>
                    <xdr:col>22</xdr:col>
                    <xdr:colOff>180975</xdr:colOff>
                    <xdr:row>351</xdr:row>
                    <xdr:rowOff>180975</xdr:rowOff>
                  </to>
                </anchor>
              </controlPr>
            </control>
          </mc:Choice>
        </mc:AlternateContent>
        <mc:AlternateContent xmlns:mc="http://schemas.openxmlformats.org/markup-compatibility/2006">
          <mc:Choice Requires="x14">
            <control shapeId="15634" r:id="rId74" name="Check Box 274">
              <controlPr locked="0" defaultSize="0" autoFill="0" autoLine="0" autoPict="0">
                <anchor moveWithCells="1" sizeWithCells="1">
                  <from>
                    <xdr:col>22</xdr:col>
                    <xdr:colOff>0</xdr:colOff>
                    <xdr:row>354</xdr:row>
                    <xdr:rowOff>0</xdr:rowOff>
                  </from>
                  <to>
                    <xdr:col>22</xdr:col>
                    <xdr:colOff>180975</xdr:colOff>
                    <xdr:row>354</xdr:row>
                    <xdr:rowOff>180975</xdr:rowOff>
                  </to>
                </anchor>
              </controlPr>
            </control>
          </mc:Choice>
        </mc:AlternateContent>
        <mc:AlternateContent xmlns:mc="http://schemas.openxmlformats.org/markup-compatibility/2006">
          <mc:Choice Requires="x14">
            <control shapeId="15635" r:id="rId75" name="Check Box 275">
              <controlPr locked="0" defaultSize="0" autoFill="0" autoLine="0" autoPict="0">
                <anchor moveWithCells="1" sizeWithCells="1">
                  <from>
                    <xdr:col>22</xdr:col>
                    <xdr:colOff>0</xdr:colOff>
                    <xdr:row>358</xdr:row>
                    <xdr:rowOff>0</xdr:rowOff>
                  </from>
                  <to>
                    <xdr:col>22</xdr:col>
                    <xdr:colOff>180975</xdr:colOff>
                    <xdr:row>358</xdr:row>
                    <xdr:rowOff>180975</xdr:rowOff>
                  </to>
                </anchor>
              </controlPr>
            </control>
          </mc:Choice>
        </mc:AlternateContent>
        <mc:AlternateContent xmlns:mc="http://schemas.openxmlformats.org/markup-compatibility/2006">
          <mc:Choice Requires="x14">
            <control shapeId="15636" r:id="rId76" name="Check Box 276">
              <controlPr locked="0" defaultSize="0" autoFill="0" autoLine="0" autoPict="0">
                <anchor moveWithCells="1" sizeWithCells="1">
                  <from>
                    <xdr:col>22</xdr:col>
                    <xdr:colOff>0</xdr:colOff>
                    <xdr:row>359</xdr:row>
                    <xdr:rowOff>0</xdr:rowOff>
                  </from>
                  <to>
                    <xdr:col>22</xdr:col>
                    <xdr:colOff>180975</xdr:colOff>
                    <xdr:row>359</xdr:row>
                    <xdr:rowOff>180975</xdr:rowOff>
                  </to>
                </anchor>
              </controlPr>
            </control>
          </mc:Choice>
        </mc:AlternateContent>
        <mc:AlternateContent xmlns:mc="http://schemas.openxmlformats.org/markup-compatibility/2006">
          <mc:Choice Requires="x14">
            <control shapeId="15637" r:id="rId77" name="Check Box 277">
              <controlPr locked="0" defaultSize="0" autoFill="0" autoLine="0" autoPict="0">
                <anchor moveWithCells="1" sizeWithCells="1">
                  <from>
                    <xdr:col>22</xdr:col>
                    <xdr:colOff>0</xdr:colOff>
                    <xdr:row>360</xdr:row>
                    <xdr:rowOff>0</xdr:rowOff>
                  </from>
                  <to>
                    <xdr:col>22</xdr:col>
                    <xdr:colOff>180975</xdr:colOff>
                    <xdr:row>360</xdr:row>
                    <xdr:rowOff>180975</xdr:rowOff>
                  </to>
                </anchor>
              </controlPr>
            </control>
          </mc:Choice>
        </mc:AlternateContent>
        <mc:AlternateContent xmlns:mc="http://schemas.openxmlformats.org/markup-compatibility/2006">
          <mc:Choice Requires="x14">
            <control shapeId="15638" r:id="rId78" name="Check Box 278">
              <controlPr locked="0" defaultSize="0" autoFill="0" autoLine="0" autoPict="0">
                <anchor moveWithCells="1" sizeWithCells="1">
                  <from>
                    <xdr:col>22</xdr:col>
                    <xdr:colOff>0</xdr:colOff>
                    <xdr:row>361</xdr:row>
                    <xdr:rowOff>0</xdr:rowOff>
                  </from>
                  <to>
                    <xdr:col>22</xdr:col>
                    <xdr:colOff>180975</xdr:colOff>
                    <xdr:row>361</xdr:row>
                    <xdr:rowOff>180975</xdr:rowOff>
                  </to>
                </anchor>
              </controlPr>
            </control>
          </mc:Choice>
        </mc:AlternateContent>
        <mc:AlternateContent xmlns:mc="http://schemas.openxmlformats.org/markup-compatibility/2006">
          <mc:Choice Requires="x14">
            <control shapeId="15639" r:id="rId79" name="Check Box 279">
              <controlPr locked="0" defaultSize="0" autoFill="0" autoLine="0" autoPict="0">
                <anchor moveWithCells="1" sizeWithCells="1">
                  <from>
                    <xdr:col>22</xdr:col>
                    <xdr:colOff>0</xdr:colOff>
                    <xdr:row>362</xdr:row>
                    <xdr:rowOff>0</xdr:rowOff>
                  </from>
                  <to>
                    <xdr:col>22</xdr:col>
                    <xdr:colOff>180975</xdr:colOff>
                    <xdr:row>362</xdr:row>
                    <xdr:rowOff>180975</xdr:rowOff>
                  </to>
                </anchor>
              </controlPr>
            </control>
          </mc:Choice>
        </mc:AlternateContent>
        <mc:AlternateContent xmlns:mc="http://schemas.openxmlformats.org/markup-compatibility/2006">
          <mc:Choice Requires="x14">
            <control shapeId="15640" r:id="rId80" name="Check Box 280">
              <controlPr locked="0" defaultSize="0" autoFill="0" autoLine="0" autoPict="0">
                <anchor moveWithCells="1" sizeWithCells="1">
                  <from>
                    <xdr:col>22</xdr:col>
                    <xdr:colOff>0</xdr:colOff>
                    <xdr:row>363</xdr:row>
                    <xdr:rowOff>0</xdr:rowOff>
                  </from>
                  <to>
                    <xdr:col>22</xdr:col>
                    <xdr:colOff>180975</xdr:colOff>
                    <xdr:row>363</xdr:row>
                    <xdr:rowOff>180975</xdr:rowOff>
                  </to>
                </anchor>
              </controlPr>
            </control>
          </mc:Choice>
        </mc:AlternateContent>
        <mc:AlternateContent xmlns:mc="http://schemas.openxmlformats.org/markup-compatibility/2006">
          <mc:Choice Requires="x14">
            <control shapeId="15641" r:id="rId81" name="Check Box 281">
              <controlPr locked="0" defaultSize="0" autoFill="0" autoLine="0" autoPict="0">
                <anchor moveWithCells="1" sizeWithCells="1">
                  <from>
                    <xdr:col>22</xdr:col>
                    <xdr:colOff>0</xdr:colOff>
                    <xdr:row>369</xdr:row>
                    <xdr:rowOff>0</xdr:rowOff>
                  </from>
                  <to>
                    <xdr:col>22</xdr:col>
                    <xdr:colOff>180975</xdr:colOff>
                    <xdr:row>369</xdr:row>
                    <xdr:rowOff>180975</xdr:rowOff>
                  </to>
                </anchor>
              </controlPr>
            </control>
          </mc:Choice>
        </mc:AlternateContent>
        <mc:AlternateContent xmlns:mc="http://schemas.openxmlformats.org/markup-compatibility/2006">
          <mc:Choice Requires="x14">
            <control shapeId="15642" r:id="rId82" name="Check Box 282">
              <controlPr locked="0" defaultSize="0" autoFill="0" autoLine="0" autoPict="0">
                <anchor moveWithCells="1" sizeWithCells="1">
                  <from>
                    <xdr:col>22</xdr:col>
                    <xdr:colOff>0</xdr:colOff>
                    <xdr:row>370</xdr:row>
                    <xdr:rowOff>0</xdr:rowOff>
                  </from>
                  <to>
                    <xdr:col>22</xdr:col>
                    <xdr:colOff>180975</xdr:colOff>
                    <xdr:row>370</xdr:row>
                    <xdr:rowOff>180975</xdr:rowOff>
                  </to>
                </anchor>
              </controlPr>
            </control>
          </mc:Choice>
        </mc:AlternateContent>
        <mc:AlternateContent xmlns:mc="http://schemas.openxmlformats.org/markup-compatibility/2006">
          <mc:Choice Requires="x14">
            <control shapeId="15643" r:id="rId83" name="Check Box 283">
              <controlPr locked="0" defaultSize="0" autoFill="0" autoLine="0" autoPict="0">
                <anchor moveWithCells="1" sizeWithCells="1">
                  <from>
                    <xdr:col>22</xdr:col>
                    <xdr:colOff>0</xdr:colOff>
                    <xdr:row>371</xdr:row>
                    <xdr:rowOff>0</xdr:rowOff>
                  </from>
                  <to>
                    <xdr:col>22</xdr:col>
                    <xdr:colOff>180975</xdr:colOff>
                    <xdr:row>371</xdr:row>
                    <xdr:rowOff>180975</xdr:rowOff>
                  </to>
                </anchor>
              </controlPr>
            </control>
          </mc:Choice>
        </mc:AlternateContent>
        <mc:AlternateContent xmlns:mc="http://schemas.openxmlformats.org/markup-compatibility/2006">
          <mc:Choice Requires="x14">
            <control shapeId="15644" r:id="rId84" name="Check Box 284">
              <controlPr locked="0" defaultSize="0" autoFill="0" autoLine="0" autoPict="0">
                <anchor moveWithCells="1" sizeWithCells="1">
                  <from>
                    <xdr:col>22</xdr:col>
                    <xdr:colOff>0</xdr:colOff>
                    <xdr:row>372</xdr:row>
                    <xdr:rowOff>0</xdr:rowOff>
                  </from>
                  <to>
                    <xdr:col>22</xdr:col>
                    <xdr:colOff>180975</xdr:colOff>
                    <xdr:row>372</xdr:row>
                    <xdr:rowOff>180975</xdr:rowOff>
                  </to>
                </anchor>
              </controlPr>
            </control>
          </mc:Choice>
        </mc:AlternateContent>
        <mc:AlternateContent xmlns:mc="http://schemas.openxmlformats.org/markup-compatibility/2006">
          <mc:Choice Requires="x14">
            <control shapeId="15645" r:id="rId85" name="Check Box 285">
              <controlPr locked="0" defaultSize="0" autoFill="0" autoLine="0" autoPict="0">
                <anchor moveWithCells="1" sizeWithCells="1">
                  <from>
                    <xdr:col>22</xdr:col>
                    <xdr:colOff>0</xdr:colOff>
                    <xdr:row>373</xdr:row>
                    <xdr:rowOff>0</xdr:rowOff>
                  </from>
                  <to>
                    <xdr:col>22</xdr:col>
                    <xdr:colOff>180975</xdr:colOff>
                    <xdr:row>373</xdr:row>
                    <xdr:rowOff>180975</xdr:rowOff>
                  </to>
                </anchor>
              </controlPr>
            </control>
          </mc:Choice>
        </mc:AlternateContent>
        <mc:AlternateContent xmlns:mc="http://schemas.openxmlformats.org/markup-compatibility/2006">
          <mc:Choice Requires="x14">
            <control shapeId="15646" r:id="rId86" name="Check Box 286">
              <controlPr locked="0" defaultSize="0" autoFill="0" autoLine="0" autoPict="0">
                <anchor moveWithCells="1" sizeWithCells="1">
                  <from>
                    <xdr:col>22</xdr:col>
                    <xdr:colOff>0</xdr:colOff>
                    <xdr:row>397</xdr:row>
                    <xdr:rowOff>0</xdr:rowOff>
                  </from>
                  <to>
                    <xdr:col>22</xdr:col>
                    <xdr:colOff>180975</xdr:colOff>
                    <xdr:row>397</xdr:row>
                    <xdr:rowOff>180975</xdr:rowOff>
                  </to>
                </anchor>
              </controlPr>
            </control>
          </mc:Choice>
        </mc:AlternateContent>
        <mc:AlternateContent xmlns:mc="http://schemas.openxmlformats.org/markup-compatibility/2006">
          <mc:Choice Requires="x14">
            <control shapeId="15649" r:id="rId87" name="Check Box 289">
              <controlPr locked="0" defaultSize="0" autoFill="0" autoLine="0" autoPict="0">
                <anchor moveWithCells="1" sizeWithCells="1">
                  <from>
                    <xdr:col>22</xdr:col>
                    <xdr:colOff>0</xdr:colOff>
                    <xdr:row>413</xdr:row>
                    <xdr:rowOff>0</xdr:rowOff>
                  </from>
                  <to>
                    <xdr:col>22</xdr:col>
                    <xdr:colOff>180975</xdr:colOff>
                    <xdr:row>413</xdr:row>
                    <xdr:rowOff>180975</xdr:rowOff>
                  </to>
                </anchor>
              </controlPr>
            </control>
          </mc:Choice>
        </mc:AlternateContent>
        <mc:AlternateContent xmlns:mc="http://schemas.openxmlformats.org/markup-compatibility/2006">
          <mc:Choice Requires="x14">
            <control shapeId="15650" r:id="rId88" name="Check Box 290">
              <controlPr locked="0" defaultSize="0" autoFill="0" autoLine="0" autoPict="0">
                <anchor moveWithCells="1" sizeWithCells="1">
                  <from>
                    <xdr:col>22</xdr:col>
                    <xdr:colOff>0</xdr:colOff>
                    <xdr:row>417</xdr:row>
                    <xdr:rowOff>0</xdr:rowOff>
                  </from>
                  <to>
                    <xdr:col>22</xdr:col>
                    <xdr:colOff>180975</xdr:colOff>
                    <xdr:row>417</xdr:row>
                    <xdr:rowOff>180975</xdr:rowOff>
                  </to>
                </anchor>
              </controlPr>
            </control>
          </mc:Choice>
        </mc:AlternateContent>
        <mc:AlternateContent xmlns:mc="http://schemas.openxmlformats.org/markup-compatibility/2006">
          <mc:Choice Requires="x14">
            <control shapeId="15651" r:id="rId89" name="Check Box 291">
              <controlPr locked="0" defaultSize="0" autoFill="0" autoLine="0" autoPict="0">
                <anchor moveWithCells="1" sizeWithCells="1">
                  <from>
                    <xdr:col>22</xdr:col>
                    <xdr:colOff>0</xdr:colOff>
                    <xdr:row>418</xdr:row>
                    <xdr:rowOff>0</xdr:rowOff>
                  </from>
                  <to>
                    <xdr:col>22</xdr:col>
                    <xdr:colOff>180975</xdr:colOff>
                    <xdr:row>418</xdr:row>
                    <xdr:rowOff>180975</xdr:rowOff>
                  </to>
                </anchor>
              </controlPr>
            </control>
          </mc:Choice>
        </mc:AlternateContent>
        <mc:AlternateContent xmlns:mc="http://schemas.openxmlformats.org/markup-compatibility/2006">
          <mc:Choice Requires="x14">
            <control shapeId="15652" r:id="rId90" name="Check Box 292">
              <controlPr locked="0" defaultSize="0" autoFill="0" autoLine="0" autoPict="0">
                <anchor moveWithCells="1" sizeWithCells="1">
                  <from>
                    <xdr:col>22</xdr:col>
                    <xdr:colOff>0</xdr:colOff>
                    <xdr:row>420</xdr:row>
                    <xdr:rowOff>0</xdr:rowOff>
                  </from>
                  <to>
                    <xdr:col>22</xdr:col>
                    <xdr:colOff>180975</xdr:colOff>
                    <xdr:row>420</xdr:row>
                    <xdr:rowOff>180975</xdr:rowOff>
                  </to>
                </anchor>
              </controlPr>
            </control>
          </mc:Choice>
        </mc:AlternateContent>
        <mc:AlternateContent xmlns:mc="http://schemas.openxmlformats.org/markup-compatibility/2006">
          <mc:Choice Requires="x14">
            <control shapeId="15653" r:id="rId91" name="Check Box 293">
              <controlPr locked="0" defaultSize="0" autoFill="0" autoLine="0" autoPict="0">
                <anchor moveWithCells="1" sizeWithCells="1">
                  <from>
                    <xdr:col>22</xdr:col>
                    <xdr:colOff>0</xdr:colOff>
                    <xdr:row>422</xdr:row>
                    <xdr:rowOff>0</xdr:rowOff>
                  </from>
                  <to>
                    <xdr:col>22</xdr:col>
                    <xdr:colOff>180975</xdr:colOff>
                    <xdr:row>422</xdr:row>
                    <xdr:rowOff>180975</xdr:rowOff>
                  </to>
                </anchor>
              </controlPr>
            </control>
          </mc:Choice>
        </mc:AlternateContent>
        <mc:AlternateContent xmlns:mc="http://schemas.openxmlformats.org/markup-compatibility/2006">
          <mc:Choice Requires="x14">
            <control shapeId="15654" r:id="rId92" name="Check Box 294">
              <controlPr locked="0" defaultSize="0" autoFill="0" autoLine="0" autoPict="0">
                <anchor moveWithCells="1" sizeWithCells="1">
                  <from>
                    <xdr:col>22</xdr:col>
                    <xdr:colOff>0</xdr:colOff>
                    <xdr:row>428</xdr:row>
                    <xdr:rowOff>0</xdr:rowOff>
                  </from>
                  <to>
                    <xdr:col>22</xdr:col>
                    <xdr:colOff>180975</xdr:colOff>
                    <xdr:row>428</xdr:row>
                    <xdr:rowOff>180975</xdr:rowOff>
                  </to>
                </anchor>
              </controlPr>
            </control>
          </mc:Choice>
        </mc:AlternateContent>
        <mc:AlternateContent xmlns:mc="http://schemas.openxmlformats.org/markup-compatibility/2006">
          <mc:Choice Requires="x14">
            <control shapeId="15655" r:id="rId93" name="Check Box 295">
              <controlPr locked="0" defaultSize="0" autoFill="0" autoLine="0" autoPict="0">
                <anchor moveWithCells="1" sizeWithCells="1">
                  <from>
                    <xdr:col>22</xdr:col>
                    <xdr:colOff>0</xdr:colOff>
                    <xdr:row>434</xdr:row>
                    <xdr:rowOff>0</xdr:rowOff>
                  </from>
                  <to>
                    <xdr:col>22</xdr:col>
                    <xdr:colOff>180975</xdr:colOff>
                    <xdr:row>434</xdr:row>
                    <xdr:rowOff>180975</xdr:rowOff>
                  </to>
                </anchor>
              </controlPr>
            </control>
          </mc:Choice>
        </mc:AlternateContent>
        <mc:AlternateContent xmlns:mc="http://schemas.openxmlformats.org/markup-compatibility/2006">
          <mc:Choice Requires="x14">
            <control shapeId="15656" r:id="rId94" name="Check Box 296">
              <controlPr locked="0" defaultSize="0" autoFill="0" autoLine="0" autoPict="0">
                <anchor moveWithCells="1" sizeWithCells="1">
                  <from>
                    <xdr:col>22</xdr:col>
                    <xdr:colOff>0</xdr:colOff>
                    <xdr:row>440</xdr:row>
                    <xdr:rowOff>0</xdr:rowOff>
                  </from>
                  <to>
                    <xdr:col>22</xdr:col>
                    <xdr:colOff>180975</xdr:colOff>
                    <xdr:row>440</xdr:row>
                    <xdr:rowOff>180975</xdr:rowOff>
                  </to>
                </anchor>
              </controlPr>
            </control>
          </mc:Choice>
        </mc:AlternateContent>
        <mc:AlternateContent xmlns:mc="http://schemas.openxmlformats.org/markup-compatibility/2006">
          <mc:Choice Requires="x14">
            <control shapeId="15657" r:id="rId95" name="Check Box 297">
              <controlPr locked="0" defaultSize="0" autoFill="0" autoLine="0" autoPict="0">
                <anchor moveWithCells="1" sizeWithCells="1">
                  <from>
                    <xdr:col>22</xdr:col>
                    <xdr:colOff>0</xdr:colOff>
                    <xdr:row>442</xdr:row>
                    <xdr:rowOff>0</xdr:rowOff>
                  </from>
                  <to>
                    <xdr:col>22</xdr:col>
                    <xdr:colOff>180975</xdr:colOff>
                    <xdr:row>442</xdr:row>
                    <xdr:rowOff>180975</xdr:rowOff>
                  </to>
                </anchor>
              </controlPr>
            </control>
          </mc:Choice>
        </mc:AlternateContent>
        <mc:AlternateContent xmlns:mc="http://schemas.openxmlformats.org/markup-compatibility/2006">
          <mc:Choice Requires="x14">
            <control shapeId="15658" r:id="rId96" name="Check Box 298">
              <controlPr locked="0" defaultSize="0" autoFill="0" autoLine="0" autoPict="0">
                <anchor moveWithCells="1" sizeWithCells="1">
                  <from>
                    <xdr:col>22</xdr:col>
                    <xdr:colOff>0</xdr:colOff>
                    <xdr:row>448</xdr:row>
                    <xdr:rowOff>0</xdr:rowOff>
                  </from>
                  <to>
                    <xdr:col>22</xdr:col>
                    <xdr:colOff>180975</xdr:colOff>
                    <xdr:row>448</xdr:row>
                    <xdr:rowOff>180975</xdr:rowOff>
                  </to>
                </anchor>
              </controlPr>
            </control>
          </mc:Choice>
        </mc:AlternateContent>
        <mc:AlternateContent xmlns:mc="http://schemas.openxmlformats.org/markup-compatibility/2006">
          <mc:Choice Requires="x14">
            <control shapeId="15659" r:id="rId97" name="Check Box 299">
              <controlPr locked="0" defaultSize="0" autoFill="0" autoLine="0" autoPict="0">
                <anchor moveWithCells="1" sizeWithCells="1">
                  <from>
                    <xdr:col>22</xdr:col>
                    <xdr:colOff>0</xdr:colOff>
                    <xdr:row>452</xdr:row>
                    <xdr:rowOff>0</xdr:rowOff>
                  </from>
                  <to>
                    <xdr:col>22</xdr:col>
                    <xdr:colOff>180975</xdr:colOff>
                    <xdr:row>452</xdr:row>
                    <xdr:rowOff>180975</xdr:rowOff>
                  </to>
                </anchor>
              </controlPr>
            </control>
          </mc:Choice>
        </mc:AlternateContent>
        <mc:AlternateContent xmlns:mc="http://schemas.openxmlformats.org/markup-compatibility/2006">
          <mc:Choice Requires="x14">
            <control shapeId="15660" r:id="rId98" name="Check Box 300">
              <controlPr locked="0" defaultSize="0" autoFill="0" autoLine="0" autoPict="0">
                <anchor moveWithCells="1" sizeWithCells="1">
                  <from>
                    <xdr:col>22</xdr:col>
                    <xdr:colOff>0</xdr:colOff>
                    <xdr:row>456</xdr:row>
                    <xdr:rowOff>0</xdr:rowOff>
                  </from>
                  <to>
                    <xdr:col>22</xdr:col>
                    <xdr:colOff>180975</xdr:colOff>
                    <xdr:row>456</xdr:row>
                    <xdr:rowOff>180975</xdr:rowOff>
                  </to>
                </anchor>
              </controlPr>
            </control>
          </mc:Choice>
        </mc:AlternateContent>
        <mc:AlternateContent xmlns:mc="http://schemas.openxmlformats.org/markup-compatibility/2006">
          <mc:Choice Requires="x14">
            <control shapeId="15661" r:id="rId99" name="Check Box 301">
              <controlPr locked="0" defaultSize="0" autoFill="0" autoLine="0" autoPict="0">
                <anchor moveWithCells="1" sizeWithCells="1">
                  <from>
                    <xdr:col>22</xdr:col>
                    <xdr:colOff>0</xdr:colOff>
                    <xdr:row>461</xdr:row>
                    <xdr:rowOff>0</xdr:rowOff>
                  </from>
                  <to>
                    <xdr:col>22</xdr:col>
                    <xdr:colOff>180975</xdr:colOff>
                    <xdr:row>461</xdr:row>
                    <xdr:rowOff>180975</xdr:rowOff>
                  </to>
                </anchor>
              </controlPr>
            </control>
          </mc:Choice>
        </mc:AlternateContent>
        <mc:AlternateContent xmlns:mc="http://schemas.openxmlformats.org/markup-compatibility/2006">
          <mc:Choice Requires="x14">
            <control shapeId="15662" r:id="rId100" name="Check Box 302">
              <controlPr locked="0" defaultSize="0" autoFill="0" autoLine="0" autoPict="0">
                <anchor moveWithCells="1" sizeWithCells="1">
                  <from>
                    <xdr:col>22</xdr:col>
                    <xdr:colOff>0</xdr:colOff>
                    <xdr:row>466</xdr:row>
                    <xdr:rowOff>0</xdr:rowOff>
                  </from>
                  <to>
                    <xdr:col>22</xdr:col>
                    <xdr:colOff>180975</xdr:colOff>
                    <xdr:row>466</xdr:row>
                    <xdr:rowOff>180975</xdr:rowOff>
                  </to>
                </anchor>
              </controlPr>
            </control>
          </mc:Choice>
        </mc:AlternateContent>
        <mc:AlternateContent xmlns:mc="http://schemas.openxmlformats.org/markup-compatibility/2006">
          <mc:Choice Requires="x14">
            <control shapeId="15663" r:id="rId101" name="Check Box 303">
              <controlPr locked="0" defaultSize="0" autoFill="0" autoLine="0" autoPict="0">
                <anchor moveWithCells="1" sizeWithCells="1">
                  <from>
                    <xdr:col>22</xdr:col>
                    <xdr:colOff>0</xdr:colOff>
                    <xdr:row>468</xdr:row>
                    <xdr:rowOff>0</xdr:rowOff>
                  </from>
                  <to>
                    <xdr:col>22</xdr:col>
                    <xdr:colOff>180975</xdr:colOff>
                    <xdr:row>468</xdr:row>
                    <xdr:rowOff>180975</xdr:rowOff>
                  </to>
                </anchor>
              </controlPr>
            </control>
          </mc:Choice>
        </mc:AlternateContent>
        <mc:AlternateContent xmlns:mc="http://schemas.openxmlformats.org/markup-compatibility/2006">
          <mc:Choice Requires="x14">
            <control shapeId="15664" r:id="rId102" name="Check Box 304">
              <controlPr locked="0" defaultSize="0" autoFill="0" autoLine="0" autoPict="0">
                <anchor moveWithCells="1" sizeWithCells="1">
                  <from>
                    <xdr:col>22</xdr:col>
                    <xdr:colOff>0</xdr:colOff>
                    <xdr:row>470</xdr:row>
                    <xdr:rowOff>0</xdr:rowOff>
                  </from>
                  <to>
                    <xdr:col>22</xdr:col>
                    <xdr:colOff>180975</xdr:colOff>
                    <xdr:row>470</xdr:row>
                    <xdr:rowOff>180975</xdr:rowOff>
                  </to>
                </anchor>
              </controlPr>
            </control>
          </mc:Choice>
        </mc:AlternateContent>
        <mc:AlternateContent xmlns:mc="http://schemas.openxmlformats.org/markup-compatibility/2006">
          <mc:Choice Requires="x14">
            <control shapeId="15665" r:id="rId103" name="Check Box 305">
              <controlPr locked="0" defaultSize="0" autoFill="0" autoLine="0" autoPict="0">
                <anchor moveWithCells="1" sizeWithCells="1">
                  <from>
                    <xdr:col>22</xdr:col>
                    <xdr:colOff>0</xdr:colOff>
                    <xdr:row>482</xdr:row>
                    <xdr:rowOff>0</xdr:rowOff>
                  </from>
                  <to>
                    <xdr:col>22</xdr:col>
                    <xdr:colOff>180975</xdr:colOff>
                    <xdr:row>482</xdr:row>
                    <xdr:rowOff>180975</xdr:rowOff>
                  </to>
                </anchor>
              </controlPr>
            </control>
          </mc:Choice>
        </mc:AlternateContent>
        <mc:AlternateContent xmlns:mc="http://schemas.openxmlformats.org/markup-compatibility/2006">
          <mc:Choice Requires="x14">
            <control shapeId="15666" r:id="rId104" name="Check Box 306">
              <controlPr locked="0" defaultSize="0" autoFill="0" autoLine="0" autoPict="0">
                <anchor moveWithCells="1" sizeWithCells="1">
                  <from>
                    <xdr:col>22</xdr:col>
                    <xdr:colOff>0</xdr:colOff>
                    <xdr:row>492</xdr:row>
                    <xdr:rowOff>0</xdr:rowOff>
                  </from>
                  <to>
                    <xdr:col>22</xdr:col>
                    <xdr:colOff>180975</xdr:colOff>
                    <xdr:row>492</xdr:row>
                    <xdr:rowOff>180975</xdr:rowOff>
                  </to>
                </anchor>
              </controlPr>
            </control>
          </mc:Choice>
        </mc:AlternateContent>
        <mc:AlternateContent xmlns:mc="http://schemas.openxmlformats.org/markup-compatibility/2006">
          <mc:Choice Requires="x14">
            <control shapeId="15667" r:id="rId105" name="Check Box 307">
              <controlPr locked="0" defaultSize="0" autoFill="0" autoLine="0" autoPict="0">
                <anchor moveWithCells="1" sizeWithCells="1">
                  <from>
                    <xdr:col>22</xdr:col>
                    <xdr:colOff>0</xdr:colOff>
                    <xdr:row>495</xdr:row>
                    <xdr:rowOff>0</xdr:rowOff>
                  </from>
                  <to>
                    <xdr:col>22</xdr:col>
                    <xdr:colOff>180975</xdr:colOff>
                    <xdr:row>495</xdr:row>
                    <xdr:rowOff>180975</xdr:rowOff>
                  </to>
                </anchor>
              </controlPr>
            </control>
          </mc:Choice>
        </mc:AlternateContent>
        <mc:AlternateContent xmlns:mc="http://schemas.openxmlformats.org/markup-compatibility/2006">
          <mc:Choice Requires="x14">
            <control shapeId="15668" r:id="rId106" name="Check Box 308">
              <controlPr locked="0" defaultSize="0" autoFill="0" autoLine="0" autoPict="0">
                <anchor moveWithCells="1" sizeWithCells="1">
                  <from>
                    <xdr:col>22</xdr:col>
                    <xdr:colOff>0</xdr:colOff>
                    <xdr:row>496</xdr:row>
                    <xdr:rowOff>0</xdr:rowOff>
                  </from>
                  <to>
                    <xdr:col>22</xdr:col>
                    <xdr:colOff>180975</xdr:colOff>
                    <xdr:row>496</xdr:row>
                    <xdr:rowOff>180975</xdr:rowOff>
                  </to>
                </anchor>
              </controlPr>
            </control>
          </mc:Choice>
        </mc:AlternateContent>
        <mc:AlternateContent xmlns:mc="http://schemas.openxmlformats.org/markup-compatibility/2006">
          <mc:Choice Requires="x14">
            <control shapeId="15669" r:id="rId107" name="Check Box 309">
              <controlPr locked="0" defaultSize="0" autoFill="0" autoLine="0" autoPict="0">
                <anchor moveWithCells="1" sizeWithCells="1">
                  <from>
                    <xdr:col>22</xdr:col>
                    <xdr:colOff>0</xdr:colOff>
                    <xdr:row>506</xdr:row>
                    <xdr:rowOff>0</xdr:rowOff>
                  </from>
                  <to>
                    <xdr:col>22</xdr:col>
                    <xdr:colOff>180975</xdr:colOff>
                    <xdr:row>506</xdr:row>
                    <xdr:rowOff>180975</xdr:rowOff>
                  </to>
                </anchor>
              </controlPr>
            </control>
          </mc:Choice>
        </mc:AlternateContent>
        <mc:AlternateContent xmlns:mc="http://schemas.openxmlformats.org/markup-compatibility/2006">
          <mc:Choice Requires="x14">
            <control shapeId="15670" r:id="rId108" name="Check Box 310">
              <controlPr locked="0" defaultSize="0" autoFill="0" autoLine="0" autoPict="0">
                <anchor moveWithCells="1" sizeWithCells="1">
                  <from>
                    <xdr:col>22</xdr:col>
                    <xdr:colOff>0</xdr:colOff>
                    <xdr:row>508</xdr:row>
                    <xdr:rowOff>0</xdr:rowOff>
                  </from>
                  <to>
                    <xdr:col>22</xdr:col>
                    <xdr:colOff>180975</xdr:colOff>
                    <xdr:row>508</xdr:row>
                    <xdr:rowOff>180975</xdr:rowOff>
                  </to>
                </anchor>
              </controlPr>
            </control>
          </mc:Choice>
        </mc:AlternateContent>
        <mc:AlternateContent xmlns:mc="http://schemas.openxmlformats.org/markup-compatibility/2006">
          <mc:Choice Requires="x14">
            <control shapeId="15671" r:id="rId109" name="Check Box 311">
              <controlPr locked="0" defaultSize="0" autoFill="0" autoLine="0" autoPict="0">
                <anchor moveWithCells="1" sizeWithCells="1">
                  <from>
                    <xdr:col>22</xdr:col>
                    <xdr:colOff>0</xdr:colOff>
                    <xdr:row>524</xdr:row>
                    <xdr:rowOff>0</xdr:rowOff>
                  </from>
                  <to>
                    <xdr:col>22</xdr:col>
                    <xdr:colOff>180975</xdr:colOff>
                    <xdr:row>524</xdr:row>
                    <xdr:rowOff>180975</xdr:rowOff>
                  </to>
                </anchor>
              </controlPr>
            </control>
          </mc:Choice>
        </mc:AlternateContent>
        <mc:AlternateContent xmlns:mc="http://schemas.openxmlformats.org/markup-compatibility/2006">
          <mc:Choice Requires="x14">
            <control shapeId="15672" r:id="rId110" name="Check Box 312">
              <controlPr locked="0" defaultSize="0" autoFill="0" autoLine="0" autoPict="0">
                <anchor moveWithCells="1" sizeWithCells="1">
                  <from>
                    <xdr:col>22</xdr:col>
                    <xdr:colOff>0</xdr:colOff>
                    <xdr:row>535</xdr:row>
                    <xdr:rowOff>0</xdr:rowOff>
                  </from>
                  <to>
                    <xdr:col>22</xdr:col>
                    <xdr:colOff>180975</xdr:colOff>
                    <xdr:row>535</xdr:row>
                    <xdr:rowOff>180975</xdr:rowOff>
                  </to>
                </anchor>
              </controlPr>
            </control>
          </mc:Choice>
        </mc:AlternateContent>
        <mc:AlternateContent xmlns:mc="http://schemas.openxmlformats.org/markup-compatibility/2006">
          <mc:Choice Requires="x14">
            <control shapeId="15673" r:id="rId111" name="Check Box 313">
              <controlPr locked="0" defaultSize="0" autoFill="0" autoLine="0" autoPict="0">
                <anchor moveWithCells="1" sizeWithCells="1">
                  <from>
                    <xdr:col>22</xdr:col>
                    <xdr:colOff>0</xdr:colOff>
                    <xdr:row>536</xdr:row>
                    <xdr:rowOff>0</xdr:rowOff>
                  </from>
                  <to>
                    <xdr:col>22</xdr:col>
                    <xdr:colOff>180975</xdr:colOff>
                    <xdr:row>536</xdr:row>
                    <xdr:rowOff>180975</xdr:rowOff>
                  </to>
                </anchor>
              </controlPr>
            </control>
          </mc:Choice>
        </mc:AlternateContent>
        <mc:AlternateContent xmlns:mc="http://schemas.openxmlformats.org/markup-compatibility/2006">
          <mc:Choice Requires="x14">
            <control shapeId="15674" r:id="rId112" name="Check Box 314">
              <controlPr locked="0" defaultSize="0" autoFill="0" autoLine="0" autoPict="0">
                <anchor moveWithCells="1" sizeWithCells="1">
                  <from>
                    <xdr:col>22</xdr:col>
                    <xdr:colOff>0</xdr:colOff>
                    <xdr:row>544</xdr:row>
                    <xdr:rowOff>0</xdr:rowOff>
                  </from>
                  <to>
                    <xdr:col>22</xdr:col>
                    <xdr:colOff>180975</xdr:colOff>
                    <xdr:row>544</xdr:row>
                    <xdr:rowOff>180975</xdr:rowOff>
                  </to>
                </anchor>
              </controlPr>
            </control>
          </mc:Choice>
        </mc:AlternateContent>
        <mc:AlternateContent xmlns:mc="http://schemas.openxmlformats.org/markup-compatibility/2006">
          <mc:Choice Requires="x14">
            <control shapeId="15675" r:id="rId113" name="Check Box 315">
              <controlPr locked="0" defaultSize="0" autoFill="0" autoLine="0" autoPict="0">
                <anchor moveWithCells="1" sizeWithCells="1">
                  <from>
                    <xdr:col>22</xdr:col>
                    <xdr:colOff>0</xdr:colOff>
                    <xdr:row>546</xdr:row>
                    <xdr:rowOff>0</xdr:rowOff>
                  </from>
                  <to>
                    <xdr:col>22</xdr:col>
                    <xdr:colOff>180975</xdr:colOff>
                    <xdr:row>546</xdr:row>
                    <xdr:rowOff>180975</xdr:rowOff>
                  </to>
                </anchor>
              </controlPr>
            </control>
          </mc:Choice>
        </mc:AlternateContent>
        <mc:AlternateContent xmlns:mc="http://schemas.openxmlformats.org/markup-compatibility/2006">
          <mc:Choice Requires="x14">
            <control shapeId="15676" r:id="rId114" name="Check Box 316">
              <controlPr locked="0" defaultSize="0" autoFill="0" autoLine="0" autoPict="0">
                <anchor moveWithCells="1" sizeWithCells="1">
                  <from>
                    <xdr:col>22</xdr:col>
                    <xdr:colOff>0</xdr:colOff>
                    <xdr:row>547</xdr:row>
                    <xdr:rowOff>0</xdr:rowOff>
                  </from>
                  <to>
                    <xdr:col>22</xdr:col>
                    <xdr:colOff>180975</xdr:colOff>
                    <xdr:row>547</xdr:row>
                    <xdr:rowOff>180975</xdr:rowOff>
                  </to>
                </anchor>
              </controlPr>
            </control>
          </mc:Choice>
        </mc:AlternateContent>
        <mc:AlternateContent xmlns:mc="http://schemas.openxmlformats.org/markup-compatibility/2006">
          <mc:Choice Requires="x14">
            <control shapeId="15677" r:id="rId115" name="Check Box 317">
              <controlPr locked="0" defaultSize="0" autoFill="0" autoLine="0" autoPict="0">
                <anchor moveWithCells="1" sizeWithCells="1">
                  <from>
                    <xdr:col>22</xdr:col>
                    <xdr:colOff>0</xdr:colOff>
                    <xdr:row>550</xdr:row>
                    <xdr:rowOff>0</xdr:rowOff>
                  </from>
                  <to>
                    <xdr:col>22</xdr:col>
                    <xdr:colOff>180975</xdr:colOff>
                    <xdr:row>550</xdr:row>
                    <xdr:rowOff>180975</xdr:rowOff>
                  </to>
                </anchor>
              </controlPr>
            </control>
          </mc:Choice>
        </mc:AlternateContent>
        <mc:AlternateContent xmlns:mc="http://schemas.openxmlformats.org/markup-compatibility/2006">
          <mc:Choice Requires="x14">
            <control shapeId="15678" r:id="rId116" name="Check Box 318">
              <controlPr locked="0" defaultSize="0" autoFill="0" autoLine="0" autoPict="0">
                <anchor moveWithCells="1" sizeWithCells="1">
                  <from>
                    <xdr:col>22</xdr:col>
                    <xdr:colOff>0</xdr:colOff>
                    <xdr:row>554</xdr:row>
                    <xdr:rowOff>0</xdr:rowOff>
                  </from>
                  <to>
                    <xdr:col>22</xdr:col>
                    <xdr:colOff>180975</xdr:colOff>
                    <xdr:row>554</xdr:row>
                    <xdr:rowOff>180975</xdr:rowOff>
                  </to>
                </anchor>
              </controlPr>
            </control>
          </mc:Choice>
        </mc:AlternateContent>
        <mc:AlternateContent xmlns:mc="http://schemas.openxmlformats.org/markup-compatibility/2006">
          <mc:Choice Requires="x14">
            <control shapeId="15679" r:id="rId117" name="Check Box 319">
              <controlPr locked="0" defaultSize="0" autoFill="0" autoLine="0" autoPict="0">
                <anchor moveWithCells="1" sizeWithCells="1">
                  <from>
                    <xdr:col>22</xdr:col>
                    <xdr:colOff>0</xdr:colOff>
                    <xdr:row>559</xdr:row>
                    <xdr:rowOff>0</xdr:rowOff>
                  </from>
                  <to>
                    <xdr:col>22</xdr:col>
                    <xdr:colOff>180975</xdr:colOff>
                    <xdr:row>559</xdr:row>
                    <xdr:rowOff>180975</xdr:rowOff>
                  </to>
                </anchor>
              </controlPr>
            </control>
          </mc:Choice>
        </mc:AlternateContent>
        <mc:AlternateContent xmlns:mc="http://schemas.openxmlformats.org/markup-compatibility/2006">
          <mc:Choice Requires="x14">
            <control shapeId="15680" r:id="rId118" name="Check Box 320">
              <controlPr locked="0" defaultSize="0" autoFill="0" autoLine="0" autoPict="0">
                <anchor moveWithCells="1" sizeWithCells="1">
                  <from>
                    <xdr:col>22</xdr:col>
                    <xdr:colOff>0</xdr:colOff>
                    <xdr:row>561</xdr:row>
                    <xdr:rowOff>0</xdr:rowOff>
                  </from>
                  <to>
                    <xdr:col>22</xdr:col>
                    <xdr:colOff>180975</xdr:colOff>
                    <xdr:row>561</xdr:row>
                    <xdr:rowOff>180975</xdr:rowOff>
                  </to>
                </anchor>
              </controlPr>
            </control>
          </mc:Choice>
        </mc:AlternateContent>
        <mc:AlternateContent xmlns:mc="http://schemas.openxmlformats.org/markup-compatibility/2006">
          <mc:Choice Requires="x14">
            <control shapeId="15681" r:id="rId119" name="Check Box 321">
              <controlPr locked="0" defaultSize="0" autoFill="0" autoLine="0" autoPict="0">
                <anchor moveWithCells="1" sizeWithCells="1">
                  <from>
                    <xdr:col>22</xdr:col>
                    <xdr:colOff>0</xdr:colOff>
                    <xdr:row>578</xdr:row>
                    <xdr:rowOff>0</xdr:rowOff>
                  </from>
                  <to>
                    <xdr:col>22</xdr:col>
                    <xdr:colOff>180975</xdr:colOff>
                    <xdr:row>578</xdr:row>
                    <xdr:rowOff>180975</xdr:rowOff>
                  </to>
                </anchor>
              </controlPr>
            </control>
          </mc:Choice>
        </mc:AlternateContent>
        <mc:AlternateContent xmlns:mc="http://schemas.openxmlformats.org/markup-compatibility/2006">
          <mc:Choice Requires="x14">
            <control shapeId="15682" r:id="rId120" name="Check Box 322">
              <controlPr locked="0" defaultSize="0" autoFill="0" autoLine="0" autoPict="0">
                <anchor moveWithCells="1" sizeWithCells="1">
                  <from>
                    <xdr:col>22</xdr:col>
                    <xdr:colOff>0</xdr:colOff>
                    <xdr:row>595</xdr:row>
                    <xdr:rowOff>0</xdr:rowOff>
                  </from>
                  <to>
                    <xdr:col>22</xdr:col>
                    <xdr:colOff>180975</xdr:colOff>
                    <xdr:row>595</xdr:row>
                    <xdr:rowOff>180975</xdr:rowOff>
                  </to>
                </anchor>
              </controlPr>
            </control>
          </mc:Choice>
        </mc:AlternateContent>
        <mc:AlternateContent xmlns:mc="http://schemas.openxmlformats.org/markup-compatibility/2006">
          <mc:Choice Requires="x14">
            <control shapeId="15683" r:id="rId121" name="Check Box 323">
              <controlPr locked="0" defaultSize="0" autoFill="0" autoLine="0" autoPict="0">
                <anchor moveWithCells="1" sizeWithCells="1">
                  <from>
                    <xdr:col>22</xdr:col>
                    <xdr:colOff>0</xdr:colOff>
                    <xdr:row>608</xdr:row>
                    <xdr:rowOff>0</xdr:rowOff>
                  </from>
                  <to>
                    <xdr:col>22</xdr:col>
                    <xdr:colOff>180975</xdr:colOff>
                    <xdr:row>608</xdr:row>
                    <xdr:rowOff>180975</xdr:rowOff>
                  </to>
                </anchor>
              </controlPr>
            </control>
          </mc:Choice>
        </mc:AlternateContent>
        <mc:AlternateContent xmlns:mc="http://schemas.openxmlformats.org/markup-compatibility/2006">
          <mc:Choice Requires="x14">
            <control shapeId="15684" r:id="rId122" name="Check Box 324">
              <controlPr locked="0" defaultSize="0" autoFill="0" autoLine="0" autoPict="0">
                <anchor moveWithCells="1" sizeWithCells="1">
                  <from>
                    <xdr:col>22</xdr:col>
                    <xdr:colOff>0</xdr:colOff>
                    <xdr:row>610</xdr:row>
                    <xdr:rowOff>0</xdr:rowOff>
                  </from>
                  <to>
                    <xdr:col>22</xdr:col>
                    <xdr:colOff>180975</xdr:colOff>
                    <xdr:row>610</xdr:row>
                    <xdr:rowOff>180975</xdr:rowOff>
                  </to>
                </anchor>
              </controlPr>
            </control>
          </mc:Choice>
        </mc:AlternateContent>
        <mc:AlternateContent xmlns:mc="http://schemas.openxmlformats.org/markup-compatibility/2006">
          <mc:Choice Requires="x14">
            <control shapeId="15685" r:id="rId123" name="Check Box 325">
              <controlPr locked="0" defaultSize="0" autoFill="0" autoLine="0" autoPict="0">
                <anchor moveWithCells="1" sizeWithCells="1">
                  <from>
                    <xdr:col>22</xdr:col>
                    <xdr:colOff>0</xdr:colOff>
                    <xdr:row>623</xdr:row>
                    <xdr:rowOff>0</xdr:rowOff>
                  </from>
                  <to>
                    <xdr:col>22</xdr:col>
                    <xdr:colOff>180975</xdr:colOff>
                    <xdr:row>623</xdr:row>
                    <xdr:rowOff>180975</xdr:rowOff>
                  </to>
                </anchor>
              </controlPr>
            </control>
          </mc:Choice>
        </mc:AlternateContent>
        <mc:AlternateContent xmlns:mc="http://schemas.openxmlformats.org/markup-compatibility/2006">
          <mc:Choice Requires="x14">
            <control shapeId="15686" r:id="rId124" name="Check Box 326">
              <controlPr locked="0" defaultSize="0" autoFill="0" autoLine="0" autoPict="0">
                <anchor moveWithCells="1" sizeWithCells="1">
                  <from>
                    <xdr:col>22</xdr:col>
                    <xdr:colOff>0</xdr:colOff>
                    <xdr:row>624</xdr:row>
                    <xdr:rowOff>0</xdr:rowOff>
                  </from>
                  <to>
                    <xdr:col>22</xdr:col>
                    <xdr:colOff>180975</xdr:colOff>
                    <xdr:row>624</xdr:row>
                    <xdr:rowOff>180975</xdr:rowOff>
                  </to>
                </anchor>
              </controlPr>
            </control>
          </mc:Choice>
        </mc:AlternateContent>
        <mc:AlternateContent xmlns:mc="http://schemas.openxmlformats.org/markup-compatibility/2006">
          <mc:Choice Requires="x14">
            <control shapeId="15687" r:id="rId125" name="Check Box 327">
              <controlPr locked="0" defaultSize="0" autoFill="0" autoLine="0" autoPict="0">
                <anchor moveWithCells="1" sizeWithCells="1">
                  <from>
                    <xdr:col>22</xdr:col>
                    <xdr:colOff>0</xdr:colOff>
                    <xdr:row>625</xdr:row>
                    <xdr:rowOff>0</xdr:rowOff>
                  </from>
                  <to>
                    <xdr:col>22</xdr:col>
                    <xdr:colOff>180975</xdr:colOff>
                    <xdr:row>625</xdr:row>
                    <xdr:rowOff>180975</xdr:rowOff>
                  </to>
                </anchor>
              </controlPr>
            </control>
          </mc:Choice>
        </mc:AlternateContent>
        <mc:AlternateContent xmlns:mc="http://schemas.openxmlformats.org/markup-compatibility/2006">
          <mc:Choice Requires="x14">
            <control shapeId="15688" r:id="rId126" name="Check Box 328">
              <controlPr locked="0" defaultSize="0" autoFill="0" autoLine="0" autoPict="0">
                <anchor moveWithCells="1" sizeWithCells="1">
                  <from>
                    <xdr:col>22</xdr:col>
                    <xdr:colOff>0</xdr:colOff>
                    <xdr:row>626</xdr:row>
                    <xdr:rowOff>0</xdr:rowOff>
                  </from>
                  <to>
                    <xdr:col>22</xdr:col>
                    <xdr:colOff>180975</xdr:colOff>
                    <xdr:row>626</xdr:row>
                    <xdr:rowOff>180975</xdr:rowOff>
                  </to>
                </anchor>
              </controlPr>
            </control>
          </mc:Choice>
        </mc:AlternateContent>
        <mc:AlternateContent xmlns:mc="http://schemas.openxmlformats.org/markup-compatibility/2006">
          <mc:Choice Requires="x14">
            <control shapeId="15689" r:id="rId127" name="Check Box 329">
              <controlPr locked="0" defaultSize="0" autoFill="0" autoLine="0" autoPict="0">
                <anchor moveWithCells="1" sizeWithCells="1">
                  <from>
                    <xdr:col>22</xdr:col>
                    <xdr:colOff>0</xdr:colOff>
                    <xdr:row>627</xdr:row>
                    <xdr:rowOff>0</xdr:rowOff>
                  </from>
                  <to>
                    <xdr:col>22</xdr:col>
                    <xdr:colOff>180975</xdr:colOff>
                    <xdr:row>627</xdr:row>
                    <xdr:rowOff>180975</xdr:rowOff>
                  </to>
                </anchor>
              </controlPr>
            </control>
          </mc:Choice>
        </mc:AlternateContent>
        <mc:AlternateContent xmlns:mc="http://schemas.openxmlformats.org/markup-compatibility/2006">
          <mc:Choice Requires="x14">
            <control shapeId="15690" r:id="rId128" name="Check Box 330">
              <controlPr locked="0" defaultSize="0" autoFill="0" autoLine="0" autoPict="0">
                <anchor moveWithCells="1" sizeWithCells="1">
                  <from>
                    <xdr:col>22</xdr:col>
                    <xdr:colOff>0</xdr:colOff>
                    <xdr:row>628</xdr:row>
                    <xdr:rowOff>0</xdr:rowOff>
                  </from>
                  <to>
                    <xdr:col>22</xdr:col>
                    <xdr:colOff>180975</xdr:colOff>
                    <xdr:row>628</xdr:row>
                    <xdr:rowOff>180975</xdr:rowOff>
                  </to>
                </anchor>
              </controlPr>
            </control>
          </mc:Choice>
        </mc:AlternateContent>
        <mc:AlternateContent xmlns:mc="http://schemas.openxmlformats.org/markup-compatibility/2006">
          <mc:Choice Requires="x14">
            <control shapeId="15691" r:id="rId129" name="Check Box 331">
              <controlPr locked="0" defaultSize="0" autoFill="0" autoLine="0" autoPict="0">
                <anchor moveWithCells="1" sizeWithCells="1">
                  <from>
                    <xdr:col>22</xdr:col>
                    <xdr:colOff>0</xdr:colOff>
                    <xdr:row>629</xdr:row>
                    <xdr:rowOff>0</xdr:rowOff>
                  </from>
                  <to>
                    <xdr:col>22</xdr:col>
                    <xdr:colOff>180975</xdr:colOff>
                    <xdr:row>629</xdr:row>
                    <xdr:rowOff>180975</xdr:rowOff>
                  </to>
                </anchor>
              </controlPr>
            </control>
          </mc:Choice>
        </mc:AlternateContent>
        <mc:AlternateContent xmlns:mc="http://schemas.openxmlformats.org/markup-compatibility/2006">
          <mc:Choice Requires="x14">
            <control shapeId="15692" r:id="rId130" name="Check Box 332">
              <controlPr locked="0" defaultSize="0" autoFill="0" autoLine="0" autoPict="0">
                <anchor moveWithCells="1" sizeWithCells="1">
                  <from>
                    <xdr:col>22</xdr:col>
                    <xdr:colOff>0</xdr:colOff>
                    <xdr:row>630</xdr:row>
                    <xdr:rowOff>0</xdr:rowOff>
                  </from>
                  <to>
                    <xdr:col>22</xdr:col>
                    <xdr:colOff>180975</xdr:colOff>
                    <xdr:row>630</xdr:row>
                    <xdr:rowOff>180975</xdr:rowOff>
                  </to>
                </anchor>
              </controlPr>
            </control>
          </mc:Choice>
        </mc:AlternateContent>
        <mc:AlternateContent xmlns:mc="http://schemas.openxmlformats.org/markup-compatibility/2006">
          <mc:Choice Requires="x14">
            <control shapeId="15693" r:id="rId131" name="Check Box 333">
              <controlPr locked="0" defaultSize="0" autoFill="0" autoLine="0" autoPict="0">
                <anchor moveWithCells="1" sizeWithCells="1">
                  <from>
                    <xdr:col>22</xdr:col>
                    <xdr:colOff>0</xdr:colOff>
                    <xdr:row>631</xdr:row>
                    <xdr:rowOff>0</xdr:rowOff>
                  </from>
                  <to>
                    <xdr:col>22</xdr:col>
                    <xdr:colOff>180975</xdr:colOff>
                    <xdr:row>631</xdr:row>
                    <xdr:rowOff>180975</xdr:rowOff>
                  </to>
                </anchor>
              </controlPr>
            </control>
          </mc:Choice>
        </mc:AlternateContent>
        <mc:AlternateContent xmlns:mc="http://schemas.openxmlformats.org/markup-compatibility/2006">
          <mc:Choice Requires="x14">
            <control shapeId="15694" r:id="rId132" name="Check Box 334">
              <controlPr locked="0" defaultSize="0" autoFill="0" autoLine="0" autoPict="0">
                <anchor moveWithCells="1" sizeWithCells="1">
                  <from>
                    <xdr:col>22</xdr:col>
                    <xdr:colOff>0</xdr:colOff>
                    <xdr:row>682</xdr:row>
                    <xdr:rowOff>0</xdr:rowOff>
                  </from>
                  <to>
                    <xdr:col>22</xdr:col>
                    <xdr:colOff>180975</xdr:colOff>
                    <xdr:row>682</xdr:row>
                    <xdr:rowOff>180975</xdr:rowOff>
                  </to>
                </anchor>
              </controlPr>
            </control>
          </mc:Choice>
        </mc:AlternateContent>
        <mc:AlternateContent xmlns:mc="http://schemas.openxmlformats.org/markup-compatibility/2006">
          <mc:Choice Requires="x14">
            <control shapeId="15695" r:id="rId133" name="Check Box 335">
              <controlPr locked="0" defaultSize="0" autoFill="0" autoLine="0" autoPict="0">
                <anchor moveWithCells="1" sizeWithCells="1">
                  <from>
                    <xdr:col>22</xdr:col>
                    <xdr:colOff>0</xdr:colOff>
                    <xdr:row>687</xdr:row>
                    <xdr:rowOff>0</xdr:rowOff>
                  </from>
                  <to>
                    <xdr:col>22</xdr:col>
                    <xdr:colOff>180975</xdr:colOff>
                    <xdr:row>687</xdr:row>
                    <xdr:rowOff>180975</xdr:rowOff>
                  </to>
                </anchor>
              </controlPr>
            </control>
          </mc:Choice>
        </mc:AlternateContent>
        <mc:AlternateContent xmlns:mc="http://schemas.openxmlformats.org/markup-compatibility/2006">
          <mc:Choice Requires="x14">
            <control shapeId="15696" r:id="rId134" name="Check Box 336">
              <controlPr locked="0" defaultSize="0" autoFill="0" autoLine="0" autoPict="0">
                <anchor moveWithCells="1" sizeWithCells="1">
                  <from>
                    <xdr:col>22</xdr:col>
                    <xdr:colOff>0</xdr:colOff>
                    <xdr:row>693</xdr:row>
                    <xdr:rowOff>0</xdr:rowOff>
                  </from>
                  <to>
                    <xdr:col>22</xdr:col>
                    <xdr:colOff>180975</xdr:colOff>
                    <xdr:row>693</xdr:row>
                    <xdr:rowOff>180975</xdr:rowOff>
                  </to>
                </anchor>
              </controlPr>
            </control>
          </mc:Choice>
        </mc:AlternateContent>
        <mc:AlternateContent xmlns:mc="http://schemas.openxmlformats.org/markup-compatibility/2006">
          <mc:Choice Requires="x14">
            <control shapeId="15697" r:id="rId135" name="Check Box 337">
              <controlPr locked="0" defaultSize="0" autoFill="0" autoLine="0" autoPict="0">
                <anchor moveWithCells="1" sizeWithCells="1">
                  <from>
                    <xdr:col>22</xdr:col>
                    <xdr:colOff>0</xdr:colOff>
                    <xdr:row>726</xdr:row>
                    <xdr:rowOff>0</xdr:rowOff>
                  </from>
                  <to>
                    <xdr:col>22</xdr:col>
                    <xdr:colOff>180975</xdr:colOff>
                    <xdr:row>726</xdr:row>
                    <xdr:rowOff>180975</xdr:rowOff>
                  </to>
                </anchor>
              </controlPr>
            </control>
          </mc:Choice>
        </mc:AlternateContent>
        <mc:AlternateContent xmlns:mc="http://schemas.openxmlformats.org/markup-compatibility/2006">
          <mc:Choice Requires="x14">
            <control shapeId="15698" r:id="rId136" name="Check Box 338">
              <controlPr locked="0" defaultSize="0" autoFill="0" autoLine="0" autoPict="0">
                <anchor moveWithCells="1" sizeWithCells="1">
                  <from>
                    <xdr:col>22</xdr:col>
                    <xdr:colOff>0</xdr:colOff>
                    <xdr:row>735</xdr:row>
                    <xdr:rowOff>0</xdr:rowOff>
                  </from>
                  <to>
                    <xdr:col>22</xdr:col>
                    <xdr:colOff>180975</xdr:colOff>
                    <xdr:row>735</xdr:row>
                    <xdr:rowOff>180975</xdr:rowOff>
                  </to>
                </anchor>
              </controlPr>
            </control>
          </mc:Choice>
        </mc:AlternateContent>
        <mc:AlternateContent xmlns:mc="http://schemas.openxmlformats.org/markup-compatibility/2006">
          <mc:Choice Requires="x14">
            <control shapeId="15699" r:id="rId137" name="Check Box 339">
              <controlPr locked="0" defaultSize="0" autoFill="0" autoLine="0" autoPict="0">
                <anchor moveWithCells="1" sizeWithCells="1">
                  <from>
                    <xdr:col>22</xdr:col>
                    <xdr:colOff>0</xdr:colOff>
                    <xdr:row>743</xdr:row>
                    <xdr:rowOff>0</xdr:rowOff>
                  </from>
                  <to>
                    <xdr:col>22</xdr:col>
                    <xdr:colOff>180975</xdr:colOff>
                    <xdr:row>743</xdr:row>
                    <xdr:rowOff>180975</xdr:rowOff>
                  </to>
                </anchor>
              </controlPr>
            </control>
          </mc:Choice>
        </mc:AlternateContent>
        <mc:AlternateContent xmlns:mc="http://schemas.openxmlformats.org/markup-compatibility/2006">
          <mc:Choice Requires="x14">
            <control shapeId="15700" r:id="rId138" name="Check Box 340">
              <controlPr locked="0" defaultSize="0" autoFill="0" autoLine="0" autoPict="0">
                <anchor moveWithCells="1" sizeWithCells="1">
                  <from>
                    <xdr:col>22</xdr:col>
                    <xdr:colOff>0</xdr:colOff>
                    <xdr:row>823</xdr:row>
                    <xdr:rowOff>0</xdr:rowOff>
                  </from>
                  <to>
                    <xdr:col>22</xdr:col>
                    <xdr:colOff>180975</xdr:colOff>
                    <xdr:row>823</xdr:row>
                    <xdr:rowOff>180975</xdr:rowOff>
                  </to>
                </anchor>
              </controlPr>
            </control>
          </mc:Choice>
        </mc:AlternateContent>
        <mc:AlternateContent xmlns:mc="http://schemas.openxmlformats.org/markup-compatibility/2006">
          <mc:Choice Requires="x14">
            <control shapeId="15701" r:id="rId139" name="Check Box 341">
              <controlPr locked="0" defaultSize="0" autoFill="0" autoLine="0" autoPict="0">
                <anchor moveWithCells="1" sizeWithCells="1">
                  <from>
                    <xdr:col>22</xdr:col>
                    <xdr:colOff>0</xdr:colOff>
                    <xdr:row>824</xdr:row>
                    <xdr:rowOff>0</xdr:rowOff>
                  </from>
                  <to>
                    <xdr:col>22</xdr:col>
                    <xdr:colOff>180975</xdr:colOff>
                    <xdr:row>824</xdr:row>
                    <xdr:rowOff>180975</xdr:rowOff>
                  </to>
                </anchor>
              </controlPr>
            </control>
          </mc:Choice>
        </mc:AlternateContent>
        <mc:AlternateContent xmlns:mc="http://schemas.openxmlformats.org/markup-compatibility/2006">
          <mc:Choice Requires="x14">
            <control shapeId="15702" r:id="rId140" name="Check Box 342">
              <controlPr locked="0" defaultSize="0" autoFill="0" autoLine="0" autoPict="0">
                <anchor moveWithCells="1" sizeWithCells="1">
                  <from>
                    <xdr:col>22</xdr:col>
                    <xdr:colOff>0</xdr:colOff>
                    <xdr:row>828</xdr:row>
                    <xdr:rowOff>0</xdr:rowOff>
                  </from>
                  <to>
                    <xdr:col>22</xdr:col>
                    <xdr:colOff>180975</xdr:colOff>
                    <xdr:row>828</xdr:row>
                    <xdr:rowOff>180975</xdr:rowOff>
                  </to>
                </anchor>
              </controlPr>
            </control>
          </mc:Choice>
        </mc:AlternateContent>
        <mc:AlternateContent xmlns:mc="http://schemas.openxmlformats.org/markup-compatibility/2006">
          <mc:Choice Requires="x14">
            <control shapeId="15703" r:id="rId141" name="Check Box 343">
              <controlPr locked="0" defaultSize="0" autoFill="0" autoLine="0" autoPict="0">
                <anchor moveWithCells="1" sizeWithCells="1">
                  <from>
                    <xdr:col>22</xdr:col>
                    <xdr:colOff>0</xdr:colOff>
                    <xdr:row>826</xdr:row>
                    <xdr:rowOff>0</xdr:rowOff>
                  </from>
                  <to>
                    <xdr:col>22</xdr:col>
                    <xdr:colOff>180975</xdr:colOff>
                    <xdr:row>826</xdr:row>
                    <xdr:rowOff>180975</xdr:rowOff>
                  </to>
                </anchor>
              </controlPr>
            </control>
          </mc:Choice>
        </mc:AlternateContent>
        <mc:AlternateContent xmlns:mc="http://schemas.openxmlformats.org/markup-compatibility/2006">
          <mc:Choice Requires="x14">
            <control shapeId="15704" r:id="rId142" name="Check Box 344">
              <controlPr locked="0" defaultSize="0" autoFill="0" autoLine="0" autoPict="0">
                <anchor moveWithCells="1" sizeWithCells="1">
                  <from>
                    <xdr:col>22</xdr:col>
                    <xdr:colOff>0</xdr:colOff>
                    <xdr:row>830</xdr:row>
                    <xdr:rowOff>0</xdr:rowOff>
                  </from>
                  <to>
                    <xdr:col>22</xdr:col>
                    <xdr:colOff>180975</xdr:colOff>
                    <xdr:row>830</xdr:row>
                    <xdr:rowOff>180975</xdr:rowOff>
                  </to>
                </anchor>
              </controlPr>
            </control>
          </mc:Choice>
        </mc:AlternateContent>
        <mc:AlternateContent xmlns:mc="http://schemas.openxmlformats.org/markup-compatibility/2006">
          <mc:Choice Requires="x14">
            <control shapeId="15705" r:id="rId143" name="Check Box 345">
              <controlPr locked="0" defaultSize="0" autoFill="0" autoLine="0" autoPict="0">
                <anchor moveWithCells="1" sizeWithCells="1">
                  <from>
                    <xdr:col>22</xdr:col>
                    <xdr:colOff>0</xdr:colOff>
                    <xdr:row>832</xdr:row>
                    <xdr:rowOff>0</xdr:rowOff>
                  </from>
                  <to>
                    <xdr:col>22</xdr:col>
                    <xdr:colOff>180975</xdr:colOff>
                    <xdr:row>832</xdr:row>
                    <xdr:rowOff>180975</xdr:rowOff>
                  </to>
                </anchor>
              </controlPr>
            </control>
          </mc:Choice>
        </mc:AlternateContent>
        <mc:AlternateContent xmlns:mc="http://schemas.openxmlformats.org/markup-compatibility/2006">
          <mc:Choice Requires="x14">
            <control shapeId="15706" r:id="rId144" name="Check Box 346">
              <controlPr locked="0" defaultSize="0" autoFill="0" autoLine="0" autoPict="0">
                <anchor moveWithCells="1" sizeWithCells="1">
                  <from>
                    <xdr:col>22</xdr:col>
                    <xdr:colOff>0</xdr:colOff>
                    <xdr:row>834</xdr:row>
                    <xdr:rowOff>0</xdr:rowOff>
                  </from>
                  <to>
                    <xdr:col>22</xdr:col>
                    <xdr:colOff>180975</xdr:colOff>
                    <xdr:row>834</xdr:row>
                    <xdr:rowOff>180975</xdr:rowOff>
                  </to>
                </anchor>
              </controlPr>
            </control>
          </mc:Choice>
        </mc:AlternateContent>
        <mc:AlternateContent xmlns:mc="http://schemas.openxmlformats.org/markup-compatibility/2006">
          <mc:Choice Requires="x14">
            <control shapeId="15707" r:id="rId145" name="Check Box 347">
              <controlPr locked="0" defaultSize="0" autoFill="0" autoLine="0" autoPict="0">
                <anchor moveWithCells="1" sizeWithCells="1">
                  <from>
                    <xdr:col>22</xdr:col>
                    <xdr:colOff>0</xdr:colOff>
                    <xdr:row>838</xdr:row>
                    <xdr:rowOff>0</xdr:rowOff>
                  </from>
                  <to>
                    <xdr:col>22</xdr:col>
                    <xdr:colOff>180975</xdr:colOff>
                    <xdr:row>838</xdr:row>
                    <xdr:rowOff>180975</xdr:rowOff>
                  </to>
                </anchor>
              </controlPr>
            </control>
          </mc:Choice>
        </mc:AlternateContent>
        <mc:AlternateContent xmlns:mc="http://schemas.openxmlformats.org/markup-compatibility/2006">
          <mc:Choice Requires="x14">
            <control shapeId="15708" r:id="rId146" name="Check Box 348">
              <controlPr locked="0" defaultSize="0" autoFill="0" autoLine="0" autoPict="0">
                <anchor moveWithCells="1" sizeWithCells="1">
                  <from>
                    <xdr:col>22</xdr:col>
                    <xdr:colOff>0</xdr:colOff>
                    <xdr:row>843</xdr:row>
                    <xdr:rowOff>0</xdr:rowOff>
                  </from>
                  <to>
                    <xdr:col>22</xdr:col>
                    <xdr:colOff>180975</xdr:colOff>
                    <xdr:row>843</xdr:row>
                    <xdr:rowOff>180975</xdr:rowOff>
                  </to>
                </anchor>
              </controlPr>
            </control>
          </mc:Choice>
        </mc:AlternateContent>
        <mc:AlternateContent xmlns:mc="http://schemas.openxmlformats.org/markup-compatibility/2006">
          <mc:Choice Requires="x14">
            <control shapeId="15709" r:id="rId147" name="Check Box 349">
              <controlPr locked="0" defaultSize="0" autoFill="0" autoLine="0" autoPict="0">
                <anchor moveWithCells="1" sizeWithCells="1">
                  <from>
                    <xdr:col>22</xdr:col>
                    <xdr:colOff>0</xdr:colOff>
                    <xdr:row>847</xdr:row>
                    <xdr:rowOff>0</xdr:rowOff>
                  </from>
                  <to>
                    <xdr:col>22</xdr:col>
                    <xdr:colOff>180975</xdr:colOff>
                    <xdr:row>847</xdr:row>
                    <xdr:rowOff>180975</xdr:rowOff>
                  </to>
                </anchor>
              </controlPr>
            </control>
          </mc:Choice>
        </mc:AlternateContent>
        <mc:AlternateContent xmlns:mc="http://schemas.openxmlformats.org/markup-compatibility/2006">
          <mc:Choice Requires="x14">
            <control shapeId="15710" r:id="rId148" name="Check Box 350">
              <controlPr locked="0" defaultSize="0" autoFill="0" autoLine="0" autoPict="0">
                <anchor moveWithCells="1" sizeWithCells="1">
                  <from>
                    <xdr:col>22</xdr:col>
                    <xdr:colOff>0</xdr:colOff>
                    <xdr:row>849</xdr:row>
                    <xdr:rowOff>0</xdr:rowOff>
                  </from>
                  <to>
                    <xdr:col>22</xdr:col>
                    <xdr:colOff>180975</xdr:colOff>
                    <xdr:row>849</xdr:row>
                    <xdr:rowOff>180975</xdr:rowOff>
                  </to>
                </anchor>
              </controlPr>
            </control>
          </mc:Choice>
        </mc:AlternateContent>
        <mc:AlternateContent xmlns:mc="http://schemas.openxmlformats.org/markup-compatibility/2006">
          <mc:Choice Requires="x14">
            <control shapeId="15711" r:id="rId149" name="Check Box 351">
              <controlPr locked="0" defaultSize="0" autoFill="0" autoLine="0" autoPict="0">
                <anchor moveWithCells="1" sizeWithCells="1">
                  <from>
                    <xdr:col>22</xdr:col>
                    <xdr:colOff>0</xdr:colOff>
                    <xdr:row>851</xdr:row>
                    <xdr:rowOff>0</xdr:rowOff>
                  </from>
                  <to>
                    <xdr:col>22</xdr:col>
                    <xdr:colOff>180975</xdr:colOff>
                    <xdr:row>851</xdr:row>
                    <xdr:rowOff>180975</xdr:rowOff>
                  </to>
                </anchor>
              </controlPr>
            </control>
          </mc:Choice>
        </mc:AlternateContent>
        <mc:AlternateContent xmlns:mc="http://schemas.openxmlformats.org/markup-compatibility/2006">
          <mc:Choice Requires="x14">
            <control shapeId="15712" r:id="rId150" name="Check Box 352">
              <controlPr locked="0" defaultSize="0" autoFill="0" autoLine="0" autoPict="0">
                <anchor moveWithCells="1" sizeWithCells="1">
                  <from>
                    <xdr:col>22</xdr:col>
                    <xdr:colOff>0</xdr:colOff>
                    <xdr:row>852</xdr:row>
                    <xdr:rowOff>0</xdr:rowOff>
                  </from>
                  <to>
                    <xdr:col>22</xdr:col>
                    <xdr:colOff>180975</xdr:colOff>
                    <xdr:row>852</xdr:row>
                    <xdr:rowOff>180975</xdr:rowOff>
                  </to>
                </anchor>
              </controlPr>
            </control>
          </mc:Choice>
        </mc:AlternateContent>
        <mc:AlternateContent xmlns:mc="http://schemas.openxmlformats.org/markup-compatibility/2006">
          <mc:Choice Requires="x14">
            <control shapeId="15713" r:id="rId151" name="Check Box 353">
              <controlPr locked="0" defaultSize="0" autoFill="0" autoLine="0" autoPict="0">
                <anchor moveWithCells="1" sizeWithCells="1">
                  <from>
                    <xdr:col>22</xdr:col>
                    <xdr:colOff>0</xdr:colOff>
                    <xdr:row>853</xdr:row>
                    <xdr:rowOff>0</xdr:rowOff>
                  </from>
                  <to>
                    <xdr:col>22</xdr:col>
                    <xdr:colOff>180975</xdr:colOff>
                    <xdr:row>853</xdr:row>
                    <xdr:rowOff>180975</xdr:rowOff>
                  </to>
                </anchor>
              </controlPr>
            </control>
          </mc:Choice>
        </mc:AlternateContent>
        <mc:AlternateContent xmlns:mc="http://schemas.openxmlformats.org/markup-compatibility/2006">
          <mc:Choice Requires="x14">
            <control shapeId="15714" r:id="rId152" name="Check Box 354">
              <controlPr locked="0" defaultSize="0" autoFill="0" autoLine="0" autoPict="0">
                <anchor moveWithCells="1" sizeWithCells="1">
                  <from>
                    <xdr:col>22</xdr:col>
                    <xdr:colOff>0</xdr:colOff>
                    <xdr:row>857</xdr:row>
                    <xdr:rowOff>0</xdr:rowOff>
                  </from>
                  <to>
                    <xdr:col>22</xdr:col>
                    <xdr:colOff>180975</xdr:colOff>
                    <xdr:row>857</xdr:row>
                    <xdr:rowOff>180975</xdr:rowOff>
                  </to>
                </anchor>
              </controlPr>
            </control>
          </mc:Choice>
        </mc:AlternateContent>
        <mc:AlternateContent xmlns:mc="http://schemas.openxmlformats.org/markup-compatibility/2006">
          <mc:Choice Requires="x14">
            <control shapeId="15804" r:id="rId153" name="Check Box 444">
              <controlPr locked="0" defaultSize="0" autoFill="0" autoLine="0" autoPict="0">
                <anchor moveWithCells="1" sizeWithCells="1">
                  <from>
                    <xdr:col>22</xdr:col>
                    <xdr:colOff>0</xdr:colOff>
                    <xdr:row>932</xdr:row>
                    <xdr:rowOff>0</xdr:rowOff>
                  </from>
                  <to>
                    <xdr:col>22</xdr:col>
                    <xdr:colOff>180975</xdr:colOff>
                    <xdr:row>932</xdr:row>
                    <xdr:rowOff>180975</xdr:rowOff>
                  </to>
                </anchor>
              </controlPr>
            </control>
          </mc:Choice>
        </mc:AlternateContent>
        <mc:AlternateContent xmlns:mc="http://schemas.openxmlformats.org/markup-compatibility/2006">
          <mc:Choice Requires="x14">
            <control shapeId="15805" r:id="rId154" name="Check Box 445">
              <controlPr locked="0" defaultSize="0" autoFill="0" autoLine="0" autoPict="0">
                <anchor moveWithCells="1" sizeWithCells="1">
                  <from>
                    <xdr:col>22</xdr:col>
                    <xdr:colOff>0</xdr:colOff>
                    <xdr:row>937</xdr:row>
                    <xdr:rowOff>0</xdr:rowOff>
                  </from>
                  <to>
                    <xdr:col>22</xdr:col>
                    <xdr:colOff>180975</xdr:colOff>
                    <xdr:row>937</xdr:row>
                    <xdr:rowOff>180975</xdr:rowOff>
                  </to>
                </anchor>
              </controlPr>
            </control>
          </mc:Choice>
        </mc:AlternateContent>
        <mc:AlternateContent xmlns:mc="http://schemas.openxmlformats.org/markup-compatibility/2006">
          <mc:Choice Requires="x14">
            <control shapeId="15806" r:id="rId155" name="Check Box 446">
              <controlPr locked="0" defaultSize="0" autoFill="0" autoLine="0" autoPict="0">
                <anchor moveWithCells="1" sizeWithCells="1">
                  <from>
                    <xdr:col>22</xdr:col>
                    <xdr:colOff>0</xdr:colOff>
                    <xdr:row>946</xdr:row>
                    <xdr:rowOff>0</xdr:rowOff>
                  </from>
                  <to>
                    <xdr:col>22</xdr:col>
                    <xdr:colOff>180975</xdr:colOff>
                    <xdr:row>946</xdr:row>
                    <xdr:rowOff>180975</xdr:rowOff>
                  </to>
                </anchor>
              </controlPr>
            </control>
          </mc:Choice>
        </mc:AlternateContent>
        <mc:AlternateContent xmlns:mc="http://schemas.openxmlformats.org/markup-compatibility/2006">
          <mc:Choice Requires="x14">
            <control shapeId="15807" r:id="rId156" name="Check Box 447">
              <controlPr locked="0" defaultSize="0" autoFill="0" autoLine="0" autoPict="0">
                <anchor moveWithCells="1" sizeWithCells="1">
                  <from>
                    <xdr:col>22</xdr:col>
                    <xdr:colOff>0</xdr:colOff>
                    <xdr:row>949</xdr:row>
                    <xdr:rowOff>0</xdr:rowOff>
                  </from>
                  <to>
                    <xdr:col>22</xdr:col>
                    <xdr:colOff>180975</xdr:colOff>
                    <xdr:row>949</xdr:row>
                    <xdr:rowOff>180975</xdr:rowOff>
                  </to>
                </anchor>
              </controlPr>
            </control>
          </mc:Choice>
        </mc:AlternateContent>
        <mc:AlternateContent xmlns:mc="http://schemas.openxmlformats.org/markup-compatibility/2006">
          <mc:Choice Requires="x14">
            <control shapeId="15808" r:id="rId157" name="Check Box 448">
              <controlPr locked="0" defaultSize="0" autoFill="0" autoLine="0" autoPict="0">
                <anchor moveWithCells="1" sizeWithCells="1">
                  <from>
                    <xdr:col>22</xdr:col>
                    <xdr:colOff>0</xdr:colOff>
                    <xdr:row>950</xdr:row>
                    <xdr:rowOff>0</xdr:rowOff>
                  </from>
                  <to>
                    <xdr:col>22</xdr:col>
                    <xdr:colOff>180975</xdr:colOff>
                    <xdr:row>950</xdr:row>
                    <xdr:rowOff>180975</xdr:rowOff>
                  </to>
                </anchor>
              </controlPr>
            </control>
          </mc:Choice>
        </mc:AlternateContent>
        <mc:AlternateContent xmlns:mc="http://schemas.openxmlformats.org/markup-compatibility/2006">
          <mc:Choice Requires="x14">
            <control shapeId="15809" r:id="rId158" name="Check Box 449">
              <controlPr locked="0" defaultSize="0" autoFill="0" autoLine="0" autoPict="0">
                <anchor moveWithCells="1" sizeWithCells="1">
                  <from>
                    <xdr:col>22</xdr:col>
                    <xdr:colOff>0</xdr:colOff>
                    <xdr:row>954</xdr:row>
                    <xdr:rowOff>0</xdr:rowOff>
                  </from>
                  <to>
                    <xdr:col>22</xdr:col>
                    <xdr:colOff>180975</xdr:colOff>
                    <xdr:row>954</xdr:row>
                    <xdr:rowOff>180975</xdr:rowOff>
                  </to>
                </anchor>
              </controlPr>
            </control>
          </mc:Choice>
        </mc:AlternateContent>
        <mc:AlternateContent xmlns:mc="http://schemas.openxmlformats.org/markup-compatibility/2006">
          <mc:Choice Requires="x14">
            <control shapeId="15811" r:id="rId159" name="Check Box 451">
              <controlPr locked="0" defaultSize="0" autoFill="0" autoLine="0" autoPict="0">
                <anchor moveWithCells="1" sizeWithCells="1">
                  <from>
                    <xdr:col>22</xdr:col>
                    <xdr:colOff>0</xdr:colOff>
                    <xdr:row>990</xdr:row>
                    <xdr:rowOff>0</xdr:rowOff>
                  </from>
                  <to>
                    <xdr:col>22</xdr:col>
                    <xdr:colOff>180975</xdr:colOff>
                    <xdr:row>990</xdr:row>
                    <xdr:rowOff>180975</xdr:rowOff>
                  </to>
                </anchor>
              </controlPr>
            </control>
          </mc:Choice>
        </mc:AlternateContent>
        <mc:AlternateContent xmlns:mc="http://schemas.openxmlformats.org/markup-compatibility/2006">
          <mc:Choice Requires="x14">
            <control shapeId="15812" r:id="rId160" name="Check Box 452">
              <controlPr locked="0" defaultSize="0" autoFill="0" autoLine="0" autoPict="0">
                <anchor moveWithCells="1" sizeWithCells="1">
                  <from>
                    <xdr:col>22</xdr:col>
                    <xdr:colOff>0</xdr:colOff>
                    <xdr:row>993</xdr:row>
                    <xdr:rowOff>0</xdr:rowOff>
                  </from>
                  <to>
                    <xdr:col>22</xdr:col>
                    <xdr:colOff>180975</xdr:colOff>
                    <xdr:row>993</xdr:row>
                    <xdr:rowOff>180975</xdr:rowOff>
                  </to>
                </anchor>
              </controlPr>
            </control>
          </mc:Choice>
        </mc:AlternateContent>
        <mc:AlternateContent xmlns:mc="http://schemas.openxmlformats.org/markup-compatibility/2006">
          <mc:Choice Requires="x14">
            <control shapeId="15813" r:id="rId161" name="Check Box 453">
              <controlPr locked="0" defaultSize="0" autoFill="0" autoLine="0" autoPict="0">
                <anchor moveWithCells="1" sizeWithCells="1">
                  <from>
                    <xdr:col>22</xdr:col>
                    <xdr:colOff>0</xdr:colOff>
                    <xdr:row>1019</xdr:row>
                    <xdr:rowOff>0</xdr:rowOff>
                  </from>
                  <to>
                    <xdr:col>22</xdr:col>
                    <xdr:colOff>180975</xdr:colOff>
                    <xdr:row>1019</xdr:row>
                    <xdr:rowOff>180975</xdr:rowOff>
                  </to>
                </anchor>
              </controlPr>
            </control>
          </mc:Choice>
        </mc:AlternateContent>
        <mc:AlternateContent xmlns:mc="http://schemas.openxmlformats.org/markup-compatibility/2006">
          <mc:Choice Requires="x14">
            <control shapeId="15814" r:id="rId162" name="Check Box 454">
              <controlPr locked="0" defaultSize="0" autoFill="0" autoLine="0" autoPict="0">
                <anchor moveWithCells="1" sizeWithCells="1">
                  <from>
                    <xdr:col>22</xdr:col>
                    <xdr:colOff>0</xdr:colOff>
                    <xdr:row>1039</xdr:row>
                    <xdr:rowOff>0</xdr:rowOff>
                  </from>
                  <to>
                    <xdr:col>22</xdr:col>
                    <xdr:colOff>180975</xdr:colOff>
                    <xdr:row>1039</xdr:row>
                    <xdr:rowOff>180975</xdr:rowOff>
                  </to>
                </anchor>
              </controlPr>
            </control>
          </mc:Choice>
        </mc:AlternateContent>
        <mc:AlternateContent xmlns:mc="http://schemas.openxmlformats.org/markup-compatibility/2006">
          <mc:Choice Requires="x14">
            <control shapeId="15815" r:id="rId163" name="Check Box 455">
              <controlPr locked="0" defaultSize="0" autoFill="0" autoLine="0" autoPict="0">
                <anchor moveWithCells="1" sizeWithCells="1">
                  <from>
                    <xdr:col>22</xdr:col>
                    <xdr:colOff>0</xdr:colOff>
                    <xdr:row>1041</xdr:row>
                    <xdr:rowOff>0</xdr:rowOff>
                  </from>
                  <to>
                    <xdr:col>22</xdr:col>
                    <xdr:colOff>180975</xdr:colOff>
                    <xdr:row>1041</xdr:row>
                    <xdr:rowOff>180975</xdr:rowOff>
                  </to>
                </anchor>
              </controlPr>
            </control>
          </mc:Choice>
        </mc:AlternateContent>
        <mc:AlternateContent xmlns:mc="http://schemas.openxmlformats.org/markup-compatibility/2006">
          <mc:Choice Requires="x14">
            <control shapeId="15816" r:id="rId164" name="Check Box 456">
              <controlPr locked="0" defaultSize="0" autoFill="0" autoLine="0" autoPict="0">
                <anchor moveWithCells="1" sizeWithCells="1">
                  <from>
                    <xdr:col>22</xdr:col>
                    <xdr:colOff>0</xdr:colOff>
                    <xdr:row>1042</xdr:row>
                    <xdr:rowOff>0</xdr:rowOff>
                  </from>
                  <to>
                    <xdr:col>22</xdr:col>
                    <xdr:colOff>180975</xdr:colOff>
                    <xdr:row>1042</xdr:row>
                    <xdr:rowOff>180975</xdr:rowOff>
                  </to>
                </anchor>
              </controlPr>
            </control>
          </mc:Choice>
        </mc:AlternateContent>
        <mc:AlternateContent xmlns:mc="http://schemas.openxmlformats.org/markup-compatibility/2006">
          <mc:Choice Requires="x14">
            <control shapeId="15817" r:id="rId165" name="Check Box 457">
              <controlPr locked="0" defaultSize="0" autoFill="0" autoLine="0" autoPict="0">
                <anchor moveWithCells="1" sizeWithCells="1">
                  <from>
                    <xdr:col>22</xdr:col>
                    <xdr:colOff>0</xdr:colOff>
                    <xdr:row>1048</xdr:row>
                    <xdr:rowOff>0</xdr:rowOff>
                  </from>
                  <to>
                    <xdr:col>22</xdr:col>
                    <xdr:colOff>180975</xdr:colOff>
                    <xdr:row>1048</xdr:row>
                    <xdr:rowOff>180975</xdr:rowOff>
                  </to>
                </anchor>
              </controlPr>
            </control>
          </mc:Choice>
        </mc:AlternateContent>
        <mc:AlternateContent xmlns:mc="http://schemas.openxmlformats.org/markup-compatibility/2006">
          <mc:Choice Requires="x14">
            <control shapeId="15818" r:id="rId166" name="Check Box 458">
              <controlPr locked="0" defaultSize="0" autoFill="0" autoLine="0" autoPict="0">
                <anchor moveWithCells="1" sizeWithCells="1">
                  <from>
                    <xdr:col>22</xdr:col>
                    <xdr:colOff>0</xdr:colOff>
                    <xdr:row>1065</xdr:row>
                    <xdr:rowOff>0</xdr:rowOff>
                  </from>
                  <to>
                    <xdr:col>22</xdr:col>
                    <xdr:colOff>180975</xdr:colOff>
                    <xdr:row>1065</xdr:row>
                    <xdr:rowOff>180975</xdr:rowOff>
                  </to>
                </anchor>
              </controlPr>
            </control>
          </mc:Choice>
        </mc:AlternateContent>
        <mc:AlternateContent xmlns:mc="http://schemas.openxmlformats.org/markup-compatibility/2006">
          <mc:Choice Requires="x14">
            <control shapeId="15819" r:id="rId167" name="Check Box 459">
              <controlPr locked="0" defaultSize="0" autoFill="0" autoLine="0" autoPict="0">
                <anchor moveWithCells="1" sizeWithCells="1">
                  <from>
                    <xdr:col>22</xdr:col>
                    <xdr:colOff>0</xdr:colOff>
                    <xdr:row>1080</xdr:row>
                    <xdr:rowOff>0</xdr:rowOff>
                  </from>
                  <to>
                    <xdr:col>22</xdr:col>
                    <xdr:colOff>180975</xdr:colOff>
                    <xdr:row>1080</xdr:row>
                    <xdr:rowOff>180975</xdr:rowOff>
                  </to>
                </anchor>
              </controlPr>
            </control>
          </mc:Choice>
        </mc:AlternateContent>
        <mc:AlternateContent xmlns:mc="http://schemas.openxmlformats.org/markup-compatibility/2006">
          <mc:Choice Requires="x14">
            <control shapeId="15821" r:id="rId168" name="Check Box 461">
              <controlPr locked="0" defaultSize="0" autoFill="0" autoLine="0" autoPict="0">
                <anchor moveWithCells="1" sizeWithCells="1">
                  <from>
                    <xdr:col>22</xdr:col>
                    <xdr:colOff>0</xdr:colOff>
                    <xdr:row>1089</xdr:row>
                    <xdr:rowOff>0</xdr:rowOff>
                  </from>
                  <to>
                    <xdr:col>22</xdr:col>
                    <xdr:colOff>180975</xdr:colOff>
                    <xdr:row>1089</xdr:row>
                    <xdr:rowOff>180975</xdr:rowOff>
                  </to>
                </anchor>
              </controlPr>
            </control>
          </mc:Choice>
        </mc:AlternateContent>
        <mc:AlternateContent xmlns:mc="http://schemas.openxmlformats.org/markup-compatibility/2006">
          <mc:Choice Requires="x14">
            <control shapeId="15822" r:id="rId169" name="Check Box 462">
              <controlPr locked="0" defaultSize="0" autoFill="0" autoLine="0" autoPict="0">
                <anchor moveWithCells="1" sizeWithCells="1">
                  <from>
                    <xdr:col>22</xdr:col>
                    <xdr:colOff>0</xdr:colOff>
                    <xdr:row>1098</xdr:row>
                    <xdr:rowOff>0</xdr:rowOff>
                  </from>
                  <to>
                    <xdr:col>22</xdr:col>
                    <xdr:colOff>180975</xdr:colOff>
                    <xdr:row>1098</xdr:row>
                    <xdr:rowOff>180975</xdr:rowOff>
                  </to>
                </anchor>
              </controlPr>
            </control>
          </mc:Choice>
        </mc:AlternateContent>
        <mc:AlternateContent xmlns:mc="http://schemas.openxmlformats.org/markup-compatibility/2006">
          <mc:Choice Requires="x14">
            <control shapeId="15824" r:id="rId170" name="Check Box 464">
              <controlPr locked="0" defaultSize="0" autoFill="0" autoLine="0" autoPict="0">
                <anchor moveWithCells="1" sizeWithCells="1">
                  <from>
                    <xdr:col>22</xdr:col>
                    <xdr:colOff>0</xdr:colOff>
                    <xdr:row>1153</xdr:row>
                    <xdr:rowOff>0</xdr:rowOff>
                  </from>
                  <to>
                    <xdr:col>22</xdr:col>
                    <xdr:colOff>180975</xdr:colOff>
                    <xdr:row>1153</xdr:row>
                    <xdr:rowOff>180975</xdr:rowOff>
                  </to>
                </anchor>
              </controlPr>
            </control>
          </mc:Choice>
        </mc:AlternateContent>
        <mc:AlternateContent xmlns:mc="http://schemas.openxmlformats.org/markup-compatibility/2006">
          <mc:Choice Requires="x14">
            <control shapeId="15825" r:id="rId171" name="Check Box 465">
              <controlPr locked="0" defaultSize="0" autoFill="0" autoLine="0" autoPict="0">
                <anchor moveWithCells="1" sizeWithCells="1">
                  <from>
                    <xdr:col>22</xdr:col>
                    <xdr:colOff>0</xdr:colOff>
                    <xdr:row>1197</xdr:row>
                    <xdr:rowOff>0</xdr:rowOff>
                  </from>
                  <to>
                    <xdr:col>22</xdr:col>
                    <xdr:colOff>180975</xdr:colOff>
                    <xdr:row>1197</xdr:row>
                    <xdr:rowOff>180975</xdr:rowOff>
                  </to>
                </anchor>
              </controlPr>
            </control>
          </mc:Choice>
        </mc:AlternateContent>
        <mc:AlternateContent xmlns:mc="http://schemas.openxmlformats.org/markup-compatibility/2006">
          <mc:Choice Requires="x14">
            <control shapeId="15826" r:id="rId172" name="Check Box 466">
              <controlPr locked="0" defaultSize="0" autoFill="0" autoLine="0" autoPict="0">
                <anchor moveWithCells="1" sizeWithCells="1">
                  <from>
                    <xdr:col>22</xdr:col>
                    <xdr:colOff>0</xdr:colOff>
                    <xdr:row>1200</xdr:row>
                    <xdr:rowOff>0</xdr:rowOff>
                  </from>
                  <to>
                    <xdr:col>22</xdr:col>
                    <xdr:colOff>180975</xdr:colOff>
                    <xdr:row>1200</xdr:row>
                    <xdr:rowOff>180975</xdr:rowOff>
                  </to>
                </anchor>
              </controlPr>
            </control>
          </mc:Choice>
        </mc:AlternateContent>
        <mc:AlternateContent xmlns:mc="http://schemas.openxmlformats.org/markup-compatibility/2006">
          <mc:Choice Requires="x14">
            <control shapeId="15827" r:id="rId173" name="Check Box 467">
              <controlPr locked="0" defaultSize="0" autoFill="0" autoLine="0" autoPict="0">
                <anchor moveWithCells="1" sizeWithCells="1">
                  <from>
                    <xdr:col>22</xdr:col>
                    <xdr:colOff>0</xdr:colOff>
                    <xdr:row>1210</xdr:row>
                    <xdr:rowOff>0</xdr:rowOff>
                  </from>
                  <to>
                    <xdr:col>22</xdr:col>
                    <xdr:colOff>180975</xdr:colOff>
                    <xdr:row>1210</xdr:row>
                    <xdr:rowOff>180975</xdr:rowOff>
                  </to>
                </anchor>
              </controlPr>
            </control>
          </mc:Choice>
        </mc:AlternateContent>
        <mc:AlternateContent xmlns:mc="http://schemas.openxmlformats.org/markup-compatibility/2006">
          <mc:Choice Requires="x14">
            <control shapeId="15828" r:id="rId174" name="Check Box 468">
              <controlPr locked="0" defaultSize="0" autoFill="0" autoLine="0" autoPict="0">
                <anchor moveWithCells="1" sizeWithCells="1">
                  <from>
                    <xdr:col>22</xdr:col>
                    <xdr:colOff>0</xdr:colOff>
                    <xdr:row>1217</xdr:row>
                    <xdr:rowOff>0</xdr:rowOff>
                  </from>
                  <to>
                    <xdr:col>22</xdr:col>
                    <xdr:colOff>180975</xdr:colOff>
                    <xdr:row>1217</xdr:row>
                    <xdr:rowOff>180975</xdr:rowOff>
                  </to>
                </anchor>
              </controlPr>
            </control>
          </mc:Choice>
        </mc:AlternateContent>
        <mc:AlternateContent xmlns:mc="http://schemas.openxmlformats.org/markup-compatibility/2006">
          <mc:Choice Requires="x14">
            <control shapeId="15829" r:id="rId175" name="Check Box 469">
              <controlPr locked="0" defaultSize="0" autoFill="0" autoLine="0" autoPict="0">
                <anchor moveWithCells="1" sizeWithCells="1">
                  <from>
                    <xdr:col>22</xdr:col>
                    <xdr:colOff>0</xdr:colOff>
                    <xdr:row>1223</xdr:row>
                    <xdr:rowOff>0</xdr:rowOff>
                  </from>
                  <to>
                    <xdr:col>22</xdr:col>
                    <xdr:colOff>180975</xdr:colOff>
                    <xdr:row>1223</xdr:row>
                    <xdr:rowOff>180975</xdr:rowOff>
                  </to>
                </anchor>
              </controlPr>
            </control>
          </mc:Choice>
        </mc:AlternateContent>
        <mc:AlternateContent xmlns:mc="http://schemas.openxmlformats.org/markup-compatibility/2006">
          <mc:Choice Requires="x14">
            <control shapeId="15830" r:id="rId176" name="Check Box 470">
              <controlPr locked="0" defaultSize="0" autoFill="0" autoLine="0" autoPict="0">
                <anchor moveWithCells="1" sizeWithCells="1">
                  <from>
                    <xdr:col>22</xdr:col>
                    <xdr:colOff>0</xdr:colOff>
                    <xdr:row>1225</xdr:row>
                    <xdr:rowOff>0</xdr:rowOff>
                  </from>
                  <to>
                    <xdr:col>22</xdr:col>
                    <xdr:colOff>180975</xdr:colOff>
                    <xdr:row>1225</xdr:row>
                    <xdr:rowOff>180975</xdr:rowOff>
                  </to>
                </anchor>
              </controlPr>
            </control>
          </mc:Choice>
        </mc:AlternateContent>
        <mc:AlternateContent xmlns:mc="http://schemas.openxmlformats.org/markup-compatibility/2006">
          <mc:Choice Requires="x14">
            <control shapeId="15831" r:id="rId177" name="Check Box 471">
              <controlPr locked="0" defaultSize="0" autoFill="0" autoLine="0" autoPict="0">
                <anchor moveWithCells="1" sizeWithCells="1">
                  <from>
                    <xdr:col>22</xdr:col>
                    <xdr:colOff>0</xdr:colOff>
                    <xdr:row>1228</xdr:row>
                    <xdr:rowOff>0</xdr:rowOff>
                  </from>
                  <to>
                    <xdr:col>22</xdr:col>
                    <xdr:colOff>180975</xdr:colOff>
                    <xdr:row>1228</xdr:row>
                    <xdr:rowOff>180975</xdr:rowOff>
                  </to>
                </anchor>
              </controlPr>
            </control>
          </mc:Choice>
        </mc:AlternateContent>
        <mc:AlternateContent xmlns:mc="http://schemas.openxmlformats.org/markup-compatibility/2006">
          <mc:Choice Requires="x14">
            <control shapeId="15832" r:id="rId178" name="Check Box 472">
              <controlPr locked="0" defaultSize="0" autoFill="0" autoLine="0" autoPict="0">
                <anchor moveWithCells="1" sizeWithCells="1">
                  <from>
                    <xdr:col>22</xdr:col>
                    <xdr:colOff>0</xdr:colOff>
                    <xdr:row>1229</xdr:row>
                    <xdr:rowOff>0</xdr:rowOff>
                  </from>
                  <to>
                    <xdr:col>22</xdr:col>
                    <xdr:colOff>180975</xdr:colOff>
                    <xdr:row>1229</xdr:row>
                    <xdr:rowOff>180975</xdr:rowOff>
                  </to>
                </anchor>
              </controlPr>
            </control>
          </mc:Choice>
        </mc:AlternateContent>
        <mc:AlternateContent xmlns:mc="http://schemas.openxmlformats.org/markup-compatibility/2006">
          <mc:Choice Requires="x14">
            <control shapeId="15833" r:id="rId179" name="Check Box 473">
              <controlPr locked="0" defaultSize="0" autoFill="0" autoLine="0" autoPict="0">
                <anchor moveWithCells="1" sizeWithCells="1">
                  <from>
                    <xdr:col>22</xdr:col>
                    <xdr:colOff>0</xdr:colOff>
                    <xdr:row>1231</xdr:row>
                    <xdr:rowOff>0</xdr:rowOff>
                  </from>
                  <to>
                    <xdr:col>22</xdr:col>
                    <xdr:colOff>180975</xdr:colOff>
                    <xdr:row>1231</xdr:row>
                    <xdr:rowOff>180975</xdr:rowOff>
                  </to>
                </anchor>
              </controlPr>
            </control>
          </mc:Choice>
        </mc:AlternateContent>
        <mc:AlternateContent xmlns:mc="http://schemas.openxmlformats.org/markup-compatibility/2006">
          <mc:Choice Requires="x14">
            <control shapeId="15834" r:id="rId180" name="Check Box 474">
              <controlPr locked="0" defaultSize="0" autoFill="0" autoLine="0" autoPict="0">
                <anchor moveWithCells="1" sizeWithCells="1">
                  <from>
                    <xdr:col>22</xdr:col>
                    <xdr:colOff>0</xdr:colOff>
                    <xdr:row>1292</xdr:row>
                    <xdr:rowOff>0</xdr:rowOff>
                  </from>
                  <to>
                    <xdr:col>22</xdr:col>
                    <xdr:colOff>180975</xdr:colOff>
                    <xdr:row>1292</xdr:row>
                    <xdr:rowOff>180975</xdr:rowOff>
                  </to>
                </anchor>
              </controlPr>
            </control>
          </mc:Choice>
        </mc:AlternateContent>
        <mc:AlternateContent xmlns:mc="http://schemas.openxmlformats.org/markup-compatibility/2006">
          <mc:Choice Requires="x14">
            <control shapeId="15835" r:id="rId181" name="Check Box 475">
              <controlPr locked="0" defaultSize="0" autoFill="0" autoLine="0" autoPict="0">
                <anchor moveWithCells="1" sizeWithCells="1">
                  <from>
                    <xdr:col>22</xdr:col>
                    <xdr:colOff>0</xdr:colOff>
                    <xdr:row>1294</xdr:row>
                    <xdr:rowOff>0</xdr:rowOff>
                  </from>
                  <to>
                    <xdr:col>22</xdr:col>
                    <xdr:colOff>180975</xdr:colOff>
                    <xdr:row>1294</xdr:row>
                    <xdr:rowOff>180975</xdr:rowOff>
                  </to>
                </anchor>
              </controlPr>
            </control>
          </mc:Choice>
        </mc:AlternateContent>
        <mc:AlternateContent xmlns:mc="http://schemas.openxmlformats.org/markup-compatibility/2006">
          <mc:Choice Requires="x14">
            <control shapeId="15836" r:id="rId182" name="Check Box 476">
              <controlPr locked="0" defaultSize="0" autoFill="0" autoLine="0" autoPict="0">
                <anchor moveWithCells="1" sizeWithCells="1">
                  <from>
                    <xdr:col>22</xdr:col>
                    <xdr:colOff>0</xdr:colOff>
                    <xdr:row>1296</xdr:row>
                    <xdr:rowOff>0</xdr:rowOff>
                  </from>
                  <to>
                    <xdr:col>22</xdr:col>
                    <xdr:colOff>180975</xdr:colOff>
                    <xdr:row>1296</xdr:row>
                    <xdr:rowOff>180975</xdr:rowOff>
                  </to>
                </anchor>
              </controlPr>
            </control>
          </mc:Choice>
        </mc:AlternateContent>
        <mc:AlternateContent xmlns:mc="http://schemas.openxmlformats.org/markup-compatibility/2006">
          <mc:Choice Requires="x14">
            <control shapeId="15837" r:id="rId183" name="Check Box 477">
              <controlPr locked="0" defaultSize="0" autoFill="0" autoLine="0" autoPict="0">
                <anchor moveWithCells="1" sizeWithCells="1">
                  <from>
                    <xdr:col>22</xdr:col>
                    <xdr:colOff>0</xdr:colOff>
                    <xdr:row>1317</xdr:row>
                    <xdr:rowOff>0</xdr:rowOff>
                  </from>
                  <to>
                    <xdr:col>22</xdr:col>
                    <xdr:colOff>180975</xdr:colOff>
                    <xdr:row>1317</xdr:row>
                    <xdr:rowOff>180975</xdr:rowOff>
                  </to>
                </anchor>
              </controlPr>
            </control>
          </mc:Choice>
        </mc:AlternateContent>
        <mc:AlternateContent xmlns:mc="http://schemas.openxmlformats.org/markup-compatibility/2006">
          <mc:Choice Requires="x14">
            <control shapeId="15838" r:id="rId184" name="Check Box 478">
              <controlPr locked="0" defaultSize="0" autoFill="0" autoLine="0" autoPict="0">
                <anchor moveWithCells="1" sizeWithCells="1">
                  <from>
                    <xdr:col>22</xdr:col>
                    <xdr:colOff>0</xdr:colOff>
                    <xdr:row>1319</xdr:row>
                    <xdr:rowOff>0</xdr:rowOff>
                  </from>
                  <to>
                    <xdr:col>22</xdr:col>
                    <xdr:colOff>180975</xdr:colOff>
                    <xdr:row>1319</xdr:row>
                    <xdr:rowOff>180975</xdr:rowOff>
                  </to>
                </anchor>
              </controlPr>
            </control>
          </mc:Choice>
        </mc:AlternateContent>
        <mc:AlternateContent xmlns:mc="http://schemas.openxmlformats.org/markup-compatibility/2006">
          <mc:Choice Requires="x14">
            <control shapeId="15839" r:id="rId185" name="Check Box 479">
              <controlPr locked="0" defaultSize="0" autoFill="0" autoLine="0" autoPict="0">
                <anchor moveWithCells="1" sizeWithCells="1">
                  <from>
                    <xdr:col>22</xdr:col>
                    <xdr:colOff>0</xdr:colOff>
                    <xdr:row>1321</xdr:row>
                    <xdr:rowOff>0</xdr:rowOff>
                  </from>
                  <to>
                    <xdr:col>22</xdr:col>
                    <xdr:colOff>180975</xdr:colOff>
                    <xdr:row>1321</xdr:row>
                    <xdr:rowOff>180975</xdr:rowOff>
                  </to>
                </anchor>
              </controlPr>
            </control>
          </mc:Choice>
        </mc:AlternateContent>
        <mc:AlternateContent xmlns:mc="http://schemas.openxmlformats.org/markup-compatibility/2006">
          <mc:Choice Requires="x14">
            <control shapeId="15840" r:id="rId186" name="Check Box 480">
              <controlPr locked="0" defaultSize="0" autoFill="0" autoLine="0" autoPict="0">
                <anchor moveWithCells="1" sizeWithCells="1">
                  <from>
                    <xdr:col>22</xdr:col>
                    <xdr:colOff>0</xdr:colOff>
                    <xdr:row>1324</xdr:row>
                    <xdr:rowOff>0</xdr:rowOff>
                  </from>
                  <to>
                    <xdr:col>22</xdr:col>
                    <xdr:colOff>180975</xdr:colOff>
                    <xdr:row>1324</xdr:row>
                    <xdr:rowOff>180975</xdr:rowOff>
                  </to>
                </anchor>
              </controlPr>
            </control>
          </mc:Choice>
        </mc:AlternateContent>
        <mc:AlternateContent xmlns:mc="http://schemas.openxmlformats.org/markup-compatibility/2006">
          <mc:Choice Requires="x14">
            <control shapeId="15841" r:id="rId187" name="Check Box 481">
              <controlPr locked="0" defaultSize="0" autoFill="0" autoLine="0" autoPict="0">
                <anchor moveWithCells="1" sizeWithCells="1">
                  <from>
                    <xdr:col>22</xdr:col>
                    <xdr:colOff>0</xdr:colOff>
                    <xdr:row>1325</xdr:row>
                    <xdr:rowOff>0</xdr:rowOff>
                  </from>
                  <to>
                    <xdr:col>22</xdr:col>
                    <xdr:colOff>180975</xdr:colOff>
                    <xdr:row>1325</xdr:row>
                    <xdr:rowOff>180975</xdr:rowOff>
                  </to>
                </anchor>
              </controlPr>
            </control>
          </mc:Choice>
        </mc:AlternateContent>
        <mc:AlternateContent xmlns:mc="http://schemas.openxmlformats.org/markup-compatibility/2006">
          <mc:Choice Requires="x14">
            <control shapeId="15842" r:id="rId188" name="Check Box 482">
              <controlPr locked="0" defaultSize="0" autoFill="0" autoLine="0" autoPict="0">
                <anchor moveWithCells="1" sizeWithCells="1">
                  <from>
                    <xdr:col>22</xdr:col>
                    <xdr:colOff>0</xdr:colOff>
                    <xdr:row>1326</xdr:row>
                    <xdr:rowOff>0</xdr:rowOff>
                  </from>
                  <to>
                    <xdr:col>22</xdr:col>
                    <xdr:colOff>180975</xdr:colOff>
                    <xdr:row>1326</xdr:row>
                    <xdr:rowOff>180975</xdr:rowOff>
                  </to>
                </anchor>
              </controlPr>
            </control>
          </mc:Choice>
        </mc:AlternateContent>
        <mc:AlternateContent xmlns:mc="http://schemas.openxmlformats.org/markup-compatibility/2006">
          <mc:Choice Requires="x14">
            <control shapeId="15843" r:id="rId189" name="Check Box 483">
              <controlPr locked="0" defaultSize="0" autoFill="0" autoLine="0" autoPict="0">
                <anchor moveWithCells="1" sizeWithCells="1">
                  <from>
                    <xdr:col>22</xdr:col>
                    <xdr:colOff>0</xdr:colOff>
                    <xdr:row>1329</xdr:row>
                    <xdr:rowOff>0</xdr:rowOff>
                  </from>
                  <to>
                    <xdr:col>22</xdr:col>
                    <xdr:colOff>180975</xdr:colOff>
                    <xdr:row>1329</xdr:row>
                    <xdr:rowOff>180975</xdr:rowOff>
                  </to>
                </anchor>
              </controlPr>
            </control>
          </mc:Choice>
        </mc:AlternateContent>
        <mc:AlternateContent xmlns:mc="http://schemas.openxmlformats.org/markup-compatibility/2006">
          <mc:Choice Requires="x14">
            <control shapeId="15844" r:id="rId190" name="Check Box 484">
              <controlPr locked="0" defaultSize="0" autoFill="0" autoLine="0" autoPict="0">
                <anchor moveWithCells="1" sizeWithCells="1">
                  <from>
                    <xdr:col>22</xdr:col>
                    <xdr:colOff>0</xdr:colOff>
                    <xdr:row>1356</xdr:row>
                    <xdr:rowOff>0</xdr:rowOff>
                  </from>
                  <to>
                    <xdr:col>22</xdr:col>
                    <xdr:colOff>180975</xdr:colOff>
                    <xdr:row>1356</xdr:row>
                    <xdr:rowOff>180975</xdr:rowOff>
                  </to>
                </anchor>
              </controlPr>
            </control>
          </mc:Choice>
        </mc:AlternateContent>
        <mc:AlternateContent xmlns:mc="http://schemas.openxmlformats.org/markup-compatibility/2006">
          <mc:Choice Requires="x14">
            <control shapeId="15845" r:id="rId191" name="Check Box 485">
              <controlPr locked="0" defaultSize="0" autoFill="0" autoLine="0" autoPict="0">
                <anchor moveWithCells="1" sizeWithCells="1">
                  <from>
                    <xdr:col>22</xdr:col>
                    <xdr:colOff>0</xdr:colOff>
                    <xdr:row>1364</xdr:row>
                    <xdr:rowOff>0</xdr:rowOff>
                  </from>
                  <to>
                    <xdr:col>22</xdr:col>
                    <xdr:colOff>180975</xdr:colOff>
                    <xdr:row>1364</xdr:row>
                    <xdr:rowOff>180975</xdr:rowOff>
                  </to>
                </anchor>
              </controlPr>
            </control>
          </mc:Choice>
        </mc:AlternateContent>
        <mc:AlternateContent xmlns:mc="http://schemas.openxmlformats.org/markup-compatibility/2006">
          <mc:Choice Requires="x14">
            <control shapeId="15846" r:id="rId192" name="Check Box 486">
              <controlPr locked="0" defaultSize="0" autoFill="0" autoLine="0" autoPict="0">
                <anchor moveWithCells="1" sizeWithCells="1">
                  <from>
                    <xdr:col>22</xdr:col>
                    <xdr:colOff>0</xdr:colOff>
                    <xdr:row>1366</xdr:row>
                    <xdr:rowOff>0</xdr:rowOff>
                  </from>
                  <to>
                    <xdr:col>22</xdr:col>
                    <xdr:colOff>180975</xdr:colOff>
                    <xdr:row>1366</xdr:row>
                    <xdr:rowOff>180975</xdr:rowOff>
                  </to>
                </anchor>
              </controlPr>
            </control>
          </mc:Choice>
        </mc:AlternateContent>
        <mc:AlternateContent xmlns:mc="http://schemas.openxmlformats.org/markup-compatibility/2006">
          <mc:Choice Requires="x14">
            <control shapeId="15847" r:id="rId193" name="Check Box 487">
              <controlPr locked="0" defaultSize="0" autoFill="0" autoLine="0" autoPict="0">
                <anchor moveWithCells="1" sizeWithCells="1">
                  <from>
                    <xdr:col>22</xdr:col>
                    <xdr:colOff>0</xdr:colOff>
                    <xdr:row>1367</xdr:row>
                    <xdr:rowOff>0</xdr:rowOff>
                  </from>
                  <to>
                    <xdr:col>22</xdr:col>
                    <xdr:colOff>180975</xdr:colOff>
                    <xdr:row>1367</xdr:row>
                    <xdr:rowOff>180975</xdr:rowOff>
                  </to>
                </anchor>
              </controlPr>
            </control>
          </mc:Choice>
        </mc:AlternateContent>
        <mc:AlternateContent xmlns:mc="http://schemas.openxmlformats.org/markup-compatibility/2006">
          <mc:Choice Requires="x14">
            <control shapeId="15848" r:id="rId194" name="Check Box 488">
              <controlPr locked="0" defaultSize="0" autoFill="0" autoLine="0" autoPict="0">
                <anchor moveWithCells="1" sizeWithCells="1">
                  <from>
                    <xdr:col>22</xdr:col>
                    <xdr:colOff>0</xdr:colOff>
                    <xdr:row>1368</xdr:row>
                    <xdr:rowOff>0</xdr:rowOff>
                  </from>
                  <to>
                    <xdr:col>22</xdr:col>
                    <xdr:colOff>180975</xdr:colOff>
                    <xdr:row>1368</xdr:row>
                    <xdr:rowOff>180975</xdr:rowOff>
                  </to>
                </anchor>
              </controlPr>
            </control>
          </mc:Choice>
        </mc:AlternateContent>
        <mc:AlternateContent xmlns:mc="http://schemas.openxmlformats.org/markup-compatibility/2006">
          <mc:Choice Requires="x14">
            <control shapeId="15849" r:id="rId195" name="Check Box 489">
              <controlPr locked="0" defaultSize="0" autoFill="0" autoLine="0" autoPict="0">
                <anchor moveWithCells="1" sizeWithCells="1">
                  <from>
                    <xdr:col>22</xdr:col>
                    <xdr:colOff>0</xdr:colOff>
                    <xdr:row>1370</xdr:row>
                    <xdr:rowOff>0</xdr:rowOff>
                  </from>
                  <to>
                    <xdr:col>22</xdr:col>
                    <xdr:colOff>180975</xdr:colOff>
                    <xdr:row>1370</xdr:row>
                    <xdr:rowOff>180975</xdr:rowOff>
                  </to>
                </anchor>
              </controlPr>
            </control>
          </mc:Choice>
        </mc:AlternateContent>
        <mc:AlternateContent xmlns:mc="http://schemas.openxmlformats.org/markup-compatibility/2006">
          <mc:Choice Requires="x14">
            <control shapeId="15850" r:id="rId196" name="Check Box 490">
              <controlPr locked="0" defaultSize="0" autoFill="0" autoLine="0" autoPict="0">
                <anchor moveWithCells="1" sizeWithCells="1">
                  <from>
                    <xdr:col>22</xdr:col>
                    <xdr:colOff>0</xdr:colOff>
                    <xdr:row>1373</xdr:row>
                    <xdr:rowOff>0</xdr:rowOff>
                  </from>
                  <to>
                    <xdr:col>22</xdr:col>
                    <xdr:colOff>180975</xdr:colOff>
                    <xdr:row>1373</xdr:row>
                    <xdr:rowOff>180975</xdr:rowOff>
                  </to>
                </anchor>
              </controlPr>
            </control>
          </mc:Choice>
        </mc:AlternateContent>
        <mc:AlternateContent xmlns:mc="http://schemas.openxmlformats.org/markup-compatibility/2006">
          <mc:Choice Requires="x14">
            <control shapeId="15851" r:id="rId197" name="Check Box 491">
              <controlPr locked="0" defaultSize="0" autoFill="0" autoLine="0" autoPict="0">
                <anchor moveWithCells="1" sizeWithCells="1">
                  <from>
                    <xdr:col>22</xdr:col>
                    <xdr:colOff>0</xdr:colOff>
                    <xdr:row>1375</xdr:row>
                    <xdr:rowOff>0</xdr:rowOff>
                  </from>
                  <to>
                    <xdr:col>22</xdr:col>
                    <xdr:colOff>180975</xdr:colOff>
                    <xdr:row>1375</xdr:row>
                    <xdr:rowOff>180975</xdr:rowOff>
                  </to>
                </anchor>
              </controlPr>
            </control>
          </mc:Choice>
        </mc:AlternateContent>
        <mc:AlternateContent xmlns:mc="http://schemas.openxmlformats.org/markup-compatibility/2006">
          <mc:Choice Requires="x14">
            <control shapeId="15852" r:id="rId198" name="Check Box 492">
              <controlPr locked="0" defaultSize="0" autoFill="0" autoLine="0" autoPict="0">
                <anchor moveWithCells="1" sizeWithCells="1">
                  <from>
                    <xdr:col>22</xdr:col>
                    <xdr:colOff>0</xdr:colOff>
                    <xdr:row>1380</xdr:row>
                    <xdr:rowOff>0</xdr:rowOff>
                  </from>
                  <to>
                    <xdr:col>22</xdr:col>
                    <xdr:colOff>180975</xdr:colOff>
                    <xdr:row>1380</xdr:row>
                    <xdr:rowOff>180975</xdr:rowOff>
                  </to>
                </anchor>
              </controlPr>
            </control>
          </mc:Choice>
        </mc:AlternateContent>
        <mc:AlternateContent xmlns:mc="http://schemas.openxmlformats.org/markup-compatibility/2006">
          <mc:Choice Requires="x14">
            <control shapeId="15853" r:id="rId199" name="Check Box 493">
              <controlPr locked="0" defaultSize="0" autoFill="0" autoLine="0" autoPict="0">
                <anchor moveWithCells="1" sizeWithCells="1">
                  <from>
                    <xdr:col>22</xdr:col>
                    <xdr:colOff>0</xdr:colOff>
                    <xdr:row>1382</xdr:row>
                    <xdr:rowOff>0</xdr:rowOff>
                  </from>
                  <to>
                    <xdr:col>22</xdr:col>
                    <xdr:colOff>180975</xdr:colOff>
                    <xdr:row>1382</xdr:row>
                    <xdr:rowOff>180975</xdr:rowOff>
                  </to>
                </anchor>
              </controlPr>
            </control>
          </mc:Choice>
        </mc:AlternateContent>
        <mc:AlternateContent xmlns:mc="http://schemas.openxmlformats.org/markup-compatibility/2006">
          <mc:Choice Requires="x14">
            <control shapeId="15854" r:id="rId200" name="Check Box 494">
              <controlPr locked="0" defaultSize="0" autoFill="0" autoLine="0" autoPict="0">
                <anchor moveWithCells="1" sizeWithCells="1">
                  <from>
                    <xdr:col>22</xdr:col>
                    <xdr:colOff>0</xdr:colOff>
                    <xdr:row>1384</xdr:row>
                    <xdr:rowOff>0</xdr:rowOff>
                  </from>
                  <to>
                    <xdr:col>22</xdr:col>
                    <xdr:colOff>180975</xdr:colOff>
                    <xdr:row>1384</xdr:row>
                    <xdr:rowOff>180975</xdr:rowOff>
                  </to>
                </anchor>
              </controlPr>
            </control>
          </mc:Choice>
        </mc:AlternateContent>
        <mc:AlternateContent xmlns:mc="http://schemas.openxmlformats.org/markup-compatibility/2006">
          <mc:Choice Requires="x14">
            <control shapeId="15855" r:id="rId201" name="Check Box 495">
              <controlPr locked="0" defaultSize="0" autoFill="0" autoLine="0" autoPict="0">
                <anchor moveWithCells="1" sizeWithCells="1">
                  <from>
                    <xdr:col>22</xdr:col>
                    <xdr:colOff>0</xdr:colOff>
                    <xdr:row>1386</xdr:row>
                    <xdr:rowOff>0</xdr:rowOff>
                  </from>
                  <to>
                    <xdr:col>22</xdr:col>
                    <xdr:colOff>180975</xdr:colOff>
                    <xdr:row>1386</xdr:row>
                    <xdr:rowOff>180975</xdr:rowOff>
                  </to>
                </anchor>
              </controlPr>
            </control>
          </mc:Choice>
        </mc:AlternateContent>
        <mc:AlternateContent xmlns:mc="http://schemas.openxmlformats.org/markup-compatibility/2006">
          <mc:Choice Requires="x14">
            <control shapeId="15856" r:id="rId202" name="Check Box 496">
              <controlPr locked="0" defaultSize="0" autoFill="0" autoLine="0" autoPict="0">
                <anchor moveWithCells="1" sizeWithCells="1">
                  <from>
                    <xdr:col>22</xdr:col>
                    <xdr:colOff>0</xdr:colOff>
                    <xdr:row>1430</xdr:row>
                    <xdr:rowOff>0</xdr:rowOff>
                  </from>
                  <to>
                    <xdr:col>22</xdr:col>
                    <xdr:colOff>180975</xdr:colOff>
                    <xdr:row>1430</xdr:row>
                    <xdr:rowOff>180975</xdr:rowOff>
                  </to>
                </anchor>
              </controlPr>
            </control>
          </mc:Choice>
        </mc:AlternateContent>
        <mc:AlternateContent xmlns:mc="http://schemas.openxmlformats.org/markup-compatibility/2006">
          <mc:Choice Requires="x14">
            <control shapeId="15857" r:id="rId203" name="Check Box 497">
              <controlPr locked="0" defaultSize="0" autoFill="0" autoLine="0" autoPict="0">
                <anchor moveWithCells="1" sizeWithCells="1">
                  <from>
                    <xdr:col>22</xdr:col>
                    <xdr:colOff>0</xdr:colOff>
                    <xdr:row>1447</xdr:row>
                    <xdr:rowOff>0</xdr:rowOff>
                  </from>
                  <to>
                    <xdr:col>22</xdr:col>
                    <xdr:colOff>180975</xdr:colOff>
                    <xdr:row>1447</xdr:row>
                    <xdr:rowOff>180975</xdr:rowOff>
                  </to>
                </anchor>
              </controlPr>
            </control>
          </mc:Choice>
        </mc:AlternateContent>
        <mc:AlternateContent xmlns:mc="http://schemas.openxmlformats.org/markup-compatibility/2006">
          <mc:Choice Requires="x14">
            <control shapeId="15858" r:id="rId204" name="Check Box 498">
              <controlPr locked="0" defaultSize="0" autoFill="0" autoLine="0" autoPict="0">
                <anchor moveWithCells="1" sizeWithCells="1">
                  <from>
                    <xdr:col>22</xdr:col>
                    <xdr:colOff>0</xdr:colOff>
                    <xdr:row>1450</xdr:row>
                    <xdr:rowOff>0</xdr:rowOff>
                  </from>
                  <to>
                    <xdr:col>22</xdr:col>
                    <xdr:colOff>180975</xdr:colOff>
                    <xdr:row>1450</xdr:row>
                    <xdr:rowOff>180975</xdr:rowOff>
                  </to>
                </anchor>
              </controlPr>
            </control>
          </mc:Choice>
        </mc:AlternateContent>
        <mc:AlternateContent xmlns:mc="http://schemas.openxmlformats.org/markup-compatibility/2006">
          <mc:Choice Requires="x14">
            <control shapeId="15859" r:id="rId205" name="Check Box 499">
              <controlPr locked="0" defaultSize="0" autoFill="0" autoLine="0" autoPict="0">
                <anchor moveWithCells="1" sizeWithCells="1">
                  <from>
                    <xdr:col>22</xdr:col>
                    <xdr:colOff>0</xdr:colOff>
                    <xdr:row>1455</xdr:row>
                    <xdr:rowOff>0</xdr:rowOff>
                  </from>
                  <to>
                    <xdr:col>22</xdr:col>
                    <xdr:colOff>180975</xdr:colOff>
                    <xdr:row>1455</xdr:row>
                    <xdr:rowOff>180975</xdr:rowOff>
                  </to>
                </anchor>
              </controlPr>
            </control>
          </mc:Choice>
        </mc:AlternateContent>
        <mc:AlternateContent xmlns:mc="http://schemas.openxmlformats.org/markup-compatibility/2006">
          <mc:Choice Requires="x14">
            <control shapeId="15860" r:id="rId206" name="Check Box 500">
              <controlPr locked="0" defaultSize="0" autoFill="0" autoLine="0" autoPict="0">
                <anchor moveWithCells="1" sizeWithCells="1">
                  <from>
                    <xdr:col>22</xdr:col>
                    <xdr:colOff>0</xdr:colOff>
                    <xdr:row>1456</xdr:row>
                    <xdr:rowOff>0</xdr:rowOff>
                  </from>
                  <to>
                    <xdr:col>22</xdr:col>
                    <xdr:colOff>180975</xdr:colOff>
                    <xdr:row>1456</xdr:row>
                    <xdr:rowOff>180975</xdr:rowOff>
                  </to>
                </anchor>
              </controlPr>
            </control>
          </mc:Choice>
        </mc:AlternateContent>
        <mc:AlternateContent xmlns:mc="http://schemas.openxmlformats.org/markup-compatibility/2006">
          <mc:Choice Requires="x14">
            <control shapeId="15862" r:id="rId207" name="Check Box 502">
              <controlPr locked="0" defaultSize="0" autoFill="0" autoLine="0" autoPict="0">
                <anchor moveWithCells="1" sizeWithCells="1">
                  <from>
                    <xdr:col>22</xdr:col>
                    <xdr:colOff>0</xdr:colOff>
                    <xdr:row>1466</xdr:row>
                    <xdr:rowOff>0</xdr:rowOff>
                  </from>
                  <to>
                    <xdr:col>22</xdr:col>
                    <xdr:colOff>180975</xdr:colOff>
                    <xdr:row>1466</xdr:row>
                    <xdr:rowOff>180975</xdr:rowOff>
                  </to>
                </anchor>
              </controlPr>
            </control>
          </mc:Choice>
        </mc:AlternateContent>
        <mc:AlternateContent xmlns:mc="http://schemas.openxmlformats.org/markup-compatibility/2006">
          <mc:Choice Requires="x14">
            <control shapeId="15863" r:id="rId208" name="Check Box 503">
              <controlPr locked="0" defaultSize="0" autoFill="0" autoLine="0" autoPict="0">
                <anchor moveWithCells="1" sizeWithCells="1">
                  <from>
                    <xdr:col>22</xdr:col>
                    <xdr:colOff>0</xdr:colOff>
                    <xdr:row>1495</xdr:row>
                    <xdr:rowOff>0</xdr:rowOff>
                  </from>
                  <to>
                    <xdr:col>22</xdr:col>
                    <xdr:colOff>180975</xdr:colOff>
                    <xdr:row>1495</xdr:row>
                    <xdr:rowOff>180975</xdr:rowOff>
                  </to>
                </anchor>
              </controlPr>
            </control>
          </mc:Choice>
        </mc:AlternateContent>
        <mc:AlternateContent xmlns:mc="http://schemas.openxmlformats.org/markup-compatibility/2006">
          <mc:Choice Requires="x14">
            <control shapeId="15865" r:id="rId209" name="Check Box 505">
              <controlPr locked="0" defaultSize="0" autoFill="0" autoLine="0" autoPict="0">
                <anchor moveWithCells="1" sizeWithCells="1">
                  <from>
                    <xdr:col>22</xdr:col>
                    <xdr:colOff>0</xdr:colOff>
                    <xdr:row>1512</xdr:row>
                    <xdr:rowOff>0</xdr:rowOff>
                  </from>
                  <to>
                    <xdr:col>22</xdr:col>
                    <xdr:colOff>180975</xdr:colOff>
                    <xdr:row>1512</xdr:row>
                    <xdr:rowOff>180975</xdr:rowOff>
                  </to>
                </anchor>
              </controlPr>
            </control>
          </mc:Choice>
        </mc:AlternateContent>
        <mc:AlternateContent xmlns:mc="http://schemas.openxmlformats.org/markup-compatibility/2006">
          <mc:Choice Requires="x14">
            <control shapeId="15866" r:id="rId210" name="Check Box 506">
              <controlPr locked="0" defaultSize="0" autoFill="0" autoLine="0" autoPict="0">
                <anchor moveWithCells="1" sizeWithCells="1">
                  <from>
                    <xdr:col>22</xdr:col>
                    <xdr:colOff>0</xdr:colOff>
                    <xdr:row>1524</xdr:row>
                    <xdr:rowOff>0</xdr:rowOff>
                  </from>
                  <to>
                    <xdr:col>22</xdr:col>
                    <xdr:colOff>180975</xdr:colOff>
                    <xdr:row>1524</xdr:row>
                    <xdr:rowOff>180975</xdr:rowOff>
                  </to>
                </anchor>
              </controlPr>
            </control>
          </mc:Choice>
        </mc:AlternateContent>
        <mc:AlternateContent xmlns:mc="http://schemas.openxmlformats.org/markup-compatibility/2006">
          <mc:Choice Requires="x14">
            <control shapeId="15867" r:id="rId211" name="Check Box 507">
              <controlPr locked="0" defaultSize="0" autoFill="0" autoLine="0" autoPict="0">
                <anchor moveWithCells="1" sizeWithCells="1">
                  <from>
                    <xdr:col>22</xdr:col>
                    <xdr:colOff>0</xdr:colOff>
                    <xdr:row>1526</xdr:row>
                    <xdr:rowOff>0</xdr:rowOff>
                  </from>
                  <to>
                    <xdr:col>22</xdr:col>
                    <xdr:colOff>180975</xdr:colOff>
                    <xdr:row>1526</xdr:row>
                    <xdr:rowOff>180975</xdr:rowOff>
                  </to>
                </anchor>
              </controlPr>
            </control>
          </mc:Choice>
        </mc:AlternateContent>
        <mc:AlternateContent xmlns:mc="http://schemas.openxmlformats.org/markup-compatibility/2006">
          <mc:Choice Requires="x14">
            <control shapeId="15868" r:id="rId212" name="Check Box 508">
              <controlPr locked="0" defaultSize="0" autoFill="0" autoLine="0" autoPict="0">
                <anchor moveWithCells="1" sizeWithCells="1">
                  <from>
                    <xdr:col>22</xdr:col>
                    <xdr:colOff>0</xdr:colOff>
                    <xdr:row>1528</xdr:row>
                    <xdr:rowOff>0</xdr:rowOff>
                  </from>
                  <to>
                    <xdr:col>22</xdr:col>
                    <xdr:colOff>180975</xdr:colOff>
                    <xdr:row>1528</xdr:row>
                    <xdr:rowOff>180975</xdr:rowOff>
                  </to>
                </anchor>
              </controlPr>
            </control>
          </mc:Choice>
        </mc:AlternateContent>
        <mc:AlternateContent xmlns:mc="http://schemas.openxmlformats.org/markup-compatibility/2006">
          <mc:Choice Requires="x14">
            <control shapeId="15869" r:id="rId213" name="Check Box 509">
              <controlPr locked="0" defaultSize="0" autoFill="0" autoLine="0" autoPict="0">
                <anchor moveWithCells="1" sizeWithCells="1">
                  <from>
                    <xdr:col>22</xdr:col>
                    <xdr:colOff>0</xdr:colOff>
                    <xdr:row>1535</xdr:row>
                    <xdr:rowOff>0</xdr:rowOff>
                  </from>
                  <to>
                    <xdr:col>22</xdr:col>
                    <xdr:colOff>180975</xdr:colOff>
                    <xdr:row>1535</xdr:row>
                    <xdr:rowOff>180975</xdr:rowOff>
                  </to>
                </anchor>
              </controlPr>
            </control>
          </mc:Choice>
        </mc:AlternateContent>
        <mc:AlternateContent xmlns:mc="http://schemas.openxmlformats.org/markup-compatibility/2006">
          <mc:Choice Requires="x14">
            <control shapeId="15870" r:id="rId214" name="Check Box 510">
              <controlPr locked="0" defaultSize="0" autoFill="0" autoLine="0" autoPict="0">
                <anchor moveWithCells="1" sizeWithCells="1">
                  <from>
                    <xdr:col>22</xdr:col>
                    <xdr:colOff>0</xdr:colOff>
                    <xdr:row>1536</xdr:row>
                    <xdr:rowOff>0</xdr:rowOff>
                  </from>
                  <to>
                    <xdr:col>22</xdr:col>
                    <xdr:colOff>180975</xdr:colOff>
                    <xdr:row>1536</xdr:row>
                    <xdr:rowOff>180975</xdr:rowOff>
                  </to>
                </anchor>
              </controlPr>
            </control>
          </mc:Choice>
        </mc:AlternateContent>
        <mc:AlternateContent xmlns:mc="http://schemas.openxmlformats.org/markup-compatibility/2006">
          <mc:Choice Requires="x14">
            <control shapeId="15871" r:id="rId215" name="Check Box 511">
              <controlPr locked="0" defaultSize="0" autoFill="0" autoLine="0" autoPict="0">
                <anchor moveWithCells="1" sizeWithCells="1">
                  <from>
                    <xdr:col>22</xdr:col>
                    <xdr:colOff>0</xdr:colOff>
                    <xdr:row>1537</xdr:row>
                    <xdr:rowOff>0</xdr:rowOff>
                  </from>
                  <to>
                    <xdr:col>22</xdr:col>
                    <xdr:colOff>180975</xdr:colOff>
                    <xdr:row>1537</xdr:row>
                    <xdr:rowOff>180975</xdr:rowOff>
                  </to>
                </anchor>
              </controlPr>
            </control>
          </mc:Choice>
        </mc:AlternateContent>
        <mc:AlternateContent xmlns:mc="http://schemas.openxmlformats.org/markup-compatibility/2006">
          <mc:Choice Requires="x14">
            <control shapeId="15872" r:id="rId216" name="Check Box 512">
              <controlPr locked="0" defaultSize="0" autoFill="0" autoLine="0" autoPict="0">
                <anchor moveWithCells="1" sizeWithCells="1">
                  <from>
                    <xdr:col>22</xdr:col>
                    <xdr:colOff>0</xdr:colOff>
                    <xdr:row>1538</xdr:row>
                    <xdr:rowOff>0</xdr:rowOff>
                  </from>
                  <to>
                    <xdr:col>22</xdr:col>
                    <xdr:colOff>180975</xdr:colOff>
                    <xdr:row>1538</xdr:row>
                    <xdr:rowOff>180975</xdr:rowOff>
                  </to>
                </anchor>
              </controlPr>
            </control>
          </mc:Choice>
        </mc:AlternateContent>
        <mc:AlternateContent xmlns:mc="http://schemas.openxmlformats.org/markup-compatibility/2006">
          <mc:Choice Requires="x14">
            <control shapeId="15873" r:id="rId217" name="Check Box 513">
              <controlPr locked="0" defaultSize="0" autoFill="0" autoLine="0" autoPict="0">
                <anchor moveWithCells="1" sizeWithCells="1">
                  <from>
                    <xdr:col>22</xdr:col>
                    <xdr:colOff>0</xdr:colOff>
                    <xdr:row>1540</xdr:row>
                    <xdr:rowOff>0</xdr:rowOff>
                  </from>
                  <to>
                    <xdr:col>22</xdr:col>
                    <xdr:colOff>180975</xdr:colOff>
                    <xdr:row>1540</xdr:row>
                    <xdr:rowOff>180975</xdr:rowOff>
                  </to>
                </anchor>
              </controlPr>
            </control>
          </mc:Choice>
        </mc:AlternateContent>
        <mc:AlternateContent xmlns:mc="http://schemas.openxmlformats.org/markup-compatibility/2006">
          <mc:Choice Requires="x14">
            <control shapeId="15874" r:id="rId218" name="Check Box 514">
              <controlPr locked="0" defaultSize="0" autoFill="0" autoLine="0" autoPict="0">
                <anchor moveWithCells="1" sizeWithCells="1">
                  <from>
                    <xdr:col>22</xdr:col>
                    <xdr:colOff>0</xdr:colOff>
                    <xdr:row>1543</xdr:row>
                    <xdr:rowOff>0</xdr:rowOff>
                  </from>
                  <to>
                    <xdr:col>22</xdr:col>
                    <xdr:colOff>180975</xdr:colOff>
                    <xdr:row>1543</xdr:row>
                    <xdr:rowOff>180975</xdr:rowOff>
                  </to>
                </anchor>
              </controlPr>
            </control>
          </mc:Choice>
        </mc:AlternateContent>
        <mc:AlternateContent xmlns:mc="http://schemas.openxmlformats.org/markup-compatibility/2006">
          <mc:Choice Requires="x14">
            <control shapeId="15875" r:id="rId219" name="Check Box 515">
              <controlPr locked="0" defaultSize="0" autoFill="0" autoLine="0" autoPict="0">
                <anchor moveWithCells="1" sizeWithCells="1">
                  <from>
                    <xdr:col>22</xdr:col>
                    <xdr:colOff>0</xdr:colOff>
                    <xdr:row>1563</xdr:row>
                    <xdr:rowOff>0</xdr:rowOff>
                  </from>
                  <to>
                    <xdr:col>22</xdr:col>
                    <xdr:colOff>180975</xdr:colOff>
                    <xdr:row>1563</xdr:row>
                    <xdr:rowOff>180975</xdr:rowOff>
                  </to>
                </anchor>
              </controlPr>
            </control>
          </mc:Choice>
        </mc:AlternateContent>
        <mc:AlternateContent xmlns:mc="http://schemas.openxmlformats.org/markup-compatibility/2006">
          <mc:Choice Requires="x14">
            <control shapeId="15876" r:id="rId220" name="Check Box 516">
              <controlPr locked="0" defaultSize="0" autoFill="0" autoLine="0" autoPict="0">
                <anchor moveWithCells="1" sizeWithCells="1">
                  <from>
                    <xdr:col>22</xdr:col>
                    <xdr:colOff>0</xdr:colOff>
                    <xdr:row>1564</xdr:row>
                    <xdr:rowOff>0</xdr:rowOff>
                  </from>
                  <to>
                    <xdr:col>22</xdr:col>
                    <xdr:colOff>180975</xdr:colOff>
                    <xdr:row>1564</xdr:row>
                    <xdr:rowOff>180975</xdr:rowOff>
                  </to>
                </anchor>
              </controlPr>
            </control>
          </mc:Choice>
        </mc:AlternateContent>
        <mc:AlternateContent xmlns:mc="http://schemas.openxmlformats.org/markup-compatibility/2006">
          <mc:Choice Requires="x14">
            <control shapeId="15877" r:id="rId221" name="Check Box 517">
              <controlPr locked="0" defaultSize="0" autoFill="0" autoLine="0" autoPict="0">
                <anchor moveWithCells="1" sizeWithCells="1">
                  <from>
                    <xdr:col>22</xdr:col>
                    <xdr:colOff>0</xdr:colOff>
                    <xdr:row>1565</xdr:row>
                    <xdr:rowOff>0</xdr:rowOff>
                  </from>
                  <to>
                    <xdr:col>22</xdr:col>
                    <xdr:colOff>180975</xdr:colOff>
                    <xdr:row>1565</xdr:row>
                    <xdr:rowOff>180975</xdr:rowOff>
                  </to>
                </anchor>
              </controlPr>
            </control>
          </mc:Choice>
        </mc:AlternateContent>
        <mc:AlternateContent xmlns:mc="http://schemas.openxmlformats.org/markup-compatibility/2006">
          <mc:Choice Requires="x14">
            <control shapeId="15878" r:id="rId222" name="Check Box 518">
              <controlPr locked="0" defaultSize="0" autoFill="0" autoLine="0" autoPict="0">
                <anchor moveWithCells="1" sizeWithCells="1">
                  <from>
                    <xdr:col>22</xdr:col>
                    <xdr:colOff>0</xdr:colOff>
                    <xdr:row>1566</xdr:row>
                    <xdr:rowOff>0</xdr:rowOff>
                  </from>
                  <to>
                    <xdr:col>22</xdr:col>
                    <xdr:colOff>180975</xdr:colOff>
                    <xdr:row>1566</xdr:row>
                    <xdr:rowOff>180975</xdr:rowOff>
                  </to>
                </anchor>
              </controlPr>
            </control>
          </mc:Choice>
        </mc:AlternateContent>
        <mc:AlternateContent xmlns:mc="http://schemas.openxmlformats.org/markup-compatibility/2006">
          <mc:Choice Requires="x14">
            <control shapeId="15879" r:id="rId223" name="Check Box 519">
              <controlPr locked="0" defaultSize="0" autoFill="0" autoLine="0" autoPict="0">
                <anchor moveWithCells="1" sizeWithCells="1">
                  <from>
                    <xdr:col>22</xdr:col>
                    <xdr:colOff>0</xdr:colOff>
                    <xdr:row>1567</xdr:row>
                    <xdr:rowOff>0</xdr:rowOff>
                  </from>
                  <to>
                    <xdr:col>22</xdr:col>
                    <xdr:colOff>180975</xdr:colOff>
                    <xdr:row>1567</xdr:row>
                    <xdr:rowOff>180975</xdr:rowOff>
                  </to>
                </anchor>
              </controlPr>
            </control>
          </mc:Choice>
        </mc:AlternateContent>
        <mc:AlternateContent xmlns:mc="http://schemas.openxmlformats.org/markup-compatibility/2006">
          <mc:Choice Requires="x14">
            <control shapeId="15880" r:id="rId224" name="Check Box 520">
              <controlPr locked="0" defaultSize="0" autoFill="0" autoLine="0" autoPict="0">
                <anchor moveWithCells="1" sizeWithCells="1">
                  <from>
                    <xdr:col>22</xdr:col>
                    <xdr:colOff>0</xdr:colOff>
                    <xdr:row>1568</xdr:row>
                    <xdr:rowOff>0</xdr:rowOff>
                  </from>
                  <to>
                    <xdr:col>22</xdr:col>
                    <xdr:colOff>180975</xdr:colOff>
                    <xdr:row>1568</xdr:row>
                    <xdr:rowOff>180975</xdr:rowOff>
                  </to>
                </anchor>
              </controlPr>
            </control>
          </mc:Choice>
        </mc:AlternateContent>
        <mc:AlternateContent xmlns:mc="http://schemas.openxmlformats.org/markup-compatibility/2006">
          <mc:Choice Requires="x14">
            <control shapeId="15881" r:id="rId225" name="Check Box 521">
              <controlPr locked="0" defaultSize="0" autoFill="0" autoLine="0" autoPict="0">
                <anchor moveWithCells="1" sizeWithCells="1">
                  <from>
                    <xdr:col>22</xdr:col>
                    <xdr:colOff>0</xdr:colOff>
                    <xdr:row>1569</xdr:row>
                    <xdr:rowOff>0</xdr:rowOff>
                  </from>
                  <to>
                    <xdr:col>22</xdr:col>
                    <xdr:colOff>180975</xdr:colOff>
                    <xdr:row>1569</xdr:row>
                    <xdr:rowOff>180975</xdr:rowOff>
                  </to>
                </anchor>
              </controlPr>
            </control>
          </mc:Choice>
        </mc:AlternateContent>
        <mc:AlternateContent xmlns:mc="http://schemas.openxmlformats.org/markup-compatibility/2006">
          <mc:Choice Requires="x14">
            <control shapeId="15882" r:id="rId226" name="Check Box 522">
              <controlPr locked="0" defaultSize="0" autoFill="0" autoLine="0" autoPict="0">
                <anchor moveWithCells="1" sizeWithCells="1">
                  <from>
                    <xdr:col>22</xdr:col>
                    <xdr:colOff>0</xdr:colOff>
                    <xdr:row>1570</xdr:row>
                    <xdr:rowOff>0</xdr:rowOff>
                  </from>
                  <to>
                    <xdr:col>22</xdr:col>
                    <xdr:colOff>180975</xdr:colOff>
                    <xdr:row>1570</xdr:row>
                    <xdr:rowOff>180975</xdr:rowOff>
                  </to>
                </anchor>
              </controlPr>
            </control>
          </mc:Choice>
        </mc:AlternateContent>
        <mc:AlternateContent xmlns:mc="http://schemas.openxmlformats.org/markup-compatibility/2006">
          <mc:Choice Requires="x14">
            <control shapeId="15883" r:id="rId227" name="Check Box 523">
              <controlPr locked="0" defaultSize="0" autoFill="0" autoLine="0" autoPict="0">
                <anchor moveWithCells="1" sizeWithCells="1">
                  <from>
                    <xdr:col>22</xdr:col>
                    <xdr:colOff>0</xdr:colOff>
                    <xdr:row>1573</xdr:row>
                    <xdr:rowOff>0</xdr:rowOff>
                  </from>
                  <to>
                    <xdr:col>22</xdr:col>
                    <xdr:colOff>180975</xdr:colOff>
                    <xdr:row>1573</xdr:row>
                    <xdr:rowOff>180975</xdr:rowOff>
                  </to>
                </anchor>
              </controlPr>
            </control>
          </mc:Choice>
        </mc:AlternateContent>
        <mc:AlternateContent xmlns:mc="http://schemas.openxmlformats.org/markup-compatibility/2006">
          <mc:Choice Requires="x14">
            <control shapeId="15884" r:id="rId228" name="Check Box 524">
              <controlPr locked="0" defaultSize="0" autoFill="0" autoLine="0" autoPict="0">
                <anchor moveWithCells="1" sizeWithCells="1">
                  <from>
                    <xdr:col>22</xdr:col>
                    <xdr:colOff>0</xdr:colOff>
                    <xdr:row>1575</xdr:row>
                    <xdr:rowOff>0</xdr:rowOff>
                  </from>
                  <to>
                    <xdr:col>22</xdr:col>
                    <xdr:colOff>180975</xdr:colOff>
                    <xdr:row>1575</xdr:row>
                    <xdr:rowOff>180975</xdr:rowOff>
                  </to>
                </anchor>
              </controlPr>
            </control>
          </mc:Choice>
        </mc:AlternateContent>
        <mc:AlternateContent xmlns:mc="http://schemas.openxmlformats.org/markup-compatibility/2006">
          <mc:Choice Requires="x14">
            <control shapeId="15885" r:id="rId229" name="Check Box 525">
              <controlPr locked="0" defaultSize="0" autoFill="0" autoLine="0" autoPict="0">
                <anchor moveWithCells="1" sizeWithCells="1">
                  <from>
                    <xdr:col>22</xdr:col>
                    <xdr:colOff>0</xdr:colOff>
                    <xdr:row>1577</xdr:row>
                    <xdr:rowOff>0</xdr:rowOff>
                  </from>
                  <to>
                    <xdr:col>22</xdr:col>
                    <xdr:colOff>180975</xdr:colOff>
                    <xdr:row>1577</xdr:row>
                    <xdr:rowOff>180975</xdr:rowOff>
                  </to>
                </anchor>
              </controlPr>
            </control>
          </mc:Choice>
        </mc:AlternateContent>
        <mc:AlternateContent xmlns:mc="http://schemas.openxmlformats.org/markup-compatibility/2006">
          <mc:Choice Requires="x14">
            <control shapeId="15886" r:id="rId230" name="Check Box 526">
              <controlPr locked="0" defaultSize="0" autoFill="0" autoLine="0" autoPict="0">
                <anchor moveWithCells="1" sizeWithCells="1">
                  <from>
                    <xdr:col>22</xdr:col>
                    <xdr:colOff>0</xdr:colOff>
                    <xdr:row>1594</xdr:row>
                    <xdr:rowOff>0</xdr:rowOff>
                  </from>
                  <to>
                    <xdr:col>22</xdr:col>
                    <xdr:colOff>180975</xdr:colOff>
                    <xdr:row>1594</xdr:row>
                    <xdr:rowOff>180975</xdr:rowOff>
                  </to>
                </anchor>
              </controlPr>
            </control>
          </mc:Choice>
        </mc:AlternateContent>
        <mc:AlternateContent xmlns:mc="http://schemas.openxmlformats.org/markup-compatibility/2006">
          <mc:Choice Requires="x14">
            <control shapeId="15887" r:id="rId231" name="Check Box 527">
              <controlPr locked="0" defaultSize="0" autoFill="0" autoLine="0" autoPict="0">
                <anchor moveWithCells="1" sizeWithCells="1">
                  <from>
                    <xdr:col>22</xdr:col>
                    <xdr:colOff>0</xdr:colOff>
                    <xdr:row>1598</xdr:row>
                    <xdr:rowOff>0</xdr:rowOff>
                  </from>
                  <to>
                    <xdr:col>22</xdr:col>
                    <xdr:colOff>180975</xdr:colOff>
                    <xdr:row>1598</xdr:row>
                    <xdr:rowOff>180975</xdr:rowOff>
                  </to>
                </anchor>
              </controlPr>
            </control>
          </mc:Choice>
        </mc:AlternateContent>
        <mc:AlternateContent xmlns:mc="http://schemas.openxmlformats.org/markup-compatibility/2006">
          <mc:Choice Requires="x14">
            <control shapeId="15888" r:id="rId232" name="Check Box 528">
              <controlPr locked="0" defaultSize="0" autoFill="0" autoLine="0" autoPict="0">
                <anchor moveWithCells="1" sizeWithCells="1">
                  <from>
                    <xdr:col>22</xdr:col>
                    <xdr:colOff>0</xdr:colOff>
                    <xdr:row>1599</xdr:row>
                    <xdr:rowOff>0</xdr:rowOff>
                  </from>
                  <to>
                    <xdr:col>22</xdr:col>
                    <xdr:colOff>180975</xdr:colOff>
                    <xdr:row>1599</xdr:row>
                    <xdr:rowOff>180975</xdr:rowOff>
                  </to>
                </anchor>
              </controlPr>
            </control>
          </mc:Choice>
        </mc:AlternateContent>
        <mc:AlternateContent xmlns:mc="http://schemas.openxmlformats.org/markup-compatibility/2006">
          <mc:Choice Requires="x14">
            <control shapeId="15889" r:id="rId233" name="Check Box 529">
              <controlPr locked="0" defaultSize="0" autoFill="0" autoLine="0" autoPict="0">
                <anchor moveWithCells="1" sizeWithCells="1">
                  <from>
                    <xdr:col>22</xdr:col>
                    <xdr:colOff>0</xdr:colOff>
                    <xdr:row>1602</xdr:row>
                    <xdr:rowOff>0</xdr:rowOff>
                  </from>
                  <to>
                    <xdr:col>22</xdr:col>
                    <xdr:colOff>180975</xdr:colOff>
                    <xdr:row>1602</xdr:row>
                    <xdr:rowOff>180975</xdr:rowOff>
                  </to>
                </anchor>
              </controlPr>
            </control>
          </mc:Choice>
        </mc:AlternateContent>
        <mc:AlternateContent xmlns:mc="http://schemas.openxmlformats.org/markup-compatibility/2006">
          <mc:Choice Requires="x14">
            <control shapeId="15890" r:id="rId234" name="Check Box 530">
              <controlPr locked="0" defaultSize="0" autoFill="0" autoLine="0" autoPict="0">
                <anchor moveWithCells="1" sizeWithCells="1">
                  <from>
                    <xdr:col>22</xdr:col>
                    <xdr:colOff>0</xdr:colOff>
                    <xdr:row>1610</xdr:row>
                    <xdr:rowOff>0</xdr:rowOff>
                  </from>
                  <to>
                    <xdr:col>22</xdr:col>
                    <xdr:colOff>180975</xdr:colOff>
                    <xdr:row>1610</xdr:row>
                    <xdr:rowOff>180975</xdr:rowOff>
                  </to>
                </anchor>
              </controlPr>
            </control>
          </mc:Choice>
        </mc:AlternateContent>
        <mc:AlternateContent xmlns:mc="http://schemas.openxmlformats.org/markup-compatibility/2006">
          <mc:Choice Requires="x14">
            <control shapeId="15915" r:id="rId235" name="Check Box 555">
              <controlPr locked="0" defaultSize="0" autoFill="0" autoLine="0" autoPict="0">
                <anchor moveWithCells="1" sizeWithCells="1">
                  <from>
                    <xdr:col>22</xdr:col>
                    <xdr:colOff>0</xdr:colOff>
                    <xdr:row>1678</xdr:row>
                    <xdr:rowOff>0</xdr:rowOff>
                  </from>
                  <to>
                    <xdr:col>22</xdr:col>
                    <xdr:colOff>180975</xdr:colOff>
                    <xdr:row>1678</xdr:row>
                    <xdr:rowOff>180975</xdr:rowOff>
                  </to>
                </anchor>
              </controlPr>
            </control>
          </mc:Choice>
        </mc:AlternateContent>
        <mc:AlternateContent xmlns:mc="http://schemas.openxmlformats.org/markup-compatibility/2006">
          <mc:Choice Requires="x14">
            <control shapeId="15916" r:id="rId236" name="Check Box 556">
              <controlPr locked="0" defaultSize="0" autoFill="0" autoLine="0" autoPict="0">
                <anchor moveWithCells="1" sizeWithCells="1">
                  <from>
                    <xdr:col>22</xdr:col>
                    <xdr:colOff>0</xdr:colOff>
                    <xdr:row>1683</xdr:row>
                    <xdr:rowOff>0</xdr:rowOff>
                  </from>
                  <to>
                    <xdr:col>22</xdr:col>
                    <xdr:colOff>180975</xdr:colOff>
                    <xdr:row>1683</xdr:row>
                    <xdr:rowOff>180975</xdr:rowOff>
                  </to>
                </anchor>
              </controlPr>
            </control>
          </mc:Choice>
        </mc:AlternateContent>
        <mc:AlternateContent xmlns:mc="http://schemas.openxmlformats.org/markup-compatibility/2006">
          <mc:Choice Requires="x14">
            <control shapeId="15918" r:id="rId237" name="Check Box 558">
              <controlPr locked="0" defaultSize="0" autoFill="0" autoLine="0" autoPict="0">
                <anchor moveWithCells="1" sizeWithCells="1">
                  <from>
                    <xdr:col>22</xdr:col>
                    <xdr:colOff>0</xdr:colOff>
                    <xdr:row>1759</xdr:row>
                    <xdr:rowOff>0</xdr:rowOff>
                  </from>
                  <to>
                    <xdr:col>22</xdr:col>
                    <xdr:colOff>180975</xdr:colOff>
                    <xdr:row>1759</xdr:row>
                    <xdr:rowOff>180975</xdr:rowOff>
                  </to>
                </anchor>
              </controlPr>
            </control>
          </mc:Choice>
        </mc:AlternateContent>
        <mc:AlternateContent xmlns:mc="http://schemas.openxmlformats.org/markup-compatibility/2006">
          <mc:Choice Requires="x14">
            <control shapeId="15919" r:id="rId238" name="Check Box 559">
              <controlPr locked="0" defaultSize="0" autoFill="0" autoLine="0" autoPict="0">
                <anchor moveWithCells="1" sizeWithCells="1">
                  <from>
                    <xdr:col>22</xdr:col>
                    <xdr:colOff>0</xdr:colOff>
                    <xdr:row>1766</xdr:row>
                    <xdr:rowOff>0</xdr:rowOff>
                  </from>
                  <to>
                    <xdr:col>22</xdr:col>
                    <xdr:colOff>180975</xdr:colOff>
                    <xdr:row>1766</xdr:row>
                    <xdr:rowOff>180975</xdr:rowOff>
                  </to>
                </anchor>
              </controlPr>
            </control>
          </mc:Choice>
        </mc:AlternateContent>
        <mc:AlternateContent xmlns:mc="http://schemas.openxmlformats.org/markup-compatibility/2006">
          <mc:Choice Requires="x14">
            <control shapeId="15920" r:id="rId239" name="Check Box 560">
              <controlPr locked="0" defaultSize="0" autoFill="0" autoLine="0" autoPict="0">
                <anchor moveWithCells="1" sizeWithCells="1">
                  <from>
                    <xdr:col>22</xdr:col>
                    <xdr:colOff>0</xdr:colOff>
                    <xdr:row>1768</xdr:row>
                    <xdr:rowOff>0</xdr:rowOff>
                  </from>
                  <to>
                    <xdr:col>22</xdr:col>
                    <xdr:colOff>180975</xdr:colOff>
                    <xdr:row>1768</xdr:row>
                    <xdr:rowOff>180975</xdr:rowOff>
                  </to>
                </anchor>
              </controlPr>
            </control>
          </mc:Choice>
        </mc:AlternateContent>
        <mc:AlternateContent xmlns:mc="http://schemas.openxmlformats.org/markup-compatibility/2006">
          <mc:Choice Requires="x14">
            <control shapeId="15922" r:id="rId240" name="Check Box 562">
              <controlPr locked="0" defaultSize="0" autoFill="0" autoLine="0" autoPict="0">
                <anchor moveWithCells="1" sizeWithCells="1">
                  <from>
                    <xdr:col>22</xdr:col>
                    <xdr:colOff>0</xdr:colOff>
                    <xdr:row>1777</xdr:row>
                    <xdr:rowOff>0</xdr:rowOff>
                  </from>
                  <to>
                    <xdr:col>22</xdr:col>
                    <xdr:colOff>180975</xdr:colOff>
                    <xdr:row>1777</xdr:row>
                    <xdr:rowOff>180975</xdr:rowOff>
                  </to>
                </anchor>
              </controlPr>
            </control>
          </mc:Choice>
        </mc:AlternateContent>
        <mc:AlternateContent xmlns:mc="http://schemas.openxmlformats.org/markup-compatibility/2006">
          <mc:Choice Requires="x14">
            <control shapeId="15923" r:id="rId241" name="Check Box 563">
              <controlPr locked="0" defaultSize="0" autoFill="0" autoLine="0" autoPict="0">
                <anchor moveWithCells="1" sizeWithCells="1">
                  <from>
                    <xdr:col>22</xdr:col>
                    <xdr:colOff>0</xdr:colOff>
                    <xdr:row>1778</xdr:row>
                    <xdr:rowOff>0</xdr:rowOff>
                  </from>
                  <to>
                    <xdr:col>22</xdr:col>
                    <xdr:colOff>180975</xdr:colOff>
                    <xdr:row>1778</xdr:row>
                    <xdr:rowOff>180975</xdr:rowOff>
                  </to>
                </anchor>
              </controlPr>
            </control>
          </mc:Choice>
        </mc:AlternateContent>
        <mc:AlternateContent xmlns:mc="http://schemas.openxmlformats.org/markup-compatibility/2006">
          <mc:Choice Requires="x14">
            <control shapeId="15924" r:id="rId242" name="Check Box 564">
              <controlPr locked="0" defaultSize="0" autoFill="0" autoLine="0" autoPict="0">
                <anchor moveWithCells="1" sizeWithCells="1">
                  <from>
                    <xdr:col>22</xdr:col>
                    <xdr:colOff>0</xdr:colOff>
                    <xdr:row>1779</xdr:row>
                    <xdr:rowOff>0</xdr:rowOff>
                  </from>
                  <to>
                    <xdr:col>22</xdr:col>
                    <xdr:colOff>180975</xdr:colOff>
                    <xdr:row>1779</xdr:row>
                    <xdr:rowOff>180975</xdr:rowOff>
                  </to>
                </anchor>
              </controlPr>
            </control>
          </mc:Choice>
        </mc:AlternateContent>
        <mc:AlternateContent xmlns:mc="http://schemas.openxmlformats.org/markup-compatibility/2006">
          <mc:Choice Requires="x14">
            <control shapeId="15927" r:id="rId243" name="Check Box 567">
              <controlPr locked="0" defaultSize="0" autoFill="0" autoLine="0" autoPict="0">
                <anchor moveWithCells="1" sizeWithCells="1">
                  <from>
                    <xdr:col>22</xdr:col>
                    <xdr:colOff>0</xdr:colOff>
                    <xdr:row>1784</xdr:row>
                    <xdr:rowOff>0</xdr:rowOff>
                  </from>
                  <to>
                    <xdr:col>22</xdr:col>
                    <xdr:colOff>180975</xdr:colOff>
                    <xdr:row>1784</xdr:row>
                    <xdr:rowOff>180975</xdr:rowOff>
                  </to>
                </anchor>
              </controlPr>
            </control>
          </mc:Choice>
        </mc:AlternateContent>
        <mc:AlternateContent xmlns:mc="http://schemas.openxmlformats.org/markup-compatibility/2006">
          <mc:Choice Requires="x14">
            <control shapeId="15928" r:id="rId244" name="Check Box 568">
              <controlPr locked="0" defaultSize="0" autoFill="0" autoLine="0" autoPict="0">
                <anchor moveWithCells="1" sizeWithCells="1">
                  <from>
                    <xdr:col>22</xdr:col>
                    <xdr:colOff>0</xdr:colOff>
                    <xdr:row>1786</xdr:row>
                    <xdr:rowOff>0</xdr:rowOff>
                  </from>
                  <to>
                    <xdr:col>22</xdr:col>
                    <xdr:colOff>180975</xdr:colOff>
                    <xdr:row>1786</xdr:row>
                    <xdr:rowOff>180975</xdr:rowOff>
                  </to>
                </anchor>
              </controlPr>
            </control>
          </mc:Choice>
        </mc:AlternateContent>
        <mc:AlternateContent xmlns:mc="http://schemas.openxmlformats.org/markup-compatibility/2006">
          <mc:Choice Requires="x14">
            <control shapeId="15930" r:id="rId245" name="Check Box 570">
              <controlPr locked="0" defaultSize="0" autoFill="0" autoLine="0" autoPict="0">
                <anchor moveWithCells="1" sizeWithCells="1">
                  <from>
                    <xdr:col>22</xdr:col>
                    <xdr:colOff>0</xdr:colOff>
                    <xdr:row>1819</xdr:row>
                    <xdr:rowOff>0</xdr:rowOff>
                  </from>
                  <to>
                    <xdr:col>22</xdr:col>
                    <xdr:colOff>180975</xdr:colOff>
                    <xdr:row>1819</xdr:row>
                    <xdr:rowOff>180975</xdr:rowOff>
                  </to>
                </anchor>
              </controlPr>
            </control>
          </mc:Choice>
        </mc:AlternateContent>
        <mc:AlternateContent xmlns:mc="http://schemas.openxmlformats.org/markup-compatibility/2006">
          <mc:Choice Requires="x14">
            <control shapeId="15931" r:id="rId246" name="Check Box 571">
              <controlPr locked="0" defaultSize="0" autoFill="0" autoLine="0" autoPict="0">
                <anchor moveWithCells="1" sizeWithCells="1">
                  <from>
                    <xdr:col>22</xdr:col>
                    <xdr:colOff>0</xdr:colOff>
                    <xdr:row>1820</xdr:row>
                    <xdr:rowOff>0</xdr:rowOff>
                  </from>
                  <to>
                    <xdr:col>22</xdr:col>
                    <xdr:colOff>180975</xdr:colOff>
                    <xdr:row>1820</xdr:row>
                    <xdr:rowOff>180975</xdr:rowOff>
                  </to>
                </anchor>
              </controlPr>
            </control>
          </mc:Choice>
        </mc:AlternateContent>
        <mc:AlternateContent xmlns:mc="http://schemas.openxmlformats.org/markup-compatibility/2006">
          <mc:Choice Requires="x14">
            <control shapeId="15932" r:id="rId247" name="Check Box 572">
              <controlPr locked="0" defaultSize="0" autoFill="0" autoLine="0" autoPict="0">
                <anchor moveWithCells="1" sizeWithCells="1">
                  <from>
                    <xdr:col>22</xdr:col>
                    <xdr:colOff>0</xdr:colOff>
                    <xdr:row>1847</xdr:row>
                    <xdr:rowOff>0</xdr:rowOff>
                  </from>
                  <to>
                    <xdr:col>22</xdr:col>
                    <xdr:colOff>180975</xdr:colOff>
                    <xdr:row>1847</xdr:row>
                    <xdr:rowOff>180975</xdr:rowOff>
                  </to>
                </anchor>
              </controlPr>
            </control>
          </mc:Choice>
        </mc:AlternateContent>
        <mc:AlternateContent xmlns:mc="http://schemas.openxmlformats.org/markup-compatibility/2006">
          <mc:Choice Requires="x14">
            <control shapeId="15935" r:id="rId248" name="Check Box 575">
              <controlPr locked="0" defaultSize="0" autoFill="0" autoLine="0" autoPict="0">
                <anchor moveWithCells="1" sizeWithCells="1">
                  <from>
                    <xdr:col>22</xdr:col>
                    <xdr:colOff>0</xdr:colOff>
                    <xdr:row>1856</xdr:row>
                    <xdr:rowOff>0</xdr:rowOff>
                  </from>
                  <to>
                    <xdr:col>22</xdr:col>
                    <xdr:colOff>180975</xdr:colOff>
                    <xdr:row>1856</xdr:row>
                    <xdr:rowOff>180975</xdr:rowOff>
                  </to>
                </anchor>
              </controlPr>
            </control>
          </mc:Choice>
        </mc:AlternateContent>
        <mc:AlternateContent xmlns:mc="http://schemas.openxmlformats.org/markup-compatibility/2006">
          <mc:Choice Requires="x14">
            <control shapeId="15936" r:id="rId249" name="Check Box 576">
              <controlPr locked="0" defaultSize="0" autoFill="0" autoLine="0" autoPict="0">
                <anchor moveWithCells="1" sizeWithCells="1">
                  <from>
                    <xdr:col>22</xdr:col>
                    <xdr:colOff>0</xdr:colOff>
                    <xdr:row>1859</xdr:row>
                    <xdr:rowOff>0</xdr:rowOff>
                  </from>
                  <to>
                    <xdr:col>22</xdr:col>
                    <xdr:colOff>180975</xdr:colOff>
                    <xdr:row>1859</xdr:row>
                    <xdr:rowOff>180975</xdr:rowOff>
                  </to>
                </anchor>
              </controlPr>
            </control>
          </mc:Choice>
        </mc:AlternateContent>
        <mc:AlternateContent xmlns:mc="http://schemas.openxmlformats.org/markup-compatibility/2006">
          <mc:Choice Requires="x14">
            <control shapeId="15937" r:id="rId250" name="Check Box 577">
              <controlPr locked="0" defaultSize="0" autoFill="0" autoLine="0" autoPict="0">
                <anchor moveWithCells="1" sizeWithCells="1">
                  <from>
                    <xdr:col>22</xdr:col>
                    <xdr:colOff>0</xdr:colOff>
                    <xdr:row>1861</xdr:row>
                    <xdr:rowOff>0</xdr:rowOff>
                  </from>
                  <to>
                    <xdr:col>22</xdr:col>
                    <xdr:colOff>180975</xdr:colOff>
                    <xdr:row>1861</xdr:row>
                    <xdr:rowOff>180975</xdr:rowOff>
                  </to>
                </anchor>
              </controlPr>
            </control>
          </mc:Choice>
        </mc:AlternateContent>
        <mc:AlternateContent xmlns:mc="http://schemas.openxmlformats.org/markup-compatibility/2006">
          <mc:Choice Requires="x14">
            <control shapeId="15982" r:id="rId251" name="Check Box 622">
              <controlPr locked="0" defaultSize="0" autoFill="0" autoLine="0" autoPict="0">
                <anchor moveWithCells="1" sizeWithCells="1">
                  <from>
                    <xdr:col>22</xdr:col>
                    <xdr:colOff>0</xdr:colOff>
                    <xdr:row>1877</xdr:row>
                    <xdr:rowOff>0</xdr:rowOff>
                  </from>
                  <to>
                    <xdr:col>22</xdr:col>
                    <xdr:colOff>180975</xdr:colOff>
                    <xdr:row>1877</xdr:row>
                    <xdr:rowOff>180975</xdr:rowOff>
                  </to>
                </anchor>
              </controlPr>
            </control>
          </mc:Choice>
        </mc:AlternateContent>
        <mc:AlternateContent xmlns:mc="http://schemas.openxmlformats.org/markup-compatibility/2006">
          <mc:Choice Requires="x14">
            <control shapeId="15983" r:id="rId252" name="Check Box 623">
              <controlPr locked="0" defaultSize="0" autoFill="0" autoLine="0" autoPict="0">
                <anchor moveWithCells="1" sizeWithCells="1">
                  <from>
                    <xdr:col>22</xdr:col>
                    <xdr:colOff>0</xdr:colOff>
                    <xdr:row>1883</xdr:row>
                    <xdr:rowOff>0</xdr:rowOff>
                  </from>
                  <to>
                    <xdr:col>22</xdr:col>
                    <xdr:colOff>180975</xdr:colOff>
                    <xdr:row>1883</xdr:row>
                    <xdr:rowOff>180975</xdr:rowOff>
                  </to>
                </anchor>
              </controlPr>
            </control>
          </mc:Choice>
        </mc:AlternateContent>
        <mc:AlternateContent xmlns:mc="http://schemas.openxmlformats.org/markup-compatibility/2006">
          <mc:Choice Requires="x14">
            <control shapeId="15984" r:id="rId253" name="Check Box 624">
              <controlPr locked="0" defaultSize="0" autoFill="0" autoLine="0" autoPict="0">
                <anchor moveWithCells="1" sizeWithCells="1">
                  <from>
                    <xdr:col>22</xdr:col>
                    <xdr:colOff>0</xdr:colOff>
                    <xdr:row>1899</xdr:row>
                    <xdr:rowOff>0</xdr:rowOff>
                  </from>
                  <to>
                    <xdr:col>22</xdr:col>
                    <xdr:colOff>180975</xdr:colOff>
                    <xdr:row>1899</xdr:row>
                    <xdr:rowOff>180975</xdr:rowOff>
                  </to>
                </anchor>
              </controlPr>
            </control>
          </mc:Choice>
        </mc:AlternateContent>
        <mc:AlternateContent xmlns:mc="http://schemas.openxmlformats.org/markup-compatibility/2006">
          <mc:Choice Requires="x14">
            <control shapeId="15985" r:id="rId254" name="Check Box 625">
              <controlPr locked="0" defaultSize="0" autoFill="0" autoLine="0" autoPict="0">
                <anchor moveWithCells="1" sizeWithCells="1">
                  <from>
                    <xdr:col>22</xdr:col>
                    <xdr:colOff>0</xdr:colOff>
                    <xdr:row>1927</xdr:row>
                    <xdr:rowOff>0</xdr:rowOff>
                  </from>
                  <to>
                    <xdr:col>22</xdr:col>
                    <xdr:colOff>180975</xdr:colOff>
                    <xdr:row>1927</xdr:row>
                    <xdr:rowOff>180975</xdr:rowOff>
                  </to>
                </anchor>
              </controlPr>
            </control>
          </mc:Choice>
        </mc:AlternateContent>
        <mc:AlternateContent xmlns:mc="http://schemas.openxmlformats.org/markup-compatibility/2006">
          <mc:Choice Requires="x14">
            <control shapeId="15986" r:id="rId255" name="Check Box 626">
              <controlPr locked="0" defaultSize="0" autoFill="0" autoLine="0" autoPict="0">
                <anchor moveWithCells="1" sizeWithCells="1">
                  <from>
                    <xdr:col>22</xdr:col>
                    <xdr:colOff>0</xdr:colOff>
                    <xdr:row>1933</xdr:row>
                    <xdr:rowOff>0</xdr:rowOff>
                  </from>
                  <to>
                    <xdr:col>22</xdr:col>
                    <xdr:colOff>180975</xdr:colOff>
                    <xdr:row>1933</xdr:row>
                    <xdr:rowOff>180975</xdr:rowOff>
                  </to>
                </anchor>
              </controlPr>
            </control>
          </mc:Choice>
        </mc:AlternateContent>
        <mc:AlternateContent xmlns:mc="http://schemas.openxmlformats.org/markup-compatibility/2006">
          <mc:Choice Requires="x14">
            <control shapeId="15987" r:id="rId256" name="Check Box 627">
              <controlPr locked="0" defaultSize="0" autoFill="0" autoLine="0" autoPict="0">
                <anchor moveWithCells="1" sizeWithCells="1">
                  <from>
                    <xdr:col>22</xdr:col>
                    <xdr:colOff>0</xdr:colOff>
                    <xdr:row>1956</xdr:row>
                    <xdr:rowOff>0</xdr:rowOff>
                  </from>
                  <to>
                    <xdr:col>22</xdr:col>
                    <xdr:colOff>180975</xdr:colOff>
                    <xdr:row>1956</xdr:row>
                    <xdr:rowOff>180975</xdr:rowOff>
                  </to>
                </anchor>
              </controlPr>
            </control>
          </mc:Choice>
        </mc:AlternateContent>
        <mc:AlternateContent xmlns:mc="http://schemas.openxmlformats.org/markup-compatibility/2006">
          <mc:Choice Requires="x14">
            <control shapeId="15988" r:id="rId257" name="Check Box 628">
              <controlPr locked="0" defaultSize="0" autoFill="0" autoLine="0" autoPict="0">
                <anchor moveWithCells="1" sizeWithCells="1">
                  <from>
                    <xdr:col>22</xdr:col>
                    <xdr:colOff>0</xdr:colOff>
                    <xdr:row>1958</xdr:row>
                    <xdr:rowOff>0</xdr:rowOff>
                  </from>
                  <to>
                    <xdr:col>22</xdr:col>
                    <xdr:colOff>180975</xdr:colOff>
                    <xdr:row>1958</xdr:row>
                    <xdr:rowOff>180975</xdr:rowOff>
                  </to>
                </anchor>
              </controlPr>
            </control>
          </mc:Choice>
        </mc:AlternateContent>
        <mc:AlternateContent xmlns:mc="http://schemas.openxmlformats.org/markup-compatibility/2006">
          <mc:Choice Requires="x14">
            <control shapeId="15989" r:id="rId258" name="Check Box 629">
              <controlPr locked="0" defaultSize="0" autoFill="0" autoLine="0" autoPict="0">
                <anchor moveWithCells="1" sizeWithCells="1">
                  <from>
                    <xdr:col>22</xdr:col>
                    <xdr:colOff>0</xdr:colOff>
                    <xdr:row>1961</xdr:row>
                    <xdr:rowOff>0</xdr:rowOff>
                  </from>
                  <to>
                    <xdr:col>22</xdr:col>
                    <xdr:colOff>180975</xdr:colOff>
                    <xdr:row>1961</xdr:row>
                    <xdr:rowOff>180975</xdr:rowOff>
                  </to>
                </anchor>
              </controlPr>
            </control>
          </mc:Choice>
        </mc:AlternateContent>
        <mc:AlternateContent xmlns:mc="http://schemas.openxmlformats.org/markup-compatibility/2006">
          <mc:Choice Requires="x14">
            <control shapeId="15990" r:id="rId259" name="Check Box 630">
              <controlPr locked="0" defaultSize="0" autoFill="0" autoLine="0" autoPict="0">
                <anchor moveWithCells="1" sizeWithCells="1">
                  <from>
                    <xdr:col>22</xdr:col>
                    <xdr:colOff>0</xdr:colOff>
                    <xdr:row>1984</xdr:row>
                    <xdr:rowOff>0</xdr:rowOff>
                  </from>
                  <to>
                    <xdr:col>22</xdr:col>
                    <xdr:colOff>180975</xdr:colOff>
                    <xdr:row>1984</xdr:row>
                    <xdr:rowOff>180975</xdr:rowOff>
                  </to>
                </anchor>
              </controlPr>
            </control>
          </mc:Choice>
        </mc:AlternateContent>
        <mc:AlternateContent xmlns:mc="http://schemas.openxmlformats.org/markup-compatibility/2006">
          <mc:Choice Requires="x14">
            <control shapeId="15991" r:id="rId260" name="Check Box 631">
              <controlPr locked="0" defaultSize="0" autoFill="0" autoLine="0" autoPict="0">
                <anchor moveWithCells="1" sizeWithCells="1">
                  <from>
                    <xdr:col>22</xdr:col>
                    <xdr:colOff>0</xdr:colOff>
                    <xdr:row>1995</xdr:row>
                    <xdr:rowOff>0</xdr:rowOff>
                  </from>
                  <to>
                    <xdr:col>22</xdr:col>
                    <xdr:colOff>180975</xdr:colOff>
                    <xdr:row>1995</xdr:row>
                    <xdr:rowOff>180975</xdr:rowOff>
                  </to>
                </anchor>
              </controlPr>
            </control>
          </mc:Choice>
        </mc:AlternateContent>
        <mc:AlternateContent xmlns:mc="http://schemas.openxmlformats.org/markup-compatibility/2006">
          <mc:Choice Requires="x14">
            <control shapeId="15992" r:id="rId261" name="Check Box 632">
              <controlPr locked="0" defaultSize="0" autoFill="0" autoLine="0" autoPict="0">
                <anchor moveWithCells="1" sizeWithCells="1">
                  <from>
                    <xdr:col>22</xdr:col>
                    <xdr:colOff>0</xdr:colOff>
                    <xdr:row>1997</xdr:row>
                    <xdr:rowOff>0</xdr:rowOff>
                  </from>
                  <to>
                    <xdr:col>22</xdr:col>
                    <xdr:colOff>180975</xdr:colOff>
                    <xdr:row>1997</xdr:row>
                    <xdr:rowOff>180975</xdr:rowOff>
                  </to>
                </anchor>
              </controlPr>
            </control>
          </mc:Choice>
        </mc:AlternateContent>
        <mc:AlternateContent xmlns:mc="http://schemas.openxmlformats.org/markup-compatibility/2006">
          <mc:Choice Requires="x14">
            <control shapeId="15993" r:id="rId262" name="Check Box 633">
              <controlPr locked="0" defaultSize="0" autoFill="0" autoLine="0" autoPict="0">
                <anchor moveWithCells="1" sizeWithCells="1">
                  <from>
                    <xdr:col>22</xdr:col>
                    <xdr:colOff>0</xdr:colOff>
                    <xdr:row>1998</xdr:row>
                    <xdr:rowOff>0</xdr:rowOff>
                  </from>
                  <to>
                    <xdr:col>22</xdr:col>
                    <xdr:colOff>180975</xdr:colOff>
                    <xdr:row>1998</xdr:row>
                    <xdr:rowOff>180975</xdr:rowOff>
                  </to>
                </anchor>
              </controlPr>
            </control>
          </mc:Choice>
        </mc:AlternateContent>
        <mc:AlternateContent xmlns:mc="http://schemas.openxmlformats.org/markup-compatibility/2006">
          <mc:Choice Requires="x14">
            <control shapeId="15994" r:id="rId263" name="Check Box 634">
              <controlPr locked="0" defaultSize="0" autoFill="0" autoLine="0" autoPict="0">
                <anchor moveWithCells="1" sizeWithCells="1">
                  <from>
                    <xdr:col>22</xdr:col>
                    <xdr:colOff>0</xdr:colOff>
                    <xdr:row>2000</xdr:row>
                    <xdr:rowOff>0</xdr:rowOff>
                  </from>
                  <to>
                    <xdr:col>22</xdr:col>
                    <xdr:colOff>180975</xdr:colOff>
                    <xdr:row>2000</xdr:row>
                    <xdr:rowOff>180975</xdr:rowOff>
                  </to>
                </anchor>
              </controlPr>
            </control>
          </mc:Choice>
        </mc:AlternateContent>
        <mc:AlternateContent xmlns:mc="http://schemas.openxmlformats.org/markup-compatibility/2006">
          <mc:Choice Requires="x14">
            <control shapeId="15995" r:id="rId264" name="Check Box 635">
              <controlPr locked="0" defaultSize="0" autoFill="0" autoLine="0" autoPict="0">
                <anchor moveWithCells="1" sizeWithCells="1">
                  <from>
                    <xdr:col>22</xdr:col>
                    <xdr:colOff>0</xdr:colOff>
                    <xdr:row>2005</xdr:row>
                    <xdr:rowOff>0</xdr:rowOff>
                  </from>
                  <to>
                    <xdr:col>22</xdr:col>
                    <xdr:colOff>180975</xdr:colOff>
                    <xdr:row>2005</xdr:row>
                    <xdr:rowOff>180975</xdr:rowOff>
                  </to>
                </anchor>
              </controlPr>
            </control>
          </mc:Choice>
        </mc:AlternateContent>
        <mc:AlternateContent xmlns:mc="http://schemas.openxmlformats.org/markup-compatibility/2006">
          <mc:Choice Requires="x14">
            <control shapeId="15996" r:id="rId265" name="Check Box 636">
              <controlPr locked="0" defaultSize="0" autoFill="0" autoLine="0" autoPict="0">
                <anchor moveWithCells="1" sizeWithCells="1">
                  <from>
                    <xdr:col>22</xdr:col>
                    <xdr:colOff>0</xdr:colOff>
                    <xdr:row>2014</xdr:row>
                    <xdr:rowOff>0</xdr:rowOff>
                  </from>
                  <to>
                    <xdr:col>22</xdr:col>
                    <xdr:colOff>180975</xdr:colOff>
                    <xdr:row>2014</xdr:row>
                    <xdr:rowOff>180975</xdr:rowOff>
                  </to>
                </anchor>
              </controlPr>
            </control>
          </mc:Choice>
        </mc:AlternateContent>
        <mc:AlternateContent xmlns:mc="http://schemas.openxmlformats.org/markup-compatibility/2006">
          <mc:Choice Requires="x14">
            <control shapeId="15997" r:id="rId266" name="Check Box 637">
              <controlPr locked="0" defaultSize="0" autoFill="0" autoLine="0" autoPict="0">
                <anchor moveWithCells="1" sizeWithCells="1">
                  <from>
                    <xdr:col>22</xdr:col>
                    <xdr:colOff>0</xdr:colOff>
                    <xdr:row>2019</xdr:row>
                    <xdr:rowOff>0</xdr:rowOff>
                  </from>
                  <to>
                    <xdr:col>22</xdr:col>
                    <xdr:colOff>180975</xdr:colOff>
                    <xdr:row>2019</xdr:row>
                    <xdr:rowOff>180975</xdr:rowOff>
                  </to>
                </anchor>
              </controlPr>
            </control>
          </mc:Choice>
        </mc:AlternateContent>
        <mc:AlternateContent xmlns:mc="http://schemas.openxmlformats.org/markup-compatibility/2006">
          <mc:Choice Requires="x14">
            <control shapeId="15998" r:id="rId267" name="Check Box 638">
              <controlPr locked="0" defaultSize="0" autoFill="0" autoLine="0" autoPict="0">
                <anchor moveWithCells="1" sizeWithCells="1">
                  <from>
                    <xdr:col>22</xdr:col>
                    <xdr:colOff>0</xdr:colOff>
                    <xdr:row>2020</xdr:row>
                    <xdr:rowOff>0</xdr:rowOff>
                  </from>
                  <to>
                    <xdr:col>22</xdr:col>
                    <xdr:colOff>180975</xdr:colOff>
                    <xdr:row>2020</xdr:row>
                    <xdr:rowOff>180975</xdr:rowOff>
                  </to>
                </anchor>
              </controlPr>
            </control>
          </mc:Choice>
        </mc:AlternateContent>
        <mc:AlternateContent xmlns:mc="http://schemas.openxmlformats.org/markup-compatibility/2006">
          <mc:Choice Requires="x14">
            <control shapeId="15999" r:id="rId268" name="Check Box 639">
              <controlPr locked="0" defaultSize="0" autoFill="0" autoLine="0" autoPict="0">
                <anchor moveWithCells="1" sizeWithCells="1">
                  <from>
                    <xdr:col>22</xdr:col>
                    <xdr:colOff>0</xdr:colOff>
                    <xdr:row>2024</xdr:row>
                    <xdr:rowOff>0</xdr:rowOff>
                  </from>
                  <to>
                    <xdr:col>22</xdr:col>
                    <xdr:colOff>180975</xdr:colOff>
                    <xdr:row>2024</xdr:row>
                    <xdr:rowOff>180975</xdr:rowOff>
                  </to>
                </anchor>
              </controlPr>
            </control>
          </mc:Choice>
        </mc:AlternateContent>
        <mc:AlternateContent xmlns:mc="http://schemas.openxmlformats.org/markup-compatibility/2006">
          <mc:Choice Requires="x14">
            <control shapeId="16000" r:id="rId269" name="Check Box 640">
              <controlPr locked="0" defaultSize="0" autoFill="0" autoLine="0" autoPict="0">
                <anchor moveWithCells="1" sizeWithCells="1">
                  <from>
                    <xdr:col>22</xdr:col>
                    <xdr:colOff>0</xdr:colOff>
                    <xdr:row>2037</xdr:row>
                    <xdr:rowOff>0</xdr:rowOff>
                  </from>
                  <to>
                    <xdr:col>22</xdr:col>
                    <xdr:colOff>180975</xdr:colOff>
                    <xdr:row>2037</xdr:row>
                    <xdr:rowOff>180975</xdr:rowOff>
                  </to>
                </anchor>
              </controlPr>
            </control>
          </mc:Choice>
        </mc:AlternateContent>
        <mc:AlternateContent xmlns:mc="http://schemas.openxmlformats.org/markup-compatibility/2006">
          <mc:Choice Requires="x14">
            <control shapeId="16001" r:id="rId270" name="Check Box 641">
              <controlPr locked="0" defaultSize="0" autoFill="0" autoLine="0" autoPict="0">
                <anchor moveWithCells="1" sizeWithCells="1">
                  <from>
                    <xdr:col>22</xdr:col>
                    <xdr:colOff>0</xdr:colOff>
                    <xdr:row>2038</xdr:row>
                    <xdr:rowOff>0</xdr:rowOff>
                  </from>
                  <to>
                    <xdr:col>22</xdr:col>
                    <xdr:colOff>180975</xdr:colOff>
                    <xdr:row>2038</xdr:row>
                    <xdr:rowOff>180975</xdr:rowOff>
                  </to>
                </anchor>
              </controlPr>
            </control>
          </mc:Choice>
        </mc:AlternateContent>
        <mc:AlternateContent xmlns:mc="http://schemas.openxmlformats.org/markup-compatibility/2006">
          <mc:Choice Requires="x14">
            <control shapeId="16002" r:id="rId271" name="Check Box 642">
              <controlPr locked="0" defaultSize="0" autoFill="0" autoLine="0" autoPict="0">
                <anchor moveWithCells="1" sizeWithCells="1">
                  <from>
                    <xdr:col>22</xdr:col>
                    <xdr:colOff>0</xdr:colOff>
                    <xdr:row>2041</xdr:row>
                    <xdr:rowOff>0</xdr:rowOff>
                  </from>
                  <to>
                    <xdr:col>22</xdr:col>
                    <xdr:colOff>180975</xdr:colOff>
                    <xdr:row>2041</xdr:row>
                    <xdr:rowOff>180975</xdr:rowOff>
                  </to>
                </anchor>
              </controlPr>
            </control>
          </mc:Choice>
        </mc:AlternateContent>
        <mc:AlternateContent xmlns:mc="http://schemas.openxmlformats.org/markup-compatibility/2006">
          <mc:Choice Requires="x14">
            <control shapeId="16003" r:id="rId272" name="Check Box 643">
              <controlPr locked="0" defaultSize="0" autoFill="0" autoLine="0" autoPict="0">
                <anchor moveWithCells="1" sizeWithCells="1">
                  <from>
                    <xdr:col>22</xdr:col>
                    <xdr:colOff>0</xdr:colOff>
                    <xdr:row>2043</xdr:row>
                    <xdr:rowOff>0</xdr:rowOff>
                  </from>
                  <to>
                    <xdr:col>22</xdr:col>
                    <xdr:colOff>180975</xdr:colOff>
                    <xdr:row>2043</xdr:row>
                    <xdr:rowOff>180975</xdr:rowOff>
                  </to>
                </anchor>
              </controlPr>
            </control>
          </mc:Choice>
        </mc:AlternateContent>
        <mc:AlternateContent xmlns:mc="http://schemas.openxmlformats.org/markup-compatibility/2006">
          <mc:Choice Requires="x14">
            <control shapeId="16004" r:id="rId273" name="Check Box 644">
              <controlPr locked="0" defaultSize="0" autoFill="0" autoLine="0" autoPict="0">
                <anchor moveWithCells="1" sizeWithCells="1">
                  <from>
                    <xdr:col>22</xdr:col>
                    <xdr:colOff>0</xdr:colOff>
                    <xdr:row>2049</xdr:row>
                    <xdr:rowOff>0</xdr:rowOff>
                  </from>
                  <to>
                    <xdr:col>22</xdr:col>
                    <xdr:colOff>180975</xdr:colOff>
                    <xdr:row>2049</xdr:row>
                    <xdr:rowOff>180975</xdr:rowOff>
                  </to>
                </anchor>
              </controlPr>
            </control>
          </mc:Choice>
        </mc:AlternateContent>
        <mc:AlternateContent xmlns:mc="http://schemas.openxmlformats.org/markup-compatibility/2006">
          <mc:Choice Requires="x14">
            <control shapeId="16005" r:id="rId274" name="Check Box 645">
              <controlPr locked="0" defaultSize="0" autoFill="0" autoLine="0" autoPict="0">
                <anchor moveWithCells="1" sizeWithCells="1">
                  <from>
                    <xdr:col>22</xdr:col>
                    <xdr:colOff>0</xdr:colOff>
                    <xdr:row>2051</xdr:row>
                    <xdr:rowOff>0</xdr:rowOff>
                  </from>
                  <to>
                    <xdr:col>22</xdr:col>
                    <xdr:colOff>180975</xdr:colOff>
                    <xdr:row>2051</xdr:row>
                    <xdr:rowOff>180975</xdr:rowOff>
                  </to>
                </anchor>
              </controlPr>
            </control>
          </mc:Choice>
        </mc:AlternateContent>
        <mc:AlternateContent xmlns:mc="http://schemas.openxmlformats.org/markup-compatibility/2006">
          <mc:Choice Requires="x14">
            <control shapeId="16006" r:id="rId275" name="Check Box 646">
              <controlPr locked="0" defaultSize="0" autoFill="0" autoLine="0" autoPict="0">
                <anchor moveWithCells="1" sizeWithCells="1">
                  <from>
                    <xdr:col>22</xdr:col>
                    <xdr:colOff>0</xdr:colOff>
                    <xdr:row>2055</xdr:row>
                    <xdr:rowOff>0</xdr:rowOff>
                  </from>
                  <to>
                    <xdr:col>22</xdr:col>
                    <xdr:colOff>180975</xdr:colOff>
                    <xdr:row>2055</xdr:row>
                    <xdr:rowOff>180975</xdr:rowOff>
                  </to>
                </anchor>
              </controlPr>
            </control>
          </mc:Choice>
        </mc:AlternateContent>
        <mc:AlternateContent xmlns:mc="http://schemas.openxmlformats.org/markup-compatibility/2006">
          <mc:Choice Requires="x14">
            <control shapeId="16007" r:id="rId276" name="Check Box 647">
              <controlPr locked="0" defaultSize="0" autoFill="0" autoLine="0" autoPict="0">
                <anchor moveWithCells="1" sizeWithCells="1">
                  <from>
                    <xdr:col>22</xdr:col>
                    <xdr:colOff>0</xdr:colOff>
                    <xdr:row>2062</xdr:row>
                    <xdr:rowOff>0</xdr:rowOff>
                  </from>
                  <to>
                    <xdr:col>22</xdr:col>
                    <xdr:colOff>180975</xdr:colOff>
                    <xdr:row>2062</xdr:row>
                    <xdr:rowOff>180975</xdr:rowOff>
                  </to>
                </anchor>
              </controlPr>
            </control>
          </mc:Choice>
        </mc:AlternateContent>
        <mc:AlternateContent xmlns:mc="http://schemas.openxmlformats.org/markup-compatibility/2006">
          <mc:Choice Requires="x14">
            <control shapeId="16008" r:id="rId277" name="Check Box 648">
              <controlPr locked="0" defaultSize="0" autoFill="0" autoLine="0" autoPict="0">
                <anchor moveWithCells="1" sizeWithCells="1">
                  <from>
                    <xdr:col>22</xdr:col>
                    <xdr:colOff>0</xdr:colOff>
                    <xdr:row>2073</xdr:row>
                    <xdr:rowOff>0</xdr:rowOff>
                  </from>
                  <to>
                    <xdr:col>22</xdr:col>
                    <xdr:colOff>180975</xdr:colOff>
                    <xdr:row>2073</xdr:row>
                    <xdr:rowOff>180975</xdr:rowOff>
                  </to>
                </anchor>
              </controlPr>
            </control>
          </mc:Choice>
        </mc:AlternateContent>
        <mc:AlternateContent xmlns:mc="http://schemas.openxmlformats.org/markup-compatibility/2006">
          <mc:Choice Requires="x14">
            <control shapeId="16009" r:id="rId278" name="Check Box 649">
              <controlPr locked="0" defaultSize="0" autoFill="0" autoLine="0" autoPict="0">
                <anchor moveWithCells="1" sizeWithCells="1">
                  <from>
                    <xdr:col>22</xdr:col>
                    <xdr:colOff>0</xdr:colOff>
                    <xdr:row>2075</xdr:row>
                    <xdr:rowOff>0</xdr:rowOff>
                  </from>
                  <to>
                    <xdr:col>22</xdr:col>
                    <xdr:colOff>180975</xdr:colOff>
                    <xdr:row>2075</xdr:row>
                    <xdr:rowOff>180975</xdr:rowOff>
                  </to>
                </anchor>
              </controlPr>
            </control>
          </mc:Choice>
        </mc:AlternateContent>
        <mc:AlternateContent xmlns:mc="http://schemas.openxmlformats.org/markup-compatibility/2006">
          <mc:Choice Requires="x14">
            <control shapeId="16010" r:id="rId279" name="Check Box 650">
              <controlPr locked="0" defaultSize="0" autoFill="0" autoLine="0" autoPict="0">
                <anchor moveWithCells="1" sizeWithCells="1">
                  <from>
                    <xdr:col>22</xdr:col>
                    <xdr:colOff>0</xdr:colOff>
                    <xdr:row>2077</xdr:row>
                    <xdr:rowOff>0</xdr:rowOff>
                  </from>
                  <to>
                    <xdr:col>22</xdr:col>
                    <xdr:colOff>180975</xdr:colOff>
                    <xdr:row>2077</xdr:row>
                    <xdr:rowOff>180975</xdr:rowOff>
                  </to>
                </anchor>
              </controlPr>
            </control>
          </mc:Choice>
        </mc:AlternateContent>
        <mc:AlternateContent xmlns:mc="http://schemas.openxmlformats.org/markup-compatibility/2006">
          <mc:Choice Requires="x14">
            <control shapeId="16011" r:id="rId280" name="Check Box 651">
              <controlPr locked="0" defaultSize="0" autoFill="0" autoLine="0" autoPict="0">
                <anchor moveWithCells="1" sizeWithCells="1">
                  <from>
                    <xdr:col>22</xdr:col>
                    <xdr:colOff>0</xdr:colOff>
                    <xdr:row>2095</xdr:row>
                    <xdr:rowOff>0</xdr:rowOff>
                  </from>
                  <to>
                    <xdr:col>22</xdr:col>
                    <xdr:colOff>180975</xdr:colOff>
                    <xdr:row>2095</xdr:row>
                    <xdr:rowOff>180975</xdr:rowOff>
                  </to>
                </anchor>
              </controlPr>
            </control>
          </mc:Choice>
        </mc:AlternateContent>
        <mc:AlternateContent xmlns:mc="http://schemas.openxmlformats.org/markup-compatibility/2006">
          <mc:Choice Requires="x14">
            <control shapeId="16012" r:id="rId281" name="Check Box 652">
              <controlPr locked="0" defaultSize="0" autoFill="0" autoLine="0" autoPict="0">
                <anchor moveWithCells="1" sizeWithCells="1">
                  <from>
                    <xdr:col>22</xdr:col>
                    <xdr:colOff>0</xdr:colOff>
                    <xdr:row>2097</xdr:row>
                    <xdr:rowOff>0</xdr:rowOff>
                  </from>
                  <to>
                    <xdr:col>22</xdr:col>
                    <xdr:colOff>180975</xdr:colOff>
                    <xdr:row>2097</xdr:row>
                    <xdr:rowOff>180975</xdr:rowOff>
                  </to>
                </anchor>
              </controlPr>
            </control>
          </mc:Choice>
        </mc:AlternateContent>
        <mc:AlternateContent xmlns:mc="http://schemas.openxmlformats.org/markup-compatibility/2006">
          <mc:Choice Requires="x14">
            <control shapeId="16013" r:id="rId282" name="Check Box 653">
              <controlPr locked="0" defaultSize="0" autoFill="0" autoLine="0" autoPict="0">
                <anchor moveWithCells="1" sizeWithCells="1">
                  <from>
                    <xdr:col>22</xdr:col>
                    <xdr:colOff>0</xdr:colOff>
                    <xdr:row>2100</xdr:row>
                    <xdr:rowOff>0</xdr:rowOff>
                  </from>
                  <to>
                    <xdr:col>22</xdr:col>
                    <xdr:colOff>180975</xdr:colOff>
                    <xdr:row>2100</xdr:row>
                    <xdr:rowOff>180975</xdr:rowOff>
                  </to>
                </anchor>
              </controlPr>
            </control>
          </mc:Choice>
        </mc:AlternateContent>
        <mc:AlternateContent xmlns:mc="http://schemas.openxmlformats.org/markup-compatibility/2006">
          <mc:Choice Requires="x14">
            <control shapeId="16015" r:id="rId283" name="Check Box 655">
              <controlPr locked="0" defaultSize="0" autoFill="0" autoLine="0" autoPict="0">
                <anchor moveWithCells="1" sizeWithCells="1">
                  <from>
                    <xdr:col>22</xdr:col>
                    <xdr:colOff>0</xdr:colOff>
                    <xdr:row>2179</xdr:row>
                    <xdr:rowOff>0</xdr:rowOff>
                  </from>
                  <to>
                    <xdr:col>22</xdr:col>
                    <xdr:colOff>180975</xdr:colOff>
                    <xdr:row>2179</xdr:row>
                    <xdr:rowOff>180975</xdr:rowOff>
                  </to>
                </anchor>
              </controlPr>
            </control>
          </mc:Choice>
        </mc:AlternateContent>
        <mc:AlternateContent xmlns:mc="http://schemas.openxmlformats.org/markup-compatibility/2006">
          <mc:Choice Requires="x14">
            <control shapeId="16016" r:id="rId284" name="Check Box 656">
              <controlPr locked="0" defaultSize="0" autoFill="0" autoLine="0" autoPict="0">
                <anchor moveWithCells="1" sizeWithCells="1">
                  <from>
                    <xdr:col>22</xdr:col>
                    <xdr:colOff>0</xdr:colOff>
                    <xdr:row>2181</xdr:row>
                    <xdr:rowOff>0</xdr:rowOff>
                  </from>
                  <to>
                    <xdr:col>22</xdr:col>
                    <xdr:colOff>180975</xdr:colOff>
                    <xdr:row>2181</xdr:row>
                    <xdr:rowOff>180975</xdr:rowOff>
                  </to>
                </anchor>
              </controlPr>
            </control>
          </mc:Choice>
        </mc:AlternateContent>
        <mc:AlternateContent xmlns:mc="http://schemas.openxmlformats.org/markup-compatibility/2006">
          <mc:Choice Requires="x14">
            <control shapeId="16017" r:id="rId285" name="Check Box 657">
              <controlPr locked="0" defaultSize="0" autoFill="0" autoLine="0" autoPict="0">
                <anchor moveWithCells="1" sizeWithCells="1">
                  <from>
                    <xdr:col>22</xdr:col>
                    <xdr:colOff>0</xdr:colOff>
                    <xdr:row>2187</xdr:row>
                    <xdr:rowOff>0</xdr:rowOff>
                  </from>
                  <to>
                    <xdr:col>22</xdr:col>
                    <xdr:colOff>180975</xdr:colOff>
                    <xdr:row>2187</xdr:row>
                    <xdr:rowOff>180975</xdr:rowOff>
                  </to>
                </anchor>
              </controlPr>
            </control>
          </mc:Choice>
        </mc:AlternateContent>
        <mc:AlternateContent xmlns:mc="http://schemas.openxmlformats.org/markup-compatibility/2006">
          <mc:Choice Requires="x14">
            <control shapeId="16018" r:id="rId286" name="Check Box 658">
              <controlPr locked="0" defaultSize="0" autoFill="0" autoLine="0" autoPict="0">
                <anchor moveWithCells="1" sizeWithCells="1">
                  <from>
                    <xdr:col>22</xdr:col>
                    <xdr:colOff>0</xdr:colOff>
                    <xdr:row>2189</xdr:row>
                    <xdr:rowOff>0</xdr:rowOff>
                  </from>
                  <to>
                    <xdr:col>22</xdr:col>
                    <xdr:colOff>180975</xdr:colOff>
                    <xdr:row>2189</xdr:row>
                    <xdr:rowOff>180975</xdr:rowOff>
                  </to>
                </anchor>
              </controlPr>
            </control>
          </mc:Choice>
        </mc:AlternateContent>
        <mc:AlternateContent xmlns:mc="http://schemas.openxmlformats.org/markup-compatibility/2006">
          <mc:Choice Requires="x14">
            <control shapeId="16019" r:id="rId287" name="Check Box 659">
              <controlPr locked="0" defaultSize="0" autoFill="0" autoLine="0" autoPict="0">
                <anchor moveWithCells="1" sizeWithCells="1">
                  <from>
                    <xdr:col>22</xdr:col>
                    <xdr:colOff>0</xdr:colOff>
                    <xdr:row>2203</xdr:row>
                    <xdr:rowOff>0</xdr:rowOff>
                  </from>
                  <to>
                    <xdr:col>22</xdr:col>
                    <xdr:colOff>180975</xdr:colOff>
                    <xdr:row>2203</xdr:row>
                    <xdr:rowOff>180975</xdr:rowOff>
                  </to>
                </anchor>
              </controlPr>
            </control>
          </mc:Choice>
        </mc:AlternateContent>
        <mc:AlternateContent xmlns:mc="http://schemas.openxmlformats.org/markup-compatibility/2006">
          <mc:Choice Requires="x14">
            <control shapeId="16020" r:id="rId288" name="Check Box 660">
              <controlPr locked="0" defaultSize="0" autoFill="0" autoLine="0" autoPict="0">
                <anchor moveWithCells="1" sizeWithCells="1">
                  <from>
                    <xdr:col>22</xdr:col>
                    <xdr:colOff>0</xdr:colOff>
                    <xdr:row>2204</xdr:row>
                    <xdr:rowOff>0</xdr:rowOff>
                  </from>
                  <to>
                    <xdr:col>22</xdr:col>
                    <xdr:colOff>180975</xdr:colOff>
                    <xdr:row>2204</xdr:row>
                    <xdr:rowOff>180975</xdr:rowOff>
                  </to>
                </anchor>
              </controlPr>
            </control>
          </mc:Choice>
        </mc:AlternateContent>
        <mc:AlternateContent xmlns:mc="http://schemas.openxmlformats.org/markup-compatibility/2006">
          <mc:Choice Requires="x14">
            <control shapeId="16021" r:id="rId289" name="Check Box 661">
              <controlPr locked="0" defaultSize="0" autoFill="0" autoLine="0" autoPict="0">
                <anchor moveWithCells="1" sizeWithCells="1">
                  <from>
                    <xdr:col>22</xdr:col>
                    <xdr:colOff>0</xdr:colOff>
                    <xdr:row>2209</xdr:row>
                    <xdr:rowOff>0</xdr:rowOff>
                  </from>
                  <to>
                    <xdr:col>22</xdr:col>
                    <xdr:colOff>180975</xdr:colOff>
                    <xdr:row>2209</xdr:row>
                    <xdr:rowOff>180975</xdr:rowOff>
                  </to>
                </anchor>
              </controlPr>
            </control>
          </mc:Choice>
        </mc:AlternateContent>
        <mc:AlternateContent xmlns:mc="http://schemas.openxmlformats.org/markup-compatibility/2006">
          <mc:Choice Requires="x14">
            <control shapeId="16022" r:id="rId290" name="Check Box 662">
              <controlPr locked="0" defaultSize="0" autoFill="0" autoLine="0" autoPict="0">
                <anchor moveWithCells="1" sizeWithCells="1">
                  <from>
                    <xdr:col>22</xdr:col>
                    <xdr:colOff>0</xdr:colOff>
                    <xdr:row>2214</xdr:row>
                    <xdr:rowOff>0</xdr:rowOff>
                  </from>
                  <to>
                    <xdr:col>22</xdr:col>
                    <xdr:colOff>180975</xdr:colOff>
                    <xdr:row>2214</xdr:row>
                    <xdr:rowOff>180975</xdr:rowOff>
                  </to>
                </anchor>
              </controlPr>
            </control>
          </mc:Choice>
        </mc:AlternateContent>
        <mc:AlternateContent xmlns:mc="http://schemas.openxmlformats.org/markup-compatibility/2006">
          <mc:Choice Requires="x14">
            <control shapeId="16023" r:id="rId291" name="Check Box 663">
              <controlPr locked="0" defaultSize="0" autoFill="0" autoLine="0" autoPict="0">
                <anchor moveWithCells="1" sizeWithCells="1">
                  <from>
                    <xdr:col>22</xdr:col>
                    <xdr:colOff>0</xdr:colOff>
                    <xdr:row>2231</xdr:row>
                    <xdr:rowOff>0</xdr:rowOff>
                  </from>
                  <to>
                    <xdr:col>22</xdr:col>
                    <xdr:colOff>180975</xdr:colOff>
                    <xdr:row>2231</xdr:row>
                    <xdr:rowOff>180975</xdr:rowOff>
                  </to>
                </anchor>
              </controlPr>
            </control>
          </mc:Choice>
        </mc:AlternateContent>
        <mc:AlternateContent xmlns:mc="http://schemas.openxmlformats.org/markup-compatibility/2006">
          <mc:Choice Requires="x14">
            <control shapeId="16024" r:id="rId292" name="Check Box 664">
              <controlPr locked="0" defaultSize="0" autoFill="0" autoLine="0" autoPict="0">
                <anchor moveWithCells="1" sizeWithCells="1">
                  <from>
                    <xdr:col>22</xdr:col>
                    <xdr:colOff>0</xdr:colOff>
                    <xdr:row>2236</xdr:row>
                    <xdr:rowOff>0</xdr:rowOff>
                  </from>
                  <to>
                    <xdr:col>22</xdr:col>
                    <xdr:colOff>180975</xdr:colOff>
                    <xdr:row>2236</xdr:row>
                    <xdr:rowOff>180975</xdr:rowOff>
                  </to>
                </anchor>
              </controlPr>
            </control>
          </mc:Choice>
        </mc:AlternateContent>
        <mc:AlternateContent xmlns:mc="http://schemas.openxmlformats.org/markup-compatibility/2006">
          <mc:Choice Requires="x14">
            <control shapeId="16086" r:id="rId293" name="Check Box 726">
              <controlPr locked="0" defaultSize="0" autoFill="0" autoLine="0" autoPict="0">
                <anchor moveWithCells="1" sizeWithCells="1">
                  <from>
                    <xdr:col>22</xdr:col>
                    <xdr:colOff>0</xdr:colOff>
                    <xdr:row>2257</xdr:row>
                    <xdr:rowOff>0</xdr:rowOff>
                  </from>
                  <to>
                    <xdr:col>22</xdr:col>
                    <xdr:colOff>180975</xdr:colOff>
                    <xdr:row>2257</xdr:row>
                    <xdr:rowOff>180975</xdr:rowOff>
                  </to>
                </anchor>
              </controlPr>
            </control>
          </mc:Choice>
        </mc:AlternateContent>
        <mc:AlternateContent xmlns:mc="http://schemas.openxmlformats.org/markup-compatibility/2006">
          <mc:Choice Requires="x14">
            <control shapeId="16087" r:id="rId294" name="Check Box 727">
              <controlPr locked="0" defaultSize="0" autoFill="0" autoLine="0" autoPict="0">
                <anchor moveWithCells="1" sizeWithCells="1">
                  <from>
                    <xdr:col>22</xdr:col>
                    <xdr:colOff>0</xdr:colOff>
                    <xdr:row>2258</xdr:row>
                    <xdr:rowOff>0</xdr:rowOff>
                  </from>
                  <to>
                    <xdr:col>22</xdr:col>
                    <xdr:colOff>180975</xdr:colOff>
                    <xdr:row>2258</xdr:row>
                    <xdr:rowOff>180975</xdr:rowOff>
                  </to>
                </anchor>
              </controlPr>
            </control>
          </mc:Choice>
        </mc:AlternateContent>
        <mc:AlternateContent xmlns:mc="http://schemas.openxmlformats.org/markup-compatibility/2006">
          <mc:Choice Requires="x14">
            <control shapeId="16088" r:id="rId295" name="Check Box 728">
              <controlPr locked="0" defaultSize="0" autoFill="0" autoLine="0" autoPict="0">
                <anchor moveWithCells="1" sizeWithCells="1">
                  <from>
                    <xdr:col>22</xdr:col>
                    <xdr:colOff>0</xdr:colOff>
                    <xdr:row>2259</xdr:row>
                    <xdr:rowOff>0</xdr:rowOff>
                  </from>
                  <to>
                    <xdr:col>22</xdr:col>
                    <xdr:colOff>180975</xdr:colOff>
                    <xdr:row>2259</xdr:row>
                    <xdr:rowOff>180975</xdr:rowOff>
                  </to>
                </anchor>
              </controlPr>
            </control>
          </mc:Choice>
        </mc:AlternateContent>
        <mc:AlternateContent xmlns:mc="http://schemas.openxmlformats.org/markup-compatibility/2006">
          <mc:Choice Requires="x14">
            <control shapeId="16089" r:id="rId296" name="Check Box 729">
              <controlPr locked="0" defaultSize="0" autoFill="0" autoLine="0" autoPict="0">
                <anchor moveWithCells="1" sizeWithCells="1">
                  <from>
                    <xdr:col>22</xdr:col>
                    <xdr:colOff>0</xdr:colOff>
                    <xdr:row>2263</xdr:row>
                    <xdr:rowOff>0</xdr:rowOff>
                  </from>
                  <to>
                    <xdr:col>22</xdr:col>
                    <xdr:colOff>180975</xdr:colOff>
                    <xdr:row>2263</xdr:row>
                    <xdr:rowOff>180975</xdr:rowOff>
                  </to>
                </anchor>
              </controlPr>
            </control>
          </mc:Choice>
        </mc:AlternateContent>
        <mc:AlternateContent xmlns:mc="http://schemas.openxmlformats.org/markup-compatibility/2006">
          <mc:Choice Requires="x14">
            <control shapeId="16090" r:id="rId297" name="Check Box 730">
              <controlPr locked="0" defaultSize="0" autoFill="0" autoLine="0" autoPict="0">
                <anchor moveWithCells="1" sizeWithCells="1">
                  <from>
                    <xdr:col>22</xdr:col>
                    <xdr:colOff>0</xdr:colOff>
                    <xdr:row>2264</xdr:row>
                    <xdr:rowOff>0</xdr:rowOff>
                  </from>
                  <to>
                    <xdr:col>22</xdr:col>
                    <xdr:colOff>180975</xdr:colOff>
                    <xdr:row>2264</xdr:row>
                    <xdr:rowOff>180975</xdr:rowOff>
                  </to>
                </anchor>
              </controlPr>
            </control>
          </mc:Choice>
        </mc:AlternateContent>
        <mc:AlternateContent xmlns:mc="http://schemas.openxmlformats.org/markup-compatibility/2006">
          <mc:Choice Requires="x14">
            <control shapeId="16091" r:id="rId298" name="Check Box 731">
              <controlPr locked="0" defaultSize="0" autoFill="0" autoLine="0" autoPict="0">
                <anchor moveWithCells="1" sizeWithCells="1">
                  <from>
                    <xdr:col>22</xdr:col>
                    <xdr:colOff>0</xdr:colOff>
                    <xdr:row>2265</xdr:row>
                    <xdr:rowOff>0</xdr:rowOff>
                  </from>
                  <to>
                    <xdr:col>22</xdr:col>
                    <xdr:colOff>180975</xdr:colOff>
                    <xdr:row>2265</xdr:row>
                    <xdr:rowOff>180975</xdr:rowOff>
                  </to>
                </anchor>
              </controlPr>
            </control>
          </mc:Choice>
        </mc:AlternateContent>
        <mc:AlternateContent xmlns:mc="http://schemas.openxmlformats.org/markup-compatibility/2006">
          <mc:Choice Requires="x14">
            <control shapeId="16092" r:id="rId299" name="Check Box 732">
              <controlPr locked="0" defaultSize="0" autoFill="0" autoLine="0" autoPict="0">
                <anchor moveWithCells="1" sizeWithCells="1">
                  <from>
                    <xdr:col>22</xdr:col>
                    <xdr:colOff>0</xdr:colOff>
                    <xdr:row>2267</xdr:row>
                    <xdr:rowOff>0</xdr:rowOff>
                  </from>
                  <to>
                    <xdr:col>22</xdr:col>
                    <xdr:colOff>180975</xdr:colOff>
                    <xdr:row>2267</xdr:row>
                    <xdr:rowOff>180975</xdr:rowOff>
                  </to>
                </anchor>
              </controlPr>
            </control>
          </mc:Choice>
        </mc:AlternateContent>
        <mc:AlternateContent xmlns:mc="http://schemas.openxmlformats.org/markup-compatibility/2006">
          <mc:Choice Requires="x14">
            <control shapeId="16093" r:id="rId300" name="Check Box 733">
              <controlPr locked="0" defaultSize="0" autoFill="0" autoLine="0" autoPict="0">
                <anchor moveWithCells="1" sizeWithCells="1">
                  <from>
                    <xdr:col>22</xdr:col>
                    <xdr:colOff>0</xdr:colOff>
                    <xdr:row>2269</xdr:row>
                    <xdr:rowOff>0</xdr:rowOff>
                  </from>
                  <to>
                    <xdr:col>22</xdr:col>
                    <xdr:colOff>180975</xdr:colOff>
                    <xdr:row>2269</xdr:row>
                    <xdr:rowOff>180975</xdr:rowOff>
                  </to>
                </anchor>
              </controlPr>
            </control>
          </mc:Choice>
        </mc:AlternateContent>
        <mc:AlternateContent xmlns:mc="http://schemas.openxmlformats.org/markup-compatibility/2006">
          <mc:Choice Requires="x14">
            <control shapeId="16094" r:id="rId301" name="Check Box 734">
              <controlPr locked="0" defaultSize="0" autoFill="0" autoLine="0" autoPict="0">
                <anchor moveWithCells="1" sizeWithCells="1">
                  <from>
                    <xdr:col>22</xdr:col>
                    <xdr:colOff>0</xdr:colOff>
                    <xdr:row>2270</xdr:row>
                    <xdr:rowOff>0</xdr:rowOff>
                  </from>
                  <to>
                    <xdr:col>22</xdr:col>
                    <xdr:colOff>180975</xdr:colOff>
                    <xdr:row>2270</xdr:row>
                    <xdr:rowOff>180975</xdr:rowOff>
                  </to>
                </anchor>
              </controlPr>
            </control>
          </mc:Choice>
        </mc:AlternateContent>
        <mc:AlternateContent xmlns:mc="http://schemas.openxmlformats.org/markup-compatibility/2006">
          <mc:Choice Requires="x14">
            <control shapeId="16095" r:id="rId302" name="Check Box 735">
              <controlPr locked="0" defaultSize="0" autoFill="0" autoLine="0" autoPict="0">
                <anchor moveWithCells="1" sizeWithCells="1">
                  <from>
                    <xdr:col>22</xdr:col>
                    <xdr:colOff>0</xdr:colOff>
                    <xdr:row>2272</xdr:row>
                    <xdr:rowOff>0</xdr:rowOff>
                  </from>
                  <to>
                    <xdr:col>22</xdr:col>
                    <xdr:colOff>180975</xdr:colOff>
                    <xdr:row>2272</xdr:row>
                    <xdr:rowOff>180975</xdr:rowOff>
                  </to>
                </anchor>
              </controlPr>
            </control>
          </mc:Choice>
        </mc:AlternateContent>
        <mc:AlternateContent xmlns:mc="http://schemas.openxmlformats.org/markup-compatibility/2006">
          <mc:Choice Requires="x14">
            <control shapeId="16096" r:id="rId303" name="Check Box 736">
              <controlPr locked="0" defaultSize="0" autoFill="0" autoLine="0" autoPict="0">
                <anchor moveWithCells="1" sizeWithCells="1">
                  <from>
                    <xdr:col>22</xdr:col>
                    <xdr:colOff>0</xdr:colOff>
                    <xdr:row>2273</xdr:row>
                    <xdr:rowOff>0</xdr:rowOff>
                  </from>
                  <to>
                    <xdr:col>22</xdr:col>
                    <xdr:colOff>180975</xdr:colOff>
                    <xdr:row>2273</xdr:row>
                    <xdr:rowOff>180975</xdr:rowOff>
                  </to>
                </anchor>
              </controlPr>
            </control>
          </mc:Choice>
        </mc:AlternateContent>
        <mc:AlternateContent xmlns:mc="http://schemas.openxmlformats.org/markup-compatibility/2006">
          <mc:Choice Requires="x14">
            <control shapeId="16097" r:id="rId304" name="Check Box 737">
              <controlPr locked="0" defaultSize="0" autoFill="0" autoLine="0" autoPict="0">
                <anchor moveWithCells="1" sizeWithCells="1">
                  <from>
                    <xdr:col>22</xdr:col>
                    <xdr:colOff>0</xdr:colOff>
                    <xdr:row>2274</xdr:row>
                    <xdr:rowOff>0</xdr:rowOff>
                  </from>
                  <to>
                    <xdr:col>22</xdr:col>
                    <xdr:colOff>180975</xdr:colOff>
                    <xdr:row>2274</xdr:row>
                    <xdr:rowOff>180975</xdr:rowOff>
                  </to>
                </anchor>
              </controlPr>
            </control>
          </mc:Choice>
        </mc:AlternateContent>
        <mc:AlternateContent xmlns:mc="http://schemas.openxmlformats.org/markup-compatibility/2006">
          <mc:Choice Requires="x14">
            <control shapeId="16098" r:id="rId305" name="Check Box 738">
              <controlPr locked="0" defaultSize="0" autoFill="0" autoLine="0" autoPict="0">
                <anchor moveWithCells="1" sizeWithCells="1">
                  <from>
                    <xdr:col>22</xdr:col>
                    <xdr:colOff>0</xdr:colOff>
                    <xdr:row>2280</xdr:row>
                    <xdr:rowOff>0</xdr:rowOff>
                  </from>
                  <to>
                    <xdr:col>22</xdr:col>
                    <xdr:colOff>180975</xdr:colOff>
                    <xdr:row>2280</xdr:row>
                    <xdr:rowOff>180975</xdr:rowOff>
                  </to>
                </anchor>
              </controlPr>
            </control>
          </mc:Choice>
        </mc:AlternateContent>
        <mc:AlternateContent xmlns:mc="http://schemas.openxmlformats.org/markup-compatibility/2006">
          <mc:Choice Requires="x14">
            <control shapeId="16099" r:id="rId306" name="Check Box 739">
              <controlPr locked="0" defaultSize="0" autoFill="0" autoLine="0" autoPict="0">
                <anchor moveWithCells="1" sizeWithCells="1">
                  <from>
                    <xdr:col>22</xdr:col>
                    <xdr:colOff>0</xdr:colOff>
                    <xdr:row>2284</xdr:row>
                    <xdr:rowOff>0</xdr:rowOff>
                  </from>
                  <to>
                    <xdr:col>22</xdr:col>
                    <xdr:colOff>180975</xdr:colOff>
                    <xdr:row>2284</xdr:row>
                    <xdr:rowOff>180975</xdr:rowOff>
                  </to>
                </anchor>
              </controlPr>
            </control>
          </mc:Choice>
        </mc:AlternateContent>
        <mc:AlternateContent xmlns:mc="http://schemas.openxmlformats.org/markup-compatibility/2006">
          <mc:Choice Requires="x14">
            <control shapeId="16100" r:id="rId307" name="Check Box 740">
              <controlPr locked="0" defaultSize="0" autoFill="0" autoLine="0" autoPict="0">
                <anchor moveWithCells="1" sizeWithCells="1">
                  <from>
                    <xdr:col>22</xdr:col>
                    <xdr:colOff>0</xdr:colOff>
                    <xdr:row>2286</xdr:row>
                    <xdr:rowOff>0</xdr:rowOff>
                  </from>
                  <to>
                    <xdr:col>22</xdr:col>
                    <xdr:colOff>180975</xdr:colOff>
                    <xdr:row>2286</xdr:row>
                    <xdr:rowOff>180975</xdr:rowOff>
                  </to>
                </anchor>
              </controlPr>
            </control>
          </mc:Choice>
        </mc:AlternateContent>
        <mc:AlternateContent xmlns:mc="http://schemas.openxmlformats.org/markup-compatibility/2006">
          <mc:Choice Requires="x14">
            <control shapeId="16101" r:id="rId308" name="Check Box 741">
              <controlPr locked="0" defaultSize="0" autoFill="0" autoLine="0" autoPict="0">
                <anchor moveWithCells="1" sizeWithCells="1">
                  <from>
                    <xdr:col>22</xdr:col>
                    <xdr:colOff>0</xdr:colOff>
                    <xdr:row>2288</xdr:row>
                    <xdr:rowOff>0</xdr:rowOff>
                  </from>
                  <to>
                    <xdr:col>22</xdr:col>
                    <xdr:colOff>180975</xdr:colOff>
                    <xdr:row>2288</xdr:row>
                    <xdr:rowOff>180975</xdr:rowOff>
                  </to>
                </anchor>
              </controlPr>
            </control>
          </mc:Choice>
        </mc:AlternateContent>
        <mc:AlternateContent xmlns:mc="http://schemas.openxmlformats.org/markup-compatibility/2006">
          <mc:Choice Requires="x14">
            <control shapeId="16102" r:id="rId309" name="Check Box 742">
              <controlPr locked="0" defaultSize="0" autoFill="0" autoLine="0" autoPict="0">
                <anchor moveWithCells="1" sizeWithCells="1">
                  <from>
                    <xdr:col>22</xdr:col>
                    <xdr:colOff>0</xdr:colOff>
                    <xdr:row>2289</xdr:row>
                    <xdr:rowOff>0</xdr:rowOff>
                  </from>
                  <to>
                    <xdr:col>22</xdr:col>
                    <xdr:colOff>180975</xdr:colOff>
                    <xdr:row>2289</xdr:row>
                    <xdr:rowOff>180975</xdr:rowOff>
                  </to>
                </anchor>
              </controlPr>
            </control>
          </mc:Choice>
        </mc:AlternateContent>
        <mc:AlternateContent xmlns:mc="http://schemas.openxmlformats.org/markup-compatibility/2006">
          <mc:Choice Requires="x14">
            <control shapeId="16103" r:id="rId310" name="Check Box 743">
              <controlPr locked="0" defaultSize="0" autoFill="0" autoLine="0" autoPict="0">
                <anchor moveWithCells="1" sizeWithCells="1">
                  <from>
                    <xdr:col>22</xdr:col>
                    <xdr:colOff>0</xdr:colOff>
                    <xdr:row>2291</xdr:row>
                    <xdr:rowOff>0</xdr:rowOff>
                  </from>
                  <to>
                    <xdr:col>22</xdr:col>
                    <xdr:colOff>180975</xdr:colOff>
                    <xdr:row>2291</xdr:row>
                    <xdr:rowOff>180975</xdr:rowOff>
                  </to>
                </anchor>
              </controlPr>
            </control>
          </mc:Choice>
        </mc:AlternateContent>
        <mc:AlternateContent xmlns:mc="http://schemas.openxmlformats.org/markup-compatibility/2006">
          <mc:Choice Requires="x14">
            <control shapeId="16104" r:id="rId311" name="Check Box 744">
              <controlPr locked="0" defaultSize="0" autoFill="0" autoLine="0" autoPict="0">
                <anchor moveWithCells="1" sizeWithCells="1">
                  <from>
                    <xdr:col>22</xdr:col>
                    <xdr:colOff>0</xdr:colOff>
                    <xdr:row>2293</xdr:row>
                    <xdr:rowOff>0</xdr:rowOff>
                  </from>
                  <to>
                    <xdr:col>22</xdr:col>
                    <xdr:colOff>180975</xdr:colOff>
                    <xdr:row>2293</xdr:row>
                    <xdr:rowOff>180975</xdr:rowOff>
                  </to>
                </anchor>
              </controlPr>
            </control>
          </mc:Choice>
        </mc:AlternateContent>
        <mc:AlternateContent xmlns:mc="http://schemas.openxmlformats.org/markup-compatibility/2006">
          <mc:Choice Requires="x14">
            <control shapeId="16105" r:id="rId312" name="Check Box 745">
              <controlPr locked="0" defaultSize="0" autoFill="0" autoLine="0" autoPict="0">
                <anchor moveWithCells="1" sizeWithCells="1">
                  <from>
                    <xdr:col>22</xdr:col>
                    <xdr:colOff>0</xdr:colOff>
                    <xdr:row>2294</xdr:row>
                    <xdr:rowOff>0</xdr:rowOff>
                  </from>
                  <to>
                    <xdr:col>22</xdr:col>
                    <xdr:colOff>180975</xdr:colOff>
                    <xdr:row>2294</xdr:row>
                    <xdr:rowOff>180975</xdr:rowOff>
                  </to>
                </anchor>
              </controlPr>
            </control>
          </mc:Choice>
        </mc:AlternateContent>
        <mc:AlternateContent xmlns:mc="http://schemas.openxmlformats.org/markup-compatibility/2006">
          <mc:Choice Requires="x14">
            <control shapeId="16106" r:id="rId313" name="Check Box 746">
              <controlPr locked="0" defaultSize="0" autoFill="0" autoLine="0" autoPict="0">
                <anchor moveWithCells="1" sizeWithCells="1">
                  <from>
                    <xdr:col>22</xdr:col>
                    <xdr:colOff>0</xdr:colOff>
                    <xdr:row>2296</xdr:row>
                    <xdr:rowOff>0</xdr:rowOff>
                  </from>
                  <to>
                    <xdr:col>22</xdr:col>
                    <xdr:colOff>180975</xdr:colOff>
                    <xdr:row>2296</xdr:row>
                    <xdr:rowOff>180975</xdr:rowOff>
                  </to>
                </anchor>
              </controlPr>
            </control>
          </mc:Choice>
        </mc:AlternateContent>
        <mc:AlternateContent xmlns:mc="http://schemas.openxmlformats.org/markup-compatibility/2006">
          <mc:Choice Requires="x14">
            <control shapeId="16107" r:id="rId314" name="Check Box 747">
              <controlPr locked="0" defaultSize="0" autoFill="0" autoLine="0" autoPict="0">
                <anchor moveWithCells="1" sizeWithCells="1">
                  <from>
                    <xdr:col>22</xdr:col>
                    <xdr:colOff>0</xdr:colOff>
                    <xdr:row>2298</xdr:row>
                    <xdr:rowOff>0</xdr:rowOff>
                  </from>
                  <to>
                    <xdr:col>22</xdr:col>
                    <xdr:colOff>180975</xdr:colOff>
                    <xdr:row>2298</xdr:row>
                    <xdr:rowOff>180975</xdr:rowOff>
                  </to>
                </anchor>
              </controlPr>
            </control>
          </mc:Choice>
        </mc:AlternateContent>
        <mc:AlternateContent xmlns:mc="http://schemas.openxmlformats.org/markup-compatibility/2006">
          <mc:Choice Requires="x14">
            <control shapeId="16108" r:id="rId315" name="Check Box 748">
              <controlPr locked="0" defaultSize="0" autoFill="0" autoLine="0" autoPict="0">
                <anchor moveWithCells="1" sizeWithCells="1">
                  <from>
                    <xdr:col>22</xdr:col>
                    <xdr:colOff>0</xdr:colOff>
                    <xdr:row>2300</xdr:row>
                    <xdr:rowOff>0</xdr:rowOff>
                  </from>
                  <to>
                    <xdr:col>22</xdr:col>
                    <xdr:colOff>180975</xdr:colOff>
                    <xdr:row>2300</xdr:row>
                    <xdr:rowOff>180975</xdr:rowOff>
                  </to>
                </anchor>
              </controlPr>
            </control>
          </mc:Choice>
        </mc:AlternateContent>
        <mc:AlternateContent xmlns:mc="http://schemas.openxmlformats.org/markup-compatibility/2006">
          <mc:Choice Requires="x14">
            <control shapeId="16109" r:id="rId316" name="Check Box 749">
              <controlPr locked="0" defaultSize="0" autoFill="0" autoLine="0" autoPict="0">
                <anchor moveWithCells="1" sizeWithCells="1">
                  <from>
                    <xdr:col>22</xdr:col>
                    <xdr:colOff>0</xdr:colOff>
                    <xdr:row>2301</xdr:row>
                    <xdr:rowOff>0</xdr:rowOff>
                  </from>
                  <to>
                    <xdr:col>22</xdr:col>
                    <xdr:colOff>180975</xdr:colOff>
                    <xdr:row>2301</xdr:row>
                    <xdr:rowOff>180975</xdr:rowOff>
                  </to>
                </anchor>
              </controlPr>
            </control>
          </mc:Choice>
        </mc:AlternateContent>
        <mc:AlternateContent xmlns:mc="http://schemas.openxmlformats.org/markup-compatibility/2006">
          <mc:Choice Requires="x14">
            <control shapeId="16110" r:id="rId317" name="Check Box 750">
              <controlPr locked="0" defaultSize="0" autoFill="0" autoLine="0" autoPict="0">
                <anchor moveWithCells="1" sizeWithCells="1">
                  <from>
                    <xdr:col>22</xdr:col>
                    <xdr:colOff>0</xdr:colOff>
                    <xdr:row>2302</xdr:row>
                    <xdr:rowOff>0</xdr:rowOff>
                  </from>
                  <to>
                    <xdr:col>22</xdr:col>
                    <xdr:colOff>180975</xdr:colOff>
                    <xdr:row>2302</xdr:row>
                    <xdr:rowOff>180975</xdr:rowOff>
                  </to>
                </anchor>
              </controlPr>
            </control>
          </mc:Choice>
        </mc:AlternateContent>
        <mc:AlternateContent xmlns:mc="http://schemas.openxmlformats.org/markup-compatibility/2006">
          <mc:Choice Requires="x14">
            <control shapeId="16111" r:id="rId318" name="Check Box 751">
              <controlPr locked="0" defaultSize="0" autoFill="0" autoLine="0" autoPict="0">
                <anchor moveWithCells="1" sizeWithCells="1">
                  <from>
                    <xdr:col>22</xdr:col>
                    <xdr:colOff>0</xdr:colOff>
                    <xdr:row>2324</xdr:row>
                    <xdr:rowOff>0</xdr:rowOff>
                  </from>
                  <to>
                    <xdr:col>22</xdr:col>
                    <xdr:colOff>180975</xdr:colOff>
                    <xdr:row>2324</xdr:row>
                    <xdr:rowOff>180975</xdr:rowOff>
                  </to>
                </anchor>
              </controlPr>
            </control>
          </mc:Choice>
        </mc:AlternateContent>
        <mc:AlternateContent xmlns:mc="http://schemas.openxmlformats.org/markup-compatibility/2006">
          <mc:Choice Requires="x14">
            <control shapeId="16112" r:id="rId319" name="Check Box 752">
              <controlPr locked="0" defaultSize="0" autoFill="0" autoLine="0" autoPict="0">
                <anchor moveWithCells="1" sizeWithCells="1">
                  <from>
                    <xdr:col>22</xdr:col>
                    <xdr:colOff>0</xdr:colOff>
                    <xdr:row>2327</xdr:row>
                    <xdr:rowOff>0</xdr:rowOff>
                  </from>
                  <to>
                    <xdr:col>22</xdr:col>
                    <xdr:colOff>180975</xdr:colOff>
                    <xdr:row>2327</xdr:row>
                    <xdr:rowOff>180975</xdr:rowOff>
                  </to>
                </anchor>
              </controlPr>
            </control>
          </mc:Choice>
        </mc:AlternateContent>
        <mc:AlternateContent xmlns:mc="http://schemas.openxmlformats.org/markup-compatibility/2006">
          <mc:Choice Requires="x14">
            <control shapeId="16113" r:id="rId320" name="Check Box 753">
              <controlPr locked="0" defaultSize="0" autoFill="0" autoLine="0" autoPict="0">
                <anchor moveWithCells="1" sizeWithCells="1">
                  <from>
                    <xdr:col>22</xdr:col>
                    <xdr:colOff>0</xdr:colOff>
                    <xdr:row>2330</xdr:row>
                    <xdr:rowOff>0</xdr:rowOff>
                  </from>
                  <to>
                    <xdr:col>22</xdr:col>
                    <xdr:colOff>180975</xdr:colOff>
                    <xdr:row>2330</xdr:row>
                    <xdr:rowOff>180975</xdr:rowOff>
                  </to>
                </anchor>
              </controlPr>
            </control>
          </mc:Choice>
        </mc:AlternateContent>
        <mc:AlternateContent xmlns:mc="http://schemas.openxmlformats.org/markup-compatibility/2006">
          <mc:Choice Requires="x14">
            <control shapeId="16114" r:id="rId321" name="Check Box 754">
              <controlPr locked="0" defaultSize="0" autoFill="0" autoLine="0" autoPict="0">
                <anchor moveWithCells="1" sizeWithCells="1">
                  <from>
                    <xdr:col>22</xdr:col>
                    <xdr:colOff>0</xdr:colOff>
                    <xdr:row>2332</xdr:row>
                    <xdr:rowOff>0</xdr:rowOff>
                  </from>
                  <to>
                    <xdr:col>22</xdr:col>
                    <xdr:colOff>180975</xdr:colOff>
                    <xdr:row>2332</xdr:row>
                    <xdr:rowOff>180975</xdr:rowOff>
                  </to>
                </anchor>
              </controlPr>
            </control>
          </mc:Choice>
        </mc:AlternateContent>
        <mc:AlternateContent xmlns:mc="http://schemas.openxmlformats.org/markup-compatibility/2006">
          <mc:Choice Requires="x14">
            <control shapeId="16115" r:id="rId322" name="Check Box 755">
              <controlPr locked="0" defaultSize="0" autoFill="0" autoLine="0" autoPict="0">
                <anchor moveWithCells="1" sizeWithCells="1">
                  <from>
                    <xdr:col>22</xdr:col>
                    <xdr:colOff>0</xdr:colOff>
                    <xdr:row>2333</xdr:row>
                    <xdr:rowOff>0</xdr:rowOff>
                  </from>
                  <to>
                    <xdr:col>22</xdr:col>
                    <xdr:colOff>180975</xdr:colOff>
                    <xdr:row>2333</xdr:row>
                    <xdr:rowOff>180975</xdr:rowOff>
                  </to>
                </anchor>
              </controlPr>
            </control>
          </mc:Choice>
        </mc:AlternateContent>
        <mc:AlternateContent xmlns:mc="http://schemas.openxmlformats.org/markup-compatibility/2006">
          <mc:Choice Requires="x14">
            <control shapeId="16116" r:id="rId323" name="Check Box 756">
              <controlPr locked="0" defaultSize="0" autoFill="0" autoLine="0" autoPict="0">
                <anchor moveWithCells="1" sizeWithCells="1">
                  <from>
                    <xdr:col>22</xdr:col>
                    <xdr:colOff>0</xdr:colOff>
                    <xdr:row>2335</xdr:row>
                    <xdr:rowOff>0</xdr:rowOff>
                  </from>
                  <to>
                    <xdr:col>22</xdr:col>
                    <xdr:colOff>180975</xdr:colOff>
                    <xdr:row>2335</xdr:row>
                    <xdr:rowOff>180975</xdr:rowOff>
                  </to>
                </anchor>
              </controlPr>
            </control>
          </mc:Choice>
        </mc:AlternateContent>
        <mc:AlternateContent xmlns:mc="http://schemas.openxmlformats.org/markup-compatibility/2006">
          <mc:Choice Requires="x14">
            <control shapeId="16117" r:id="rId324" name="Check Box 757">
              <controlPr locked="0" defaultSize="0" autoFill="0" autoLine="0" autoPict="0">
                <anchor moveWithCells="1" sizeWithCells="1">
                  <from>
                    <xdr:col>22</xdr:col>
                    <xdr:colOff>0</xdr:colOff>
                    <xdr:row>2336</xdr:row>
                    <xdr:rowOff>0</xdr:rowOff>
                  </from>
                  <to>
                    <xdr:col>22</xdr:col>
                    <xdr:colOff>180975</xdr:colOff>
                    <xdr:row>2336</xdr:row>
                    <xdr:rowOff>180975</xdr:rowOff>
                  </to>
                </anchor>
              </controlPr>
            </control>
          </mc:Choice>
        </mc:AlternateContent>
        <mc:AlternateContent xmlns:mc="http://schemas.openxmlformats.org/markup-compatibility/2006">
          <mc:Choice Requires="x14">
            <control shapeId="16118" r:id="rId325" name="Check Box 758">
              <controlPr locked="0" defaultSize="0" autoFill="0" autoLine="0" autoPict="0">
                <anchor moveWithCells="1" sizeWithCells="1">
                  <from>
                    <xdr:col>22</xdr:col>
                    <xdr:colOff>0</xdr:colOff>
                    <xdr:row>2337</xdr:row>
                    <xdr:rowOff>0</xdr:rowOff>
                  </from>
                  <to>
                    <xdr:col>22</xdr:col>
                    <xdr:colOff>180975</xdr:colOff>
                    <xdr:row>2337</xdr:row>
                    <xdr:rowOff>180975</xdr:rowOff>
                  </to>
                </anchor>
              </controlPr>
            </control>
          </mc:Choice>
        </mc:AlternateContent>
        <mc:AlternateContent xmlns:mc="http://schemas.openxmlformats.org/markup-compatibility/2006">
          <mc:Choice Requires="x14">
            <control shapeId="16119" r:id="rId326" name="Check Box 759">
              <controlPr locked="0" defaultSize="0" autoFill="0" autoLine="0" autoPict="0">
                <anchor moveWithCells="1" sizeWithCells="1">
                  <from>
                    <xdr:col>22</xdr:col>
                    <xdr:colOff>0</xdr:colOff>
                    <xdr:row>2343</xdr:row>
                    <xdr:rowOff>0</xdr:rowOff>
                  </from>
                  <to>
                    <xdr:col>22</xdr:col>
                    <xdr:colOff>180975</xdr:colOff>
                    <xdr:row>2343</xdr:row>
                    <xdr:rowOff>180975</xdr:rowOff>
                  </to>
                </anchor>
              </controlPr>
            </control>
          </mc:Choice>
        </mc:AlternateContent>
        <mc:AlternateContent xmlns:mc="http://schemas.openxmlformats.org/markup-compatibility/2006">
          <mc:Choice Requires="x14">
            <control shapeId="16120" r:id="rId327" name="Check Box 760">
              <controlPr locked="0" defaultSize="0" autoFill="0" autoLine="0" autoPict="0">
                <anchor moveWithCells="1" sizeWithCells="1">
                  <from>
                    <xdr:col>22</xdr:col>
                    <xdr:colOff>0</xdr:colOff>
                    <xdr:row>2345</xdr:row>
                    <xdr:rowOff>0</xdr:rowOff>
                  </from>
                  <to>
                    <xdr:col>22</xdr:col>
                    <xdr:colOff>180975</xdr:colOff>
                    <xdr:row>2345</xdr:row>
                    <xdr:rowOff>180975</xdr:rowOff>
                  </to>
                </anchor>
              </controlPr>
            </control>
          </mc:Choice>
        </mc:AlternateContent>
        <mc:AlternateContent xmlns:mc="http://schemas.openxmlformats.org/markup-compatibility/2006">
          <mc:Choice Requires="x14">
            <control shapeId="16121" r:id="rId328" name="Check Box 761">
              <controlPr locked="0" defaultSize="0" autoFill="0" autoLine="0" autoPict="0">
                <anchor moveWithCells="1" sizeWithCells="1">
                  <from>
                    <xdr:col>22</xdr:col>
                    <xdr:colOff>0</xdr:colOff>
                    <xdr:row>2348</xdr:row>
                    <xdr:rowOff>0</xdr:rowOff>
                  </from>
                  <to>
                    <xdr:col>22</xdr:col>
                    <xdr:colOff>180975</xdr:colOff>
                    <xdr:row>2348</xdr:row>
                    <xdr:rowOff>180975</xdr:rowOff>
                  </to>
                </anchor>
              </controlPr>
            </control>
          </mc:Choice>
        </mc:AlternateContent>
        <mc:AlternateContent xmlns:mc="http://schemas.openxmlformats.org/markup-compatibility/2006">
          <mc:Choice Requires="x14">
            <control shapeId="16122" r:id="rId329" name="Check Box 762">
              <controlPr locked="0" defaultSize="0" autoFill="0" autoLine="0" autoPict="0">
                <anchor moveWithCells="1" sizeWithCells="1">
                  <from>
                    <xdr:col>22</xdr:col>
                    <xdr:colOff>0</xdr:colOff>
                    <xdr:row>2350</xdr:row>
                    <xdr:rowOff>0</xdr:rowOff>
                  </from>
                  <to>
                    <xdr:col>22</xdr:col>
                    <xdr:colOff>180975</xdr:colOff>
                    <xdr:row>2350</xdr:row>
                    <xdr:rowOff>180975</xdr:rowOff>
                  </to>
                </anchor>
              </controlPr>
            </control>
          </mc:Choice>
        </mc:AlternateContent>
        <mc:AlternateContent xmlns:mc="http://schemas.openxmlformats.org/markup-compatibility/2006">
          <mc:Choice Requires="x14">
            <control shapeId="16123" r:id="rId330" name="Check Box 763">
              <controlPr locked="0" defaultSize="0" autoFill="0" autoLine="0" autoPict="0">
                <anchor moveWithCells="1" sizeWithCells="1">
                  <from>
                    <xdr:col>22</xdr:col>
                    <xdr:colOff>0</xdr:colOff>
                    <xdr:row>2353</xdr:row>
                    <xdr:rowOff>0</xdr:rowOff>
                  </from>
                  <to>
                    <xdr:col>22</xdr:col>
                    <xdr:colOff>180975</xdr:colOff>
                    <xdr:row>2353</xdr:row>
                    <xdr:rowOff>180975</xdr:rowOff>
                  </to>
                </anchor>
              </controlPr>
            </control>
          </mc:Choice>
        </mc:AlternateContent>
        <mc:AlternateContent xmlns:mc="http://schemas.openxmlformats.org/markup-compatibility/2006">
          <mc:Choice Requires="x14">
            <control shapeId="16124" r:id="rId331" name="Check Box 764">
              <controlPr locked="0" defaultSize="0" autoFill="0" autoLine="0" autoPict="0">
                <anchor moveWithCells="1" sizeWithCells="1">
                  <from>
                    <xdr:col>22</xdr:col>
                    <xdr:colOff>0</xdr:colOff>
                    <xdr:row>2355</xdr:row>
                    <xdr:rowOff>0</xdr:rowOff>
                  </from>
                  <to>
                    <xdr:col>22</xdr:col>
                    <xdr:colOff>180975</xdr:colOff>
                    <xdr:row>2355</xdr:row>
                    <xdr:rowOff>180975</xdr:rowOff>
                  </to>
                </anchor>
              </controlPr>
            </control>
          </mc:Choice>
        </mc:AlternateContent>
        <mc:AlternateContent xmlns:mc="http://schemas.openxmlformats.org/markup-compatibility/2006">
          <mc:Choice Requires="x14">
            <control shapeId="16125" r:id="rId332" name="Check Box 765">
              <controlPr locked="0" defaultSize="0" autoFill="0" autoLine="0" autoPict="0">
                <anchor moveWithCells="1" sizeWithCells="1">
                  <from>
                    <xdr:col>22</xdr:col>
                    <xdr:colOff>0</xdr:colOff>
                    <xdr:row>2356</xdr:row>
                    <xdr:rowOff>0</xdr:rowOff>
                  </from>
                  <to>
                    <xdr:col>22</xdr:col>
                    <xdr:colOff>180975</xdr:colOff>
                    <xdr:row>2356</xdr:row>
                    <xdr:rowOff>180975</xdr:rowOff>
                  </to>
                </anchor>
              </controlPr>
            </control>
          </mc:Choice>
        </mc:AlternateContent>
        <mc:AlternateContent xmlns:mc="http://schemas.openxmlformats.org/markup-compatibility/2006">
          <mc:Choice Requires="x14">
            <control shapeId="16126" r:id="rId333" name="Check Box 766">
              <controlPr locked="0" defaultSize="0" autoFill="0" autoLine="0" autoPict="0">
                <anchor moveWithCells="1" sizeWithCells="1">
                  <from>
                    <xdr:col>22</xdr:col>
                    <xdr:colOff>0</xdr:colOff>
                    <xdr:row>2358</xdr:row>
                    <xdr:rowOff>0</xdr:rowOff>
                  </from>
                  <to>
                    <xdr:col>22</xdr:col>
                    <xdr:colOff>180975</xdr:colOff>
                    <xdr:row>2358</xdr:row>
                    <xdr:rowOff>180975</xdr:rowOff>
                  </to>
                </anchor>
              </controlPr>
            </control>
          </mc:Choice>
        </mc:AlternateContent>
        <mc:AlternateContent xmlns:mc="http://schemas.openxmlformats.org/markup-compatibility/2006">
          <mc:Choice Requires="x14">
            <control shapeId="16127" r:id="rId334" name="Check Box 767">
              <controlPr locked="0" defaultSize="0" autoFill="0" autoLine="0" autoPict="0">
                <anchor moveWithCells="1" sizeWithCells="1">
                  <from>
                    <xdr:col>22</xdr:col>
                    <xdr:colOff>0</xdr:colOff>
                    <xdr:row>2360</xdr:row>
                    <xdr:rowOff>0</xdr:rowOff>
                  </from>
                  <to>
                    <xdr:col>22</xdr:col>
                    <xdr:colOff>180975</xdr:colOff>
                    <xdr:row>2360</xdr:row>
                    <xdr:rowOff>180975</xdr:rowOff>
                  </to>
                </anchor>
              </controlPr>
            </control>
          </mc:Choice>
        </mc:AlternateContent>
        <mc:AlternateContent xmlns:mc="http://schemas.openxmlformats.org/markup-compatibility/2006">
          <mc:Choice Requires="x14">
            <control shapeId="16128" r:id="rId335" name="Check Box 768">
              <controlPr locked="0" defaultSize="0" autoFill="0" autoLine="0" autoPict="0">
                <anchor moveWithCells="1" sizeWithCells="1">
                  <from>
                    <xdr:col>22</xdr:col>
                    <xdr:colOff>0</xdr:colOff>
                    <xdr:row>2361</xdr:row>
                    <xdr:rowOff>0</xdr:rowOff>
                  </from>
                  <to>
                    <xdr:col>22</xdr:col>
                    <xdr:colOff>180975</xdr:colOff>
                    <xdr:row>2361</xdr:row>
                    <xdr:rowOff>180975</xdr:rowOff>
                  </to>
                </anchor>
              </controlPr>
            </control>
          </mc:Choice>
        </mc:AlternateContent>
        <mc:AlternateContent xmlns:mc="http://schemas.openxmlformats.org/markup-compatibility/2006">
          <mc:Choice Requires="x14">
            <control shapeId="16129" r:id="rId336" name="Check Box 769">
              <controlPr locked="0" defaultSize="0" autoFill="0" autoLine="0" autoPict="0">
                <anchor moveWithCells="1" sizeWithCells="1">
                  <from>
                    <xdr:col>22</xdr:col>
                    <xdr:colOff>0</xdr:colOff>
                    <xdr:row>2364</xdr:row>
                    <xdr:rowOff>0</xdr:rowOff>
                  </from>
                  <to>
                    <xdr:col>22</xdr:col>
                    <xdr:colOff>180975</xdr:colOff>
                    <xdr:row>2364</xdr:row>
                    <xdr:rowOff>180975</xdr:rowOff>
                  </to>
                </anchor>
              </controlPr>
            </control>
          </mc:Choice>
        </mc:AlternateContent>
        <mc:AlternateContent xmlns:mc="http://schemas.openxmlformats.org/markup-compatibility/2006">
          <mc:Choice Requires="x14">
            <control shapeId="16130" r:id="rId337" name="Check Box 770">
              <controlPr locked="0" defaultSize="0" autoFill="0" autoLine="0" autoPict="0">
                <anchor moveWithCells="1" sizeWithCells="1">
                  <from>
                    <xdr:col>22</xdr:col>
                    <xdr:colOff>0</xdr:colOff>
                    <xdr:row>2370</xdr:row>
                    <xdr:rowOff>0</xdr:rowOff>
                  </from>
                  <to>
                    <xdr:col>22</xdr:col>
                    <xdr:colOff>180975</xdr:colOff>
                    <xdr:row>2370</xdr:row>
                    <xdr:rowOff>180975</xdr:rowOff>
                  </to>
                </anchor>
              </controlPr>
            </control>
          </mc:Choice>
        </mc:AlternateContent>
        <mc:AlternateContent xmlns:mc="http://schemas.openxmlformats.org/markup-compatibility/2006">
          <mc:Choice Requires="x14">
            <control shapeId="16131" r:id="rId338" name="Check Box 771">
              <controlPr locked="0" defaultSize="0" autoFill="0" autoLine="0" autoPict="0">
                <anchor moveWithCells="1" sizeWithCells="1">
                  <from>
                    <xdr:col>22</xdr:col>
                    <xdr:colOff>0</xdr:colOff>
                    <xdr:row>2372</xdr:row>
                    <xdr:rowOff>0</xdr:rowOff>
                  </from>
                  <to>
                    <xdr:col>22</xdr:col>
                    <xdr:colOff>180975</xdr:colOff>
                    <xdr:row>2372</xdr:row>
                    <xdr:rowOff>180975</xdr:rowOff>
                  </to>
                </anchor>
              </controlPr>
            </control>
          </mc:Choice>
        </mc:AlternateContent>
        <mc:AlternateContent xmlns:mc="http://schemas.openxmlformats.org/markup-compatibility/2006">
          <mc:Choice Requires="x14">
            <control shapeId="16132" r:id="rId339" name="Check Box 772">
              <controlPr locked="0" defaultSize="0" autoFill="0" autoLine="0" autoPict="0">
                <anchor moveWithCells="1" sizeWithCells="1">
                  <from>
                    <xdr:col>22</xdr:col>
                    <xdr:colOff>0</xdr:colOff>
                    <xdr:row>2376</xdr:row>
                    <xdr:rowOff>0</xdr:rowOff>
                  </from>
                  <to>
                    <xdr:col>22</xdr:col>
                    <xdr:colOff>180975</xdr:colOff>
                    <xdr:row>2376</xdr:row>
                    <xdr:rowOff>180975</xdr:rowOff>
                  </to>
                </anchor>
              </controlPr>
            </control>
          </mc:Choice>
        </mc:AlternateContent>
        <mc:AlternateContent xmlns:mc="http://schemas.openxmlformats.org/markup-compatibility/2006">
          <mc:Choice Requires="x14">
            <control shapeId="16133" r:id="rId340" name="Check Box 773">
              <controlPr locked="0" defaultSize="0" autoFill="0" autoLine="0" autoPict="0">
                <anchor moveWithCells="1" sizeWithCells="1">
                  <from>
                    <xdr:col>22</xdr:col>
                    <xdr:colOff>0</xdr:colOff>
                    <xdr:row>2383</xdr:row>
                    <xdr:rowOff>0</xdr:rowOff>
                  </from>
                  <to>
                    <xdr:col>22</xdr:col>
                    <xdr:colOff>180975</xdr:colOff>
                    <xdr:row>2383</xdr:row>
                    <xdr:rowOff>180975</xdr:rowOff>
                  </to>
                </anchor>
              </controlPr>
            </control>
          </mc:Choice>
        </mc:AlternateContent>
        <mc:AlternateContent xmlns:mc="http://schemas.openxmlformats.org/markup-compatibility/2006">
          <mc:Choice Requires="x14">
            <control shapeId="16134" r:id="rId341" name="Check Box 774">
              <controlPr locked="0" defaultSize="0" autoFill="0" autoLine="0" autoPict="0">
                <anchor moveWithCells="1" sizeWithCells="1">
                  <from>
                    <xdr:col>22</xdr:col>
                    <xdr:colOff>0</xdr:colOff>
                    <xdr:row>2385</xdr:row>
                    <xdr:rowOff>0</xdr:rowOff>
                  </from>
                  <to>
                    <xdr:col>22</xdr:col>
                    <xdr:colOff>180975</xdr:colOff>
                    <xdr:row>2385</xdr:row>
                    <xdr:rowOff>180975</xdr:rowOff>
                  </to>
                </anchor>
              </controlPr>
            </control>
          </mc:Choice>
        </mc:AlternateContent>
        <mc:AlternateContent xmlns:mc="http://schemas.openxmlformats.org/markup-compatibility/2006">
          <mc:Choice Requires="x14">
            <control shapeId="16135" r:id="rId342" name="Check Box 775">
              <controlPr locked="0" defaultSize="0" autoFill="0" autoLine="0" autoPict="0">
                <anchor moveWithCells="1" sizeWithCells="1">
                  <from>
                    <xdr:col>22</xdr:col>
                    <xdr:colOff>0</xdr:colOff>
                    <xdr:row>2386</xdr:row>
                    <xdr:rowOff>0</xdr:rowOff>
                  </from>
                  <to>
                    <xdr:col>22</xdr:col>
                    <xdr:colOff>180975</xdr:colOff>
                    <xdr:row>2386</xdr:row>
                    <xdr:rowOff>180975</xdr:rowOff>
                  </to>
                </anchor>
              </controlPr>
            </control>
          </mc:Choice>
        </mc:AlternateContent>
        <mc:AlternateContent xmlns:mc="http://schemas.openxmlformats.org/markup-compatibility/2006">
          <mc:Choice Requires="x14">
            <control shapeId="16136" r:id="rId343" name="Check Box 776">
              <controlPr locked="0" defaultSize="0" autoFill="0" autoLine="0" autoPict="0">
                <anchor moveWithCells="1" sizeWithCells="1">
                  <from>
                    <xdr:col>22</xdr:col>
                    <xdr:colOff>0</xdr:colOff>
                    <xdr:row>2388</xdr:row>
                    <xdr:rowOff>0</xdr:rowOff>
                  </from>
                  <to>
                    <xdr:col>22</xdr:col>
                    <xdr:colOff>180975</xdr:colOff>
                    <xdr:row>2388</xdr:row>
                    <xdr:rowOff>180975</xdr:rowOff>
                  </to>
                </anchor>
              </controlPr>
            </control>
          </mc:Choice>
        </mc:AlternateContent>
        <mc:AlternateContent xmlns:mc="http://schemas.openxmlformats.org/markup-compatibility/2006">
          <mc:Choice Requires="x14">
            <control shapeId="16137" r:id="rId344" name="Check Box 777">
              <controlPr locked="0" defaultSize="0" autoFill="0" autoLine="0" autoPict="0">
                <anchor moveWithCells="1" sizeWithCells="1">
                  <from>
                    <xdr:col>22</xdr:col>
                    <xdr:colOff>0</xdr:colOff>
                    <xdr:row>2389</xdr:row>
                    <xdr:rowOff>0</xdr:rowOff>
                  </from>
                  <to>
                    <xdr:col>22</xdr:col>
                    <xdr:colOff>180975</xdr:colOff>
                    <xdr:row>2389</xdr:row>
                    <xdr:rowOff>180975</xdr:rowOff>
                  </to>
                </anchor>
              </controlPr>
            </control>
          </mc:Choice>
        </mc:AlternateContent>
        <mc:AlternateContent xmlns:mc="http://schemas.openxmlformats.org/markup-compatibility/2006">
          <mc:Choice Requires="x14">
            <control shapeId="16138" r:id="rId345" name="Check Box 778">
              <controlPr locked="0" defaultSize="0" autoFill="0" autoLine="0" autoPict="0">
                <anchor moveWithCells="1" sizeWithCells="1">
                  <from>
                    <xdr:col>22</xdr:col>
                    <xdr:colOff>0</xdr:colOff>
                    <xdr:row>2390</xdr:row>
                    <xdr:rowOff>0</xdr:rowOff>
                  </from>
                  <to>
                    <xdr:col>22</xdr:col>
                    <xdr:colOff>180975</xdr:colOff>
                    <xdr:row>2390</xdr:row>
                    <xdr:rowOff>180975</xdr:rowOff>
                  </to>
                </anchor>
              </controlPr>
            </control>
          </mc:Choice>
        </mc:AlternateContent>
        <mc:AlternateContent xmlns:mc="http://schemas.openxmlformats.org/markup-compatibility/2006">
          <mc:Choice Requires="x14">
            <control shapeId="16139" r:id="rId346" name="Check Box 779">
              <controlPr locked="0" defaultSize="0" autoFill="0" autoLine="0" autoPict="0">
                <anchor moveWithCells="1" sizeWithCells="1">
                  <from>
                    <xdr:col>22</xdr:col>
                    <xdr:colOff>0</xdr:colOff>
                    <xdr:row>2391</xdr:row>
                    <xdr:rowOff>0</xdr:rowOff>
                  </from>
                  <to>
                    <xdr:col>22</xdr:col>
                    <xdr:colOff>180975</xdr:colOff>
                    <xdr:row>2391</xdr:row>
                    <xdr:rowOff>180975</xdr:rowOff>
                  </to>
                </anchor>
              </controlPr>
            </control>
          </mc:Choice>
        </mc:AlternateContent>
        <mc:AlternateContent xmlns:mc="http://schemas.openxmlformats.org/markup-compatibility/2006">
          <mc:Choice Requires="x14">
            <control shapeId="16140" r:id="rId347" name="Check Box 780">
              <controlPr locked="0" defaultSize="0" autoFill="0" autoLine="0" autoPict="0">
                <anchor moveWithCells="1" sizeWithCells="1">
                  <from>
                    <xdr:col>22</xdr:col>
                    <xdr:colOff>0</xdr:colOff>
                    <xdr:row>2394</xdr:row>
                    <xdr:rowOff>0</xdr:rowOff>
                  </from>
                  <to>
                    <xdr:col>22</xdr:col>
                    <xdr:colOff>180975</xdr:colOff>
                    <xdr:row>2394</xdr:row>
                    <xdr:rowOff>180975</xdr:rowOff>
                  </to>
                </anchor>
              </controlPr>
            </control>
          </mc:Choice>
        </mc:AlternateContent>
        <mc:AlternateContent xmlns:mc="http://schemas.openxmlformats.org/markup-compatibility/2006">
          <mc:Choice Requires="x14">
            <control shapeId="16141" r:id="rId348" name="Check Box 781">
              <controlPr locked="0" defaultSize="0" autoFill="0" autoLine="0" autoPict="0">
                <anchor moveWithCells="1" sizeWithCells="1">
                  <from>
                    <xdr:col>22</xdr:col>
                    <xdr:colOff>0</xdr:colOff>
                    <xdr:row>2435</xdr:row>
                    <xdr:rowOff>0</xdr:rowOff>
                  </from>
                  <to>
                    <xdr:col>22</xdr:col>
                    <xdr:colOff>180975</xdr:colOff>
                    <xdr:row>2435</xdr:row>
                    <xdr:rowOff>180975</xdr:rowOff>
                  </to>
                </anchor>
              </controlPr>
            </control>
          </mc:Choice>
        </mc:AlternateContent>
        <mc:AlternateContent xmlns:mc="http://schemas.openxmlformats.org/markup-compatibility/2006">
          <mc:Choice Requires="x14">
            <control shapeId="16142" r:id="rId349" name="Check Box 782">
              <controlPr locked="0" defaultSize="0" autoFill="0" autoLine="0" autoPict="0">
                <anchor moveWithCells="1" sizeWithCells="1">
                  <from>
                    <xdr:col>22</xdr:col>
                    <xdr:colOff>0</xdr:colOff>
                    <xdr:row>2437</xdr:row>
                    <xdr:rowOff>0</xdr:rowOff>
                  </from>
                  <to>
                    <xdr:col>22</xdr:col>
                    <xdr:colOff>180975</xdr:colOff>
                    <xdr:row>2437</xdr:row>
                    <xdr:rowOff>180975</xdr:rowOff>
                  </to>
                </anchor>
              </controlPr>
            </control>
          </mc:Choice>
        </mc:AlternateContent>
        <mc:AlternateContent xmlns:mc="http://schemas.openxmlformats.org/markup-compatibility/2006">
          <mc:Choice Requires="x14">
            <control shapeId="16143" r:id="rId350" name="Check Box 783">
              <controlPr locked="0" defaultSize="0" autoFill="0" autoLine="0" autoPict="0">
                <anchor moveWithCells="1" sizeWithCells="1">
                  <from>
                    <xdr:col>22</xdr:col>
                    <xdr:colOff>0</xdr:colOff>
                    <xdr:row>2440</xdr:row>
                    <xdr:rowOff>0</xdr:rowOff>
                  </from>
                  <to>
                    <xdr:col>22</xdr:col>
                    <xdr:colOff>180975</xdr:colOff>
                    <xdr:row>2440</xdr:row>
                    <xdr:rowOff>180975</xdr:rowOff>
                  </to>
                </anchor>
              </controlPr>
            </control>
          </mc:Choice>
        </mc:AlternateContent>
        <mc:AlternateContent xmlns:mc="http://schemas.openxmlformats.org/markup-compatibility/2006">
          <mc:Choice Requires="x14">
            <control shapeId="16144" r:id="rId351" name="Check Box 784">
              <controlPr locked="0" defaultSize="0" autoFill="0" autoLine="0" autoPict="0">
                <anchor moveWithCells="1" sizeWithCells="1">
                  <from>
                    <xdr:col>22</xdr:col>
                    <xdr:colOff>0</xdr:colOff>
                    <xdr:row>2453</xdr:row>
                    <xdr:rowOff>0</xdr:rowOff>
                  </from>
                  <to>
                    <xdr:col>22</xdr:col>
                    <xdr:colOff>180975</xdr:colOff>
                    <xdr:row>2453</xdr:row>
                    <xdr:rowOff>180975</xdr:rowOff>
                  </to>
                </anchor>
              </controlPr>
            </control>
          </mc:Choice>
        </mc:AlternateContent>
        <mc:AlternateContent xmlns:mc="http://schemas.openxmlformats.org/markup-compatibility/2006">
          <mc:Choice Requires="x14">
            <control shapeId="16145" r:id="rId352" name="Check Box 785">
              <controlPr locked="0" defaultSize="0" autoFill="0" autoLine="0" autoPict="0">
                <anchor moveWithCells="1" sizeWithCells="1">
                  <from>
                    <xdr:col>22</xdr:col>
                    <xdr:colOff>0</xdr:colOff>
                    <xdr:row>2455</xdr:row>
                    <xdr:rowOff>0</xdr:rowOff>
                  </from>
                  <to>
                    <xdr:col>22</xdr:col>
                    <xdr:colOff>180975</xdr:colOff>
                    <xdr:row>2455</xdr:row>
                    <xdr:rowOff>180975</xdr:rowOff>
                  </to>
                </anchor>
              </controlPr>
            </control>
          </mc:Choice>
        </mc:AlternateContent>
        <mc:AlternateContent xmlns:mc="http://schemas.openxmlformats.org/markup-compatibility/2006">
          <mc:Choice Requires="x14">
            <control shapeId="16148" r:id="rId353" name="Check Box 788">
              <controlPr locked="0" defaultSize="0" autoFill="0" autoLine="0" autoPict="0">
                <anchor moveWithCells="1" sizeWithCells="1">
                  <from>
                    <xdr:col>22</xdr:col>
                    <xdr:colOff>0</xdr:colOff>
                    <xdr:row>1920</xdr:row>
                    <xdr:rowOff>0</xdr:rowOff>
                  </from>
                  <to>
                    <xdr:col>22</xdr:col>
                    <xdr:colOff>180975</xdr:colOff>
                    <xdr:row>1920</xdr:row>
                    <xdr:rowOff>180975</xdr:rowOff>
                  </to>
                </anchor>
              </controlPr>
            </control>
          </mc:Choice>
        </mc:AlternateContent>
        <mc:AlternateContent xmlns:mc="http://schemas.openxmlformats.org/markup-compatibility/2006">
          <mc:Choice Requires="x14">
            <control shapeId="16150" r:id="rId354" name="Check Box 790">
              <controlPr locked="0" defaultSize="0" autoFill="0" autoLine="0" autoPict="0">
                <anchor moveWithCells="1" sizeWithCells="1">
                  <from>
                    <xdr:col>22</xdr:col>
                    <xdr:colOff>0</xdr:colOff>
                    <xdr:row>1514</xdr:row>
                    <xdr:rowOff>0</xdr:rowOff>
                  </from>
                  <to>
                    <xdr:col>22</xdr:col>
                    <xdr:colOff>180975</xdr:colOff>
                    <xdr:row>1514</xdr:row>
                    <xdr:rowOff>180975</xdr:rowOff>
                  </to>
                </anchor>
              </controlPr>
            </control>
          </mc:Choice>
        </mc:AlternateContent>
        <mc:AlternateContent xmlns:mc="http://schemas.openxmlformats.org/markup-compatibility/2006">
          <mc:Choice Requires="x14">
            <control shapeId="16153" r:id="rId355" name="Check Box 793">
              <controlPr locked="0" defaultSize="0" autoFill="0" autoLine="0" autoPict="0">
                <anchor moveWithCells="1" sizeWithCells="1">
                  <from>
                    <xdr:col>22</xdr:col>
                    <xdr:colOff>0</xdr:colOff>
                    <xdr:row>49</xdr:row>
                    <xdr:rowOff>0</xdr:rowOff>
                  </from>
                  <to>
                    <xdr:col>22</xdr:col>
                    <xdr:colOff>180975</xdr:colOff>
                    <xdr:row>49</xdr:row>
                    <xdr:rowOff>180975</xdr:rowOff>
                  </to>
                </anchor>
              </controlPr>
            </control>
          </mc:Choice>
        </mc:AlternateContent>
        <mc:AlternateContent xmlns:mc="http://schemas.openxmlformats.org/markup-compatibility/2006">
          <mc:Choice Requires="x14">
            <control shapeId="16154" r:id="rId356" name="Check Box 794">
              <controlPr locked="0" defaultSize="0" autoFill="0" autoLine="0" autoPict="0">
                <anchor moveWithCells="1" sizeWithCells="1">
                  <from>
                    <xdr:col>22</xdr:col>
                    <xdr:colOff>0</xdr:colOff>
                    <xdr:row>51</xdr:row>
                    <xdr:rowOff>0</xdr:rowOff>
                  </from>
                  <to>
                    <xdr:col>22</xdr:col>
                    <xdr:colOff>180975</xdr:colOff>
                    <xdr:row>51</xdr:row>
                    <xdr:rowOff>180975</xdr:rowOff>
                  </to>
                </anchor>
              </controlPr>
            </control>
          </mc:Choice>
        </mc:AlternateContent>
        <mc:AlternateContent xmlns:mc="http://schemas.openxmlformats.org/markup-compatibility/2006">
          <mc:Choice Requires="x14">
            <control shapeId="16155" r:id="rId357" name="Check Box 795">
              <controlPr locked="0" defaultSize="0" autoFill="0" autoLine="0" autoPict="0">
                <anchor moveWithCells="1" siz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16156" r:id="rId358" name="Check Box 796">
              <controlPr locked="0" defaultSize="0" autoFill="0" autoLine="0" autoPict="0">
                <anchor moveWithCells="1" sizeWithCells="1">
                  <from>
                    <xdr:col>22</xdr:col>
                    <xdr:colOff>0</xdr:colOff>
                    <xdr:row>82</xdr:row>
                    <xdr:rowOff>0</xdr:rowOff>
                  </from>
                  <to>
                    <xdr:col>22</xdr:col>
                    <xdr:colOff>180975</xdr:colOff>
                    <xdr:row>82</xdr:row>
                    <xdr:rowOff>180975</xdr:rowOff>
                  </to>
                </anchor>
              </controlPr>
            </control>
          </mc:Choice>
        </mc:AlternateContent>
        <mc:AlternateContent xmlns:mc="http://schemas.openxmlformats.org/markup-compatibility/2006">
          <mc:Choice Requires="x14">
            <control shapeId="16157" r:id="rId359" name="Check Box 797">
              <controlPr locked="0" defaultSize="0" autoFill="0" autoLine="0" autoPict="0">
                <anchor moveWithCells="1" sizeWithCells="1">
                  <from>
                    <xdr:col>22</xdr:col>
                    <xdr:colOff>0</xdr:colOff>
                    <xdr:row>139</xdr:row>
                    <xdr:rowOff>0</xdr:rowOff>
                  </from>
                  <to>
                    <xdr:col>22</xdr:col>
                    <xdr:colOff>180975</xdr:colOff>
                    <xdr:row>139</xdr:row>
                    <xdr:rowOff>180975</xdr:rowOff>
                  </to>
                </anchor>
              </controlPr>
            </control>
          </mc:Choice>
        </mc:AlternateContent>
        <mc:AlternateContent xmlns:mc="http://schemas.openxmlformats.org/markup-compatibility/2006">
          <mc:Choice Requires="x14">
            <control shapeId="16158" r:id="rId360" name="Check Box 798">
              <controlPr locked="0" defaultSize="0" autoFill="0" autoLine="0" autoPict="0">
                <anchor moveWithCells="1" sizeWithCells="1">
                  <from>
                    <xdr:col>22</xdr:col>
                    <xdr:colOff>0</xdr:colOff>
                    <xdr:row>141</xdr:row>
                    <xdr:rowOff>0</xdr:rowOff>
                  </from>
                  <to>
                    <xdr:col>22</xdr:col>
                    <xdr:colOff>180975</xdr:colOff>
                    <xdr:row>141</xdr:row>
                    <xdr:rowOff>180975</xdr:rowOff>
                  </to>
                </anchor>
              </controlPr>
            </control>
          </mc:Choice>
        </mc:AlternateContent>
        <mc:AlternateContent xmlns:mc="http://schemas.openxmlformats.org/markup-compatibility/2006">
          <mc:Choice Requires="x14">
            <control shapeId="16159" r:id="rId361" name="Check Box 799">
              <controlPr locked="0" defaultSize="0" autoFill="0" autoLine="0" autoPict="0">
                <anchor moveWithCells="1" sizeWithCells="1">
                  <from>
                    <xdr:col>22</xdr:col>
                    <xdr:colOff>0</xdr:colOff>
                    <xdr:row>161</xdr:row>
                    <xdr:rowOff>0</xdr:rowOff>
                  </from>
                  <to>
                    <xdr:col>22</xdr:col>
                    <xdr:colOff>180975</xdr:colOff>
                    <xdr:row>161</xdr:row>
                    <xdr:rowOff>180975</xdr:rowOff>
                  </to>
                </anchor>
              </controlPr>
            </control>
          </mc:Choice>
        </mc:AlternateContent>
        <mc:AlternateContent xmlns:mc="http://schemas.openxmlformats.org/markup-compatibility/2006">
          <mc:Choice Requires="x14">
            <control shapeId="16160" r:id="rId362" name="Check Box 800">
              <controlPr locked="0" defaultSize="0" autoFill="0" autoLine="0" autoPict="0">
                <anchor moveWithCells="1" sizeWithCells="1">
                  <from>
                    <xdr:col>22</xdr:col>
                    <xdr:colOff>0</xdr:colOff>
                    <xdr:row>287</xdr:row>
                    <xdr:rowOff>0</xdr:rowOff>
                  </from>
                  <to>
                    <xdr:col>22</xdr:col>
                    <xdr:colOff>180975</xdr:colOff>
                    <xdr:row>287</xdr:row>
                    <xdr:rowOff>180975</xdr:rowOff>
                  </to>
                </anchor>
              </controlPr>
            </control>
          </mc:Choice>
        </mc:AlternateContent>
        <mc:AlternateContent xmlns:mc="http://schemas.openxmlformats.org/markup-compatibility/2006">
          <mc:Choice Requires="x14">
            <control shapeId="16161" r:id="rId363" name="Check Box 801">
              <controlPr locked="0" defaultSize="0" autoFill="0" autoLine="0" autoPict="0">
                <anchor moveWithCells="1" sizeWithCells="1">
                  <from>
                    <xdr:col>22</xdr:col>
                    <xdr:colOff>0</xdr:colOff>
                    <xdr:row>290</xdr:row>
                    <xdr:rowOff>0</xdr:rowOff>
                  </from>
                  <to>
                    <xdr:col>22</xdr:col>
                    <xdr:colOff>180975</xdr:colOff>
                    <xdr:row>290</xdr:row>
                    <xdr:rowOff>180975</xdr:rowOff>
                  </to>
                </anchor>
              </controlPr>
            </control>
          </mc:Choice>
        </mc:AlternateContent>
        <mc:AlternateContent xmlns:mc="http://schemas.openxmlformats.org/markup-compatibility/2006">
          <mc:Choice Requires="x14">
            <control shapeId="16162" r:id="rId364" name="Check Box 802">
              <controlPr locked="0" defaultSize="0" autoFill="0" autoLine="0" autoPict="0">
                <anchor moveWithCells="1" sizeWithCells="1">
                  <from>
                    <xdr:col>22</xdr:col>
                    <xdr:colOff>0</xdr:colOff>
                    <xdr:row>291</xdr:row>
                    <xdr:rowOff>0</xdr:rowOff>
                  </from>
                  <to>
                    <xdr:col>22</xdr:col>
                    <xdr:colOff>180975</xdr:colOff>
                    <xdr:row>291</xdr:row>
                    <xdr:rowOff>180975</xdr:rowOff>
                  </to>
                </anchor>
              </controlPr>
            </control>
          </mc:Choice>
        </mc:AlternateContent>
        <mc:AlternateContent xmlns:mc="http://schemas.openxmlformats.org/markup-compatibility/2006">
          <mc:Choice Requires="x14">
            <control shapeId="16163" r:id="rId365" name="Check Box 803">
              <controlPr locked="0" defaultSize="0" autoFill="0" autoLine="0" autoPict="0">
                <anchor moveWithCells="1" sizeWithCells="1">
                  <from>
                    <xdr:col>22</xdr:col>
                    <xdr:colOff>0</xdr:colOff>
                    <xdr:row>304</xdr:row>
                    <xdr:rowOff>0</xdr:rowOff>
                  </from>
                  <to>
                    <xdr:col>22</xdr:col>
                    <xdr:colOff>180975</xdr:colOff>
                    <xdr:row>304</xdr:row>
                    <xdr:rowOff>180975</xdr:rowOff>
                  </to>
                </anchor>
              </controlPr>
            </control>
          </mc:Choice>
        </mc:AlternateContent>
        <mc:AlternateContent xmlns:mc="http://schemas.openxmlformats.org/markup-compatibility/2006">
          <mc:Choice Requires="x14">
            <control shapeId="16164" r:id="rId366" name="Check Box 804">
              <controlPr locked="0" defaultSize="0" autoFill="0" autoLine="0" autoPict="0">
                <anchor moveWithCells="1" sizeWithCells="1">
                  <from>
                    <xdr:col>22</xdr:col>
                    <xdr:colOff>0</xdr:colOff>
                    <xdr:row>308</xdr:row>
                    <xdr:rowOff>0</xdr:rowOff>
                  </from>
                  <to>
                    <xdr:col>22</xdr:col>
                    <xdr:colOff>180975</xdr:colOff>
                    <xdr:row>308</xdr:row>
                    <xdr:rowOff>180975</xdr:rowOff>
                  </to>
                </anchor>
              </controlPr>
            </control>
          </mc:Choice>
        </mc:AlternateContent>
        <mc:AlternateContent xmlns:mc="http://schemas.openxmlformats.org/markup-compatibility/2006">
          <mc:Choice Requires="x14">
            <control shapeId="16165" r:id="rId367" name="Check Box 805">
              <controlPr locked="0" defaultSize="0" autoFill="0" autoLine="0" autoPict="0">
                <anchor moveWithCells="1" sizeWithCells="1">
                  <from>
                    <xdr:col>22</xdr:col>
                    <xdr:colOff>0</xdr:colOff>
                    <xdr:row>311</xdr:row>
                    <xdr:rowOff>0</xdr:rowOff>
                  </from>
                  <to>
                    <xdr:col>22</xdr:col>
                    <xdr:colOff>180975</xdr:colOff>
                    <xdr:row>311</xdr:row>
                    <xdr:rowOff>180975</xdr:rowOff>
                  </to>
                </anchor>
              </controlPr>
            </control>
          </mc:Choice>
        </mc:AlternateContent>
        <mc:AlternateContent xmlns:mc="http://schemas.openxmlformats.org/markup-compatibility/2006">
          <mc:Choice Requires="x14">
            <control shapeId="16166" r:id="rId368" name="Check Box 806">
              <controlPr locked="0" defaultSize="0" autoFill="0" autoLine="0" autoPict="0">
                <anchor moveWithCells="1" sizeWithCells="1">
                  <from>
                    <xdr:col>22</xdr:col>
                    <xdr:colOff>0</xdr:colOff>
                    <xdr:row>314</xdr:row>
                    <xdr:rowOff>0</xdr:rowOff>
                  </from>
                  <to>
                    <xdr:col>22</xdr:col>
                    <xdr:colOff>180975</xdr:colOff>
                    <xdr:row>314</xdr:row>
                    <xdr:rowOff>180975</xdr:rowOff>
                  </to>
                </anchor>
              </controlPr>
            </control>
          </mc:Choice>
        </mc:AlternateContent>
        <mc:AlternateContent xmlns:mc="http://schemas.openxmlformats.org/markup-compatibility/2006">
          <mc:Choice Requires="x14">
            <control shapeId="16167" r:id="rId369" name="Check Box 807">
              <controlPr locked="0" defaultSize="0" autoFill="0" autoLine="0" autoPict="0">
                <anchor moveWithCells="1" sizeWithCells="1">
                  <from>
                    <xdr:col>22</xdr:col>
                    <xdr:colOff>0</xdr:colOff>
                    <xdr:row>315</xdr:row>
                    <xdr:rowOff>0</xdr:rowOff>
                  </from>
                  <to>
                    <xdr:col>22</xdr:col>
                    <xdr:colOff>180975</xdr:colOff>
                    <xdr:row>315</xdr:row>
                    <xdr:rowOff>180975</xdr:rowOff>
                  </to>
                </anchor>
              </controlPr>
            </control>
          </mc:Choice>
        </mc:AlternateContent>
        <mc:AlternateContent xmlns:mc="http://schemas.openxmlformats.org/markup-compatibility/2006">
          <mc:Choice Requires="x14">
            <control shapeId="16168" r:id="rId370" name="Check Box 808">
              <controlPr locked="0" defaultSize="0" autoFill="0" autoLine="0" autoPict="0">
                <anchor moveWithCells="1" sizeWithCells="1">
                  <from>
                    <xdr:col>22</xdr:col>
                    <xdr:colOff>0</xdr:colOff>
                    <xdr:row>320</xdr:row>
                    <xdr:rowOff>0</xdr:rowOff>
                  </from>
                  <to>
                    <xdr:col>22</xdr:col>
                    <xdr:colOff>180975</xdr:colOff>
                    <xdr:row>320</xdr:row>
                    <xdr:rowOff>180975</xdr:rowOff>
                  </to>
                </anchor>
              </controlPr>
            </control>
          </mc:Choice>
        </mc:AlternateContent>
        <mc:AlternateContent xmlns:mc="http://schemas.openxmlformats.org/markup-compatibility/2006">
          <mc:Choice Requires="x14">
            <control shapeId="16169" r:id="rId371" name="Check Box 809">
              <controlPr locked="0" defaultSize="0" autoFill="0" autoLine="0" autoPict="0">
                <anchor moveWithCells="1" sizeWithCells="1">
                  <from>
                    <xdr:col>22</xdr:col>
                    <xdr:colOff>0</xdr:colOff>
                    <xdr:row>322</xdr:row>
                    <xdr:rowOff>0</xdr:rowOff>
                  </from>
                  <to>
                    <xdr:col>22</xdr:col>
                    <xdr:colOff>180975</xdr:colOff>
                    <xdr:row>322</xdr:row>
                    <xdr:rowOff>180975</xdr:rowOff>
                  </to>
                </anchor>
              </controlPr>
            </control>
          </mc:Choice>
        </mc:AlternateContent>
        <mc:AlternateContent xmlns:mc="http://schemas.openxmlformats.org/markup-compatibility/2006">
          <mc:Choice Requires="x14">
            <control shapeId="16170" r:id="rId372" name="Check Box 810">
              <controlPr locked="0" defaultSize="0" autoFill="0" autoLine="0" autoPict="0">
                <anchor moveWithCells="1" sizeWithCells="1">
                  <from>
                    <xdr:col>22</xdr:col>
                    <xdr:colOff>0</xdr:colOff>
                    <xdr:row>324</xdr:row>
                    <xdr:rowOff>0</xdr:rowOff>
                  </from>
                  <to>
                    <xdr:col>22</xdr:col>
                    <xdr:colOff>180975</xdr:colOff>
                    <xdr:row>324</xdr:row>
                    <xdr:rowOff>180975</xdr:rowOff>
                  </to>
                </anchor>
              </controlPr>
            </control>
          </mc:Choice>
        </mc:AlternateContent>
        <mc:AlternateContent xmlns:mc="http://schemas.openxmlformats.org/markup-compatibility/2006">
          <mc:Choice Requires="x14">
            <control shapeId="16171" r:id="rId373" name="Check Box 811">
              <controlPr locked="0" defaultSize="0" autoFill="0" autoLine="0" autoPict="0">
                <anchor moveWithCells="1" sizeWithCells="1">
                  <from>
                    <xdr:col>22</xdr:col>
                    <xdr:colOff>0</xdr:colOff>
                    <xdr:row>537</xdr:row>
                    <xdr:rowOff>0</xdr:rowOff>
                  </from>
                  <to>
                    <xdr:col>22</xdr:col>
                    <xdr:colOff>180975</xdr:colOff>
                    <xdr:row>537</xdr:row>
                    <xdr:rowOff>180975</xdr:rowOff>
                  </to>
                </anchor>
              </controlPr>
            </control>
          </mc:Choice>
        </mc:AlternateContent>
        <mc:AlternateContent xmlns:mc="http://schemas.openxmlformats.org/markup-compatibility/2006">
          <mc:Choice Requires="x14">
            <control shapeId="16172" r:id="rId374" name="Check Box 812">
              <controlPr locked="0" defaultSize="0" autoFill="0" autoLine="0" autoPict="0">
                <anchor moveWithCells="1" sizeWithCells="1">
                  <from>
                    <xdr:col>22</xdr:col>
                    <xdr:colOff>0</xdr:colOff>
                    <xdr:row>592</xdr:row>
                    <xdr:rowOff>0</xdr:rowOff>
                  </from>
                  <to>
                    <xdr:col>22</xdr:col>
                    <xdr:colOff>180975</xdr:colOff>
                    <xdr:row>592</xdr:row>
                    <xdr:rowOff>180975</xdr:rowOff>
                  </to>
                </anchor>
              </controlPr>
            </control>
          </mc:Choice>
        </mc:AlternateContent>
        <mc:AlternateContent xmlns:mc="http://schemas.openxmlformats.org/markup-compatibility/2006">
          <mc:Choice Requires="x14">
            <control shapeId="16174" r:id="rId375" name="Check Box 814">
              <controlPr locked="0" defaultSize="0" autoFill="0" autoLine="0" autoPict="0">
                <anchor moveWithCells="1" sizeWithCells="1">
                  <from>
                    <xdr:col>22</xdr:col>
                    <xdr:colOff>0</xdr:colOff>
                    <xdr:row>910</xdr:row>
                    <xdr:rowOff>0</xdr:rowOff>
                  </from>
                  <to>
                    <xdr:col>22</xdr:col>
                    <xdr:colOff>180975</xdr:colOff>
                    <xdr:row>910</xdr:row>
                    <xdr:rowOff>180975</xdr:rowOff>
                  </to>
                </anchor>
              </controlPr>
            </control>
          </mc:Choice>
        </mc:AlternateContent>
        <mc:AlternateContent xmlns:mc="http://schemas.openxmlformats.org/markup-compatibility/2006">
          <mc:Choice Requires="x14">
            <control shapeId="16175" r:id="rId376" name="Check Box 815">
              <controlPr locked="0" defaultSize="0" autoFill="0" autoLine="0" autoPict="0">
                <anchor moveWithCells="1" sizeWithCells="1">
                  <from>
                    <xdr:col>22</xdr:col>
                    <xdr:colOff>0</xdr:colOff>
                    <xdr:row>911</xdr:row>
                    <xdr:rowOff>0</xdr:rowOff>
                  </from>
                  <to>
                    <xdr:col>22</xdr:col>
                    <xdr:colOff>180975</xdr:colOff>
                    <xdr:row>911</xdr:row>
                    <xdr:rowOff>180975</xdr:rowOff>
                  </to>
                </anchor>
              </controlPr>
            </control>
          </mc:Choice>
        </mc:AlternateContent>
        <mc:AlternateContent xmlns:mc="http://schemas.openxmlformats.org/markup-compatibility/2006">
          <mc:Choice Requires="x14">
            <control shapeId="16176" r:id="rId377" name="Check Box 816">
              <controlPr locked="0" defaultSize="0" autoFill="0" autoLine="0" autoPict="0">
                <anchor moveWithCells="1" sizeWithCells="1">
                  <from>
                    <xdr:col>22</xdr:col>
                    <xdr:colOff>0</xdr:colOff>
                    <xdr:row>914</xdr:row>
                    <xdr:rowOff>0</xdr:rowOff>
                  </from>
                  <to>
                    <xdr:col>22</xdr:col>
                    <xdr:colOff>180975</xdr:colOff>
                    <xdr:row>914</xdr:row>
                    <xdr:rowOff>180975</xdr:rowOff>
                  </to>
                </anchor>
              </controlPr>
            </control>
          </mc:Choice>
        </mc:AlternateContent>
        <mc:AlternateContent xmlns:mc="http://schemas.openxmlformats.org/markup-compatibility/2006">
          <mc:Choice Requires="x14">
            <control shapeId="16177" r:id="rId378" name="Check Box 817">
              <controlPr locked="0" defaultSize="0" autoFill="0" autoLine="0" autoPict="0">
                <anchor moveWithCells="1" sizeWithCells="1">
                  <from>
                    <xdr:col>22</xdr:col>
                    <xdr:colOff>0</xdr:colOff>
                    <xdr:row>919</xdr:row>
                    <xdr:rowOff>0</xdr:rowOff>
                  </from>
                  <to>
                    <xdr:col>22</xdr:col>
                    <xdr:colOff>180975</xdr:colOff>
                    <xdr:row>919</xdr:row>
                    <xdr:rowOff>180975</xdr:rowOff>
                  </to>
                </anchor>
              </controlPr>
            </control>
          </mc:Choice>
        </mc:AlternateContent>
        <mc:AlternateContent xmlns:mc="http://schemas.openxmlformats.org/markup-compatibility/2006">
          <mc:Choice Requires="x14">
            <control shapeId="16178" r:id="rId379" name="Check Box 818">
              <controlPr locked="0" defaultSize="0" autoFill="0" autoLine="0" autoPict="0">
                <anchor moveWithCells="1" sizeWithCells="1">
                  <from>
                    <xdr:col>22</xdr:col>
                    <xdr:colOff>0</xdr:colOff>
                    <xdr:row>920</xdr:row>
                    <xdr:rowOff>0</xdr:rowOff>
                  </from>
                  <to>
                    <xdr:col>22</xdr:col>
                    <xdr:colOff>180975</xdr:colOff>
                    <xdr:row>920</xdr:row>
                    <xdr:rowOff>180975</xdr:rowOff>
                  </to>
                </anchor>
              </controlPr>
            </control>
          </mc:Choice>
        </mc:AlternateContent>
        <mc:AlternateContent xmlns:mc="http://schemas.openxmlformats.org/markup-compatibility/2006">
          <mc:Choice Requires="x14">
            <control shapeId="16179" r:id="rId380" name="Check Box 819">
              <controlPr locked="0" defaultSize="0" autoFill="0" autoLine="0" autoPict="0">
                <anchor moveWithCells="1" sizeWithCells="1">
                  <from>
                    <xdr:col>22</xdr:col>
                    <xdr:colOff>0</xdr:colOff>
                    <xdr:row>921</xdr:row>
                    <xdr:rowOff>0</xdr:rowOff>
                  </from>
                  <to>
                    <xdr:col>22</xdr:col>
                    <xdr:colOff>180975</xdr:colOff>
                    <xdr:row>921</xdr:row>
                    <xdr:rowOff>180975</xdr:rowOff>
                  </to>
                </anchor>
              </controlPr>
            </control>
          </mc:Choice>
        </mc:AlternateContent>
        <mc:AlternateContent xmlns:mc="http://schemas.openxmlformats.org/markup-compatibility/2006">
          <mc:Choice Requires="x14">
            <control shapeId="16180" r:id="rId381" name="Check Box 820">
              <controlPr locked="0" defaultSize="0" autoFill="0" autoLine="0" autoPict="0">
                <anchor moveWithCells="1" sizeWithCells="1">
                  <from>
                    <xdr:col>22</xdr:col>
                    <xdr:colOff>0</xdr:colOff>
                    <xdr:row>923</xdr:row>
                    <xdr:rowOff>0</xdr:rowOff>
                  </from>
                  <to>
                    <xdr:col>22</xdr:col>
                    <xdr:colOff>180975</xdr:colOff>
                    <xdr:row>923</xdr:row>
                    <xdr:rowOff>180975</xdr:rowOff>
                  </to>
                </anchor>
              </controlPr>
            </control>
          </mc:Choice>
        </mc:AlternateContent>
        <mc:AlternateContent xmlns:mc="http://schemas.openxmlformats.org/markup-compatibility/2006">
          <mc:Choice Requires="x14">
            <control shapeId="16181" r:id="rId382" name="Check Box 821">
              <controlPr locked="0" defaultSize="0" autoFill="0" autoLine="0" autoPict="0">
                <anchor moveWithCells="1" sizeWithCells="1">
                  <from>
                    <xdr:col>22</xdr:col>
                    <xdr:colOff>0</xdr:colOff>
                    <xdr:row>924</xdr:row>
                    <xdr:rowOff>0</xdr:rowOff>
                  </from>
                  <to>
                    <xdr:col>22</xdr:col>
                    <xdr:colOff>180975</xdr:colOff>
                    <xdr:row>924</xdr:row>
                    <xdr:rowOff>180975</xdr:rowOff>
                  </to>
                </anchor>
              </controlPr>
            </control>
          </mc:Choice>
        </mc:AlternateContent>
        <mc:AlternateContent xmlns:mc="http://schemas.openxmlformats.org/markup-compatibility/2006">
          <mc:Choice Requires="x14">
            <control shapeId="16182" r:id="rId383" name="Check Box 822">
              <controlPr locked="0" defaultSize="0" autoFill="0" autoLine="0" autoPict="0">
                <anchor moveWithCells="1" sizeWithCells="1">
                  <from>
                    <xdr:col>22</xdr:col>
                    <xdr:colOff>0</xdr:colOff>
                    <xdr:row>925</xdr:row>
                    <xdr:rowOff>0</xdr:rowOff>
                  </from>
                  <to>
                    <xdr:col>22</xdr:col>
                    <xdr:colOff>180975</xdr:colOff>
                    <xdr:row>925</xdr:row>
                    <xdr:rowOff>180975</xdr:rowOff>
                  </to>
                </anchor>
              </controlPr>
            </control>
          </mc:Choice>
        </mc:AlternateContent>
        <mc:AlternateContent xmlns:mc="http://schemas.openxmlformats.org/markup-compatibility/2006">
          <mc:Choice Requires="x14">
            <control shapeId="16183" r:id="rId384" name="Check Box 823">
              <controlPr locked="0" defaultSize="0" autoFill="0" autoLine="0" autoPict="0">
                <anchor moveWithCells="1" sizeWithCells="1">
                  <from>
                    <xdr:col>22</xdr:col>
                    <xdr:colOff>0</xdr:colOff>
                    <xdr:row>926</xdr:row>
                    <xdr:rowOff>0</xdr:rowOff>
                  </from>
                  <to>
                    <xdr:col>22</xdr:col>
                    <xdr:colOff>180975</xdr:colOff>
                    <xdr:row>926</xdr:row>
                    <xdr:rowOff>180975</xdr:rowOff>
                  </to>
                </anchor>
              </controlPr>
            </control>
          </mc:Choice>
        </mc:AlternateContent>
        <mc:AlternateContent xmlns:mc="http://schemas.openxmlformats.org/markup-compatibility/2006">
          <mc:Choice Requires="x14">
            <control shapeId="16184" r:id="rId385" name="Check Box 824">
              <controlPr locked="0" defaultSize="0" autoFill="0" autoLine="0" autoPict="0">
                <anchor moveWithCells="1" sizeWithCells="1">
                  <from>
                    <xdr:col>22</xdr:col>
                    <xdr:colOff>0</xdr:colOff>
                    <xdr:row>928</xdr:row>
                    <xdr:rowOff>0</xdr:rowOff>
                  </from>
                  <to>
                    <xdr:col>22</xdr:col>
                    <xdr:colOff>180975</xdr:colOff>
                    <xdr:row>928</xdr:row>
                    <xdr:rowOff>180975</xdr:rowOff>
                  </to>
                </anchor>
              </controlPr>
            </control>
          </mc:Choice>
        </mc:AlternateContent>
        <mc:AlternateContent xmlns:mc="http://schemas.openxmlformats.org/markup-compatibility/2006">
          <mc:Choice Requires="x14">
            <control shapeId="16188" r:id="rId386" name="Check Box 828">
              <controlPr locked="0" defaultSize="0" autoFill="0" autoLine="0" autoPict="0">
                <anchor moveWithCells="1" sizeWithCells="1">
                  <from>
                    <xdr:col>22</xdr:col>
                    <xdr:colOff>0</xdr:colOff>
                    <xdr:row>1461</xdr:row>
                    <xdr:rowOff>0</xdr:rowOff>
                  </from>
                  <to>
                    <xdr:col>22</xdr:col>
                    <xdr:colOff>180975</xdr:colOff>
                    <xdr:row>1461</xdr:row>
                    <xdr:rowOff>180975</xdr:rowOff>
                  </to>
                </anchor>
              </controlPr>
            </control>
          </mc:Choice>
        </mc:AlternateContent>
        <mc:AlternateContent xmlns:mc="http://schemas.openxmlformats.org/markup-compatibility/2006">
          <mc:Choice Requires="x14">
            <control shapeId="16189" r:id="rId387" name="Check Box 829">
              <controlPr locked="0" defaultSize="0" autoFill="0" autoLine="0" autoPict="0">
                <anchor moveWithCells="1" sizeWithCells="1">
                  <from>
                    <xdr:col>22</xdr:col>
                    <xdr:colOff>0</xdr:colOff>
                    <xdr:row>1464</xdr:row>
                    <xdr:rowOff>0</xdr:rowOff>
                  </from>
                  <to>
                    <xdr:col>22</xdr:col>
                    <xdr:colOff>180975</xdr:colOff>
                    <xdr:row>1464</xdr:row>
                    <xdr:rowOff>180975</xdr:rowOff>
                  </to>
                </anchor>
              </controlPr>
            </control>
          </mc:Choice>
        </mc:AlternateContent>
        <mc:AlternateContent xmlns:mc="http://schemas.openxmlformats.org/markup-compatibility/2006">
          <mc:Choice Requires="x14">
            <control shapeId="16190" r:id="rId388" name="Check Box 830">
              <controlPr locked="0" defaultSize="0" autoFill="0" autoLine="0" autoPict="0">
                <anchor moveWithCells="1" sizeWithCells="1">
                  <from>
                    <xdr:col>22</xdr:col>
                    <xdr:colOff>0</xdr:colOff>
                    <xdr:row>1475</xdr:row>
                    <xdr:rowOff>0</xdr:rowOff>
                  </from>
                  <to>
                    <xdr:col>22</xdr:col>
                    <xdr:colOff>180975</xdr:colOff>
                    <xdr:row>1475</xdr:row>
                    <xdr:rowOff>180975</xdr:rowOff>
                  </to>
                </anchor>
              </controlPr>
            </control>
          </mc:Choice>
        </mc:AlternateContent>
        <mc:AlternateContent xmlns:mc="http://schemas.openxmlformats.org/markup-compatibility/2006">
          <mc:Choice Requires="x14">
            <control shapeId="16191" r:id="rId389" name="Check Box 831">
              <controlPr locked="0" defaultSize="0" autoFill="0" autoLine="0" autoPict="0">
                <anchor moveWithCells="1" sizeWithCells="1">
                  <from>
                    <xdr:col>22</xdr:col>
                    <xdr:colOff>0</xdr:colOff>
                    <xdr:row>1477</xdr:row>
                    <xdr:rowOff>0</xdr:rowOff>
                  </from>
                  <to>
                    <xdr:col>22</xdr:col>
                    <xdr:colOff>180975</xdr:colOff>
                    <xdr:row>1477</xdr:row>
                    <xdr:rowOff>180975</xdr:rowOff>
                  </to>
                </anchor>
              </controlPr>
            </control>
          </mc:Choice>
        </mc:AlternateContent>
        <mc:AlternateContent xmlns:mc="http://schemas.openxmlformats.org/markup-compatibility/2006">
          <mc:Choice Requires="x14">
            <control shapeId="16192" r:id="rId390" name="Check Box 832">
              <controlPr locked="0" defaultSize="0" autoFill="0" autoLine="0" autoPict="0">
                <anchor moveWithCells="1" sizeWithCells="1">
                  <from>
                    <xdr:col>22</xdr:col>
                    <xdr:colOff>0</xdr:colOff>
                    <xdr:row>1501</xdr:row>
                    <xdr:rowOff>0</xdr:rowOff>
                  </from>
                  <to>
                    <xdr:col>22</xdr:col>
                    <xdr:colOff>180975</xdr:colOff>
                    <xdr:row>1501</xdr:row>
                    <xdr:rowOff>180975</xdr:rowOff>
                  </to>
                </anchor>
              </controlPr>
            </control>
          </mc:Choice>
        </mc:AlternateContent>
        <mc:AlternateContent xmlns:mc="http://schemas.openxmlformats.org/markup-compatibility/2006">
          <mc:Choice Requires="x14">
            <control shapeId="16193" r:id="rId391" name="Check Box 833">
              <controlPr locked="0" defaultSize="0" autoFill="0" autoLine="0" autoPict="0">
                <anchor moveWithCells="1" sizeWithCells="1">
                  <from>
                    <xdr:col>22</xdr:col>
                    <xdr:colOff>0</xdr:colOff>
                    <xdr:row>1503</xdr:row>
                    <xdr:rowOff>0</xdr:rowOff>
                  </from>
                  <to>
                    <xdr:col>22</xdr:col>
                    <xdr:colOff>180975</xdr:colOff>
                    <xdr:row>1503</xdr:row>
                    <xdr:rowOff>180975</xdr:rowOff>
                  </to>
                </anchor>
              </controlPr>
            </control>
          </mc:Choice>
        </mc:AlternateContent>
        <mc:AlternateContent xmlns:mc="http://schemas.openxmlformats.org/markup-compatibility/2006">
          <mc:Choice Requires="x14">
            <control shapeId="16195" r:id="rId392" name="Check Box 835">
              <controlPr locked="0" defaultSize="0" autoFill="0" autoLine="0" autoPict="0">
                <anchor moveWithCells="1" sizeWithCells="1">
                  <from>
                    <xdr:col>22</xdr:col>
                    <xdr:colOff>0</xdr:colOff>
                    <xdr:row>1580</xdr:row>
                    <xdr:rowOff>0</xdr:rowOff>
                  </from>
                  <to>
                    <xdr:col>22</xdr:col>
                    <xdr:colOff>180975</xdr:colOff>
                    <xdr:row>1580</xdr:row>
                    <xdr:rowOff>180975</xdr:rowOff>
                  </to>
                </anchor>
              </controlPr>
            </control>
          </mc:Choice>
        </mc:AlternateContent>
        <mc:AlternateContent xmlns:mc="http://schemas.openxmlformats.org/markup-compatibility/2006">
          <mc:Choice Requires="x14">
            <control shapeId="16196" r:id="rId393" name="Check Box 836">
              <controlPr locked="0" defaultSize="0" autoFill="0" autoLine="0" autoPict="0">
                <anchor moveWithCells="1" sizeWithCells="1">
                  <from>
                    <xdr:col>22</xdr:col>
                    <xdr:colOff>0</xdr:colOff>
                    <xdr:row>1605</xdr:row>
                    <xdr:rowOff>0</xdr:rowOff>
                  </from>
                  <to>
                    <xdr:col>22</xdr:col>
                    <xdr:colOff>180975</xdr:colOff>
                    <xdr:row>1605</xdr:row>
                    <xdr:rowOff>180975</xdr:rowOff>
                  </to>
                </anchor>
              </controlPr>
            </control>
          </mc:Choice>
        </mc:AlternateContent>
        <mc:AlternateContent xmlns:mc="http://schemas.openxmlformats.org/markup-compatibility/2006">
          <mc:Choice Requires="x14">
            <control shapeId="16197" r:id="rId394" name="Check Box 837">
              <controlPr locked="0" defaultSize="0" autoFill="0" autoLine="0" autoPict="0">
                <anchor moveWithCells="1" sizeWithCells="1">
                  <from>
                    <xdr:col>22</xdr:col>
                    <xdr:colOff>0</xdr:colOff>
                    <xdr:row>1615</xdr:row>
                    <xdr:rowOff>0</xdr:rowOff>
                  </from>
                  <to>
                    <xdr:col>22</xdr:col>
                    <xdr:colOff>180975</xdr:colOff>
                    <xdr:row>1615</xdr:row>
                    <xdr:rowOff>180975</xdr:rowOff>
                  </to>
                </anchor>
              </controlPr>
            </control>
          </mc:Choice>
        </mc:AlternateContent>
        <mc:AlternateContent xmlns:mc="http://schemas.openxmlformats.org/markup-compatibility/2006">
          <mc:Choice Requires="x14">
            <control shapeId="16198" r:id="rId395" name="Check Box 838">
              <controlPr locked="0" defaultSize="0" autoFill="0" autoLine="0" autoPict="0">
                <anchor moveWithCells="1" sizeWithCells="1">
                  <from>
                    <xdr:col>22</xdr:col>
                    <xdr:colOff>0</xdr:colOff>
                    <xdr:row>1617</xdr:row>
                    <xdr:rowOff>0</xdr:rowOff>
                  </from>
                  <to>
                    <xdr:col>22</xdr:col>
                    <xdr:colOff>180975</xdr:colOff>
                    <xdr:row>1617</xdr:row>
                    <xdr:rowOff>180975</xdr:rowOff>
                  </to>
                </anchor>
              </controlPr>
            </control>
          </mc:Choice>
        </mc:AlternateContent>
        <mc:AlternateContent xmlns:mc="http://schemas.openxmlformats.org/markup-compatibility/2006">
          <mc:Choice Requires="x14">
            <control shapeId="16199" r:id="rId396" name="Check Box 839">
              <controlPr locked="0" defaultSize="0" autoFill="0" autoLine="0" autoPict="0">
                <anchor moveWithCells="1" sizeWithCells="1">
                  <from>
                    <xdr:col>22</xdr:col>
                    <xdr:colOff>0</xdr:colOff>
                    <xdr:row>1626</xdr:row>
                    <xdr:rowOff>0</xdr:rowOff>
                  </from>
                  <to>
                    <xdr:col>22</xdr:col>
                    <xdr:colOff>180975</xdr:colOff>
                    <xdr:row>1626</xdr:row>
                    <xdr:rowOff>180975</xdr:rowOff>
                  </to>
                </anchor>
              </controlPr>
            </control>
          </mc:Choice>
        </mc:AlternateContent>
        <mc:AlternateContent xmlns:mc="http://schemas.openxmlformats.org/markup-compatibility/2006">
          <mc:Choice Requires="x14">
            <control shapeId="16200" r:id="rId397" name="Check Box 840">
              <controlPr locked="0" defaultSize="0" autoFill="0" autoLine="0" autoPict="0">
                <anchor moveWithCells="1" sizeWithCells="1">
                  <from>
                    <xdr:col>22</xdr:col>
                    <xdr:colOff>0</xdr:colOff>
                    <xdr:row>1630</xdr:row>
                    <xdr:rowOff>0</xdr:rowOff>
                  </from>
                  <to>
                    <xdr:col>22</xdr:col>
                    <xdr:colOff>180975</xdr:colOff>
                    <xdr:row>1630</xdr:row>
                    <xdr:rowOff>180975</xdr:rowOff>
                  </to>
                </anchor>
              </controlPr>
            </control>
          </mc:Choice>
        </mc:AlternateContent>
        <mc:AlternateContent xmlns:mc="http://schemas.openxmlformats.org/markup-compatibility/2006">
          <mc:Choice Requires="x14">
            <control shapeId="16201" r:id="rId398" name="Check Box 841">
              <controlPr locked="0" defaultSize="0" autoFill="0" autoLine="0" autoPict="0">
                <anchor moveWithCells="1" sizeWithCells="1">
                  <from>
                    <xdr:col>22</xdr:col>
                    <xdr:colOff>0</xdr:colOff>
                    <xdr:row>1635</xdr:row>
                    <xdr:rowOff>0</xdr:rowOff>
                  </from>
                  <to>
                    <xdr:col>22</xdr:col>
                    <xdr:colOff>180975</xdr:colOff>
                    <xdr:row>1635</xdr:row>
                    <xdr:rowOff>180975</xdr:rowOff>
                  </to>
                </anchor>
              </controlPr>
            </control>
          </mc:Choice>
        </mc:AlternateContent>
        <mc:AlternateContent xmlns:mc="http://schemas.openxmlformats.org/markup-compatibility/2006">
          <mc:Choice Requires="x14">
            <control shapeId="16202" r:id="rId399" name="Check Box 842">
              <controlPr locked="0" defaultSize="0" autoFill="0" autoLine="0" autoPict="0">
                <anchor moveWithCells="1" sizeWithCells="1">
                  <from>
                    <xdr:col>22</xdr:col>
                    <xdr:colOff>0</xdr:colOff>
                    <xdr:row>1636</xdr:row>
                    <xdr:rowOff>0</xdr:rowOff>
                  </from>
                  <to>
                    <xdr:col>22</xdr:col>
                    <xdr:colOff>180975</xdr:colOff>
                    <xdr:row>1636</xdr:row>
                    <xdr:rowOff>180975</xdr:rowOff>
                  </to>
                </anchor>
              </controlPr>
            </control>
          </mc:Choice>
        </mc:AlternateContent>
        <mc:AlternateContent xmlns:mc="http://schemas.openxmlformats.org/markup-compatibility/2006">
          <mc:Choice Requires="x14">
            <control shapeId="16205" r:id="rId400" name="Check Box 845">
              <controlPr locked="0" defaultSize="0" autoFill="0" autoLine="0" autoPict="0">
                <anchor moveWithCells="1" sizeWithCells="1">
                  <from>
                    <xdr:col>22</xdr:col>
                    <xdr:colOff>0</xdr:colOff>
                    <xdr:row>1773</xdr:row>
                    <xdr:rowOff>0</xdr:rowOff>
                  </from>
                  <to>
                    <xdr:col>22</xdr:col>
                    <xdr:colOff>180975</xdr:colOff>
                    <xdr:row>1773</xdr:row>
                    <xdr:rowOff>180975</xdr:rowOff>
                  </to>
                </anchor>
              </controlPr>
            </control>
          </mc:Choice>
        </mc:AlternateContent>
        <mc:AlternateContent xmlns:mc="http://schemas.openxmlformats.org/markup-compatibility/2006">
          <mc:Choice Requires="x14">
            <control shapeId="16206" r:id="rId401" name="Check Box 846">
              <controlPr locked="0" defaultSize="0" autoFill="0" autoLine="0" autoPict="0">
                <anchor moveWithCells="1" sizeWithCells="1">
                  <from>
                    <xdr:col>22</xdr:col>
                    <xdr:colOff>0</xdr:colOff>
                    <xdr:row>1792</xdr:row>
                    <xdr:rowOff>0</xdr:rowOff>
                  </from>
                  <to>
                    <xdr:col>22</xdr:col>
                    <xdr:colOff>180975</xdr:colOff>
                    <xdr:row>1792</xdr:row>
                    <xdr:rowOff>180975</xdr:rowOff>
                  </to>
                </anchor>
              </controlPr>
            </control>
          </mc:Choice>
        </mc:AlternateContent>
        <mc:AlternateContent xmlns:mc="http://schemas.openxmlformats.org/markup-compatibility/2006">
          <mc:Choice Requires="x14">
            <control shapeId="16207" r:id="rId402" name="Check Box 847">
              <controlPr locked="0" defaultSize="0" autoFill="0" autoLine="0" autoPict="0">
                <anchor moveWithCells="1" sizeWithCells="1">
                  <from>
                    <xdr:col>22</xdr:col>
                    <xdr:colOff>0</xdr:colOff>
                    <xdr:row>1794</xdr:row>
                    <xdr:rowOff>0</xdr:rowOff>
                  </from>
                  <to>
                    <xdr:col>22</xdr:col>
                    <xdr:colOff>180975</xdr:colOff>
                    <xdr:row>1794</xdr:row>
                    <xdr:rowOff>180975</xdr:rowOff>
                  </to>
                </anchor>
              </controlPr>
            </control>
          </mc:Choice>
        </mc:AlternateContent>
        <mc:AlternateContent xmlns:mc="http://schemas.openxmlformats.org/markup-compatibility/2006">
          <mc:Choice Requires="x14">
            <control shapeId="16208" r:id="rId403" name="Check Box 848">
              <controlPr locked="0" defaultSize="0" autoFill="0" autoLine="0" autoPict="0">
                <anchor moveWithCells="1" sizeWithCells="1">
                  <from>
                    <xdr:col>22</xdr:col>
                    <xdr:colOff>0</xdr:colOff>
                    <xdr:row>1796</xdr:row>
                    <xdr:rowOff>0</xdr:rowOff>
                  </from>
                  <to>
                    <xdr:col>22</xdr:col>
                    <xdr:colOff>180975</xdr:colOff>
                    <xdr:row>1796</xdr:row>
                    <xdr:rowOff>180975</xdr:rowOff>
                  </to>
                </anchor>
              </controlPr>
            </control>
          </mc:Choice>
        </mc:AlternateContent>
        <mc:AlternateContent xmlns:mc="http://schemas.openxmlformats.org/markup-compatibility/2006">
          <mc:Choice Requires="x14">
            <control shapeId="16209" r:id="rId404" name="Check Box 849">
              <controlPr locked="0" defaultSize="0" autoFill="0" autoLine="0" autoPict="0">
                <anchor moveWithCells="1" sizeWithCells="1">
                  <from>
                    <xdr:col>22</xdr:col>
                    <xdr:colOff>0</xdr:colOff>
                    <xdr:row>1797</xdr:row>
                    <xdr:rowOff>0</xdr:rowOff>
                  </from>
                  <to>
                    <xdr:col>22</xdr:col>
                    <xdr:colOff>180975</xdr:colOff>
                    <xdr:row>1797</xdr:row>
                    <xdr:rowOff>180975</xdr:rowOff>
                  </to>
                </anchor>
              </controlPr>
            </control>
          </mc:Choice>
        </mc:AlternateContent>
        <mc:AlternateContent xmlns:mc="http://schemas.openxmlformats.org/markup-compatibility/2006">
          <mc:Choice Requires="x14">
            <control shapeId="16210" r:id="rId405" name="Check Box 850">
              <controlPr locked="0" defaultSize="0" autoFill="0" autoLine="0" autoPict="0">
                <anchor moveWithCells="1" sizeWithCells="1">
                  <from>
                    <xdr:col>22</xdr:col>
                    <xdr:colOff>0</xdr:colOff>
                    <xdr:row>1799</xdr:row>
                    <xdr:rowOff>0</xdr:rowOff>
                  </from>
                  <to>
                    <xdr:col>22</xdr:col>
                    <xdr:colOff>180975</xdr:colOff>
                    <xdr:row>1799</xdr:row>
                    <xdr:rowOff>180975</xdr:rowOff>
                  </to>
                </anchor>
              </controlPr>
            </control>
          </mc:Choice>
        </mc:AlternateContent>
        <mc:AlternateContent xmlns:mc="http://schemas.openxmlformats.org/markup-compatibility/2006">
          <mc:Choice Requires="x14">
            <control shapeId="16212" r:id="rId406" name="Check Box 852">
              <controlPr locked="0" defaultSize="0" autoFill="0" autoLine="0" autoPict="0">
                <anchor moveWithCells="1" sizeWithCells="1">
                  <from>
                    <xdr:col>22</xdr:col>
                    <xdr:colOff>0</xdr:colOff>
                    <xdr:row>1839</xdr:row>
                    <xdr:rowOff>0</xdr:rowOff>
                  </from>
                  <to>
                    <xdr:col>22</xdr:col>
                    <xdr:colOff>180975</xdr:colOff>
                    <xdr:row>1839</xdr:row>
                    <xdr:rowOff>180975</xdr:rowOff>
                  </to>
                </anchor>
              </controlPr>
            </control>
          </mc:Choice>
        </mc:AlternateContent>
        <mc:AlternateContent xmlns:mc="http://schemas.openxmlformats.org/markup-compatibility/2006">
          <mc:Choice Requires="x14">
            <control shapeId="16214" r:id="rId407" name="Check Box 854">
              <controlPr locked="0" defaultSize="0" autoFill="0" autoLine="0" autoPict="0">
                <anchor moveWithCells="1" sizeWithCells="1">
                  <from>
                    <xdr:col>22</xdr:col>
                    <xdr:colOff>0</xdr:colOff>
                    <xdr:row>2029</xdr:row>
                    <xdr:rowOff>0</xdr:rowOff>
                  </from>
                  <to>
                    <xdr:col>22</xdr:col>
                    <xdr:colOff>180975</xdr:colOff>
                    <xdr:row>2029</xdr:row>
                    <xdr:rowOff>180975</xdr:rowOff>
                  </to>
                </anchor>
              </controlPr>
            </control>
          </mc:Choice>
        </mc:AlternateContent>
        <mc:AlternateContent xmlns:mc="http://schemas.openxmlformats.org/markup-compatibility/2006">
          <mc:Choice Requires="x14">
            <control shapeId="16215" r:id="rId408" name="Check Box 855">
              <controlPr locked="0" defaultSize="0" autoFill="0" autoLine="0" autoPict="0">
                <anchor moveWithCells="1" sizeWithCells="1">
                  <from>
                    <xdr:col>22</xdr:col>
                    <xdr:colOff>0</xdr:colOff>
                    <xdr:row>2080</xdr:row>
                    <xdr:rowOff>0</xdr:rowOff>
                  </from>
                  <to>
                    <xdr:col>22</xdr:col>
                    <xdr:colOff>180975</xdr:colOff>
                    <xdr:row>2080</xdr:row>
                    <xdr:rowOff>180975</xdr:rowOff>
                  </to>
                </anchor>
              </controlPr>
            </control>
          </mc:Choice>
        </mc:AlternateContent>
        <mc:AlternateContent xmlns:mc="http://schemas.openxmlformats.org/markup-compatibility/2006">
          <mc:Choice Requires="x14">
            <control shapeId="16218" r:id="rId409" name="Check Box 858">
              <controlPr locked="0" defaultSize="0" autoFill="0" autoLine="0" autoPict="0">
                <anchor moveWithCells="1" sizeWithCells="1">
                  <from>
                    <xdr:col>22</xdr:col>
                    <xdr:colOff>0</xdr:colOff>
                    <xdr:row>2151</xdr:row>
                    <xdr:rowOff>0</xdr:rowOff>
                  </from>
                  <to>
                    <xdr:col>22</xdr:col>
                    <xdr:colOff>180975</xdr:colOff>
                    <xdr:row>2151</xdr:row>
                    <xdr:rowOff>180975</xdr:rowOff>
                  </to>
                </anchor>
              </controlPr>
            </control>
          </mc:Choice>
        </mc:AlternateContent>
        <mc:AlternateContent xmlns:mc="http://schemas.openxmlformats.org/markup-compatibility/2006">
          <mc:Choice Requires="x14">
            <control shapeId="16219" r:id="rId410" name="Check Box 859">
              <controlPr locked="0" defaultSize="0" autoFill="0" autoLine="0" autoPict="0">
                <anchor moveWithCells="1" sizeWithCells="1">
                  <from>
                    <xdr:col>22</xdr:col>
                    <xdr:colOff>0</xdr:colOff>
                    <xdr:row>2153</xdr:row>
                    <xdr:rowOff>0</xdr:rowOff>
                  </from>
                  <to>
                    <xdr:col>22</xdr:col>
                    <xdr:colOff>180975</xdr:colOff>
                    <xdr:row>2153</xdr:row>
                    <xdr:rowOff>180975</xdr:rowOff>
                  </to>
                </anchor>
              </controlPr>
            </control>
          </mc:Choice>
        </mc:AlternateContent>
        <mc:AlternateContent xmlns:mc="http://schemas.openxmlformats.org/markup-compatibility/2006">
          <mc:Choice Requires="x14">
            <control shapeId="16221" r:id="rId411" name="Check Box 861">
              <controlPr locked="0" defaultSize="0" autoFill="0" autoLine="0" autoPict="0">
                <anchor moveWithCells="1" sizeWithCells="1">
                  <from>
                    <xdr:col>22</xdr:col>
                    <xdr:colOff>0</xdr:colOff>
                    <xdr:row>2184</xdr:row>
                    <xdr:rowOff>0</xdr:rowOff>
                  </from>
                  <to>
                    <xdr:col>22</xdr:col>
                    <xdr:colOff>180975</xdr:colOff>
                    <xdr:row>2184</xdr:row>
                    <xdr:rowOff>180975</xdr:rowOff>
                  </to>
                </anchor>
              </controlPr>
            </control>
          </mc:Choice>
        </mc:AlternateContent>
        <mc:AlternateContent xmlns:mc="http://schemas.openxmlformats.org/markup-compatibility/2006">
          <mc:Choice Requires="x14">
            <control shapeId="16222" r:id="rId412" name="Check Box 862">
              <controlPr locked="0" defaultSize="0" autoFill="0" autoLine="0" autoPict="0">
                <anchor moveWithCells="1" sizeWithCells="1">
                  <from>
                    <xdr:col>22</xdr:col>
                    <xdr:colOff>0</xdr:colOff>
                    <xdr:row>2219</xdr:row>
                    <xdr:rowOff>0</xdr:rowOff>
                  </from>
                  <to>
                    <xdr:col>22</xdr:col>
                    <xdr:colOff>180975</xdr:colOff>
                    <xdr:row>2219</xdr:row>
                    <xdr:rowOff>180975</xdr:rowOff>
                  </to>
                </anchor>
              </controlPr>
            </control>
          </mc:Choice>
        </mc:AlternateContent>
        <mc:AlternateContent xmlns:mc="http://schemas.openxmlformats.org/markup-compatibility/2006">
          <mc:Choice Requires="x14">
            <control shapeId="16223" r:id="rId413" name="Check Box 863">
              <controlPr locked="0" defaultSize="0" autoFill="0" autoLine="0" autoPict="0">
                <anchor moveWithCells="1" sizeWithCells="1">
                  <from>
                    <xdr:col>22</xdr:col>
                    <xdr:colOff>0</xdr:colOff>
                    <xdr:row>2227</xdr:row>
                    <xdr:rowOff>0</xdr:rowOff>
                  </from>
                  <to>
                    <xdr:col>22</xdr:col>
                    <xdr:colOff>180975</xdr:colOff>
                    <xdr:row>2227</xdr:row>
                    <xdr:rowOff>180975</xdr:rowOff>
                  </to>
                </anchor>
              </controlPr>
            </control>
          </mc:Choice>
        </mc:AlternateContent>
        <mc:AlternateContent xmlns:mc="http://schemas.openxmlformats.org/markup-compatibility/2006">
          <mc:Choice Requires="x14">
            <control shapeId="16224" r:id="rId414" name="Check Box 864">
              <controlPr locked="0" defaultSize="0" autoFill="0" autoLine="0" autoPict="0">
                <anchor moveWithCells="1" sizeWithCells="1">
                  <from>
                    <xdr:col>22</xdr:col>
                    <xdr:colOff>0</xdr:colOff>
                    <xdr:row>2239</xdr:row>
                    <xdr:rowOff>0</xdr:rowOff>
                  </from>
                  <to>
                    <xdr:col>22</xdr:col>
                    <xdr:colOff>180975</xdr:colOff>
                    <xdr:row>2239</xdr:row>
                    <xdr:rowOff>180975</xdr:rowOff>
                  </to>
                </anchor>
              </controlPr>
            </control>
          </mc:Choice>
        </mc:AlternateContent>
        <mc:AlternateContent xmlns:mc="http://schemas.openxmlformats.org/markup-compatibility/2006">
          <mc:Choice Requires="x14">
            <control shapeId="16225" r:id="rId415" name="Check Box 865">
              <controlPr locked="0" defaultSize="0" autoFill="0" autoLine="0" autoPict="0">
                <anchor moveWithCells="1" sizeWithCells="1">
                  <from>
                    <xdr:col>22</xdr:col>
                    <xdr:colOff>0</xdr:colOff>
                    <xdr:row>2240</xdr:row>
                    <xdr:rowOff>0</xdr:rowOff>
                  </from>
                  <to>
                    <xdr:col>22</xdr:col>
                    <xdr:colOff>180975</xdr:colOff>
                    <xdr:row>2240</xdr:row>
                    <xdr:rowOff>180975</xdr:rowOff>
                  </to>
                </anchor>
              </controlPr>
            </control>
          </mc:Choice>
        </mc:AlternateContent>
        <mc:AlternateContent xmlns:mc="http://schemas.openxmlformats.org/markup-compatibility/2006">
          <mc:Choice Requires="x14">
            <control shapeId="16226" r:id="rId416" name="Check Box 866">
              <controlPr locked="0" defaultSize="0" autoFill="0" autoLine="0" autoPict="0">
                <anchor moveWithCells="1" sizeWithCells="1">
                  <from>
                    <xdr:col>22</xdr:col>
                    <xdr:colOff>0</xdr:colOff>
                    <xdr:row>2242</xdr:row>
                    <xdr:rowOff>0</xdr:rowOff>
                  </from>
                  <to>
                    <xdr:col>22</xdr:col>
                    <xdr:colOff>180975</xdr:colOff>
                    <xdr:row>2242</xdr:row>
                    <xdr:rowOff>180975</xdr:rowOff>
                  </to>
                </anchor>
              </controlPr>
            </control>
          </mc:Choice>
        </mc:AlternateContent>
        <mc:AlternateContent xmlns:mc="http://schemas.openxmlformats.org/markup-compatibility/2006">
          <mc:Choice Requires="x14">
            <control shapeId="16227" r:id="rId417" name="Check Box 867">
              <controlPr locked="0" defaultSize="0" autoFill="0" autoLine="0" autoPict="0">
                <anchor moveWithCells="1" sizeWithCells="1">
                  <from>
                    <xdr:col>22</xdr:col>
                    <xdr:colOff>0</xdr:colOff>
                    <xdr:row>2247</xdr:row>
                    <xdr:rowOff>0</xdr:rowOff>
                  </from>
                  <to>
                    <xdr:col>22</xdr:col>
                    <xdr:colOff>180975</xdr:colOff>
                    <xdr:row>2247</xdr:row>
                    <xdr:rowOff>180975</xdr:rowOff>
                  </to>
                </anchor>
              </controlPr>
            </control>
          </mc:Choice>
        </mc:AlternateContent>
        <mc:AlternateContent xmlns:mc="http://schemas.openxmlformats.org/markup-compatibility/2006">
          <mc:Choice Requires="x14">
            <control shapeId="16229" r:id="rId418" name="Check Box 869">
              <controlPr locked="0" defaultSize="0" autoFill="0" autoLine="0" autoPict="0">
                <anchor moveWithCells="1" sizeWithCells="1">
                  <from>
                    <xdr:col>22</xdr:col>
                    <xdr:colOff>0</xdr:colOff>
                    <xdr:row>2392</xdr:row>
                    <xdr:rowOff>0</xdr:rowOff>
                  </from>
                  <to>
                    <xdr:col>22</xdr:col>
                    <xdr:colOff>180975</xdr:colOff>
                    <xdr:row>2392</xdr:row>
                    <xdr:rowOff>180975</xdr:rowOff>
                  </to>
                </anchor>
              </controlPr>
            </control>
          </mc:Choice>
        </mc:AlternateContent>
        <mc:AlternateContent xmlns:mc="http://schemas.openxmlformats.org/markup-compatibility/2006">
          <mc:Choice Requires="x14">
            <control shapeId="16230" r:id="rId419" name="Check Box 870">
              <controlPr locked="0" defaultSize="0" autoFill="0" autoLine="0" autoPict="0">
                <anchor moveWithCells="1" sizeWithCells="1">
                  <from>
                    <xdr:col>22</xdr:col>
                    <xdr:colOff>0</xdr:colOff>
                    <xdr:row>2409</xdr:row>
                    <xdr:rowOff>0</xdr:rowOff>
                  </from>
                  <to>
                    <xdr:col>22</xdr:col>
                    <xdr:colOff>180975</xdr:colOff>
                    <xdr:row>2409</xdr:row>
                    <xdr:rowOff>180975</xdr:rowOff>
                  </to>
                </anchor>
              </controlPr>
            </control>
          </mc:Choice>
        </mc:AlternateContent>
        <mc:AlternateContent xmlns:mc="http://schemas.openxmlformats.org/markup-compatibility/2006">
          <mc:Choice Requires="x14">
            <control shapeId="16231" r:id="rId420" name="Check Box 871">
              <controlPr locked="0" defaultSize="0" autoFill="0" autoLine="0" autoPict="0">
                <anchor moveWithCells="1" sizeWithCells="1">
                  <from>
                    <xdr:col>22</xdr:col>
                    <xdr:colOff>0</xdr:colOff>
                    <xdr:row>2410</xdr:row>
                    <xdr:rowOff>0</xdr:rowOff>
                  </from>
                  <to>
                    <xdr:col>22</xdr:col>
                    <xdr:colOff>180975</xdr:colOff>
                    <xdr:row>2410</xdr:row>
                    <xdr:rowOff>180975</xdr:rowOff>
                  </to>
                </anchor>
              </controlPr>
            </control>
          </mc:Choice>
        </mc:AlternateContent>
        <mc:AlternateContent xmlns:mc="http://schemas.openxmlformats.org/markup-compatibility/2006">
          <mc:Choice Requires="x14">
            <control shapeId="16232" r:id="rId421" name="Check Box 872">
              <controlPr locked="0" defaultSize="0" autoFill="0" autoLine="0" autoPict="0">
                <anchor moveWithCells="1" sizeWithCells="1">
                  <from>
                    <xdr:col>22</xdr:col>
                    <xdr:colOff>0</xdr:colOff>
                    <xdr:row>2411</xdr:row>
                    <xdr:rowOff>0</xdr:rowOff>
                  </from>
                  <to>
                    <xdr:col>22</xdr:col>
                    <xdr:colOff>180975</xdr:colOff>
                    <xdr:row>2411</xdr:row>
                    <xdr:rowOff>180975</xdr:rowOff>
                  </to>
                </anchor>
              </controlPr>
            </control>
          </mc:Choice>
        </mc:AlternateContent>
        <mc:AlternateContent xmlns:mc="http://schemas.openxmlformats.org/markup-compatibility/2006">
          <mc:Choice Requires="x14">
            <control shapeId="16233" r:id="rId422" name="Check Box 873">
              <controlPr locked="0" defaultSize="0" autoFill="0" autoLine="0" autoPict="0">
                <anchor moveWithCells="1" sizeWithCells="1">
                  <from>
                    <xdr:col>22</xdr:col>
                    <xdr:colOff>0</xdr:colOff>
                    <xdr:row>2413</xdr:row>
                    <xdr:rowOff>0</xdr:rowOff>
                  </from>
                  <to>
                    <xdr:col>22</xdr:col>
                    <xdr:colOff>180975</xdr:colOff>
                    <xdr:row>2413</xdr:row>
                    <xdr:rowOff>180975</xdr:rowOff>
                  </to>
                </anchor>
              </controlPr>
            </control>
          </mc:Choice>
        </mc:AlternateContent>
        <mc:AlternateContent xmlns:mc="http://schemas.openxmlformats.org/markup-compatibility/2006">
          <mc:Choice Requires="x14">
            <control shapeId="16234" r:id="rId423" name="Check Box 874">
              <controlPr locked="0" defaultSize="0" autoFill="0" autoLine="0" autoPict="0">
                <anchor moveWithCells="1" sizeWithCells="1">
                  <from>
                    <xdr:col>22</xdr:col>
                    <xdr:colOff>0</xdr:colOff>
                    <xdr:row>2414</xdr:row>
                    <xdr:rowOff>0</xdr:rowOff>
                  </from>
                  <to>
                    <xdr:col>22</xdr:col>
                    <xdr:colOff>180975</xdr:colOff>
                    <xdr:row>2414</xdr:row>
                    <xdr:rowOff>180975</xdr:rowOff>
                  </to>
                </anchor>
              </controlPr>
            </control>
          </mc:Choice>
        </mc:AlternateContent>
        <mc:AlternateContent xmlns:mc="http://schemas.openxmlformats.org/markup-compatibility/2006">
          <mc:Choice Requires="x14">
            <control shapeId="16235" r:id="rId424" name="Check Box 875">
              <controlPr locked="0" defaultSize="0" autoFill="0" autoLine="0" autoPict="0">
                <anchor moveWithCells="1" sizeWithCells="1">
                  <from>
                    <xdr:col>22</xdr:col>
                    <xdr:colOff>0</xdr:colOff>
                    <xdr:row>2415</xdr:row>
                    <xdr:rowOff>0</xdr:rowOff>
                  </from>
                  <to>
                    <xdr:col>22</xdr:col>
                    <xdr:colOff>180975</xdr:colOff>
                    <xdr:row>2415</xdr:row>
                    <xdr:rowOff>180975</xdr:rowOff>
                  </to>
                </anchor>
              </controlPr>
            </control>
          </mc:Choice>
        </mc:AlternateContent>
        <mc:AlternateContent xmlns:mc="http://schemas.openxmlformats.org/markup-compatibility/2006">
          <mc:Choice Requires="x14">
            <control shapeId="16236" r:id="rId425" name="Check Box 876">
              <controlPr locked="0" defaultSize="0" autoFill="0" autoLine="0" autoPict="0">
                <anchor moveWithCells="1" sizeWithCells="1">
                  <from>
                    <xdr:col>22</xdr:col>
                    <xdr:colOff>0</xdr:colOff>
                    <xdr:row>2416</xdr:row>
                    <xdr:rowOff>0</xdr:rowOff>
                  </from>
                  <to>
                    <xdr:col>22</xdr:col>
                    <xdr:colOff>180975</xdr:colOff>
                    <xdr:row>2416</xdr:row>
                    <xdr:rowOff>180975</xdr:rowOff>
                  </to>
                </anchor>
              </controlPr>
            </control>
          </mc:Choice>
        </mc:AlternateContent>
        <mc:AlternateContent xmlns:mc="http://schemas.openxmlformats.org/markup-compatibility/2006">
          <mc:Choice Requires="x14">
            <control shapeId="16237" r:id="rId426" name="Check Box 877">
              <controlPr locked="0" defaultSize="0" autoFill="0" autoLine="0" autoPict="0">
                <anchor moveWithCells="1" sizeWithCells="1">
                  <from>
                    <xdr:col>22</xdr:col>
                    <xdr:colOff>0</xdr:colOff>
                    <xdr:row>2417</xdr:row>
                    <xdr:rowOff>0</xdr:rowOff>
                  </from>
                  <to>
                    <xdr:col>22</xdr:col>
                    <xdr:colOff>180975</xdr:colOff>
                    <xdr:row>2417</xdr:row>
                    <xdr:rowOff>180975</xdr:rowOff>
                  </to>
                </anchor>
              </controlPr>
            </control>
          </mc:Choice>
        </mc:AlternateContent>
        <mc:AlternateContent xmlns:mc="http://schemas.openxmlformats.org/markup-compatibility/2006">
          <mc:Choice Requires="x14">
            <control shapeId="16238" r:id="rId427" name="Check Box 878">
              <controlPr locked="0" defaultSize="0" autoFill="0" autoLine="0" autoPict="0">
                <anchor moveWithCells="1" sizeWithCells="1">
                  <from>
                    <xdr:col>22</xdr:col>
                    <xdr:colOff>0</xdr:colOff>
                    <xdr:row>2418</xdr:row>
                    <xdr:rowOff>0</xdr:rowOff>
                  </from>
                  <to>
                    <xdr:col>22</xdr:col>
                    <xdr:colOff>180975</xdr:colOff>
                    <xdr:row>2418</xdr:row>
                    <xdr:rowOff>180975</xdr:rowOff>
                  </to>
                </anchor>
              </controlPr>
            </control>
          </mc:Choice>
        </mc:AlternateContent>
        <mc:AlternateContent xmlns:mc="http://schemas.openxmlformats.org/markup-compatibility/2006">
          <mc:Choice Requires="x14">
            <control shapeId="16239" r:id="rId428" name="Check Box 879">
              <controlPr locked="0" defaultSize="0" autoFill="0" autoLine="0" autoPict="0">
                <anchor moveWithCells="1" sizeWithCells="1">
                  <from>
                    <xdr:col>22</xdr:col>
                    <xdr:colOff>0</xdr:colOff>
                    <xdr:row>2423</xdr:row>
                    <xdr:rowOff>0</xdr:rowOff>
                  </from>
                  <to>
                    <xdr:col>22</xdr:col>
                    <xdr:colOff>180975</xdr:colOff>
                    <xdr:row>2423</xdr:row>
                    <xdr:rowOff>180975</xdr:rowOff>
                  </to>
                </anchor>
              </controlPr>
            </control>
          </mc:Choice>
        </mc:AlternateContent>
        <mc:AlternateContent xmlns:mc="http://schemas.openxmlformats.org/markup-compatibility/2006">
          <mc:Choice Requires="x14">
            <control shapeId="16240" r:id="rId429" name="Check Box 880">
              <controlPr locked="0" defaultSize="0" autoFill="0" autoLine="0" autoPict="0">
                <anchor moveWithCells="1" sizeWithCells="1">
                  <from>
                    <xdr:col>22</xdr:col>
                    <xdr:colOff>0</xdr:colOff>
                    <xdr:row>2424</xdr:row>
                    <xdr:rowOff>0</xdr:rowOff>
                  </from>
                  <to>
                    <xdr:col>22</xdr:col>
                    <xdr:colOff>180975</xdr:colOff>
                    <xdr:row>2424</xdr:row>
                    <xdr:rowOff>180975</xdr:rowOff>
                  </to>
                </anchor>
              </controlPr>
            </control>
          </mc:Choice>
        </mc:AlternateContent>
        <mc:AlternateContent xmlns:mc="http://schemas.openxmlformats.org/markup-compatibility/2006">
          <mc:Choice Requires="x14">
            <control shapeId="16241" r:id="rId430" name="Check Box 881">
              <controlPr locked="0" defaultSize="0" autoFill="0" autoLine="0" autoPict="0">
                <anchor moveWithCells="1" sizeWithCells="1">
                  <from>
                    <xdr:col>22</xdr:col>
                    <xdr:colOff>0</xdr:colOff>
                    <xdr:row>2425</xdr:row>
                    <xdr:rowOff>0</xdr:rowOff>
                  </from>
                  <to>
                    <xdr:col>22</xdr:col>
                    <xdr:colOff>180975</xdr:colOff>
                    <xdr:row>2425</xdr:row>
                    <xdr:rowOff>180975</xdr:rowOff>
                  </to>
                </anchor>
              </controlPr>
            </control>
          </mc:Choice>
        </mc:AlternateContent>
        <mc:AlternateContent xmlns:mc="http://schemas.openxmlformats.org/markup-compatibility/2006">
          <mc:Choice Requires="x14">
            <control shapeId="16242" r:id="rId431" name="Check Box 882">
              <controlPr locked="0" defaultSize="0" autoFill="0" autoLine="0" autoPict="0">
                <anchor moveWithCells="1" sizeWithCells="1">
                  <from>
                    <xdr:col>22</xdr:col>
                    <xdr:colOff>0</xdr:colOff>
                    <xdr:row>2426</xdr:row>
                    <xdr:rowOff>0</xdr:rowOff>
                  </from>
                  <to>
                    <xdr:col>22</xdr:col>
                    <xdr:colOff>180975</xdr:colOff>
                    <xdr:row>2426</xdr:row>
                    <xdr:rowOff>180975</xdr:rowOff>
                  </to>
                </anchor>
              </controlPr>
            </control>
          </mc:Choice>
        </mc:AlternateContent>
        <mc:AlternateContent xmlns:mc="http://schemas.openxmlformats.org/markup-compatibility/2006">
          <mc:Choice Requires="x14">
            <control shapeId="16243" r:id="rId432" name="Check Box 883">
              <controlPr locked="0" defaultSize="0" autoFill="0" autoLine="0" autoPict="0">
                <anchor moveWithCells="1" sizeWithCells="1">
                  <from>
                    <xdr:col>22</xdr:col>
                    <xdr:colOff>0</xdr:colOff>
                    <xdr:row>2427</xdr:row>
                    <xdr:rowOff>0</xdr:rowOff>
                  </from>
                  <to>
                    <xdr:col>22</xdr:col>
                    <xdr:colOff>180975</xdr:colOff>
                    <xdr:row>2427</xdr:row>
                    <xdr:rowOff>180975</xdr:rowOff>
                  </to>
                </anchor>
              </controlPr>
            </control>
          </mc:Choice>
        </mc:AlternateContent>
        <mc:AlternateContent xmlns:mc="http://schemas.openxmlformats.org/markup-compatibility/2006">
          <mc:Choice Requires="x14">
            <control shapeId="16244" r:id="rId433" name="Check Box 884">
              <controlPr locked="0" defaultSize="0" autoFill="0" autoLine="0" autoPict="0">
                <anchor moveWithCells="1" sizeWithCells="1">
                  <from>
                    <xdr:col>22</xdr:col>
                    <xdr:colOff>0</xdr:colOff>
                    <xdr:row>2428</xdr:row>
                    <xdr:rowOff>0</xdr:rowOff>
                  </from>
                  <to>
                    <xdr:col>22</xdr:col>
                    <xdr:colOff>180975</xdr:colOff>
                    <xdr:row>2428</xdr:row>
                    <xdr:rowOff>180975</xdr:rowOff>
                  </to>
                </anchor>
              </controlPr>
            </control>
          </mc:Choice>
        </mc:AlternateContent>
        <mc:AlternateContent xmlns:mc="http://schemas.openxmlformats.org/markup-compatibility/2006">
          <mc:Choice Requires="x14">
            <control shapeId="16245" r:id="rId434" name="Check Box 885">
              <controlPr locked="0" defaultSize="0" autoFill="0" autoLine="0" autoPict="0">
                <anchor moveWithCells="1" sizeWithCells="1">
                  <from>
                    <xdr:col>22</xdr:col>
                    <xdr:colOff>0</xdr:colOff>
                    <xdr:row>2429</xdr:row>
                    <xdr:rowOff>0</xdr:rowOff>
                  </from>
                  <to>
                    <xdr:col>22</xdr:col>
                    <xdr:colOff>180975</xdr:colOff>
                    <xdr:row>2429</xdr:row>
                    <xdr:rowOff>180975</xdr:rowOff>
                  </to>
                </anchor>
              </controlPr>
            </control>
          </mc:Choice>
        </mc:AlternateContent>
        <mc:AlternateContent xmlns:mc="http://schemas.openxmlformats.org/markup-compatibility/2006">
          <mc:Choice Requires="x14">
            <control shapeId="16246" r:id="rId435" name="Check Box 886">
              <controlPr locked="0" defaultSize="0" autoFill="0" autoLine="0" autoPict="0">
                <anchor moveWithCells="1" sizeWithCells="1">
                  <from>
                    <xdr:col>22</xdr:col>
                    <xdr:colOff>0</xdr:colOff>
                    <xdr:row>2459</xdr:row>
                    <xdr:rowOff>0</xdr:rowOff>
                  </from>
                  <to>
                    <xdr:col>22</xdr:col>
                    <xdr:colOff>180975</xdr:colOff>
                    <xdr:row>2459</xdr:row>
                    <xdr:rowOff>180975</xdr:rowOff>
                  </to>
                </anchor>
              </controlPr>
            </control>
          </mc:Choice>
        </mc:AlternateContent>
        <mc:AlternateContent xmlns:mc="http://schemas.openxmlformats.org/markup-compatibility/2006">
          <mc:Choice Requires="x14">
            <control shapeId="16247" r:id="rId436" name="Check Box 887">
              <controlPr locked="0" defaultSize="0" autoFill="0" autoLine="0" autoPict="0">
                <anchor moveWithCells="1" sizeWithCells="1">
                  <from>
                    <xdr:col>22</xdr:col>
                    <xdr:colOff>0</xdr:colOff>
                    <xdr:row>2462</xdr:row>
                    <xdr:rowOff>0</xdr:rowOff>
                  </from>
                  <to>
                    <xdr:col>22</xdr:col>
                    <xdr:colOff>180975</xdr:colOff>
                    <xdr:row>2462</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3" id="{56E66CF7-9D84-4F84-929A-565EBFCFAD31}">
            <xm:f>OR('Ch5'!W15=TRUE,AND(NOT('Ch5'!W15=FALSE),LEN('Ch5'!W15)&gt;0))</xm:f>
            <x14:dxf>
              <fill>
                <patternFill>
                  <bgColor rgb="FF92D050"/>
                </patternFill>
              </fill>
            </x14:dxf>
          </x14:cfRule>
          <xm:sqref>L14 L16 L17 L18 L21 L23 L25 L27 L36 L42 L45 L50 L52 L55 L58 L69 L71 L73 L75 L77 L79 L81 L83 L90 L91 L93 L98 L100 L104 L108 L109 L111 L112 L113 L121 L124 L128 L135 L140 L142 L149 L155 L157 L160 L162 L165 L170 L171 L176 L178 L181 L183 L185 L189 L190 L191 L193 L196 L198 L208 L215 L216 L218 L223 L225 L226 L228 L230 L234 L237 L239 L240 L241 L242 L243 L244 L246 L253 L255 L257 L264 L267 L271 L272 L282 L286 L288 L291 L292 L305 L309 L312 L315 L316 L321 L323 L325</xm:sqref>
        </x14:conditionalFormatting>
        <x14:conditionalFormatting xmlns:xm="http://schemas.microsoft.com/office/excel/2006/main">
          <x14:cfRule type="expression" priority="252" id="{9CA14A16-B406-455F-BC07-D64D29C4C252}">
            <xm:f>OR('Ch6'!W31=TRUE,AND(NOT('Ch6'!W31=FALSE),LEN('Ch6'!W31)&gt;0))</xm:f>
            <x14:dxf>
              <fill>
                <patternFill>
                  <bgColor rgb="FF92D050"/>
                </patternFill>
              </fill>
            </x14:dxf>
          </x14:cfRule>
          <xm:sqref>L349 L352 L355 L359 L360 L361 L362 L363 L364 L370 L371 L372 L373 L374 L383 L384 L385 L389 L391 L398 L411 L414 L418 L419 L421 L423 L429 L431 L435 L437 L441 L443 L449 L453 L457 L462 L464 L467 L469 L471 L475 L483 L493 L496 L497 L501 L507 L509 L523 L525 L528 L534 L536 L537 L538 L545 L547 L548 L551 L555 L560 L562 L566 L572 L579 L593 L596 L609 L611 L624 L625 L626 L627 L628 L629 L630 L631 L632 L637 L638 L639 L640 L641 L642 L643 L644 L668 L671 L674 L683 L688 L694 L697 L708 L710 L727 L736 L744 L813 L824 L825 L827 L829 L831 L833 L835 L839 L844 L848 L850 L852 L853 L854 L858 L860 L864</xm:sqref>
        </x14:conditionalFormatting>
        <x14:conditionalFormatting xmlns:xm="http://schemas.microsoft.com/office/excel/2006/main">
          <x14:cfRule type="expression" priority="251" id="{9C5D2727-FD72-4E66-9FA3-750AEBBCBCE0}">
            <xm:f>OR('Ch7'!W41=TRUE,AND(NOT('Ch7'!W41=FALSE),LEN('Ch7'!W41)&gt;0))</xm:f>
            <x14:dxf>
              <fill>
                <patternFill>
                  <bgColor rgb="FF92D050"/>
                </patternFill>
              </fill>
            </x14:dxf>
          </x14:cfRule>
          <xm:sqref>L1099 L1106 L1114 L1122 L1130 L1154 L1198 L1200:L1201 L1211 L1218 L1224 L1226 L1229:L1230 L1232 L1234 L1292:L1293 L1295 L1297 L1318 L1320 L1322 L1325:L1327 L1330 L1357 L1365 L1367:L1369 L1371 L1374 L1376 L1381 L1383 L1385 L1387 L1417 L1427 L1431 L1434 L1438 L1443 L1448 L1451 L1456:L1457 L1462 L1465 L1467 L1476 L1478 L1502 L1504 L1507 L1513 L1525 L1527 L1529 L1536:L1539 L1541 L1544 L1549 L1564:L1571 L1574 L1576 L1578 L1581 L1583 L1585 L1595 L1599:L1600 L1603 L1606 L1611 L1616 L1618 L1622 L1627 L1631 L1636:L1637 L911:L912 L914:L915 L917 L920:L922 L924:L927 L929 L933 L938 L941 L947 L950:L951 L958:L970 L991 L994 L1020 L1030 L1040 L1042:L1043 L1049 L1066 L1081 L1084:L1086</xm:sqref>
        </x14:conditionalFormatting>
        <x14:conditionalFormatting xmlns:xm="http://schemas.microsoft.com/office/excel/2006/main">
          <x14:cfRule type="expression" priority="250" id="{B9FBCB58-978A-4B05-B350-65469FD303CB}">
            <xm:f>OR('Ch8'!W50=TRUE,AND(NOT('Ch8'!W50=FALSE),LEN('Ch8'!W50)&gt;0))</xm:f>
            <x14:dxf>
              <fill>
                <patternFill>
                  <bgColor rgb="FF92D050"/>
                </patternFill>
              </fill>
            </x14:dxf>
          </x14:cfRule>
          <xm:sqref>L1679 L1684 L1693 L1695 L1702 L1704 L1709 L1726 L1741 L1746 L1753 L1760 L1763 L1767 L1769 L1772 L1774 L1778:L1780 L1785 L1787 L1793 L1795 L1797:L1798 L1800 L1818 L1820:L1821 L1824 L1832 L1840 L1846 L1848 L1852 L1857 L1860 L1862</xm:sqref>
        </x14:conditionalFormatting>
        <x14:conditionalFormatting xmlns:xm="http://schemas.microsoft.com/office/excel/2006/main">
          <x14:cfRule type="expression" priority="249" id="{7532FC49-8534-4EFB-9706-B33EA195D09C}">
            <xm:f>OR('Ch9'!W12=TRUE,AND(NOT('Ch9'!W12=FALSE),LEN('Ch9'!W12)&gt;0))</xm:f>
            <x14:dxf>
              <fill>
                <patternFill>
                  <bgColor rgb="FF92D050"/>
                </patternFill>
              </fill>
            </x14:dxf>
          </x14:cfRule>
          <xm:sqref>L2096 L2098 L2101 L2104 L2152 L2154 L2176 L2180 L2182 L2185 L2188 L2190 L2194 L2198 L2204:L2205 L2210 L2215 L2220 L2228 L2232 L2237 L2240:L2241 L2243 L2248 L1878 L1884 L1889 L1892 L1895 L1900 L1903 L1909 L1912 L1914 L1917 L1919 L1921 L1924 L1926 L1928 L1934 L1938 L1943:L1946 L1957 L1959 L1962 L1971 L1981:L1982 L1985 L1996 L1998:L1999 L2001 L2006 L2015 L2020:L2021 L2025 L2030 L2034 L2038:L2039 L2042 L2044 L2050 L2052 L2054 L2056 L2063 L2074 L2076 L2078 L2081 L2085</xm:sqref>
        </x14:conditionalFormatting>
        <x14:conditionalFormatting xmlns:xm="http://schemas.microsoft.com/office/excel/2006/main">
          <x14:cfRule type="expression" priority="248" id="{23BD881F-833E-4316-A313-9E2BA748991F}">
            <xm:f>OR('Ch10'!W15=TRUE,AND(NOT('Ch10'!W15=FALSE),LEN('Ch10'!W15)&gt;0))</xm:f>
            <x14:dxf>
              <fill>
                <patternFill>
                  <bgColor rgb="FF92D050"/>
                </patternFill>
              </fill>
            </x14:dxf>
          </x14:cfRule>
          <xm:sqref>L2258:L2260 L2264:L2266 L2268 L2270:L2271 L2273:L2275 L2281 L2285 L2287 L2289:L2290 L2292 L2294:L2295 L2297 L2299 L2301:L2303 L2325 L2328 L2331 L2333:L2334 L2336:L2338 L2344 L2346 L2349 L2351 L2354 L2356:L2357 L2359 L2361:L2362 L2365 L2371 L2373 L2377 L2384 L2386:L2387 L2389:L2393 L2395 L2410:L2412 L2414:L2419 L2424:L2430 L2436 L2438 L2441 L2454 L2456 L2460 L2463</xm:sqref>
        </x14:conditionalFormatting>
        <x14:conditionalFormatting xmlns:xm="http://schemas.microsoft.com/office/excel/2006/main">
          <x14:cfRule type="expression" priority="27" id="{925062D6-9C02-4180-9846-B997FDD884B3}">
            <xm:f>AND(LEN('Overview (Verification)'!$P$28)&gt;0,'Overview (Verification)'!$P$28&gt;=2400)</xm:f>
            <x14:dxf>
              <font>
                <color theme="1"/>
              </font>
              <fill>
                <patternFill>
                  <bgColor rgb="FFFF0000"/>
                </patternFill>
              </fill>
              <border>
                <left style="thin">
                  <color auto="1"/>
                </left>
                <right style="thin">
                  <color auto="1"/>
                </right>
                <top style="thin">
                  <color auto="1"/>
                </top>
                <vertical/>
                <horizontal/>
              </border>
            </x14:dxf>
          </x14:cfRule>
          <xm:sqref>L906</xm:sqref>
        </x14:conditionalFormatting>
        <x14:conditionalFormatting xmlns:xm="http://schemas.microsoft.com/office/excel/2006/main">
          <x14:cfRule type="expression" priority="26" id="{43A93EC4-86D4-4E6A-8E1B-02E6274691DD}">
            <xm:f>AND(LEN('Overview (Verification)'!$P$28)&gt;0,'Overview (Verification)'!$P$28&gt;=2400)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L910</xm:sqref>
        </x14:conditionalFormatting>
        <x14:conditionalFormatting xmlns:xm="http://schemas.microsoft.com/office/excel/2006/main">
          <x14:cfRule type="expression" priority="14599" id="{9C5D2727-FD72-4E66-9FA3-750AEBBCBCE0}">
            <xm:f>OR('Ch7'!W216=TRUE,AND(NOT('Ch7'!W216=FALSE),LEN('Ch7'!W216)&gt;0))</xm:f>
            <x14:dxf>
              <fill>
                <patternFill>
                  <bgColor rgb="FF92D050"/>
                </patternFill>
              </fill>
            </x14:dxf>
          </x14:cfRule>
          <xm:sqref>L1087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7D000000}">
          <x14:formula1>
            <xm:f>Points!$C$14:$F$14</xm:f>
          </x14:formula1>
          <xm:sqref>L1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AE2A-3000-4CB9-8C1D-C8B98C1461CF}">
  <sheetPr codeName="Sheet37">
    <pageSetUpPr fitToPage="1"/>
  </sheetPr>
  <dimension ref="A1:BI338"/>
  <sheetViews>
    <sheetView showGridLines="0" zoomScaleNormal="100" zoomScaleSheetLayoutView="80" workbookViewId="0">
      <pane ySplit="8" topLeftCell="A9" activePane="bottomLeft" state="frozen"/>
      <selection activeCell="E90" sqref="E90"/>
      <selection pane="bottomLeft" activeCell="W15" sqref="W15"/>
    </sheetView>
  </sheetViews>
  <sheetFormatPr defaultRowHeight="15" x14ac:dyDescent="0.25"/>
  <cols>
    <col min="1" max="14" width="7.5703125" style="1421" customWidth="1"/>
    <col min="15" max="15" width="7.5703125" style="1419" customWidth="1"/>
    <col min="16" max="16" width="6.140625" style="1421" hidden="1" customWidth="1"/>
    <col min="17" max="17" width="5.42578125" style="1421" hidden="1" customWidth="1"/>
    <col min="18" max="20" width="6.140625" style="1421" hidden="1" customWidth="1"/>
    <col min="21" max="21" width="8.7109375" style="1421" hidden="1" customWidth="1"/>
    <col min="22" max="22" width="3.140625" style="1421" hidden="1" customWidth="1"/>
    <col min="23" max="23" width="21.42578125" style="1419" customWidth="1"/>
    <col min="24" max="25" width="34.85546875" style="1421" customWidth="1"/>
    <col min="26" max="35" width="9.140625" style="1421" hidden="1" customWidth="1"/>
    <col min="36" max="40" width="8.42578125" style="1421" hidden="1" customWidth="1"/>
    <col min="41" max="41" width="9.140625" style="1421" hidden="1" customWidth="1"/>
    <col min="42" max="42" width="29.140625" style="1421" hidden="1" customWidth="1"/>
    <col min="43" max="43" width="2.7109375" style="1421" hidden="1" customWidth="1"/>
    <col min="44" max="44" width="29.140625" style="1421" hidden="1" customWidth="1"/>
    <col min="45" max="45" width="4.85546875" style="1421" hidden="1" customWidth="1"/>
    <col min="46" max="48" width="8.42578125" style="1421" hidden="1" customWidth="1"/>
    <col min="49" max="59" width="9.140625" style="1421" hidden="1" customWidth="1"/>
    <col min="60" max="60" width="13.28515625" style="1421" hidden="1" customWidth="1"/>
    <col min="61" max="61" width="26.140625" style="1421" hidden="1" customWidth="1"/>
    <col min="62" max="62" width="9.140625" style="1421" customWidth="1"/>
    <col min="63" max="16384" width="9.140625" style="1421"/>
  </cols>
  <sheetData>
    <row r="1" spans="1:61" ht="15" customHeight="1" x14ac:dyDescent="0.25">
      <c r="A1"/>
      <c r="B1"/>
      <c r="C1"/>
      <c r="D1"/>
      <c r="E1"/>
      <c r="F1"/>
      <c r="G1"/>
      <c r="H1"/>
      <c r="I1"/>
      <c r="J1"/>
      <c r="K1"/>
      <c r="L1"/>
      <c r="M1"/>
      <c r="N1"/>
      <c r="W1" s="1993" t="s">
        <v>4877</v>
      </c>
      <c r="X1" s="2360" t="s">
        <v>4068</v>
      </c>
      <c r="Y1" s="2107"/>
    </row>
    <row r="2" spans="1:61" x14ac:dyDescent="0.25">
      <c r="A2"/>
      <c r="C2" s="1476" t="s">
        <v>5400</v>
      </c>
      <c r="D2" s="664" t="s">
        <v>5425</v>
      </c>
      <c r="F2"/>
      <c r="G2"/>
      <c r="H2"/>
      <c r="I2"/>
      <c r="J2"/>
      <c r="K2"/>
      <c r="L2"/>
      <c r="M2"/>
      <c r="N2"/>
      <c r="W2" s="1993"/>
      <c r="X2" s="2360" t="s">
        <v>3503</v>
      </c>
      <c r="Y2" s="2107"/>
    </row>
    <row r="3" spans="1:61" x14ac:dyDescent="0.25">
      <c r="A3"/>
      <c r="C3" s="1476" t="s">
        <v>5395</v>
      </c>
      <c r="D3" t="str">
        <f ca="1">G89</f>
        <v>Not Earned</v>
      </c>
      <c r="H3"/>
      <c r="I3"/>
      <c r="J3"/>
      <c r="K3"/>
      <c r="L3"/>
      <c r="M3"/>
      <c r="N3"/>
      <c r="Q3" s="1419" t="s">
        <v>5245</v>
      </c>
      <c r="R3" s="1421">
        <f>'Verification Report'!ReportType</f>
        <v>0</v>
      </c>
      <c r="W3" s="1994"/>
      <c r="X3" s="2360" t="s">
        <v>3504</v>
      </c>
      <c r="Y3" s="2107"/>
      <c r="AA3"/>
      <c r="AB3"/>
      <c r="AC3"/>
      <c r="AD3"/>
      <c r="AE3"/>
      <c r="AF3" s="1451" t="s">
        <v>312</v>
      </c>
      <c r="AG3" s="1452" t="b">
        <f>OR(ReportType="",IF(ReportType="Rough",OR(AF:AF),OR(AE:AE)))</f>
        <v>0</v>
      </c>
      <c r="AH3" s="1451" t="s">
        <v>313</v>
      </c>
      <c r="AI3" s="1452" t="b">
        <f>OR(AD:AD)</f>
        <v>0</v>
      </c>
    </row>
    <row r="4" spans="1:61" x14ac:dyDescent="0.25">
      <c r="A4"/>
      <c r="C4" s="1476" t="s">
        <v>5397</v>
      </c>
      <c r="D4" t="str">
        <f ca="1">G116</f>
        <v>Not Earned</v>
      </c>
      <c r="F4"/>
      <c r="G4"/>
      <c r="H4"/>
      <c r="I4"/>
      <c r="J4"/>
      <c r="K4"/>
      <c r="L4"/>
      <c r="M4"/>
      <c r="N4"/>
      <c r="W4" s="327" t="s">
        <v>3502</v>
      </c>
      <c r="X4" s="2109" t="str">
        <f>IF(verCity="","",IF(dstBatch, "Various ", verHomeAddress)&amp;", "&amp;verCity&amp;", "&amp;verState&amp;"  "&amp;verZIP)</f>
        <v/>
      </c>
      <c r="Y4" s="2110"/>
      <c r="AA4"/>
      <c r="AB4"/>
      <c r="AC4"/>
      <c r="AD4"/>
      <c r="AE4"/>
      <c r="AF4"/>
      <c r="AG4"/>
    </row>
    <row r="5" spans="1:61" ht="15" customHeight="1" x14ac:dyDescent="0.25">
      <c r="A5"/>
      <c r="C5" s="1476" t="s">
        <v>5396</v>
      </c>
      <c r="D5" t="str">
        <f>G173</f>
        <v>Not Earned</v>
      </c>
      <c r="H5"/>
      <c r="I5"/>
      <c r="J5"/>
      <c r="K5"/>
      <c r="L5"/>
      <c r="M5"/>
      <c r="N5"/>
      <c r="W5" s="326" t="s">
        <v>130</v>
      </c>
      <c r="X5" s="2111" t="str">
        <f>IF('Overview (Verification)'!P12="","",'Overview (Verification)'!P12)</f>
        <v/>
      </c>
      <c r="Y5" s="2112"/>
      <c r="AA5"/>
      <c r="AB5"/>
      <c r="AC5"/>
      <c r="AD5"/>
      <c r="AE5"/>
    </row>
    <row r="6" spans="1:61" ht="15" customHeight="1" x14ac:dyDescent="0.25">
      <c r="A6"/>
      <c r="C6" s="1476" t="s">
        <v>5398</v>
      </c>
      <c r="D6" t="str">
        <f ca="1">G194</f>
        <v>Not Earned</v>
      </c>
      <c r="F6"/>
      <c r="G6"/>
      <c r="H6"/>
      <c r="I6"/>
      <c r="J6"/>
      <c r="K6"/>
      <c r="L6"/>
      <c r="M6"/>
      <c r="N6"/>
      <c r="W6" s="1453"/>
      <c r="X6"/>
      <c r="Y6"/>
      <c r="AA6"/>
      <c r="AB6"/>
    </row>
    <row r="7" spans="1:61" ht="15" customHeight="1" x14ac:dyDescent="0.25">
      <c r="A7"/>
      <c r="C7" s="1476" t="s">
        <v>5399</v>
      </c>
      <c r="D7" t="str">
        <f>G307</f>
        <v>Not Earned</v>
      </c>
      <c r="F7"/>
      <c r="G7"/>
      <c r="H7"/>
      <c r="I7" s="1995" t="s">
        <v>5781</v>
      </c>
      <c r="J7" s="1995"/>
      <c r="K7" s="1995"/>
      <c r="L7" s="1995"/>
      <c r="M7" s="1995"/>
      <c r="N7"/>
      <c r="P7" s="1421" t="s">
        <v>4103</v>
      </c>
      <c r="Q7" s="1421" t="s">
        <v>309</v>
      </c>
      <c r="R7" s="1421" t="s">
        <v>250</v>
      </c>
      <c r="S7" s="1421" t="s">
        <v>251</v>
      </c>
      <c r="T7" s="1421" t="s">
        <v>0</v>
      </c>
      <c r="U7" s="1421" t="s">
        <v>4104</v>
      </c>
      <c r="W7" s="1453"/>
      <c r="X7"/>
      <c r="Y7"/>
      <c r="AA7"/>
      <c r="AB7"/>
      <c r="AC7" s="1450" t="s">
        <v>307</v>
      </c>
      <c r="AD7" s="1450" t="s">
        <v>0</v>
      </c>
      <c r="AE7" s="1450" t="s">
        <v>306</v>
      </c>
      <c r="AF7" s="1451" t="s">
        <v>3991</v>
      </c>
      <c r="AG7"/>
    </row>
    <row r="8" spans="1:61" x14ac:dyDescent="0.25">
      <c r="A8" s="334"/>
      <c r="B8" s="334"/>
      <c r="C8" s="1687"/>
      <c r="D8" s="334"/>
      <c r="H8" s="1419"/>
      <c r="I8" s="1995"/>
      <c r="J8" s="1995"/>
      <c r="K8" s="1995"/>
      <c r="L8" s="1995"/>
      <c r="M8" s="1995"/>
      <c r="P8" s="1418" t="s">
        <v>247</v>
      </c>
      <c r="Q8" s="1418" t="s">
        <v>247</v>
      </c>
      <c r="R8" s="1418" t="s">
        <v>247</v>
      </c>
      <c r="S8" s="1418" t="s">
        <v>247</v>
      </c>
      <c r="T8" s="1418" t="s">
        <v>247</v>
      </c>
      <c r="U8" s="1418" t="s">
        <v>247</v>
      </c>
      <c r="V8" s="1418" t="s">
        <v>247</v>
      </c>
      <c r="W8" s="1453"/>
      <c r="X8" s="627" t="s">
        <v>4076</v>
      </c>
      <c r="Y8" s="627" t="s">
        <v>4075</v>
      </c>
      <c r="Z8" s="1418" t="s">
        <v>247</v>
      </c>
      <c r="AA8" s="1418" t="s">
        <v>247</v>
      </c>
      <c r="AB8" s="1418" t="s">
        <v>247</v>
      </c>
      <c r="AC8" s="1418" t="s">
        <v>247</v>
      </c>
      <c r="AD8" s="1418" t="s">
        <v>247</v>
      </c>
      <c r="AE8" s="1418" t="s">
        <v>247</v>
      </c>
      <c r="AF8" s="1418" t="s">
        <v>247</v>
      </c>
      <c r="AG8" s="1418" t="s">
        <v>247</v>
      </c>
      <c r="AH8" s="1418" t="s">
        <v>247</v>
      </c>
      <c r="AI8" s="1418" t="s">
        <v>247</v>
      </c>
      <c r="AJ8" s="1421" t="s">
        <v>247</v>
      </c>
      <c r="AK8" s="1421" t="s">
        <v>247</v>
      </c>
      <c r="AL8" s="1421" t="s">
        <v>247</v>
      </c>
      <c r="AM8" s="1421" t="s">
        <v>247</v>
      </c>
      <c r="AN8" s="1421" t="s">
        <v>247</v>
      </c>
      <c r="AO8" s="1421" t="s">
        <v>247</v>
      </c>
      <c r="AP8" s="1421" t="s">
        <v>247</v>
      </c>
      <c r="AQ8" s="1421" t="s">
        <v>247</v>
      </c>
      <c r="AR8" s="1421" t="s">
        <v>247</v>
      </c>
      <c r="AS8" s="1421" t="s">
        <v>247</v>
      </c>
      <c r="AT8" s="1421" t="s">
        <v>247</v>
      </c>
      <c r="AU8" s="1421" t="s">
        <v>247</v>
      </c>
      <c r="AV8" s="1421" t="s">
        <v>247</v>
      </c>
      <c r="AW8" s="1421" t="s">
        <v>247</v>
      </c>
      <c r="AX8" s="1421" t="s">
        <v>247</v>
      </c>
      <c r="AY8" s="1421" t="s">
        <v>247</v>
      </c>
      <c r="AZ8" s="1421" t="s">
        <v>247</v>
      </c>
      <c r="BA8" s="1421" t="s">
        <v>247</v>
      </c>
      <c r="BB8" s="1421" t="s">
        <v>247</v>
      </c>
      <c r="BC8" s="1421" t="s">
        <v>247</v>
      </c>
      <c r="BD8" s="1421" t="s">
        <v>247</v>
      </c>
      <c r="BE8" s="1421" t="s">
        <v>247</v>
      </c>
      <c r="BF8" s="1421" t="s">
        <v>247</v>
      </c>
      <c r="BG8" s="1421" t="s">
        <v>247</v>
      </c>
      <c r="BH8" s="1421" t="s">
        <v>247</v>
      </c>
      <c r="BI8" s="1421" t="s">
        <v>247</v>
      </c>
    </row>
    <row r="9" spans="1:61" x14ac:dyDescent="0.25">
      <c r="B9"/>
      <c r="C9"/>
      <c r="D9"/>
      <c r="E9"/>
      <c r="F9"/>
      <c r="G9"/>
      <c r="H9"/>
      <c r="I9"/>
      <c r="J9"/>
      <c r="K9"/>
      <c r="L9"/>
      <c r="M9"/>
      <c r="N9"/>
      <c r="O9"/>
      <c r="P9"/>
      <c r="Q9"/>
      <c r="R9"/>
      <c r="S9"/>
      <c r="T9"/>
      <c r="U9"/>
      <c r="V9"/>
      <c r="W9"/>
      <c r="X9"/>
      <c r="Y9"/>
    </row>
    <row r="10" spans="1:61" x14ac:dyDescent="0.25">
      <c r="B10" s="1985" t="s">
        <v>5253</v>
      </c>
      <c r="C10" s="1985"/>
      <c r="D10" s="1985"/>
      <c r="E10" s="1985"/>
      <c r="F10" s="1985"/>
      <c r="G10" s="1987" t="str">
        <f>IF(AND(LEN('Verification Report'!W1419)&gt;0,'Verification Report'!W1419=0),"Expected to Meet Based on Expected Energy Performance from Selected Path but Energy Analysis Documentation Required for Review",IF('Verification Report'!W1419&gt;0,"Not Expected to Meet Based on Expected Energy Performance from Selected Path – However, Badge Compliance is Based on Separate Energy Analysis Documentation that is Independent from This Tool, and Badge is Available for All Energy Compliance Paths.","Not expected to meet based on Performance Path inputs, 
but compliance possible based on energy analysis document"))</f>
        <v>Not expected to meet based on Performance Path inputs, 
but compliance possible based on energy analysis document</v>
      </c>
      <c r="H10" s="1988"/>
      <c r="I10" s="1988"/>
      <c r="J10" s="1988"/>
      <c r="K10" s="1988"/>
      <c r="L10" s="1988"/>
      <c r="M10" s="1988"/>
      <c r="N10" s="1988"/>
      <c r="O10" s="1989"/>
      <c r="P10" s="94"/>
      <c r="Q10" s="94"/>
      <c r="R10" s="94"/>
      <c r="S10" s="94"/>
      <c r="T10" s="94"/>
      <c r="U10" s="94"/>
      <c r="V10" s="94"/>
      <c r="W10" s="94"/>
      <c r="X10" s="94"/>
      <c r="Y10" s="94"/>
      <c r="AR10"/>
      <c r="AS10"/>
      <c r="AT10"/>
      <c r="AU10"/>
      <c r="AV10"/>
      <c r="AW10"/>
      <c r="AX10"/>
      <c r="AY10"/>
      <c r="AZ10"/>
      <c r="BA10"/>
      <c r="BB10"/>
      <c r="BC10"/>
      <c r="BD10"/>
      <c r="BE10"/>
      <c r="BF10"/>
      <c r="BG10"/>
      <c r="BH10"/>
      <c r="BI10"/>
    </row>
    <row r="11" spans="1:61" ht="15.75" thickBot="1" x14ac:dyDescent="0.3">
      <c r="B11" s="1986"/>
      <c r="C11" s="1986"/>
      <c r="D11" s="1986"/>
      <c r="E11" s="1986"/>
      <c r="F11" s="1986"/>
      <c r="G11" s="1990"/>
      <c r="H11" s="1991"/>
      <c r="I11" s="1991"/>
      <c r="J11" s="1991"/>
      <c r="K11" s="1991"/>
      <c r="L11" s="1991"/>
      <c r="M11" s="1991"/>
      <c r="N11" s="1991"/>
      <c r="O11" s="1992"/>
      <c r="P11" s="99"/>
      <c r="Q11" s="99"/>
      <c r="R11" s="99"/>
      <c r="S11" s="99"/>
      <c r="T11" s="99"/>
      <c r="U11" s="99"/>
      <c r="V11" s="99"/>
      <c r="W11" s="99"/>
      <c r="X11" s="99"/>
      <c r="Y11" s="99"/>
      <c r="AR11"/>
      <c r="AS11"/>
      <c r="AT11"/>
      <c r="AU11"/>
      <c r="AV11"/>
      <c r="AW11"/>
      <c r="AX11"/>
      <c r="AY11"/>
      <c r="AZ11"/>
      <c r="BA11"/>
      <c r="BB11"/>
      <c r="BC11"/>
      <c r="BD11"/>
      <c r="BE11"/>
      <c r="BF11"/>
      <c r="BG11"/>
      <c r="BH11"/>
      <c r="BI11"/>
    </row>
    <row r="12" spans="1:61" ht="15.75" thickTop="1" x14ac:dyDescent="0.25">
      <c r="B12"/>
      <c r="C12"/>
      <c r="D12"/>
      <c r="E12"/>
      <c r="F12"/>
      <c r="G12"/>
      <c r="H12"/>
      <c r="I12"/>
      <c r="J12"/>
      <c r="K12"/>
      <c r="L12"/>
      <c r="M12"/>
      <c r="N12"/>
      <c r="O12"/>
      <c r="P12"/>
      <c r="Q12"/>
      <c r="R12"/>
      <c r="S12"/>
      <c r="T12"/>
      <c r="U12"/>
      <c r="V12"/>
      <c r="W12"/>
      <c r="X12"/>
      <c r="Y12"/>
      <c r="AR12"/>
      <c r="AS12"/>
      <c r="AT12"/>
      <c r="AU12"/>
      <c r="AV12"/>
      <c r="AW12"/>
      <c r="AX12"/>
      <c r="AY12"/>
      <c r="AZ12"/>
      <c r="BA12"/>
      <c r="BB12"/>
      <c r="BC12"/>
      <c r="BD12"/>
      <c r="BE12"/>
      <c r="BF12"/>
      <c r="BG12"/>
      <c r="BH12"/>
      <c r="BI12"/>
    </row>
    <row r="13" spans="1:61" x14ac:dyDescent="0.25">
      <c r="B13"/>
      <c r="C13"/>
      <c r="D13"/>
      <c r="E13"/>
      <c r="F13"/>
      <c r="G13"/>
      <c r="H13"/>
      <c r="I13"/>
      <c r="J13"/>
      <c r="K13"/>
      <c r="L13"/>
      <c r="M13"/>
      <c r="N13"/>
      <c r="O13"/>
      <c r="P13"/>
      <c r="Q13"/>
      <c r="R13"/>
      <c r="S13"/>
      <c r="T13"/>
      <c r="U13"/>
      <c r="V13"/>
      <c r="W13"/>
      <c r="X13"/>
      <c r="Y13"/>
      <c r="AR13"/>
      <c r="AS13"/>
      <c r="AT13"/>
      <c r="AU13"/>
      <c r="AV13"/>
      <c r="AW13"/>
      <c r="AX13"/>
      <c r="AY13"/>
      <c r="AZ13"/>
      <c r="BA13"/>
      <c r="BB13"/>
      <c r="BC13"/>
      <c r="BD13"/>
      <c r="BE13"/>
      <c r="BF13"/>
      <c r="BG13"/>
      <c r="BH13"/>
      <c r="BI13"/>
    </row>
    <row r="14" spans="1:61" s="1431" customFormat="1" x14ac:dyDescent="0.25">
      <c r="C14" s="1435" t="s">
        <v>5356</v>
      </c>
      <c r="D14" s="1436"/>
      <c r="R14" s="1431" t="b">
        <f>OR(LEN(W15)&gt;0,LEN(W16)&gt;0,LEN(W17)&gt;0,LEN(W21)&gt;0,LEN(W22)&gt;0,LEN(W23)&gt;0,LEN(W39)&gt;0,LEN(W40)&gt;0,LEN(W41)&gt;0,LEN(W42)&gt;0,LEN(W43)&gt;0,LEN(W44)&gt;0,LEN(W45)&gt;0,LEN(W46)&gt;0,LEN(W47)&gt;0,LEN(W48)&gt;0,LEN(W49)&gt;0,LEN(W54)&gt;0,LEN(W55)&gt;0)</f>
        <v>0</v>
      </c>
    </row>
    <row r="15" spans="1:61" s="1431" customFormat="1" x14ac:dyDescent="0.25">
      <c r="D15" s="1806" t="s">
        <v>5357</v>
      </c>
      <c r="E15" s="1806"/>
      <c r="F15" s="1806"/>
      <c r="G15" s="1806"/>
      <c r="H15" s="1806"/>
      <c r="I15" s="1806"/>
      <c r="J15" s="1806"/>
      <c r="K15" s="1806"/>
      <c r="L15" s="1806"/>
      <c r="M15" s="1806"/>
      <c r="P15" s="1452" t="b">
        <v>1</v>
      </c>
      <c r="Q15" s="1431" t="b">
        <v>1</v>
      </c>
      <c r="R15" s="1475" t="b">
        <f>R14</f>
        <v>0</v>
      </c>
      <c r="S15" s="582" t="b">
        <v>1</v>
      </c>
      <c r="T15" s="582" t="b">
        <v>0</v>
      </c>
      <c r="W15" s="1454"/>
      <c r="X15" s="1442"/>
      <c r="Y15" s="1472" t="str">
        <f>IF(LEN('Badges (Design)'!X15)=0,"None",'Badges (Design)'!X15)</f>
        <v>None</v>
      </c>
      <c r="AC15" s="1452" t="b">
        <f>OR(AD15:AE15)</f>
        <v>0</v>
      </c>
      <c r="AD15" s="1452" t="b">
        <f>T15</f>
        <v>0</v>
      </c>
      <c r="AE15" s="1452" t="b">
        <f>AND(R15=TRUE,LEN(W15)=0)</f>
        <v>0</v>
      </c>
      <c r="AF15" s="1452" t="b">
        <f>AND(AE15,NOT(Q15))</f>
        <v>0</v>
      </c>
      <c r="AO15"/>
      <c r="AP15" s="1461" t="s">
        <v>5503</v>
      </c>
      <c r="AQ15" s="254" t="str">
        <f>IF(LEN(W15)=0,"",W15)</f>
        <v/>
      </c>
      <c r="AR15" s="1461" t="s">
        <v>5529</v>
      </c>
      <c r="AS15" s="254" t="str">
        <f>IF(LEN(X15)=0,"",X15)</f>
        <v/>
      </c>
    </row>
    <row r="16" spans="1:61" s="1431" customFormat="1" x14ac:dyDescent="0.25">
      <c r="D16" s="1806" t="s">
        <v>5358</v>
      </c>
      <c r="E16" s="1806"/>
      <c r="F16" s="1806"/>
      <c r="G16" s="1806"/>
      <c r="H16" s="1806"/>
      <c r="I16" s="1806"/>
      <c r="J16" s="1806"/>
      <c r="K16" s="1806"/>
      <c r="L16" s="1806"/>
      <c r="M16" s="1806"/>
      <c r="P16" s="1452" t="b">
        <v>1</v>
      </c>
      <c r="Q16" s="1452" t="b">
        <v>1</v>
      </c>
      <c r="R16" s="1452" t="b">
        <f>R14</f>
        <v>0</v>
      </c>
      <c r="S16" s="582" t="b">
        <v>1</v>
      </c>
      <c r="T16" s="582" t="b">
        <v>0</v>
      </c>
      <c r="W16" s="1454"/>
      <c r="X16" s="1442"/>
      <c r="Y16" s="1472" t="str">
        <f>IF(LEN('Badges (Design)'!X16)=0,"None",'Badges (Design)'!X16)</f>
        <v>None</v>
      </c>
      <c r="AC16" s="1452" t="b">
        <f>OR(AD16:AE16)</f>
        <v>0</v>
      </c>
      <c r="AD16" s="1452" t="b">
        <f>T16</f>
        <v>0</v>
      </c>
      <c r="AE16" s="1452" t="b">
        <f>AND(R16=TRUE,LEN(W16)=0)</f>
        <v>0</v>
      </c>
      <c r="AF16" s="1452" t="b">
        <f>AND(AE16,NOT(Q16))</f>
        <v>0</v>
      </c>
      <c r="AO16"/>
      <c r="AP16" s="1461" t="s">
        <v>5504</v>
      </c>
      <c r="AQ16" s="254" t="str">
        <f>IF(LEN(W16)=0,"",W16)</f>
        <v/>
      </c>
      <c r="AR16" s="1461" t="s">
        <v>5530</v>
      </c>
      <c r="AS16" s="254" t="str">
        <f>IF(LEN(X16)=0,"",X16)</f>
        <v/>
      </c>
    </row>
    <row r="17" spans="3:52" s="1431" customFormat="1" x14ac:dyDescent="0.25">
      <c r="D17" s="1806" t="s">
        <v>5359</v>
      </c>
      <c r="E17" s="1806"/>
      <c r="F17" s="1806"/>
      <c r="G17" s="1806"/>
      <c r="H17" s="1806"/>
      <c r="I17" s="1806"/>
      <c r="J17" s="1806"/>
      <c r="K17" s="1806"/>
      <c r="L17" s="1806"/>
      <c r="M17" s="1806"/>
      <c r="P17" s="1452" t="b">
        <v>1</v>
      </c>
      <c r="Q17" s="1452" t="b">
        <v>1</v>
      </c>
      <c r="R17" s="1452" t="b">
        <f>R14</f>
        <v>0</v>
      </c>
      <c r="S17" s="582" t="b">
        <v>1</v>
      </c>
      <c r="T17" s="582" t="b">
        <v>0</v>
      </c>
      <c r="W17" s="1454"/>
      <c r="X17" s="1442"/>
      <c r="Y17" s="1472" t="str">
        <f>IF(LEN('Badges (Design)'!X17)=0,"None",'Badges (Design)'!X17)</f>
        <v>None</v>
      </c>
      <c r="AC17" s="1452" t="b">
        <f>OR(AD17:AE17)</f>
        <v>0</v>
      </c>
      <c r="AD17" s="1452" t="b">
        <f>T17</f>
        <v>0</v>
      </c>
      <c r="AE17" s="1452" t="b">
        <f>AND(R17=TRUE,LEN(W17)=0)</f>
        <v>0</v>
      </c>
      <c r="AF17" s="1452" t="b">
        <f>AND(AE17,NOT(Q17))</f>
        <v>0</v>
      </c>
      <c r="AO17"/>
      <c r="AP17" s="1461" t="s">
        <v>5505</v>
      </c>
      <c r="AQ17" s="254" t="str">
        <f>IF(LEN(W17)=0,"",W17)</f>
        <v/>
      </c>
      <c r="AR17" s="1461" t="s">
        <v>5531</v>
      </c>
      <c r="AS17" s="254" t="str">
        <f>IF(LEN(X17)=0,"",X17)</f>
        <v/>
      </c>
    </row>
    <row r="18" spans="3:52" s="1431" customFormat="1" x14ac:dyDescent="0.25">
      <c r="D18" s="1436"/>
      <c r="E18" s="1806" t="s">
        <v>5360</v>
      </c>
      <c r="F18" s="1806"/>
      <c r="G18" s="1806"/>
      <c r="H18" s="1806"/>
      <c r="I18" s="1806"/>
      <c r="J18" s="1806"/>
      <c r="K18" s="1806"/>
      <c r="L18" s="1806"/>
      <c r="M18" s="1806"/>
      <c r="R18" s="1452" t="b">
        <f>R14</f>
        <v>0</v>
      </c>
      <c r="X18" s="1757"/>
      <c r="Y18" s="2077" t="str">
        <f>IF(LEN('Badges (Design)'!X18)=0,"None",'Badges (Design)'!X18)</f>
        <v>None</v>
      </c>
      <c r="AC18" s="1452" t="b">
        <f>OR(AD18:AE18)</f>
        <v>0</v>
      </c>
      <c r="AD18" s="1452"/>
      <c r="AE18" s="1452" t="b">
        <f>AND(R18=TRUE,LEN(X18)=0)</f>
        <v>0</v>
      </c>
      <c r="AF18" s="1452" t="b">
        <f>AND(AE18,NOT(Q18))</f>
        <v>0</v>
      </c>
      <c r="AO18"/>
      <c r="AR18" s="1461" t="s">
        <v>5532</v>
      </c>
      <c r="AS18" s="254" t="str">
        <f>IF(LEN(X18)=0,"",X18)</f>
        <v/>
      </c>
      <c r="AX18" s="1451" t="str">
        <f>'Overview (Verification)'!A18</f>
        <v>Single-Family or Multifamily:</v>
      </c>
      <c r="AY18" s="1452" t="str">
        <f>IF(LEN('Overview (Verification)'!P18)=0,0,'Overview (Verification)'!P18)</f>
        <v>Single-Family</v>
      </c>
      <c r="AZ18" s="1452"/>
    </row>
    <row r="19" spans="3:52" customFormat="1" x14ac:dyDescent="0.25">
      <c r="X19" s="1757"/>
      <c r="Y19" s="2077"/>
    </row>
    <row r="20" spans="3:52" customFormat="1" x14ac:dyDescent="0.25"/>
    <row r="21" spans="3:52" s="1431" customFormat="1" x14ac:dyDescent="0.25">
      <c r="D21" s="1806" t="s">
        <v>5361</v>
      </c>
      <c r="E21" s="1806"/>
      <c r="F21" s="1806"/>
      <c r="G21" s="1806"/>
      <c r="H21" s="1806"/>
      <c r="I21" s="1806"/>
      <c r="J21" s="1806"/>
      <c r="K21" s="1806"/>
      <c r="L21" s="1806"/>
      <c r="M21" s="1806"/>
      <c r="P21" s="1452" t="b">
        <v>1</v>
      </c>
      <c r="Q21" s="1452" t="b">
        <v>1</v>
      </c>
      <c r="R21" s="1452" t="b">
        <f>R14</f>
        <v>0</v>
      </c>
      <c r="S21" s="582" t="b">
        <v>1</v>
      </c>
      <c r="T21" s="582" t="b">
        <v>0</v>
      </c>
      <c r="W21" s="1455"/>
      <c r="X21" s="1442"/>
      <c r="Y21" s="1472" t="str">
        <f>IF(LEN('Badges (Design)'!X21)=0,"None",'Badges (Design)'!X21)</f>
        <v>None</v>
      </c>
      <c r="AC21" s="1452" t="b">
        <f>OR(AD21:AE21)</f>
        <v>0</v>
      </c>
      <c r="AD21" s="1452" t="b">
        <f>T21</f>
        <v>0</v>
      </c>
      <c r="AE21" s="1452" t="b">
        <f>AND(R21=TRUE,LEN(W21)=0)</f>
        <v>0</v>
      </c>
      <c r="AF21" s="1452" t="b">
        <f>AND(AE21,NOT(Q21))</f>
        <v>0</v>
      </c>
      <c r="AO21"/>
      <c r="AP21" s="1461" t="s">
        <v>5506</v>
      </c>
      <c r="AQ21" s="254" t="str">
        <f>IF(LEN(W21)=0,"",W21)</f>
        <v/>
      </c>
      <c r="AR21" s="1461" t="s">
        <v>5533</v>
      </c>
      <c r="AS21" s="254" t="str">
        <f>IF(LEN(X21)=0,"",X21)</f>
        <v/>
      </c>
    </row>
    <row r="22" spans="3:52" s="1431" customFormat="1" x14ac:dyDescent="0.25">
      <c r="D22" s="1806" t="s">
        <v>5362</v>
      </c>
      <c r="E22" s="1806"/>
      <c r="F22" s="1806"/>
      <c r="G22" s="1806"/>
      <c r="H22" s="1806"/>
      <c r="I22" s="1806"/>
      <c r="J22" s="1806"/>
      <c r="K22" s="1806"/>
      <c r="L22" s="1806"/>
      <c r="M22" s="1806"/>
      <c r="P22" s="1452" t="b">
        <v>1</v>
      </c>
      <c r="Q22" s="1452" t="b">
        <v>1</v>
      </c>
      <c r="R22" s="1452" t="b">
        <f>R14</f>
        <v>0</v>
      </c>
      <c r="S22" s="582" t="b">
        <v>1</v>
      </c>
      <c r="T22" s="582" t="b">
        <v>0</v>
      </c>
      <c r="W22" s="1455"/>
      <c r="X22" s="1442"/>
      <c r="Y22" s="1472" t="str">
        <f>IF(LEN('Badges (Design)'!X22)=0,"None",'Badges (Design)'!X22)</f>
        <v>None</v>
      </c>
      <c r="AC22" s="1452" t="b">
        <f>OR(AD22:AE22)</f>
        <v>0</v>
      </c>
      <c r="AD22" s="1452" t="b">
        <f>T22</f>
        <v>0</v>
      </c>
      <c r="AE22" s="1452" t="b">
        <f>AND(R22=TRUE,LEN(W22)=0)</f>
        <v>0</v>
      </c>
      <c r="AF22" s="1452" t="b">
        <f>AND(AE22,NOT(Q22))</f>
        <v>0</v>
      </c>
      <c r="AO22"/>
      <c r="AP22" s="1461" t="s">
        <v>5507</v>
      </c>
      <c r="AQ22" s="254" t="str">
        <f>IF(LEN(W22)=0,"",W22)</f>
        <v/>
      </c>
      <c r="AR22" s="1461" t="s">
        <v>5534</v>
      </c>
      <c r="AS22" s="254" t="str">
        <f>IF(LEN(X22)=0,"",X22)</f>
        <v/>
      </c>
    </row>
    <row r="23" spans="3:52" s="1431" customFormat="1" x14ac:dyDescent="0.25">
      <c r="D23" s="1806" t="s">
        <v>5363</v>
      </c>
      <c r="E23" s="1806"/>
      <c r="F23" s="1806"/>
      <c r="G23" s="1806"/>
      <c r="H23" s="1806"/>
      <c r="I23" s="1806"/>
      <c r="J23" s="1806"/>
      <c r="K23" s="1806"/>
      <c r="L23" s="1806"/>
      <c r="M23" s="1806"/>
      <c r="P23" s="1452" t="b">
        <v>1</v>
      </c>
      <c r="Q23" s="1452" t="b">
        <v>1</v>
      </c>
      <c r="R23" s="1452" t="b">
        <f>R14</f>
        <v>0</v>
      </c>
      <c r="S23" s="582" t="b">
        <v>1</v>
      </c>
      <c r="T23" s="582" t="b">
        <v>0</v>
      </c>
      <c r="W23" s="1455"/>
      <c r="X23" s="1442"/>
      <c r="Y23" s="1472" t="str">
        <f>IF(LEN('Badges (Design)'!X23)=0,"None",'Badges (Design)'!X23)</f>
        <v>None</v>
      </c>
      <c r="AC23" s="1452" t="b">
        <f>OR(AD23:AE23)</f>
        <v>0</v>
      </c>
      <c r="AD23" s="1452" t="b">
        <f>T23</f>
        <v>0</v>
      </c>
      <c r="AE23" s="1452" t="b">
        <f>AND(R23=TRUE,LEN(W23)=0)</f>
        <v>0</v>
      </c>
      <c r="AF23" s="1452" t="b">
        <f>AND(AE23,NOT(Q23))</f>
        <v>0</v>
      </c>
      <c r="AO23"/>
      <c r="AP23" s="1461" t="s">
        <v>5508</v>
      </c>
      <c r="AQ23" s="254" t="str">
        <f>IF(LEN(W23)=0,"",W23)</f>
        <v/>
      </c>
      <c r="AR23" s="1461" t="s">
        <v>5535</v>
      </c>
      <c r="AS23" s="254" t="str">
        <f>IF(LEN(X23)=0,"",X23)</f>
        <v/>
      </c>
    </row>
    <row r="24" spans="3:52" s="1431" customFormat="1" x14ac:dyDescent="0.25">
      <c r="D24" s="1436"/>
      <c r="E24" s="1806" t="s">
        <v>5364</v>
      </c>
      <c r="F24" s="1806"/>
      <c r="G24" s="1806"/>
      <c r="H24" s="1806"/>
      <c r="I24" s="1806"/>
      <c r="J24" s="1806"/>
      <c r="K24" s="1806"/>
      <c r="L24" s="1806"/>
      <c r="M24" s="1806"/>
      <c r="R24" s="1452" t="b">
        <f>R14</f>
        <v>0</v>
      </c>
      <c r="X24" s="1757"/>
      <c r="Y24" s="2077" t="str">
        <f>IF(LEN('Badges (Design)'!X24)=0,"None",'Badges (Design)'!X24)</f>
        <v>None</v>
      </c>
      <c r="AC24" s="1452" t="b">
        <f>OR(AD24:AE24)</f>
        <v>0</v>
      </c>
      <c r="AD24" s="1452"/>
      <c r="AE24" s="1452" t="b">
        <f>AND(R24=TRUE,LEN(X24)=0)</f>
        <v>0</v>
      </c>
      <c r="AF24" s="1452" t="b">
        <f>AND(AE24,NOT(Q24))</f>
        <v>0</v>
      </c>
      <c r="AO24"/>
      <c r="AR24" s="1461" t="s">
        <v>5536</v>
      </c>
      <c r="AS24" s="254" t="str">
        <f>IF(LEN(X24)=0,"",X24)</f>
        <v/>
      </c>
    </row>
    <row r="25" spans="3:52" s="1441" customFormat="1" x14ac:dyDescent="0.25">
      <c r="X25" s="1757"/>
      <c r="Y25" s="2077"/>
      <c r="AO25"/>
    </row>
    <row r="26" spans="3:52" s="1441" customFormat="1" x14ac:dyDescent="0.25">
      <c r="AO26"/>
    </row>
    <row r="27" spans="3:52" s="1431" customFormat="1" x14ac:dyDescent="0.25">
      <c r="D27" s="1806" t="s">
        <v>5365</v>
      </c>
      <c r="E27" s="1806"/>
      <c r="F27" s="1806"/>
      <c r="G27" s="1806"/>
      <c r="H27" s="1806"/>
      <c r="I27" s="1806"/>
      <c r="J27" s="1806"/>
      <c r="K27" s="1806"/>
      <c r="L27" s="1806"/>
      <c r="M27" s="1806"/>
      <c r="R27" s="1452" t="b">
        <f>R14</f>
        <v>0</v>
      </c>
      <c r="X27" s="1442"/>
      <c r="Y27" s="1472" t="str">
        <f>IF(LEN('Badges (Design)'!X27)=0,"None",'Badges (Design)'!X27)</f>
        <v>None</v>
      </c>
      <c r="AC27" s="1452" t="b">
        <f>OR(AD27:AE27)</f>
        <v>0</v>
      </c>
      <c r="AD27" s="1452"/>
      <c r="AE27" s="1452" t="b">
        <f>AND(R27=TRUE,LEN(X27)=0)</f>
        <v>0</v>
      </c>
      <c r="AF27" s="1452" t="b">
        <f>AND(AE27,NOT(Q27))</f>
        <v>0</v>
      </c>
      <c r="AO27"/>
      <c r="AR27" s="1461" t="s">
        <v>5537</v>
      </c>
      <c r="AS27" s="254" t="str">
        <f>IF(LEN(X27)=0,"",X27)</f>
        <v/>
      </c>
    </row>
    <row r="28" spans="3:52" s="1431" customFormat="1" x14ac:dyDescent="0.25">
      <c r="D28" s="1806" t="s">
        <v>5366</v>
      </c>
      <c r="E28" s="1806"/>
      <c r="F28" s="1806"/>
      <c r="G28" s="1806"/>
      <c r="H28" s="1806"/>
      <c r="I28" s="1806"/>
      <c r="J28" s="1806"/>
      <c r="K28" s="1806"/>
      <c r="L28" s="1806"/>
      <c r="M28" s="1806"/>
      <c r="R28" s="1452" t="b">
        <f>R14</f>
        <v>0</v>
      </c>
      <c r="X28" s="1442"/>
      <c r="Y28" s="1472" t="str">
        <f>IF(LEN('Badges (Design)'!X28)=0,"None",'Badges (Design)'!X28)</f>
        <v>None</v>
      </c>
      <c r="AC28" s="1452" t="b">
        <f>OR(AD28:AE28)</f>
        <v>0</v>
      </c>
      <c r="AD28" s="1452"/>
      <c r="AE28" s="1452" t="b">
        <f>AND(R28=TRUE,LEN(X28)=0)</f>
        <v>0</v>
      </c>
      <c r="AF28" s="1452" t="b">
        <f>AND(AE28,NOT(Q28))</f>
        <v>0</v>
      </c>
      <c r="AO28"/>
      <c r="AR28" s="1461" t="s">
        <v>5538</v>
      </c>
      <c r="AS28" s="254" t="str">
        <f>IF(LEN(X28)=0,"",X28)</f>
        <v/>
      </c>
    </row>
    <row r="29" spans="3:52" s="1431" customFormat="1" x14ac:dyDescent="0.25">
      <c r="D29" s="1806" t="s">
        <v>5367</v>
      </c>
      <c r="E29" s="1806"/>
      <c r="F29" s="1806"/>
      <c r="G29" s="1806"/>
      <c r="H29" s="1806"/>
      <c r="I29" s="1806"/>
      <c r="J29" s="1806"/>
      <c r="K29" s="1806"/>
      <c r="L29" s="1806"/>
      <c r="M29" s="1806"/>
      <c r="R29" s="1452" t="b">
        <f>R14</f>
        <v>0</v>
      </c>
      <c r="X29" s="1757"/>
      <c r="Y29" s="2077" t="str">
        <f>IF(LEN('Badges (Design)'!X29)=0,"None",'Badges (Design)'!X29)</f>
        <v>None</v>
      </c>
      <c r="AC29" s="1452" t="b">
        <f>OR(AD29:AE29)</f>
        <v>0</v>
      </c>
      <c r="AD29" s="1452"/>
      <c r="AE29" s="1452" t="b">
        <f>AND(R29=TRUE,LEN(X29)=0)</f>
        <v>0</v>
      </c>
      <c r="AF29" s="1452" t="b">
        <f>AND(AE29,NOT(Q29))</f>
        <v>0</v>
      </c>
      <c r="AO29"/>
      <c r="AR29" s="1461" t="s">
        <v>5539</v>
      </c>
      <c r="AS29" s="254" t="str">
        <f>IF(LEN(X29)=0,"",X29)</f>
        <v/>
      </c>
    </row>
    <row r="30" spans="3:52" s="1441" customFormat="1" x14ac:dyDescent="0.25">
      <c r="X30" s="1757"/>
      <c r="Y30" s="2077"/>
      <c r="AO30"/>
    </row>
    <row r="31" spans="3:52" s="1441" customFormat="1" x14ac:dyDescent="0.25">
      <c r="X31" s="1757"/>
      <c r="Y31" s="2077"/>
      <c r="AO31"/>
    </row>
    <row r="32" spans="3:52" s="1431" customFormat="1" x14ac:dyDescent="0.25">
      <c r="C32" s="1435" t="s">
        <v>5368</v>
      </c>
      <c r="D32" s="1436"/>
      <c r="AO32"/>
    </row>
    <row r="33" spans="3:45" s="1431" customFormat="1" x14ac:dyDescent="0.25">
      <c r="D33" s="1806" t="s">
        <v>5403</v>
      </c>
      <c r="E33" s="1806"/>
      <c r="F33" s="1806"/>
      <c r="G33" s="1806"/>
      <c r="H33" s="1806"/>
      <c r="I33" s="1806"/>
      <c r="J33" s="1806"/>
      <c r="K33" s="1806"/>
      <c r="L33" s="1806"/>
      <c r="M33" s="1806"/>
      <c r="R33" s="1452" t="b">
        <f>R14</f>
        <v>0</v>
      </c>
      <c r="X33" s="1442"/>
      <c r="Y33" s="1472" t="str">
        <f>IF(LEN('Badges (Design)'!X33)=0,"None",'Badges (Design)'!X33)</f>
        <v>None</v>
      </c>
      <c r="AC33" s="1452" t="b">
        <f>OR(AD33:AE33)</f>
        <v>0</v>
      </c>
      <c r="AD33" s="1452"/>
      <c r="AE33" s="1452" t="b">
        <f>AND(R33=TRUE,LEN(X33)=0)</f>
        <v>0</v>
      </c>
      <c r="AF33" s="1452" t="b">
        <f>AND(AE33,NOT(Q33))</f>
        <v>0</v>
      </c>
      <c r="AO33"/>
      <c r="AR33" s="1461" t="s">
        <v>5540</v>
      </c>
      <c r="AS33" s="254" t="str">
        <f>IF(LEN(X33)=0,"",X33)</f>
        <v/>
      </c>
    </row>
    <row r="34" spans="3:45" s="1431" customFormat="1" x14ac:dyDescent="0.25">
      <c r="D34" s="1806" t="s">
        <v>5404</v>
      </c>
      <c r="E34" s="1806"/>
      <c r="F34" s="1806"/>
      <c r="G34" s="1806"/>
      <c r="H34" s="1806"/>
      <c r="I34" s="1806"/>
      <c r="J34" s="1806"/>
      <c r="K34" s="1806"/>
      <c r="L34" s="1806"/>
      <c r="M34" s="1806"/>
      <c r="R34" s="1452" t="b">
        <f>R14</f>
        <v>0</v>
      </c>
      <c r="W34"/>
      <c r="X34" s="1442"/>
      <c r="Y34" s="1472" t="str">
        <f>IF(LEN('Badges (Design)'!X34)=0,"None",'Badges (Design)'!X34)</f>
        <v>None</v>
      </c>
      <c r="AC34" s="1452" t="b">
        <f>OR(AD34:AE34)</f>
        <v>0</v>
      </c>
      <c r="AD34" s="1452"/>
      <c r="AE34" s="1452" t="b">
        <f>AND(R34=TRUE,LEN(X34)=0)</f>
        <v>0</v>
      </c>
      <c r="AF34" s="1452" t="b">
        <f>AND(AE34,NOT(Q34))</f>
        <v>0</v>
      </c>
      <c r="AO34"/>
      <c r="AR34" s="1461" t="s">
        <v>5541</v>
      </c>
      <c r="AS34" s="254" t="str">
        <f>IF(LEN(X34)=0,"",X34)</f>
        <v/>
      </c>
    </row>
    <row r="35" spans="3:45" s="1431" customFormat="1" x14ac:dyDescent="0.25">
      <c r="D35" s="1806" t="s">
        <v>5405</v>
      </c>
      <c r="E35" s="1806"/>
      <c r="F35" s="1806"/>
      <c r="G35" s="1806"/>
      <c r="H35" s="1806"/>
      <c r="I35" s="1806"/>
      <c r="J35" s="1806"/>
      <c r="K35" s="1806"/>
      <c r="L35" s="1806"/>
      <c r="M35" s="1806"/>
      <c r="R35" s="1452" t="b">
        <f>R14</f>
        <v>0</v>
      </c>
      <c r="W35"/>
      <c r="X35" s="1442"/>
      <c r="Y35" s="1472" t="str">
        <f>IF(LEN('Badges (Design)'!X35)=0,"None",'Badges (Design)'!X35)</f>
        <v>None</v>
      </c>
      <c r="AC35" s="1452" t="b">
        <f>OR(AD35:AE35)</f>
        <v>0</v>
      </c>
      <c r="AD35" s="1452"/>
      <c r="AE35" s="1452" t="b">
        <f>AND(R35=TRUE,LEN(X35)=0)</f>
        <v>0</v>
      </c>
      <c r="AF35" s="1452" t="b">
        <f>AND(AE35,NOT(Q35))</f>
        <v>0</v>
      </c>
      <c r="AO35"/>
      <c r="AR35" s="1461" t="s">
        <v>5542</v>
      </c>
      <c r="AS35" s="254" t="str">
        <f>IF(LEN(X35)=0,"",X35)</f>
        <v/>
      </c>
    </row>
    <row r="36" spans="3:45" s="1431" customFormat="1" x14ac:dyDescent="0.25">
      <c r="D36" s="1436"/>
      <c r="E36" s="1806" t="s">
        <v>5369</v>
      </c>
      <c r="F36" s="1806"/>
      <c r="G36" s="1806"/>
      <c r="H36" s="1806"/>
      <c r="I36" s="1806"/>
      <c r="J36" s="1806"/>
      <c r="K36" s="1806"/>
      <c r="L36" s="1806"/>
      <c r="M36" s="1806"/>
      <c r="R36" s="1452" t="b">
        <f>R14</f>
        <v>0</v>
      </c>
      <c r="X36" s="1442"/>
      <c r="Y36" s="1472" t="str">
        <f>IF(LEN('Badges (Design)'!X36)=0,"None",'Badges (Design)'!X36)</f>
        <v>None</v>
      </c>
      <c r="AC36" s="1452" t="b">
        <f>OR(AD36:AE36)</f>
        <v>0</v>
      </c>
      <c r="AD36" s="1452"/>
      <c r="AE36" s="1452" t="b">
        <f>AND(R36=TRUE,LEN(X36)=0)</f>
        <v>0</v>
      </c>
      <c r="AF36" s="1452" t="b">
        <f>AND(AE36,NOT(Q36))</f>
        <v>0</v>
      </c>
      <c r="AO36"/>
      <c r="AR36" s="1461" t="s">
        <v>5543</v>
      </c>
      <c r="AS36" s="254" t="str">
        <f>IF(LEN(X36)=0,"",X36)</f>
        <v/>
      </c>
    </row>
    <row r="37" spans="3:45" s="1431" customFormat="1" x14ac:dyDescent="0.25">
      <c r="D37" s="1436"/>
      <c r="AO37"/>
    </row>
    <row r="38" spans="3:45" s="1431" customFormat="1" x14ac:dyDescent="0.25">
      <c r="C38" s="1435" t="s">
        <v>5370</v>
      </c>
      <c r="D38" s="1436"/>
      <c r="AO38"/>
    </row>
    <row r="39" spans="3:45" s="1431" customFormat="1" x14ac:dyDescent="0.25">
      <c r="D39" s="1806" t="s">
        <v>5371</v>
      </c>
      <c r="E39" s="1806"/>
      <c r="F39" s="1806"/>
      <c r="G39" s="1806"/>
      <c r="H39" s="1806"/>
      <c r="I39" s="1806"/>
      <c r="J39" s="1806"/>
      <c r="K39" s="1806"/>
      <c r="L39" s="1806"/>
      <c r="M39" s="1806"/>
      <c r="P39" s="1431" t="b">
        <v>1</v>
      </c>
      <c r="Q39" s="1431" t="b">
        <v>1</v>
      </c>
      <c r="R39" s="1431" t="b">
        <v>0</v>
      </c>
      <c r="S39" s="1431" t="b">
        <v>1</v>
      </c>
      <c r="T39" s="1431" t="b">
        <v>0</v>
      </c>
      <c r="W39" s="25"/>
      <c r="X39" s="1442"/>
      <c r="Y39" s="1472" t="str">
        <f>IF(LEN('Badges (Design)'!X39)=0,"None",'Badges (Design)'!X39)</f>
        <v>None</v>
      </c>
      <c r="AC39" s="1452" t="b">
        <f t="shared" ref="AC39:AC50" si="0">OR(AD39:AE39)</f>
        <v>0</v>
      </c>
      <c r="AD39" s="1452" t="b">
        <f t="shared" ref="AD39:AD49" si="1">T39</f>
        <v>0</v>
      </c>
      <c r="AE39" s="1452" t="b">
        <f t="shared" ref="AE39:AE49" si="2">AND(W39=TRUE,LEN(X39)=0)</f>
        <v>0</v>
      </c>
      <c r="AF39" s="1452" t="b">
        <f t="shared" ref="AF39:AF50" si="3">AND(AE39,NOT(Q39))</f>
        <v>0</v>
      </c>
      <c r="AO39"/>
      <c r="AP39" s="1461" t="s">
        <v>5509</v>
      </c>
      <c r="AQ39" s="254" t="str">
        <f t="shared" ref="AQ39:AQ49" si="4">IF(LEN(W39)=0,"",W39)</f>
        <v/>
      </c>
      <c r="AR39" s="1461" t="s">
        <v>5544</v>
      </c>
      <c r="AS39" s="254" t="str">
        <f t="shared" ref="AS39:AS50" si="5">IF(LEN(X39)=0,"",X39)</f>
        <v/>
      </c>
    </row>
    <row r="40" spans="3:45" s="1431" customFormat="1" x14ac:dyDescent="0.25">
      <c r="D40" s="1806" t="s">
        <v>5384</v>
      </c>
      <c r="E40" s="1806"/>
      <c r="F40" s="1806"/>
      <c r="G40" s="1806"/>
      <c r="H40" s="1806"/>
      <c r="I40" s="1806"/>
      <c r="J40" s="1806"/>
      <c r="K40" s="1806"/>
      <c r="L40" s="1806"/>
      <c r="M40" s="1806"/>
      <c r="P40" s="1437" t="b">
        <v>1</v>
      </c>
      <c r="Q40" s="1437" t="b">
        <v>1</v>
      </c>
      <c r="R40" s="1437" t="b">
        <v>0</v>
      </c>
      <c r="S40" s="1437" t="b">
        <v>1</v>
      </c>
      <c r="T40" s="1437" t="b">
        <v>0</v>
      </c>
      <c r="W40" s="25"/>
      <c r="X40" s="1442"/>
      <c r="Y40" s="1472" t="str">
        <f>IF(LEN('Badges (Design)'!X40)=0,"None",'Badges (Design)'!X40)</f>
        <v>None</v>
      </c>
      <c r="AC40" s="1452" t="b">
        <f t="shared" si="0"/>
        <v>0</v>
      </c>
      <c r="AD40" s="1452" t="b">
        <f t="shared" si="1"/>
        <v>0</v>
      </c>
      <c r="AE40" s="1452" t="b">
        <f t="shared" si="2"/>
        <v>0</v>
      </c>
      <c r="AF40" s="1452" t="b">
        <f t="shared" si="3"/>
        <v>0</v>
      </c>
      <c r="AO40"/>
      <c r="AP40" s="1461" t="s">
        <v>5510</v>
      </c>
      <c r="AQ40" s="254" t="str">
        <f t="shared" si="4"/>
        <v/>
      </c>
      <c r="AR40" s="1461" t="s">
        <v>5545</v>
      </c>
      <c r="AS40" s="254" t="str">
        <f t="shared" si="5"/>
        <v/>
      </c>
    </row>
    <row r="41" spans="3:45" s="1431" customFormat="1" x14ac:dyDescent="0.25">
      <c r="D41" s="1806" t="s">
        <v>5372</v>
      </c>
      <c r="E41" s="1806"/>
      <c r="F41" s="1806"/>
      <c r="G41" s="1806"/>
      <c r="H41" s="1806"/>
      <c r="I41" s="1806"/>
      <c r="J41" s="1806"/>
      <c r="K41" s="1806"/>
      <c r="L41" s="1806"/>
      <c r="M41" s="1806"/>
      <c r="P41" s="1437" t="b">
        <v>1</v>
      </c>
      <c r="Q41" s="1437" t="b">
        <v>1</v>
      </c>
      <c r="R41" s="1437" t="b">
        <v>0</v>
      </c>
      <c r="S41" s="1437" t="b">
        <v>1</v>
      </c>
      <c r="T41" s="1437" t="b">
        <v>0</v>
      </c>
      <c r="W41" s="25"/>
      <c r="X41" s="1442"/>
      <c r="Y41" s="1472" t="str">
        <f>IF(LEN('Badges (Design)'!X41)=0,"None",'Badges (Design)'!X41)</f>
        <v>None</v>
      </c>
      <c r="AC41" s="1452" t="b">
        <f t="shared" si="0"/>
        <v>0</v>
      </c>
      <c r="AD41" s="1452" t="b">
        <f t="shared" si="1"/>
        <v>0</v>
      </c>
      <c r="AE41" s="1452" t="b">
        <f t="shared" si="2"/>
        <v>0</v>
      </c>
      <c r="AF41" s="1452" t="b">
        <f t="shared" si="3"/>
        <v>0</v>
      </c>
      <c r="AO41"/>
      <c r="AP41" s="1461" t="s">
        <v>5511</v>
      </c>
      <c r="AQ41" s="254" t="str">
        <f t="shared" si="4"/>
        <v/>
      </c>
      <c r="AR41" s="1461" t="s">
        <v>5546</v>
      </c>
      <c r="AS41" s="254" t="str">
        <f t="shared" si="5"/>
        <v/>
      </c>
    </row>
    <row r="42" spans="3:45" s="1431" customFormat="1" x14ac:dyDescent="0.25">
      <c r="D42" s="1806" t="s">
        <v>5373</v>
      </c>
      <c r="E42" s="1806"/>
      <c r="F42" s="1806"/>
      <c r="G42" s="1806"/>
      <c r="H42" s="1806"/>
      <c r="I42" s="1806"/>
      <c r="J42" s="1806"/>
      <c r="K42" s="1806"/>
      <c r="L42" s="1806"/>
      <c r="M42" s="1806"/>
      <c r="P42" s="1437" t="b">
        <v>1</v>
      </c>
      <c r="Q42" s="1437" t="b">
        <v>1</v>
      </c>
      <c r="R42" s="1437" t="b">
        <v>0</v>
      </c>
      <c r="S42" s="1437" t="b">
        <v>1</v>
      </c>
      <c r="T42" s="1437" t="b">
        <v>0</v>
      </c>
      <c r="W42" s="25"/>
      <c r="X42" s="1442"/>
      <c r="Y42" s="1472" t="str">
        <f>IF(LEN('Badges (Design)'!X42)=0,"None",'Badges (Design)'!X42)</f>
        <v>None</v>
      </c>
      <c r="AC42" s="1452" t="b">
        <f t="shared" si="0"/>
        <v>0</v>
      </c>
      <c r="AD42" s="1452" t="b">
        <f t="shared" si="1"/>
        <v>0</v>
      </c>
      <c r="AE42" s="1452" t="b">
        <f t="shared" si="2"/>
        <v>0</v>
      </c>
      <c r="AF42" s="1452" t="b">
        <f t="shared" si="3"/>
        <v>0</v>
      </c>
      <c r="AO42"/>
      <c r="AP42" s="1461" t="s">
        <v>5512</v>
      </c>
      <c r="AQ42" s="254" t="str">
        <f t="shared" si="4"/>
        <v/>
      </c>
      <c r="AR42" s="1461" t="s">
        <v>5547</v>
      </c>
      <c r="AS42" s="254" t="str">
        <f t="shared" si="5"/>
        <v/>
      </c>
    </row>
    <row r="43" spans="3:45" s="1431" customFormat="1" x14ac:dyDescent="0.25">
      <c r="D43" s="1806" t="s">
        <v>5374</v>
      </c>
      <c r="E43" s="1806"/>
      <c r="F43" s="1806"/>
      <c r="G43" s="1806"/>
      <c r="H43" s="1806"/>
      <c r="I43" s="1806"/>
      <c r="J43" s="1806"/>
      <c r="K43" s="1806"/>
      <c r="L43" s="1806"/>
      <c r="M43" s="1806"/>
      <c r="P43" s="1437" t="b">
        <v>1</v>
      </c>
      <c r="Q43" s="1437" t="b">
        <v>1</v>
      </c>
      <c r="R43" s="1437" t="b">
        <v>0</v>
      </c>
      <c r="S43" s="1437" t="b">
        <v>1</v>
      </c>
      <c r="T43" s="1437" t="b">
        <v>0</v>
      </c>
      <c r="W43" s="25"/>
      <c r="X43" s="1442"/>
      <c r="Y43" s="1472" t="str">
        <f>IF(LEN('Badges (Design)'!X43)=0,"None",'Badges (Design)'!X43)</f>
        <v>None</v>
      </c>
      <c r="AC43" s="1452" t="b">
        <f t="shared" si="0"/>
        <v>0</v>
      </c>
      <c r="AD43" s="1452" t="b">
        <f t="shared" si="1"/>
        <v>0</v>
      </c>
      <c r="AE43" s="1452" t="b">
        <f t="shared" si="2"/>
        <v>0</v>
      </c>
      <c r="AF43" s="1452" t="b">
        <f t="shared" si="3"/>
        <v>0</v>
      </c>
      <c r="AO43"/>
      <c r="AP43" s="1461" t="s">
        <v>5513</v>
      </c>
      <c r="AQ43" s="254" t="str">
        <f t="shared" si="4"/>
        <v/>
      </c>
      <c r="AR43" s="1461" t="s">
        <v>5548</v>
      </c>
      <c r="AS43" s="254" t="str">
        <f t="shared" si="5"/>
        <v/>
      </c>
    </row>
    <row r="44" spans="3:45" s="1431" customFormat="1" x14ac:dyDescent="0.25">
      <c r="D44" s="1806" t="s">
        <v>5375</v>
      </c>
      <c r="E44" s="1806"/>
      <c r="F44" s="1806"/>
      <c r="G44" s="1806"/>
      <c r="H44" s="1806"/>
      <c r="I44" s="1806"/>
      <c r="J44" s="1806"/>
      <c r="K44" s="1806"/>
      <c r="L44" s="1806"/>
      <c r="M44" s="1806"/>
      <c r="P44" s="1437" t="b">
        <v>1</v>
      </c>
      <c r="Q44" s="1437" t="b">
        <v>1</v>
      </c>
      <c r="R44" s="1437" t="b">
        <v>0</v>
      </c>
      <c r="S44" s="1437" t="b">
        <v>1</v>
      </c>
      <c r="T44" s="1437" t="b">
        <v>0</v>
      </c>
      <c r="W44" s="25"/>
      <c r="X44" s="1442"/>
      <c r="Y44" s="1472" t="str">
        <f>IF(LEN('Badges (Design)'!X44)=0,"None",'Badges (Design)'!X44)</f>
        <v>None</v>
      </c>
      <c r="AC44" s="1452" t="b">
        <f t="shared" si="0"/>
        <v>0</v>
      </c>
      <c r="AD44" s="1452" t="b">
        <f t="shared" si="1"/>
        <v>0</v>
      </c>
      <c r="AE44" s="1452" t="b">
        <f t="shared" si="2"/>
        <v>0</v>
      </c>
      <c r="AF44" s="1452" t="b">
        <f t="shared" si="3"/>
        <v>0</v>
      </c>
      <c r="AO44"/>
      <c r="AP44" s="1461" t="s">
        <v>5514</v>
      </c>
      <c r="AQ44" s="254" t="str">
        <f t="shared" si="4"/>
        <v/>
      </c>
      <c r="AR44" s="1461" t="s">
        <v>5549</v>
      </c>
      <c r="AS44" s="254" t="str">
        <f t="shared" si="5"/>
        <v/>
      </c>
    </row>
    <row r="45" spans="3:45" s="1431" customFormat="1" x14ac:dyDescent="0.25">
      <c r="D45" s="1806" t="s">
        <v>5376</v>
      </c>
      <c r="E45" s="1806"/>
      <c r="F45" s="1806"/>
      <c r="G45" s="1806"/>
      <c r="H45" s="1806"/>
      <c r="I45" s="1806"/>
      <c r="J45" s="1806"/>
      <c r="K45" s="1806"/>
      <c r="L45" s="1806"/>
      <c r="M45" s="1806"/>
      <c r="P45" s="1437" t="b">
        <v>1</v>
      </c>
      <c r="Q45" s="1437" t="b">
        <v>1</v>
      </c>
      <c r="R45" s="1437" t="b">
        <v>0</v>
      </c>
      <c r="S45" s="1437" t="b">
        <v>1</v>
      </c>
      <c r="T45" s="1437" t="b">
        <v>0</v>
      </c>
      <c r="W45" s="25"/>
      <c r="X45" s="1442"/>
      <c r="Y45" s="1472" t="str">
        <f>IF(LEN('Badges (Design)'!X45)=0,"None",'Badges (Design)'!X45)</f>
        <v>None</v>
      </c>
      <c r="AC45" s="1452" t="b">
        <f t="shared" si="0"/>
        <v>0</v>
      </c>
      <c r="AD45" s="1452" t="b">
        <f t="shared" si="1"/>
        <v>0</v>
      </c>
      <c r="AE45" s="1452" t="b">
        <f t="shared" si="2"/>
        <v>0</v>
      </c>
      <c r="AF45" s="1452" t="b">
        <f t="shared" si="3"/>
        <v>0</v>
      </c>
      <c r="AO45"/>
      <c r="AP45" s="1461" t="s">
        <v>5515</v>
      </c>
      <c r="AQ45" s="254" t="str">
        <f t="shared" si="4"/>
        <v/>
      </c>
      <c r="AR45" s="1461" t="s">
        <v>5550</v>
      </c>
      <c r="AS45" s="254" t="str">
        <f t="shared" si="5"/>
        <v/>
      </c>
    </row>
    <row r="46" spans="3:45" s="1431" customFormat="1" x14ac:dyDescent="0.25">
      <c r="D46" s="1806" t="s">
        <v>3799</v>
      </c>
      <c r="E46" s="1806"/>
      <c r="F46" s="1806"/>
      <c r="G46" s="1806"/>
      <c r="H46" s="1806"/>
      <c r="I46" s="1806"/>
      <c r="J46" s="1806"/>
      <c r="K46" s="1806"/>
      <c r="L46" s="1806"/>
      <c r="M46" s="1806"/>
      <c r="P46" s="1437" t="b">
        <v>1</v>
      </c>
      <c r="Q46" s="1437" t="b">
        <v>1</v>
      </c>
      <c r="R46" s="1437" t="b">
        <v>0</v>
      </c>
      <c r="S46" s="1437" t="b">
        <v>1</v>
      </c>
      <c r="T46" s="1437" t="b">
        <v>0</v>
      </c>
      <c r="W46" s="25"/>
      <c r="X46" s="1442"/>
      <c r="Y46" s="1472" t="str">
        <f>IF(LEN('Badges (Design)'!X46)=0,"None",'Badges (Design)'!X46)</f>
        <v>None</v>
      </c>
      <c r="AC46" s="1452" t="b">
        <f t="shared" si="0"/>
        <v>0</v>
      </c>
      <c r="AD46" s="1452" t="b">
        <f t="shared" si="1"/>
        <v>0</v>
      </c>
      <c r="AE46" s="1452" t="b">
        <f t="shared" si="2"/>
        <v>0</v>
      </c>
      <c r="AF46" s="1452" t="b">
        <f t="shared" si="3"/>
        <v>0</v>
      </c>
      <c r="AO46"/>
      <c r="AP46" s="1461" t="s">
        <v>5516</v>
      </c>
      <c r="AQ46" s="254" t="str">
        <f t="shared" si="4"/>
        <v/>
      </c>
      <c r="AR46" s="1461" t="s">
        <v>5551</v>
      </c>
      <c r="AS46" s="254" t="str">
        <f t="shared" si="5"/>
        <v/>
      </c>
    </row>
    <row r="47" spans="3:45" s="1431" customFormat="1" x14ac:dyDescent="0.25">
      <c r="D47" s="1806" t="s">
        <v>5377</v>
      </c>
      <c r="E47" s="1806"/>
      <c r="F47" s="1806"/>
      <c r="G47" s="1806"/>
      <c r="H47" s="1806"/>
      <c r="I47" s="1806"/>
      <c r="J47" s="1806"/>
      <c r="K47" s="1806"/>
      <c r="L47" s="1806"/>
      <c r="M47" s="1806"/>
      <c r="P47" s="1437" t="b">
        <v>1</v>
      </c>
      <c r="Q47" s="1437" t="b">
        <v>1</v>
      </c>
      <c r="R47" s="1437" t="b">
        <v>0</v>
      </c>
      <c r="S47" s="1437" t="b">
        <v>1</v>
      </c>
      <c r="T47" s="1437" t="b">
        <v>0</v>
      </c>
      <c r="W47" s="25"/>
      <c r="X47" s="1442"/>
      <c r="Y47" s="1472" t="str">
        <f>IF(LEN('Badges (Design)'!X47)=0,"None",'Badges (Design)'!X47)</f>
        <v>None</v>
      </c>
      <c r="AC47" s="1452" t="b">
        <f t="shared" si="0"/>
        <v>0</v>
      </c>
      <c r="AD47" s="1452" t="b">
        <f t="shared" si="1"/>
        <v>0</v>
      </c>
      <c r="AE47" s="1452" t="b">
        <f t="shared" si="2"/>
        <v>0</v>
      </c>
      <c r="AF47" s="1452" t="b">
        <f t="shared" si="3"/>
        <v>0</v>
      </c>
      <c r="AO47"/>
      <c r="AP47" s="1461" t="s">
        <v>5517</v>
      </c>
      <c r="AQ47" s="254" t="str">
        <f t="shared" si="4"/>
        <v/>
      </c>
      <c r="AR47" s="1461" t="s">
        <v>5552</v>
      </c>
      <c r="AS47" s="254" t="str">
        <f t="shared" si="5"/>
        <v/>
      </c>
    </row>
    <row r="48" spans="3:45" s="1431" customFormat="1" x14ac:dyDescent="0.25">
      <c r="D48" s="1806" t="s">
        <v>5378</v>
      </c>
      <c r="E48" s="1806"/>
      <c r="F48" s="1806"/>
      <c r="G48" s="1806"/>
      <c r="H48" s="1806"/>
      <c r="I48" s="1806"/>
      <c r="J48" s="1806"/>
      <c r="K48" s="1806"/>
      <c r="L48" s="1806"/>
      <c r="M48" s="1806"/>
      <c r="P48" s="1437" t="b">
        <v>1</v>
      </c>
      <c r="Q48" s="1437" t="b">
        <v>1</v>
      </c>
      <c r="R48" s="1437" t="b">
        <v>0</v>
      </c>
      <c r="S48" s="1437" t="b">
        <v>1</v>
      </c>
      <c r="T48" s="1437" t="b">
        <v>0</v>
      </c>
      <c r="W48" s="25"/>
      <c r="X48" s="1442"/>
      <c r="Y48" s="1472" t="str">
        <f>IF(LEN('Badges (Design)'!X48)=0,"None",'Badges (Design)'!X48)</f>
        <v>None</v>
      </c>
      <c r="AC48" s="1452" t="b">
        <f t="shared" si="0"/>
        <v>0</v>
      </c>
      <c r="AD48" s="1452" t="b">
        <f t="shared" si="1"/>
        <v>0</v>
      </c>
      <c r="AE48" s="1452" t="b">
        <f t="shared" si="2"/>
        <v>0</v>
      </c>
      <c r="AF48" s="1452" t="b">
        <f t="shared" si="3"/>
        <v>0</v>
      </c>
      <c r="AO48"/>
      <c r="AP48" s="1461" t="s">
        <v>5518</v>
      </c>
      <c r="AQ48" s="254" t="str">
        <f t="shared" si="4"/>
        <v/>
      </c>
      <c r="AR48" s="1461" t="s">
        <v>5553</v>
      </c>
      <c r="AS48" s="254" t="str">
        <f t="shared" si="5"/>
        <v/>
      </c>
    </row>
    <row r="49" spans="3:45" s="1431" customFormat="1" x14ac:dyDescent="0.25">
      <c r="D49" s="1806" t="s">
        <v>204</v>
      </c>
      <c r="E49" s="1806"/>
      <c r="F49" s="1806"/>
      <c r="G49" s="1806"/>
      <c r="H49" s="1806"/>
      <c r="I49" s="1806"/>
      <c r="J49" s="1806"/>
      <c r="K49" s="1806"/>
      <c r="L49" s="1806"/>
      <c r="M49" s="1806"/>
      <c r="P49" s="1437" t="b">
        <v>1</v>
      </c>
      <c r="Q49" s="1437" t="b">
        <v>1</v>
      </c>
      <c r="R49" s="1437" t="b">
        <v>0</v>
      </c>
      <c r="S49" s="1437" t="b">
        <v>1</v>
      </c>
      <c r="T49" s="1437" t="b">
        <v>0</v>
      </c>
      <c r="W49" s="25"/>
      <c r="X49" s="1442"/>
      <c r="Y49" s="1472" t="str">
        <f>IF(LEN('Badges (Design)'!X49)=0,"None",'Badges (Design)'!X49)</f>
        <v>None</v>
      </c>
      <c r="AC49" s="1452" t="b">
        <f t="shared" si="0"/>
        <v>0</v>
      </c>
      <c r="AD49" s="1452" t="b">
        <f t="shared" si="1"/>
        <v>0</v>
      </c>
      <c r="AE49" s="1452" t="b">
        <f t="shared" si="2"/>
        <v>0</v>
      </c>
      <c r="AF49" s="1452" t="b">
        <f t="shared" si="3"/>
        <v>0</v>
      </c>
      <c r="AO49"/>
      <c r="AP49" s="1461" t="s">
        <v>5519</v>
      </c>
      <c r="AQ49" s="254" t="str">
        <f t="shared" si="4"/>
        <v/>
      </c>
      <c r="AR49" s="1461" t="s">
        <v>5554</v>
      </c>
      <c r="AS49" s="254" t="str">
        <f t="shared" si="5"/>
        <v/>
      </c>
    </row>
    <row r="50" spans="3:45" s="1431" customFormat="1" x14ac:dyDescent="0.25">
      <c r="D50" s="1436"/>
      <c r="E50" s="1996" t="s">
        <v>5379</v>
      </c>
      <c r="F50" s="1996"/>
      <c r="G50" s="1996"/>
      <c r="H50" s="1996"/>
      <c r="I50" s="1996"/>
      <c r="J50" s="1996"/>
      <c r="K50" s="1996"/>
      <c r="L50" s="1996"/>
      <c r="M50" s="1996"/>
      <c r="R50" s="1452" t="b">
        <f>R14</f>
        <v>0</v>
      </c>
      <c r="X50" s="1757"/>
      <c r="Y50" s="2077" t="str">
        <f>IF(LEN('Badges (Design)'!X50)=0,"None",'Badges (Design)'!X50)</f>
        <v>None</v>
      </c>
      <c r="AC50" s="1452" t="b">
        <f t="shared" si="0"/>
        <v>0</v>
      </c>
      <c r="AD50" s="1452"/>
      <c r="AE50" s="1452" t="b">
        <f>AND(R50=TRUE,LEN(X50)=0)</f>
        <v>0</v>
      </c>
      <c r="AF50" s="1452" t="b">
        <f t="shared" si="3"/>
        <v>0</v>
      </c>
      <c r="AO50"/>
      <c r="AR50" s="1461" t="s">
        <v>5555</v>
      </c>
      <c r="AS50" s="254" t="str">
        <f t="shared" si="5"/>
        <v/>
      </c>
    </row>
    <row r="51" spans="3:45" customFormat="1" x14ac:dyDescent="0.25">
      <c r="X51" s="1757"/>
      <c r="Y51" s="2077"/>
    </row>
    <row r="52" spans="3:45" customFormat="1" x14ac:dyDescent="0.25"/>
    <row r="53" spans="3:45" s="1431" customFormat="1" x14ac:dyDescent="0.25">
      <c r="C53" s="1435" t="s">
        <v>5380</v>
      </c>
      <c r="D53" s="1436"/>
      <c r="AO53"/>
    </row>
    <row r="54" spans="3:45" s="1431" customFormat="1" x14ac:dyDescent="0.25">
      <c r="D54" s="1806" t="s">
        <v>5381</v>
      </c>
      <c r="E54" s="1806"/>
      <c r="F54" s="1806"/>
      <c r="G54" s="1806"/>
      <c r="H54" s="1806"/>
      <c r="I54" s="1806"/>
      <c r="J54" s="1806"/>
      <c r="K54" s="1806"/>
      <c r="L54" s="1806"/>
      <c r="M54" s="1806"/>
      <c r="P54" s="1441" t="b">
        <v>1</v>
      </c>
      <c r="Q54" s="1441" t="b">
        <v>1</v>
      </c>
      <c r="R54" s="1452" t="b">
        <f>R14</f>
        <v>0</v>
      </c>
      <c r="S54" s="1441" t="b">
        <f>NOT(W55=TRUE)</f>
        <v>1</v>
      </c>
      <c r="T54" s="1441" t="b">
        <v>0</v>
      </c>
      <c r="W54" s="25"/>
      <c r="X54" s="1442"/>
      <c r="Y54" s="1472" t="str">
        <f>IF(LEN('Badges (Design)'!X54)=0,"None",'Badges (Design)'!X54)</f>
        <v>None</v>
      </c>
      <c r="AC54" s="1452" t="b">
        <f>OR(AD54:AE54)</f>
        <v>0</v>
      </c>
      <c r="AD54" s="1452" t="b">
        <f>T54</f>
        <v>0</v>
      </c>
      <c r="AE54" s="1452" t="b">
        <f>AND(R54=TRUE,LEN(W54)=0)</f>
        <v>0</v>
      </c>
      <c r="AF54" s="1452" t="b">
        <f>AND(AE54,NOT(Q54))</f>
        <v>0</v>
      </c>
      <c r="AO54"/>
      <c r="AP54" s="1461" t="s">
        <v>5520</v>
      </c>
      <c r="AQ54" s="254" t="str">
        <f>IF(LEN(W54)=0,"",W54)</f>
        <v/>
      </c>
      <c r="AR54" s="1461" t="s">
        <v>5556</v>
      </c>
      <c r="AS54" s="254" t="str">
        <f>IF(LEN(X54)=0,"",X54)</f>
        <v/>
      </c>
    </row>
    <row r="55" spans="3:45" s="1431" customFormat="1" x14ac:dyDescent="0.25">
      <c r="D55" s="1806" t="s">
        <v>5382</v>
      </c>
      <c r="E55" s="1806"/>
      <c r="F55" s="1806"/>
      <c r="G55" s="1806"/>
      <c r="H55" s="1806"/>
      <c r="I55" s="1806"/>
      <c r="J55" s="1806"/>
      <c r="K55" s="1806"/>
      <c r="L55" s="1806"/>
      <c r="M55" s="1806"/>
      <c r="P55" s="1441" t="b">
        <v>1</v>
      </c>
      <c r="Q55" s="1441" t="b">
        <v>1</v>
      </c>
      <c r="R55" s="1452" t="b">
        <f>R14</f>
        <v>0</v>
      </c>
      <c r="S55" s="1452" t="b">
        <f>NOT(W54=TRUE)</f>
        <v>1</v>
      </c>
      <c r="T55" s="1441" t="b">
        <v>0</v>
      </c>
      <c r="W55" s="25"/>
      <c r="X55" s="1442"/>
      <c r="Y55" s="1472" t="str">
        <f>IF(LEN('Badges (Design)'!X55)=0,"None",'Badges (Design)'!X55)</f>
        <v>None</v>
      </c>
      <c r="AC55" s="1452" t="b">
        <f>OR(AD55:AE55)</f>
        <v>0</v>
      </c>
      <c r="AD55" s="1452" t="b">
        <f>T55</f>
        <v>0</v>
      </c>
      <c r="AE55" s="1452" t="b">
        <f>AND(R55=TRUE,LEN(W55)=0)</f>
        <v>0</v>
      </c>
      <c r="AF55" s="1452" t="b">
        <f>AND(AE55,NOT(Q55))</f>
        <v>0</v>
      </c>
      <c r="AO55"/>
      <c r="AP55" s="1461" t="s">
        <v>5521</v>
      </c>
      <c r="AQ55" s="254" t="str">
        <f>IF(LEN(W55)=0,"",W55)</f>
        <v/>
      </c>
      <c r="AR55" s="1461" t="s">
        <v>5557</v>
      </c>
      <c r="AS55" s="254" t="str">
        <f>IF(LEN(X55)=0,"",X55)</f>
        <v/>
      </c>
    </row>
    <row r="56" spans="3:45" customFormat="1" x14ac:dyDescent="0.25"/>
    <row r="57" spans="3:45" s="1431" customFormat="1" x14ac:dyDescent="0.25">
      <c r="C57" s="1435" t="s">
        <v>5383</v>
      </c>
      <c r="D57" s="1436"/>
      <c r="AO57"/>
    </row>
    <row r="58" spans="3:45" s="1431" customFormat="1" x14ac:dyDescent="0.25">
      <c r="D58" s="1806" t="s">
        <v>5406</v>
      </c>
      <c r="E58" s="1806"/>
      <c r="F58" s="1806"/>
      <c r="G58" s="1806"/>
      <c r="H58" s="1806"/>
      <c r="I58" s="1806"/>
      <c r="J58" s="1806"/>
      <c r="K58" s="1806"/>
      <c r="L58" s="1806"/>
      <c r="M58" s="1806"/>
      <c r="P58" s="1441"/>
      <c r="Q58" s="1441"/>
      <c r="R58" s="1452" t="b">
        <f>R14</f>
        <v>0</v>
      </c>
      <c r="S58" s="1441"/>
      <c r="T58" s="1441"/>
      <c r="W58"/>
      <c r="X58" s="1757"/>
      <c r="Y58" s="2077" t="str">
        <f>IF(LEN('Badges (Design)'!X58)=0,"None",'Badges (Design)'!X58)</f>
        <v>None</v>
      </c>
      <c r="AC58" s="1452" t="b">
        <f>OR(AD58:AE58)</f>
        <v>0</v>
      </c>
      <c r="AD58" s="1452"/>
      <c r="AE58" s="1452" t="b">
        <f>AND(R58=TRUE,LEN(X58)=0)</f>
        <v>0</v>
      </c>
      <c r="AF58" s="1452" t="b">
        <f>AND(AE58,NOT(Q58))</f>
        <v>0</v>
      </c>
      <c r="AO58"/>
      <c r="AR58" s="1461" t="s">
        <v>5558</v>
      </c>
      <c r="AS58" s="254" t="str">
        <f>IF(LEN(X58)=0,"",X58)</f>
        <v/>
      </c>
    </row>
    <row r="59" spans="3:45" customFormat="1" x14ac:dyDescent="0.25">
      <c r="X59" s="1757"/>
      <c r="Y59" s="2077"/>
    </row>
    <row r="60" spans="3:45" customFormat="1" x14ac:dyDescent="0.25"/>
    <row r="61" spans="3:45" s="1431" customFormat="1" x14ac:dyDescent="0.25">
      <c r="AO61"/>
    </row>
    <row r="62" spans="3:45" s="1431" customFormat="1" x14ac:dyDescent="0.25">
      <c r="C62" s="1435" t="s">
        <v>5385</v>
      </c>
      <c r="D62" s="1436"/>
      <c r="AO62"/>
    </row>
    <row r="63" spans="3:45" s="1431" customFormat="1" ht="15" customHeight="1" x14ac:dyDescent="0.25">
      <c r="D63" s="1847" t="s">
        <v>5386</v>
      </c>
      <c r="E63" s="1847"/>
      <c r="F63" s="1847"/>
      <c r="G63" s="1847"/>
      <c r="H63" s="1847"/>
      <c r="I63" s="1847"/>
      <c r="J63" s="1847"/>
      <c r="K63" s="1847"/>
      <c r="L63" s="1847"/>
      <c r="M63" s="1847"/>
      <c r="N63" s="1434"/>
      <c r="O63" s="1434"/>
      <c r="AO63"/>
    </row>
    <row r="64" spans="3:45" s="1431" customFormat="1" x14ac:dyDescent="0.25">
      <c r="D64" s="1847"/>
      <c r="E64" s="1847"/>
      <c r="F64" s="1847"/>
      <c r="G64" s="1847"/>
      <c r="H64" s="1847"/>
      <c r="I64" s="1847"/>
      <c r="J64" s="1847"/>
      <c r="K64" s="1847"/>
      <c r="L64" s="1847"/>
      <c r="M64" s="1847"/>
      <c r="N64" s="1434"/>
      <c r="O64" s="1434"/>
      <c r="AO64"/>
    </row>
    <row r="65" spans="4:45" s="1431" customFormat="1" x14ac:dyDescent="0.25">
      <c r="D65" s="1847"/>
      <c r="E65" s="1847"/>
      <c r="F65" s="1847"/>
      <c r="G65" s="1847"/>
      <c r="H65" s="1847"/>
      <c r="I65" s="1847"/>
      <c r="J65" s="1847"/>
      <c r="K65" s="1847"/>
      <c r="L65" s="1847"/>
      <c r="M65" s="1847"/>
      <c r="AO65"/>
    </row>
    <row r="66" spans="4:45" s="1431" customFormat="1" x14ac:dyDescent="0.25">
      <c r="D66" s="2002" t="s">
        <v>5387</v>
      </c>
      <c r="E66" s="2002"/>
      <c r="F66" s="2002"/>
      <c r="G66" s="2002"/>
      <c r="H66" s="2002"/>
      <c r="I66" s="2002"/>
      <c r="J66" s="2002"/>
      <c r="K66" s="2002"/>
      <c r="L66" s="2002"/>
      <c r="M66" s="2002"/>
      <c r="X66" s="1757"/>
      <c r="Y66" s="2077" t="str">
        <f>IF(LEN('Badges (Design)'!X66)=0,"None",'Badges (Design)'!X66)</f>
        <v>None</v>
      </c>
      <c r="AO66"/>
      <c r="AR66" s="1461" t="s">
        <v>5559</v>
      </c>
      <c r="AS66" s="254" t="str">
        <f>IF(LEN(X66)=0,"",X66)</f>
        <v/>
      </c>
    </row>
    <row r="67" spans="4:45" s="1431" customFormat="1" x14ac:dyDescent="0.25">
      <c r="D67" s="2002"/>
      <c r="E67" s="2002"/>
      <c r="F67" s="2002"/>
      <c r="G67" s="2002"/>
      <c r="H67" s="2002"/>
      <c r="I67" s="2002"/>
      <c r="J67" s="2002"/>
      <c r="K67" s="2002"/>
      <c r="L67" s="2002"/>
      <c r="M67" s="2002"/>
      <c r="X67" s="1757"/>
      <c r="Y67" s="2077"/>
      <c r="AO67"/>
    </row>
    <row r="68" spans="4:45" customFormat="1" ht="15" customHeight="1" x14ac:dyDescent="0.25">
      <c r="D68" s="2003" t="s">
        <v>5748</v>
      </c>
      <c r="E68" s="2003"/>
      <c r="F68" s="2003"/>
      <c r="G68" s="2003"/>
      <c r="H68" s="2003"/>
      <c r="I68" s="2003"/>
      <c r="J68" s="2003"/>
      <c r="K68" s="2003"/>
      <c r="L68" s="2003"/>
      <c r="M68" s="2003"/>
      <c r="N68" s="1667"/>
      <c r="O68" s="1667"/>
      <c r="P68" s="1667"/>
      <c r="Q68" s="1667"/>
      <c r="R68" s="1667"/>
      <c r="S68" s="1667"/>
      <c r="T68" s="1667"/>
    </row>
    <row r="69" spans="4:45" customFormat="1" ht="15" customHeight="1" x14ac:dyDescent="0.25">
      <c r="D69" s="1806" t="s">
        <v>5757</v>
      </c>
      <c r="E69" s="1806"/>
      <c r="F69" s="1806"/>
      <c r="G69" s="1806"/>
      <c r="H69" s="1806"/>
      <c r="I69" s="1806"/>
      <c r="J69" s="1806"/>
      <c r="K69" s="1806"/>
      <c r="L69" s="1806"/>
      <c r="M69" s="1806"/>
      <c r="N69" s="1667"/>
      <c r="O69" s="1667"/>
      <c r="P69" s="1667" t="b">
        <v>1</v>
      </c>
      <c r="Q69" s="1667" t="b">
        <v>1</v>
      </c>
      <c r="R69" s="1667" t="b">
        <v>0</v>
      </c>
      <c r="S69" s="1667" t="b">
        <v>1</v>
      </c>
      <c r="T69" s="1667" t="b">
        <v>0</v>
      </c>
      <c r="W69" s="856"/>
      <c r="X69" s="1757"/>
      <c r="Y69" s="2077" t="str">
        <f>IF(LEN('Badges (Design)'!X69)=0,"None",'Badges (Design)'!X69)</f>
        <v>None</v>
      </c>
      <c r="AP69" s="1667" t="s">
        <v>5783</v>
      </c>
      <c r="AQ69" s="254" t="str">
        <f>IF(LEN(W69)=0,"",W69)</f>
        <v/>
      </c>
      <c r="AR69" s="1667" t="s">
        <v>5794</v>
      </c>
      <c r="AS69" s="254" t="str">
        <f>IF(LEN(X69)=0,"",X69)</f>
        <v/>
      </c>
    </row>
    <row r="70" spans="4:45" customFormat="1" ht="15" customHeight="1" x14ac:dyDescent="0.25">
      <c r="D70" s="1806" t="s">
        <v>5759</v>
      </c>
      <c r="E70" s="1806"/>
      <c r="F70" s="1806"/>
      <c r="G70" s="1806"/>
      <c r="H70" s="1806"/>
      <c r="I70" s="1806"/>
      <c r="J70" s="1806"/>
      <c r="K70" s="1806"/>
      <c r="L70" s="1806"/>
      <c r="M70" s="1806"/>
      <c r="N70" s="1667"/>
      <c r="O70" s="1667"/>
      <c r="P70" s="1667" t="b">
        <v>1</v>
      </c>
      <c r="Q70" s="1667" t="b">
        <v>1</v>
      </c>
      <c r="R70" s="1667" t="b">
        <v>0</v>
      </c>
      <c r="S70" s="1667" t="b">
        <v>1</v>
      </c>
      <c r="T70" s="1667" t="b">
        <v>0</v>
      </c>
      <c r="W70" s="1672"/>
      <c r="X70" s="1757"/>
      <c r="Y70" s="2077"/>
      <c r="AP70" s="1667" t="s">
        <v>5784</v>
      </c>
      <c r="AQ70" s="254" t="str">
        <f t="shared" ref="AQ70:AQ73" si="6">IF(LEN(W70)=0,"",W70)</f>
        <v/>
      </c>
    </row>
    <row r="71" spans="4:45" customFormat="1" ht="15" customHeight="1" x14ac:dyDescent="0.25">
      <c r="D71" s="2007" t="s">
        <v>5760</v>
      </c>
      <c r="E71" s="2008"/>
      <c r="F71" s="2008"/>
      <c r="G71" s="2008"/>
      <c r="H71" s="2008"/>
      <c r="I71" s="2008"/>
      <c r="J71" s="2008"/>
      <c r="K71" s="2008"/>
      <c r="L71" s="2008"/>
      <c r="M71" s="2009"/>
      <c r="N71" s="1667"/>
      <c r="O71" s="1667"/>
      <c r="P71" s="1667" t="b">
        <v>1</v>
      </c>
      <c r="Q71" s="1667" t="b">
        <v>1</v>
      </c>
      <c r="R71" s="1667" t="b">
        <v>0</v>
      </c>
      <c r="S71" s="1667" t="b">
        <v>1</v>
      </c>
      <c r="T71" s="1667" t="b">
        <v>0</v>
      </c>
      <c r="W71" s="1008"/>
      <c r="X71" s="1757"/>
      <c r="Y71" s="2077"/>
      <c r="AP71" s="1667" t="s">
        <v>5785</v>
      </c>
      <c r="AQ71" s="254" t="str">
        <f t="shared" si="6"/>
        <v/>
      </c>
    </row>
    <row r="72" spans="4:45" customFormat="1" ht="15" customHeight="1" x14ac:dyDescent="0.25">
      <c r="D72" s="1806" t="s">
        <v>5749</v>
      </c>
      <c r="E72" s="1806"/>
      <c r="F72" s="1806"/>
      <c r="G72" s="1806"/>
      <c r="H72" s="1806"/>
      <c r="I72" s="1806"/>
      <c r="J72" s="1806"/>
      <c r="K72" s="1806"/>
      <c r="L72" s="1806"/>
      <c r="M72" s="1806"/>
      <c r="N72" s="1667"/>
      <c r="O72" s="1667"/>
      <c r="P72" s="1667" t="b">
        <v>1</v>
      </c>
      <c r="Q72" s="1667" t="b">
        <v>1</v>
      </c>
      <c r="R72" s="1667" t="b">
        <v>0</v>
      </c>
      <c r="S72" s="1667" t="b">
        <v>1</v>
      </c>
      <c r="T72" s="1667" t="b">
        <v>0</v>
      </c>
      <c r="W72" s="1671"/>
      <c r="X72" s="1757"/>
      <c r="Y72" s="2077"/>
      <c r="AP72" s="1667" t="s">
        <v>5786</v>
      </c>
      <c r="AQ72" s="254" t="str">
        <f t="shared" si="6"/>
        <v/>
      </c>
    </row>
    <row r="73" spans="4:45" customFormat="1" ht="15" customHeight="1" x14ac:dyDescent="0.25">
      <c r="D73" s="1806" t="s">
        <v>5750</v>
      </c>
      <c r="E73" s="1806"/>
      <c r="F73" s="1806"/>
      <c r="G73" s="1806"/>
      <c r="H73" s="1806"/>
      <c r="I73" s="1806"/>
      <c r="J73" s="1806"/>
      <c r="K73" s="1806"/>
      <c r="L73" s="1806"/>
      <c r="M73" s="1806"/>
      <c r="N73" s="1667"/>
      <c r="O73" s="1667"/>
      <c r="P73" s="1667" t="b">
        <v>1</v>
      </c>
      <c r="Q73" s="1667" t="b">
        <v>1</v>
      </c>
      <c r="R73" s="1667" t="b">
        <v>0</v>
      </c>
      <c r="S73" s="1667" t="b">
        <v>1</v>
      </c>
      <c r="T73" s="1667" t="b">
        <v>0</v>
      </c>
      <c r="W73" s="1676"/>
      <c r="X73" s="1757"/>
      <c r="Y73" s="2077"/>
      <c r="AP73" s="1667" t="s">
        <v>5787</v>
      </c>
      <c r="AQ73" s="254" t="str">
        <f t="shared" si="6"/>
        <v/>
      </c>
    </row>
    <row r="74" spans="4:45" s="1431" customFormat="1" ht="15" customHeight="1" x14ac:dyDescent="0.25">
      <c r="D74" s="2002" t="s">
        <v>5388</v>
      </c>
      <c r="E74" s="2002"/>
      <c r="F74" s="2002"/>
      <c r="G74" s="2002"/>
      <c r="H74" s="2002"/>
      <c r="I74" s="2002"/>
      <c r="J74" s="2002"/>
      <c r="K74" s="2002"/>
      <c r="L74" s="2002"/>
      <c r="M74" s="2002"/>
      <c r="W74" s="1667"/>
      <c r="X74" s="1757"/>
      <c r="Y74" s="2077" t="str">
        <f>IF(LEN('Badges (Design)'!X74)=0,"None",'Badges (Design)'!X74)</f>
        <v>None</v>
      </c>
      <c r="AO74"/>
      <c r="AP74" s="1667"/>
      <c r="AQ74" s="1667"/>
      <c r="AR74" s="1461" t="s">
        <v>5560</v>
      </c>
      <c r="AS74" s="254" t="str">
        <f>IF(LEN(X74)=0,"",X74)</f>
        <v/>
      </c>
    </row>
    <row r="75" spans="4:45" s="1431" customFormat="1" ht="15" customHeight="1" x14ac:dyDescent="0.25">
      <c r="D75" s="2002"/>
      <c r="E75" s="2002"/>
      <c r="F75" s="2002"/>
      <c r="G75" s="2002"/>
      <c r="H75" s="2002"/>
      <c r="I75" s="2002"/>
      <c r="J75" s="2002"/>
      <c r="K75" s="2002"/>
      <c r="L75" s="2002"/>
      <c r="M75" s="2002"/>
      <c r="W75" s="1667"/>
      <c r="X75" s="1757"/>
      <c r="Y75" s="2077"/>
      <c r="AO75"/>
      <c r="AP75" s="1667"/>
      <c r="AQ75" s="1667"/>
    </row>
    <row r="76" spans="4:45" s="1431" customFormat="1" ht="15" customHeight="1" x14ac:dyDescent="0.25">
      <c r="D76" s="2002"/>
      <c r="E76" s="2002"/>
      <c r="F76" s="2002"/>
      <c r="G76" s="2002"/>
      <c r="H76" s="2002"/>
      <c r="I76" s="2002"/>
      <c r="J76" s="2002"/>
      <c r="K76" s="2002"/>
      <c r="L76" s="2002"/>
      <c r="M76" s="2002"/>
      <c r="W76" s="1667"/>
      <c r="X76" s="1757"/>
      <c r="Y76" s="2077"/>
      <c r="AO76"/>
      <c r="AP76" s="1667"/>
      <c r="AQ76" s="1667"/>
    </row>
    <row r="77" spans="4:45" s="1431" customFormat="1" ht="15" customHeight="1" x14ac:dyDescent="0.25">
      <c r="D77" s="2002" t="s">
        <v>5389</v>
      </c>
      <c r="E77" s="2002"/>
      <c r="F77" s="2002"/>
      <c r="G77" s="2002"/>
      <c r="H77" s="2002"/>
      <c r="I77" s="2002"/>
      <c r="J77" s="2002"/>
      <c r="K77" s="2002"/>
      <c r="L77" s="2002"/>
      <c r="M77" s="2002"/>
      <c r="W77" s="1667"/>
      <c r="X77" s="1757"/>
      <c r="Y77" s="2077" t="str">
        <f>IF(LEN('Badges (Design)'!X77)=0,"None",'Badges (Design)'!X77)</f>
        <v>None</v>
      </c>
      <c r="AO77"/>
      <c r="AP77" s="1667"/>
      <c r="AQ77" s="1667"/>
      <c r="AR77" s="1461" t="s">
        <v>5561</v>
      </c>
      <c r="AS77" s="254" t="str">
        <f>IF(LEN(X77)=0,"",X77)</f>
        <v/>
      </c>
    </row>
    <row r="78" spans="4:45" s="1431" customFormat="1" ht="15" customHeight="1" x14ac:dyDescent="0.25">
      <c r="D78" s="2002"/>
      <c r="E78" s="2002"/>
      <c r="F78" s="2002"/>
      <c r="G78" s="2002"/>
      <c r="H78" s="2002"/>
      <c r="I78" s="2002"/>
      <c r="J78" s="2002"/>
      <c r="K78" s="2002"/>
      <c r="L78" s="2002"/>
      <c r="M78" s="2002"/>
      <c r="W78" s="1667"/>
      <c r="X78" s="1757"/>
      <c r="Y78" s="2077"/>
      <c r="AO78"/>
      <c r="AP78" s="1667"/>
      <c r="AQ78" s="1667"/>
    </row>
    <row r="79" spans="4:45" customFormat="1" ht="15" customHeight="1" x14ac:dyDescent="0.25">
      <c r="D79" s="2004" t="s">
        <v>5751</v>
      </c>
      <c r="E79" s="2005"/>
      <c r="F79" s="2005"/>
      <c r="G79" s="2005"/>
      <c r="H79" s="2005"/>
      <c r="I79" s="2005"/>
      <c r="J79" s="2005"/>
      <c r="K79" s="2005"/>
      <c r="L79" s="2005"/>
      <c r="M79" s="2006"/>
      <c r="N79" s="1667"/>
      <c r="O79" s="1667"/>
      <c r="P79" s="1667"/>
      <c r="Q79" s="1667"/>
      <c r="R79" s="1667"/>
      <c r="S79" s="1667"/>
      <c r="T79" s="1667"/>
      <c r="W79" s="1667"/>
      <c r="AP79" s="1667"/>
      <c r="AQ79" s="1667"/>
    </row>
    <row r="80" spans="4:45" customFormat="1" ht="15" customHeight="1" x14ac:dyDescent="0.25">
      <c r="D80" s="2007" t="s">
        <v>5752</v>
      </c>
      <c r="E80" s="2008"/>
      <c r="F80" s="2008"/>
      <c r="G80" s="2008"/>
      <c r="H80" s="2008"/>
      <c r="I80" s="2008"/>
      <c r="J80" s="2008"/>
      <c r="K80" s="2008"/>
      <c r="L80" s="2008"/>
      <c r="M80" s="2009"/>
      <c r="N80" s="1667"/>
      <c r="O80" s="1667"/>
      <c r="P80" s="1667" t="b">
        <v>1</v>
      </c>
      <c r="Q80" s="1667" t="b">
        <v>1</v>
      </c>
      <c r="R80" s="1667" t="b">
        <v>0</v>
      </c>
      <c r="S80" s="1667" t="b">
        <v>1</v>
      </c>
      <c r="T80" s="1667" t="b">
        <v>0</v>
      </c>
      <c r="W80" s="1673"/>
      <c r="X80" s="1757"/>
      <c r="Y80" s="2077" t="str">
        <f>IF(LEN('Badges (Design)'!X80)=0,"None",'Badges (Design)'!X80)</f>
        <v>None</v>
      </c>
      <c r="AP80" s="1667" t="s">
        <v>5788</v>
      </c>
      <c r="AQ80" s="254" t="str">
        <f>IF(LEN(W80)=0,"",W80)</f>
        <v/>
      </c>
      <c r="AR80" s="1667" t="s">
        <v>5795</v>
      </c>
      <c r="AS80" s="254" t="str">
        <f>IF(LEN(X80)=0,"",X80)</f>
        <v/>
      </c>
    </row>
    <row r="81" spans="2:59" customFormat="1" ht="15" customHeight="1" x14ac:dyDescent="0.25">
      <c r="D81" s="2007" t="s">
        <v>5753</v>
      </c>
      <c r="E81" s="2008"/>
      <c r="F81" s="2008"/>
      <c r="G81" s="2008"/>
      <c r="H81" s="2008"/>
      <c r="I81" s="2008"/>
      <c r="J81" s="2008"/>
      <c r="K81" s="2008"/>
      <c r="L81" s="2008"/>
      <c r="M81" s="2009"/>
      <c r="N81" s="1667"/>
      <c r="O81" s="1667"/>
      <c r="P81" s="1667" t="b">
        <v>1</v>
      </c>
      <c r="Q81" s="1667" t="b">
        <v>1</v>
      </c>
      <c r="R81" s="1667" t="b">
        <v>0</v>
      </c>
      <c r="S81" s="1667" t="b">
        <v>1</v>
      </c>
      <c r="T81" s="1667" t="b">
        <v>0</v>
      </c>
      <c r="W81" s="1674"/>
      <c r="X81" s="1757"/>
      <c r="Y81" s="2077"/>
      <c r="AP81" s="1667" t="s">
        <v>5789</v>
      </c>
      <c r="AQ81" s="254" t="str">
        <f t="shared" ref="AQ81:AQ85" si="7">IF(LEN(W81)=0,"",W81)</f>
        <v/>
      </c>
    </row>
    <row r="82" spans="2:59" customFormat="1" ht="15" customHeight="1" x14ac:dyDescent="0.25">
      <c r="D82" s="2007" t="s">
        <v>5754</v>
      </c>
      <c r="E82" s="2008"/>
      <c r="F82" s="2008"/>
      <c r="G82" s="2008"/>
      <c r="H82" s="2008"/>
      <c r="I82" s="2008"/>
      <c r="J82" s="2008"/>
      <c r="K82" s="2008"/>
      <c r="L82" s="2008"/>
      <c r="M82" s="2009"/>
      <c r="N82" s="1667"/>
      <c r="O82" s="1667"/>
      <c r="P82" s="1667" t="b">
        <v>1</v>
      </c>
      <c r="Q82" s="1667" t="b">
        <v>1</v>
      </c>
      <c r="R82" s="1667" t="b">
        <v>0</v>
      </c>
      <c r="S82" s="1667" t="b">
        <v>1</v>
      </c>
      <c r="T82" s="1667" t="b">
        <v>0</v>
      </c>
      <c r="W82" s="1674"/>
      <c r="X82" s="1757"/>
      <c r="Y82" s="2077"/>
      <c r="AP82" s="1667" t="s">
        <v>5790</v>
      </c>
      <c r="AQ82" s="254" t="str">
        <f t="shared" si="7"/>
        <v/>
      </c>
    </row>
    <row r="83" spans="2:59" customFormat="1" ht="15" customHeight="1" x14ac:dyDescent="0.25">
      <c r="D83" s="2007" t="s">
        <v>5758</v>
      </c>
      <c r="E83" s="2008"/>
      <c r="F83" s="2008"/>
      <c r="G83" s="2008"/>
      <c r="H83" s="2008"/>
      <c r="I83" s="2008"/>
      <c r="J83" s="2008"/>
      <c r="K83" s="2008"/>
      <c r="L83" s="2008"/>
      <c r="M83" s="2009"/>
      <c r="N83" s="1667"/>
      <c r="O83" s="1667"/>
      <c r="P83" s="1667" t="b">
        <v>1</v>
      </c>
      <c r="Q83" s="1667" t="b">
        <v>1</v>
      </c>
      <c r="R83" s="1667" t="b">
        <v>0</v>
      </c>
      <c r="S83" s="1667" t="b">
        <v>1</v>
      </c>
      <c r="T83" s="1667" t="b">
        <v>0</v>
      </c>
      <c r="W83" s="1675"/>
      <c r="X83" s="1757"/>
      <c r="Y83" s="2077"/>
      <c r="AP83" s="1667" t="s">
        <v>5791</v>
      </c>
      <c r="AQ83" s="254" t="str">
        <f t="shared" si="7"/>
        <v/>
      </c>
    </row>
    <row r="84" spans="2:59" customFormat="1" ht="15" customHeight="1" x14ac:dyDescent="0.25">
      <c r="D84" s="2007" t="s">
        <v>5755</v>
      </c>
      <c r="E84" s="2008"/>
      <c r="F84" s="2008"/>
      <c r="G84" s="2008"/>
      <c r="H84" s="2008"/>
      <c r="I84" s="2008"/>
      <c r="J84" s="2008"/>
      <c r="K84" s="2008"/>
      <c r="L84" s="2008"/>
      <c r="M84" s="2009"/>
      <c r="N84" s="1667"/>
      <c r="O84" s="1667"/>
      <c r="P84" s="1667" t="b">
        <v>1</v>
      </c>
      <c r="Q84" s="1667" t="b">
        <v>1</v>
      </c>
      <c r="R84" s="1667" t="b">
        <v>0</v>
      </c>
      <c r="S84" s="1667" t="b">
        <v>1</v>
      </c>
      <c r="T84" s="1667" t="b">
        <v>0</v>
      </c>
      <c r="W84" s="1454"/>
      <c r="X84" s="1757"/>
      <c r="Y84" s="2077"/>
      <c r="AP84" s="1667" t="s">
        <v>5792</v>
      </c>
      <c r="AQ84" s="254" t="str">
        <f t="shared" si="7"/>
        <v/>
      </c>
    </row>
    <row r="85" spans="2:59" customFormat="1" x14ac:dyDescent="0.25">
      <c r="D85" s="2007" t="s">
        <v>5756</v>
      </c>
      <c r="E85" s="2008"/>
      <c r="F85" s="2008"/>
      <c r="G85" s="2008"/>
      <c r="H85" s="2008"/>
      <c r="I85" s="2008"/>
      <c r="J85" s="2008"/>
      <c r="K85" s="2008"/>
      <c r="L85" s="2008"/>
      <c r="M85" s="2009"/>
      <c r="N85" s="1667"/>
      <c r="O85" s="1667"/>
      <c r="P85" s="1667" t="b">
        <v>1</v>
      </c>
      <c r="Q85" s="1667" t="b">
        <v>1</v>
      </c>
      <c r="R85" s="1667" t="b">
        <v>0</v>
      </c>
      <c r="S85" s="1667" t="b">
        <v>1</v>
      </c>
      <c r="T85" s="1667" t="b">
        <v>0</v>
      </c>
      <c r="W85" s="1008"/>
      <c r="X85" s="1757"/>
      <c r="Y85" s="2077"/>
      <c r="AP85" s="1667" t="s">
        <v>5793</v>
      </c>
      <c r="AQ85" s="254" t="str">
        <f t="shared" si="7"/>
        <v/>
      </c>
    </row>
    <row r="86" spans="2:59" s="1431" customFormat="1" x14ac:dyDescent="0.25">
      <c r="AO86"/>
    </row>
    <row r="87" spans="2:59" s="1431" customFormat="1" x14ac:dyDescent="0.25">
      <c r="B87"/>
      <c r="C87"/>
      <c r="D87"/>
      <c r="E87"/>
      <c r="F87"/>
      <c r="G87"/>
      <c r="H87"/>
      <c r="I87"/>
      <c r="J87"/>
      <c r="K87"/>
      <c r="L87"/>
      <c r="M87"/>
      <c r="AO87"/>
    </row>
    <row r="88" spans="2:59" x14ac:dyDescent="0.25">
      <c r="B88"/>
      <c r="C88"/>
      <c r="D88"/>
      <c r="E88"/>
      <c r="F88"/>
      <c r="G88"/>
      <c r="H88"/>
      <c r="I88"/>
      <c r="J88"/>
      <c r="K88"/>
      <c r="L88"/>
      <c r="M88"/>
      <c r="N88"/>
      <c r="O88"/>
      <c r="P88"/>
      <c r="Q88"/>
      <c r="R88"/>
      <c r="S88"/>
      <c r="T88"/>
      <c r="U88"/>
      <c r="V88"/>
      <c r="W88"/>
      <c r="X88"/>
      <c r="Y88"/>
      <c r="AO88"/>
      <c r="AP88"/>
      <c r="AQ88"/>
      <c r="AR88"/>
      <c r="AS88"/>
      <c r="AT88"/>
      <c r="AU88"/>
      <c r="AV88"/>
      <c r="AW88"/>
      <c r="AX88"/>
      <c r="AY88"/>
      <c r="AZ88"/>
      <c r="BA88"/>
      <c r="BB88"/>
      <c r="BC88"/>
      <c r="BD88"/>
      <c r="BE88"/>
      <c r="BF88"/>
      <c r="BG88"/>
    </row>
    <row r="89" spans="2:59" ht="15" customHeight="1" x14ac:dyDescent="0.25">
      <c r="B89" s="1985" t="s">
        <v>5248</v>
      </c>
      <c r="C89" s="1985"/>
      <c r="D89" s="1985"/>
      <c r="E89" s="94"/>
      <c r="F89" s="113"/>
      <c r="G89" s="1997" t="str">
        <f ca="1">IF(AND(W110=TRUE,W97="Met",W106="Met"),"Earned","Not Earned")</f>
        <v>Not Earned</v>
      </c>
      <c r="H89" s="1997"/>
      <c r="I89" s="1997"/>
      <c r="J89" s="1997"/>
      <c r="K89" s="1997"/>
      <c r="L89" s="1997"/>
      <c r="M89" s="1997"/>
      <c r="N89" s="1997"/>
      <c r="O89" s="1998"/>
      <c r="P89" s="94"/>
      <c r="Q89" s="94"/>
      <c r="R89" s="94"/>
      <c r="S89" s="94"/>
      <c r="T89" s="94"/>
      <c r="U89" s="94"/>
      <c r="V89" s="94"/>
      <c r="W89" s="94"/>
      <c r="X89" s="94"/>
      <c r="Y89" s="94"/>
      <c r="AO89"/>
      <c r="AP89"/>
      <c r="AQ89"/>
      <c r="AR89"/>
      <c r="AS89"/>
      <c r="AT89"/>
      <c r="AU89"/>
      <c r="AV89"/>
      <c r="AW89"/>
      <c r="AX89"/>
      <c r="AY89"/>
      <c r="AZ89"/>
      <c r="BA89"/>
      <c r="BB89"/>
      <c r="BC89"/>
      <c r="BD89"/>
      <c r="BE89"/>
      <c r="BF89"/>
      <c r="BG89"/>
    </row>
    <row r="90" spans="2:59" ht="15.75" customHeight="1" thickBot="1" x14ac:dyDescent="0.3">
      <c r="B90" s="1986"/>
      <c r="C90" s="1986"/>
      <c r="D90" s="1986"/>
      <c r="E90" s="99"/>
      <c r="F90" s="1449"/>
      <c r="G90" s="1999"/>
      <c r="H90" s="1999"/>
      <c r="I90" s="1999"/>
      <c r="J90" s="1999"/>
      <c r="K90" s="1999"/>
      <c r="L90" s="1999"/>
      <c r="M90" s="1999"/>
      <c r="N90" s="1999"/>
      <c r="O90" s="2000"/>
      <c r="P90" s="99"/>
      <c r="Q90" s="99"/>
      <c r="R90" s="99"/>
      <c r="S90" s="99"/>
      <c r="T90" s="99"/>
      <c r="U90" s="99"/>
      <c r="V90" s="99"/>
      <c r="W90" s="99"/>
      <c r="X90" s="99"/>
      <c r="Y90" s="99"/>
      <c r="AA90"/>
      <c r="AB90"/>
      <c r="AC90"/>
      <c r="AO90"/>
      <c r="AP90"/>
      <c r="AQ90"/>
      <c r="AR90"/>
      <c r="AS90"/>
      <c r="AT90"/>
      <c r="AU90"/>
      <c r="AV90"/>
      <c r="AW90"/>
      <c r="AX90"/>
      <c r="AY90"/>
      <c r="AZ90"/>
      <c r="BA90"/>
      <c r="BB90"/>
      <c r="BC90"/>
      <c r="BD90"/>
      <c r="BE90"/>
      <c r="BF90"/>
      <c r="BG90"/>
    </row>
    <row r="91" spans="2:59" ht="15.75" thickTop="1" x14ac:dyDescent="0.25">
      <c r="B91"/>
      <c r="C91"/>
      <c r="E91"/>
      <c r="F91"/>
      <c r="G91"/>
      <c r="H91"/>
      <c r="I91"/>
      <c r="J91"/>
      <c r="K91"/>
      <c r="L91"/>
      <c r="M91"/>
      <c r="N91"/>
      <c r="O91"/>
      <c r="P91"/>
      <c r="Q91"/>
      <c r="R91"/>
      <c r="S91"/>
      <c r="T91"/>
      <c r="U91"/>
      <c r="V91"/>
      <c r="W91"/>
      <c r="X91"/>
      <c r="Y91"/>
      <c r="AA91"/>
      <c r="AB91"/>
      <c r="AC91"/>
      <c r="AO91"/>
      <c r="AP91"/>
      <c r="AQ91"/>
      <c r="AR91"/>
      <c r="AS91"/>
      <c r="AT91"/>
      <c r="AU91"/>
      <c r="AV91"/>
      <c r="AW91"/>
      <c r="AX91"/>
      <c r="AY91"/>
      <c r="AZ91"/>
      <c r="BA91"/>
      <c r="BB91"/>
      <c r="BC91"/>
      <c r="BD91"/>
      <c r="BE91"/>
      <c r="BF91"/>
      <c r="BG91"/>
    </row>
    <row r="92" spans="2:59" x14ac:dyDescent="0.25">
      <c r="E92"/>
      <c r="F92"/>
      <c r="G92"/>
      <c r="H92"/>
      <c r="I92"/>
      <c r="J92"/>
      <c r="K92"/>
      <c r="L92"/>
      <c r="M92"/>
      <c r="N92"/>
      <c r="O92"/>
      <c r="P92"/>
      <c r="Q92"/>
      <c r="R92"/>
      <c r="S92"/>
      <c r="T92"/>
      <c r="U92"/>
      <c r="V92"/>
      <c r="W92"/>
      <c r="X92"/>
      <c r="Y92"/>
      <c r="AA92"/>
      <c r="AB92"/>
      <c r="AC92"/>
      <c r="AO92"/>
      <c r="AP92"/>
      <c r="AQ92"/>
      <c r="AR92"/>
      <c r="AS92"/>
      <c r="AT92"/>
      <c r="AU92"/>
      <c r="AV92"/>
      <c r="AW92"/>
      <c r="AX92"/>
      <c r="AY92"/>
      <c r="AZ92"/>
      <c r="BA92"/>
      <c r="BB92"/>
      <c r="BC92"/>
      <c r="BD92"/>
      <c r="BE92"/>
      <c r="BF92"/>
      <c r="BG92"/>
    </row>
    <row r="93" spans="2:59" x14ac:dyDescent="0.25">
      <c r="C93" s="1425" t="s">
        <v>5254</v>
      </c>
      <c r="D93" s="1427"/>
      <c r="E93" s="1427"/>
      <c r="F93" s="1427"/>
      <c r="G93" s="1427"/>
      <c r="H93" s="1427"/>
      <c r="I93" s="1427"/>
      <c r="J93" s="1427"/>
      <c r="K93" s="1427"/>
      <c r="L93" s="1427"/>
      <c r="P93"/>
      <c r="Q93"/>
      <c r="R93"/>
      <c r="S93"/>
      <c r="T93"/>
      <c r="U93"/>
      <c r="V93"/>
      <c r="W93"/>
      <c r="X93"/>
      <c r="Y93"/>
      <c r="AA93"/>
      <c r="AB93"/>
      <c r="AC93"/>
      <c r="AO93"/>
      <c r="AP93"/>
      <c r="AQ93"/>
      <c r="AR93"/>
      <c r="AS93"/>
      <c r="AT93"/>
      <c r="AU93"/>
      <c r="AV93"/>
      <c r="AW93"/>
      <c r="AX93"/>
      <c r="AY93"/>
      <c r="AZ93"/>
      <c r="BA93"/>
      <c r="BB93"/>
      <c r="BC93"/>
      <c r="BD93"/>
      <c r="BE93"/>
      <c r="BF93"/>
      <c r="BG93"/>
    </row>
    <row r="94" spans="2:59" x14ac:dyDescent="0.25">
      <c r="C94" s="1445" t="s">
        <v>5255</v>
      </c>
      <c r="D94" s="1427"/>
      <c r="E94" s="1427"/>
      <c r="F94" s="1427"/>
      <c r="G94" s="1427"/>
      <c r="H94" s="1427"/>
      <c r="I94" s="1427"/>
      <c r="J94" s="1427"/>
      <c r="K94" s="1427"/>
      <c r="L94" s="1427"/>
      <c r="P94"/>
      <c r="Q94"/>
      <c r="R94"/>
      <c r="S94"/>
      <c r="T94"/>
      <c r="U94"/>
      <c r="V94"/>
      <c r="W94"/>
      <c r="X94"/>
      <c r="Y94"/>
      <c r="AA94"/>
      <c r="AB94"/>
      <c r="AC94"/>
      <c r="AO94"/>
      <c r="AP94"/>
      <c r="AQ94"/>
      <c r="AR94"/>
      <c r="AS94"/>
      <c r="AT94"/>
      <c r="AU94"/>
      <c r="AV94"/>
      <c r="AW94"/>
      <c r="AX94"/>
      <c r="AY94"/>
      <c r="AZ94"/>
      <c r="BA94"/>
      <c r="BB94"/>
      <c r="BC94"/>
      <c r="BD94"/>
      <c r="BE94"/>
      <c r="BF94"/>
      <c r="BG94"/>
    </row>
    <row r="95" spans="2:59" x14ac:dyDescent="0.25">
      <c r="C95" s="1427"/>
      <c r="D95" s="1427" t="s">
        <v>5390</v>
      </c>
      <c r="E95" s="1427"/>
      <c r="F95" s="1427"/>
      <c r="G95" s="1427"/>
      <c r="H95" s="1427"/>
      <c r="I95" s="1427"/>
      <c r="J95" s="1427"/>
      <c r="K95" s="1427"/>
      <c r="L95" s="1427"/>
      <c r="P95"/>
      <c r="Q95"/>
      <c r="R95"/>
      <c r="S95"/>
      <c r="T95"/>
      <c r="U95"/>
      <c r="V95"/>
      <c r="W95"/>
      <c r="X95"/>
      <c r="Y95"/>
      <c r="AA95"/>
      <c r="AB95"/>
      <c r="AC95"/>
      <c r="AO95"/>
      <c r="AP95"/>
      <c r="AQ95"/>
      <c r="AR95"/>
      <c r="AS95"/>
      <c r="AT95"/>
      <c r="AU95"/>
      <c r="AV95"/>
      <c r="AW95"/>
      <c r="AX95"/>
      <c r="AY95"/>
      <c r="AZ95"/>
      <c r="BA95"/>
      <c r="BB95"/>
      <c r="BC95"/>
      <c r="BD95"/>
      <c r="BE95"/>
      <c r="BF95"/>
      <c r="BG95"/>
    </row>
    <row r="96" spans="2:59" x14ac:dyDescent="0.25">
      <c r="C96" s="1445" t="s">
        <v>5407</v>
      </c>
      <c r="D96" s="1427"/>
      <c r="E96" s="1427"/>
      <c r="F96" s="1427"/>
      <c r="G96" s="1427"/>
      <c r="H96" s="1427"/>
      <c r="I96" s="1427"/>
      <c r="J96" s="1427"/>
      <c r="K96" s="1427"/>
      <c r="L96" s="1427"/>
      <c r="P96"/>
      <c r="Q96"/>
      <c r="R96"/>
      <c r="S96"/>
      <c r="T96"/>
      <c r="U96"/>
      <c r="V96"/>
      <c r="W96"/>
      <c r="X96"/>
      <c r="Y96"/>
      <c r="AA96"/>
      <c r="AB96"/>
      <c r="AC96"/>
      <c r="AO96"/>
      <c r="AP96"/>
      <c r="AQ96"/>
      <c r="AR96"/>
      <c r="AS96"/>
      <c r="AT96"/>
      <c r="AU96"/>
      <c r="AV96"/>
      <c r="AW96"/>
      <c r="AX96"/>
      <c r="AY96"/>
      <c r="AZ96"/>
      <c r="BA96"/>
      <c r="BB96"/>
      <c r="BC96"/>
      <c r="BD96"/>
      <c r="BE96"/>
      <c r="BF96"/>
      <c r="BG96"/>
    </row>
    <row r="97" spans="2:59" x14ac:dyDescent="0.25">
      <c r="C97" s="1427" t="s">
        <v>5257</v>
      </c>
      <c r="D97" s="1427"/>
      <c r="E97" s="1427"/>
      <c r="F97" s="1427"/>
      <c r="G97" s="1427"/>
      <c r="H97" s="1427"/>
      <c r="I97" s="1427"/>
      <c r="J97" s="1427"/>
      <c r="K97" s="1427"/>
      <c r="L97" s="1427"/>
      <c r="P97"/>
      <c r="Q97"/>
      <c r="R97"/>
      <c r="S97"/>
      <c r="T97"/>
      <c r="U97"/>
      <c r="V97"/>
      <c r="W97" s="2001" t="str">
        <f ca="1">IF('Verification Report'!O864&gt;=10,"Met","Not Met")</f>
        <v>Not Met</v>
      </c>
      <c r="X97" s="1757"/>
      <c r="Y97" s="2077" t="str">
        <f>IF(LEN('Badges (Design)'!X97)=0,"None",'Badges (Design)'!X97)</f>
        <v>None</v>
      </c>
      <c r="AA97"/>
      <c r="AB97"/>
      <c r="AC97"/>
      <c r="AO97"/>
      <c r="AP97"/>
      <c r="AQ97"/>
      <c r="AR97" s="1461" t="s">
        <v>5562</v>
      </c>
      <c r="AS97" s="254" t="str">
        <f>IF(LEN(X97)=0,"",X97)</f>
        <v/>
      </c>
      <c r="AT97"/>
      <c r="AU97"/>
      <c r="AV97"/>
      <c r="AW97"/>
      <c r="AX97"/>
      <c r="AY97"/>
      <c r="AZ97"/>
      <c r="BA97"/>
      <c r="BB97"/>
      <c r="BC97"/>
      <c r="BD97"/>
      <c r="BE97"/>
      <c r="BF97"/>
      <c r="BG97"/>
    </row>
    <row r="98" spans="2:59" x14ac:dyDescent="0.25">
      <c r="C98" s="1427" t="s">
        <v>5258</v>
      </c>
      <c r="D98" s="1427"/>
      <c r="E98" s="1427"/>
      <c r="F98" s="1427"/>
      <c r="G98" s="1427"/>
      <c r="H98" s="1427"/>
      <c r="I98" s="1427"/>
      <c r="J98" s="1427"/>
      <c r="K98" s="1427"/>
      <c r="L98" s="1427"/>
      <c r="P98"/>
      <c r="Q98"/>
      <c r="R98"/>
      <c r="S98"/>
      <c r="T98"/>
      <c r="U98"/>
      <c r="V98"/>
      <c r="W98" s="2001"/>
      <c r="X98" s="1757"/>
      <c r="Y98" s="2077"/>
      <c r="AA98"/>
      <c r="AB98"/>
      <c r="AC98"/>
      <c r="AO98"/>
      <c r="AP98"/>
      <c r="AQ98"/>
      <c r="AR98"/>
      <c r="AS98"/>
      <c r="AT98"/>
      <c r="AU98"/>
      <c r="AV98"/>
      <c r="AW98"/>
      <c r="AX98"/>
      <c r="AY98"/>
      <c r="AZ98"/>
      <c r="BA98"/>
      <c r="BB98"/>
      <c r="BC98"/>
      <c r="BD98"/>
      <c r="BE98"/>
      <c r="BF98"/>
      <c r="BG98"/>
    </row>
    <row r="99" spans="2:59" ht="15" customHeight="1" x14ac:dyDescent="0.25">
      <c r="C99" s="1427" t="s">
        <v>5259</v>
      </c>
      <c r="D99" s="1427"/>
      <c r="E99" s="1427"/>
      <c r="F99" s="1427"/>
      <c r="G99" s="1427"/>
      <c r="H99" s="1427"/>
      <c r="I99" s="1427"/>
      <c r="J99" s="1427"/>
      <c r="K99" s="1427"/>
      <c r="L99" s="1427"/>
      <c r="P99"/>
      <c r="Q99"/>
      <c r="R99"/>
      <c r="S99"/>
      <c r="T99"/>
      <c r="U99"/>
      <c r="V99"/>
      <c r="W99" s="2001"/>
      <c r="X99" s="1757"/>
      <c r="Y99" s="2077"/>
      <c r="AA99"/>
      <c r="AB99"/>
      <c r="AC99"/>
      <c r="AO99"/>
      <c r="AP99"/>
      <c r="AQ99"/>
      <c r="AR99"/>
      <c r="AS99"/>
      <c r="AT99"/>
      <c r="AU99"/>
      <c r="AV99"/>
      <c r="AW99"/>
      <c r="AX99"/>
      <c r="AY99"/>
      <c r="AZ99"/>
      <c r="BA99"/>
      <c r="BB99"/>
      <c r="BC99"/>
      <c r="BD99"/>
      <c r="BE99"/>
      <c r="BF99"/>
      <c r="BG99"/>
    </row>
    <row r="100" spans="2:59" x14ac:dyDescent="0.25">
      <c r="C100" s="1427"/>
      <c r="D100" s="1427"/>
      <c r="E100" s="1427"/>
      <c r="F100" s="1427"/>
      <c r="G100" s="1427"/>
      <c r="H100" s="1427"/>
      <c r="I100" s="1427"/>
      <c r="J100" s="1427"/>
      <c r="K100" s="1427"/>
      <c r="L100" s="1427"/>
      <c r="P100"/>
      <c r="Q100"/>
      <c r="R100"/>
      <c r="S100"/>
      <c r="T100"/>
      <c r="U100"/>
      <c r="V100"/>
      <c r="W100"/>
      <c r="X100"/>
      <c r="Y100"/>
      <c r="AA100"/>
      <c r="AB100"/>
      <c r="AC100"/>
      <c r="AO100"/>
      <c r="AP100"/>
      <c r="AQ100"/>
      <c r="AR100"/>
      <c r="AS100"/>
      <c r="AT100"/>
      <c r="AU100"/>
      <c r="AV100"/>
      <c r="AW100"/>
      <c r="AX100"/>
      <c r="AY100"/>
      <c r="AZ100"/>
      <c r="BA100"/>
      <c r="BB100"/>
      <c r="BC100"/>
      <c r="BD100"/>
      <c r="BE100"/>
      <c r="BF100"/>
      <c r="BG100"/>
    </row>
    <row r="101" spans="2:59" x14ac:dyDescent="0.25">
      <c r="C101" s="1427"/>
      <c r="D101" s="1427"/>
      <c r="E101" s="1427"/>
      <c r="F101" s="1427"/>
      <c r="G101" s="1427"/>
      <c r="H101" s="1427"/>
      <c r="I101" s="1427"/>
      <c r="J101" s="1427"/>
      <c r="K101" s="1427"/>
      <c r="L101" s="1427"/>
      <c r="P101"/>
      <c r="Q101"/>
      <c r="R101"/>
      <c r="S101"/>
      <c r="T101"/>
      <c r="U101"/>
      <c r="V101"/>
      <c r="W101"/>
      <c r="X101"/>
      <c r="Y101"/>
      <c r="AA101"/>
      <c r="AB101"/>
      <c r="AC101"/>
      <c r="AO101"/>
      <c r="AP101"/>
      <c r="AQ101"/>
      <c r="AR101"/>
      <c r="AS101"/>
      <c r="AT101"/>
      <c r="AU101"/>
      <c r="AV101"/>
      <c r="AW101"/>
      <c r="AX101"/>
      <c r="AY101"/>
      <c r="AZ101"/>
      <c r="BA101"/>
      <c r="BB101"/>
      <c r="BC101"/>
      <c r="BD101"/>
      <c r="BE101"/>
      <c r="BF101"/>
      <c r="BG101"/>
    </row>
    <row r="102" spans="2:59" x14ac:dyDescent="0.25">
      <c r="C102" s="1425" t="s">
        <v>5256</v>
      </c>
      <c r="D102" s="1427"/>
      <c r="E102" s="1427"/>
      <c r="F102" s="1427"/>
      <c r="G102" s="1427"/>
      <c r="H102" s="1427"/>
      <c r="I102" s="1427"/>
      <c r="J102" s="1427"/>
      <c r="K102" s="1427"/>
      <c r="L102" s="1427"/>
      <c r="P102"/>
      <c r="Q102"/>
      <c r="R102"/>
      <c r="S102"/>
      <c r="T102"/>
      <c r="U102"/>
      <c r="V102"/>
      <c r="W102"/>
      <c r="X102"/>
      <c r="Y102"/>
      <c r="AA102"/>
      <c r="AB102"/>
      <c r="AC102"/>
      <c r="AO102"/>
      <c r="AP102"/>
      <c r="AQ102"/>
      <c r="AR102"/>
      <c r="AS102"/>
      <c r="AT102"/>
      <c r="AU102"/>
      <c r="AV102"/>
      <c r="AW102"/>
      <c r="AX102"/>
      <c r="AY102"/>
      <c r="AZ102"/>
      <c r="BA102"/>
      <c r="BB102"/>
      <c r="BC102"/>
      <c r="BD102"/>
      <c r="BE102"/>
      <c r="BF102"/>
      <c r="BG102"/>
    </row>
    <row r="103" spans="2:59" x14ac:dyDescent="0.25">
      <c r="C103" s="1445" t="s">
        <v>5255</v>
      </c>
      <c r="D103" s="1427"/>
      <c r="E103" s="1427"/>
      <c r="F103" s="1427"/>
      <c r="G103" s="1427"/>
      <c r="H103" s="1427"/>
      <c r="I103" s="1427"/>
      <c r="J103" s="1427"/>
      <c r="K103" s="1427"/>
      <c r="L103" s="1427"/>
      <c r="P103"/>
      <c r="Q103"/>
      <c r="R103"/>
      <c r="S103"/>
      <c r="T103"/>
      <c r="U103"/>
      <c r="V103"/>
      <c r="W103"/>
      <c r="X103"/>
      <c r="Y103"/>
      <c r="AA103"/>
      <c r="AB103"/>
      <c r="AC103"/>
      <c r="AO103"/>
      <c r="AP103"/>
      <c r="AQ103"/>
      <c r="AR103"/>
      <c r="AS103"/>
      <c r="AT103"/>
      <c r="AU103"/>
      <c r="AV103"/>
      <c r="AW103"/>
      <c r="AX103"/>
      <c r="AY103"/>
      <c r="AZ103"/>
      <c r="BA103"/>
      <c r="BB103"/>
      <c r="BC103"/>
      <c r="BD103"/>
      <c r="BE103"/>
      <c r="BF103"/>
      <c r="BG103"/>
    </row>
    <row r="104" spans="2:59" x14ac:dyDescent="0.25">
      <c r="C104" s="1427"/>
      <c r="D104" s="1427" t="s">
        <v>5391</v>
      </c>
      <c r="E104" s="1427"/>
      <c r="F104" s="1427"/>
      <c r="G104" s="1427"/>
      <c r="H104" s="1427"/>
      <c r="I104" s="1427"/>
      <c r="J104" s="1427"/>
      <c r="K104" s="1427"/>
      <c r="L104" s="1427"/>
      <c r="P104"/>
      <c r="Q104"/>
      <c r="R104"/>
      <c r="S104"/>
      <c r="T104"/>
      <c r="U104"/>
      <c r="V104"/>
      <c r="W104"/>
      <c r="X104"/>
      <c r="Y104"/>
      <c r="AA104"/>
      <c r="AB104"/>
      <c r="AC104"/>
      <c r="AO104"/>
      <c r="AP104"/>
      <c r="AQ104"/>
      <c r="AR104"/>
      <c r="AS104"/>
      <c r="AT104"/>
      <c r="AU104"/>
      <c r="AV104"/>
      <c r="AW104"/>
      <c r="AX104"/>
      <c r="AY104"/>
      <c r="AZ104"/>
      <c r="BA104"/>
      <c r="BB104"/>
      <c r="BC104"/>
      <c r="BD104"/>
      <c r="BE104"/>
      <c r="BF104"/>
      <c r="BG104"/>
    </row>
    <row r="105" spans="2:59" x14ac:dyDescent="0.25">
      <c r="C105" s="1445" t="s">
        <v>5407</v>
      </c>
      <c r="D105" s="1427"/>
      <c r="E105" s="1427"/>
      <c r="F105" s="1427"/>
      <c r="G105" s="1427"/>
      <c r="H105" s="1427"/>
      <c r="I105" s="1427"/>
      <c r="J105" s="1427"/>
      <c r="K105" s="1427"/>
      <c r="L105" s="1427"/>
      <c r="P105"/>
      <c r="Q105"/>
      <c r="R105"/>
      <c r="S105"/>
      <c r="T105"/>
      <c r="U105"/>
      <c r="V105"/>
      <c r="W105"/>
      <c r="X105"/>
      <c r="Y105"/>
      <c r="AA105"/>
      <c r="AB105"/>
      <c r="AC105"/>
      <c r="AO105"/>
      <c r="AP105"/>
      <c r="AQ105"/>
      <c r="AR105"/>
      <c r="AS105"/>
      <c r="AT105"/>
      <c r="AU105"/>
      <c r="AV105"/>
      <c r="AW105"/>
      <c r="AX105"/>
      <c r="AY105"/>
      <c r="AZ105"/>
      <c r="BA105"/>
      <c r="BB105"/>
      <c r="BC105"/>
      <c r="BD105"/>
      <c r="BE105"/>
      <c r="BF105"/>
      <c r="BG105"/>
    </row>
    <row r="106" spans="2:59" x14ac:dyDescent="0.25">
      <c r="B106"/>
      <c r="C106" s="1427" t="s">
        <v>5260</v>
      </c>
      <c r="D106" s="1427"/>
      <c r="E106" s="1427"/>
      <c r="F106" s="1427"/>
      <c r="G106" s="1427"/>
      <c r="H106" s="1427"/>
      <c r="I106" s="1427"/>
      <c r="J106" s="1427"/>
      <c r="K106" s="1427"/>
      <c r="L106" s="1427"/>
      <c r="P106"/>
      <c r="Q106"/>
      <c r="R106"/>
      <c r="S106"/>
      <c r="T106"/>
      <c r="U106"/>
      <c r="V106"/>
      <c r="W106" s="565" t="str">
        <f ca="1">IF('Verification Report'!O1585&gt;=1,"Met","Not Met")</f>
        <v>Not Met</v>
      </c>
      <c r="X106" s="1442"/>
      <c r="Y106" s="1472" t="str">
        <f>IF(LEN('Badges (Design)'!X106)=0,"None",'Badges (Design)'!X106)</f>
        <v>None</v>
      </c>
      <c r="AA106"/>
      <c r="AB106"/>
      <c r="AC106"/>
      <c r="AO106"/>
      <c r="AP106"/>
      <c r="AQ106"/>
      <c r="AR106" s="1461" t="s">
        <v>5563</v>
      </c>
      <c r="AS106" s="254" t="str">
        <f>IF(LEN(X106)=0,"",X106)</f>
        <v/>
      </c>
      <c r="AT106"/>
      <c r="AU106"/>
      <c r="AV106"/>
      <c r="AW106"/>
      <c r="AX106"/>
      <c r="AY106"/>
      <c r="AZ106"/>
      <c r="BA106"/>
      <c r="BB106"/>
      <c r="BC106"/>
      <c r="BD106"/>
      <c r="BE106"/>
      <c r="BF106"/>
      <c r="BG106"/>
    </row>
    <row r="107" spans="2:59" x14ac:dyDescent="0.25">
      <c r="B107"/>
      <c r="C107" s="1427"/>
      <c r="D107" s="1427"/>
      <c r="E107" s="1427"/>
      <c r="F107" s="1427"/>
      <c r="G107" s="1427"/>
      <c r="H107" s="1427"/>
      <c r="I107" s="1427"/>
      <c r="J107" s="1427"/>
      <c r="K107" s="1427"/>
      <c r="L107" s="1427"/>
      <c r="P107"/>
      <c r="Q107"/>
      <c r="R107"/>
      <c r="S107"/>
      <c r="T107"/>
      <c r="U107"/>
      <c r="V107"/>
      <c r="W107"/>
      <c r="X107"/>
      <c r="Y107"/>
      <c r="AA107"/>
      <c r="AB107"/>
      <c r="AC107"/>
      <c r="AO107"/>
      <c r="AP107"/>
      <c r="AQ107"/>
      <c r="AR107"/>
      <c r="AS107"/>
      <c r="AT107"/>
      <c r="AU107"/>
      <c r="AV107"/>
      <c r="AW107"/>
      <c r="AX107"/>
      <c r="AY107"/>
      <c r="AZ107"/>
      <c r="BA107"/>
      <c r="BB107"/>
      <c r="BC107"/>
      <c r="BD107"/>
      <c r="BE107"/>
      <c r="BF107"/>
      <c r="BG107"/>
    </row>
    <row r="108" spans="2:59" x14ac:dyDescent="0.25">
      <c r="C108" s="1427"/>
      <c r="D108" s="1427"/>
      <c r="E108" s="1427"/>
      <c r="F108" s="1427"/>
      <c r="G108" s="1427"/>
      <c r="H108" s="1427"/>
      <c r="I108" s="1427"/>
      <c r="J108" s="1427"/>
      <c r="K108" s="1427"/>
      <c r="L108" s="1426"/>
      <c r="AA108"/>
      <c r="AB108"/>
      <c r="AC108"/>
      <c r="AO108"/>
      <c r="AP108"/>
      <c r="AQ108"/>
      <c r="AR108"/>
      <c r="AS108"/>
      <c r="AT108"/>
      <c r="AU108"/>
      <c r="AV108"/>
      <c r="AW108"/>
      <c r="AX108"/>
      <c r="AY108"/>
      <c r="AZ108"/>
      <c r="BA108"/>
      <c r="BB108"/>
      <c r="BC108"/>
      <c r="BD108"/>
      <c r="BE108"/>
      <c r="BF108"/>
      <c r="BG108"/>
    </row>
    <row r="109" spans="2:59" x14ac:dyDescent="0.25">
      <c r="C109" s="1425" t="s">
        <v>5261</v>
      </c>
      <c r="D109" s="1427"/>
      <c r="E109" s="1427"/>
      <c r="F109" s="1427"/>
      <c r="G109" s="1427"/>
      <c r="H109" s="1427"/>
      <c r="I109" s="1427"/>
      <c r="J109" s="1427"/>
      <c r="K109" s="1427"/>
      <c r="L109" s="1426"/>
      <c r="AA109"/>
      <c r="AB109"/>
      <c r="AC109"/>
      <c r="AO109"/>
      <c r="AP109"/>
      <c r="AQ109"/>
      <c r="AR109"/>
      <c r="AS109"/>
      <c r="AT109"/>
      <c r="AU109"/>
      <c r="AV109"/>
      <c r="AW109"/>
      <c r="AX109"/>
      <c r="AY109"/>
      <c r="AZ109"/>
      <c r="BA109"/>
      <c r="BB109"/>
      <c r="BC109"/>
      <c r="BD109"/>
      <c r="BE109"/>
      <c r="BF109"/>
      <c r="BG109"/>
    </row>
    <row r="110" spans="2:59" ht="15" customHeight="1" x14ac:dyDescent="0.25">
      <c r="C110" s="1699" t="s">
        <v>5262</v>
      </c>
      <c r="D110" s="1699"/>
      <c r="E110" s="1699"/>
      <c r="F110" s="1699"/>
      <c r="G110" s="1699"/>
      <c r="H110" s="1699"/>
      <c r="I110" s="1699"/>
      <c r="J110" s="1699"/>
      <c r="K110" s="1699"/>
      <c r="L110" s="1699"/>
      <c r="M110" s="8"/>
      <c r="N110" s="8"/>
      <c r="O110" s="8"/>
      <c r="P110" s="1452" t="b">
        <v>1</v>
      </c>
      <c r="Q110" s="1452" t="b">
        <v>1</v>
      </c>
      <c r="R110" s="1421" t="b">
        <v>1</v>
      </c>
      <c r="S110" s="1421" t="b">
        <v>1</v>
      </c>
      <c r="T110" s="1421" t="b">
        <v>0</v>
      </c>
      <c r="W110" s="25"/>
      <c r="X110" s="1757"/>
      <c r="Y110" s="2077" t="str">
        <f>IF(LEN('Badges (Design)'!X110)=0,"None",'Badges (Design)'!X110)</f>
        <v>None</v>
      </c>
      <c r="AA110" s="1441"/>
      <c r="AB110" s="1441"/>
      <c r="AC110" s="1441"/>
      <c r="AO110"/>
      <c r="AP110" s="1461" t="s">
        <v>5522</v>
      </c>
      <c r="AQ110" s="254" t="str">
        <f>IF(LEN(W110)=0,"",W110)</f>
        <v/>
      </c>
      <c r="AR110" s="1461" t="s">
        <v>5564</v>
      </c>
      <c r="AS110" s="254" t="str">
        <f>IF(LEN(X110)=0,"",X110)</f>
        <v/>
      </c>
      <c r="AT110"/>
      <c r="AU110"/>
      <c r="AV110"/>
      <c r="AW110"/>
      <c r="AX110"/>
      <c r="AY110"/>
      <c r="AZ110"/>
      <c r="BA110"/>
      <c r="BB110"/>
      <c r="BC110"/>
      <c r="BD110"/>
      <c r="BE110"/>
      <c r="BF110"/>
      <c r="BG110"/>
    </row>
    <row r="111" spans="2:59" x14ac:dyDescent="0.25">
      <c r="C111" s="1699"/>
      <c r="D111" s="1699"/>
      <c r="E111" s="1699"/>
      <c r="F111" s="1699"/>
      <c r="G111" s="1699"/>
      <c r="H111" s="1699"/>
      <c r="I111" s="1699"/>
      <c r="J111" s="1699"/>
      <c r="K111" s="1699"/>
      <c r="L111" s="1699"/>
      <c r="X111" s="1757"/>
      <c r="Y111" s="2077"/>
      <c r="AA111"/>
      <c r="AB111"/>
      <c r="AC111"/>
      <c r="AO111"/>
      <c r="AP111"/>
      <c r="AQ111"/>
      <c r="AR111"/>
      <c r="AS111"/>
      <c r="AT111"/>
      <c r="AU111"/>
      <c r="AV111"/>
      <c r="AW111"/>
      <c r="AX111"/>
      <c r="AY111"/>
      <c r="AZ111"/>
      <c r="BA111"/>
      <c r="BB111"/>
      <c r="BC111"/>
      <c r="BD111"/>
      <c r="BE111"/>
      <c r="BF111"/>
      <c r="BG111"/>
    </row>
    <row r="112" spans="2:59" x14ac:dyDescent="0.25">
      <c r="X112" s="1757"/>
      <c r="Y112" s="2077"/>
      <c r="AA112"/>
      <c r="AB112"/>
      <c r="AC112"/>
      <c r="AO112"/>
      <c r="AP112"/>
      <c r="AQ112"/>
      <c r="AR112"/>
      <c r="AS112"/>
      <c r="AT112"/>
      <c r="AU112"/>
      <c r="AV112"/>
      <c r="AW112"/>
      <c r="AX112"/>
      <c r="AY112"/>
      <c r="AZ112"/>
      <c r="BA112"/>
      <c r="BB112"/>
      <c r="BC112"/>
      <c r="BD112"/>
      <c r="BE112"/>
      <c r="BF112"/>
      <c r="BG112"/>
    </row>
    <row r="113" spans="2:61" x14ac:dyDescent="0.25">
      <c r="AA113"/>
      <c r="AB113"/>
      <c r="AC113"/>
      <c r="AO113"/>
      <c r="AP113"/>
      <c r="AQ113"/>
      <c r="AR113"/>
      <c r="AS113"/>
      <c r="AT113"/>
      <c r="AU113"/>
      <c r="AV113"/>
      <c r="AW113"/>
      <c r="AX113"/>
      <c r="AY113"/>
      <c r="AZ113"/>
      <c r="BA113"/>
      <c r="BB113"/>
      <c r="BC113"/>
      <c r="BD113"/>
      <c r="BE113"/>
      <c r="BF113"/>
      <c r="BG113"/>
    </row>
    <row r="114" spans="2:61" s="1448" customFormat="1" x14ac:dyDescent="0.25">
      <c r="O114" s="1447"/>
      <c r="W114" s="1447"/>
      <c r="AO114"/>
    </row>
    <row r="115" spans="2:61" ht="15" customHeight="1" x14ac:dyDescent="0.25">
      <c r="AA115"/>
      <c r="AB115"/>
      <c r="AC115"/>
      <c r="AO115"/>
      <c r="AP115"/>
      <c r="AQ115"/>
      <c r="AR115"/>
      <c r="AS115"/>
      <c r="AT115"/>
      <c r="AU115"/>
      <c r="AV115"/>
      <c r="AW115"/>
      <c r="AX115"/>
      <c r="AY115"/>
      <c r="AZ115"/>
      <c r="BA115"/>
      <c r="BB115"/>
      <c r="BC115"/>
      <c r="BD115"/>
      <c r="BE115"/>
      <c r="BF115"/>
      <c r="BG115"/>
    </row>
    <row r="116" spans="2:61" ht="15" customHeight="1" x14ac:dyDescent="0.25">
      <c r="B116" s="1985" t="s">
        <v>5250</v>
      </c>
      <c r="C116" s="1985"/>
      <c r="D116" s="1985"/>
      <c r="E116" s="1985"/>
      <c r="F116" s="94"/>
      <c r="G116" s="2010" t="str">
        <f ca="1">IF(AND(N169&gt;=18,W125="Met",W139="Met",OR(R152=FALSE,W152=TRUE),W166=TRUE),"Earned","Not Earned")</f>
        <v>Not Earned</v>
      </c>
      <c r="H116" s="1997"/>
      <c r="I116" s="1997"/>
      <c r="J116" s="1997"/>
      <c r="K116" s="1997"/>
      <c r="L116" s="1997"/>
      <c r="M116" s="1997"/>
      <c r="N116" s="1997"/>
      <c r="O116" s="1998"/>
      <c r="P116" s="94"/>
      <c r="Q116" s="94"/>
      <c r="R116" s="94"/>
      <c r="S116" s="94"/>
      <c r="T116" s="94"/>
      <c r="U116" s="94"/>
      <c r="V116" s="94"/>
      <c r="W116" s="94"/>
      <c r="X116" s="94"/>
      <c r="Y116" s="94"/>
      <c r="AA116"/>
      <c r="AB116"/>
      <c r="AC116"/>
      <c r="AO116"/>
      <c r="AP116"/>
      <c r="AQ116"/>
      <c r="AR116"/>
      <c r="AS116"/>
      <c r="AT116"/>
      <c r="AU116"/>
      <c r="AV116"/>
      <c r="AW116"/>
      <c r="AX116"/>
      <c r="AY116"/>
      <c r="AZ116"/>
      <c r="BA116"/>
      <c r="BB116"/>
      <c r="BC116"/>
      <c r="BD116"/>
      <c r="BE116"/>
      <c r="BF116"/>
      <c r="BG116"/>
    </row>
    <row r="117" spans="2:61" ht="15.75" customHeight="1" thickBot="1" x14ac:dyDescent="0.3">
      <c r="B117" s="1986"/>
      <c r="C117" s="1986"/>
      <c r="D117" s="1986"/>
      <c r="E117" s="1986"/>
      <c r="F117" s="99"/>
      <c r="G117" s="2011"/>
      <c r="H117" s="1999"/>
      <c r="I117" s="1999"/>
      <c r="J117" s="1999"/>
      <c r="K117" s="1999"/>
      <c r="L117" s="1999"/>
      <c r="M117" s="1999"/>
      <c r="N117" s="1999"/>
      <c r="O117" s="2000"/>
      <c r="P117" s="99"/>
      <c r="Q117" s="99"/>
      <c r="R117" s="99"/>
      <c r="S117" s="99"/>
      <c r="T117" s="99"/>
      <c r="U117" s="99"/>
      <c r="V117" s="99"/>
      <c r="W117" s="99"/>
      <c r="X117" s="99"/>
      <c r="Y117" s="99"/>
      <c r="AA117"/>
      <c r="AB117"/>
      <c r="AC117"/>
      <c r="AO117"/>
      <c r="AP117"/>
      <c r="AQ117"/>
      <c r="AR117"/>
      <c r="AS117"/>
      <c r="AT117"/>
      <c r="AU117"/>
      <c r="AV117"/>
      <c r="AW117"/>
      <c r="AX117"/>
      <c r="AY117"/>
      <c r="AZ117"/>
      <c r="BA117"/>
      <c r="BB117"/>
      <c r="BC117"/>
      <c r="BD117"/>
      <c r="BE117"/>
      <c r="BF117"/>
      <c r="BG117"/>
    </row>
    <row r="118" spans="2:61" ht="15.75" thickTop="1" x14ac:dyDescent="0.25">
      <c r="B118"/>
      <c r="C118"/>
      <c r="E118"/>
      <c r="F118"/>
      <c r="G118"/>
      <c r="H118"/>
      <c r="I118"/>
      <c r="J118"/>
      <c r="K118"/>
      <c r="L118"/>
      <c r="M118"/>
      <c r="N118"/>
      <c r="O118"/>
      <c r="P118"/>
      <c r="Q118"/>
      <c r="R118"/>
      <c r="S118"/>
      <c r="T118"/>
      <c r="U118"/>
      <c r="V118"/>
      <c r="W118"/>
      <c r="X118"/>
      <c r="Y118"/>
      <c r="AA118"/>
      <c r="AB118"/>
      <c r="AC118"/>
      <c r="AM118" s="1419"/>
      <c r="AO118"/>
      <c r="AR118"/>
      <c r="AS118"/>
      <c r="AT118"/>
      <c r="AU118"/>
      <c r="AV118"/>
      <c r="AW118"/>
      <c r="AX118"/>
      <c r="AY118"/>
      <c r="AZ118"/>
      <c r="BA118"/>
      <c r="BB118"/>
      <c r="BC118"/>
      <c r="BD118"/>
      <c r="BE118"/>
      <c r="BF118"/>
      <c r="BG118"/>
      <c r="BH118"/>
      <c r="BI118"/>
    </row>
    <row r="119" spans="2:61" x14ac:dyDescent="0.25">
      <c r="B119"/>
      <c r="C119"/>
      <c r="D119"/>
      <c r="E119"/>
      <c r="F119"/>
      <c r="G119"/>
      <c r="H119"/>
      <c r="I119"/>
      <c r="J119"/>
      <c r="K119"/>
      <c r="L119"/>
      <c r="M119"/>
      <c r="N119"/>
      <c r="O119"/>
      <c r="P119"/>
      <c r="Q119"/>
      <c r="R119"/>
      <c r="S119"/>
      <c r="T119"/>
      <c r="U119"/>
      <c r="V119"/>
      <c r="W119"/>
      <c r="X119"/>
      <c r="Y119"/>
      <c r="AA119"/>
      <c r="AB119"/>
      <c r="AC119"/>
      <c r="AM119" s="1419"/>
      <c r="AO119"/>
      <c r="AR119"/>
      <c r="AS119"/>
      <c r="AT119"/>
      <c r="AU119"/>
      <c r="AV119"/>
      <c r="AW119"/>
      <c r="AX119"/>
      <c r="AY119"/>
      <c r="AZ119"/>
      <c r="BA119"/>
      <c r="BB119"/>
      <c r="BC119"/>
      <c r="BD119"/>
      <c r="BE119"/>
      <c r="BF119"/>
      <c r="BG119"/>
      <c r="BH119"/>
      <c r="BI119"/>
    </row>
    <row r="120" spans="2:61" x14ac:dyDescent="0.25">
      <c r="C120" s="1425" t="s">
        <v>5274</v>
      </c>
      <c r="D120" s="1427"/>
      <c r="E120" s="1427"/>
      <c r="F120" s="1427"/>
      <c r="G120" s="1427"/>
      <c r="H120" s="1427"/>
      <c r="I120" s="1427"/>
      <c r="J120" s="1427"/>
      <c r="K120" s="1427"/>
      <c r="L120" s="1426"/>
      <c r="AA120"/>
      <c r="AB120"/>
      <c r="AC120"/>
      <c r="AM120" s="1419"/>
      <c r="AO120"/>
      <c r="AR120"/>
      <c r="AS120"/>
      <c r="AT120"/>
      <c r="AU120"/>
      <c r="AV120"/>
      <c r="AW120"/>
      <c r="AX120"/>
      <c r="AY120"/>
      <c r="AZ120"/>
      <c r="BA120"/>
      <c r="BB120"/>
      <c r="BC120"/>
      <c r="BD120"/>
      <c r="BE120"/>
      <c r="BF120"/>
      <c r="BG120"/>
      <c r="BH120"/>
      <c r="BI120"/>
    </row>
    <row r="121" spans="2:61" x14ac:dyDescent="0.25">
      <c r="C121" s="1445" t="s">
        <v>5255</v>
      </c>
      <c r="D121" s="1427"/>
      <c r="E121" s="1427"/>
      <c r="F121" s="1427"/>
      <c r="G121" s="1427"/>
      <c r="H121" s="1427"/>
      <c r="I121" s="1427"/>
      <c r="J121" s="1427"/>
      <c r="K121" s="1427"/>
      <c r="L121" s="1426"/>
      <c r="AA121"/>
      <c r="AB121"/>
      <c r="AC121"/>
      <c r="AO121"/>
      <c r="AR121"/>
      <c r="AS121"/>
      <c r="AT121"/>
      <c r="AU121"/>
      <c r="AV121"/>
      <c r="AW121"/>
      <c r="AX121"/>
      <c r="AY121"/>
      <c r="AZ121"/>
      <c r="BA121"/>
      <c r="BB121"/>
      <c r="BC121"/>
      <c r="BD121"/>
      <c r="BE121"/>
      <c r="BF121"/>
      <c r="BG121"/>
      <c r="BH121"/>
      <c r="BI121"/>
    </row>
    <row r="122" spans="2:61" x14ac:dyDescent="0.25">
      <c r="C122" s="1427"/>
      <c r="D122" s="1427" t="s">
        <v>5275</v>
      </c>
      <c r="E122" s="1427"/>
      <c r="F122" s="1427"/>
      <c r="G122" s="1427"/>
      <c r="H122" s="1427"/>
      <c r="I122" s="1427"/>
      <c r="J122" s="1427"/>
      <c r="K122" s="1427"/>
      <c r="L122" s="1426"/>
      <c r="AA122"/>
      <c r="AB122"/>
      <c r="AC122"/>
      <c r="AO122"/>
      <c r="AR122"/>
      <c r="AS122"/>
      <c r="AT122"/>
      <c r="AU122"/>
      <c r="AV122"/>
      <c r="AW122"/>
      <c r="AX122"/>
      <c r="AY122"/>
      <c r="AZ122"/>
      <c r="BA122"/>
      <c r="BB122"/>
      <c r="BC122"/>
      <c r="BD122"/>
      <c r="BE122"/>
      <c r="BF122"/>
      <c r="BG122"/>
      <c r="BH122"/>
      <c r="BI122"/>
    </row>
    <row r="123" spans="2:61" x14ac:dyDescent="0.25">
      <c r="C123" s="1427"/>
      <c r="D123" s="1427" t="s">
        <v>5408</v>
      </c>
      <c r="E123" s="1427"/>
      <c r="F123" s="1427"/>
      <c r="G123" s="1427"/>
      <c r="H123" s="1427"/>
      <c r="I123" s="1427"/>
      <c r="J123" s="1427"/>
      <c r="K123" s="1427"/>
      <c r="L123" s="1427"/>
      <c r="P123"/>
      <c r="Q123"/>
      <c r="R123"/>
      <c r="S123"/>
      <c r="T123"/>
      <c r="U123"/>
      <c r="V123"/>
      <c r="W123"/>
      <c r="X123"/>
      <c r="Y123"/>
      <c r="AA123"/>
      <c r="AB123"/>
      <c r="AC123"/>
      <c r="AO123"/>
      <c r="AR123"/>
      <c r="AS123"/>
      <c r="AT123"/>
      <c r="AU123"/>
      <c r="AV123"/>
      <c r="AW123"/>
      <c r="AX123"/>
      <c r="AY123"/>
      <c r="AZ123"/>
      <c r="BA123"/>
      <c r="BB123"/>
      <c r="BC123"/>
      <c r="BD123"/>
      <c r="BE123"/>
      <c r="BF123"/>
      <c r="BG123"/>
      <c r="BH123"/>
      <c r="BI123"/>
    </row>
    <row r="124" spans="2:61" x14ac:dyDescent="0.25">
      <c r="C124" s="1445" t="s">
        <v>5407</v>
      </c>
      <c r="D124" s="1427"/>
      <c r="E124" s="1427"/>
      <c r="F124" s="1427"/>
      <c r="G124" s="1427"/>
      <c r="H124" s="1427"/>
      <c r="I124" s="1427"/>
      <c r="J124" s="1427"/>
      <c r="L124" s="1423"/>
      <c r="N124" s="1706" t="s">
        <v>249</v>
      </c>
      <c r="O124" s="1706"/>
      <c r="P124"/>
      <c r="Q124"/>
      <c r="R124"/>
      <c r="S124"/>
      <c r="T124"/>
      <c r="U124"/>
      <c r="V124"/>
      <c r="W124"/>
      <c r="X124"/>
      <c r="Y124"/>
      <c r="AA124"/>
      <c r="AB124"/>
      <c r="AC124"/>
      <c r="AO124"/>
      <c r="AR124"/>
      <c r="AS124"/>
      <c r="AT124"/>
      <c r="AU124"/>
      <c r="AV124"/>
      <c r="AW124"/>
      <c r="AX124"/>
      <c r="AY124"/>
      <c r="AZ124"/>
      <c r="BA124"/>
      <c r="BB124"/>
      <c r="BC124"/>
      <c r="BD124"/>
      <c r="BE124"/>
      <c r="BF124"/>
      <c r="BG124"/>
      <c r="BH124"/>
      <c r="BI124"/>
    </row>
    <row r="125" spans="2:61" ht="15" customHeight="1" x14ac:dyDescent="0.25">
      <c r="C125" s="8" t="s">
        <v>5276</v>
      </c>
      <c r="D125" s="1424"/>
      <c r="E125" s="1424"/>
      <c r="F125" s="1424"/>
      <c r="G125" s="1424"/>
      <c r="H125" s="1424"/>
      <c r="I125" s="1424"/>
      <c r="J125" s="1424"/>
      <c r="L125" s="1427"/>
      <c r="N125" s="2012" t="s">
        <v>4108</v>
      </c>
      <c r="O125" s="2012"/>
      <c r="P125"/>
      <c r="Q125"/>
      <c r="R125"/>
      <c r="S125"/>
      <c r="T125"/>
      <c r="U125"/>
      <c r="V125"/>
      <c r="W125" s="565" t="str">
        <f>IF(LEN('Verification Report'!W860)&gt;0,"Met","Not Met")</f>
        <v>Not Met</v>
      </c>
      <c r="X125" s="1757"/>
      <c r="Y125" s="2077" t="str">
        <f>IF(LEN('Badges (Design)'!X125)=0,"None",'Badges (Design)'!X125)</f>
        <v>None</v>
      </c>
      <c r="AA125"/>
      <c r="AB125"/>
      <c r="AC125"/>
      <c r="AO125"/>
      <c r="AR125" s="1461" t="s">
        <v>5565</v>
      </c>
      <c r="AS125" s="254" t="str">
        <f>IF(LEN(X125)=0,"",X125)</f>
        <v/>
      </c>
      <c r="AT125"/>
      <c r="AU125"/>
      <c r="AV125"/>
      <c r="AW125"/>
      <c r="AX125"/>
      <c r="AY125"/>
      <c r="AZ125"/>
      <c r="BA125"/>
      <c r="BB125"/>
      <c r="BC125"/>
      <c r="BD125"/>
      <c r="BE125"/>
      <c r="BF125"/>
      <c r="BG125"/>
      <c r="BH125"/>
      <c r="BI125"/>
    </row>
    <row r="126" spans="2:61" x14ac:dyDescent="0.25">
      <c r="C126" s="1427" t="s">
        <v>5277</v>
      </c>
      <c r="D126" s="1427"/>
      <c r="E126" s="1427"/>
      <c r="F126" s="1427"/>
      <c r="G126" s="1427"/>
      <c r="H126" s="1427"/>
      <c r="I126" s="1427"/>
      <c r="J126" s="1427"/>
      <c r="L126" s="1432"/>
      <c r="N126" s="2013">
        <v>1</v>
      </c>
      <c r="O126" s="2013"/>
      <c r="P126" s="1452" t="b">
        <v>1</v>
      </c>
      <c r="Q126" s="1452" t="b">
        <v>1</v>
      </c>
      <c r="R126" t="b">
        <v>0</v>
      </c>
      <c r="S126" t="b">
        <v>1</v>
      </c>
      <c r="T126" t="b">
        <v>0</v>
      </c>
      <c r="U126"/>
      <c r="V126"/>
      <c r="W126" s="25"/>
      <c r="X126" s="1757"/>
      <c r="Y126" s="2077"/>
      <c r="AA126"/>
      <c r="AB126"/>
      <c r="AC126"/>
      <c r="AO126"/>
      <c r="AP126" s="1461" t="s">
        <v>5523</v>
      </c>
      <c r="AQ126" s="254" t="str">
        <f>IF(LEN(W126)=0,"",W126)</f>
        <v/>
      </c>
      <c r="AR126"/>
      <c r="AS126"/>
      <c r="AT126"/>
      <c r="AU126"/>
      <c r="AV126"/>
      <c r="AW126"/>
      <c r="AX126"/>
      <c r="AY126"/>
      <c r="AZ126"/>
      <c r="BA126"/>
      <c r="BB126"/>
      <c r="BC126"/>
      <c r="BD126"/>
      <c r="BE126"/>
      <c r="BF126"/>
      <c r="BG126"/>
      <c r="BH126"/>
      <c r="BI126"/>
    </row>
    <row r="127" spans="2:61" x14ac:dyDescent="0.25">
      <c r="C127" s="1427" t="s">
        <v>5278</v>
      </c>
      <c r="D127" s="1427"/>
      <c r="E127" s="1427"/>
      <c r="F127" s="1427"/>
      <c r="G127" s="1427"/>
      <c r="H127" s="1427"/>
      <c r="I127" s="1427"/>
      <c r="J127" s="1427"/>
      <c r="L127" s="1433"/>
      <c r="N127" s="2014" t="s">
        <v>5283</v>
      </c>
      <c r="O127" s="2014"/>
      <c r="P127"/>
      <c r="Q127"/>
      <c r="R127"/>
      <c r="S127"/>
      <c r="T127"/>
      <c r="U127"/>
      <c r="V127"/>
      <c r="W127" s="565">
        <f ca="1">'Verification Report'!O1427</f>
        <v>0</v>
      </c>
      <c r="X127" s="1757"/>
      <c r="Y127" s="2077"/>
      <c r="AA127"/>
      <c r="AB127"/>
      <c r="AC127"/>
      <c r="AO127"/>
      <c r="AR127"/>
      <c r="AS127"/>
      <c r="AT127"/>
      <c r="AU127"/>
      <c r="AV127"/>
      <c r="AW127"/>
      <c r="AX127"/>
      <c r="AY127"/>
      <c r="AZ127"/>
      <c r="BA127"/>
      <c r="BB127"/>
      <c r="BC127"/>
      <c r="BD127"/>
      <c r="BE127"/>
      <c r="BF127"/>
      <c r="BG127"/>
      <c r="BH127"/>
      <c r="BI127"/>
    </row>
    <row r="128" spans="2:61" x14ac:dyDescent="0.25">
      <c r="B128"/>
      <c r="C128" s="1427" t="s">
        <v>5279</v>
      </c>
      <c r="D128" s="1427"/>
      <c r="E128" s="1427"/>
      <c r="F128" s="1427"/>
      <c r="G128" s="1427"/>
      <c r="H128" s="1427"/>
      <c r="I128" s="1427"/>
      <c r="J128" s="1427"/>
      <c r="L128" s="1432"/>
      <c r="N128" s="2013">
        <v>1</v>
      </c>
      <c r="O128" s="2013"/>
      <c r="P128"/>
      <c r="Q128"/>
      <c r="R128"/>
      <c r="S128"/>
      <c r="T128"/>
      <c r="U128"/>
      <c r="V128"/>
      <c r="W128" s="565">
        <f>'Verification Report'!O1431</f>
        <v>0</v>
      </c>
      <c r="X128" s="1757"/>
      <c r="Y128" s="2077"/>
      <c r="AA128"/>
      <c r="AB128"/>
      <c r="AC128"/>
      <c r="AO128"/>
      <c r="AR128"/>
      <c r="AS128"/>
      <c r="AT128"/>
      <c r="AU128"/>
      <c r="AV128"/>
      <c r="AW128"/>
      <c r="AX128"/>
      <c r="AY128"/>
      <c r="AZ128"/>
      <c r="BA128"/>
      <c r="BB128"/>
      <c r="BC128"/>
      <c r="BD128"/>
      <c r="BE128"/>
      <c r="BF128"/>
      <c r="BG128"/>
      <c r="BH128"/>
      <c r="BI128"/>
    </row>
    <row r="129" spans="2:61" x14ac:dyDescent="0.25">
      <c r="B129"/>
      <c r="C129" s="1427" t="s">
        <v>5280</v>
      </c>
      <c r="D129" s="1427"/>
      <c r="E129" s="1427"/>
      <c r="F129" s="1427"/>
      <c r="G129" s="1427"/>
      <c r="H129" s="1427"/>
      <c r="I129" s="1427"/>
      <c r="J129" s="1427"/>
      <c r="L129" s="1432"/>
      <c r="N129" s="2013">
        <v>1</v>
      </c>
      <c r="O129" s="2013"/>
      <c r="P129"/>
      <c r="Q129"/>
      <c r="R129"/>
      <c r="S129"/>
      <c r="T129"/>
      <c r="U129"/>
      <c r="V129"/>
      <c r="W129" s="565">
        <f>'Verification Report'!O1451</f>
        <v>0</v>
      </c>
      <c r="X129" s="1757"/>
      <c r="Y129" s="2077"/>
      <c r="AA129"/>
      <c r="AB129"/>
      <c r="AC129"/>
      <c r="AO129"/>
      <c r="AR129"/>
      <c r="AS129"/>
      <c r="AT129"/>
      <c r="AU129"/>
      <c r="AV129"/>
      <c r="AW129"/>
      <c r="AX129"/>
      <c r="AY129"/>
      <c r="AZ129"/>
      <c r="BA129"/>
      <c r="BB129"/>
      <c r="BC129"/>
      <c r="BD129"/>
      <c r="BE129"/>
      <c r="BF129"/>
      <c r="BG129"/>
      <c r="BH129"/>
      <c r="BI129"/>
    </row>
    <row r="130" spans="2:61" x14ac:dyDescent="0.25">
      <c r="B130"/>
      <c r="C130" s="1427" t="s">
        <v>5281</v>
      </c>
      <c r="D130" s="1427"/>
      <c r="E130" s="1427"/>
      <c r="F130" s="1427"/>
      <c r="G130" s="1427"/>
      <c r="H130" s="1427"/>
      <c r="I130" s="1427"/>
      <c r="J130" s="1427"/>
      <c r="L130" s="1433"/>
      <c r="N130" s="2014" t="s">
        <v>5401</v>
      </c>
      <c r="O130" s="2014"/>
      <c r="P130"/>
      <c r="Q130"/>
      <c r="R130"/>
      <c r="S130" s="1452" t="b">
        <f ca="1">IF($AY$18=INDEX(INDIRECT("ddSingleOrMulti"),2),TRUE,FALSE)</f>
        <v>0</v>
      </c>
      <c r="T130"/>
      <c r="U130"/>
      <c r="V130"/>
      <c r="W130" s="565">
        <f ca="1">('Verification Report'!O1434+'Verification Report'!O1438)*S130</f>
        <v>0</v>
      </c>
      <c r="X130" s="1757"/>
      <c r="Y130" s="2077"/>
      <c r="AA130"/>
      <c r="AB130"/>
      <c r="AC130"/>
      <c r="AO130"/>
      <c r="AR130"/>
      <c r="AS130"/>
      <c r="AT130"/>
      <c r="AU130"/>
      <c r="AV130"/>
      <c r="AW130"/>
      <c r="AX130"/>
      <c r="AY130"/>
      <c r="AZ130"/>
      <c r="BA130"/>
      <c r="BB130"/>
      <c r="BC130"/>
      <c r="BD130"/>
      <c r="BE130"/>
      <c r="BF130"/>
      <c r="BG130"/>
      <c r="BH130"/>
      <c r="BI130"/>
    </row>
    <row r="131" spans="2:61" x14ac:dyDescent="0.25">
      <c r="B131"/>
      <c r="C131" s="1427" t="s">
        <v>5282</v>
      </c>
      <c r="D131" s="1427"/>
      <c r="E131" s="1427"/>
      <c r="F131" s="1427"/>
      <c r="G131" s="1427"/>
      <c r="H131" s="1427"/>
      <c r="I131" s="1427"/>
      <c r="J131" s="1427"/>
      <c r="L131" s="1433"/>
      <c r="N131" s="2014" t="s">
        <v>5409</v>
      </c>
      <c r="O131" s="2014"/>
      <c r="P131"/>
      <c r="Q131"/>
      <c r="R131"/>
      <c r="S131" s="1452" t="b">
        <f ca="1">IF($AY$18=INDEX(INDIRECT("ddSingleOrMulti"),2),TRUE,FALSE)</f>
        <v>0</v>
      </c>
      <c r="T131"/>
      <c r="U131"/>
      <c r="V131"/>
      <c r="W131" s="565">
        <f ca="1">'Verification Report'!O1443*S131</f>
        <v>0</v>
      </c>
      <c r="X131" s="1757"/>
      <c r="Y131" s="2077"/>
      <c r="AA131"/>
      <c r="AB131"/>
      <c r="AC131"/>
      <c r="AO131"/>
      <c r="AR131"/>
      <c r="AS131"/>
      <c r="AT131"/>
      <c r="AU131"/>
      <c r="AV131"/>
      <c r="AW131"/>
      <c r="AX131"/>
      <c r="AY131"/>
      <c r="AZ131"/>
      <c r="BA131"/>
      <c r="BB131"/>
      <c r="BC131"/>
      <c r="BD131"/>
      <c r="BE131"/>
      <c r="BF131"/>
      <c r="BG131"/>
      <c r="BH131"/>
      <c r="BI131"/>
    </row>
    <row r="132" spans="2:61" x14ac:dyDescent="0.25">
      <c r="B132"/>
      <c r="P132"/>
      <c r="Q132"/>
      <c r="R132"/>
      <c r="S132"/>
      <c r="T132"/>
      <c r="U132"/>
      <c r="V132"/>
      <c r="W132"/>
      <c r="X132"/>
      <c r="Y132"/>
      <c r="AA132"/>
      <c r="AB132"/>
      <c r="AC132"/>
      <c r="AO132"/>
      <c r="AR132"/>
      <c r="AS132"/>
      <c r="AT132"/>
      <c r="AU132"/>
      <c r="AV132"/>
      <c r="AW132"/>
      <c r="AX132"/>
      <c r="AY132"/>
      <c r="AZ132"/>
      <c r="BA132"/>
      <c r="BB132"/>
      <c r="BC132"/>
      <c r="BD132"/>
      <c r="BE132"/>
      <c r="BF132"/>
      <c r="BG132"/>
      <c r="BH132"/>
      <c r="BI132"/>
    </row>
    <row r="133" spans="2:61" x14ac:dyDescent="0.25">
      <c r="B133"/>
      <c r="C133"/>
      <c r="D133"/>
      <c r="E133"/>
      <c r="F133"/>
      <c r="G133"/>
      <c r="H133"/>
      <c r="I133"/>
      <c r="J133"/>
      <c r="K133"/>
      <c r="L133"/>
      <c r="M133"/>
      <c r="N133"/>
      <c r="O133"/>
      <c r="P133"/>
      <c r="Q133"/>
      <c r="R133"/>
      <c r="S133"/>
      <c r="T133"/>
      <c r="U133"/>
      <c r="V133"/>
      <c r="W133"/>
      <c r="X133"/>
      <c r="Y133"/>
      <c r="AA133"/>
      <c r="AB133"/>
      <c r="AC133"/>
      <c r="AO133"/>
      <c r="AR133"/>
      <c r="AS133"/>
      <c r="AT133"/>
      <c r="AU133"/>
      <c r="AV133"/>
      <c r="AW133"/>
      <c r="AX133"/>
      <c r="AY133"/>
      <c r="AZ133"/>
      <c r="BA133"/>
      <c r="BB133"/>
      <c r="BC133"/>
      <c r="BD133"/>
      <c r="BE133"/>
      <c r="BF133"/>
      <c r="BG133"/>
      <c r="BH133"/>
      <c r="BI133"/>
    </row>
    <row r="134" spans="2:61" x14ac:dyDescent="0.25">
      <c r="B134"/>
      <c r="C134" s="1430" t="s">
        <v>5284</v>
      </c>
      <c r="X134"/>
      <c r="Y134"/>
      <c r="AA134"/>
      <c r="AB134"/>
      <c r="AC134"/>
      <c r="AO134"/>
      <c r="AR134"/>
      <c r="AS134"/>
      <c r="AT134"/>
      <c r="AU134"/>
      <c r="AV134"/>
      <c r="AW134"/>
      <c r="AX134"/>
      <c r="AY134"/>
      <c r="AZ134"/>
      <c r="BA134"/>
      <c r="BB134"/>
      <c r="BC134"/>
      <c r="BD134"/>
      <c r="BE134"/>
      <c r="BF134"/>
      <c r="BG134"/>
      <c r="BH134"/>
      <c r="BI134"/>
    </row>
    <row r="135" spans="2:61" x14ac:dyDescent="0.25">
      <c r="C135" s="1445" t="s">
        <v>5285</v>
      </c>
      <c r="AA135"/>
      <c r="AB135"/>
      <c r="AC135"/>
      <c r="AO135"/>
      <c r="AR135"/>
      <c r="AS135"/>
      <c r="AT135"/>
      <c r="AU135"/>
      <c r="AV135"/>
      <c r="AW135"/>
      <c r="AX135"/>
      <c r="AY135"/>
      <c r="AZ135"/>
      <c r="BA135"/>
      <c r="BB135"/>
      <c r="BC135"/>
      <c r="BD135"/>
      <c r="BE135"/>
      <c r="BF135"/>
      <c r="BG135"/>
      <c r="BH135"/>
      <c r="BI135"/>
    </row>
    <row r="136" spans="2:61" x14ac:dyDescent="0.25">
      <c r="D136" s="1421" t="s">
        <v>5275</v>
      </c>
      <c r="AA136"/>
      <c r="AB136"/>
      <c r="AC136"/>
      <c r="AO136"/>
      <c r="AR136"/>
      <c r="AS136"/>
      <c r="AT136"/>
      <c r="AU136"/>
      <c r="AV136"/>
      <c r="AW136"/>
      <c r="AX136"/>
      <c r="AY136"/>
      <c r="AZ136"/>
      <c r="BA136"/>
      <c r="BB136"/>
      <c r="BC136"/>
      <c r="BD136"/>
      <c r="BE136"/>
      <c r="BF136"/>
      <c r="BG136"/>
      <c r="BH136"/>
      <c r="BI136"/>
    </row>
    <row r="137" spans="2:61" x14ac:dyDescent="0.25">
      <c r="D137" s="1421" t="s">
        <v>5408</v>
      </c>
      <c r="AA137"/>
      <c r="AB137"/>
      <c r="AC137"/>
      <c r="AO137"/>
      <c r="AR137"/>
      <c r="AS137"/>
      <c r="AT137"/>
      <c r="AU137"/>
      <c r="AV137"/>
      <c r="AW137"/>
      <c r="AX137"/>
      <c r="AY137"/>
      <c r="AZ137"/>
      <c r="BA137"/>
      <c r="BB137"/>
      <c r="BC137"/>
      <c r="BD137"/>
      <c r="BE137"/>
      <c r="BF137"/>
      <c r="BG137"/>
      <c r="BH137"/>
      <c r="BI137"/>
    </row>
    <row r="138" spans="2:61" x14ac:dyDescent="0.25">
      <c r="C138" s="1445" t="s">
        <v>5407</v>
      </c>
      <c r="N138" s="2012" t="s">
        <v>249</v>
      </c>
      <c r="O138" s="2012"/>
      <c r="AA138"/>
      <c r="AB138"/>
      <c r="AC138"/>
      <c r="AO138"/>
      <c r="AR138"/>
      <c r="AS138"/>
      <c r="AT138"/>
      <c r="AU138"/>
      <c r="AV138"/>
      <c r="AW138"/>
      <c r="AX138"/>
      <c r="AY138"/>
      <c r="AZ138"/>
      <c r="BA138"/>
      <c r="BB138"/>
      <c r="BC138"/>
      <c r="BD138"/>
      <c r="BE138"/>
      <c r="BF138"/>
      <c r="BG138"/>
      <c r="BH138"/>
      <c r="BI138"/>
    </row>
    <row r="139" spans="2:61" x14ac:dyDescent="0.25">
      <c r="C139" s="1431" t="s">
        <v>5286</v>
      </c>
      <c r="N139" s="2012" t="s">
        <v>4108</v>
      </c>
      <c r="O139" s="2012"/>
      <c r="W139" s="565" t="str">
        <f>IF('Verification Report'!W1536=TRUE,"Met","Not Met")</f>
        <v>Not Met</v>
      </c>
      <c r="X139" s="1757"/>
      <c r="Y139" s="2077" t="str">
        <f>IF(LEN('Badges (Design)'!X139)=0,"None",'Badges (Design)'!X139)</f>
        <v>None</v>
      </c>
      <c r="AA139"/>
      <c r="AB139"/>
      <c r="AC139"/>
      <c r="AO139"/>
      <c r="AR139" s="1461" t="s">
        <v>5566</v>
      </c>
      <c r="AS139" s="254" t="str">
        <f>IF(LEN(X139)=0,"",X139)</f>
        <v/>
      </c>
      <c r="AT139"/>
      <c r="AU139"/>
      <c r="AV139"/>
      <c r="AW139"/>
      <c r="AX139"/>
      <c r="AY139"/>
      <c r="AZ139"/>
      <c r="BA139"/>
      <c r="BB139"/>
      <c r="BC139"/>
      <c r="BD139"/>
      <c r="BE139"/>
      <c r="BF139"/>
      <c r="BG139"/>
      <c r="BH139"/>
      <c r="BI139"/>
    </row>
    <row r="140" spans="2:61" x14ac:dyDescent="0.25">
      <c r="C140" s="1431" t="s">
        <v>5287</v>
      </c>
      <c r="E140"/>
      <c r="F140"/>
      <c r="G140"/>
      <c r="H140"/>
      <c r="I140"/>
      <c r="J140"/>
      <c r="K140"/>
      <c r="L140"/>
      <c r="M140"/>
      <c r="N140" s="2012">
        <v>1</v>
      </c>
      <c r="O140" s="2012"/>
      <c r="P140"/>
      <c r="Q140"/>
      <c r="R140"/>
      <c r="S140"/>
      <c r="T140"/>
      <c r="U140"/>
      <c r="V140"/>
      <c r="W140" s="565">
        <f>'Verification Report'!O1611</f>
        <v>0</v>
      </c>
      <c r="X140" s="1757"/>
      <c r="Y140" s="2077"/>
      <c r="AA140"/>
      <c r="AB140"/>
      <c r="AC140"/>
      <c r="AO140"/>
      <c r="AR140"/>
      <c r="AS140"/>
      <c r="AT140"/>
      <c r="AU140"/>
      <c r="AV140"/>
      <c r="AW140"/>
      <c r="AX140"/>
      <c r="AY140"/>
      <c r="AZ140"/>
      <c r="BA140"/>
      <c r="BB140"/>
      <c r="BC140"/>
      <c r="BD140"/>
      <c r="BE140"/>
      <c r="BF140"/>
      <c r="BG140"/>
      <c r="BH140"/>
      <c r="BI140"/>
    </row>
    <row r="141" spans="2:61" x14ac:dyDescent="0.25">
      <c r="C141" s="1431" t="s">
        <v>5288</v>
      </c>
      <c r="E141"/>
      <c r="F141"/>
      <c r="G141"/>
      <c r="H141"/>
      <c r="I141"/>
      <c r="J141"/>
      <c r="K141"/>
      <c r="L141"/>
      <c r="M141"/>
      <c r="N141" s="2012">
        <v>2</v>
      </c>
      <c r="O141" s="2012"/>
      <c r="P141"/>
      <c r="Q141"/>
      <c r="R141"/>
      <c r="S141"/>
      <c r="T141"/>
      <c r="U141"/>
      <c r="V141"/>
      <c r="W141" s="565">
        <f>'Verification Report'!O1616</f>
        <v>0</v>
      </c>
      <c r="X141" s="1757"/>
      <c r="Y141" s="2077"/>
      <c r="AA141"/>
      <c r="AB141"/>
      <c r="AC141"/>
      <c r="AO141"/>
      <c r="AR141"/>
      <c r="AS141"/>
      <c r="AT141"/>
      <c r="AU141"/>
      <c r="AV141"/>
      <c r="AW141"/>
      <c r="AX141"/>
      <c r="AY141"/>
      <c r="AZ141"/>
      <c r="BA141"/>
      <c r="BB141"/>
      <c r="BC141"/>
      <c r="BD141"/>
      <c r="BE141"/>
      <c r="BF141"/>
      <c r="BG141"/>
      <c r="BH141"/>
      <c r="BI141"/>
    </row>
    <row r="142" spans="2:61" x14ac:dyDescent="0.25">
      <c r="C142" s="1431" t="s">
        <v>5289</v>
      </c>
      <c r="D142"/>
      <c r="E142"/>
      <c r="F142"/>
      <c r="G142"/>
      <c r="H142"/>
      <c r="I142"/>
      <c r="J142"/>
      <c r="K142"/>
      <c r="L142"/>
      <c r="M142"/>
      <c r="N142" s="2012">
        <v>3</v>
      </c>
      <c r="O142" s="2012"/>
      <c r="P142"/>
      <c r="Q142"/>
      <c r="R142"/>
      <c r="S142"/>
      <c r="T142"/>
      <c r="U142"/>
      <c r="V142"/>
      <c r="W142" s="565">
        <f>'Verification Report'!O2456</f>
        <v>0</v>
      </c>
      <c r="X142" s="1757"/>
      <c r="Y142" s="2077"/>
      <c r="AA142"/>
      <c r="AB142"/>
      <c r="AC142"/>
      <c r="AO142"/>
      <c r="AR142"/>
      <c r="AS142"/>
      <c r="AT142"/>
      <c r="AU142"/>
      <c r="AV142"/>
      <c r="AW142"/>
      <c r="AX142"/>
      <c r="AY142"/>
      <c r="AZ142"/>
      <c r="BA142"/>
      <c r="BB142"/>
      <c r="BC142"/>
      <c r="BD142"/>
      <c r="BE142"/>
      <c r="BF142"/>
      <c r="BG142"/>
      <c r="BH142"/>
      <c r="BI142"/>
    </row>
    <row r="143" spans="2:61" x14ac:dyDescent="0.25">
      <c r="B143"/>
      <c r="C143" s="1431" t="s">
        <v>5290</v>
      </c>
      <c r="D143"/>
      <c r="E143"/>
      <c r="F143"/>
      <c r="G143"/>
      <c r="H143"/>
      <c r="I143"/>
      <c r="J143"/>
      <c r="K143"/>
      <c r="L143"/>
      <c r="M143"/>
      <c r="N143" s="2012">
        <v>2</v>
      </c>
      <c r="O143" s="2012"/>
      <c r="P143"/>
      <c r="Q143"/>
      <c r="R143"/>
      <c r="S143"/>
      <c r="T143"/>
      <c r="U143"/>
      <c r="V143"/>
      <c r="W143" s="565">
        <f>MAX('Verification Report'!O1534-1,0)</f>
        <v>0</v>
      </c>
      <c r="X143" s="1757"/>
      <c r="Y143" s="2077"/>
      <c r="AA143"/>
      <c r="AB143"/>
      <c r="AC143"/>
      <c r="AO143"/>
      <c r="AR143"/>
      <c r="AS143"/>
      <c r="AT143"/>
      <c r="AU143"/>
      <c r="AV143"/>
      <c r="AW143"/>
      <c r="AX143"/>
      <c r="AY143"/>
      <c r="AZ143"/>
      <c r="BA143"/>
      <c r="BB143"/>
      <c r="BC143"/>
      <c r="BD143"/>
      <c r="BE143"/>
      <c r="BF143"/>
      <c r="BG143"/>
      <c r="BH143"/>
      <c r="BI143"/>
    </row>
    <row r="144" spans="2:61" x14ac:dyDescent="0.25">
      <c r="B144"/>
      <c r="C144" s="1431" t="s">
        <v>5291</v>
      </c>
      <c r="D144"/>
      <c r="E144"/>
      <c r="F144"/>
      <c r="G144"/>
      <c r="H144"/>
      <c r="I144"/>
      <c r="J144"/>
      <c r="K144"/>
      <c r="L144"/>
      <c r="M144"/>
      <c r="N144" s="2012" t="s">
        <v>5283</v>
      </c>
      <c r="O144" s="2012"/>
      <c r="P144"/>
      <c r="Q144"/>
      <c r="R144"/>
      <c r="S144"/>
      <c r="T144"/>
      <c r="U144"/>
      <c r="V144"/>
      <c r="W144" s="565">
        <f>'Verification Report'!O1556</f>
        <v>0</v>
      </c>
      <c r="X144" s="1757"/>
      <c r="Y144" s="2077"/>
      <c r="AA144"/>
      <c r="AB144"/>
      <c r="AC144"/>
      <c r="AO144"/>
      <c r="AR144"/>
      <c r="AS144"/>
      <c r="AT144"/>
      <c r="AU144"/>
      <c r="AV144"/>
      <c r="AW144"/>
      <c r="AX144"/>
      <c r="AY144"/>
      <c r="AZ144"/>
      <c r="BA144"/>
      <c r="BB144"/>
      <c r="BC144"/>
      <c r="BD144"/>
      <c r="BE144"/>
      <c r="BF144"/>
      <c r="BG144"/>
      <c r="BH144"/>
      <c r="BI144"/>
    </row>
    <row r="145" spans="2:61" x14ac:dyDescent="0.25">
      <c r="B145"/>
      <c r="X145"/>
      <c r="Y145"/>
      <c r="AA145"/>
      <c r="AB145"/>
      <c r="AC145"/>
      <c r="AO145"/>
      <c r="AR145"/>
      <c r="AS145"/>
      <c r="AT145"/>
      <c r="AU145"/>
      <c r="AV145"/>
      <c r="AW145"/>
      <c r="AX145"/>
      <c r="AY145"/>
      <c r="AZ145"/>
      <c r="BA145"/>
      <c r="BB145"/>
      <c r="BC145"/>
      <c r="BD145"/>
      <c r="BE145"/>
      <c r="BF145"/>
      <c r="BG145"/>
      <c r="BH145"/>
      <c r="BI145"/>
    </row>
    <row r="146" spans="2:61" x14ac:dyDescent="0.25">
      <c r="B146"/>
      <c r="C146" s="1431"/>
      <c r="D146"/>
      <c r="E146"/>
      <c r="F146"/>
      <c r="G146"/>
      <c r="H146"/>
      <c r="I146"/>
      <c r="J146"/>
      <c r="K146"/>
      <c r="L146"/>
      <c r="M146"/>
      <c r="N146"/>
      <c r="O146"/>
      <c r="P146"/>
      <c r="Q146"/>
      <c r="R146"/>
      <c r="S146"/>
      <c r="T146"/>
      <c r="U146"/>
      <c r="V146"/>
      <c r="W146"/>
      <c r="X146"/>
      <c r="Y146"/>
      <c r="AA146"/>
      <c r="AB146"/>
      <c r="AC146"/>
      <c r="AO146"/>
      <c r="AR146"/>
      <c r="AS146"/>
      <c r="AT146"/>
      <c r="AU146"/>
      <c r="AV146"/>
      <c r="AW146"/>
      <c r="AX146"/>
      <c r="AY146"/>
      <c r="AZ146"/>
      <c r="BA146"/>
      <c r="BB146"/>
      <c r="BC146"/>
      <c r="BD146"/>
      <c r="BE146"/>
      <c r="BF146"/>
      <c r="BG146"/>
      <c r="BH146"/>
      <c r="BI146"/>
    </row>
    <row r="147" spans="2:61" x14ac:dyDescent="0.25">
      <c r="B147"/>
      <c r="C147" s="627" t="s">
        <v>5292</v>
      </c>
      <c r="D147" s="8"/>
      <c r="E147" s="8"/>
      <c r="F147" s="8"/>
      <c r="G147" s="8"/>
      <c r="H147" s="8"/>
      <c r="I147" s="8"/>
      <c r="J147"/>
      <c r="K147"/>
      <c r="L147"/>
      <c r="M147"/>
      <c r="N147"/>
      <c r="O147"/>
      <c r="P147"/>
      <c r="Q147"/>
      <c r="R147"/>
      <c r="S147"/>
      <c r="T147"/>
      <c r="U147"/>
      <c r="V147"/>
      <c r="W147"/>
      <c r="X147"/>
      <c r="Y147"/>
      <c r="AA147"/>
      <c r="AB147"/>
      <c r="AC147"/>
      <c r="AO147"/>
      <c r="AR147"/>
      <c r="AS147"/>
      <c r="AT147"/>
      <c r="AU147"/>
      <c r="AV147"/>
      <c r="AW147"/>
      <c r="AX147"/>
      <c r="AY147"/>
      <c r="AZ147"/>
      <c r="BA147"/>
      <c r="BB147"/>
      <c r="BC147"/>
      <c r="BD147"/>
      <c r="BE147"/>
      <c r="BF147"/>
      <c r="BG147"/>
      <c r="BH147"/>
      <c r="BI147"/>
    </row>
    <row r="148" spans="2:61" x14ac:dyDescent="0.25">
      <c r="B148"/>
      <c r="C148" s="1446" t="s">
        <v>5255</v>
      </c>
      <c r="D148" s="8"/>
      <c r="E148" s="8"/>
      <c r="F148" s="8"/>
      <c r="G148" s="8"/>
      <c r="H148" s="8"/>
      <c r="I148" s="8"/>
      <c r="J148"/>
      <c r="K148"/>
      <c r="L148"/>
      <c r="M148"/>
      <c r="N148"/>
      <c r="O148"/>
      <c r="P148"/>
      <c r="Q148"/>
      <c r="R148"/>
      <c r="S148"/>
      <c r="T148"/>
      <c r="U148"/>
      <c r="V148"/>
      <c r="W148"/>
      <c r="X148"/>
      <c r="Y148"/>
      <c r="AA148"/>
      <c r="AB148"/>
      <c r="AC148"/>
      <c r="AO148"/>
      <c r="AR148"/>
      <c r="AS148"/>
      <c r="AT148"/>
      <c r="AU148"/>
      <c r="AV148"/>
      <c r="AW148"/>
      <c r="AX148"/>
      <c r="AY148"/>
      <c r="AZ148"/>
      <c r="BA148"/>
      <c r="BB148"/>
      <c r="BC148"/>
      <c r="BD148"/>
      <c r="BE148"/>
      <c r="BF148"/>
      <c r="BG148"/>
      <c r="BH148"/>
      <c r="BI148"/>
    </row>
    <row r="149" spans="2:61" x14ac:dyDescent="0.25">
      <c r="D149" s="8" t="s">
        <v>5297</v>
      </c>
      <c r="E149" s="8"/>
      <c r="F149" s="8"/>
      <c r="G149" s="8"/>
      <c r="H149" s="8"/>
      <c r="I149" s="8"/>
      <c r="AA149"/>
      <c r="AB149"/>
      <c r="AC149"/>
      <c r="AO149"/>
      <c r="AR149"/>
      <c r="AS149"/>
      <c r="AT149"/>
      <c r="AU149"/>
      <c r="AV149"/>
      <c r="AW149"/>
      <c r="AX149"/>
      <c r="AY149"/>
      <c r="AZ149"/>
      <c r="BA149"/>
      <c r="BB149"/>
      <c r="BC149"/>
      <c r="BD149"/>
      <c r="BE149"/>
      <c r="BF149"/>
      <c r="BG149"/>
      <c r="BH149"/>
      <c r="BI149"/>
    </row>
    <row r="150" spans="2:61" x14ac:dyDescent="0.25">
      <c r="D150" s="8" t="s">
        <v>5408</v>
      </c>
      <c r="AA150"/>
      <c r="AB150"/>
      <c r="AC150"/>
      <c r="AO150"/>
      <c r="AR150"/>
      <c r="AS150"/>
      <c r="AT150"/>
      <c r="AU150"/>
      <c r="AV150"/>
      <c r="AW150"/>
      <c r="AX150"/>
      <c r="AY150"/>
      <c r="AZ150"/>
      <c r="BA150"/>
      <c r="BB150"/>
      <c r="BC150"/>
      <c r="BD150"/>
      <c r="BE150"/>
      <c r="BF150"/>
      <c r="BG150"/>
      <c r="BH150"/>
      <c r="BI150"/>
    </row>
    <row r="151" spans="2:61" x14ac:dyDescent="0.25">
      <c r="C151" s="1445" t="s">
        <v>5407</v>
      </c>
      <c r="E151" s="8"/>
      <c r="F151" s="8"/>
      <c r="G151" s="8"/>
      <c r="H151" s="8"/>
      <c r="I151" s="8"/>
      <c r="N151" s="1706" t="s">
        <v>249</v>
      </c>
      <c r="O151" s="1706"/>
      <c r="AA151"/>
      <c r="AB151"/>
      <c r="AC151"/>
      <c r="AO151"/>
      <c r="AR151"/>
      <c r="AS151"/>
      <c r="AT151"/>
      <c r="AU151"/>
      <c r="AV151"/>
      <c r="AW151"/>
      <c r="AX151"/>
      <c r="AY151"/>
      <c r="AZ151"/>
      <c r="BA151"/>
      <c r="BB151"/>
      <c r="BC151"/>
      <c r="BD151"/>
      <c r="BE151"/>
      <c r="BF151"/>
      <c r="BG151"/>
      <c r="BH151"/>
      <c r="BI151"/>
    </row>
    <row r="152" spans="2:61" x14ac:dyDescent="0.25">
      <c r="C152" s="8" t="s">
        <v>5293</v>
      </c>
      <c r="E152" s="8"/>
      <c r="F152" s="8"/>
      <c r="G152" s="8"/>
      <c r="H152" s="8"/>
      <c r="I152" s="8"/>
      <c r="N152" s="2012" t="s">
        <v>4108</v>
      </c>
      <c r="O152" s="2012"/>
      <c r="P152" s="1452" t="b">
        <v>1</v>
      </c>
      <c r="Q152" s="1452" t="b">
        <v>1</v>
      </c>
      <c r="R152" s="1441" t="b">
        <f ca="1">S152</f>
        <v>0</v>
      </c>
      <c r="S152" s="1" t="b">
        <f ca="1">'Verification Report'!S1785</f>
        <v>0</v>
      </c>
      <c r="T152" s="1441" t="b">
        <v>0</v>
      </c>
      <c r="W152" s="25"/>
      <c r="X152" s="1757"/>
      <c r="Y152" s="2077" t="str">
        <f>IF(LEN('Badges (Design)'!X152)=0,"None",'Badges (Design)'!X152)</f>
        <v>None</v>
      </c>
      <c r="AA152"/>
      <c r="AB152"/>
      <c r="AC152"/>
      <c r="AO152"/>
      <c r="AP152" s="1461" t="s">
        <v>5524</v>
      </c>
      <c r="AQ152" s="254" t="str">
        <f>IF(LEN(W152)=0,"",W152)</f>
        <v/>
      </c>
      <c r="AR152" s="1461" t="s">
        <v>5426</v>
      </c>
      <c r="AS152" s="254" t="str">
        <f>IF(LEN(X152)=0,"",X152)</f>
        <v/>
      </c>
      <c r="AT152"/>
      <c r="AU152"/>
      <c r="AV152"/>
      <c r="AW152"/>
      <c r="AX152"/>
      <c r="AY152"/>
      <c r="AZ152"/>
      <c r="BA152"/>
      <c r="BB152"/>
      <c r="BC152"/>
      <c r="BD152"/>
      <c r="BE152"/>
      <c r="BF152"/>
      <c r="BG152"/>
      <c r="BH152"/>
      <c r="BI152"/>
    </row>
    <row r="153" spans="2:61" x14ac:dyDescent="0.25">
      <c r="C153" s="8" t="s">
        <v>5294</v>
      </c>
      <c r="E153" s="8"/>
      <c r="F153" s="8"/>
      <c r="G153" s="8"/>
      <c r="H153" s="8"/>
      <c r="I153" s="8"/>
      <c r="N153" s="1706">
        <v>3</v>
      </c>
      <c r="O153" s="1706"/>
      <c r="P153" s="1452" t="b">
        <v>1</v>
      </c>
      <c r="Q153" s="1452" t="b">
        <v>1</v>
      </c>
      <c r="R153" s="1441" t="b">
        <v>0</v>
      </c>
      <c r="S153" s="1441" t="b">
        <v>1</v>
      </c>
      <c r="T153" s="1441" t="b">
        <v>0</v>
      </c>
      <c r="W153" s="25"/>
      <c r="X153" s="1757"/>
      <c r="Y153" s="2077"/>
      <c r="AA153"/>
      <c r="AB153"/>
      <c r="AC153"/>
      <c r="AO153"/>
      <c r="AP153" s="1461" t="s">
        <v>5525</v>
      </c>
      <c r="AQ153" s="254" t="str">
        <f>IF(LEN(W153)=0,"",W153)</f>
        <v/>
      </c>
      <c r="AR153"/>
      <c r="AS153"/>
      <c r="AT153"/>
      <c r="AU153"/>
      <c r="AV153"/>
      <c r="AW153"/>
      <c r="AX153"/>
      <c r="AY153"/>
      <c r="AZ153"/>
      <c r="BA153"/>
      <c r="BB153"/>
      <c r="BC153"/>
      <c r="BD153"/>
      <c r="BE153"/>
      <c r="BF153"/>
      <c r="BG153"/>
      <c r="BH153"/>
      <c r="BI153"/>
    </row>
    <row r="154" spans="2:61" x14ac:dyDescent="0.25">
      <c r="C154" s="8" t="s">
        <v>5295</v>
      </c>
      <c r="D154" s="8"/>
      <c r="E154" s="8"/>
      <c r="F154" s="8"/>
      <c r="G154" s="8"/>
      <c r="H154" s="8"/>
      <c r="I154" s="8"/>
      <c r="N154" s="1706" t="s">
        <v>5402</v>
      </c>
      <c r="O154" s="1706"/>
      <c r="P154" s="1452" t="b">
        <v>1</v>
      </c>
      <c r="Q154" s="1452" t="b">
        <v>1</v>
      </c>
      <c r="R154" s="1441" t="b">
        <v>0</v>
      </c>
      <c r="S154" s="1452" t="b">
        <f ca="1">IF($AY$18=INDEX(INDIRECT("ddSingleOrMulti"),1),TRUE,FALSE)</f>
        <v>1</v>
      </c>
      <c r="T154" s="1441" t="b">
        <v>0</v>
      </c>
      <c r="W154" s="25"/>
      <c r="X154" s="1757"/>
      <c r="Y154" s="2077"/>
      <c r="AA154"/>
      <c r="AB154"/>
      <c r="AC154"/>
      <c r="AO154"/>
      <c r="AP154" s="1461" t="s">
        <v>5526</v>
      </c>
      <c r="AQ154" s="254" t="str">
        <f>IF(LEN(W154)=0,"",W154)</f>
        <v/>
      </c>
      <c r="AR154"/>
      <c r="AS154"/>
      <c r="AT154"/>
      <c r="AU154"/>
      <c r="AV154"/>
      <c r="AW154"/>
      <c r="AX154"/>
      <c r="AY154"/>
      <c r="AZ154"/>
      <c r="BA154"/>
      <c r="BB154"/>
      <c r="BC154"/>
      <c r="BD154"/>
      <c r="BE154"/>
      <c r="BF154"/>
      <c r="BG154"/>
      <c r="BH154"/>
      <c r="BI154"/>
    </row>
    <row r="155" spans="2:61" x14ac:dyDescent="0.25">
      <c r="C155" s="8" t="s">
        <v>5296</v>
      </c>
      <c r="D155" s="8"/>
      <c r="E155" s="8"/>
      <c r="F155" s="8"/>
      <c r="G155" s="8"/>
      <c r="H155" s="8"/>
      <c r="I155" s="8"/>
      <c r="N155" s="1706">
        <v>2</v>
      </c>
      <c r="O155" s="1706"/>
      <c r="P155" s="1452" t="b">
        <v>1</v>
      </c>
      <c r="Q155" s="1452" t="b">
        <v>1</v>
      </c>
      <c r="R155" s="1441" t="b">
        <v>0</v>
      </c>
      <c r="S155" s="1441" t="b">
        <v>1</v>
      </c>
      <c r="T155" s="1441" t="b">
        <v>0</v>
      </c>
      <c r="U155" s="1421" t="str">
        <f>'Verification Report'!U1852</f>
        <v>dd803_3</v>
      </c>
      <c r="W155" s="1443"/>
      <c r="X155" s="1757"/>
      <c r="Y155" s="2077"/>
      <c r="AA155"/>
      <c r="AB155"/>
      <c r="AC155"/>
      <c r="AO155"/>
      <c r="AP155" s="1461" t="s">
        <v>5527</v>
      </c>
      <c r="AQ155" s="254" t="str">
        <f>IF(LEN(W155)=0,"",W155)</f>
        <v/>
      </c>
      <c r="AR155"/>
      <c r="AS155"/>
      <c r="AT155"/>
      <c r="AU155"/>
      <c r="AV155"/>
      <c r="AW155"/>
      <c r="AX155"/>
      <c r="AY155"/>
      <c r="AZ155"/>
      <c r="BA155"/>
      <c r="BB155"/>
      <c r="BC155"/>
      <c r="BD155"/>
      <c r="BE155"/>
      <c r="BF155"/>
      <c r="BG155"/>
      <c r="BH155"/>
      <c r="BI155"/>
    </row>
    <row r="156" spans="2:61" x14ac:dyDescent="0.25">
      <c r="C156"/>
      <c r="D156"/>
      <c r="E156"/>
      <c r="F156"/>
      <c r="G156"/>
      <c r="H156"/>
      <c r="I156"/>
      <c r="J156"/>
      <c r="AA156"/>
      <c r="AB156"/>
      <c r="AC156"/>
      <c r="AO156"/>
      <c r="AR156"/>
      <c r="AS156"/>
      <c r="AT156"/>
      <c r="AU156"/>
      <c r="AV156"/>
      <c r="AW156"/>
      <c r="AX156"/>
      <c r="AY156"/>
      <c r="AZ156"/>
      <c r="BA156"/>
      <c r="BB156"/>
      <c r="BC156"/>
      <c r="BD156"/>
      <c r="BE156"/>
      <c r="BF156"/>
      <c r="BG156"/>
      <c r="BH156"/>
      <c r="BI156"/>
    </row>
    <row r="157" spans="2:61" x14ac:dyDescent="0.25">
      <c r="C157"/>
      <c r="D157"/>
      <c r="E157"/>
      <c r="F157"/>
      <c r="G157"/>
      <c r="H157"/>
      <c r="I157"/>
      <c r="J157"/>
      <c r="AA157"/>
      <c r="AB157"/>
      <c r="AC157"/>
      <c r="AO157"/>
      <c r="AR157"/>
      <c r="AS157"/>
      <c r="AT157"/>
      <c r="AU157"/>
      <c r="AV157"/>
      <c r="AW157"/>
      <c r="AX157"/>
      <c r="AY157"/>
      <c r="AZ157"/>
      <c r="BA157"/>
      <c r="BB157"/>
      <c r="BC157"/>
      <c r="BD157"/>
      <c r="BE157"/>
      <c r="BF157"/>
      <c r="BG157"/>
      <c r="BH157"/>
      <c r="BI157"/>
    </row>
    <row r="158" spans="2:61" x14ac:dyDescent="0.25">
      <c r="B158"/>
      <c r="C158" s="1430" t="s">
        <v>5298</v>
      </c>
      <c r="D158"/>
      <c r="E158"/>
      <c r="F158"/>
      <c r="G158"/>
      <c r="H158"/>
      <c r="I158"/>
      <c r="J158"/>
      <c r="K158"/>
      <c r="L158"/>
      <c r="M158"/>
      <c r="N158"/>
      <c r="O158"/>
      <c r="P158"/>
      <c r="Q158"/>
      <c r="R158"/>
      <c r="S158"/>
      <c r="T158"/>
      <c r="U158"/>
      <c r="V158"/>
      <c r="W158"/>
      <c r="X158"/>
      <c r="Y158"/>
      <c r="AA158"/>
      <c r="AB158"/>
      <c r="AC158"/>
      <c r="AO158"/>
      <c r="AR158"/>
      <c r="AS158"/>
      <c r="AT158"/>
      <c r="AU158"/>
      <c r="AV158"/>
      <c r="AW158"/>
      <c r="AX158"/>
      <c r="AY158"/>
      <c r="AZ158"/>
      <c r="BA158"/>
      <c r="BB158"/>
      <c r="BC158"/>
      <c r="BD158"/>
      <c r="BE158"/>
      <c r="BF158"/>
      <c r="BG158"/>
      <c r="BH158"/>
      <c r="BI158"/>
    </row>
    <row r="159" spans="2:61" x14ac:dyDescent="0.25">
      <c r="B159"/>
      <c r="C159" s="1445" t="s">
        <v>5255</v>
      </c>
      <c r="D159"/>
      <c r="E159"/>
      <c r="F159"/>
      <c r="G159"/>
      <c r="H159"/>
      <c r="I159"/>
      <c r="J159"/>
      <c r="K159"/>
      <c r="L159"/>
      <c r="M159"/>
      <c r="N159"/>
      <c r="O159"/>
      <c r="P159"/>
      <c r="Q159"/>
      <c r="R159"/>
      <c r="S159"/>
      <c r="T159"/>
      <c r="U159"/>
      <c r="V159"/>
      <c r="W159"/>
      <c r="X159"/>
      <c r="Y159"/>
      <c r="AA159"/>
      <c r="AB159"/>
      <c r="AC159"/>
      <c r="AO159"/>
      <c r="AR159"/>
      <c r="AS159"/>
      <c r="AT159"/>
      <c r="AU159"/>
      <c r="AV159"/>
      <c r="AW159"/>
      <c r="AX159"/>
      <c r="AY159"/>
      <c r="AZ159"/>
      <c r="BA159"/>
      <c r="BB159"/>
      <c r="BC159"/>
      <c r="BD159"/>
      <c r="BE159"/>
      <c r="BF159"/>
      <c r="BG159"/>
      <c r="BH159"/>
      <c r="BI159"/>
    </row>
    <row r="160" spans="2:61" x14ac:dyDescent="0.25">
      <c r="B160"/>
      <c r="C160" s="1428"/>
      <c r="D160" t="s">
        <v>5424</v>
      </c>
      <c r="E160"/>
      <c r="F160"/>
      <c r="G160"/>
      <c r="H160"/>
      <c r="I160"/>
      <c r="J160"/>
      <c r="K160"/>
      <c r="L160"/>
      <c r="M160"/>
      <c r="N160"/>
      <c r="O160"/>
      <c r="P160"/>
      <c r="Q160"/>
      <c r="R160"/>
      <c r="S160"/>
      <c r="T160"/>
      <c r="U160"/>
      <c r="V160"/>
      <c r="W160"/>
      <c r="X160"/>
      <c r="Y160"/>
      <c r="AA160"/>
      <c r="AB160"/>
      <c r="AC160"/>
      <c r="AO160"/>
      <c r="AR160"/>
      <c r="AS160"/>
      <c r="AT160"/>
      <c r="AU160"/>
      <c r="AV160"/>
      <c r="AW160"/>
      <c r="AX160"/>
      <c r="AY160"/>
      <c r="AZ160"/>
      <c r="BA160"/>
      <c r="BB160"/>
      <c r="BC160"/>
      <c r="BD160"/>
      <c r="BE160"/>
      <c r="BF160"/>
      <c r="BG160"/>
      <c r="BH160"/>
      <c r="BI160"/>
    </row>
    <row r="161" spans="2:61" x14ac:dyDescent="0.25">
      <c r="B161"/>
      <c r="C161" s="1445" t="s">
        <v>5407</v>
      </c>
      <c r="E161" s="1431"/>
      <c r="F161" s="1431"/>
      <c r="G161"/>
      <c r="H161"/>
      <c r="I161"/>
      <c r="J161"/>
      <c r="K161"/>
      <c r="L161"/>
      <c r="M161"/>
      <c r="N161" s="1706" t="s">
        <v>249</v>
      </c>
      <c r="O161" s="1706"/>
      <c r="P161"/>
      <c r="Q161"/>
      <c r="R161"/>
      <c r="S161"/>
      <c r="T161"/>
      <c r="U161"/>
      <c r="V161"/>
      <c r="W161"/>
      <c r="X161"/>
      <c r="Y161"/>
      <c r="AA161"/>
      <c r="AB161"/>
      <c r="AC161"/>
      <c r="AO161"/>
      <c r="AR161"/>
      <c r="AS161"/>
      <c r="AT161"/>
      <c r="AU161"/>
      <c r="AV161"/>
      <c r="AW161"/>
      <c r="AX161"/>
      <c r="AY161"/>
      <c r="AZ161"/>
      <c r="BA161"/>
      <c r="BB161"/>
      <c r="BC161"/>
      <c r="BD161"/>
      <c r="BE161"/>
      <c r="BF161"/>
      <c r="BG161"/>
      <c r="BH161"/>
      <c r="BI161"/>
    </row>
    <row r="162" spans="2:61" x14ac:dyDescent="0.25">
      <c r="B162"/>
      <c r="C162" s="1431" t="s">
        <v>5299</v>
      </c>
      <c r="E162" s="1431"/>
      <c r="F162" s="1431"/>
      <c r="G162"/>
      <c r="H162"/>
      <c r="I162"/>
      <c r="J162"/>
      <c r="K162"/>
      <c r="L162"/>
      <c r="M162"/>
      <c r="N162" s="1706">
        <v>1</v>
      </c>
      <c r="O162" s="1706"/>
      <c r="P162"/>
      <c r="Q162"/>
      <c r="R162"/>
      <c r="S162"/>
      <c r="T162"/>
      <c r="U162"/>
      <c r="V162"/>
      <c r="W162" s="565">
        <f>'Verification Report'!O1618</f>
        <v>0</v>
      </c>
      <c r="X162" s="1757"/>
      <c r="Y162" s="2077" t="str">
        <f>IF(LEN('Badges (Design)'!X162)=0,"None",'Badges (Design)'!X162)</f>
        <v>None</v>
      </c>
      <c r="AA162"/>
      <c r="AB162"/>
      <c r="AC162"/>
      <c r="AO162"/>
      <c r="AR162" s="1461" t="s">
        <v>5567</v>
      </c>
      <c r="AS162" s="254" t="str">
        <f>IF(LEN(X162)=0,"",X162)</f>
        <v/>
      </c>
      <c r="AT162"/>
      <c r="AU162"/>
      <c r="AV162"/>
      <c r="AW162"/>
      <c r="AX162"/>
      <c r="AY162"/>
      <c r="AZ162"/>
      <c r="BA162"/>
      <c r="BB162"/>
      <c r="BC162"/>
      <c r="BD162"/>
      <c r="BE162"/>
      <c r="BF162"/>
      <c r="BG162"/>
      <c r="BH162"/>
      <c r="BI162"/>
    </row>
    <row r="163" spans="2:61" x14ac:dyDescent="0.25">
      <c r="B163"/>
      <c r="C163" s="1431" t="s">
        <v>5300</v>
      </c>
      <c r="E163" s="1431"/>
      <c r="F163" s="1431"/>
      <c r="G163"/>
      <c r="H163"/>
      <c r="I163"/>
      <c r="J163"/>
      <c r="K163"/>
      <c r="L163"/>
      <c r="M163"/>
      <c r="N163" s="1706">
        <v>2</v>
      </c>
      <c r="O163" s="1706"/>
      <c r="P163"/>
      <c r="Q163"/>
      <c r="R163"/>
      <c r="S163"/>
      <c r="T163"/>
      <c r="U163"/>
      <c r="V163"/>
      <c r="W163" s="565">
        <f>'Verification Report'!O2232</f>
        <v>0</v>
      </c>
      <c r="X163" s="1757"/>
      <c r="Y163" s="2077"/>
      <c r="AA163"/>
      <c r="AB163"/>
      <c r="AC163"/>
      <c r="AO163"/>
      <c r="AR163"/>
      <c r="AS163"/>
      <c r="AT163"/>
      <c r="AU163"/>
      <c r="AV163"/>
      <c r="AW163"/>
      <c r="AX163"/>
      <c r="AY163"/>
      <c r="AZ163"/>
      <c r="BA163"/>
      <c r="BB163"/>
      <c r="BC163"/>
      <c r="BD163"/>
      <c r="BE163"/>
      <c r="BF163"/>
      <c r="BG163"/>
      <c r="BH163"/>
      <c r="BI163"/>
    </row>
    <row r="164" spans="2:61" x14ac:dyDescent="0.25">
      <c r="B164"/>
      <c r="C164"/>
      <c r="D164"/>
      <c r="E164"/>
      <c r="F164"/>
      <c r="G164"/>
      <c r="H164"/>
      <c r="I164"/>
      <c r="J164"/>
      <c r="K164"/>
      <c r="L164"/>
      <c r="M164"/>
      <c r="N164"/>
      <c r="O164"/>
      <c r="P164"/>
      <c r="Q164"/>
      <c r="R164"/>
      <c r="S164"/>
      <c r="T164"/>
      <c r="U164"/>
      <c r="V164"/>
      <c r="W164"/>
      <c r="X164"/>
      <c r="Y164"/>
      <c r="AA164"/>
      <c r="AB164"/>
      <c r="AC164"/>
      <c r="AO164"/>
      <c r="AR164"/>
      <c r="AS164"/>
      <c r="AT164"/>
      <c r="AU164"/>
      <c r="AV164"/>
      <c r="AW164"/>
      <c r="AX164"/>
      <c r="AY164"/>
      <c r="AZ164"/>
      <c r="BA164"/>
      <c r="BB164"/>
      <c r="BC164"/>
      <c r="BD164"/>
      <c r="BE164"/>
      <c r="BF164"/>
      <c r="BG164"/>
      <c r="BH164"/>
      <c r="BI164"/>
    </row>
    <row r="165" spans="2:61" ht="15" customHeight="1" x14ac:dyDescent="0.25">
      <c r="B165"/>
      <c r="C165" s="1430" t="s">
        <v>5261</v>
      </c>
      <c r="D165" s="1431"/>
      <c r="E165" s="1431"/>
      <c r="F165" s="1431"/>
      <c r="G165" s="1431"/>
      <c r="H165" s="1431"/>
      <c r="I165" s="1431"/>
      <c r="J165" s="1431"/>
      <c r="K165" s="1431"/>
      <c r="L165" s="1429"/>
      <c r="M165" s="1431"/>
      <c r="N165" s="1431"/>
      <c r="O165" s="1429"/>
      <c r="P165" s="1431"/>
      <c r="Q165" s="1431"/>
      <c r="R165" s="1431"/>
      <c r="S165" s="1431"/>
      <c r="T165" s="1431"/>
      <c r="U165"/>
      <c r="V165"/>
      <c r="W165"/>
      <c r="X165"/>
      <c r="Y165"/>
      <c r="AA165"/>
      <c r="AB165"/>
      <c r="AC165"/>
      <c r="AO165"/>
      <c r="AR165"/>
      <c r="AS165"/>
      <c r="AT165"/>
      <c r="AU165"/>
      <c r="AV165"/>
      <c r="AW165"/>
      <c r="AX165"/>
      <c r="AY165"/>
      <c r="AZ165"/>
      <c r="BA165"/>
      <c r="BB165"/>
      <c r="BC165"/>
      <c r="BD165"/>
      <c r="BE165"/>
      <c r="BF165"/>
      <c r="BG165"/>
      <c r="BH165"/>
      <c r="BI165"/>
    </row>
    <row r="166" spans="2:61" ht="15" customHeight="1" x14ac:dyDescent="0.25">
      <c r="C166" s="1431"/>
      <c r="D166" s="1699" t="s">
        <v>5301</v>
      </c>
      <c r="E166" s="1699"/>
      <c r="F166" s="1699"/>
      <c r="G166" s="1699"/>
      <c r="H166" s="1699"/>
      <c r="I166" s="1699"/>
      <c r="J166" s="1699"/>
      <c r="K166" s="1699"/>
      <c r="L166" s="1699"/>
      <c r="M166" s="1699"/>
      <c r="N166" s="1439"/>
      <c r="O166" s="1439"/>
      <c r="P166" s="1452" t="b">
        <v>1</v>
      </c>
      <c r="Q166" s="1452" t="b">
        <v>1</v>
      </c>
      <c r="R166" s="1431" t="b">
        <v>1</v>
      </c>
      <c r="S166" s="1431" t="b">
        <v>1</v>
      </c>
      <c r="T166" s="1431" t="b">
        <v>0</v>
      </c>
      <c r="W166" s="25"/>
      <c r="X166" s="1757"/>
      <c r="Y166" s="2077" t="str">
        <f>IF(LEN('Badges (Design)'!X166)=0,"None",'Badges (Design)'!X166)</f>
        <v>None</v>
      </c>
      <c r="AA166"/>
      <c r="AB166"/>
      <c r="AC166"/>
      <c r="AO166"/>
      <c r="AP166" s="1461" t="s">
        <v>5528</v>
      </c>
      <c r="AQ166" s="254" t="str">
        <f>IF(LEN(W166)=0,"",W166)</f>
        <v/>
      </c>
      <c r="AR166" s="1461" t="s">
        <v>5568</v>
      </c>
      <c r="AS166" s="254" t="str">
        <f>IF(LEN(X166)=0,"",X166)</f>
        <v/>
      </c>
      <c r="AT166"/>
      <c r="AU166"/>
      <c r="AV166"/>
      <c r="AW166"/>
      <c r="AX166"/>
      <c r="AY166"/>
      <c r="AZ166"/>
      <c r="BA166"/>
      <c r="BB166"/>
      <c r="BC166"/>
      <c r="BD166"/>
      <c r="BE166"/>
      <c r="BF166"/>
      <c r="BG166"/>
      <c r="BH166"/>
      <c r="BI166"/>
    </row>
    <row r="167" spans="2:61" x14ac:dyDescent="0.25">
      <c r="D167" s="1699"/>
      <c r="E167" s="1699"/>
      <c r="F167" s="1699"/>
      <c r="G167" s="1699"/>
      <c r="H167" s="1699"/>
      <c r="I167" s="1699"/>
      <c r="J167" s="1699"/>
      <c r="K167" s="1699"/>
      <c r="L167" s="1699"/>
      <c r="M167" s="1699"/>
      <c r="N167" s="1439"/>
      <c r="O167" s="1439"/>
      <c r="X167" s="1757"/>
      <c r="Y167" s="2077"/>
      <c r="AA167"/>
      <c r="AB167"/>
      <c r="AC167"/>
      <c r="AO167"/>
      <c r="AR167"/>
      <c r="AS167"/>
      <c r="AT167"/>
      <c r="AU167"/>
      <c r="AV167"/>
      <c r="AW167"/>
      <c r="AX167"/>
      <c r="AY167"/>
      <c r="AZ167"/>
      <c r="BA167"/>
      <c r="BB167"/>
      <c r="BC167"/>
      <c r="BD167"/>
      <c r="BE167"/>
      <c r="BF167"/>
      <c r="BG167"/>
      <c r="BH167"/>
      <c r="BI167"/>
    </row>
    <row r="168" spans="2:61" x14ac:dyDescent="0.25">
      <c r="N168" s="1984" t="s">
        <v>5393</v>
      </c>
      <c r="O168" s="1984"/>
      <c r="X168"/>
      <c r="AA168"/>
      <c r="AB168"/>
      <c r="AC168"/>
      <c r="AO168"/>
      <c r="AR168"/>
      <c r="AS168"/>
      <c r="AT168"/>
      <c r="AU168"/>
      <c r="AV168"/>
      <c r="AW168"/>
      <c r="AX168"/>
      <c r="AY168"/>
      <c r="AZ168"/>
      <c r="BA168"/>
      <c r="BB168"/>
      <c r="BC168"/>
      <c r="BD168"/>
      <c r="BE168"/>
      <c r="BF168"/>
      <c r="BG168"/>
      <c r="BH168"/>
      <c r="BI168"/>
    </row>
    <row r="169" spans="2:61" x14ac:dyDescent="0.25">
      <c r="K169"/>
      <c r="L169"/>
      <c r="N169" s="1984">
        <f ca="1">SUM(W127:W131)+SUM(W140:W144)+SUM(W162:W163)+(1*W126)+(3*W153)+(10*W154*S154)+(2*(LEN(W155)&gt;0))</f>
        <v>0</v>
      </c>
      <c r="O169" s="1984"/>
      <c r="AA169"/>
      <c r="AB169"/>
      <c r="AC169"/>
      <c r="AO169"/>
      <c r="AR169"/>
      <c r="AS169"/>
      <c r="AT169"/>
      <c r="AU169"/>
      <c r="AV169"/>
      <c r="AW169"/>
      <c r="AX169"/>
      <c r="AY169"/>
      <c r="AZ169"/>
      <c r="BA169"/>
      <c r="BB169"/>
      <c r="BC169"/>
      <c r="BD169"/>
      <c r="BE169"/>
      <c r="BF169"/>
      <c r="BG169"/>
      <c r="BH169"/>
      <c r="BI169"/>
    </row>
    <row r="170" spans="2:61" ht="15" customHeight="1" x14ac:dyDescent="0.25">
      <c r="K170"/>
      <c r="L170"/>
      <c r="N170" s="1937" t="str">
        <f ca="1">IF(N169&lt;18,"need "&amp;18-N169&amp;" more","")</f>
        <v>need 18 more</v>
      </c>
      <c r="O170" s="1937"/>
      <c r="AA170"/>
      <c r="AB170"/>
      <c r="AC170"/>
      <c r="AO170"/>
      <c r="AR170"/>
      <c r="AS170"/>
      <c r="AT170"/>
      <c r="AU170"/>
      <c r="AV170"/>
      <c r="AW170"/>
      <c r="AX170"/>
      <c r="AY170"/>
      <c r="AZ170"/>
      <c r="BA170"/>
      <c r="BB170"/>
      <c r="BC170"/>
      <c r="BD170"/>
      <c r="BE170"/>
      <c r="BF170"/>
      <c r="BG170"/>
      <c r="BH170"/>
      <c r="BI170"/>
    </row>
    <row r="171" spans="2:61" ht="15" customHeight="1" x14ac:dyDescent="0.25">
      <c r="K171"/>
      <c r="L171"/>
      <c r="AA171"/>
      <c r="AB171"/>
      <c r="AC171"/>
      <c r="AO171"/>
      <c r="AR171"/>
      <c r="AS171"/>
      <c r="AT171"/>
      <c r="AU171"/>
      <c r="AV171"/>
      <c r="AW171"/>
      <c r="AX171"/>
      <c r="AY171"/>
      <c r="AZ171"/>
      <c r="BA171"/>
      <c r="BB171"/>
      <c r="BC171"/>
      <c r="BD171"/>
      <c r="BE171"/>
      <c r="BF171"/>
      <c r="BG171"/>
      <c r="BH171"/>
      <c r="BI171"/>
    </row>
    <row r="172" spans="2:61" ht="15" customHeight="1" x14ac:dyDescent="0.25">
      <c r="B172" s="731"/>
      <c r="AA172"/>
      <c r="AB172"/>
      <c r="AC172"/>
      <c r="AO172"/>
      <c r="AP172"/>
      <c r="AQ172"/>
      <c r="AR172"/>
      <c r="AS172"/>
      <c r="AT172"/>
      <c r="AU172"/>
      <c r="AV172"/>
      <c r="AW172"/>
      <c r="AX172"/>
      <c r="AY172"/>
      <c r="AZ172"/>
      <c r="BA172"/>
      <c r="BB172"/>
      <c r="BC172"/>
      <c r="BD172"/>
      <c r="BE172"/>
      <c r="BF172"/>
      <c r="BG172"/>
    </row>
    <row r="173" spans="2:61" x14ac:dyDescent="0.25">
      <c r="B173" s="1985" t="s">
        <v>5249</v>
      </c>
      <c r="C173" s="1985"/>
      <c r="D173" s="1985"/>
      <c r="E173" s="1985"/>
      <c r="F173" s="1985"/>
      <c r="G173" s="2010" t="str">
        <f>IF(COUNTIF(W181:W189,"Not Met")=0,"Earned","Not Earned")</f>
        <v>Not Earned</v>
      </c>
      <c r="H173" s="1997"/>
      <c r="I173" s="1997"/>
      <c r="J173" s="1997"/>
      <c r="K173" s="1997"/>
      <c r="L173" s="1997"/>
      <c r="M173" s="1997"/>
      <c r="N173" s="1997"/>
      <c r="O173" s="1998"/>
      <c r="P173" s="94"/>
      <c r="Q173" s="94"/>
      <c r="R173" s="94"/>
      <c r="S173" s="94"/>
      <c r="T173" s="94"/>
      <c r="U173" s="94"/>
      <c r="V173" s="94"/>
      <c r="W173" s="94"/>
      <c r="X173" s="94"/>
      <c r="Y173" s="94"/>
      <c r="AA173"/>
      <c r="AB173"/>
      <c r="AC173"/>
      <c r="AO173"/>
      <c r="AP173"/>
      <c r="AQ173"/>
      <c r="AR173"/>
      <c r="AS173"/>
      <c r="AT173"/>
      <c r="AU173"/>
      <c r="AV173"/>
      <c r="AW173"/>
      <c r="AX173"/>
      <c r="AY173"/>
      <c r="AZ173"/>
      <c r="BA173"/>
      <c r="BB173"/>
      <c r="BC173"/>
      <c r="BD173"/>
      <c r="BE173"/>
      <c r="BF173"/>
      <c r="BG173"/>
    </row>
    <row r="174" spans="2:61" ht="15.75" thickBot="1" x14ac:dyDescent="0.3">
      <c r="B174" s="1986"/>
      <c r="C174" s="1986"/>
      <c r="D174" s="1986"/>
      <c r="E174" s="1986"/>
      <c r="F174" s="1986"/>
      <c r="G174" s="2011"/>
      <c r="H174" s="1999"/>
      <c r="I174" s="1999"/>
      <c r="J174" s="1999"/>
      <c r="K174" s="1999"/>
      <c r="L174" s="1999"/>
      <c r="M174" s="1999"/>
      <c r="N174" s="1999"/>
      <c r="O174" s="2000"/>
      <c r="P174" s="99"/>
      <c r="Q174" s="99"/>
      <c r="R174" s="99"/>
      <c r="S174" s="99"/>
      <c r="T174" s="99"/>
      <c r="U174" s="99"/>
      <c r="V174" s="99"/>
      <c r="W174" s="99"/>
      <c r="X174" s="99"/>
      <c r="Y174" s="99"/>
      <c r="AA174"/>
      <c r="AB174"/>
      <c r="AC174"/>
      <c r="AO174"/>
      <c r="AP174"/>
      <c r="AQ174"/>
      <c r="AR174"/>
      <c r="AS174"/>
      <c r="AT174"/>
      <c r="AU174"/>
      <c r="AV174"/>
      <c r="AW174"/>
      <c r="AX174"/>
      <c r="AY174"/>
      <c r="AZ174"/>
      <c r="BA174"/>
      <c r="BB174"/>
      <c r="BC174"/>
      <c r="BD174"/>
      <c r="BE174"/>
      <c r="BF174"/>
      <c r="BG174"/>
    </row>
    <row r="175" spans="2:61" ht="15.75" thickTop="1" x14ac:dyDescent="0.25">
      <c r="B175"/>
      <c r="C175"/>
      <c r="E175"/>
      <c r="F175"/>
      <c r="G175"/>
      <c r="H175"/>
      <c r="I175"/>
      <c r="J175"/>
      <c r="K175"/>
      <c r="L175"/>
      <c r="M175"/>
      <c r="N175"/>
      <c r="O175"/>
      <c r="P175"/>
      <c r="Q175"/>
      <c r="R175"/>
      <c r="S175"/>
      <c r="T175"/>
      <c r="U175"/>
      <c r="V175"/>
      <c r="W175"/>
      <c r="X175"/>
      <c r="Y175"/>
      <c r="AA175"/>
      <c r="AB175"/>
      <c r="AC175"/>
      <c r="AO175"/>
      <c r="AP175"/>
      <c r="AQ175"/>
      <c r="AR175"/>
      <c r="AS175"/>
      <c r="AT175"/>
      <c r="AU175"/>
      <c r="AV175"/>
      <c r="AW175"/>
      <c r="AX175"/>
      <c r="AY175"/>
      <c r="AZ175"/>
      <c r="BA175"/>
      <c r="BB175"/>
      <c r="BC175"/>
      <c r="BD175"/>
      <c r="BE175"/>
      <c r="BF175"/>
      <c r="BG175"/>
    </row>
    <row r="176" spans="2:61" x14ac:dyDescent="0.25">
      <c r="E176"/>
      <c r="F176"/>
      <c r="G176"/>
      <c r="H176"/>
      <c r="I176"/>
      <c r="J176"/>
      <c r="K176"/>
      <c r="L176"/>
      <c r="M176"/>
      <c r="N176"/>
      <c r="O176"/>
      <c r="P176"/>
      <c r="Q176"/>
      <c r="R176"/>
      <c r="S176"/>
      <c r="T176"/>
      <c r="U176"/>
      <c r="V176"/>
      <c r="W176"/>
      <c r="X176"/>
      <c r="Y176"/>
      <c r="AA176"/>
      <c r="AB176"/>
      <c r="AC176"/>
      <c r="AO176"/>
      <c r="AP176"/>
      <c r="AQ176"/>
      <c r="AR176"/>
      <c r="AS176"/>
      <c r="AT176"/>
      <c r="AU176"/>
      <c r="AV176"/>
      <c r="AW176"/>
      <c r="AX176"/>
      <c r="AY176"/>
      <c r="AZ176"/>
      <c r="BA176"/>
      <c r="BB176"/>
      <c r="BC176"/>
      <c r="BD176"/>
      <c r="BE176"/>
      <c r="BF176"/>
      <c r="BG176"/>
    </row>
    <row r="177" spans="2:59" ht="15.75" customHeight="1" x14ac:dyDescent="0.25">
      <c r="C177" s="1425" t="s">
        <v>5263</v>
      </c>
      <c r="D177" s="1427"/>
      <c r="E177" s="1427"/>
      <c r="F177" s="1427"/>
      <c r="G177" s="1427"/>
      <c r="H177" s="1427"/>
      <c r="I177" s="1427"/>
      <c r="J177" s="1427"/>
      <c r="K177" s="1427"/>
      <c r="L177" s="1427"/>
      <c r="P177"/>
      <c r="Q177"/>
      <c r="R177"/>
      <c r="S177"/>
      <c r="T177"/>
      <c r="U177"/>
      <c r="V177"/>
      <c r="W177"/>
      <c r="X177"/>
      <c r="Y177"/>
      <c r="AA177"/>
      <c r="AB177"/>
      <c r="AC177"/>
      <c r="AO177"/>
      <c r="AP177"/>
      <c r="AQ177"/>
      <c r="AR177"/>
      <c r="AS177"/>
      <c r="AT177"/>
      <c r="AU177"/>
      <c r="AV177"/>
      <c r="AW177"/>
      <c r="AX177"/>
      <c r="AY177"/>
      <c r="AZ177"/>
      <c r="BA177"/>
      <c r="BB177"/>
      <c r="BC177"/>
      <c r="BD177"/>
      <c r="BE177"/>
      <c r="BF177"/>
      <c r="BG177"/>
    </row>
    <row r="178" spans="2:59" ht="15" customHeight="1" x14ac:dyDescent="0.25">
      <c r="C178" s="1445" t="s">
        <v>5255</v>
      </c>
      <c r="D178" s="1427"/>
      <c r="E178" s="1427"/>
      <c r="F178" s="1427"/>
      <c r="G178" s="1427"/>
      <c r="H178" s="1427"/>
      <c r="I178" s="1427"/>
      <c r="J178" s="1427"/>
      <c r="K178" s="1427"/>
      <c r="L178" s="1427"/>
      <c r="P178"/>
      <c r="Q178"/>
      <c r="R178"/>
      <c r="S178"/>
      <c r="T178"/>
      <c r="U178"/>
      <c r="V178"/>
      <c r="W178"/>
      <c r="X178"/>
      <c r="Y178"/>
      <c r="AA178"/>
      <c r="AB178"/>
      <c r="AC178"/>
      <c r="AO178"/>
      <c r="AP178"/>
      <c r="AQ178"/>
      <c r="AR178"/>
      <c r="AS178"/>
      <c r="AT178"/>
      <c r="AU178"/>
      <c r="AV178"/>
      <c r="AW178"/>
      <c r="AX178"/>
      <c r="AY178"/>
      <c r="AZ178"/>
      <c r="BA178"/>
      <c r="BB178"/>
      <c r="BC178"/>
      <c r="BD178"/>
      <c r="BE178"/>
      <c r="BF178"/>
      <c r="BG178"/>
    </row>
    <row r="179" spans="2:59" ht="15.75" customHeight="1" x14ac:dyDescent="0.25">
      <c r="C179" s="1427"/>
      <c r="D179" s="8" t="s">
        <v>5266</v>
      </c>
      <c r="E179" s="1427"/>
      <c r="F179" s="1427"/>
      <c r="G179" s="1427"/>
      <c r="H179" s="1427"/>
      <c r="I179" s="1427"/>
      <c r="J179" s="1427"/>
      <c r="K179" s="1427"/>
      <c r="L179" s="1427"/>
      <c r="P179"/>
      <c r="Q179"/>
      <c r="R179"/>
      <c r="S179"/>
      <c r="T179"/>
      <c r="U179"/>
      <c r="V179"/>
      <c r="W179"/>
      <c r="X179"/>
      <c r="Y179"/>
      <c r="AA179"/>
      <c r="AB179"/>
      <c r="AC179"/>
      <c r="AO179"/>
      <c r="AP179"/>
      <c r="AQ179"/>
      <c r="AR179"/>
      <c r="AS179"/>
      <c r="AT179"/>
      <c r="AU179"/>
      <c r="AV179"/>
      <c r="AW179"/>
      <c r="AX179"/>
      <c r="AY179"/>
      <c r="AZ179"/>
      <c r="BA179"/>
      <c r="BB179"/>
      <c r="BC179"/>
      <c r="BD179"/>
      <c r="BE179"/>
      <c r="BF179"/>
      <c r="BG179"/>
    </row>
    <row r="180" spans="2:59" x14ac:dyDescent="0.25">
      <c r="C180" s="1445" t="s">
        <v>5407</v>
      </c>
      <c r="D180" s="1427"/>
      <c r="E180" s="1427"/>
      <c r="F180" s="1427"/>
      <c r="G180" s="1427"/>
      <c r="H180" s="1427"/>
      <c r="I180" s="1427"/>
      <c r="J180" s="1427"/>
      <c r="K180" s="1427"/>
      <c r="L180" s="1427"/>
      <c r="P180"/>
      <c r="Q180"/>
      <c r="R180"/>
      <c r="S180"/>
      <c r="T180"/>
      <c r="U180"/>
      <c r="V180"/>
      <c r="W180"/>
      <c r="X180"/>
      <c r="Y180"/>
      <c r="AA180"/>
      <c r="AB180"/>
      <c r="AC180"/>
      <c r="AO180"/>
      <c r="AP180"/>
      <c r="AQ180"/>
      <c r="AR180"/>
      <c r="AS180"/>
      <c r="AT180"/>
      <c r="AU180"/>
      <c r="AV180"/>
      <c r="AW180"/>
      <c r="AX180"/>
      <c r="AY180"/>
      <c r="AZ180"/>
      <c r="BA180"/>
      <c r="BB180"/>
      <c r="BC180"/>
      <c r="BD180"/>
      <c r="BE180"/>
      <c r="BF180"/>
      <c r="BG180"/>
    </row>
    <row r="181" spans="2:59" x14ac:dyDescent="0.25">
      <c r="B181"/>
      <c r="C181" s="94" t="s">
        <v>5267</v>
      </c>
      <c r="D181" s="94"/>
      <c r="E181" s="1427"/>
      <c r="F181" s="1427"/>
      <c r="G181" s="1427"/>
      <c r="H181" s="1427"/>
      <c r="I181" s="1427"/>
      <c r="J181" s="1427"/>
      <c r="K181" s="1427"/>
      <c r="L181" s="1427"/>
      <c r="P181"/>
      <c r="Q181"/>
      <c r="R181"/>
      <c r="S181"/>
      <c r="T181"/>
      <c r="U181"/>
      <c r="V181"/>
      <c r="W181" s="565" t="str">
        <f>IF('Verification Report'!W839=TRUE,"Met","Not Met")</f>
        <v>Not Met</v>
      </c>
      <c r="X181"/>
      <c r="Y181"/>
      <c r="AA181"/>
      <c r="AB181"/>
      <c r="AC181"/>
      <c r="AO181"/>
      <c r="AP181"/>
      <c r="AQ181"/>
      <c r="AR181"/>
      <c r="AS181"/>
      <c r="AT181"/>
      <c r="AU181"/>
      <c r="AV181"/>
      <c r="AW181"/>
      <c r="AX181"/>
      <c r="AY181"/>
      <c r="AZ181"/>
      <c r="BA181"/>
      <c r="BB181"/>
      <c r="BC181"/>
      <c r="BD181"/>
      <c r="BE181"/>
      <c r="BF181"/>
      <c r="BG181"/>
    </row>
    <row r="182" spans="2:59" x14ac:dyDescent="0.25">
      <c r="B182" s="94"/>
      <c r="C182" s="1427" t="s">
        <v>5268</v>
      </c>
      <c r="D182" s="1427"/>
      <c r="E182" s="94"/>
      <c r="F182" s="94"/>
      <c r="G182" s="94"/>
      <c r="H182" s="94"/>
      <c r="I182" s="94"/>
      <c r="J182" s="94"/>
      <c r="K182" s="94"/>
      <c r="L182" s="94"/>
      <c r="P182" s="94"/>
      <c r="Q182" s="94"/>
      <c r="R182" s="94"/>
      <c r="S182" s="94"/>
      <c r="T182" s="94"/>
      <c r="U182" s="94"/>
      <c r="V182" s="94"/>
      <c r="W182" s="565" t="str">
        <f>IF('Verification Report'!W844=TRUE,"Met","Not Met")</f>
        <v>Not Met</v>
      </c>
      <c r="X182" s="94"/>
      <c r="Y182" s="94"/>
      <c r="AA182"/>
      <c r="AB182"/>
      <c r="AC182"/>
      <c r="AO182"/>
      <c r="AP182"/>
      <c r="AQ182"/>
      <c r="AR182"/>
      <c r="AS182"/>
      <c r="AT182"/>
      <c r="AU182"/>
      <c r="AV182"/>
      <c r="AW182"/>
      <c r="AX182"/>
      <c r="AY182"/>
      <c r="AZ182"/>
      <c r="BA182"/>
      <c r="BB182"/>
      <c r="BC182"/>
      <c r="BD182"/>
      <c r="BE182"/>
      <c r="BF182"/>
      <c r="BG182"/>
    </row>
    <row r="183" spans="2:59" x14ac:dyDescent="0.25">
      <c r="C183" s="1427" t="s">
        <v>5269</v>
      </c>
      <c r="D183" s="1427"/>
      <c r="E183" s="1427"/>
      <c r="F183" s="1427"/>
      <c r="G183" s="1427"/>
      <c r="H183" s="1427"/>
      <c r="I183" s="1427"/>
      <c r="J183" s="1427"/>
      <c r="K183" s="1427"/>
      <c r="L183" s="1426"/>
      <c r="W183" s="565" t="str">
        <f>IF('Verification Report'!W848=TRUE,"Met","Not Met")</f>
        <v>Not Met</v>
      </c>
      <c r="AA183"/>
      <c r="AB183"/>
      <c r="AC183"/>
      <c r="AO183"/>
      <c r="AP183"/>
      <c r="AQ183"/>
      <c r="AR183"/>
      <c r="AS183"/>
      <c r="AT183"/>
      <c r="AU183"/>
      <c r="AV183"/>
      <c r="AW183"/>
      <c r="AX183"/>
      <c r="AY183"/>
      <c r="AZ183"/>
      <c r="BA183"/>
      <c r="BB183"/>
      <c r="BC183"/>
      <c r="BD183"/>
      <c r="BE183"/>
      <c r="BF183"/>
      <c r="BG183"/>
    </row>
    <row r="184" spans="2:59" x14ac:dyDescent="0.25">
      <c r="C184" s="1427" t="s">
        <v>5270</v>
      </c>
      <c r="D184" s="1427"/>
      <c r="E184" s="1427"/>
      <c r="F184" s="1427"/>
      <c r="G184" s="1427"/>
      <c r="H184" s="1427"/>
      <c r="I184" s="1427"/>
      <c r="J184" s="1427"/>
      <c r="K184" s="1427"/>
      <c r="L184" s="1426"/>
      <c r="W184" s="565" t="str">
        <f>IF('Verification Report'!W850=TRUE,"Met","Not Met")</f>
        <v>Not Met</v>
      </c>
      <c r="AA184"/>
      <c r="AB184"/>
      <c r="AC184"/>
      <c r="AO184"/>
      <c r="AP184"/>
      <c r="AQ184"/>
      <c r="AR184"/>
      <c r="AS184"/>
      <c r="AT184"/>
      <c r="AU184"/>
      <c r="AV184"/>
      <c r="AW184"/>
      <c r="AX184"/>
      <c r="AY184"/>
      <c r="AZ184"/>
      <c r="BA184"/>
      <c r="BB184"/>
      <c r="BC184"/>
      <c r="BD184"/>
      <c r="BE184"/>
      <c r="BF184"/>
      <c r="BG184"/>
    </row>
    <row r="185" spans="2:59" x14ac:dyDescent="0.25">
      <c r="C185" s="1427" t="s">
        <v>5271</v>
      </c>
      <c r="D185" s="1427"/>
      <c r="E185" s="1427"/>
      <c r="F185" s="1427"/>
      <c r="G185" s="1427"/>
      <c r="H185" s="1427"/>
      <c r="I185" s="1427"/>
      <c r="J185" s="1427"/>
      <c r="K185" s="1427"/>
      <c r="L185" s="1426"/>
      <c r="W185" s="565" t="str">
        <f>IF('Verification Report'!W852=TRUE,"Met","Not Met")</f>
        <v>Not Met</v>
      </c>
      <c r="AA185"/>
      <c r="AB185"/>
      <c r="AC185"/>
      <c r="AO185"/>
      <c r="AP185"/>
      <c r="AQ185"/>
      <c r="AR185"/>
      <c r="AS185"/>
      <c r="AT185"/>
      <c r="AU185"/>
      <c r="AV185"/>
      <c r="AW185"/>
      <c r="AX185"/>
      <c r="AY185"/>
      <c r="AZ185"/>
      <c r="BA185"/>
      <c r="BB185"/>
      <c r="BC185"/>
      <c r="BD185"/>
      <c r="BE185"/>
      <c r="BF185"/>
      <c r="BG185"/>
    </row>
    <row r="186" spans="2:59" x14ac:dyDescent="0.25">
      <c r="C186" s="1427" t="s">
        <v>5272</v>
      </c>
      <c r="D186" s="1427"/>
      <c r="E186" s="1427"/>
      <c r="F186" s="1427"/>
      <c r="G186" s="1427"/>
      <c r="H186" s="1427"/>
      <c r="I186" s="1427"/>
      <c r="J186" s="1427"/>
      <c r="K186" s="1427"/>
      <c r="L186" s="1427"/>
      <c r="P186"/>
      <c r="Q186"/>
      <c r="R186"/>
      <c r="S186"/>
      <c r="T186"/>
      <c r="U186"/>
      <c r="V186"/>
      <c r="W186" s="565" t="str">
        <f>IF('Verification Report'!W853=TRUE,"Met","Not Met")</f>
        <v>Not Met</v>
      </c>
      <c r="X186"/>
      <c r="Y186"/>
      <c r="AA186"/>
      <c r="AB186"/>
      <c r="AC186"/>
      <c r="AO186"/>
      <c r="AP186"/>
      <c r="AQ186"/>
      <c r="AR186"/>
      <c r="AS186"/>
      <c r="AT186"/>
      <c r="AU186"/>
      <c r="AV186"/>
      <c r="AW186"/>
      <c r="AX186"/>
      <c r="AY186"/>
      <c r="AZ186"/>
      <c r="BA186"/>
      <c r="BB186"/>
      <c r="BC186"/>
      <c r="BD186"/>
      <c r="BE186"/>
      <c r="BF186"/>
      <c r="BG186"/>
    </row>
    <row r="187" spans="2:59" x14ac:dyDescent="0.25">
      <c r="C187" s="1427" t="s">
        <v>5273</v>
      </c>
      <c r="D187" s="1427"/>
      <c r="E187" s="1427"/>
      <c r="F187" s="1427"/>
      <c r="G187" s="1427"/>
      <c r="H187" s="1427"/>
      <c r="I187" s="1427"/>
      <c r="J187" s="1427"/>
      <c r="K187" s="1427"/>
      <c r="L187" s="1427"/>
      <c r="P187"/>
      <c r="Q187"/>
      <c r="R187"/>
      <c r="S187"/>
      <c r="T187"/>
      <c r="U187"/>
      <c r="V187"/>
      <c r="W187" s="565" t="str">
        <f>IF('Verification Report'!W854=TRUE,"Met","Not Met")</f>
        <v>Not Met</v>
      </c>
      <c r="X187"/>
      <c r="Y187"/>
      <c r="AA187"/>
      <c r="AB187"/>
      <c r="AC187"/>
      <c r="AO187"/>
      <c r="AP187"/>
      <c r="AQ187"/>
      <c r="AR187"/>
      <c r="AS187"/>
      <c r="AT187"/>
      <c r="AU187"/>
      <c r="AV187"/>
      <c r="AW187"/>
      <c r="AX187"/>
      <c r="AY187"/>
      <c r="AZ187"/>
      <c r="BA187"/>
      <c r="BB187"/>
      <c r="BC187"/>
      <c r="BD187"/>
      <c r="BE187"/>
      <c r="BF187"/>
      <c r="BG187"/>
    </row>
    <row r="188" spans="2:59" x14ac:dyDescent="0.25">
      <c r="C188" s="1427" t="s">
        <v>5264</v>
      </c>
      <c r="D188" s="1427"/>
      <c r="E188" s="1427"/>
      <c r="F188" s="1427"/>
      <c r="G188" s="1427"/>
      <c r="H188" s="1427"/>
      <c r="I188" s="1427"/>
      <c r="J188" s="1427"/>
      <c r="K188" s="1427"/>
      <c r="L188" s="1427"/>
      <c r="P188"/>
      <c r="Q188"/>
      <c r="R188"/>
      <c r="S188"/>
      <c r="T188"/>
      <c r="U188"/>
      <c r="V188"/>
      <c r="W188" s="565" t="str">
        <f>IF('Verification Report'!W858=TRUE,"Met","Not Met")</f>
        <v>Not Met</v>
      </c>
      <c r="X188"/>
      <c r="Y188"/>
      <c r="AA188"/>
      <c r="AB188"/>
      <c r="AC188"/>
      <c r="AO188"/>
      <c r="AP188"/>
      <c r="AQ188"/>
      <c r="AR188"/>
      <c r="AS188"/>
      <c r="AT188"/>
      <c r="AU188"/>
      <c r="AV188"/>
      <c r="AW188"/>
      <c r="AX188"/>
      <c r="AY188"/>
      <c r="AZ188"/>
      <c r="BA188"/>
      <c r="BB188"/>
      <c r="BC188"/>
      <c r="BD188"/>
      <c r="BE188"/>
      <c r="BF188"/>
      <c r="BG188"/>
    </row>
    <row r="189" spans="2:59" ht="15" customHeight="1" x14ac:dyDescent="0.25">
      <c r="C189" s="1699" t="s">
        <v>5265</v>
      </c>
      <c r="D189" s="1699"/>
      <c r="E189" s="1699"/>
      <c r="F189" s="1699"/>
      <c r="G189" s="1699"/>
      <c r="H189" s="1699"/>
      <c r="I189" s="1699"/>
      <c r="J189" s="1699"/>
      <c r="K189" s="1699"/>
      <c r="L189" s="1699"/>
      <c r="M189"/>
      <c r="N189"/>
      <c r="O189"/>
      <c r="P189"/>
      <c r="Q189"/>
      <c r="R189"/>
      <c r="S189"/>
      <c r="T189"/>
      <c r="U189"/>
      <c r="V189"/>
      <c r="W189" s="565" t="str">
        <f>IF(LEN('Verification Report'!W860)&gt;0,"Met","Not Met")</f>
        <v>Not Met</v>
      </c>
      <c r="X189"/>
      <c r="Y189"/>
      <c r="AA189"/>
      <c r="AB189"/>
      <c r="AC189"/>
      <c r="AO189"/>
      <c r="AP189"/>
      <c r="AQ189"/>
      <c r="AR189"/>
      <c r="AS189"/>
      <c r="AT189"/>
      <c r="AU189"/>
      <c r="AV189"/>
      <c r="AW189"/>
      <c r="AX189"/>
      <c r="AY189"/>
      <c r="AZ189"/>
      <c r="BA189"/>
      <c r="BB189"/>
      <c r="BC189"/>
      <c r="BD189"/>
      <c r="BE189"/>
      <c r="BF189"/>
      <c r="BG189"/>
    </row>
    <row r="190" spans="2:59" x14ac:dyDescent="0.25">
      <c r="C190" s="1699"/>
      <c r="D190" s="1699"/>
      <c r="E190" s="1699"/>
      <c r="F190" s="1699"/>
      <c r="G190" s="1699"/>
      <c r="H190" s="1699"/>
      <c r="I190" s="1699"/>
      <c r="J190" s="1699"/>
      <c r="K190" s="1699"/>
      <c r="L190" s="1699"/>
      <c r="P190"/>
      <c r="Q190"/>
      <c r="R190"/>
      <c r="S190"/>
      <c r="T190"/>
      <c r="U190"/>
      <c r="V190"/>
      <c r="W190"/>
      <c r="X190"/>
      <c r="Y190"/>
      <c r="AA190"/>
      <c r="AB190"/>
      <c r="AC190"/>
      <c r="AO190"/>
      <c r="AP190"/>
      <c r="AQ190"/>
      <c r="AR190"/>
      <c r="AS190"/>
      <c r="AT190"/>
      <c r="AU190"/>
      <c r="AV190"/>
      <c r="AW190"/>
      <c r="AX190"/>
      <c r="AY190"/>
      <c r="AZ190"/>
      <c r="BA190"/>
      <c r="BB190"/>
      <c r="BC190"/>
      <c r="BD190"/>
      <c r="BE190"/>
      <c r="BF190"/>
      <c r="BG190"/>
    </row>
    <row r="191" spans="2:59" s="1441" customFormat="1" x14ac:dyDescent="0.25">
      <c r="O191" s="1440"/>
      <c r="AO191"/>
    </row>
    <row r="192" spans="2:59" ht="15" customHeight="1" x14ac:dyDescent="0.25">
      <c r="K192"/>
      <c r="L192"/>
      <c r="M192"/>
      <c r="P192"/>
      <c r="Q192"/>
      <c r="R192"/>
      <c r="S192"/>
      <c r="T192"/>
      <c r="U192"/>
      <c r="V192"/>
      <c r="W192"/>
      <c r="X192"/>
      <c r="Y192"/>
      <c r="AA192"/>
      <c r="AB192"/>
      <c r="AC192"/>
      <c r="AO192"/>
      <c r="AP192"/>
      <c r="AQ192"/>
      <c r="AR192"/>
      <c r="AS192"/>
      <c r="AT192"/>
      <c r="AU192"/>
      <c r="AV192"/>
      <c r="AW192"/>
      <c r="AX192"/>
      <c r="AY192"/>
      <c r="AZ192"/>
      <c r="BA192"/>
      <c r="BB192"/>
      <c r="BC192"/>
      <c r="BD192"/>
      <c r="BE192"/>
      <c r="BF192"/>
      <c r="BG192"/>
    </row>
    <row r="193" spans="2:61" ht="15" customHeight="1" x14ac:dyDescent="0.25">
      <c r="B193"/>
      <c r="C193"/>
      <c r="D193"/>
      <c r="E193"/>
      <c r="F193"/>
      <c r="G193"/>
      <c r="H193"/>
      <c r="I193"/>
      <c r="J193"/>
      <c r="K193"/>
      <c r="L193"/>
      <c r="M193"/>
      <c r="P193"/>
      <c r="Q193"/>
      <c r="R193"/>
      <c r="S193"/>
      <c r="T193"/>
      <c r="U193"/>
      <c r="V193"/>
      <c r="W193"/>
      <c r="X193"/>
      <c r="Y193"/>
      <c r="AA193"/>
      <c r="AB193"/>
      <c r="AC193"/>
      <c r="AO193"/>
      <c r="AP193"/>
      <c r="AQ193"/>
      <c r="AR193"/>
      <c r="AS193"/>
      <c r="AT193"/>
      <c r="AU193"/>
      <c r="AV193"/>
      <c r="AW193"/>
      <c r="AX193"/>
      <c r="AY193"/>
      <c r="AZ193"/>
      <c r="BA193"/>
      <c r="BB193"/>
      <c r="BC193"/>
      <c r="BD193"/>
      <c r="BE193"/>
      <c r="BF193"/>
      <c r="BG193"/>
    </row>
    <row r="194" spans="2:61" ht="15" customHeight="1" x14ac:dyDescent="0.25">
      <c r="B194" s="1985" t="s">
        <v>5251</v>
      </c>
      <c r="C194" s="1985"/>
      <c r="D194" s="1985"/>
      <c r="E194" s="94"/>
      <c r="F194" s="94"/>
      <c r="G194" s="2010" t="str">
        <f ca="1">IF(AND(N303&gt;=29,OR(W203="Met",W203="N/A"),OR(W204="Met",W204="N/A"),COUNTIF(W205:W207,"Not Met")=0,COUNTIF(W208:W214,"&gt;0")&gt;=3,W223="Met",W246="Met",OR(W256="Met",W256="N/A"),SUM(W287:W291)&gt;=15),"Earned","Not Earned")</f>
        <v>Not Earned</v>
      </c>
      <c r="H194" s="1997"/>
      <c r="I194" s="1997"/>
      <c r="J194" s="1997"/>
      <c r="K194" s="1997"/>
      <c r="L194" s="1997"/>
      <c r="M194" s="1997"/>
      <c r="N194" s="1997"/>
      <c r="O194" s="1998"/>
      <c r="P194" s="94"/>
      <c r="Q194" s="94"/>
      <c r="R194" s="94"/>
      <c r="S194" s="94"/>
      <c r="T194" s="94"/>
      <c r="U194" s="94"/>
      <c r="V194" s="94"/>
      <c r="W194" s="94"/>
      <c r="X194" s="94"/>
      <c r="Y194" s="94"/>
      <c r="AA194"/>
      <c r="AB194"/>
      <c r="AC194"/>
      <c r="AO194"/>
      <c r="AR194"/>
      <c r="AS194"/>
      <c r="AT194"/>
      <c r="AU194"/>
      <c r="AV194"/>
      <c r="AW194"/>
      <c r="AX194"/>
      <c r="AY194"/>
      <c r="AZ194"/>
      <c r="BA194"/>
      <c r="BB194"/>
      <c r="BC194"/>
      <c r="BD194"/>
      <c r="BE194"/>
      <c r="BF194"/>
      <c r="BG194"/>
      <c r="BH194"/>
      <c r="BI194"/>
    </row>
    <row r="195" spans="2:61" ht="15.75" customHeight="1" thickBot="1" x14ac:dyDescent="0.3">
      <c r="B195" s="1986"/>
      <c r="C195" s="1986"/>
      <c r="D195" s="1986"/>
      <c r="E195" s="99"/>
      <c r="F195" s="99"/>
      <c r="G195" s="2011"/>
      <c r="H195" s="1999"/>
      <c r="I195" s="1999"/>
      <c r="J195" s="1999"/>
      <c r="K195" s="1999"/>
      <c r="L195" s="1999"/>
      <c r="M195" s="1999"/>
      <c r="N195" s="1999"/>
      <c r="O195" s="2000"/>
      <c r="P195" s="99"/>
      <c r="Q195" s="99"/>
      <c r="R195" s="99"/>
      <c r="S195" s="99"/>
      <c r="T195" s="99"/>
      <c r="U195" s="99"/>
      <c r="V195" s="99"/>
      <c r="W195" s="99"/>
      <c r="X195" s="99"/>
      <c r="Y195" s="99"/>
      <c r="AA195"/>
      <c r="AB195"/>
      <c r="AC195"/>
      <c r="AO195"/>
      <c r="AR195"/>
      <c r="AS195"/>
      <c r="AT195"/>
      <c r="AU195"/>
      <c r="AV195"/>
      <c r="AW195"/>
      <c r="AX195"/>
      <c r="AY195"/>
      <c r="AZ195"/>
      <c r="BA195"/>
      <c r="BB195"/>
      <c r="BC195"/>
      <c r="BD195"/>
      <c r="BE195"/>
      <c r="BF195"/>
      <c r="BG195"/>
      <c r="BH195"/>
      <c r="BI195"/>
    </row>
    <row r="196" spans="2:61" ht="15.75" thickTop="1" x14ac:dyDescent="0.25">
      <c r="AA196"/>
      <c r="AB196"/>
      <c r="AC196"/>
      <c r="AO196"/>
      <c r="AR196"/>
      <c r="AS196"/>
      <c r="AT196"/>
      <c r="AU196"/>
      <c r="AV196"/>
      <c r="AW196"/>
      <c r="AX196"/>
      <c r="AY196"/>
      <c r="AZ196"/>
      <c r="BA196"/>
      <c r="BB196"/>
      <c r="BC196"/>
      <c r="BD196"/>
      <c r="BE196"/>
      <c r="BF196"/>
      <c r="BG196"/>
      <c r="BH196"/>
      <c r="BI196"/>
    </row>
    <row r="197" spans="2:61" x14ac:dyDescent="0.25">
      <c r="AA197"/>
      <c r="AB197"/>
      <c r="AC197"/>
      <c r="AO197"/>
      <c r="AR197"/>
      <c r="AS197"/>
      <c r="AT197"/>
      <c r="AU197"/>
      <c r="AV197"/>
      <c r="AW197"/>
      <c r="AX197"/>
      <c r="AY197"/>
      <c r="AZ197"/>
      <c r="BA197"/>
      <c r="BB197"/>
      <c r="BC197"/>
      <c r="BD197"/>
      <c r="BE197"/>
      <c r="BF197"/>
      <c r="BG197"/>
      <c r="BH197"/>
      <c r="BI197"/>
    </row>
    <row r="198" spans="2:61" x14ac:dyDescent="0.25">
      <c r="C198" s="1430" t="s">
        <v>5302</v>
      </c>
      <c r="D198" s="1431"/>
      <c r="AA198"/>
      <c r="AB198"/>
      <c r="AC198"/>
      <c r="AO198"/>
      <c r="AR198"/>
      <c r="AS198"/>
      <c r="AT198"/>
      <c r="AU198"/>
      <c r="AV198"/>
      <c r="AW198"/>
      <c r="AX198"/>
      <c r="AY198"/>
      <c r="AZ198"/>
      <c r="BA198"/>
      <c r="BB198"/>
      <c r="BC198"/>
      <c r="BD198"/>
      <c r="BE198"/>
      <c r="BF198"/>
      <c r="BG198"/>
      <c r="BH198"/>
      <c r="BI198"/>
    </row>
    <row r="199" spans="2:61" x14ac:dyDescent="0.25">
      <c r="C199" s="1445" t="s">
        <v>5255</v>
      </c>
      <c r="D199" s="1431"/>
      <c r="AA199"/>
      <c r="AB199"/>
      <c r="AC199"/>
      <c r="AO199"/>
      <c r="AR199"/>
      <c r="AS199"/>
      <c r="AT199"/>
      <c r="AU199"/>
      <c r="AV199"/>
      <c r="AW199"/>
      <c r="AX199"/>
      <c r="AY199"/>
      <c r="AZ199"/>
      <c r="BA199"/>
      <c r="BB199"/>
      <c r="BC199"/>
      <c r="BD199"/>
      <c r="BE199"/>
      <c r="BF199"/>
      <c r="BG199"/>
      <c r="BH199"/>
      <c r="BI199"/>
    </row>
    <row r="200" spans="2:61" x14ac:dyDescent="0.25">
      <c r="D200" s="8" t="s">
        <v>5303</v>
      </c>
      <c r="AA200"/>
      <c r="AB200"/>
      <c r="AC200"/>
      <c r="AO200"/>
      <c r="AR200"/>
      <c r="AS200"/>
      <c r="AT200"/>
      <c r="AU200"/>
      <c r="AV200"/>
      <c r="AW200"/>
      <c r="AX200"/>
      <c r="AY200"/>
      <c r="AZ200"/>
      <c r="BA200"/>
      <c r="BB200"/>
      <c r="BC200"/>
      <c r="BD200"/>
      <c r="BE200"/>
      <c r="BF200"/>
      <c r="BG200"/>
      <c r="BH200"/>
      <c r="BI200"/>
    </row>
    <row r="201" spans="2:61" x14ac:dyDescent="0.25">
      <c r="D201" s="1431" t="s">
        <v>5410</v>
      </c>
      <c r="AA201"/>
      <c r="AB201"/>
      <c r="AC201"/>
      <c r="AO201"/>
      <c r="AR201"/>
      <c r="AS201"/>
      <c r="AT201"/>
      <c r="AU201"/>
      <c r="AV201"/>
      <c r="AW201"/>
      <c r="AX201"/>
      <c r="AY201"/>
      <c r="AZ201"/>
      <c r="BA201"/>
      <c r="BB201"/>
      <c r="BC201"/>
      <c r="BD201"/>
      <c r="BE201"/>
      <c r="BF201"/>
      <c r="BG201"/>
      <c r="BH201"/>
      <c r="BI201"/>
    </row>
    <row r="202" spans="2:61" x14ac:dyDescent="0.25">
      <c r="C202" s="1445" t="s">
        <v>5407</v>
      </c>
      <c r="N202" s="1706" t="s">
        <v>249</v>
      </c>
      <c r="O202" s="1706"/>
      <c r="R202" s="1492" t="b">
        <f>OR(LEN(W203)&gt;0,LEN(W204)&gt;0,LEN(W256)&gt;0)</f>
        <v>0</v>
      </c>
      <c r="AA202"/>
      <c r="AB202"/>
      <c r="AC202"/>
      <c r="AO202"/>
      <c r="AR202"/>
      <c r="AS202"/>
      <c r="AT202"/>
      <c r="AU202"/>
      <c r="AV202"/>
      <c r="AW202"/>
      <c r="AX202"/>
      <c r="AY202"/>
      <c r="AZ202"/>
      <c r="BA202"/>
      <c r="BB202"/>
      <c r="BC202"/>
      <c r="BD202"/>
      <c r="BE202"/>
      <c r="BF202"/>
      <c r="BG202"/>
      <c r="BH202"/>
      <c r="BI202"/>
    </row>
    <row r="203" spans="2:61" x14ac:dyDescent="0.25">
      <c r="C203" s="1431" t="s">
        <v>5304</v>
      </c>
      <c r="N203" s="2012" t="s">
        <v>4108</v>
      </c>
      <c r="O203" s="2012"/>
      <c r="P203" s="1490" t="b">
        <v>1</v>
      </c>
      <c r="Q203" s="1490" t="b">
        <v>1</v>
      </c>
      <c r="R203" s="1492" t="b">
        <f>R202</f>
        <v>0</v>
      </c>
      <c r="S203" s="1490" t="b">
        <v>1</v>
      </c>
      <c r="T203" s="1490" t="b">
        <v>0</v>
      </c>
      <c r="U203" s="1490" t="s">
        <v>5608</v>
      </c>
      <c r="W203" s="1484"/>
      <c r="X203" s="1757"/>
      <c r="Y203" s="2077" t="str">
        <f>IF(LEN('Badges (Design)'!X203)=0,"None",'Badges (Design)'!X203)</f>
        <v>None</v>
      </c>
      <c r="AA203"/>
      <c r="AB203"/>
      <c r="AC203" s="1492" t="b">
        <f>OR(AD203:AE203)</f>
        <v>0</v>
      </c>
      <c r="AD203" s="1492" t="b">
        <f>T203</f>
        <v>0</v>
      </c>
      <c r="AE203" s="1492" t="b">
        <f>AND(R203=TRUE,OR(LEN(W203)=0,W203="Not Met"))</f>
        <v>0</v>
      </c>
      <c r="AF203" s="1492" t="b">
        <f>AND(AE203,NOT(Q203))</f>
        <v>0</v>
      </c>
      <c r="AO203"/>
      <c r="AP203" s="1492" t="s">
        <v>5614</v>
      </c>
      <c r="AQ203" s="254" t="str">
        <f>IF(LEN(W203)=0,"",W203)</f>
        <v/>
      </c>
      <c r="AR203" s="1461" t="s">
        <v>5569</v>
      </c>
      <c r="AS203" s="254" t="str">
        <f>IF(LEN(X203)=0,"",X203)</f>
        <v/>
      </c>
      <c r="AT203"/>
      <c r="AU203"/>
      <c r="AV203"/>
      <c r="AW203"/>
      <c r="AX203"/>
      <c r="AY203"/>
      <c r="AZ203"/>
      <c r="BA203"/>
      <c r="BB203"/>
      <c r="BC203"/>
      <c r="BD203"/>
      <c r="BE203"/>
      <c r="BF203"/>
      <c r="BG203"/>
      <c r="BH203"/>
      <c r="BI203"/>
    </row>
    <row r="204" spans="2:61" x14ac:dyDescent="0.25">
      <c r="C204" s="1431" t="s">
        <v>5305</v>
      </c>
      <c r="N204" s="2012" t="s">
        <v>4108</v>
      </c>
      <c r="O204" s="2012"/>
      <c r="P204" s="1490" t="b">
        <v>1</v>
      </c>
      <c r="Q204" s="1490" t="b">
        <v>1</v>
      </c>
      <c r="R204" s="1492" t="b">
        <f>R202</f>
        <v>0</v>
      </c>
      <c r="S204" s="1490" t="b">
        <v>1</v>
      </c>
      <c r="T204" s="1490" t="b">
        <v>0</v>
      </c>
      <c r="U204" s="1490" t="s">
        <v>5608</v>
      </c>
      <c r="W204" s="1484"/>
      <c r="X204" s="1757"/>
      <c r="Y204" s="2077"/>
      <c r="AA204"/>
      <c r="AB204"/>
      <c r="AC204" s="1492" t="b">
        <f>OR(AD204:AE204)</f>
        <v>0</v>
      </c>
      <c r="AD204" s="1492" t="b">
        <f>T204</f>
        <v>0</v>
      </c>
      <c r="AE204" s="1492" t="b">
        <f>AND(R204=TRUE,OR(LEN(W204)=0,W204="Not Met"))</f>
        <v>0</v>
      </c>
      <c r="AF204" s="1492" t="b">
        <f>AND(AE204,NOT(Q204))</f>
        <v>0</v>
      </c>
      <c r="AO204"/>
      <c r="AP204" s="1492" t="s">
        <v>5615</v>
      </c>
      <c r="AQ204" s="254" t="str">
        <f>IF(LEN(W204)=0,"",W204)</f>
        <v/>
      </c>
      <c r="AR204"/>
      <c r="AS204"/>
      <c r="AT204"/>
      <c r="AU204"/>
      <c r="AV204"/>
      <c r="AW204"/>
      <c r="AX204"/>
      <c r="AY204"/>
      <c r="AZ204"/>
      <c r="BA204"/>
      <c r="BB204"/>
      <c r="BC204"/>
      <c r="BD204"/>
      <c r="BE204"/>
      <c r="BF204"/>
      <c r="BG204"/>
      <c r="BH204"/>
      <c r="BI204"/>
    </row>
    <row r="205" spans="2:61" x14ac:dyDescent="0.25">
      <c r="C205" s="1431" t="s">
        <v>5306</v>
      </c>
      <c r="N205" s="2012" t="s">
        <v>4108</v>
      </c>
      <c r="O205" s="2012"/>
      <c r="R205" s="1492"/>
      <c r="W205" s="565" t="str">
        <f ca="1">IF('Verification Report'!O2085&gt;0,"Met","Not Met")</f>
        <v>Not Met</v>
      </c>
      <c r="X205" s="1757"/>
      <c r="Y205" s="2077"/>
      <c r="AA205"/>
      <c r="AB205"/>
      <c r="AC205" s="1492"/>
      <c r="AD205" s="1492"/>
      <c r="AE205" s="1492"/>
      <c r="AF205" s="1492"/>
      <c r="AO205"/>
      <c r="AR205"/>
      <c r="AS205"/>
      <c r="AT205"/>
      <c r="AU205"/>
      <c r="AV205"/>
      <c r="AW205"/>
      <c r="AX205"/>
      <c r="AY205"/>
      <c r="AZ205"/>
      <c r="BA205"/>
      <c r="BB205"/>
      <c r="BC205"/>
      <c r="BD205"/>
      <c r="BE205"/>
      <c r="BF205"/>
      <c r="BG205"/>
      <c r="BH205"/>
      <c r="BI205"/>
    </row>
    <row r="206" spans="2:61" x14ac:dyDescent="0.25">
      <c r="C206" s="1431" t="s">
        <v>5660</v>
      </c>
      <c r="N206" s="2012" t="s">
        <v>5661</v>
      </c>
      <c r="O206" s="2012"/>
      <c r="R206" s="1492"/>
      <c r="W206" s="565" t="str">
        <f ca="1">IF(AND('Verification Report'!S2042=FALSE,'Verification Report'!S2044=FALSE),"N/A",IF(AND(OR('Verification Report'!S2042=FALSE,'Verification Report'!W2042=TRUE),OR('Verification Report'!S2044=FALSE,'Verification Report'!W2044=TRUE)),"Met","Not Met"))</f>
        <v>N/A</v>
      </c>
      <c r="X206" s="1757"/>
      <c r="Y206" s="2077"/>
      <c r="AA206"/>
      <c r="AB206"/>
      <c r="AC206" s="1492"/>
      <c r="AD206" s="1492"/>
      <c r="AE206" s="1492"/>
      <c r="AF206" s="1492"/>
      <c r="AO206"/>
      <c r="AR206"/>
      <c r="AS206"/>
      <c r="AT206"/>
      <c r="AU206"/>
      <c r="AV206"/>
      <c r="AW206"/>
      <c r="AX206"/>
      <c r="AY206"/>
      <c r="AZ206"/>
      <c r="BA206"/>
      <c r="BB206"/>
      <c r="BC206"/>
      <c r="BD206"/>
      <c r="BE206"/>
      <c r="BF206"/>
      <c r="BG206"/>
      <c r="BH206"/>
      <c r="BI206"/>
    </row>
    <row r="207" spans="2:61" x14ac:dyDescent="0.25">
      <c r="C207" s="1431" t="s">
        <v>5307</v>
      </c>
      <c r="N207" s="2012" t="s">
        <v>4108</v>
      </c>
      <c r="O207" s="2012"/>
      <c r="R207" s="1492"/>
      <c r="W207" s="565" t="s">
        <v>3039</v>
      </c>
      <c r="X207" s="1757"/>
      <c r="Y207" s="2077"/>
      <c r="AA207"/>
      <c r="AB207"/>
      <c r="AC207" s="1492"/>
      <c r="AD207" s="1492"/>
      <c r="AE207" s="1492"/>
      <c r="AF207" s="1492"/>
      <c r="AO207"/>
      <c r="AR207"/>
      <c r="AS207"/>
      <c r="AT207"/>
      <c r="AU207"/>
      <c r="AV207"/>
      <c r="AW207"/>
      <c r="AX207"/>
      <c r="AY207"/>
      <c r="AZ207"/>
      <c r="BA207"/>
      <c r="BB207"/>
      <c r="BC207"/>
      <c r="BD207"/>
      <c r="BE207"/>
      <c r="BF207"/>
      <c r="BG207"/>
      <c r="BH207"/>
      <c r="BI207"/>
    </row>
    <row r="208" spans="2:61" x14ac:dyDescent="0.25">
      <c r="C208" s="1431" t="s">
        <v>5308</v>
      </c>
      <c r="N208" s="1706" t="s">
        <v>5411</v>
      </c>
      <c r="O208" s="1706"/>
      <c r="R208" s="1492"/>
      <c r="S208" s="1452" t="b">
        <f ca="1">IF($AY$18=INDEX(INDIRECT("ddSingleOrMulti"),2),TRUE,FALSE)</f>
        <v>0</v>
      </c>
      <c r="W208" s="565">
        <f ca="1">'Verification Report'!O2081*S208</f>
        <v>0</v>
      </c>
      <c r="X208" s="1757"/>
      <c r="Y208" s="2077"/>
      <c r="AA208"/>
      <c r="AB208"/>
      <c r="AC208" s="1492"/>
      <c r="AD208" s="1492"/>
      <c r="AE208" s="1492"/>
      <c r="AF208" s="1492"/>
      <c r="AO208"/>
      <c r="AR208"/>
      <c r="AS208"/>
      <c r="AT208"/>
      <c r="AU208"/>
      <c r="AV208"/>
      <c r="AW208"/>
      <c r="AX208"/>
      <c r="AY208"/>
      <c r="AZ208"/>
      <c r="BA208"/>
      <c r="BB208"/>
      <c r="BC208"/>
      <c r="BD208"/>
      <c r="BE208"/>
      <c r="BF208"/>
      <c r="BG208"/>
      <c r="BH208"/>
      <c r="BI208"/>
    </row>
    <row r="209" spans="2:61" x14ac:dyDescent="0.25">
      <c r="C209" s="1431" t="s">
        <v>5309</v>
      </c>
      <c r="N209" s="1706">
        <v>6</v>
      </c>
      <c r="O209" s="1706"/>
      <c r="R209" s="1492"/>
      <c r="W209" s="565">
        <f>'Verification Report'!O1921</f>
        <v>0</v>
      </c>
      <c r="X209" s="1757"/>
      <c r="Y209" s="2077"/>
      <c r="AA209"/>
      <c r="AB209"/>
      <c r="AC209" s="1492"/>
      <c r="AD209" s="1492"/>
      <c r="AE209" s="1492"/>
      <c r="AF209" s="1492"/>
      <c r="AO209"/>
      <c r="AR209"/>
      <c r="AS209"/>
      <c r="AT209"/>
      <c r="AU209"/>
      <c r="AV209"/>
      <c r="AW209"/>
      <c r="AX209"/>
      <c r="AY209"/>
      <c r="AZ209"/>
      <c r="BA209"/>
      <c r="BB209"/>
      <c r="BC209"/>
      <c r="BD209"/>
      <c r="BE209"/>
      <c r="BF209"/>
      <c r="BG209"/>
      <c r="BH209"/>
      <c r="BI209"/>
    </row>
    <row r="210" spans="2:61" x14ac:dyDescent="0.25">
      <c r="C210" s="1431" t="s">
        <v>5310</v>
      </c>
      <c r="N210" s="1706">
        <v>3</v>
      </c>
      <c r="O210" s="1706"/>
      <c r="R210" s="1492"/>
      <c r="W210" s="565">
        <f>'Verification Report'!O2178</f>
        <v>0</v>
      </c>
      <c r="X210" s="1757"/>
      <c r="Y210" s="2077"/>
      <c r="AA210"/>
      <c r="AB210"/>
      <c r="AC210" s="1492"/>
      <c r="AD210" s="1492"/>
      <c r="AE210" s="1492"/>
      <c r="AF210" s="1492"/>
      <c r="AO210"/>
      <c r="AR210"/>
      <c r="AS210"/>
      <c r="AT210"/>
      <c r="AU210"/>
      <c r="AV210"/>
      <c r="AW210"/>
      <c r="AX210"/>
      <c r="AY210"/>
      <c r="AZ210"/>
      <c r="BA210"/>
      <c r="BB210"/>
      <c r="BC210"/>
      <c r="BD210"/>
      <c r="BE210"/>
      <c r="BF210"/>
      <c r="BG210"/>
      <c r="BH210"/>
      <c r="BI210"/>
    </row>
    <row r="211" spans="2:61" x14ac:dyDescent="0.25">
      <c r="C211" s="1431" t="s">
        <v>5311</v>
      </c>
      <c r="N211" s="1706">
        <v>2</v>
      </c>
      <c r="O211" s="1706"/>
      <c r="R211" s="1492"/>
      <c r="W211" s="565">
        <f>'Verification Report'!O2210</f>
        <v>0</v>
      </c>
      <c r="X211" s="1757"/>
      <c r="Y211" s="2077"/>
      <c r="AA211"/>
      <c r="AB211"/>
      <c r="AC211" s="1492"/>
      <c r="AD211" s="1492"/>
      <c r="AE211" s="1492"/>
      <c r="AF211" s="1492"/>
      <c r="AO211"/>
      <c r="AR211"/>
      <c r="AS211"/>
      <c r="AT211"/>
      <c r="AU211"/>
      <c r="AV211"/>
      <c r="AW211"/>
      <c r="AX211"/>
      <c r="AY211"/>
      <c r="AZ211"/>
      <c r="BA211"/>
      <c r="BB211"/>
      <c r="BC211"/>
      <c r="BD211"/>
      <c r="BE211"/>
      <c r="BF211"/>
      <c r="BG211"/>
      <c r="BH211"/>
      <c r="BI211"/>
    </row>
    <row r="212" spans="2:61" x14ac:dyDescent="0.25">
      <c r="C212" s="1431" t="s">
        <v>5312</v>
      </c>
      <c r="N212" s="1706">
        <v>3</v>
      </c>
      <c r="O212" s="1706"/>
      <c r="R212" s="1492"/>
      <c r="W212" s="565">
        <f>'Verification Report'!O2215</f>
        <v>0</v>
      </c>
      <c r="X212" s="1757"/>
      <c r="Y212" s="2077"/>
      <c r="AA212"/>
      <c r="AB212"/>
      <c r="AC212" s="1492"/>
      <c r="AD212" s="1492"/>
      <c r="AE212" s="1492"/>
      <c r="AF212" s="1492"/>
      <c r="AO212"/>
      <c r="AR212"/>
      <c r="AS212"/>
      <c r="AT212"/>
      <c r="AU212"/>
      <c r="AV212"/>
      <c r="AW212"/>
      <c r="AX212"/>
      <c r="AY212"/>
      <c r="AZ212"/>
      <c r="BA212"/>
      <c r="BB212"/>
      <c r="BC212"/>
      <c r="BD212"/>
      <c r="BE212"/>
      <c r="BF212"/>
      <c r="BG212"/>
      <c r="BH212"/>
      <c r="BI212"/>
    </row>
    <row r="213" spans="2:61" x14ac:dyDescent="0.25">
      <c r="C213" s="1431" t="s">
        <v>5299</v>
      </c>
      <c r="N213" s="1706">
        <v>1</v>
      </c>
      <c r="O213" s="1706"/>
      <c r="R213" s="1492"/>
      <c r="W213" s="565">
        <f>'Verification Report'!O1618</f>
        <v>0</v>
      </c>
      <c r="X213" s="1757"/>
      <c r="Y213" s="2077"/>
      <c r="AA213"/>
      <c r="AB213"/>
      <c r="AC213" s="1492"/>
      <c r="AD213" s="1492"/>
      <c r="AE213" s="1492"/>
      <c r="AF213" s="1492"/>
      <c r="AO213"/>
      <c r="AR213"/>
      <c r="AS213"/>
      <c r="AT213"/>
      <c r="AU213"/>
      <c r="AV213"/>
      <c r="AW213"/>
      <c r="AX213"/>
      <c r="AY213"/>
      <c r="AZ213"/>
      <c r="BA213"/>
      <c r="BB213"/>
      <c r="BC213"/>
      <c r="BD213"/>
      <c r="BE213"/>
      <c r="BF213"/>
      <c r="BG213"/>
      <c r="BH213"/>
      <c r="BI213"/>
    </row>
    <row r="214" spans="2:61" x14ac:dyDescent="0.25">
      <c r="C214" s="1431" t="s">
        <v>5313</v>
      </c>
      <c r="N214" s="1706">
        <v>3</v>
      </c>
      <c r="O214" s="1706"/>
      <c r="R214" s="1492"/>
      <c r="W214" s="565">
        <f>'Verification Report'!O2101</f>
        <v>0</v>
      </c>
      <c r="X214" s="1757"/>
      <c r="Y214" s="2077"/>
      <c r="AA214"/>
      <c r="AB214"/>
      <c r="AC214" s="1492"/>
      <c r="AD214" s="1492"/>
      <c r="AE214" s="1492"/>
      <c r="AF214" s="1492"/>
      <c r="AO214"/>
      <c r="AR214"/>
      <c r="AS214"/>
      <c r="AT214"/>
      <c r="AU214"/>
      <c r="AV214"/>
      <c r="AW214"/>
      <c r="AX214"/>
      <c r="AY214"/>
      <c r="AZ214"/>
      <c r="BA214"/>
      <c r="BB214"/>
      <c r="BC214"/>
      <c r="BD214"/>
      <c r="BE214"/>
      <c r="BF214"/>
      <c r="BG214"/>
      <c r="BH214"/>
      <c r="BI214"/>
    </row>
    <row r="215" spans="2:61" x14ac:dyDescent="0.25">
      <c r="R215" s="1492"/>
      <c r="AA215"/>
      <c r="AB215"/>
      <c r="AC215" s="1492"/>
      <c r="AD215" s="1492"/>
      <c r="AE215" s="1492"/>
      <c r="AF215" s="1492"/>
      <c r="AO215"/>
      <c r="AR215"/>
      <c r="AS215"/>
      <c r="AT215"/>
      <c r="AU215"/>
      <c r="AV215"/>
      <c r="AW215"/>
      <c r="AX215"/>
      <c r="AY215"/>
      <c r="AZ215"/>
      <c r="BA215"/>
      <c r="BB215"/>
      <c r="BC215"/>
      <c r="BD215"/>
      <c r="BE215"/>
      <c r="BF215"/>
      <c r="BG215"/>
      <c r="BH215"/>
      <c r="BI215"/>
    </row>
    <row r="216" spans="2:61" x14ac:dyDescent="0.25">
      <c r="R216" s="1492"/>
      <c r="AA216"/>
      <c r="AB216"/>
      <c r="AC216" s="1492"/>
      <c r="AD216" s="1492"/>
      <c r="AE216" s="1492"/>
      <c r="AF216" s="1492"/>
      <c r="AO216"/>
      <c r="AR216"/>
      <c r="AS216"/>
      <c r="AT216"/>
      <c r="AU216"/>
      <c r="AV216"/>
      <c r="AW216"/>
      <c r="AX216"/>
      <c r="AY216"/>
      <c r="AZ216"/>
      <c r="BA216"/>
      <c r="BB216"/>
      <c r="BC216"/>
      <c r="BD216"/>
      <c r="BE216"/>
      <c r="BF216"/>
      <c r="BG216"/>
      <c r="BH216"/>
      <c r="BI216"/>
    </row>
    <row r="217" spans="2:61" ht="15" customHeight="1" x14ac:dyDescent="0.25">
      <c r="C217" s="1430" t="s">
        <v>5314</v>
      </c>
      <c r="D217" s="1431"/>
      <c r="R217" s="1492"/>
      <c r="AA217"/>
      <c r="AB217"/>
      <c r="AC217" s="1492"/>
      <c r="AD217" s="1492"/>
      <c r="AE217" s="1492"/>
      <c r="AF217" s="1492"/>
      <c r="AO217"/>
      <c r="AR217"/>
      <c r="AS217"/>
      <c r="AT217"/>
      <c r="AU217"/>
      <c r="AV217"/>
      <c r="AW217"/>
      <c r="AX217"/>
      <c r="AY217"/>
      <c r="AZ217"/>
      <c r="BA217"/>
      <c r="BB217"/>
      <c r="BC217"/>
      <c r="BD217"/>
      <c r="BE217"/>
      <c r="BF217"/>
      <c r="BG217"/>
      <c r="BH217"/>
      <c r="BI217"/>
    </row>
    <row r="218" spans="2:61" ht="15" customHeight="1" x14ac:dyDescent="0.25">
      <c r="C218" s="1445" t="s">
        <v>5255</v>
      </c>
      <c r="D218" s="1431"/>
      <c r="R218" s="1492"/>
      <c r="AA218"/>
      <c r="AB218"/>
      <c r="AC218" s="1492"/>
      <c r="AD218" s="1492"/>
      <c r="AE218" s="1492"/>
      <c r="AF218" s="1492"/>
      <c r="AO218"/>
      <c r="AR218"/>
      <c r="AS218"/>
      <c r="AT218"/>
      <c r="AU218"/>
      <c r="AV218"/>
      <c r="AW218"/>
      <c r="AX218"/>
      <c r="AY218"/>
      <c r="AZ218"/>
      <c r="BA218"/>
      <c r="BB218"/>
      <c r="BC218"/>
      <c r="BD218"/>
      <c r="BE218"/>
      <c r="BF218"/>
      <c r="BG218"/>
      <c r="BH218"/>
      <c r="BI218"/>
    </row>
    <row r="219" spans="2:61" x14ac:dyDescent="0.25">
      <c r="D219" s="8" t="s">
        <v>5315</v>
      </c>
      <c r="R219" s="1492"/>
      <c r="AA219"/>
      <c r="AB219"/>
      <c r="AC219" s="1492"/>
      <c r="AD219" s="1492"/>
      <c r="AE219" s="1492"/>
      <c r="AF219" s="1492"/>
      <c r="AO219"/>
      <c r="AR219"/>
      <c r="AS219"/>
      <c r="AT219"/>
      <c r="AU219"/>
      <c r="AV219"/>
      <c r="AW219"/>
      <c r="AX219"/>
      <c r="AY219"/>
      <c r="AZ219"/>
      <c r="BA219"/>
      <c r="BB219"/>
      <c r="BC219"/>
      <c r="BD219"/>
      <c r="BE219"/>
      <c r="BF219"/>
      <c r="BG219"/>
      <c r="BH219"/>
      <c r="BI219"/>
    </row>
    <row r="220" spans="2:61" ht="15" customHeight="1" x14ac:dyDescent="0.25">
      <c r="B220"/>
      <c r="C220"/>
      <c r="D220" s="1431" t="s">
        <v>5412</v>
      </c>
      <c r="E220"/>
      <c r="F220"/>
      <c r="G220"/>
      <c r="H220"/>
      <c r="I220"/>
      <c r="J220"/>
      <c r="K220"/>
      <c r="L220"/>
      <c r="M220"/>
      <c r="N220"/>
      <c r="O220"/>
      <c r="P220"/>
      <c r="Q220"/>
      <c r="R220" s="1492"/>
      <c r="S220"/>
      <c r="T220"/>
      <c r="U220"/>
      <c r="V220"/>
      <c r="W220"/>
      <c r="X220"/>
      <c r="Y220"/>
      <c r="AA220"/>
      <c r="AB220"/>
      <c r="AC220" s="1492"/>
      <c r="AD220" s="1492"/>
      <c r="AE220" s="1492"/>
      <c r="AF220" s="1492"/>
      <c r="AO220"/>
      <c r="AR220"/>
      <c r="AS220"/>
      <c r="AT220"/>
      <c r="AU220"/>
      <c r="AV220"/>
      <c r="AW220"/>
      <c r="AX220"/>
      <c r="AY220"/>
      <c r="AZ220"/>
      <c r="BA220"/>
      <c r="BB220"/>
      <c r="BC220"/>
      <c r="BD220"/>
      <c r="BE220"/>
      <c r="BF220"/>
      <c r="BG220"/>
      <c r="BH220"/>
      <c r="BI220"/>
    </row>
    <row r="221" spans="2:61" x14ac:dyDescent="0.25">
      <c r="B221"/>
      <c r="C221" s="1445" t="s">
        <v>5407</v>
      </c>
      <c r="E221" s="1431"/>
      <c r="F221" s="1431"/>
      <c r="G221"/>
      <c r="H221"/>
      <c r="I221"/>
      <c r="J221"/>
      <c r="K221"/>
      <c r="L221"/>
      <c r="M221"/>
      <c r="P221"/>
      <c r="Q221"/>
      <c r="R221" s="1492"/>
      <c r="S221"/>
      <c r="T221"/>
      <c r="U221"/>
      <c r="V221"/>
      <c r="W221"/>
      <c r="X221"/>
      <c r="Y221"/>
      <c r="AA221"/>
      <c r="AB221"/>
      <c r="AC221" s="1492"/>
      <c r="AD221" s="1492"/>
      <c r="AE221" s="1492"/>
      <c r="AF221" s="1492"/>
      <c r="AO221"/>
      <c r="AR221"/>
      <c r="AS221"/>
      <c r="AT221"/>
      <c r="AU221"/>
      <c r="AV221"/>
      <c r="AW221"/>
      <c r="AX221"/>
      <c r="AY221"/>
      <c r="AZ221"/>
      <c r="BA221"/>
      <c r="BB221"/>
      <c r="BC221"/>
      <c r="BD221"/>
      <c r="BE221"/>
      <c r="BF221"/>
      <c r="BG221"/>
      <c r="BH221"/>
      <c r="BI221"/>
    </row>
    <row r="222" spans="2:61" x14ac:dyDescent="0.25">
      <c r="B222"/>
      <c r="C222" s="1431" t="s">
        <v>5316</v>
      </c>
      <c r="D222" s="1431"/>
      <c r="E222" s="1431"/>
      <c r="F222" s="1431"/>
      <c r="G222"/>
      <c r="H222"/>
      <c r="I222"/>
      <c r="J222"/>
      <c r="K222"/>
      <c r="L222"/>
      <c r="M222"/>
      <c r="N222"/>
      <c r="O222"/>
      <c r="P222"/>
      <c r="Q222"/>
      <c r="R222" s="1492"/>
      <c r="S222" t="s">
        <v>5394</v>
      </c>
      <c r="T222"/>
      <c r="U222"/>
      <c r="V222"/>
      <c r="W222"/>
      <c r="X222" s="1757"/>
      <c r="Y222" s="2077" t="str">
        <f>IF(LEN('Badges (Design)'!X222)=0,"None",'Badges (Design)'!X222)</f>
        <v>None</v>
      </c>
      <c r="AA222"/>
      <c r="AB222"/>
      <c r="AC222" s="1492"/>
      <c r="AD222" s="1492"/>
      <c r="AE222" s="1492"/>
      <c r="AF222" s="1492"/>
      <c r="AO222"/>
      <c r="AR222" s="1461" t="s">
        <v>5570</v>
      </c>
      <c r="AS222" s="254" t="str">
        <f>IF(LEN(X222)=0,"",X222)</f>
        <v/>
      </c>
      <c r="AT222"/>
      <c r="AU222"/>
      <c r="AV222"/>
      <c r="AW222"/>
      <c r="AX222"/>
      <c r="AY222"/>
      <c r="AZ222"/>
      <c r="BA222"/>
      <c r="BB222"/>
      <c r="BC222"/>
      <c r="BD222"/>
      <c r="BE222"/>
      <c r="BF222"/>
      <c r="BG222"/>
      <c r="BH222"/>
      <c r="BI222"/>
    </row>
    <row r="223" spans="2:61" ht="15" customHeight="1" x14ac:dyDescent="0.25">
      <c r="C223" s="1431" t="s">
        <v>5317</v>
      </c>
      <c r="R223" s="1492"/>
      <c r="S223" s="1421" t="b">
        <f>'Verification Report'!W25=TRUE</f>
        <v>0</v>
      </c>
      <c r="W223" s="2015" t="str">
        <f ca="1">IF(OR(S223:S226,LEN(W227)&gt;0),"Met","Not Met")</f>
        <v>Not Met</v>
      </c>
      <c r="X223" s="1757"/>
      <c r="Y223" s="2077"/>
      <c r="AA223"/>
      <c r="AB223"/>
      <c r="AC223" s="1492"/>
      <c r="AD223" s="1492"/>
      <c r="AE223" s="1492"/>
      <c r="AF223" s="1492"/>
      <c r="AO223"/>
      <c r="AR223"/>
      <c r="AS223"/>
      <c r="AT223"/>
      <c r="AU223"/>
      <c r="AV223"/>
      <c r="AW223"/>
      <c r="AX223"/>
      <c r="AY223"/>
      <c r="AZ223"/>
      <c r="BA223"/>
      <c r="BB223"/>
      <c r="BC223"/>
      <c r="BD223"/>
      <c r="BE223"/>
      <c r="BF223"/>
      <c r="BG223"/>
      <c r="BH223"/>
      <c r="BI223"/>
    </row>
    <row r="224" spans="2:61" x14ac:dyDescent="0.25">
      <c r="C224" s="1431" t="s">
        <v>5318</v>
      </c>
      <c r="R224" s="1492"/>
      <c r="S224" s="1421" t="b">
        <f ca="1">('Verification Report'!O27+'Verification Report'!O37)&gt;0</f>
        <v>0</v>
      </c>
      <c r="W224" s="2016"/>
      <c r="X224" s="1757"/>
      <c r="Y224" s="2077"/>
      <c r="AA224"/>
      <c r="AB224"/>
      <c r="AC224" s="1492"/>
      <c r="AD224" s="1492"/>
      <c r="AE224" s="1492"/>
      <c r="AF224" s="1492"/>
      <c r="AO224"/>
      <c r="AR224"/>
      <c r="AS224"/>
      <c r="AT224"/>
      <c r="AU224"/>
      <c r="AV224"/>
      <c r="AW224"/>
      <c r="AX224"/>
      <c r="AY224"/>
      <c r="AZ224"/>
      <c r="BA224"/>
      <c r="BB224"/>
      <c r="BC224"/>
      <c r="BD224"/>
      <c r="BE224"/>
      <c r="BF224"/>
      <c r="BG224"/>
      <c r="BH224"/>
      <c r="BI224"/>
    </row>
    <row r="225" spans="2:61" ht="15" customHeight="1" x14ac:dyDescent="0.25">
      <c r="C225" s="1431" t="s">
        <v>5413</v>
      </c>
      <c r="R225" s="1492"/>
      <c r="S225" s="1421" t="b">
        <f>'Verification Report'!W321=TRUE</f>
        <v>0</v>
      </c>
      <c r="W225" s="2016"/>
      <c r="X225" s="1757"/>
      <c r="Y225" s="2077"/>
      <c r="AA225"/>
      <c r="AB225"/>
      <c r="AC225" s="1492"/>
      <c r="AD225" s="1492"/>
      <c r="AE225" s="1492"/>
      <c r="AF225" s="1492"/>
      <c r="AO225"/>
      <c r="AR225"/>
      <c r="AS225"/>
      <c r="AT225"/>
      <c r="AU225"/>
      <c r="AV225"/>
      <c r="AW225"/>
      <c r="AX225"/>
      <c r="AY225"/>
      <c r="AZ225"/>
      <c r="BA225"/>
      <c r="BB225"/>
      <c r="BC225"/>
      <c r="BD225"/>
      <c r="BE225"/>
      <c r="BF225"/>
      <c r="BG225"/>
      <c r="BH225"/>
      <c r="BI225"/>
    </row>
    <row r="226" spans="2:61" x14ac:dyDescent="0.25">
      <c r="C226" s="1431" t="s">
        <v>5414</v>
      </c>
      <c r="R226" s="1492"/>
      <c r="S226" s="1421" t="b">
        <f>'Verification Report'!W323=TRUE</f>
        <v>0</v>
      </c>
      <c r="W226" s="2017"/>
      <c r="X226" s="1757"/>
      <c r="Y226" s="2077"/>
      <c r="AA226"/>
      <c r="AB226"/>
      <c r="AC226" s="1492"/>
      <c r="AD226" s="1492"/>
      <c r="AE226" s="1492"/>
      <c r="AF226" s="1492"/>
      <c r="AO226"/>
      <c r="AR226"/>
      <c r="AS226"/>
      <c r="AT226"/>
      <c r="AU226"/>
      <c r="AV226"/>
      <c r="AW226"/>
      <c r="AX226"/>
      <c r="AY226"/>
      <c r="AZ226"/>
      <c r="BA226"/>
      <c r="BB226"/>
      <c r="BC226"/>
      <c r="BD226"/>
      <c r="BE226"/>
      <c r="BF226"/>
      <c r="BG226"/>
      <c r="BH226"/>
      <c r="BI226"/>
    </row>
    <row r="227" spans="2:61" s="1667" customFormat="1" x14ac:dyDescent="0.25">
      <c r="D227" s="1699" t="s">
        <v>5778</v>
      </c>
      <c r="E227" s="1699"/>
      <c r="F227" s="1699"/>
      <c r="G227" s="1699"/>
      <c r="H227" s="1699"/>
      <c r="I227" s="1699"/>
      <c r="J227" s="1699"/>
      <c r="K227" s="1699"/>
      <c r="L227" s="1699"/>
      <c r="M227" s="1699"/>
      <c r="N227" s="1699"/>
      <c r="O227" s="1699"/>
      <c r="P227" s="1667" t="b">
        <v>1</v>
      </c>
      <c r="Q227" s="1667" t="b">
        <v>1</v>
      </c>
      <c r="R227" s="1667" t="b">
        <v>0</v>
      </c>
      <c r="S227" s="1667" t="b">
        <f ca="1">IF($AY$18=INDEX(INDIRECT("ddSingleOrMulti"),1),TRUE,FALSE)</f>
        <v>1</v>
      </c>
      <c r="T227" s="94" t="b">
        <f ca="1">AND(NOT(S227),LEN(W227)&gt;0)</f>
        <v>0</v>
      </c>
      <c r="U227" s="1667" t="s">
        <v>5774</v>
      </c>
      <c r="W227" s="1484"/>
      <c r="X227" s="1757"/>
      <c r="Y227" s="2077"/>
      <c r="AP227" s="1667" t="s">
        <v>5782</v>
      </c>
      <c r="AQ227" s="254" t="str">
        <f>IF(LEN(W227)=0,"",W227)</f>
        <v/>
      </c>
    </row>
    <row r="228" spans="2:61" s="1667" customFormat="1" x14ac:dyDescent="0.25">
      <c r="D228" s="1699"/>
      <c r="E228" s="1699"/>
      <c r="F228" s="1699"/>
      <c r="G228" s="1699"/>
      <c r="H228" s="1699"/>
      <c r="I228" s="1699"/>
      <c r="J228" s="1699"/>
      <c r="K228" s="1699"/>
      <c r="L228" s="1699"/>
      <c r="M228" s="1699"/>
      <c r="N228" s="1699"/>
      <c r="O228" s="1699"/>
      <c r="W228" s="1670"/>
      <c r="X228" s="1757"/>
      <c r="Y228" s="2077"/>
    </row>
    <row r="229" spans="2:61" s="1667" customFormat="1" x14ac:dyDescent="0.25">
      <c r="D229" s="1699"/>
      <c r="E229" s="1699"/>
      <c r="F229" s="1699"/>
      <c r="G229" s="1699"/>
      <c r="H229" s="1699"/>
      <c r="I229" s="1699"/>
      <c r="J229" s="1699"/>
      <c r="K229" s="1699"/>
      <c r="L229" s="1699"/>
      <c r="M229" s="1699"/>
      <c r="N229" s="1699"/>
      <c r="O229" s="1699"/>
      <c r="W229" s="1670"/>
      <c r="X229" s="1757"/>
      <c r="Y229" s="2077"/>
    </row>
    <row r="230" spans="2:61" s="1667" customFormat="1" x14ac:dyDescent="0.25">
      <c r="D230" s="1699"/>
      <c r="E230" s="1699"/>
      <c r="F230" s="1699"/>
      <c r="G230" s="1699"/>
      <c r="H230" s="1699"/>
      <c r="I230" s="1699"/>
      <c r="J230" s="1699"/>
      <c r="K230" s="1699"/>
      <c r="L230" s="1699"/>
      <c r="M230" s="1699"/>
      <c r="N230" s="1699"/>
      <c r="O230" s="1699"/>
      <c r="W230" s="1670"/>
      <c r="X230" s="1757"/>
      <c r="Y230" s="2077"/>
    </row>
    <row r="231" spans="2:61" s="1667" customFormat="1" x14ac:dyDescent="0.25">
      <c r="O231" s="1668"/>
      <c r="W231" s="1670"/>
      <c r="X231" s="1757"/>
      <c r="Y231" s="2077"/>
    </row>
    <row r="232" spans="2:61" x14ac:dyDescent="0.25">
      <c r="R232" s="1492"/>
      <c r="X232" s="1757"/>
      <c r="Y232" s="2077"/>
      <c r="AA232"/>
      <c r="AB232"/>
      <c r="AC232" s="1492"/>
      <c r="AD232" s="1492"/>
      <c r="AE232" s="1492"/>
      <c r="AF232" s="1492"/>
      <c r="AO232"/>
      <c r="AR232"/>
      <c r="AS232"/>
      <c r="AT232"/>
      <c r="AU232"/>
      <c r="AV232"/>
      <c r="AW232"/>
      <c r="AX232"/>
      <c r="AY232"/>
      <c r="AZ232"/>
      <c r="BA232"/>
      <c r="BB232"/>
      <c r="BC232"/>
      <c r="BD232"/>
      <c r="BE232"/>
      <c r="BF232"/>
      <c r="BG232"/>
      <c r="BH232"/>
      <c r="BI232"/>
    </row>
    <row r="233" spans="2:61" x14ac:dyDescent="0.25">
      <c r="C233" s="1421" t="s">
        <v>5319</v>
      </c>
      <c r="N233" s="1706" t="s">
        <v>249</v>
      </c>
      <c r="O233" s="1706"/>
      <c r="R233" s="1492"/>
      <c r="X233" s="1757"/>
      <c r="Y233" s="2077"/>
      <c r="AA233"/>
      <c r="AB233"/>
      <c r="AC233" s="1492"/>
      <c r="AD233" s="1492"/>
      <c r="AE233" s="1492"/>
      <c r="AF233" s="1492"/>
      <c r="AO233"/>
      <c r="AR233"/>
      <c r="AS233"/>
      <c r="AT233"/>
      <c r="AU233"/>
      <c r="AV233"/>
      <c r="AW233"/>
      <c r="AX233"/>
      <c r="AY233"/>
      <c r="AZ233"/>
      <c r="BA233"/>
      <c r="BB233"/>
      <c r="BC233"/>
      <c r="BD233"/>
      <c r="BE233"/>
      <c r="BF233"/>
      <c r="BG233"/>
      <c r="BH233"/>
      <c r="BI233"/>
    </row>
    <row r="234" spans="2:61" x14ac:dyDescent="0.25">
      <c r="B234"/>
      <c r="C234" s="1431" t="s">
        <v>5320</v>
      </c>
      <c r="D234"/>
      <c r="E234"/>
      <c r="F234"/>
      <c r="G234"/>
      <c r="H234"/>
      <c r="I234"/>
      <c r="J234"/>
      <c r="K234"/>
      <c r="L234"/>
      <c r="M234"/>
      <c r="N234" s="2012">
        <v>5</v>
      </c>
      <c r="O234" s="2012"/>
      <c r="P234"/>
      <c r="Q234"/>
      <c r="R234" s="1492"/>
      <c r="S234"/>
      <c r="T234"/>
      <c r="U234"/>
      <c r="V234"/>
      <c r="W234" s="565">
        <f>'Verification Report'!O42</f>
        <v>0</v>
      </c>
      <c r="X234" s="1757"/>
      <c r="Y234" s="2077"/>
      <c r="AA234"/>
      <c r="AB234"/>
      <c r="AC234" s="1492"/>
      <c r="AD234" s="1492"/>
      <c r="AE234" s="1492"/>
      <c r="AF234" s="1492"/>
      <c r="AO234"/>
      <c r="AR234"/>
      <c r="AS234"/>
      <c r="AT234"/>
      <c r="AU234"/>
      <c r="AV234"/>
      <c r="AW234"/>
      <c r="AX234"/>
      <c r="AY234"/>
      <c r="AZ234"/>
      <c r="BA234"/>
      <c r="BB234"/>
      <c r="BC234"/>
      <c r="BD234"/>
      <c r="BE234"/>
      <c r="BF234"/>
      <c r="BG234"/>
      <c r="BH234"/>
      <c r="BI234"/>
    </row>
    <row r="235" spans="2:61" x14ac:dyDescent="0.25">
      <c r="B235"/>
      <c r="C235" s="1431" t="s">
        <v>5321</v>
      </c>
      <c r="D235"/>
      <c r="E235"/>
      <c r="F235"/>
      <c r="G235"/>
      <c r="H235"/>
      <c r="I235"/>
      <c r="J235"/>
      <c r="K235"/>
      <c r="L235"/>
      <c r="M235"/>
      <c r="N235" s="2012" t="s">
        <v>5415</v>
      </c>
      <c r="O235" s="2012"/>
      <c r="P235"/>
      <c r="Q235"/>
      <c r="R235" s="1492"/>
      <c r="S235" s="1452" t="b">
        <f ca="1">IF($AY$18=INDEX(INDIRECT("ddSingleOrMulti"),2),TRUE,FALSE)</f>
        <v>0</v>
      </c>
      <c r="T235"/>
      <c r="U235"/>
      <c r="V235"/>
      <c r="W235" s="565">
        <f ca="1">('Verification Report'!O45+'Verification Report'!O50)*S235</f>
        <v>0</v>
      </c>
      <c r="X235" s="1757"/>
      <c r="Y235" s="2077"/>
      <c r="AA235"/>
      <c r="AB235"/>
      <c r="AC235" s="1492"/>
      <c r="AD235" s="1492"/>
      <c r="AE235" s="1492"/>
      <c r="AF235" s="1492"/>
      <c r="AO235"/>
      <c r="AR235"/>
      <c r="AS235"/>
      <c r="AT235"/>
      <c r="AU235"/>
      <c r="AV235"/>
      <c r="AW235"/>
      <c r="AX235"/>
      <c r="AY235"/>
      <c r="AZ235"/>
      <c r="BA235"/>
      <c r="BB235"/>
      <c r="BC235"/>
      <c r="BD235"/>
      <c r="BE235"/>
      <c r="BF235"/>
      <c r="BG235"/>
      <c r="BH235"/>
      <c r="BI235"/>
    </row>
    <row r="236" spans="2:61" x14ac:dyDescent="0.25">
      <c r="B236"/>
      <c r="C236" s="1431" t="s">
        <v>5322</v>
      </c>
      <c r="D236"/>
      <c r="E236"/>
      <c r="F236"/>
      <c r="G236"/>
      <c r="H236"/>
      <c r="I236"/>
      <c r="J236"/>
      <c r="K236"/>
      <c r="L236"/>
      <c r="M236"/>
      <c r="N236" s="2012">
        <v>6</v>
      </c>
      <c r="O236" s="2012"/>
      <c r="P236"/>
      <c r="Q236"/>
      <c r="R236" s="1492"/>
      <c r="S236"/>
      <c r="T236"/>
      <c r="U236"/>
      <c r="V236"/>
      <c r="W236" s="565">
        <f>'Verification Report'!O21</f>
        <v>0</v>
      </c>
      <c r="X236" s="1757"/>
      <c r="Y236" s="2077"/>
      <c r="AA236"/>
      <c r="AB236"/>
      <c r="AC236" s="1492"/>
      <c r="AD236" s="1492"/>
      <c r="AE236" s="1492"/>
      <c r="AF236" s="1492"/>
      <c r="AO236"/>
      <c r="AR236"/>
      <c r="AS236"/>
      <c r="AT236"/>
      <c r="AU236"/>
      <c r="AV236"/>
      <c r="AW236"/>
      <c r="AX236"/>
      <c r="AY236"/>
      <c r="AZ236"/>
      <c r="BA236"/>
      <c r="BB236"/>
      <c r="BC236"/>
      <c r="BD236"/>
      <c r="BE236"/>
      <c r="BF236"/>
      <c r="BG236"/>
      <c r="BH236"/>
      <c r="BI236"/>
    </row>
    <row r="237" spans="2:61" x14ac:dyDescent="0.25">
      <c r="B237"/>
      <c r="C237" s="1431" t="s">
        <v>5323</v>
      </c>
      <c r="D237"/>
      <c r="E237"/>
      <c r="F237"/>
      <c r="G237"/>
      <c r="H237"/>
      <c r="I237"/>
      <c r="J237"/>
      <c r="K237"/>
      <c r="L237"/>
      <c r="M237"/>
      <c r="N237" s="2012">
        <v>5</v>
      </c>
      <c r="O237" s="2012"/>
      <c r="P237"/>
      <c r="Q237"/>
      <c r="R237" s="1492"/>
      <c r="S237"/>
      <c r="T237"/>
      <c r="U237"/>
      <c r="V237"/>
      <c r="W237" s="565">
        <f>'Verification Report'!O55</f>
        <v>0</v>
      </c>
      <c r="X237" s="1757"/>
      <c r="Y237" s="2077"/>
      <c r="AA237"/>
      <c r="AB237"/>
      <c r="AC237" s="1492"/>
      <c r="AD237" s="1492"/>
      <c r="AE237" s="1492"/>
      <c r="AF237" s="1492"/>
      <c r="AO237"/>
      <c r="AR237"/>
      <c r="AS237"/>
      <c r="AT237"/>
      <c r="AU237"/>
      <c r="AV237"/>
      <c r="AW237"/>
      <c r="AX237"/>
      <c r="AY237"/>
      <c r="AZ237"/>
      <c r="BA237"/>
      <c r="BB237"/>
      <c r="BC237"/>
      <c r="BD237"/>
      <c r="BE237"/>
      <c r="BF237"/>
      <c r="BG237"/>
      <c r="BH237"/>
      <c r="BI237"/>
    </row>
    <row r="238" spans="2:61" x14ac:dyDescent="0.25">
      <c r="B238"/>
      <c r="C238" s="1431" t="s">
        <v>5324</v>
      </c>
      <c r="D238"/>
      <c r="E238"/>
      <c r="F238"/>
      <c r="G238"/>
      <c r="H238"/>
      <c r="I238"/>
      <c r="J238"/>
      <c r="K238"/>
      <c r="L238"/>
      <c r="M238"/>
      <c r="N238" s="2012" t="s">
        <v>5416</v>
      </c>
      <c r="O238" s="2012"/>
      <c r="P238"/>
      <c r="Q238"/>
      <c r="R238" s="1492"/>
      <c r="S238" s="1452" t="b">
        <f ca="1">IF($AY$18=INDEX(INDIRECT("ddSingleOrMulti"),2),TRUE,FALSE)</f>
        <v>0</v>
      </c>
      <c r="T238"/>
      <c r="U238"/>
      <c r="V238"/>
      <c r="W238" s="565">
        <f ca="1">'Verification Report'!O282*S238</f>
        <v>0</v>
      </c>
      <c r="X238" s="1757"/>
      <c r="Y238" s="2077"/>
      <c r="AA238"/>
      <c r="AB238"/>
      <c r="AC238" s="1492"/>
      <c r="AD238" s="1492"/>
      <c r="AE238" s="1492"/>
      <c r="AF238" s="1492"/>
      <c r="AO238"/>
      <c r="AR238"/>
      <c r="AS238"/>
      <c r="AT238"/>
      <c r="AU238"/>
      <c r="AV238"/>
      <c r="AW238"/>
      <c r="AX238"/>
      <c r="AY238"/>
      <c r="AZ238"/>
      <c r="BA238"/>
      <c r="BB238"/>
      <c r="BC238"/>
      <c r="BD238"/>
      <c r="BE238"/>
      <c r="BF238"/>
      <c r="BG238"/>
      <c r="BH238"/>
      <c r="BI238"/>
    </row>
    <row r="239" spans="2:61" x14ac:dyDescent="0.25">
      <c r="B239"/>
      <c r="C239"/>
      <c r="D239"/>
      <c r="E239"/>
      <c r="F239"/>
      <c r="G239"/>
      <c r="H239"/>
      <c r="I239"/>
      <c r="J239"/>
      <c r="K239"/>
      <c r="L239"/>
      <c r="M239"/>
      <c r="N239"/>
      <c r="O239"/>
      <c r="P239"/>
      <c r="Q239"/>
      <c r="R239" s="1492"/>
      <c r="S239"/>
      <c r="T239"/>
      <c r="U239"/>
      <c r="V239"/>
      <c r="W239"/>
      <c r="X239"/>
      <c r="Y239"/>
      <c r="AA239"/>
      <c r="AB239"/>
      <c r="AC239" s="1492"/>
      <c r="AD239" s="1492"/>
      <c r="AE239" s="1492"/>
      <c r="AF239" s="1492"/>
      <c r="AO239"/>
      <c r="AR239"/>
      <c r="AS239"/>
      <c r="AT239"/>
      <c r="AU239"/>
      <c r="AV239"/>
      <c r="AW239"/>
      <c r="AX239"/>
      <c r="AY239"/>
      <c r="AZ239"/>
      <c r="BA239"/>
      <c r="BB239"/>
      <c r="BC239"/>
      <c r="BD239"/>
      <c r="BE239"/>
      <c r="BF239"/>
      <c r="BG239"/>
      <c r="BH239"/>
      <c r="BI239"/>
    </row>
    <row r="240" spans="2:61" x14ac:dyDescent="0.25">
      <c r="B240"/>
      <c r="C240"/>
      <c r="D240"/>
      <c r="E240"/>
      <c r="F240"/>
      <c r="G240"/>
      <c r="H240"/>
      <c r="I240"/>
      <c r="J240"/>
      <c r="K240"/>
      <c r="L240"/>
      <c r="M240"/>
      <c r="N240"/>
      <c r="O240"/>
      <c r="P240"/>
      <c r="Q240"/>
      <c r="R240" s="1492"/>
      <c r="S240"/>
      <c r="T240"/>
      <c r="U240"/>
      <c r="V240"/>
      <c r="W240"/>
      <c r="X240"/>
      <c r="Y240"/>
      <c r="AA240"/>
      <c r="AB240"/>
      <c r="AC240" s="1492"/>
      <c r="AD240" s="1492"/>
      <c r="AE240" s="1492"/>
      <c r="AF240" s="1492"/>
      <c r="AO240"/>
      <c r="AR240"/>
      <c r="AS240"/>
      <c r="AT240"/>
      <c r="AU240"/>
      <c r="AV240"/>
      <c r="AW240"/>
      <c r="AX240"/>
      <c r="AY240"/>
      <c r="AZ240"/>
      <c r="BA240"/>
      <c r="BB240"/>
      <c r="BC240"/>
      <c r="BD240"/>
      <c r="BE240"/>
      <c r="BF240"/>
      <c r="BG240"/>
      <c r="BH240"/>
      <c r="BI240"/>
    </row>
    <row r="241" spans="2:61" x14ac:dyDescent="0.25">
      <c r="B241"/>
      <c r="C241" s="1430" t="s">
        <v>5325</v>
      </c>
      <c r="D241" s="1431"/>
      <c r="E241"/>
      <c r="F241"/>
      <c r="G241"/>
      <c r="H241"/>
      <c r="I241"/>
      <c r="J241"/>
      <c r="K241"/>
      <c r="L241"/>
      <c r="M241"/>
      <c r="N241"/>
      <c r="O241"/>
      <c r="P241"/>
      <c r="Q241"/>
      <c r="R241" s="1492"/>
      <c r="S241"/>
      <c r="T241"/>
      <c r="U241"/>
      <c r="V241"/>
      <c r="W241"/>
      <c r="X241"/>
      <c r="Y241"/>
      <c r="AA241"/>
      <c r="AB241"/>
      <c r="AC241" s="1492"/>
      <c r="AD241" s="1492"/>
      <c r="AE241" s="1492"/>
      <c r="AF241" s="1492"/>
      <c r="AO241"/>
      <c r="AR241"/>
      <c r="AS241"/>
      <c r="AT241"/>
      <c r="AU241"/>
      <c r="AV241"/>
      <c r="AW241"/>
      <c r="AX241"/>
      <c r="AY241"/>
      <c r="AZ241"/>
      <c r="BA241"/>
      <c r="BB241"/>
      <c r="BC241"/>
      <c r="BD241"/>
      <c r="BE241"/>
      <c r="BF241"/>
      <c r="BG241"/>
      <c r="BH241"/>
      <c r="BI241"/>
    </row>
    <row r="242" spans="2:61" x14ac:dyDescent="0.25">
      <c r="B242"/>
      <c r="C242" s="1445" t="s">
        <v>5255</v>
      </c>
      <c r="D242" s="1431"/>
      <c r="E242"/>
      <c r="F242"/>
      <c r="G242"/>
      <c r="H242"/>
      <c r="I242"/>
      <c r="J242"/>
      <c r="K242"/>
      <c r="L242"/>
      <c r="M242"/>
      <c r="N242"/>
      <c r="O242"/>
      <c r="P242"/>
      <c r="Q242"/>
      <c r="R242" s="1492"/>
      <c r="S242"/>
      <c r="T242"/>
      <c r="U242"/>
      <c r="V242"/>
      <c r="W242"/>
      <c r="X242"/>
      <c r="Y242"/>
      <c r="AA242"/>
      <c r="AB242"/>
      <c r="AC242" s="1492"/>
      <c r="AD242" s="1492"/>
      <c r="AE242" s="1492"/>
      <c r="AF242" s="1492"/>
      <c r="AO242"/>
      <c r="AR242"/>
      <c r="AS242"/>
      <c r="AT242"/>
      <c r="AU242"/>
      <c r="AV242"/>
      <c r="AW242"/>
      <c r="AX242"/>
      <c r="AY242"/>
      <c r="AZ242"/>
      <c r="BA242"/>
      <c r="BB242"/>
      <c r="BC242"/>
      <c r="BD242"/>
      <c r="BE242"/>
      <c r="BF242"/>
      <c r="BG242"/>
      <c r="BH242"/>
      <c r="BI242"/>
    </row>
    <row r="243" spans="2:61" x14ac:dyDescent="0.25">
      <c r="B243"/>
      <c r="D243" s="8" t="s">
        <v>5326</v>
      </c>
      <c r="E243"/>
      <c r="F243"/>
      <c r="G243"/>
      <c r="H243"/>
      <c r="I243"/>
      <c r="J243"/>
      <c r="K243"/>
      <c r="L243"/>
      <c r="M243"/>
      <c r="N243"/>
      <c r="O243"/>
      <c r="P243"/>
      <c r="Q243"/>
      <c r="R243" s="1492"/>
      <c r="S243"/>
      <c r="T243"/>
      <c r="U243"/>
      <c r="V243"/>
      <c r="W243"/>
      <c r="X243"/>
      <c r="Y243"/>
      <c r="AA243"/>
      <c r="AB243"/>
      <c r="AC243" s="1492"/>
      <c r="AD243" s="1492"/>
      <c r="AE243" s="1492"/>
      <c r="AF243" s="1492"/>
      <c r="AO243"/>
      <c r="AR243"/>
      <c r="AS243"/>
      <c r="AT243"/>
      <c r="AU243"/>
      <c r="AV243"/>
      <c r="AW243"/>
      <c r="AX243"/>
      <c r="AY243"/>
      <c r="AZ243"/>
      <c r="BA243"/>
      <c r="BB243"/>
      <c r="BC243"/>
      <c r="BD243"/>
      <c r="BE243"/>
      <c r="BF243"/>
      <c r="BG243"/>
      <c r="BH243"/>
      <c r="BI243"/>
    </row>
    <row r="244" spans="2:61" x14ac:dyDescent="0.25">
      <c r="B244"/>
      <c r="C244"/>
      <c r="D244" s="1431" t="s">
        <v>5417</v>
      </c>
      <c r="E244"/>
      <c r="F244"/>
      <c r="G244"/>
      <c r="H244"/>
      <c r="I244"/>
      <c r="J244"/>
      <c r="K244"/>
      <c r="L244"/>
      <c r="M244"/>
      <c r="N244"/>
      <c r="O244"/>
      <c r="P244"/>
      <c r="Q244"/>
      <c r="R244" s="1492"/>
      <c r="S244"/>
      <c r="T244"/>
      <c r="U244"/>
      <c r="V244"/>
      <c r="W244"/>
      <c r="X244"/>
      <c r="Y244"/>
      <c r="AA244"/>
      <c r="AB244"/>
      <c r="AC244" s="1492"/>
      <c r="AD244" s="1492"/>
      <c r="AE244" s="1492"/>
      <c r="AF244" s="1492"/>
      <c r="AO244"/>
      <c r="AR244"/>
      <c r="AS244"/>
      <c r="AT244"/>
      <c r="AU244"/>
      <c r="AV244"/>
      <c r="AW244"/>
      <c r="AX244"/>
      <c r="AY244"/>
      <c r="AZ244"/>
      <c r="BA244"/>
      <c r="BB244"/>
      <c r="BC244"/>
      <c r="BD244"/>
      <c r="BE244"/>
      <c r="BF244"/>
      <c r="BG244"/>
      <c r="BH244"/>
      <c r="BI244"/>
    </row>
    <row r="245" spans="2:61" x14ac:dyDescent="0.25">
      <c r="C245" s="1445" t="s">
        <v>5407</v>
      </c>
      <c r="N245" s="1706" t="s">
        <v>249</v>
      </c>
      <c r="O245" s="1706"/>
      <c r="R245" s="1492"/>
      <c r="W245" s="1421"/>
      <c r="AA245"/>
      <c r="AB245"/>
      <c r="AC245" s="1492"/>
      <c r="AD245" s="1492"/>
      <c r="AE245" s="1492"/>
      <c r="AF245" s="1492"/>
      <c r="AO245"/>
      <c r="AR245"/>
      <c r="AS245"/>
      <c r="AT245"/>
      <c r="AU245"/>
      <c r="AV245"/>
      <c r="AW245"/>
      <c r="AX245"/>
      <c r="AY245"/>
      <c r="AZ245"/>
      <c r="BA245"/>
      <c r="BB245"/>
      <c r="BC245"/>
      <c r="BD245"/>
      <c r="BE245"/>
      <c r="BF245"/>
      <c r="BG245"/>
      <c r="BH245"/>
      <c r="BI245"/>
    </row>
    <row r="246" spans="2:61" x14ac:dyDescent="0.25">
      <c r="C246" s="1431" t="s">
        <v>5327</v>
      </c>
      <c r="N246" s="2012" t="s">
        <v>4108</v>
      </c>
      <c r="O246" s="2012"/>
      <c r="R246" s="1492"/>
      <c r="W246" s="565" t="str">
        <f>IF(AND('Verification Report'!O462&gt;0,'Verification Report'!O467&gt;0),"Met","Not Met")</f>
        <v>Not Met</v>
      </c>
      <c r="X246" s="1757"/>
      <c r="Y246" s="2077" t="str">
        <f>IF(LEN('Badges (Design)'!X246)=0,"None",'Badges (Design)'!X246)</f>
        <v>None</v>
      </c>
      <c r="AA246"/>
      <c r="AB246"/>
      <c r="AC246" s="1492"/>
      <c r="AD246" s="1492"/>
      <c r="AE246" s="1492"/>
      <c r="AF246" s="1492"/>
      <c r="AO246"/>
      <c r="AR246" s="1461" t="s">
        <v>5571</v>
      </c>
      <c r="AS246" s="254" t="str">
        <f>IF(LEN(X246)=0,"",X246)</f>
        <v/>
      </c>
      <c r="AT246"/>
      <c r="AU246"/>
      <c r="AV246"/>
      <c r="AW246"/>
      <c r="AX246"/>
      <c r="AY246"/>
      <c r="AZ246"/>
      <c r="BA246"/>
      <c r="BB246"/>
      <c r="BC246"/>
      <c r="BD246"/>
      <c r="BE246"/>
      <c r="BF246"/>
      <c r="BG246"/>
      <c r="BH246"/>
      <c r="BI246"/>
    </row>
    <row r="247" spans="2:61" x14ac:dyDescent="0.25">
      <c r="C247" s="1431" t="s">
        <v>5328</v>
      </c>
      <c r="N247" s="2012" t="s">
        <v>5662</v>
      </c>
      <c r="O247" s="2012"/>
      <c r="R247" s="1492"/>
      <c r="S247" s="1452" t="b">
        <f ca="1">IF($AY$18=INDEX(INDIRECT("ddSingleOrMulti"),2),TRUE,FALSE)</f>
        <v>0</v>
      </c>
      <c r="W247" s="565">
        <f ca="1">'Verification Report'!O525*S247</f>
        <v>0</v>
      </c>
      <c r="X247" s="1757"/>
      <c r="Y247" s="2077"/>
      <c r="AA247"/>
      <c r="AB247"/>
      <c r="AC247" s="1492"/>
      <c r="AD247" s="1492"/>
      <c r="AE247" s="1492"/>
      <c r="AF247" s="1492"/>
      <c r="AO247"/>
      <c r="AR247"/>
      <c r="AS247"/>
      <c r="AT247"/>
      <c r="AU247"/>
      <c r="AV247"/>
      <c r="AW247"/>
      <c r="AX247"/>
      <c r="AY247"/>
      <c r="AZ247"/>
      <c r="BA247"/>
      <c r="BB247"/>
      <c r="BC247"/>
      <c r="BD247"/>
      <c r="BE247"/>
      <c r="BF247"/>
      <c r="BG247"/>
      <c r="BH247"/>
      <c r="BI247"/>
    </row>
    <row r="248" spans="2:61" x14ac:dyDescent="0.25">
      <c r="C248" s="1431" t="s">
        <v>5329</v>
      </c>
      <c r="N248" s="2012" t="s">
        <v>5330</v>
      </c>
      <c r="O248" s="2012"/>
      <c r="R248" s="1492"/>
      <c r="W248" s="565">
        <f ca="1">'Verification Report'!O510</f>
        <v>0</v>
      </c>
      <c r="X248" s="1757"/>
      <c r="Y248" s="2077"/>
      <c r="AA248"/>
      <c r="AB248"/>
      <c r="AC248" s="1492"/>
      <c r="AD248" s="1492"/>
      <c r="AE248" s="1492"/>
      <c r="AF248" s="1492"/>
      <c r="AO248"/>
      <c r="AR248"/>
      <c r="AS248"/>
      <c r="AT248"/>
      <c r="AU248"/>
      <c r="AV248"/>
      <c r="AW248"/>
      <c r="AX248"/>
      <c r="AY248"/>
      <c r="AZ248"/>
      <c r="BA248"/>
      <c r="BB248"/>
      <c r="BC248"/>
      <c r="BD248"/>
      <c r="BE248"/>
      <c r="BF248"/>
      <c r="BG248"/>
      <c r="BH248"/>
      <c r="BI248"/>
    </row>
    <row r="249" spans="2:61" x14ac:dyDescent="0.25">
      <c r="O249" s="1421"/>
      <c r="R249" s="1492"/>
      <c r="W249" s="1421"/>
      <c r="AA249"/>
      <c r="AB249"/>
      <c r="AC249" s="1492"/>
      <c r="AD249" s="1492"/>
      <c r="AE249" s="1492"/>
      <c r="AF249" s="1492"/>
      <c r="AO249"/>
      <c r="AR249"/>
      <c r="AS249"/>
      <c r="AT249"/>
      <c r="AU249"/>
      <c r="AV249"/>
      <c r="AW249"/>
      <c r="AX249"/>
      <c r="AY249"/>
      <c r="AZ249"/>
      <c r="BA249"/>
      <c r="BB249"/>
      <c r="BC249"/>
      <c r="BD249"/>
      <c r="BE249"/>
      <c r="BF249"/>
      <c r="BG249"/>
      <c r="BH249"/>
      <c r="BI249"/>
    </row>
    <row r="250" spans="2:61" x14ac:dyDescent="0.25">
      <c r="O250" s="1421"/>
      <c r="R250" s="1492"/>
      <c r="W250" s="1421"/>
      <c r="AA250"/>
      <c r="AB250"/>
      <c r="AC250" s="1492"/>
      <c r="AD250" s="1492"/>
      <c r="AE250" s="1492"/>
      <c r="AF250" s="1492"/>
      <c r="AO250"/>
      <c r="AR250"/>
      <c r="AS250"/>
      <c r="AT250"/>
      <c r="AU250"/>
      <c r="AV250"/>
      <c r="AW250"/>
      <c r="AX250"/>
      <c r="AY250"/>
      <c r="AZ250"/>
      <c r="BA250"/>
      <c r="BB250"/>
      <c r="BC250"/>
      <c r="BD250"/>
      <c r="BE250"/>
      <c r="BF250"/>
      <c r="BG250"/>
      <c r="BH250"/>
      <c r="BI250"/>
    </row>
    <row r="251" spans="2:61" x14ac:dyDescent="0.25">
      <c r="C251" s="1430" t="s">
        <v>5331</v>
      </c>
      <c r="D251" s="1431"/>
      <c r="O251" s="1421"/>
      <c r="R251" s="1492"/>
      <c r="W251" s="1421"/>
      <c r="AA251"/>
      <c r="AB251"/>
      <c r="AC251" s="1492"/>
      <c r="AD251" s="1492"/>
      <c r="AE251" s="1492"/>
      <c r="AF251" s="1492"/>
      <c r="AO251"/>
      <c r="AR251"/>
      <c r="AS251"/>
      <c r="AT251"/>
      <c r="AU251"/>
      <c r="AV251"/>
      <c r="AW251"/>
      <c r="AX251"/>
      <c r="AY251"/>
      <c r="AZ251"/>
      <c r="BA251"/>
      <c r="BB251"/>
      <c r="BC251"/>
      <c r="BD251"/>
      <c r="BE251"/>
      <c r="BF251"/>
      <c r="BG251"/>
      <c r="BH251"/>
      <c r="BI251"/>
    </row>
    <row r="252" spans="2:61" x14ac:dyDescent="0.25">
      <c r="B252"/>
      <c r="C252" s="1445" t="s">
        <v>5255</v>
      </c>
      <c r="D252" s="1431"/>
      <c r="E252"/>
      <c r="F252"/>
      <c r="G252"/>
      <c r="H252"/>
      <c r="I252"/>
      <c r="J252"/>
      <c r="K252"/>
      <c r="L252"/>
      <c r="M252"/>
      <c r="N252"/>
      <c r="O252"/>
      <c r="P252"/>
      <c r="Q252"/>
      <c r="R252" s="1492"/>
      <c r="S252"/>
      <c r="T252"/>
      <c r="U252"/>
      <c r="V252"/>
      <c r="W252"/>
      <c r="X252"/>
      <c r="Y252"/>
      <c r="AA252"/>
      <c r="AB252"/>
      <c r="AC252" s="1492"/>
      <c r="AD252" s="1492"/>
      <c r="AE252" s="1492"/>
      <c r="AF252" s="1492"/>
      <c r="AO252"/>
      <c r="AR252"/>
      <c r="AS252"/>
      <c r="AT252"/>
      <c r="AU252"/>
      <c r="AV252"/>
      <c r="AW252"/>
      <c r="AX252"/>
      <c r="AY252"/>
      <c r="AZ252"/>
      <c r="BA252"/>
      <c r="BB252"/>
      <c r="BC252"/>
      <c r="BD252"/>
      <c r="BE252"/>
      <c r="BF252"/>
      <c r="BG252"/>
      <c r="BH252"/>
      <c r="BI252"/>
    </row>
    <row r="253" spans="2:61" x14ac:dyDescent="0.25">
      <c r="B253"/>
      <c r="D253" s="8" t="s">
        <v>5326</v>
      </c>
      <c r="E253"/>
      <c r="F253"/>
      <c r="G253"/>
      <c r="H253"/>
      <c r="I253"/>
      <c r="J253"/>
      <c r="K253"/>
      <c r="L253"/>
      <c r="M253"/>
      <c r="N253"/>
      <c r="O253"/>
      <c r="P253"/>
      <c r="Q253"/>
      <c r="R253" s="1492"/>
      <c r="S253"/>
      <c r="T253"/>
      <c r="U253"/>
      <c r="V253"/>
      <c r="W253"/>
      <c r="X253"/>
      <c r="Y253"/>
      <c r="AA253"/>
      <c r="AB253"/>
      <c r="AC253" s="1492"/>
      <c r="AD253" s="1492"/>
      <c r="AE253" s="1492"/>
      <c r="AF253" s="1492"/>
      <c r="AO253"/>
      <c r="AR253"/>
      <c r="AS253"/>
      <c r="AT253"/>
      <c r="AU253"/>
      <c r="AV253"/>
      <c r="AW253"/>
      <c r="AX253"/>
      <c r="AY253"/>
      <c r="AZ253"/>
      <c r="BA253"/>
      <c r="BB253"/>
      <c r="BC253"/>
      <c r="BD253"/>
      <c r="BE253"/>
      <c r="BF253"/>
      <c r="BG253"/>
      <c r="BH253"/>
      <c r="BI253"/>
    </row>
    <row r="254" spans="2:61" x14ac:dyDescent="0.25">
      <c r="B254"/>
      <c r="C254"/>
      <c r="D254" s="1431" t="s">
        <v>5417</v>
      </c>
      <c r="E254"/>
      <c r="F254"/>
      <c r="G254"/>
      <c r="H254"/>
      <c r="I254"/>
      <c r="J254"/>
      <c r="K254"/>
      <c r="L254"/>
      <c r="M254"/>
      <c r="N254"/>
      <c r="O254"/>
      <c r="P254"/>
      <c r="Q254"/>
      <c r="R254" s="1492"/>
      <c r="S254"/>
      <c r="T254"/>
      <c r="U254"/>
      <c r="V254"/>
      <c r="W254"/>
      <c r="X254"/>
      <c r="Y254"/>
      <c r="AA254"/>
      <c r="AB254"/>
      <c r="AC254" s="1492"/>
      <c r="AD254" s="1492"/>
      <c r="AE254" s="1492"/>
      <c r="AF254" s="1492"/>
      <c r="AO254"/>
      <c r="AR254"/>
      <c r="AS254"/>
      <c r="AT254"/>
      <c r="AU254"/>
      <c r="AV254"/>
      <c r="AW254"/>
      <c r="AX254"/>
      <c r="AY254"/>
      <c r="AZ254"/>
      <c r="BA254"/>
      <c r="BB254"/>
      <c r="BC254"/>
      <c r="BD254"/>
      <c r="BE254"/>
      <c r="BF254"/>
      <c r="BG254"/>
      <c r="BH254"/>
      <c r="BI254"/>
    </row>
    <row r="255" spans="2:61" x14ac:dyDescent="0.25">
      <c r="B255"/>
      <c r="C255" s="1445" t="s">
        <v>5407</v>
      </c>
      <c r="D255"/>
      <c r="E255"/>
      <c r="F255"/>
      <c r="G255"/>
      <c r="H255"/>
      <c r="I255"/>
      <c r="J255"/>
      <c r="K255"/>
      <c r="L255"/>
      <c r="M255"/>
      <c r="N255" s="2012" t="s">
        <v>249</v>
      </c>
      <c r="O255" s="2012"/>
      <c r="P255"/>
      <c r="Q255"/>
      <c r="R255" s="1492"/>
      <c r="S255"/>
      <c r="T255"/>
      <c r="U255"/>
      <c r="V255"/>
      <c r="W255"/>
      <c r="X255"/>
      <c r="Y255"/>
      <c r="AA255"/>
      <c r="AB255"/>
      <c r="AC255" s="1492"/>
      <c r="AD255" s="1492"/>
      <c r="AE255" s="1492"/>
      <c r="AF255" s="1492"/>
      <c r="AO255"/>
      <c r="AR255"/>
      <c r="AS255"/>
      <c r="AT255"/>
      <c r="AU255"/>
      <c r="AV255"/>
      <c r="AW255"/>
      <c r="AX255"/>
      <c r="AY255"/>
      <c r="AZ255"/>
      <c r="BA255"/>
      <c r="BB255"/>
      <c r="BC255"/>
      <c r="BD255"/>
      <c r="BE255"/>
      <c r="BF255"/>
      <c r="BG255"/>
      <c r="BH255"/>
      <c r="BI255"/>
    </row>
    <row r="256" spans="2:61" x14ac:dyDescent="0.25">
      <c r="B256"/>
      <c r="C256" s="1431" t="s">
        <v>5332</v>
      </c>
      <c r="D256"/>
      <c r="E256"/>
      <c r="F256"/>
      <c r="G256"/>
      <c r="H256"/>
      <c r="I256"/>
      <c r="J256"/>
      <c r="K256"/>
      <c r="L256"/>
      <c r="M256"/>
      <c r="N256" s="2012" t="s">
        <v>4108</v>
      </c>
      <c r="O256" s="2012"/>
      <c r="P256" s="1490" t="b">
        <v>1</v>
      </c>
      <c r="Q256" s="1490" t="b">
        <v>1</v>
      </c>
      <c r="R256" s="1492" t="b">
        <f>R202</f>
        <v>0</v>
      </c>
      <c r="S256" s="1490" t="b">
        <v>1</v>
      </c>
      <c r="T256" s="1490" t="b">
        <v>0</v>
      </c>
      <c r="U256" s="1490" t="s">
        <v>5608</v>
      </c>
      <c r="V256"/>
      <c r="W256" s="1491"/>
      <c r="X256" s="1757"/>
      <c r="Y256" s="2077" t="str">
        <f>IF(LEN('Badges (Design)'!X256)=0,"None",'Badges (Design)'!X256)</f>
        <v>None</v>
      </c>
      <c r="AA256"/>
      <c r="AB256"/>
      <c r="AC256" s="1492" t="b">
        <f>OR(AD256:AE256)</f>
        <v>0</v>
      </c>
      <c r="AD256" s="1492" t="b">
        <f>T256</f>
        <v>0</v>
      </c>
      <c r="AE256" s="1492" t="b">
        <f>AND(R256=TRUE,OR(LEN(W256)=0,W256="Not Met"))</f>
        <v>0</v>
      </c>
      <c r="AF256" s="1492" t="b">
        <f>AND(AE256,NOT(Q256))</f>
        <v>0</v>
      </c>
      <c r="AO256"/>
      <c r="AP256" s="1492" t="s">
        <v>5616</v>
      </c>
      <c r="AQ256" s="254" t="str">
        <f>IF(LEN(W256)=0,"",W256)</f>
        <v/>
      </c>
      <c r="AR256" s="1461" t="s">
        <v>5572</v>
      </c>
      <c r="AS256" s="254" t="str">
        <f>IF(LEN(X256)=0,"",X256)</f>
        <v/>
      </c>
      <c r="AT256"/>
      <c r="AU256"/>
      <c r="AV256"/>
      <c r="AW256"/>
      <c r="AX256"/>
      <c r="AY256"/>
      <c r="AZ256"/>
      <c r="BA256"/>
      <c r="BB256"/>
      <c r="BC256"/>
      <c r="BD256"/>
      <c r="BE256"/>
      <c r="BF256"/>
      <c r="BG256"/>
      <c r="BH256"/>
      <c r="BI256"/>
    </row>
    <row r="257" spans="2:61" x14ac:dyDescent="0.25">
      <c r="B257"/>
      <c r="C257" s="1431" t="s">
        <v>5333</v>
      </c>
      <c r="D257"/>
      <c r="E257"/>
      <c r="F257"/>
      <c r="G257"/>
      <c r="H257"/>
      <c r="I257"/>
      <c r="J257"/>
      <c r="K257"/>
      <c r="L257"/>
      <c r="M257"/>
      <c r="N257" s="1706">
        <v>2</v>
      </c>
      <c r="O257" s="1706"/>
      <c r="P257"/>
      <c r="Q257"/>
      <c r="R257"/>
      <c r="S257"/>
      <c r="T257"/>
      <c r="U257"/>
      <c r="V257"/>
      <c r="W257" s="565">
        <f>'Verification Report'!O2232</f>
        <v>0</v>
      </c>
      <c r="X257" s="1757"/>
      <c r="Y257" s="2077"/>
      <c r="AA257"/>
      <c r="AB257"/>
      <c r="AC257"/>
      <c r="AO257"/>
      <c r="AR257"/>
      <c r="AS257"/>
      <c r="AT257"/>
      <c r="AU257"/>
      <c r="AV257"/>
      <c r="AW257"/>
      <c r="AX257"/>
      <c r="AY257"/>
      <c r="AZ257"/>
      <c r="BA257"/>
      <c r="BB257"/>
      <c r="BC257"/>
      <c r="BD257"/>
      <c r="BE257"/>
      <c r="BF257"/>
      <c r="BG257"/>
      <c r="BH257"/>
      <c r="BI257"/>
    </row>
    <row r="258" spans="2:61" x14ac:dyDescent="0.25">
      <c r="B258"/>
      <c r="C258"/>
      <c r="D258"/>
      <c r="E258"/>
      <c r="F258"/>
      <c r="G258"/>
      <c r="H258"/>
      <c r="I258"/>
      <c r="J258"/>
      <c r="K258"/>
      <c r="L258"/>
      <c r="M258"/>
      <c r="N258"/>
      <c r="O258"/>
      <c r="P258"/>
      <c r="Q258"/>
      <c r="R258"/>
      <c r="S258"/>
      <c r="T258"/>
      <c r="U258"/>
      <c r="V258"/>
      <c r="W258"/>
      <c r="X258"/>
      <c r="Y258"/>
      <c r="AA258"/>
      <c r="AB258"/>
      <c r="AC258"/>
      <c r="AO258"/>
      <c r="AR258"/>
      <c r="AS258"/>
      <c r="AT258"/>
      <c r="AU258"/>
      <c r="AV258"/>
      <c r="AW258"/>
      <c r="AX258"/>
      <c r="AY258"/>
      <c r="AZ258"/>
      <c r="BA258"/>
      <c r="BB258"/>
      <c r="BC258"/>
      <c r="BD258"/>
      <c r="BE258"/>
      <c r="BF258"/>
      <c r="BG258"/>
      <c r="BH258"/>
      <c r="BI258"/>
    </row>
    <row r="259" spans="2:61" x14ac:dyDescent="0.25">
      <c r="B259"/>
      <c r="C259"/>
      <c r="D259"/>
      <c r="E259"/>
      <c r="F259"/>
      <c r="G259"/>
      <c r="H259"/>
      <c r="I259"/>
      <c r="J259"/>
      <c r="K259"/>
      <c r="L259"/>
      <c r="M259"/>
      <c r="N259"/>
      <c r="O259"/>
      <c r="P259"/>
      <c r="Q259"/>
      <c r="R259"/>
      <c r="S259"/>
      <c r="T259"/>
      <c r="U259"/>
      <c r="V259"/>
      <c r="W259"/>
      <c r="X259"/>
      <c r="Y259"/>
      <c r="AA259"/>
      <c r="AB259"/>
      <c r="AC259"/>
      <c r="AO259"/>
      <c r="AR259"/>
      <c r="AS259"/>
      <c r="AT259"/>
      <c r="AU259"/>
      <c r="AV259"/>
      <c r="AW259"/>
      <c r="AX259"/>
      <c r="AY259"/>
      <c r="AZ259"/>
      <c r="BA259"/>
      <c r="BB259"/>
      <c r="BC259"/>
      <c r="BD259"/>
      <c r="BE259"/>
      <c r="BF259"/>
      <c r="BG259"/>
      <c r="BH259"/>
      <c r="BI259"/>
    </row>
    <row r="260" spans="2:61" x14ac:dyDescent="0.25">
      <c r="B260"/>
      <c r="C260" s="1430" t="s">
        <v>5335</v>
      </c>
      <c r="D260"/>
      <c r="E260"/>
      <c r="F260"/>
      <c r="G260"/>
      <c r="H260"/>
      <c r="I260"/>
      <c r="J260"/>
      <c r="K260"/>
      <c r="L260"/>
      <c r="M260"/>
      <c r="N260"/>
      <c r="O260"/>
      <c r="P260"/>
      <c r="Q260"/>
      <c r="R260"/>
      <c r="S260"/>
      <c r="T260"/>
      <c r="U260"/>
      <c r="V260"/>
      <c r="W260"/>
      <c r="X260"/>
      <c r="Y260"/>
      <c r="AA260"/>
      <c r="AB260"/>
      <c r="AC260"/>
      <c r="AO260"/>
      <c r="AR260"/>
      <c r="AS260"/>
      <c r="AT260"/>
      <c r="AU260"/>
      <c r="AV260"/>
      <c r="AW260"/>
      <c r="AX260"/>
      <c r="AY260"/>
      <c r="AZ260"/>
      <c r="BA260"/>
      <c r="BB260"/>
      <c r="BC260"/>
      <c r="BD260"/>
      <c r="BE260"/>
      <c r="BF260"/>
      <c r="BG260"/>
      <c r="BH260"/>
      <c r="BI260"/>
    </row>
    <row r="261" spans="2:61" x14ac:dyDescent="0.25">
      <c r="C261" s="1445" t="s">
        <v>5255</v>
      </c>
      <c r="O261" s="1421"/>
      <c r="W261" s="1421"/>
      <c r="AA261"/>
      <c r="AB261"/>
      <c r="AC261"/>
      <c r="AO261"/>
      <c r="AR261"/>
      <c r="AS261"/>
      <c r="AT261"/>
      <c r="AU261"/>
      <c r="AV261"/>
      <c r="AW261"/>
      <c r="AX261"/>
      <c r="AY261"/>
      <c r="AZ261"/>
      <c r="BA261"/>
      <c r="BB261"/>
      <c r="BC261"/>
      <c r="BD261"/>
      <c r="BE261"/>
      <c r="BF261"/>
      <c r="BG261"/>
      <c r="BH261"/>
      <c r="BI261"/>
    </row>
    <row r="262" spans="2:61" x14ac:dyDescent="0.25">
      <c r="D262" s="8" t="s">
        <v>5418</v>
      </c>
      <c r="O262" s="1421"/>
      <c r="W262" s="1421"/>
      <c r="AA262"/>
      <c r="AB262"/>
      <c r="AC262"/>
      <c r="AO262"/>
      <c r="AR262"/>
      <c r="AS262"/>
      <c r="AT262"/>
      <c r="AU262"/>
      <c r="AV262"/>
      <c r="AW262"/>
      <c r="AX262"/>
      <c r="AY262"/>
      <c r="AZ262"/>
      <c r="BA262"/>
      <c r="BB262"/>
      <c r="BC262"/>
      <c r="BD262"/>
      <c r="BE262"/>
      <c r="BF262"/>
      <c r="BG262"/>
      <c r="BH262"/>
      <c r="BI262"/>
    </row>
    <row r="263" spans="2:61" x14ac:dyDescent="0.25">
      <c r="C263" s="1445" t="s">
        <v>5407</v>
      </c>
      <c r="N263" s="2012" t="s">
        <v>249</v>
      </c>
      <c r="O263" s="2012"/>
      <c r="W263" s="1421"/>
      <c r="AA263"/>
      <c r="AB263"/>
      <c r="AC263"/>
      <c r="AO263"/>
      <c r="AR263"/>
      <c r="AS263"/>
      <c r="AT263"/>
      <c r="AU263"/>
      <c r="AV263"/>
      <c r="AW263"/>
      <c r="AX263"/>
      <c r="AY263"/>
      <c r="AZ263"/>
      <c r="BA263"/>
      <c r="BB263"/>
      <c r="BC263"/>
      <c r="BD263"/>
      <c r="BE263"/>
      <c r="BF263"/>
      <c r="BG263"/>
      <c r="BH263"/>
      <c r="BI263"/>
    </row>
    <row r="264" spans="2:61" x14ac:dyDescent="0.25">
      <c r="C264" s="1431" t="s">
        <v>5336</v>
      </c>
      <c r="N264" s="2012" t="s">
        <v>5419</v>
      </c>
      <c r="O264" s="2012"/>
      <c r="S264" s="1452" t="b">
        <f ca="1">IF($AY$18=INDEX(INDIRECT("ddSingleOrMulti"),2),TRUE,FALSE)</f>
        <v>0</v>
      </c>
      <c r="W264" s="565">
        <f ca="1">'Verification Report'!O286*S264</f>
        <v>0</v>
      </c>
      <c r="X264" s="1757"/>
      <c r="Y264" s="2077" t="str">
        <f>IF(LEN('Badges (Design)'!X264)=0,"None",'Badges (Design)'!X264)</f>
        <v>None</v>
      </c>
      <c r="AA264"/>
      <c r="AB264"/>
      <c r="AC264"/>
      <c r="AO264"/>
      <c r="AR264" s="1461" t="s">
        <v>5573</v>
      </c>
      <c r="AS264" s="254" t="str">
        <f>IF(LEN(X264)=0,"",X264)</f>
        <v/>
      </c>
      <c r="AT264"/>
      <c r="AU264"/>
      <c r="AV264"/>
      <c r="AW264"/>
      <c r="AX264"/>
      <c r="AY264"/>
      <c r="AZ264"/>
      <c r="BA264"/>
      <c r="BB264"/>
      <c r="BC264"/>
      <c r="BD264"/>
      <c r="BE264"/>
      <c r="BF264"/>
      <c r="BG264"/>
      <c r="BH264"/>
      <c r="BI264"/>
    </row>
    <row r="265" spans="2:61" x14ac:dyDescent="0.25">
      <c r="C265" s="1431" t="s">
        <v>5337</v>
      </c>
      <c r="N265" s="2012" t="s">
        <v>5411</v>
      </c>
      <c r="O265" s="2012"/>
      <c r="S265" s="1452" t="b">
        <f ca="1">IF($AY$18=INDEX(INDIRECT("ddSingleOrMulti"),2),TRUE,FALSE)</f>
        <v>0</v>
      </c>
      <c r="W265" s="565">
        <f ca="1">'Verification Report'!O288*S265</f>
        <v>0</v>
      </c>
      <c r="X265" s="1757"/>
      <c r="Y265" s="2077"/>
      <c r="AA265"/>
      <c r="AB265"/>
      <c r="AC265"/>
      <c r="AO265"/>
      <c r="AR265"/>
      <c r="AS265"/>
      <c r="AT265"/>
      <c r="AU265"/>
      <c r="AV265"/>
      <c r="AW265"/>
      <c r="AX265"/>
      <c r="AY265"/>
      <c r="AZ265"/>
      <c r="BA265"/>
      <c r="BB265"/>
      <c r="BC265"/>
      <c r="BD265"/>
      <c r="BE265"/>
      <c r="BF265"/>
      <c r="BG265"/>
      <c r="BH265"/>
      <c r="BI265"/>
    </row>
    <row r="266" spans="2:61" x14ac:dyDescent="0.25">
      <c r="O266" s="1421"/>
      <c r="W266" s="1421"/>
      <c r="AA266"/>
      <c r="AB266"/>
      <c r="AC266"/>
      <c r="AO266"/>
      <c r="AR266"/>
      <c r="AS266"/>
      <c r="AT266"/>
      <c r="AU266"/>
      <c r="AV266"/>
      <c r="AW266"/>
      <c r="AX266"/>
      <c r="AY266"/>
      <c r="AZ266"/>
      <c r="BA266"/>
      <c r="BB266"/>
      <c r="BC266"/>
      <c r="BD266"/>
      <c r="BE266"/>
      <c r="BF266"/>
      <c r="BG266"/>
      <c r="BH266"/>
      <c r="BI266"/>
    </row>
    <row r="267" spans="2:61" x14ac:dyDescent="0.25">
      <c r="O267" s="1421"/>
      <c r="W267" s="1421"/>
      <c r="AA267"/>
      <c r="AB267"/>
      <c r="AC267"/>
      <c r="AO267"/>
      <c r="AR267"/>
      <c r="AS267"/>
      <c r="AT267"/>
      <c r="AU267"/>
      <c r="AV267"/>
      <c r="AW267"/>
      <c r="AX267"/>
      <c r="AY267"/>
      <c r="AZ267"/>
      <c r="BA267"/>
      <c r="BB267"/>
      <c r="BC267"/>
      <c r="BD267"/>
      <c r="BE267"/>
      <c r="BF267"/>
      <c r="BG267"/>
      <c r="BH267"/>
      <c r="BI267"/>
    </row>
    <row r="268" spans="2:61" x14ac:dyDescent="0.25">
      <c r="B268"/>
      <c r="C268" s="1430" t="s">
        <v>5338</v>
      </c>
      <c r="D268"/>
      <c r="E268"/>
      <c r="F268"/>
      <c r="G268"/>
      <c r="H268"/>
      <c r="I268"/>
      <c r="J268"/>
      <c r="K268"/>
      <c r="L268"/>
      <c r="M268"/>
      <c r="N268"/>
      <c r="O268"/>
      <c r="P268"/>
      <c r="Q268"/>
      <c r="R268"/>
      <c r="S268"/>
      <c r="T268"/>
      <c r="U268"/>
      <c r="V268"/>
      <c r="W268"/>
      <c r="X268"/>
      <c r="Y268"/>
      <c r="AA268"/>
      <c r="AB268"/>
      <c r="AC268"/>
      <c r="AO268"/>
      <c r="AR268"/>
      <c r="AS268"/>
      <c r="AT268"/>
      <c r="AU268"/>
      <c r="AV268"/>
      <c r="AW268"/>
      <c r="AX268"/>
      <c r="AY268"/>
      <c r="AZ268"/>
      <c r="BA268"/>
      <c r="BB268"/>
      <c r="BC268"/>
      <c r="BD268"/>
      <c r="BE268"/>
      <c r="BF268"/>
      <c r="BG268"/>
      <c r="BH268"/>
      <c r="BI268"/>
    </row>
    <row r="269" spans="2:61" x14ac:dyDescent="0.25">
      <c r="B269"/>
      <c r="C269" s="1445" t="s">
        <v>5255</v>
      </c>
      <c r="D269"/>
      <c r="E269"/>
      <c r="F269"/>
      <c r="G269"/>
      <c r="H269"/>
      <c r="I269"/>
      <c r="J269"/>
      <c r="K269"/>
      <c r="L269"/>
      <c r="M269"/>
      <c r="N269"/>
      <c r="O269"/>
      <c r="P269"/>
      <c r="Q269"/>
      <c r="R269"/>
      <c r="S269"/>
      <c r="T269"/>
      <c r="U269"/>
      <c r="V269"/>
      <c r="W269"/>
      <c r="X269"/>
      <c r="Y269"/>
      <c r="AA269"/>
      <c r="AB269"/>
      <c r="AC269"/>
      <c r="AO269"/>
      <c r="AR269"/>
      <c r="AS269"/>
      <c r="AT269"/>
      <c r="AU269"/>
      <c r="AV269"/>
      <c r="AW269"/>
      <c r="AX269"/>
      <c r="AY269"/>
      <c r="AZ269"/>
      <c r="BA269"/>
      <c r="BB269"/>
      <c r="BC269"/>
      <c r="BD269"/>
      <c r="BE269"/>
      <c r="BF269"/>
      <c r="BG269"/>
      <c r="BH269"/>
      <c r="BI269"/>
    </row>
    <row r="270" spans="2:61" x14ac:dyDescent="0.25">
      <c r="B270"/>
      <c r="D270" s="8" t="s">
        <v>5418</v>
      </c>
      <c r="E270"/>
      <c r="F270"/>
      <c r="G270"/>
      <c r="H270"/>
      <c r="I270"/>
      <c r="J270"/>
      <c r="K270"/>
      <c r="L270"/>
      <c r="M270"/>
      <c r="N270"/>
      <c r="O270"/>
      <c r="P270"/>
      <c r="Q270"/>
      <c r="R270"/>
      <c r="S270"/>
      <c r="T270"/>
      <c r="U270"/>
      <c r="V270"/>
      <c r="W270"/>
      <c r="X270"/>
      <c r="Y270"/>
      <c r="AA270"/>
      <c r="AB270"/>
      <c r="AC270"/>
      <c r="AO270"/>
      <c r="AR270"/>
      <c r="AS270"/>
      <c r="AT270"/>
      <c r="AU270"/>
      <c r="AV270"/>
      <c r="AW270"/>
      <c r="AX270"/>
      <c r="AY270"/>
      <c r="AZ270"/>
      <c r="BA270"/>
      <c r="BB270"/>
      <c r="BC270"/>
      <c r="BD270"/>
      <c r="BE270"/>
      <c r="BF270"/>
      <c r="BG270"/>
      <c r="BH270"/>
      <c r="BI270"/>
    </row>
    <row r="271" spans="2:61" x14ac:dyDescent="0.25">
      <c r="B271"/>
      <c r="C271" s="1445" t="s">
        <v>5407</v>
      </c>
      <c r="D271"/>
      <c r="E271"/>
      <c r="F271"/>
      <c r="G271"/>
      <c r="H271"/>
      <c r="I271"/>
      <c r="J271"/>
      <c r="K271"/>
      <c r="L271"/>
      <c r="M271"/>
      <c r="N271" s="1706" t="s">
        <v>249</v>
      </c>
      <c r="O271" s="1706"/>
      <c r="P271"/>
      <c r="Q271"/>
      <c r="R271"/>
      <c r="S271"/>
      <c r="T271"/>
      <c r="U271"/>
      <c r="V271"/>
      <c r="W271"/>
      <c r="X271"/>
      <c r="Y271"/>
      <c r="AA271"/>
      <c r="AB271"/>
      <c r="AC271"/>
      <c r="AO271"/>
      <c r="AR271"/>
      <c r="AS271"/>
      <c r="AT271"/>
      <c r="AU271"/>
      <c r="AV271"/>
      <c r="AW271"/>
      <c r="AX271"/>
      <c r="AY271"/>
      <c r="AZ271"/>
      <c r="BA271"/>
      <c r="BB271"/>
      <c r="BC271"/>
      <c r="BD271"/>
      <c r="BE271"/>
      <c r="BF271"/>
      <c r="BG271"/>
      <c r="BH271"/>
      <c r="BI271"/>
    </row>
    <row r="272" spans="2:61" x14ac:dyDescent="0.25">
      <c r="B272"/>
      <c r="C272" s="1431" t="s">
        <v>5339</v>
      </c>
      <c r="D272"/>
      <c r="E272"/>
      <c r="F272"/>
      <c r="G272"/>
      <c r="H272"/>
      <c r="I272"/>
      <c r="J272"/>
      <c r="K272"/>
      <c r="L272"/>
      <c r="M272"/>
      <c r="N272" s="1706">
        <v>1</v>
      </c>
      <c r="O272" s="1706"/>
      <c r="P272"/>
      <c r="Q272"/>
      <c r="R272"/>
      <c r="S272"/>
      <c r="T272"/>
      <c r="U272"/>
      <c r="V272"/>
      <c r="W272" s="565">
        <f ca="1">'Verification Report'!O1357</f>
        <v>0</v>
      </c>
      <c r="X272" s="1757"/>
      <c r="Y272" s="2077" t="str">
        <f>IF(LEN('Badges (Design)'!X272)=0,"None",'Badges (Design)'!X272)</f>
        <v>None</v>
      </c>
      <c r="AA272"/>
      <c r="AB272"/>
      <c r="AC272"/>
      <c r="AO272"/>
      <c r="AR272" s="1461" t="s">
        <v>5574</v>
      </c>
      <c r="AS272" s="254" t="str">
        <f>IF(LEN(X272)=0,"",X272)</f>
        <v/>
      </c>
      <c r="AT272"/>
      <c r="AU272"/>
      <c r="AV272"/>
      <c r="AW272"/>
      <c r="AX272"/>
      <c r="AY272"/>
      <c r="AZ272"/>
      <c r="BA272"/>
      <c r="BB272"/>
      <c r="BC272"/>
      <c r="BD272"/>
      <c r="BE272"/>
      <c r="BF272"/>
      <c r="BG272"/>
      <c r="BH272"/>
      <c r="BI272"/>
    </row>
    <row r="273" spans="2:61" x14ac:dyDescent="0.25">
      <c r="B273"/>
      <c r="C273" s="1431" t="s">
        <v>5340</v>
      </c>
      <c r="D273"/>
      <c r="E273"/>
      <c r="F273"/>
      <c r="G273"/>
      <c r="H273"/>
      <c r="I273"/>
      <c r="J273"/>
      <c r="K273"/>
      <c r="L273"/>
      <c r="M273"/>
      <c r="N273" s="1706">
        <v>1</v>
      </c>
      <c r="O273" s="1706"/>
      <c r="P273"/>
      <c r="Q273"/>
      <c r="R273"/>
      <c r="S273"/>
      <c r="T273"/>
      <c r="U273"/>
      <c r="V273"/>
      <c r="W273" s="565">
        <f>'Verification Report'!W1541*1</f>
        <v>0</v>
      </c>
      <c r="X273" s="1757"/>
      <c r="Y273" s="2077"/>
      <c r="AA273"/>
      <c r="AB273"/>
      <c r="AC273"/>
      <c r="AO273"/>
      <c r="AR273"/>
      <c r="AS273"/>
      <c r="AT273"/>
      <c r="AU273"/>
      <c r="AV273"/>
      <c r="AW273"/>
      <c r="AX273"/>
      <c r="AY273"/>
      <c r="AZ273"/>
      <c r="BA273"/>
      <c r="BB273"/>
      <c r="BC273"/>
      <c r="BD273"/>
      <c r="BE273"/>
      <c r="BF273"/>
      <c r="BG273"/>
      <c r="BH273"/>
      <c r="BI273"/>
    </row>
    <row r="274" spans="2:61" x14ac:dyDescent="0.25">
      <c r="B274"/>
      <c r="C274"/>
      <c r="D274"/>
      <c r="E274"/>
      <c r="F274"/>
      <c r="G274"/>
      <c r="H274"/>
      <c r="I274"/>
      <c r="J274"/>
      <c r="K274"/>
      <c r="L274"/>
      <c r="M274"/>
      <c r="N274"/>
      <c r="O274"/>
      <c r="P274"/>
      <c r="Q274"/>
      <c r="R274"/>
      <c r="S274"/>
      <c r="T274"/>
      <c r="U274"/>
      <c r="V274"/>
      <c r="W274"/>
      <c r="X274"/>
      <c r="Y274"/>
      <c r="AA274"/>
      <c r="AB274"/>
      <c r="AC274"/>
      <c r="AO274"/>
      <c r="AR274"/>
      <c r="AS274"/>
      <c r="AT274"/>
      <c r="AU274"/>
      <c r="AV274"/>
      <c r="AW274"/>
      <c r="AX274"/>
      <c r="AY274"/>
      <c r="AZ274"/>
      <c r="BA274"/>
      <c r="BB274"/>
      <c r="BC274"/>
      <c r="BD274"/>
      <c r="BE274"/>
      <c r="BF274"/>
      <c r="BG274"/>
      <c r="BH274"/>
      <c r="BI274"/>
    </row>
    <row r="275" spans="2:61" x14ac:dyDescent="0.25">
      <c r="O275" s="1421"/>
      <c r="W275" s="1421"/>
      <c r="AA275"/>
      <c r="AB275"/>
      <c r="AC275"/>
      <c r="AO275"/>
      <c r="AR275"/>
      <c r="AS275"/>
      <c r="AT275"/>
      <c r="AU275"/>
      <c r="AV275"/>
      <c r="AW275"/>
      <c r="AX275"/>
      <c r="AY275"/>
      <c r="AZ275"/>
      <c r="BA275"/>
      <c r="BB275"/>
      <c r="BC275"/>
      <c r="BD275"/>
      <c r="BE275"/>
      <c r="BF275"/>
      <c r="BG275"/>
      <c r="BH275"/>
      <c r="BI275"/>
    </row>
    <row r="276" spans="2:61" x14ac:dyDescent="0.25">
      <c r="C276" s="1430" t="s">
        <v>5341</v>
      </c>
      <c r="O276" s="1421"/>
      <c r="W276" s="1421"/>
      <c r="AA276"/>
      <c r="AB276"/>
      <c r="AC276"/>
      <c r="AO276"/>
      <c r="AR276"/>
      <c r="AS276"/>
      <c r="AT276"/>
      <c r="AU276"/>
      <c r="AV276"/>
      <c r="AW276"/>
      <c r="AX276"/>
      <c r="AY276"/>
      <c r="AZ276"/>
      <c r="BA276"/>
      <c r="BB276"/>
      <c r="BC276"/>
      <c r="BD276"/>
      <c r="BE276"/>
      <c r="BF276"/>
      <c r="BG276"/>
      <c r="BH276"/>
      <c r="BI276"/>
    </row>
    <row r="277" spans="2:61" x14ac:dyDescent="0.25">
      <c r="C277" s="1445" t="s">
        <v>5255</v>
      </c>
      <c r="O277" s="1421"/>
      <c r="W277" s="1421"/>
      <c r="AA277"/>
      <c r="AB277"/>
      <c r="AC277"/>
      <c r="AO277"/>
      <c r="AR277"/>
      <c r="AS277"/>
      <c r="AT277"/>
      <c r="AU277"/>
      <c r="AV277"/>
      <c r="AW277"/>
      <c r="AX277"/>
      <c r="AY277"/>
      <c r="AZ277"/>
      <c r="BA277"/>
      <c r="BB277"/>
      <c r="BC277"/>
      <c r="BD277"/>
      <c r="BE277"/>
      <c r="BF277"/>
      <c r="BG277"/>
      <c r="BH277"/>
      <c r="BI277"/>
    </row>
    <row r="278" spans="2:61" x14ac:dyDescent="0.25">
      <c r="D278" s="8" t="s">
        <v>5418</v>
      </c>
      <c r="O278" s="1421"/>
      <c r="W278" s="1421"/>
      <c r="AA278"/>
      <c r="AB278"/>
      <c r="AC278"/>
      <c r="AO278"/>
      <c r="AR278"/>
      <c r="AS278"/>
      <c r="AT278"/>
      <c r="AU278"/>
      <c r="AV278"/>
      <c r="AW278"/>
      <c r="AX278"/>
      <c r="AY278"/>
      <c r="AZ278"/>
      <c r="BA278"/>
      <c r="BB278"/>
      <c r="BC278"/>
      <c r="BD278"/>
      <c r="BE278"/>
      <c r="BF278"/>
      <c r="BG278"/>
      <c r="BH278"/>
      <c r="BI278"/>
    </row>
    <row r="279" spans="2:61" x14ac:dyDescent="0.25">
      <c r="C279" s="1445" t="s">
        <v>5407</v>
      </c>
      <c r="N279" s="1706" t="s">
        <v>249</v>
      </c>
      <c r="O279" s="1706"/>
      <c r="W279" s="1421"/>
      <c r="AA279"/>
      <c r="AB279"/>
      <c r="AC279"/>
      <c r="AO279"/>
      <c r="AR279"/>
      <c r="AS279"/>
      <c r="AT279"/>
      <c r="AU279"/>
      <c r="AV279"/>
      <c r="AW279"/>
      <c r="AX279"/>
      <c r="AY279"/>
      <c r="AZ279"/>
      <c r="BA279"/>
      <c r="BB279"/>
      <c r="BC279"/>
      <c r="BD279"/>
      <c r="BE279"/>
      <c r="BF279"/>
      <c r="BG279"/>
      <c r="BH279"/>
      <c r="BI279"/>
    </row>
    <row r="280" spans="2:61" x14ac:dyDescent="0.25">
      <c r="C280" s="1421" t="s">
        <v>5342</v>
      </c>
      <c r="N280" s="2012" t="s">
        <v>5392</v>
      </c>
      <c r="O280" s="2012"/>
      <c r="W280" s="565">
        <f ca="1">'Verification Report'!O2243</f>
        <v>0</v>
      </c>
      <c r="X280" s="1442"/>
      <c r="Y280" s="1472" t="str">
        <f>IF(LEN('Badges (Design)'!X280)=0,"None",'Badges (Design)'!X280)</f>
        <v>None</v>
      </c>
      <c r="AA280"/>
      <c r="AB280"/>
      <c r="AC280"/>
      <c r="AO280"/>
      <c r="AR280" s="1461" t="s">
        <v>5575</v>
      </c>
      <c r="AS280" s="254" t="str">
        <f>IF(LEN(X280)=0,"",X280)</f>
        <v/>
      </c>
      <c r="AT280"/>
      <c r="AU280"/>
      <c r="AV280"/>
      <c r="AW280"/>
      <c r="AX280"/>
      <c r="AY280"/>
      <c r="AZ280"/>
      <c r="BA280"/>
      <c r="BB280"/>
      <c r="BC280"/>
      <c r="BD280"/>
      <c r="BE280"/>
      <c r="BF280"/>
      <c r="BG280"/>
      <c r="BH280"/>
      <c r="BI280"/>
    </row>
    <row r="281" spans="2:61" x14ac:dyDescent="0.25">
      <c r="B281"/>
      <c r="C281"/>
      <c r="D281"/>
      <c r="E281"/>
      <c r="F281"/>
      <c r="G281"/>
      <c r="H281"/>
      <c r="I281"/>
      <c r="J281"/>
      <c r="K281"/>
      <c r="L281"/>
      <c r="M281"/>
      <c r="N281"/>
      <c r="O281"/>
      <c r="P281"/>
      <c r="Q281"/>
      <c r="R281"/>
      <c r="S281"/>
      <c r="T281"/>
      <c r="U281"/>
      <c r="V281"/>
      <c r="W281"/>
      <c r="X281"/>
      <c r="Y281"/>
      <c r="AA281"/>
      <c r="AB281"/>
      <c r="AC281"/>
      <c r="AO281"/>
      <c r="AR281"/>
      <c r="AS281"/>
      <c r="AT281"/>
      <c r="AU281"/>
      <c r="AV281"/>
      <c r="AW281"/>
      <c r="AX281"/>
      <c r="AY281"/>
      <c r="AZ281"/>
      <c r="BA281"/>
      <c r="BB281"/>
      <c r="BC281"/>
      <c r="BD281"/>
      <c r="BE281"/>
      <c r="BF281"/>
      <c r="BG281"/>
      <c r="BH281"/>
      <c r="BI281"/>
    </row>
    <row r="282" spans="2:61" x14ac:dyDescent="0.25">
      <c r="B282"/>
      <c r="C282"/>
      <c r="D282"/>
      <c r="E282"/>
      <c r="F282"/>
      <c r="G282"/>
      <c r="H282"/>
      <c r="I282"/>
      <c r="J282"/>
      <c r="K282"/>
      <c r="L282"/>
      <c r="M282"/>
      <c r="N282"/>
      <c r="O282"/>
      <c r="P282"/>
      <c r="Q282"/>
      <c r="R282"/>
      <c r="S282"/>
      <c r="T282"/>
      <c r="U282"/>
      <c r="V282"/>
      <c r="W282"/>
      <c r="X282"/>
      <c r="Y282"/>
      <c r="AA282"/>
      <c r="AB282"/>
      <c r="AC282"/>
      <c r="AO282"/>
      <c r="AR282"/>
      <c r="AS282"/>
      <c r="AT282"/>
      <c r="AU282"/>
      <c r="AV282"/>
      <c r="AW282"/>
      <c r="AX282"/>
      <c r="AY282"/>
      <c r="AZ282"/>
      <c r="BA282"/>
      <c r="BB282"/>
      <c r="BC282"/>
      <c r="BD282"/>
      <c r="BE282"/>
      <c r="BF282"/>
      <c r="BG282"/>
      <c r="BH282"/>
      <c r="BI282"/>
    </row>
    <row r="283" spans="2:61" x14ac:dyDescent="0.25">
      <c r="B283"/>
      <c r="C283" s="1430" t="s">
        <v>5343</v>
      </c>
      <c r="D283"/>
      <c r="E283"/>
      <c r="F283"/>
      <c r="G283"/>
      <c r="H283"/>
      <c r="I283"/>
      <c r="J283"/>
      <c r="K283"/>
      <c r="L283"/>
      <c r="M283"/>
      <c r="N283"/>
      <c r="O283"/>
      <c r="P283"/>
      <c r="Q283"/>
      <c r="R283"/>
      <c r="S283"/>
      <c r="T283"/>
      <c r="U283"/>
      <c r="V283"/>
      <c r="W283"/>
      <c r="X283"/>
      <c r="Y283"/>
      <c r="AA283"/>
      <c r="AB283"/>
      <c r="AC283"/>
      <c r="AO283"/>
      <c r="AR283"/>
      <c r="AS283"/>
      <c r="AT283"/>
      <c r="AU283"/>
      <c r="AV283"/>
      <c r="AW283"/>
      <c r="AX283"/>
      <c r="AY283"/>
      <c r="AZ283"/>
      <c r="BA283"/>
      <c r="BB283"/>
      <c r="BC283"/>
      <c r="BD283"/>
      <c r="BE283"/>
      <c r="BF283"/>
      <c r="BG283"/>
      <c r="BH283"/>
      <c r="BI283"/>
    </row>
    <row r="284" spans="2:61" x14ac:dyDescent="0.25">
      <c r="B284"/>
      <c r="C284" s="1445" t="s">
        <v>5255</v>
      </c>
      <c r="D284"/>
      <c r="E284"/>
      <c r="F284"/>
      <c r="G284"/>
      <c r="H284"/>
      <c r="I284"/>
      <c r="J284"/>
      <c r="K284"/>
      <c r="L284"/>
      <c r="M284"/>
      <c r="N284"/>
      <c r="O284"/>
      <c r="P284"/>
      <c r="Q284"/>
      <c r="R284"/>
      <c r="S284"/>
      <c r="T284"/>
      <c r="U284"/>
      <c r="V284"/>
      <c r="W284"/>
      <c r="X284"/>
      <c r="Y284"/>
      <c r="AA284"/>
      <c r="AB284"/>
      <c r="AC284"/>
      <c r="AO284"/>
      <c r="AR284"/>
      <c r="AS284"/>
      <c r="AT284"/>
      <c r="AU284"/>
      <c r="AV284"/>
      <c r="AW284"/>
      <c r="AX284"/>
      <c r="AY284"/>
      <c r="AZ284"/>
      <c r="BA284"/>
      <c r="BB284"/>
      <c r="BC284"/>
      <c r="BD284"/>
      <c r="BE284"/>
      <c r="BF284"/>
      <c r="BG284"/>
      <c r="BH284"/>
      <c r="BI284"/>
    </row>
    <row r="285" spans="2:61" x14ac:dyDescent="0.25">
      <c r="B285"/>
      <c r="D285" s="8" t="s">
        <v>5423</v>
      </c>
      <c r="E285"/>
      <c r="F285"/>
      <c r="G285"/>
      <c r="H285"/>
      <c r="I285"/>
      <c r="J285"/>
      <c r="K285"/>
      <c r="L285"/>
      <c r="M285"/>
      <c r="N285"/>
      <c r="O285"/>
      <c r="P285"/>
      <c r="Q285"/>
      <c r="R285"/>
      <c r="S285"/>
      <c r="T285"/>
      <c r="U285"/>
      <c r="V285"/>
      <c r="W285"/>
      <c r="X285"/>
      <c r="Y285"/>
      <c r="AA285"/>
      <c r="AB285"/>
      <c r="AC285"/>
      <c r="AO285"/>
      <c r="AR285"/>
      <c r="AS285"/>
      <c r="AT285"/>
      <c r="AU285"/>
      <c r="AV285"/>
      <c r="AW285"/>
      <c r="AX285"/>
      <c r="AY285"/>
      <c r="AZ285"/>
      <c r="BA285"/>
      <c r="BB285"/>
      <c r="BC285"/>
      <c r="BD285"/>
      <c r="BE285"/>
      <c r="BF285"/>
      <c r="BG285"/>
      <c r="BH285"/>
      <c r="BI285"/>
    </row>
    <row r="286" spans="2:61" x14ac:dyDescent="0.25">
      <c r="C286" s="1445" t="s">
        <v>5407</v>
      </c>
      <c r="N286" s="2012" t="s">
        <v>249</v>
      </c>
      <c r="O286" s="2012"/>
      <c r="W286" s="1421"/>
      <c r="AA286"/>
      <c r="AB286"/>
      <c r="AC286"/>
      <c r="AO286"/>
      <c r="AR286"/>
      <c r="AS286"/>
      <c r="AT286"/>
      <c r="AU286"/>
      <c r="AV286"/>
      <c r="AW286"/>
      <c r="AX286"/>
      <c r="AY286"/>
      <c r="AZ286"/>
      <c r="BA286"/>
      <c r="BB286"/>
      <c r="BC286"/>
      <c r="BD286"/>
      <c r="BE286"/>
      <c r="BF286"/>
      <c r="BG286"/>
      <c r="BH286"/>
      <c r="BI286"/>
    </row>
    <row r="287" spans="2:61" x14ac:dyDescent="0.25">
      <c r="C287" s="1431" t="s">
        <v>5344</v>
      </c>
      <c r="N287" s="2012" t="s">
        <v>5334</v>
      </c>
      <c r="O287" s="2012"/>
      <c r="W287" s="565">
        <f>'Verification Report'!O821</f>
        <v>0</v>
      </c>
      <c r="X287" s="1757"/>
      <c r="Y287" s="2077" t="str">
        <f>IF(LEN('Badges (Design)'!X287)=0,"None",'Badges (Design)'!X287)</f>
        <v>None</v>
      </c>
      <c r="AA287"/>
      <c r="AB287"/>
      <c r="AC287"/>
      <c r="AO287"/>
      <c r="AR287" s="1461" t="s">
        <v>5576</v>
      </c>
      <c r="AS287" s="254" t="str">
        <f>IF(LEN(X287)=0,"",X287)</f>
        <v/>
      </c>
      <c r="AT287"/>
      <c r="AU287"/>
      <c r="AV287"/>
      <c r="AW287"/>
      <c r="AX287"/>
      <c r="AY287"/>
      <c r="AZ287"/>
      <c r="BA287"/>
      <c r="BB287"/>
      <c r="BC287"/>
      <c r="BD287"/>
      <c r="BE287"/>
      <c r="BF287"/>
      <c r="BG287"/>
      <c r="BH287"/>
      <c r="BI287"/>
    </row>
    <row r="288" spans="2:61" x14ac:dyDescent="0.25">
      <c r="C288" s="1431" t="s">
        <v>5345</v>
      </c>
      <c r="N288" s="2012" t="s">
        <v>5349</v>
      </c>
      <c r="O288" s="2012"/>
      <c r="W288" s="565">
        <f>'Verification Report'!O1957+'Verification Report'!O1959</f>
        <v>0</v>
      </c>
      <c r="X288" s="1757"/>
      <c r="Y288" s="2077"/>
      <c r="AO288"/>
      <c r="AR288"/>
      <c r="AS288"/>
      <c r="AT288"/>
      <c r="AU288"/>
      <c r="AV288"/>
      <c r="AW288"/>
      <c r="AX288"/>
      <c r="AY288"/>
      <c r="AZ288"/>
      <c r="BA288"/>
      <c r="BB288"/>
      <c r="BC288"/>
      <c r="BD288"/>
      <c r="BE288"/>
      <c r="BF288"/>
      <c r="BG288"/>
      <c r="BH288"/>
      <c r="BI288"/>
    </row>
    <row r="289" spans="2:61" x14ac:dyDescent="0.25">
      <c r="C289" s="1431" t="s">
        <v>5346</v>
      </c>
      <c r="N289" s="2012" t="s">
        <v>5350</v>
      </c>
      <c r="O289" s="2012"/>
      <c r="W289" s="565">
        <f>'Verification Report'!O1964</f>
        <v>0</v>
      </c>
      <c r="X289" s="1757"/>
      <c r="Y289" s="2077"/>
      <c r="AO289"/>
      <c r="AR289"/>
      <c r="AS289"/>
      <c r="AT289"/>
      <c r="AU289"/>
      <c r="AV289"/>
      <c r="AW289"/>
      <c r="AX289"/>
      <c r="AY289"/>
      <c r="AZ289"/>
      <c r="BA289"/>
      <c r="BB289"/>
      <c r="BC289"/>
      <c r="BD289"/>
      <c r="BE289"/>
      <c r="BF289"/>
      <c r="BG289"/>
      <c r="BH289"/>
      <c r="BI289"/>
    </row>
    <row r="290" spans="2:61" x14ac:dyDescent="0.25">
      <c r="C290" s="1431" t="s">
        <v>5347</v>
      </c>
      <c r="N290" s="2012">
        <v>4</v>
      </c>
      <c r="O290" s="2012"/>
      <c r="W290" s="565">
        <f>'Verification Report'!O1985</f>
        <v>0</v>
      </c>
      <c r="X290" s="1757"/>
      <c r="Y290" s="2077"/>
      <c r="AO290"/>
      <c r="AR290"/>
      <c r="AS290"/>
      <c r="AT290"/>
      <c r="AU290"/>
      <c r="AV290"/>
      <c r="AW290"/>
      <c r="AX290"/>
      <c r="AY290"/>
      <c r="AZ290"/>
      <c r="BA290"/>
      <c r="BB290"/>
      <c r="BC290"/>
      <c r="BD290"/>
      <c r="BE290"/>
      <c r="BF290"/>
      <c r="BG290"/>
      <c r="BH290"/>
      <c r="BI290"/>
    </row>
    <row r="291" spans="2:61" x14ac:dyDescent="0.25">
      <c r="C291" s="1431" t="s">
        <v>5348</v>
      </c>
      <c r="N291" s="2012" t="s">
        <v>5420</v>
      </c>
      <c r="O291" s="2012"/>
      <c r="S291" s="1452" t="b">
        <f ca="1">IF($AY$18=INDEX(INDIRECT("ddSingleOrMulti"),2),TRUE,FALSE)</f>
        <v>0</v>
      </c>
      <c r="W291" s="565">
        <f ca="1">'Verification Report'!O2030*S291</f>
        <v>0</v>
      </c>
      <c r="X291" s="1757"/>
      <c r="Y291" s="2077"/>
      <c r="AO291"/>
      <c r="AR291"/>
      <c r="AS291"/>
      <c r="AT291"/>
      <c r="AU291"/>
      <c r="AV291"/>
      <c r="AW291"/>
      <c r="AX291"/>
      <c r="AY291"/>
      <c r="AZ291"/>
      <c r="BA291"/>
      <c r="BB291"/>
      <c r="BC291"/>
      <c r="BD291"/>
      <c r="BE291"/>
      <c r="BF291"/>
      <c r="BG291"/>
      <c r="BH291"/>
      <c r="BI291"/>
    </row>
    <row r="292" spans="2:61" x14ac:dyDescent="0.25">
      <c r="B292"/>
      <c r="C292"/>
      <c r="D292"/>
      <c r="E292"/>
      <c r="F292"/>
      <c r="G292"/>
      <c r="H292"/>
      <c r="I292"/>
      <c r="J292"/>
      <c r="K292"/>
      <c r="L292"/>
      <c r="M292"/>
      <c r="N292"/>
      <c r="O292"/>
      <c r="P292"/>
      <c r="Q292"/>
      <c r="R292"/>
      <c r="S292"/>
      <c r="T292"/>
      <c r="U292"/>
      <c r="V292"/>
      <c r="W292"/>
      <c r="X292"/>
      <c r="Y292"/>
      <c r="AO292"/>
      <c r="AR292"/>
      <c r="AS292"/>
      <c r="AT292"/>
      <c r="AU292"/>
      <c r="AV292"/>
      <c r="AW292"/>
      <c r="AX292"/>
      <c r="AY292"/>
      <c r="AZ292"/>
      <c r="BA292"/>
      <c r="BB292"/>
      <c r="BC292"/>
      <c r="BD292"/>
      <c r="BE292"/>
      <c r="BF292"/>
      <c r="BG292"/>
      <c r="BH292"/>
      <c r="BI292"/>
    </row>
    <row r="293" spans="2:61" x14ac:dyDescent="0.25">
      <c r="B293"/>
      <c r="C293"/>
      <c r="D293"/>
      <c r="E293"/>
      <c r="F293"/>
      <c r="G293"/>
      <c r="H293"/>
      <c r="I293"/>
      <c r="J293"/>
      <c r="K293"/>
      <c r="L293"/>
      <c r="M293"/>
      <c r="N293"/>
      <c r="O293"/>
      <c r="P293"/>
      <c r="Q293"/>
      <c r="R293"/>
      <c r="S293"/>
      <c r="T293"/>
      <c r="U293"/>
      <c r="V293"/>
      <c r="W293"/>
      <c r="X293"/>
      <c r="Y293"/>
      <c r="AO293"/>
      <c r="AR293"/>
      <c r="AS293"/>
      <c r="AT293"/>
      <c r="AU293"/>
      <c r="AV293"/>
      <c r="AW293"/>
      <c r="AX293"/>
      <c r="AY293"/>
      <c r="AZ293"/>
      <c r="BA293"/>
      <c r="BB293"/>
      <c r="BC293"/>
      <c r="BD293"/>
      <c r="BE293"/>
      <c r="BF293"/>
      <c r="BG293"/>
      <c r="BH293"/>
      <c r="BI293"/>
    </row>
    <row r="294" spans="2:61" x14ac:dyDescent="0.25">
      <c r="B294"/>
      <c r="C294" s="1430" t="s">
        <v>5351</v>
      </c>
      <c r="D294"/>
      <c r="E294"/>
      <c r="F294"/>
      <c r="G294"/>
      <c r="H294"/>
      <c r="I294"/>
      <c r="J294"/>
      <c r="K294"/>
      <c r="L294"/>
      <c r="M294"/>
      <c r="N294"/>
      <c r="O294"/>
      <c r="P294"/>
      <c r="Q294"/>
      <c r="R294"/>
      <c r="S294"/>
      <c r="T294"/>
      <c r="U294"/>
      <c r="V294"/>
      <c r="W294"/>
      <c r="X294"/>
      <c r="Y294"/>
      <c r="AO294"/>
      <c r="AR294"/>
      <c r="AS294"/>
      <c r="AT294"/>
      <c r="AU294"/>
      <c r="AV294"/>
      <c r="AW294"/>
      <c r="AX294"/>
      <c r="AY294"/>
      <c r="AZ294"/>
      <c r="BA294"/>
      <c r="BB294"/>
      <c r="BC294"/>
      <c r="BD294"/>
      <c r="BE294"/>
      <c r="BF294"/>
      <c r="BG294"/>
      <c r="BH294"/>
      <c r="BI294"/>
    </row>
    <row r="295" spans="2:61" x14ac:dyDescent="0.25">
      <c r="B295"/>
      <c r="C295" s="1445" t="s">
        <v>5255</v>
      </c>
      <c r="D295"/>
      <c r="E295"/>
      <c r="F295"/>
      <c r="G295"/>
      <c r="H295"/>
      <c r="I295"/>
      <c r="J295"/>
      <c r="K295"/>
      <c r="L295"/>
      <c r="M295"/>
      <c r="N295"/>
      <c r="O295"/>
      <c r="P295"/>
      <c r="Q295"/>
      <c r="R295"/>
      <c r="S295"/>
      <c r="T295"/>
      <c r="U295"/>
      <c r="V295"/>
      <c r="W295"/>
      <c r="X295"/>
      <c r="Y295"/>
      <c r="AO295"/>
      <c r="AR295"/>
      <c r="AS295"/>
      <c r="AT295"/>
      <c r="AU295"/>
      <c r="AV295"/>
      <c r="AW295"/>
      <c r="AX295"/>
      <c r="AY295"/>
      <c r="AZ295"/>
      <c r="BA295"/>
      <c r="BB295"/>
      <c r="BC295"/>
      <c r="BD295"/>
      <c r="BE295"/>
      <c r="BF295"/>
      <c r="BG295"/>
      <c r="BH295"/>
      <c r="BI295"/>
    </row>
    <row r="296" spans="2:61" x14ac:dyDescent="0.25">
      <c r="B296"/>
      <c r="D296" s="8" t="s">
        <v>5421</v>
      </c>
      <c r="E296"/>
      <c r="F296"/>
      <c r="G296"/>
      <c r="H296"/>
      <c r="I296"/>
      <c r="J296"/>
      <c r="K296"/>
      <c r="L296"/>
      <c r="M296"/>
      <c r="N296"/>
      <c r="O296"/>
      <c r="P296"/>
      <c r="Q296"/>
      <c r="R296"/>
      <c r="S296"/>
      <c r="T296"/>
      <c r="U296"/>
      <c r="V296"/>
      <c r="W296"/>
      <c r="X296"/>
      <c r="Y296"/>
      <c r="AO296"/>
      <c r="AR296"/>
      <c r="AS296"/>
      <c r="AT296"/>
      <c r="AU296"/>
      <c r="AV296"/>
      <c r="AW296"/>
      <c r="AX296"/>
      <c r="AY296"/>
      <c r="AZ296"/>
      <c r="BA296"/>
      <c r="BB296"/>
      <c r="BC296"/>
      <c r="BD296"/>
      <c r="BE296"/>
      <c r="BF296"/>
      <c r="BG296"/>
      <c r="BH296"/>
      <c r="BI296"/>
    </row>
    <row r="297" spans="2:61" x14ac:dyDescent="0.25">
      <c r="B297"/>
      <c r="C297" s="1445" t="s">
        <v>5407</v>
      </c>
      <c r="D297"/>
      <c r="E297"/>
      <c r="F297"/>
      <c r="G297"/>
      <c r="H297"/>
      <c r="I297"/>
      <c r="J297"/>
      <c r="K297"/>
      <c r="L297"/>
      <c r="M297"/>
      <c r="N297" s="1706" t="s">
        <v>249</v>
      </c>
      <c r="O297" s="1706"/>
      <c r="P297"/>
      <c r="Q297"/>
      <c r="R297"/>
      <c r="S297"/>
      <c r="T297"/>
      <c r="U297"/>
      <c r="V297"/>
      <c r="W297"/>
      <c r="X297"/>
      <c r="Y297"/>
      <c r="AO297"/>
      <c r="AR297"/>
      <c r="AS297"/>
      <c r="AT297"/>
      <c r="AU297"/>
      <c r="AV297"/>
      <c r="AW297"/>
      <c r="AX297"/>
      <c r="AY297"/>
      <c r="AZ297"/>
      <c r="BA297"/>
      <c r="BB297"/>
      <c r="BC297"/>
      <c r="BD297"/>
      <c r="BE297"/>
      <c r="BF297"/>
      <c r="BG297"/>
      <c r="BH297"/>
      <c r="BI297"/>
    </row>
    <row r="298" spans="2:61" s="1431" customFormat="1" x14ac:dyDescent="0.25">
      <c r="C298" s="1431" t="s">
        <v>5352</v>
      </c>
      <c r="N298" s="1706">
        <v>3</v>
      </c>
      <c r="O298" s="1706"/>
      <c r="W298" s="565">
        <f>'Verification Report'!W189*3</f>
        <v>0</v>
      </c>
      <c r="X298" s="1757"/>
      <c r="Y298" s="2077" t="str">
        <f>IF(LEN('Badges (Design)'!X298)=0,"None",'Badges (Design)'!X298)</f>
        <v>None</v>
      </c>
      <c r="AO298"/>
      <c r="AR298" s="1461" t="s">
        <v>5577</v>
      </c>
      <c r="AS298" s="254" t="str">
        <f>IF(LEN(X298)=0,"",X298)</f>
        <v/>
      </c>
    </row>
    <row r="299" spans="2:61" s="1431" customFormat="1" x14ac:dyDescent="0.25">
      <c r="C299" s="1431" t="s">
        <v>5353</v>
      </c>
      <c r="N299" s="1706">
        <v>3</v>
      </c>
      <c r="O299" s="1706"/>
      <c r="W299" s="1438">
        <f>'Verification Report'!W190*3</f>
        <v>0</v>
      </c>
      <c r="X299" s="1757"/>
      <c r="Y299" s="2077"/>
    </row>
    <row r="300" spans="2:61" x14ac:dyDescent="0.25">
      <c r="B300"/>
      <c r="C300" s="1431" t="s">
        <v>5354</v>
      </c>
      <c r="D300"/>
      <c r="E300"/>
      <c r="F300"/>
      <c r="G300"/>
      <c r="H300"/>
      <c r="I300"/>
      <c r="J300"/>
      <c r="K300"/>
      <c r="L300"/>
      <c r="M300"/>
      <c r="N300" s="1706">
        <v>3</v>
      </c>
      <c r="O300" s="1706"/>
      <c r="P300"/>
      <c r="Q300"/>
      <c r="R300"/>
      <c r="S300"/>
      <c r="T300"/>
      <c r="U300"/>
      <c r="V300"/>
      <c r="W300" s="1438">
        <f>'Verification Report'!W191*3</f>
        <v>0</v>
      </c>
      <c r="X300" s="1757"/>
      <c r="Y300" s="2077"/>
      <c r="AR300"/>
      <c r="AS300"/>
      <c r="AT300"/>
      <c r="AU300"/>
      <c r="AV300"/>
      <c r="AW300"/>
      <c r="AX300"/>
      <c r="AY300"/>
      <c r="AZ300"/>
      <c r="BA300"/>
      <c r="BB300"/>
      <c r="BC300"/>
      <c r="BD300"/>
      <c r="BE300"/>
      <c r="BF300"/>
      <c r="BG300"/>
      <c r="BH300"/>
      <c r="BI300"/>
    </row>
    <row r="301" spans="2:61" s="1431" customFormat="1" x14ac:dyDescent="0.25"/>
    <row r="302" spans="2:61" s="1431" customFormat="1" x14ac:dyDescent="0.25">
      <c r="K302"/>
      <c r="L302"/>
      <c r="N302" s="1984" t="s">
        <v>5393</v>
      </c>
      <c r="O302" s="1984"/>
    </row>
    <row r="303" spans="2:61" s="1431" customFormat="1" ht="15" customHeight="1" x14ac:dyDescent="0.25">
      <c r="K303"/>
      <c r="L303"/>
      <c r="N303" s="1984">
        <f ca="1">SUM(W208:W214)+SUM(W234:W238)+SUM(W247:W248)+W257+SUM(W264:W265)+SUM(W272:W273)+W280+SUM(W287:W291)+SUM(W298:W300)</f>
        <v>0</v>
      </c>
      <c r="O303" s="1984"/>
      <c r="W303" s="1429"/>
    </row>
    <row r="304" spans="2:61" s="1431" customFormat="1" ht="15" customHeight="1" x14ac:dyDescent="0.25">
      <c r="K304"/>
      <c r="L304"/>
      <c r="N304" s="1937" t="str">
        <f ca="1">IF(N303&lt;29,"need "&amp;29-N303&amp;" more","")</f>
        <v>need 29 more</v>
      </c>
      <c r="O304" s="1937"/>
      <c r="W304" s="1429"/>
    </row>
    <row r="305" spans="2:61" s="1448" customFormat="1" ht="15" customHeight="1" x14ac:dyDescent="0.25">
      <c r="O305" s="1447"/>
      <c r="W305" s="1447"/>
    </row>
    <row r="306" spans="2:61" s="1431" customFormat="1" x14ac:dyDescent="0.25">
      <c r="B306" s="731"/>
      <c r="K306"/>
      <c r="L306"/>
    </row>
    <row r="307" spans="2:61" x14ac:dyDescent="0.25">
      <c r="B307" s="1985" t="s">
        <v>5252</v>
      </c>
      <c r="C307" s="1985"/>
      <c r="D307" s="1985"/>
      <c r="E307" s="94"/>
      <c r="F307" s="94"/>
      <c r="G307" s="2010" t="str">
        <f>IF(W311&lt;=0,"Earned","Not Earned")</f>
        <v>Not Earned</v>
      </c>
      <c r="H307" s="1997"/>
      <c r="I307" s="1997"/>
      <c r="J307" s="1997"/>
      <c r="K307" s="1997"/>
      <c r="L307" s="1997"/>
      <c r="M307" s="1997"/>
      <c r="N307" s="1997"/>
      <c r="O307" s="1998"/>
      <c r="P307" s="94"/>
      <c r="Q307" s="94"/>
      <c r="R307" s="94"/>
      <c r="S307" s="94"/>
      <c r="T307" s="94"/>
      <c r="U307" s="94"/>
      <c r="V307" s="94"/>
      <c r="W307" s="94"/>
      <c r="X307" s="94"/>
      <c r="Y307" s="94"/>
      <c r="AR307"/>
      <c r="AS307"/>
      <c r="AT307"/>
      <c r="AU307"/>
      <c r="AV307"/>
      <c r="AW307"/>
      <c r="AX307"/>
      <c r="AY307"/>
      <c r="AZ307"/>
      <c r="BA307"/>
      <c r="BB307"/>
      <c r="BC307"/>
      <c r="BD307"/>
      <c r="BE307"/>
      <c r="BF307"/>
      <c r="BG307"/>
      <c r="BH307"/>
      <c r="BI307"/>
    </row>
    <row r="308" spans="2:61" ht="15.75" thickBot="1" x14ac:dyDescent="0.3">
      <c r="B308" s="1986"/>
      <c r="C308" s="1986"/>
      <c r="D308" s="1986"/>
      <c r="E308" s="99"/>
      <c r="F308" s="99"/>
      <c r="G308" s="2011"/>
      <c r="H308" s="1999"/>
      <c r="I308" s="1999"/>
      <c r="J308" s="1999"/>
      <c r="K308" s="1999"/>
      <c r="L308" s="1999"/>
      <c r="M308" s="1999"/>
      <c r="N308" s="1999"/>
      <c r="O308" s="2000"/>
      <c r="P308" s="99"/>
      <c r="Q308" s="99"/>
      <c r="R308" s="99"/>
      <c r="S308" s="99"/>
      <c r="T308" s="99"/>
      <c r="U308" s="99"/>
      <c r="V308" s="99"/>
      <c r="W308" s="99"/>
      <c r="X308" s="99"/>
      <c r="Y308" s="99"/>
      <c r="AR308"/>
      <c r="AS308"/>
      <c r="AT308"/>
      <c r="AU308"/>
      <c r="AV308"/>
      <c r="AW308"/>
      <c r="AX308"/>
      <c r="AY308"/>
      <c r="AZ308"/>
      <c r="BA308"/>
      <c r="BB308"/>
      <c r="BC308"/>
      <c r="BD308"/>
      <c r="BE308"/>
      <c r="BF308"/>
      <c r="BG308"/>
      <c r="BH308"/>
      <c r="BI308"/>
    </row>
    <row r="309" spans="2:61" ht="15.75" thickTop="1" x14ac:dyDescent="0.25">
      <c r="B309"/>
      <c r="C309"/>
      <c r="E309"/>
      <c r="F309"/>
      <c r="G309"/>
      <c r="H309"/>
      <c r="I309"/>
      <c r="J309"/>
      <c r="K309"/>
      <c r="L309"/>
      <c r="M309"/>
      <c r="N309"/>
      <c r="O309"/>
      <c r="P309"/>
      <c r="Q309"/>
      <c r="R309"/>
      <c r="S309"/>
      <c r="T309"/>
      <c r="U309"/>
      <c r="V309"/>
      <c r="W309"/>
      <c r="X309"/>
      <c r="Y309"/>
      <c r="AR309"/>
      <c r="AS309"/>
      <c r="AT309"/>
      <c r="AU309"/>
      <c r="AV309"/>
      <c r="AW309"/>
      <c r="AX309"/>
      <c r="AY309"/>
      <c r="AZ309"/>
      <c r="BA309"/>
      <c r="BB309"/>
      <c r="BC309"/>
      <c r="BD309"/>
      <c r="BE309"/>
      <c r="BF309"/>
      <c r="BG309"/>
      <c r="BH309"/>
      <c r="BI309"/>
    </row>
    <row r="310" spans="2:61" s="1431" customFormat="1" x14ac:dyDescent="0.25"/>
    <row r="311" spans="2:61" s="1431" customFormat="1" x14ac:dyDescent="0.25">
      <c r="N311" s="1431" t="s">
        <v>5355</v>
      </c>
      <c r="W311" s="1444" t="str">
        <f>IF(LEN('Verification Report'!W1868)=0, "WRI not Entered",'Verification Report'!W1868)</f>
        <v>WRI not Entered</v>
      </c>
    </row>
    <row r="312" spans="2:61" s="1431" customFormat="1" x14ac:dyDescent="0.25">
      <c r="K312"/>
      <c r="L312"/>
      <c r="M312"/>
    </row>
    <row r="313" spans="2:61" s="1441" customFormat="1" ht="15.75" thickBot="1" x14ac:dyDescent="0.3">
      <c r="B313" s="99"/>
      <c r="C313" s="99"/>
      <c r="D313" s="99"/>
      <c r="E313" s="99"/>
      <c r="F313" s="99"/>
      <c r="G313" s="99"/>
      <c r="H313" s="99"/>
      <c r="I313" s="99"/>
      <c r="J313" s="99"/>
      <c r="K313" s="99"/>
      <c r="L313" s="99"/>
      <c r="M313" s="99"/>
      <c r="N313" s="99"/>
      <c r="O313" s="1406"/>
      <c r="P313" s="99"/>
      <c r="Q313" s="99"/>
      <c r="R313" s="99"/>
      <c r="S313" s="99"/>
      <c r="T313" s="99"/>
      <c r="U313" s="99"/>
      <c r="V313" s="99"/>
      <c r="W313" s="1406"/>
      <c r="X313" s="99"/>
      <c r="Y313" s="99"/>
    </row>
    <row r="314" spans="2:61" s="1441" customFormat="1" ht="15.75" thickTop="1" x14ac:dyDescent="0.25">
      <c r="O314" s="1440"/>
      <c r="W314" s="1440"/>
    </row>
    <row r="315" spans="2:61" ht="15.75" thickBot="1" x14ac:dyDescent="0.3">
      <c r="C315" s="2140" t="s">
        <v>3861</v>
      </c>
      <c r="D315" s="2140"/>
      <c r="E315" s="2140"/>
      <c r="F315" s="2140"/>
      <c r="G315" s="99"/>
      <c r="H315" s="99"/>
      <c r="I315" s="99"/>
      <c r="J315" s="99"/>
      <c r="K315" s="99"/>
      <c r="L315" s="99"/>
      <c r="M315" s="1406"/>
      <c r="N315" s="99"/>
      <c r="O315" s="99"/>
      <c r="P315" s="99"/>
      <c r="Q315" s="99"/>
      <c r="R315" s="99"/>
      <c r="S315" s="99"/>
      <c r="T315" s="99"/>
      <c r="U315" s="1406"/>
      <c r="V315" s="99"/>
      <c r="W315" s="99"/>
      <c r="X315" s="99"/>
      <c r="Y315" s="99"/>
      <c r="AR315"/>
      <c r="AS315"/>
      <c r="AT315"/>
      <c r="AU315"/>
      <c r="AV315"/>
      <c r="AW315"/>
      <c r="AX315"/>
      <c r="AY315"/>
      <c r="AZ315"/>
      <c r="BA315"/>
      <c r="BB315"/>
      <c r="BC315"/>
      <c r="BD315"/>
      <c r="BE315"/>
      <c r="BF315"/>
      <c r="BG315"/>
      <c r="BH315"/>
      <c r="BI315"/>
    </row>
    <row r="316" spans="2:61" ht="15.75" thickTop="1" x14ac:dyDescent="0.25">
      <c r="E316" s="1418"/>
      <c r="F316" s="1418"/>
      <c r="AR316"/>
      <c r="AS316"/>
      <c r="AT316"/>
      <c r="AU316"/>
      <c r="AV316"/>
      <c r="AW316"/>
      <c r="AX316"/>
      <c r="AY316"/>
      <c r="AZ316"/>
      <c r="BA316"/>
      <c r="BB316"/>
      <c r="BC316"/>
      <c r="BD316"/>
      <c r="BE316"/>
      <c r="BF316"/>
      <c r="BG316"/>
      <c r="BH316"/>
      <c r="BI316"/>
    </row>
    <row r="317" spans="2:61" x14ac:dyDescent="0.25">
      <c r="E317" s="2141" t="s">
        <v>5422</v>
      </c>
      <c r="F317" s="2141"/>
      <c r="G317" s="2141"/>
      <c r="H317" s="2141"/>
      <c r="I317" s="2141"/>
      <c r="J317" s="2141"/>
      <c r="K317" s="2141"/>
      <c r="L317" s="2141"/>
      <c r="M317" s="2141"/>
      <c r="N317" s="2141"/>
      <c r="O317" s="2141"/>
      <c r="P317" s="2141"/>
      <c r="Q317" s="2141"/>
      <c r="R317" s="2141"/>
      <c r="S317" s="2141"/>
      <c r="T317" s="2141"/>
      <c r="U317" s="2141"/>
      <c r="V317" s="2141"/>
      <c r="W317" s="2141"/>
      <c r="X317" s="2141"/>
      <c r="Y317" s="2141"/>
      <c r="AR317"/>
      <c r="AS317"/>
      <c r="AT317"/>
      <c r="AU317"/>
      <c r="AV317"/>
      <c r="AW317"/>
      <c r="AX317"/>
      <c r="AY317"/>
      <c r="AZ317"/>
      <c r="BA317"/>
      <c r="BB317"/>
      <c r="BC317"/>
      <c r="BD317"/>
      <c r="BE317"/>
      <c r="BF317"/>
      <c r="BG317"/>
      <c r="BH317"/>
      <c r="BI317"/>
    </row>
    <row r="318" spans="2:61" x14ac:dyDescent="0.25">
      <c r="E318" s="2141"/>
      <c r="F318" s="2141"/>
      <c r="G318" s="2141"/>
      <c r="H318" s="2141"/>
      <c r="I318" s="2141"/>
      <c r="J318" s="2141"/>
      <c r="K318" s="2141"/>
      <c r="L318" s="2141"/>
      <c r="M318" s="2141"/>
      <c r="N318" s="2141"/>
      <c r="O318" s="2141"/>
      <c r="P318" s="2141"/>
      <c r="Q318" s="2141"/>
      <c r="R318" s="2141"/>
      <c r="S318" s="2141"/>
      <c r="T318" s="2141"/>
      <c r="U318" s="2141"/>
      <c r="V318" s="2141"/>
      <c r="W318" s="2141"/>
      <c r="X318" s="2141"/>
      <c r="Y318" s="2141"/>
      <c r="AR318"/>
      <c r="AS318"/>
      <c r="AT318"/>
      <c r="AU318"/>
      <c r="AV318"/>
      <c r="AW318"/>
      <c r="AX318"/>
      <c r="AY318"/>
      <c r="AZ318"/>
      <c r="BA318"/>
      <c r="BB318"/>
      <c r="BC318"/>
      <c r="BD318"/>
      <c r="BE318"/>
      <c r="BF318"/>
      <c r="BG318"/>
      <c r="BH318"/>
      <c r="BI318"/>
    </row>
    <row r="319" spans="2:61" x14ac:dyDescent="0.25">
      <c r="C319" s="67"/>
      <c r="D319" s="604"/>
      <c r="E319" s="603"/>
      <c r="F319" s="603"/>
      <c r="G319" s="603"/>
      <c r="H319" s="603"/>
      <c r="I319" s="603"/>
      <c r="J319" s="603"/>
      <c r="K319" s="603"/>
      <c r="AR319"/>
      <c r="AS319"/>
      <c r="AT319"/>
      <c r="AU319"/>
      <c r="AV319"/>
      <c r="AW319"/>
      <c r="AX319"/>
      <c r="AY319"/>
      <c r="AZ319"/>
      <c r="BA319"/>
      <c r="BB319"/>
      <c r="BC319"/>
      <c r="BD319"/>
      <c r="BE319"/>
      <c r="BF319"/>
      <c r="BG319"/>
      <c r="BH319"/>
      <c r="BI319"/>
    </row>
    <row r="320" spans="2:61" x14ac:dyDescent="0.25">
      <c r="C320" s="2134" t="s">
        <v>3863</v>
      </c>
      <c r="D320" s="2135"/>
      <c r="E320" s="2136"/>
      <c r="F320" s="2136"/>
      <c r="G320" s="2136"/>
      <c r="H320" s="2136"/>
      <c r="I320" s="2136"/>
      <c r="J320" s="2136"/>
      <c r="K320" s="2136"/>
      <c r="L320" s="2136"/>
      <c r="AR320"/>
      <c r="AS320"/>
      <c r="AT320"/>
      <c r="AU320"/>
      <c r="AV320"/>
      <c r="AW320"/>
      <c r="AX320"/>
      <c r="AY320"/>
      <c r="AZ320"/>
      <c r="BA320"/>
      <c r="BB320"/>
      <c r="BC320"/>
      <c r="BD320"/>
      <c r="BE320"/>
      <c r="BF320"/>
      <c r="BG320"/>
      <c r="BH320"/>
      <c r="BI320"/>
    </row>
    <row r="321" spans="1:61" x14ac:dyDescent="0.25">
      <c r="C321" s="2135"/>
      <c r="D321" s="2135"/>
      <c r="E321" s="2136"/>
      <c r="F321" s="2136"/>
      <c r="G321" s="2136"/>
      <c r="H321" s="2136"/>
      <c r="I321" s="2136"/>
      <c r="J321" s="2136"/>
      <c r="K321" s="2136"/>
      <c r="L321" s="2136"/>
      <c r="AR321"/>
      <c r="AS321"/>
      <c r="AT321"/>
      <c r="AU321"/>
      <c r="AV321"/>
      <c r="AW321"/>
      <c r="AX321"/>
      <c r="AY321"/>
      <c r="AZ321"/>
      <c r="BA321"/>
      <c r="BB321"/>
      <c r="BC321"/>
      <c r="BD321"/>
      <c r="BE321"/>
      <c r="BF321"/>
      <c r="BG321"/>
      <c r="BH321"/>
      <c r="BI321"/>
    </row>
    <row r="322" spans="1:61" ht="3" customHeight="1" x14ac:dyDescent="0.25">
      <c r="A322" s="1420"/>
      <c r="B322" s="1420"/>
      <c r="C322" s="605"/>
      <c r="D322" s="605"/>
      <c r="K322" s="334"/>
      <c r="L322" s="334"/>
      <c r="O322" s="1421"/>
      <c r="W322" s="1421"/>
      <c r="AR322"/>
      <c r="AS322"/>
      <c r="AT322"/>
      <c r="AU322"/>
      <c r="AV322"/>
      <c r="AW322"/>
      <c r="AX322"/>
      <c r="AY322"/>
      <c r="AZ322"/>
      <c r="BA322"/>
      <c r="BB322"/>
      <c r="BC322"/>
      <c r="BD322"/>
      <c r="BE322"/>
      <c r="BF322"/>
      <c r="BG322"/>
      <c r="BH322"/>
      <c r="BI322"/>
    </row>
    <row r="323" spans="1:61" x14ac:dyDescent="0.25">
      <c r="B323" s="1712" t="s">
        <v>3862</v>
      </c>
      <c r="C323" s="1712"/>
      <c r="D323" s="2026"/>
      <c r="E323" s="2137"/>
      <c r="F323" s="2137"/>
      <c r="G323" s="2137"/>
      <c r="H323" s="2137"/>
      <c r="I323" s="2137"/>
      <c r="J323" s="2137"/>
      <c r="K323" s="2137"/>
      <c r="L323" s="2137"/>
      <c r="M323" s="2137"/>
      <c r="N323" s="2137"/>
      <c r="O323" s="2137"/>
      <c r="P323" s="2137"/>
      <c r="Q323" s="2137"/>
      <c r="R323" s="2137"/>
      <c r="S323" s="2137"/>
      <c r="T323" s="2137"/>
      <c r="U323" s="2137"/>
      <c r="V323" s="2137"/>
      <c r="W323" s="2137"/>
      <c r="AR323"/>
      <c r="AS323"/>
      <c r="AT323"/>
      <c r="AU323"/>
      <c r="AV323"/>
      <c r="AW323"/>
      <c r="AX323"/>
      <c r="AY323"/>
      <c r="AZ323"/>
      <c r="BA323"/>
      <c r="BB323"/>
      <c r="BC323"/>
      <c r="BD323"/>
      <c r="BE323"/>
      <c r="BF323"/>
      <c r="BG323"/>
      <c r="BH323"/>
      <c r="BI323"/>
    </row>
    <row r="324" spans="1:61" x14ac:dyDescent="0.25">
      <c r="C324" s="1712"/>
      <c r="D324" s="1712"/>
      <c r="E324" s="2137"/>
      <c r="F324" s="2137"/>
      <c r="G324" s="2137"/>
      <c r="H324" s="2137"/>
      <c r="I324" s="2137"/>
      <c r="J324" s="2137"/>
      <c r="K324" s="2137"/>
      <c r="L324" s="2137"/>
      <c r="M324" s="2137"/>
      <c r="N324" s="2137"/>
      <c r="O324" s="2137"/>
      <c r="P324" s="2137"/>
      <c r="Q324" s="2137"/>
      <c r="R324" s="2137"/>
      <c r="S324" s="2137"/>
      <c r="T324" s="2137"/>
      <c r="U324" s="2137"/>
      <c r="V324" s="2137"/>
      <c r="W324" s="2137"/>
      <c r="AR324"/>
      <c r="AS324"/>
      <c r="AT324"/>
      <c r="AU324"/>
      <c r="AV324"/>
      <c r="AW324"/>
      <c r="AX324"/>
      <c r="AY324"/>
      <c r="AZ324"/>
      <c r="BA324"/>
      <c r="BB324"/>
      <c r="BC324"/>
      <c r="BD324"/>
      <c r="BE324"/>
      <c r="BF324"/>
      <c r="BG324"/>
      <c r="BH324"/>
      <c r="BI324"/>
    </row>
    <row r="325" spans="1:61" x14ac:dyDescent="0.25">
      <c r="C325" s="1712"/>
      <c r="D325" s="1712"/>
      <c r="E325" s="2137"/>
      <c r="F325" s="2137"/>
      <c r="G325" s="2137"/>
      <c r="H325" s="2137"/>
      <c r="I325" s="2137"/>
      <c r="J325" s="2137"/>
      <c r="K325" s="2137"/>
      <c r="L325" s="2137"/>
      <c r="M325" s="2137"/>
      <c r="N325" s="2137"/>
      <c r="O325" s="2137"/>
      <c r="P325" s="2137"/>
      <c r="Q325" s="2137"/>
      <c r="R325" s="2137"/>
      <c r="S325" s="2137"/>
      <c r="T325" s="2137"/>
      <c r="U325" s="2137"/>
      <c r="V325" s="2137"/>
      <c r="W325" s="2137"/>
      <c r="AR325"/>
      <c r="AS325"/>
      <c r="AT325"/>
      <c r="AU325"/>
      <c r="AV325"/>
      <c r="AW325"/>
      <c r="AX325"/>
      <c r="AY325"/>
      <c r="AZ325"/>
      <c r="BA325"/>
      <c r="BB325"/>
      <c r="BC325"/>
      <c r="BD325"/>
      <c r="BE325"/>
      <c r="BF325"/>
      <c r="BG325"/>
      <c r="BH325"/>
      <c r="BI325"/>
    </row>
    <row r="326" spans="1:61" ht="3" customHeight="1" x14ac:dyDescent="0.25">
      <c r="A326" s="1420"/>
      <c r="B326" s="1420"/>
      <c r="C326" s="605"/>
      <c r="D326" s="605"/>
      <c r="K326" s="334"/>
      <c r="L326" s="334"/>
      <c r="O326" s="1421"/>
      <c r="W326" s="1421"/>
      <c r="AR326"/>
      <c r="AS326"/>
      <c r="AT326"/>
      <c r="AU326"/>
      <c r="AV326"/>
      <c r="AW326"/>
      <c r="AX326"/>
      <c r="AY326"/>
      <c r="AZ326"/>
      <c r="BA326"/>
      <c r="BB326"/>
      <c r="BC326"/>
      <c r="BD326"/>
      <c r="BE326"/>
      <c r="BF326"/>
      <c r="BG326"/>
      <c r="BH326"/>
      <c r="BI326"/>
    </row>
    <row r="327" spans="1:61" x14ac:dyDescent="0.25">
      <c r="C327" s="1712" t="s">
        <v>3857</v>
      </c>
      <c r="D327" s="1712"/>
      <c r="E327" s="2138"/>
      <c r="F327" s="2138"/>
      <c r="G327" s="2138"/>
      <c r="H327" s="2138"/>
      <c r="I327" s="2138"/>
      <c r="AR327"/>
      <c r="AS327"/>
      <c r="AT327"/>
      <c r="AU327"/>
      <c r="AV327"/>
      <c r="AW327"/>
      <c r="AX327"/>
      <c r="AY327"/>
      <c r="AZ327"/>
      <c r="BA327"/>
      <c r="BB327"/>
      <c r="BC327"/>
      <c r="BD327"/>
      <c r="BE327"/>
      <c r="BF327"/>
      <c r="BG327"/>
      <c r="BH327"/>
      <c r="BI327"/>
    </row>
    <row r="328" spans="1:61" ht="3" customHeight="1" x14ac:dyDescent="0.25">
      <c r="A328" s="1420"/>
      <c r="B328" s="1420"/>
      <c r="C328" s="605"/>
      <c r="D328" s="605"/>
      <c r="K328" s="334"/>
      <c r="L328" s="334"/>
      <c r="O328" s="1421"/>
      <c r="W328" s="1421"/>
      <c r="AR328"/>
      <c r="AS328"/>
      <c r="AT328"/>
      <c r="AU328"/>
      <c r="AV328"/>
      <c r="AW328"/>
      <c r="AX328"/>
      <c r="AY328"/>
      <c r="AZ328"/>
      <c r="BA328"/>
      <c r="BB328"/>
      <c r="BC328"/>
      <c r="BD328"/>
      <c r="BE328"/>
      <c r="BF328"/>
      <c r="BG328"/>
      <c r="BH328"/>
      <c r="BI328"/>
    </row>
    <row r="329" spans="1:61" x14ac:dyDescent="0.25">
      <c r="C329" s="1712" t="s">
        <v>3858</v>
      </c>
      <c r="D329" s="1712"/>
      <c r="E329" s="2138"/>
      <c r="F329" s="2138"/>
      <c r="G329" s="2138"/>
      <c r="H329" s="2138"/>
      <c r="I329" s="2138"/>
    </row>
    <row r="330" spans="1:61" ht="3" customHeight="1" x14ac:dyDescent="0.25">
      <c r="A330" s="1420"/>
      <c r="B330" s="1420"/>
      <c r="C330" s="605"/>
      <c r="D330" s="605"/>
      <c r="K330" s="334"/>
      <c r="L330" s="334"/>
      <c r="O330" s="1421"/>
      <c r="W330" s="1421"/>
    </row>
    <row r="331" spans="1:61" x14ac:dyDescent="0.25">
      <c r="C331" s="1712" t="s">
        <v>3859</v>
      </c>
      <c r="D331" s="1712"/>
      <c r="E331" s="2138"/>
      <c r="F331" s="2138"/>
      <c r="G331" s="2138"/>
      <c r="H331" s="2138"/>
      <c r="I331" s="2138"/>
    </row>
    <row r="332" spans="1:61" ht="3" customHeight="1" x14ac:dyDescent="0.25">
      <c r="A332" s="1420"/>
      <c r="B332" s="1420"/>
      <c r="C332" s="605"/>
      <c r="D332" s="605"/>
      <c r="K332" s="334"/>
      <c r="L332" s="334"/>
      <c r="O332" s="1421"/>
      <c r="W332" s="1421"/>
    </row>
    <row r="333" spans="1:61" x14ac:dyDescent="0.25">
      <c r="C333" s="1712" t="s">
        <v>3864</v>
      </c>
      <c r="D333" s="1712"/>
      <c r="E333" s="2138"/>
      <c r="F333" s="2138"/>
      <c r="G333" s="2138"/>
      <c r="H333" s="2138"/>
      <c r="I333" s="2138"/>
      <c r="J333" s="2139" t="s">
        <v>4099</v>
      </c>
      <c r="K333" s="2139"/>
    </row>
    <row r="334" spans="1:61" ht="3" customHeight="1" x14ac:dyDescent="0.25">
      <c r="A334" s="1420"/>
      <c r="B334" s="1420"/>
      <c r="C334" s="605"/>
      <c r="D334" s="605"/>
      <c r="J334" s="2139"/>
      <c r="K334" s="2139"/>
      <c r="L334" s="334"/>
      <c r="O334" s="1421"/>
      <c r="W334" s="1421"/>
    </row>
    <row r="335" spans="1:61" x14ac:dyDescent="0.25">
      <c r="C335" s="1712" t="s">
        <v>3865</v>
      </c>
      <c r="D335" s="1712"/>
      <c r="E335" s="2138"/>
      <c r="F335" s="2138"/>
      <c r="G335" s="2138"/>
      <c r="H335" s="2138"/>
      <c r="I335" s="2138"/>
      <c r="J335" s="2139"/>
      <c r="K335" s="2139"/>
    </row>
    <row r="336" spans="1:61" ht="3" customHeight="1" x14ac:dyDescent="0.25">
      <c r="A336" s="1420"/>
      <c r="B336" s="1420"/>
      <c r="C336" s="605"/>
      <c r="D336" s="605"/>
      <c r="K336" s="334"/>
      <c r="L336" s="334"/>
      <c r="O336" s="1421"/>
      <c r="W336" s="1421"/>
    </row>
    <row r="337" spans="3:10" x14ac:dyDescent="0.25">
      <c r="C337" s="1712" t="s">
        <v>3860</v>
      </c>
      <c r="D337" s="1712"/>
      <c r="E337" s="2138"/>
      <c r="F337" s="2138"/>
      <c r="G337" s="2138"/>
      <c r="H337" s="2138"/>
      <c r="I337" s="2138"/>
      <c r="J337" s="1422" t="s">
        <v>3866</v>
      </c>
    </row>
    <row r="338" spans="3:10" x14ac:dyDescent="0.25">
      <c r="F338" s="607"/>
    </row>
  </sheetData>
  <sheetProtection algorithmName="SHA-512" hashValue="1sa1VAt4LqP+2Kah61bjhmV9klQThfC8CGmtdTxTWRjXlOqBKRnX87wjlw2haOHxCsxe+Qd6xsdXJcuL+UFrmA==" saltValue="emoO/qfBfB6gpkvpZsSWbg==" spinCount="100000" sheet="1" objects="1" scenarios="1" selectLockedCells="1"/>
  <mergeCells count="216">
    <mergeCell ref="Y58:Y59"/>
    <mergeCell ref="Y50:Y51"/>
    <mergeCell ref="Y29:Y31"/>
    <mergeCell ref="Y24:Y25"/>
    <mergeCell ref="Y18:Y19"/>
    <mergeCell ref="Y162:Y163"/>
    <mergeCell ref="Y152:Y155"/>
    <mergeCell ref="Y139:Y144"/>
    <mergeCell ref="Y125:Y131"/>
    <mergeCell ref="Y110:Y112"/>
    <mergeCell ref="Y97:Y99"/>
    <mergeCell ref="Y77:Y78"/>
    <mergeCell ref="Y74:Y76"/>
    <mergeCell ref="Y66:Y67"/>
    <mergeCell ref="Y298:Y300"/>
    <mergeCell ref="Y287:Y291"/>
    <mergeCell ref="Y272:Y273"/>
    <mergeCell ref="Y264:Y265"/>
    <mergeCell ref="Y256:Y257"/>
    <mergeCell ref="Y246:Y248"/>
    <mergeCell ref="Y222:Y238"/>
    <mergeCell ref="Y203:Y214"/>
    <mergeCell ref="Y166:Y167"/>
    <mergeCell ref="X29:X31"/>
    <mergeCell ref="X24:X25"/>
    <mergeCell ref="X110:X112"/>
    <mergeCell ref="D58:M58"/>
    <mergeCell ref="D54:M54"/>
    <mergeCell ref="D55:M55"/>
    <mergeCell ref="E50:M50"/>
    <mergeCell ref="D49:M49"/>
    <mergeCell ref="D39:M39"/>
    <mergeCell ref="D40:M40"/>
    <mergeCell ref="D41:M41"/>
    <mergeCell ref="X97:X99"/>
    <mergeCell ref="D42:M42"/>
    <mergeCell ref="D43:M43"/>
    <mergeCell ref="D44:M44"/>
    <mergeCell ref="D45:M45"/>
    <mergeCell ref="D46:M46"/>
    <mergeCell ref="D47:M47"/>
    <mergeCell ref="D48:M48"/>
    <mergeCell ref="D81:M81"/>
    <mergeCell ref="D82:M82"/>
    <mergeCell ref="D83:M83"/>
    <mergeCell ref="D84:M84"/>
    <mergeCell ref="D85:M85"/>
    <mergeCell ref="X125:X131"/>
    <mergeCell ref="X139:X144"/>
    <mergeCell ref="X152:X155"/>
    <mergeCell ref="X162:X163"/>
    <mergeCell ref="X166:X167"/>
    <mergeCell ref="D166:M167"/>
    <mergeCell ref="G89:O90"/>
    <mergeCell ref="G116:O117"/>
    <mergeCell ref="N130:O130"/>
    <mergeCell ref="N131:O131"/>
    <mergeCell ref="N125:O125"/>
    <mergeCell ref="B89:D90"/>
    <mergeCell ref="C110:L111"/>
    <mergeCell ref="N151:O151"/>
    <mergeCell ref="N213:O213"/>
    <mergeCell ref="D17:M17"/>
    <mergeCell ref="E18:M18"/>
    <mergeCell ref="D21:M21"/>
    <mergeCell ref="D22:M22"/>
    <mergeCell ref="G10:O11"/>
    <mergeCell ref="E24:M24"/>
    <mergeCell ref="D27:M27"/>
    <mergeCell ref="D28:M28"/>
    <mergeCell ref="D29:M29"/>
    <mergeCell ref="B10:F11"/>
    <mergeCell ref="D15:M15"/>
    <mergeCell ref="D16:M16"/>
    <mergeCell ref="C189:L190"/>
    <mergeCell ref="B173:F174"/>
    <mergeCell ref="N169:O169"/>
    <mergeCell ref="N204:O204"/>
    <mergeCell ref="N205:O205"/>
    <mergeCell ref="N206:O206"/>
    <mergeCell ref="N207:O207"/>
    <mergeCell ref="N208:O208"/>
    <mergeCell ref="N209:O209"/>
    <mergeCell ref="N210:O210"/>
    <mergeCell ref="C315:F315"/>
    <mergeCell ref="E317:Y318"/>
    <mergeCell ref="B116:E117"/>
    <mergeCell ref="D23:M23"/>
    <mergeCell ref="N124:O124"/>
    <mergeCell ref="N126:O126"/>
    <mergeCell ref="D33:M33"/>
    <mergeCell ref="D34:M34"/>
    <mergeCell ref="D35:M35"/>
    <mergeCell ref="E36:M36"/>
    <mergeCell ref="X203:X214"/>
    <mergeCell ref="X222:X238"/>
    <mergeCell ref="X246:X248"/>
    <mergeCell ref="X256:X257"/>
    <mergeCell ref="X264:X265"/>
    <mergeCell ref="X272:X273"/>
    <mergeCell ref="X287:X291"/>
    <mergeCell ref="X298:X300"/>
    <mergeCell ref="N153:O153"/>
    <mergeCell ref="N154:O154"/>
    <mergeCell ref="N235:O235"/>
    <mergeCell ref="B194:D195"/>
    <mergeCell ref="B307:D308"/>
    <mergeCell ref="N212:O212"/>
    <mergeCell ref="C327:D327"/>
    <mergeCell ref="E327:I327"/>
    <mergeCell ref="W97:W99"/>
    <mergeCell ref="C337:D337"/>
    <mergeCell ref="E337:I337"/>
    <mergeCell ref="C329:D329"/>
    <mergeCell ref="E329:I329"/>
    <mergeCell ref="C331:D331"/>
    <mergeCell ref="E331:I331"/>
    <mergeCell ref="C333:D333"/>
    <mergeCell ref="E333:I333"/>
    <mergeCell ref="J333:K335"/>
    <mergeCell ref="C335:D335"/>
    <mergeCell ref="E335:I335"/>
    <mergeCell ref="N127:O127"/>
    <mergeCell ref="N128:O128"/>
    <mergeCell ref="N129:O129"/>
    <mergeCell ref="N300:O300"/>
    <mergeCell ref="N297:O297"/>
    <mergeCell ref="N246:O246"/>
    <mergeCell ref="N279:O279"/>
    <mergeCell ref="N271:O271"/>
    <mergeCell ref="N263:O263"/>
    <mergeCell ref="N211:O211"/>
    <mergeCell ref="C320:D321"/>
    <mergeCell ref="E320:L321"/>
    <mergeCell ref="D63:M65"/>
    <mergeCell ref="D66:M67"/>
    <mergeCell ref="D74:M76"/>
    <mergeCell ref="D77:M78"/>
    <mergeCell ref="B323:D323"/>
    <mergeCell ref="E323:W325"/>
    <mergeCell ref="C324:D324"/>
    <mergeCell ref="C325:D325"/>
    <mergeCell ref="G173:O174"/>
    <mergeCell ref="G194:O195"/>
    <mergeCell ref="G307:O308"/>
    <mergeCell ref="N170:O170"/>
    <mergeCell ref="N304:O304"/>
    <mergeCell ref="N287:O287"/>
    <mergeCell ref="N288:O288"/>
    <mergeCell ref="N289:O289"/>
    <mergeCell ref="N290:O290"/>
    <mergeCell ref="N286:O286"/>
    <mergeCell ref="N233:O233"/>
    <mergeCell ref="N202:O202"/>
    <mergeCell ref="N161:O161"/>
    <mergeCell ref="N203:O203"/>
    <mergeCell ref="N234:O234"/>
    <mergeCell ref="N302:O302"/>
    <mergeCell ref="N303:O303"/>
    <mergeCell ref="N291:O291"/>
    <mergeCell ref="N298:O298"/>
    <mergeCell ref="N299:O299"/>
    <mergeCell ref="N280:O280"/>
    <mergeCell ref="N245:O245"/>
    <mergeCell ref="N256:O256"/>
    <mergeCell ref="N257:O257"/>
    <mergeCell ref="N264:O264"/>
    <mergeCell ref="N255:O255"/>
    <mergeCell ref="W1:W3"/>
    <mergeCell ref="X1:Y1"/>
    <mergeCell ref="X2:Y2"/>
    <mergeCell ref="X3:Y3"/>
    <mergeCell ref="X4:Y4"/>
    <mergeCell ref="X5:Y5"/>
    <mergeCell ref="N273:O273"/>
    <mergeCell ref="N236:O236"/>
    <mergeCell ref="N237:O237"/>
    <mergeCell ref="N238:O238"/>
    <mergeCell ref="N247:O247"/>
    <mergeCell ref="N248:O248"/>
    <mergeCell ref="N155:O155"/>
    <mergeCell ref="N162:O162"/>
    <mergeCell ref="N163:O163"/>
    <mergeCell ref="X66:X67"/>
    <mergeCell ref="X74:X76"/>
    <mergeCell ref="X77:X78"/>
    <mergeCell ref="W223:W226"/>
    <mergeCell ref="N265:O265"/>
    <mergeCell ref="N272:O272"/>
    <mergeCell ref="X18:X19"/>
    <mergeCell ref="X50:X51"/>
    <mergeCell ref="X58:X59"/>
    <mergeCell ref="X69:X73"/>
    <mergeCell ref="X80:X85"/>
    <mergeCell ref="Y69:Y73"/>
    <mergeCell ref="Y80:Y85"/>
    <mergeCell ref="D227:O230"/>
    <mergeCell ref="I7:M8"/>
    <mergeCell ref="D68:M68"/>
    <mergeCell ref="D69:M69"/>
    <mergeCell ref="D70:M70"/>
    <mergeCell ref="D71:M71"/>
    <mergeCell ref="D72:M72"/>
    <mergeCell ref="D73:M73"/>
    <mergeCell ref="D79:M79"/>
    <mergeCell ref="D80:M80"/>
    <mergeCell ref="N214:O214"/>
    <mergeCell ref="N138:O138"/>
    <mergeCell ref="N139:O139"/>
    <mergeCell ref="N140:O140"/>
    <mergeCell ref="N141:O141"/>
    <mergeCell ref="N142:O142"/>
    <mergeCell ref="N143:O143"/>
    <mergeCell ref="N144:O144"/>
    <mergeCell ref="N152:O152"/>
    <mergeCell ref="N168:O168"/>
  </mergeCells>
  <phoneticPr fontId="90" type="noConversion"/>
  <conditionalFormatting sqref="E323 E327 E329 E331 E333 E335 E337">
    <cfRule type="notContainsBlanks" dxfId="345" priority="374">
      <formula>LEN(TRIM(E323))&gt;0</formula>
    </cfRule>
  </conditionalFormatting>
  <conditionalFormatting sqref="W110">
    <cfRule type="expression" dxfId="344" priority="167">
      <formula>OR($T$110 = TRUE, AND($W$110 = TRUE, $S$110 = FALSE))</formula>
    </cfRule>
    <cfRule type="expression" dxfId="343" priority="168">
      <formula>OR($S$110 = FALSE, AND($P$110 = FALSE, ReportType &lt;&gt; "Final"), AND($Q$110 = FALSE, ReportType &lt;&gt; "Rough"))</formula>
    </cfRule>
    <cfRule type="expression" dxfId="342" priority="169">
      <formula>AND(IF($R$110,$W$110,TRUE),LEN(TRIM($W$110))&gt;0)</formula>
    </cfRule>
    <cfRule type="expression" dxfId="341" priority="170">
      <formula>AND($R$110,$S$110)</formula>
    </cfRule>
  </conditionalFormatting>
  <conditionalFormatting sqref="W166">
    <cfRule type="expression" dxfId="340" priority="163">
      <formula>OR($T$166 = TRUE, AND($W$166 = TRUE, $S$166 = FALSE))</formula>
    </cfRule>
    <cfRule type="expression" dxfId="339" priority="164">
      <formula>OR($S$166 = FALSE, AND($P$166 = FALSE, ReportType &lt;&gt; "Final"), AND($Q$166 = FALSE, ReportType &lt;&gt; "Rough"))</formula>
    </cfRule>
    <cfRule type="expression" dxfId="338" priority="165">
      <formula>AND(IF($R$166,$W$166,TRUE),LEN(TRIM($W$166))&gt;0)</formula>
    </cfRule>
    <cfRule type="expression" dxfId="337" priority="166">
      <formula>AND($R$166,$S$166)</formula>
    </cfRule>
  </conditionalFormatting>
  <conditionalFormatting sqref="W152">
    <cfRule type="expression" dxfId="336" priority="159">
      <formula>OR($T$152 = TRUE, AND($W$152 = TRUE, $S$152 = FALSE))</formula>
    </cfRule>
    <cfRule type="expression" dxfId="335" priority="160">
      <formula>OR($S$152 = FALSE, AND($P$152 = FALSE, ReportType &lt;&gt; "Final"), AND($Q$152 = FALSE, ReportType &lt;&gt; "Rough"))</formula>
    </cfRule>
    <cfRule type="expression" dxfId="334" priority="161">
      <formula>AND(IF($R$152,$W$152,TRUE),LEN(TRIM($W$152))&gt;0)</formula>
    </cfRule>
    <cfRule type="expression" dxfId="333" priority="162">
      <formula>AND($R$152,$S$152)</formula>
    </cfRule>
  </conditionalFormatting>
  <conditionalFormatting sqref="W153">
    <cfRule type="expression" dxfId="332" priority="155">
      <formula>OR($T$153 = TRUE, AND($W$153 = TRUE, $S$153 = FALSE))</formula>
    </cfRule>
    <cfRule type="expression" dxfId="331" priority="156">
      <formula>OR($S$153 = FALSE, AND($P$153 = FALSE, ReportType &lt;&gt; "Final"), AND($Q$153 = FALSE, ReportType &lt;&gt; "Rough"))</formula>
    </cfRule>
    <cfRule type="expression" dxfId="330" priority="157">
      <formula>AND(IF($R$153,$W$153,TRUE),LEN(TRIM($W$153))&gt;0)</formula>
    </cfRule>
    <cfRule type="expression" dxfId="329" priority="158">
      <formula>AND($R$153,$S$153)</formula>
    </cfRule>
  </conditionalFormatting>
  <conditionalFormatting sqref="W154">
    <cfRule type="expression" dxfId="328" priority="151">
      <formula>OR($T$154 = TRUE, AND($W$154 = TRUE, $S$154 = FALSE))</formula>
    </cfRule>
    <cfRule type="expression" dxfId="327" priority="152">
      <formula>OR($S$154 = FALSE, AND($P$154 = FALSE, ReportType &lt;&gt; "Final"), AND($Q$154 = FALSE, ReportType &lt;&gt; "Rough"))</formula>
    </cfRule>
    <cfRule type="expression" dxfId="326" priority="153">
      <formula>AND(IF($R$154,$W$154,TRUE),LEN(TRIM($W$154))&gt;0)</formula>
    </cfRule>
    <cfRule type="expression" dxfId="325" priority="154">
      <formula>AND($R$154,$S$154)</formula>
    </cfRule>
  </conditionalFormatting>
  <conditionalFormatting sqref="W155">
    <cfRule type="expression" dxfId="324" priority="147">
      <formula>OR($T$155 = TRUE, AND(LEN(TRIM($W$155))&gt;0, $S$155 = FALSE))</formula>
    </cfRule>
    <cfRule type="expression" dxfId="323" priority="148">
      <formula>OR($S$155 = FALSE, AND($P$155 = FALSE, ReportType &lt;&gt; "Final"), AND($Q$155 = FALSE, ReportType &lt;&gt; "Rough"))</formula>
    </cfRule>
    <cfRule type="expression" dxfId="322" priority="149">
      <formula>AND($W$155&lt;&gt;"Not Met",LEN(TRIM($W$155))&gt;0)</formula>
    </cfRule>
    <cfRule type="expression" dxfId="321" priority="150">
      <formula>AND($R$155,$S$155)</formula>
    </cfRule>
  </conditionalFormatting>
  <conditionalFormatting sqref="W126">
    <cfRule type="expression" dxfId="320" priority="143">
      <formula>OR($T$126 = TRUE, AND($W$126 = TRUE, $S$126 = FALSE))</formula>
    </cfRule>
    <cfRule type="expression" dxfId="319" priority="144">
      <formula>OR($S$126 = FALSE, AND($P$126 = FALSE, ReportType &lt;&gt; "Final"), AND($Q$126 = FALSE, ReportType &lt;&gt; "Rough"))</formula>
    </cfRule>
    <cfRule type="expression" dxfId="318" priority="145">
      <formula>AND(IF($R$126,$W$126,TRUE),LEN(TRIM($W$126))&gt;0)</formula>
    </cfRule>
    <cfRule type="expression" dxfId="317" priority="146">
      <formula>AND($R$126,$S$126)</formula>
    </cfRule>
  </conditionalFormatting>
  <conditionalFormatting sqref="W39">
    <cfRule type="expression" dxfId="316" priority="139">
      <formula>OR($T$39 = TRUE, AND($W$39 = TRUE, $S$39 = FALSE))</formula>
    </cfRule>
    <cfRule type="expression" dxfId="315" priority="140">
      <formula>OR($S$39 = FALSE, AND($P$39 = FALSE, ReportType &lt;&gt; "Final"), AND($Q$39 = FALSE, ReportType &lt;&gt; "Rough"))</formula>
    </cfRule>
    <cfRule type="expression" dxfId="314" priority="141">
      <formula>AND(IF($R$39,$W$39,TRUE),LEN(TRIM($W$39))&gt;0)</formula>
    </cfRule>
    <cfRule type="expression" dxfId="313" priority="142">
      <formula>AND($R$39,$S$39)</formula>
    </cfRule>
  </conditionalFormatting>
  <conditionalFormatting sqref="W40">
    <cfRule type="expression" dxfId="312" priority="135">
      <formula>OR($T$40 = TRUE, AND($W$40 = TRUE, $S$40 = FALSE))</formula>
    </cfRule>
    <cfRule type="expression" dxfId="311" priority="136">
      <formula>OR($S$40 = FALSE, AND($P$40 = FALSE, ReportType &lt;&gt; "Final"), AND($Q$40 = FALSE, ReportType &lt;&gt; "Rough"))</formula>
    </cfRule>
    <cfRule type="expression" dxfId="310" priority="137">
      <formula>AND(IF($R$40,$W$40,TRUE),LEN(TRIM($W$40))&gt;0)</formula>
    </cfRule>
    <cfRule type="expression" dxfId="309" priority="138">
      <formula>AND($R$40,$S$40)</formula>
    </cfRule>
  </conditionalFormatting>
  <conditionalFormatting sqref="W41">
    <cfRule type="expression" dxfId="308" priority="131">
      <formula>OR($T$41 = TRUE, AND($W$41 = TRUE, $S$41 = FALSE))</formula>
    </cfRule>
    <cfRule type="expression" dxfId="307" priority="132">
      <formula>OR($S$41 = FALSE, AND($P$41 = FALSE, ReportType &lt;&gt; "Final"), AND($Q$41 = FALSE, ReportType &lt;&gt; "Rough"))</formula>
    </cfRule>
    <cfRule type="expression" dxfId="306" priority="133">
      <formula>AND(IF($R$41,$W$41,TRUE),LEN(TRIM($W$41))&gt;0)</formula>
    </cfRule>
    <cfRule type="expression" dxfId="305" priority="134">
      <formula>AND($R$41,$S$41)</formula>
    </cfRule>
  </conditionalFormatting>
  <conditionalFormatting sqref="W42">
    <cfRule type="expression" dxfId="304" priority="127">
      <formula>OR($T$42 = TRUE, AND($W$42 = TRUE, $S$42 = FALSE))</formula>
    </cfRule>
    <cfRule type="expression" dxfId="303" priority="128">
      <formula>OR($S$42 = FALSE, AND($P$42 = FALSE, ReportType &lt;&gt; "Final"), AND($Q$42 = FALSE, ReportType &lt;&gt; "Rough"))</formula>
    </cfRule>
    <cfRule type="expression" dxfId="302" priority="129">
      <formula>AND(IF($R$42,$W$42,TRUE),LEN(TRIM($W$42))&gt;0)</formula>
    </cfRule>
    <cfRule type="expression" dxfId="301" priority="130">
      <formula>AND($R$42,$S$42)</formula>
    </cfRule>
  </conditionalFormatting>
  <conditionalFormatting sqref="W43">
    <cfRule type="expression" dxfId="300" priority="123">
      <formula>OR($T$43 = TRUE, AND($W$43 = TRUE, $S$43 = FALSE))</formula>
    </cfRule>
    <cfRule type="expression" dxfId="299" priority="124">
      <formula>OR($S$43 = FALSE, AND($P$43 = FALSE, ReportType &lt;&gt; "Final"), AND($Q$43 = FALSE, ReportType &lt;&gt; "Rough"))</formula>
    </cfRule>
    <cfRule type="expression" dxfId="298" priority="125">
      <formula>AND(IF($R$43,$W$43,TRUE),LEN(TRIM($W$43))&gt;0)</formula>
    </cfRule>
    <cfRule type="expression" dxfId="297" priority="126">
      <formula>AND($R$43,$S$43)</formula>
    </cfRule>
  </conditionalFormatting>
  <conditionalFormatting sqref="W44">
    <cfRule type="expression" dxfId="296" priority="119">
      <formula>OR($T$44 = TRUE, AND($W$44 = TRUE, $S$44 = FALSE))</formula>
    </cfRule>
    <cfRule type="expression" dxfId="295" priority="120">
      <formula>OR($S$44 = FALSE, AND($P$44 = FALSE, ReportType &lt;&gt; "Final"), AND($Q$44 = FALSE, ReportType &lt;&gt; "Rough"))</formula>
    </cfRule>
    <cfRule type="expression" dxfId="294" priority="121">
      <formula>AND(IF($R$44,$W$44,TRUE),LEN(TRIM($W$44))&gt;0)</formula>
    </cfRule>
    <cfRule type="expression" dxfId="293" priority="122">
      <formula>AND($R$44,$S$44)</formula>
    </cfRule>
  </conditionalFormatting>
  <conditionalFormatting sqref="W45">
    <cfRule type="expression" dxfId="292" priority="115">
      <formula>OR($T$45 = TRUE, AND($W$45 = TRUE, $S$45 = FALSE))</formula>
    </cfRule>
    <cfRule type="expression" dxfId="291" priority="116">
      <formula>OR($S$45 = FALSE, AND($P$45 = FALSE, ReportType &lt;&gt; "Final"), AND($Q$45 = FALSE, ReportType &lt;&gt; "Rough"))</formula>
    </cfRule>
    <cfRule type="expression" dxfId="290" priority="117">
      <formula>AND(IF($R$45,$W$45,TRUE),LEN(TRIM($W$45))&gt;0)</formula>
    </cfRule>
    <cfRule type="expression" dxfId="289" priority="118">
      <formula>AND($R$45,$S$45)</formula>
    </cfRule>
  </conditionalFormatting>
  <conditionalFormatting sqref="W46">
    <cfRule type="expression" dxfId="288" priority="111">
      <formula>OR($T$46 = TRUE, AND($W$46 = TRUE, $S$46 = FALSE))</formula>
    </cfRule>
    <cfRule type="expression" dxfId="287" priority="112">
      <formula>OR($S$46 = FALSE, AND($P$46 = FALSE, ReportType &lt;&gt; "Final"), AND($Q$46 = FALSE, ReportType &lt;&gt; "Rough"))</formula>
    </cfRule>
    <cfRule type="expression" dxfId="286" priority="113">
      <formula>AND(IF($R$46,$W$46,TRUE),LEN(TRIM($W$46))&gt;0)</formula>
    </cfRule>
    <cfRule type="expression" dxfId="285" priority="114">
      <formula>AND($R$46,$S$46)</formula>
    </cfRule>
  </conditionalFormatting>
  <conditionalFormatting sqref="W47">
    <cfRule type="expression" dxfId="284" priority="107">
      <formula>OR($T$47 = TRUE, AND($W$47 = TRUE, $S$47 = FALSE))</formula>
    </cfRule>
    <cfRule type="expression" dxfId="283" priority="108">
      <formula>OR($S$47 = FALSE, AND($P$47 = FALSE, ReportType &lt;&gt; "Final"), AND($Q$47 = FALSE, ReportType &lt;&gt; "Rough"))</formula>
    </cfRule>
    <cfRule type="expression" dxfId="282" priority="109">
      <formula>AND(IF($R$47,$W$47,TRUE),LEN(TRIM($W$47))&gt;0)</formula>
    </cfRule>
    <cfRule type="expression" dxfId="281" priority="110">
      <formula>AND($R$47,$S$47)</formula>
    </cfRule>
  </conditionalFormatting>
  <conditionalFormatting sqref="W48">
    <cfRule type="expression" dxfId="280" priority="103">
      <formula>OR($T$48 = TRUE, AND($W$48 = TRUE, $S$48 = FALSE))</formula>
    </cfRule>
    <cfRule type="expression" dxfId="279" priority="104">
      <formula>OR($S$48 = FALSE, AND($P$48 = FALSE, ReportType &lt;&gt; "Final"), AND($Q$48 = FALSE, ReportType &lt;&gt; "Rough"))</formula>
    </cfRule>
    <cfRule type="expression" dxfId="278" priority="105">
      <formula>AND(IF($R$48,$W$48,TRUE),LEN(TRIM($W$48))&gt;0)</formula>
    </cfRule>
    <cfRule type="expression" dxfId="277" priority="106">
      <formula>AND($R$48,$S$48)</formula>
    </cfRule>
  </conditionalFormatting>
  <conditionalFormatting sqref="W49">
    <cfRule type="expression" dxfId="276" priority="99">
      <formula>OR($T$49 = TRUE, AND($W$49 = TRUE, $S$49 = FALSE))</formula>
    </cfRule>
    <cfRule type="expression" dxfId="275" priority="100">
      <formula>OR($S$49 = FALSE, AND($P$49 = FALSE, ReportType &lt;&gt; "Final"), AND($Q$49 = FALSE, ReportType &lt;&gt; "Rough"))</formula>
    </cfRule>
    <cfRule type="expression" dxfId="274" priority="101">
      <formula>AND(IF($R$49,$W$49,TRUE),LEN(TRIM($W$49))&gt;0)</formula>
    </cfRule>
    <cfRule type="expression" dxfId="273" priority="102">
      <formula>AND($R$49,$S$49)</formula>
    </cfRule>
  </conditionalFormatting>
  <conditionalFormatting sqref="W54">
    <cfRule type="expression" dxfId="272" priority="95">
      <formula>OR($T$54 = TRUE, AND($W$54 = TRUE, $S$54 = FALSE))</formula>
    </cfRule>
    <cfRule type="expression" dxfId="271" priority="96">
      <formula>OR($S$54 = FALSE, AND($P$54 = FALSE, ReportType &lt;&gt; "Final"), AND($Q$54 = FALSE, ReportType &lt;&gt; "Rough"))</formula>
    </cfRule>
    <cfRule type="expression" dxfId="270" priority="97">
      <formula>AND(IF($R$54,$W$54,TRUE),LEN(TRIM($W$54))&gt;0)</formula>
    </cfRule>
    <cfRule type="expression" dxfId="269" priority="98">
      <formula>AND($R$54,$S$54)</formula>
    </cfRule>
  </conditionalFormatting>
  <conditionalFormatting sqref="W55">
    <cfRule type="expression" dxfId="268" priority="91">
      <formula>OR($T$55 = TRUE, AND($W$55 = TRUE, $S$55 = FALSE))</formula>
    </cfRule>
    <cfRule type="expression" dxfId="267" priority="92">
      <formula>OR($S$55 = FALSE, AND($P$55 = FALSE, ReportType &lt;&gt; "Final"), AND($Q$55 = FALSE, ReportType &lt;&gt; "Rough"))</formula>
    </cfRule>
    <cfRule type="expression" dxfId="266" priority="93">
      <formula>AND(IF($R$55,$W$55,TRUE),LEN(TRIM($W$55))&gt;0)</formula>
    </cfRule>
    <cfRule type="expression" dxfId="265" priority="94">
      <formula>AND($R$55,$S$55)</formula>
    </cfRule>
  </conditionalFormatting>
  <conditionalFormatting sqref="W15">
    <cfRule type="expression" dxfId="264" priority="89">
      <formula>AND(R15,S15)</formula>
    </cfRule>
  </conditionalFormatting>
  <conditionalFormatting sqref="W15">
    <cfRule type="expression" dxfId="263" priority="88">
      <formula>AND(IF(R15,W15,TRUE),LEN(TRIM(W15))&gt;0)</formula>
    </cfRule>
  </conditionalFormatting>
  <conditionalFormatting sqref="W15">
    <cfRule type="expression" dxfId="262" priority="87">
      <formula>OR(T15 = TRUE, AND(W15 = TRUE, S15 = FALSE))</formula>
    </cfRule>
  </conditionalFormatting>
  <conditionalFormatting sqref="W15">
    <cfRule type="expression" dxfId="261" priority="90">
      <formula>OR(S15 = FALSE, AND(P15 = FALSE, ReportType &lt;&gt; "Final"), AND(Q15 = FALSE, ReportType &lt;&gt; "Rough"))</formula>
    </cfRule>
  </conditionalFormatting>
  <conditionalFormatting sqref="W16">
    <cfRule type="expression" dxfId="260" priority="85">
      <formula>AND(R16,S16)</formula>
    </cfRule>
  </conditionalFormatting>
  <conditionalFormatting sqref="W16">
    <cfRule type="expression" dxfId="259" priority="84">
      <formula>AND(IF(R16,W16,TRUE),LEN(TRIM(W16))&gt;0)</formula>
    </cfRule>
  </conditionalFormatting>
  <conditionalFormatting sqref="W16">
    <cfRule type="expression" dxfId="258" priority="83">
      <formula>OR(T16 = TRUE, AND(W16 = TRUE, S16 = FALSE))</formula>
    </cfRule>
  </conditionalFormatting>
  <conditionalFormatting sqref="W16">
    <cfRule type="expression" dxfId="257" priority="86">
      <formula>OR(S16 = FALSE, AND(P16 = FALSE, ReportType &lt;&gt; "Final"), AND(Q16 = FALSE, ReportType &lt;&gt; "Rough"))</formula>
    </cfRule>
  </conditionalFormatting>
  <conditionalFormatting sqref="W17">
    <cfRule type="expression" dxfId="256" priority="81">
      <formula>AND(R17,S17)</formula>
    </cfRule>
  </conditionalFormatting>
  <conditionalFormatting sqref="W17">
    <cfRule type="expression" dxfId="255" priority="80">
      <formula>AND(IF(R17,W17,TRUE),LEN(TRIM(W17))&gt;0)</formula>
    </cfRule>
  </conditionalFormatting>
  <conditionalFormatting sqref="W17">
    <cfRule type="expression" dxfId="254" priority="79">
      <formula>OR(T17 = TRUE, AND(W17 = TRUE, S17 = FALSE))</formula>
    </cfRule>
  </conditionalFormatting>
  <conditionalFormatting sqref="W17">
    <cfRule type="expression" dxfId="253" priority="82">
      <formula>OR(S17 = FALSE, AND(P17 = FALSE, ReportType &lt;&gt; "Final"), AND(Q17 = FALSE, ReportType &lt;&gt; "Rough"))</formula>
    </cfRule>
  </conditionalFormatting>
  <conditionalFormatting sqref="W21">
    <cfRule type="expression" dxfId="252" priority="77">
      <formula>AND(R21,S21)</formula>
    </cfRule>
  </conditionalFormatting>
  <conditionalFormatting sqref="W21">
    <cfRule type="expression" dxfId="251" priority="76">
      <formula>AND(IF(R21,W21,TRUE),LEN(TRIM(W21))&gt;0)</formula>
    </cfRule>
  </conditionalFormatting>
  <conditionalFormatting sqref="W21">
    <cfRule type="expression" dxfId="250" priority="75">
      <formula>OR(T21 = TRUE, AND(W21 = TRUE, S21 = FALSE))</formula>
    </cfRule>
  </conditionalFormatting>
  <conditionalFormatting sqref="W21">
    <cfRule type="expression" dxfId="249" priority="78">
      <formula>OR(S21 = FALSE, AND(P21 = FALSE, ReportType &lt;&gt; "Final"), AND(Q21 = FALSE, ReportType &lt;&gt; "Rough"))</formula>
    </cfRule>
  </conditionalFormatting>
  <conditionalFormatting sqref="W22">
    <cfRule type="expression" dxfId="248" priority="73">
      <formula>AND(R22,S22)</formula>
    </cfRule>
  </conditionalFormatting>
  <conditionalFormatting sqref="W22">
    <cfRule type="expression" dxfId="247" priority="72">
      <formula>AND(IF(R22,W22,TRUE),LEN(TRIM(W22))&gt;0)</formula>
    </cfRule>
  </conditionalFormatting>
  <conditionalFormatting sqref="W22">
    <cfRule type="expression" dxfId="246" priority="71">
      <formula>OR(T22 = TRUE, AND(W22 = TRUE, S22 = FALSE))</formula>
    </cfRule>
  </conditionalFormatting>
  <conditionalFormatting sqref="W22">
    <cfRule type="expression" dxfId="245" priority="74">
      <formula>OR(S22 = FALSE, AND(P22 = FALSE, ReportType &lt;&gt; "Final"), AND(Q22 = FALSE, ReportType &lt;&gt; "Rough"))</formula>
    </cfRule>
  </conditionalFormatting>
  <conditionalFormatting sqref="W23">
    <cfRule type="expression" dxfId="244" priority="69">
      <formula>AND(R23,S23)</formula>
    </cfRule>
  </conditionalFormatting>
  <conditionalFormatting sqref="W23">
    <cfRule type="expression" dxfId="243" priority="68">
      <formula>AND(IF(R23,W23,TRUE),LEN(TRIM(W23))&gt;0)</formula>
    </cfRule>
  </conditionalFormatting>
  <conditionalFormatting sqref="W23">
    <cfRule type="expression" dxfId="242" priority="67">
      <formula>OR(T23 = TRUE, AND(W23 = TRUE, S23 = FALSE))</formula>
    </cfRule>
  </conditionalFormatting>
  <conditionalFormatting sqref="W23">
    <cfRule type="expression" dxfId="241" priority="70">
      <formula>OR(S23 = FALSE, AND(P23 = FALSE, ReportType &lt;&gt; "Final"), AND(Q23 = FALSE, ReportType &lt;&gt; "Rough"))</formula>
    </cfRule>
  </conditionalFormatting>
  <conditionalFormatting sqref="X2">
    <cfRule type="expression" dxfId="240" priority="64">
      <formula>$AG$3</formula>
    </cfRule>
  </conditionalFormatting>
  <conditionalFormatting sqref="X3">
    <cfRule type="expression" dxfId="239" priority="65">
      <formula>$AI$3</formula>
    </cfRule>
  </conditionalFormatting>
  <conditionalFormatting sqref="X1">
    <cfRule type="expression" dxfId="238" priority="66">
      <formula>verStartError</formula>
    </cfRule>
  </conditionalFormatting>
  <conditionalFormatting sqref="X18 X24 X27 X28 X29 X33 X34 X35 X36 X50 X58">
    <cfRule type="expression" dxfId="237" priority="63">
      <formula>R18</formula>
    </cfRule>
  </conditionalFormatting>
  <conditionalFormatting sqref="X39 X40 X41 X42 X43 X44 X45 X46 X47 X48 X49">
    <cfRule type="expression" dxfId="236" priority="62">
      <formula>W39</formula>
    </cfRule>
  </conditionalFormatting>
  <conditionalFormatting sqref="W203">
    <cfRule type="expression" dxfId="235" priority="60">
      <formula>AND($R$203,$S$203)</formula>
    </cfRule>
  </conditionalFormatting>
  <conditionalFormatting sqref="W203">
    <cfRule type="expression" dxfId="234" priority="59">
      <formula>AND($W$203&lt;&gt;"Not Met",LEN(TRIM($W$203))&gt;0)</formula>
    </cfRule>
  </conditionalFormatting>
  <conditionalFormatting sqref="W203">
    <cfRule type="expression" dxfId="233" priority="58">
      <formula>OR($S$203 = FALSE, AND($P$203 = FALSE, ReportType &lt;&gt; "Final"), AND($Q$203 = FALSE, ReportType &lt;&gt; "Rough"))</formula>
    </cfRule>
  </conditionalFormatting>
  <conditionalFormatting sqref="W203">
    <cfRule type="expression" dxfId="232" priority="57">
      <formula>OR($T$203 = TRUE, AND(LEN(TRIM($W$203))&gt;0, $S$203 = FALSE))</formula>
    </cfRule>
  </conditionalFormatting>
  <conditionalFormatting sqref="W204">
    <cfRule type="expression" dxfId="231" priority="56">
      <formula>AND($R$204,$S$204)</formula>
    </cfRule>
  </conditionalFormatting>
  <conditionalFormatting sqref="W204">
    <cfRule type="expression" dxfId="230" priority="55">
      <formula>AND($W$204&lt;&gt;"Not Met",LEN(TRIM($W$204))&gt;0)</formula>
    </cfRule>
  </conditionalFormatting>
  <conditionalFormatting sqref="W204">
    <cfRule type="expression" dxfId="229" priority="54">
      <formula>OR($S$204 = FALSE, AND($P$204 = FALSE, ReportType &lt;&gt; "Final"), AND($Q$204 = FALSE, ReportType &lt;&gt; "Rough"))</formula>
    </cfRule>
  </conditionalFormatting>
  <conditionalFormatting sqref="W204">
    <cfRule type="expression" dxfId="228" priority="53">
      <formula>OR($T$204 = TRUE, AND(LEN(TRIM($W$204))&gt;0, $S$204 = FALSE))</formula>
    </cfRule>
  </conditionalFormatting>
  <conditionalFormatting sqref="W256">
    <cfRule type="expression" dxfId="227" priority="52">
      <formula>AND($R$256,$S$256)</formula>
    </cfRule>
  </conditionalFormatting>
  <conditionalFormatting sqref="W256">
    <cfRule type="expression" dxfId="226" priority="51">
      <formula>AND($W$256&lt;&gt;"Not Met",LEN(TRIM($W$256))&gt;0)</formula>
    </cfRule>
  </conditionalFormatting>
  <conditionalFormatting sqref="W256">
    <cfRule type="expression" dxfId="225" priority="50">
      <formula>OR($S$256 = FALSE, AND($P$256 = FALSE, ReportType &lt;&gt; "Final"), AND($Q$256 = FALSE, ReportType &lt;&gt; "Rough"))</formula>
    </cfRule>
  </conditionalFormatting>
  <conditionalFormatting sqref="W256">
    <cfRule type="expression" dxfId="224" priority="49">
      <formula>OR($T$256 = TRUE, AND(LEN(TRIM($W$256))&gt;0, $S$256 = FALSE))</formula>
    </cfRule>
  </conditionalFormatting>
  <conditionalFormatting sqref="W72">
    <cfRule type="expression" dxfId="223" priority="47">
      <formula>AND(R72,S72)</formula>
    </cfRule>
  </conditionalFormatting>
  <conditionalFormatting sqref="W72">
    <cfRule type="expression" dxfId="222" priority="46">
      <formula>AND(IF(R72,W72,TRUE),LEN(TRIM(W72))&gt;0)</formula>
    </cfRule>
  </conditionalFormatting>
  <conditionalFormatting sqref="W72">
    <cfRule type="expression" dxfId="221" priority="45">
      <formula>OR(T72 = TRUE, AND(W72 = TRUE, S72 = FALSE))</formula>
    </cfRule>
  </conditionalFormatting>
  <conditionalFormatting sqref="W72">
    <cfRule type="expression" dxfId="220" priority="48">
      <formula>OR(S72 = FALSE, AND(P72 = FALSE, ReportType &lt;&gt; "Final"), AND(Q72 = FALSE, ReportType &lt;&gt; "Rough"))</formula>
    </cfRule>
  </conditionalFormatting>
  <conditionalFormatting sqref="W69">
    <cfRule type="expression" dxfId="219" priority="43">
      <formula>AND(R69,S69)</formula>
    </cfRule>
  </conditionalFormatting>
  <conditionalFormatting sqref="W69">
    <cfRule type="expression" dxfId="218" priority="42">
      <formula>AND(IF(R69,W69,TRUE),LEN(TRIM(W69))&gt;0)</formula>
    </cfRule>
  </conditionalFormatting>
  <conditionalFormatting sqref="W69">
    <cfRule type="expression" dxfId="217" priority="41">
      <formula>OR(T69 = TRUE, AND(W69 = TRUE, S69 = FALSE))</formula>
    </cfRule>
  </conditionalFormatting>
  <conditionalFormatting sqref="W69">
    <cfRule type="expression" dxfId="216" priority="44">
      <formula>OR(S69 = FALSE, AND(P69 = FALSE, ReportType &lt;&gt; "Final"), AND(Q69 = FALSE, ReportType &lt;&gt; "Rough"))</formula>
    </cfRule>
  </conditionalFormatting>
  <conditionalFormatting sqref="W73">
    <cfRule type="expression" dxfId="215" priority="39">
      <formula>AND(R73,S73)</formula>
    </cfRule>
  </conditionalFormatting>
  <conditionalFormatting sqref="W73">
    <cfRule type="expression" dxfId="214" priority="38">
      <formula>AND(IF(R73,W73,TRUE),LEN(TRIM(W73))&gt;0)</formula>
    </cfRule>
  </conditionalFormatting>
  <conditionalFormatting sqref="W73">
    <cfRule type="expression" dxfId="213" priority="37">
      <formula>OR(T73 = TRUE, AND(W73 = TRUE, S73 = FALSE))</formula>
    </cfRule>
  </conditionalFormatting>
  <conditionalFormatting sqref="W73">
    <cfRule type="expression" dxfId="212" priority="40">
      <formula>OR(S73 = FALSE, AND(P73 = FALSE, ReportType &lt;&gt; "Final"), AND(Q73 = FALSE, ReportType &lt;&gt; "Rough"))</formula>
    </cfRule>
  </conditionalFormatting>
  <conditionalFormatting sqref="W70">
    <cfRule type="expression" dxfId="211" priority="35">
      <formula>AND(R70,S70)</formula>
    </cfRule>
  </conditionalFormatting>
  <conditionalFormatting sqref="W70">
    <cfRule type="expression" dxfId="210" priority="34">
      <formula>AND(IF(R70,W70,TRUE),LEN(TRIM(W70))&gt;0)</formula>
    </cfRule>
  </conditionalFormatting>
  <conditionalFormatting sqref="W70">
    <cfRule type="expression" dxfId="209" priority="33">
      <formula>OR(T70 = TRUE, AND(W70 = TRUE, S70 = FALSE))</formula>
    </cfRule>
  </conditionalFormatting>
  <conditionalFormatting sqref="W70">
    <cfRule type="expression" dxfId="208" priority="36">
      <formula>OR(S70 = FALSE, AND(P70 = FALSE, ReportType &lt;&gt; "Final"), AND(Q70 = FALSE, ReportType &lt;&gt; "Rough"))</formula>
    </cfRule>
  </conditionalFormatting>
  <conditionalFormatting sqref="W71">
    <cfRule type="expression" dxfId="207" priority="31">
      <formula>AND(R71,S71)</formula>
    </cfRule>
  </conditionalFormatting>
  <conditionalFormatting sqref="W71">
    <cfRule type="expression" dxfId="206" priority="30">
      <formula>AND(IF(R71,W71,TRUE),LEN(TRIM(W71))&gt;0)</formula>
    </cfRule>
  </conditionalFormatting>
  <conditionalFormatting sqref="W71">
    <cfRule type="expression" dxfId="205" priority="29">
      <formula>OR(T71 = TRUE, AND(W71 = TRUE, S71 = FALSE))</formula>
    </cfRule>
  </conditionalFormatting>
  <conditionalFormatting sqref="W71">
    <cfRule type="expression" dxfId="204" priority="32">
      <formula>OR(S71 = FALSE, AND(P71 = FALSE, ReportType &lt;&gt; "Final"), AND(Q71 = FALSE, ReportType &lt;&gt; "Rough"))</formula>
    </cfRule>
  </conditionalFormatting>
  <conditionalFormatting sqref="W85">
    <cfRule type="expression" dxfId="203" priority="27">
      <formula>AND(R85,S85)</formula>
    </cfRule>
  </conditionalFormatting>
  <conditionalFormatting sqref="W85">
    <cfRule type="expression" dxfId="202" priority="26">
      <formula>AND(IF(R85,W85,TRUE),LEN(TRIM(W85))&gt;0)</formula>
    </cfRule>
  </conditionalFormatting>
  <conditionalFormatting sqref="W85">
    <cfRule type="expression" dxfId="201" priority="25">
      <formula>OR(T85 = TRUE, AND(W85 = TRUE, S85 = FALSE))</formula>
    </cfRule>
  </conditionalFormatting>
  <conditionalFormatting sqref="W85">
    <cfRule type="expression" dxfId="200" priority="28">
      <formula>OR(S85 = FALSE, AND(P85 = FALSE, ReportType &lt;&gt; "Final"), AND(Q85 = FALSE, ReportType &lt;&gt; "Rough"))</formula>
    </cfRule>
  </conditionalFormatting>
  <conditionalFormatting sqref="W80">
    <cfRule type="expression" dxfId="199" priority="23">
      <formula>AND(R80,S80)</formula>
    </cfRule>
  </conditionalFormatting>
  <conditionalFormatting sqref="W80">
    <cfRule type="expression" dxfId="198" priority="22">
      <formula>AND(IF(R80,W80,TRUE),LEN(TRIM(W80))&gt;0)</formula>
    </cfRule>
  </conditionalFormatting>
  <conditionalFormatting sqref="W80">
    <cfRule type="expression" dxfId="197" priority="21">
      <formula>OR(T80 = TRUE, AND(W80 = TRUE, S80 = FALSE))</formula>
    </cfRule>
  </conditionalFormatting>
  <conditionalFormatting sqref="W80">
    <cfRule type="expression" dxfId="196" priority="24">
      <formula>OR(S80 = FALSE, AND(P80 = FALSE, ReportType &lt;&gt; "Final"), AND(Q80 = FALSE, ReportType &lt;&gt; "Rough"))</formula>
    </cfRule>
  </conditionalFormatting>
  <conditionalFormatting sqref="W81">
    <cfRule type="expression" dxfId="195" priority="19">
      <formula>AND(R81,S81)</formula>
    </cfRule>
  </conditionalFormatting>
  <conditionalFormatting sqref="W81">
    <cfRule type="expression" dxfId="194" priority="18">
      <formula>AND(IF(R81,W81,TRUE),LEN(TRIM(W81))&gt;0)</formula>
    </cfRule>
  </conditionalFormatting>
  <conditionalFormatting sqref="W81">
    <cfRule type="expression" dxfId="193" priority="17">
      <formula>OR(T81 = TRUE, AND(W81 = TRUE, S81 = FALSE))</formula>
    </cfRule>
  </conditionalFormatting>
  <conditionalFormatting sqref="W81">
    <cfRule type="expression" dxfId="192" priority="20">
      <formula>OR(S81 = FALSE, AND(P81 = FALSE, ReportType &lt;&gt; "Final"), AND(Q81 = FALSE, ReportType &lt;&gt; "Rough"))</formula>
    </cfRule>
  </conditionalFormatting>
  <conditionalFormatting sqref="W82">
    <cfRule type="expression" dxfId="191" priority="15">
      <formula>AND(R82,S82)</formula>
    </cfRule>
  </conditionalFormatting>
  <conditionalFormatting sqref="W82">
    <cfRule type="expression" dxfId="190" priority="14">
      <formula>AND(IF(R82,W82,TRUE),LEN(TRIM(W82))&gt;0)</formula>
    </cfRule>
  </conditionalFormatting>
  <conditionalFormatting sqref="W82">
    <cfRule type="expression" dxfId="189" priority="13">
      <formula>OR(T82 = TRUE, AND(W82 = TRUE, S82 = FALSE))</formula>
    </cfRule>
  </conditionalFormatting>
  <conditionalFormatting sqref="W82">
    <cfRule type="expression" dxfId="188" priority="16">
      <formula>OR(S82 = FALSE, AND(P82 = FALSE, ReportType &lt;&gt; "Final"), AND(Q82 = FALSE, ReportType &lt;&gt; "Rough"))</formula>
    </cfRule>
  </conditionalFormatting>
  <conditionalFormatting sqref="W83">
    <cfRule type="expression" dxfId="187" priority="11">
      <formula>AND(R83,S83)</formula>
    </cfRule>
  </conditionalFormatting>
  <conditionalFormatting sqref="W83">
    <cfRule type="expression" dxfId="186" priority="10">
      <formula>AND(IF(R83,W83,TRUE),LEN(TRIM(W83))&gt;0)</formula>
    </cfRule>
  </conditionalFormatting>
  <conditionalFormatting sqref="W83">
    <cfRule type="expression" dxfId="185" priority="9">
      <formula>OR(T83 = TRUE, AND(W83 = TRUE, S83 = FALSE))</formula>
    </cfRule>
  </conditionalFormatting>
  <conditionalFormatting sqref="W83">
    <cfRule type="expression" dxfId="184" priority="12">
      <formula>OR(S83 = FALSE, AND(P83 = FALSE, ReportType &lt;&gt; "Final"), AND(Q83 = FALSE, ReportType &lt;&gt; "Rough"))</formula>
    </cfRule>
  </conditionalFormatting>
  <conditionalFormatting sqref="W84">
    <cfRule type="expression" dxfId="183" priority="7">
      <formula>AND(R84,S84)</formula>
    </cfRule>
  </conditionalFormatting>
  <conditionalFormatting sqref="W84">
    <cfRule type="expression" dxfId="182" priority="6">
      <formula>AND(IF(R84,W84,TRUE),LEN(TRIM(W84))&gt;0)</formula>
    </cfRule>
  </conditionalFormatting>
  <conditionalFormatting sqref="W84">
    <cfRule type="expression" dxfId="181" priority="5">
      <formula>OR(T84 = TRUE, AND(W84 = TRUE, S84 = FALSE))</formula>
    </cfRule>
  </conditionalFormatting>
  <conditionalFormatting sqref="W84">
    <cfRule type="expression" dxfId="180" priority="8">
      <formula>OR(S84 = FALSE, AND(P84 = FALSE, ReportType &lt;&gt; "Final"), AND(Q84 = FALSE, ReportType &lt;&gt; "Rough"))</formula>
    </cfRule>
  </conditionalFormatting>
  <conditionalFormatting sqref="W227">
    <cfRule type="expression" dxfId="179" priority="4">
      <formula>AND($R$227,$S$227)</formula>
    </cfRule>
  </conditionalFormatting>
  <conditionalFormatting sqref="W227">
    <cfRule type="expression" dxfId="178" priority="3">
      <formula>AND($W$227&lt;&gt;"Not Met",LEN(TRIM($W$227))&gt;0)</formula>
    </cfRule>
  </conditionalFormatting>
  <conditionalFormatting sqref="W227">
    <cfRule type="expression" dxfId="177" priority="2">
      <formula>OR($S$227 = FALSE, AND($P$227 = FALSE, ReportType &lt;&gt; "Final"), AND($Q$227 = FALSE, ReportType &lt;&gt; "Rough"))</formula>
    </cfRule>
  </conditionalFormatting>
  <conditionalFormatting sqref="W227">
    <cfRule type="expression" dxfId="176" priority="1">
      <formula>OR($T$227 = TRUE, AND(LEN(TRIM($W$227))&gt;0, $S$227 = FALSE))</formula>
    </cfRule>
  </conditionalFormatting>
  <dataValidations count="19">
    <dataValidation type="list" allowBlank="1" showDropDown="1" showInputMessage="1" showErrorMessage="1" error="Use Checkbox" prompt="Use Checkbox" sqref="W110 W166 W126 W152:W154 W54:W55 W39:W49" xr:uid="{F61ADAAC-F4BE-4589-A16E-936727289909}">
      <formula1>TorF</formula1>
    </dataValidation>
    <dataValidation type="list" allowBlank="1" showInputMessage="1" showErrorMessage="1" error="Please use the dropdown." sqref="W155" xr:uid="{58EC2CD0-F387-4D3F-8704-153A5D43051A}">
      <formula1>INDIRECT($U$155)</formula1>
    </dataValidation>
    <dataValidation type="whole" allowBlank="1" showDropDown="1" showInputMessage="1" showErrorMessage="1" error="Enter a number" prompt="Enter a whole number" sqref="W15:W17" xr:uid="{3E7DA45D-3369-4BF4-8328-D66B7440DC39}">
      <formula1>0</formula1>
      <formula2>100</formula2>
    </dataValidation>
    <dataValidation type="decimal" allowBlank="1" showDropDown="1" showInputMessage="1" showErrorMessage="1" error="Enter a number" prompt="Enter a decimal" sqref="W21:W23" xr:uid="{72B624E6-C1F8-4667-B821-3A878EFDFCB3}">
      <formula1>0</formula1>
      <formula2>1</formula2>
    </dataValidation>
    <dataValidation type="custom" allowBlank="1" showInputMessage="1" showErrorMessage="1" sqref="B306 B172" xr:uid="{EA04D5BA-925F-4BAA-9E60-F4FFCAEF1DF5}">
      <formula1>"&lt;0&gt;0"</formula1>
    </dataValidation>
    <dataValidation type="list" allowBlank="1" showInputMessage="1" showErrorMessage="1" error="Please use the dropdown." sqref="W203" xr:uid="{70F9BCCD-2920-4BDF-8FEC-7A5993404692}">
      <formula1>INDIRECT($U$203)</formula1>
    </dataValidation>
    <dataValidation type="list" allowBlank="1" showInputMessage="1" showErrorMessage="1" error="Please use the dropdown." sqref="W204" xr:uid="{78F93257-D98B-48F7-8657-8360A2266F98}">
      <formula1>INDIRECT($U$204)</formula1>
    </dataValidation>
    <dataValidation type="list" allowBlank="1" showInputMessage="1" showErrorMessage="1" error="Please use the dropdown." sqref="W256" xr:uid="{5284139C-CEF2-4D88-8F58-B38D4C0EDF78}">
      <formula1>INDIRECT($U$256)</formula1>
    </dataValidation>
    <dataValidation type="whole" allowBlank="1" showDropDown="1" showInputMessage="1" showErrorMessage="1" error="Enter a number" prompt="Enter a whole number" sqref="W84" xr:uid="{D4B88CD4-509F-4C99-8467-CFC4E97E2FB7}">
      <formula1>0</formula1>
      <formula2>50</formula2>
    </dataValidation>
    <dataValidation type="whole" allowBlank="1" showDropDown="1" showInputMessage="1" showErrorMessage="1" error="Enter a number" prompt="Enter a whole number" sqref="W83" xr:uid="{6664DBE6-C49D-49DA-BAE8-90923E99AFC9}">
      <formula1>0</formula1>
      <formula2>7</formula2>
    </dataValidation>
    <dataValidation type="whole" allowBlank="1" showDropDown="1" showInputMessage="1" showErrorMessage="1" error="Enter a number" prompt="Enter a whole number" sqref="W82" xr:uid="{18AFC1DD-EF1C-45B9-B7EA-5502892AB618}">
      <formula1>80</formula1>
      <formula2>500</formula2>
    </dataValidation>
    <dataValidation type="whole" allowBlank="1" showDropDown="1" showInputMessage="1" showErrorMessage="1" error="Enter a number" prompt="Enter a whole number" sqref="W81" xr:uid="{96B72736-BF6D-4D25-9B8B-612C488E78B4}">
      <formula1>-70</formula1>
      <formula2>212</formula2>
    </dataValidation>
    <dataValidation type="whole" allowBlank="1" showDropDown="1" showInputMessage="1" showErrorMessage="1" error="Enter a number" prompt="Enter a whole number" sqref="W80" xr:uid="{340901AC-19DD-4177-9B69-C39DE0C1679E}">
      <formula1>0</formula1>
      <formula2>134102</formula2>
    </dataValidation>
    <dataValidation type="decimal" allowBlank="1" showDropDown="1" showInputMessage="1" showErrorMessage="1" error="Enter a percentage" prompt="Enter a percentage" sqref="W71 W85" xr:uid="{5941E76D-708B-4000-AF3F-C868065DEC1F}">
      <formula1>0</formula1>
      <formula2>1</formula2>
    </dataValidation>
    <dataValidation type="whole" allowBlank="1" showDropDown="1" showInputMessage="1" showErrorMessage="1" error="Enter a number" prompt="Enter a whole number" sqref="W70" xr:uid="{33B02B95-E3B9-4309-A88F-2E4E03045680}">
      <formula1>0</formula1>
      <formula2>90</formula2>
    </dataValidation>
    <dataValidation type="whole" allowBlank="1" showDropDown="1" showInputMessage="1" showErrorMessage="1" error="Enter a number" prompt="Enter a whole number" sqref="W73" xr:uid="{329BA1A9-0C86-40F2-BA07-D91A630EC958}">
      <formula1>0</formula1>
      <formula2>10000</formula2>
    </dataValidation>
    <dataValidation type="whole" allowBlank="1" showDropDown="1" showInputMessage="1" showErrorMessage="1" error="Enter a number" prompt="Enter a whole number" sqref="W69" xr:uid="{84DE6A31-C383-4818-AB75-C7D43992D005}">
      <formula1>0</formula1>
      <formula2>1000</formula2>
    </dataValidation>
    <dataValidation type="whole" allowBlank="1" showDropDown="1" showInputMessage="1" showErrorMessage="1" error="Enter a number" prompt="Enter a whole number" sqref="W72" xr:uid="{432EFDCF-D791-4C8C-A0B4-56ECCCEA0E2C}">
      <formula1>0</formula1>
      <formula2>300</formula2>
    </dataValidation>
    <dataValidation type="list" allowBlank="1" showInputMessage="1" showErrorMessage="1" error="Please use the dropdown." sqref="W227" xr:uid="{E2C268B0-633A-4402-9118-99E1C0D43660}">
      <formula1>INDIRECT($U$227)</formula1>
    </dataValidation>
  </dataValidations>
  <hyperlinks>
    <hyperlink ref="C2:C7" location="Badges!W15" display="Net Zero Energy:" xr:uid="{427A7279-6CE4-4318-A61E-B3238EED4666}"/>
    <hyperlink ref="C3" location="'Badges (Verification)'!X97" display="Resilience:" xr:uid="{2F9C130E-2BFC-4459-A523-BC0384AEB82E}"/>
    <hyperlink ref="C4" location="'Badges (Verification)'!X125" display="Smart Home:" xr:uid="{B9E33C05-0648-4031-B115-8BA9AC689247}"/>
    <hyperlink ref="C5" location="'Badges (Verification)'!B173" display="Universal Design:" xr:uid="{BDE59E08-A746-4DE9-9F2F-1947FF6A6E10}"/>
    <hyperlink ref="C6" location="'Badges (Verification)'!X203" display="Wellness:" xr:uid="{B70B1AB0-E2F2-4C29-B1E1-EEAA12C13050}"/>
    <hyperlink ref="C7" location="'Badges (Verification)'!B307" display="Zero Water:" xr:uid="{B28E1AC9-3493-4C8B-94EA-5FA3C562A84C}"/>
    <hyperlink ref="C2" location="'Badges (Verification)'!W15" display="Net Zero Energy:" xr:uid="{D109119E-9BCB-4A18-BD26-1DCFB514A365}"/>
  </hyperlinks>
  <pageMargins left="0.7" right="0.7" top="0.75" bottom="0.75" header="0.3" footer="0.3"/>
  <pageSetup scale="44" fitToHeight="0" orientation="portrait" r:id="rId1"/>
  <rowBreaks count="4" manualBreakCount="4">
    <brk id="115" max="24" man="1"/>
    <brk id="193" max="24" man="1"/>
    <brk id="305" max="16383" man="1"/>
    <brk id="31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4" r:id="rId4" name="Check Box 2">
              <controlPr locked="0" defaultSize="0" autoFill="0" autoLine="0" autoPict="0">
                <anchor moveWithCells="1">
                  <from>
                    <xdr:col>22</xdr:col>
                    <xdr:colOff>0</xdr:colOff>
                    <xdr:row>109</xdr:row>
                    <xdr:rowOff>0</xdr:rowOff>
                  </from>
                  <to>
                    <xdr:col>22</xdr:col>
                    <xdr:colOff>180975</xdr:colOff>
                    <xdr:row>109</xdr:row>
                    <xdr:rowOff>180975</xdr:rowOff>
                  </to>
                </anchor>
              </controlPr>
            </control>
          </mc:Choice>
        </mc:AlternateContent>
        <mc:AlternateContent xmlns:mc="http://schemas.openxmlformats.org/markup-compatibility/2006">
          <mc:Choice Requires="x14">
            <control shapeId="172036" r:id="rId5" name="Check Box 4">
              <controlPr locked="0" defaultSize="0" autoFill="0" autoLine="0" autoPict="0">
                <anchor moveWithCells="1">
                  <from>
                    <xdr:col>22</xdr:col>
                    <xdr:colOff>0</xdr:colOff>
                    <xdr:row>165</xdr:row>
                    <xdr:rowOff>0</xdr:rowOff>
                  </from>
                  <to>
                    <xdr:col>22</xdr:col>
                    <xdr:colOff>180975</xdr:colOff>
                    <xdr:row>165</xdr:row>
                    <xdr:rowOff>180975</xdr:rowOff>
                  </to>
                </anchor>
              </controlPr>
            </control>
          </mc:Choice>
        </mc:AlternateContent>
        <mc:AlternateContent xmlns:mc="http://schemas.openxmlformats.org/markup-compatibility/2006">
          <mc:Choice Requires="x14">
            <control shapeId="172038" r:id="rId6" name="Check Box 6">
              <controlPr locked="0" defaultSize="0" autoFill="0" autoLine="0" autoPict="0">
                <anchor moveWithCells="1">
                  <from>
                    <xdr:col>22</xdr:col>
                    <xdr:colOff>0</xdr:colOff>
                    <xdr:row>151</xdr:row>
                    <xdr:rowOff>0</xdr:rowOff>
                  </from>
                  <to>
                    <xdr:col>22</xdr:col>
                    <xdr:colOff>180975</xdr:colOff>
                    <xdr:row>151</xdr:row>
                    <xdr:rowOff>180975</xdr:rowOff>
                  </to>
                </anchor>
              </controlPr>
            </control>
          </mc:Choice>
        </mc:AlternateContent>
        <mc:AlternateContent xmlns:mc="http://schemas.openxmlformats.org/markup-compatibility/2006">
          <mc:Choice Requires="x14">
            <control shapeId="172039" r:id="rId7" name="Check Box 7">
              <controlPr locked="0" defaultSize="0" autoFill="0" autoLine="0" autoPict="0">
                <anchor moveWithCells="1">
                  <from>
                    <xdr:col>22</xdr:col>
                    <xdr:colOff>0</xdr:colOff>
                    <xdr:row>152</xdr:row>
                    <xdr:rowOff>0</xdr:rowOff>
                  </from>
                  <to>
                    <xdr:col>22</xdr:col>
                    <xdr:colOff>180975</xdr:colOff>
                    <xdr:row>152</xdr:row>
                    <xdr:rowOff>180975</xdr:rowOff>
                  </to>
                </anchor>
              </controlPr>
            </control>
          </mc:Choice>
        </mc:AlternateContent>
        <mc:AlternateContent xmlns:mc="http://schemas.openxmlformats.org/markup-compatibility/2006">
          <mc:Choice Requires="x14">
            <control shapeId="172040" r:id="rId8" name="Check Box 8">
              <controlPr locked="0" defaultSize="0" autoFill="0" autoLine="0" autoPict="0">
                <anchor moveWithCells="1">
                  <from>
                    <xdr:col>22</xdr:col>
                    <xdr:colOff>0</xdr:colOff>
                    <xdr:row>153</xdr:row>
                    <xdr:rowOff>0</xdr:rowOff>
                  </from>
                  <to>
                    <xdr:col>22</xdr:col>
                    <xdr:colOff>180975</xdr:colOff>
                    <xdr:row>153</xdr:row>
                    <xdr:rowOff>180975</xdr:rowOff>
                  </to>
                </anchor>
              </controlPr>
            </control>
          </mc:Choice>
        </mc:AlternateContent>
        <mc:AlternateContent xmlns:mc="http://schemas.openxmlformats.org/markup-compatibility/2006">
          <mc:Choice Requires="x14">
            <control shapeId="172041" r:id="rId9" name="Check Box 9">
              <controlPr locked="0" defaultSize="0" autoFill="0" autoLine="0" autoPict="0">
                <anchor moveWithCells="1">
                  <from>
                    <xdr:col>22</xdr:col>
                    <xdr:colOff>0</xdr:colOff>
                    <xdr:row>125</xdr:row>
                    <xdr:rowOff>0</xdr:rowOff>
                  </from>
                  <to>
                    <xdr:col>22</xdr:col>
                    <xdr:colOff>180975</xdr:colOff>
                    <xdr:row>125</xdr:row>
                    <xdr:rowOff>180975</xdr:rowOff>
                  </to>
                </anchor>
              </controlPr>
            </control>
          </mc:Choice>
        </mc:AlternateContent>
        <mc:AlternateContent xmlns:mc="http://schemas.openxmlformats.org/markup-compatibility/2006">
          <mc:Choice Requires="x14">
            <control shapeId="172043" r:id="rId10" name="Check Box 11">
              <controlPr locked="0" defaultSize="0" autoFill="0" autoLine="0" autoPict="0">
                <anchor moveWithCells="1">
                  <from>
                    <xdr:col>22</xdr:col>
                    <xdr:colOff>0</xdr:colOff>
                    <xdr:row>38</xdr:row>
                    <xdr:rowOff>0</xdr:rowOff>
                  </from>
                  <to>
                    <xdr:col>22</xdr:col>
                    <xdr:colOff>180975</xdr:colOff>
                    <xdr:row>38</xdr:row>
                    <xdr:rowOff>180975</xdr:rowOff>
                  </to>
                </anchor>
              </controlPr>
            </control>
          </mc:Choice>
        </mc:AlternateContent>
        <mc:AlternateContent xmlns:mc="http://schemas.openxmlformats.org/markup-compatibility/2006">
          <mc:Choice Requires="x14">
            <control shapeId="172044" r:id="rId11" name="Check Box 12">
              <controlPr locked="0" defaultSize="0" autoFill="0" autoLine="0" autoPict="0">
                <anchor moveWithCells="1">
                  <from>
                    <xdr:col>22</xdr:col>
                    <xdr:colOff>0</xdr:colOff>
                    <xdr:row>39</xdr:row>
                    <xdr:rowOff>0</xdr:rowOff>
                  </from>
                  <to>
                    <xdr:col>22</xdr:col>
                    <xdr:colOff>180975</xdr:colOff>
                    <xdr:row>39</xdr:row>
                    <xdr:rowOff>180975</xdr:rowOff>
                  </to>
                </anchor>
              </controlPr>
            </control>
          </mc:Choice>
        </mc:AlternateContent>
        <mc:AlternateContent xmlns:mc="http://schemas.openxmlformats.org/markup-compatibility/2006">
          <mc:Choice Requires="x14">
            <control shapeId="172045" r:id="rId12" name="Check Box 13">
              <controlPr locked="0" defaultSize="0" autoFill="0" autoLine="0" autoPict="0">
                <anchor mov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172046" r:id="rId13" name="Check Box 14">
              <controlPr locked="0" defaultSize="0" autoFill="0" autoLine="0" autoPict="0">
                <anchor mov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172047" r:id="rId14" name="Check Box 15">
              <controlPr locked="0" defaultSize="0" autoFill="0" autoLine="0" autoPict="0">
                <anchor moveWithCells="1">
                  <from>
                    <xdr:col>22</xdr:col>
                    <xdr:colOff>0</xdr:colOff>
                    <xdr:row>42</xdr:row>
                    <xdr:rowOff>0</xdr:rowOff>
                  </from>
                  <to>
                    <xdr:col>22</xdr:col>
                    <xdr:colOff>180975</xdr:colOff>
                    <xdr:row>42</xdr:row>
                    <xdr:rowOff>180975</xdr:rowOff>
                  </to>
                </anchor>
              </controlPr>
            </control>
          </mc:Choice>
        </mc:AlternateContent>
        <mc:AlternateContent xmlns:mc="http://schemas.openxmlformats.org/markup-compatibility/2006">
          <mc:Choice Requires="x14">
            <control shapeId="172048" r:id="rId15" name="Check Box 16">
              <controlPr locked="0" defaultSize="0" autoFill="0" autoLine="0" autoPict="0">
                <anchor moveWithCells="1">
                  <from>
                    <xdr:col>22</xdr:col>
                    <xdr:colOff>0</xdr:colOff>
                    <xdr:row>43</xdr:row>
                    <xdr:rowOff>0</xdr:rowOff>
                  </from>
                  <to>
                    <xdr:col>22</xdr:col>
                    <xdr:colOff>180975</xdr:colOff>
                    <xdr:row>43</xdr:row>
                    <xdr:rowOff>180975</xdr:rowOff>
                  </to>
                </anchor>
              </controlPr>
            </control>
          </mc:Choice>
        </mc:AlternateContent>
        <mc:AlternateContent xmlns:mc="http://schemas.openxmlformats.org/markup-compatibility/2006">
          <mc:Choice Requires="x14">
            <control shapeId="172049" r:id="rId16" name="Check Box 17">
              <controlPr locked="0" defaultSize="0" autoFill="0" autoLine="0" autoPict="0">
                <anchor moveWithCells="1">
                  <from>
                    <xdr:col>22</xdr:col>
                    <xdr:colOff>0</xdr:colOff>
                    <xdr:row>44</xdr:row>
                    <xdr:rowOff>0</xdr:rowOff>
                  </from>
                  <to>
                    <xdr:col>22</xdr:col>
                    <xdr:colOff>180975</xdr:colOff>
                    <xdr:row>44</xdr:row>
                    <xdr:rowOff>180975</xdr:rowOff>
                  </to>
                </anchor>
              </controlPr>
            </control>
          </mc:Choice>
        </mc:AlternateContent>
        <mc:AlternateContent xmlns:mc="http://schemas.openxmlformats.org/markup-compatibility/2006">
          <mc:Choice Requires="x14">
            <control shapeId="172050" r:id="rId17" name="Check Box 18">
              <controlPr locked="0" defaultSize="0" autoFill="0" autoLine="0" autoPict="0">
                <anchor moveWithCells="1">
                  <from>
                    <xdr:col>22</xdr:col>
                    <xdr:colOff>0</xdr:colOff>
                    <xdr:row>45</xdr:row>
                    <xdr:rowOff>0</xdr:rowOff>
                  </from>
                  <to>
                    <xdr:col>22</xdr:col>
                    <xdr:colOff>180975</xdr:colOff>
                    <xdr:row>45</xdr:row>
                    <xdr:rowOff>180975</xdr:rowOff>
                  </to>
                </anchor>
              </controlPr>
            </control>
          </mc:Choice>
        </mc:AlternateContent>
        <mc:AlternateContent xmlns:mc="http://schemas.openxmlformats.org/markup-compatibility/2006">
          <mc:Choice Requires="x14">
            <control shapeId="172051" r:id="rId18" name="Check Box 19">
              <controlPr locked="0" defaultSize="0" autoFill="0" autoLine="0" autoPict="0">
                <anchor moveWithCells="1">
                  <from>
                    <xdr:col>22</xdr:col>
                    <xdr:colOff>0</xdr:colOff>
                    <xdr:row>46</xdr:row>
                    <xdr:rowOff>0</xdr:rowOff>
                  </from>
                  <to>
                    <xdr:col>22</xdr:col>
                    <xdr:colOff>180975</xdr:colOff>
                    <xdr:row>46</xdr:row>
                    <xdr:rowOff>180975</xdr:rowOff>
                  </to>
                </anchor>
              </controlPr>
            </control>
          </mc:Choice>
        </mc:AlternateContent>
        <mc:AlternateContent xmlns:mc="http://schemas.openxmlformats.org/markup-compatibility/2006">
          <mc:Choice Requires="x14">
            <control shapeId="172052" r:id="rId19" name="Check Box 20">
              <controlPr locked="0" defaultSize="0" autoFill="0" autoLine="0" autoPict="0">
                <anchor moveWithCells="1">
                  <from>
                    <xdr:col>22</xdr:col>
                    <xdr:colOff>0</xdr:colOff>
                    <xdr:row>47</xdr:row>
                    <xdr:rowOff>0</xdr:rowOff>
                  </from>
                  <to>
                    <xdr:col>22</xdr:col>
                    <xdr:colOff>180975</xdr:colOff>
                    <xdr:row>47</xdr:row>
                    <xdr:rowOff>180975</xdr:rowOff>
                  </to>
                </anchor>
              </controlPr>
            </control>
          </mc:Choice>
        </mc:AlternateContent>
        <mc:AlternateContent xmlns:mc="http://schemas.openxmlformats.org/markup-compatibility/2006">
          <mc:Choice Requires="x14">
            <control shapeId="172053" r:id="rId20" name="Check Box 21">
              <controlPr locked="0" defaultSize="0" autoFill="0" autoLine="0" autoPict="0">
                <anchor moveWithCells="1">
                  <from>
                    <xdr:col>22</xdr:col>
                    <xdr:colOff>0</xdr:colOff>
                    <xdr:row>48</xdr:row>
                    <xdr:rowOff>0</xdr:rowOff>
                  </from>
                  <to>
                    <xdr:col>22</xdr:col>
                    <xdr:colOff>180975</xdr:colOff>
                    <xdr:row>48</xdr:row>
                    <xdr:rowOff>180975</xdr:rowOff>
                  </to>
                </anchor>
              </controlPr>
            </control>
          </mc:Choice>
        </mc:AlternateContent>
        <mc:AlternateContent xmlns:mc="http://schemas.openxmlformats.org/markup-compatibility/2006">
          <mc:Choice Requires="x14">
            <control shapeId="172054" r:id="rId21" name="Check Box 22">
              <controlPr locked="0" defaultSize="0" autoFill="0" autoLine="0" autoPict="0">
                <anchor moveWithCells="1">
                  <from>
                    <xdr:col>22</xdr:col>
                    <xdr:colOff>0</xdr:colOff>
                    <xdr:row>53</xdr:row>
                    <xdr:rowOff>0</xdr:rowOff>
                  </from>
                  <to>
                    <xdr:col>22</xdr:col>
                    <xdr:colOff>180975</xdr:colOff>
                    <xdr:row>53</xdr:row>
                    <xdr:rowOff>180975</xdr:rowOff>
                  </to>
                </anchor>
              </controlPr>
            </control>
          </mc:Choice>
        </mc:AlternateContent>
        <mc:AlternateContent xmlns:mc="http://schemas.openxmlformats.org/markup-compatibility/2006">
          <mc:Choice Requires="x14">
            <control shapeId="172055" r:id="rId22" name="Check Box 23">
              <controlPr locked="0" defaultSize="0" autoFill="0" autoLine="0" autoPict="0">
                <anchor moveWithCells="1">
                  <from>
                    <xdr:col>22</xdr:col>
                    <xdr:colOff>0</xdr:colOff>
                    <xdr:row>54</xdr:row>
                    <xdr:rowOff>0</xdr:rowOff>
                  </from>
                  <to>
                    <xdr:col>22</xdr:col>
                    <xdr:colOff>180975</xdr:colOff>
                    <xdr:row>54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U66"/>
  <sheetViews>
    <sheetView showGridLines="0" zoomScaleNormal="100" workbookViewId="0">
      <pane ySplit="6" topLeftCell="A7" activePane="bottomLeft" state="frozen"/>
      <selection activeCell="E90" sqref="E90"/>
      <selection pane="bottomLeft" activeCell="G8" sqref="G8"/>
    </sheetView>
  </sheetViews>
  <sheetFormatPr defaultRowHeight="15" x14ac:dyDescent="0.25"/>
  <cols>
    <col min="5" max="5" width="16.85546875" hidden="1" customWidth="1"/>
    <col min="6" max="6" width="17.42578125" hidden="1" customWidth="1"/>
  </cols>
  <sheetData>
    <row r="1" spans="1:21" x14ac:dyDescent="0.25">
      <c r="A1" s="1703"/>
      <c r="B1" s="1703"/>
      <c r="C1" s="1703"/>
      <c r="D1" s="1703" t="s">
        <v>4877</v>
      </c>
      <c r="E1" s="1703"/>
      <c r="F1" s="1703"/>
      <c r="G1" s="1703"/>
      <c r="H1" s="1703"/>
      <c r="I1" s="1703"/>
      <c r="J1" s="1703"/>
      <c r="K1" s="1703"/>
      <c r="L1" s="1703"/>
      <c r="M1" s="1703"/>
      <c r="N1" s="1703"/>
      <c r="O1" s="1703"/>
      <c r="P1" s="1703"/>
      <c r="Q1" s="1703"/>
      <c r="R1" s="1703"/>
      <c r="S1" s="1703"/>
      <c r="T1" s="1703"/>
      <c r="U1" s="1703"/>
    </row>
    <row r="2" spans="1:21" s="58" customFormat="1" x14ac:dyDescent="0.25">
      <c r="A2" s="1703"/>
      <c r="B2" s="1703"/>
      <c r="C2" s="1703"/>
      <c r="D2" s="1703"/>
      <c r="E2" s="1703"/>
      <c r="F2" s="1703"/>
      <c r="G2" s="1703"/>
      <c r="H2" s="1703"/>
      <c r="I2" s="1703"/>
      <c r="J2" s="1703"/>
      <c r="K2" s="1703"/>
      <c r="L2" s="1703"/>
      <c r="M2" s="1703"/>
      <c r="N2" s="1703"/>
      <c r="O2" s="1703"/>
      <c r="P2" s="1703"/>
      <c r="Q2" s="1703"/>
      <c r="R2" s="1703"/>
      <c r="S2" s="1703"/>
      <c r="T2" s="1703"/>
      <c r="U2" s="1703"/>
    </row>
    <row r="3" spans="1:21" s="58" customFormat="1" x14ac:dyDescent="0.25">
      <c r="A3" s="1703"/>
      <c r="B3" s="1703"/>
      <c r="C3" s="1703"/>
      <c r="D3" s="1703"/>
      <c r="E3" s="1703"/>
      <c r="F3" s="1703"/>
      <c r="G3" s="1703"/>
      <c r="H3" s="1703"/>
      <c r="I3" s="1703"/>
      <c r="J3" s="1703"/>
      <c r="K3" s="1703"/>
      <c r="L3" s="1703"/>
      <c r="M3" s="1703"/>
      <c r="N3" s="1703"/>
      <c r="O3" s="1703"/>
      <c r="P3" s="1703"/>
      <c r="Q3" s="1703"/>
      <c r="R3" s="1703"/>
      <c r="S3" s="1703"/>
      <c r="T3" s="1703"/>
      <c r="U3" s="1703"/>
    </row>
    <row r="4" spans="1:21" s="58" customFormat="1" x14ac:dyDescent="0.25">
      <c r="A4" s="1703"/>
      <c r="B4" s="1703"/>
      <c r="C4" s="1703"/>
      <c r="D4" s="1703"/>
      <c r="E4" s="1703"/>
      <c r="F4" s="1703"/>
      <c r="G4" s="1703"/>
      <c r="H4" s="1703"/>
      <c r="I4" s="1703"/>
      <c r="J4" s="1703"/>
      <c r="K4" s="1703"/>
      <c r="L4" s="1703"/>
      <c r="M4" s="1703"/>
      <c r="N4" s="1703"/>
      <c r="O4" s="1703"/>
      <c r="P4" s="1703"/>
      <c r="Q4" s="1703"/>
      <c r="R4" s="1703"/>
      <c r="S4" s="1703"/>
      <c r="T4" s="1703"/>
      <c r="U4" s="1703"/>
    </row>
    <row r="5" spans="1:21" s="58" customFormat="1" x14ac:dyDescent="0.25">
      <c r="A5" s="1703"/>
      <c r="B5" s="1703"/>
      <c r="C5" s="1703"/>
      <c r="D5" s="1703"/>
      <c r="E5" s="1703"/>
      <c r="F5" s="1703"/>
      <c r="G5" s="1703"/>
      <c r="H5" s="1703"/>
      <c r="I5" s="1703"/>
      <c r="J5" s="1703"/>
      <c r="K5" s="1703"/>
      <c r="L5" s="1703"/>
      <c r="M5" s="1703"/>
      <c r="N5" s="1703"/>
      <c r="O5" s="1703"/>
      <c r="P5" s="1703"/>
      <c r="Q5" s="1703"/>
      <c r="R5" s="1703"/>
      <c r="S5" s="1703"/>
      <c r="T5" s="1703"/>
      <c r="U5" s="1703"/>
    </row>
    <row r="6" spans="1:21" s="16" customFormat="1" ht="18.75" x14ac:dyDescent="0.3">
      <c r="A6" s="15" t="s">
        <v>3951</v>
      </c>
      <c r="B6" s="15"/>
      <c r="C6" s="15"/>
      <c r="D6" s="15"/>
      <c r="E6" s="17" t="s">
        <v>247</v>
      </c>
      <c r="F6" s="17" t="s">
        <v>247</v>
      </c>
      <c r="G6" s="15"/>
      <c r="H6" s="15"/>
      <c r="I6" s="15"/>
      <c r="J6" s="15"/>
      <c r="K6" s="15"/>
      <c r="L6" s="15"/>
      <c r="M6" s="15"/>
      <c r="N6" s="15"/>
      <c r="O6" s="15"/>
      <c r="P6" s="15"/>
      <c r="Q6" s="15"/>
      <c r="R6" s="15"/>
      <c r="S6" s="15"/>
      <c r="T6" s="15"/>
      <c r="U6" s="15"/>
    </row>
    <row r="7" spans="1:21" x14ac:dyDescent="0.25">
      <c r="E7" t="s">
        <v>233</v>
      </c>
      <c r="F7" t="s">
        <v>234</v>
      </c>
    </row>
    <row r="8" spans="1:21" s="788" customFormat="1" x14ac:dyDescent="0.25">
      <c r="A8" s="1712" t="s">
        <v>4111</v>
      </c>
      <c r="B8" s="1712"/>
      <c r="C8" s="1712"/>
      <c r="D8" s="1712"/>
      <c r="F8" s="787" t="s">
        <v>4112</v>
      </c>
      <c r="G8" s="12"/>
    </row>
    <row r="9" spans="1:21" s="788" customFormat="1" x14ac:dyDescent="0.25"/>
    <row r="10" spans="1:21" x14ac:dyDescent="0.25">
      <c r="A10" s="1712" t="s">
        <v>124</v>
      </c>
      <c r="B10" s="1712"/>
      <c r="C10" s="1712"/>
      <c r="D10" s="1712"/>
      <c r="E10" s="2"/>
      <c r="F10" s="2" t="s">
        <v>148</v>
      </c>
      <c r="G10" s="1714"/>
      <c r="H10" s="1714"/>
      <c r="I10" s="1714"/>
      <c r="J10" s="1714"/>
      <c r="L10" s="1717" t="s">
        <v>3618</v>
      </c>
      <c r="M10" s="1718"/>
      <c r="N10" s="625"/>
      <c r="O10" s="335"/>
      <c r="P10" s="335"/>
    </row>
    <row r="11" spans="1:21" x14ac:dyDescent="0.25">
      <c r="A11" s="1712" t="s">
        <v>125</v>
      </c>
      <c r="B11" s="1712"/>
      <c r="C11" s="1712"/>
      <c r="D11" s="1712"/>
      <c r="E11" s="2"/>
      <c r="F11" s="2" t="s">
        <v>149</v>
      </c>
      <c r="G11" s="1714"/>
      <c r="H11" s="1714"/>
      <c r="I11" s="1714"/>
      <c r="J11" s="1714"/>
      <c r="L11" s="628" t="str">
        <f>N15</f>
        <v>!!</v>
      </c>
      <c r="M11" s="629" t="str">
        <f>O15</f>
        <v>!!</v>
      </c>
      <c r="N11" s="629" t="str">
        <f>P15</f>
        <v>!!</v>
      </c>
      <c r="O11" s="629"/>
      <c r="P11" s="630" t="str">
        <f>Q15</f>
        <v>!!</v>
      </c>
    </row>
    <row r="12" spans="1:21" x14ac:dyDescent="0.25">
      <c r="A12" s="1712" t="s">
        <v>130</v>
      </c>
      <c r="B12" s="1712"/>
      <c r="C12" s="1712"/>
      <c r="D12" s="1712"/>
      <c r="E12" s="2"/>
      <c r="F12" s="2" t="s">
        <v>150</v>
      </c>
      <c r="G12" s="1714"/>
      <c r="H12" s="1714"/>
      <c r="I12" s="1714"/>
      <c r="J12" s="1714"/>
    </row>
    <row r="13" spans="1:21" x14ac:dyDescent="0.25">
      <c r="A13" s="1712" t="s">
        <v>126</v>
      </c>
      <c r="B13" s="1712"/>
      <c r="C13" s="1712"/>
      <c r="D13" s="1712"/>
      <c r="E13" s="2"/>
      <c r="F13" s="2" t="s">
        <v>151</v>
      </c>
      <c r="G13" s="1714"/>
      <c r="H13" s="1714"/>
      <c r="I13" s="1714"/>
      <c r="J13" s="1714"/>
      <c r="K13" s="2346"/>
      <c r="N13" s="370"/>
    </row>
    <row r="14" spans="1:21" x14ac:dyDescent="0.25">
      <c r="A14" s="1712" t="s">
        <v>128</v>
      </c>
      <c r="B14" s="1712"/>
      <c r="C14" s="1712"/>
      <c r="D14" s="1712"/>
      <c r="E14" s="6" t="s">
        <v>175</v>
      </c>
      <c r="F14" s="2" t="s">
        <v>152</v>
      </c>
      <c r="G14" s="1733"/>
      <c r="H14" s="1734"/>
      <c r="I14" s="1734"/>
      <c r="J14" s="1735"/>
      <c r="K14" s="2352" t="s">
        <v>2</v>
      </c>
      <c r="L14" s="2352" t="s">
        <v>4</v>
      </c>
      <c r="M14" s="578" t="str">
        <f>Geography!D1</f>
        <v>Radon</v>
      </c>
      <c r="N14" s="2352" t="str">
        <f>Geography!E1</f>
        <v>Climate</v>
      </c>
      <c r="O14" s="2352" t="str">
        <f>Geography!F1</f>
        <v>Moist</v>
      </c>
      <c r="P14" s="2352" t="str">
        <f>Geography!G1</f>
        <v>WarmHumid</v>
      </c>
      <c r="Q14" s="2352" t="str">
        <f>Geography!H1</f>
        <v>Tropical</v>
      </c>
    </row>
    <row r="15" spans="1:21" x14ac:dyDescent="0.25">
      <c r="A15" s="1712" t="s">
        <v>127</v>
      </c>
      <c r="B15" s="1712"/>
      <c r="C15" s="1712"/>
      <c r="D15" s="1712"/>
      <c r="E15" s="6" t="s">
        <v>176</v>
      </c>
      <c r="F15" s="2" t="s">
        <v>153</v>
      </c>
      <c r="G15" s="1733"/>
      <c r="H15" s="1734"/>
      <c r="I15" s="1734"/>
      <c r="J15" s="1735"/>
      <c r="K15" s="2354">
        <f>G14</f>
        <v>0</v>
      </c>
      <c r="L15" s="2354" t="str">
        <f>IF(LEN(G15)=0,"",G15)</f>
        <v/>
      </c>
      <c r="M15" s="578" t="str">
        <f>IFERROR(DGET(dbState,M14,$K$14:$L$15),"!!")</f>
        <v>!!</v>
      </c>
      <c r="N15" s="2352" t="str">
        <f>IFERROR(DGET(dbState,N14,$K$14:$L$15),"!!")</f>
        <v>!!</v>
      </c>
      <c r="O15" s="2352" t="str">
        <f>IFERROR(DGET(dbState,O14,$K$14:$L$15),"!!")</f>
        <v>!!</v>
      </c>
      <c r="P15" s="2352" t="str">
        <f>IFERROR(DGET(dbState,P14,$K$14:$L$15),"!!")</f>
        <v>!!</v>
      </c>
      <c r="Q15" s="2352" t="str">
        <f>IFERROR(DGET(dbState,Q14,$K$14:$L$15),"!!")</f>
        <v>!!</v>
      </c>
    </row>
    <row r="16" spans="1:21" x14ac:dyDescent="0.25">
      <c r="A16" s="1712" t="s">
        <v>129</v>
      </c>
      <c r="B16" s="1712"/>
      <c r="C16" s="1712"/>
      <c r="D16" s="1712"/>
      <c r="E16" s="2"/>
      <c r="F16" s="2" t="s">
        <v>154</v>
      </c>
      <c r="G16" s="321"/>
      <c r="H16" s="2"/>
      <c r="I16" s="2"/>
      <c r="J16" s="2"/>
      <c r="K16" s="2346"/>
    </row>
    <row r="17" spans="1:21" x14ac:dyDescent="0.25">
      <c r="A17" s="1753"/>
      <c r="B17" s="1753"/>
      <c r="C17" s="1753"/>
      <c r="D17" s="1753"/>
      <c r="E17" s="2"/>
      <c r="F17" s="2"/>
      <c r="G17" s="2"/>
      <c r="H17" s="2"/>
      <c r="I17" s="2"/>
      <c r="J17" s="2"/>
    </row>
    <row r="18" spans="1:21" x14ac:dyDescent="0.25">
      <c r="A18" s="1712" t="s">
        <v>360</v>
      </c>
      <c r="B18" s="1712"/>
      <c r="C18" s="1712"/>
      <c r="D18" s="1712"/>
      <c r="E18" s="2" t="s">
        <v>177</v>
      </c>
      <c r="F18" s="2" t="s">
        <v>155</v>
      </c>
      <c r="G18" s="1715" t="s">
        <v>191</v>
      </c>
      <c r="H18" s="1716"/>
      <c r="I18" s="2"/>
      <c r="J18" s="2"/>
    </row>
    <row r="19" spans="1:21" x14ac:dyDescent="0.25">
      <c r="A19" s="2355" t="s">
        <v>156</v>
      </c>
      <c r="B19" s="1713"/>
      <c r="C19" s="1713"/>
      <c r="D19" s="1713"/>
      <c r="E19" s="2"/>
      <c r="F19" s="2" t="s">
        <v>158</v>
      </c>
      <c r="G19" s="11"/>
      <c r="H19" s="2"/>
      <c r="I19" s="2"/>
      <c r="J19" s="2"/>
    </row>
    <row r="20" spans="1:21" x14ac:dyDescent="0.25">
      <c r="A20" s="2353" t="s">
        <v>4840</v>
      </c>
      <c r="B20" s="1736"/>
      <c r="C20" s="1736"/>
      <c r="D20" s="1736"/>
      <c r="E20" t="s">
        <v>4842</v>
      </c>
      <c r="F20" s="331" t="s">
        <v>4841</v>
      </c>
      <c r="G20" s="1098"/>
    </row>
    <row r="21" spans="1:21" s="1101" customFormat="1" x14ac:dyDescent="0.25">
      <c r="A21" s="1736"/>
      <c r="B21" s="1736"/>
      <c r="C21" s="1736"/>
      <c r="D21" s="1736"/>
    </row>
    <row r="22" spans="1:21" s="1101" customFormat="1" x14ac:dyDescent="0.25">
      <c r="A22" s="1736"/>
      <c r="B22" s="1736"/>
      <c r="C22" s="1736"/>
      <c r="D22" s="1736"/>
    </row>
    <row r="23" spans="1:21" x14ac:dyDescent="0.25">
      <c r="A23" s="2355" t="s">
        <v>157</v>
      </c>
      <c r="B23" s="1713"/>
      <c r="C23" s="1713"/>
      <c r="D23" s="1713"/>
      <c r="E23" s="2"/>
      <c r="F23" s="2" t="s">
        <v>159</v>
      </c>
      <c r="G23" s="1714"/>
      <c r="H23" s="1714"/>
      <c r="I23" s="1714"/>
      <c r="J23" s="1714"/>
    </row>
    <row r="24" spans="1:21" x14ac:dyDescent="0.25">
      <c r="A24" s="1750"/>
      <c r="B24" s="1750"/>
      <c r="C24" s="1750"/>
      <c r="D24" s="1750"/>
      <c r="E24" s="2"/>
      <c r="F24" s="2"/>
    </row>
    <row r="25" spans="1:21" x14ac:dyDescent="0.25">
      <c r="A25" s="1712" t="s">
        <v>131</v>
      </c>
      <c r="B25" s="1712"/>
      <c r="C25" s="1712"/>
      <c r="D25" s="1712"/>
      <c r="E25" s="2"/>
      <c r="F25" s="2" t="s">
        <v>160</v>
      </c>
      <c r="G25" s="10"/>
      <c r="H25" s="3" t="s">
        <v>146</v>
      </c>
      <c r="I25" s="1743" t="s">
        <v>361</v>
      </c>
      <c r="J25" s="1744"/>
      <c r="K25" s="1744"/>
      <c r="L25" s="1744"/>
      <c r="M25" s="1744"/>
      <c r="N25" s="1745"/>
      <c r="O25" s="45"/>
      <c r="P25" s="45"/>
      <c r="Q25" s="45"/>
      <c r="R25" s="45"/>
      <c r="S25" s="45"/>
      <c r="T25" s="45"/>
      <c r="U25" s="45"/>
    </row>
    <row r="26" spans="1:21" x14ac:dyDescent="0.25">
      <c r="A26" s="1712" t="s">
        <v>132</v>
      </c>
      <c r="B26" s="1712"/>
      <c r="C26" s="1712"/>
      <c r="D26" s="1712"/>
      <c r="E26" s="2"/>
      <c r="F26" s="2" t="s">
        <v>161</v>
      </c>
      <c r="G26" s="324"/>
      <c r="H26" s="3" t="s">
        <v>147</v>
      </c>
      <c r="I26" s="1746"/>
      <c r="J26" s="1747"/>
      <c r="K26" s="1747"/>
      <c r="L26" s="1747"/>
      <c r="M26" s="1747"/>
      <c r="N26" s="1748"/>
    </row>
    <row r="27" spans="1:21" s="273" customFormat="1" x14ac:dyDescent="0.25">
      <c r="A27" s="1712" t="s">
        <v>3520</v>
      </c>
      <c r="B27" s="1712"/>
      <c r="C27" s="1712"/>
      <c r="D27" s="1712"/>
      <c r="E27" s="272"/>
      <c r="F27" s="272" t="s">
        <v>3499</v>
      </c>
      <c r="G27" s="274"/>
      <c r="H27" s="3"/>
      <c r="I27" s="275"/>
      <c r="J27" s="275"/>
      <c r="K27" s="275"/>
      <c r="L27" s="275"/>
      <c r="M27" s="275"/>
      <c r="N27" s="275"/>
    </row>
    <row r="28" spans="1:21" s="1606" customFormat="1" x14ac:dyDescent="0.25">
      <c r="A28" s="1712" t="s">
        <v>5664</v>
      </c>
      <c r="B28" s="1712"/>
      <c r="C28" s="1712"/>
      <c r="D28" s="1712"/>
      <c r="E28" s="1602"/>
      <c r="F28" s="1602" t="s">
        <v>5665</v>
      </c>
      <c r="G28" s="1603"/>
      <c r="H28" s="3" t="s">
        <v>5666</v>
      </c>
      <c r="I28" s="1620"/>
      <c r="J28" s="1620"/>
      <c r="K28" s="1620"/>
      <c r="L28" s="1620"/>
      <c r="M28" s="1620"/>
      <c r="N28" s="1620"/>
    </row>
    <row r="29" spans="1:21" x14ac:dyDescent="0.25">
      <c r="A29" s="1749"/>
      <c r="B29" s="1749"/>
      <c r="C29" s="1749"/>
      <c r="D29" s="1749"/>
      <c r="E29" s="2"/>
      <c r="F29" s="2"/>
    </row>
    <row r="30" spans="1:21" x14ac:dyDescent="0.25">
      <c r="A30" s="1712" t="s">
        <v>133</v>
      </c>
      <c r="B30" s="1712"/>
      <c r="C30" s="1712"/>
      <c r="D30" s="1712"/>
      <c r="E30" s="2"/>
      <c r="F30" s="2" t="s">
        <v>162</v>
      </c>
      <c r="G30" s="1737"/>
      <c r="H30" s="1738"/>
      <c r="I30" s="1738"/>
      <c r="J30" s="1738"/>
      <c r="K30" s="1738"/>
      <c r="L30" s="1738"/>
      <c r="M30" s="1738"/>
      <c r="N30" s="1739"/>
      <c r="O30" s="47"/>
      <c r="P30" s="47"/>
      <c r="Q30" s="47"/>
      <c r="R30" s="47"/>
      <c r="S30" s="47"/>
      <c r="T30" s="47"/>
      <c r="U30" s="47"/>
    </row>
    <row r="31" spans="1:21" s="47" customFormat="1" x14ac:dyDescent="0.25">
      <c r="A31" s="625"/>
      <c r="B31" s="625"/>
      <c r="C31" s="625"/>
      <c r="D31" s="625"/>
      <c r="E31" s="45"/>
      <c r="F31" s="45"/>
      <c r="G31" s="1740"/>
      <c r="H31" s="1741"/>
      <c r="I31" s="1741"/>
      <c r="J31" s="1741"/>
      <c r="K31" s="1741"/>
      <c r="L31" s="1741"/>
      <c r="M31" s="1741"/>
      <c r="N31" s="1742"/>
    </row>
    <row r="32" spans="1:21" x14ac:dyDescent="0.25">
      <c r="A32" s="1712" t="s">
        <v>134</v>
      </c>
      <c r="B32" s="1712"/>
      <c r="C32" s="1712"/>
      <c r="D32" s="1712"/>
      <c r="E32" s="2" t="s">
        <v>178</v>
      </c>
      <c r="F32" s="2" t="s">
        <v>163</v>
      </c>
      <c r="G32" s="1724"/>
      <c r="H32" s="1724"/>
      <c r="I32" s="1724"/>
      <c r="J32" s="1724"/>
    </row>
    <row r="33" spans="1:11" x14ac:dyDescent="0.25">
      <c r="A33" s="335"/>
      <c r="B33" s="335"/>
      <c r="C33" s="335"/>
      <c r="D33" s="335"/>
    </row>
    <row r="34" spans="1:11" x14ac:dyDescent="0.25">
      <c r="A34" s="1712" t="s">
        <v>3386</v>
      </c>
      <c r="B34" s="1712"/>
      <c r="C34" s="1712"/>
      <c r="D34" s="1712"/>
      <c r="E34" s="2" t="s">
        <v>3390</v>
      </c>
      <c r="F34" s="2" t="s">
        <v>3387</v>
      </c>
      <c r="G34" s="1724"/>
      <c r="H34" s="1724"/>
      <c r="I34" s="1724"/>
    </row>
    <row r="35" spans="1:11" x14ac:dyDescent="0.25">
      <c r="A35" s="1712" t="s">
        <v>3393</v>
      </c>
      <c r="B35" s="1712"/>
      <c r="C35" s="1712"/>
      <c r="D35" s="1712"/>
      <c r="E35" s="267" t="s">
        <v>3391</v>
      </c>
      <c r="F35" s="267" t="s">
        <v>3388</v>
      </c>
      <c r="G35" s="1714"/>
      <c r="H35" s="1714"/>
      <c r="I35" s="1714"/>
    </row>
    <row r="36" spans="1:11" x14ac:dyDescent="0.25">
      <c r="A36" s="1712" t="s">
        <v>3394</v>
      </c>
      <c r="B36" s="1712"/>
      <c r="C36" s="1712"/>
      <c r="D36" s="1712"/>
      <c r="E36" s="267" t="s">
        <v>3392</v>
      </c>
      <c r="F36" s="267" t="s">
        <v>3389</v>
      </c>
      <c r="G36" s="1714"/>
      <c r="H36" s="1714"/>
      <c r="I36" s="1714"/>
    </row>
    <row r="37" spans="1:11" s="270" customFormat="1" x14ac:dyDescent="0.25">
      <c r="A37" s="1712" t="s">
        <v>4113</v>
      </c>
      <c r="B37" s="1712"/>
      <c r="C37" s="1712"/>
      <c r="D37" s="1712"/>
      <c r="E37" s="2" t="s">
        <v>179</v>
      </c>
      <c r="F37" s="2" t="s">
        <v>164</v>
      </c>
      <c r="G37" s="1721"/>
      <c r="H37" s="1722"/>
      <c r="I37" s="1723"/>
    </row>
    <row r="38" spans="1:11" s="270" customFormat="1" x14ac:dyDescent="0.25">
      <c r="A38" s="1712" t="s">
        <v>3404</v>
      </c>
      <c r="B38" s="1712"/>
      <c r="C38" s="1712"/>
      <c r="D38" s="1712"/>
      <c r="E38" s="269" t="s">
        <v>3405</v>
      </c>
      <c r="F38" s="269" t="s">
        <v>3406</v>
      </c>
      <c r="G38" s="1724"/>
      <c r="H38" s="1724"/>
      <c r="I38" s="1724"/>
      <c r="K38" s="325"/>
    </row>
    <row r="39" spans="1:11" s="268" customFormat="1" x14ac:dyDescent="0.25">
      <c r="A39" s="1712" t="s">
        <v>3395</v>
      </c>
      <c r="B39" s="1712"/>
      <c r="C39" s="1712"/>
      <c r="D39" s="1712"/>
      <c r="E39" s="267" t="s">
        <v>3398</v>
      </c>
      <c r="F39" s="267" t="s">
        <v>3399</v>
      </c>
      <c r="G39" s="1724"/>
      <c r="H39" s="1724"/>
      <c r="I39" s="1724"/>
    </row>
    <row r="40" spans="1:11" s="268" customFormat="1" x14ac:dyDescent="0.25">
      <c r="A40" s="1712" t="s">
        <v>3396</v>
      </c>
      <c r="B40" s="1712"/>
      <c r="C40" s="1712"/>
      <c r="D40" s="1712"/>
      <c r="E40" s="267" t="s">
        <v>3400</v>
      </c>
      <c r="F40" s="267" t="s">
        <v>3401</v>
      </c>
      <c r="G40" s="1721"/>
      <c r="H40" s="1722"/>
      <c r="I40" s="1723"/>
    </row>
    <row r="41" spans="1:11" s="268" customFormat="1" x14ac:dyDescent="0.25">
      <c r="A41" s="1712" t="s">
        <v>3397</v>
      </c>
      <c r="B41" s="1712"/>
      <c r="C41" s="1712"/>
      <c r="D41" s="1712"/>
      <c r="E41" s="267" t="s">
        <v>3402</v>
      </c>
      <c r="F41" s="267" t="s">
        <v>3403</v>
      </c>
      <c r="G41" s="1721"/>
      <c r="H41" s="1722"/>
      <c r="I41" s="1723"/>
    </row>
    <row r="42" spans="1:11" x14ac:dyDescent="0.25">
      <c r="A42" s="1712" t="s">
        <v>3407</v>
      </c>
      <c r="B42" s="1712"/>
      <c r="C42" s="1712"/>
      <c r="D42" s="1712"/>
      <c r="E42" s="269" t="s">
        <v>3408</v>
      </c>
      <c r="F42" s="269" t="s">
        <v>3409</v>
      </c>
      <c r="G42" s="1725"/>
      <c r="H42" s="1725"/>
    </row>
    <row r="43" spans="1:11" x14ac:dyDescent="0.25">
      <c r="A43" s="335"/>
      <c r="B43" s="335"/>
      <c r="C43" s="335"/>
      <c r="D43" s="335"/>
    </row>
    <row r="44" spans="1:11" s="325" customFormat="1" ht="15" customHeight="1" x14ac:dyDescent="0.25">
      <c r="A44" s="1712" t="s">
        <v>3525</v>
      </c>
      <c r="B44" s="1712"/>
      <c r="C44" s="1712"/>
      <c r="D44" s="1712"/>
      <c r="F44" s="331" t="s">
        <v>3527</v>
      </c>
      <c r="G44" s="324"/>
      <c r="H44" s="1726" t="s">
        <v>3529</v>
      </c>
      <c r="I44" s="1727"/>
      <c r="J44" s="1719" t="s">
        <v>4832</v>
      </c>
      <c r="K44" s="1720"/>
    </row>
    <row r="45" spans="1:11" s="325" customFormat="1" x14ac:dyDescent="0.25">
      <c r="A45" s="1712" t="s">
        <v>3521</v>
      </c>
      <c r="B45" s="1712"/>
      <c r="C45" s="1712"/>
      <c r="D45" s="1712"/>
      <c r="F45" s="331" t="s">
        <v>3523</v>
      </c>
      <c r="G45" s="557"/>
      <c r="H45" s="1728"/>
      <c r="I45" s="1729"/>
      <c r="J45" s="1719"/>
      <c r="K45" s="1720"/>
    </row>
    <row r="46" spans="1:11" s="325" customFormat="1" x14ac:dyDescent="0.25">
      <c r="A46" s="1712" t="s">
        <v>3526</v>
      </c>
      <c r="B46" s="1712"/>
      <c r="C46" s="1712"/>
      <c r="D46" s="1712"/>
      <c r="F46" s="331" t="s">
        <v>3528</v>
      </c>
      <c r="G46" s="324"/>
      <c r="H46" s="1728"/>
      <c r="I46" s="1729"/>
      <c r="J46" s="1719"/>
      <c r="K46" s="1720"/>
    </row>
    <row r="47" spans="1:11" s="325" customFormat="1" x14ac:dyDescent="0.25">
      <c r="A47" s="1712" t="s">
        <v>3522</v>
      </c>
      <c r="B47" s="1712"/>
      <c r="C47" s="1712"/>
      <c r="D47" s="1712"/>
      <c r="F47" s="331" t="s">
        <v>3524</v>
      </c>
      <c r="G47" s="557"/>
      <c r="H47" s="1730"/>
      <c r="I47" s="1731"/>
      <c r="J47" s="1719"/>
      <c r="K47" s="1720"/>
    </row>
    <row r="48" spans="1:11" x14ac:dyDescent="0.25">
      <c r="A48" s="1712" t="s">
        <v>135</v>
      </c>
      <c r="B48" s="1712"/>
      <c r="C48" s="1712"/>
      <c r="D48" s="1712"/>
      <c r="E48" s="2" t="s">
        <v>180</v>
      </c>
      <c r="F48" s="2" t="s">
        <v>165</v>
      </c>
      <c r="G48" s="1714"/>
      <c r="H48" s="1732"/>
      <c r="I48" s="17"/>
      <c r="J48" s="1087"/>
    </row>
    <row r="49" spans="1:10" x14ac:dyDescent="0.25">
      <c r="A49" s="1712" t="s">
        <v>136</v>
      </c>
      <c r="B49" s="1712"/>
      <c r="C49" s="1712"/>
      <c r="D49" s="1712"/>
      <c r="E49" s="2" t="s">
        <v>181</v>
      </c>
      <c r="F49" s="2" t="s">
        <v>166</v>
      </c>
      <c r="G49" s="1714"/>
      <c r="H49" s="1714"/>
      <c r="I49" s="1714"/>
    </row>
    <row r="50" spans="1:10" x14ac:dyDescent="0.25">
      <c r="A50" s="1712" t="s">
        <v>137</v>
      </c>
      <c r="B50" s="1712"/>
      <c r="C50" s="1712"/>
      <c r="D50" s="1712"/>
      <c r="E50" s="2" t="s">
        <v>182</v>
      </c>
      <c r="F50" s="2" t="s">
        <v>167</v>
      </c>
      <c r="G50" s="1724"/>
      <c r="H50" s="1724"/>
      <c r="I50" s="17"/>
    </row>
    <row r="51" spans="1:10" x14ac:dyDescent="0.25">
      <c r="A51" s="1712" t="s">
        <v>138</v>
      </c>
      <c r="B51" s="1712"/>
      <c r="C51" s="1712"/>
      <c r="D51" s="1712"/>
      <c r="E51" s="2" t="s">
        <v>183</v>
      </c>
      <c r="F51" s="2" t="s">
        <v>168</v>
      </c>
      <c r="G51" s="11"/>
    </row>
    <row r="52" spans="1:10" x14ac:dyDescent="0.25">
      <c r="A52" s="1712" t="s">
        <v>139</v>
      </c>
      <c r="B52" s="1712"/>
      <c r="C52" s="1712"/>
      <c r="D52" s="1712"/>
      <c r="E52" s="2" t="s">
        <v>184</v>
      </c>
      <c r="F52" s="2" t="s">
        <v>169</v>
      </c>
      <c r="G52" s="11"/>
    </row>
    <row r="53" spans="1:10" x14ac:dyDescent="0.25">
      <c r="A53" s="1749"/>
      <c r="B53" s="1749"/>
      <c r="C53" s="1749"/>
      <c r="D53" s="1749"/>
      <c r="E53" s="2"/>
      <c r="F53" s="2"/>
      <c r="G53" s="5"/>
    </row>
    <row r="54" spans="1:10" x14ac:dyDescent="0.25">
      <c r="A54" s="1712" t="s">
        <v>140</v>
      </c>
      <c r="B54" s="1712"/>
      <c r="C54" s="1712"/>
      <c r="D54" s="627"/>
      <c r="E54" s="2"/>
      <c r="F54" s="2"/>
      <c r="G54" s="5"/>
    </row>
    <row r="55" spans="1:10" x14ac:dyDescent="0.25">
      <c r="A55" s="1712" t="s">
        <v>141</v>
      </c>
      <c r="B55" s="1712"/>
      <c r="C55" s="1712"/>
      <c r="D55" s="1712"/>
      <c r="E55" s="2" t="s">
        <v>185</v>
      </c>
      <c r="F55" s="2" t="s">
        <v>170</v>
      </c>
      <c r="G55" s="12"/>
    </row>
    <row r="56" spans="1:10" x14ac:dyDescent="0.25">
      <c r="A56" s="1712" t="s">
        <v>142</v>
      </c>
      <c r="B56" s="1712"/>
      <c r="C56" s="1712"/>
      <c r="D56" s="1712"/>
      <c r="E56" s="2" t="s">
        <v>186</v>
      </c>
      <c r="F56" s="2" t="s">
        <v>171</v>
      </c>
      <c r="G56" s="11"/>
    </row>
    <row r="57" spans="1:10" s="9" customFormat="1" x14ac:dyDescent="0.25">
      <c r="A57" s="1712" t="s">
        <v>143</v>
      </c>
      <c r="B57" s="1712"/>
      <c r="C57" s="1712"/>
      <c r="D57" s="1712"/>
      <c r="E57" s="5" t="s">
        <v>187</v>
      </c>
      <c r="F57" s="5" t="s">
        <v>172</v>
      </c>
      <c r="G57" s="11"/>
    </row>
    <row r="58" spans="1:10" s="9" customFormat="1" x14ac:dyDescent="0.25">
      <c r="A58" s="1751" t="s">
        <v>235</v>
      </c>
      <c r="B58" s="1751"/>
      <c r="C58" s="1751"/>
      <c r="D58" s="1751"/>
      <c r="E58" s="5" t="s">
        <v>239</v>
      </c>
      <c r="F58" s="5" t="s">
        <v>237</v>
      </c>
      <c r="G58" s="11"/>
    </row>
    <row r="59" spans="1:10" ht="14.45" customHeight="1" x14ac:dyDescent="0.25">
      <c r="A59" s="1752" t="s">
        <v>236</v>
      </c>
      <c r="B59" s="1752"/>
      <c r="C59" s="1752"/>
      <c r="D59" s="1752"/>
      <c r="E59" s="2" t="s">
        <v>240</v>
      </c>
      <c r="F59" s="2" t="s">
        <v>238</v>
      </c>
      <c r="G59" s="11"/>
    </row>
    <row r="60" spans="1:10" x14ac:dyDescent="0.25">
      <c r="A60" s="1749"/>
      <c r="B60" s="1749"/>
      <c r="C60" s="1749"/>
      <c r="D60" s="1749"/>
      <c r="E60" s="2"/>
      <c r="F60" s="2"/>
      <c r="G60" s="5"/>
    </row>
    <row r="61" spans="1:10" x14ac:dyDescent="0.25">
      <c r="A61" s="1712" t="s">
        <v>144</v>
      </c>
      <c r="B61" s="1712"/>
      <c r="C61" s="1712"/>
      <c r="D61" s="1712"/>
      <c r="E61" s="2" t="s">
        <v>188</v>
      </c>
      <c r="F61" s="2" t="s">
        <v>173</v>
      </c>
      <c r="G61" s="1714"/>
      <c r="H61" s="1714"/>
    </row>
    <row r="62" spans="1:10" x14ac:dyDescent="0.25">
      <c r="A62" s="1712" t="s">
        <v>145</v>
      </c>
      <c r="B62" s="1712"/>
      <c r="C62" s="1712"/>
      <c r="D62" s="1712"/>
      <c r="E62" s="2" t="str">
        <f>IF($G$18=INDEX(ddSingleOrMulti,2),"ddBuildingCodeMF","ddBuildingCode")</f>
        <v>ddBuildingCode</v>
      </c>
      <c r="F62" s="2" t="s">
        <v>174</v>
      </c>
      <c r="G62" s="1714"/>
      <c r="H62" s="1714"/>
    </row>
    <row r="63" spans="1:10" s="323" customFormat="1" x14ac:dyDescent="0.25">
      <c r="A63" s="625"/>
      <c r="B63" s="625"/>
      <c r="C63" s="625"/>
      <c r="D63" s="625"/>
      <c r="E63" s="322"/>
      <c r="F63" s="322"/>
      <c r="G63"/>
      <c r="H63"/>
    </row>
    <row r="64" spans="1:10" s="323" customFormat="1" x14ac:dyDescent="0.25">
      <c r="A64" s="1712" t="s">
        <v>3953</v>
      </c>
      <c r="B64" s="1712"/>
      <c r="C64" s="1712"/>
      <c r="D64" s="1712"/>
      <c r="E64" s="322"/>
      <c r="F64" s="772" t="s">
        <v>4097</v>
      </c>
      <c r="G64" s="1714"/>
      <c r="H64" s="1714"/>
      <c r="I64" s="1714"/>
      <c r="J64" s="1714"/>
    </row>
    <row r="66" spans="1:21" ht="18.75" x14ac:dyDescent="0.3">
      <c r="A66" s="1696" t="s">
        <v>4063</v>
      </c>
      <c r="B66" s="1696"/>
      <c r="C66" s="1696"/>
      <c r="D66" s="1696"/>
      <c r="E66" s="1696"/>
      <c r="F66" s="1696"/>
      <c r="G66" s="1696"/>
      <c r="H66" s="1696"/>
      <c r="I66" s="1696"/>
      <c r="J66" s="1696"/>
      <c r="K66" s="1696"/>
      <c r="L66" s="1696"/>
      <c r="M66" s="1696"/>
      <c r="N66" s="1696"/>
      <c r="O66" s="1696"/>
      <c r="P66" s="1696"/>
      <c r="Q66" s="1696"/>
      <c r="R66" s="1696"/>
      <c r="S66" s="1696"/>
      <c r="T66" s="1696"/>
      <c r="U66" s="1696"/>
    </row>
  </sheetData>
  <sheetProtection algorithmName="SHA-512" hashValue="bUpf18Cyxq19CZZS59vlEzSgjkOIv3ivrE/cWh96q7ZW0Tvconnef6OkdtSwA/QXDdTjfS7tqqBd5sGHvQYS3w==" saltValue="oHmsU95s4ZGzojXk9vYvSw==" spinCount="100000" sheet="1" objects="1" scenarios="1" selectLockedCells="1"/>
  <mergeCells count="82">
    <mergeCell ref="A8:D8"/>
    <mergeCell ref="G62:H62"/>
    <mergeCell ref="G50:H50"/>
    <mergeCell ref="A57:D57"/>
    <mergeCell ref="A58:D58"/>
    <mergeCell ref="A62:D62"/>
    <mergeCell ref="A60:D60"/>
    <mergeCell ref="A53:D53"/>
    <mergeCell ref="A59:D59"/>
    <mergeCell ref="A61:D61"/>
    <mergeCell ref="A54:C54"/>
    <mergeCell ref="A55:D55"/>
    <mergeCell ref="A56:D56"/>
    <mergeCell ref="A51:D51"/>
    <mergeCell ref="A52:D52"/>
    <mergeCell ref="A17:D17"/>
    <mergeCell ref="A18:D18"/>
    <mergeCell ref="A30:D30"/>
    <mergeCell ref="A32:D32"/>
    <mergeCell ref="A23:D23"/>
    <mergeCell ref="A25:D25"/>
    <mergeCell ref="A29:D29"/>
    <mergeCell ref="A24:D24"/>
    <mergeCell ref="A26:D26"/>
    <mergeCell ref="A28:D28"/>
    <mergeCell ref="A34:D34"/>
    <mergeCell ref="A35:D35"/>
    <mergeCell ref="A36:D36"/>
    <mergeCell ref="A20:D22"/>
    <mergeCell ref="G38:I38"/>
    <mergeCell ref="A27:D27"/>
    <mergeCell ref="G30:N31"/>
    <mergeCell ref="G23:J23"/>
    <mergeCell ref="I25:N26"/>
    <mergeCell ref="G32:J32"/>
    <mergeCell ref="G34:I34"/>
    <mergeCell ref="G35:I35"/>
    <mergeCell ref="G10:J10"/>
    <mergeCell ref="G12:J12"/>
    <mergeCell ref="G13:J13"/>
    <mergeCell ref="G14:J14"/>
    <mergeCell ref="G15:J15"/>
    <mergeCell ref="G64:J64"/>
    <mergeCell ref="A64:D64"/>
    <mergeCell ref="G61:H61"/>
    <mergeCell ref="A48:D48"/>
    <mergeCell ref="A49:D49"/>
    <mergeCell ref="A50:D50"/>
    <mergeCell ref="G49:I49"/>
    <mergeCell ref="G48:H48"/>
    <mergeCell ref="J44:K47"/>
    <mergeCell ref="G36:I36"/>
    <mergeCell ref="G37:I37"/>
    <mergeCell ref="A38:D38"/>
    <mergeCell ref="G40:I40"/>
    <mergeCell ref="G41:I41"/>
    <mergeCell ref="A41:D41"/>
    <mergeCell ref="A45:D45"/>
    <mergeCell ref="A46:D46"/>
    <mergeCell ref="A47:D47"/>
    <mergeCell ref="A37:D37"/>
    <mergeCell ref="G39:I39"/>
    <mergeCell ref="A39:D39"/>
    <mergeCell ref="A40:D40"/>
    <mergeCell ref="G42:H42"/>
    <mergeCell ref="H44:I47"/>
    <mergeCell ref="A42:D42"/>
    <mergeCell ref="A44:D44"/>
    <mergeCell ref="A66:U66"/>
    <mergeCell ref="A1:C5"/>
    <mergeCell ref="D1:U5"/>
    <mergeCell ref="A19:D19"/>
    <mergeCell ref="G11:J11"/>
    <mergeCell ref="G18:H18"/>
    <mergeCell ref="A10:D10"/>
    <mergeCell ref="A11:D11"/>
    <mergeCell ref="A12:D12"/>
    <mergeCell ref="A13:D13"/>
    <mergeCell ref="A14:D14"/>
    <mergeCell ref="A15:D15"/>
    <mergeCell ref="A16:D16"/>
    <mergeCell ref="L10:M10"/>
  </mergeCells>
  <conditionalFormatting sqref="G18:H18">
    <cfRule type="expression" dxfId="5916" priority="53">
      <formula>LEN(TRIM($G$18:$H$18))&gt;0</formula>
    </cfRule>
  </conditionalFormatting>
  <conditionalFormatting sqref="G32">
    <cfRule type="expression" dxfId="5915" priority="52">
      <formula>LEN(TRIM($G$32:$I$32))&gt;0</formula>
    </cfRule>
  </conditionalFormatting>
  <conditionalFormatting sqref="G34">
    <cfRule type="expression" dxfId="5914" priority="51">
      <formula>LEN(TRIM($G$34:$H$34))&gt;0</formula>
    </cfRule>
  </conditionalFormatting>
  <conditionalFormatting sqref="G35">
    <cfRule type="expression" dxfId="5913" priority="50">
      <formula>LEN(TRIM($G$35:$H$35))&gt;0</formula>
    </cfRule>
  </conditionalFormatting>
  <conditionalFormatting sqref="G32:J32">
    <cfRule type="expression" dxfId="5912" priority="49">
      <formula>LEN(TRIM($G$32:$J$32))&gt;0</formula>
    </cfRule>
  </conditionalFormatting>
  <conditionalFormatting sqref="G34:I34">
    <cfRule type="expression" dxfId="5911" priority="48">
      <formula>LEN(TRIM($G$34:$I$34))&gt;0</formula>
    </cfRule>
  </conditionalFormatting>
  <conditionalFormatting sqref="G35:I35">
    <cfRule type="expression" dxfId="5910" priority="47">
      <formula>LEN(TRIM($G$35:$I$35))&gt;0</formula>
    </cfRule>
  </conditionalFormatting>
  <conditionalFormatting sqref="G36:I36">
    <cfRule type="expression" dxfId="5909" priority="46">
      <formula>LEN(TRIM($G$36:$I$36))&gt;0</formula>
    </cfRule>
  </conditionalFormatting>
  <conditionalFormatting sqref="G37:H37">
    <cfRule type="expression" dxfId="5908" priority="45">
      <formula>LEN(TRIM($G$37:$H$37))&gt;0</formula>
    </cfRule>
  </conditionalFormatting>
  <conditionalFormatting sqref="G48:H48">
    <cfRule type="expression" dxfId="5907" priority="44">
      <formula>LEN(TRIM($G$48:$H$48))&gt;0</formula>
    </cfRule>
  </conditionalFormatting>
  <conditionalFormatting sqref="G49">
    <cfRule type="expression" dxfId="5906" priority="43">
      <formula>LEN(TRIM($G$49:$H$49))&gt;0</formula>
    </cfRule>
  </conditionalFormatting>
  <conditionalFormatting sqref="G49:I49">
    <cfRule type="expression" dxfId="5905" priority="42">
      <formula>LEN(TRIM($G$49:$I$49))&gt;0</formula>
    </cfRule>
  </conditionalFormatting>
  <conditionalFormatting sqref="G50:H50">
    <cfRule type="expression" dxfId="5904" priority="41">
      <formula>LEN(TRIM($G$50:$H$50))&gt;0</formula>
    </cfRule>
  </conditionalFormatting>
  <conditionalFormatting sqref="G51">
    <cfRule type="expression" dxfId="5903" priority="40">
      <formula>LEN(TRIM($G$51))&gt;0</formula>
    </cfRule>
  </conditionalFormatting>
  <conditionalFormatting sqref="G52">
    <cfRule type="expression" dxfId="5902" priority="39">
      <formula>LEN(TRIM($G$52))&gt;0</formula>
    </cfRule>
  </conditionalFormatting>
  <conditionalFormatting sqref="G56">
    <cfRule type="expression" dxfId="5901" priority="37">
      <formula>LEN(TRIM($G$56))&gt;0</formula>
    </cfRule>
  </conditionalFormatting>
  <conditionalFormatting sqref="G57">
    <cfRule type="expression" dxfId="5900" priority="35">
      <formula>LEN(TRIM($G$57))&gt;0</formula>
    </cfRule>
  </conditionalFormatting>
  <conditionalFormatting sqref="G58">
    <cfRule type="expression" dxfId="5899" priority="34">
      <formula>LEN(TRIM($G$58))&gt;0</formula>
    </cfRule>
  </conditionalFormatting>
  <conditionalFormatting sqref="G59">
    <cfRule type="expression" dxfId="5898" priority="33">
      <formula>LEN(TRIM($G$59))&gt;0</formula>
    </cfRule>
  </conditionalFormatting>
  <conditionalFormatting sqref="G61:H61">
    <cfRule type="expression" dxfId="5897" priority="32">
      <formula>LEN(TRIM($G$61:$H$61))&gt;0</formula>
    </cfRule>
  </conditionalFormatting>
  <conditionalFormatting sqref="G62:H62">
    <cfRule type="expression" dxfId="5896" priority="31">
      <formula>LEN(TRIM($G$62:$H$62))&gt;0</formula>
    </cfRule>
  </conditionalFormatting>
  <conditionalFormatting sqref="G62:H62">
    <cfRule type="expression" dxfId="5895" priority="30">
      <formula>LEN(TRIM($G$62:$H$62))&gt;0</formula>
    </cfRule>
  </conditionalFormatting>
  <conditionalFormatting sqref="G55">
    <cfRule type="expression" dxfId="5894" priority="29">
      <formula>LEN(TRIM($G$55))&gt;0</formula>
    </cfRule>
  </conditionalFormatting>
  <conditionalFormatting sqref="G19">
    <cfRule type="expression" dxfId="5893" priority="23">
      <formula>AND($G$18&lt;&gt;INDEX(INDIRECT($E$18),2),LEN(TRIM($G$19))&gt;0)</formula>
    </cfRule>
  </conditionalFormatting>
  <conditionalFormatting sqref="G16 G18:G19 G25:G28 G30 G61:G62 G10:J13 G48:G52 G34:G41 G55:G59 G32 G23">
    <cfRule type="notContainsBlanks" dxfId="5892" priority="1">
      <formula>LEN(TRIM(G10))&gt;0</formula>
    </cfRule>
  </conditionalFormatting>
  <conditionalFormatting sqref="G23:J23">
    <cfRule type="expression" dxfId="5891" priority="26">
      <formula>AND($G$18&lt;&gt;INDEX(INDIRECT($E$18),2),LEN(TRIM($G$23))&gt;0)</formula>
    </cfRule>
  </conditionalFormatting>
  <conditionalFormatting sqref="G15:J15">
    <cfRule type="expression" dxfId="5890" priority="25">
      <formula>$M$15&lt;&gt;"!!"</formula>
    </cfRule>
  </conditionalFormatting>
  <conditionalFormatting sqref="G64:J64">
    <cfRule type="notContainsBlanks" dxfId="5889" priority="22">
      <formula>LEN(TRIM(G64))&gt;0</formula>
    </cfRule>
  </conditionalFormatting>
  <conditionalFormatting sqref="G42">
    <cfRule type="expression" dxfId="5888" priority="21">
      <formula>LEN(TRIM($G$37:$H$37))&gt;0</formula>
    </cfRule>
  </conditionalFormatting>
  <conditionalFormatting sqref="G42">
    <cfRule type="notContainsBlanks" dxfId="5887" priority="20">
      <formula>LEN(TRIM(G42))&gt;0</formula>
    </cfRule>
  </conditionalFormatting>
  <conditionalFormatting sqref="G42:H42">
    <cfRule type="expression" dxfId="5886" priority="19">
      <formula>OR(AND(G42=INDEX(INDIRECT(E42),3),OR(AND(NOT(ISBLANK(G39)),NOT(G39=INDEX(INDIRECT(E39),6))),AND(NOT(ISBLANK(G40)),NOT(G40=INDEX(INDIRECT(E40),6))),AND(NOT(ISBLANK(G41)),NOT(G41=INDEX(INDIRECT(E41),6))))),AND(OR(G42=INDEX(INDIRECT(E42),1),G42=INDEX(INDIRECT(E42),2)),AND(OR(ISBLANK(G39),G39=INDEX(INDIRECT(E39),6)),OR(ISBLANK(G40),G40=INDEX(INDIRECT(E40),6)),OR(ISBLANK(G41),G41=INDEX(INDIRECT(E41),6)))))</formula>
    </cfRule>
  </conditionalFormatting>
  <conditionalFormatting sqref="G38:I38">
    <cfRule type="expression" dxfId="5885" priority="18">
      <formula>OR(AND(G38=INDEX(INDIRECT(E38),3),OR(AND(NOT(ISBLANK(G34)),NOT(G34=INDEX(INDIRECT(E34),8))),AND(NOT(ISBLANK(G35)),NOT(G35=INDEX(INDIRECT(E35),8))),AND(NOT(ISBLANK(G36)),NOT(G36=INDEX(INDIRECT(E36),8))))),AND(OR(G38=INDEX(INDIRECT(E38),1),G38=INDEX(INDIRECT(E38),2)),AND(OR(ISBLANK(G34),G34=INDEX(INDIRECT(E34),8)),OR(ISBLANK(G35),G35=INDEX(INDIRECT(E35),8)),OR(ISBLANK(G36),G36=INDEX(INDIRECT(E36),8)))))</formula>
    </cfRule>
  </conditionalFormatting>
  <conditionalFormatting sqref="G44">
    <cfRule type="notContainsBlanks" dxfId="5884" priority="17">
      <formula>LEN(TRIM(G44))&gt;0</formula>
    </cfRule>
  </conditionalFormatting>
  <conditionalFormatting sqref="G45">
    <cfRule type="notContainsBlanks" dxfId="5883" priority="16">
      <formula>LEN(TRIM(G45))&gt;0</formula>
    </cfRule>
  </conditionalFormatting>
  <conditionalFormatting sqref="G46">
    <cfRule type="notContainsBlanks" dxfId="5882" priority="15">
      <formula>LEN(TRIM(G46))&gt;0</formula>
    </cfRule>
  </conditionalFormatting>
  <conditionalFormatting sqref="G47">
    <cfRule type="notContainsBlanks" dxfId="5881" priority="13">
      <formula>LEN(TRIM(G47))&gt;0</formula>
    </cfRule>
  </conditionalFormatting>
  <conditionalFormatting sqref="G19 G23">
    <cfRule type="expression" dxfId="5880" priority="28">
      <formula>IF($G$18=INDEX(ddSingleOrMulti,2),TRUE,FALSE)</formula>
    </cfRule>
  </conditionalFormatting>
  <conditionalFormatting sqref="A19:D19">
    <cfRule type="expression" dxfId="5879" priority="71">
      <formula>IF($G$18=INDEX(ddSingleOrMulti,2),TRUE,FALSE)</formula>
    </cfRule>
  </conditionalFormatting>
  <conditionalFormatting sqref="A23:D23">
    <cfRule type="expression" dxfId="5878" priority="70">
      <formula>IF($G$18=INDEX(ddSingleOrMulti,2),TRUE,FALSE)</formula>
    </cfRule>
  </conditionalFormatting>
  <conditionalFormatting sqref="G19">
    <cfRule type="expression" dxfId="5877" priority="68">
      <formula>NOT($G$18=INDEX(ddSingleOrMulti,2))</formula>
    </cfRule>
  </conditionalFormatting>
  <conditionalFormatting sqref="G23">
    <cfRule type="expression" dxfId="5876" priority="67">
      <formula>NOT($G$18=INDEX(ddSingleOrMulti,2))</formula>
    </cfRule>
  </conditionalFormatting>
  <conditionalFormatting sqref="G8">
    <cfRule type="expression" dxfId="5875" priority="11">
      <formula>LEN($G$8)&gt;0</formula>
    </cfRule>
  </conditionalFormatting>
  <conditionalFormatting sqref="A20:D21">
    <cfRule type="expression" dxfId="5874" priority="8">
      <formula>IF($G$18=INDEX(ddSingleOrMulti,2),TRUE,FALSE)</formula>
    </cfRule>
  </conditionalFormatting>
  <conditionalFormatting sqref="G20">
    <cfRule type="expression" dxfId="5873" priority="2">
      <formula>AND($G$18&lt;&gt;INDEX(INDIRECT($E$18),2),LEN(TRIM(G20))&gt;0)</formula>
    </cfRule>
  </conditionalFormatting>
  <conditionalFormatting sqref="G20">
    <cfRule type="notContainsBlanks" dxfId="5872" priority="3">
      <formula>LEN(TRIM(G20))&gt;0</formula>
    </cfRule>
  </conditionalFormatting>
  <conditionalFormatting sqref="G20">
    <cfRule type="expression" dxfId="5871" priority="5">
      <formula>NOT($G$18=INDEX(ddSingleOrMulti,2))</formula>
    </cfRule>
  </conditionalFormatting>
  <conditionalFormatting sqref="G28">
    <cfRule type="expression" dxfId="5870" priority="27">
      <formula>$P$11="Tropical"</formula>
    </cfRule>
  </conditionalFormatting>
  <dataValidations count="29">
    <dataValidation type="list" allowBlank="1" showInputMessage="1" showErrorMessage="1" error="Please use the dropdown." sqref="G18:H18" xr:uid="{00000000-0002-0000-0100-000000000000}">
      <formula1>INDIRECT($E$18)</formula1>
    </dataValidation>
    <dataValidation type="list" allowBlank="1" showInputMessage="1" showErrorMessage="1" error="Please use the dropdown." sqref="G32:J32" xr:uid="{00000000-0002-0000-0100-000001000000}">
      <formula1>INDIRECT($E$32)</formula1>
    </dataValidation>
    <dataValidation type="list" allowBlank="1" showInputMessage="1" showErrorMessage="1" error="Please use the dropdown." sqref="G34:I34" xr:uid="{00000000-0002-0000-0100-000002000000}">
      <formula1>INDIRECT($E$34)</formula1>
    </dataValidation>
    <dataValidation type="list" allowBlank="1" showInputMessage="1" showErrorMessage="1" error="Please use the dropdown." sqref="G35:I35" xr:uid="{00000000-0002-0000-0100-000003000000}">
      <formula1>INDIRECT($E$35)</formula1>
    </dataValidation>
    <dataValidation type="list" allowBlank="1" showInputMessage="1" showErrorMessage="1" error="Please use the dropdown." sqref="G36:I36" xr:uid="{00000000-0002-0000-0100-000004000000}">
      <formula1>INDIRECT($E$36)</formula1>
    </dataValidation>
    <dataValidation type="list" allowBlank="1" showInputMessage="1" showErrorMessage="1" error="Please use the dropdown." sqref="G37:I37" xr:uid="{00000000-0002-0000-0100-000005000000}">
      <formula1>INDIRECT($E$37)</formula1>
    </dataValidation>
    <dataValidation type="list" allowBlank="1" showInputMessage="1" showErrorMessage="1" error="Please use the dropdown." sqref="G48:H48" xr:uid="{00000000-0002-0000-0100-000006000000}">
      <formula1>INDIRECT($E$48)</formula1>
    </dataValidation>
    <dataValidation type="list" allowBlank="1" showInputMessage="1" showErrorMessage="1" error="Please use the dropdown." sqref="G49:I49" xr:uid="{00000000-0002-0000-0100-000007000000}">
      <formula1>INDIRECT($E$49)</formula1>
    </dataValidation>
    <dataValidation type="list" allowBlank="1" showInputMessage="1" showErrorMessage="1" error="Please use the dropdown." sqref="G50:H50" xr:uid="{00000000-0002-0000-0100-000008000000}">
      <formula1>INDIRECT($E$50)</formula1>
    </dataValidation>
    <dataValidation type="list" allowBlank="1" showInputMessage="1" showErrorMessage="1" error="Please use the dropdown." sqref="G51" xr:uid="{00000000-0002-0000-0100-000009000000}">
      <formula1>INDIRECT($E$51)</formula1>
    </dataValidation>
    <dataValidation type="list" allowBlank="1" showInputMessage="1" showErrorMessage="1" error="Please use the dropdown." sqref="G52" xr:uid="{00000000-0002-0000-0100-00000A000000}">
      <formula1>INDIRECT($E$52)</formula1>
    </dataValidation>
    <dataValidation type="list" allowBlank="1" showInputMessage="1" showErrorMessage="1" error="Please use the dropdown." sqref="G56" xr:uid="{00000000-0002-0000-0100-00000B000000}">
      <formula1>INDIRECT($E$56)</formula1>
    </dataValidation>
    <dataValidation type="list" allowBlank="1" showInputMessage="1" showErrorMessage="1" error="Please use the dropdown." sqref="G57" xr:uid="{00000000-0002-0000-0100-00000D000000}">
      <formula1>INDIRECT($E$57)</formula1>
    </dataValidation>
    <dataValidation type="list" allowBlank="1" showInputMessage="1" showErrorMessage="1" error="Please use the dropdown." sqref="G58" xr:uid="{00000000-0002-0000-0100-00000E000000}">
      <formula1>INDIRECT($E$58)</formula1>
    </dataValidation>
    <dataValidation type="list" allowBlank="1" showInputMessage="1" showErrorMessage="1" error="Please use the dropdown." sqref="G59" xr:uid="{00000000-0002-0000-0100-00000F000000}">
      <formula1>INDIRECT($E$59)</formula1>
    </dataValidation>
    <dataValidation type="list" allowBlank="1" showInputMessage="1" showErrorMessage="1" error="Please use the dropdown." sqref="G61:H61" xr:uid="{00000000-0002-0000-0100-000010000000}">
      <formula1>INDIRECT($E$61)</formula1>
    </dataValidation>
    <dataValidation type="list" allowBlank="1" showInputMessage="1" showErrorMessage="1" error="Please use the dropdown." sqref="G62:H62" xr:uid="{00000000-0002-0000-0100-000011000000}">
      <formula1>INDIRECT($E$62)</formula1>
    </dataValidation>
    <dataValidation type="list" allowBlank="1" showInputMessage="1" showErrorMessage="1" error="Please use the dropdown." sqref="G55" xr:uid="{00000000-0002-0000-0100-000012000000}">
      <formula1>INDIRECT($E$55)</formula1>
    </dataValidation>
    <dataValidation type="whole" allowBlank="1" showInputMessage="1" showErrorMessage="1" error="Must enter a whole number." sqref="G19" xr:uid="{00000000-0002-0000-0100-000013000000}">
      <formula1>0</formula1>
      <formula2>100000000000</formula2>
    </dataValidation>
    <dataValidation type="whole" allowBlank="1" showInputMessage="1" showErrorMessage="1" error="Enter a whole number between 1 and 1000." prompt="Enter the number of stories above grade." sqref="G27" xr:uid="{00000000-0002-0000-0100-000014000000}">
      <formula1>1</formula1>
      <formula2>1000</formula2>
    </dataValidation>
    <dataValidation type="list" allowBlank="1" showInputMessage="1" showErrorMessage="1" error="Please use the dropdown." sqref="G38:I38 G42:H42" xr:uid="{00000000-0002-0000-0100-000015000000}">
      <formula1>INDIRECT(E38)</formula1>
    </dataValidation>
    <dataValidation type="decimal" allowBlank="1" showInputMessage="1" showErrorMessage="1" error="Enter a decimal between 0 and 1." prompt="Enter the SHGC value." sqref="G44:G45" xr:uid="{00000000-0002-0000-0100-000016000000}">
      <formula1>0</formula1>
      <formula2>1</formula2>
    </dataValidation>
    <dataValidation type="decimal" allowBlank="1" showInputMessage="1" showErrorMessage="1" error="Enter a decimal between 0 and 1." prompt="Enter the U-value." sqref="G46:G47" xr:uid="{00000000-0002-0000-0100-000017000000}">
      <formula1>0</formula1>
      <formula2>1</formula2>
    </dataValidation>
    <dataValidation type="list" allowBlank="1" showInputMessage="1" showErrorMessage="1" error="Please use the dropdown." sqref="G39:I39" xr:uid="{00000000-0002-0000-0100-000018000000}">
      <formula1>INDIRECT($E$39)</formula1>
    </dataValidation>
    <dataValidation type="list" allowBlank="1" showInputMessage="1" showErrorMessage="1" error="Please use the dropdown." sqref="G40:I40" xr:uid="{00000000-0002-0000-0100-000019000000}">
      <formula1>INDIRECT($E$40)</formula1>
    </dataValidation>
    <dataValidation type="list" allowBlank="1" showInputMessage="1" showErrorMessage="1" error="Please use the dropdown." sqref="G41:I41" xr:uid="{00000000-0002-0000-0100-00001A000000}">
      <formula1>INDIRECT($E$41)</formula1>
    </dataValidation>
    <dataValidation type="list" allowBlank="1" showDropDown="1" showInputMessage="1" showErrorMessage="1" sqref="G8" xr:uid="{319994CC-422E-463F-B890-32E211949A65}">
      <formula1>"TofF"</formula1>
    </dataValidation>
    <dataValidation type="list" allowBlank="1" showInputMessage="1" showErrorMessage="1" error="Must enter a whole number." sqref="G20" xr:uid="{C8849DE4-CDD8-41A8-83CC-22A12E600E53}">
      <formula1>INDIRECT(E20)</formula1>
    </dataValidation>
    <dataValidation type="whole" allowBlank="1" showInputMessage="1" showErrorMessage="1" error="Enter a whole number." prompt="Enter the elevation above sea level." sqref="G28" xr:uid="{2C9F22D2-F050-4CC6-9C20-773E1A1A6AC0}">
      <formula1>1</formula1>
      <formula2>100000</formula2>
    </dataValidation>
  </dataValidations>
  <hyperlinks>
    <hyperlink ref="A66:G66" location="'Ch5'!A1" display="CLICK TO PROCEED TO CHAPTER 5 &gt;&gt;" xr:uid="{00000000-0004-0000-0100-000000000000}"/>
    <hyperlink ref="J44:J48" location="'Tables 703.2.5.2(a), (b) &amp; (c)'!A1" display="'Tables 703.2.5.2(a), (b) &amp; (c)'!A1" xr:uid="{C0355575-E609-4BFB-9128-79DC116367F1}"/>
  </hyperlinks>
  <pageMargins left="0.7" right="0.7" top="0.75" bottom="0.75" header="0.3" footer="0.3"/>
  <pageSetup scale="5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
                <anchor moveWithCells="1">
                  <from>
                    <xdr:col>5</xdr:col>
                    <xdr:colOff>1143000</xdr:colOff>
                    <xdr:row>7</xdr:row>
                    <xdr:rowOff>0</xdr:rowOff>
                  </from>
                  <to>
                    <xdr:col>6</xdr:col>
                    <xdr:colOff>200025</xdr:colOff>
                    <xdr:row>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066" id="{BF6E4F97-0E9D-4B17-BFCE-97D9EE33CD91}">
            <xm:f>NOT(ISERROR(MATCH(G14,Geography!$J$2:$J$58,0)))</xm:f>
            <x14:dxf>
              <fill>
                <patternFill>
                  <bgColor rgb="FF92D050"/>
                </patternFill>
              </fill>
            </x14:dxf>
          </x14:cfRule>
          <xm:sqref>G14:J14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C000000}">
          <x14:formula1>
            <xm:f>OFFSET(Geography!$C$2,MATCH($G$14,Geography!$A$2:$A$3255,0)-1,0,COUNTIF(Geography!$A$2:$A$3255,$G$14),1)</xm:f>
          </x14:formula1>
          <xm:sqref>G15:J15</xm:sqref>
        </x14:dataValidation>
        <x14:dataValidation type="list" allowBlank="1" showInputMessage="1" showErrorMessage="1" xr:uid="{00000000-0002-0000-0100-00001B000000}">
          <x14:formula1>
            <xm:f>Geography!$J$2:$J$58</xm:f>
          </x14:formula1>
          <xm:sqref>G14:J14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38C82-C7C5-4812-8228-8912584BE5EC}">
  <sheetPr codeName="Sheet44">
    <pageSetUpPr fitToPage="1"/>
  </sheetPr>
  <dimension ref="A1:BI170"/>
  <sheetViews>
    <sheetView showGridLines="0" zoomScaleNormal="100" zoomScaleSheetLayoutView="80" workbookViewId="0">
      <pane ySplit="8" topLeftCell="A9" activePane="bottomLeft" state="frozen"/>
      <selection activeCell="E90" sqref="E90"/>
      <selection pane="bottomLeft" activeCell="W18" sqref="W18"/>
    </sheetView>
  </sheetViews>
  <sheetFormatPr defaultRowHeight="15" x14ac:dyDescent="0.25"/>
  <cols>
    <col min="1" max="14" width="7.5703125" style="1639" customWidth="1"/>
    <col min="15" max="15" width="7.5703125" style="1640" customWidth="1"/>
    <col min="16" max="16" width="6.140625" style="1639" hidden="1" customWidth="1"/>
    <col min="17" max="17" width="5.42578125" style="1639" hidden="1" customWidth="1"/>
    <col min="18" max="20" width="6.140625" style="1639" hidden="1" customWidth="1"/>
    <col min="21" max="21" width="8.7109375" style="1639" hidden="1" customWidth="1"/>
    <col min="22" max="22" width="3.140625" style="1639" hidden="1" customWidth="1"/>
    <col min="23" max="23" width="21.42578125" style="1640" customWidth="1"/>
    <col min="24" max="25" width="34.85546875" style="1639" customWidth="1"/>
    <col min="26" max="35" width="9.140625" style="1639" hidden="1" customWidth="1"/>
    <col min="36" max="40" width="8.42578125" style="1639" hidden="1" customWidth="1"/>
    <col min="41" max="41" width="9.140625" style="1639" hidden="1" customWidth="1"/>
    <col min="42" max="42" width="29.140625" style="1639" hidden="1" customWidth="1"/>
    <col min="43" max="43" width="2.7109375" style="1639" hidden="1" customWidth="1"/>
    <col min="44" max="44" width="29.140625" style="1639" hidden="1" customWidth="1"/>
    <col min="45" max="45" width="4.85546875" style="1639" hidden="1" customWidth="1"/>
    <col min="46" max="48" width="8.42578125" style="1639" hidden="1" customWidth="1"/>
    <col min="49" max="59" width="9.140625" style="1639" hidden="1" customWidth="1"/>
    <col min="60" max="60" width="13.28515625" style="1639" hidden="1" customWidth="1"/>
    <col min="61" max="61" width="26.140625" style="1639" hidden="1" customWidth="1"/>
    <col min="62" max="62" width="9.140625" style="1639" customWidth="1"/>
    <col min="63" max="16384" width="9.140625" style="1639"/>
  </cols>
  <sheetData>
    <row r="1" spans="1:61" ht="15" customHeight="1" x14ac:dyDescent="0.25">
      <c r="W1" s="1993" t="s">
        <v>4877</v>
      </c>
      <c r="X1" s="2106" t="s">
        <v>4068</v>
      </c>
      <c r="Y1" s="2107"/>
    </row>
    <row r="2" spans="1:61" x14ac:dyDescent="0.25">
      <c r="A2"/>
      <c r="B2"/>
      <c r="C2" s="1640" t="s">
        <v>5719</v>
      </c>
      <c r="D2" s="1639" t="str">
        <f ca="1">G10</f>
        <v>Not Earned</v>
      </c>
      <c r="E2"/>
      <c r="F2"/>
      <c r="W2" s="1993"/>
      <c r="X2" s="2106" t="s">
        <v>3503</v>
      </c>
      <c r="Y2" s="2107"/>
    </row>
    <row r="3" spans="1:61" x14ac:dyDescent="0.25">
      <c r="A3"/>
      <c r="B3"/>
      <c r="E3"/>
      <c r="F3"/>
      <c r="Q3" s="1640" t="s">
        <v>5245</v>
      </c>
      <c r="R3" s="1639">
        <f>'Verification Report'!ReportType</f>
        <v>0</v>
      </c>
      <c r="W3" s="1994"/>
      <c r="X3" s="2106" t="s">
        <v>3504</v>
      </c>
      <c r="Y3" s="2107"/>
      <c r="AF3" s="1640" t="s">
        <v>312</v>
      </c>
      <c r="AG3" s="1639" t="b">
        <f ca="1">OR(ReportType="",IF(ReportType="Rough",OR(AF:AF),OR(AE:AE)))</f>
        <v>0</v>
      </c>
      <c r="AH3" s="1640" t="s">
        <v>313</v>
      </c>
      <c r="AI3" s="1639" t="b">
        <f>OR(AD:AD)</f>
        <v>0</v>
      </c>
    </row>
    <row r="4" spans="1:61" x14ac:dyDescent="0.25">
      <c r="A4"/>
      <c r="B4"/>
      <c r="C4"/>
      <c r="D4"/>
      <c r="E4"/>
      <c r="F4"/>
      <c r="W4" s="327" t="s">
        <v>3502</v>
      </c>
      <c r="X4" s="2109" t="str">
        <f>IF(verCity="","",IF(dstBatch, "Various ", verHomeAddress)&amp;", "&amp;verCity&amp;", "&amp;verState&amp;"  "&amp;verZIP)</f>
        <v/>
      </c>
      <c r="Y4" s="2110"/>
    </row>
    <row r="5" spans="1:61" ht="15" customHeight="1" x14ac:dyDescent="0.25">
      <c r="A5"/>
      <c r="B5"/>
      <c r="C5"/>
      <c r="D5"/>
      <c r="E5"/>
      <c r="F5"/>
      <c r="W5" s="326" t="s">
        <v>130</v>
      </c>
      <c r="X5" s="2111" t="str">
        <f>IF('Overview (Verification)'!P12="","",'Overview (Verification)'!P12)</f>
        <v/>
      </c>
      <c r="Y5" s="2112"/>
    </row>
    <row r="6" spans="1:61" ht="15" customHeight="1" x14ac:dyDescent="0.25">
      <c r="A6"/>
      <c r="B6"/>
      <c r="C6"/>
      <c r="D6"/>
      <c r="E6"/>
      <c r="F6"/>
      <c r="W6" s="1643"/>
    </row>
    <row r="7" spans="1:61" ht="15" customHeight="1" x14ac:dyDescent="0.25">
      <c r="A7"/>
      <c r="B7"/>
      <c r="C7"/>
      <c r="D7"/>
      <c r="E7"/>
      <c r="F7"/>
      <c r="P7" s="1639" t="s">
        <v>4103</v>
      </c>
      <c r="Q7" s="1639" t="s">
        <v>309</v>
      </c>
      <c r="R7" s="1639" t="s">
        <v>250</v>
      </c>
      <c r="S7" s="1639" t="s">
        <v>251</v>
      </c>
      <c r="T7" s="1639" t="s">
        <v>0</v>
      </c>
      <c r="U7" s="1639" t="s">
        <v>4104</v>
      </c>
      <c r="W7" s="1643"/>
      <c r="AC7" s="1637" t="s">
        <v>307</v>
      </c>
      <c r="AD7" s="1637" t="s">
        <v>0</v>
      </c>
      <c r="AE7" s="1637" t="s">
        <v>306</v>
      </c>
      <c r="AF7" s="1640" t="s">
        <v>3991</v>
      </c>
    </row>
    <row r="8" spans="1:61" x14ac:dyDescent="0.25">
      <c r="A8" s="334"/>
      <c r="B8" s="334"/>
      <c r="C8" s="334"/>
      <c r="D8" s="334"/>
      <c r="H8" s="1640"/>
      <c r="I8" s="1407"/>
      <c r="J8" s="1407"/>
      <c r="P8" s="1636" t="s">
        <v>247</v>
      </c>
      <c r="Q8" s="1636" t="s">
        <v>247</v>
      </c>
      <c r="R8" s="1636" t="s">
        <v>247</v>
      </c>
      <c r="S8" s="1636" t="s">
        <v>247</v>
      </c>
      <c r="T8" s="1636" t="s">
        <v>247</v>
      </c>
      <c r="U8" s="1636" t="s">
        <v>247</v>
      </c>
      <c r="V8" s="1636" t="s">
        <v>247</v>
      </c>
      <c r="W8" s="1643"/>
      <c r="X8" s="627" t="s">
        <v>4076</v>
      </c>
      <c r="Y8" s="627" t="s">
        <v>4075</v>
      </c>
      <c r="Z8" s="1636" t="s">
        <v>247</v>
      </c>
      <c r="AA8" s="1636" t="s">
        <v>247</v>
      </c>
      <c r="AB8" s="1636" t="s">
        <v>247</v>
      </c>
      <c r="AC8" s="1636" t="s">
        <v>247</v>
      </c>
      <c r="AD8" s="1636" t="s">
        <v>247</v>
      </c>
      <c r="AE8" s="1636" t="s">
        <v>247</v>
      </c>
      <c r="AF8" s="1636" t="s">
        <v>247</v>
      </c>
      <c r="AG8" s="1636" t="s">
        <v>247</v>
      </c>
      <c r="AH8" s="1636" t="s">
        <v>247</v>
      </c>
      <c r="AI8" s="1636" t="s">
        <v>247</v>
      </c>
      <c r="AJ8" s="1639" t="s">
        <v>247</v>
      </c>
      <c r="AK8" s="1639" t="s">
        <v>247</v>
      </c>
      <c r="AL8" s="1639" t="s">
        <v>247</v>
      </c>
      <c r="AM8" s="1639" t="s">
        <v>247</v>
      </c>
      <c r="AN8" s="1639" t="s">
        <v>247</v>
      </c>
      <c r="AO8" s="1639" t="s">
        <v>247</v>
      </c>
      <c r="AP8" s="1639" t="s">
        <v>247</v>
      </c>
      <c r="AQ8" s="1639" t="s">
        <v>247</v>
      </c>
      <c r="AR8" s="1639" t="s">
        <v>247</v>
      </c>
      <c r="AS8" s="1639" t="s">
        <v>247</v>
      </c>
      <c r="AT8" s="1639" t="s">
        <v>247</v>
      </c>
      <c r="AU8" s="1639" t="s">
        <v>247</v>
      </c>
      <c r="AV8" s="1639" t="s">
        <v>247</v>
      </c>
      <c r="AW8" s="1639" t="s">
        <v>247</v>
      </c>
      <c r="AX8" s="1639" t="s">
        <v>247</v>
      </c>
      <c r="AY8" s="1639" t="s">
        <v>247</v>
      </c>
      <c r="AZ8" s="1639" t="s">
        <v>247</v>
      </c>
      <c r="BA8" s="1639" t="s">
        <v>247</v>
      </c>
      <c r="BB8" s="1639" t="s">
        <v>247</v>
      </c>
      <c r="BC8" s="1639" t="s">
        <v>247</v>
      </c>
      <c r="BD8" s="1639" t="s">
        <v>247</v>
      </c>
      <c r="BE8" s="1639" t="s">
        <v>247</v>
      </c>
      <c r="BF8" s="1639" t="s">
        <v>247</v>
      </c>
      <c r="BG8" s="1639" t="s">
        <v>247</v>
      </c>
      <c r="BH8" s="1639" t="s">
        <v>247</v>
      </c>
      <c r="BI8" s="1639" t="s">
        <v>247</v>
      </c>
    </row>
    <row r="9" spans="1:61" x14ac:dyDescent="0.25">
      <c r="O9" s="1639"/>
      <c r="W9" s="1639"/>
    </row>
    <row r="10" spans="1:61" x14ac:dyDescent="0.25">
      <c r="A10"/>
      <c r="B10" s="1985" t="s">
        <v>5679</v>
      </c>
      <c r="C10" s="1985"/>
      <c r="D10" s="1985"/>
      <c r="E10" s="1985"/>
      <c r="F10" s="94"/>
      <c r="G10" s="2010" t="str" cm="1">
        <f t="array" aca="1" ref="G10" ca="1">IF(S15&gt;0,IF(INDEX(T10:T11,S15),"Earned","Not Earned"),"Not Earned")</f>
        <v>Not Earned</v>
      </c>
      <c r="H10" s="1997"/>
      <c r="I10" s="1997"/>
      <c r="J10" s="1997"/>
      <c r="K10" s="1997"/>
      <c r="L10" s="1997"/>
      <c r="M10" s="1997"/>
      <c r="N10" s="1997"/>
      <c r="O10" s="1998"/>
      <c r="P10" s="94"/>
      <c r="Q10" s="647"/>
      <c r="R10" s="94"/>
      <c r="S10" s="647" t="s">
        <v>5718</v>
      </c>
      <c r="T10" s="94" t="b">
        <f ca="1">AND(W18=TRUE,W19=TRUE,W20=TRUE,W22=TRUE,W23=TRUE,W24=TRUE,W27=TRUE,W28=TRUE,W34=TRUE,W41=TRUE,W48=TRUE,NOT(W59="Not Met"),NOT(W98="Not Met"))</f>
        <v>0</v>
      </c>
      <c r="U10" s="94"/>
      <c r="V10" s="94"/>
      <c r="W10" s="94"/>
      <c r="X10" s="94"/>
      <c r="Y10" s="94"/>
    </row>
    <row r="11" spans="1:61" ht="15.75" thickBot="1" x14ac:dyDescent="0.3">
      <c r="A11"/>
      <c r="B11" s="1986"/>
      <c r="C11" s="1986"/>
      <c r="D11" s="1986"/>
      <c r="E11" s="1986"/>
      <c r="F11" s="99"/>
      <c r="G11" s="2011"/>
      <c r="H11" s="1999"/>
      <c r="I11" s="1999"/>
      <c r="J11" s="1999"/>
      <c r="K11" s="1999"/>
      <c r="L11" s="1999"/>
      <c r="M11" s="1999"/>
      <c r="N11" s="1999"/>
      <c r="O11" s="2000"/>
      <c r="P11" s="99"/>
      <c r="Q11" s="1406"/>
      <c r="R11" s="99"/>
      <c r="S11" s="1406" t="s">
        <v>5717</v>
      </c>
      <c r="T11" s="99" t="b" cm="1">
        <f t="array" aca="1" ref="T11" ca="1">AND(W18=TRUE,W19=TRUE,W20=TRUE,W22=TRUE,W23=TRUE,W24=TRUE,W27=TRUE,W28=TRUE,SUM(COUNTIF(INDIRECT({"W36","W43","W50","W63","W74","W84","W105","W112","W117","W125","W130"}),"Not Met"))=0)</f>
        <v>0</v>
      </c>
      <c r="U11" s="99"/>
      <c r="V11" s="99"/>
      <c r="W11" s="99"/>
      <c r="X11" s="99"/>
      <c r="Y11" s="99"/>
      <c r="AX11" s="1640" t="str">
        <f>'Overview (Design)'!A10</f>
        <v>Builder Name:</v>
      </c>
      <c r="AY11" s="1639">
        <f>'Overview (Design)'!G10</f>
        <v>0</v>
      </c>
    </row>
    <row r="12" spans="1:61" ht="15.75" thickTop="1" x14ac:dyDescent="0.25">
      <c r="A12"/>
      <c r="O12" s="1639"/>
      <c r="W12" s="1639"/>
      <c r="AM12" s="1640"/>
      <c r="AX12" s="1640" t="str">
        <f>'Overview (Design)'!A11</f>
        <v>Physical Address of Home:</v>
      </c>
      <c r="AY12" s="1639">
        <f>'Overview (Design)'!G11</f>
        <v>0</v>
      </c>
    </row>
    <row r="13" spans="1:61" x14ac:dyDescent="0.25">
      <c r="A13"/>
      <c r="O13" s="1639"/>
      <c r="W13" s="1639"/>
      <c r="AM13" s="1640"/>
      <c r="AX13" s="1640" t="str">
        <f>'Overview (Design)'!A12</f>
        <v>Community/Lot #:</v>
      </c>
      <c r="AY13" s="1639">
        <f>'Overview (Design)'!G12</f>
        <v>0</v>
      </c>
    </row>
    <row r="14" spans="1:61" x14ac:dyDescent="0.25">
      <c r="A14"/>
      <c r="L14" s="1640"/>
      <c r="N14" s="1640" t="s">
        <v>5633</v>
      </c>
      <c r="O14" s="1639"/>
      <c r="U14" s="1639" t="s">
        <v>5663</v>
      </c>
      <c r="W14" s="1642" t="str">
        <f>IF(LEN('Verification Report'!W1642)=0, "Enter in Ver. Rep.",'Verification Report'!W1642)</f>
        <v>Enter in Ver. Rep.</v>
      </c>
      <c r="AM14" s="1640"/>
      <c r="AX14" s="1640" t="str">
        <f>'Overview (Design)'!A13</f>
        <v>City:</v>
      </c>
      <c r="AY14" s="1639">
        <f>'Overview (Design)'!G13</f>
        <v>0</v>
      </c>
    </row>
    <row r="15" spans="1:61" x14ac:dyDescent="0.25">
      <c r="A15"/>
      <c r="C15" s="1445"/>
      <c r="L15" s="1640"/>
      <c r="R15" s="1" t="s">
        <v>3381</v>
      </c>
      <c r="S15" s="1">
        <f ca="1">IFERROR(MATCH(W14,INDIRECT(U14),0),0)</f>
        <v>0</v>
      </c>
      <c r="AC15"/>
      <c r="AD15"/>
      <c r="AE15"/>
      <c r="AF15"/>
      <c r="AX15" s="1640" t="str">
        <f>'Overview (Design)'!A14</f>
        <v>State:</v>
      </c>
      <c r="AY15" s="1639">
        <f>'Overview (Design)'!G14</f>
        <v>0</v>
      </c>
    </row>
    <row r="16" spans="1:61" x14ac:dyDescent="0.25">
      <c r="A16"/>
      <c r="C16" s="1638" t="s">
        <v>5632</v>
      </c>
      <c r="L16" s="1640"/>
      <c r="AC16"/>
      <c r="AD16"/>
      <c r="AE16"/>
      <c r="AF16"/>
      <c r="AX16" s="1640" t="str">
        <f>'Overview (Design)'!A15</f>
        <v>County:</v>
      </c>
      <c r="AY16" s="1639">
        <f>'Overview (Design)'!G15</f>
        <v>0</v>
      </c>
    </row>
    <row r="17" spans="1:51" x14ac:dyDescent="0.25">
      <c r="A17"/>
      <c r="C17" s="1445"/>
      <c r="L17" s="1636"/>
      <c r="O17" s="1639"/>
      <c r="W17" s="1639"/>
      <c r="AC17"/>
      <c r="AD17"/>
      <c r="AE17"/>
      <c r="AF17"/>
      <c r="AX17" s="1640" t="str">
        <f>'Overview (Design)'!A16</f>
        <v>Zip:</v>
      </c>
      <c r="AY17" s="1639">
        <f>'Overview (Design)'!G16</f>
        <v>0</v>
      </c>
    </row>
    <row r="18" spans="1:51" x14ac:dyDescent="0.25">
      <c r="A18"/>
      <c r="B18" s="1528"/>
      <c r="C18" s="178" t="s">
        <v>5634</v>
      </c>
      <c r="D18" s="1646"/>
      <c r="E18" s="1646"/>
      <c r="F18" s="1646"/>
      <c r="G18" s="1646"/>
      <c r="H18" s="1646"/>
      <c r="I18" s="1646"/>
      <c r="J18" s="1646"/>
      <c r="K18" s="178"/>
      <c r="L18" s="178"/>
      <c r="M18" s="178"/>
      <c r="N18" s="178"/>
      <c r="O18" s="178"/>
      <c r="P18" s="1639" t="b">
        <v>1</v>
      </c>
      <c r="Q18" s="1639" t="b">
        <v>1</v>
      </c>
      <c r="R18" s="1639" t="b">
        <f ca="1">S18</f>
        <v>0</v>
      </c>
      <c r="S18" s="1639" t="b">
        <f ca="1">S15&gt;0</f>
        <v>0</v>
      </c>
      <c r="T18" s="1639" t="b">
        <v>0</v>
      </c>
      <c r="W18" s="25"/>
      <c r="X18" s="1641"/>
      <c r="Y18" s="1647" t="str">
        <f>IF(LEN('WaterSense (Design)'!X18)=0,"None",'WaterSense (Design)'!X18)</f>
        <v>None</v>
      </c>
      <c r="AC18" s="1639" t="b">
        <f ca="1">OR(AD18,AE18)</f>
        <v>0</v>
      </c>
      <c r="AD18" s="1639" t="b">
        <f>T18</f>
        <v>0</v>
      </c>
      <c r="AE18" s="1639" t="b">
        <f ca="1">AND(R18,NOT(W18))</f>
        <v>0</v>
      </c>
      <c r="AF18"/>
      <c r="AL18" s="1639" t="s">
        <v>5721</v>
      </c>
      <c r="AP18" s="1639" t="str">
        <f>"vch"&amp;AL18</f>
        <v>vchWaterSenseLeaks1</v>
      </c>
      <c r="AQ18" s="254" t="str">
        <f>IF(LEN(W18)=0,"",W18)</f>
        <v/>
      </c>
      <c r="AR18" s="1639" t="str">
        <f>"vnt"&amp;AL18</f>
        <v>vntWaterSenseLeaks1</v>
      </c>
      <c r="AS18" s="254" t="str">
        <f>IF(LEN(X18)=0,"",X18)</f>
        <v/>
      </c>
      <c r="AX18" s="1640"/>
    </row>
    <row r="19" spans="1:51" x14ac:dyDescent="0.25">
      <c r="A19"/>
      <c r="B19" s="1528"/>
      <c r="C19" s="211" t="s">
        <v>5635</v>
      </c>
      <c r="D19" s="211"/>
      <c r="E19" s="211"/>
      <c r="F19" s="211"/>
      <c r="G19" s="211"/>
      <c r="H19" s="211"/>
      <c r="I19" s="211"/>
      <c r="J19" s="211"/>
      <c r="K19" s="211"/>
      <c r="L19" s="1529"/>
      <c r="M19" s="211"/>
      <c r="N19" s="211"/>
      <c r="O19" s="211"/>
      <c r="P19" s="1639" t="b">
        <v>1</v>
      </c>
      <c r="Q19" s="1639" t="b">
        <v>1</v>
      </c>
      <c r="R19" s="1639" t="b">
        <f ca="1">S19</f>
        <v>0</v>
      </c>
      <c r="S19" s="1639" t="b">
        <f ca="1">S15&gt;0</f>
        <v>0</v>
      </c>
      <c r="T19" s="1639" t="b">
        <v>0</v>
      </c>
      <c r="W19" s="25"/>
      <c r="X19" s="1641"/>
      <c r="Y19" s="1647" t="str">
        <f>IF(LEN('WaterSense (Design)'!X19)=0,"None",'WaterSense (Design)'!X19)</f>
        <v>None</v>
      </c>
      <c r="AC19" s="1639" t="b">
        <f ca="1">OR(AD19,AE19)</f>
        <v>0</v>
      </c>
      <c r="AD19" s="1639" t="b">
        <f>T19</f>
        <v>0</v>
      </c>
      <c r="AE19" s="1639" t="b">
        <f ca="1">AND(R19,NOT(W19))</f>
        <v>0</v>
      </c>
      <c r="AF19"/>
      <c r="AL19" s="1639" t="s">
        <v>5722</v>
      </c>
      <c r="AP19" s="1688" t="str">
        <f t="shared" ref="AP19:AP20" si="0">"vch"&amp;AL19</f>
        <v>vchWaterSenseLeaks2</v>
      </c>
      <c r="AQ19" s="254" t="str">
        <f>IF(LEN(W19)=0,"",W19)</f>
        <v/>
      </c>
      <c r="AR19" s="1639" t="str">
        <f>"vnt"&amp;AL19</f>
        <v>vntWaterSenseLeaks2</v>
      </c>
      <c r="AS19" s="254" t="str">
        <f>IF(LEN(X19)=0,"",X19)</f>
        <v/>
      </c>
      <c r="AX19" s="1640" t="str">
        <f>'Overview (Design)'!A18</f>
        <v>Single-Family or Multifamily:</v>
      </c>
      <c r="AY19" s="1639" t="str">
        <f>'Overview (Design)'!G18</f>
        <v>Single-Family</v>
      </c>
    </row>
    <row r="20" spans="1:51" x14ac:dyDescent="0.25">
      <c r="A20"/>
      <c r="B20" s="1528"/>
      <c r="C20" s="2023" t="s">
        <v>5636</v>
      </c>
      <c r="D20" s="2023"/>
      <c r="E20" s="2023"/>
      <c r="F20" s="2023"/>
      <c r="G20" s="2023"/>
      <c r="H20" s="2023"/>
      <c r="I20" s="2023"/>
      <c r="J20" s="2023"/>
      <c r="K20" s="2023"/>
      <c r="L20" s="2023"/>
      <c r="M20" s="2023"/>
      <c r="N20" s="195"/>
      <c r="O20" s="195"/>
      <c r="P20" s="1639" t="b">
        <v>1</v>
      </c>
      <c r="Q20" s="1639" t="b">
        <v>1</v>
      </c>
      <c r="R20" s="1639" t="b">
        <f ca="1">S20</f>
        <v>0</v>
      </c>
      <c r="S20" s="1639" t="b">
        <f ca="1">S15&gt;0</f>
        <v>0</v>
      </c>
      <c r="T20" s="1639" t="b">
        <v>0</v>
      </c>
      <c r="W20" s="25"/>
      <c r="X20" s="1757"/>
      <c r="Y20" s="2077" t="str">
        <f>IF(LEN('WaterSense (Design)'!X20)=0,"None",'WaterSense (Design)'!X20)</f>
        <v>None</v>
      </c>
      <c r="AC20" s="1639" t="b">
        <f ca="1">OR(AD20,AE20)</f>
        <v>0</v>
      </c>
      <c r="AD20" s="1639" t="b">
        <f>T20</f>
        <v>0</v>
      </c>
      <c r="AE20" s="1639" t="b">
        <f ca="1">AND(R20,NOT(W20))</f>
        <v>0</v>
      </c>
      <c r="AF20"/>
      <c r="AL20" s="1639" t="s">
        <v>5723</v>
      </c>
      <c r="AP20" s="1688" t="str">
        <f t="shared" si="0"/>
        <v>vchWaterSenseLeaks3</v>
      </c>
      <c r="AQ20" s="254" t="str">
        <f>IF(LEN(W20)=0,"",W20)</f>
        <v/>
      </c>
      <c r="AR20" s="1639" t="str">
        <f>"vnt"&amp;AL20</f>
        <v>vntWaterSenseLeaks3</v>
      </c>
      <c r="AS20" s="254" t="str">
        <f>IF(LEN(X20)=0,"",X20)</f>
        <v/>
      </c>
      <c r="AX20" s="1640" t="str">
        <f>'Overview (Design)'!A19</f>
        <v>Number of Units:</v>
      </c>
      <c r="AY20" s="1639">
        <f>'Overview (Design)'!G19</f>
        <v>0</v>
      </c>
    </row>
    <row r="21" spans="1:51" x14ac:dyDescent="0.25">
      <c r="A21"/>
      <c r="B21" s="664"/>
      <c r="C21" s="2024"/>
      <c r="D21" s="2024"/>
      <c r="E21" s="2024"/>
      <c r="F21" s="2024"/>
      <c r="G21" s="2024"/>
      <c r="H21" s="2024"/>
      <c r="I21" s="2024"/>
      <c r="J21" s="2024"/>
      <c r="K21" s="2024"/>
      <c r="L21" s="2024"/>
      <c r="M21" s="2024"/>
      <c r="N21" s="178"/>
      <c r="O21" s="178"/>
      <c r="W21" s="1639"/>
      <c r="X21" s="1757"/>
      <c r="Y21" s="2077"/>
      <c r="AF21"/>
      <c r="AX21" s="1640" t="str">
        <f>'Overview (Design)'!A20</f>
        <v>Building includes commercial space pursuing Commercial Space certification?</v>
      </c>
      <c r="AY21" s="1639">
        <f>'Overview (Design)'!G20</f>
        <v>0</v>
      </c>
    </row>
    <row r="22" spans="1:51" x14ac:dyDescent="0.25">
      <c r="A22"/>
      <c r="B22" s="1528"/>
      <c r="C22" s="211" t="s">
        <v>5637</v>
      </c>
      <c r="D22" s="211"/>
      <c r="E22" s="211"/>
      <c r="F22" s="211"/>
      <c r="G22" s="211"/>
      <c r="H22" s="211"/>
      <c r="I22" s="211"/>
      <c r="J22" s="211"/>
      <c r="K22" s="211"/>
      <c r="L22" s="1529"/>
      <c r="M22" s="211"/>
      <c r="N22" s="211"/>
      <c r="O22" s="211"/>
      <c r="P22" s="1639" t="b">
        <v>1</v>
      </c>
      <c r="Q22" s="1639" t="b">
        <v>1</v>
      </c>
      <c r="R22" s="1639" t="b">
        <f ca="1">S22</f>
        <v>0</v>
      </c>
      <c r="S22" s="1639" t="b">
        <f ca="1">S15&gt;0</f>
        <v>0</v>
      </c>
      <c r="T22" s="1639" t="b">
        <v>0</v>
      </c>
      <c r="W22" s="25"/>
      <c r="X22" s="1641"/>
      <c r="Y22" s="1647" t="str">
        <f>IF(LEN('WaterSense (Design)'!X22)=0,"None",'WaterSense (Design)'!X22)</f>
        <v>None</v>
      </c>
      <c r="AC22" s="1639" t="b">
        <f ca="1">OR(AD22,AE22)</f>
        <v>0</v>
      </c>
      <c r="AD22" s="1639" t="b">
        <f>T22</f>
        <v>0</v>
      </c>
      <c r="AE22" s="1639" t="b">
        <f ca="1">AND(R22,NOT(W22))</f>
        <v>0</v>
      </c>
      <c r="AF22"/>
      <c r="AL22" s="1639" t="s">
        <v>5724</v>
      </c>
      <c r="AP22" s="1688" t="str">
        <f t="shared" ref="AP22:AP24" si="1">"vch"&amp;AL22</f>
        <v>vchWaterSenseLeaks4</v>
      </c>
      <c r="AQ22" s="254" t="str">
        <f>IF(LEN(W22)=0,"",W22)</f>
        <v/>
      </c>
      <c r="AR22" s="1639" t="str">
        <f>"vnt"&amp;AL22</f>
        <v>vntWaterSenseLeaks4</v>
      </c>
      <c r="AS22" s="254" t="str">
        <f>IF(LEN(X22)=0,"",X22)</f>
        <v/>
      </c>
      <c r="AX22" s="1640"/>
    </row>
    <row r="23" spans="1:51" x14ac:dyDescent="0.25">
      <c r="A23"/>
      <c r="B23" s="1528"/>
      <c r="C23" s="211" t="s">
        <v>5638</v>
      </c>
      <c r="D23" s="211"/>
      <c r="E23" s="211"/>
      <c r="F23" s="211"/>
      <c r="G23" s="211"/>
      <c r="H23" s="211"/>
      <c r="I23" s="211"/>
      <c r="J23" s="211"/>
      <c r="K23" s="211"/>
      <c r="L23" s="1529"/>
      <c r="M23" s="211"/>
      <c r="N23" s="211"/>
      <c r="O23" s="211"/>
      <c r="P23" s="1639" t="b">
        <v>1</v>
      </c>
      <c r="Q23" s="1639" t="b">
        <v>1</v>
      </c>
      <c r="R23" s="1639" t="b">
        <f ca="1">S23</f>
        <v>0</v>
      </c>
      <c r="S23" s="1639" t="b">
        <f ca="1">S15&gt;0</f>
        <v>0</v>
      </c>
      <c r="T23" s="1639" t="b">
        <v>0</v>
      </c>
      <c r="W23" s="25"/>
      <c r="X23" s="1641"/>
      <c r="Y23" s="1647" t="str">
        <f>IF(LEN('WaterSense (Design)'!X23)=0,"None",'WaterSense (Design)'!X23)</f>
        <v>None</v>
      </c>
      <c r="AC23" s="1639" t="b">
        <f ca="1">OR(AD23,AE23)</f>
        <v>0</v>
      </c>
      <c r="AD23" s="1639" t="b">
        <f>T23</f>
        <v>0</v>
      </c>
      <c r="AE23" s="1639" t="b">
        <f ca="1">AND(R23,NOT(W23))</f>
        <v>0</v>
      </c>
      <c r="AF23"/>
      <c r="AL23" s="1639" t="s">
        <v>5725</v>
      </c>
      <c r="AP23" s="1688" t="str">
        <f t="shared" si="1"/>
        <v>vchWaterSenseLeaks5</v>
      </c>
      <c r="AQ23" s="254" t="str">
        <f>IF(LEN(W23)=0,"",W23)</f>
        <v/>
      </c>
      <c r="AR23" s="1639" t="str">
        <f>"vnt"&amp;AL23</f>
        <v>vntWaterSenseLeaks5</v>
      </c>
      <c r="AS23" s="254" t="str">
        <f>IF(LEN(X23)=0,"",X23)</f>
        <v/>
      </c>
      <c r="AX23" s="1640"/>
    </row>
    <row r="24" spans="1:51" x14ac:dyDescent="0.25">
      <c r="A24"/>
      <c r="B24" s="1528"/>
      <c r="C24" s="2023" t="s">
        <v>5639</v>
      </c>
      <c r="D24" s="2023"/>
      <c r="E24" s="2023"/>
      <c r="F24" s="2023"/>
      <c r="G24" s="2023"/>
      <c r="H24" s="2023"/>
      <c r="I24" s="2023"/>
      <c r="J24" s="2023"/>
      <c r="K24" s="2023"/>
      <c r="L24" s="2023"/>
      <c r="M24" s="2023"/>
      <c r="N24" s="195"/>
      <c r="O24" s="195"/>
      <c r="P24" s="1639" t="b">
        <v>1</v>
      </c>
      <c r="Q24" s="1639" t="b">
        <v>1</v>
      </c>
      <c r="R24" s="1639" t="b">
        <f ca="1">S24</f>
        <v>0</v>
      </c>
      <c r="S24" s="1639" t="b">
        <f ca="1">S15&gt;0</f>
        <v>0</v>
      </c>
      <c r="T24" s="1639" t="b">
        <v>0</v>
      </c>
      <c r="W24" s="25"/>
      <c r="X24" s="1757"/>
      <c r="Y24" s="2077" t="str">
        <f>IF(LEN('WaterSense (Design)'!X24)=0,"None",'WaterSense (Design)'!X24)</f>
        <v>None</v>
      </c>
      <c r="AC24" s="1639" t="b">
        <f ca="1">OR(AD24,AE24)</f>
        <v>0</v>
      </c>
      <c r="AD24" s="1639" t="b">
        <f>T24</f>
        <v>0</v>
      </c>
      <c r="AE24" s="1639" t="b">
        <f ca="1">AND(R24,NOT(W24))</f>
        <v>0</v>
      </c>
      <c r="AF24"/>
      <c r="AL24" s="1639" t="s">
        <v>5726</v>
      </c>
      <c r="AP24" s="1688" t="str">
        <f t="shared" si="1"/>
        <v>vchWaterSenseLeaks6</v>
      </c>
      <c r="AQ24" s="254" t="str">
        <f>IF(LEN(W24)=0,"",W24)</f>
        <v/>
      </c>
      <c r="AR24" s="1639" t="str">
        <f>"vnt"&amp;AL24</f>
        <v>vntWaterSenseLeaks6</v>
      </c>
      <c r="AS24" s="254" t="str">
        <f>IF(LEN(X24)=0,"",X24)</f>
        <v/>
      </c>
      <c r="AX24" s="1640" t="str">
        <f>'Overview (Design)'!A23</f>
        <v>Project Name:</v>
      </c>
      <c r="AY24" s="1639">
        <f>'Overview (Design)'!G23</f>
        <v>0</v>
      </c>
    </row>
    <row r="25" spans="1:51" x14ac:dyDescent="0.25">
      <c r="A25"/>
      <c r="B25" s="664"/>
      <c r="C25" s="1847"/>
      <c r="D25" s="1847"/>
      <c r="E25" s="1847"/>
      <c r="F25" s="1847"/>
      <c r="G25" s="1847"/>
      <c r="H25" s="1847"/>
      <c r="I25" s="1847"/>
      <c r="J25" s="1847"/>
      <c r="K25" s="1847"/>
      <c r="L25" s="1847"/>
      <c r="M25" s="1847"/>
      <c r="N25" s="94"/>
      <c r="O25" s="94"/>
      <c r="W25" s="1639"/>
      <c r="X25" s="1757"/>
      <c r="Y25" s="2077"/>
      <c r="AF25"/>
      <c r="AX25" s="1640"/>
    </row>
    <row r="26" spans="1:51" x14ac:dyDescent="0.25">
      <c r="A26"/>
      <c r="B26" s="664"/>
      <c r="C26" s="2024"/>
      <c r="D26" s="2024"/>
      <c r="E26" s="2024"/>
      <c r="F26" s="2024"/>
      <c r="G26" s="2024"/>
      <c r="H26" s="2024"/>
      <c r="I26" s="2024"/>
      <c r="J26" s="2024"/>
      <c r="K26" s="2024"/>
      <c r="L26" s="2024"/>
      <c r="M26" s="2024"/>
      <c r="N26" s="178"/>
      <c r="O26" s="178"/>
      <c r="W26" s="1639"/>
      <c r="X26" s="1757"/>
      <c r="Y26" s="2077"/>
      <c r="AF26"/>
      <c r="AX26" s="1640" t="str">
        <f>'Overview (Design)'!A25</f>
        <v>Above grade plane finished floor area:</v>
      </c>
      <c r="AY26" s="1639">
        <f>'Overview (Design)'!G25</f>
        <v>0</v>
      </c>
    </row>
    <row r="27" spans="1:51" x14ac:dyDescent="0.25">
      <c r="A27"/>
      <c r="B27" s="1528"/>
      <c r="C27" s="211" t="s">
        <v>5640</v>
      </c>
      <c r="D27" s="211"/>
      <c r="E27" s="211"/>
      <c r="F27" s="211"/>
      <c r="G27" s="211"/>
      <c r="H27" s="211"/>
      <c r="I27" s="211"/>
      <c r="J27" s="211"/>
      <c r="K27" s="211"/>
      <c r="L27" s="1530"/>
      <c r="M27" s="211"/>
      <c r="N27" s="211"/>
      <c r="O27" s="211"/>
      <c r="P27" s="1639" t="b">
        <v>1</v>
      </c>
      <c r="Q27" s="1639" t="b">
        <v>1</v>
      </c>
      <c r="R27" s="1639" t="b">
        <f ca="1">S27</f>
        <v>0</v>
      </c>
      <c r="S27" s="1639" t="b">
        <f ca="1">S15&gt;0</f>
        <v>0</v>
      </c>
      <c r="T27" s="1639" t="b">
        <v>0</v>
      </c>
      <c r="W27" s="25"/>
      <c r="X27" s="1641"/>
      <c r="Y27" s="1647" t="str">
        <f>IF(LEN('WaterSense (Design)'!X27)=0,"None",'WaterSense (Design)'!X27)</f>
        <v>None</v>
      </c>
      <c r="AC27" s="1639" t="b">
        <f ca="1">OR(AD27,AE27)</f>
        <v>0</v>
      </c>
      <c r="AD27" s="1639" t="b">
        <f>T27</f>
        <v>0</v>
      </c>
      <c r="AE27" s="1639" t="b">
        <f ca="1">AND(R27,NOT(W27))</f>
        <v>0</v>
      </c>
      <c r="AF27"/>
      <c r="AL27" s="1639" t="s">
        <v>5727</v>
      </c>
      <c r="AP27" s="1688" t="str">
        <f t="shared" ref="AP27:AP28" si="2">"vch"&amp;AL27</f>
        <v>vchWaterSenseLeaks7</v>
      </c>
      <c r="AQ27" s="254" t="str">
        <f>IF(LEN(W27)=0,"",W27)</f>
        <v/>
      </c>
      <c r="AR27" s="1639" t="str">
        <f>"vnt"&amp;AL27</f>
        <v>vntWaterSenseLeaks7</v>
      </c>
      <c r="AS27" s="254" t="str">
        <f>IF(LEN(X27)=0,"",X27)</f>
        <v/>
      </c>
      <c r="AX27" s="1640" t="str">
        <f>'Overview (Design)'!A26</f>
        <v>Total conditioned floor area:</v>
      </c>
      <c r="AY27" s="1639">
        <f>'Overview (Design)'!G26</f>
        <v>0</v>
      </c>
    </row>
    <row r="28" spans="1:51" x14ac:dyDescent="0.25">
      <c r="A28"/>
      <c r="B28" s="1528"/>
      <c r="C28" s="1699" t="s">
        <v>5641</v>
      </c>
      <c r="D28" s="1699"/>
      <c r="E28" s="1699"/>
      <c r="F28" s="1699"/>
      <c r="G28" s="1699"/>
      <c r="H28" s="1699"/>
      <c r="I28" s="1699"/>
      <c r="J28" s="1699"/>
      <c r="K28" s="1699"/>
      <c r="L28" s="1699"/>
      <c r="M28" s="1699"/>
      <c r="O28" s="1639"/>
      <c r="P28" s="1639" t="b">
        <v>1</v>
      </c>
      <c r="Q28" s="1639" t="b">
        <v>1</v>
      </c>
      <c r="R28" s="1639" t="b">
        <f ca="1">S28</f>
        <v>0</v>
      </c>
      <c r="S28" s="1639" t="b">
        <f ca="1">S15&gt;0</f>
        <v>0</v>
      </c>
      <c r="T28" s="1639" t="b">
        <v>0</v>
      </c>
      <c r="W28" s="25"/>
      <c r="X28" s="1757"/>
      <c r="Y28" s="2077" t="str">
        <f>IF(LEN('WaterSense (Design)'!X28)=0,"None",'WaterSense (Design)'!X28)</f>
        <v>None</v>
      </c>
      <c r="AC28" s="1639" t="b">
        <f ca="1">OR(AD28,AE28)</f>
        <v>0</v>
      </c>
      <c r="AD28" s="1639" t="b">
        <f>T28</f>
        <v>0</v>
      </c>
      <c r="AE28" s="1639" t="b">
        <f ca="1">AND(R28,NOT(W28))</f>
        <v>0</v>
      </c>
      <c r="AF28"/>
      <c r="AL28" s="1639" t="s">
        <v>5728</v>
      </c>
      <c r="AP28" s="1688" t="str">
        <f t="shared" si="2"/>
        <v>vchWaterSenseLeaks8</v>
      </c>
      <c r="AQ28" s="254" t="str">
        <f>IF(LEN(W28)=0,"",W28)</f>
        <v/>
      </c>
      <c r="AR28" s="1639" t="str">
        <f>"vnt"&amp;AL28</f>
        <v>vntWaterSenseLeaks8</v>
      </c>
      <c r="AS28" s="254" t="str">
        <f>IF(LEN(X28)=0,"",X28)</f>
        <v/>
      </c>
      <c r="AX28" s="1640" t="str">
        <f>'Overview (Design)'!A27</f>
        <v>Stories above grade:</v>
      </c>
      <c r="AY28" s="1639">
        <f>'Overview (Design)'!G27</f>
        <v>0</v>
      </c>
    </row>
    <row r="29" spans="1:51" x14ac:dyDescent="0.25">
      <c r="A29"/>
      <c r="C29" s="1699"/>
      <c r="D29" s="1699"/>
      <c r="E29" s="1699"/>
      <c r="F29" s="1699"/>
      <c r="G29" s="1699"/>
      <c r="H29" s="1699"/>
      <c r="I29" s="1699"/>
      <c r="J29" s="1699"/>
      <c r="K29" s="1699"/>
      <c r="L29" s="1699"/>
      <c r="M29" s="1699"/>
      <c r="W29" s="1639"/>
      <c r="X29" s="1757"/>
      <c r="Y29" s="2077"/>
      <c r="AF29"/>
      <c r="AX29" s="1640" t="str">
        <f>'Overview (Design)'!A28</f>
        <v>Project Elevation (ft. above sea level):</v>
      </c>
      <c r="AY29" s="1639">
        <f>'Overview (Design)'!G28</f>
        <v>0</v>
      </c>
    </row>
    <row r="30" spans="1:51" x14ac:dyDescent="0.25">
      <c r="A30"/>
      <c r="W30" s="1639"/>
      <c r="AF30"/>
      <c r="AX30" s="1640"/>
    </row>
    <row r="31" spans="1:51" x14ac:dyDescent="0.25">
      <c r="A31"/>
      <c r="AF31"/>
      <c r="AX31" s="1640" t="str">
        <f>'Overview (Design)'!A30</f>
        <v xml:space="preserve">Project Description (optional): </v>
      </c>
      <c r="AY31" s="1639">
        <f>'Overview (Design)'!G30</f>
        <v>0</v>
      </c>
    </row>
    <row r="32" spans="1:51" x14ac:dyDescent="0.25">
      <c r="A32"/>
      <c r="C32" s="1638" t="s">
        <v>5644</v>
      </c>
      <c r="AF32"/>
      <c r="AX32" s="1640"/>
    </row>
    <row r="33" spans="1:51" x14ac:dyDescent="0.25">
      <c r="A33"/>
      <c r="AF33"/>
      <c r="AX33" s="1640" t="str">
        <f>'Overview (Design)'!A32</f>
        <v>Foundation Type:</v>
      </c>
      <c r="AY33" s="1639">
        <f>'Overview (Design)'!G32</f>
        <v>0</v>
      </c>
    </row>
    <row r="34" spans="1:51" x14ac:dyDescent="0.25">
      <c r="A34"/>
      <c r="B34" s="1528"/>
      <c r="C34" s="1639" t="s">
        <v>5645</v>
      </c>
      <c r="P34" s="1639" t="b">
        <v>1</v>
      </c>
      <c r="Q34" s="1639" t="b">
        <v>1</v>
      </c>
      <c r="R34" s="1639" t="b">
        <f ca="1">S34</f>
        <v>0</v>
      </c>
      <c r="S34" s="1639" t="b">
        <f ca="1">S15=1</f>
        <v>0</v>
      </c>
      <c r="T34" s="1639" t="b">
        <v>0</v>
      </c>
      <c r="W34" s="25"/>
      <c r="X34" s="1641"/>
      <c r="Y34" s="1647" t="str">
        <f>IF(LEN('WaterSense (Design)'!X34)=0,"None",'WaterSense (Design)'!X34)</f>
        <v>None</v>
      </c>
      <c r="AC34" s="1639" t="b">
        <f ca="1">OR(AD34,AE34)</f>
        <v>0</v>
      </c>
      <c r="AD34" s="1639" t="b">
        <f>T34</f>
        <v>0</v>
      </c>
      <c r="AE34" s="1639" t="b">
        <f ca="1">AND(R34,NOT(W34))</f>
        <v>0</v>
      </c>
      <c r="AF34"/>
      <c r="AL34" s="1639" t="s">
        <v>5729</v>
      </c>
      <c r="AP34" s="1688" t="str">
        <f>"vch"&amp;AL34</f>
        <v>vchWaterSenseToilet</v>
      </c>
      <c r="AQ34" s="254" t="str">
        <f>IF(LEN(W34)=0,"",W34)</f>
        <v/>
      </c>
      <c r="AR34" s="1639" t="str">
        <f>"vnt"&amp;AL34</f>
        <v>vntWaterSenseToilet</v>
      </c>
      <c r="AS34" s="254" t="str">
        <f>IF(LEN(X34)=0,"",X34)</f>
        <v/>
      </c>
      <c r="AX34" s="1640"/>
    </row>
    <row r="35" spans="1:51" x14ac:dyDescent="0.25">
      <c r="A35"/>
      <c r="AF35"/>
      <c r="AX35" s="1640" t="str">
        <f>'Overview (Design)'!A34</f>
        <v>Type of Heating System (main system):</v>
      </c>
      <c r="AY35" s="1639">
        <f>'Overview (Design)'!G34</f>
        <v>0</v>
      </c>
    </row>
    <row r="36" spans="1:51" x14ac:dyDescent="0.25">
      <c r="A36"/>
      <c r="C36" s="1639" t="s">
        <v>5646</v>
      </c>
      <c r="S36" s="1639" t="b">
        <f ca="1">S15=2</f>
        <v>0</v>
      </c>
      <c r="W36" s="1644" t="str">
        <f ca="1">IF(S36,IF('Verification Report'!O1760&gt;0,"Met", "Not Met"),"N/A")</f>
        <v>N/A</v>
      </c>
      <c r="AF36"/>
      <c r="AX36" s="1640" t="str">
        <f>'Overview (Design)'!A35</f>
        <v>Type of Heating System (system 2):</v>
      </c>
      <c r="AY36" s="1639">
        <f>'Overview (Design)'!G35</f>
        <v>0</v>
      </c>
    </row>
    <row r="37" spans="1:51" x14ac:dyDescent="0.25">
      <c r="A37"/>
      <c r="AF37"/>
      <c r="AX37" s="1640" t="str">
        <f>'Overview (Design)'!A36</f>
        <v>Type of Heating System (system 3):</v>
      </c>
      <c r="AY37" s="1639">
        <f>'Overview (Design)'!G36</f>
        <v>0</v>
      </c>
    </row>
    <row r="38" spans="1:51" x14ac:dyDescent="0.25">
      <c r="A38"/>
      <c r="AF38"/>
      <c r="AX38" s="1640" t="str">
        <f>'Overview (Design)'!A37</f>
        <v>Primary Heating Fuel:</v>
      </c>
      <c r="AY38" s="1639">
        <f>'Overview (Design)'!G37</f>
        <v>0</v>
      </c>
    </row>
    <row r="39" spans="1:51" x14ac:dyDescent="0.25">
      <c r="A39"/>
      <c r="C39" s="1638" t="s">
        <v>5647</v>
      </c>
      <c r="AF39"/>
      <c r="AX39" s="1640" t="str">
        <f>'Overview (Design)'!A38</f>
        <v>Heating Ducts:</v>
      </c>
      <c r="AY39" s="1639">
        <f>'Overview (Design)'!G38</f>
        <v>0</v>
      </c>
    </row>
    <row r="40" spans="1:51" x14ac:dyDescent="0.25">
      <c r="A40"/>
      <c r="AF40"/>
      <c r="AX40" s="1640" t="str">
        <f>'Overview (Design)'!A39</f>
        <v>Type of Cooling System (main system):</v>
      </c>
      <c r="AY40" s="1639">
        <f>'Overview (Design)'!G39</f>
        <v>0</v>
      </c>
    </row>
    <row r="41" spans="1:51" x14ac:dyDescent="0.25">
      <c r="A41"/>
      <c r="B41" s="1528"/>
      <c r="C41" s="1639" t="str">
        <f ca="1">IF(S15=2,"Lavatory faucets are WaterSense labeled and have a maximum flow rate of 1.2 gallons per minute (gpm).","Lavatory faucets are WaterSense labeled.")</f>
        <v>Lavatory faucets are WaterSense labeled.</v>
      </c>
      <c r="P41" s="1639" t="b">
        <v>1</v>
      </c>
      <c r="Q41" s="1639" t="b">
        <v>1</v>
      </c>
      <c r="R41" s="1639" t="b">
        <f ca="1">S41</f>
        <v>0</v>
      </c>
      <c r="S41" s="1639" t="b">
        <f ca="1">S15=1</f>
        <v>0</v>
      </c>
      <c r="T41" s="1639" t="b">
        <v>0</v>
      </c>
      <c r="W41" s="25"/>
      <c r="X41" s="1641"/>
      <c r="Y41" s="1647" t="str">
        <f>IF(LEN('WaterSense (Design)'!X41)=0,"None",'WaterSense (Design)'!X41)</f>
        <v>None</v>
      </c>
      <c r="AC41" s="1639" t="b">
        <f ca="1">OR(AD41,AE41)</f>
        <v>0</v>
      </c>
      <c r="AD41" s="1639" t="b">
        <f>T41</f>
        <v>0</v>
      </c>
      <c r="AE41" s="1639" t="b">
        <f ca="1">AND(R41,NOT(W41))</f>
        <v>0</v>
      </c>
      <c r="AF41"/>
      <c r="AL41" s="1639" t="s">
        <v>5730</v>
      </c>
      <c r="AP41" s="1688" t="str">
        <f>"vch"&amp;AL41</f>
        <v>vchWaterSenseLavFaucet</v>
      </c>
      <c r="AQ41" s="254" t="str">
        <f>IF(LEN(W41)=0,"",W41)</f>
        <v/>
      </c>
      <c r="AR41" s="1639" t="str">
        <f>"vnt"&amp;AL41</f>
        <v>vntWaterSenseLavFaucet</v>
      </c>
      <c r="AS41" s="254" t="str">
        <f>IF(LEN(X41)=0,"",X41)</f>
        <v/>
      </c>
      <c r="AX41" s="1640" t="str">
        <f>'Overview (Design)'!A40</f>
        <v>Type of Cooling System (system 2):</v>
      </c>
      <c r="AY41" s="1639">
        <f>'Overview (Design)'!G40</f>
        <v>0</v>
      </c>
    </row>
    <row r="42" spans="1:51" x14ac:dyDescent="0.25">
      <c r="A42"/>
      <c r="AF42"/>
      <c r="AX42" s="1640" t="str">
        <f>'Overview (Design)'!A41</f>
        <v>Type of Cooling System (system 3):</v>
      </c>
      <c r="AY42" s="1639">
        <f>'Overview (Design)'!G41</f>
        <v>0</v>
      </c>
    </row>
    <row r="43" spans="1:51" x14ac:dyDescent="0.25">
      <c r="A43"/>
      <c r="C43" s="1639" t="s">
        <v>5682</v>
      </c>
      <c r="S43" s="1639" t="b">
        <f ca="1">S15=2</f>
        <v>0</v>
      </c>
      <c r="W43" s="1644" t="str">
        <f ca="1">IF(S43,IF('Verification Report'!W1731="(5)","Met", "Not Met"),"N/A")</f>
        <v>N/A</v>
      </c>
      <c r="AF43"/>
      <c r="AX43" s="1640" t="str">
        <f>'Overview (Design)'!A42</f>
        <v>Cooling Ducts:</v>
      </c>
      <c r="AY43" s="1639">
        <f>'Overview (Design)'!G42</f>
        <v>0</v>
      </c>
    </row>
    <row r="44" spans="1:51" x14ac:dyDescent="0.25">
      <c r="A44"/>
      <c r="AF44"/>
      <c r="AX44" s="1640"/>
    </row>
    <row r="45" spans="1:51" x14ac:dyDescent="0.25">
      <c r="A45"/>
      <c r="AF45"/>
      <c r="AX45" s="1640" t="str">
        <f>'Overview (Design)'!A44</f>
        <v>Maximum window and door SHGC:</v>
      </c>
      <c r="AY45" s="1639">
        <f>'Overview (Design)'!G44</f>
        <v>0</v>
      </c>
    </row>
    <row r="46" spans="1:51" x14ac:dyDescent="0.25">
      <c r="A46"/>
      <c r="C46" s="1638" t="s">
        <v>5648</v>
      </c>
      <c r="AF46"/>
      <c r="AX46" s="1640" t="str">
        <f>'Overview (Design)'!A45</f>
        <v>Maximum skylight SHGC:</v>
      </c>
      <c r="AY46" s="1639">
        <f>'Overview (Design)'!G45</f>
        <v>0</v>
      </c>
    </row>
    <row r="47" spans="1:51" x14ac:dyDescent="0.25">
      <c r="A47"/>
      <c r="AF47"/>
      <c r="AX47" s="1640" t="str">
        <f>'Overview (Design)'!A46</f>
        <v>Maximum window and door U-value:</v>
      </c>
      <c r="AY47" s="1639">
        <f>'Overview (Design)'!G46</f>
        <v>0</v>
      </c>
    </row>
    <row r="48" spans="1:51" x14ac:dyDescent="0.25">
      <c r="A48"/>
      <c r="B48" s="1528"/>
      <c r="C48" s="1639" t="s">
        <v>5649</v>
      </c>
      <c r="P48" s="1639" t="b">
        <v>1</v>
      </c>
      <c r="Q48" s="1639" t="b">
        <v>1</v>
      </c>
      <c r="R48" s="1639" t="b">
        <f ca="1">S48</f>
        <v>0</v>
      </c>
      <c r="S48" s="1639" t="b">
        <f ca="1">S15=1</f>
        <v>0</v>
      </c>
      <c r="T48" s="1639" t="b">
        <v>0</v>
      </c>
      <c r="W48" s="25"/>
      <c r="X48" s="1641"/>
      <c r="Y48" s="1647" t="str">
        <f>IF(LEN('WaterSense (Design)'!X48)=0,"None",'WaterSense (Design)'!X48)</f>
        <v>None</v>
      </c>
      <c r="AC48" s="1639" t="b">
        <f ca="1">OR(AD48,AE48)</f>
        <v>0</v>
      </c>
      <c r="AD48" s="1639" t="b">
        <f>T48</f>
        <v>0</v>
      </c>
      <c r="AE48" s="1639" t="b">
        <f ca="1">AND(R48,NOT(W48))</f>
        <v>0</v>
      </c>
      <c r="AF48"/>
      <c r="AL48" s="1639" t="s">
        <v>5731</v>
      </c>
      <c r="AP48" s="1688" t="str">
        <f>"vch"&amp;AL48</f>
        <v>vchWaterSenseShowerheads</v>
      </c>
      <c r="AQ48" s="254" t="str">
        <f>IF(LEN(W48)=0,"",W48)</f>
        <v/>
      </c>
      <c r="AR48" s="1639" t="str">
        <f>"vnt"&amp;AL48</f>
        <v>vntWaterSenseShowerheads</v>
      </c>
      <c r="AS48" s="254" t="str">
        <f>IF(LEN(X48)=0,"",X48)</f>
        <v/>
      </c>
      <c r="AX48" s="1640" t="str">
        <f>'Overview (Design)'!A47</f>
        <v>Maximum skylight U-value:</v>
      </c>
      <c r="AY48" s="1639">
        <f>'Overview (Design)'!G47</f>
        <v>0</v>
      </c>
    </row>
    <row r="49" spans="1:51" x14ac:dyDescent="0.25">
      <c r="A49"/>
      <c r="AF49"/>
      <c r="AX49" s="1640" t="str">
        <f>'Overview (Design)'!A48</f>
        <v>Renewable Energy:</v>
      </c>
      <c r="AY49" s="1639">
        <f>'Overview (Design)'!G48</f>
        <v>0</v>
      </c>
    </row>
    <row r="50" spans="1:51" x14ac:dyDescent="0.25">
      <c r="A50"/>
      <c r="C50" s="1639" t="s">
        <v>5650</v>
      </c>
      <c r="S50" s="1639" t="b">
        <f ca="1">S15=2</f>
        <v>0</v>
      </c>
      <c r="W50" s="1644" t="str">
        <f ca="1">IF(S50,IF('Verification Report'!O1709&gt;0,"Met", "Not Met"),"N/A")</f>
        <v>N/A</v>
      </c>
      <c r="AF50"/>
      <c r="AX50" s="1640" t="str">
        <f>'Overview (Design)'!A49</f>
        <v>Thermal Envelope Insulation:</v>
      </c>
      <c r="AY50" s="1639">
        <f>'Overview (Design)'!G49</f>
        <v>0</v>
      </c>
    </row>
    <row r="51" spans="1:51" x14ac:dyDescent="0.25">
      <c r="A51"/>
      <c r="AF51"/>
      <c r="AX51" s="1640" t="str">
        <f>'Overview (Design)'!A50</f>
        <v>Attic Type:</v>
      </c>
      <c r="AY51" s="1639">
        <f>'Overview (Design)'!G50</f>
        <v>0</v>
      </c>
    </row>
    <row r="52" spans="1:51" x14ac:dyDescent="0.25">
      <c r="A52"/>
      <c r="AF52"/>
      <c r="AX52" s="1640" t="str">
        <f>'Overview (Design)'!A51</f>
        <v>Attached Garage:</v>
      </c>
      <c r="AY52" s="1639">
        <f>'Overview (Design)'!G51</f>
        <v>0</v>
      </c>
    </row>
    <row r="53" spans="1:51" x14ac:dyDescent="0.25">
      <c r="A53"/>
      <c r="C53" s="1638" t="s">
        <v>5686</v>
      </c>
      <c r="AF53"/>
      <c r="AX53" s="1640" t="str">
        <f>'Overview (Design)'!A52</f>
        <v>Recessed Lighting:</v>
      </c>
      <c r="AY53" s="1639">
        <f>'Overview (Design)'!G52</f>
        <v>0</v>
      </c>
    </row>
    <row r="54" spans="1:51" x14ac:dyDescent="0.25">
      <c r="A54"/>
      <c r="AF54"/>
      <c r="AX54" s="1640"/>
    </row>
    <row r="55" spans="1:51" x14ac:dyDescent="0.25">
      <c r="A55"/>
      <c r="C55" s="178" t="s">
        <v>5685</v>
      </c>
      <c r="D55" s="178"/>
      <c r="E55" s="178"/>
      <c r="F55" s="178"/>
      <c r="G55" s="178"/>
      <c r="H55" s="178"/>
      <c r="I55" s="178"/>
      <c r="J55" s="178"/>
      <c r="K55" s="178"/>
      <c r="L55" s="178"/>
      <c r="M55" s="178"/>
      <c r="N55" s="178"/>
      <c r="O55" s="1649"/>
      <c r="P55" s="1639" t="b">
        <v>1</v>
      </c>
      <c r="Q55" s="1639" t="b">
        <v>1</v>
      </c>
      <c r="R55" s="1639" t="b">
        <v>0</v>
      </c>
      <c r="S55" s="1639" t="b">
        <v>1</v>
      </c>
      <c r="T55" s="1639" t="b">
        <v>0</v>
      </c>
      <c r="W55" s="25"/>
      <c r="X55" s="1641"/>
      <c r="Y55" s="1647" t="str">
        <f>IF(LEN('WaterSense (Design)'!X55)=0,"None",'WaterSense (Design)'!X55)</f>
        <v>None</v>
      </c>
      <c r="AC55" s="1639" t="b">
        <f>OR(AD55,AE55)</f>
        <v>0</v>
      </c>
      <c r="AD55" s="1639" t="b">
        <f>T55</f>
        <v>0</v>
      </c>
      <c r="AE55" s="1639" t="b">
        <f>AND(R55,NOT(W55))</f>
        <v>0</v>
      </c>
      <c r="AF55"/>
      <c r="AL55" s="1639" t="s">
        <v>5732</v>
      </c>
      <c r="AP55" s="1688" t="str">
        <f>"vch"&amp;AL55</f>
        <v>vchWaterSenseIrrigation</v>
      </c>
      <c r="AQ55" s="254" t="str">
        <f>IF(LEN(W55)=0,"",W55)</f>
        <v/>
      </c>
      <c r="AR55" s="1639" t="str">
        <f>"vnt"&amp;AL55</f>
        <v>vntWaterSenseIrrigation</v>
      </c>
      <c r="AS55" s="254" t="str">
        <f>IF(LEN(X55)=0,"",X55)</f>
        <v/>
      </c>
      <c r="AX55" s="1640" t="str">
        <f>'Overview (Design)'!A54</f>
        <v>Special Design Features:</v>
      </c>
      <c r="AY55" s="1639">
        <f>'Overview (Design)'!G54</f>
        <v>0</v>
      </c>
    </row>
    <row r="56" spans="1:51" x14ac:dyDescent="0.25">
      <c r="A56"/>
      <c r="AF56"/>
      <c r="AX56" s="1640" t="str">
        <f>'Overview (Design)'!A55</f>
        <v>Passive Solar:</v>
      </c>
      <c r="AY56" s="1639">
        <f>'Overview (Design)'!G55</f>
        <v>0</v>
      </c>
    </row>
    <row r="57" spans="1:51" x14ac:dyDescent="0.25">
      <c r="A57"/>
      <c r="C57" s="1639" t="s">
        <v>5683</v>
      </c>
      <c r="AF57"/>
      <c r="AX57" s="1640" t="str">
        <f>'Overview (Design)'!A56</f>
        <v>Mass Walls:</v>
      </c>
      <c r="AY57" s="1639">
        <f>'Overview (Design)'!G56</f>
        <v>0</v>
      </c>
    </row>
    <row r="58" spans="1:51" x14ac:dyDescent="0.25">
      <c r="A58"/>
      <c r="AF58"/>
      <c r="AX58" s="1640" t="str">
        <f>'Overview (Design)'!A57</f>
        <v>Radiant/Hydronic:</v>
      </c>
      <c r="AY58" s="1639">
        <f>'Overview (Design)'!G57</f>
        <v>0</v>
      </c>
    </row>
    <row r="59" spans="1:51" x14ac:dyDescent="0.25">
      <c r="A59"/>
      <c r="C59" s="178" t="s">
        <v>5684</v>
      </c>
      <c r="D59" s="178"/>
      <c r="E59" s="178"/>
      <c r="F59" s="178"/>
      <c r="G59" s="178"/>
      <c r="H59" s="178"/>
      <c r="I59" s="178"/>
      <c r="J59" s="178"/>
      <c r="K59" s="178"/>
      <c r="L59" s="178"/>
      <c r="M59" s="178"/>
      <c r="N59" s="178"/>
      <c r="O59" s="1649"/>
      <c r="S59" s="1639" t="b">
        <f ca="1">AND(S15=1,NOT(W55=TRUE))</f>
        <v>0</v>
      </c>
      <c r="W59" s="1644" t="str">
        <f ca="1">IF(S59,IF('Verification Report'!O155&gt;0,"Met", "Not Met"),"N/A")</f>
        <v>N/A</v>
      </c>
      <c r="AF59"/>
      <c r="AX59" s="1640" t="str">
        <f>'Overview (Design)'!A58</f>
        <v>Tankless Water Heater:</v>
      </c>
      <c r="AY59" s="1639">
        <f>'Overview (Design)'!G58</f>
        <v>0</v>
      </c>
    </row>
    <row r="60" spans="1:51" x14ac:dyDescent="0.25">
      <c r="A60"/>
      <c r="AF60"/>
      <c r="AX60" s="1640" t="str">
        <f>'Overview (Design)'!A59</f>
        <v>Composting Toilet:</v>
      </c>
      <c r="AY60" s="1639">
        <f>'Overview (Design)'!G59</f>
        <v>0</v>
      </c>
    </row>
    <row r="61" spans="1:51" x14ac:dyDescent="0.25">
      <c r="A61"/>
      <c r="C61" s="8" t="s">
        <v>5687</v>
      </c>
      <c r="AF61"/>
      <c r="AX61" s="1640"/>
    </row>
    <row r="62" spans="1:51" x14ac:dyDescent="0.25">
      <c r="A62"/>
      <c r="AF62"/>
      <c r="AX62" s="1640" t="str">
        <f>'Overview (Design)'!A61</f>
        <v>Local Energy Code:</v>
      </c>
      <c r="AY62" s="1639">
        <f>'Overview (Design)'!G61</f>
        <v>0</v>
      </c>
    </row>
    <row r="63" spans="1:51" ht="15" customHeight="1" x14ac:dyDescent="0.25">
      <c r="A63"/>
      <c r="C63" s="1639" t="s">
        <v>5688</v>
      </c>
      <c r="S63" s="1639" t="b">
        <f ca="1">AND(S15=2,NOT(W55=TRUE))</f>
        <v>0</v>
      </c>
      <c r="W63" s="1644" t="str">
        <f ca="1">IF(S63,IF('Verification Report'!O1793&gt;0,"Met", "Not Met"),"N/A")</f>
        <v>N/A</v>
      </c>
      <c r="AF63"/>
      <c r="AX63" s="1640" t="str">
        <f>'Overview (Design)'!A62</f>
        <v>Local Building Code:</v>
      </c>
      <c r="AY63" s="1639">
        <f>'Overview (Design)'!G62</f>
        <v>0</v>
      </c>
    </row>
    <row r="64" spans="1:51" x14ac:dyDescent="0.25">
      <c r="A64"/>
      <c r="AF64"/>
      <c r="AX64" s="1640"/>
    </row>
    <row r="65" spans="1:51" x14ac:dyDescent="0.25">
      <c r="A65"/>
      <c r="C65" s="1445" t="s">
        <v>5241</v>
      </c>
      <c r="AF65"/>
      <c r="AX65" s="1640" t="str">
        <f>'Overview (Design)'!A64</f>
        <v>Who completed this information?</v>
      </c>
      <c r="AY65" s="1639">
        <f>'Overview (Design)'!G64</f>
        <v>0</v>
      </c>
    </row>
    <row r="66" spans="1:51" x14ac:dyDescent="0.25">
      <c r="A66"/>
      <c r="C66" s="1640" t="s">
        <v>3458</v>
      </c>
      <c r="D66" s="2018" t="s">
        <v>5689</v>
      </c>
      <c r="E66" s="2018"/>
      <c r="F66" s="2018"/>
      <c r="G66" s="2018"/>
      <c r="H66" s="2018"/>
      <c r="I66" s="2018"/>
      <c r="J66" s="2018"/>
      <c r="K66" s="2018"/>
      <c r="L66" s="2018"/>
      <c r="M66" s="2018"/>
      <c r="N66" s="2018"/>
      <c r="O66" s="2018"/>
      <c r="AF66"/>
      <c r="AX66" s="1640"/>
    </row>
    <row r="67" spans="1:51" x14ac:dyDescent="0.25">
      <c r="A67"/>
      <c r="C67" s="1640"/>
      <c r="D67" s="2018"/>
      <c r="E67" s="2018"/>
      <c r="F67" s="2018"/>
      <c r="G67" s="2018"/>
      <c r="H67" s="2018"/>
      <c r="I67" s="2018"/>
      <c r="J67" s="2018"/>
      <c r="K67" s="2018"/>
      <c r="L67" s="2018"/>
      <c r="M67" s="2018"/>
      <c r="N67" s="2018"/>
      <c r="O67" s="2018"/>
      <c r="AF67"/>
      <c r="AX67" s="1640"/>
    </row>
    <row r="68" spans="1:51" x14ac:dyDescent="0.25">
      <c r="A68"/>
      <c r="C68" s="647" t="s">
        <v>3458</v>
      </c>
      <c r="D68" s="2019" t="s">
        <v>5690</v>
      </c>
      <c r="E68" s="2019"/>
      <c r="F68" s="2019"/>
      <c r="G68" s="2019"/>
      <c r="H68" s="2019"/>
      <c r="I68" s="2019"/>
      <c r="J68" s="2019"/>
      <c r="K68" s="2019"/>
      <c r="L68" s="2019"/>
      <c r="M68" s="2019"/>
      <c r="N68" s="2019"/>
      <c r="O68" s="2019"/>
      <c r="AF68"/>
      <c r="AX68" s="1640"/>
    </row>
    <row r="69" spans="1:51" x14ac:dyDescent="0.25">
      <c r="A69"/>
      <c r="C69" s="94"/>
      <c r="D69" s="2019"/>
      <c r="E69" s="2019"/>
      <c r="F69" s="2019"/>
      <c r="G69" s="2019"/>
      <c r="H69" s="2019"/>
      <c r="I69" s="2019"/>
      <c r="J69" s="2019"/>
      <c r="K69" s="2019"/>
      <c r="L69" s="2019"/>
      <c r="M69" s="2019"/>
      <c r="N69" s="2019"/>
      <c r="O69" s="2019"/>
      <c r="AF69"/>
      <c r="AX69" s="1640"/>
    </row>
    <row r="70" spans="1:51" x14ac:dyDescent="0.25">
      <c r="A70"/>
      <c r="C70" s="178"/>
      <c r="D70" s="2020"/>
      <c r="E70" s="2020"/>
      <c r="F70" s="2020"/>
      <c r="G70" s="2020"/>
      <c r="H70" s="2020"/>
      <c r="I70" s="2020"/>
      <c r="J70" s="2020"/>
      <c r="K70" s="2020"/>
      <c r="L70" s="2020"/>
      <c r="M70" s="2020"/>
      <c r="N70" s="2020"/>
      <c r="O70" s="2020"/>
      <c r="AF70"/>
      <c r="AX70" s="1640"/>
    </row>
    <row r="71" spans="1:51" x14ac:dyDescent="0.25">
      <c r="A71"/>
      <c r="D71" s="1645"/>
      <c r="E71" s="1645"/>
      <c r="F71" s="1645"/>
      <c r="G71" s="1645"/>
      <c r="H71" s="1645"/>
      <c r="I71" s="1645"/>
      <c r="J71" s="1645"/>
      <c r="K71" s="1645"/>
      <c r="L71" s="1645"/>
      <c r="M71" s="1645"/>
      <c r="N71" s="1645"/>
      <c r="O71" s="1645"/>
      <c r="AF71"/>
      <c r="AX71" s="1640"/>
    </row>
    <row r="72" spans="1:51" x14ac:dyDescent="0.25">
      <c r="A72"/>
      <c r="C72" s="8" t="s">
        <v>5691</v>
      </c>
      <c r="D72" s="1645"/>
      <c r="E72" s="1645"/>
      <c r="F72" s="1645"/>
      <c r="G72" s="1645"/>
      <c r="H72" s="1645"/>
      <c r="I72" s="1645"/>
      <c r="J72" s="1645"/>
      <c r="K72" s="1645"/>
      <c r="L72" s="1645"/>
      <c r="M72" s="1645"/>
      <c r="N72" s="1645"/>
      <c r="O72" s="1645"/>
      <c r="AF72"/>
      <c r="AX72" s="1640"/>
    </row>
    <row r="73" spans="1:51" x14ac:dyDescent="0.25">
      <c r="A73"/>
      <c r="D73" s="1645"/>
      <c r="E73" s="1645"/>
      <c r="F73" s="1645"/>
      <c r="G73" s="1645"/>
      <c r="H73" s="1645"/>
      <c r="I73" s="1645"/>
      <c r="J73" s="1645"/>
      <c r="K73" s="1645"/>
      <c r="L73" s="1645"/>
      <c r="M73" s="1645"/>
      <c r="N73" s="1645"/>
      <c r="O73" s="1645"/>
      <c r="AF73"/>
      <c r="AX73" s="1640"/>
    </row>
    <row r="74" spans="1:51" x14ac:dyDescent="0.25">
      <c r="A74"/>
      <c r="C74" s="1639" t="s">
        <v>5692</v>
      </c>
      <c r="D74" s="1645"/>
      <c r="E74" s="1645"/>
      <c r="F74" s="1645"/>
      <c r="G74" s="1645"/>
      <c r="H74" s="1645"/>
      <c r="I74" s="1645"/>
      <c r="J74" s="1645"/>
      <c r="K74" s="1645"/>
      <c r="L74" s="1645"/>
      <c r="M74" s="1645"/>
      <c r="N74" s="1645"/>
      <c r="O74" s="1645"/>
      <c r="S74" s="1639" t="b">
        <f ca="1">AND(S15=2,NOT(W55=TRUE))</f>
        <v>0</v>
      </c>
      <c r="W74" s="1644" t="str">
        <f ca="1">IF(S74,IF('Verification Report'!O1785&gt;0,"Met", "Not Met"),"N/A")</f>
        <v>N/A</v>
      </c>
      <c r="AF74"/>
      <c r="AX74" s="1640"/>
    </row>
    <row r="75" spans="1:51" x14ac:dyDescent="0.25">
      <c r="A75"/>
      <c r="D75" s="1645"/>
      <c r="E75" s="1645"/>
      <c r="F75" s="1645"/>
      <c r="G75" s="1645"/>
      <c r="H75" s="1645"/>
      <c r="I75" s="1645"/>
      <c r="J75" s="1645"/>
      <c r="K75" s="1645"/>
      <c r="L75" s="1645"/>
      <c r="M75" s="1645"/>
      <c r="N75" s="1645"/>
      <c r="O75" s="1645"/>
      <c r="AF75"/>
      <c r="AX75" s="1640"/>
    </row>
    <row r="76" spans="1:51" ht="15" customHeight="1" x14ac:dyDescent="0.25">
      <c r="A76"/>
      <c r="C76" s="1445" t="s">
        <v>5241</v>
      </c>
      <c r="D76" s="1645"/>
      <c r="E76" s="1645"/>
      <c r="F76" s="1645"/>
      <c r="G76" s="1645"/>
      <c r="H76" s="1645"/>
      <c r="I76" s="1645"/>
      <c r="J76" s="1645"/>
      <c r="K76" s="1645"/>
      <c r="L76" s="1645"/>
      <c r="M76" s="1645"/>
      <c r="N76" s="1645"/>
      <c r="O76" s="1645"/>
      <c r="AF76"/>
      <c r="AX76" s="1640"/>
    </row>
    <row r="77" spans="1:51" ht="15.75" customHeight="1" x14ac:dyDescent="0.25">
      <c r="A77"/>
      <c r="C77" s="1640" t="s">
        <v>3458</v>
      </c>
      <c r="D77" s="86" t="s">
        <v>5694</v>
      </c>
      <c r="E77" s="1645"/>
      <c r="F77" s="1645"/>
      <c r="G77" s="1645"/>
      <c r="H77" s="1645"/>
      <c r="I77" s="1645"/>
      <c r="J77" s="1645"/>
      <c r="K77" s="1645"/>
      <c r="L77" s="1645"/>
      <c r="M77" s="1645"/>
      <c r="N77" s="1645"/>
      <c r="O77" s="1645"/>
      <c r="AF77"/>
      <c r="AX77" s="1640"/>
    </row>
    <row r="78" spans="1:51" x14ac:dyDescent="0.25">
      <c r="A78"/>
      <c r="C78" s="94"/>
      <c r="D78" s="2021" t="s">
        <v>5693</v>
      </c>
      <c r="E78" s="2021"/>
      <c r="F78" s="2021"/>
      <c r="G78" s="2021"/>
      <c r="H78" s="2021"/>
      <c r="I78" s="2021"/>
      <c r="J78" s="2021"/>
      <c r="K78" s="1650"/>
      <c r="L78" s="1650"/>
      <c r="M78" s="1650"/>
      <c r="N78" s="1650"/>
      <c r="O78" s="1650"/>
      <c r="AF78"/>
      <c r="AX78" s="1640"/>
    </row>
    <row r="79" spans="1:51" x14ac:dyDescent="0.25">
      <c r="A79"/>
      <c r="C79" s="178"/>
      <c r="D79" s="1652" t="s">
        <v>5695</v>
      </c>
      <c r="E79" s="1651"/>
      <c r="F79" s="1651"/>
      <c r="G79" s="1651"/>
      <c r="H79" s="1651"/>
      <c r="I79" s="1651"/>
      <c r="J79" s="1651"/>
      <c r="K79" s="1651"/>
      <c r="L79" s="1651"/>
      <c r="M79" s="1651"/>
      <c r="N79" s="1651"/>
      <c r="O79" s="1651"/>
      <c r="AF79"/>
      <c r="AX79" s="1640"/>
    </row>
    <row r="80" spans="1:51" x14ac:dyDescent="0.25">
      <c r="A80"/>
      <c r="D80" s="1645"/>
      <c r="E80" s="1645"/>
      <c r="F80" s="1645"/>
      <c r="G80" s="1645"/>
      <c r="H80" s="1645"/>
      <c r="I80" s="1645"/>
      <c r="J80" s="1645"/>
      <c r="K80" s="1645"/>
      <c r="L80" s="1645"/>
      <c r="M80" s="1645"/>
      <c r="N80" s="1645"/>
      <c r="O80" s="1645"/>
      <c r="AF80"/>
      <c r="AX80" s="1640"/>
    </row>
    <row r="81" spans="1:50" x14ac:dyDescent="0.25">
      <c r="A81"/>
      <c r="C81" s="1699" t="s">
        <v>5696</v>
      </c>
      <c r="D81" s="1699"/>
      <c r="E81" s="1699"/>
      <c r="F81" s="1699"/>
      <c r="G81" s="1699"/>
      <c r="H81" s="1699"/>
      <c r="I81" s="1699"/>
      <c r="J81" s="1699"/>
      <c r="K81" s="1699"/>
      <c r="L81" s="1699"/>
      <c r="M81" s="1699"/>
      <c r="N81" s="1699"/>
      <c r="O81" s="1699"/>
      <c r="AF81"/>
      <c r="AX81" s="1640"/>
    </row>
    <row r="82" spans="1:50" x14ac:dyDescent="0.25">
      <c r="A82"/>
      <c r="C82" s="1699"/>
      <c r="D82" s="1699"/>
      <c r="E82" s="1699"/>
      <c r="F82" s="1699"/>
      <c r="G82" s="1699"/>
      <c r="H82" s="1699"/>
      <c r="I82" s="1699"/>
      <c r="J82" s="1699"/>
      <c r="K82" s="1699"/>
      <c r="L82" s="1699"/>
      <c r="M82" s="1699"/>
      <c r="N82" s="1699"/>
      <c r="O82" s="1699"/>
      <c r="AF82"/>
      <c r="AX82" s="1640"/>
    </row>
    <row r="83" spans="1:50" x14ac:dyDescent="0.25">
      <c r="A83"/>
      <c r="D83" s="1645"/>
      <c r="E83" s="1645"/>
      <c r="F83" s="1645"/>
      <c r="G83" s="1645"/>
      <c r="H83" s="1645"/>
      <c r="I83" s="1645"/>
      <c r="J83" s="1645"/>
      <c r="K83" s="1645"/>
      <c r="L83" s="1645"/>
      <c r="M83" s="1645"/>
      <c r="N83" s="1645"/>
      <c r="O83" s="1645"/>
      <c r="AF83"/>
      <c r="AX83" s="1640"/>
    </row>
    <row r="84" spans="1:50" x14ac:dyDescent="0.25">
      <c r="A84"/>
      <c r="C84" s="1639" t="s">
        <v>4376</v>
      </c>
      <c r="D84" s="1645"/>
      <c r="E84" s="1645"/>
      <c r="F84" s="1645"/>
      <c r="G84" s="1645"/>
      <c r="H84" s="1645"/>
      <c r="I84" s="1645"/>
      <c r="J84" s="1645"/>
      <c r="K84" s="1645"/>
      <c r="L84" s="1645"/>
      <c r="M84" s="1645"/>
      <c r="N84" s="1645"/>
      <c r="O84" s="1645"/>
      <c r="S84" s="1639" t="b">
        <f ca="1">AND(S15=2,NOT(W55=TRUE))</f>
        <v>0</v>
      </c>
      <c r="W84" s="1644" t="str">
        <f ca="1">IF(S84,IF(OR('Verification Report'!W1772="Met",'Verification Report'!W1772="N/A"),"Met", "Not Met"),"N/A")</f>
        <v>N/A</v>
      </c>
      <c r="AF84"/>
      <c r="AX84" s="1640"/>
    </row>
    <row r="85" spans="1:50" x14ac:dyDescent="0.25">
      <c r="A85"/>
      <c r="D85" s="1645"/>
      <c r="E85" s="1645"/>
      <c r="F85" s="1645"/>
      <c r="G85" s="1645"/>
      <c r="H85" s="1645"/>
      <c r="I85" s="1645"/>
      <c r="J85" s="1645"/>
      <c r="K85" s="1645"/>
      <c r="L85" s="1645"/>
      <c r="M85" s="1645"/>
      <c r="N85" s="1645"/>
      <c r="O85" s="1645"/>
      <c r="AF85"/>
      <c r="AX85" s="1640"/>
    </row>
    <row r="86" spans="1:50" ht="15" customHeight="1" x14ac:dyDescent="0.25">
      <c r="A86"/>
      <c r="C86" s="1445" t="s">
        <v>5241</v>
      </c>
      <c r="D86" s="1645"/>
      <c r="E86" s="1645"/>
      <c r="F86" s="1645"/>
      <c r="G86" s="1645"/>
      <c r="H86" s="1645"/>
      <c r="I86" s="1645"/>
      <c r="J86" s="1645"/>
      <c r="K86" s="1645"/>
      <c r="L86" s="1645"/>
      <c r="M86" s="1645"/>
      <c r="N86" s="1645"/>
      <c r="O86" s="1645"/>
      <c r="AF86"/>
      <c r="AX86" s="1640"/>
    </row>
    <row r="87" spans="1:50" x14ac:dyDescent="0.25">
      <c r="A87"/>
      <c r="C87" s="1640" t="s">
        <v>3458</v>
      </c>
      <c r="D87" s="1639" t="s">
        <v>5698</v>
      </c>
      <c r="AF87"/>
      <c r="AX87" s="1640"/>
    </row>
    <row r="88" spans="1:50" x14ac:dyDescent="0.25">
      <c r="A88"/>
      <c r="C88" s="1640"/>
      <c r="D88" s="1633" t="s">
        <v>5697</v>
      </c>
      <c r="AF88"/>
      <c r="AX88" s="1640"/>
    </row>
    <row r="89" spans="1:50" x14ac:dyDescent="0.25">
      <c r="A89"/>
      <c r="C89" s="1640" t="s">
        <v>3458</v>
      </c>
      <c r="D89" s="2022" t="s">
        <v>5720</v>
      </c>
      <c r="E89" s="2022"/>
      <c r="F89" s="2022"/>
      <c r="G89" s="2022"/>
      <c r="H89" s="2022"/>
      <c r="I89" s="2022"/>
      <c r="J89" s="2022"/>
      <c r="K89" s="2022"/>
      <c r="L89" s="2022"/>
      <c r="M89" s="2022"/>
      <c r="N89" s="2022"/>
      <c r="O89" s="2022"/>
      <c r="AF89"/>
      <c r="AX89" s="1640"/>
    </row>
    <row r="90" spans="1:50" x14ac:dyDescent="0.25">
      <c r="A90"/>
      <c r="C90" s="1640"/>
      <c r="D90" s="2022"/>
      <c r="E90" s="2022"/>
      <c r="F90" s="2022"/>
      <c r="G90" s="2022"/>
      <c r="H90" s="2022"/>
      <c r="I90" s="2022"/>
      <c r="J90" s="2022"/>
      <c r="K90" s="2022"/>
      <c r="L90" s="2022"/>
      <c r="M90" s="2022"/>
      <c r="N90" s="2022"/>
      <c r="O90" s="2022"/>
      <c r="AF90"/>
      <c r="AX90" s="1640"/>
    </row>
    <row r="91" spans="1:50" x14ac:dyDescent="0.25">
      <c r="A91"/>
      <c r="C91" s="1640"/>
      <c r="D91" s="2022"/>
      <c r="E91" s="2022"/>
      <c r="F91" s="2022"/>
      <c r="G91" s="2022"/>
      <c r="H91" s="2022"/>
      <c r="I91" s="2022"/>
      <c r="J91" s="2022"/>
      <c r="K91" s="2022"/>
      <c r="L91" s="2022"/>
      <c r="M91" s="2022"/>
      <c r="N91" s="2022"/>
      <c r="O91" s="2022"/>
      <c r="AF91"/>
      <c r="AX91" s="1640"/>
    </row>
    <row r="92" spans="1:50" x14ac:dyDescent="0.25">
      <c r="A92"/>
      <c r="C92" s="1640"/>
      <c r="D92" s="2022"/>
      <c r="E92" s="2022"/>
      <c r="F92" s="2022"/>
      <c r="G92" s="2022"/>
      <c r="H92" s="2022"/>
      <c r="I92" s="2022"/>
      <c r="J92" s="2022"/>
      <c r="K92" s="2022"/>
      <c r="L92" s="2022"/>
      <c r="M92" s="2022"/>
      <c r="N92" s="2022"/>
      <c r="O92" s="2022"/>
      <c r="AF92"/>
      <c r="AX92" s="1640"/>
    </row>
    <row r="93" spans="1:50" x14ac:dyDescent="0.25">
      <c r="A93"/>
      <c r="C93" s="1640"/>
      <c r="D93" s="2022"/>
      <c r="E93" s="2022"/>
      <c r="F93" s="2022"/>
      <c r="G93" s="2022"/>
      <c r="H93" s="2022"/>
      <c r="I93" s="2022"/>
      <c r="J93" s="2022"/>
      <c r="K93" s="2022"/>
      <c r="L93" s="2022"/>
      <c r="M93" s="2022"/>
      <c r="N93" s="2022"/>
      <c r="O93" s="2022"/>
      <c r="AF93"/>
      <c r="AX93" s="1640"/>
    </row>
    <row r="94" spans="1:50" x14ac:dyDescent="0.25">
      <c r="A94"/>
      <c r="C94" s="1640"/>
      <c r="AF94"/>
      <c r="AX94" s="1640"/>
    </row>
    <row r="95" spans="1:50" x14ac:dyDescent="0.25">
      <c r="A95"/>
      <c r="C95" s="1640"/>
      <c r="AF95"/>
      <c r="AX95" s="1640"/>
    </row>
    <row r="96" spans="1:50" x14ac:dyDescent="0.25">
      <c r="A96"/>
      <c r="C96" s="1638" t="s">
        <v>5651</v>
      </c>
      <c r="AF96"/>
      <c r="AX96" s="1640"/>
    </row>
    <row r="97" spans="1:50" ht="15" customHeight="1" x14ac:dyDescent="0.25">
      <c r="A97"/>
      <c r="AF97"/>
      <c r="AX97" s="1640"/>
    </row>
    <row r="98" spans="1:50" x14ac:dyDescent="0.25">
      <c r="A98"/>
      <c r="B98" s="1528"/>
      <c r="C98" s="1639" t="s">
        <v>5652</v>
      </c>
      <c r="S98" s="1639" t="b">
        <f ca="1">S15=1</f>
        <v>0</v>
      </c>
      <c r="W98" s="1644" t="str">
        <f ca="1">IF(S98,IF(AND(LEN('Verification Report'!W1868)&gt;0,'Verification Report'!W1868&lt;=64),"Met", "Not Met"),"N/A")</f>
        <v>N/A</v>
      </c>
      <c r="AF98"/>
      <c r="AX98" s="1640"/>
    </row>
    <row r="99" spans="1:50" x14ac:dyDescent="0.25">
      <c r="A99"/>
      <c r="AF99"/>
      <c r="AX99" s="1640"/>
    </row>
    <row r="100" spans="1:50" x14ac:dyDescent="0.25">
      <c r="A100"/>
      <c r="AF100"/>
      <c r="AX100" s="1640"/>
    </row>
    <row r="101" spans="1:50" x14ac:dyDescent="0.25">
      <c r="A101"/>
      <c r="C101" s="1638" t="s">
        <v>5653</v>
      </c>
      <c r="AF101"/>
      <c r="AX101" s="1640"/>
    </row>
    <row r="102" spans="1:50" ht="15" customHeight="1" x14ac:dyDescent="0.25">
      <c r="A102"/>
      <c r="AF102"/>
      <c r="AX102" s="1640"/>
    </row>
    <row r="103" spans="1:50" ht="15" customHeight="1" x14ac:dyDescent="0.25">
      <c r="A103"/>
      <c r="B103" s="1528"/>
      <c r="C103" s="1639" t="s">
        <v>5699</v>
      </c>
      <c r="AF103"/>
      <c r="AX103" s="1640"/>
    </row>
    <row r="104" spans="1:50" ht="15.75" customHeight="1" x14ac:dyDescent="0.25">
      <c r="A104"/>
      <c r="AF104"/>
      <c r="AX104" s="1640"/>
    </row>
    <row r="105" spans="1:50" x14ac:dyDescent="0.25">
      <c r="A105"/>
      <c r="C105" s="1639" t="s">
        <v>5700</v>
      </c>
      <c r="S105" s="1639" t="b">
        <f ca="1">S15=2</f>
        <v>0</v>
      </c>
      <c r="W105" s="1644" t="str">
        <f ca="1">IF(S105,IF('Verification Report'!O1741&gt;3,"Met", "Not Met"),"N/A")</f>
        <v>N/A</v>
      </c>
      <c r="AF105"/>
      <c r="AX105" s="1640"/>
    </row>
    <row r="106" spans="1:50" x14ac:dyDescent="0.25">
      <c r="A106"/>
      <c r="AF106"/>
      <c r="AX106" s="1640"/>
    </row>
    <row r="107" spans="1:50" x14ac:dyDescent="0.25">
      <c r="A107"/>
      <c r="AF107"/>
      <c r="AX107" s="1640"/>
    </row>
    <row r="108" spans="1:50" x14ac:dyDescent="0.25">
      <c r="A108"/>
      <c r="C108" s="1638" t="s">
        <v>5701</v>
      </c>
      <c r="AF108"/>
      <c r="AX108" s="1640"/>
    </row>
    <row r="109" spans="1:50" x14ac:dyDescent="0.25">
      <c r="A109"/>
      <c r="W109" s="1640" t="s">
        <v>5705</v>
      </c>
      <c r="AF109"/>
      <c r="AX109" s="1640"/>
    </row>
    <row r="110" spans="1:50" x14ac:dyDescent="0.25">
      <c r="A110"/>
      <c r="C110" s="1639" t="s">
        <v>5702</v>
      </c>
      <c r="P110" s="1639" t="b">
        <v>1</v>
      </c>
      <c r="Q110" s="1639" t="b">
        <v>1</v>
      </c>
      <c r="R110" s="1639" t="b">
        <v>0</v>
      </c>
      <c r="S110" s="1639" t="b">
        <v>1</v>
      </c>
      <c r="T110" s="1639" t="b">
        <v>0</v>
      </c>
      <c r="W110" s="25"/>
      <c r="X110" s="1641"/>
      <c r="Y110" s="1647" t="str">
        <f>IF(LEN('WaterSense (Design)'!X110)=0,"None",'WaterSense (Design)'!X110)</f>
        <v>None</v>
      </c>
      <c r="AC110" s="1639" t="b">
        <f>OR(AD110,AE110)</f>
        <v>0</v>
      </c>
      <c r="AD110" s="1639" t="b">
        <f>T110</f>
        <v>0</v>
      </c>
      <c r="AE110" s="1639" t="b">
        <f>AND(R110,NOT(W110))</f>
        <v>0</v>
      </c>
      <c r="AF110"/>
      <c r="AL110" s="1639" t="s">
        <v>5735</v>
      </c>
      <c r="AP110" s="1688" t="str">
        <f>"vch"&amp;AL110</f>
        <v>vchWaterSenseClothesWasher</v>
      </c>
      <c r="AQ110" s="254" t="str">
        <f>IF(LEN(W110)=0,"",W110)</f>
        <v/>
      </c>
      <c r="AR110" s="1639" t="str">
        <f>"vnt"&amp;AL110</f>
        <v>vntWaterSenseClothesWasher</v>
      </c>
      <c r="AS110" s="254" t="str">
        <f>IF(LEN(X110)=0,"",X110)</f>
        <v/>
      </c>
      <c r="AX110" s="1640"/>
    </row>
    <row r="111" spans="1:50" x14ac:dyDescent="0.25">
      <c r="A111"/>
      <c r="AF111"/>
      <c r="AX111" s="1640"/>
    </row>
    <row r="112" spans="1:50" ht="15" customHeight="1" x14ac:dyDescent="0.25">
      <c r="A112"/>
      <c r="C112" s="178" t="s">
        <v>5703</v>
      </c>
      <c r="D112" s="178"/>
      <c r="E112" s="178"/>
      <c r="F112" s="178"/>
      <c r="G112" s="178"/>
      <c r="H112" s="178"/>
      <c r="I112" s="178"/>
      <c r="J112" s="178"/>
      <c r="K112" s="178"/>
      <c r="L112" s="178"/>
      <c r="M112" s="178"/>
      <c r="N112" s="178"/>
      <c r="O112" s="1649"/>
      <c r="S112" s="1639" t="b">
        <f ca="1">AND(S15=2,NOT(W110=TRUE))</f>
        <v>0</v>
      </c>
      <c r="W112" s="1644" t="str">
        <f ca="1">IF(S112,IF('Verification Report'!O1685=18,"Met", "Not Met"),"N/A")</f>
        <v>N/A</v>
      </c>
      <c r="AF112"/>
      <c r="AX112" s="1640"/>
    </row>
    <row r="113" spans="1:50" x14ac:dyDescent="0.25">
      <c r="A113"/>
      <c r="AF113"/>
      <c r="AX113" s="1640"/>
    </row>
    <row r="114" spans="1:50" x14ac:dyDescent="0.25">
      <c r="A114"/>
      <c r="W114" s="1640" t="s">
        <v>5705</v>
      </c>
      <c r="AF114"/>
      <c r="AX114" s="1640"/>
    </row>
    <row r="115" spans="1:50" x14ac:dyDescent="0.25">
      <c r="A115"/>
      <c r="C115" s="1639" t="s">
        <v>5704</v>
      </c>
      <c r="P115" s="1639" t="b">
        <v>1</v>
      </c>
      <c r="Q115" s="1639" t="b">
        <v>1</v>
      </c>
      <c r="R115" s="1639" t="b">
        <v>0</v>
      </c>
      <c r="S115" s="1639" t="b">
        <v>1</v>
      </c>
      <c r="T115" s="1639" t="b">
        <v>0</v>
      </c>
      <c r="W115" s="25"/>
      <c r="X115" s="1641"/>
      <c r="Y115" s="1647" t="str">
        <f>IF(LEN('WaterSense (Design)'!X115)=0,"None",'WaterSense (Design)'!X115)</f>
        <v>None</v>
      </c>
      <c r="AC115" s="1639" t="b">
        <f>OR(AD115,AE115)</f>
        <v>0</v>
      </c>
      <c r="AD115" s="1639" t="b">
        <f>T115</f>
        <v>0</v>
      </c>
      <c r="AE115" s="1639" t="b">
        <f>AND(R115,NOT(W115))</f>
        <v>0</v>
      </c>
      <c r="AF115"/>
      <c r="AL115" s="1639" t="s">
        <v>5734</v>
      </c>
      <c r="AP115" s="1688" t="str">
        <f>"vch"&amp;AL115</f>
        <v>vchWaterSenseDishwasher</v>
      </c>
      <c r="AQ115" s="254" t="str">
        <f>IF(LEN(W115)=0,"",W115)</f>
        <v/>
      </c>
      <c r="AR115" s="1639" t="str">
        <f>"vnt"&amp;AL115</f>
        <v>vntWaterSenseDishwasher</v>
      </c>
      <c r="AS115" s="254" t="str">
        <f>IF(LEN(X115)=0,"",X115)</f>
        <v/>
      </c>
      <c r="AX115" s="1640"/>
    </row>
    <row r="116" spans="1:50" x14ac:dyDescent="0.25">
      <c r="A116"/>
      <c r="AF116"/>
      <c r="AX116" s="1640"/>
    </row>
    <row r="117" spans="1:50" x14ac:dyDescent="0.25">
      <c r="A117"/>
      <c r="C117" s="1639" t="s">
        <v>5716</v>
      </c>
      <c r="S117" s="1639" t="b">
        <f ca="1">AND(S15=2,NOT(W115=TRUE))</f>
        <v>0</v>
      </c>
      <c r="W117" s="1644" t="str">
        <f ca="1">IF(S117,IF('Verification Report'!O1684&gt;0,"Met", "Not Met"),"N/A")</f>
        <v>N/A</v>
      </c>
      <c r="AF117"/>
      <c r="AX117" s="1640"/>
    </row>
    <row r="118" spans="1:50" x14ac:dyDescent="0.25">
      <c r="A118"/>
      <c r="AF118"/>
      <c r="AX118" s="1640"/>
    </row>
    <row r="119" spans="1:50" x14ac:dyDescent="0.25">
      <c r="A119"/>
      <c r="AF119"/>
      <c r="AX119" s="1640"/>
    </row>
    <row r="120" spans="1:50" x14ac:dyDescent="0.25">
      <c r="A120"/>
      <c r="C120" s="1638" t="s">
        <v>5706</v>
      </c>
      <c r="AF120"/>
      <c r="AX120" s="1640"/>
    </row>
    <row r="121" spans="1:50" x14ac:dyDescent="0.25">
      <c r="A121"/>
      <c r="AF121"/>
      <c r="AX121" s="1640"/>
    </row>
    <row r="122" spans="1:50" x14ac:dyDescent="0.25">
      <c r="A122"/>
      <c r="C122" s="2018" t="s">
        <v>5707</v>
      </c>
      <c r="D122" s="2018"/>
      <c r="E122" s="2018"/>
      <c r="F122" s="2018"/>
      <c r="G122" s="2018"/>
      <c r="H122" s="2018"/>
      <c r="I122" s="2018"/>
      <c r="J122" s="2018"/>
      <c r="K122" s="2018"/>
      <c r="L122" s="2018"/>
      <c r="M122" s="2018"/>
      <c r="N122" s="2018"/>
      <c r="O122" s="2018"/>
      <c r="AF122"/>
      <c r="AX122" s="1640"/>
    </row>
    <row r="123" spans="1:50" x14ac:dyDescent="0.25">
      <c r="A123"/>
      <c r="C123" s="2018"/>
      <c r="D123" s="2018"/>
      <c r="E123" s="2018"/>
      <c r="F123" s="2018"/>
      <c r="G123" s="2018"/>
      <c r="H123" s="2018"/>
      <c r="I123" s="2018"/>
      <c r="J123" s="2018"/>
      <c r="K123" s="2018"/>
      <c r="L123" s="2018"/>
      <c r="M123" s="2018"/>
      <c r="N123" s="2018"/>
      <c r="O123" s="2018"/>
      <c r="AF123"/>
      <c r="AX123" s="1640"/>
    </row>
    <row r="124" spans="1:50" x14ac:dyDescent="0.25">
      <c r="A124"/>
      <c r="AF124"/>
      <c r="AX124" s="1640"/>
    </row>
    <row r="125" spans="1:50" x14ac:dyDescent="0.25">
      <c r="A125"/>
      <c r="C125" s="1639" t="s">
        <v>5708</v>
      </c>
      <c r="S125" s="1639" t="b">
        <f ca="1">S15=2</f>
        <v>0</v>
      </c>
      <c r="W125" s="1644" t="str">
        <f ca="1">IF(S125,IF('Verification Report'!O1649&gt;8,"Met", "Not Met"),"N/A")</f>
        <v>N/A</v>
      </c>
      <c r="AF125"/>
      <c r="AX125" s="1640"/>
    </row>
    <row r="126" spans="1:50" x14ac:dyDescent="0.25">
      <c r="A126"/>
      <c r="AF126"/>
      <c r="AX126" s="1640"/>
    </row>
    <row r="127" spans="1:50" x14ac:dyDescent="0.25">
      <c r="A127"/>
      <c r="AF127"/>
      <c r="AX127" s="1640"/>
    </row>
    <row r="128" spans="1:50" x14ac:dyDescent="0.25">
      <c r="A128"/>
      <c r="C128" s="1638" t="s">
        <v>5709</v>
      </c>
      <c r="AF128"/>
      <c r="AX128" s="1640"/>
    </row>
    <row r="129" spans="1:50" x14ac:dyDescent="0.25">
      <c r="A129"/>
      <c r="AF129"/>
      <c r="AX129" s="1640"/>
    </row>
    <row r="130" spans="1:50" x14ac:dyDescent="0.25">
      <c r="A130"/>
      <c r="C130" s="1639" t="s">
        <v>5710</v>
      </c>
      <c r="S130" s="1639" t="b">
        <f ca="1">AND(S15=2,(AY19=INDEX(INDIRECT("ddSingleOrMulti"),2)))</f>
        <v>0</v>
      </c>
      <c r="W130" s="1644" t="str">
        <f ca="1">IF(S130,IF(OR(W132=TRUE,W136="Met",W143="Met"),"Met", "Not Met"),"N/A")</f>
        <v>N/A</v>
      </c>
      <c r="AF130"/>
      <c r="AX130" s="1640"/>
    </row>
    <row r="131" spans="1:50" x14ac:dyDescent="0.25">
      <c r="A131"/>
      <c r="AF131"/>
      <c r="AX131" s="1640"/>
    </row>
    <row r="132" spans="1:50" x14ac:dyDescent="0.25">
      <c r="A132"/>
      <c r="C132" s="178" t="s">
        <v>5711</v>
      </c>
      <c r="D132" s="178"/>
      <c r="E132" s="178"/>
      <c r="F132" s="178"/>
      <c r="G132" s="178"/>
      <c r="H132" s="178"/>
      <c r="I132" s="178"/>
      <c r="J132" s="178"/>
      <c r="K132" s="178"/>
      <c r="L132" s="178"/>
      <c r="M132" s="178"/>
      <c r="N132" s="178"/>
      <c r="O132" s="1649"/>
      <c r="P132" s="1639" t="b">
        <v>1</v>
      </c>
      <c r="Q132" s="1639" t="b">
        <v>1</v>
      </c>
      <c r="R132" s="1639" t="b">
        <v>0</v>
      </c>
      <c r="S132" s="1639" t="b">
        <v>1</v>
      </c>
      <c r="T132" s="1639" t="b">
        <v>0</v>
      </c>
      <c r="W132" s="25"/>
      <c r="X132" s="1641"/>
      <c r="Y132" s="1647" t="str">
        <f>IF(LEN('WaterSense (Design)'!X132)=0,"None",'WaterSense (Design)'!X132)</f>
        <v>None</v>
      </c>
      <c r="AC132" s="1639" t="b">
        <f>OR(AD132,AE132)</f>
        <v>0</v>
      </c>
      <c r="AD132" s="1639" t="b">
        <f>T132</f>
        <v>0</v>
      </c>
      <c r="AE132" s="1639" t="b">
        <f>AND(R132,NOT(W132))</f>
        <v>0</v>
      </c>
      <c r="AF132"/>
      <c r="AL132" s="1639" t="s">
        <v>5733</v>
      </c>
      <c r="AP132" s="1688" t="str">
        <f>"vch"&amp;AL132</f>
        <v>vchWaterSenseOptionA</v>
      </c>
      <c r="AQ132" s="254" t="str">
        <f>IF(LEN(W132)=0,"",W132)</f>
        <v/>
      </c>
      <c r="AR132" s="1639" t="str">
        <f>"vnt"&amp;AL132</f>
        <v>vntWaterSenseOptionA</v>
      </c>
      <c r="AS132" s="254" t="str">
        <f>IF(LEN(X132)=0,"",X132)</f>
        <v/>
      </c>
      <c r="AX132" s="1640"/>
    </row>
    <row r="133" spans="1:50" x14ac:dyDescent="0.25">
      <c r="A133"/>
      <c r="AC133"/>
      <c r="AD133"/>
      <c r="AE133"/>
      <c r="AF133"/>
    </row>
    <row r="134" spans="1:50" x14ac:dyDescent="0.25">
      <c r="A134"/>
      <c r="C134" s="1639" t="s">
        <v>5712</v>
      </c>
      <c r="AC134"/>
      <c r="AD134"/>
      <c r="AE134"/>
      <c r="AF134"/>
    </row>
    <row r="135" spans="1:50" x14ac:dyDescent="0.25">
      <c r="A135"/>
      <c r="AC135"/>
      <c r="AD135"/>
      <c r="AE135"/>
      <c r="AF135"/>
    </row>
    <row r="136" spans="1:50" x14ac:dyDescent="0.25">
      <c r="A136"/>
      <c r="C136" s="178" t="s">
        <v>5713</v>
      </c>
      <c r="D136" s="178"/>
      <c r="E136" s="178"/>
      <c r="F136" s="178"/>
      <c r="G136" s="178"/>
      <c r="H136" s="178"/>
      <c r="I136" s="178"/>
      <c r="J136" s="178"/>
      <c r="K136" s="178"/>
      <c r="L136" s="178"/>
      <c r="M136" s="178"/>
      <c r="N136" s="178"/>
      <c r="O136" s="1649"/>
      <c r="S136" s="1639" t="b">
        <f ca="1">S130</f>
        <v>0</v>
      </c>
      <c r="W136" s="1644" t="str">
        <f ca="1">IF(S136,IF('Verification Report'!O1721&gt;0,"Met", "Not Met"),"N/A")</f>
        <v>N/A</v>
      </c>
      <c r="AC136"/>
      <c r="AD136"/>
      <c r="AE136"/>
      <c r="AF136"/>
    </row>
    <row r="137" spans="1:50" x14ac:dyDescent="0.25">
      <c r="A137"/>
      <c r="AC137"/>
      <c r="AD137"/>
      <c r="AE137"/>
      <c r="AF137"/>
    </row>
    <row r="138" spans="1:50" x14ac:dyDescent="0.25">
      <c r="A138"/>
      <c r="C138" s="1699" t="s">
        <v>5714</v>
      </c>
      <c r="D138" s="1699"/>
      <c r="E138" s="1699"/>
      <c r="F138" s="1699"/>
      <c r="G138" s="1699"/>
      <c r="H138" s="1699"/>
      <c r="I138" s="1699"/>
      <c r="J138" s="1699"/>
      <c r="K138" s="1699"/>
      <c r="L138" s="1699"/>
      <c r="M138" s="1699"/>
      <c r="N138" s="1699"/>
      <c r="O138" s="1699"/>
      <c r="AC138"/>
      <c r="AD138"/>
      <c r="AE138"/>
      <c r="AF138"/>
    </row>
    <row r="139" spans="1:50" x14ac:dyDescent="0.25">
      <c r="A139"/>
      <c r="C139" s="1699"/>
      <c r="D139" s="1699"/>
      <c r="E139" s="1699"/>
      <c r="F139" s="1699"/>
      <c r="G139" s="1699"/>
      <c r="H139" s="1699"/>
      <c r="I139" s="1699"/>
      <c r="J139" s="1699"/>
      <c r="K139" s="1699"/>
      <c r="L139" s="1699"/>
      <c r="M139" s="1699"/>
      <c r="N139" s="1699"/>
      <c r="O139" s="1699"/>
      <c r="AC139"/>
      <c r="AD139"/>
      <c r="AE139"/>
      <c r="AF139"/>
    </row>
    <row r="140" spans="1:50" x14ac:dyDescent="0.25">
      <c r="A140"/>
      <c r="C140" s="1699"/>
      <c r="D140" s="1699"/>
      <c r="E140" s="1699"/>
      <c r="F140" s="1699"/>
      <c r="G140" s="1699"/>
      <c r="H140" s="1699"/>
      <c r="I140" s="1699"/>
      <c r="J140" s="1699"/>
      <c r="K140" s="1699"/>
      <c r="L140" s="1699"/>
      <c r="M140" s="1699"/>
      <c r="N140" s="1699"/>
      <c r="O140" s="1699"/>
      <c r="AC140"/>
      <c r="AD140"/>
      <c r="AE140"/>
      <c r="AF140"/>
    </row>
    <row r="141" spans="1:50" x14ac:dyDescent="0.25">
      <c r="A141"/>
      <c r="C141" s="1699"/>
      <c r="D141" s="1699"/>
      <c r="E141" s="1699"/>
      <c r="F141" s="1699"/>
      <c r="G141" s="1699"/>
      <c r="H141" s="1699"/>
      <c r="I141" s="1699"/>
      <c r="J141" s="1699"/>
      <c r="K141" s="1699"/>
      <c r="L141" s="1699"/>
      <c r="M141" s="1699"/>
      <c r="N141" s="1699"/>
      <c r="O141" s="1699"/>
      <c r="AC141"/>
      <c r="AD141"/>
      <c r="AE141"/>
      <c r="AF141"/>
    </row>
    <row r="142" spans="1:50" x14ac:dyDescent="0.25">
      <c r="A142"/>
      <c r="AC142"/>
      <c r="AD142"/>
      <c r="AE142"/>
      <c r="AF142"/>
    </row>
    <row r="143" spans="1:50" x14ac:dyDescent="0.25">
      <c r="A143"/>
      <c r="C143" s="1639" t="s">
        <v>5715</v>
      </c>
      <c r="S143" s="1639" t="b">
        <f ca="1">S130</f>
        <v>0</v>
      </c>
      <c r="W143" s="1644" t="str">
        <f ca="1">IF(S143,IF('Verification Report'!O1649=9,"Met", "Not Met"),"N/A")</f>
        <v>N/A</v>
      </c>
      <c r="AC143"/>
      <c r="AD143"/>
      <c r="AE143"/>
      <c r="AF143"/>
    </row>
    <row r="144" spans="1:50" x14ac:dyDescent="0.25">
      <c r="A144"/>
      <c r="B144"/>
      <c r="C144"/>
      <c r="D144"/>
      <c r="E144"/>
      <c r="F144"/>
      <c r="G144"/>
      <c r="H144"/>
      <c r="I144"/>
      <c r="J144"/>
      <c r="K144"/>
      <c r="L144"/>
      <c r="M144"/>
      <c r="N144"/>
      <c r="O144"/>
      <c r="P144"/>
      <c r="Q144"/>
      <c r="R144"/>
      <c r="S144"/>
      <c r="T144"/>
      <c r="U144"/>
      <c r="V144"/>
      <c r="W144"/>
      <c r="X144"/>
      <c r="Y144"/>
      <c r="AC144"/>
      <c r="AD144"/>
      <c r="AE144"/>
      <c r="AF144"/>
    </row>
    <row r="145" spans="1:25" ht="15.75" thickBot="1" x14ac:dyDescent="0.3">
      <c r="B145" s="99"/>
      <c r="C145" s="99"/>
      <c r="D145" s="99"/>
      <c r="E145" s="99"/>
      <c r="F145" s="99"/>
      <c r="G145" s="99"/>
      <c r="H145" s="99"/>
      <c r="I145" s="99"/>
      <c r="J145" s="99"/>
      <c r="K145" s="99"/>
      <c r="L145" s="99"/>
      <c r="M145" s="99"/>
      <c r="N145" s="99"/>
      <c r="O145" s="1406"/>
      <c r="P145" s="99"/>
      <c r="Q145" s="99"/>
      <c r="R145" s="99"/>
      <c r="S145" s="99"/>
      <c r="T145" s="99"/>
      <c r="U145" s="99"/>
      <c r="V145" s="99"/>
      <c r="W145" s="1406"/>
      <c r="X145" s="99"/>
      <c r="Y145" s="99"/>
    </row>
    <row r="146" spans="1:25" ht="15.75" thickTop="1" x14ac:dyDescent="0.25"/>
    <row r="147" spans="1:25" ht="15.75" thickBot="1" x14ac:dyDescent="0.3">
      <c r="C147" s="2140" t="s">
        <v>3861</v>
      </c>
      <c r="D147" s="2140"/>
      <c r="E147" s="2140"/>
      <c r="F147" s="2140"/>
      <c r="G147" s="99"/>
      <c r="H147" s="99"/>
      <c r="I147" s="99"/>
      <c r="J147" s="99"/>
      <c r="K147" s="99"/>
      <c r="L147" s="99"/>
      <c r="M147" s="1406"/>
      <c r="N147" s="99"/>
      <c r="O147" s="99"/>
      <c r="P147" s="99"/>
      <c r="Q147" s="99"/>
      <c r="R147" s="99"/>
      <c r="S147" s="99"/>
      <c r="T147" s="99"/>
      <c r="U147" s="1406"/>
      <c r="V147" s="99"/>
      <c r="W147" s="99"/>
      <c r="X147" s="99"/>
      <c r="Y147" s="99"/>
    </row>
    <row r="148" spans="1:25" ht="15.75" thickTop="1" x14ac:dyDescent="0.25">
      <c r="E148" s="1636"/>
      <c r="F148" s="1636"/>
    </row>
    <row r="149" spans="1:25" x14ac:dyDescent="0.25">
      <c r="E149" s="2141" t="s">
        <v>5422</v>
      </c>
      <c r="F149" s="2141"/>
      <c r="G149" s="2141"/>
      <c r="H149" s="2141"/>
      <c r="I149" s="2141"/>
      <c r="J149" s="2141"/>
      <c r="K149" s="2141"/>
      <c r="L149" s="2141"/>
      <c r="M149" s="2141"/>
      <c r="N149" s="2141"/>
      <c r="O149" s="2141"/>
      <c r="P149" s="2141"/>
      <c r="Q149" s="2141"/>
      <c r="R149" s="2141"/>
      <c r="S149" s="2141"/>
      <c r="T149" s="2141"/>
      <c r="U149" s="2141"/>
      <c r="V149" s="2141"/>
      <c r="W149" s="2141"/>
      <c r="X149" s="2141"/>
      <c r="Y149" s="2141"/>
    </row>
    <row r="150" spans="1:25" x14ac:dyDescent="0.25">
      <c r="E150" s="2141"/>
      <c r="F150" s="2141"/>
      <c r="G150" s="2141"/>
      <c r="H150" s="2141"/>
      <c r="I150" s="2141"/>
      <c r="J150" s="2141"/>
      <c r="K150" s="2141"/>
      <c r="L150" s="2141"/>
      <c r="M150" s="2141"/>
      <c r="N150" s="2141"/>
      <c r="O150" s="2141"/>
      <c r="P150" s="2141"/>
      <c r="Q150" s="2141"/>
      <c r="R150" s="2141"/>
      <c r="S150" s="2141"/>
      <c r="T150" s="2141"/>
      <c r="U150" s="2141"/>
      <c r="V150" s="2141"/>
      <c r="W150" s="2141"/>
      <c r="X150" s="2141"/>
      <c r="Y150" s="2141"/>
    </row>
    <row r="151" spans="1:25" x14ac:dyDescent="0.25">
      <c r="C151" s="67"/>
      <c r="D151" s="604"/>
      <c r="E151" s="603"/>
      <c r="F151" s="603"/>
      <c r="G151" s="603"/>
      <c r="H151" s="603"/>
      <c r="I151" s="603"/>
      <c r="J151" s="603"/>
      <c r="K151" s="603"/>
    </row>
    <row r="152" spans="1:25" x14ac:dyDescent="0.25">
      <c r="C152" s="2134" t="s">
        <v>3863</v>
      </c>
      <c r="D152" s="2135"/>
      <c r="E152" s="2136"/>
      <c r="F152" s="2136"/>
      <c r="G152" s="2136"/>
      <c r="H152" s="2136"/>
      <c r="I152" s="2136"/>
      <c r="J152" s="2136"/>
      <c r="K152" s="2136"/>
      <c r="L152" s="2136"/>
    </row>
    <row r="153" spans="1:25" x14ac:dyDescent="0.25">
      <c r="C153" s="2135"/>
      <c r="D153" s="2135"/>
      <c r="E153" s="2136"/>
      <c r="F153" s="2136"/>
      <c r="G153" s="2136"/>
      <c r="H153" s="2136"/>
      <c r="I153" s="2136"/>
      <c r="J153" s="2136"/>
      <c r="K153" s="2136"/>
      <c r="L153" s="2136"/>
    </row>
    <row r="154" spans="1:25" ht="3" customHeight="1" x14ac:dyDescent="0.25">
      <c r="A154" s="1638"/>
      <c r="B154" s="1638"/>
      <c r="C154" s="605"/>
      <c r="D154" s="605"/>
      <c r="K154" s="334"/>
      <c r="L154" s="334"/>
      <c r="O154" s="1639"/>
      <c r="W154" s="1639"/>
    </row>
    <row r="155" spans="1:25" x14ac:dyDescent="0.25">
      <c r="B155" s="1712" t="s">
        <v>3862</v>
      </c>
      <c r="C155" s="1712"/>
      <c r="D155" s="2026"/>
      <c r="E155" s="2137"/>
      <c r="F155" s="2137"/>
      <c r="G155" s="2137"/>
      <c r="H155" s="2137"/>
      <c r="I155" s="2137"/>
      <c r="J155" s="2137"/>
      <c r="K155" s="2137"/>
      <c r="L155" s="2137"/>
      <c r="M155" s="2137"/>
      <c r="N155" s="2137"/>
      <c r="O155" s="2137"/>
      <c r="P155" s="2137"/>
      <c r="Q155" s="2137"/>
      <c r="R155" s="2137"/>
      <c r="S155" s="2137"/>
      <c r="T155" s="2137"/>
      <c r="U155" s="2137"/>
      <c r="V155" s="2137"/>
      <c r="W155" s="2137"/>
    </row>
    <row r="156" spans="1:25" x14ac:dyDescent="0.25">
      <c r="C156" s="1712"/>
      <c r="D156" s="1712"/>
      <c r="E156" s="2137"/>
      <c r="F156" s="2137"/>
      <c r="G156" s="2137"/>
      <c r="H156" s="2137"/>
      <c r="I156" s="2137"/>
      <c r="J156" s="2137"/>
      <c r="K156" s="2137"/>
      <c r="L156" s="2137"/>
      <c r="M156" s="2137"/>
      <c r="N156" s="2137"/>
      <c r="O156" s="2137"/>
      <c r="P156" s="2137"/>
      <c r="Q156" s="2137"/>
      <c r="R156" s="2137"/>
      <c r="S156" s="2137"/>
      <c r="T156" s="2137"/>
      <c r="U156" s="2137"/>
      <c r="V156" s="2137"/>
      <c r="W156" s="2137"/>
    </row>
    <row r="157" spans="1:25" x14ac:dyDescent="0.25">
      <c r="C157" s="1712"/>
      <c r="D157" s="1712"/>
      <c r="E157" s="2137"/>
      <c r="F157" s="2137"/>
      <c r="G157" s="2137"/>
      <c r="H157" s="2137"/>
      <c r="I157" s="2137"/>
      <c r="J157" s="2137"/>
      <c r="K157" s="2137"/>
      <c r="L157" s="2137"/>
      <c r="M157" s="2137"/>
      <c r="N157" s="2137"/>
      <c r="O157" s="2137"/>
      <c r="P157" s="2137"/>
      <c r="Q157" s="2137"/>
      <c r="R157" s="2137"/>
      <c r="S157" s="2137"/>
      <c r="T157" s="2137"/>
      <c r="U157" s="2137"/>
      <c r="V157" s="2137"/>
      <c r="W157" s="2137"/>
    </row>
    <row r="158" spans="1:25" ht="3" customHeight="1" x14ac:dyDescent="0.25">
      <c r="A158" s="1638"/>
      <c r="B158" s="1638"/>
      <c r="C158" s="605"/>
      <c r="D158" s="605"/>
      <c r="K158" s="334"/>
      <c r="L158" s="334"/>
      <c r="O158" s="1639"/>
      <c r="W158" s="1639"/>
    </row>
    <row r="159" spans="1:25" x14ac:dyDescent="0.25">
      <c r="C159" s="1712" t="s">
        <v>3857</v>
      </c>
      <c r="D159" s="1712"/>
      <c r="E159" s="2138"/>
      <c r="F159" s="2138"/>
      <c r="G159" s="2138"/>
      <c r="H159" s="2138"/>
      <c r="I159" s="2138"/>
    </row>
    <row r="160" spans="1:25" ht="3" customHeight="1" x14ac:dyDescent="0.25">
      <c r="A160" s="1638"/>
      <c r="B160" s="1638"/>
      <c r="C160" s="605"/>
      <c r="D160" s="605"/>
      <c r="K160" s="334"/>
      <c r="L160" s="334"/>
      <c r="O160" s="1639"/>
      <c r="W160" s="1639"/>
    </row>
    <row r="161" spans="1:23" x14ac:dyDescent="0.25">
      <c r="C161" s="1712" t="s">
        <v>3858</v>
      </c>
      <c r="D161" s="1712"/>
      <c r="E161" s="2138"/>
      <c r="F161" s="2138"/>
      <c r="G161" s="2138"/>
      <c r="H161" s="2138"/>
      <c r="I161" s="2138"/>
    </row>
    <row r="162" spans="1:23" ht="3" customHeight="1" x14ac:dyDescent="0.25">
      <c r="A162" s="1638"/>
      <c r="B162" s="1638"/>
      <c r="C162" s="605"/>
      <c r="D162" s="605"/>
      <c r="K162" s="334"/>
      <c r="L162" s="334"/>
      <c r="O162" s="1639"/>
      <c r="W162" s="1639"/>
    </row>
    <row r="163" spans="1:23" x14ac:dyDescent="0.25">
      <c r="C163" s="1712" t="s">
        <v>3859</v>
      </c>
      <c r="D163" s="1712"/>
      <c r="E163" s="2138"/>
      <c r="F163" s="2138"/>
      <c r="G163" s="2138"/>
      <c r="H163" s="2138"/>
      <c r="I163" s="2138"/>
    </row>
    <row r="164" spans="1:23" ht="3" customHeight="1" x14ac:dyDescent="0.25">
      <c r="A164" s="1638"/>
      <c r="B164" s="1638"/>
      <c r="C164" s="605"/>
      <c r="D164" s="605"/>
      <c r="K164" s="334"/>
      <c r="L164" s="334"/>
      <c r="O164" s="1639"/>
      <c r="W164" s="1639"/>
    </row>
    <row r="165" spans="1:23" x14ac:dyDescent="0.25">
      <c r="C165" s="1712" t="s">
        <v>3864</v>
      </c>
      <c r="D165" s="1712"/>
      <c r="E165" s="2138"/>
      <c r="F165" s="2138"/>
      <c r="G165" s="2138"/>
      <c r="H165" s="2138"/>
      <c r="I165" s="2138"/>
      <c r="J165" s="2139" t="s">
        <v>4099</v>
      </c>
      <c r="K165" s="2139"/>
    </row>
    <row r="166" spans="1:23" ht="3" customHeight="1" x14ac:dyDescent="0.25">
      <c r="A166" s="1638"/>
      <c r="B166" s="1638"/>
      <c r="C166" s="605"/>
      <c r="D166" s="605"/>
      <c r="J166" s="2139"/>
      <c r="K166" s="2139"/>
      <c r="L166" s="334"/>
      <c r="O166" s="1639"/>
      <c r="W166" s="1639"/>
    </row>
    <row r="167" spans="1:23" x14ac:dyDescent="0.25">
      <c r="C167" s="1712" t="s">
        <v>3865</v>
      </c>
      <c r="D167" s="1712"/>
      <c r="E167" s="2138"/>
      <c r="F167" s="2138"/>
      <c r="G167" s="2138"/>
      <c r="H167" s="2138"/>
      <c r="I167" s="2138"/>
      <c r="J167" s="2139"/>
      <c r="K167" s="2139"/>
    </row>
    <row r="168" spans="1:23" ht="3" customHeight="1" x14ac:dyDescent="0.25">
      <c r="A168" s="1638"/>
      <c r="B168" s="1638"/>
      <c r="C168" s="605"/>
      <c r="D168" s="605"/>
      <c r="K168" s="334"/>
      <c r="L168" s="334"/>
      <c r="O168" s="1639"/>
      <c r="W168" s="1639"/>
    </row>
    <row r="169" spans="1:23" x14ac:dyDescent="0.25">
      <c r="C169" s="1712" t="s">
        <v>3860</v>
      </c>
      <c r="D169" s="1712"/>
      <c r="E169" s="2138"/>
      <c r="F169" s="2138"/>
      <c r="G169" s="2138"/>
      <c r="H169" s="2138"/>
      <c r="I169" s="2138"/>
      <c r="J169" s="1648" t="s">
        <v>3866</v>
      </c>
    </row>
    <row r="170" spans="1:23" x14ac:dyDescent="0.25">
      <c r="F170" s="607"/>
    </row>
  </sheetData>
  <sheetProtection algorithmName="SHA-512" hashValue="dvIwgoLcU/3JqQtVYAVHbKnHVk/9iSQhWRBnuMztO3zJyyjyt3l5gOPFMX0xlBNvWyVlj1Jh7OzdysovDZvxYA==" saltValue="xEjJEbRsp0oZlNYOcn7p5A==" spinCount="100000" sheet="1" objects="1" scenarios="1" selectLockedCells="1"/>
  <mergeCells count="45">
    <mergeCell ref="G10:O11"/>
    <mergeCell ref="B10:E11"/>
    <mergeCell ref="W1:W3"/>
    <mergeCell ref="X1:Y1"/>
    <mergeCell ref="X2:Y2"/>
    <mergeCell ref="X3:Y3"/>
    <mergeCell ref="X4:Y4"/>
    <mergeCell ref="X5:Y5"/>
    <mergeCell ref="D78:J78"/>
    <mergeCell ref="C81:O82"/>
    <mergeCell ref="C20:M21"/>
    <mergeCell ref="X20:X21"/>
    <mergeCell ref="D66:O67"/>
    <mergeCell ref="D68:O70"/>
    <mergeCell ref="C169:D169"/>
    <mergeCell ref="E169:I169"/>
    <mergeCell ref="C159:D159"/>
    <mergeCell ref="E159:I159"/>
    <mergeCell ref="C161:D161"/>
    <mergeCell ref="E161:I161"/>
    <mergeCell ref="C163:D163"/>
    <mergeCell ref="E163:I163"/>
    <mergeCell ref="C165:D165"/>
    <mergeCell ref="E165:I165"/>
    <mergeCell ref="J165:K167"/>
    <mergeCell ref="C167:D167"/>
    <mergeCell ref="E167:I167"/>
    <mergeCell ref="D89:O93"/>
    <mergeCell ref="C122:O123"/>
    <mergeCell ref="C138:O141"/>
    <mergeCell ref="E149:Y150"/>
    <mergeCell ref="C152:D153"/>
    <mergeCell ref="E152:L153"/>
    <mergeCell ref="B155:D155"/>
    <mergeCell ref="E155:W157"/>
    <mergeCell ref="C156:D156"/>
    <mergeCell ref="C157:D157"/>
    <mergeCell ref="C147:F147"/>
    <mergeCell ref="Y20:Y21"/>
    <mergeCell ref="Y24:Y26"/>
    <mergeCell ref="Y28:Y29"/>
    <mergeCell ref="C24:M26"/>
    <mergeCell ref="X24:X26"/>
    <mergeCell ref="C28:M29"/>
    <mergeCell ref="X28:X29"/>
  </mergeCells>
  <conditionalFormatting sqref="E155 E159 E161 E163 E165 E167 E169">
    <cfRule type="notContainsBlanks" dxfId="175" priority="242">
      <formula>LEN(TRIM(E155))&gt;0</formula>
    </cfRule>
  </conditionalFormatting>
  <conditionalFormatting sqref="X2">
    <cfRule type="expression" dxfId="174" priority="135">
      <formula>$AG$3</formula>
    </cfRule>
  </conditionalFormatting>
  <conditionalFormatting sqref="X3">
    <cfRule type="expression" dxfId="173" priority="136">
      <formula>$AI$3</formula>
    </cfRule>
  </conditionalFormatting>
  <conditionalFormatting sqref="X1">
    <cfRule type="expression" dxfId="172" priority="137">
      <formula>verStartError</formula>
    </cfRule>
  </conditionalFormatting>
  <conditionalFormatting sqref="W18">
    <cfRule type="expression" dxfId="171" priority="57">
      <formula>OR($T$18 = TRUE, AND($W$18 = TRUE, $S$18 = FALSE))</formula>
    </cfRule>
    <cfRule type="expression" dxfId="170" priority="58">
      <formula>OR($S$18 = FALSE, AND($P$18 = FALSE, ReportType &lt;&gt; "Final"), AND($Q$18 = FALSE, ReportType &lt;&gt; "Rough"))</formula>
    </cfRule>
    <cfRule type="expression" dxfId="169" priority="59">
      <formula>AND(IF($R$18,$W$18,TRUE),LEN(TRIM($W$18))&gt;0)</formula>
    </cfRule>
    <cfRule type="expression" dxfId="168" priority="60">
      <formula>AND($R$18,$S$18)</formula>
    </cfRule>
  </conditionalFormatting>
  <conditionalFormatting sqref="W19">
    <cfRule type="expression" dxfId="167" priority="53">
      <formula>OR($T$19 = TRUE, AND($W$19 = TRUE, $S$19 = FALSE))</formula>
    </cfRule>
    <cfRule type="expression" dxfId="166" priority="54">
      <formula>OR($S$19 = FALSE, AND($P$19 = FALSE, ReportType &lt;&gt; "Final"), AND($Q$19 = FALSE, ReportType &lt;&gt; "Rough"))</formula>
    </cfRule>
    <cfRule type="expression" dxfId="165" priority="55">
      <formula>AND(IF($R$19,$W$19,TRUE),LEN(TRIM($W$19))&gt;0)</formula>
    </cfRule>
    <cfRule type="expression" dxfId="164" priority="56">
      <formula>AND($R$19,$S$19)</formula>
    </cfRule>
  </conditionalFormatting>
  <conditionalFormatting sqref="W20">
    <cfRule type="expression" dxfId="163" priority="49">
      <formula>OR($T$20 = TRUE, AND($W$20 = TRUE, $S$20 = FALSE))</formula>
    </cfRule>
    <cfRule type="expression" dxfId="162" priority="50">
      <formula>OR($S$20 = FALSE, AND($P$20 = FALSE, ReportType &lt;&gt; "Final"), AND($Q$20 = FALSE, ReportType &lt;&gt; "Rough"))</formula>
    </cfRule>
    <cfRule type="expression" dxfId="161" priority="51">
      <formula>AND(IF($R$20,$W$20,TRUE),LEN(TRIM($W$20))&gt;0)</formula>
    </cfRule>
    <cfRule type="expression" dxfId="160" priority="52">
      <formula>AND($R$20,$S$20)</formula>
    </cfRule>
  </conditionalFormatting>
  <conditionalFormatting sqref="W22">
    <cfRule type="expression" dxfId="159" priority="45">
      <formula>OR($T$22 = TRUE, AND($W$22 = TRUE, $S$22 = FALSE))</formula>
    </cfRule>
    <cfRule type="expression" dxfId="158" priority="46">
      <formula>OR($S$22 = FALSE, AND($P$22 = FALSE, ReportType &lt;&gt; "Final"), AND($Q$22 = FALSE, ReportType &lt;&gt; "Rough"))</formula>
    </cfRule>
    <cfRule type="expression" dxfId="157" priority="47">
      <formula>AND(IF($R$22,$W$22,TRUE),LEN(TRIM($W$22))&gt;0)</formula>
    </cfRule>
    <cfRule type="expression" dxfId="156" priority="48">
      <formula>AND($R$22,$S$22)</formula>
    </cfRule>
  </conditionalFormatting>
  <conditionalFormatting sqref="W23">
    <cfRule type="expression" dxfId="155" priority="41">
      <formula>OR($T$23 = TRUE, AND($W$23 = TRUE, $S$23 = FALSE))</formula>
    </cfRule>
    <cfRule type="expression" dxfId="154" priority="42">
      <formula>OR($S$23 = FALSE, AND($P$23 = FALSE, ReportType &lt;&gt; "Final"), AND($Q$23 = FALSE, ReportType &lt;&gt; "Rough"))</formula>
    </cfRule>
    <cfRule type="expression" dxfId="153" priority="43">
      <formula>AND(IF($R$23,$W$23,TRUE),LEN(TRIM($W$23))&gt;0)</formula>
    </cfRule>
    <cfRule type="expression" dxfId="152" priority="44">
      <formula>AND($R$23,$S$23)</formula>
    </cfRule>
  </conditionalFormatting>
  <conditionalFormatting sqref="W24">
    <cfRule type="expression" dxfId="151" priority="37">
      <formula>OR($T$24 = TRUE, AND($W$24 = TRUE, $S$24 = FALSE))</formula>
    </cfRule>
    <cfRule type="expression" dxfId="150" priority="38">
      <formula>OR($S$24 = FALSE, AND($P$24 = FALSE, ReportType &lt;&gt; "Final"), AND($Q$24 = FALSE, ReportType &lt;&gt; "Rough"))</formula>
    </cfRule>
    <cfRule type="expression" dxfId="149" priority="39">
      <formula>AND(IF($R$24,$W$24,TRUE),LEN(TRIM($W$24))&gt;0)</formula>
    </cfRule>
    <cfRule type="expression" dxfId="148" priority="40">
      <formula>AND($R$24,$S$24)</formula>
    </cfRule>
  </conditionalFormatting>
  <conditionalFormatting sqref="W27">
    <cfRule type="expression" dxfId="147" priority="33">
      <formula>OR($T$27 = TRUE, AND($W$27 = TRUE, $S$27 = FALSE))</formula>
    </cfRule>
    <cfRule type="expression" dxfId="146" priority="34">
      <formula>OR($S$27 = FALSE, AND($P$27 = FALSE, ReportType &lt;&gt; "Final"), AND($Q$27 = FALSE, ReportType &lt;&gt; "Rough"))</formula>
    </cfRule>
    <cfRule type="expression" dxfId="145" priority="35">
      <formula>AND(IF($R$27,$W$27,TRUE),LEN(TRIM($W$27))&gt;0)</formula>
    </cfRule>
    <cfRule type="expression" dxfId="144" priority="36">
      <formula>AND($R$27,$S$27)</formula>
    </cfRule>
  </conditionalFormatting>
  <conditionalFormatting sqref="W28">
    <cfRule type="expression" dxfId="143" priority="29">
      <formula>OR($T$28 = TRUE, AND($W$28 = TRUE, $S$28 = FALSE))</formula>
    </cfRule>
    <cfRule type="expression" dxfId="142" priority="30">
      <formula>OR($S$28 = FALSE, AND($P$28 = FALSE, ReportType &lt;&gt; "Final"), AND($Q$28 = FALSE, ReportType &lt;&gt; "Rough"))</formula>
    </cfRule>
    <cfRule type="expression" dxfId="141" priority="31">
      <formula>AND(IF($R$28,$W$28,TRUE),LEN(TRIM($W$28))&gt;0)</formula>
    </cfRule>
    <cfRule type="expression" dxfId="140" priority="32">
      <formula>AND($R$28,$S$28)</formula>
    </cfRule>
  </conditionalFormatting>
  <conditionalFormatting sqref="W34">
    <cfRule type="expression" dxfId="139" priority="25">
      <formula>OR($T$34 = TRUE, AND($W$34 = TRUE, $S$34 = FALSE))</formula>
    </cfRule>
    <cfRule type="expression" dxfId="138" priority="26">
      <formula>OR($S$34 = FALSE, AND($P$34 = FALSE, ReportType &lt;&gt; "Final"), AND($Q$34 = FALSE, ReportType &lt;&gt; "Rough"))</formula>
    </cfRule>
    <cfRule type="expression" dxfId="137" priority="27">
      <formula>AND(IF($R$34,$W$34,TRUE),LEN(TRIM($W$34))&gt;0)</formula>
    </cfRule>
    <cfRule type="expression" dxfId="136" priority="28">
      <formula>AND($R$34,$S$34)</formula>
    </cfRule>
  </conditionalFormatting>
  <conditionalFormatting sqref="W41">
    <cfRule type="expression" dxfId="135" priority="21">
      <formula>OR($T$41 = TRUE, AND($W$41 = TRUE, $S$41 = FALSE))</formula>
    </cfRule>
    <cfRule type="expression" dxfId="134" priority="22">
      <formula>OR($S$41 = FALSE, AND($P$41 = FALSE, ReportType &lt;&gt; "Final"), AND($Q$41 = FALSE, ReportType &lt;&gt; "Rough"))</formula>
    </cfRule>
    <cfRule type="expression" dxfId="133" priority="23">
      <formula>AND(IF($R$41,$W$41,TRUE),LEN(TRIM($W$41))&gt;0)</formula>
    </cfRule>
    <cfRule type="expression" dxfId="132" priority="24">
      <formula>AND($R$41,$S$41)</formula>
    </cfRule>
  </conditionalFormatting>
  <conditionalFormatting sqref="W48">
    <cfRule type="expression" dxfId="131" priority="20">
      <formula>AND($R$48,$S$48)</formula>
    </cfRule>
  </conditionalFormatting>
  <conditionalFormatting sqref="W48">
    <cfRule type="expression" dxfId="130" priority="19">
      <formula>AND(IF($R$48,$W$48,TRUE),LEN(TRIM($W$48))&gt;0)</formula>
    </cfRule>
  </conditionalFormatting>
  <conditionalFormatting sqref="W48">
    <cfRule type="expression" dxfId="129" priority="18">
      <formula>OR($S$48 = FALSE, AND($P$48 = FALSE, ReportType &lt;&gt; "Final"), AND($Q$48 = FALSE, ReportType &lt;&gt; "Rough"))</formula>
    </cfRule>
  </conditionalFormatting>
  <conditionalFormatting sqref="W48">
    <cfRule type="expression" dxfId="128" priority="17">
      <formula>OR($T$48 = TRUE, AND($W$48 = TRUE, $S$48 = FALSE))</formula>
    </cfRule>
  </conditionalFormatting>
  <conditionalFormatting sqref="W55">
    <cfRule type="expression" dxfId="127" priority="16">
      <formula>AND($R$55,$S$55)</formula>
    </cfRule>
  </conditionalFormatting>
  <conditionalFormatting sqref="W55">
    <cfRule type="expression" dxfId="126" priority="15">
      <formula>AND(IF($R$55,$W$55,TRUE),LEN(TRIM($W$55))&gt;0)</formula>
    </cfRule>
  </conditionalFormatting>
  <conditionalFormatting sqref="W55">
    <cfRule type="expression" dxfId="125" priority="14">
      <formula>OR($S$55 = FALSE, AND($P$55 = FALSE, ReportType &lt;&gt; "Final"), AND($Q$55 = FALSE, ReportType &lt;&gt; "Rough"))</formula>
    </cfRule>
  </conditionalFormatting>
  <conditionalFormatting sqref="W55">
    <cfRule type="expression" dxfId="124" priority="13">
      <formula>OR($T$55 = TRUE, AND($W$55 = TRUE, $S$55 = FALSE))</formula>
    </cfRule>
  </conditionalFormatting>
  <conditionalFormatting sqref="W110">
    <cfRule type="expression" dxfId="123" priority="12">
      <formula>AND($R$110,$S$110)</formula>
    </cfRule>
  </conditionalFormatting>
  <conditionalFormatting sqref="W110">
    <cfRule type="expression" dxfId="122" priority="11">
      <formula>AND(IF($R$110,$W$110,TRUE),LEN(TRIM($W$110))&gt;0)</formula>
    </cfRule>
  </conditionalFormatting>
  <conditionalFormatting sqref="W110">
    <cfRule type="expression" dxfId="121" priority="10">
      <formula>OR($S$110 = FALSE, AND($P$110 = FALSE, ReportType &lt;&gt; "Final"), AND($Q$110 = FALSE, ReportType &lt;&gt; "Rough"))</formula>
    </cfRule>
  </conditionalFormatting>
  <conditionalFormatting sqref="W110">
    <cfRule type="expression" dxfId="120" priority="9">
      <formula>OR($T$110 = TRUE, AND($W$110 = TRUE, $S$110 = FALSE))</formula>
    </cfRule>
  </conditionalFormatting>
  <conditionalFormatting sqref="W115">
    <cfRule type="expression" dxfId="119" priority="8">
      <formula>AND($R$115,$S$115)</formula>
    </cfRule>
  </conditionalFormatting>
  <conditionalFormatting sqref="W115">
    <cfRule type="expression" dxfId="118" priority="7">
      <formula>AND(IF($R$115,$W$115,TRUE),LEN(TRIM($W$115))&gt;0)</formula>
    </cfRule>
  </conditionalFormatting>
  <conditionalFormatting sqref="W115">
    <cfRule type="expression" dxfId="117" priority="6">
      <formula>OR($S$115 = FALSE, AND($P$115 = FALSE, ReportType &lt;&gt; "Final"), AND($Q$115 = FALSE, ReportType &lt;&gt; "Rough"))</formula>
    </cfRule>
  </conditionalFormatting>
  <conditionalFormatting sqref="W115">
    <cfRule type="expression" dxfId="116" priority="5">
      <formula>OR($T$115 = TRUE, AND($W$115 = TRUE, $S$115 = FALSE))</formula>
    </cfRule>
  </conditionalFormatting>
  <conditionalFormatting sqref="W132">
    <cfRule type="expression" dxfId="115" priority="4">
      <formula>AND($R$132,$S$132)</formula>
    </cfRule>
  </conditionalFormatting>
  <conditionalFormatting sqref="W132">
    <cfRule type="expression" dxfId="114" priority="3">
      <formula>AND(IF($R$132,$W$132,TRUE),LEN(TRIM($W$132))&gt;0)</formula>
    </cfRule>
  </conditionalFormatting>
  <conditionalFormatting sqref="W132">
    <cfRule type="expression" dxfId="113" priority="2">
      <formula>OR($S$132 = FALSE, AND($P$132 = FALSE, ReportType &lt;&gt; "Final"), AND($Q$132 = FALSE, ReportType &lt;&gt; "Rough"))</formula>
    </cfRule>
  </conditionalFormatting>
  <conditionalFormatting sqref="W132">
    <cfRule type="expression" dxfId="112" priority="1">
      <formula>OR($T$132 = TRUE, AND($W$132 = TRUE, $S$132 = FALSE))</formula>
    </cfRule>
  </conditionalFormatting>
  <dataValidations count="1">
    <dataValidation type="list" allowBlank="1" showDropDown="1" showInputMessage="1" showErrorMessage="1" error="Use Checkbox" prompt="Use Checkbox" sqref="W132 W115 W110 W55 W48 W41 W34 W27:W28 W22:W24 W18:W20" xr:uid="{28883C73-D533-41A1-83BB-C7E7A2B69796}">
      <formula1>TorF</formula1>
    </dataValidation>
  </dataValidations>
  <hyperlinks>
    <hyperlink ref="D78" r:id="rId1" xr:uid="{9CD01010-BEE5-465B-B165-65003421AB92}"/>
    <hyperlink ref="D88" r:id="rId2" xr:uid="{260F55DC-69BF-4C94-B3D1-9EDE34B8DE62}"/>
  </hyperlinks>
  <pageMargins left="0.7" right="0.7" top="0.75" bottom="0.75" header="0.3" footer="0.3"/>
  <pageSetup scale="44" fitToHeight="0" orientation="portrait" r:id="rId3"/>
  <rowBreaks count="2" manualBreakCount="2">
    <brk id="102" max="24" man="1"/>
    <brk id="145"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53988" r:id="rId6" name="Check Box 36">
              <controlPr locked="0" defaultSize="0" autoFill="0" autoLine="0" autoPict="0">
                <anchor moveWithCells="1">
                  <from>
                    <xdr:col>22</xdr:col>
                    <xdr:colOff>0</xdr:colOff>
                    <xdr:row>17</xdr:row>
                    <xdr:rowOff>0</xdr:rowOff>
                  </from>
                  <to>
                    <xdr:col>22</xdr:col>
                    <xdr:colOff>180975</xdr:colOff>
                    <xdr:row>17</xdr:row>
                    <xdr:rowOff>180975</xdr:rowOff>
                  </to>
                </anchor>
              </controlPr>
            </control>
          </mc:Choice>
        </mc:AlternateContent>
        <mc:AlternateContent xmlns:mc="http://schemas.openxmlformats.org/markup-compatibility/2006">
          <mc:Choice Requires="x14">
            <control shapeId="253989" r:id="rId7" name="Check Box 37">
              <controlPr locked="0" defaultSize="0" autoFill="0" autoLine="0" autoPict="0">
                <anchor moveWithCells="1">
                  <from>
                    <xdr:col>22</xdr:col>
                    <xdr:colOff>0</xdr:colOff>
                    <xdr:row>18</xdr:row>
                    <xdr:rowOff>0</xdr:rowOff>
                  </from>
                  <to>
                    <xdr:col>22</xdr:col>
                    <xdr:colOff>180975</xdr:colOff>
                    <xdr:row>18</xdr:row>
                    <xdr:rowOff>180975</xdr:rowOff>
                  </to>
                </anchor>
              </controlPr>
            </control>
          </mc:Choice>
        </mc:AlternateContent>
        <mc:AlternateContent xmlns:mc="http://schemas.openxmlformats.org/markup-compatibility/2006">
          <mc:Choice Requires="x14">
            <control shapeId="253990" r:id="rId8" name="Check Box 38">
              <controlPr locked="0" defaultSize="0" autoFill="0" autoLine="0" autoPict="0">
                <anchor moveWithCells="1">
                  <from>
                    <xdr:col>22</xdr:col>
                    <xdr:colOff>0</xdr:colOff>
                    <xdr:row>19</xdr:row>
                    <xdr:rowOff>0</xdr:rowOff>
                  </from>
                  <to>
                    <xdr:col>22</xdr:col>
                    <xdr:colOff>180975</xdr:colOff>
                    <xdr:row>19</xdr:row>
                    <xdr:rowOff>180975</xdr:rowOff>
                  </to>
                </anchor>
              </controlPr>
            </control>
          </mc:Choice>
        </mc:AlternateContent>
        <mc:AlternateContent xmlns:mc="http://schemas.openxmlformats.org/markup-compatibility/2006">
          <mc:Choice Requires="x14">
            <control shapeId="253991" r:id="rId9" name="Check Box 39">
              <controlPr locked="0" defaultSize="0" autoFill="0" autoLine="0" autoPict="0">
                <anchor moveWithCells="1">
                  <from>
                    <xdr:col>22</xdr:col>
                    <xdr:colOff>0</xdr:colOff>
                    <xdr:row>21</xdr:row>
                    <xdr:rowOff>0</xdr:rowOff>
                  </from>
                  <to>
                    <xdr:col>22</xdr:col>
                    <xdr:colOff>180975</xdr:colOff>
                    <xdr:row>21</xdr:row>
                    <xdr:rowOff>180975</xdr:rowOff>
                  </to>
                </anchor>
              </controlPr>
            </control>
          </mc:Choice>
        </mc:AlternateContent>
        <mc:AlternateContent xmlns:mc="http://schemas.openxmlformats.org/markup-compatibility/2006">
          <mc:Choice Requires="x14">
            <control shapeId="253992" r:id="rId10" name="Check Box 40">
              <controlPr locked="0" defaultSize="0" autoFill="0" autoLine="0" autoPict="0">
                <anchor moveWithCells="1">
                  <from>
                    <xdr:col>22</xdr:col>
                    <xdr:colOff>0</xdr:colOff>
                    <xdr:row>22</xdr:row>
                    <xdr:rowOff>0</xdr:rowOff>
                  </from>
                  <to>
                    <xdr:col>22</xdr:col>
                    <xdr:colOff>180975</xdr:colOff>
                    <xdr:row>22</xdr:row>
                    <xdr:rowOff>180975</xdr:rowOff>
                  </to>
                </anchor>
              </controlPr>
            </control>
          </mc:Choice>
        </mc:AlternateContent>
        <mc:AlternateContent xmlns:mc="http://schemas.openxmlformats.org/markup-compatibility/2006">
          <mc:Choice Requires="x14">
            <control shapeId="253993" r:id="rId11" name="Check Box 41">
              <controlPr locked="0" defaultSize="0" autoFill="0" autoLine="0" autoPict="0">
                <anchor moveWithCells="1">
                  <from>
                    <xdr:col>22</xdr:col>
                    <xdr:colOff>0</xdr:colOff>
                    <xdr:row>23</xdr:row>
                    <xdr:rowOff>0</xdr:rowOff>
                  </from>
                  <to>
                    <xdr:col>22</xdr:col>
                    <xdr:colOff>180975</xdr:colOff>
                    <xdr:row>23</xdr:row>
                    <xdr:rowOff>180975</xdr:rowOff>
                  </to>
                </anchor>
              </controlPr>
            </control>
          </mc:Choice>
        </mc:AlternateContent>
        <mc:AlternateContent xmlns:mc="http://schemas.openxmlformats.org/markup-compatibility/2006">
          <mc:Choice Requires="x14">
            <control shapeId="253994" r:id="rId12" name="Check Box 42">
              <controlPr locked="0" defaultSize="0" autoFill="0" autoLine="0" autoPict="0">
                <anchor moveWithCells="1">
                  <from>
                    <xdr:col>22</xdr:col>
                    <xdr:colOff>0</xdr:colOff>
                    <xdr:row>26</xdr:row>
                    <xdr:rowOff>0</xdr:rowOff>
                  </from>
                  <to>
                    <xdr:col>22</xdr:col>
                    <xdr:colOff>180975</xdr:colOff>
                    <xdr:row>26</xdr:row>
                    <xdr:rowOff>180975</xdr:rowOff>
                  </to>
                </anchor>
              </controlPr>
            </control>
          </mc:Choice>
        </mc:AlternateContent>
        <mc:AlternateContent xmlns:mc="http://schemas.openxmlformats.org/markup-compatibility/2006">
          <mc:Choice Requires="x14">
            <control shapeId="253995" r:id="rId13" name="Check Box 43">
              <controlPr locked="0" defaultSize="0" autoFill="0" autoLine="0" autoPict="0">
                <anchor moveWithCells="1">
                  <from>
                    <xdr:col>22</xdr:col>
                    <xdr:colOff>0</xdr:colOff>
                    <xdr:row>27</xdr:row>
                    <xdr:rowOff>0</xdr:rowOff>
                  </from>
                  <to>
                    <xdr:col>22</xdr:col>
                    <xdr:colOff>180975</xdr:colOff>
                    <xdr:row>27</xdr:row>
                    <xdr:rowOff>180975</xdr:rowOff>
                  </to>
                </anchor>
              </controlPr>
            </control>
          </mc:Choice>
        </mc:AlternateContent>
        <mc:AlternateContent xmlns:mc="http://schemas.openxmlformats.org/markup-compatibility/2006">
          <mc:Choice Requires="x14">
            <control shapeId="253996" r:id="rId14" name="Check Box 44">
              <controlPr locked="0" defaultSize="0" autoFill="0" autoLine="0" autoPict="0">
                <anchor moveWithCells="1">
                  <from>
                    <xdr:col>22</xdr:col>
                    <xdr:colOff>0</xdr:colOff>
                    <xdr:row>33</xdr:row>
                    <xdr:rowOff>0</xdr:rowOff>
                  </from>
                  <to>
                    <xdr:col>22</xdr:col>
                    <xdr:colOff>180975</xdr:colOff>
                    <xdr:row>33</xdr:row>
                    <xdr:rowOff>180975</xdr:rowOff>
                  </to>
                </anchor>
              </controlPr>
            </control>
          </mc:Choice>
        </mc:AlternateContent>
        <mc:AlternateContent xmlns:mc="http://schemas.openxmlformats.org/markup-compatibility/2006">
          <mc:Choice Requires="x14">
            <control shapeId="253997" r:id="rId15" name="Check Box 45">
              <controlPr locked="0" defaultSize="0" autoFill="0" autoLine="0" autoPict="0">
                <anchor mov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253998" r:id="rId16" name="Check Box 46">
              <controlPr locked="0" defaultSize="0" autoFill="0" autoLine="0" autoPict="0">
                <anchor moveWithCells="1">
                  <from>
                    <xdr:col>22</xdr:col>
                    <xdr:colOff>0</xdr:colOff>
                    <xdr:row>47</xdr:row>
                    <xdr:rowOff>0</xdr:rowOff>
                  </from>
                  <to>
                    <xdr:col>22</xdr:col>
                    <xdr:colOff>180975</xdr:colOff>
                    <xdr:row>47</xdr:row>
                    <xdr:rowOff>180975</xdr:rowOff>
                  </to>
                </anchor>
              </controlPr>
            </control>
          </mc:Choice>
        </mc:AlternateContent>
        <mc:AlternateContent xmlns:mc="http://schemas.openxmlformats.org/markup-compatibility/2006">
          <mc:Choice Requires="x14">
            <control shapeId="253999" r:id="rId17" name="Check Box 47">
              <controlPr locked="0" defaultSize="0" autoFill="0" autoLine="0" autoPict="0">
                <anchor mov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254000" r:id="rId18" name="Check Box 48">
              <controlPr locked="0" defaultSize="0" autoFill="0" autoLine="0" autoPict="0">
                <anchor moveWithCells="1">
                  <from>
                    <xdr:col>22</xdr:col>
                    <xdr:colOff>0</xdr:colOff>
                    <xdr:row>109</xdr:row>
                    <xdr:rowOff>0</xdr:rowOff>
                  </from>
                  <to>
                    <xdr:col>22</xdr:col>
                    <xdr:colOff>180975</xdr:colOff>
                    <xdr:row>109</xdr:row>
                    <xdr:rowOff>180975</xdr:rowOff>
                  </to>
                </anchor>
              </controlPr>
            </control>
          </mc:Choice>
        </mc:AlternateContent>
        <mc:AlternateContent xmlns:mc="http://schemas.openxmlformats.org/markup-compatibility/2006">
          <mc:Choice Requires="x14">
            <control shapeId="254001" r:id="rId19" name="Check Box 49">
              <controlPr locked="0" defaultSize="0" autoFill="0" autoLine="0" autoPict="0">
                <anchor moveWithCells="1">
                  <from>
                    <xdr:col>22</xdr:col>
                    <xdr:colOff>0</xdr:colOff>
                    <xdr:row>114</xdr:row>
                    <xdr:rowOff>0</xdr:rowOff>
                  </from>
                  <to>
                    <xdr:col>22</xdr:col>
                    <xdr:colOff>180975</xdr:colOff>
                    <xdr:row>114</xdr:row>
                    <xdr:rowOff>180975</xdr:rowOff>
                  </to>
                </anchor>
              </controlPr>
            </control>
          </mc:Choice>
        </mc:AlternateContent>
        <mc:AlternateContent xmlns:mc="http://schemas.openxmlformats.org/markup-compatibility/2006">
          <mc:Choice Requires="x14">
            <control shapeId="254002" r:id="rId20" name="Check Box 50">
              <controlPr locked="0" defaultSize="0" autoFill="0" autoLine="0" autoPict="0">
                <anchor moveWithCells="1">
                  <from>
                    <xdr:col>22</xdr:col>
                    <xdr:colOff>0</xdr:colOff>
                    <xdr:row>131</xdr:row>
                    <xdr:rowOff>0</xdr:rowOff>
                  </from>
                  <to>
                    <xdr:col>22</xdr:col>
                    <xdr:colOff>180975</xdr:colOff>
                    <xdr:row>131</xdr:row>
                    <xdr:rowOff>180975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ABBE-9860-4534-9F1C-89BFA42BB29E}">
  <sheetPr codeName="Sheet39" filterMode="1">
    <pageSetUpPr fitToPage="1"/>
  </sheetPr>
  <dimension ref="A1:I2468"/>
  <sheetViews>
    <sheetView showGridLines="0" zoomScaleNormal="100" workbookViewId="0">
      <pane ySplit="6" topLeftCell="A7" activePane="bottomLeft" state="frozen"/>
      <selection activeCell="E90" sqref="E90"/>
      <selection pane="bottomLeft" activeCell="G1" sqref="G1:G1048576"/>
    </sheetView>
  </sheetViews>
  <sheetFormatPr defaultRowHeight="15" x14ac:dyDescent="0.25"/>
  <cols>
    <col min="1" max="1" width="10.42578125" style="1260" customWidth="1"/>
    <col min="2" max="3" width="3.85546875" style="1260" customWidth="1"/>
    <col min="4" max="4" width="71.7109375" style="1260" customWidth="1"/>
    <col min="5" max="5" width="9.140625" style="1260"/>
    <col min="6" max="6" width="21.140625" style="1260" customWidth="1"/>
    <col min="7" max="7" width="9.140625" style="585" customWidth="1"/>
    <col min="8" max="8" width="62.5703125" style="699" customWidth="1"/>
    <col min="9" max="9" width="9.140625" style="1260" customWidth="1"/>
    <col min="10" max="16384" width="9.140625" style="1260"/>
  </cols>
  <sheetData>
    <row r="1" spans="1:9" x14ac:dyDescent="0.25">
      <c r="D1" s="2143" t="s">
        <v>4107</v>
      </c>
    </row>
    <row r="2" spans="1:9" ht="15" customHeight="1" x14ac:dyDescent="0.25">
      <c r="D2" s="2144"/>
    </row>
    <row r="3" spans="1:9" ht="15" customHeight="1" x14ac:dyDescent="0.25">
      <c r="D3" s="2144"/>
      <c r="G3" s="2407"/>
      <c r="H3" s="699" t="s">
        <v>5655</v>
      </c>
    </row>
    <row r="4" spans="1:9" x14ac:dyDescent="0.25">
      <c r="D4" s="2145" t="s">
        <v>4106</v>
      </c>
      <c r="G4" s="2407"/>
      <c r="H4" s="699" t="s">
        <v>5656</v>
      </c>
      <c r="I4" s="1260" t="s">
        <v>5654</v>
      </c>
    </row>
    <row r="5" spans="1:9" x14ac:dyDescent="0.25">
      <c r="D5" s="2145"/>
      <c r="G5" s="2407" t="s">
        <v>3974</v>
      </c>
      <c r="H5" s="699" t="s">
        <v>253</v>
      </c>
    </row>
    <row r="6" spans="1:9" ht="29.25" customHeight="1" x14ac:dyDescent="0.25">
      <c r="A6" s="1264" t="s">
        <v>248</v>
      </c>
      <c r="B6" s="1264"/>
      <c r="C6" s="1265"/>
      <c r="D6" s="1263" t="s">
        <v>310</v>
      </c>
      <c r="E6" s="1304" t="s">
        <v>320</v>
      </c>
      <c r="F6" s="1263" t="s">
        <v>252</v>
      </c>
      <c r="G6" s="585" t="s">
        <v>4092</v>
      </c>
      <c r="H6" s="1339" t="s">
        <v>5104</v>
      </c>
    </row>
    <row r="7" spans="1:9" ht="18.75" hidden="1" x14ac:dyDescent="0.3">
      <c r="A7" s="22" t="s">
        <v>737</v>
      </c>
      <c r="B7" s="22"/>
      <c r="C7" s="22"/>
      <c r="D7" s="1208"/>
      <c r="E7" s="24"/>
      <c r="F7" s="968"/>
      <c r="G7" s="1260" t="s">
        <v>247</v>
      </c>
    </row>
    <row r="8" spans="1:9" ht="15" hidden="1" customHeight="1" x14ac:dyDescent="0.25">
      <c r="A8" s="87" t="s">
        <v>254</v>
      </c>
      <c r="B8" s="87"/>
      <c r="C8" s="87"/>
      <c r="D8" s="1796" t="s">
        <v>4116</v>
      </c>
      <c r="E8" s="1268"/>
      <c r="F8" s="94"/>
      <c r="G8" s="1260" t="s">
        <v>247</v>
      </c>
    </row>
    <row r="9" spans="1:9" hidden="1" x14ac:dyDescent="0.25">
      <c r="A9" s="87"/>
      <c r="B9" s="87"/>
      <c r="C9" s="87"/>
      <c r="D9" s="1796"/>
      <c r="E9" s="1268"/>
      <c r="F9" s="94"/>
      <c r="G9" s="1260" t="s">
        <v>247</v>
      </c>
    </row>
    <row r="10" spans="1:9" hidden="1" x14ac:dyDescent="0.25">
      <c r="A10" s="87"/>
      <c r="B10" s="87"/>
      <c r="C10" s="87"/>
      <c r="D10" s="1796"/>
      <c r="E10" s="1268"/>
      <c r="F10" s="94"/>
      <c r="G10" s="1260" t="s">
        <v>247</v>
      </c>
    </row>
    <row r="11" spans="1:9" ht="18.75" hidden="1" x14ac:dyDescent="0.25">
      <c r="A11" s="88" t="s">
        <v>736</v>
      </c>
      <c r="B11" s="88"/>
      <c r="C11" s="88"/>
      <c r="D11" s="84"/>
      <c r="E11" s="68"/>
      <c r="F11" s="94"/>
      <c r="G11" s="1260" t="s">
        <v>247</v>
      </c>
    </row>
    <row r="12" spans="1:9" x14ac:dyDescent="0.25">
      <c r="A12" s="91" t="s">
        <v>255</v>
      </c>
      <c r="B12" s="91"/>
      <c r="C12" s="91"/>
      <c r="D12" s="1562" t="s">
        <v>4900</v>
      </c>
      <c r="E12" s="1300">
        <f>'Verification Report'!O13</f>
        <v>0</v>
      </c>
      <c r="F12" s="94"/>
      <c r="G12" s="585" t="str">
        <f>IF(E12&gt;0,"P","")</f>
        <v/>
      </c>
    </row>
    <row r="13" spans="1:9" hidden="1" x14ac:dyDescent="0.25">
      <c r="A13" s="91"/>
      <c r="B13" s="174" t="s">
        <v>256</v>
      </c>
      <c r="C13" s="174"/>
      <c r="D13" s="1292" t="s">
        <v>4901</v>
      </c>
      <c r="E13" s="1300"/>
      <c r="F13" s="1313" t="str">
        <f>IF(LEN('Verification Report'!W14)=0,"",'Verification Report'!W14)</f>
        <v/>
      </c>
      <c r="G13" s="1260" t="s">
        <v>247</v>
      </c>
    </row>
    <row r="14" spans="1:9" x14ac:dyDescent="0.25">
      <c r="A14" s="91"/>
      <c r="B14" s="846" t="s">
        <v>258</v>
      </c>
      <c r="C14" s="91"/>
      <c r="D14" s="1558" t="s">
        <v>4902</v>
      </c>
      <c r="E14" s="1300"/>
      <c r="F14" s="94"/>
      <c r="G14" s="2363" t="str">
        <f>IF(COUNTIF(G15:G17,"P")&gt;0,"P","")</f>
        <v/>
      </c>
      <c r="H14" s="2146" t="s">
        <v>5059</v>
      </c>
      <c r="I14" s="1527"/>
    </row>
    <row r="15" spans="1:9" x14ac:dyDescent="0.25">
      <c r="A15" s="91"/>
      <c r="C15" s="174" t="s">
        <v>121</v>
      </c>
      <c r="D15" s="1536" t="s">
        <v>257</v>
      </c>
      <c r="E15" s="1300"/>
      <c r="F15" s="1313" t="str">
        <f>IF(LEN('Verification Report'!W16)=0,"",'Verification Report'!W16)</f>
        <v/>
      </c>
      <c r="G15" s="585" t="str">
        <f>IF(AND(LEN(F15)&gt;0,NOT(F15=FALSE)),"P","")</f>
        <v/>
      </c>
      <c r="H15" s="2147"/>
    </row>
    <row r="16" spans="1:9" x14ac:dyDescent="0.25">
      <c r="A16" s="91"/>
      <c r="C16" s="212" t="s">
        <v>122</v>
      </c>
      <c r="D16" s="1536" t="s">
        <v>259</v>
      </c>
      <c r="E16" s="1300"/>
      <c r="F16" s="1313" t="str">
        <f>IF(LEN('Verification Report'!W17)=0,"",'Verification Report'!W17)</f>
        <v/>
      </c>
      <c r="G16" s="585" t="str">
        <f>IF(AND(LEN(F16)&gt;0,NOT(F16=FALSE)),"P","")</f>
        <v/>
      </c>
    </row>
    <row r="17" spans="1:9" ht="15.75" thickBot="1" x14ac:dyDescent="0.3">
      <c r="A17" s="96"/>
      <c r="B17" s="99"/>
      <c r="C17" s="111" t="s">
        <v>123</v>
      </c>
      <c r="D17" s="1555" t="s">
        <v>261</v>
      </c>
      <c r="E17" s="1040"/>
      <c r="F17" s="1313" t="str">
        <f>IF(LEN('Verification Report'!W18)=0,"",'Verification Report'!W18)</f>
        <v/>
      </c>
      <c r="G17" s="585" t="str">
        <f>IF(AND(LEN(F17)&gt;0,NOT(F17=FALSE)),"P","")</f>
        <v/>
      </c>
    </row>
    <row r="18" spans="1:9" ht="15.75" customHeight="1" thickTop="1" x14ac:dyDescent="0.25">
      <c r="A18" s="87" t="s">
        <v>264</v>
      </c>
      <c r="B18" s="87"/>
      <c r="C18" s="87"/>
      <c r="D18" s="1796" t="s">
        <v>265</v>
      </c>
      <c r="E18" s="1305"/>
      <c r="F18" s="94"/>
      <c r="G18" s="2363" t="str">
        <f>IF(COUNTIF(G24,"P")&gt;0,"P","")</f>
        <v/>
      </c>
    </row>
    <row r="19" spans="1:9" x14ac:dyDescent="0.25">
      <c r="A19" s="87"/>
      <c r="B19" s="87"/>
      <c r="C19" s="87"/>
      <c r="D19" s="1796"/>
      <c r="E19" s="1305"/>
      <c r="F19" s="94"/>
      <c r="G19" s="585" t="str">
        <f>G18</f>
        <v/>
      </c>
    </row>
    <row r="20" spans="1:9" ht="15" hidden="1" customHeight="1" x14ac:dyDescent="0.25">
      <c r="A20" s="87"/>
      <c r="B20" s="91" t="s">
        <v>256</v>
      </c>
      <c r="C20" s="91"/>
      <c r="D20" s="1793" t="s">
        <v>266</v>
      </c>
      <c r="E20" s="1300">
        <f>'Verification Report'!O21</f>
        <v>0</v>
      </c>
      <c r="F20" s="1313" t="str">
        <f>IF(LEN('Verification Report'!W21)=0,"",'Verification Report'!W21)</f>
        <v/>
      </c>
      <c r="G20" s="1260" t="s">
        <v>247</v>
      </c>
    </row>
    <row r="21" spans="1:9" hidden="1" x14ac:dyDescent="0.25">
      <c r="A21" s="87"/>
      <c r="B21" s="174"/>
      <c r="C21" s="174"/>
      <c r="D21" s="1761"/>
      <c r="E21" s="1301"/>
      <c r="F21" s="94"/>
      <c r="G21" s="1260" t="s">
        <v>247</v>
      </c>
    </row>
    <row r="22" spans="1:9" ht="15" hidden="1" customHeight="1" x14ac:dyDescent="0.25">
      <c r="A22" s="87"/>
      <c r="B22" s="91" t="s">
        <v>258</v>
      </c>
      <c r="C22" s="91"/>
      <c r="D22" s="1754" t="s">
        <v>267</v>
      </c>
      <c r="E22" s="1300">
        <f>'Verification Report'!O23</f>
        <v>0</v>
      </c>
      <c r="F22" s="1313" t="str">
        <f>IF(LEN('Verification Report'!W23)=0,"",'Verification Report'!W23)</f>
        <v/>
      </c>
      <c r="G22" s="1260" t="s">
        <v>247</v>
      </c>
    </row>
    <row r="23" spans="1:9" hidden="1" x14ac:dyDescent="0.25">
      <c r="A23" s="87"/>
      <c r="B23" s="174"/>
      <c r="C23" s="174"/>
      <c r="D23" s="1755"/>
      <c r="E23" s="1301"/>
      <c r="F23" s="94"/>
      <c r="G23" s="1260" t="s">
        <v>247</v>
      </c>
    </row>
    <row r="24" spans="1:9" ht="15" customHeight="1" x14ac:dyDescent="0.25">
      <c r="A24" s="87"/>
      <c r="B24" s="91" t="s">
        <v>260</v>
      </c>
      <c r="C24" s="91"/>
      <c r="D24" s="1793" t="s">
        <v>268</v>
      </c>
      <c r="E24" s="1300">
        <f>'Verification Report'!O25</f>
        <v>0</v>
      </c>
      <c r="F24" s="1313" t="str">
        <f>IF(LEN('Verification Report'!W25)=0,"",'Verification Report'!W25)</f>
        <v/>
      </c>
      <c r="G24" s="585" t="str">
        <f>IF(E24&gt;0,"P","")</f>
        <v/>
      </c>
      <c r="H24" s="1330" t="s">
        <v>5060</v>
      </c>
      <c r="I24" s="1527"/>
    </row>
    <row r="25" spans="1:9" ht="15.75" thickBot="1" x14ac:dyDescent="0.3">
      <c r="A25" s="87"/>
      <c r="B25" s="174"/>
      <c r="C25" s="174"/>
      <c r="D25" s="1761"/>
      <c r="E25" s="1301"/>
      <c r="F25" s="94"/>
      <c r="G25" s="585" t="str">
        <f>G24</f>
        <v/>
      </c>
    </row>
    <row r="26" spans="1:9" ht="15" hidden="1" customHeight="1" x14ac:dyDescent="0.25">
      <c r="A26" s="87"/>
      <c r="B26" s="91" t="s">
        <v>269</v>
      </c>
      <c r="C26" s="91"/>
      <c r="D26" s="1754" t="s">
        <v>270</v>
      </c>
      <c r="E26" s="1300">
        <f>'Verification Report'!O27</f>
        <v>0</v>
      </c>
      <c r="F26" s="1313" t="str">
        <f>IF(LEN('Verification Report'!W27)=0,"",'Verification Report'!W27)</f>
        <v/>
      </c>
      <c r="G26" s="1260" t="s">
        <v>247</v>
      </c>
    </row>
    <row r="27" spans="1:9" ht="15.75" hidden="1" thickBot="1" x14ac:dyDescent="0.3">
      <c r="A27" s="87"/>
      <c r="B27" s="91"/>
      <c r="C27" s="91"/>
      <c r="D27" s="1754"/>
      <c r="E27" s="1300"/>
      <c r="F27" s="94"/>
      <c r="G27" s="1260" t="s">
        <v>247</v>
      </c>
    </row>
    <row r="28" spans="1:9" ht="15.75" hidden="1" thickBot="1" x14ac:dyDescent="0.3">
      <c r="A28" s="87"/>
      <c r="B28" s="91"/>
      <c r="C28" s="91"/>
      <c r="D28" s="1754"/>
      <c r="E28" s="1300"/>
      <c r="F28" s="94"/>
      <c r="G28" s="1260" t="s">
        <v>247</v>
      </c>
    </row>
    <row r="29" spans="1:9" ht="15.75" hidden="1" thickBot="1" x14ac:dyDescent="0.3">
      <c r="A29" s="87"/>
      <c r="B29" s="91"/>
      <c r="C29" s="91"/>
      <c r="D29" s="1754"/>
      <c r="E29" s="1300"/>
      <c r="F29" s="94"/>
      <c r="G29" s="1260" t="s">
        <v>247</v>
      </c>
    </row>
    <row r="30" spans="1:9" ht="15" hidden="1" customHeight="1" x14ac:dyDescent="0.25">
      <c r="A30" s="87"/>
      <c r="B30" s="91"/>
      <c r="C30" s="91"/>
      <c r="D30" s="1546" t="s">
        <v>271</v>
      </c>
      <c r="E30" s="1300"/>
      <c r="F30" s="94"/>
      <c r="G30" s="1260" t="s">
        <v>247</v>
      </c>
    </row>
    <row r="31" spans="1:9" ht="15.75" hidden="1" thickBot="1" x14ac:dyDescent="0.3">
      <c r="A31" s="87"/>
      <c r="B31" s="91"/>
      <c r="C31" s="91"/>
      <c r="D31" s="1546" t="s">
        <v>272</v>
      </c>
      <c r="E31" s="1300"/>
      <c r="F31" s="94"/>
      <c r="G31" s="1260" t="s">
        <v>247</v>
      </c>
    </row>
    <row r="32" spans="1:9" ht="15.75" hidden="1" thickBot="1" x14ac:dyDescent="0.3">
      <c r="A32" s="87"/>
      <c r="B32" s="91"/>
      <c r="C32" s="91"/>
      <c r="D32" s="1546" t="s">
        <v>273</v>
      </c>
      <c r="E32" s="1300"/>
      <c r="F32" s="94"/>
      <c r="G32" s="1260" t="s">
        <v>247</v>
      </c>
    </row>
    <row r="33" spans="1:7" ht="15.75" hidden="1" thickBot="1" x14ac:dyDescent="0.3">
      <c r="A33" s="87"/>
      <c r="B33" s="91"/>
      <c r="C33" s="91"/>
      <c r="D33" s="1546" t="s">
        <v>274</v>
      </c>
      <c r="E33" s="1300"/>
      <c r="F33" s="94"/>
      <c r="G33" s="1260" t="s">
        <v>247</v>
      </c>
    </row>
    <row r="34" spans="1:7" ht="15.75" hidden="1" thickBot="1" x14ac:dyDescent="0.3">
      <c r="A34" s="87"/>
      <c r="B34" s="174"/>
      <c r="C34" s="174"/>
      <c r="D34" s="1561" t="s">
        <v>284</v>
      </c>
      <c r="E34" s="1300"/>
      <c r="F34" s="94"/>
      <c r="G34" s="1260" t="s">
        <v>247</v>
      </c>
    </row>
    <row r="35" spans="1:7" ht="15" hidden="1" customHeight="1" x14ac:dyDescent="0.25">
      <c r="D35" s="1817" t="s">
        <v>4117</v>
      </c>
      <c r="E35" s="665"/>
      <c r="F35" s="94"/>
      <c r="G35" s="1260" t="s">
        <v>247</v>
      </c>
    </row>
    <row r="36" spans="1:7" ht="15.75" hidden="1" thickBot="1" x14ac:dyDescent="0.3">
      <c r="D36" s="1841"/>
      <c r="E36" s="1303">
        <f ca="1">'Verification Report'!O37</f>
        <v>0</v>
      </c>
      <c r="F36" s="1313" t="str">
        <f>IF(LEN('Verification Report'!W37)=0,"",'Verification Report'!W37)</f>
        <v/>
      </c>
      <c r="G36" s="1260" t="s">
        <v>247</v>
      </c>
    </row>
    <row r="37" spans="1:7" ht="15.75" hidden="1" thickBot="1" x14ac:dyDescent="0.3">
      <c r="D37" s="1841"/>
      <c r="E37" s="1303"/>
      <c r="F37" s="94"/>
      <c r="G37" s="1260" t="s">
        <v>247</v>
      </c>
    </row>
    <row r="38" spans="1:7" ht="15.75" hidden="1" thickBot="1" x14ac:dyDescent="0.3">
      <c r="D38" s="1841"/>
      <c r="E38" s="1303"/>
      <c r="F38" s="94"/>
      <c r="G38" s="1260" t="s">
        <v>247</v>
      </c>
    </row>
    <row r="39" spans="1:7" ht="15.75" hidden="1" thickBot="1" x14ac:dyDescent="0.3">
      <c r="C39" s="845" t="s">
        <v>121</v>
      </c>
      <c r="D39" s="1553" t="s">
        <v>4118</v>
      </c>
      <c r="E39" s="664"/>
      <c r="F39" s="94"/>
      <c r="G39" s="1260" t="s">
        <v>247</v>
      </c>
    </row>
    <row r="40" spans="1:7" ht="15.75" hidden="1" thickBot="1" x14ac:dyDescent="0.3">
      <c r="B40" s="178"/>
      <c r="C40" s="851" t="s">
        <v>122</v>
      </c>
      <c r="D40" s="1544" t="s">
        <v>4119</v>
      </c>
      <c r="E40" s="664"/>
      <c r="F40" s="94"/>
      <c r="G40" s="1260" t="s">
        <v>247</v>
      </c>
    </row>
    <row r="41" spans="1:7" ht="15" hidden="1" customHeight="1" x14ac:dyDescent="0.25">
      <c r="A41" s="87"/>
      <c r="B41" s="91" t="s">
        <v>275</v>
      </c>
      <c r="C41" s="91"/>
      <c r="D41" s="1754" t="s">
        <v>276</v>
      </c>
      <c r="E41" s="1302">
        <f>'Verification Report'!O42</f>
        <v>0</v>
      </c>
      <c r="F41" s="1313" t="str">
        <f>IF(LEN('Verification Report'!W42)=0,"",'Verification Report'!W42)</f>
        <v/>
      </c>
      <c r="G41" s="1260" t="s">
        <v>247</v>
      </c>
    </row>
    <row r="42" spans="1:7" ht="15.75" hidden="1" thickBot="1" x14ac:dyDescent="0.3">
      <c r="A42" s="87"/>
      <c r="B42" s="91"/>
      <c r="C42" s="91"/>
      <c r="D42" s="1754"/>
      <c r="E42" s="1300"/>
      <c r="F42" s="94"/>
      <c r="G42" s="1260" t="s">
        <v>247</v>
      </c>
    </row>
    <row r="43" spans="1:7" ht="15.75" hidden="1" thickBot="1" x14ac:dyDescent="0.3">
      <c r="A43" s="87"/>
      <c r="B43" s="174"/>
      <c r="C43" s="174"/>
      <c r="D43" s="1755"/>
      <c r="E43" s="1301"/>
      <c r="F43" s="94"/>
      <c r="G43" s="1260" t="s">
        <v>247</v>
      </c>
    </row>
    <row r="44" spans="1:7" ht="15" hidden="1" customHeight="1" x14ac:dyDescent="0.25">
      <c r="A44" s="87"/>
      <c r="B44" s="87" t="s">
        <v>277</v>
      </c>
      <c r="C44" s="87"/>
      <c r="D44" s="1779" t="s">
        <v>278</v>
      </c>
      <c r="E44" s="1303">
        <f ca="1">'Verification Report'!O45</f>
        <v>0</v>
      </c>
      <c r="F44" s="1313" t="str">
        <f>IF(LEN('Verification Report'!W45)=0,"",'Verification Report'!W45)</f>
        <v/>
      </c>
      <c r="G44" s="1260" t="s">
        <v>247</v>
      </c>
    </row>
    <row r="45" spans="1:7" ht="15.75" hidden="1" thickBot="1" x14ac:dyDescent="0.3">
      <c r="A45" s="87"/>
      <c r="B45" s="87"/>
      <c r="C45" s="87"/>
      <c r="D45" s="1779"/>
      <c r="E45" s="1303"/>
      <c r="F45" s="94"/>
      <c r="G45" s="1260" t="s">
        <v>247</v>
      </c>
    </row>
    <row r="46" spans="1:7" ht="15.75" hidden="1" thickBot="1" x14ac:dyDescent="0.3">
      <c r="A46" s="87"/>
      <c r="B46" s="87"/>
      <c r="C46" s="87" t="s">
        <v>121</v>
      </c>
      <c r="D46" s="1554" t="s">
        <v>279</v>
      </c>
      <c r="E46" s="1295"/>
      <c r="F46" s="94"/>
      <c r="G46" s="1260" t="s">
        <v>247</v>
      </c>
    </row>
    <row r="47" spans="1:7" ht="15.75" hidden="1" thickBot="1" x14ac:dyDescent="0.3">
      <c r="A47" s="87"/>
      <c r="B47" s="87"/>
      <c r="C47" s="87" t="s">
        <v>122</v>
      </c>
      <c r="D47" s="1554" t="s">
        <v>280</v>
      </c>
      <c r="E47" s="1295"/>
      <c r="F47" s="94"/>
      <c r="G47" s="1260" t="s">
        <v>247</v>
      </c>
    </row>
    <row r="48" spans="1:7" ht="15.75" hidden="1" thickBot="1" x14ac:dyDescent="0.3">
      <c r="A48" s="87"/>
      <c r="B48" s="87"/>
      <c r="C48" s="89" t="s">
        <v>123</v>
      </c>
      <c r="D48" s="1554" t="s">
        <v>281</v>
      </c>
      <c r="E48" s="1295"/>
      <c r="F48" s="94"/>
      <c r="G48" s="1260" t="s">
        <v>247</v>
      </c>
    </row>
    <row r="49" spans="1:7" ht="15" hidden="1" customHeight="1" x14ac:dyDescent="0.25">
      <c r="C49" s="89" t="s">
        <v>401</v>
      </c>
      <c r="D49" s="1787" t="s">
        <v>4120</v>
      </c>
      <c r="E49" s="1296">
        <f ca="1">'Verification Report'!O50</f>
        <v>0</v>
      </c>
      <c r="F49" s="1313" t="str">
        <f>IF(LEN('Verification Report'!W50)=0,"",'Verification Report'!W50)</f>
        <v/>
      </c>
      <c r="G49" s="1260" t="s">
        <v>247</v>
      </c>
    </row>
    <row r="50" spans="1:7" ht="15.75" hidden="1" thickBot="1" x14ac:dyDescent="0.3">
      <c r="D50" s="1787"/>
      <c r="E50" s="1296"/>
      <c r="F50" s="94"/>
      <c r="G50" s="1260" t="s">
        <v>247</v>
      </c>
    </row>
    <row r="51" spans="1:7" ht="15" hidden="1" customHeight="1" x14ac:dyDescent="0.25">
      <c r="B51" s="846" t="s">
        <v>383</v>
      </c>
      <c r="C51" s="849"/>
      <c r="D51" s="1769" t="s">
        <v>4122</v>
      </c>
      <c r="E51" s="1293">
        <f>'Verification Report'!O52</f>
        <v>0</v>
      </c>
      <c r="F51" s="1313" t="str">
        <f>IF(LEN('Verification Report'!W52)=0,"",'Verification Report'!W52)</f>
        <v/>
      </c>
      <c r="G51" s="1260" t="s">
        <v>247</v>
      </c>
    </row>
    <row r="52" spans="1:7" ht="15.75" hidden="1" thickBot="1" x14ac:dyDescent="0.3">
      <c r="B52" s="845"/>
      <c r="C52" s="845"/>
      <c r="D52" s="1787"/>
      <c r="E52" s="1296"/>
      <c r="F52" s="94"/>
      <c r="G52" s="1260" t="s">
        <v>247</v>
      </c>
    </row>
    <row r="53" spans="1:7" ht="15.75" hidden="1" thickBot="1" x14ac:dyDescent="0.3">
      <c r="B53" s="851"/>
      <c r="C53" s="851"/>
      <c r="D53" s="1561" t="s">
        <v>4125</v>
      </c>
      <c r="E53" s="1297"/>
      <c r="F53" s="94"/>
      <c r="G53" s="1260" t="s">
        <v>247</v>
      </c>
    </row>
    <row r="54" spans="1:7" ht="15.75" hidden="1" thickBot="1" x14ac:dyDescent="0.3">
      <c r="B54" s="846" t="s">
        <v>428</v>
      </c>
      <c r="C54" s="849"/>
      <c r="D54" s="1539" t="s">
        <v>4123</v>
      </c>
      <c r="E54" s="1306">
        <f>'Verification Report'!O55</f>
        <v>0</v>
      </c>
      <c r="F54" s="1313" t="str">
        <f>IF(LEN('Verification Report'!W55)=0,"",'Verification Report'!W55)</f>
        <v/>
      </c>
      <c r="G54" s="1260" t="s">
        <v>247</v>
      </c>
    </row>
    <row r="55" spans="1:7" ht="15.75" hidden="1" thickBot="1" x14ac:dyDescent="0.3">
      <c r="B55" s="87"/>
      <c r="C55" s="845"/>
      <c r="D55" s="1550" t="s">
        <v>4124</v>
      </c>
      <c r="E55" s="1297"/>
      <c r="F55" s="94"/>
      <c r="G55" s="1260" t="s">
        <v>247</v>
      </c>
    </row>
    <row r="56" spans="1:7" ht="19.5" hidden="1" thickBot="1" x14ac:dyDescent="0.3">
      <c r="A56" s="69" t="s">
        <v>367</v>
      </c>
      <c r="B56" s="69"/>
      <c r="C56" s="69"/>
      <c r="D56" s="228"/>
      <c r="E56" s="1043"/>
      <c r="F56" s="94"/>
      <c r="G56" s="1260" t="s">
        <v>247</v>
      </c>
    </row>
    <row r="57" spans="1:7" ht="15" hidden="1" customHeight="1" x14ac:dyDescent="0.25">
      <c r="A57" s="139">
        <v>502.1</v>
      </c>
      <c r="B57" s="90"/>
      <c r="C57" s="90"/>
      <c r="D57" s="1796" t="s">
        <v>369</v>
      </c>
      <c r="E57" s="1295">
        <f>'Verification Report'!O58</f>
        <v>0</v>
      </c>
      <c r="F57" s="1313" t="str">
        <f>IF(LEN('Verification Report'!W58)=0,"",'Verification Report'!W58)</f>
        <v/>
      </c>
      <c r="G57" s="1260" t="s">
        <v>247</v>
      </c>
    </row>
    <row r="58" spans="1:7" ht="15.75" hidden="1" thickBot="1" x14ac:dyDescent="0.3">
      <c r="A58" s="90"/>
      <c r="B58" s="90"/>
      <c r="C58" s="90"/>
      <c r="D58" s="1796"/>
      <c r="E58" s="1295"/>
      <c r="F58" s="94"/>
      <c r="G58" s="1260" t="s">
        <v>247</v>
      </c>
    </row>
    <row r="59" spans="1:7" ht="15.75" hidden="1" thickBot="1" x14ac:dyDescent="0.3">
      <c r="A59" s="90"/>
      <c r="B59" s="90"/>
      <c r="C59" s="90"/>
      <c r="D59" s="1796"/>
      <c r="E59" s="1295"/>
      <c r="F59" s="94"/>
      <c r="G59" s="1260" t="s">
        <v>247</v>
      </c>
    </row>
    <row r="60" spans="1:7" ht="15.75" hidden="1" thickBot="1" x14ac:dyDescent="0.3">
      <c r="A60" s="90"/>
      <c r="B60" s="90"/>
      <c r="C60" s="90"/>
      <c r="D60" s="1796"/>
      <c r="E60" s="1295"/>
      <c r="F60" s="94"/>
      <c r="G60" s="1260" t="s">
        <v>247</v>
      </c>
    </row>
    <row r="61" spans="1:7" ht="19.5" hidden="1" thickBot="1" x14ac:dyDescent="0.3">
      <c r="A61" s="69" t="s">
        <v>371</v>
      </c>
      <c r="B61" s="88"/>
      <c r="C61" s="88"/>
      <c r="D61" s="84"/>
      <c r="E61" s="1043"/>
      <c r="F61" s="94"/>
      <c r="G61" s="1260" t="s">
        <v>247</v>
      </c>
    </row>
    <row r="62" spans="1:7" ht="15" hidden="1" customHeight="1" x14ac:dyDescent="0.25">
      <c r="A62" s="668" t="s">
        <v>372</v>
      </c>
      <c r="B62" s="102"/>
      <c r="C62" s="102"/>
      <c r="D62" s="1782" t="s">
        <v>373</v>
      </c>
      <c r="E62" s="1296"/>
      <c r="F62" s="94"/>
      <c r="G62" s="1260" t="s">
        <v>247</v>
      </c>
    </row>
    <row r="63" spans="1:7" ht="15.75" hidden="1" thickBot="1" x14ac:dyDescent="0.3">
      <c r="A63" s="102"/>
      <c r="B63" s="102"/>
      <c r="C63" s="102"/>
      <c r="D63" s="1782"/>
      <c r="E63" s="1296"/>
      <c r="F63" s="94"/>
      <c r="G63" s="1260" t="s">
        <v>247</v>
      </c>
    </row>
    <row r="64" spans="1:7" ht="15.75" hidden="1" thickBot="1" x14ac:dyDescent="0.3">
      <c r="A64" s="102"/>
      <c r="B64" s="102"/>
      <c r="C64" s="102"/>
      <c r="D64" s="1782"/>
      <c r="E64" s="1296"/>
      <c r="F64" s="94"/>
      <c r="G64" s="1260" t="s">
        <v>247</v>
      </c>
    </row>
    <row r="65" spans="1:8" ht="15.75" hidden="1" thickBot="1" x14ac:dyDescent="0.3">
      <c r="A65" s="102"/>
      <c r="B65" s="102"/>
      <c r="C65" s="102"/>
      <c r="D65" s="1782"/>
      <c r="E65" s="1296"/>
      <c r="F65" s="94"/>
      <c r="G65" s="1260" t="s">
        <v>247</v>
      </c>
    </row>
    <row r="66" spans="1:8" ht="15.75" hidden="1" thickBot="1" x14ac:dyDescent="0.3">
      <c r="A66" s="103"/>
      <c r="B66" s="103"/>
      <c r="C66" s="103"/>
      <c r="D66" s="1570" t="s">
        <v>374</v>
      </c>
      <c r="E66" s="1294"/>
      <c r="F66" s="94"/>
      <c r="G66" s="1260" t="s">
        <v>247</v>
      </c>
    </row>
    <row r="67" spans="1:8" ht="15" hidden="1" customHeight="1" thickTop="1" x14ac:dyDescent="0.25">
      <c r="A67" s="139">
        <v>503.1</v>
      </c>
      <c r="B67" s="1307"/>
      <c r="C67" s="1307"/>
      <c r="D67" s="1307" t="s">
        <v>376</v>
      </c>
      <c r="E67" s="1298"/>
      <c r="F67" s="94"/>
      <c r="G67" s="1260" t="s">
        <v>247</v>
      </c>
      <c r="H67" s="1329"/>
    </row>
    <row r="68" spans="1:8" ht="15" hidden="1" customHeight="1" x14ac:dyDescent="0.25">
      <c r="A68" s="102"/>
      <c r="B68" s="91" t="s">
        <v>256</v>
      </c>
      <c r="C68" s="102"/>
      <c r="D68" s="1761" t="s">
        <v>377</v>
      </c>
      <c r="E68" s="1297">
        <f>'Verification Report'!O69</f>
        <v>0</v>
      </c>
      <c r="F68" s="1313" t="str">
        <f>IF(LEN('Verification Report'!W69)=0,"",'Verification Report'!W69)</f>
        <v/>
      </c>
      <c r="G68" s="1260" t="s">
        <v>247</v>
      </c>
      <c r="H68" s="1329"/>
    </row>
    <row r="69" spans="1:8" ht="15.75" hidden="1" thickBot="1" x14ac:dyDescent="0.3">
      <c r="A69" s="102"/>
      <c r="B69" s="174"/>
      <c r="C69" s="177"/>
      <c r="D69" s="1761"/>
      <c r="E69" s="1297"/>
      <c r="F69" s="94"/>
      <c r="G69" s="1260" t="s">
        <v>247</v>
      </c>
      <c r="H69" s="1329"/>
    </row>
    <row r="70" spans="1:8" ht="15" hidden="1" customHeight="1" x14ac:dyDescent="0.25">
      <c r="A70" s="102"/>
      <c r="B70" s="91" t="s">
        <v>258</v>
      </c>
      <c r="C70" s="102"/>
      <c r="D70" s="1754" t="s">
        <v>378</v>
      </c>
      <c r="E70" s="1296">
        <f>'Verification Report'!O71</f>
        <v>0</v>
      </c>
      <c r="F70" s="1313" t="str">
        <f>IF(LEN('Verification Report'!W71)=0,"",'Verification Report'!W71)</f>
        <v/>
      </c>
      <c r="G70" s="1260" t="s">
        <v>247</v>
      </c>
    </row>
    <row r="71" spans="1:8" ht="15.75" hidden="1" thickBot="1" x14ac:dyDescent="0.3">
      <c r="A71" s="102"/>
      <c r="B71" s="174"/>
      <c r="C71" s="177"/>
      <c r="D71" s="1755"/>
      <c r="E71" s="1297"/>
      <c r="F71" s="94"/>
      <c r="G71" s="1260" t="s">
        <v>247</v>
      </c>
    </row>
    <row r="72" spans="1:8" ht="15" hidden="1" customHeight="1" x14ac:dyDescent="0.25">
      <c r="A72" s="102"/>
      <c r="B72" s="91" t="s">
        <v>260</v>
      </c>
      <c r="C72" s="102"/>
      <c r="D72" s="1754" t="s">
        <v>379</v>
      </c>
      <c r="E72" s="1296">
        <f>'Verification Report'!O73</f>
        <v>0</v>
      </c>
      <c r="F72" s="1313" t="str">
        <f>IF(LEN('Verification Report'!W73)=0,"",'Verification Report'!W73)</f>
        <v/>
      </c>
      <c r="G72" s="1260" t="s">
        <v>247</v>
      </c>
    </row>
    <row r="73" spans="1:8" ht="15.75" hidden="1" thickBot="1" x14ac:dyDescent="0.3">
      <c r="A73" s="102"/>
      <c r="B73" s="174"/>
      <c r="C73" s="177"/>
      <c r="D73" s="1755"/>
      <c r="E73" s="1297"/>
      <c r="F73" s="94"/>
      <c r="G73" s="1260" t="s">
        <v>247</v>
      </c>
    </row>
    <row r="74" spans="1:8" ht="15" hidden="1" customHeight="1" x14ac:dyDescent="0.25">
      <c r="A74" s="102"/>
      <c r="B74" s="91" t="s">
        <v>269</v>
      </c>
      <c r="C74" s="102"/>
      <c r="D74" s="1760" t="s">
        <v>380</v>
      </c>
      <c r="E74" s="1293">
        <f>'Verification Report'!O75</f>
        <v>0</v>
      </c>
      <c r="F74" s="1313" t="str">
        <f>IF(LEN('Verification Report'!W75)=0,"",'Verification Report'!W75)</f>
        <v/>
      </c>
      <c r="G74" s="1260" t="s">
        <v>247</v>
      </c>
    </row>
    <row r="75" spans="1:8" ht="15.75" hidden="1" thickBot="1" x14ac:dyDescent="0.3">
      <c r="A75" s="102"/>
      <c r="B75" s="174"/>
      <c r="C75" s="177"/>
      <c r="D75" s="1761"/>
      <c r="E75" s="1297"/>
      <c r="F75" s="94"/>
      <c r="G75" s="1260" t="s">
        <v>247</v>
      </c>
    </row>
    <row r="76" spans="1:8" ht="15" hidden="1" customHeight="1" x14ac:dyDescent="0.25">
      <c r="A76" s="102"/>
      <c r="B76" s="846" t="s">
        <v>275</v>
      </c>
      <c r="C76" s="1211"/>
      <c r="D76" s="1760" t="s">
        <v>381</v>
      </c>
      <c r="E76" s="1293">
        <f>'Verification Report'!O77</f>
        <v>0</v>
      </c>
      <c r="F76" s="1313" t="str">
        <f>IF(LEN('Verification Report'!W77)=0,"",'Verification Report'!W77)</f>
        <v/>
      </c>
      <c r="G76" s="1260" t="s">
        <v>247</v>
      </c>
    </row>
    <row r="77" spans="1:8" ht="15.75" hidden="1" thickBot="1" x14ac:dyDescent="0.3">
      <c r="A77" s="102"/>
      <c r="B77" s="174"/>
      <c r="C77" s="177"/>
      <c r="D77" s="1761"/>
      <c r="E77" s="1297"/>
      <c r="F77" s="94"/>
      <c r="G77" s="1260" t="s">
        <v>247</v>
      </c>
    </row>
    <row r="78" spans="1:8" ht="15" hidden="1" customHeight="1" x14ac:dyDescent="0.25">
      <c r="A78" s="102"/>
      <c r="B78" s="91" t="s">
        <v>277</v>
      </c>
      <c r="C78" s="102"/>
      <c r="D78" s="1754" t="s">
        <v>382</v>
      </c>
      <c r="E78" s="1296">
        <f>'Verification Report'!O79</f>
        <v>0</v>
      </c>
      <c r="F78" s="1313" t="str">
        <f>IF(LEN('Verification Report'!W79)=0,"",'Verification Report'!W79)</f>
        <v/>
      </c>
      <c r="G78" s="1260" t="s">
        <v>247</v>
      </c>
    </row>
    <row r="79" spans="1:8" ht="15.75" hidden="1" thickBot="1" x14ac:dyDescent="0.3">
      <c r="A79" s="102"/>
      <c r="B79" s="174"/>
      <c r="C79" s="177"/>
      <c r="D79" s="1755"/>
      <c r="E79" s="1297"/>
      <c r="F79" s="94"/>
      <c r="G79" s="1260" t="s">
        <v>247</v>
      </c>
    </row>
    <row r="80" spans="1:8" ht="15" hidden="1" customHeight="1" x14ac:dyDescent="0.25">
      <c r="A80" s="102"/>
      <c r="B80" s="91" t="s">
        <v>383</v>
      </c>
      <c r="C80" s="102"/>
      <c r="D80" s="1754" t="s">
        <v>384</v>
      </c>
      <c r="E80" s="1296">
        <f>'Verification Report'!O81</f>
        <v>0</v>
      </c>
      <c r="F80" s="1313" t="str">
        <f>IF(LEN('Verification Report'!W81)=0,"",'Verification Report'!W81)</f>
        <v/>
      </c>
      <c r="G80" s="1260" t="s">
        <v>247</v>
      </c>
    </row>
    <row r="81" spans="1:9" ht="15.75" hidden="1" thickBot="1" x14ac:dyDescent="0.3">
      <c r="A81" s="102"/>
      <c r="B81" s="102"/>
      <c r="C81" s="102"/>
      <c r="D81" s="1754"/>
      <c r="E81" s="1296"/>
      <c r="F81" s="94"/>
      <c r="G81" s="1260" t="s">
        <v>247</v>
      </c>
    </row>
    <row r="82" spans="1:9" ht="15" hidden="1" customHeight="1" x14ac:dyDescent="0.25">
      <c r="A82" s="94"/>
      <c r="B82" s="846" t="s">
        <v>428</v>
      </c>
      <c r="C82" s="849"/>
      <c r="D82" s="1769" t="s">
        <v>4126</v>
      </c>
      <c r="E82" s="1331">
        <f>'Verification Report'!O83</f>
        <v>0</v>
      </c>
      <c r="F82" s="1313" t="str">
        <f>IF(LEN('Verification Report'!W83)=0,"",'Verification Report'!W83)</f>
        <v/>
      </c>
      <c r="G82" s="1260" t="s">
        <v>247</v>
      </c>
    </row>
    <row r="83" spans="1:9" ht="15.75" hidden="1" thickBot="1" x14ac:dyDescent="0.3">
      <c r="A83" s="94"/>
      <c r="B83" s="850"/>
      <c r="C83" s="850"/>
      <c r="D83" s="1787"/>
      <c r="E83" s="1332"/>
      <c r="F83" s="94"/>
      <c r="G83" s="1260" t="s">
        <v>247</v>
      </c>
    </row>
    <row r="84" spans="1:9" ht="15.75" hidden="1" thickBot="1" x14ac:dyDescent="0.3">
      <c r="A84" s="94"/>
      <c r="B84" s="850"/>
      <c r="C84" s="850"/>
      <c r="D84" s="1787"/>
      <c r="E84" s="1332"/>
      <c r="F84" s="94"/>
      <c r="G84" s="1260" t="s">
        <v>247</v>
      </c>
    </row>
    <row r="85" spans="1:9" ht="15.75" hidden="1" thickBot="1" x14ac:dyDescent="0.3">
      <c r="A85" s="94"/>
      <c r="B85" s="850"/>
      <c r="C85" s="850"/>
      <c r="D85" s="1787"/>
      <c r="E85" s="1332"/>
      <c r="F85" s="94"/>
      <c r="G85" s="1260" t="s">
        <v>247</v>
      </c>
    </row>
    <row r="86" spans="1:9" ht="15.75" hidden="1" thickBot="1" x14ac:dyDescent="0.3">
      <c r="A86" s="99"/>
      <c r="B86" s="852"/>
      <c r="C86" s="852"/>
      <c r="D86" s="1766"/>
      <c r="E86" s="1333"/>
      <c r="F86" s="94"/>
      <c r="G86" s="1260" t="s">
        <v>247</v>
      </c>
    </row>
    <row r="87" spans="1:9" ht="15" customHeight="1" thickTop="1" x14ac:dyDescent="0.25">
      <c r="A87" s="101">
        <v>503.2</v>
      </c>
      <c r="B87" s="102"/>
      <c r="C87" s="102"/>
      <c r="D87" s="1569" t="s">
        <v>386</v>
      </c>
      <c r="E87" s="1332"/>
      <c r="F87" s="94"/>
      <c r="G87" s="2363" t="str">
        <f>IF(COUNTIF(G88:G97,"P")&gt;0,"P","")</f>
        <v/>
      </c>
    </row>
    <row r="88" spans="1:9" x14ac:dyDescent="0.25">
      <c r="A88" s="101"/>
      <c r="B88" s="102"/>
      <c r="C88" s="102"/>
      <c r="D88" s="1550" t="s">
        <v>3380</v>
      </c>
      <c r="E88" s="1296"/>
      <c r="F88" s="1313" t="str">
        <f>IF(LEN('Verification Report'!W89)=0,"",'Verification Report'!W89)</f>
        <v/>
      </c>
      <c r="G88" s="585" t="str">
        <f>IF(AND(LEN(F88)&gt;0,NOT(F88=FALSE)),"P","")</f>
        <v/>
      </c>
      <c r="H88" s="1330" t="s">
        <v>5061</v>
      </c>
      <c r="I88" s="1527"/>
    </row>
    <row r="89" spans="1:9" hidden="1" x14ac:dyDescent="0.25">
      <c r="A89" s="102"/>
      <c r="B89" s="174" t="s">
        <v>256</v>
      </c>
      <c r="C89" s="177"/>
      <c r="D89" s="1536" t="s">
        <v>387</v>
      </c>
      <c r="E89" s="1297">
        <f>'Verification Report'!O90</f>
        <v>0</v>
      </c>
      <c r="F89" s="1313" t="str">
        <f>IF(LEN('Verification Report'!W90)=0,"",'Verification Report'!W90)</f>
        <v/>
      </c>
      <c r="G89" s="1260" t="s">
        <v>247</v>
      </c>
    </row>
    <row r="90" spans="1:9" ht="15" hidden="1" customHeight="1" x14ac:dyDescent="0.25">
      <c r="A90" s="102"/>
      <c r="B90" s="91" t="s">
        <v>258</v>
      </c>
      <c r="C90" s="102"/>
      <c r="D90" s="1754" t="s">
        <v>388</v>
      </c>
      <c r="E90" s="1296">
        <f>'Verification Report'!O91</f>
        <v>0</v>
      </c>
      <c r="F90" s="1313" t="str">
        <f>IF(LEN('Verification Report'!W91)=0,"",'Verification Report'!W91)</f>
        <v/>
      </c>
      <c r="G90" s="1260" t="s">
        <v>247</v>
      </c>
    </row>
    <row r="91" spans="1:9" hidden="1" x14ac:dyDescent="0.25">
      <c r="A91" s="102"/>
      <c r="B91" s="177"/>
      <c r="C91" s="177"/>
      <c r="D91" s="1755"/>
      <c r="E91" s="1297"/>
      <c r="F91" s="94"/>
      <c r="G91" s="1260" t="s">
        <v>247</v>
      </c>
    </row>
    <row r="92" spans="1:9" ht="15" hidden="1" customHeight="1" x14ac:dyDescent="0.25">
      <c r="A92" s="102"/>
      <c r="B92" s="91" t="s">
        <v>260</v>
      </c>
      <c r="C92" s="102"/>
      <c r="D92" s="1754" t="s">
        <v>389</v>
      </c>
      <c r="E92" s="1296">
        <f ca="1">'Verification Report'!O93</f>
        <v>0</v>
      </c>
      <c r="F92" s="1313" t="str">
        <f>IF(LEN('Verification Report'!W93)=0,"",'Verification Report'!W93)</f>
        <v/>
      </c>
      <c r="G92" s="1260" t="s">
        <v>247</v>
      </c>
    </row>
    <row r="93" spans="1:9" hidden="1" x14ac:dyDescent="0.25">
      <c r="A93" s="102"/>
      <c r="B93" s="102"/>
      <c r="C93" s="102"/>
      <c r="D93" s="1754"/>
      <c r="E93" s="1296"/>
      <c r="F93" s="94"/>
      <c r="G93" s="1260" t="s">
        <v>247</v>
      </c>
    </row>
    <row r="94" spans="1:9" hidden="1" x14ac:dyDescent="0.25">
      <c r="A94" s="102"/>
      <c r="B94" s="102"/>
      <c r="C94" s="91" t="s">
        <v>121</v>
      </c>
      <c r="D94" s="1546" t="s">
        <v>767</v>
      </c>
      <c r="E94" s="1296"/>
      <c r="F94" s="94"/>
      <c r="G94" s="1260" t="s">
        <v>247</v>
      </c>
    </row>
    <row r="95" spans="1:9" hidden="1" x14ac:dyDescent="0.25">
      <c r="A95" s="102"/>
      <c r="B95" s="102"/>
      <c r="C95" s="91" t="s">
        <v>122</v>
      </c>
      <c r="D95" s="1546" t="s">
        <v>390</v>
      </c>
      <c r="E95" s="1296"/>
      <c r="F95" s="94"/>
      <c r="G95" s="1260" t="s">
        <v>247</v>
      </c>
    </row>
    <row r="96" spans="1:9" hidden="1" x14ac:dyDescent="0.25">
      <c r="A96" s="102"/>
      <c r="B96" s="177"/>
      <c r="C96" s="179" t="s">
        <v>123</v>
      </c>
      <c r="D96" s="1536" t="s">
        <v>391</v>
      </c>
      <c r="E96" s="1297"/>
      <c r="F96" s="94"/>
      <c r="G96" s="1260" t="s">
        <v>247</v>
      </c>
    </row>
    <row r="97" spans="1:9" ht="15" customHeight="1" x14ac:dyDescent="0.25">
      <c r="A97" s="102"/>
      <c r="B97" s="91" t="s">
        <v>269</v>
      </c>
      <c r="C97" s="102"/>
      <c r="D97" s="1754" t="s">
        <v>392</v>
      </c>
      <c r="E97" s="1296">
        <f>'Verification Report'!O98</f>
        <v>0</v>
      </c>
      <c r="F97" s="1313" t="str">
        <f>IF(LEN('Verification Report'!W98)=0,"",'Verification Report'!W98)</f>
        <v/>
      </c>
      <c r="G97" s="585" t="str">
        <f>IF(E97&gt;0,"P","")</f>
        <v/>
      </c>
      <c r="H97" s="1330" t="s">
        <v>5062</v>
      </c>
      <c r="I97" s="1527"/>
    </row>
    <row r="98" spans="1:9" ht="15.75" thickBot="1" x14ac:dyDescent="0.3">
      <c r="A98" s="102"/>
      <c r="B98" s="177"/>
      <c r="C98" s="177"/>
      <c r="D98" s="1755"/>
      <c r="E98" s="1297"/>
      <c r="F98" s="94"/>
      <c r="G98" s="585" t="str">
        <f>G97</f>
        <v/>
      </c>
    </row>
    <row r="99" spans="1:9" ht="15.75" hidden="1" thickBot="1" x14ac:dyDescent="0.3">
      <c r="A99" s="103"/>
      <c r="B99" s="96" t="s">
        <v>275</v>
      </c>
      <c r="C99" s="103"/>
      <c r="D99" s="1555" t="s">
        <v>393</v>
      </c>
      <c r="E99" s="1294">
        <f>'Verification Report'!O100</f>
        <v>0</v>
      </c>
      <c r="F99" s="1313" t="str">
        <f>IF(LEN('Verification Report'!W100)=0,"",'Verification Report'!W100)</f>
        <v/>
      </c>
      <c r="G99" s="1260" t="s">
        <v>247</v>
      </c>
    </row>
    <row r="100" spans="1:9" ht="15.75" hidden="1" customHeight="1" thickTop="1" x14ac:dyDescent="0.25">
      <c r="A100" s="106">
        <v>503.3</v>
      </c>
      <c r="B100" s="107"/>
      <c r="C100" s="107"/>
      <c r="D100" s="1781" t="s">
        <v>395</v>
      </c>
      <c r="E100" s="1298"/>
      <c r="F100" s="94"/>
      <c r="G100" s="1260" t="s">
        <v>247</v>
      </c>
    </row>
    <row r="101" spans="1:9" ht="15.75" hidden="1" thickBot="1" x14ac:dyDescent="0.3">
      <c r="A101" s="102"/>
      <c r="B101" s="102"/>
      <c r="C101" s="102"/>
      <c r="D101" s="1782"/>
      <c r="E101" s="1296"/>
      <c r="F101" s="94"/>
      <c r="G101" s="1260" t="s">
        <v>247</v>
      </c>
    </row>
    <row r="102" spans="1:9" ht="15.75" hidden="1" thickBot="1" x14ac:dyDescent="0.3">
      <c r="A102" s="102"/>
      <c r="B102" s="102"/>
      <c r="C102" s="102"/>
      <c r="D102" s="1550" t="s">
        <v>768</v>
      </c>
      <c r="E102" s="1296"/>
      <c r="F102" s="94"/>
      <c r="G102" s="1260" t="s">
        <v>247</v>
      </c>
    </row>
    <row r="103" spans="1:9" ht="15" hidden="1" customHeight="1" x14ac:dyDescent="0.25">
      <c r="A103" s="102"/>
      <c r="B103" s="91" t="s">
        <v>256</v>
      </c>
      <c r="C103" s="102"/>
      <c r="D103" s="1754" t="s">
        <v>396</v>
      </c>
      <c r="E103" s="1296">
        <f>'Verification Report'!O104</f>
        <v>0</v>
      </c>
      <c r="F103" s="1313" t="str">
        <f>IF(LEN('Verification Report'!W104)=0,"",'Verification Report'!W104)</f>
        <v/>
      </c>
      <c r="G103" s="1260" t="s">
        <v>247</v>
      </c>
    </row>
    <row r="104" spans="1:9" ht="15.75" hidden="1" thickBot="1" x14ac:dyDescent="0.3">
      <c r="A104" s="102"/>
      <c r="B104" s="174"/>
      <c r="C104" s="177"/>
      <c r="D104" s="1755"/>
      <c r="E104" s="1297"/>
      <c r="F104" s="94"/>
      <c r="G104" s="1260" t="s">
        <v>247</v>
      </c>
    </row>
    <row r="105" spans="1:9" ht="15" hidden="1" customHeight="1" x14ac:dyDescent="0.25">
      <c r="A105" s="102"/>
      <c r="B105" s="91" t="s">
        <v>258</v>
      </c>
      <c r="C105" s="102"/>
      <c r="D105" s="1754" t="s">
        <v>397</v>
      </c>
      <c r="E105" s="1293">
        <f>'Verification Report'!O106</f>
        <v>0</v>
      </c>
      <c r="F105" s="94"/>
      <c r="G105" s="1260" t="s">
        <v>247</v>
      </c>
    </row>
    <row r="106" spans="1:9" ht="15.75" hidden="1" thickBot="1" x14ac:dyDescent="0.3">
      <c r="A106" s="102"/>
      <c r="B106" s="102"/>
      <c r="C106" s="102"/>
      <c r="D106" s="1754"/>
      <c r="E106" s="1296"/>
      <c r="F106" s="94"/>
      <c r="G106" s="1260" t="s">
        <v>247</v>
      </c>
    </row>
    <row r="107" spans="1:9" ht="15.75" hidden="1" thickBot="1" x14ac:dyDescent="0.3">
      <c r="A107" s="102"/>
      <c r="B107" s="102"/>
      <c r="C107" s="91" t="s">
        <v>121</v>
      </c>
      <c r="D107" s="1546" t="s">
        <v>398</v>
      </c>
      <c r="E107" s="1296"/>
      <c r="F107" s="1313" t="str">
        <f>IF(LEN('Verification Report'!W108)=0,"",'Verification Report'!W108)</f>
        <v/>
      </c>
      <c r="G107" s="1260" t="s">
        <v>247</v>
      </c>
    </row>
    <row r="108" spans="1:9" ht="15" hidden="1" customHeight="1" x14ac:dyDescent="0.25">
      <c r="A108" s="102"/>
      <c r="B108" s="102"/>
      <c r="C108" s="91" t="s">
        <v>122</v>
      </c>
      <c r="D108" s="1754" t="s">
        <v>399</v>
      </c>
      <c r="E108" s="1296"/>
      <c r="F108" s="1313" t="str">
        <f>IF(LEN('Verification Report'!W109)=0,"",'Verification Report'!W109)</f>
        <v/>
      </c>
      <c r="G108" s="1260" t="s">
        <v>247</v>
      </c>
    </row>
    <row r="109" spans="1:9" ht="15.75" hidden="1" thickBot="1" x14ac:dyDescent="0.3">
      <c r="A109" s="102"/>
      <c r="B109" s="102"/>
      <c r="C109" s="102"/>
      <c r="D109" s="1754"/>
      <c r="E109" s="1296"/>
      <c r="F109" s="94"/>
      <c r="G109" s="1260" t="s">
        <v>247</v>
      </c>
    </row>
    <row r="110" spans="1:9" ht="15.75" hidden="1" thickBot="1" x14ac:dyDescent="0.3">
      <c r="A110" s="102"/>
      <c r="B110" s="102"/>
      <c r="C110" s="110" t="s">
        <v>123</v>
      </c>
      <c r="D110" s="1546" t="s">
        <v>400</v>
      </c>
      <c r="E110" s="1296"/>
      <c r="F110" s="1313" t="str">
        <f>IF(LEN('Verification Report'!W111)=0,"",'Verification Report'!W111)</f>
        <v/>
      </c>
      <c r="G110" s="1260" t="s">
        <v>247</v>
      </c>
    </row>
    <row r="111" spans="1:9" ht="15.75" hidden="1" thickBot="1" x14ac:dyDescent="0.3">
      <c r="A111" s="102"/>
      <c r="B111" s="177"/>
      <c r="C111" s="179" t="s">
        <v>401</v>
      </c>
      <c r="D111" s="1536" t="s">
        <v>402</v>
      </c>
      <c r="E111" s="1297"/>
      <c r="F111" s="1313" t="str">
        <f>IF(LEN('Verification Report'!W112)=0,"",'Verification Report'!W112)</f>
        <v/>
      </c>
      <c r="G111" s="1260" t="s">
        <v>247</v>
      </c>
    </row>
    <row r="112" spans="1:9" ht="15.75" hidden="1" thickBot="1" x14ac:dyDescent="0.3">
      <c r="A112" s="103"/>
      <c r="B112" s="96" t="s">
        <v>260</v>
      </c>
      <c r="C112" s="103"/>
      <c r="D112" s="1555" t="s">
        <v>403</v>
      </c>
      <c r="E112" s="1294">
        <f>'Verification Report'!O113</f>
        <v>0</v>
      </c>
      <c r="F112" s="1313" t="str">
        <f>IF(LEN('Verification Report'!W113)=0,"",'Verification Report'!W113)</f>
        <v/>
      </c>
      <c r="G112" s="1260" t="s">
        <v>247</v>
      </c>
    </row>
    <row r="113" spans="1:7" ht="15.75" customHeight="1" thickTop="1" x14ac:dyDescent="0.25">
      <c r="A113" s="139">
        <v>503.4</v>
      </c>
      <c r="B113" s="90"/>
      <c r="C113" s="90"/>
      <c r="D113" s="1781" t="s">
        <v>405</v>
      </c>
      <c r="E113" s="1295"/>
      <c r="F113" s="94"/>
      <c r="G113" s="2363" t="str">
        <f>IF(COUNTIF(G141,"P")&gt;0,"P","")</f>
        <v/>
      </c>
    </row>
    <row r="114" spans="1:7" x14ac:dyDescent="0.25">
      <c r="A114" s="90"/>
      <c r="B114" s="90"/>
      <c r="C114" s="90"/>
      <c r="D114" s="1796"/>
      <c r="E114" s="1295"/>
      <c r="F114" s="94"/>
      <c r="G114" s="585" t="str">
        <f>G113</f>
        <v/>
      </c>
    </row>
    <row r="115" spans="1:7" x14ac:dyDescent="0.25">
      <c r="A115" s="90"/>
      <c r="B115" s="90"/>
      <c r="C115" s="90"/>
      <c r="D115" s="1796"/>
      <c r="E115" s="1295"/>
      <c r="F115" s="94"/>
      <c r="G115" s="585" t="str">
        <f>G114</f>
        <v/>
      </c>
    </row>
    <row r="116" spans="1:7" x14ac:dyDescent="0.25">
      <c r="A116" s="90"/>
      <c r="B116" s="90"/>
      <c r="C116" s="90"/>
      <c r="D116" s="1796"/>
      <c r="E116" s="1295"/>
      <c r="F116" s="94"/>
      <c r="G116" s="585" t="str">
        <f>G115</f>
        <v/>
      </c>
    </row>
    <row r="117" spans="1:7" ht="15" hidden="1" customHeight="1" x14ac:dyDescent="0.25">
      <c r="A117" s="90"/>
      <c r="B117" s="90"/>
      <c r="C117" s="90"/>
      <c r="D117" s="1804" t="s">
        <v>2965</v>
      </c>
      <c r="E117" s="1295"/>
      <c r="F117" s="94"/>
      <c r="G117" s="1260" t="s">
        <v>247</v>
      </c>
    </row>
    <row r="118" spans="1:7" hidden="1" x14ac:dyDescent="0.25">
      <c r="A118" s="90"/>
      <c r="B118" s="90"/>
      <c r="C118" s="90"/>
      <c r="D118" s="1804"/>
      <c r="E118" s="1295"/>
      <c r="F118" s="94"/>
      <c r="G118" s="1260" t="s">
        <v>247</v>
      </c>
    </row>
    <row r="119" spans="1:7" hidden="1" x14ac:dyDescent="0.25">
      <c r="A119" s="90"/>
      <c r="B119" s="90"/>
      <c r="C119" s="90"/>
      <c r="D119" s="1804"/>
      <c r="E119" s="1295"/>
      <c r="F119" s="94"/>
      <c r="G119" s="1260" t="s">
        <v>247</v>
      </c>
    </row>
    <row r="120" spans="1:7" ht="15" hidden="1" customHeight="1" x14ac:dyDescent="0.25">
      <c r="A120" s="90"/>
      <c r="B120" s="91" t="s">
        <v>256</v>
      </c>
      <c r="C120" s="102"/>
      <c r="D120" s="1754" t="s">
        <v>406</v>
      </c>
      <c r="E120" s="1296">
        <f>'Verification Report'!O121</f>
        <v>0</v>
      </c>
      <c r="F120" s="1313" t="str">
        <f>IF(LEN('Verification Report'!W121)=0,"",'Verification Report'!W121)</f>
        <v/>
      </c>
      <c r="G120" s="1260" t="s">
        <v>247</v>
      </c>
    </row>
    <row r="121" spans="1:7" hidden="1" x14ac:dyDescent="0.25">
      <c r="A121" s="90"/>
      <c r="B121" s="91"/>
      <c r="C121" s="102"/>
      <c r="D121" s="1754"/>
      <c r="E121" s="1296"/>
      <c r="F121" s="94"/>
      <c r="G121" s="1260" t="s">
        <v>247</v>
      </c>
    </row>
    <row r="122" spans="1:7" hidden="1" x14ac:dyDescent="0.25">
      <c r="A122" s="90"/>
      <c r="B122" s="177"/>
      <c r="C122" s="177"/>
      <c r="D122" s="1755"/>
      <c r="E122" s="1297"/>
      <c r="F122" s="94"/>
      <c r="G122" s="1260" t="s">
        <v>247</v>
      </c>
    </row>
    <row r="123" spans="1:7" ht="15" hidden="1" customHeight="1" x14ac:dyDescent="0.25">
      <c r="A123" s="90"/>
      <c r="B123" s="91" t="s">
        <v>258</v>
      </c>
      <c r="C123" s="102"/>
      <c r="D123" s="1754" t="s">
        <v>407</v>
      </c>
      <c r="E123" s="1296">
        <f>'Verification Report'!O124</f>
        <v>0</v>
      </c>
      <c r="F123" s="1313" t="str">
        <f>IF(LEN('Verification Report'!W124)=0,"",'Verification Report'!W124)</f>
        <v/>
      </c>
      <c r="G123" s="1260" t="s">
        <v>247</v>
      </c>
    </row>
    <row r="124" spans="1:7" hidden="1" x14ac:dyDescent="0.25">
      <c r="A124" s="90"/>
      <c r="B124" s="102"/>
      <c r="C124" s="102"/>
      <c r="D124" s="1754"/>
      <c r="E124" s="1296"/>
      <c r="F124" s="94"/>
      <c r="G124" s="1260" t="s">
        <v>247</v>
      </c>
    </row>
    <row r="125" spans="1:7" hidden="1" x14ac:dyDescent="0.25">
      <c r="A125" s="90"/>
      <c r="B125" s="102"/>
      <c r="C125" s="102"/>
      <c r="D125" s="1754"/>
      <c r="E125" s="1296"/>
      <c r="F125" s="94"/>
      <c r="G125" s="1260" t="s">
        <v>247</v>
      </c>
    </row>
    <row r="126" spans="1:7" hidden="1" x14ac:dyDescent="0.25">
      <c r="A126" s="90"/>
      <c r="B126" s="177"/>
      <c r="C126" s="177"/>
      <c r="D126" s="1755"/>
      <c r="E126" s="1297"/>
      <c r="F126" s="94"/>
      <c r="G126" s="1260" t="s">
        <v>247</v>
      </c>
    </row>
    <row r="127" spans="1:7" ht="15" hidden="1" customHeight="1" x14ac:dyDescent="0.25">
      <c r="A127" s="90"/>
      <c r="B127" s="87" t="s">
        <v>260</v>
      </c>
      <c r="C127" s="90"/>
      <c r="D127" s="1779" t="s">
        <v>408</v>
      </c>
      <c r="E127" s="1295">
        <f ca="1">'Verification Report'!O128</f>
        <v>0</v>
      </c>
      <c r="F127" s="1313" t="str">
        <f>IF(LEN('Verification Report'!W128)=0,"",'Verification Report'!W128)</f>
        <v/>
      </c>
      <c r="G127" s="1260" t="s">
        <v>247</v>
      </c>
    </row>
    <row r="128" spans="1:7" hidden="1" x14ac:dyDescent="0.25">
      <c r="A128" s="90"/>
      <c r="B128" s="90"/>
      <c r="C128" s="90"/>
      <c r="D128" s="1779"/>
      <c r="E128" s="1295"/>
      <c r="F128" s="94"/>
      <c r="G128" s="1260" t="s">
        <v>247</v>
      </c>
    </row>
    <row r="129" spans="1:9" hidden="1" x14ac:dyDescent="0.25">
      <c r="A129" s="90"/>
      <c r="B129" s="90"/>
      <c r="C129" s="90"/>
      <c r="D129" s="1779"/>
      <c r="E129" s="1295"/>
      <c r="F129" s="94"/>
      <c r="G129" s="1260" t="s">
        <v>247</v>
      </c>
    </row>
    <row r="130" spans="1:9" hidden="1" x14ac:dyDescent="0.25">
      <c r="A130" s="90"/>
      <c r="B130" s="90"/>
      <c r="C130" s="90"/>
      <c r="D130" s="1779"/>
      <c r="E130" s="1295"/>
      <c r="F130" s="94"/>
      <c r="G130" s="1260" t="s">
        <v>247</v>
      </c>
    </row>
    <row r="131" spans="1:9" hidden="1" x14ac:dyDescent="0.25">
      <c r="A131" s="90"/>
      <c r="B131" s="90"/>
      <c r="C131" s="87" t="s">
        <v>121</v>
      </c>
      <c r="D131" s="1554" t="s">
        <v>409</v>
      </c>
      <c r="E131" s="1295"/>
      <c r="F131" s="94"/>
      <c r="G131" s="1260" t="s">
        <v>247</v>
      </c>
    </row>
    <row r="132" spans="1:9" hidden="1" x14ac:dyDescent="0.25">
      <c r="A132" s="90"/>
      <c r="B132" s="90"/>
      <c r="C132" s="87" t="s">
        <v>122</v>
      </c>
      <c r="D132" s="1554" t="s">
        <v>410</v>
      </c>
      <c r="E132" s="1295"/>
      <c r="F132" s="94"/>
      <c r="G132" s="1260" t="s">
        <v>247</v>
      </c>
    </row>
    <row r="133" spans="1:9" hidden="1" x14ac:dyDescent="0.25">
      <c r="A133" s="90"/>
      <c r="B133" s="177"/>
      <c r="C133" s="179" t="s">
        <v>123</v>
      </c>
      <c r="D133" s="1536" t="s">
        <v>411</v>
      </c>
      <c r="E133" s="1297"/>
      <c r="F133" s="94"/>
      <c r="G133" s="1260" t="s">
        <v>247</v>
      </c>
    </row>
    <row r="134" spans="1:9" ht="15" hidden="1" customHeight="1" x14ac:dyDescent="0.25">
      <c r="A134" s="102"/>
      <c r="B134" s="91" t="s">
        <v>269</v>
      </c>
      <c r="C134" s="110"/>
      <c r="D134" s="1754" t="s">
        <v>412</v>
      </c>
      <c r="E134" s="1295">
        <f ca="1">'Verification Report'!O135</f>
        <v>0</v>
      </c>
      <c r="F134" s="1313" t="str">
        <f>IF(LEN('Verification Report'!W135)=0,"",'Verification Report'!W135)</f>
        <v/>
      </c>
      <c r="G134" s="1260" t="s">
        <v>247</v>
      </c>
    </row>
    <row r="135" spans="1:9" hidden="1" x14ac:dyDescent="0.25">
      <c r="A135" s="102"/>
      <c r="B135" s="102"/>
      <c r="C135" s="102"/>
      <c r="D135" s="1754"/>
      <c r="E135" s="1295"/>
      <c r="F135" s="94"/>
      <c r="G135" s="1260" t="s">
        <v>247</v>
      </c>
    </row>
    <row r="136" spans="1:9" hidden="1" x14ac:dyDescent="0.25">
      <c r="A136" s="102"/>
      <c r="B136" s="90"/>
      <c r="C136" s="87" t="s">
        <v>121</v>
      </c>
      <c r="D136" s="1554" t="s">
        <v>4127</v>
      </c>
      <c r="E136" s="1295"/>
      <c r="F136" s="94"/>
      <c r="G136" s="1260" t="s">
        <v>247</v>
      </c>
    </row>
    <row r="137" spans="1:9" hidden="1" x14ac:dyDescent="0.25">
      <c r="A137" s="102"/>
      <c r="B137" s="90"/>
      <c r="C137" s="87" t="s">
        <v>122</v>
      </c>
      <c r="D137" s="1554" t="s">
        <v>4128</v>
      </c>
      <c r="E137" s="1295"/>
      <c r="F137" s="94"/>
      <c r="G137" s="1260" t="s">
        <v>247</v>
      </c>
    </row>
    <row r="138" spans="1:9" hidden="1" x14ac:dyDescent="0.25">
      <c r="A138" s="102"/>
      <c r="B138" s="90"/>
      <c r="C138" s="89" t="s">
        <v>123</v>
      </c>
      <c r="D138" s="1554" t="s">
        <v>4129</v>
      </c>
      <c r="E138" s="1296"/>
      <c r="F138" s="94"/>
      <c r="G138" s="1260" t="s">
        <v>247</v>
      </c>
    </row>
    <row r="139" spans="1:9" ht="15" hidden="1" customHeight="1" x14ac:dyDescent="0.25">
      <c r="D139" s="1841" t="s">
        <v>4130</v>
      </c>
      <c r="E139" s="1296">
        <f ca="1">'Verification Report'!O140</f>
        <v>0</v>
      </c>
      <c r="F139" s="1313" t="str">
        <f>IF(LEN('Verification Report'!W140)=0,"",'Verification Report'!W140)</f>
        <v/>
      </c>
      <c r="G139" s="1260" t="s">
        <v>247</v>
      </c>
    </row>
    <row r="140" spans="1:9" hidden="1" x14ac:dyDescent="0.25">
      <c r="B140" s="178"/>
      <c r="C140" s="178"/>
      <c r="D140" s="1761"/>
      <c r="E140" s="1297"/>
      <c r="F140" s="94"/>
      <c r="G140" s="1260" t="s">
        <v>247</v>
      </c>
    </row>
    <row r="141" spans="1:9" ht="15" customHeight="1" x14ac:dyDescent="0.25">
      <c r="B141" s="87" t="s">
        <v>275</v>
      </c>
      <c r="C141" s="845"/>
      <c r="D141" s="1787" t="s">
        <v>4131</v>
      </c>
      <c r="E141" s="1295">
        <f>'Verification Report'!O142</f>
        <v>0</v>
      </c>
      <c r="F141" s="1313" t="str">
        <f>IF(LEN('Verification Report'!W142)=0,"",'Verification Report'!W142)</f>
        <v/>
      </c>
      <c r="G141" s="585" t="str">
        <f>IF(E141&gt;0,"P","")</f>
        <v/>
      </c>
      <c r="H141" s="2142" t="s">
        <v>5063</v>
      </c>
      <c r="I141" s="1527"/>
    </row>
    <row r="142" spans="1:9" x14ac:dyDescent="0.25">
      <c r="B142" s="845"/>
      <c r="C142" s="845"/>
      <c r="D142" s="1787"/>
      <c r="E142" s="1295"/>
      <c r="F142" s="94"/>
      <c r="G142" s="585" t="str">
        <f>G141</f>
        <v/>
      </c>
      <c r="H142" s="1953"/>
    </row>
    <row r="143" spans="1:9" ht="15.75" thickBot="1" x14ac:dyDescent="0.3">
      <c r="B143" s="852"/>
      <c r="C143" s="852"/>
      <c r="D143" s="1766"/>
      <c r="E143" s="1294"/>
      <c r="F143" s="94"/>
      <c r="G143" s="585" t="str">
        <f>G142</f>
        <v/>
      </c>
    </row>
    <row r="144" spans="1:9" ht="15.75" customHeight="1" thickTop="1" x14ac:dyDescent="0.25">
      <c r="A144" s="139">
        <v>503.5</v>
      </c>
      <c r="B144" s="90"/>
      <c r="C144" s="90"/>
      <c r="D144" s="1796" t="s">
        <v>414</v>
      </c>
      <c r="E144" s="664"/>
      <c r="F144" s="94"/>
      <c r="G144" s="2363" t="str">
        <f ca="1">IF(COUNTIF(G154:G177,"P")&gt;0,"P","")</f>
        <v/>
      </c>
    </row>
    <row r="145" spans="1:9" x14ac:dyDescent="0.25">
      <c r="A145" s="90"/>
      <c r="B145" s="90"/>
      <c r="C145" s="90"/>
      <c r="D145" s="1796"/>
      <c r="E145" s="664"/>
      <c r="F145" s="94"/>
      <c r="G145" s="585" t="str">
        <f ca="1">G144</f>
        <v/>
      </c>
    </row>
    <row r="146" spans="1:9" ht="15" hidden="1" customHeight="1" x14ac:dyDescent="0.25">
      <c r="A146" s="90"/>
      <c r="B146" s="90"/>
      <c r="C146" s="90"/>
      <c r="D146" s="1804" t="s">
        <v>4132</v>
      </c>
      <c r="E146" s="664"/>
      <c r="F146" s="1313" t="str">
        <f>IF(LEN('Verification Report'!W147)=0,"",'Verification Report'!W147)</f>
        <v/>
      </c>
      <c r="G146" s="1260" t="s">
        <v>247</v>
      </c>
    </row>
    <row r="147" spans="1:9" hidden="1" x14ac:dyDescent="0.25">
      <c r="A147" s="90"/>
      <c r="B147" s="90"/>
      <c r="C147" s="90"/>
      <c r="D147" s="1804"/>
      <c r="E147" s="664"/>
      <c r="F147" s="94"/>
      <c r="G147" s="1260" t="s">
        <v>247</v>
      </c>
    </row>
    <row r="148" spans="1:9" ht="15" hidden="1" customHeight="1" x14ac:dyDescent="0.25">
      <c r="A148" s="90"/>
      <c r="B148" s="87" t="s">
        <v>256</v>
      </c>
      <c r="C148" s="90"/>
      <c r="D148" s="1779" t="s">
        <v>415</v>
      </c>
      <c r="E148" s="1295">
        <f ca="1">'Verification Report'!O149</f>
        <v>0</v>
      </c>
      <c r="F148" s="1313" t="str">
        <f>IF(LEN('Verification Report'!W149)=0,"",'Verification Report'!W149)</f>
        <v/>
      </c>
      <c r="G148" s="1260" t="s">
        <v>247</v>
      </c>
    </row>
    <row r="149" spans="1:9" hidden="1" x14ac:dyDescent="0.25">
      <c r="A149" s="90"/>
      <c r="B149" s="87"/>
      <c r="C149" s="90"/>
      <c r="D149" s="1779"/>
      <c r="E149" s="1295"/>
      <c r="F149" s="94"/>
      <c r="G149" s="1260" t="s">
        <v>247</v>
      </c>
    </row>
    <row r="150" spans="1:9" hidden="1" x14ac:dyDescent="0.25">
      <c r="A150" s="90"/>
      <c r="B150" s="90"/>
      <c r="C150" s="87" t="s">
        <v>121</v>
      </c>
      <c r="D150" s="1554" t="s">
        <v>416</v>
      </c>
      <c r="E150" s="1295"/>
      <c r="F150" s="94"/>
      <c r="G150" s="1260" t="s">
        <v>247</v>
      </c>
    </row>
    <row r="151" spans="1:9" hidden="1" x14ac:dyDescent="0.25">
      <c r="A151" s="90"/>
      <c r="B151" s="90"/>
      <c r="C151" s="87" t="s">
        <v>122</v>
      </c>
      <c r="D151" s="1554" t="s">
        <v>417</v>
      </c>
      <c r="E151" s="1295"/>
      <c r="F151" s="94"/>
      <c r="G151" s="1260" t="s">
        <v>247</v>
      </c>
    </row>
    <row r="152" spans="1:9" hidden="1" x14ac:dyDescent="0.25">
      <c r="A152" s="90"/>
      <c r="B152" s="90"/>
      <c r="C152" s="89" t="s">
        <v>123</v>
      </c>
      <c r="D152" s="1554" t="s">
        <v>418</v>
      </c>
      <c r="E152" s="1295"/>
      <c r="F152" s="94"/>
      <c r="G152" s="1260" t="s">
        <v>247</v>
      </c>
    </row>
    <row r="153" spans="1:9" hidden="1" x14ac:dyDescent="0.25">
      <c r="A153" s="90"/>
      <c r="B153" s="177"/>
      <c r="C153" s="179" t="s">
        <v>401</v>
      </c>
      <c r="D153" s="1536" t="s">
        <v>419</v>
      </c>
      <c r="E153" s="1297"/>
      <c r="F153" s="94"/>
      <c r="G153" s="1260" t="s">
        <v>247</v>
      </c>
    </row>
    <row r="154" spans="1:9" ht="15" customHeight="1" x14ac:dyDescent="0.25">
      <c r="A154" s="90"/>
      <c r="B154" s="87" t="s">
        <v>258</v>
      </c>
      <c r="C154" s="90"/>
      <c r="D154" s="1779" t="s">
        <v>420</v>
      </c>
      <c r="E154" s="1296">
        <f ca="1">'Verification Report'!O155</f>
        <v>0</v>
      </c>
      <c r="F154" s="1313" t="str">
        <f>IF(LEN('Verification Report'!W155)=0,"",'Verification Report'!W155)</f>
        <v/>
      </c>
      <c r="G154" s="585" t="str">
        <f ca="1">IF(E154&gt;0,"P","")</f>
        <v/>
      </c>
      <c r="H154" s="2142" t="s">
        <v>5064</v>
      </c>
      <c r="I154" s="1527"/>
    </row>
    <row r="155" spans="1:9" x14ac:dyDescent="0.25">
      <c r="A155" s="90"/>
      <c r="B155" s="177"/>
      <c r="C155" s="177"/>
      <c r="D155" s="1755"/>
      <c r="E155" s="1297"/>
      <c r="F155" s="94"/>
      <c r="G155" s="585" t="str">
        <f ca="1">G154</f>
        <v/>
      </c>
      <c r="H155" s="1953"/>
    </row>
    <row r="156" spans="1:9" ht="15" customHeight="1" x14ac:dyDescent="0.25">
      <c r="A156" s="90"/>
      <c r="B156" s="87" t="s">
        <v>260</v>
      </c>
      <c r="C156" s="90"/>
      <c r="D156" s="1779" t="s">
        <v>4133</v>
      </c>
      <c r="E156" s="1296">
        <f ca="1">'Verification Report'!O157</f>
        <v>0</v>
      </c>
      <c r="F156" s="1313" t="str">
        <f>IF(LEN('Verification Report'!W157)=0,"",'Verification Report'!W157)</f>
        <v/>
      </c>
      <c r="G156" s="585" t="str">
        <f ca="1">IF(E156&gt;0,"P","")</f>
        <v/>
      </c>
      <c r="H156" s="1330" t="s">
        <v>5065</v>
      </c>
      <c r="I156" s="1527"/>
    </row>
    <row r="157" spans="1:9" x14ac:dyDescent="0.25">
      <c r="A157" s="90"/>
      <c r="B157" s="87"/>
      <c r="C157" s="90"/>
      <c r="D157" s="1779"/>
      <c r="E157" s="1296"/>
      <c r="F157" s="94"/>
      <c r="G157" s="585" t="str">
        <f ca="1">G156</f>
        <v/>
      </c>
    </row>
    <row r="158" spans="1:9" x14ac:dyDescent="0.25">
      <c r="A158" s="90"/>
      <c r="B158" s="177"/>
      <c r="C158" s="177"/>
      <c r="D158" s="1755"/>
      <c r="E158" s="1297"/>
      <c r="F158" s="94"/>
      <c r="G158" s="585" t="str">
        <f ca="1">G157</f>
        <v/>
      </c>
    </row>
    <row r="159" spans="1:9" ht="15" customHeight="1" x14ac:dyDescent="0.25">
      <c r="A159" s="90"/>
      <c r="B159" s="87" t="s">
        <v>269</v>
      </c>
      <c r="C159" s="90"/>
      <c r="D159" s="1779" t="s">
        <v>4134</v>
      </c>
      <c r="E159" s="1296">
        <f ca="1">'Verification Report'!O160</f>
        <v>0</v>
      </c>
      <c r="F159" s="1313" t="str">
        <f>IF(LEN('Verification Report'!W160)=0,"",'Verification Report'!W160)</f>
        <v/>
      </c>
      <c r="G159" s="585" t="str">
        <f ca="1">IF(E159&gt;0,"P","")</f>
        <v/>
      </c>
      <c r="H159" s="1330" t="s">
        <v>5065</v>
      </c>
      <c r="I159" s="1527"/>
    </row>
    <row r="160" spans="1:9" x14ac:dyDescent="0.25">
      <c r="A160" s="90"/>
      <c r="B160" s="177"/>
      <c r="C160" s="177"/>
      <c r="D160" s="1755"/>
      <c r="E160" s="1297"/>
      <c r="F160" s="94"/>
      <c r="G160" s="585" t="str">
        <f ca="1">G159</f>
        <v/>
      </c>
    </row>
    <row r="161" spans="1:9" ht="15" customHeight="1" x14ac:dyDescent="0.25">
      <c r="B161" s="846" t="s">
        <v>275</v>
      </c>
      <c r="C161" s="195"/>
      <c r="D161" s="1760" t="s">
        <v>4135</v>
      </c>
      <c r="E161" s="1293">
        <f ca="1">'Verification Report'!O162</f>
        <v>0</v>
      </c>
      <c r="F161" s="1313" t="str">
        <f>IF(LEN('Verification Report'!W162)=0,"",'Verification Report'!W162)</f>
        <v/>
      </c>
      <c r="G161" s="585" t="str">
        <f ca="1">IF(E161&gt;0,"P","")</f>
        <v/>
      </c>
      <c r="H161" s="1330" t="s">
        <v>5066</v>
      </c>
      <c r="I161" s="1527"/>
    </row>
    <row r="162" spans="1:9" x14ac:dyDescent="0.25">
      <c r="D162" s="1841"/>
      <c r="E162" s="1296"/>
      <c r="F162" s="94"/>
      <c r="G162" s="585" t="str">
        <f ca="1">G161</f>
        <v/>
      </c>
    </row>
    <row r="163" spans="1:9" x14ac:dyDescent="0.25">
      <c r="B163" s="178"/>
      <c r="C163" s="178"/>
      <c r="D163" s="1761"/>
      <c r="E163" s="1297"/>
      <c r="F163" s="94"/>
      <c r="G163" s="585" t="str">
        <f ca="1">G162</f>
        <v/>
      </c>
    </row>
    <row r="164" spans="1:9" x14ac:dyDescent="0.25">
      <c r="A164" s="90"/>
      <c r="B164" s="87" t="s">
        <v>277</v>
      </c>
      <c r="C164" s="90"/>
      <c r="D164" s="1554" t="s">
        <v>421</v>
      </c>
      <c r="E164" s="1295">
        <f ca="1">'Verification Report'!O165</f>
        <v>0</v>
      </c>
      <c r="F164" s="1313" t="str">
        <f>IF(LEN('Verification Report'!W165)=0,"",'Verification Report'!W165)</f>
        <v/>
      </c>
      <c r="G164" s="585" t="str">
        <f ca="1">IF(E164&gt;0,"P","")</f>
        <v/>
      </c>
      <c r="H164" s="1330" t="s">
        <v>5066</v>
      </c>
      <c r="I164" s="1527"/>
    </row>
    <row r="165" spans="1:9" x14ac:dyDescent="0.25">
      <c r="A165" s="90"/>
      <c r="B165" s="90"/>
      <c r="C165" s="87" t="s">
        <v>121</v>
      </c>
      <c r="D165" s="1554" t="s">
        <v>422</v>
      </c>
      <c r="E165" s="1295"/>
      <c r="F165" s="94"/>
      <c r="G165" s="585" t="str">
        <f ca="1">G164</f>
        <v/>
      </c>
    </row>
    <row r="166" spans="1:9" x14ac:dyDescent="0.25">
      <c r="A166" s="90"/>
      <c r="B166" s="90"/>
      <c r="C166" s="87" t="s">
        <v>122</v>
      </c>
      <c r="D166" s="1554" t="s">
        <v>423</v>
      </c>
      <c r="E166" s="1295"/>
      <c r="F166" s="94"/>
      <c r="G166" s="585" t="str">
        <f ca="1">G165</f>
        <v/>
      </c>
    </row>
    <row r="167" spans="1:9" x14ac:dyDescent="0.25">
      <c r="A167" s="90"/>
      <c r="B167" s="90"/>
      <c r="C167" s="89" t="s">
        <v>123</v>
      </c>
      <c r="D167" s="1554" t="s">
        <v>424</v>
      </c>
      <c r="E167" s="1295"/>
      <c r="F167" s="94"/>
      <c r="G167" s="585" t="str">
        <f ca="1">G166</f>
        <v/>
      </c>
    </row>
    <row r="168" spans="1:9" x14ac:dyDescent="0.25">
      <c r="A168" s="90"/>
      <c r="B168" s="177"/>
      <c r="C168" s="179" t="s">
        <v>401</v>
      </c>
      <c r="D168" s="1536" t="s">
        <v>425</v>
      </c>
      <c r="E168" s="1297"/>
      <c r="F168" s="94"/>
      <c r="G168" s="585" t="str">
        <f ca="1">G167</f>
        <v/>
      </c>
    </row>
    <row r="169" spans="1:9" ht="15" customHeight="1" x14ac:dyDescent="0.25">
      <c r="A169" s="90"/>
      <c r="B169" s="174" t="s">
        <v>383</v>
      </c>
      <c r="C169" s="177"/>
      <c r="D169" s="1536" t="s">
        <v>426</v>
      </c>
      <c r="E169" s="1297">
        <f ca="1">'Verification Report'!O170</f>
        <v>0</v>
      </c>
      <c r="F169" s="1313" t="str">
        <f>IF(LEN('Verification Report'!W170)=0,"",'Verification Report'!W170)</f>
        <v/>
      </c>
      <c r="G169" s="585" t="str">
        <f ca="1">IF(E169&gt;0,"P","")</f>
        <v/>
      </c>
      <c r="H169" s="1330" t="s">
        <v>5067</v>
      </c>
      <c r="I169" s="1527"/>
    </row>
    <row r="170" spans="1:9" ht="15" customHeight="1" x14ac:dyDescent="0.25">
      <c r="A170" s="90"/>
      <c r="B170" s="87" t="s">
        <v>428</v>
      </c>
      <c r="C170" s="90"/>
      <c r="D170" s="1754" t="s">
        <v>427</v>
      </c>
      <c r="E170" s="1296">
        <f ca="1">'Verification Report'!O171</f>
        <v>0</v>
      </c>
      <c r="F170" s="1313" t="str">
        <f>IF(LEN('Verification Report'!W171)=0,"",'Verification Report'!W171)</f>
        <v/>
      </c>
      <c r="G170" s="585" t="str">
        <f ca="1">IF(E170&gt;0,"P","")</f>
        <v/>
      </c>
      <c r="H170" s="1330" t="s">
        <v>5068</v>
      </c>
      <c r="I170" s="1527"/>
    </row>
    <row r="171" spans="1:9" x14ac:dyDescent="0.25">
      <c r="A171" s="90"/>
      <c r="B171" s="90"/>
      <c r="C171" s="90"/>
      <c r="D171" s="1754"/>
      <c r="E171" s="1296"/>
      <c r="F171" s="94"/>
      <c r="G171" s="585" t="str">
        <f ca="1">G170</f>
        <v/>
      </c>
    </row>
    <row r="172" spans="1:9" x14ac:dyDescent="0.25">
      <c r="A172" s="90"/>
      <c r="B172" s="90"/>
      <c r="C172" s="90"/>
      <c r="D172" s="1754"/>
      <c r="E172" s="1296"/>
      <c r="F172" s="94"/>
      <c r="G172" s="585" t="str">
        <f ca="1">G171</f>
        <v/>
      </c>
    </row>
    <row r="173" spans="1:9" x14ac:dyDescent="0.25">
      <c r="A173" s="90"/>
      <c r="B173" s="90"/>
      <c r="C173" s="90"/>
      <c r="D173" s="1754"/>
      <c r="E173" s="1296"/>
      <c r="F173" s="94"/>
      <c r="G173" s="585" t="str">
        <f ca="1">G172</f>
        <v/>
      </c>
    </row>
    <row r="174" spans="1:9" x14ac:dyDescent="0.25">
      <c r="A174" s="90"/>
      <c r="B174" s="177"/>
      <c r="C174" s="177"/>
      <c r="D174" s="1755"/>
      <c r="E174" s="1297"/>
      <c r="F174" s="94"/>
      <c r="G174" s="585" t="str">
        <f ca="1">G173</f>
        <v/>
      </c>
    </row>
    <row r="175" spans="1:9" ht="15" customHeight="1" x14ac:dyDescent="0.25">
      <c r="A175" s="90"/>
      <c r="B175" s="87" t="s">
        <v>430</v>
      </c>
      <c r="C175" s="90"/>
      <c r="D175" s="1754" t="s">
        <v>429</v>
      </c>
      <c r="E175" s="1296">
        <f ca="1">'Verification Report'!O176</f>
        <v>0</v>
      </c>
      <c r="F175" s="1313" t="str">
        <f>IF(LEN('Verification Report'!W176)=0,"",'Verification Report'!W176)</f>
        <v/>
      </c>
      <c r="G175" s="585" t="str">
        <f ca="1">IF(E175&gt;0,"P","")</f>
        <v/>
      </c>
      <c r="H175" s="1330" t="s">
        <v>5069</v>
      </c>
      <c r="I175" s="1527"/>
    </row>
    <row r="176" spans="1:9" x14ac:dyDescent="0.25">
      <c r="A176" s="90"/>
      <c r="B176" s="177"/>
      <c r="C176" s="177"/>
      <c r="D176" s="1755"/>
      <c r="E176" s="1297"/>
      <c r="F176" s="94"/>
      <c r="G176" s="585" t="str">
        <f ca="1">G175</f>
        <v/>
      </c>
    </row>
    <row r="177" spans="1:9" ht="15" customHeight="1" x14ac:dyDescent="0.25">
      <c r="A177" s="90"/>
      <c r="B177" s="87" t="s">
        <v>432</v>
      </c>
      <c r="C177" s="90"/>
      <c r="D177" s="1754" t="s">
        <v>431</v>
      </c>
      <c r="E177" s="1293">
        <f>'Verification Report'!O178</f>
        <v>0</v>
      </c>
      <c r="F177" s="1313" t="str">
        <f>IF(LEN('Verification Report'!W178)=0,"",'Verification Report'!W178)</f>
        <v/>
      </c>
      <c r="G177" s="585" t="str">
        <f>IF(E177&gt;0,"P","")</f>
        <v/>
      </c>
      <c r="H177" s="1330" t="s">
        <v>5070</v>
      </c>
      <c r="I177" s="1527"/>
    </row>
    <row r="178" spans="1:9" x14ac:dyDescent="0.25">
      <c r="A178" s="90"/>
      <c r="B178" s="90"/>
      <c r="C178" s="90"/>
      <c r="D178" s="1754"/>
      <c r="E178" s="1296"/>
      <c r="F178" s="94"/>
      <c r="G178" s="585" t="str">
        <f>G177</f>
        <v/>
      </c>
    </row>
    <row r="179" spans="1:9" ht="15.75" thickBot="1" x14ac:dyDescent="0.3">
      <c r="A179" s="90"/>
      <c r="B179" s="177"/>
      <c r="C179" s="177"/>
      <c r="D179" s="1755"/>
      <c r="E179" s="1297"/>
      <c r="F179" s="94"/>
      <c r="G179" s="585" t="str">
        <f>G178</f>
        <v/>
      </c>
    </row>
    <row r="180" spans="1:9" ht="15" hidden="1" customHeight="1" x14ac:dyDescent="0.25">
      <c r="A180" s="90"/>
      <c r="B180" s="87" t="s">
        <v>434</v>
      </c>
      <c r="C180" s="90"/>
      <c r="D180" s="1754" t="s">
        <v>433</v>
      </c>
      <c r="E180" s="1296">
        <f>'Verification Report'!O181</f>
        <v>0</v>
      </c>
      <c r="F180" s="1313" t="str">
        <f>IF(LEN('Verification Report'!W181)=0,"",'Verification Report'!W181)</f>
        <v/>
      </c>
      <c r="G180" s="1260" t="s">
        <v>247</v>
      </c>
    </row>
    <row r="181" spans="1:9" ht="15.75" hidden="1" thickBot="1" x14ac:dyDescent="0.3">
      <c r="A181" s="90"/>
      <c r="B181" s="177"/>
      <c r="C181" s="177"/>
      <c r="D181" s="1755"/>
      <c r="E181" s="1297"/>
      <c r="F181" s="94"/>
      <c r="G181" s="1260" t="s">
        <v>247</v>
      </c>
    </row>
    <row r="182" spans="1:9" ht="15" hidden="1" customHeight="1" x14ac:dyDescent="0.25">
      <c r="A182" s="90"/>
      <c r="B182" s="87" t="s">
        <v>436</v>
      </c>
      <c r="C182" s="90"/>
      <c r="D182" s="1754" t="s">
        <v>435</v>
      </c>
      <c r="E182" s="1296">
        <f>'Verification Report'!O183</f>
        <v>0</v>
      </c>
      <c r="F182" s="1313" t="str">
        <f>IF(LEN('Verification Report'!W183)=0,"",'Verification Report'!W183)</f>
        <v/>
      </c>
      <c r="G182" s="1260" t="s">
        <v>247</v>
      </c>
    </row>
    <row r="183" spans="1:9" ht="15.75" hidden="1" thickBot="1" x14ac:dyDescent="0.3">
      <c r="A183" s="90"/>
      <c r="B183" s="177"/>
      <c r="C183" s="177"/>
      <c r="D183" s="1755"/>
      <c r="E183" s="1297"/>
      <c r="F183" s="94"/>
      <c r="G183" s="1260" t="s">
        <v>247</v>
      </c>
    </row>
    <row r="184" spans="1:9" ht="15" hidden="1" customHeight="1" x14ac:dyDescent="0.25">
      <c r="A184" s="102"/>
      <c r="B184" s="87" t="s">
        <v>3295</v>
      </c>
      <c r="C184" s="90"/>
      <c r="D184" s="1754" t="s">
        <v>437</v>
      </c>
      <c r="E184" s="1295">
        <f>'Verification Report'!O185</f>
        <v>0</v>
      </c>
      <c r="F184" s="1313" t="str">
        <f>IF(LEN('Verification Report'!W185)=0,"",'Verification Report'!W185)</f>
        <v/>
      </c>
      <c r="G184" s="1260" t="s">
        <v>247</v>
      </c>
    </row>
    <row r="185" spans="1:9" ht="15.75" hidden="1" thickBot="1" x14ac:dyDescent="0.3">
      <c r="A185" s="103"/>
      <c r="B185" s="103"/>
      <c r="C185" s="103"/>
      <c r="D185" s="1783"/>
      <c r="E185" s="1294"/>
      <c r="F185" s="94"/>
      <c r="G185" s="1260" t="s">
        <v>247</v>
      </c>
    </row>
    <row r="186" spans="1:9" ht="15.75" customHeight="1" thickTop="1" x14ac:dyDescent="0.25">
      <c r="A186" s="139">
        <v>503.6</v>
      </c>
      <c r="B186" s="90"/>
      <c r="C186" s="90"/>
      <c r="D186" s="1796" t="s">
        <v>439</v>
      </c>
      <c r="E186" s="1298">
        <f>'Verification Report'!O187</f>
        <v>0</v>
      </c>
      <c r="F186" s="94"/>
      <c r="G186" s="585" t="str">
        <f>IF(E186&gt;0,"P","")</f>
        <v/>
      </c>
      <c r="H186" s="1330" t="s">
        <v>5071</v>
      </c>
      <c r="I186" s="1527"/>
    </row>
    <row r="187" spans="1:9" x14ac:dyDescent="0.25">
      <c r="A187" s="90"/>
      <c r="B187" s="90"/>
      <c r="C187" s="90"/>
      <c r="D187" s="1796"/>
      <c r="E187" s="1295"/>
      <c r="F187" s="94"/>
      <c r="G187" s="585" t="str">
        <f>G186</f>
        <v/>
      </c>
      <c r="H187"/>
    </row>
    <row r="188" spans="1:9" x14ac:dyDescent="0.25">
      <c r="A188" s="90"/>
      <c r="B188" s="174" t="s">
        <v>256</v>
      </c>
      <c r="C188" s="177"/>
      <c r="D188" s="1536" t="s">
        <v>440</v>
      </c>
      <c r="E188" s="1297"/>
      <c r="F188" s="1313" t="str">
        <f>IF(LEN('Verification Report'!W189)=0,"",'Verification Report'!W189)</f>
        <v/>
      </c>
      <c r="G188" s="585" t="str">
        <f>IF(AND(LEN(F188)&gt;0,NOT(F188=FALSE)),"P","")</f>
        <v/>
      </c>
    </row>
    <row r="189" spans="1:9" x14ac:dyDescent="0.25">
      <c r="A189" s="90"/>
      <c r="B189" s="174" t="s">
        <v>258</v>
      </c>
      <c r="C189" s="177"/>
      <c r="D189" s="1536" t="s">
        <v>441</v>
      </c>
      <c r="E189" s="1297"/>
      <c r="F189" s="1313" t="str">
        <f>IF(LEN('Verification Report'!W190)=0,"",'Verification Report'!W190)</f>
        <v/>
      </c>
      <c r="G189" s="585" t="str">
        <f>IF(AND(LEN(F189)&gt;0,NOT(F189=FALSE)),"P","")</f>
        <v/>
      </c>
    </row>
    <row r="190" spans="1:9" ht="15" customHeight="1" x14ac:dyDescent="0.25">
      <c r="A190" s="90"/>
      <c r="B190" s="91" t="s">
        <v>260</v>
      </c>
      <c r="C190" s="102"/>
      <c r="D190" s="1754" t="s">
        <v>442</v>
      </c>
      <c r="E190" s="1296"/>
      <c r="F190" s="1313" t="str">
        <f>IF(LEN('Verification Report'!W191)=0,"",'Verification Report'!W191)</f>
        <v/>
      </c>
      <c r="G190" s="585" t="str">
        <f>IF(AND(LEN(F190)&gt;0,NOT(F190=FALSE)),"P","")</f>
        <v/>
      </c>
    </row>
    <row r="191" spans="1:9" x14ac:dyDescent="0.25">
      <c r="A191" s="90"/>
      <c r="B191" s="177"/>
      <c r="C191" s="177"/>
      <c r="D191" s="1755"/>
      <c r="E191" s="1297"/>
      <c r="F191" s="94"/>
      <c r="G191" s="585" t="str">
        <f>G190</f>
        <v/>
      </c>
    </row>
    <row r="192" spans="1:9" ht="15.75" thickBot="1" x14ac:dyDescent="0.3">
      <c r="A192" s="103"/>
      <c r="B192" s="96" t="s">
        <v>269</v>
      </c>
      <c r="C192" s="103"/>
      <c r="D192" s="1555" t="s">
        <v>443</v>
      </c>
      <c r="E192" s="1294"/>
      <c r="F192" s="1313" t="str">
        <f>IF(LEN('Verification Report'!W193)=0,"",'Verification Report'!W193)</f>
        <v/>
      </c>
      <c r="G192" s="585" t="str">
        <f>IF(AND(LEN(F192)&gt;0,NOT(F192=FALSE)),"P","")</f>
        <v/>
      </c>
    </row>
    <row r="193" spans="1:9" ht="15.75" customHeight="1" thickTop="1" x14ac:dyDescent="0.25">
      <c r="A193" s="139">
        <v>503.7</v>
      </c>
      <c r="B193" s="90"/>
      <c r="C193" s="90"/>
      <c r="D193" s="1796" t="s">
        <v>445</v>
      </c>
      <c r="E193" s="1295"/>
      <c r="F193" s="94"/>
      <c r="G193" s="2363" t="str">
        <f>IF(COUNTIF(G195:G197,"P")&gt;0,"P","")</f>
        <v/>
      </c>
      <c r="H193" s="2142" t="s">
        <v>5072</v>
      </c>
      <c r="I193" s="1527"/>
    </row>
    <row r="194" spans="1:9" x14ac:dyDescent="0.25">
      <c r="A194" s="90"/>
      <c r="B194" s="90"/>
      <c r="C194" s="90"/>
      <c r="D194" s="1796"/>
      <c r="E194" s="1295"/>
      <c r="F194" s="94"/>
      <c r="G194" s="585" t="str">
        <f>G193</f>
        <v/>
      </c>
      <c r="H194" s="1953"/>
    </row>
    <row r="195" spans="1:9" ht="15" customHeight="1" x14ac:dyDescent="0.25">
      <c r="A195" s="90"/>
      <c r="B195" s="91" t="s">
        <v>256</v>
      </c>
      <c r="C195" s="102"/>
      <c r="D195" s="1754" t="s">
        <v>446</v>
      </c>
      <c r="E195" s="1296">
        <f>'Verification Report'!O196</f>
        <v>0</v>
      </c>
      <c r="F195" s="1313" t="str">
        <f>IF(LEN('Verification Report'!W196)=0,"",'Verification Report'!W196)</f>
        <v/>
      </c>
      <c r="G195" s="585" t="str">
        <f>IF(E195&gt;0,"P","")</f>
        <v/>
      </c>
    </row>
    <row r="196" spans="1:9" x14ac:dyDescent="0.25">
      <c r="A196" s="90"/>
      <c r="B196" s="174"/>
      <c r="C196" s="177"/>
      <c r="D196" s="1755"/>
      <c r="E196" s="1297"/>
      <c r="F196" s="94"/>
      <c r="G196" s="585" t="str">
        <f>G195</f>
        <v/>
      </c>
    </row>
    <row r="197" spans="1:9" ht="15" customHeight="1" x14ac:dyDescent="0.25">
      <c r="A197" s="102"/>
      <c r="B197" s="91" t="s">
        <v>258</v>
      </c>
      <c r="C197" s="102"/>
      <c r="D197" s="1754" t="s">
        <v>447</v>
      </c>
      <c r="E197" s="1295">
        <f>'Verification Report'!O198</f>
        <v>0</v>
      </c>
      <c r="F197" s="1313" t="str">
        <f>IF(LEN('Verification Report'!W198)=0,"",'Verification Report'!W198)</f>
        <v/>
      </c>
      <c r="G197" s="585" t="str">
        <f>IF(E197&gt;0,"P","")</f>
        <v/>
      </c>
    </row>
    <row r="198" spans="1:9" ht="15.75" thickBot="1" x14ac:dyDescent="0.3">
      <c r="A198" s="103"/>
      <c r="B198" s="103"/>
      <c r="C198" s="103"/>
      <c r="D198" s="1783"/>
      <c r="E198" s="1294"/>
      <c r="F198" s="94"/>
      <c r="G198" s="585" t="str">
        <f>G197</f>
        <v/>
      </c>
    </row>
    <row r="199" spans="1:9" ht="15.75" hidden="1" customHeight="1" thickTop="1" x14ac:dyDescent="0.25">
      <c r="A199" s="139">
        <v>503.8</v>
      </c>
      <c r="B199" s="90"/>
      <c r="C199" s="90"/>
      <c r="D199" s="1796" t="s">
        <v>449</v>
      </c>
      <c r="E199" s="1298">
        <f ca="1">'Verification Report'!O200</f>
        <v>0</v>
      </c>
      <c r="F199" s="94"/>
      <c r="G199" s="1260" t="s">
        <v>247</v>
      </c>
    </row>
    <row r="200" spans="1:9" ht="15.75" hidden="1" thickTop="1" x14ac:dyDescent="0.25">
      <c r="A200" s="90"/>
      <c r="B200" s="90"/>
      <c r="C200" s="90"/>
      <c r="D200" s="1796"/>
      <c r="E200" s="1296"/>
      <c r="F200" s="1313" t="str">
        <f>IF(LEN('Verification Report'!W201)=0,"",'Verification Report'!W201)</f>
        <v/>
      </c>
      <c r="G200" s="1260" t="s">
        <v>247</v>
      </c>
    </row>
    <row r="201" spans="1:9" ht="15.75" hidden="1" thickTop="1" x14ac:dyDescent="0.25">
      <c r="A201" s="90"/>
      <c r="B201" s="90"/>
      <c r="C201" s="90"/>
      <c r="D201" s="1796"/>
      <c r="E201" s="1296"/>
      <c r="F201" s="94"/>
      <c r="G201" s="1260" t="s">
        <v>247</v>
      </c>
    </row>
    <row r="202" spans="1:9" ht="15" hidden="1" customHeight="1" x14ac:dyDescent="0.25">
      <c r="A202" s="90"/>
      <c r="B202" s="90"/>
      <c r="C202" s="90"/>
      <c r="D202" s="1779" t="s">
        <v>450</v>
      </c>
      <c r="E202" s="1295"/>
      <c r="F202" s="94"/>
      <c r="G202" s="1260" t="s">
        <v>247</v>
      </c>
    </row>
    <row r="203" spans="1:9" ht="15.75" hidden="1" thickTop="1" x14ac:dyDescent="0.25">
      <c r="A203" s="90"/>
      <c r="B203" s="90"/>
      <c r="C203" s="90"/>
      <c r="D203" s="1779"/>
      <c r="E203" s="1295"/>
      <c r="F203" s="94"/>
      <c r="G203" s="1260" t="s">
        <v>247</v>
      </c>
    </row>
    <row r="204" spans="1:9" ht="19.5" hidden="1" thickTop="1" x14ac:dyDescent="0.25">
      <c r="A204" s="88" t="s">
        <v>452</v>
      </c>
      <c r="B204" s="88"/>
      <c r="C204" s="88"/>
      <c r="D204" s="84"/>
      <c r="E204" s="1043"/>
      <c r="F204" s="94"/>
      <c r="G204" s="1260" t="s">
        <v>247</v>
      </c>
    </row>
    <row r="205" spans="1:9" ht="15" hidden="1" customHeight="1" x14ac:dyDescent="0.25">
      <c r="A205" s="91" t="s">
        <v>451</v>
      </c>
      <c r="B205" s="102"/>
      <c r="C205" s="102"/>
      <c r="D205" s="1782" t="s">
        <v>453</v>
      </c>
      <c r="E205" s="1296"/>
      <c r="F205" s="94"/>
      <c r="G205" s="1260" t="s">
        <v>247</v>
      </c>
    </row>
    <row r="206" spans="1:9" ht="16.5" hidden="1" thickTop="1" thickBot="1" x14ac:dyDescent="0.3">
      <c r="A206" s="103"/>
      <c r="B206" s="103"/>
      <c r="C206" s="103"/>
      <c r="D206" s="1797"/>
      <c r="E206" s="1294"/>
      <c r="F206" s="94"/>
      <c r="G206" s="1260" t="s">
        <v>247</v>
      </c>
    </row>
    <row r="207" spans="1:9" ht="15.75" hidden="1" customHeight="1" thickTop="1" x14ac:dyDescent="0.25">
      <c r="A207" s="114" t="s">
        <v>454</v>
      </c>
      <c r="B207" s="107"/>
      <c r="C207" s="107"/>
      <c r="D207" s="1781" t="s">
        <v>455</v>
      </c>
      <c r="E207" s="1298">
        <f>'Verification Report'!O208</f>
        <v>0</v>
      </c>
      <c r="F207" s="1313" t="str">
        <f>IF(LEN('Verification Report'!W208)=0,"",'Verification Report'!W208)</f>
        <v/>
      </c>
      <c r="G207" s="1260" t="s">
        <v>247</v>
      </c>
    </row>
    <row r="208" spans="1:9" ht="15.75" hidden="1" thickTop="1" x14ac:dyDescent="0.25">
      <c r="A208" s="102"/>
      <c r="B208" s="102"/>
      <c r="C208" s="102"/>
      <c r="D208" s="1782"/>
      <c r="E208" s="1296"/>
      <c r="F208" s="94"/>
      <c r="G208" s="1260" t="s">
        <v>247</v>
      </c>
    </row>
    <row r="209" spans="1:9" ht="15.75" hidden="1" thickTop="1" x14ac:dyDescent="0.25">
      <c r="A209" s="102"/>
      <c r="B209" s="102"/>
      <c r="C209" s="102"/>
      <c r="D209" s="1782"/>
      <c r="E209" s="1296"/>
      <c r="F209" s="94"/>
      <c r="G209" s="1260" t="s">
        <v>247</v>
      </c>
    </row>
    <row r="210" spans="1:9" ht="15.75" hidden="1" thickTop="1" x14ac:dyDescent="0.25">
      <c r="A210" s="102"/>
      <c r="B210" s="102"/>
      <c r="C210" s="102"/>
      <c r="D210" s="1782"/>
      <c r="E210" s="1296"/>
      <c r="F210" s="94"/>
      <c r="G210" s="1260" t="s">
        <v>247</v>
      </c>
    </row>
    <row r="211" spans="1:9" ht="16.5" hidden="1" thickTop="1" thickBot="1" x14ac:dyDescent="0.3">
      <c r="A211" s="103"/>
      <c r="B211" s="103"/>
      <c r="C211" s="103"/>
      <c r="D211" s="1580" t="s">
        <v>769</v>
      </c>
      <c r="E211" s="1294"/>
      <c r="F211" s="94"/>
      <c r="G211" s="1260" t="s">
        <v>247</v>
      </c>
    </row>
    <row r="212" spans="1:9" ht="15.75" customHeight="1" thickTop="1" x14ac:dyDescent="0.25">
      <c r="A212" s="87" t="s">
        <v>456</v>
      </c>
      <c r="B212" s="90"/>
      <c r="C212" s="90"/>
      <c r="D212" s="1796" t="s">
        <v>457</v>
      </c>
      <c r="E212" s="1295"/>
      <c r="F212" s="94"/>
      <c r="G212" s="2363" t="str">
        <f>IF(COUNTIF(G214:H214,"P")&gt;0,"P","")</f>
        <v/>
      </c>
    </row>
    <row r="213" spans="1:9" x14ac:dyDescent="0.25">
      <c r="A213" s="90"/>
      <c r="B213" s="90"/>
      <c r="C213" s="90"/>
      <c r="D213" s="1796"/>
      <c r="E213" s="1295"/>
      <c r="F213" s="94"/>
      <c r="G213" s="585" t="str">
        <f>G212</f>
        <v/>
      </c>
      <c r="H213" s="1330" t="s">
        <v>5073</v>
      </c>
      <c r="I213" s="1527"/>
    </row>
    <row r="214" spans="1:9" x14ac:dyDescent="0.25">
      <c r="A214" s="90"/>
      <c r="B214" s="174" t="s">
        <v>256</v>
      </c>
      <c r="C214" s="177"/>
      <c r="D214" s="1536" t="s">
        <v>458</v>
      </c>
      <c r="E214" s="1297">
        <f>'Verification Report'!O215</f>
        <v>0</v>
      </c>
      <c r="F214" s="1313" t="str">
        <f>IF(LEN('Verification Report'!W215)=0,"",'Verification Report'!W215)</f>
        <v/>
      </c>
      <c r="G214" s="585" t="str">
        <f>IF(E214&gt;0,"P","")</f>
        <v/>
      </c>
      <c r="H214"/>
    </row>
    <row r="215" spans="1:9" ht="15" hidden="1" customHeight="1" x14ac:dyDescent="0.25">
      <c r="A215" s="90"/>
      <c r="B215" s="91" t="s">
        <v>258</v>
      </c>
      <c r="C215" s="102"/>
      <c r="D215" s="1754" t="s">
        <v>459</v>
      </c>
      <c r="E215" s="1296">
        <f>'Verification Report'!O216</f>
        <v>0</v>
      </c>
      <c r="F215" s="1313" t="str">
        <f>IF(LEN('Verification Report'!W216)=0,"",'Verification Report'!W216)</f>
        <v/>
      </c>
      <c r="G215" s="1260" t="s">
        <v>247</v>
      </c>
    </row>
    <row r="216" spans="1:9" hidden="1" x14ac:dyDescent="0.25">
      <c r="A216" s="90"/>
      <c r="B216" s="174"/>
      <c r="C216" s="177"/>
      <c r="D216" s="1755"/>
      <c r="E216" s="1297"/>
      <c r="F216" s="94"/>
      <c r="G216" s="1260" t="s">
        <v>247</v>
      </c>
    </row>
    <row r="217" spans="1:9" ht="15" hidden="1" customHeight="1" x14ac:dyDescent="0.25">
      <c r="A217" s="102"/>
      <c r="B217" s="91" t="s">
        <v>260</v>
      </c>
      <c r="C217" s="102"/>
      <c r="D217" s="1754" t="s">
        <v>460</v>
      </c>
      <c r="E217" s="1295">
        <f>'Verification Report'!O218</f>
        <v>0</v>
      </c>
      <c r="F217" s="1313" t="str">
        <f>IF(LEN('Verification Report'!W218)=0,"",'Verification Report'!W218)</f>
        <v/>
      </c>
      <c r="G217" s="1260" t="s">
        <v>247</v>
      </c>
    </row>
    <row r="218" spans="1:9" ht="15.75" hidden="1" thickBot="1" x14ac:dyDescent="0.3">
      <c r="A218" s="103"/>
      <c r="B218" s="103"/>
      <c r="C218" s="103"/>
      <c r="D218" s="1783"/>
      <c r="E218" s="1294"/>
      <c r="F218" s="94"/>
      <c r="G218" s="1260" t="s">
        <v>247</v>
      </c>
    </row>
    <row r="219" spans="1:9" ht="15.75" customHeight="1" x14ac:dyDescent="0.25">
      <c r="A219" s="87" t="s">
        <v>461</v>
      </c>
      <c r="B219" s="90"/>
      <c r="C219" s="90"/>
      <c r="D219" s="1796" t="s">
        <v>462</v>
      </c>
      <c r="E219" s="1295"/>
      <c r="F219" s="94"/>
      <c r="G219" s="2363" t="str">
        <f>IF(COUNTIF(G222:H227,"P")&gt;0,"P","")</f>
        <v/>
      </c>
    </row>
    <row r="220" spans="1:9" x14ac:dyDescent="0.25">
      <c r="A220" s="90"/>
      <c r="B220" s="90"/>
      <c r="C220" s="90"/>
      <c r="D220" s="1796"/>
      <c r="E220" s="1295"/>
      <c r="F220" s="94"/>
      <c r="G220" s="585" t="str">
        <f>G219</f>
        <v/>
      </c>
    </row>
    <row r="221" spans="1:9" x14ac:dyDescent="0.25">
      <c r="A221" s="90"/>
      <c r="B221" s="90"/>
      <c r="C221" s="90"/>
      <c r="D221" s="1796"/>
      <c r="E221" s="1295"/>
      <c r="F221" s="94"/>
      <c r="G221" s="585" t="str">
        <f>G220</f>
        <v/>
      </c>
    </row>
    <row r="222" spans="1:9" ht="15" customHeight="1" x14ac:dyDescent="0.25">
      <c r="A222" s="90"/>
      <c r="B222" s="91" t="s">
        <v>256</v>
      </c>
      <c r="C222" s="102"/>
      <c r="D222" s="1754" t="s">
        <v>463</v>
      </c>
      <c r="E222" s="1296">
        <f>'Verification Report'!O223</f>
        <v>0</v>
      </c>
      <c r="F222" s="1313" t="str">
        <f>IF(LEN('Verification Report'!W223)=0,"",'Verification Report'!W223)</f>
        <v/>
      </c>
      <c r="G222" s="585" t="str">
        <f>IF(E222&gt;0,"P","")</f>
        <v/>
      </c>
      <c r="H222" s="1330" t="s">
        <v>5074</v>
      </c>
      <c r="I222" s="1527"/>
    </row>
    <row r="223" spans="1:9" x14ac:dyDescent="0.25">
      <c r="A223" s="90"/>
      <c r="B223" s="174"/>
      <c r="C223" s="177"/>
      <c r="D223" s="1755"/>
      <c r="E223" s="1297"/>
      <c r="F223" s="94"/>
      <c r="G223" s="585" t="str">
        <f>G222</f>
        <v/>
      </c>
    </row>
    <row r="224" spans="1:9" x14ac:dyDescent="0.25">
      <c r="A224" s="90"/>
      <c r="B224" s="174" t="s">
        <v>258</v>
      </c>
      <c r="C224" s="177"/>
      <c r="D224" s="1536" t="s">
        <v>464</v>
      </c>
      <c r="E224" s="1297">
        <f>'Verification Report'!O225</f>
        <v>0</v>
      </c>
      <c r="F224" s="1313" t="str">
        <f>IF(LEN('Verification Report'!W225)=0,"",'Verification Report'!W225)</f>
        <v/>
      </c>
      <c r="G224" s="585" t="str">
        <f>IF(E224&gt;0,"P","")</f>
        <v/>
      </c>
      <c r="H224" s="1330" t="s">
        <v>5074</v>
      </c>
      <c r="I224" s="1527"/>
    </row>
    <row r="225" spans="1:9" ht="15" customHeight="1" x14ac:dyDescent="0.25">
      <c r="A225" s="90"/>
      <c r="B225" s="91" t="s">
        <v>260</v>
      </c>
      <c r="C225" s="102"/>
      <c r="D225" s="1754" t="s">
        <v>465</v>
      </c>
      <c r="E225" s="1296">
        <f>'Verification Report'!O226</f>
        <v>0</v>
      </c>
      <c r="F225" s="1313" t="str">
        <f>IF(LEN('Verification Report'!W226)=0,"",'Verification Report'!W226)</f>
        <v/>
      </c>
      <c r="G225" s="585" t="str">
        <f>IF(E225&gt;0,"P","")</f>
        <v/>
      </c>
      <c r="H225" s="2142" t="s">
        <v>5075</v>
      </c>
      <c r="I225" s="1527"/>
    </row>
    <row r="226" spans="1:9" x14ac:dyDescent="0.25">
      <c r="A226" s="90"/>
      <c r="B226" s="177"/>
      <c r="C226" s="177"/>
      <c r="D226" s="1755"/>
      <c r="E226" s="1297"/>
      <c r="F226" s="94"/>
      <c r="G226" s="585" t="str">
        <f>G225</f>
        <v/>
      </c>
      <c r="H226" s="1953"/>
    </row>
    <row r="227" spans="1:9" ht="15" customHeight="1" x14ac:dyDescent="0.25">
      <c r="A227" s="90"/>
      <c r="B227" s="91" t="s">
        <v>269</v>
      </c>
      <c r="C227" s="102"/>
      <c r="D227" s="1754" t="s">
        <v>466</v>
      </c>
      <c r="E227" s="1296">
        <f>'Verification Report'!O228</f>
        <v>0</v>
      </c>
      <c r="F227" s="1313" t="str">
        <f>IF(LEN('Verification Report'!W228)=0,"",'Verification Report'!W228)</f>
        <v/>
      </c>
      <c r="G227" s="585" t="str">
        <f>IF(E227&gt;0,"P","")</f>
        <v/>
      </c>
      <c r="H227" s="1330" t="s">
        <v>5076</v>
      </c>
      <c r="I227" s="1527"/>
    </row>
    <row r="228" spans="1:9" x14ac:dyDescent="0.25">
      <c r="A228" s="90"/>
      <c r="B228" s="177"/>
      <c r="C228" s="177"/>
      <c r="D228" s="1755"/>
      <c r="E228" s="1297"/>
      <c r="F228" s="94"/>
      <c r="G228" s="585" t="str">
        <f>G227</f>
        <v/>
      </c>
    </row>
    <row r="229" spans="1:9" ht="15" hidden="1" customHeight="1" x14ac:dyDescent="0.25">
      <c r="A229" s="90"/>
      <c r="B229" s="91" t="s">
        <v>275</v>
      </c>
      <c r="C229" s="102"/>
      <c r="D229" s="1754" t="s">
        <v>467</v>
      </c>
      <c r="E229" s="1296">
        <f>'Verification Report'!O230</f>
        <v>0</v>
      </c>
      <c r="F229" s="1313" t="str">
        <f>IF(LEN('Verification Report'!W230)=0,"",'Verification Report'!W230)</f>
        <v/>
      </c>
      <c r="G229" s="1260" t="s">
        <v>247</v>
      </c>
    </row>
    <row r="230" spans="1:9" hidden="1" x14ac:dyDescent="0.25">
      <c r="A230" s="90"/>
      <c r="B230" s="102"/>
      <c r="C230" s="102"/>
      <c r="D230" s="1754"/>
      <c r="E230" s="1296"/>
      <c r="F230" s="94"/>
      <c r="G230" s="1260" t="s">
        <v>247</v>
      </c>
    </row>
    <row r="231" spans="1:9" hidden="1" x14ac:dyDescent="0.25">
      <c r="A231" s="90"/>
      <c r="B231" s="102"/>
      <c r="C231" s="102"/>
      <c r="D231" s="1754"/>
      <c r="E231" s="1296"/>
      <c r="F231" s="94"/>
      <c r="G231" s="1260" t="s">
        <v>247</v>
      </c>
    </row>
    <row r="232" spans="1:9" hidden="1" x14ac:dyDescent="0.25">
      <c r="A232" s="90"/>
      <c r="B232" s="177"/>
      <c r="C232" s="177"/>
      <c r="D232" s="1755"/>
      <c r="E232" s="1297"/>
      <c r="F232" s="94"/>
      <c r="G232" s="1260" t="s">
        <v>247</v>
      </c>
    </row>
    <row r="233" spans="1:9" ht="15" hidden="1" customHeight="1" x14ac:dyDescent="0.25">
      <c r="A233" s="90"/>
      <c r="B233" s="91" t="s">
        <v>277</v>
      </c>
      <c r="C233" s="102"/>
      <c r="D233" s="1754" t="s">
        <v>468</v>
      </c>
      <c r="E233" s="1296">
        <f>'Verification Report'!O234</f>
        <v>0</v>
      </c>
      <c r="F233" s="1313" t="str">
        <f>IF(LEN('Verification Report'!W234)=0,"",'Verification Report'!W234)</f>
        <v/>
      </c>
      <c r="G233" s="1260" t="s">
        <v>247</v>
      </c>
    </row>
    <row r="234" spans="1:9" hidden="1" x14ac:dyDescent="0.25">
      <c r="A234" s="90"/>
      <c r="B234" s="102"/>
      <c r="C234" s="102"/>
      <c r="D234" s="1754"/>
      <c r="E234" s="1296"/>
      <c r="F234" s="94"/>
      <c r="G234" s="1260" t="s">
        <v>247</v>
      </c>
    </row>
    <row r="235" spans="1:9" hidden="1" x14ac:dyDescent="0.25">
      <c r="A235" s="90"/>
      <c r="B235" s="177"/>
      <c r="C235" s="177"/>
      <c r="D235" s="1755"/>
      <c r="E235" s="1297"/>
      <c r="F235" s="94"/>
      <c r="G235" s="1260" t="s">
        <v>247</v>
      </c>
    </row>
    <row r="236" spans="1:9" hidden="1" x14ac:dyDescent="0.25">
      <c r="A236" s="90"/>
      <c r="B236" s="174" t="s">
        <v>383</v>
      </c>
      <c r="C236" s="177"/>
      <c r="D236" s="1536" t="s">
        <v>469</v>
      </c>
      <c r="E236" s="1297">
        <f>'Verification Report'!O237</f>
        <v>0</v>
      </c>
      <c r="F236" s="1313" t="str">
        <f>IF(LEN('Verification Report'!W237)=0,"",'Verification Report'!W237)</f>
        <v/>
      </c>
      <c r="G236" s="1260" t="s">
        <v>247</v>
      </c>
    </row>
    <row r="237" spans="1:9" hidden="1" x14ac:dyDescent="0.25">
      <c r="A237" s="90"/>
      <c r="B237" s="91" t="s">
        <v>428</v>
      </c>
      <c r="C237" s="102"/>
      <c r="D237" s="1533" t="s">
        <v>2978</v>
      </c>
      <c r="E237" s="1296">
        <f>'Verification Report'!O238</f>
        <v>0</v>
      </c>
      <c r="F237" s="94"/>
      <c r="G237" s="1260" t="s">
        <v>247</v>
      </c>
    </row>
    <row r="238" spans="1:9" hidden="1" x14ac:dyDescent="0.25">
      <c r="A238" s="90"/>
      <c r="B238" s="102"/>
      <c r="C238" s="102"/>
      <c r="D238" s="1533" t="s">
        <v>2984</v>
      </c>
      <c r="E238" s="1296"/>
      <c r="F238" s="1313" t="str">
        <f>IF(LEN('Verification Report'!W239)=0,"",'Verification Report'!W239)</f>
        <v/>
      </c>
      <c r="G238" s="1260" t="s">
        <v>247</v>
      </c>
    </row>
    <row r="239" spans="1:9" hidden="1" x14ac:dyDescent="0.25">
      <c r="A239" s="90"/>
      <c r="B239" s="102"/>
      <c r="C239" s="102"/>
      <c r="D239" s="1533" t="s">
        <v>2983</v>
      </c>
      <c r="E239" s="1296"/>
      <c r="F239" s="1313" t="str">
        <f>IF(LEN('Verification Report'!W240)=0,"",'Verification Report'!W240)</f>
        <v/>
      </c>
      <c r="G239" s="1260" t="s">
        <v>247</v>
      </c>
    </row>
    <row r="240" spans="1:9" hidden="1" x14ac:dyDescent="0.25">
      <c r="A240" s="90"/>
      <c r="B240" s="102"/>
      <c r="C240" s="102"/>
      <c r="D240" s="1533" t="s">
        <v>2982</v>
      </c>
      <c r="E240" s="1296"/>
      <c r="F240" s="1313" t="str">
        <f>IF(LEN('Verification Report'!W241)=0,"",'Verification Report'!W241)</f>
        <v/>
      </c>
      <c r="G240" s="1260" t="s">
        <v>247</v>
      </c>
    </row>
    <row r="241" spans="1:9" hidden="1" x14ac:dyDescent="0.25">
      <c r="A241" s="90"/>
      <c r="B241" s="102"/>
      <c r="C241" s="102"/>
      <c r="D241" s="1533" t="s">
        <v>2981</v>
      </c>
      <c r="E241" s="1296"/>
      <c r="F241" s="1313" t="str">
        <f>IF(LEN('Verification Report'!W242)=0,"",'Verification Report'!W242)</f>
        <v/>
      </c>
      <c r="G241" s="1260" t="s">
        <v>247</v>
      </c>
    </row>
    <row r="242" spans="1:9" hidden="1" x14ac:dyDescent="0.25">
      <c r="A242" s="90"/>
      <c r="B242" s="102"/>
      <c r="C242" s="102"/>
      <c r="D242" s="1533" t="s">
        <v>2980</v>
      </c>
      <c r="E242" s="1296"/>
      <c r="F242" s="1313" t="str">
        <f>IF(LEN('Verification Report'!W243)=0,"",'Verification Report'!W243)</f>
        <v/>
      </c>
      <c r="G242" s="1260" t="s">
        <v>247</v>
      </c>
    </row>
    <row r="243" spans="1:9" hidden="1" x14ac:dyDescent="0.25">
      <c r="A243" s="90"/>
      <c r="B243" s="102"/>
      <c r="C243" s="102"/>
      <c r="D243" s="1533" t="s">
        <v>2979</v>
      </c>
      <c r="E243" s="1296"/>
      <c r="F243" s="1313" t="str">
        <f>IF(LEN('Verification Report'!W244)=0,"",'Verification Report'!W244)</f>
        <v/>
      </c>
      <c r="G243" s="1260" t="s">
        <v>247</v>
      </c>
    </row>
    <row r="244" spans="1:9" hidden="1" x14ac:dyDescent="0.25">
      <c r="A244" s="90"/>
      <c r="B244" s="177"/>
      <c r="C244" s="177"/>
      <c r="D244" s="1561" t="s">
        <v>2977</v>
      </c>
      <c r="E244" s="1297"/>
      <c r="F244" s="94"/>
      <c r="G244" s="1260" t="s">
        <v>247</v>
      </c>
    </row>
    <row r="245" spans="1:9" hidden="1" x14ac:dyDescent="0.25">
      <c r="A245" s="90"/>
      <c r="B245" s="87" t="s">
        <v>430</v>
      </c>
      <c r="C245" s="90"/>
      <c r="D245" s="1554" t="s">
        <v>470</v>
      </c>
      <c r="E245" s="1295">
        <f>'Verification Report'!O246</f>
        <v>0</v>
      </c>
      <c r="F245" s="1313" t="str">
        <f>IF(LEN('Verification Report'!W246)=0,"",'Verification Report'!W246)</f>
        <v/>
      </c>
      <c r="G245" s="1260" t="s">
        <v>247</v>
      </c>
    </row>
    <row r="246" spans="1:9" ht="18.75" hidden="1" x14ac:dyDescent="0.25">
      <c r="A246" s="69" t="s">
        <v>472</v>
      </c>
      <c r="B246" s="69"/>
      <c r="C246" s="69"/>
      <c r="D246" s="84"/>
      <c r="E246" s="1043"/>
      <c r="F246" s="94"/>
      <c r="G246" s="1260" t="s">
        <v>247</v>
      </c>
    </row>
    <row r="247" spans="1:9" ht="15" hidden="1" customHeight="1" x14ac:dyDescent="0.25">
      <c r="A247" s="91" t="s">
        <v>3984</v>
      </c>
      <c r="B247" s="102"/>
      <c r="C247" s="102"/>
      <c r="D247" s="1782" t="s">
        <v>473</v>
      </c>
      <c r="E247" s="1296"/>
      <c r="F247" s="94"/>
      <c r="G247" s="1260" t="s">
        <v>247</v>
      </c>
    </row>
    <row r="248" spans="1:9" hidden="1" x14ac:dyDescent="0.25">
      <c r="A248" s="102"/>
      <c r="B248" s="102"/>
      <c r="C248" s="102"/>
      <c r="D248" s="1782"/>
      <c r="E248" s="1296"/>
      <c r="F248" s="94"/>
      <c r="G248" s="1260" t="s">
        <v>247</v>
      </c>
    </row>
    <row r="249" spans="1:9" ht="15.75" hidden="1" thickBot="1" x14ac:dyDescent="0.3">
      <c r="A249" s="103"/>
      <c r="B249" s="103"/>
      <c r="C249" s="103"/>
      <c r="D249" s="1797"/>
      <c r="E249" s="1294"/>
      <c r="F249" s="94"/>
      <c r="G249" s="1260" t="s">
        <v>247</v>
      </c>
    </row>
    <row r="250" spans="1:9" ht="15.75" customHeight="1" x14ac:dyDescent="0.25">
      <c r="A250" s="87" t="s">
        <v>474</v>
      </c>
      <c r="B250" s="90"/>
      <c r="C250" s="90"/>
      <c r="D250" s="1796" t="s">
        <v>475</v>
      </c>
      <c r="E250" s="1295"/>
      <c r="F250" s="94"/>
      <c r="G250" s="2363" t="str">
        <f ca="1">IF(COUNTIF(G252:H256,"P")&gt;0,"P","")</f>
        <v/>
      </c>
    </row>
    <row r="251" spans="1:9" x14ac:dyDescent="0.25">
      <c r="A251" s="90"/>
      <c r="B251" s="90"/>
      <c r="C251" s="90"/>
      <c r="D251" s="1796"/>
      <c r="E251" s="1295"/>
      <c r="F251" s="94"/>
      <c r="G251" s="585" t="str">
        <f ca="1">G250</f>
        <v/>
      </c>
    </row>
    <row r="252" spans="1:9" ht="15" customHeight="1" x14ac:dyDescent="0.25">
      <c r="A252" s="90"/>
      <c r="B252" s="91" t="s">
        <v>256</v>
      </c>
      <c r="C252" s="102"/>
      <c r="D252" s="1754" t="s">
        <v>476</v>
      </c>
      <c r="E252" s="1296">
        <f>'Verification Report'!O253</f>
        <v>0</v>
      </c>
      <c r="F252" s="1313" t="str">
        <f>IF(LEN('Verification Report'!W253)=0,"",'Verification Report'!W253)</f>
        <v/>
      </c>
      <c r="G252" s="585" t="str">
        <f>IF(E252&gt;0,"P","")</f>
        <v/>
      </c>
      <c r="H252" s="1330" t="s">
        <v>5077</v>
      </c>
      <c r="I252" s="1527"/>
    </row>
    <row r="253" spans="1:9" x14ac:dyDescent="0.25">
      <c r="A253" s="90"/>
      <c r="B253" s="174"/>
      <c r="C253" s="177"/>
      <c r="D253" s="1755"/>
      <c r="E253" s="1297"/>
      <c r="F253" s="94"/>
      <c r="G253" s="585" t="str">
        <f>G252</f>
        <v/>
      </c>
    </row>
    <row r="254" spans="1:9" ht="15" hidden="1" customHeight="1" x14ac:dyDescent="0.25">
      <c r="A254" s="90"/>
      <c r="B254" s="846" t="s">
        <v>258</v>
      </c>
      <c r="C254" s="1211"/>
      <c r="D254" s="1760" t="s">
        <v>477</v>
      </c>
      <c r="E254" s="1293">
        <f ca="1">'Verification Report'!O255</f>
        <v>0</v>
      </c>
      <c r="F254" s="1313" t="str">
        <f>IF(LEN('Verification Report'!W255)=0,"",'Verification Report'!W255)</f>
        <v/>
      </c>
      <c r="G254" s="1260" t="s">
        <v>247</v>
      </c>
    </row>
    <row r="255" spans="1:9" hidden="1" x14ac:dyDescent="0.25">
      <c r="B255" s="178"/>
      <c r="C255" s="178"/>
      <c r="D255" s="1761"/>
      <c r="E255" s="1297"/>
      <c r="F255" s="94"/>
      <c r="G255" s="1260" t="s">
        <v>247</v>
      </c>
    </row>
    <row r="256" spans="1:9" x14ac:dyDescent="0.25">
      <c r="A256" s="102"/>
      <c r="B256" s="91" t="s">
        <v>260</v>
      </c>
      <c r="C256" s="102"/>
      <c r="D256" s="1546" t="s">
        <v>478</v>
      </c>
      <c r="E256" s="1296">
        <f ca="1">'Verification Report'!O257</f>
        <v>0</v>
      </c>
      <c r="F256" s="1313" t="str">
        <f>IF(LEN('Verification Report'!W257)=0,"",'Verification Report'!W257)</f>
        <v/>
      </c>
      <c r="G256" s="585" t="str">
        <f ca="1">IF(E256&gt;0,"P","")</f>
        <v/>
      </c>
      <c r="H256" s="1330" t="s">
        <v>5078</v>
      </c>
      <c r="I256" s="1527"/>
    </row>
    <row r="257" spans="1:9" x14ac:dyDescent="0.25">
      <c r="A257" s="854"/>
      <c r="B257" s="102"/>
      <c r="C257" s="91" t="s">
        <v>121</v>
      </c>
      <c r="D257" s="1546" t="s">
        <v>479</v>
      </c>
      <c r="E257" s="1296"/>
      <c r="F257" s="94"/>
      <c r="G257" s="585" t="str">
        <f ca="1">G256</f>
        <v/>
      </c>
    </row>
    <row r="258" spans="1:9" x14ac:dyDescent="0.25">
      <c r="A258" s="854"/>
      <c r="B258" s="102"/>
      <c r="C258" s="91" t="s">
        <v>122</v>
      </c>
      <c r="D258" s="1546" t="s">
        <v>480</v>
      </c>
      <c r="E258" s="1296"/>
      <c r="F258" s="94"/>
      <c r="G258" s="585" t="str">
        <f ca="1">G257</f>
        <v/>
      </c>
    </row>
    <row r="259" spans="1:9" ht="15.75" thickBot="1" x14ac:dyDescent="0.3">
      <c r="A259" s="115"/>
      <c r="B259" s="103"/>
      <c r="C259" s="111" t="s">
        <v>123</v>
      </c>
      <c r="D259" s="1555" t="s">
        <v>391</v>
      </c>
      <c r="E259" s="1294"/>
      <c r="F259" s="94"/>
      <c r="G259" s="585" t="str">
        <f ca="1">G258</f>
        <v/>
      </c>
    </row>
    <row r="260" spans="1:9" ht="15.75" thickTop="1" x14ac:dyDescent="0.25">
      <c r="A260" s="87" t="s">
        <v>482</v>
      </c>
      <c r="B260" s="90"/>
      <c r="C260" s="90"/>
      <c r="D260" s="1563" t="s">
        <v>483</v>
      </c>
      <c r="E260" s="1295"/>
      <c r="F260" s="94"/>
      <c r="G260" s="2363" t="str">
        <f>IF(COUNTIF(G261:H271,"P")&gt;0,"P","")</f>
        <v/>
      </c>
    </row>
    <row r="261" spans="1:9" ht="15" customHeight="1" x14ac:dyDescent="0.25">
      <c r="A261" s="90"/>
      <c r="B261" s="87" t="s">
        <v>256</v>
      </c>
      <c r="C261" s="90"/>
      <c r="D261" s="1779" t="s">
        <v>484</v>
      </c>
      <c r="E261" s="1295">
        <f>'Verification Report'!O262</f>
        <v>0</v>
      </c>
      <c r="F261" s="94"/>
      <c r="G261" s="585" t="str">
        <f>IF(E261&gt;0,"P","")</f>
        <v/>
      </c>
    </row>
    <row r="262" spans="1:9" x14ac:dyDescent="0.25">
      <c r="A262" s="90"/>
      <c r="B262" s="90"/>
      <c r="C262" s="90"/>
      <c r="D262" s="1779"/>
      <c r="E262" s="1295"/>
      <c r="F262" s="94"/>
      <c r="G262" s="585" t="str">
        <f>G261</f>
        <v/>
      </c>
    </row>
    <row r="263" spans="1:9" ht="15" customHeight="1" x14ac:dyDescent="0.25">
      <c r="A263" s="86"/>
      <c r="B263" s="90"/>
      <c r="C263" s="87" t="s">
        <v>121</v>
      </c>
      <c r="D263" s="1779" t="s">
        <v>485</v>
      </c>
      <c r="E263" s="1295"/>
      <c r="F263" s="1313" t="str">
        <f>IF(LEN('Verification Report'!W264)=0,"",'Verification Report'!W264)</f>
        <v/>
      </c>
      <c r="G263" s="585" t="str">
        <f>IF(AND(LEN(F263)&gt;0,NOT(F263=FALSE)),"P","")</f>
        <v/>
      </c>
      <c r="H263" s="1330" t="s">
        <v>5079</v>
      </c>
      <c r="I263" s="1527"/>
    </row>
    <row r="264" spans="1:9" x14ac:dyDescent="0.25">
      <c r="A264" s="86"/>
      <c r="B264" s="90"/>
      <c r="C264" s="90"/>
      <c r="D264" s="1779"/>
      <c r="E264" s="1295"/>
      <c r="F264" s="94"/>
      <c r="G264" s="585" t="str">
        <f>G263</f>
        <v/>
      </c>
    </row>
    <row r="265" spans="1:9" x14ac:dyDescent="0.25">
      <c r="A265" s="86"/>
      <c r="B265" s="90"/>
      <c r="C265" s="90"/>
      <c r="D265" s="1779"/>
      <c r="E265" s="1295"/>
      <c r="F265" s="94"/>
      <c r="G265" s="585" t="str">
        <f>G264</f>
        <v/>
      </c>
    </row>
    <row r="266" spans="1:9" ht="15" customHeight="1" x14ac:dyDescent="0.25">
      <c r="A266" s="86"/>
      <c r="B266" s="90"/>
      <c r="C266" s="87" t="s">
        <v>122</v>
      </c>
      <c r="D266" s="1779" t="s">
        <v>486</v>
      </c>
      <c r="E266" s="1295"/>
      <c r="F266" s="1313" t="str">
        <f>IF(LEN('Verification Report'!W267)=0,"",'Verification Report'!W267)</f>
        <v/>
      </c>
      <c r="G266" s="585" t="str">
        <f>IF(AND(LEN(F266)&gt;0,NOT(F266=FALSE)),"P","")</f>
        <v/>
      </c>
      <c r="H266" s="1330" t="s">
        <v>5080</v>
      </c>
      <c r="I266" s="1527"/>
    </row>
    <row r="267" spans="1:9" x14ac:dyDescent="0.25">
      <c r="A267" s="86"/>
      <c r="B267" s="90"/>
      <c r="C267" s="90"/>
      <c r="D267" s="1779"/>
      <c r="E267" s="1295"/>
      <c r="F267" s="94"/>
      <c r="G267" s="585" t="str">
        <f>G266</f>
        <v/>
      </c>
    </row>
    <row r="268" spans="1:9" x14ac:dyDescent="0.25">
      <c r="A268" s="86"/>
      <c r="B268" s="90"/>
      <c r="C268" s="90"/>
      <c r="D268" s="1779"/>
      <c r="E268" s="1295"/>
      <c r="F268" s="94"/>
      <c r="G268" s="585" t="str">
        <f>G267</f>
        <v/>
      </c>
    </row>
    <row r="269" spans="1:9" x14ac:dyDescent="0.25">
      <c r="A269" s="86"/>
      <c r="B269" s="90"/>
      <c r="C269" s="90"/>
      <c r="D269" s="1779"/>
      <c r="E269" s="1295"/>
      <c r="F269" s="94"/>
      <c r="G269" s="585" t="str">
        <f>G268</f>
        <v/>
      </c>
    </row>
    <row r="270" spans="1:9" hidden="1" x14ac:dyDescent="0.25">
      <c r="A270" s="86"/>
      <c r="B270" s="177"/>
      <c r="C270" s="179" t="s">
        <v>123</v>
      </c>
      <c r="D270" s="1536" t="s">
        <v>487</v>
      </c>
      <c r="E270" s="1297"/>
      <c r="F270" s="1313" t="str">
        <f>IF(LEN('Verification Report'!W271)=0,"",'Verification Report'!W271)</f>
        <v/>
      </c>
      <c r="G270" s="1328" t="s">
        <v>247</v>
      </c>
    </row>
    <row r="271" spans="1:9" ht="15" customHeight="1" x14ac:dyDescent="0.25">
      <c r="A271" s="102"/>
      <c r="B271" s="91" t="s">
        <v>258</v>
      </c>
      <c r="C271" s="102"/>
      <c r="D271" s="1754" t="s">
        <v>488</v>
      </c>
      <c r="E271" s="1296">
        <f>'Verification Report'!O272</f>
        <v>0</v>
      </c>
      <c r="F271" s="1313" t="str">
        <f>IF(LEN('Verification Report'!W272)=0,"",'Verification Report'!W272)</f>
        <v/>
      </c>
      <c r="G271" s="585" t="str">
        <f>IF(E271&gt;0,"P","")</f>
        <v/>
      </c>
      <c r="H271" s="1330" t="s">
        <v>5081</v>
      </c>
      <c r="I271" s="1527"/>
    </row>
    <row r="272" spans="1:9" x14ac:dyDescent="0.25">
      <c r="A272" s="102"/>
      <c r="B272" s="102"/>
      <c r="C272" s="102"/>
      <c r="D272" s="1754"/>
      <c r="E272" s="1296"/>
      <c r="F272" s="94"/>
      <c r="G272" s="585" t="str">
        <f>G271</f>
        <v/>
      </c>
    </row>
    <row r="273" spans="1:9" ht="15.75" thickBot="1" x14ac:dyDescent="0.3">
      <c r="A273" s="103"/>
      <c r="B273" s="103"/>
      <c r="C273" s="103"/>
      <c r="D273" s="1783"/>
      <c r="E273" s="1294"/>
      <c r="F273" s="94"/>
      <c r="G273" s="585" t="str">
        <f>G272</f>
        <v/>
      </c>
    </row>
    <row r="274" spans="1:9" ht="15.75" thickTop="1" x14ac:dyDescent="0.25">
      <c r="A274" s="87" t="s">
        <v>489</v>
      </c>
      <c r="B274" s="90"/>
      <c r="C274" s="90"/>
      <c r="D274" s="1563" t="s">
        <v>490</v>
      </c>
      <c r="E274" s="1270">
        <f ca="1">'Verification Report'!O275</f>
        <v>0</v>
      </c>
      <c r="F274" s="588"/>
      <c r="G274" s="585" t="str">
        <f ca="1">IF(E274&gt;0,"P","")</f>
        <v/>
      </c>
      <c r="H274" s="2142" t="s">
        <v>5082</v>
      </c>
      <c r="I274" s="1527"/>
    </row>
    <row r="275" spans="1:9" x14ac:dyDescent="0.25">
      <c r="A275" s="90"/>
      <c r="B275" s="174" t="s">
        <v>256</v>
      </c>
      <c r="C275" s="177"/>
      <c r="D275" s="1536" t="s">
        <v>4136</v>
      </c>
      <c r="E275" s="1270"/>
      <c r="F275" s="1313" t="str">
        <f>IF(LEN('Verification Report'!W276)=0,"",'Verification Report'!W276)</f>
        <v/>
      </c>
      <c r="G275" s="585" t="str">
        <f ca="1">G274</f>
        <v/>
      </c>
      <c r="H275" s="1953"/>
    </row>
    <row r="276" spans="1:9" x14ac:dyDescent="0.25">
      <c r="A276" s="90"/>
      <c r="B276" s="174" t="s">
        <v>258</v>
      </c>
      <c r="C276" s="177"/>
      <c r="D276" s="1536" t="s">
        <v>4137</v>
      </c>
      <c r="E276" s="1270"/>
      <c r="F276" s="94"/>
      <c r="G276" s="585" t="str">
        <f ca="1">G275</f>
        <v/>
      </c>
    </row>
    <row r="277" spans="1:9" x14ac:dyDescent="0.25">
      <c r="A277" s="90"/>
      <c r="B277" s="174" t="s">
        <v>260</v>
      </c>
      <c r="C277" s="177"/>
      <c r="D277" s="1536" t="s">
        <v>4138</v>
      </c>
      <c r="E277" s="1270"/>
      <c r="F277" s="1253"/>
      <c r="G277" s="585" t="str">
        <f ca="1">G276</f>
        <v/>
      </c>
    </row>
    <row r="278" spans="1:9" x14ac:dyDescent="0.25">
      <c r="A278" s="90"/>
      <c r="B278" s="174" t="s">
        <v>269</v>
      </c>
      <c r="C278" s="177"/>
      <c r="D278" s="1536" t="s">
        <v>4139</v>
      </c>
      <c r="E278" s="1270"/>
      <c r="F278" s="94"/>
      <c r="G278" s="585" t="str">
        <f ca="1">G277</f>
        <v/>
      </c>
    </row>
    <row r="279" spans="1:9" ht="15.75" thickBot="1" x14ac:dyDescent="0.3">
      <c r="A279" s="103"/>
      <c r="B279" s="96" t="s">
        <v>275</v>
      </c>
      <c r="C279" s="103"/>
      <c r="D279" s="1555" t="s">
        <v>4140</v>
      </c>
      <c r="E279" s="1273"/>
      <c r="F279" s="94"/>
      <c r="G279" s="585" t="str">
        <f ca="1">G278</f>
        <v/>
      </c>
    </row>
    <row r="280" spans="1:9" ht="15.75" thickTop="1" x14ac:dyDescent="0.25">
      <c r="A280" s="114" t="s">
        <v>491</v>
      </c>
      <c r="B280" s="107"/>
      <c r="C280" s="107"/>
      <c r="D280" s="1569" t="s">
        <v>4141</v>
      </c>
      <c r="E280" s="1296"/>
      <c r="F280" s="94"/>
      <c r="G280" s="2363" t="str">
        <f ca="1">IF(COUNTIF(G281,"P")&gt;0,"P","")</f>
        <v/>
      </c>
      <c r="H280" s="1330" t="s">
        <v>5083</v>
      </c>
      <c r="I280" s="1527"/>
    </row>
    <row r="281" spans="1:9" ht="15.75" thickBot="1" x14ac:dyDescent="0.3">
      <c r="A281" s="99"/>
      <c r="B281" s="96" t="s">
        <v>256</v>
      </c>
      <c r="C281" s="103"/>
      <c r="D281" s="1555" t="s">
        <v>4142</v>
      </c>
      <c r="E281" s="1294">
        <f ca="1">'Verification Report'!O282</f>
        <v>0</v>
      </c>
      <c r="F281" s="1313" t="str">
        <f>IF(LEN('Verification Report'!W282)=0,"",'Verification Report'!W282)</f>
        <v/>
      </c>
      <c r="G281" s="585" t="str">
        <f ca="1">IF(E281&gt;0,"P","")</f>
        <v/>
      </c>
    </row>
    <row r="282" spans="1:9" ht="15.75" hidden="1" customHeight="1" thickTop="1" x14ac:dyDescent="0.25">
      <c r="A282" s="114" t="s">
        <v>492</v>
      </c>
      <c r="B282" s="107"/>
      <c r="C282" s="107"/>
      <c r="D282" s="1781" t="s">
        <v>4852</v>
      </c>
      <c r="E282" s="664"/>
      <c r="F282" s="94"/>
      <c r="G282" s="1260" t="s">
        <v>247</v>
      </c>
    </row>
    <row r="283" spans="1:9" ht="16.5" hidden="1" thickTop="1" thickBot="1" x14ac:dyDescent="0.3">
      <c r="A283" s="91"/>
      <c r="B283" s="102"/>
      <c r="C283" s="102"/>
      <c r="D283" s="1782"/>
      <c r="E283" s="664"/>
      <c r="F283" s="94"/>
      <c r="G283" s="1260" t="s">
        <v>247</v>
      </c>
    </row>
    <row r="284" spans="1:9" ht="16.5" hidden="1" thickTop="1" thickBot="1" x14ac:dyDescent="0.3">
      <c r="A284" s="90"/>
      <c r="B284" s="90"/>
      <c r="C284" s="90"/>
      <c r="D284" s="1796"/>
      <c r="E284" s="664"/>
      <c r="F284" s="588"/>
      <c r="G284" s="1260" t="s">
        <v>247</v>
      </c>
    </row>
    <row r="285" spans="1:9" ht="15" hidden="1" customHeight="1" x14ac:dyDescent="0.25">
      <c r="C285" s="66" t="s">
        <v>121</v>
      </c>
      <c r="D285" s="1779" t="s">
        <v>4143</v>
      </c>
      <c r="E285" s="1295">
        <f ca="1">'Verification Report'!O286</f>
        <v>0</v>
      </c>
      <c r="F285" s="1313" t="str">
        <f>IF(LEN('Verification Report'!W286)=0,"",'Verification Report'!W286)</f>
        <v/>
      </c>
      <c r="G285" s="1260" t="s">
        <v>247</v>
      </c>
    </row>
    <row r="286" spans="1:9" ht="16.5" hidden="1" thickTop="1" thickBot="1" x14ac:dyDescent="0.3">
      <c r="C286" s="534"/>
      <c r="D286" s="1755"/>
      <c r="E286" s="1297"/>
      <c r="F286" s="94"/>
      <c r="G286" s="1260" t="s">
        <v>247</v>
      </c>
    </row>
    <row r="287" spans="1:9" ht="15" hidden="1" customHeight="1" x14ac:dyDescent="0.25">
      <c r="C287" s="533" t="s">
        <v>122</v>
      </c>
      <c r="D287" s="1778" t="s">
        <v>4145</v>
      </c>
      <c r="E287" s="1293">
        <f ca="1">'Verification Report'!O288</f>
        <v>0</v>
      </c>
      <c r="F287" s="1313" t="str">
        <f>IF(LEN('Verification Report'!W288)=0,"",'Verification Report'!W288)</f>
        <v/>
      </c>
      <c r="G287" s="1260" t="s">
        <v>247</v>
      </c>
    </row>
    <row r="288" spans="1:9" ht="16.5" hidden="1" thickTop="1" thickBot="1" x14ac:dyDescent="0.3">
      <c r="C288" s="66"/>
      <c r="D288" s="1779"/>
      <c r="E288" s="1295"/>
      <c r="F288" s="94"/>
      <c r="G288" s="1260" t="s">
        <v>247</v>
      </c>
    </row>
    <row r="289" spans="1:7" ht="16.5" hidden="1" thickTop="1" thickBot="1" x14ac:dyDescent="0.3">
      <c r="C289" s="534"/>
      <c r="D289" s="1755"/>
      <c r="E289" s="1297"/>
      <c r="F289" s="94"/>
      <c r="G289" s="1260" t="s">
        <v>247</v>
      </c>
    </row>
    <row r="290" spans="1:7" ht="16.5" hidden="1" thickTop="1" thickBot="1" x14ac:dyDescent="0.3">
      <c r="C290" s="535" t="s">
        <v>123</v>
      </c>
      <c r="D290" s="279" t="s">
        <v>4146</v>
      </c>
      <c r="E290" s="1306">
        <f ca="1">'Verification Report'!O291</f>
        <v>0</v>
      </c>
      <c r="F290" s="1313" t="str">
        <f>IF(LEN('Verification Report'!W291)=0,"",'Verification Report'!W291)</f>
        <v/>
      </c>
      <c r="G290" s="1260" t="s">
        <v>247</v>
      </c>
    </row>
    <row r="291" spans="1:7" ht="16.5" hidden="1" thickTop="1" thickBot="1" x14ac:dyDescent="0.3">
      <c r="C291" s="855" t="s">
        <v>401</v>
      </c>
      <c r="D291" s="1542" t="s">
        <v>4147</v>
      </c>
      <c r="E291" s="1294">
        <f ca="1">'Verification Report'!O292</f>
        <v>0</v>
      </c>
      <c r="F291" s="1313" t="str">
        <f>IF(LEN('Verification Report'!W292)=0,"",'Verification Report'!W292)</f>
        <v/>
      </c>
      <c r="G291" s="1260" t="s">
        <v>247</v>
      </c>
    </row>
    <row r="292" spans="1:7" ht="15.75" hidden="1" customHeight="1" thickTop="1" x14ac:dyDescent="0.25">
      <c r="A292" s="114" t="s">
        <v>493</v>
      </c>
      <c r="B292" s="107"/>
      <c r="C292" s="107"/>
      <c r="D292" s="1781" t="s">
        <v>4149</v>
      </c>
      <c r="E292" s="1048"/>
      <c r="F292" s="94"/>
      <c r="G292" s="1260" t="s">
        <v>247</v>
      </c>
    </row>
    <row r="293" spans="1:7" ht="16.5" hidden="1" thickTop="1" thickBot="1" x14ac:dyDescent="0.3">
      <c r="A293" s="90"/>
      <c r="B293" s="90"/>
      <c r="C293" s="90"/>
      <c r="D293" s="1796"/>
      <c r="E293" s="1295">
        <f ca="1">'Verification Report'!O294</f>
        <v>0</v>
      </c>
      <c r="F293" s="1313" t="str">
        <f>IF(LEN('Verification Report'!W294)=0,"",'Verification Report'!W294)</f>
        <v/>
      </c>
      <c r="G293" s="1260" t="s">
        <v>247</v>
      </c>
    </row>
    <row r="294" spans="1:7" ht="16.5" hidden="1" thickTop="1" thickBot="1" x14ac:dyDescent="0.3">
      <c r="A294" s="90"/>
      <c r="B294" s="90"/>
      <c r="C294" s="90"/>
      <c r="D294" s="1796"/>
      <c r="E294" s="1295"/>
      <c r="F294" s="94"/>
      <c r="G294" s="1260" t="s">
        <v>247</v>
      </c>
    </row>
    <row r="295" spans="1:7" ht="16.5" hidden="1" thickTop="1" thickBot="1" x14ac:dyDescent="0.3">
      <c r="A295" s="90"/>
      <c r="B295" s="90"/>
      <c r="C295" s="90"/>
      <c r="D295" s="1796"/>
      <c r="E295" s="1296"/>
      <c r="F295" s="94"/>
      <c r="G295" s="1260" t="s">
        <v>247</v>
      </c>
    </row>
    <row r="296" spans="1:7" ht="15" hidden="1" customHeight="1" x14ac:dyDescent="0.25">
      <c r="A296" s="90"/>
      <c r="B296" s="90"/>
      <c r="C296" s="90"/>
      <c r="D296" s="1779" t="s">
        <v>4150</v>
      </c>
      <c r="E296" s="1296"/>
      <c r="F296" s="94"/>
      <c r="G296" s="1260" t="s">
        <v>247</v>
      </c>
    </row>
    <row r="297" spans="1:7" ht="16.5" hidden="1" thickTop="1" thickBot="1" x14ac:dyDescent="0.3">
      <c r="A297" s="90"/>
      <c r="B297" s="90"/>
      <c r="C297" s="90"/>
      <c r="D297" s="1779"/>
      <c r="E297" s="1296"/>
      <c r="F297" s="94"/>
      <c r="G297" s="1260" t="s">
        <v>247</v>
      </c>
    </row>
    <row r="298" spans="1:7" ht="16.5" hidden="1" thickTop="1" thickBot="1" x14ac:dyDescent="0.3">
      <c r="A298" s="90"/>
      <c r="B298" s="90"/>
      <c r="C298" s="90"/>
      <c r="D298" s="1779"/>
      <c r="E298" s="1296"/>
      <c r="F298" s="94"/>
      <c r="G298" s="1260" t="s">
        <v>247</v>
      </c>
    </row>
    <row r="299" spans="1:7" ht="16.5" hidden="1" thickTop="1" thickBot="1" x14ac:dyDescent="0.3">
      <c r="A299" s="90"/>
      <c r="B299" s="90"/>
      <c r="C299" s="90"/>
      <c r="D299" s="1779"/>
      <c r="E299" s="1296"/>
      <c r="F299" s="94"/>
      <c r="G299" s="1260" t="s">
        <v>247</v>
      </c>
    </row>
    <row r="300" spans="1:7" ht="16.5" hidden="1" thickTop="1" thickBot="1" x14ac:dyDescent="0.3">
      <c r="A300" s="90"/>
      <c r="B300" s="90"/>
      <c r="C300" s="90"/>
      <c r="D300" s="1779"/>
      <c r="E300" s="1296"/>
      <c r="F300" s="94"/>
      <c r="G300" s="1260" t="s">
        <v>247</v>
      </c>
    </row>
    <row r="301" spans="1:7" ht="16.5" hidden="1" thickTop="1" thickBot="1" x14ac:dyDescent="0.3">
      <c r="A301" s="90"/>
      <c r="B301" s="90"/>
      <c r="C301" s="90"/>
      <c r="D301" s="1779"/>
      <c r="E301" s="1296"/>
      <c r="F301" s="94"/>
      <c r="G301" s="1260" t="s">
        <v>247</v>
      </c>
    </row>
    <row r="302" spans="1:7" ht="16.5" hidden="1" thickTop="1" thickBot="1" x14ac:dyDescent="0.3">
      <c r="A302" s="90"/>
      <c r="B302" s="90"/>
      <c r="C302" s="90"/>
      <c r="D302" s="1779"/>
      <c r="E302" s="1296"/>
      <c r="F302" s="94"/>
      <c r="G302" s="1260" t="s">
        <v>247</v>
      </c>
    </row>
    <row r="303" spans="1:7" ht="16.5" hidden="1" thickTop="1" thickBot="1" x14ac:dyDescent="0.3">
      <c r="A303" s="103"/>
      <c r="B303" s="103"/>
      <c r="C303" s="103"/>
      <c r="D303" s="1783"/>
      <c r="E303" s="1294"/>
      <c r="F303" s="94"/>
      <c r="G303" s="1260" t="s">
        <v>247</v>
      </c>
    </row>
    <row r="304" spans="1:7" ht="15.75" hidden="1" customHeight="1" thickTop="1" x14ac:dyDescent="0.25">
      <c r="A304" s="181" t="s">
        <v>4152</v>
      </c>
      <c r="B304" s="181"/>
      <c r="C304" s="105"/>
      <c r="D304" s="1801" t="s">
        <v>4156</v>
      </c>
      <c r="E304" s="1298">
        <f ca="1">'Verification Report'!O305</f>
        <v>0</v>
      </c>
      <c r="F304" s="1313" t="str">
        <f>IF(LEN('Verification Report'!W305)=0,"",'Verification Report'!W305)</f>
        <v/>
      </c>
      <c r="G304" s="1260" t="s">
        <v>247</v>
      </c>
    </row>
    <row r="305" spans="1:7" ht="16.5" hidden="1" thickTop="1" thickBot="1" x14ac:dyDescent="0.3">
      <c r="A305" s="4"/>
      <c r="B305" s="4"/>
      <c r="D305" s="1785"/>
      <c r="E305" s="1296"/>
      <c r="F305" s="94"/>
      <c r="G305" s="1260" t="s">
        <v>247</v>
      </c>
    </row>
    <row r="306" spans="1:7" ht="16.5" hidden="1" thickTop="1" thickBot="1" x14ac:dyDescent="0.3">
      <c r="A306" s="4"/>
      <c r="B306" s="4"/>
      <c r="D306" s="1785"/>
      <c r="E306" s="1296"/>
      <c r="F306" s="94"/>
      <c r="G306" s="1260" t="s">
        <v>247</v>
      </c>
    </row>
    <row r="307" spans="1:7" ht="16.5" hidden="1" thickTop="1" thickBot="1" x14ac:dyDescent="0.3">
      <c r="A307" s="240"/>
      <c r="B307" s="240"/>
      <c r="C307" s="99"/>
      <c r="D307" s="1803"/>
      <c r="E307" s="1294"/>
      <c r="F307" s="94"/>
      <c r="G307" s="1260" t="s">
        <v>247</v>
      </c>
    </row>
    <row r="308" spans="1:7" ht="16.5" hidden="1" thickTop="1" thickBot="1" x14ac:dyDescent="0.3">
      <c r="A308" s="240" t="s">
        <v>4153</v>
      </c>
      <c r="B308" s="240"/>
      <c r="C308" s="99"/>
      <c r="D308" s="1549" t="s">
        <v>4157</v>
      </c>
      <c r="E308" s="1050">
        <f>'Verification Report'!O309</f>
        <v>0</v>
      </c>
      <c r="F308" s="1313" t="str">
        <f>IF(LEN('Verification Report'!W309)=0,"",'Verification Report'!W309)</f>
        <v/>
      </c>
      <c r="G308" s="1260" t="s">
        <v>247</v>
      </c>
    </row>
    <row r="309" spans="1:7" ht="15.75" hidden="1" customHeight="1" thickTop="1" x14ac:dyDescent="0.25">
      <c r="A309" s="4" t="s">
        <v>4154</v>
      </c>
      <c r="B309" s="4"/>
      <c r="D309" s="1785" t="s">
        <v>4158</v>
      </c>
      <c r="E309" s="1295"/>
      <c r="F309" s="94"/>
      <c r="G309" s="1260" t="s">
        <v>247</v>
      </c>
    </row>
    <row r="310" spans="1:7" ht="16.5" hidden="1" thickTop="1" thickBot="1" x14ac:dyDescent="0.3">
      <c r="A310" s="4"/>
      <c r="B310" s="4"/>
      <c r="D310" s="1785"/>
      <c r="E310" s="1295"/>
      <c r="F310" s="94"/>
      <c r="G310" s="1260" t="s">
        <v>247</v>
      </c>
    </row>
    <row r="311" spans="1:7" ht="15" hidden="1" customHeight="1" x14ac:dyDescent="0.25">
      <c r="A311" s="4"/>
      <c r="B311" s="4" t="s">
        <v>121</v>
      </c>
      <c r="D311" s="1787" t="s">
        <v>4159</v>
      </c>
      <c r="E311" s="1295">
        <f ca="1">'Verification Report'!O312</f>
        <v>0</v>
      </c>
      <c r="F311" s="1313" t="str">
        <f>IF(LEN('Verification Report'!W312)=0,"",'Verification Report'!W312)</f>
        <v/>
      </c>
      <c r="G311" s="1260" t="s">
        <v>247</v>
      </c>
    </row>
    <row r="312" spans="1:7" ht="16.5" hidden="1" thickTop="1" thickBot="1" x14ac:dyDescent="0.3">
      <c r="A312" s="4"/>
      <c r="B312" s="4"/>
      <c r="D312" s="1787"/>
      <c r="E312" s="1295"/>
      <c r="F312" s="94"/>
      <c r="G312" s="1260" t="s">
        <v>247</v>
      </c>
    </row>
    <row r="313" spans="1:7" ht="16.5" hidden="1" thickTop="1" thickBot="1" x14ac:dyDescent="0.3">
      <c r="A313" s="4"/>
      <c r="B313" s="210"/>
      <c r="C313" s="178"/>
      <c r="D313" s="1786"/>
      <c r="E313" s="1297"/>
      <c r="F313" s="94"/>
      <c r="G313" s="1260" t="s">
        <v>247</v>
      </c>
    </row>
    <row r="314" spans="1:7" ht="16.5" hidden="1" thickTop="1" thickBot="1" x14ac:dyDescent="0.3">
      <c r="A314" s="4"/>
      <c r="B314" s="243" t="s">
        <v>122</v>
      </c>
      <c r="C314" s="211"/>
      <c r="D314" s="858" t="s">
        <v>4160</v>
      </c>
      <c r="E314" s="1306">
        <f ca="1">'Verification Report'!O315</f>
        <v>0</v>
      </c>
      <c r="F314" s="1313" t="str">
        <f>IF(LEN('Verification Report'!W315)=0,"",'Verification Report'!W315)</f>
        <v/>
      </c>
      <c r="G314" s="1260" t="s">
        <v>247</v>
      </c>
    </row>
    <row r="315" spans="1:7" ht="15" hidden="1" customHeight="1" x14ac:dyDescent="0.25">
      <c r="A315" s="4"/>
      <c r="B315" s="4" t="s">
        <v>123</v>
      </c>
      <c r="D315" s="1787" t="s">
        <v>4161</v>
      </c>
      <c r="E315" s="1295">
        <f ca="1">'Verification Report'!O316</f>
        <v>0</v>
      </c>
      <c r="F315" s="1313" t="str">
        <f>IF(LEN('Verification Report'!W316)=0,"",'Verification Report'!W316)</f>
        <v/>
      </c>
      <c r="G315" s="1260" t="s">
        <v>247</v>
      </c>
    </row>
    <row r="316" spans="1:7" ht="16.5" hidden="1" thickTop="1" thickBot="1" x14ac:dyDescent="0.3">
      <c r="A316" s="240"/>
      <c r="B316" s="240"/>
      <c r="C316" s="99"/>
      <c r="D316" s="1766"/>
      <c r="E316" s="1294"/>
      <c r="F316" s="94"/>
      <c r="G316" s="1260" t="s">
        <v>247</v>
      </c>
    </row>
    <row r="317" spans="1:7" ht="15.75" hidden="1" customHeight="1" thickTop="1" x14ac:dyDescent="0.25">
      <c r="A317" s="4" t="s">
        <v>4155</v>
      </c>
      <c r="B317" s="4"/>
      <c r="D317" s="1785" t="s">
        <v>4165</v>
      </c>
      <c r="E317" s="1295"/>
      <c r="F317" s="94"/>
      <c r="G317" s="1260" t="s">
        <v>247</v>
      </c>
    </row>
    <row r="318" spans="1:7" ht="16.5" hidden="1" thickTop="1" thickBot="1" x14ac:dyDescent="0.3">
      <c r="A318" s="4"/>
      <c r="B318" s="4"/>
      <c r="D318" s="1785"/>
      <c r="E318" s="1295"/>
      <c r="F318" s="94"/>
      <c r="G318" s="1260" t="s">
        <v>247</v>
      </c>
    </row>
    <row r="319" spans="1:7" ht="16.5" hidden="1" thickTop="1" thickBot="1" x14ac:dyDescent="0.3">
      <c r="A319" s="4"/>
      <c r="B319" s="4"/>
      <c r="D319" s="1785"/>
      <c r="E319" s="1295"/>
      <c r="F319" s="94"/>
      <c r="G319" s="1260" t="s">
        <v>247</v>
      </c>
    </row>
    <row r="320" spans="1:7" ht="15" hidden="1" customHeight="1" x14ac:dyDescent="0.25">
      <c r="A320" s="4"/>
      <c r="B320" s="4" t="s">
        <v>121</v>
      </c>
      <c r="D320" s="1787" t="s">
        <v>4162</v>
      </c>
      <c r="E320" s="1295">
        <f ca="1">'Verification Report'!O321</f>
        <v>0</v>
      </c>
      <c r="F320" s="1313" t="str">
        <f>IF(LEN('Verification Report'!W321)=0,"",'Verification Report'!W321)</f>
        <v/>
      </c>
      <c r="G320" s="1260" t="s">
        <v>247</v>
      </c>
    </row>
    <row r="321" spans="1:9" ht="16.5" hidden="1" thickTop="1" thickBot="1" x14ac:dyDescent="0.3">
      <c r="A321" s="4"/>
      <c r="B321" s="210"/>
      <c r="C321" s="178"/>
      <c r="D321" s="1786"/>
      <c r="E321" s="1297"/>
      <c r="F321" s="94"/>
      <c r="G321" s="1260" t="s">
        <v>247</v>
      </c>
    </row>
    <row r="322" spans="1:9" ht="15" hidden="1" customHeight="1" x14ac:dyDescent="0.25">
      <c r="A322" s="4"/>
      <c r="B322" s="193" t="s">
        <v>122</v>
      </c>
      <c r="C322" s="195"/>
      <c r="D322" s="1769" t="s">
        <v>4163</v>
      </c>
      <c r="E322" s="1293">
        <f ca="1">'Verification Report'!O323</f>
        <v>0</v>
      </c>
      <c r="F322" s="1313" t="str">
        <f>IF(LEN('Verification Report'!W323)=0,"",'Verification Report'!W323)</f>
        <v/>
      </c>
      <c r="G322" s="1260" t="s">
        <v>247</v>
      </c>
    </row>
    <row r="323" spans="1:9" ht="16.5" hidden="1" thickTop="1" thickBot="1" x14ac:dyDescent="0.3">
      <c r="A323" s="4"/>
      <c r="B323" s="210"/>
      <c r="C323" s="178"/>
      <c r="D323" s="1786"/>
      <c r="E323" s="1297"/>
      <c r="F323" s="94"/>
      <c r="G323" s="1260" t="s">
        <v>247</v>
      </c>
    </row>
    <row r="324" spans="1:9" ht="15" hidden="1" customHeight="1" x14ac:dyDescent="0.25">
      <c r="A324" s="129"/>
      <c r="B324" s="129" t="s">
        <v>123</v>
      </c>
      <c r="C324" s="94"/>
      <c r="D324" s="1765" t="s">
        <v>4164</v>
      </c>
      <c r="E324" s="1296">
        <f ca="1">'Verification Report'!O325</f>
        <v>0</v>
      </c>
      <c r="F324" s="1313" t="str">
        <f>IF(LEN('Verification Report'!W325)=0,"",'Verification Report'!W325)</f>
        <v/>
      </c>
      <c r="G324" s="1260" t="s">
        <v>247</v>
      </c>
    </row>
    <row r="325" spans="1:9" ht="16.5" hidden="1" thickTop="1" thickBot="1" x14ac:dyDescent="0.3">
      <c r="A325" s="210"/>
      <c r="B325" s="210"/>
      <c r="C325" s="178"/>
      <c r="D325" s="1786"/>
      <c r="E325" s="1296"/>
      <c r="F325" s="94"/>
      <c r="G325" s="1260" t="s">
        <v>247</v>
      </c>
    </row>
    <row r="326" spans="1:9" ht="20.25" hidden="1" thickTop="1" thickBot="1" x14ac:dyDescent="0.35">
      <c r="A326" s="22" t="s">
        <v>498</v>
      </c>
      <c r="B326" s="22"/>
      <c r="C326" s="22"/>
      <c r="D326" s="1208"/>
      <c r="E326" s="1051"/>
      <c r="F326" s="94"/>
      <c r="G326" s="1260" t="s">
        <v>247</v>
      </c>
    </row>
    <row r="327" spans="1:9" ht="15" hidden="1" customHeight="1" x14ac:dyDescent="0.25">
      <c r="A327" s="78" t="s">
        <v>499</v>
      </c>
      <c r="B327" s="27"/>
      <c r="C327" s="87"/>
      <c r="D327" s="1796" t="s">
        <v>500</v>
      </c>
      <c r="E327" s="1295"/>
      <c r="F327" s="94"/>
      <c r="G327" s="1260" t="s">
        <v>247</v>
      </c>
    </row>
    <row r="328" spans="1:9" ht="16.5" hidden="1" thickTop="1" thickBot="1" x14ac:dyDescent="0.3">
      <c r="A328" s="64"/>
      <c r="B328" s="4"/>
      <c r="C328" s="1128"/>
      <c r="D328" s="1796"/>
      <c r="E328" s="1295"/>
      <c r="F328" s="94"/>
      <c r="G328" s="1260" t="s">
        <v>247</v>
      </c>
    </row>
    <row r="329" spans="1:9" ht="16.5" hidden="1" thickTop="1" thickBot="1" x14ac:dyDescent="0.3">
      <c r="A329" s="64"/>
      <c r="B329" s="4"/>
      <c r="C329" s="1128"/>
      <c r="D329" s="1796"/>
      <c r="E329" s="1295"/>
      <c r="F329" s="94"/>
      <c r="G329" s="1260" t="s">
        <v>247</v>
      </c>
    </row>
    <row r="330" spans="1:9" ht="15.75" customHeight="1" thickTop="1" x14ac:dyDescent="0.25">
      <c r="A330" s="180">
        <v>601.1</v>
      </c>
      <c r="B330" s="181"/>
      <c r="C330" s="182"/>
      <c r="D330" s="1781" t="s">
        <v>4166</v>
      </c>
      <c r="E330" s="1298">
        <f>'Verification Report'!O331</f>
        <v>0</v>
      </c>
      <c r="F330" s="94"/>
      <c r="G330" s="585" t="str">
        <f>IF(E330&gt;0,"P","")</f>
        <v/>
      </c>
      <c r="H330" s="2142" t="s">
        <v>5084</v>
      </c>
      <c r="I330" s="1527"/>
    </row>
    <row r="331" spans="1:9" x14ac:dyDescent="0.25">
      <c r="A331" s="130"/>
      <c r="B331" s="129"/>
      <c r="C331" s="1139"/>
      <c r="D331" s="1796"/>
      <c r="E331" s="1296"/>
      <c r="F331" s="94"/>
      <c r="G331" s="585" t="str">
        <f>G330</f>
        <v/>
      </c>
      <c r="H331" s="1953"/>
    </row>
    <row r="332" spans="1:9" x14ac:dyDescent="0.25">
      <c r="A332" s="130"/>
      <c r="B332" s="129"/>
      <c r="C332" s="1139"/>
      <c r="D332" s="1796"/>
      <c r="E332" s="1296"/>
      <c r="F332" s="94"/>
      <c r="G332" s="585" t="str">
        <f>G331</f>
        <v/>
      </c>
    </row>
    <row r="333" spans="1:9" x14ac:dyDescent="0.25">
      <c r="A333" s="130"/>
      <c r="B333" s="129"/>
      <c r="C333" s="1139"/>
      <c r="D333" s="1796"/>
      <c r="E333" s="1296"/>
      <c r="F333" s="94"/>
      <c r="G333" s="585" t="str">
        <f>G332</f>
        <v/>
      </c>
    </row>
    <row r="334" spans="1:9" x14ac:dyDescent="0.25">
      <c r="A334" s="130"/>
      <c r="B334" s="129"/>
      <c r="C334" s="1139"/>
      <c r="D334" s="1796"/>
      <c r="E334" s="1296"/>
      <c r="F334" s="94"/>
      <c r="G334" s="585" t="str">
        <f>G333</f>
        <v/>
      </c>
    </row>
    <row r="335" spans="1:9" ht="15.75" thickBot="1" x14ac:dyDescent="0.3">
      <c r="A335" s="130"/>
      <c r="B335" s="129"/>
      <c r="C335" s="1139"/>
      <c r="D335" s="1796"/>
      <c r="E335" s="1296"/>
      <c r="F335" s="94"/>
      <c r="G335" s="585" t="str">
        <f>G334</f>
        <v/>
      </c>
    </row>
    <row r="336" spans="1:9" ht="15.75" hidden="1" thickBot="1" x14ac:dyDescent="0.3">
      <c r="A336" s="130"/>
      <c r="B336" s="206" t="s">
        <v>256</v>
      </c>
      <c r="C336" s="175"/>
      <c r="D336" s="1534" t="s">
        <v>501</v>
      </c>
      <c r="E336" s="1296"/>
      <c r="F336" s="94"/>
      <c r="G336" s="1260" t="s">
        <v>247</v>
      </c>
    </row>
    <row r="337" spans="1:7" ht="15.75" hidden="1" thickBot="1" x14ac:dyDescent="0.3">
      <c r="A337" s="130"/>
      <c r="B337" s="207" t="s">
        <v>258</v>
      </c>
      <c r="C337" s="208"/>
      <c r="D337" s="279" t="s">
        <v>502</v>
      </c>
      <c r="E337" s="1296"/>
      <c r="F337" s="94"/>
      <c r="G337" s="1260" t="s">
        <v>247</v>
      </c>
    </row>
    <row r="338" spans="1:7" ht="15.75" hidden="1" thickBot="1" x14ac:dyDescent="0.3">
      <c r="A338" s="130"/>
      <c r="B338" s="207" t="s">
        <v>260</v>
      </c>
      <c r="C338" s="208"/>
      <c r="D338" s="279" t="s">
        <v>503</v>
      </c>
      <c r="E338" s="1296"/>
      <c r="F338" s="94"/>
      <c r="G338" s="1260" t="s">
        <v>247</v>
      </c>
    </row>
    <row r="339" spans="1:7" ht="15.75" hidden="1" thickBot="1" x14ac:dyDescent="0.3">
      <c r="A339" s="130"/>
      <c r="B339" s="207" t="s">
        <v>269</v>
      </c>
      <c r="C339" s="208"/>
      <c r="D339" s="279" t="s">
        <v>504</v>
      </c>
      <c r="E339" s="1296"/>
      <c r="F339" s="94"/>
      <c r="G339" s="1260" t="s">
        <v>247</v>
      </c>
    </row>
    <row r="340" spans="1:7" ht="15.75" hidden="1" thickBot="1" x14ac:dyDescent="0.3">
      <c r="A340" s="130"/>
      <c r="B340" s="207" t="s">
        <v>275</v>
      </c>
      <c r="C340" s="208"/>
      <c r="D340" s="279" t="s">
        <v>505</v>
      </c>
      <c r="E340" s="1296"/>
      <c r="F340" s="94"/>
      <c r="G340" s="1260" t="s">
        <v>247</v>
      </c>
    </row>
    <row r="341" spans="1:7" ht="15.75" hidden="1" thickBot="1" x14ac:dyDescent="0.3">
      <c r="A341" s="130"/>
      <c r="B341" s="183" t="s">
        <v>277</v>
      </c>
      <c r="C341" s="1139"/>
      <c r="D341" s="1533" t="s">
        <v>506</v>
      </c>
      <c r="E341" s="1296"/>
      <c r="F341" s="94"/>
      <c r="G341" s="1260" t="s">
        <v>247</v>
      </c>
    </row>
    <row r="342" spans="1:7" ht="15" hidden="1" customHeight="1" x14ac:dyDescent="0.25">
      <c r="A342" s="130"/>
      <c r="B342" s="129"/>
      <c r="C342" s="1139"/>
      <c r="D342" s="1782" t="s">
        <v>507</v>
      </c>
      <c r="E342" s="1296"/>
      <c r="F342" s="94"/>
      <c r="G342" s="1260" t="s">
        <v>247</v>
      </c>
    </row>
    <row r="343" spans="1:7" ht="15.75" hidden="1" thickBot="1" x14ac:dyDescent="0.3">
      <c r="A343" s="130"/>
      <c r="B343" s="129"/>
      <c r="C343" s="1139"/>
      <c r="D343" s="1782"/>
      <c r="E343" s="1296"/>
      <c r="F343" s="94"/>
      <c r="G343" s="1260" t="s">
        <v>247</v>
      </c>
    </row>
    <row r="344" spans="1:7" ht="15" hidden="1" customHeight="1" x14ac:dyDescent="0.25">
      <c r="A344" s="130"/>
      <c r="B344" s="129"/>
      <c r="D344" s="1804" t="s">
        <v>3833</v>
      </c>
      <c r="E344" s="1296"/>
      <c r="F344" s="94"/>
      <c r="G344" s="1260" t="s">
        <v>247</v>
      </c>
    </row>
    <row r="345" spans="1:7" ht="15.75" hidden="1" thickBot="1" x14ac:dyDescent="0.3">
      <c r="A345" s="130"/>
      <c r="B345" s="129"/>
      <c r="C345" s="566"/>
      <c r="D345" s="1804"/>
      <c r="E345" s="1296"/>
      <c r="F345" s="94"/>
      <c r="G345" s="1260" t="s">
        <v>247</v>
      </c>
    </row>
    <row r="346" spans="1:7" ht="15.75" hidden="1" customHeight="1" thickTop="1" x14ac:dyDescent="0.25">
      <c r="A346" s="180">
        <v>601.20000000000005</v>
      </c>
      <c r="B346" s="181"/>
      <c r="C346" s="182"/>
      <c r="D346" s="1781" t="s">
        <v>508</v>
      </c>
      <c r="E346" s="1298"/>
      <c r="F346" s="94"/>
      <c r="G346" s="1260" t="s">
        <v>247</v>
      </c>
    </row>
    <row r="347" spans="1:7" ht="15.75" hidden="1" thickBot="1" x14ac:dyDescent="0.3">
      <c r="A347" s="130"/>
      <c r="B347" s="129"/>
      <c r="C347" s="1139"/>
      <c r="D347" s="1782"/>
      <c r="E347" s="1296"/>
      <c r="F347" s="94"/>
      <c r="G347" s="1260" t="s">
        <v>247</v>
      </c>
    </row>
    <row r="348" spans="1:7" ht="15" hidden="1" customHeight="1" x14ac:dyDescent="0.25">
      <c r="A348" s="64"/>
      <c r="B348" s="183" t="s">
        <v>256</v>
      </c>
      <c r="C348" s="1139"/>
      <c r="D348" s="1754" t="s">
        <v>510</v>
      </c>
      <c r="E348" s="1296">
        <f>'Verification Report'!O349</f>
        <v>0</v>
      </c>
      <c r="F348" s="1313" t="str">
        <f>IF(LEN('Verification Report'!W349)=0,"",'Verification Report'!W349)</f>
        <v/>
      </c>
      <c r="G348" s="1260" t="s">
        <v>247</v>
      </c>
    </row>
    <row r="349" spans="1:7" ht="15.75" hidden="1" thickBot="1" x14ac:dyDescent="0.3">
      <c r="A349" s="64"/>
      <c r="B349" s="129"/>
      <c r="C349" s="1139"/>
      <c r="D349" s="1754"/>
      <c r="E349" s="1296"/>
      <c r="F349" s="94"/>
      <c r="G349" s="1260" t="s">
        <v>247</v>
      </c>
    </row>
    <row r="350" spans="1:7" ht="15.75" hidden="1" thickBot="1" x14ac:dyDescent="0.3">
      <c r="A350" s="64"/>
      <c r="B350" s="210"/>
      <c r="C350" s="175"/>
      <c r="D350" s="1755"/>
      <c r="E350" s="1297"/>
      <c r="F350" s="94"/>
      <c r="G350" s="1260" t="s">
        <v>247</v>
      </c>
    </row>
    <row r="351" spans="1:7" ht="15" hidden="1" customHeight="1" x14ac:dyDescent="0.25">
      <c r="A351" s="64"/>
      <c r="B351" s="183" t="s">
        <v>258</v>
      </c>
      <c r="C351" s="1139"/>
      <c r="D351" s="1754" t="s">
        <v>511</v>
      </c>
      <c r="E351" s="1296">
        <f>'Verification Report'!O352</f>
        <v>0</v>
      </c>
      <c r="F351" s="1313" t="str">
        <f>IF(LEN('Verification Report'!W352)=0,"",'Verification Report'!W352)</f>
        <v/>
      </c>
      <c r="G351" s="1260" t="s">
        <v>247</v>
      </c>
    </row>
    <row r="352" spans="1:7" ht="15.75" hidden="1" thickBot="1" x14ac:dyDescent="0.3">
      <c r="A352" s="64"/>
      <c r="B352" s="129"/>
      <c r="C352" s="1139"/>
      <c r="D352" s="1754"/>
      <c r="E352" s="1296"/>
      <c r="F352" s="94"/>
      <c r="G352" s="1260" t="s">
        <v>247</v>
      </c>
    </row>
    <row r="353" spans="1:7" ht="15.75" hidden="1" thickBot="1" x14ac:dyDescent="0.3">
      <c r="A353" s="64"/>
      <c r="B353" s="210"/>
      <c r="C353" s="175"/>
      <c r="D353" s="1755"/>
      <c r="E353" s="1297"/>
      <c r="F353" s="94"/>
      <c r="G353" s="1260" t="s">
        <v>247</v>
      </c>
    </row>
    <row r="354" spans="1:7" ht="15" hidden="1" customHeight="1" thickBot="1" x14ac:dyDescent="0.3">
      <c r="A354" s="64"/>
      <c r="B354" s="27" t="s">
        <v>260</v>
      </c>
      <c r="C354" s="1128"/>
      <c r="D354" s="1554" t="s">
        <v>512</v>
      </c>
      <c r="E354" s="1295">
        <f>'Verification Report'!O355</f>
        <v>0</v>
      </c>
      <c r="F354" s="1313" t="str">
        <f>IF(LEN('Verification Report'!W355)=0,"",'Verification Report'!W355)</f>
        <v/>
      </c>
      <c r="G354" s="1260" t="s">
        <v>247</v>
      </c>
    </row>
    <row r="355" spans="1:7" ht="15.75" hidden="1" customHeight="1" thickTop="1" x14ac:dyDescent="0.25">
      <c r="A355" s="180">
        <v>601.29999999999995</v>
      </c>
      <c r="B355" s="181"/>
      <c r="C355" s="182"/>
      <c r="D355" s="1781" t="s">
        <v>513</v>
      </c>
      <c r="E355" s="1298"/>
      <c r="F355" s="94"/>
      <c r="G355" s="1260" t="s">
        <v>247</v>
      </c>
    </row>
    <row r="356" spans="1:7" ht="15.75" hidden="1" thickBot="1" x14ac:dyDescent="0.3">
      <c r="A356" s="130"/>
      <c r="B356" s="129"/>
      <c r="C356" s="1139"/>
      <c r="D356" s="1782"/>
      <c r="E356" s="1296"/>
      <c r="F356" s="94"/>
      <c r="G356" s="1260" t="s">
        <v>247</v>
      </c>
    </row>
    <row r="357" spans="1:7" ht="15.75" hidden="1" thickBot="1" x14ac:dyDescent="0.3">
      <c r="A357" s="130"/>
      <c r="B357" s="129"/>
      <c r="C357" s="1139"/>
      <c r="D357" s="1782"/>
      <c r="E357" s="1296"/>
      <c r="F357" s="94"/>
      <c r="G357" s="1260" t="s">
        <v>247</v>
      </c>
    </row>
    <row r="358" spans="1:7" ht="15.75" hidden="1" thickBot="1" x14ac:dyDescent="0.3">
      <c r="A358" s="64"/>
      <c r="B358" s="206" t="s">
        <v>256</v>
      </c>
      <c r="C358" s="175"/>
      <c r="D358" s="1536" t="s">
        <v>514</v>
      </c>
      <c r="E358" s="1297">
        <f>'Verification Report'!O359</f>
        <v>0</v>
      </c>
      <c r="F358" s="1313" t="str">
        <f>IF(LEN('Verification Report'!W359)=0,"",'Verification Report'!W359)</f>
        <v/>
      </c>
      <c r="G358" s="1260" t="s">
        <v>247</v>
      </c>
    </row>
    <row r="359" spans="1:7" ht="15.75" hidden="1" thickBot="1" x14ac:dyDescent="0.3">
      <c r="A359" s="64"/>
      <c r="B359" s="207" t="s">
        <v>258</v>
      </c>
      <c r="C359" s="208"/>
      <c r="D359" s="280" t="s">
        <v>515</v>
      </c>
      <c r="E359" s="1306">
        <f>'Verification Report'!O360</f>
        <v>0</v>
      </c>
      <c r="F359" s="1313" t="str">
        <f>IF(LEN('Verification Report'!W360)=0,"",'Verification Report'!W360)</f>
        <v/>
      </c>
      <c r="G359" s="1260" t="s">
        <v>247</v>
      </c>
    </row>
    <row r="360" spans="1:7" ht="15.75" hidden="1" thickBot="1" x14ac:dyDescent="0.3">
      <c r="A360" s="64"/>
      <c r="B360" s="207" t="s">
        <v>260</v>
      </c>
      <c r="C360" s="208"/>
      <c r="D360" s="280" t="s">
        <v>516</v>
      </c>
      <c r="E360" s="1306">
        <f>'Verification Report'!O361</f>
        <v>0</v>
      </c>
      <c r="F360" s="1313" t="str">
        <f>IF(LEN('Verification Report'!W361)=0,"",'Verification Report'!W361)</f>
        <v/>
      </c>
      <c r="G360" s="1260" t="s">
        <v>247</v>
      </c>
    </row>
    <row r="361" spans="1:7" ht="15.75" hidden="1" thickBot="1" x14ac:dyDescent="0.3">
      <c r="A361" s="64"/>
      <c r="B361" s="207" t="s">
        <v>269</v>
      </c>
      <c r="C361" s="208"/>
      <c r="D361" s="280" t="s">
        <v>517</v>
      </c>
      <c r="E361" s="1306">
        <f>'Verification Report'!O362</f>
        <v>0</v>
      </c>
      <c r="F361" s="1313" t="str">
        <f>IF(LEN('Verification Report'!W362)=0,"",'Verification Report'!W362)</f>
        <v/>
      </c>
      <c r="G361" s="1260" t="s">
        <v>247</v>
      </c>
    </row>
    <row r="362" spans="1:7" ht="15.75" hidden="1" thickBot="1" x14ac:dyDescent="0.3">
      <c r="A362" s="64"/>
      <c r="B362" s="27" t="s">
        <v>275</v>
      </c>
      <c r="C362" s="1128"/>
      <c r="D362" s="1554" t="s">
        <v>518</v>
      </c>
      <c r="E362" s="1295">
        <f>'Verification Report'!O363</f>
        <v>0</v>
      </c>
      <c r="F362" s="1313" t="str">
        <f>IF(LEN('Verification Report'!W363)=0,"",'Verification Report'!W363)</f>
        <v/>
      </c>
      <c r="G362" s="1260" t="s">
        <v>247</v>
      </c>
    </row>
    <row r="363" spans="1:7" ht="15.75" hidden="1" customHeight="1" thickTop="1" x14ac:dyDescent="0.25">
      <c r="A363" s="180">
        <v>601.4</v>
      </c>
      <c r="B363" s="181"/>
      <c r="C363" s="182"/>
      <c r="D363" s="1781" t="s">
        <v>519</v>
      </c>
      <c r="E363" s="1298">
        <f>'Verification Report'!O364</f>
        <v>0</v>
      </c>
      <c r="F363" s="1313" t="str">
        <f>IF(LEN('Verification Report'!W364)=0,"",'Verification Report'!W364)</f>
        <v/>
      </c>
      <c r="G363" s="1260" t="s">
        <v>247</v>
      </c>
    </row>
    <row r="364" spans="1:7" ht="15.75" hidden="1" thickBot="1" x14ac:dyDescent="0.3">
      <c r="A364" s="130"/>
      <c r="B364" s="129"/>
      <c r="C364" s="1139"/>
      <c r="D364" s="1782"/>
      <c r="E364" s="1296"/>
      <c r="F364" s="94"/>
      <c r="G364" s="1260" t="s">
        <v>247</v>
      </c>
    </row>
    <row r="365" spans="1:7" ht="15.75" hidden="1" thickBot="1" x14ac:dyDescent="0.3">
      <c r="A365" s="130"/>
      <c r="B365" s="129"/>
      <c r="C365" s="1139"/>
      <c r="D365" s="1782"/>
      <c r="E365" s="1296"/>
      <c r="F365" s="94"/>
      <c r="G365" s="1260" t="s">
        <v>247</v>
      </c>
    </row>
    <row r="366" spans="1:7" ht="15.75" hidden="1" customHeight="1" thickTop="1" x14ac:dyDescent="0.25">
      <c r="A366" s="106">
        <v>601.5</v>
      </c>
      <c r="B366" s="181"/>
      <c r="C366" s="182"/>
      <c r="D366" s="1781" t="s">
        <v>520</v>
      </c>
      <c r="E366" s="1298"/>
      <c r="F366" s="94"/>
      <c r="G366" s="1260" t="s">
        <v>247</v>
      </c>
    </row>
    <row r="367" spans="1:7" ht="15.75" hidden="1" thickBot="1" x14ac:dyDescent="0.3">
      <c r="A367" s="130"/>
      <c r="B367" s="129"/>
      <c r="C367" s="1139"/>
      <c r="D367" s="1782"/>
      <c r="E367" s="1296"/>
      <c r="F367" s="94"/>
      <c r="G367" s="1260" t="s">
        <v>247</v>
      </c>
    </row>
    <row r="368" spans="1:7" ht="15.75" hidden="1" thickBot="1" x14ac:dyDescent="0.3">
      <c r="A368" s="130"/>
      <c r="B368" s="129"/>
      <c r="C368" s="1139"/>
      <c r="D368" s="1782"/>
      <c r="E368" s="1296"/>
      <c r="F368" s="94"/>
      <c r="G368" s="1260" t="s">
        <v>247</v>
      </c>
    </row>
    <row r="369" spans="1:9" ht="15.75" hidden="1" thickBot="1" x14ac:dyDescent="0.3">
      <c r="A369" s="64"/>
      <c r="B369" s="206" t="s">
        <v>256</v>
      </c>
      <c r="C369" s="175"/>
      <c r="D369" s="1536" t="s">
        <v>522</v>
      </c>
      <c r="E369" s="1297">
        <f>'Verification Report'!O370</f>
        <v>0</v>
      </c>
      <c r="F369" s="1313" t="str">
        <f>IF(LEN('Verification Report'!W370)=0,"",'Verification Report'!W370)</f>
        <v/>
      </c>
      <c r="G369" s="1260" t="s">
        <v>247</v>
      </c>
    </row>
    <row r="370" spans="1:9" ht="15.75" hidden="1" thickBot="1" x14ac:dyDescent="0.3">
      <c r="A370" s="64"/>
      <c r="B370" s="207" t="s">
        <v>258</v>
      </c>
      <c r="C370" s="208"/>
      <c r="D370" s="280" t="s">
        <v>523</v>
      </c>
      <c r="E370" s="1306">
        <f>'Verification Report'!O371</f>
        <v>0</v>
      </c>
      <c r="F370" s="1313" t="str">
        <f>IF(LEN('Verification Report'!W371)=0,"",'Verification Report'!W371)</f>
        <v/>
      </c>
      <c r="G370" s="1260" t="s">
        <v>247</v>
      </c>
    </row>
    <row r="371" spans="1:9" ht="15.75" hidden="1" thickBot="1" x14ac:dyDescent="0.3">
      <c r="A371" s="64"/>
      <c r="B371" s="207" t="s">
        <v>260</v>
      </c>
      <c r="C371" s="208"/>
      <c r="D371" s="280" t="s">
        <v>524</v>
      </c>
      <c r="E371" s="1306">
        <f>'Verification Report'!O372</f>
        <v>0</v>
      </c>
      <c r="F371" s="1313" t="str">
        <f>IF(LEN('Verification Report'!W372)=0,"",'Verification Report'!W372)</f>
        <v/>
      </c>
      <c r="G371" s="1260" t="s">
        <v>247</v>
      </c>
    </row>
    <row r="372" spans="1:9" ht="15.75" hidden="1" thickBot="1" x14ac:dyDescent="0.3">
      <c r="A372" s="64"/>
      <c r="B372" s="207" t="s">
        <v>269</v>
      </c>
      <c r="C372" s="208"/>
      <c r="D372" s="280" t="s">
        <v>525</v>
      </c>
      <c r="E372" s="1306">
        <f>'Verification Report'!O373</f>
        <v>0</v>
      </c>
      <c r="F372" s="1313" t="str">
        <f>IF(LEN('Verification Report'!W373)=0,"",'Verification Report'!W373)</f>
        <v/>
      </c>
      <c r="G372" s="1260" t="s">
        <v>247</v>
      </c>
    </row>
    <row r="373" spans="1:9" ht="15.75" hidden="1" thickBot="1" x14ac:dyDescent="0.3">
      <c r="A373" s="64"/>
      <c r="B373" s="27" t="s">
        <v>275</v>
      </c>
      <c r="C373" s="1128"/>
      <c r="D373" s="1554" t="s">
        <v>526</v>
      </c>
      <c r="E373" s="1295">
        <f>'Verification Report'!O374</f>
        <v>0</v>
      </c>
      <c r="F373" s="1313" t="str">
        <f>IF(LEN('Verification Report'!W374)=0,"",'Verification Report'!W374)</f>
        <v/>
      </c>
      <c r="G373" s="1260" t="s">
        <v>247</v>
      </c>
    </row>
    <row r="374" spans="1:9" ht="15.75" customHeight="1" thickTop="1" x14ac:dyDescent="0.25">
      <c r="A374" s="180">
        <v>601.6</v>
      </c>
      <c r="B374" s="181"/>
      <c r="C374" s="182"/>
      <c r="D374" s="1781" t="s">
        <v>527</v>
      </c>
      <c r="E374" s="1274">
        <f ca="1">'Verification Report'!O375</f>
        <v>0</v>
      </c>
      <c r="F374" s="94"/>
      <c r="G374" s="585" t="str">
        <f ca="1">IF(E374&gt;0,"P","")</f>
        <v/>
      </c>
      <c r="H374" s="1330" t="s">
        <v>5085</v>
      </c>
      <c r="I374" s="1527"/>
    </row>
    <row r="375" spans="1:9" x14ac:dyDescent="0.25">
      <c r="A375" s="130"/>
      <c r="B375" s="129"/>
      <c r="C375" s="1139"/>
      <c r="D375" s="1782"/>
      <c r="E375" s="1266"/>
      <c r="F375" s="94"/>
      <c r="G375" s="585" t="str">
        <f ca="1">G374</f>
        <v/>
      </c>
    </row>
    <row r="376" spans="1:9" ht="15.75" thickBot="1" x14ac:dyDescent="0.3">
      <c r="A376" s="130"/>
      <c r="B376" s="129"/>
      <c r="C376" s="1139"/>
      <c r="D376" s="1782"/>
      <c r="E376" s="1266"/>
      <c r="F376" s="94"/>
      <c r="G376" s="585" t="str">
        <f ca="1">G375</f>
        <v/>
      </c>
    </row>
    <row r="377" spans="1:9" ht="15.75" hidden="1" thickBot="1" x14ac:dyDescent="0.3">
      <c r="A377" s="130"/>
      <c r="B377" s="206" t="s">
        <v>256</v>
      </c>
      <c r="C377" s="175"/>
      <c r="D377" s="1536" t="s">
        <v>529</v>
      </c>
      <c r="E377" s="1266"/>
      <c r="F377" s="94"/>
      <c r="G377" s="1260" t="s">
        <v>247</v>
      </c>
    </row>
    <row r="378" spans="1:9" ht="15.75" hidden="1" thickBot="1" x14ac:dyDescent="0.3">
      <c r="A378" s="130"/>
      <c r="B378" s="183" t="s">
        <v>258</v>
      </c>
      <c r="C378" s="1139"/>
      <c r="D378" s="1546" t="s">
        <v>530</v>
      </c>
      <c r="E378" s="1296"/>
      <c r="F378" s="94"/>
      <c r="G378" s="1260" t="s">
        <v>247</v>
      </c>
    </row>
    <row r="379" spans="1:9" ht="15.75" hidden="1" customHeight="1" thickTop="1" x14ac:dyDescent="0.25">
      <c r="A379" s="180">
        <v>601.70000000000005</v>
      </c>
      <c r="B379" s="181"/>
      <c r="C379" s="182"/>
      <c r="D379" s="1781" t="s">
        <v>531</v>
      </c>
      <c r="E379" s="1298">
        <f ca="1">'Verification Report'!O380</f>
        <v>0</v>
      </c>
      <c r="F379" s="94"/>
      <c r="G379" s="1260" t="s">
        <v>247</v>
      </c>
    </row>
    <row r="380" spans="1:9" ht="15.75" hidden="1" thickBot="1" x14ac:dyDescent="0.3">
      <c r="A380" s="130"/>
      <c r="B380" s="129"/>
      <c r="C380" s="1139"/>
      <c r="D380" s="1782"/>
      <c r="E380" s="1296"/>
      <c r="F380" s="94"/>
      <c r="G380" s="1260" t="s">
        <v>247</v>
      </c>
    </row>
    <row r="381" spans="1:9" ht="15.75" hidden="1" thickBot="1" x14ac:dyDescent="0.3">
      <c r="A381" s="130"/>
      <c r="B381" s="129"/>
      <c r="C381" s="1139"/>
      <c r="D381" s="1560" t="s">
        <v>542</v>
      </c>
      <c r="E381" s="1296"/>
      <c r="F381" s="94"/>
      <c r="G381" s="1260" t="s">
        <v>247</v>
      </c>
    </row>
    <row r="382" spans="1:9" ht="15.75" hidden="1" thickBot="1" x14ac:dyDescent="0.3">
      <c r="A382" s="130"/>
      <c r="B382" s="129"/>
      <c r="C382" s="174" t="s">
        <v>121</v>
      </c>
      <c r="D382" s="1536" t="s">
        <v>533</v>
      </c>
      <c r="E382" s="1296"/>
      <c r="F382" s="1313" t="str">
        <f>IF(LEN('Verification Report'!W383)=0,"",'Verification Report'!W383)</f>
        <v/>
      </c>
      <c r="G382" s="1260" t="s">
        <v>247</v>
      </c>
    </row>
    <row r="383" spans="1:9" ht="15.75" hidden="1" thickBot="1" x14ac:dyDescent="0.3">
      <c r="A383" s="130"/>
      <c r="B383" s="129"/>
      <c r="C383" s="212" t="s">
        <v>122</v>
      </c>
      <c r="D383" s="280" t="s">
        <v>534</v>
      </c>
      <c r="E383" s="1296"/>
      <c r="F383" s="1313" t="str">
        <f>IF(LEN('Verification Report'!W384)=0,"",'Verification Report'!W384)</f>
        <v/>
      </c>
      <c r="G383" s="1260" t="s">
        <v>247</v>
      </c>
    </row>
    <row r="384" spans="1:9" ht="15" hidden="1" customHeight="1" x14ac:dyDescent="0.25">
      <c r="A384" s="130"/>
      <c r="B384" s="129"/>
      <c r="C384" s="213" t="s">
        <v>123</v>
      </c>
      <c r="D384" s="1853" t="s">
        <v>535</v>
      </c>
      <c r="E384" s="1296"/>
      <c r="F384" s="1313" t="str">
        <f>IF(LEN('Verification Report'!W385)=0,"",'Verification Report'!W385)</f>
        <v/>
      </c>
      <c r="G384" s="1260" t="s">
        <v>247</v>
      </c>
    </row>
    <row r="385" spans="1:7" ht="15.75" hidden="1" thickBot="1" x14ac:dyDescent="0.3">
      <c r="A385" s="130"/>
      <c r="B385" s="129"/>
      <c r="C385" s="1139"/>
      <c r="D385" s="1854"/>
      <c r="E385" s="1296"/>
      <c r="F385" s="94"/>
      <c r="G385" s="1260" t="s">
        <v>247</v>
      </c>
    </row>
    <row r="386" spans="1:7" ht="15.75" hidden="1" thickBot="1" x14ac:dyDescent="0.3">
      <c r="A386" s="130"/>
      <c r="B386" s="129"/>
      <c r="C386" s="1139"/>
      <c r="D386" s="281" t="s">
        <v>536</v>
      </c>
      <c r="E386" s="1296"/>
      <c r="F386" s="94"/>
      <c r="G386" s="1260" t="s">
        <v>247</v>
      </c>
    </row>
    <row r="387" spans="1:7" ht="15.75" hidden="1" thickBot="1" x14ac:dyDescent="0.3">
      <c r="A387" s="130"/>
      <c r="B387" s="129"/>
      <c r="C387" s="175"/>
      <c r="D387" s="1534" t="s">
        <v>537</v>
      </c>
      <c r="E387" s="1296"/>
      <c r="F387" s="94"/>
      <c r="G387" s="1260" t="s">
        <v>247</v>
      </c>
    </row>
    <row r="388" spans="1:7" ht="15" hidden="1" customHeight="1" x14ac:dyDescent="0.25">
      <c r="A388" s="130"/>
      <c r="B388" s="129"/>
      <c r="C388" s="214" t="s">
        <v>401</v>
      </c>
      <c r="D388" s="1778" t="s">
        <v>538</v>
      </c>
      <c r="E388" s="1296"/>
      <c r="F388" s="1313" t="str">
        <f>IF(LEN('Verification Report'!W389)=0,"",'Verification Report'!W389)</f>
        <v/>
      </c>
      <c r="G388" s="1260" t="s">
        <v>247</v>
      </c>
    </row>
    <row r="389" spans="1:7" ht="15.75" hidden="1" thickBot="1" x14ac:dyDescent="0.3">
      <c r="A389" s="130"/>
      <c r="B389" s="129"/>
      <c r="C389" s="175"/>
      <c r="D389" s="1755"/>
      <c r="E389" s="1296"/>
      <c r="F389" s="94"/>
      <c r="G389" s="1260" t="s">
        <v>247</v>
      </c>
    </row>
    <row r="390" spans="1:7" ht="15" hidden="1" customHeight="1" x14ac:dyDescent="0.25">
      <c r="A390" s="130"/>
      <c r="B390" s="129"/>
      <c r="C390" s="214" t="s">
        <v>539</v>
      </c>
      <c r="D390" s="1778" t="s">
        <v>540</v>
      </c>
      <c r="E390" s="1296"/>
      <c r="F390" s="1313" t="str">
        <f>IF(LEN('Verification Report'!W391)=0,"",'Verification Report'!W391)</f>
        <v/>
      </c>
      <c r="G390" s="1260" t="s">
        <v>247</v>
      </c>
    </row>
    <row r="391" spans="1:7" ht="15.75" hidden="1" thickBot="1" x14ac:dyDescent="0.3">
      <c r="A391" s="130"/>
      <c r="B391" s="129"/>
      <c r="C391" s="175"/>
      <c r="D391" s="1755"/>
      <c r="E391" s="1296"/>
      <c r="F391" s="94"/>
      <c r="G391" s="1260" t="s">
        <v>247</v>
      </c>
    </row>
    <row r="392" spans="1:7" ht="15.75" hidden="1" thickBot="1" x14ac:dyDescent="0.3">
      <c r="A392" s="130"/>
      <c r="B392" s="206" t="s">
        <v>256</v>
      </c>
      <c r="C392" s="1139"/>
      <c r="D392" s="1536" t="s">
        <v>541</v>
      </c>
      <c r="E392" s="1296"/>
      <c r="F392" s="94"/>
      <c r="G392" s="1260" t="s">
        <v>247</v>
      </c>
    </row>
    <row r="393" spans="1:7" ht="15" hidden="1" customHeight="1" x14ac:dyDescent="0.25">
      <c r="A393" s="130"/>
      <c r="B393" s="183" t="s">
        <v>258</v>
      </c>
      <c r="C393" s="195"/>
      <c r="D393" s="1760" t="s">
        <v>543</v>
      </c>
      <c r="E393" s="1296"/>
      <c r="F393" s="94"/>
      <c r="G393" s="1260" t="s">
        <v>247</v>
      </c>
    </row>
    <row r="394" spans="1:7" ht="15.75" hidden="1" thickBot="1" x14ac:dyDescent="0.3">
      <c r="A394" s="130"/>
      <c r="B394" s="178"/>
      <c r="C394" s="175"/>
      <c r="D394" s="1761"/>
      <c r="E394" s="1296"/>
      <c r="F394" s="94"/>
      <c r="G394" s="1260" t="s">
        <v>247</v>
      </c>
    </row>
    <row r="395" spans="1:7" ht="15" hidden="1" customHeight="1" x14ac:dyDescent="0.25">
      <c r="A395" s="130"/>
      <c r="B395" s="183" t="s">
        <v>260</v>
      </c>
      <c r="C395" s="1139"/>
      <c r="D395" s="1793" t="s">
        <v>544</v>
      </c>
      <c r="E395" s="1296"/>
      <c r="F395" s="94"/>
      <c r="G395" s="1260" t="s">
        <v>247</v>
      </c>
    </row>
    <row r="396" spans="1:7" ht="15.75" hidden="1" thickBot="1" x14ac:dyDescent="0.3">
      <c r="A396" s="130"/>
      <c r="B396" s="183"/>
      <c r="C396" s="1139"/>
      <c r="D396" s="1842"/>
      <c r="E396" s="1296"/>
      <c r="F396" s="94"/>
      <c r="G396" s="1260" t="s">
        <v>247</v>
      </c>
    </row>
    <row r="397" spans="1:7" ht="15.75" hidden="1" customHeight="1" thickTop="1" x14ac:dyDescent="0.25">
      <c r="A397" s="180">
        <v>601.79999999999995</v>
      </c>
      <c r="B397" s="181"/>
      <c r="C397" s="182"/>
      <c r="D397" s="1781" t="s">
        <v>545</v>
      </c>
      <c r="E397" s="1298">
        <f>'Verification Report'!O398</f>
        <v>0</v>
      </c>
      <c r="F397" s="1313" t="str">
        <f>IF(LEN('Verification Report'!W398)=0,"",'Verification Report'!W398)</f>
        <v/>
      </c>
      <c r="G397" s="1260" t="s">
        <v>247</v>
      </c>
    </row>
    <row r="398" spans="1:7" ht="15.75" hidden="1" thickBot="1" x14ac:dyDescent="0.3">
      <c r="A398" s="130"/>
      <c r="B398" s="129"/>
      <c r="C398" s="1139"/>
      <c r="D398" s="1782"/>
      <c r="E398" s="1296"/>
      <c r="F398" s="94"/>
      <c r="G398" s="1260" t="s">
        <v>247</v>
      </c>
    </row>
    <row r="399" spans="1:7" ht="15.75" hidden="1" thickBot="1" x14ac:dyDescent="0.3">
      <c r="A399" s="130"/>
      <c r="B399" s="129"/>
      <c r="C399" s="1139"/>
      <c r="D399" s="1782"/>
      <c r="E399" s="1296"/>
      <c r="F399" s="94"/>
      <c r="G399" s="1260" t="s">
        <v>247</v>
      </c>
    </row>
    <row r="400" spans="1:7" ht="15.75" hidden="1" thickBot="1" x14ac:dyDescent="0.3">
      <c r="A400" s="130"/>
      <c r="B400" s="129"/>
      <c r="C400" s="1139"/>
      <c r="D400" s="1782"/>
      <c r="E400" s="1296"/>
      <c r="F400" s="94"/>
      <c r="G400" s="1260" t="s">
        <v>247</v>
      </c>
    </row>
    <row r="401" spans="1:7" ht="15.75" hidden="1" thickBot="1" x14ac:dyDescent="0.3">
      <c r="A401" s="130"/>
      <c r="B401" s="129"/>
      <c r="C401" s="1139"/>
      <c r="D401" s="1782"/>
      <c r="E401" s="1296"/>
      <c r="F401" s="94"/>
      <c r="G401" s="1260" t="s">
        <v>247</v>
      </c>
    </row>
    <row r="402" spans="1:7" ht="15" hidden="1" customHeight="1" x14ac:dyDescent="0.25">
      <c r="A402" s="130"/>
      <c r="B402" s="129"/>
      <c r="C402" s="1139"/>
      <c r="D402" s="1855" t="s">
        <v>1103</v>
      </c>
      <c r="E402" s="1296"/>
      <c r="F402" s="94"/>
      <c r="G402" s="1260" t="s">
        <v>247</v>
      </c>
    </row>
    <row r="403" spans="1:7" ht="15.75" hidden="1" thickBot="1" x14ac:dyDescent="0.3">
      <c r="A403" s="130"/>
      <c r="B403" s="129"/>
      <c r="C403" s="1139"/>
      <c r="D403" s="1855"/>
      <c r="E403" s="1296"/>
      <c r="F403" s="94"/>
      <c r="G403" s="1260" t="s">
        <v>247</v>
      </c>
    </row>
    <row r="404" spans="1:7" ht="15.75" hidden="1" thickBot="1" x14ac:dyDescent="0.3">
      <c r="A404" s="130"/>
      <c r="B404" s="129"/>
      <c r="C404" s="1139"/>
      <c r="D404" s="1849"/>
      <c r="E404" s="1296"/>
      <c r="F404" s="94"/>
      <c r="G404" s="1260" t="s">
        <v>247</v>
      </c>
    </row>
    <row r="405" spans="1:7" ht="19.5" hidden="1" thickBot="1" x14ac:dyDescent="0.3">
      <c r="A405" s="69" t="s">
        <v>546</v>
      </c>
      <c r="B405" s="69"/>
      <c r="C405" s="69"/>
      <c r="D405" s="229"/>
      <c r="E405" s="1043"/>
      <c r="F405" s="94"/>
      <c r="G405" s="1260" t="s">
        <v>247</v>
      </c>
    </row>
    <row r="406" spans="1:7" ht="15" hidden="1" customHeight="1" x14ac:dyDescent="0.25">
      <c r="A406" s="78" t="s">
        <v>3141</v>
      </c>
      <c r="B406" s="4"/>
      <c r="C406" s="1128"/>
      <c r="D406" s="1796" t="s">
        <v>547</v>
      </c>
      <c r="E406" s="1295"/>
      <c r="F406" s="94"/>
      <c r="G406" s="1260" t="s">
        <v>247</v>
      </c>
    </row>
    <row r="407" spans="1:7" ht="15.75" hidden="1" thickBot="1" x14ac:dyDescent="0.3">
      <c r="A407" s="64"/>
      <c r="B407" s="4"/>
      <c r="C407" s="1128"/>
      <c r="D407" s="1796"/>
      <c r="E407" s="1295"/>
      <c r="F407" s="94"/>
      <c r="G407" s="1260" t="s">
        <v>247</v>
      </c>
    </row>
    <row r="408" spans="1:7" ht="16.5" hidden="1" thickTop="1" thickBot="1" x14ac:dyDescent="0.3">
      <c r="A408" s="180">
        <v>602.1</v>
      </c>
      <c r="B408" s="181"/>
      <c r="C408" s="182"/>
      <c r="D408" s="1569" t="s">
        <v>548</v>
      </c>
      <c r="E408" s="1298"/>
      <c r="F408" s="94"/>
      <c r="G408" s="1260" t="s">
        <v>247</v>
      </c>
    </row>
    <row r="409" spans="1:7" ht="16.5" hidden="1" thickTop="1" thickBot="1" x14ac:dyDescent="0.3">
      <c r="A409" s="180" t="s">
        <v>549</v>
      </c>
      <c r="B409" s="181"/>
      <c r="C409" s="182"/>
      <c r="D409" s="1569" t="s">
        <v>550</v>
      </c>
      <c r="E409" s="1298"/>
      <c r="F409" s="94"/>
      <c r="G409" s="1260" t="s">
        <v>247</v>
      </c>
    </row>
    <row r="410" spans="1:7" ht="15" hidden="1" customHeight="1" x14ac:dyDescent="0.25">
      <c r="A410" s="130" t="s">
        <v>551</v>
      </c>
      <c r="B410" s="129"/>
      <c r="C410" s="1139"/>
      <c r="D410" s="1782" t="s">
        <v>4853</v>
      </c>
      <c r="E410" s="1295"/>
      <c r="F410" s="1313" t="str">
        <f>IF(LEN('Verification Report'!W411)=0,"",'Verification Report'!W411)</f>
        <v/>
      </c>
      <c r="G410" s="1260" t="s">
        <v>247</v>
      </c>
    </row>
    <row r="411" spans="1:7" ht="15.75" hidden="1" thickBot="1" x14ac:dyDescent="0.3">
      <c r="A411" s="130"/>
      <c r="B411" s="129"/>
      <c r="C411" s="1139"/>
      <c r="D411" s="1782"/>
      <c r="E411" s="1295"/>
      <c r="F411" s="94"/>
      <c r="G411" s="1260" t="s">
        <v>247</v>
      </c>
    </row>
    <row r="412" spans="1:7" ht="15.75" hidden="1" thickBot="1" x14ac:dyDescent="0.3">
      <c r="A412" s="215"/>
      <c r="B412" s="210"/>
      <c r="C412" s="175"/>
      <c r="D412" s="1843"/>
      <c r="E412" s="1295"/>
      <c r="F412" s="94"/>
      <c r="G412" s="1260" t="s">
        <v>247</v>
      </c>
    </row>
    <row r="413" spans="1:7" ht="15" hidden="1" customHeight="1" x14ac:dyDescent="0.25">
      <c r="A413" s="64" t="s">
        <v>552</v>
      </c>
      <c r="B413" s="4"/>
      <c r="C413" s="1128"/>
      <c r="D413" s="1796" t="s">
        <v>553</v>
      </c>
      <c r="E413" s="1295">
        <f>'Verification Report'!O414</f>
        <v>0</v>
      </c>
      <c r="F413" s="1313" t="str">
        <f>IF(LEN('Verification Report'!W414)=0,"",'Verification Report'!W414)</f>
        <v/>
      </c>
      <c r="G413" s="1260" t="s">
        <v>247</v>
      </c>
    </row>
    <row r="414" spans="1:7" ht="15.75" hidden="1" thickBot="1" x14ac:dyDescent="0.3">
      <c r="A414" s="64"/>
      <c r="B414" s="4"/>
      <c r="C414" s="1128"/>
      <c r="D414" s="1796"/>
      <c r="E414" s="1295"/>
      <c r="F414" s="94"/>
      <c r="G414" s="1260" t="s">
        <v>247</v>
      </c>
    </row>
    <row r="415" spans="1:7" ht="15.75" hidden="1" customHeight="1" thickTop="1" x14ac:dyDescent="0.25">
      <c r="A415" s="180" t="s">
        <v>3142</v>
      </c>
      <c r="B415" s="181"/>
      <c r="C415" s="182"/>
      <c r="D415" s="1781" t="s">
        <v>555</v>
      </c>
      <c r="E415" s="1298">
        <f>'Verification Report'!O416</f>
        <v>0</v>
      </c>
      <c r="F415" s="94"/>
      <c r="G415" s="1260" t="s">
        <v>247</v>
      </c>
    </row>
    <row r="416" spans="1:7" ht="15.75" hidden="1" thickBot="1" x14ac:dyDescent="0.3">
      <c r="A416" s="130"/>
      <c r="B416" s="129"/>
      <c r="C416" s="1139"/>
      <c r="D416" s="1782"/>
      <c r="E416" s="1296"/>
      <c r="F416" s="94"/>
      <c r="G416" s="1260" t="s">
        <v>247</v>
      </c>
    </row>
    <row r="417" spans="1:7" ht="15.75" hidden="1" thickBot="1" x14ac:dyDescent="0.3">
      <c r="A417" s="130"/>
      <c r="B417" s="206" t="s">
        <v>256</v>
      </c>
      <c r="C417" s="175"/>
      <c r="D417" s="1536" t="s">
        <v>556</v>
      </c>
      <c r="E417" s="1296"/>
      <c r="F417" s="1313" t="str">
        <f>IF(LEN('Verification Report'!W418)=0,"",'Verification Report'!W418)</f>
        <v/>
      </c>
      <c r="G417" s="1260" t="s">
        <v>247</v>
      </c>
    </row>
    <row r="418" spans="1:7" ht="15.75" hidden="1" thickBot="1" x14ac:dyDescent="0.3">
      <c r="A418" s="189"/>
      <c r="B418" s="190" t="s">
        <v>258</v>
      </c>
      <c r="C418" s="97"/>
      <c r="D418" s="1555" t="s">
        <v>557</v>
      </c>
      <c r="E418" s="1294"/>
      <c r="F418" s="1313" t="str">
        <f>IF(LEN('Verification Report'!W419)=0,"",'Verification Report'!W419)</f>
        <v/>
      </c>
      <c r="G418" s="1260" t="s">
        <v>247</v>
      </c>
    </row>
    <row r="419" spans="1:7" ht="16.5" hidden="1" thickTop="1" thickBot="1" x14ac:dyDescent="0.3">
      <c r="A419" s="180" t="s">
        <v>558</v>
      </c>
      <c r="B419" s="181"/>
      <c r="C419" s="182"/>
      <c r="D419" s="1569" t="s">
        <v>559</v>
      </c>
      <c r="E419" s="1298"/>
      <c r="F419" s="94"/>
      <c r="G419" s="1260" t="s">
        <v>247</v>
      </c>
    </row>
    <row r="420" spans="1:7" ht="15" hidden="1" customHeight="1" x14ac:dyDescent="0.25">
      <c r="A420" s="130" t="s">
        <v>560</v>
      </c>
      <c r="B420" s="129"/>
      <c r="C420" s="1139"/>
      <c r="D420" s="1782" t="s">
        <v>561</v>
      </c>
      <c r="E420" s="1295"/>
      <c r="F420" s="1313" t="str">
        <f>IF(LEN('Verification Report'!W421)=0,"",'Verification Report'!W421)</f>
        <v/>
      </c>
      <c r="G420" s="1260" t="s">
        <v>247</v>
      </c>
    </row>
    <row r="421" spans="1:7" ht="15.75" hidden="1" thickBot="1" x14ac:dyDescent="0.3">
      <c r="A421" s="215"/>
      <c r="B421" s="210"/>
      <c r="C421" s="175"/>
      <c r="D421" s="1843"/>
      <c r="E421" s="1295"/>
      <c r="F421" s="94"/>
      <c r="G421" s="1260" t="s">
        <v>247</v>
      </c>
    </row>
    <row r="422" spans="1:7" ht="15" hidden="1" customHeight="1" x14ac:dyDescent="0.25">
      <c r="A422" s="64" t="s">
        <v>562</v>
      </c>
      <c r="B422" s="4"/>
      <c r="C422" s="1128"/>
      <c r="D422" s="1796" t="s">
        <v>563</v>
      </c>
      <c r="E422" s="1295">
        <f>'Verification Report'!O423</f>
        <v>0</v>
      </c>
      <c r="F422" s="1313" t="str">
        <f>IF(LEN('Verification Report'!W423)=0,"",'Verification Report'!W423)</f>
        <v/>
      </c>
      <c r="G422" s="1260" t="s">
        <v>247</v>
      </c>
    </row>
    <row r="423" spans="1:7" ht="15.75" hidden="1" thickBot="1" x14ac:dyDescent="0.3">
      <c r="A423" s="64"/>
      <c r="B423" s="4"/>
      <c r="C423" s="1128"/>
      <c r="D423" s="1796"/>
      <c r="E423" s="1295"/>
      <c r="F423" s="94"/>
      <c r="G423" s="1260" t="s">
        <v>247</v>
      </c>
    </row>
    <row r="424" spans="1:7" ht="16.5" hidden="1" thickTop="1" thickBot="1" x14ac:dyDescent="0.3">
      <c r="A424" s="180" t="s">
        <v>564</v>
      </c>
      <c r="B424" s="181"/>
      <c r="C424" s="182"/>
      <c r="D424" s="1569" t="s">
        <v>565</v>
      </c>
      <c r="E424" s="1298"/>
      <c r="F424" s="94"/>
      <c r="G424" s="1260" t="s">
        <v>247</v>
      </c>
    </row>
    <row r="425" spans="1:7" ht="15" hidden="1" customHeight="1" x14ac:dyDescent="0.25">
      <c r="A425" s="64" t="s">
        <v>566</v>
      </c>
      <c r="B425" s="4"/>
      <c r="C425" s="1128"/>
      <c r="D425" s="1796" t="s">
        <v>567</v>
      </c>
      <c r="E425" s="1295"/>
      <c r="F425" s="94"/>
      <c r="G425" s="1260" t="s">
        <v>247</v>
      </c>
    </row>
    <row r="426" spans="1:7" ht="15.75" hidden="1" thickBot="1" x14ac:dyDescent="0.3">
      <c r="A426" s="64"/>
      <c r="B426" s="4"/>
      <c r="C426" s="1128"/>
      <c r="D426" s="1796"/>
      <c r="E426" s="1295"/>
      <c r="F426" s="94"/>
      <c r="G426" s="1260" t="s">
        <v>247</v>
      </c>
    </row>
    <row r="427" spans="1:7" ht="15.75" hidden="1" thickBot="1" x14ac:dyDescent="0.3">
      <c r="A427" s="64"/>
      <c r="B427" s="4"/>
      <c r="C427" s="1128"/>
      <c r="D427" s="1796"/>
      <c r="E427" s="1295"/>
      <c r="F427" s="94"/>
      <c r="G427" s="1260" t="s">
        <v>247</v>
      </c>
    </row>
    <row r="428" spans="1:7" ht="15" hidden="1" customHeight="1" x14ac:dyDescent="0.25">
      <c r="A428" s="64"/>
      <c r="B428" s="183" t="s">
        <v>256</v>
      </c>
      <c r="C428" s="1139"/>
      <c r="D428" s="1754" t="s">
        <v>568</v>
      </c>
      <c r="E428" s="1296">
        <f>'Verification Report'!O429</f>
        <v>0</v>
      </c>
      <c r="F428" s="1313" t="str">
        <f>IF(LEN('Verification Report'!W429)=0,"",'Verification Report'!W429)</f>
        <v/>
      </c>
      <c r="G428" s="1260" t="s">
        <v>247</v>
      </c>
    </row>
    <row r="429" spans="1:7" ht="15.75" hidden="1" thickBot="1" x14ac:dyDescent="0.3">
      <c r="A429" s="64"/>
      <c r="B429" s="210"/>
      <c r="C429" s="175"/>
      <c r="D429" s="1755"/>
      <c r="E429" s="1297"/>
      <c r="F429" s="94"/>
      <c r="G429" s="1260" t="s">
        <v>247</v>
      </c>
    </row>
    <row r="430" spans="1:7" ht="15.75" hidden="1" thickBot="1" x14ac:dyDescent="0.3">
      <c r="A430" s="215"/>
      <c r="B430" s="206" t="s">
        <v>258</v>
      </c>
      <c r="C430" s="175"/>
      <c r="D430" s="1536" t="s">
        <v>569</v>
      </c>
      <c r="E430" s="1295"/>
      <c r="F430" s="1313" t="str">
        <f>IF(LEN('Verification Report'!W431)=0,"",'Verification Report'!W431)</f>
        <v/>
      </c>
      <c r="G430" s="1260" t="s">
        <v>247</v>
      </c>
    </row>
    <row r="431" spans="1:7" ht="15" hidden="1" customHeight="1" x14ac:dyDescent="0.25">
      <c r="A431" s="64" t="s">
        <v>570</v>
      </c>
      <c r="B431" s="4"/>
      <c r="C431" s="1128"/>
      <c r="D431" s="1796" t="s">
        <v>571</v>
      </c>
      <c r="E431" s="1270"/>
      <c r="F431" s="94"/>
      <c r="G431" s="1260" t="s">
        <v>247</v>
      </c>
    </row>
    <row r="432" spans="1:7" ht="15.75" hidden="1" thickBot="1" x14ac:dyDescent="0.3">
      <c r="A432" s="64"/>
      <c r="B432" s="4"/>
      <c r="C432" s="1128"/>
      <c r="D432" s="1796"/>
      <c r="E432" s="1270"/>
      <c r="F432" s="94"/>
      <c r="G432" s="1260" t="s">
        <v>247</v>
      </c>
    </row>
    <row r="433" spans="1:7" ht="15.75" hidden="1" thickBot="1" x14ac:dyDescent="0.3">
      <c r="A433" s="64"/>
      <c r="B433" s="4"/>
      <c r="C433" s="1128"/>
      <c r="D433" s="1796"/>
      <c r="E433" s="1270"/>
      <c r="F433" s="94"/>
      <c r="G433" s="1260" t="s">
        <v>247</v>
      </c>
    </row>
    <row r="434" spans="1:7" ht="15" hidden="1" customHeight="1" x14ac:dyDescent="0.25">
      <c r="A434" s="64"/>
      <c r="B434" s="183" t="s">
        <v>256</v>
      </c>
      <c r="C434" s="1139"/>
      <c r="D434" s="1754" t="s">
        <v>3042</v>
      </c>
      <c r="E434" s="1296">
        <f>'Verification Report'!O435</f>
        <v>0</v>
      </c>
      <c r="F434" s="1313" t="str">
        <f>IF(LEN('Verification Report'!W435)=0,"",'Verification Report'!W435)</f>
        <v/>
      </c>
      <c r="G434" s="1260" t="s">
        <v>247</v>
      </c>
    </row>
    <row r="435" spans="1:7" ht="15.75" hidden="1" thickBot="1" x14ac:dyDescent="0.3">
      <c r="A435" s="64"/>
      <c r="B435" s="210"/>
      <c r="C435" s="175"/>
      <c r="D435" s="1755"/>
      <c r="E435" s="1297"/>
      <c r="F435" s="94"/>
      <c r="G435" s="1260" t="s">
        <v>247</v>
      </c>
    </row>
    <row r="436" spans="1:7" ht="15" hidden="1" customHeight="1" x14ac:dyDescent="0.25">
      <c r="A436" s="64"/>
      <c r="B436" s="27" t="s">
        <v>258</v>
      </c>
      <c r="C436" s="1128"/>
      <c r="D436" s="1779" t="s">
        <v>3043</v>
      </c>
      <c r="E436" s="1295"/>
      <c r="F436" s="1313" t="str">
        <f>IF(LEN('Verification Report'!W437)=0,"",'Verification Report'!W437)</f>
        <v/>
      </c>
      <c r="G436" s="1260" t="s">
        <v>247</v>
      </c>
    </row>
    <row r="437" spans="1:7" ht="15.75" hidden="1" thickBot="1" x14ac:dyDescent="0.3">
      <c r="A437" s="64"/>
      <c r="B437" s="4"/>
      <c r="C437" s="1128"/>
      <c r="D437" s="1779"/>
      <c r="E437" s="1295"/>
      <c r="F437" s="94"/>
      <c r="G437" s="1260" t="s">
        <v>247</v>
      </c>
    </row>
    <row r="438" spans="1:7" ht="16.5" hidden="1" thickTop="1" thickBot="1" x14ac:dyDescent="0.3">
      <c r="A438" s="180" t="s">
        <v>572</v>
      </c>
      <c r="B438" s="181"/>
      <c r="C438" s="182"/>
      <c r="D438" s="1541" t="s">
        <v>573</v>
      </c>
      <c r="E438" s="1298"/>
      <c r="F438" s="94"/>
      <c r="G438" s="1260" t="s">
        <v>247</v>
      </c>
    </row>
    <row r="439" spans="1:7" ht="15.75" hidden="1" thickBot="1" x14ac:dyDescent="0.3">
      <c r="A439" s="64"/>
      <c r="B439" s="4"/>
      <c r="C439" s="1128"/>
      <c r="D439" s="1582" t="s">
        <v>3034</v>
      </c>
      <c r="E439" s="1295"/>
      <c r="F439" s="1313" t="str">
        <f>IF(LEN('Verification Report'!W440)=0,"",'Verification Report'!W440)</f>
        <v/>
      </c>
      <c r="G439" s="1260" t="s">
        <v>247</v>
      </c>
    </row>
    <row r="440" spans="1:7" ht="15" hidden="1" customHeight="1" x14ac:dyDescent="0.25">
      <c r="A440" s="64"/>
      <c r="B440" s="183" t="s">
        <v>256</v>
      </c>
      <c r="C440" s="1139"/>
      <c r="D440" s="1754" t="s">
        <v>574</v>
      </c>
      <c r="E440" s="1296">
        <f ca="1">'Verification Report'!O441</f>
        <v>0</v>
      </c>
      <c r="F440" s="1313" t="str">
        <f>IF(LEN('Verification Report'!W441)=0,"",'Verification Report'!W441)</f>
        <v/>
      </c>
      <c r="G440" s="1260" t="s">
        <v>247</v>
      </c>
    </row>
    <row r="441" spans="1:7" ht="15.75" hidden="1" thickBot="1" x14ac:dyDescent="0.3">
      <c r="A441" s="64"/>
      <c r="B441" s="210"/>
      <c r="C441" s="175"/>
      <c r="D441" s="1755"/>
      <c r="E441" s="1297"/>
      <c r="F441" s="94"/>
      <c r="G441" s="1260" t="s">
        <v>247</v>
      </c>
    </row>
    <row r="442" spans="1:7" ht="15" hidden="1" customHeight="1" x14ac:dyDescent="0.25">
      <c r="A442" s="64"/>
      <c r="B442" s="27" t="s">
        <v>258</v>
      </c>
      <c r="C442" s="1128"/>
      <c r="D442" s="1779" t="s">
        <v>575</v>
      </c>
      <c r="E442" s="1295">
        <f ca="1">'Verification Report'!O443</f>
        <v>0</v>
      </c>
      <c r="F442" s="1313" t="str">
        <f>IF(LEN('Verification Report'!W443)=0,"",'Verification Report'!W443)</f>
        <v/>
      </c>
      <c r="G442" s="1260" t="s">
        <v>247</v>
      </c>
    </row>
    <row r="443" spans="1:7" ht="15.75" hidden="1" thickBot="1" x14ac:dyDescent="0.3">
      <c r="A443" s="64"/>
      <c r="B443" s="4"/>
      <c r="C443" s="1128"/>
      <c r="D443" s="1779"/>
      <c r="E443" s="1295"/>
      <c r="F443" s="94"/>
      <c r="G443" s="1260" t="s">
        <v>247</v>
      </c>
    </row>
    <row r="444" spans="1:7" ht="15.75" hidden="1" thickBot="1" x14ac:dyDescent="0.3">
      <c r="A444" s="64"/>
      <c r="B444" s="4"/>
      <c r="C444" s="1128"/>
      <c r="D444" s="1779"/>
      <c r="E444" s="1295"/>
      <c r="F444" s="94"/>
      <c r="G444" s="1260" t="s">
        <v>247</v>
      </c>
    </row>
    <row r="445" spans="1:7" ht="15.75" hidden="1" customHeight="1" thickTop="1" x14ac:dyDescent="0.25">
      <c r="A445" s="180" t="s">
        <v>576</v>
      </c>
      <c r="B445" s="181"/>
      <c r="C445" s="182"/>
      <c r="D445" s="1781" t="s">
        <v>577</v>
      </c>
      <c r="E445" s="1298"/>
      <c r="F445" s="94"/>
      <c r="G445" s="1260" t="s">
        <v>247</v>
      </c>
    </row>
    <row r="446" spans="1:7" ht="15.75" hidden="1" thickBot="1" x14ac:dyDescent="0.3">
      <c r="A446" s="130"/>
      <c r="B446" s="129"/>
      <c r="C446" s="1139"/>
      <c r="D446" s="1782"/>
      <c r="E446" s="1296"/>
      <c r="F446" s="94"/>
      <c r="G446" s="1260" t="s">
        <v>247</v>
      </c>
    </row>
    <row r="447" spans="1:7" ht="15.75" hidden="1" thickBot="1" x14ac:dyDescent="0.3">
      <c r="A447" s="64"/>
      <c r="B447" s="4"/>
      <c r="C447" s="1128"/>
      <c r="D447" s="1582" t="s">
        <v>3034</v>
      </c>
      <c r="E447" s="1295"/>
      <c r="F447" s="94"/>
      <c r="G447" s="1260" t="s">
        <v>247</v>
      </c>
    </row>
    <row r="448" spans="1:7" ht="15" hidden="1" customHeight="1" x14ac:dyDescent="0.25">
      <c r="A448" s="64"/>
      <c r="B448" s="183" t="s">
        <v>256</v>
      </c>
      <c r="C448" s="1139"/>
      <c r="D448" s="1754" t="s">
        <v>578</v>
      </c>
      <c r="E448" s="1296">
        <f ca="1">'Verification Report'!O449</f>
        <v>0</v>
      </c>
      <c r="F448" s="1313" t="str">
        <f>IF(LEN('Verification Report'!W449)=0,"",'Verification Report'!W449)</f>
        <v/>
      </c>
      <c r="G448" s="1260" t="s">
        <v>247</v>
      </c>
    </row>
    <row r="449" spans="1:7" ht="15.75" hidden="1" thickBot="1" x14ac:dyDescent="0.3">
      <c r="A449" s="64"/>
      <c r="B449" s="129"/>
      <c r="C449" s="1139"/>
      <c r="D449" s="1754"/>
      <c r="E449" s="1296"/>
      <c r="F449" s="94"/>
      <c r="G449" s="1260" t="s">
        <v>247</v>
      </c>
    </row>
    <row r="450" spans="1:7" ht="15.75" hidden="1" thickBot="1" x14ac:dyDescent="0.3">
      <c r="A450" s="64"/>
      <c r="B450" s="129"/>
      <c r="C450" s="1139"/>
      <c r="D450" s="1754"/>
      <c r="E450" s="1296"/>
      <c r="F450" s="94"/>
      <c r="G450" s="1260" t="s">
        <v>247</v>
      </c>
    </row>
    <row r="451" spans="1:7" ht="15.75" hidden="1" thickBot="1" x14ac:dyDescent="0.3">
      <c r="A451" s="64"/>
      <c r="B451" s="210"/>
      <c r="C451" s="175"/>
      <c r="D451" s="1755"/>
      <c r="E451" s="1297"/>
      <c r="F451" s="94"/>
      <c r="G451" s="1260" t="s">
        <v>247</v>
      </c>
    </row>
    <row r="452" spans="1:7" ht="15" hidden="1" customHeight="1" x14ac:dyDescent="0.25">
      <c r="A452" s="64"/>
      <c r="B452" s="209" t="s">
        <v>258</v>
      </c>
      <c r="C452" s="194"/>
      <c r="D452" s="1778" t="s">
        <v>579</v>
      </c>
      <c r="E452" s="1293">
        <f ca="1">'Verification Report'!O453</f>
        <v>0</v>
      </c>
      <c r="F452" s="1313" t="str">
        <f>IF(LEN('Verification Report'!W453)=0,"",'Verification Report'!W453)</f>
        <v/>
      </c>
      <c r="G452" s="1260" t="s">
        <v>247</v>
      </c>
    </row>
    <row r="453" spans="1:7" ht="15.75" hidden="1" thickBot="1" x14ac:dyDescent="0.3">
      <c r="A453" s="64"/>
      <c r="B453" s="129"/>
      <c r="C453" s="1139"/>
      <c r="D453" s="1754"/>
      <c r="E453" s="1296"/>
      <c r="F453" s="94"/>
      <c r="G453" s="1260" t="s">
        <v>247</v>
      </c>
    </row>
    <row r="454" spans="1:7" ht="15.75" hidden="1" thickBot="1" x14ac:dyDescent="0.3">
      <c r="A454" s="64"/>
      <c r="B454" s="129"/>
      <c r="C454" s="1139"/>
      <c r="D454" s="1754"/>
      <c r="E454" s="1296"/>
      <c r="F454" s="94"/>
      <c r="G454" s="1260" t="s">
        <v>247</v>
      </c>
    </row>
    <row r="455" spans="1:7" ht="15.75" hidden="1" thickBot="1" x14ac:dyDescent="0.3">
      <c r="A455" s="64"/>
      <c r="B455" s="210"/>
      <c r="C455" s="175"/>
      <c r="D455" s="1755"/>
      <c r="E455" s="1297"/>
      <c r="F455" s="94"/>
      <c r="G455" s="1260" t="s">
        <v>247</v>
      </c>
    </row>
    <row r="456" spans="1:7" ht="15" hidden="1" customHeight="1" x14ac:dyDescent="0.25">
      <c r="A456" s="64"/>
      <c r="B456" s="27" t="s">
        <v>260</v>
      </c>
      <c r="C456" s="1128"/>
      <c r="D456" s="1779" t="s">
        <v>580</v>
      </c>
      <c r="E456" s="1295">
        <f ca="1">'Verification Report'!O457</f>
        <v>0</v>
      </c>
      <c r="F456" s="1313" t="str">
        <f>IF(LEN('Verification Report'!W457)=0,"",'Verification Report'!W457)</f>
        <v/>
      </c>
      <c r="G456" s="1260" t="s">
        <v>247</v>
      </c>
    </row>
    <row r="457" spans="1:7" ht="15.75" hidden="1" thickBot="1" x14ac:dyDescent="0.3">
      <c r="A457" s="64"/>
      <c r="B457" s="4"/>
      <c r="C457" s="1128"/>
      <c r="D457" s="1779"/>
      <c r="E457" s="1295"/>
      <c r="F457" s="94"/>
      <c r="G457" s="1260" t="s">
        <v>247</v>
      </c>
    </row>
    <row r="458" spans="1:7" ht="15.75" hidden="1" thickBot="1" x14ac:dyDescent="0.3">
      <c r="A458" s="64"/>
      <c r="B458" s="4"/>
      <c r="C458" s="1128"/>
      <c r="D458" s="1779"/>
      <c r="E458" s="1295"/>
      <c r="F458" s="94"/>
      <c r="G458" s="1260" t="s">
        <v>247</v>
      </c>
    </row>
    <row r="459" spans="1:7" ht="16.5" hidden="1" thickTop="1" thickBot="1" x14ac:dyDescent="0.3">
      <c r="A459" s="180" t="s">
        <v>581</v>
      </c>
      <c r="B459" s="181"/>
      <c r="C459" s="182"/>
      <c r="D459" s="1569" t="s">
        <v>582</v>
      </c>
      <c r="E459" s="1298"/>
      <c r="F459" s="94"/>
      <c r="G459" s="1260" t="s">
        <v>247</v>
      </c>
    </row>
    <row r="460" spans="1:7" ht="15.75" hidden="1" thickBot="1" x14ac:dyDescent="0.3">
      <c r="A460" s="64" t="s">
        <v>583</v>
      </c>
      <c r="B460" s="4"/>
      <c r="C460" s="1128"/>
      <c r="D460" s="1563" t="s">
        <v>584</v>
      </c>
      <c r="E460" s="1295"/>
      <c r="F460" s="94"/>
      <c r="G460" s="1260" t="s">
        <v>247</v>
      </c>
    </row>
    <row r="461" spans="1:7" ht="15" hidden="1" customHeight="1" x14ac:dyDescent="0.25">
      <c r="A461" s="64"/>
      <c r="B461" s="183" t="s">
        <v>256</v>
      </c>
      <c r="C461" s="1139"/>
      <c r="D461" s="1754" t="s">
        <v>585</v>
      </c>
      <c r="E461" s="1296">
        <f>'Verification Report'!O462</f>
        <v>0</v>
      </c>
      <c r="F461" s="1313" t="str">
        <f>IF(LEN('Verification Report'!W462)=0,"",'Verification Report'!W462)</f>
        <v/>
      </c>
      <c r="G461" s="1260" t="s">
        <v>247</v>
      </c>
    </row>
    <row r="462" spans="1:7" ht="15.75" hidden="1" thickBot="1" x14ac:dyDescent="0.3">
      <c r="A462" s="64"/>
      <c r="B462" s="210"/>
      <c r="C462" s="175"/>
      <c r="D462" s="1755"/>
      <c r="E462" s="1297"/>
      <c r="F462" s="94"/>
      <c r="G462" s="1260" t="s">
        <v>247</v>
      </c>
    </row>
    <row r="463" spans="1:7" ht="15" hidden="1" customHeight="1" x14ac:dyDescent="0.25">
      <c r="A463" s="64"/>
      <c r="B463" s="183" t="s">
        <v>258</v>
      </c>
      <c r="C463" s="1139"/>
      <c r="D463" s="1754" t="s">
        <v>586</v>
      </c>
      <c r="E463" s="1296">
        <f>'Verification Report'!O464</f>
        <v>0</v>
      </c>
      <c r="F463" s="1313" t="str">
        <f>IF(LEN('Verification Report'!W464)=0,"",'Verification Report'!W464)</f>
        <v/>
      </c>
      <c r="G463" s="1260" t="s">
        <v>247</v>
      </c>
    </row>
    <row r="464" spans="1:7" ht="15.75" hidden="1" thickBot="1" x14ac:dyDescent="0.3">
      <c r="A464" s="64"/>
      <c r="B464" s="129"/>
      <c r="C464" s="1139"/>
      <c r="D464" s="1754"/>
      <c r="E464" s="1296"/>
      <c r="F464" s="94"/>
      <c r="G464" s="1260" t="s">
        <v>247</v>
      </c>
    </row>
    <row r="465" spans="1:9" ht="15.75" hidden="1" thickBot="1" x14ac:dyDescent="0.3">
      <c r="A465" s="64"/>
      <c r="B465" s="210"/>
      <c r="C465" s="175"/>
      <c r="D465" s="1561" t="s">
        <v>1105</v>
      </c>
      <c r="E465" s="1297"/>
      <c r="F465" s="94"/>
      <c r="G465" s="1260" t="s">
        <v>247</v>
      </c>
    </row>
    <row r="466" spans="1:9" ht="15" hidden="1" customHeight="1" x14ac:dyDescent="0.25">
      <c r="A466" s="130"/>
      <c r="B466" s="183" t="s">
        <v>260</v>
      </c>
      <c r="C466" s="1139"/>
      <c r="D466" s="1754" t="s">
        <v>587</v>
      </c>
      <c r="E466" s="1296">
        <f>'Verification Report'!O467</f>
        <v>0</v>
      </c>
      <c r="F466" s="1313" t="str">
        <f>IF(LEN('Verification Report'!W467)=0,"",'Verification Report'!W467)</f>
        <v/>
      </c>
      <c r="G466" s="1260" t="s">
        <v>247</v>
      </c>
    </row>
    <row r="467" spans="1:9" ht="15.75" hidden="1" thickBot="1" x14ac:dyDescent="0.3">
      <c r="A467" s="215"/>
      <c r="B467" s="210"/>
      <c r="C467" s="175"/>
      <c r="D467" s="1755"/>
      <c r="E467" s="1297"/>
      <c r="F467" s="94"/>
      <c r="G467" s="1260" t="s">
        <v>247</v>
      </c>
    </row>
    <row r="468" spans="1:9" ht="15" hidden="1" customHeight="1" x14ac:dyDescent="0.25">
      <c r="A468" s="192" t="s">
        <v>589</v>
      </c>
      <c r="B468" s="193"/>
      <c r="C468" s="194"/>
      <c r="D468" s="1864" t="s">
        <v>590</v>
      </c>
      <c r="E468" s="1293">
        <f>'Verification Report'!O469</f>
        <v>0</v>
      </c>
      <c r="F468" s="1313" t="str">
        <f>IF(LEN('Verification Report'!W469)=0,"",'Verification Report'!W469)</f>
        <v/>
      </c>
      <c r="G468" s="1260" t="s">
        <v>247</v>
      </c>
    </row>
    <row r="469" spans="1:9" ht="15.75" hidden="1" thickBot="1" x14ac:dyDescent="0.3">
      <c r="A469" s="215"/>
      <c r="B469" s="210"/>
      <c r="C469" s="175"/>
      <c r="D469" s="1843"/>
      <c r="E469" s="1297"/>
      <c r="F469" s="94"/>
      <c r="G469" s="1260" t="s">
        <v>247</v>
      </c>
    </row>
    <row r="470" spans="1:9" ht="15" hidden="1" customHeight="1" x14ac:dyDescent="0.25">
      <c r="A470" s="64" t="s">
        <v>592</v>
      </c>
      <c r="B470" s="4"/>
      <c r="C470" s="1128"/>
      <c r="D470" s="1796" t="s">
        <v>593</v>
      </c>
      <c r="E470" s="1295">
        <f>'Verification Report'!O471</f>
        <v>0</v>
      </c>
      <c r="F470" s="1313" t="str">
        <f>IF(LEN('Verification Report'!W471)=0,"",'Verification Report'!W471)</f>
        <v/>
      </c>
      <c r="G470" s="1260" t="s">
        <v>247</v>
      </c>
    </row>
    <row r="471" spans="1:9" ht="15.75" hidden="1" thickBot="1" x14ac:dyDescent="0.3">
      <c r="A471" s="64"/>
      <c r="B471" s="4"/>
      <c r="C471" s="1128"/>
      <c r="D471" s="1796"/>
      <c r="E471" s="1295"/>
      <c r="F471" s="94"/>
      <c r="G471" s="1260" t="s">
        <v>247</v>
      </c>
    </row>
    <row r="472" spans="1:9" ht="15.75" hidden="1" thickBot="1" x14ac:dyDescent="0.3">
      <c r="A472" s="64"/>
      <c r="B472" s="4"/>
      <c r="C472" s="1128"/>
      <c r="D472" s="1796"/>
      <c r="E472" s="1295"/>
      <c r="F472" s="94"/>
      <c r="G472" s="1260" t="s">
        <v>247</v>
      </c>
    </row>
    <row r="473" spans="1:9" ht="15.75" hidden="1" thickBot="1" x14ac:dyDescent="0.3">
      <c r="A473" s="64"/>
      <c r="B473" s="4"/>
      <c r="C473" s="1128"/>
      <c r="D473" s="1796"/>
      <c r="E473" s="1295"/>
      <c r="F473" s="94"/>
      <c r="G473" s="1260" t="s">
        <v>247</v>
      </c>
    </row>
    <row r="474" spans="1:9" ht="15.75" customHeight="1" thickTop="1" x14ac:dyDescent="0.25">
      <c r="A474" s="180" t="s">
        <v>594</v>
      </c>
      <c r="B474" s="181"/>
      <c r="C474" s="182"/>
      <c r="D474" s="1781" t="s">
        <v>595</v>
      </c>
      <c r="E474" s="1298"/>
      <c r="F474" s="1313" t="str">
        <f>IF(LEN('Verification Report'!W475)=0,"",'Verification Report'!W475)</f>
        <v/>
      </c>
      <c r="G474" s="585" t="str">
        <f>IF(AND(LEN(F474)&gt;0,NOT(F474=FALSE)),"P","")</f>
        <v/>
      </c>
      <c r="H474" s="1330" t="s">
        <v>5086</v>
      </c>
      <c r="I474" s="1527"/>
    </row>
    <row r="475" spans="1:9" ht="15.75" thickBot="1" x14ac:dyDescent="0.3">
      <c r="A475" s="130"/>
      <c r="B475" s="129"/>
      <c r="C475" s="1139"/>
      <c r="D475" s="1782"/>
      <c r="E475" s="1296"/>
      <c r="F475" s="94"/>
      <c r="G475" s="585" t="str">
        <f>G474</f>
        <v/>
      </c>
    </row>
    <row r="476" spans="1:9" ht="15.75" hidden="1" thickBot="1" x14ac:dyDescent="0.3">
      <c r="A476" s="130"/>
      <c r="B476" s="129"/>
      <c r="C476" s="1139"/>
      <c r="D476" s="1556" t="s">
        <v>1105</v>
      </c>
      <c r="E476" s="1296"/>
      <c r="F476" s="94"/>
      <c r="G476" s="1328" t="s">
        <v>247</v>
      </c>
    </row>
    <row r="477" spans="1:9" ht="15.75" customHeight="1" thickTop="1" x14ac:dyDescent="0.25">
      <c r="A477" s="180" t="s">
        <v>596</v>
      </c>
      <c r="B477" s="181"/>
      <c r="C477" s="182"/>
      <c r="D477" s="1781" t="s">
        <v>597</v>
      </c>
      <c r="E477" s="1298"/>
      <c r="F477" s="94"/>
      <c r="G477" s="585" t="str">
        <f>IF(OR(LEN(F482)&gt;0),"P","")</f>
        <v/>
      </c>
      <c r="H477" s="1330" t="s">
        <v>5087</v>
      </c>
      <c r="I477" s="1527"/>
    </row>
    <row r="478" spans="1:9" x14ac:dyDescent="0.25">
      <c r="A478" s="130"/>
      <c r="B478" s="129"/>
      <c r="C478" s="1139"/>
      <c r="D478" s="1782"/>
      <c r="E478" s="1296"/>
      <c r="F478" s="94"/>
      <c r="G478" s="585" t="str">
        <f>G477</f>
        <v/>
      </c>
    </row>
    <row r="479" spans="1:9" x14ac:dyDescent="0.25">
      <c r="A479" s="130"/>
      <c r="B479" s="129"/>
      <c r="C479" s="1139"/>
      <c r="D479" s="1782"/>
      <c r="E479" s="1296"/>
      <c r="F479" s="94"/>
      <c r="G479" s="585" t="str">
        <f>G478</f>
        <v/>
      </c>
    </row>
    <row r="480" spans="1:9" x14ac:dyDescent="0.25">
      <c r="A480" s="130"/>
      <c r="B480" s="129"/>
      <c r="C480" s="1139"/>
      <c r="D480" s="1782"/>
      <c r="E480" s="1296"/>
      <c r="F480" s="94"/>
      <c r="G480" s="585" t="str">
        <f>G479</f>
        <v/>
      </c>
    </row>
    <row r="481" spans="1:7" ht="15.75" thickBot="1" x14ac:dyDescent="0.3">
      <c r="A481" s="130"/>
      <c r="B481" s="129"/>
      <c r="C481" s="1139"/>
      <c r="D481" s="1782"/>
      <c r="E481" s="1296"/>
      <c r="F481" s="94"/>
      <c r="G481" s="585" t="str">
        <f>G480</f>
        <v/>
      </c>
    </row>
    <row r="482" spans="1:7" ht="15.75" hidden="1" thickBot="1" x14ac:dyDescent="0.3">
      <c r="A482" s="64"/>
      <c r="B482" s="183" t="s">
        <v>256</v>
      </c>
      <c r="C482" s="1139"/>
      <c r="D482" s="1546" t="s">
        <v>598</v>
      </c>
      <c r="E482" s="1295"/>
      <c r="F482" s="1313" t="str">
        <f>IF(LEN('Verification Report'!W483)=0,"",'Verification Report'!W483)</f>
        <v/>
      </c>
      <c r="G482" s="1260" t="s">
        <v>247</v>
      </c>
    </row>
    <row r="483" spans="1:7" ht="15.75" hidden="1" thickBot="1" x14ac:dyDescent="0.3">
      <c r="A483" s="64"/>
      <c r="B483" s="129"/>
      <c r="C483" s="91" t="s">
        <v>121</v>
      </c>
      <c r="D483" s="1546" t="s">
        <v>599</v>
      </c>
      <c r="E483" s="1295"/>
      <c r="F483" s="94"/>
      <c r="G483" s="1260" t="s">
        <v>247</v>
      </c>
    </row>
    <row r="484" spans="1:7" ht="15.75" hidden="1" thickBot="1" x14ac:dyDescent="0.3">
      <c r="A484" s="64"/>
      <c r="B484" s="129"/>
      <c r="C484" s="91" t="s">
        <v>122</v>
      </c>
      <c r="D484" s="1546" t="s">
        <v>600</v>
      </c>
      <c r="E484" s="1295"/>
      <c r="F484" s="94"/>
      <c r="G484" s="1260" t="s">
        <v>247</v>
      </c>
    </row>
    <row r="485" spans="1:7" ht="15.75" hidden="1" thickBot="1" x14ac:dyDescent="0.3">
      <c r="A485" s="64"/>
      <c r="B485" s="129"/>
      <c r="C485" s="110" t="s">
        <v>123</v>
      </c>
      <c r="D485" s="1546" t="s">
        <v>601</v>
      </c>
      <c r="E485" s="1295"/>
      <c r="F485" s="94"/>
      <c r="G485" s="1260" t="s">
        <v>247</v>
      </c>
    </row>
    <row r="486" spans="1:7" ht="15" hidden="1" customHeight="1" x14ac:dyDescent="0.25">
      <c r="A486" s="64"/>
      <c r="B486" s="129"/>
      <c r="C486" s="187" t="s">
        <v>401</v>
      </c>
      <c r="D486" s="1754" t="s">
        <v>602</v>
      </c>
      <c r="E486" s="1295"/>
      <c r="F486" s="94"/>
      <c r="G486" s="1260" t="s">
        <v>247</v>
      </c>
    </row>
    <row r="487" spans="1:7" ht="15.75" hidden="1" thickBot="1" x14ac:dyDescent="0.3">
      <c r="A487" s="64"/>
      <c r="B487" s="129"/>
      <c r="C487" s="1139"/>
      <c r="D487" s="1754"/>
      <c r="E487" s="1295"/>
      <c r="F487" s="94"/>
      <c r="G487" s="1260" t="s">
        <v>247</v>
      </c>
    </row>
    <row r="488" spans="1:7" ht="15.75" hidden="1" thickBot="1" x14ac:dyDescent="0.3">
      <c r="A488" s="64"/>
      <c r="B488" s="129"/>
      <c r="C488" s="187" t="s">
        <v>539</v>
      </c>
      <c r="D488" s="1546" t="s">
        <v>603</v>
      </c>
      <c r="E488" s="1295"/>
      <c r="F488" s="94"/>
      <c r="G488" s="1260" t="s">
        <v>247</v>
      </c>
    </row>
    <row r="489" spans="1:7" ht="15.75" hidden="1" thickBot="1" x14ac:dyDescent="0.3">
      <c r="A489" s="64"/>
      <c r="B489" s="129"/>
      <c r="C489" s="110" t="s">
        <v>604</v>
      </c>
      <c r="D489" s="1546" t="s">
        <v>605</v>
      </c>
      <c r="E489" s="1295"/>
      <c r="F489" s="94"/>
      <c r="G489" s="1260" t="s">
        <v>247</v>
      </c>
    </row>
    <row r="490" spans="1:7" ht="15.75" hidden="1" thickBot="1" x14ac:dyDescent="0.3">
      <c r="A490" s="64"/>
      <c r="B490" s="129"/>
      <c r="C490" s="187" t="s">
        <v>606</v>
      </c>
      <c r="D490" s="1546" t="s">
        <v>607</v>
      </c>
      <c r="E490" s="1295"/>
      <c r="F490" s="94"/>
      <c r="G490" s="1260" t="s">
        <v>247</v>
      </c>
    </row>
    <row r="491" spans="1:7" ht="15.75" hidden="1" thickBot="1" x14ac:dyDescent="0.3">
      <c r="A491" s="64"/>
      <c r="B491" s="210"/>
      <c r="C491" s="216" t="s">
        <v>608</v>
      </c>
      <c r="D491" s="1536" t="s">
        <v>609</v>
      </c>
      <c r="E491" s="1295"/>
      <c r="F491" s="94"/>
      <c r="G491" s="1260" t="s">
        <v>247</v>
      </c>
    </row>
    <row r="492" spans="1:7" ht="15" hidden="1" customHeight="1" x14ac:dyDescent="0.25">
      <c r="A492" s="64"/>
      <c r="B492" s="183" t="s">
        <v>258</v>
      </c>
      <c r="C492" s="1139"/>
      <c r="D492" s="1754" t="s">
        <v>610</v>
      </c>
      <c r="E492" s="1296">
        <f>'Verification Report'!O493</f>
        <v>0</v>
      </c>
      <c r="F492" s="1313" t="str">
        <f>IF(LEN('Verification Report'!W493)=0,"",'Verification Report'!W493)</f>
        <v/>
      </c>
      <c r="G492" s="1260" t="s">
        <v>247</v>
      </c>
    </row>
    <row r="493" spans="1:7" ht="15.75" hidden="1" thickBot="1" x14ac:dyDescent="0.3">
      <c r="A493" s="64"/>
      <c r="B493" s="129"/>
      <c r="C493" s="1139"/>
      <c r="D493" s="1754"/>
      <c r="E493" s="1296"/>
      <c r="F493" s="94"/>
      <c r="G493" s="1260" t="s">
        <v>247</v>
      </c>
    </row>
    <row r="494" spans="1:7" ht="15.75" hidden="1" thickBot="1" x14ac:dyDescent="0.3">
      <c r="A494" s="64"/>
      <c r="B494" s="210"/>
      <c r="C494" s="175"/>
      <c r="D494" s="1755"/>
      <c r="E494" s="1297"/>
      <c r="F494" s="94"/>
      <c r="G494" s="1260" t="s">
        <v>247</v>
      </c>
    </row>
    <row r="495" spans="1:7" ht="15.75" hidden="1" thickBot="1" x14ac:dyDescent="0.3">
      <c r="A495" s="64"/>
      <c r="B495" s="207" t="s">
        <v>260</v>
      </c>
      <c r="C495" s="208"/>
      <c r="D495" s="280" t="s">
        <v>611</v>
      </c>
      <c r="E495" s="1306">
        <f>'Verification Report'!O496</f>
        <v>0</v>
      </c>
      <c r="F495" s="1313" t="str">
        <f>IF(LEN('Verification Report'!W496)=0,"",'Verification Report'!W496)</f>
        <v/>
      </c>
      <c r="G495" s="1260" t="s">
        <v>247</v>
      </c>
    </row>
    <row r="496" spans="1:7" ht="15" hidden="1" customHeight="1" x14ac:dyDescent="0.25">
      <c r="A496" s="64"/>
      <c r="B496" s="209" t="s">
        <v>269</v>
      </c>
      <c r="C496" s="194"/>
      <c r="D496" s="1778" t="s">
        <v>612</v>
      </c>
      <c r="E496" s="1293">
        <f>'Verification Report'!O497</f>
        <v>0</v>
      </c>
      <c r="F496" s="1313" t="str">
        <f>IF(LEN('Verification Report'!W497)=0,"",'Verification Report'!W497)</f>
        <v/>
      </c>
      <c r="G496" s="1260" t="s">
        <v>247</v>
      </c>
    </row>
    <row r="497" spans="1:9" ht="15.75" hidden="1" thickBot="1" x14ac:dyDescent="0.3">
      <c r="A497" s="64"/>
      <c r="B497" s="129"/>
      <c r="C497" s="1139"/>
      <c r="D497" s="1754"/>
      <c r="E497" s="1296"/>
      <c r="F497" s="94"/>
      <c r="G497" s="1260" t="s">
        <v>247</v>
      </c>
    </row>
    <row r="498" spans="1:9" ht="15.75" hidden="1" thickBot="1" x14ac:dyDescent="0.3">
      <c r="A498" s="64"/>
      <c r="B498" s="129"/>
      <c r="C498" s="1139"/>
      <c r="D498" s="1754"/>
      <c r="E498" s="1296"/>
      <c r="F498" s="94"/>
      <c r="G498" s="1260" t="s">
        <v>247</v>
      </c>
    </row>
    <row r="499" spans="1:9" ht="15.75" hidden="1" thickBot="1" x14ac:dyDescent="0.3">
      <c r="A499" s="64"/>
      <c r="B499" s="210"/>
      <c r="C499" s="175"/>
      <c r="D499" s="1755"/>
      <c r="E499" s="1297"/>
      <c r="F499" s="94"/>
      <c r="G499" s="1260" t="s">
        <v>247</v>
      </c>
    </row>
    <row r="500" spans="1:9" ht="15.75" hidden="1" thickBot="1" x14ac:dyDescent="0.3">
      <c r="A500" s="64"/>
      <c r="B500" s="27" t="s">
        <v>275</v>
      </c>
      <c r="C500" s="1128"/>
      <c r="D500" s="1554" t="s">
        <v>613</v>
      </c>
      <c r="E500" s="1295">
        <f ca="1">'Verification Report'!O501</f>
        <v>0</v>
      </c>
      <c r="F500" s="1313" t="str">
        <f>IF(LEN('Verification Report'!W501)=0,"",'Verification Report'!W501)</f>
        <v/>
      </c>
      <c r="G500" s="1260" t="s">
        <v>247</v>
      </c>
    </row>
    <row r="501" spans="1:9" ht="15" hidden="1" customHeight="1" x14ac:dyDescent="0.25">
      <c r="A501" s="64"/>
      <c r="B501" s="4"/>
      <c r="C501" s="91" t="s">
        <v>121</v>
      </c>
      <c r="D501" s="1754" t="s">
        <v>614</v>
      </c>
      <c r="E501" s="1295"/>
      <c r="F501" s="94"/>
      <c r="G501" s="1260" t="s">
        <v>247</v>
      </c>
    </row>
    <row r="502" spans="1:9" ht="15.75" hidden="1" thickBot="1" x14ac:dyDescent="0.3">
      <c r="A502" s="64"/>
      <c r="B502" s="4"/>
      <c r="C502" s="91"/>
      <c r="D502" s="1754"/>
      <c r="E502" s="1295"/>
      <c r="F502" s="94"/>
      <c r="G502" s="1260" t="s">
        <v>247</v>
      </c>
    </row>
    <row r="503" spans="1:9" ht="15.75" hidden="1" thickBot="1" x14ac:dyDescent="0.3">
      <c r="A503" s="64"/>
      <c r="B503" s="4"/>
      <c r="C503" s="174"/>
      <c r="D503" s="1755"/>
      <c r="E503" s="1295"/>
      <c r="F503" s="94"/>
      <c r="G503" s="1260" t="s">
        <v>247</v>
      </c>
    </row>
    <row r="504" spans="1:9" ht="15" hidden="1" customHeight="1" x14ac:dyDescent="0.25">
      <c r="A504" s="64"/>
      <c r="B504" s="129"/>
      <c r="C504" s="91" t="s">
        <v>122</v>
      </c>
      <c r="D504" s="1754" t="s">
        <v>615</v>
      </c>
      <c r="E504" s="1296"/>
      <c r="F504" s="94"/>
      <c r="G504" s="1260" t="s">
        <v>247</v>
      </c>
    </row>
    <row r="505" spans="1:9" ht="15.75" hidden="1" thickBot="1" x14ac:dyDescent="0.3">
      <c r="A505" s="64"/>
      <c r="B505" s="210"/>
      <c r="C505" s="175"/>
      <c r="D505" s="1755"/>
      <c r="E505" s="1297"/>
      <c r="F505" s="94"/>
      <c r="G505" s="1260" t="s">
        <v>247</v>
      </c>
    </row>
    <row r="506" spans="1:9" ht="15" hidden="1" customHeight="1" x14ac:dyDescent="0.25">
      <c r="A506" s="64"/>
      <c r="B506" s="209" t="s">
        <v>277</v>
      </c>
      <c r="C506" s="194"/>
      <c r="D506" s="1778" t="s">
        <v>616</v>
      </c>
      <c r="E506" s="1293">
        <f>'Verification Report'!O507</f>
        <v>0</v>
      </c>
      <c r="F506" s="1313" t="str">
        <f>IF(LEN('Verification Report'!W507)=0,"",'Verification Report'!W507)</f>
        <v/>
      </c>
      <c r="G506" s="1260" t="s">
        <v>247</v>
      </c>
    </row>
    <row r="507" spans="1:9" ht="15.75" hidden="1" thickBot="1" x14ac:dyDescent="0.3">
      <c r="A507" s="64"/>
      <c r="B507" s="210"/>
      <c r="C507" s="175"/>
      <c r="D507" s="1755"/>
      <c r="E507" s="1297"/>
      <c r="F507" s="94"/>
      <c r="G507" s="1260" t="s">
        <v>247</v>
      </c>
    </row>
    <row r="508" spans="1:9" ht="15.75" hidden="1" thickBot="1" x14ac:dyDescent="0.3">
      <c r="A508" s="64"/>
      <c r="B508" s="27" t="s">
        <v>383</v>
      </c>
      <c r="C508" s="1128"/>
      <c r="D508" s="1554" t="s">
        <v>617</v>
      </c>
      <c r="E508" s="1295">
        <f>'Verification Report'!O509</f>
        <v>0</v>
      </c>
      <c r="F508" s="1313" t="str">
        <f>IF(LEN('Verification Report'!W509)=0,"",'Verification Report'!W509)</f>
        <v/>
      </c>
      <c r="G508" s="1260" t="s">
        <v>247</v>
      </c>
    </row>
    <row r="509" spans="1:9" ht="15.75" customHeight="1" thickTop="1" x14ac:dyDescent="0.25">
      <c r="A509" s="180" t="s">
        <v>619</v>
      </c>
      <c r="B509" s="181"/>
      <c r="C509" s="182"/>
      <c r="D509" s="1781" t="s">
        <v>5588</v>
      </c>
      <c r="E509" s="1298">
        <f ca="1">'Verification Report'!O510</f>
        <v>0</v>
      </c>
      <c r="F509" s="94"/>
      <c r="G509" s="585" t="str">
        <f ca="1">IF(E509&gt;0,"P","")</f>
        <v/>
      </c>
      <c r="H509" s="2142" t="s">
        <v>5088</v>
      </c>
      <c r="I509" s="1527"/>
    </row>
    <row r="510" spans="1:9" x14ac:dyDescent="0.25">
      <c r="A510" s="130"/>
      <c r="B510" s="129"/>
      <c r="C510" s="1139"/>
      <c r="D510" s="1782"/>
      <c r="E510" s="1296"/>
      <c r="F510" s="1313" t="str">
        <f>IF(LEN('Verification Report'!W511)=0,"",'Verification Report'!W511)</f>
        <v/>
      </c>
      <c r="G510" s="585" t="str">
        <f ca="1">G509</f>
        <v/>
      </c>
      <c r="H510" s="1953"/>
    </row>
    <row r="511" spans="1:9" x14ac:dyDescent="0.25">
      <c r="A511" s="130"/>
      <c r="B511" s="129"/>
      <c r="C511" s="1139"/>
      <c r="D511" s="1782"/>
      <c r="E511" s="1296"/>
      <c r="F511" s="94"/>
      <c r="G511" s="585" t="str">
        <f ca="1">G510</f>
        <v/>
      </c>
    </row>
    <row r="512" spans="1:9" x14ac:dyDescent="0.25">
      <c r="A512" s="130"/>
      <c r="B512" s="129"/>
      <c r="C512" s="1139"/>
      <c r="D512" s="1782"/>
      <c r="E512" s="1296"/>
      <c r="F512" s="94"/>
      <c r="G512" s="585" t="str">
        <f ca="1">G511</f>
        <v/>
      </c>
    </row>
    <row r="513" spans="1:9" x14ac:dyDescent="0.25">
      <c r="A513" s="130"/>
      <c r="B513" s="129"/>
      <c r="C513" s="1139"/>
      <c r="D513" s="1782"/>
      <c r="E513" s="1296"/>
      <c r="F513" s="94"/>
      <c r="G513" s="585" t="str">
        <f ca="1">G512</f>
        <v/>
      </c>
    </row>
    <row r="514" spans="1:9" ht="15.75" thickBot="1" x14ac:dyDescent="0.3">
      <c r="A514" s="130"/>
      <c r="B514" s="129"/>
      <c r="C514" s="1139"/>
      <c r="D514" s="1782"/>
      <c r="E514" s="1296"/>
      <c r="F514" s="94"/>
      <c r="G514" s="585" t="str">
        <f ca="1">G513</f>
        <v/>
      </c>
    </row>
    <row r="515" spans="1:9" ht="15.75" hidden="1" thickBot="1" x14ac:dyDescent="0.3">
      <c r="A515" s="130"/>
      <c r="B515" s="129"/>
      <c r="C515" s="1139"/>
      <c r="D515" s="1559" t="str">
        <f>"This Project's Climate Zone: "&amp;AX333</f>
        <v xml:space="preserve">This Project's Climate Zone: </v>
      </c>
      <c r="E515" s="1296"/>
      <c r="F515" s="94"/>
      <c r="G515" s="1260" t="s">
        <v>247</v>
      </c>
    </row>
    <row r="516" spans="1:9" ht="15.75" hidden="1" thickBot="1" x14ac:dyDescent="0.3">
      <c r="A516" s="130"/>
      <c r="B516" s="129"/>
      <c r="C516" s="91" t="s">
        <v>121</v>
      </c>
      <c r="D516" s="1546" t="s">
        <v>620</v>
      </c>
      <c r="E516" s="1296"/>
      <c r="F516" s="94"/>
      <c r="G516" s="1260" t="s">
        <v>247</v>
      </c>
    </row>
    <row r="517" spans="1:9" ht="15.75" hidden="1" thickBot="1" x14ac:dyDescent="0.3">
      <c r="A517" s="130"/>
      <c r="B517" s="129"/>
      <c r="C517" s="91" t="s">
        <v>122</v>
      </c>
      <c r="D517" s="1546" t="s">
        <v>621</v>
      </c>
      <c r="E517" s="1296"/>
      <c r="F517" s="94"/>
      <c r="G517" s="1260" t="s">
        <v>247</v>
      </c>
    </row>
    <row r="518" spans="1:9" ht="15.75" hidden="1" thickBot="1" x14ac:dyDescent="0.3">
      <c r="A518" s="130"/>
      <c r="B518" s="129"/>
      <c r="C518" s="110" t="s">
        <v>123</v>
      </c>
      <c r="D518" s="1546" t="s">
        <v>622</v>
      </c>
      <c r="E518" s="1296"/>
      <c r="F518" s="94"/>
      <c r="G518" s="1260" t="s">
        <v>247</v>
      </c>
    </row>
    <row r="519" spans="1:9" ht="15.75" hidden="1" thickBot="1" x14ac:dyDescent="0.3">
      <c r="A519" s="130"/>
      <c r="B519" s="129"/>
      <c r="C519" s="187" t="s">
        <v>401</v>
      </c>
      <c r="D519" s="1546" t="s">
        <v>623</v>
      </c>
      <c r="E519" s="1296"/>
      <c r="F519" s="94"/>
      <c r="G519" s="1260" t="s">
        <v>247</v>
      </c>
    </row>
    <row r="520" spans="1:9" ht="15" hidden="1" customHeight="1" x14ac:dyDescent="0.25">
      <c r="A520" s="130"/>
      <c r="B520" s="129"/>
      <c r="C520" s="187"/>
      <c r="D520" s="1855" t="s">
        <v>3051</v>
      </c>
      <c r="E520" s="1296"/>
      <c r="F520" s="94"/>
      <c r="G520" s="1260" t="s">
        <v>247</v>
      </c>
    </row>
    <row r="521" spans="1:9" ht="15.75" hidden="1" thickBot="1" x14ac:dyDescent="0.3">
      <c r="A521" s="130"/>
      <c r="B521" s="129"/>
      <c r="C521" s="187"/>
      <c r="D521" s="1849"/>
      <c r="E521" s="1296"/>
      <c r="F521" s="94"/>
      <c r="G521" s="1260" t="s">
        <v>247</v>
      </c>
    </row>
    <row r="522" spans="1:9" ht="15.75" hidden="1" customHeight="1" thickTop="1" x14ac:dyDescent="0.25">
      <c r="A522" s="180" t="s">
        <v>625</v>
      </c>
      <c r="B522" s="181"/>
      <c r="C522" s="182"/>
      <c r="D522" s="1781" t="s">
        <v>626</v>
      </c>
      <c r="E522" s="1298"/>
      <c r="F522" s="1313" t="str">
        <f>IF(LEN('Verification Report'!W523)=0,"",'Verification Report'!W523)</f>
        <v/>
      </c>
      <c r="G522" s="1260" t="s">
        <v>247</v>
      </c>
    </row>
    <row r="523" spans="1:9" ht="15.75" hidden="1" thickBot="1" x14ac:dyDescent="0.3">
      <c r="A523" s="130"/>
      <c r="B523" s="129"/>
      <c r="C523" s="1139"/>
      <c r="D523" s="1782"/>
      <c r="E523" s="1296"/>
      <c r="F523" s="94"/>
      <c r="G523" s="1260" t="s">
        <v>247</v>
      </c>
    </row>
    <row r="524" spans="1:9" ht="15.75" customHeight="1" thickTop="1" x14ac:dyDescent="0.25">
      <c r="A524" s="180" t="s">
        <v>627</v>
      </c>
      <c r="B524" s="181"/>
      <c r="C524" s="182"/>
      <c r="D524" s="1781" t="s">
        <v>628</v>
      </c>
      <c r="E524" s="1298">
        <f ca="1">'Verification Report'!O525</f>
        <v>0</v>
      </c>
      <c r="F524" s="1313" t="str">
        <f>IF(LEN('Verification Report'!W525)=0,"",'Verification Report'!W525)</f>
        <v/>
      </c>
      <c r="G524" s="585" t="str">
        <f ca="1">IF(E524&gt;0,"P","")</f>
        <v/>
      </c>
      <c r="H524" s="1330" t="s">
        <v>5089</v>
      </c>
      <c r="I524" s="1527"/>
    </row>
    <row r="525" spans="1:9" ht="15.75" thickBot="1" x14ac:dyDescent="0.3">
      <c r="A525" s="130"/>
      <c r="B525" s="129"/>
      <c r="C525" s="1139"/>
      <c r="D525" s="1782"/>
      <c r="E525" s="1296"/>
      <c r="F525" s="94"/>
      <c r="G525" s="585" t="str">
        <f ca="1">G524</f>
        <v/>
      </c>
    </row>
    <row r="526" spans="1:9" ht="15.75" hidden="1" thickBot="1" x14ac:dyDescent="0.3">
      <c r="A526" s="130"/>
      <c r="B526" s="129"/>
      <c r="C526" s="1139"/>
      <c r="D526" s="1209" t="s">
        <v>3036</v>
      </c>
      <c r="E526" s="1296"/>
      <c r="F526" s="94"/>
      <c r="G526" s="1260" t="s">
        <v>247</v>
      </c>
    </row>
    <row r="527" spans="1:9" ht="15.75" hidden="1" customHeight="1" thickTop="1" x14ac:dyDescent="0.25">
      <c r="A527" s="180" t="s">
        <v>630</v>
      </c>
      <c r="B527" s="181"/>
      <c r="C527" s="182"/>
      <c r="D527" s="1781" t="s">
        <v>631</v>
      </c>
      <c r="E527" s="1298"/>
      <c r="F527" s="1313" t="str">
        <f>IF(LEN('Verification Report'!W528)=0,"",'Verification Report'!W528)</f>
        <v/>
      </c>
      <c r="G527" s="1260" t="s">
        <v>247</v>
      </c>
    </row>
    <row r="528" spans="1:9" ht="15.75" hidden="1" thickBot="1" x14ac:dyDescent="0.3">
      <c r="A528" s="130"/>
      <c r="B528" s="129"/>
      <c r="C528" s="1139"/>
      <c r="D528" s="1782"/>
      <c r="E528" s="1296"/>
      <c r="F528" s="94"/>
      <c r="G528" s="1260" t="s">
        <v>247</v>
      </c>
    </row>
    <row r="529" spans="1:9" ht="15.75" hidden="1" thickBot="1" x14ac:dyDescent="0.3">
      <c r="A529" s="130"/>
      <c r="B529" s="129"/>
      <c r="C529" s="1139"/>
      <c r="D529" s="1782"/>
      <c r="E529" s="1296"/>
      <c r="F529" s="94"/>
      <c r="G529" s="1260" t="s">
        <v>247</v>
      </c>
    </row>
    <row r="530" spans="1:9" ht="15.75" hidden="1" thickBot="1" x14ac:dyDescent="0.3">
      <c r="A530" s="130"/>
      <c r="B530" s="129"/>
      <c r="C530" s="1139"/>
      <c r="D530" s="1782"/>
      <c r="E530" s="1296"/>
      <c r="F530" s="94"/>
      <c r="G530" s="1260" t="s">
        <v>247</v>
      </c>
    </row>
    <row r="531" spans="1:9" ht="15.75" customHeight="1" thickTop="1" x14ac:dyDescent="0.25">
      <c r="A531" s="180" t="s">
        <v>632</v>
      </c>
      <c r="B531" s="181"/>
      <c r="C531" s="182"/>
      <c r="D531" s="1781" t="s">
        <v>633</v>
      </c>
      <c r="E531" s="1298"/>
      <c r="F531" s="94"/>
      <c r="G531" s="585" t="str">
        <f>IF(OR(LEN(F533)&gt;0,LEN(F535)&gt;0,LEN(F536)&gt;0),"P","")</f>
        <v/>
      </c>
      <c r="H531" s="1330" t="s">
        <v>5090</v>
      </c>
      <c r="I531" s="1527"/>
    </row>
    <row r="532" spans="1:9" ht="15.75" thickBot="1" x14ac:dyDescent="0.3">
      <c r="A532" s="130"/>
      <c r="B532" s="129"/>
      <c r="C532" s="1139"/>
      <c r="D532" s="1782"/>
      <c r="E532" s="1296"/>
      <c r="F532" s="94"/>
      <c r="G532" s="585" t="str">
        <f>G531</f>
        <v/>
      </c>
    </row>
    <row r="533" spans="1:9" ht="15" hidden="1" customHeight="1" x14ac:dyDescent="0.25">
      <c r="A533" s="64"/>
      <c r="B533" s="183" t="s">
        <v>256</v>
      </c>
      <c r="C533" s="1139"/>
      <c r="D533" s="1754" t="s">
        <v>634</v>
      </c>
      <c r="E533" s="1296">
        <f>'Verification Report'!O534</f>
        <v>0</v>
      </c>
      <c r="F533" s="1313" t="str">
        <f>IF(LEN('Verification Report'!W534)=0,"",'Verification Report'!W534)</f>
        <v/>
      </c>
      <c r="G533" s="1260" t="s">
        <v>247</v>
      </c>
    </row>
    <row r="534" spans="1:9" ht="15.75" hidden="1" thickBot="1" x14ac:dyDescent="0.3">
      <c r="A534" s="64"/>
      <c r="B534" s="210"/>
      <c r="C534" s="175"/>
      <c r="D534" s="1755"/>
      <c r="E534" s="1297"/>
      <c r="F534" s="94"/>
      <c r="G534" s="1260" t="s">
        <v>247</v>
      </c>
    </row>
    <row r="535" spans="1:9" ht="15.75" hidden="1" thickBot="1" x14ac:dyDescent="0.3">
      <c r="A535" s="64"/>
      <c r="B535" s="207" t="s">
        <v>258</v>
      </c>
      <c r="C535" s="208"/>
      <c r="D535" s="280" t="s">
        <v>635</v>
      </c>
      <c r="E535" s="1306">
        <f>'Verification Report'!O536</f>
        <v>0</v>
      </c>
      <c r="F535" s="1313" t="str">
        <f>IF(LEN('Verification Report'!W536)=0,"",'Verification Report'!W536)</f>
        <v/>
      </c>
      <c r="G535" s="1260" t="s">
        <v>247</v>
      </c>
    </row>
    <row r="536" spans="1:9" ht="15.75" hidden="1" thickBot="1" x14ac:dyDescent="0.3">
      <c r="A536" s="64"/>
      <c r="B536" s="190" t="s">
        <v>260</v>
      </c>
      <c r="C536" s="97"/>
      <c r="D536" s="1555" t="s">
        <v>636</v>
      </c>
      <c r="E536" s="1294">
        <f>'Verification Report'!O537</f>
        <v>0</v>
      </c>
      <c r="F536" s="1313" t="str">
        <f>IF(LEN('Verification Report'!W537)=0,"",'Verification Report'!W537)</f>
        <v/>
      </c>
      <c r="G536" s="1260" t="s">
        <v>247</v>
      </c>
    </row>
    <row r="537" spans="1:9" ht="15.75" hidden="1" customHeight="1" thickTop="1" x14ac:dyDescent="0.25">
      <c r="A537" s="180" t="s">
        <v>4167</v>
      </c>
      <c r="D537" s="1836" t="s">
        <v>4168</v>
      </c>
      <c r="E537" s="1296">
        <f>'Verification Report'!O538</f>
        <v>0</v>
      </c>
      <c r="F537" s="1313" t="str">
        <f>IF(LEN('Verification Report'!W538)=0,"",'Verification Report'!W538)</f>
        <v/>
      </c>
      <c r="G537" s="1260" t="s">
        <v>247</v>
      </c>
    </row>
    <row r="538" spans="1:9" ht="15.75" hidden="1" thickBot="1" x14ac:dyDescent="0.3">
      <c r="D538" s="1836"/>
      <c r="E538" s="1295"/>
      <c r="F538" s="94"/>
      <c r="G538" s="1260" t="s">
        <v>247</v>
      </c>
    </row>
    <row r="539" spans="1:9" ht="15.75" hidden="1" thickBot="1" x14ac:dyDescent="0.3">
      <c r="D539" s="1556" t="s">
        <v>4169</v>
      </c>
      <c r="E539" s="1294"/>
      <c r="F539" s="94"/>
      <c r="G539" s="1260" t="s">
        <v>247</v>
      </c>
    </row>
    <row r="540" spans="1:9" ht="15.75" customHeight="1" thickTop="1" x14ac:dyDescent="0.25">
      <c r="A540" s="180">
        <v>602.20000000000005</v>
      </c>
      <c r="B540" s="181"/>
      <c r="C540" s="182"/>
      <c r="D540" s="1781" t="s">
        <v>637</v>
      </c>
      <c r="E540" s="1298">
        <f>'Verification Report'!O541</f>
        <v>0</v>
      </c>
      <c r="F540" s="94"/>
      <c r="G540" s="585" t="str">
        <f>IF(E540&gt;0,"P","")</f>
        <v/>
      </c>
    </row>
    <row r="541" spans="1:9" x14ac:dyDescent="0.25">
      <c r="A541" s="130"/>
      <c r="B541" s="129"/>
      <c r="C541" s="1139"/>
      <c r="D541" s="1782"/>
      <c r="E541" s="1296"/>
      <c r="F541" s="94"/>
      <c r="G541" s="585" t="str">
        <f>G540</f>
        <v/>
      </c>
    </row>
    <row r="542" spans="1:9" x14ac:dyDescent="0.25">
      <c r="A542" s="130"/>
      <c r="B542" s="129"/>
      <c r="C542" s="1139"/>
      <c r="D542" s="1782"/>
      <c r="E542" s="1296"/>
      <c r="F542" s="94"/>
      <c r="G542" s="585" t="str">
        <f>G541</f>
        <v/>
      </c>
    </row>
    <row r="543" spans="1:9" x14ac:dyDescent="0.25">
      <c r="A543" s="130"/>
      <c r="B543" s="129"/>
      <c r="C543" s="1139"/>
      <c r="D543" s="1782"/>
      <c r="E543" s="1296"/>
      <c r="F543" s="94"/>
      <c r="G543" s="585" t="str">
        <f>G542</f>
        <v/>
      </c>
    </row>
    <row r="544" spans="1:9" ht="15" hidden="1" customHeight="1" x14ac:dyDescent="0.25">
      <c r="A544" s="64"/>
      <c r="B544" s="183" t="s">
        <v>256</v>
      </c>
      <c r="C544" s="1139"/>
      <c r="D544" s="1793" t="s">
        <v>638</v>
      </c>
      <c r="E544" s="1295"/>
      <c r="F544" s="1313" t="str">
        <f>IF(LEN('Verification Report'!W545)=0,"",'Verification Report'!W545)</f>
        <v/>
      </c>
      <c r="G544" s="1260" t="s">
        <v>247</v>
      </c>
    </row>
    <row r="545" spans="1:9" hidden="1" x14ac:dyDescent="0.25">
      <c r="A545" s="64"/>
      <c r="B545" s="206"/>
      <c r="C545" s="175"/>
      <c r="D545" s="1761"/>
      <c r="E545" s="1295"/>
      <c r="F545" s="94"/>
      <c r="G545" s="1260" t="s">
        <v>247</v>
      </c>
    </row>
    <row r="546" spans="1:9" ht="15.75" thickBot="1" x14ac:dyDescent="0.3">
      <c r="A546" s="64"/>
      <c r="B546" s="207" t="s">
        <v>258</v>
      </c>
      <c r="C546" s="208"/>
      <c r="D546" s="280" t="s">
        <v>639</v>
      </c>
      <c r="E546" s="1295"/>
      <c r="F546" s="1313" t="str">
        <f>IF(LEN('Verification Report'!W547)=0,"",'Verification Report'!W547)</f>
        <v/>
      </c>
      <c r="G546" s="585" t="str">
        <f>IF(AND(LEN(F546)&gt;0,NOT(F546=FALSE)),"P","")</f>
        <v/>
      </c>
      <c r="H546" s="1330" t="s">
        <v>5091</v>
      </c>
      <c r="I546" s="1527"/>
    </row>
    <row r="547" spans="1:9" ht="15" hidden="1" customHeight="1" x14ac:dyDescent="0.25">
      <c r="A547" s="64"/>
      <c r="B547" s="27" t="s">
        <v>260</v>
      </c>
      <c r="C547" s="1128"/>
      <c r="D547" s="1779" t="s">
        <v>640</v>
      </c>
      <c r="E547" s="1295"/>
      <c r="F547" s="1313" t="str">
        <f>IF(LEN('Verification Report'!W548)=0,"",'Verification Report'!W548)</f>
        <v/>
      </c>
      <c r="G547" s="1260" t="s">
        <v>247</v>
      </c>
    </row>
    <row r="548" spans="1:9" ht="15.75" hidden="1" thickBot="1" x14ac:dyDescent="0.3">
      <c r="A548" s="64"/>
      <c r="B548" s="4"/>
      <c r="C548" s="1128"/>
      <c r="D548" s="1779"/>
      <c r="E548" s="1295"/>
      <c r="F548" s="94"/>
      <c r="G548" s="1260" t="s">
        <v>247</v>
      </c>
    </row>
    <row r="549" spans="1:9" ht="15.75" hidden="1" thickBot="1" x14ac:dyDescent="0.3">
      <c r="A549" s="64"/>
      <c r="B549" s="4"/>
      <c r="C549" s="1128"/>
      <c r="D549" s="1779"/>
      <c r="E549" s="1295"/>
      <c r="F549" s="94"/>
      <c r="G549" s="1260" t="s">
        <v>247</v>
      </c>
    </row>
    <row r="550" spans="1:9" ht="15.75" customHeight="1" thickTop="1" x14ac:dyDescent="0.25">
      <c r="A550" s="180">
        <v>602.29999999999995</v>
      </c>
      <c r="B550" s="181"/>
      <c r="C550" s="182"/>
      <c r="D550" s="1781" t="s">
        <v>641</v>
      </c>
      <c r="E550" s="1298">
        <f>'Verification Report'!O551</f>
        <v>0</v>
      </c>
      <c r="F550" s="1313" t="str">
        <f>IF(LEN('Verification Report'!W551)=0,"",'Verification Report'!W551)</f>
        <v/>
      </c>
      <c r="G550" s="585" t="str">
        <f>IF(E550&gt;0,"P","")</f>
        <v/>
      </c>
    </row>
    <row r="551" spans="1:9" x14ac:dyDescent="0.25">
      <c r="A551" s="130"/>
      <c r="B551" s="129"/>
      <c r="C551" s="1139"/>
      <c r="D551" s="1782"/>
      <c r="E551" s="1296"/>
      <c r="F551" s="94"/>
      <c r="G551" s="585" t="str">
        <f>G550</f>
        <v/>
      </c>
      <c r="H551" s="1330" t="s">
        <v>5092</v>
      </c>
      <c r="I551" s="1527"/>
    </row>
    <row r="552" spans="1:9" x14ac:dyDescent="0.25">
      <c r="A552" s="130"/>
      <c r="B552" s="129"/>
      <c r="C552" s="1139"/>
      <c r="D552" s="1782"/>
      <c r="E552" s="1296"/>
      <c r="F552" s="94"/>
      <c r="G552" s="585" t="str">
        <f>G551</f>
        <v/>
      </c>
    </row>
    <row r="553" spans="1:9" ht="15.75" hidden="1" thickTop="1" x14ac:dyDescent="0.25">
      <c r="A553" s="180">
        <v>602.4</v>
      </c>
      <c r="B553" s="181"/>
      <c r="C553" s="182"/>
      <c r="D553" s="1569" t="s">
        <v>642</v>
      </c>
      <c r="E553" s="1298"/>
      <c r="F553" s="94"/>
      <c r="G553" s="1328" t="s">
        <v>247</v>
      </c>
    </row>
    <row r="554" spans="1:9" ht="15" customHeight="1" x14ac:dyDescent="0.25">
      <c r="A554" s="130" t="s">
        <v>643</v>
      </c>
      <c r="B554" s="129"/>
      <c r="C554" s="1139"/>
      <c r="D554" s="1782" t="s">
        <v>644</v>
      </c>
      <c r="E554" s="1295"/>
      <c r="F554" s="1313" t="str">
        <f>IF(LEN('Verification Report'!W555)=0,"",'Verification Report'!W555)</f>
        <v/>
      </c>
      <c r="G554" s="585" t="str">
        <f>IF(AND(LEN(F554)&gt;0,NOT(F554=FALSE)),"P","")</f>
        <v/>
      </c>
      <c r="H554" s="1330" t="s">
        <v>5093</v>
      </c>
      <c r="I554" s="1527"/>
    </row>
    <row r="555" spans="1:9" x14ac:dyDescent="0.25">
      <c r="A555" s="130"/>
      <c r="B555" s="129"/>
      <c r="C555" s="1139"/>
      <c r="D555" s="1782"/>
      <c r="E555" s="1295"/>
      <c r="F555" s="94"/>
      <c r="G555" s="585" t="str">
        <f>G554</f>
        <v/>
      </c>
    </row>
    <row r="556" spans="1:9" x14ac:dyDescent="0.25">
      <c r="A556" s="130"/>
      <c r="B556" s="129"/>
      <c r="C556" s="1139"/>
      <c r="D556" s="1782"/>
      <c r="E556" s="1295"/>
      <c r="F556" s="94"/>
      <c r="G556" s="585" t="str">
        <f>G555</f>
        <v/>
      </c>
    </row>
    <row r="557" spans="1:9" x14ac:dyDescent="0.25">
      <c r="A557" s="130"/>
      <c r="B557" s="129"/>
      <c r="C557" s="1139"/>
      <c r="D557" s="1782"/>
      <c r="E557" s="1295"/>
      <c r="F557" s="94"/>
      <c r="G557" s="585" t="str">
        <f>G556</f>
        <v/>
      </c>
    </row>
    <row r="558" spans="1:9" x14ac:dyDescent="0.25">
      <c r="A558" s="215"/>
      <c r="B558" s="210"/>
      <c r="C558" s="175"/>
      <c r="D558" s="1843"/>
      <c r="E558" s="1295"/>
      <c r="F558" s="94"/>
      <c r="G558" s="585" t="str">
        <f>G557</f>
        <v/>
      </c>
    </row>
    <row r="559" spans="1:9" ht="15" customHeight="1" x14ac:dyDescent="0.25">
      <c r="A559" s="130" t="s">
        <v>645</v>
      </c>
      <c r="B559" s="129"/>
      <c r="C559" s="1139"/>
      <c r="D559" s="1782" t="s">
        <v>646</v>
      </c>
      <c r="E559" s="1296">
        <f>'Verification Report'!O560</f>
        <v>0</v>
      </c>
      <c r="F559" s="1313" t="str">
        <f>IF(LEN('Verification Report'!W560)=0,"",'Verification Report'!W560)</f>
        <v/>
      </c>
      <c r="G559" s="585" t="str">
        <f>IF(E559&gt;0,"P","")</f>
        <v/>
      </c>
      <c r="H559" s="1330" t="s">
        <v>5093</v>
      </c>
      <c r="I559" s="1527"/>
    </row>
    <row r="560" spans="1:9" x14ac:dyDescent="0.25">
      <c r="A560" s="215"/>
      <c r="B560" s="210"/>
      <c r="C560" s="175"/>
      <c r="D560" s="1843"/>
      <c r="E560" s="1297"/>
      <c r="F560" s="94"/>
      <c r="G560" s="585" t="str">
        <f>G559</f>
        <v/>
      </c>
    </row>
    <row r="561" spans="1:9" ht="15" customHeight="1" thickBot="1" x14ac:dyDescent="0.3">
      <c r="A561" s="64" t="s">
        <v>647</v>
      </c>
      <c r="B561" s="4"/>
      <c r="C561" s="1128"/>
      <c r="D561" s="1563" t="s">
        <v>648</v>
      </c>
      <c r="E561" s="1295">
        <f>'Verification Report'!O562</f>
        <v>0</v>
      </c>
      <c r="F561" s="1313" t="str">
        <f>IF(LEN('Verification Report'!W562)=0,"",'Verification Report'!W562)</f>
        <v/>
      </c>
      <c r="G561" s="585" t="str">
        <f>IF(E561&gt;0,"P","")</f>
        <v/>
      </c>
      <c r="H561" s="1330" t="s">
        <v>5094</v>
      </c>
      <c r="I561" s="1527"/>
    </row>
    <row r="562" spans="1:9" ht="19.5" hidden="1" thickBot="1" x14ac:dyDescent="0.35">
      <c r="A562" s="69" t="s">
        <v>649</v>
      </c>
      <c r="B562" s="23"/>
      <c r="C562" s="82"/>
      <c r="D562" s="229"/>
      <c r="E562" s="1043"/>
      <c r="F562" s="94"/>
      <c r="G562" s="1260" t="s">
        <v>247</v>
      </c>
    </row>
    <row r="563" spans="1:9" ht="15" hidden="1" customHeight="1" x14ac:dyDescent="0.25">
      <c r="A563" s="667" t="s">
        <v>3983</v>
      </c>
      <c r="B563" s="4"/>
      <c r="C563" s="1128"/>
      <c r="D563" s="1796" t="s">
        <v>650</v>
      </c>
      <c r="E563" s="1295"/>
      <c r="F563" s="94"/>
      <c r="G563" s="1260" t="s">
        <v>247</v>
      </c>
    </row>
    <row r="564" spans="1:9" ht="15.75" hidden="1" thickBot="1" x14ac:dyDescent="0.3">
      <c r="A564" s="64"/>
      <c r="B564" s="4"/>
      <c r="C564" s="1128"/>
      <c r="D564" s="1796"/>
      <c r="E564" s="1295"/>
      <c r="F564" s="94"/>
      <c r="G564" s="1260" t="s">
        <v>247</v>
      </c>
    </row>
    <row r="565" spans="1:9" ht="15.75" hidden="1" customHeight="1" thickTop="1" x14ac:dyDescent="0.25">
      <c r="A565" s="180">
        <v>603.1</v>
      </c>
      <c r="B565" s="181"/>
      <c r="C565" s="182"/>
      <c r="D565" s="1781" t="s">
        <v>651</v>
      </c>
      <c r="E565" s="1298">
        <f>'Verification Report'!O566</f>
        <v>0</v>
      </c>
      <c r="F565" s="1313" t="str">
        <f>IF(LEN('Verification Report'!W566)=0,"",'Verification Report'!W566)</f>
        <v/>
      </c>
      <c r="G565" s="1260" t="s">
        <v>247</v>
      </c>
    </row>
    <row r="566" spans="1:9" ht="15.75" hidden="1" thickBot="1" x14ac:dyDescent="0.3">
      <c r="A566" s="130"/>
      <c r="B566" s="129"/>
      <c r="C566" s="1139"/>
      <c r="D566" s="1782"/>
      <c r="E566" s="1296"/>
      <c r="F566" s="94"/>
      <c r="G566" s="1260" t="s">
        <v>247</v>
      </c>
    </row>
    <row r="567" spans="1:9" ht="15.75" hidden="1" thickBot="1" x14ac:dyDescent="0.3">
      <c r="A567" s="130"/>
      <c r="B567" s="129"/>
      <c r="C567" s="1139"/>
      <c r="D567" s="1560" t="s">
        <v>652</v>
      </c>
      <c r="E567" s="1296"/>
      <c r="F567" s="94"/>
      <c r="G567" s="1260" t="s">
        <v>247</v>
      </c>
    </row>
    <row r="568" spans="1:9" ht="15" hidden="1" customHeight="1" x14ac:dyDescent="0.25">
      <c r="A568" s="130"/>
      <c r="B568" s="129"/>
      <c r="C568" s="1139"/>
      <c r="D568" s="1849" t="s">
        <v>3055</v>
      </c>
      <c r="E568" s="1296"/>
      <c r="F568" s="94"/>
      <c r="G568" s="1260" t="s">
        <v>247</v>
      </c>
    </row>
    <row r="569" spans="1:9" ht="15.75" hidden="1" thickBot="1" x14ac:dyDescent="0.3">
      <c r="A569" s="130"/>
      <c r="B569" s="129"/>
      <c r="C569" s="1139"/>
      <c r="D569" s="1850"/>
      <c r="E569" s="1296"/>
      <c r="F569" s="94"/>
      <c r="G569" s="1260" t="s">
        <v>247</v>
      </c>
    </row>
    <row r="570" spans="1:9" ht="15.75" hidden="1" thickBot="1" x14ac:dyDescent="0.3">
      <c r="A570" s="130"/>
      <c r="B570" s="129"/>
      <c r="C570" s="1139"/>
      <c r="D570" s="1850"/>
      <c r="E570" s="1296"/>
      <c r="F570" s="94"/>
      <c r="G570" s="1260" t="s">
        <v>247</v>
      </c>
    </row>
    <row r="571" spans="1:9" ht="15.75" hidden="1" customHeight="1" thickTop="1" x14ac:dyDescent="0.25">
      <c r="A571" s="180">
        <v>603.20000000000005</v>
      </c>
      <c r="B571" s="181"/>
      <c r="C571" s="182"/>
      <c r="D571" s="1781" t="s">
        <v>653</v>
      </c>
      <c r="E571" s="1298">
        <f>'Verification Report'!O572</f>
        <v>0</v>
      </c>
      <c r="F571" s="1313" t="str">
        <f>IF(LEN('Verification Report'!W572)=0,"",'Verification Report'!W572)</f>
        <v/>
      </c>
      <c r="G571" s="1260" t="s">
        <v>247</v>
      </c>
    </row>
    <row r="572" spans="1:9" ht="15.75" hidden="1" thickBot="1" x14ac:dyDescent="0.3">
      <c r="A572" s="130"/>
      <c r="B572" s="129"/>
      <c r="C572" s="1139"/>
      <c r="D572" s="1782"/>
      <c r="E572" s="1296"/>
      <c r="F572" s="94"/>
      <c r="G572" s="1260" t="s">
        <v>247</v>
      </c>
    </row>
    <row r="573" spans="1:9" ht="15.75" hidden="1" thickBot="1" x14ac:dyDescent="0.3">
      <c r="A573" s="130"/>
      <c r="B573" s="129"/>
      <c r="C573" s="1139"/>
      <c r="D573" s="1782"/>
      <c r="E573" s="1296"/>
      <c r="F573" s="94"/>
      <c r="G573" s="1260" t="s">
        <v>247</v>
      </c>
    </row>
    <row r="574" spans="1:9" ht="15" hidden="1" customHeight="1" x14ac:dyDescent="0.25">
      <c r="A574" s="130"/>
      <c r="B574" s="129"/>
      <c r="C574" s="1139"/>
      <c r="D574" s="1576" t="s">
        <v>3057</v>
      </c>
      <c r="E574" s="1296"/>
      <c r="F574" s="94"/>
      <c r="G574" s="1260" t="s">
        <v>247</v>
      </c>
    </row>
    <row r="575" spans="1:9" ht="15" hidden="1" customHeight="1" x14ac:dyDescent="0.25">
      <c r="A575" s="130"/>
      <c r="B575" s="129"/>
      <c r="C575" s="1139"/>
      <c r="D575" s="1849" t="s">
        <v>3055</v>
      </c>
      <c r="E575" s="1296"/>
      <c r="F575" s="94"/>
      <c r="G575" s="1260" t="s">
        <v>247</v>
      </c>
    </row>
    <row r="576" spans="1:9" ht="15.75" hidden="1" thickBot="1" x14ac:dyDescent="0.3">
      <c r="A576" s="130"/>
      <c r="B576" s="129"/>
      <c r="C576" s="1139"/>
      <c r="D576" s="1850"/>
      <c r="E576" s="1296"/>
      <c r="F576" s="94"/>
      <c r="G576" s="1260" t="s">
        <v>247</v>
      </c>
    </row>
    <row r="577" spans="1:7" ht="15.75" hidden="1" thickBot="1" x14ac:dyDescent="0.3">
      <c r="A577" s="130"/>
      <c r="B577" s="129"/>
      <c r="C577" s="1139"/>
      <c r="D577" s="1850"/>
      <c r="E577" s="1296"/>
      <c r="F577" s="94"/>
      <c r="G577" s="1260" t="s">
        <v>247</v>
      </c>
    </row>
    <row r="578" spans="1:7" ht="15.75" hidden="1" customHeight="1" thickTop="1" x14ac:dyDescent="0.25">
      <c r="A578" s="180">
        <v>603.29999999999995</v>
      </c>
      <c r="B578" s="181"/>
      <c r="C578" s="182"/>
      <c r="D578" s="1781" t="s">
        <v>654</v>
      </c>
      <c r="E578" s="1298">
        <f>'Verification Report'!O579</f>
        <v>0</v>
      </c>
      <c r="F578" s="1313" t="str">
        <f>IF(LEN('Verification Report'!W579)=0,"",'Verification Report'!W579)</f>
        <v/>
      </c>
      <c r="G578" s="1260" t="s">
        <v>247</v>
      </c>
    </row>
    <row r="579" spans="1:7" ht="15.75" hidden="1" thickBot="1" x14ac:dyDescent="0.3">
      <c r="A579" s="130"/>
      <c r="B579" s="129"/>
      <c r="C579" s="1139"/>
      <c r="D579" s="1782"/>
      <c r="E579" s="1296"/>
      <c r="F579" s="94"/>
      <c r="G579" s="1260" t="s">
        <v>247</v>
      </c>
    </row>
    <row r="580" spans="1:7" ht="15" hidden="1" customHeight="1" x14ac:dyDescent="0.25">
      <c r="A580" s="130"/>
      <c r="B580" s="129"/>
      <c r="C580" s="1139"/>
      <c r="D580" s="1559" t="s">
        <v>3053</v>
      </c>
      <c r="E580" s="1296"/>
      <c r="F580" s="94"/>
      <c r="G580" s="1260" t="s">
        <v>247</v>
      </c>
    </row>
    <row r="581" spans="1:7" ht="19.5" hidden="1" thickBot="1" x14ac:dyDescent="0.35">
      <c r="A581" s="14" t="s">
        <v>655</v>
      </c>
      <c r="B581" s="23"/>
      <c r="C581" s="82"/>
      <c r="D581" s="229"/>
      <c r="E581" s="1043"/>
      <c r="F581" s="94"/>
      <c r="G581" s="1260" t="s">
        <v>247</v>
      </c>
    </row>
    <row r="582" spans="1:7" ht="15" hidden="1" customHeight="1" x14ac:dyDescent="0.25">
      <c r="A582" s="64">
        <v>604.1</v>
      </c>
      <c r="B582" s="4"/>
      <c r="C582" s="1128"/>
      <c r="D582" s="1796" t="s">
        <v>656</v>
      </c>
      <c r="E582" s="1295">
        <f>'Verification Report'!O583</f>
        <v>0</v>
      </c>
      <c r="F582" s="94"/>
      <c r="G582" s="1260" t="s">
        <v>247</v>
      </c>
    </row>
    <row r="583" spans="1:7" ht="15.75" hidden="1" thickBot="1" x14ac:dyDescent="0.3">
      <c r="A583" s="64"/>
      <c r="B583" s="4"/>
      <c r="C583" s="1128"/>
      <c r="D583" s="1796"/>
      <c r="E583" s="1295"/>
      <c r="F583" s="1313" t="str">
        <f>IF(LEN('Verification Report'!W584)=0,"",'Verification Report'!W584)</f>
        <v/>
      </c>
      <c r="G583" s="1260" t="s">
        <v>247</v>
      </c>
    </row>
    <row r="584" spans="1:7" ht="15.75" hidden="1" thickBot="1" x14ac:dyDescent="0.3">
      <c r="A584" s="64"/>
      <c r="B584" s="4"/>
      <c r="C584" s="1128"/>
      <c r="D584" s="1550" t="s">
        <v>3067</v>
      </c>
      <c r="E584" s="1295"/>
      <c r="F584" s="94"/>
      <c r="G584" s="1260" t="s">
        <v>247</v>
      </c>
    </row>
    <row r="585" spans="1:7" ht="15.75" hidden="1" thickBot="1" x14ac:dyDescent="0.3">
      <c r="A585" s="64"/>
      <c r="B585" s="4"/>
      <c r="C585" s="1128"/>
      <c r="D585" s="262" t="s">
        <v>3064</v>
      </c>
      <c r="E585" s="1295"/>
      <c r="F585" s="1313" t="str">
        <f>IF(LEN('Verification Report'!W586)=0,"",'Verification Report'!W586)</f>
        <v/>
      </c>
      <c r="G585" s="1260" t="s">
        <v>247</v>
      </c>
    </row>
    <row r="586" spans="1:7" ht="15" hidden="1" customHeight="1" x14ac:dyDescent="0.25">
      <c r="A586" s="64"/>
      <c r="B586" s="4"/>
      <c r="C586" s="1128"/>
      <c r="D586" s="1804" t="s">
        <v>3066</v>
      </c>
      <c r="E586" s="1295"/>
      <c r="F586" s="94"/>
      <c r="G586" s="1260" t="s">
        <v>247</v>
      </c>
    </row>
    <row r="587" spans="1:7" ht="15.75" hidden="1" thickBot="1" x14ac:dyDescent="0.3">
      <c r="A587" s="64"/>
      <c r="B587" s="4"/>
      <c r="C587" s="1128"/>
      <c r="D587" s="1804"/>
      <c r="E587" s="1295"/>
      <c r="F587" s="1313" t="str">
        <f>IF(LEN('Verification Report'!W588)=0,"",'Verification Report'!W588)</f>
        <v/>
      </c>
      <c r="G587" s="1260" t="s">
        <v>247</v>
      </c>
    </row>
    <row r="588" spans="1:7" ht="15.75" hidden="1" thickBot="1" x14ac:dyDescent="0.3">
      <c r="A588" s="64"/>
      <c r="B588" s="4"/>
      <c r="C588" s="1128"/>
      <c r="D588" s="1531"/>
      <c r="E588" s="1295"/>
      <c r="F588" s="94"/>
      <c r="G588" s="1260" t="s">
        <v>247</v>
      </c>
    </row>
    <row r="589" spans="1:7" ht="15.75" hidden="1" thickBot="1" x14ac:dyDescent="0.3">
      <c r="A589" s="64"/>
      <c r="B589" s="4"/>
      <c r="C589" s="1128"/>
      <c r="D589" s="1531"/>
      <c r="E589" s="1295"/>
      <c r="F589" s="1313" t="str">
        <f>IF(LEN('Verification Report'!W590)=0,"",'Verification Report'!W590)</f>
        <v/>
      </c>
      <c r="G589" s="1260" t="s">
        <v>247</v>
      </c>
    </row>
    <row r="590" spans="1:7" ht="19.5" hidden="1" thickBot="1" x14ac:dyDescent="0.35">
      <c r="A590" s="14" t="s">
        <v>657</v>
      </c>
      <c r="B590" s="23"/>
      <c r="C590" s="82"/>
      <c r="D590" s="228"/>
      <c r="E590" s="1043"/>
      <c r="F590" s="94"/>
      <c r="G590" s="1260" t="s">
        <v>247</v>
      </c>
    </row>
    <row r="591" spans="1:7" ht="15.75" hidden="1" thickBot="1" x14ac:dyDescent="0.3">
      <c r="A591" s="78" t="s">
        <v>3982</v>
      </c>
      <c r="B591" s="240"/>
      <c r="C591" s="97"/>
      <c r="D591" s="1548" t="s">
        <v>4170</v>
      </c>
      <c r="E591" s="1294"/>
      <c r="F591" s="94"/>
      <c r="G591" s="1260" t="s">
        <v>247</v>
      </c>
    </row>
    <row r="592" spans="1:7" ht="15.75" hidden="1" customHeight="1" thickTop="1" x14ac:dyDescent="0.25">
      <c r="A592" s="180">
        <v>605.1</v>
      </c>
      <c r="B592" s="4"/>
      <c r="C592" s="1128"/>
      <c r="D592" s="1836" t="s">
        <v>4171</v>
      </c>
      <c r="E592" s="1296"/>
      <c r="F592" s="1313" t="str">
        <f>IF(LEN('Verification Report'!W593)=0,"",'Verification Report'!W593)</f>
        <v/>
      </c>
      <c r="G592" s="1260" t="s">
        <v>247</v>
      </c>
    </row>
    <row r="593" spans="1:7" ht="15.75" hidden="1" thickBot="1" x14ac:dyDescent="0.3">
      <c r="A593" s="78"/>
      <c r="B593" s="4"/>
      <c r="C593" s="1128"/>
      <c r="D593" s="1836"/>
      <c r="E593" s="1295"/>
      <c r="F593" s="94"/>
      <c r="G593" s="1260" t="s">
        <v>247</v>
      </c>
    </row>
    <row r="594" spans="1:7" ht="15.75" hidden="1" thickBot="1" x14ac:dyDescent="0.3">
      <c r="A594" s="78"/>
      <c r="B594" s="4"/>
      <c r="C594" s="1128"/>
      <c r="D594" s="1836"/>
      <c r="E594" s="1295"/>
      <c r="F594" s="94"/>
      <c r="G594" s="1260" t="s">
        <v>247</v>
      </c>
    </row>
    <row r="595" spans="1:7" ht="15.75" hidden="1" customHeight="1" thickTop="1" x14ac:dyDescent="0.25">
      <c r="A595" s="180">
        <v>605.20000000000005</v>
      </c>
      <c r="B595" s="181"/>
      <c r="C595" s="182"/>
      <c r="D595" s="1781" t="s">
        <v>4172</v>
      </c>
      <c r="E595" s="1298">
        <f>'Verification Report'!O596</f>
        <v>0</v>
      </c>
      <c r="F595" s="1313" t="str">
        <f>IF(LEN('Verification Report'!W596)=0,"",'Verification Report'!W596)</f>
        <v/>
      </c>
      <c r="G595" s="1260" t="s">
        <v>247</v>
      </c>
    </row>
    <row r="596" spans="1:7" ht="15.75" hidden="1" thickBot="1" x14ac:dyDescent="0.3">
      <c r="A596" s="64"/>
      <c r="B596" s="4"/>
      <c r="C596" s="1128"/>
      <c r="D596" s="1796"/>
      <c r="E596" s="1296"/>
      <c r="F596" s="94"/>
      <c r="G596" s="1260" t="s">
        <v>247</v>
      </c>
    </row>
    <row r="597" spans="1:7" ht="15.75" hidden="1" thickBot="1" x14ac:dyDescent="0.3">
      <c r="A597" s="64"/>
      <c r="B597" s="4"/>
      <c r="C597" s="1128"/>
      <c r="D597" s="1796"/>
      <c r="E597" s="1296"/>
      <c r="F597" s="94"/>
      <c r="G597" s="1260" t="s">
        <v>247</v>
      </c>
    </row>
    <row r="598" spans="1:7" ht="15.75" hidden="1" thickBot="1" x14ac:dyDescent="0.3">
      <c r="A598" s="64"/>
      <c r="B598" s="4"/>
      <c r="C598" s="1128"/>
      <c r="D598" s="1796"/>
      <c r="E598" s="1296"/>
      <c r="F598" s="94"/>
      <c r="G598" s="1260" t="s">
        <v>247</v>
      </c>
    </row>
    <row r="599" spans="1:7" ht="15.75" hidden="1" thickBot="1" x14ac:dyDescent="0.3">
      <c r="A599" s="64"/>
      <c r="B599" s="4"/>
      <c r="C599" s="1128"/>
      <c r="D599" s="1796"/>
      <c r="E599" s="1296"/>
      <c r="F599" s="94"/>
      <c r="G599" s="1260" t="s">
        <v>247</v>
      </c>
    </row>
    <row r="600" spans="1:7" ht="15.75" hidden="1" thickBot="1" x14ac:dyDescent="0.3">
      <c r="A600" s="64"/>
      <c r="B600" s="4"/>
      <c r="C600" s="1128"/>
      <c r="D600" s="1796"/>
      <c r="E600" s="1296"/>
      <c r="F600" s="94"/>
      <c r="G600" s="1260" t="s">
        <v>247</v>
      </c>
    </row>
    <row r="601" spans="1:7" ht="15" hidden="1" customHeight="1" x14ac:dyDescent="0.25">
      <c r="A601" s="130"/>
      <c r="B601" s="129"/>
      <c r="C601" s="1139"/>
      <c r="D601" s="1779" t="s">
        <v>4176</v>
      </c>
      <c r="E601" s="1296"/>
      <c r="F601" s="94"/>
      <c r="G601" s="1260" t="s">
        <v>247</v>
      </c>
    </row>
    <row r="602" spans="1:7" ht="15.75" hidden="1" thickBot="1" x14ac:dyDescent="0.3">
      <c r="A602" s="130"/>
      <c r="B602" s="129"/>
      <c r="C602" s="1139"/>
      <c r="D602" s="1779"/>
      <c r="E602" s="1296"/>
      <c r="F602" s="94"/>
      <c r="G602" s="1260" t="s">
        <v>247</v>
      </c>
    </row>
    <row r="603" spans="1:7" ht="15.75" hidden="1" thickBot="1" x14ac:dyDescent="0.3">
      <c r="A603" s="130"/>
      <c r="B603" s="129"/>
      <c r="C603" s="1139"/>
      <c r="D603" s="1779"/>
      <c r="E603" s="1296"/>
      <c r="F603" s="94"/>
      <c r="G603" s="1260" t="s">
        <v>247</v>
      </c>
    </row>
    <row r="604" spans="1:7" ht="15.75" hidden="1" thickBot="1" x14ac:dyDescent="0.3">
      <c r="A604" s="130"/>
      <c r="B604" s="129"/>
      <c r="C604" s="1139"/>
      <c r="D604" s="1779"/>
      <c r="E604" s="1296"/>
      <c r="F604" s="94"/>
      <c r="G604" s="1260" t="s">
        <v>247</v>
      </c>
    </row>
    <row r="605" spans="1:7" ht="15.75" hidden="1" thickBot="1" x14ac:dyDescent="0.3">
      <c r="A605" s="130"/>
      <c r="B605" s="129"/>
      <c r="C605" s="1139"/>
      <c r="D605" s="1564" t="s">
        <v>658</v>
      </c>
      <c r="E605" s="1296"/>
      <c r="F605" s="94"/>
      <c r="G605" s="1260" t="s">
        <v>247</v>
      </c>
    </row>
    <row r="606" spans="1:7" ht="15" hidden="1" customHeight="1" x14ac:dyDescent="0.25">
      <c r="A606" s="130"/>
      <c r="B606" s="183" t="s">
        <v>256</v>
      </c>
      <c r="C606" s="1139"/>
      <c r="D606" s="1779" t="s">
        <v>4177</v>
      </c>
      <c r="E606" s="1296"/>
      <c r="F606" s="94"/>
      <c r="G606" s="1260" t="s">
        <v>247</v>
      </c>
    </row>
    <row r="607" spans="1:7" ht="15.75" hidden="1" thickBot="1" x14ac:dyDescent="0.3">
      <c r="A607" s="130"/>
      <c r="B607" s="129"/>
      <c r="C607" s="1139"/>
      <c r="D607" s="1779"/>
      <c r="E607" s="1296"/>
      <c r="F607" s="94"/>
      <c r="G607" s="1260" t="s">
        <v>247</v>
      </c>
    </row>
    <row r="608" spans="1:7" ht="15" hidden="1" customHeight="1" x14ac:dyDescent="0.25">
      <c r="A608" s="130"/>
      <c r="B608" s="183" t="s">
        <v>258</v>
      </c>
      <c r="C608" s="1139"/>
      <c r="D608" s="1754" t="s">
        <v>659</v>
      </c>
      <c r="E608" s="1296"/>
      <c r="F608" s="1313" t="str">
        <f>IF(LEN('Verification Report'!W609)=0,"",'Verification Report'!W609)</f>
        <v/>
      </c>
      <c r="G608" s="1260" t="s">
        <v>247</v>
      </c>
    </row>
    <row r="609" spans="1:7" ht="15.75" hidden="1" thickBot="1" x14ac:dyDescent="0.3">
      <c r="A609" s="130"/>
      <c r="B609" s="129"/>
      <c r="C609" s="1139"/>
      <c r="D609" s="1754"/>
      <c r="E609" s="1296"/>
      <c r="F609" s="94"/>
      <c r="G609" s="1260" t="s">
        <v>247</v>
      </c>
    </row>
    <row r="610" spans="1:7" ht="15.75" hidden="1" customHeight="1" thickTop="1" x14ac:dyDescent="0.25">
      <c r="A610" s="180">
        <v>605.29999999999995</v>
      </c>
      <c r="B610" s="181"/>
      <c r="C610" s="182"/>
      <c r="D610" s="1781" t="s">
        <v>4173</v>
      </c>
      <c r="E610" s="1298">
        <f>'Verification Report'!O611</f>
        <v>0</v>
      </c>
      <c r="F610" s="1313" t="str">
        <f>IF(LEN('Verification Report'!W611)=0,"",'Verification Report'!W611)</f>
        <v/>
      </c>
      <c r="G610" s="1260" t="s">
        <v>247</v>
      </c>
    </row>
    <row r="611" spans="1:7" ht="15.75" hidden="1" thickBot="1" x14ac:dyDescent="0.3">
      <c r="A611" s="64"/>
      <c r="B611" s="4"/>
      <c r="C611" s="1128"/>
      <c r="D611" s="1796"/>
      <c r="E611" s="1296"/>
      <c r="F611" s="94"/>
      <c r="G611" s="1260" t="s">
        <v>247</v>
      </c>
    </row>
    <row r="612" spans="1:7" ht="15" hidden="1" customHeight="1" x14ac:dyDescent="0.25">
      <c r="A612" s="130"/>
      <c r="B612" s="129"/>
      <c r="C612" s="91" t="s">
        <v>121</v>
      </c>
      <c r="D612" s="1754" t="s">
        <v>660</v>
      </c>
      <c r="E612" s="1296"/>
      <c r="F612" s="94"/>
      <c r="G612" s="1260" t="s">
        <v>247</v>
      </c>
    </row>
    <row r="613" spans="1:7" ht="15.75" hidden="1" thickBot="1" x14ac:dyDescent="0.3">
      <c r="A613" s="130"/>
      <c r="B613" s="129"/>
      <c r="C613" s="1139"/>
      <c r="D613" s="1754"/>
      <c r="E613" s="1296"/>
      <c r="F613" s="94"/>
      <c r="G613" s="1260" t="s">
        <v>247</v>
      </c>
    </row>
    <row r="614" spans="1:7" ht="15.75" hidden="1" thickBot="1" x14ac:dyDescent="0.3">
      <c r="A614" s="130"/>
      <c r="B614" s="129"/>
      <c r="C614" s="175"/>
      <c r="D614" s="1755"/>
      <c r="E614" s="1296"/>
      <c r="F614" s="94"/>
      <c r="G614" s="1260" t="s">
        <v>247</v>
      </c>
    </row>
    <row r="615" spans="1:7" ht="15.75" hidden="1" thickBot="1" x14ac:dyDescent="0.3">
      <c r="A615" s="130"/>
      <c r="B615" s="129"/>
      <c r="C615" s="212" t="s">
        <v>122</v>
      </c>
      <c r="D615" s="280" t="s">
        <v>661</v>
      </c>
      <c r="E615" s="1296"/>
      <c r="F615" s="94"/>
      <c r="G615" s="1260" t="s">
        <v>247</v>
      </c>
    </row>
    <row r="616" spans="1:7" ht="15" hidden="1" customHeight="1" x14ac:dyDescent="0.25">
      <c r="A616" s="130"/>
      <c r="B616" s="129"/>
      <c r="C616" s="110" t="s">
        <v>123</v>
      </c>
      <c r="D616" s="1754" t="s">
        <v>662</v>
      </c>
      <c r="E616" s="1296"/>
      <c r="F616" s="94"/>
      <c r="G616" s="1260" t="s">
        <v>247</v>
      </c>
    </row>
    <row r="617" spans="1:7" ht="15.75" hidden="1" thickBot="1" x14ac:dyDescent="0.3">
      <c r="A617" s="130"/>
      <c r="B617" s="129"/>
      <c r="C617" s="187"/>
      <c r="D617" s="1754"/>
      <c r="E617" s="1296"/>
      <c r="F617" s="94"/>
      <c r="G617" s="1260" t="s">
        <v>247</v>
      </c>
    </row>
    <row r="618" spans="1:7" ht="15.75" hidden="1" thickBot="1" x14ac:dyDescent="0.3">
      <c r="A618" s="130"/>
      <c r="B618" s="129"/>
      <c r="C618" s="1139"/>
      <c r="D618" s="1754"/>
      <c r="E618" s="1296"/>
      <c r="F618" s="94"/>
      <c r="G618" s="1260" t="s">
        <v>247</v>
      </c>
    </row>
    <row r="619" spans="1:7" ht="15.75" hidden="1" customHeight="1" thickTop="1" x14ac:dyDescent="0.25">
      <c r="A619" s="180">
        <v>605.4</v>
      </c>
      <c r="B619" s="181"/>
      <c r="C619" s="182"/>
      <c r="D619" s="1781" t="s">
        <v>4174</v>
      </c>
      <c r="E619" s="1298">
        <f>'Verification Report'!O620</f>
        <v>0</v>
      </c>
      <c r="F619" s="94"/>
      <c r="G619" s="1260" t="s">
        <v>247</v>
      </c>
    </row>
    <row r="620" spans="1:7" ht="15.75" hidden="1" thickBot="1" x14ac:dyDescent="0.3">
      <c r="A620" s="64"/>
      <c r="B620" s="4"/>
      <c r="C620" s="1128"/>
      <c r="D620" s="1796"/>
      <c r="E620" s="1296"/>
      <c r="F620" s="94"/>
      <c r="G620" s="1260" t="s">
        <v>247</v>
      </c>
    </row>
    <row r="621" spans="1:7" ht="15.75" hidden="1" thickBot="1" x14ac:dyDescent="0.3">
      <c r="A621" s="64"/>
      <c r="B621" s="206" t="s">
        <v>256</v>
      </c>
      <c r="C621" s="175"/>
      <c r="D621" s="1536" t="s">
        <v>664</v>
      </c>
      <c r="E621" s="1295"/>
      <c r="F621" s="94"/>
      <c r="G621" s="1260" t="s">
        <v>247</v>
      </c>
    </row>
    <row r="622" spans="1:7" ht="15.75" hidden="1" thickBot="1" x14ac:dyDescent="0.3">
      <c r="A622" s="64"/>
      <c r="B622" s="27" t="s">
        <v>258</v>
      </c>
      <c r="C622" s="1128"/>
      <c r="D622" s="1554" t="s">
        <v>665</v>
      </c>
      <c r="E622" s="1295"/>
      <c r="F622" s="94"/>
      <c r="G622" s="1260" t="s">
        <v>247</v>
      </c>
    </row>
    <row r="623" spans="1:7" ht="15.75" hidden="1" thickBot="1" x14ac:dyDescent="0.3">
      <c r="A623" s="64"/>
      <c r="B623" s="4"/>
      <c r="C623" s="174" t="s">
        <v>121</v>
      </c>
      <c r="D623" s="1536" t="s">
        <v>3068</v>
      </c>
      <c r="E623" s="1295"/>
      <c r="F623" s="1313" t="str">
        <f>IF(LEN('Verification Report'!W624)=0,"",'Verification Report'!W624)</f>
        <v/>
      </c>
      <c r="G623" s="1260" t="s">
        <v>247</v>
      </c>
    </row>
    <row r="624" spans="1:7" ht="15.75" hidden="1" thickBot="1" x14ac:dyDescent="0.3">
      <c r="A624" s="64"/>
      <c r="B624" s="4"/>
      <c r="C624" s="212" t="s">
        <v>122</v>
      </c>
      <c r="D624" s="280" t="s">
        <v>3069</v>
      </c>
      <c r="E624" s="1295"/>
      <c r="F624" s="1313" t="str">
        <f>IF(LEN('Verification Report'!W625)=0,"",'Verification Report'!W625)</f>
        <v/>
      </c>
      <c r="G624" s="1260" t="s">
        <v>247</v>
      </c>
    </row>
    <row r="625" spans="1:7" ht="15.75" hidden="1" thickBot="1" x14ac:dyDescent="0.3">
      <c r="A625" s="64"/>
      <c r="B625" s="4"/>
      <c r="C625" s="217" t="s">
        <v>123</v>
      </c>
      <c r="D625" s="280" t="s">
        <v>3070</v>
      </c>
      <c r="E625" s="1295"/>
      <c r="F625" s="1313" t="str">
        <f>IF(LEN('Verification Report'!W626)=0,"",'Verification Report'!W626)</f>
        <v/>
      </c>
      <c r="G625" s="1260" t="s">
        <v>247</v>
      </c>
    </row>
    <row r="626" spans="1:7" ht="15.75" hidden="1" thickBot="1" x14ac:dyDescent="0.3">
      <c r="A626" s="64"/>
      <c r="B626" s="4"/>
      <c r="C626" s="218" t="s">
        <v>401</v>
      </c>
      <c r="D626" s="280" t="s">
        <v>3071</v>
      </c>
      <c r="E626" s="1295"/>
      <c r="F626" s="1313" t="str">
        <f>IF(LEN('Verification Report'!W627)=0,"",'Verification Report'!W627)</f>
        <v/>
      </c>
      <c r="G626" s="1260" t="s">
        <v>247</v>
      </c>
    </row>
    <row r="627" spans="1:7" ht="15.75" hidden="1" thickBot="1" x14ac:dyDescent="0.3">
      <c r="A627" s="64"/>
      <c r="B627" s="4"/>
      <c r="C627" s="212" t="s">
        <v>539</v>
      </c>
      <c r="D627" s="280" t="s">
        <v>3072</v>
      </c>
      <c r="E627" s="1295"/>
      <c r="F627" s="1313" t="str">
        <f>IF(LEN('Verification Report'!W628)=0,"",'Verification Report'!W628)</f>
        <v/>
      </c>
      <c r="G627" s="1260" t="s">
        <v>247</v>
      </c>
    </row>
    <row r="628" spans="1:7" ht="15.75" hidden="1" thickBot="1" x14ac:dyDescent="0.3">
      <c r="A628" s="64"/>
      <c r="B628" s="4"/>
      <c r="C628" s="212" t="s">
        <v>604</v>
      </c>
      <c r="D628" s="280" t="s">
        <v>3073</v>
      </c>
      <c r="E628" s="1295"/>
      <c r="F628" s="1313" t="str">
        <f>IF(LEN('Verification Report'!W629)=0,"",'Verification Report'!W629)</f>
        <v/>
      </c>
      <c r="G628" s="1260" t="s">
        <v>247</v>
      </c>
    </row>
    <row r="629" spans="1:7" ht="15.75" hidden="1" thickBot="1" x14ac:dyDescent="0.3">
      <c r="A629" s="64"/>
      <c r="B629" s="4"/>
      <c r="C629" s="217" t="s">
        <v>606</v>
      </c>
      <c r="D629" s="280" t="s">
        <v>3074</v>
      </c>
      <c r="E629" s="1295"/>
      <c r="F629" s="1313" t="str">
        <f>IF(LEN('Verification Report'!W630)=0,"",'Verification Report'!W630)</f>
        <v/>
      </c>
      <c r="G629" s="1260" t="s">
        <v>247</v>
      </c>
    </row>
    <row r="630" spans="1:7" ht="15.75" hidden="1" thickBot="1" x14ac:dyDescent="0.3">
      <c r="A630" s="64"/>
      <c r="C630" s="218" t="s">
        <v>608</v>
      </c>
      <c r="D630" s="280" t="s">
        <v>3075</v>
      </c>
      <c r="E630" s="1295"/>
      <c r="F630" s="1313" t="str">
        <f>IF(LEN('Verification Report'!W631)=0,"",'Verification Report'!W631)</f>
        <v/>
      </c>
      <c r="G630" s="1260" t="s">
        <v>247</v>
      </c>
    </row>
    <row r="631" spans="1:7" ht="15.75" hidden="1" thickBot="1" x14ac:dyDescent="0.3">
      <c r="A631" s="64"/>
      <c r="C631" s="85" t="s">
        <v>844</v>
      </c>
      <c r="D631" s="1554" t="s">
        <v>3075</v>
      </c>
      <c r="E631" s="1295"/>
      <c r="F631" s="1313" t="str">
        <f>IF(LEN('Verification Report'!W632)=0,"",'Verification Report'!W632)</f>
        <v/>
      </c>
      <c r="G631" s="1260" t="s">
        <v>247</v>
      </c>
    </row>
    <row r="632" spans="1:7" ht="15.75" hidden="1" thickBot="1" x14ac:dyDescent="0.3">
      <c r="A632" s="64"/>
      <c r="C632" s="85"/>
      <c r="D632" s="1550" t="s">
        <v>3076</v>
      </c>
      <c r="E632" s="1295"/>
      <c r="F632" s="94"/>
      <c r="G632" s="1260" t="s">
        <v>247</v>
      </c>
    </row>
    <row r="633" spans="1:7" ht="19.5" hidden="1" thickBot="1" x14ac:dyDescent="0.35">
      <c r="A633" s="14" t="s">
        <v>666</v>
      </c>
      <c r="B633" s="23"/>
      <c r="C633" s="82"/>
      <c r="D633" s="229"/>
      <c r="E633" s="1043"/>
      <c r="F633" s="94"/>
      <c r="G633" s="1260" t="s">
        <v>247</v>
      </c>
    </row>
    <row r="634" spans="1:7" ht="15.75" hidden="1" thickBot="1" x14ac:dyDescent="0.3">
      <c r="A634" s="78" t="s">
        <v>3981</v>
      </c>
      <c r="B634" s="4"/>
      <c r="C634" s="1128"/>
      <c r="D634" s="1563" t="s">
        <v>667</v>
      </c>
      <c r="E634" s="1295"/>
      <c r="F634" s="94"/>
      <c r="G634" s="1260" t="s">
        <v>247</v>
      </c>
    </row>
    <row r="635" spans="1:7" ht="16.5" hidden="1" thickTop="1" thickBot="1" x14ac:dyDescent="0.3">
      <c r="A635" s="180">
        <v>606.1</v>
      </c>
      <c r="B635" s="181"/>
      <c r="C635" s="182"/>
      <c r="D635" s="1569" t="s">
        <v>668</v>
      </c>
      <c r="E635" s="1298">
        <f ca="1">'Verification Report'!O636</f>
        <v>0</v>
      </c>
      <c r="F635" s="94"/>
      <c r="G635" s="1260" t="s">
        <v>247</v>
      </c>
    </row>
    <row r="636" spans="1:7" ht="15.75" hidden="1" thickBot="1" x14ac:dyDescent="0.3">
      <c r="A636" s="130"/>
      <c r="B636" s="129"/>
      <c r="C636" s="91" t="s">
        <v>121</v>
      </c>
      <c r="D636" s="1546" t="s">
        <v>669</v>
      </c>
      <c r="E636" s="1296"/>
      <c r="F636" s="1313" t="str">
        <f>IF(LEN('Verification Report'!W637)=0,"",'Verification Report'!W637)</f>
        <v/>
      </c>
      <c r="G636" s="1260" t="s">
        <v>247</v>
      </c>
    </row>
    <row r="637" spans="1:7" ht="15.75" hidden="1" thickBot="1" x14ac:dyDescent="0.3">
      <c r="A637" s="130"/>
      <c r="B637" s="129"/>
      <c r="C637" s="91" t="s">
        <v>122</v>
      </c>
      <c r="D637" s="1546" t="s">
        <v>670</v>
      </c>
      <c r="E637" s="1296"/>
      <c r="F637" s="1313" t="str">
        <f>IF(LEN('Verification Report'!W638)=0,"",'Verification Report'!W638)</f>
        <v/>
      </c>
      <c r="G637" s="1260" t="s">
        <v>247</v>
      </c>
    </row>
    <row r="638" spans="1:7" ht="15.75" hidden="1" thickBot="1" x14ac:dyDescent="0.3">
      <c r="A638" s="130"/>
      <c r="B638" s="129"/>
      <c r="C638" s="110" t="s">
        <v>123</v>
      </c>
      <c r="D638" s="1546" t="s">
        <v>671</v>
      </c>
      <c r="E638" s="1296"/>
      <c r="F638" s="1313" t="str">
        <f>IF(LEN('Verification Report'!W639)=0,"",'Verification Report'!W639)</f>
        <v/>
      </c>
      <c r="G638" s="1260" t="s">
        <v>247</v>
      </c>
    </row>
    <row r="639" spans="1:7" ht="15.75" hidden="1" thickBot="1" x14ac:dyDescent="0.3">
      <c r="A639" s="130"/>
      <c r="B639" s="129"/>
      <c r="C639" s="187" t="s">
        <v>401</v>
      </c>
      <c r="D639" s="1546" t="s">
        <v>672</v>
      </c>
      <c r="E639" s="1296"/>
      <c r="F639" s="1313" t="str">
        <f>IF(LEN('Verification Report'!W640)=0,"",'Verification Report'!W640)</f>
        <v/>
      </c>
      <c r="G639" s="1260" t="s">
        <v>247</v>
      </c>
    </row>
    <row r="640" spans="1:7" ht="15.75" hidden="1" thickBot="1" x14ac:dyDescent="0.3">
      <c r="A640" s="130"/>
      <c r="B640" s="129"/>
      <c r="C640" s="91" t="s">
        <v>539</v>
      </c>
      <c r="D640" s="1546" t="s">
        <v>673</v>
      </c>
      <c r="E640" s="1296"/>
      <c r="F640" s="1313" t="str">
        <f>IF(LEN('Verification Report'!W641)=0,"",'Verification Report'!W641)</f>
        <v/>
      </c>
      <c r="G640" s="1260" t="s">
        <v>247</v>
      </c>
    </row>
    <row r="641" spans="1:7" ht="15.75" hidden="1" thickBot="1" x14ac:dyDescent="0.3">
      <c r="A641" s="130"/>
      <c r="B641" s="129"/>
      <c r="C641" s="91" t="s">
        <v>604</v>
      </c>
      <c r="D641" s="1546" t="s">
        <v>674</v>
      </c>
      <c r="E641" s="1296"/>
      <c r="F641" s="1313" t="str">
        <f>IF(LEN('Verification Report'!W642)=0,"",'Verification Report'!W642)</f>
        <v/>
      </c>
      <c r="G641" s="1260" t="s">
        <v>247</v>
      </c>
    </row>
    <row r="642" spans="1:7" ht="15.75" hidden="1" thickBot="1" x14ac:dyDescent="0.3">
      <c r="A642" s="130"/>
      <c r="B642" s="129"/>
      <c r="C642" s="110" t="s">
        <v>606</v>
      </c>
      <c r="D642" s="1546" t="s">
        <v>675</v>
      </c>
      <c r="E642" s="1296"/>
      <c r="F642" s="1313" t="str">
        <f>IF(LEN('Verification Report'!W643)=0,"",'Verification Report'!W643)</f>
        <v/>
      </c>
      <c r="G642" s="1260" t="s">
        <v>247</v>
      </c>
    </row>
    <row r="643" spans="1:7" ht="15" hidden="1" customHeight="1" x14ac:dyDescent="0.25">
      <c r="A643" s="130"/>
      <c r="B643" s="129"/>
      <c r="C643" s="187" t="s">
        <v>608</v>
      </c>
      <c r="D643" s="1754" t="s">
        <v>676</v>
      </c>
      <c r="E643" s="1296"/>
      <c r="F643" s="1313" t="str">
        <f>IF(LEN('Verification Report'!W644)=0,"",'Verification Report'!W644)</f>
        <v/>
      </c>
      <c r="G643" s="1260" t="s">
        <v>247</v>
      </c>
    </row>
    <row r="644" spans="1:7" ht="15.75" hidden="1" thickBot="1" x14ac:dyDescent="0.3">
      <c r="A644" s="130"/>
      <c r="B644" s="129"/>
      <c r="C644" s="187"/>
      <c r="D644" s="1754"/>
      <c r="E644" s="1296"/>
      <c r="F644" s="94"/>
      <c r="G644" s="1260" t="s">
        <v>247</v>
      </c>
    </row>
    <row r="645" spans="1:7" ht="15.75" hidden="1" thickBot="1" x14ac:dyDescent="0.3">
      <c r="A645" s="130"/>
      <c r="B645" s="129"/>
      <c r="C645" s="187"/>
      <c r="D645" s="1559" t="s">
        <v>1106</v>
      </c>
      <c r="E645" s="1296"/>
      <c r="F645" s="94"/>
      <c r="G645" s="1260" t="s">
        <v>247</v>
      </c>
    </row>
    <row r="646" spans="1:7" ht="15" hidden="1" customHeight="1" x14ac:dyDescent="0.25">
      <c r="A646" s="130"/>
      <c r="B646" s="183" t="s">
        <v>256</v>
      </c>
      <c r="C646" s="1139"/>
      <c r="D646" s="1754" t="s">
        <v>677</v>
      </c>
      <c r="E646" s="1296"/>
      <c r="F646" s="94"/>
      <c r="G646" s="1260" t="s">
        <v>247</v>
      </c>
    </row>
    <row r="647" spans="1:7" ht="15.75" hidden="1" thickBot="1" x14ac:dyDescent="0.3">
      <c r="A647" s="130"/>
      <c r="B647" s="210"/>
      <c r="C647" s="175"/>
      <c r="D647" s="1755"/>
      <c r="E647" s="1296"/>
      <c r="F647" s="94"/>
      <c r="G647" s="1260" t="s">
        <v>247</v>
      </c>
    </row>
    <row r="648" spans="1:7" ht="15" hidden="1" customHeight="1" x14ac:dyDescent="0.25">
      <c r="A648" s="130"/>
      <c r="B648" s="209" t="s">
        <v>258</v>
      </c>
      <c r="C648" s="194"/>
      <c r="D648" s="1778" t="s">
        <v>678</v>
      </c>
      <c r="E648" s="1296"/>
      <c r="F648" s="94"/>
      <c r="G648" s="1260" t="s">
        <v>247</v>
      </c>
    </row>
    <row r="649" spans="1:7" ht="15.75" hidden="1" thickBot="1" x14ac:dyDescent="0.3">
      <c r="A649" s="130"/>
      <c r="B649" s="210"/>
      <c r="C649" s="175"/>
      <c r="D649" s="1755"/>
      <c r="E649" s="1296"/>
      <c r="F649" s="94"/>
      <c r="G649" s="1260" t="s">
        <v>247</v>
      </c>
    </row>
    <row r="650" spans="1:7" ht="15" hidden="1" customHeight="1" x14ac:dyDescent="0.25">
      <c r="A650" s="130"/>
      <c r="B650" s="183" t="s">
        <v>260</v>
      </c>
      <c r="C650" s="1139"/>
      <c r="D650" s="1754" t="s">
        <v>679</v>
      </c>
      <c r="E650" s="1296"/>
      <c r="F650" s="94"/>
      <c r="G650" s="1260" t="s">
        <v>247</v>
      </c>
    </row>
    <row r="651" spans="1:7" ht="15.75" hidden="1" thickBot="1" x14ac:dyDescent="0.3">
      <c r="A651" s="130"/>
      <c r="B651" s="129"/>
      <c r="C651" s="1139"/>
      <c r="D651" s="1754"/>
      <c r="E651" s="1296"/>
      <c r="F651" s="94"/>
      <c r="G651" s="1260" t="s">
        <v>247</v>
      </c>
    </row>
    <row r="652" spans="1:7" ht="15.75" hidden="1" customHeight="1" thickTop="1" x14ac:dyDescent="0.25">
      <c r="A652" s="180">
        <v>606.20000000000005</v>
      </c>
      <c r="B652" s="181"/>
      <c r="C652" s="182"/>
      <c r="D652" s="1781" t="s">
        <v>4182</v>
      </c>
      <c r="E652" s="1298"/>
      <c r="F652" s="94"/>
      <c r="G652" s="1260" t="s">
        <v>247</v>
      </c>
    </row>
    <row r="653" spans="1:7" ht="15.75" hidden="1" thickBot="1" x14ac:dyDescent="0.3">
      <c r="A653" s="130"/>
      <c r="B653" s="129"/>
      <c r="C653" s="1128"/>
      <c r="D653" s="1796"/>
      <c r="E653" s="1296"/>
      <c r="F653" s="94"/>
      <c r="G653" s="1260" t="s">
        <v>247</v>
      </c>
    </row>
    <row r="654" spans="1:7" ht="15.75" hidden="1" thickBot="1" x14ac:dyDescent="0.3">
      <c r="A654" s="64"/>
      <c r="B654" s="4"/>
      <c r="C654" s="87" t="s">
        <v>121</v>
      </c>
      <c r="D654" s="1554" t="s">
        <v>680</v>
      </c>
      <c r="E654" s="1295"/>
      <c r="F654" s="94"/>
      <c r="G654" s="1260" t="s">
        <v>247</v>
      </c>
    </row>
    <row r="655" spans="1:7" ht="15" hidden="1" customHeight="1" x14ac:dyDescent="0.25">
      <c r="A655" s="64"/>
      <c r="B655" s="4"/>
      <c r="C655" s="87" t="s">
        <v>122</v>
      </c>
      <c r="D655" s="1779" t="s">
        <v>681</v>
      </c>
      <c r="E655" s="1295"/>
      <c r="F655" s="94"/>
      <c r="G655" s="1260" t="s">
        <v>247</v>
      </c>
    </row>
    <row r="656" spans="1:7" ht="15.75" hidden="1" thickBot="1" x14ac:dyDescent="0.3">
      <c r="A656" s="64"/>
      <c r="B656" s="4"/>
      <c r="C656" s="87"/>
      <c r="D656" s="1779"/>
      <c r="E656" s="1295"/>
      <c r="F656" s="94"/>
      <c r="G656" s="1260" t="s">
        <v>247</v>
      </c>
    </row>
    <row r="657" spans="1:7" ht="15.75" hidden="1" thickBot="1" x14ac:dyDescent="0.3">
      <c r="A657" s="64"/>
      <c r="B657" s="4"/>
      <c r="C657" s="87" t="s">
        <v>123</v>
      </c>
      <c r="D657" s="233" t="s">
        <v>682</v>
      </c>
      <c r="E657" s="1295"/>
      <c r="F657" s="94"/>
      <c r="G657" s="1260" t="s">
        <v>247</v>
      </c>
    </row>
    <row r="658" spans="1:7" ht="15.75" hidden="1" thickBot="1" x14ac:dyDescent="0.3">
      <c r="A658" s="64"/>
      <c r="B658" s="4"/>
      <c r="C658" s="89" t="s">
        <v>401</v>
      </c>
      <c r="D658" s="233" t="s">
        <v>683</v>
      </c>
      <c r="E658" s="1295"/>
      <c r="F658" s="94"/>
      <c r="G658" s="1260" t="s">
        <v>247</v>
      </c>
    </row>
    <row r="659" spans="1:7" ht="15.75" hidden="1" thickBot="1" x14ac:dyDescent="0.3">
      <c r="A659" s="64"/>
      <c r="B659" s="4"/>
      <c r="C659" s="85" t="s">
        <v>539</v>
      </c>
      <c r="D659" s="233" t="s">
        <v>684</v>
      </c>
      <c r="E659" s="1295"/>
      <c r="F659" s="94"/>
      <c r="G659" s="1260" t="s">
        <v>247</v>
      </c>
    </row>
    <row r="660" spans="1:7" ht="15.75" hidden="1" thickBot="1" x14ac:dyDescent="0.3">
      <c r="A660" s="64"/>
      <c r="B660" s="4"/>
      <c r="C660" s="87" t="s">
        <v>604</v>
      </c>
      <c r="D660" s="1554" t="s">
        <v>685</v>
      </c>
      <c r="E660" s="1295"/>
      <c r="F660" s="94"/>
      <c r="G660" s="1260" t="s">
        <v>247</v>
      </c>
    </row>
    <row r="661" spans="1:7" ht="15.75" hidden="1" thickBot="1" x14ac:dyDescent="0.3">
      <c r="A661" s="64"/>
      <c r="B661" s="4"/>
      <c r="C661" s="87" t="s">
        <v>606</v>
      </c>
      <c r="D661" s="1554" t="s">
        <v>686</v>
      </c>
      <c r="E661" s="1295"/>
      <c r="F661" s="94"/>
      <c r="G661" s="1260" t="s">
        <v>247</v>
      </c>
    </row>
    <row r="662" spans="1:7" ht="15" hidden="1" customHeight="1" x14ac:dyDescent="0.25">
      <c r="A662" s="64"/>
      <c r="B662" s="4"/>
      <c r="C662" s="87" t="s">
        <v>608</v>
      </c>
      <c r="D662" s="1840" t="s">
        <v>4178</v>
      </c>
      <c r="E662" s="1295"/>
      <c r="F662" s="94"/>
      <c r="G662" s="1260" t="s">
        <v>247</v>
      </c>
    </row>
    <row r="663" spans="1:7" ht="15.75" hidden="1" thickBot="1" x14ac:dyDescent="0.3">
      <c r="A663" s="64"/>
      <c r="B663" s="4"/>
      <c r="C663" s="87"/>
      <c r="D663" s="1840"/>
      <c r="E663" s="1295"/>
      <c r="F663" s="94"/>
      <c r="G663" s="1260" t="s">
        <v>247</v>
      </c>
    </row>
    <row r="664" spans="1:7" ht="15.75" hidden="1" thickBot="1" x14ac:dyDescent="0.3">
      <c r="A664" s="64"/>
      <c r="B664" s="4"/>
      <c r="C664" s="87"/>
      <c r="D664" s="1840"/>
      <c r="E664" s="1295"/>
      <c r="F664" s="94"/>
      <c r="G664" s="1260" t="s">
        <v>247</v>
      </c>
    </row>
    <row r="665" spans="1:7" ht="15.75" hidden="1" thickBot="1" x14ac:dyDescent="0.3">
      <c r="A665" s="64"/>
      <c r="B665" s="4"/>
      <c r="C665" s="87"/>
      <c r="D665" s="1840"/>
      <c r="E665" s="1295"/>
      <c r="F665" s="94"/>
      <c r="G665" s="1260" t="s">
        <v>247</v>
      </c>
    </row>
    <row r="666" spans="1:7" ht="15.75" hidden="1" thickBot="1" x14ac:dyDescent="0.3">
      <c r="A666" s="64"/>
      <c r="B666" s="4"/>
      <c r="C666" s="87"/>
      <c r="D666" s="1840"/>
      <c r="E666" s="1295"/>
      <c r="F666" s="94"/>
      <c r="G666" s="1260" t="s">
        <v>247</v>
      </c>
    </row>
    <row r="667" spans="1:7" ht="15" hidden="1" customHeight="1" x14ac:dyDescent="0.25">
      <c r="A667" s="64"/>
      <c r="B667" s="183" t="s">
        <v>256</v>
      </c>
      <c r="C667" s="1139"/>
      <c r="D667" s="1779" t="s">
        <v>4180</v>
      </c>
      <c r="E667" s="1296">
        <f>'Verification Report'!O668</f>
        <v>0</v>
      </c>
      <c r="F667" s="1313" t="str">
        <f>IF(LEN('Verification Report'!W668)=0,"",'Verification Report'!W668)</f>
        <v/>
      </c>
      <c r="G667" s="1260" t="s">
        <v>247</v>
      </c>
    </row>
    <row r="668" spans="1:7" ht="15.75" hidden="1" thickBot="1" x14ac:dyDescent="0.3">
      <c r="A668" s="64"/>
      <c r="B668" s="183"/>
      <c r="C668" s="1139"/>
      <c r="D668" s="1779"/>
      <c r="E668" s="1296"/>
      <c r="F668" s="1313" t="str">
        <f>IF(LEN('Verification Report'!W669)=0,"",'Verification Report'!W669)</f>
        <v/>
      </c>
      <c r="G668" s="1260" t="s">
        <v>247</v>
      </c>
    </row>
    <row r="669" spans="1:7" ht="15.75" hidden="1" thickBot="1" x14ac:dyDescent="0.3">
      <c r="A669" s="64"/>
      <c r="B669" s="206"/>
      <c r="C669" s="175"/>
      <c r="D669" s="1561" t="s">
        <v>3081</v>
      </c>
      <c r="E669" s="1297"/>
      <c r="F669" s="94"/>
      <c r="G669" s="1260" t="s">
        <v>247</v>
      </c>
    </row>
    <row r="670" spans="1:7" ht="15" hidden="1" customHeight="1" x14ac:dyDescent="0.25">
      <c r="A670" s="64"/>
      <c r="B670" s="27" t="s">
        <v>258</v>
      </c>
      <c r="C670" s="1128"/>
      <c r="D670" s="1779" t="s">
        <v>4181</v>
      </c>
      <c r="E670" s="1295">
        <f>'Verification Report'!O671</f>
        <v>0</v>
      </c>
      <c r="F670" s="1313" t="str">
        <f>IF(LEN('Verification Report'!W671)=0,"",'Verification Report'!W671)</f>
        <v/>
      </c>
      <c r="G670" s="1260" t="s">
        <v>247</v>
      </c>
    </row>
    <row r="671" spans="1:7" ht="15.75" hidden="1" thickBot="1" x14ac:dyDescent="0.3">
      <c r="A671" s="64"/>
      <c r="B671" s="4"/>
      <c r="C671" s="1128"/>
      <c r="D671" s="1779"/>
      <c r="E671" s="1295"/>
      <c r="F671" s="1313" t="str">
        <f>IF(LEN('Verification Report'!W672)=0,"",'Verification Report'!W672)</f>
        <v/>
      </c>
      <c r="G671" s="1260" t="s">
        <v>247</v>
      </c>
    </row>
    <row r="672" spans="1:7" ht="15.75" hidden="1" thickBot="1" x14ac:dyDescent="0.3">
      <c r="A672" s="64"/>
      <c r="B672" s="4"/>
      <c r="C672" s="1128"/>
      <c r="D672" s="1556" t="s">
        <v>3081</v>
      </c>
      <c r="E672" s="1295"/>
      <c r="F672" s="94"/>
      <c r="G672" s="1260" t="s">
        <v>247</v>
      </c>
    </row>
    <row r="673" spans="1:7" ht="15.75" hidden="1" customHeight="1" thickTop="1" x14ac:dyDescent="0.25">
      <c r="A673" s="180">
        <v>606.29999999999995</v>
      </c>
      <c r="B673" s="181"/>
      <c r="C673" s="182"/>
      <c r="D673" s="1781" t="s">
        <v>687</v>
      </c>
      <c r="E673" s="1298">
        <f ca="1">'Verification Report'!O674</f>
        <v>0</v>
      </c>
      <c r="F673" s="1313" t="str">
        <f>IF(LEN('Verification Report'!W674)=0,"",'Verification Report'!W674)</f>
        <v/>
      </c>
      <c r="G673" s="1260" t="s">
        <v>247</v>
      </c>
    </row>
    <row r="674" spans="1:7" ht="15.75" hidden="1" thickBot="1" x14ac:dyDescent="0.3">
      <c r="A674" s="130"/>
      <c r="B674" s="129"/>
      <c r="C674" s="1139"/>
      <c r="D674" s="1782"/>
      <c r="E674" s="1296"/>
      <c r="F674" s="94"/>
      <c r="G674" s="1260" t="s">
        <v>247</v>
      </c>
    </row>
    <row r="675" spans="1:7" ht="15.75" hidden="1" thickBot="1" x14ac:dyDescent="0.3">
      <c r="A675" s="130"/>
      <c r="B675" s="129"/>
      <c r="C675" s="1139"/>
      <c r="D675" s="1782"/>
      <c r="E675" s="1296"/>
      <c r="F675" s="94"/>
      <c r="G675" s="1260" t="s">
        <v>247</v>
      </c>
    </row>
    <row r="676" spans="1:7" ht="15.75" hidden="1" thickBot="1" x14ac:dyDescent="0.3">
      <c r="A676" s="130"/>
      <c r="B676" s="129"/>
      <c r="C676" s="1139"/>
      <c r="D676" s="1782"/>
      <c r="E676" s="1296"/>
      <c r="F676" s="94"/>
      <c r="G676" s="1260" t="s">
        <v>247</v>
      </c>
    </row>
    <row r="677" spans="1:7" ht="15.75" hidden="1" thickBot="1" x14ac:dyDescent="0.3">
      <c r="A677" s="130"/>
      <c r="B677" s="129"/>
      <c r="C677" s="1139"/>
      <c r="D677" s="1560" t="s">
        <v>688</v>
      </c>
      <c r="E677" s="1296"/>
      <c r="F677" s="94"/>
      <c r="G677" s="1260" t="s">
        <v>247</v>
      </c>
    </row>
    <row r="678" spans="1:7" ht="15.75" hidden="1" thickBot="1" x14ac:dyDescent="0.3">
      <c r="A678" s="130"/>
      <c r="B678" s="129"/>
      <c r="C678" s="1139"/>
      <c r="D678" s="1559" t="s">
        <v>3085</v>
      </c>
      <c r="E678" s="1296"/>
      <c r="F678" s="94"/>
      <c r="G678" s="1260" t="s">
        <v>247</v>
      </c>
    </row>
    <row r="679" spans="1:7" ht="19.5" hidden="1" thickBot="1" x14ac:dyDescent="0.35">
      <c r="A679" s="14" t="s">
        <v>689</v>
      </c>
      <c r="B679" s="23"/>
      <c r="C679" s="82"/>
      <c r="D679" s="229"/>
      <c r="E679" s="1043"/>
      <c r="F679" s="94"/>
      <c r="G679" s="1260" t="s">
        <v>247</v>
      </c>
    </row>
    <row r="680" spans="1:7" ht="15" hidden="1" customHeight="1" x14ac:dyDescent="0.25">
      <c r="A680" s="64">
        <v>607.1</v>
      </c>
      <c r="B680" s="4"/>
      <c r="C680" s="1128"/>
      <c r="D680" s="1796" t="s">
        <v>690</v>
      </c>
      <c r="E680" s="1295"/>
      <c r="F680" s="94"/>
      <c r="G680" s="1260" t="s">
        <v>247</v>
      </c>
    </row>
    <row r="681" spans="1:7" ht="15.75" hidden="1" thickBot="1" x14ac:dyDescent="0.3">
      <c r="A681" s="64"/>
      <c r="B681" s="4"/>
      <c r="C681" s="1128"/>
      <c r="D681" s="1796"/>
      <c r="E681" s="1295"/>
      <c r="F681" s="94"/>
      <c r="G681" s="1260" t="s">
        <v>247</v>
      </c>
    </row>
    <row r="682" spans="1:7" ht="15" hidden="1" customHeight="1" x14ac:dyDescent="0.25">
      <c r="A682" s="64"/>
      <c r="B682" s="183" t="s">
        <v>256</v>
      </c>
      <c r="C682" s="1139"/>
      <c r="D682" s="1779" t="s">
        <v>4183</v>
      </c>
      <c r="E682" s="1296">
        <f>'Verification Report'!O683</f>
        <v>0</v>
      </c>
      <c r="F682" s="1313" t="str">
        <f>IF(LEN('Verification Report'!W683)=0,"",'Verification Report'!W683)</f>
        <v/>
      </c>
      <c r="G682" s="1260" t="s">
        <v>247</v>
      </c>
    </row>
    <row r="683" spans="1:7" ht="15.75" hidden="1" thickBot="1" x14ac:dyDescent="0.3">
      <c r="A683" s="64"/>
      <c r="B683" s="183"/>
      <c r="C683" s="1139"/>
      <c r="D683" s="1779"/>
      <c r="E683" s="1296"/>
      <c r="F683" s="94"/>
      <c r="G683" s="1260" t="s">
        <v>247</v>
      </c>
    </row>
    <row r="684" spans="1:7" ht="15.75" hidden="1" thickBot="1" x14ac:dyDescent="0.3">
      <c r="A684" s="64"/>
      <c r="B684" s="183"/>
      <c r="C684" s="1139"/>
      <c r="D684" s="1779"/>
      <c r="E684" s="1296"/>
      <c r="F684" s="94"/>
      <c r="G684" s="1260" t="s">
        <v>247</v>
      </c>
    </row>
    <row r="685" spans="1:7" ht="15.75" hidden="1" thickBot="1" x14ac:dyDescent="0.3">
      <c r="A685" s="64"/>
      <c r="B685" s="183"/>
      <c r="C685" s="1139"/>
      <c r="D685" s="1779"/>
      <c r="E685" s="1296"/>
      <c r="F685" s="94"/>
      <c r="G685" s="1260" t="s">
        <v>247</v>
      </c>
    </row>
    <row r="686" spans="1:7" ht="15.75" hidden="1" thickBot="1" x14ac:dyDescent="0.3">
      <c r="A686" s="64"/>
      <c r="B686" s="206"/>
      <c r="C686" s="175"/>
      <c r="D686" s="1755"/>
      <c r="E686" s="1297"/>
      <c r="F686" s="94"/>
      <c r="G686" s="1260" t="s">
        <v>247</v>
      </c>
    </row>
    <row r="687" spans="1:7" ht="15" hidden="1" customHeight="1" x14ac:dyDescent="0.25">
      <c r="A687" s="64"/>
      <c r="B687" s="27" t="s">
        <v>258</v>
      </c>
      <c r="C687" s="1128"/>
      <c r="D687" s="1760" t="s">
        <v>4184</v>
      </c>
      <c r="E687" s="1293">
        <f>'Verification Report'!O688</f>
        <v>0</v>
      </c>
      <c r="F687" s="1313" t="str">
        <f>IF(LEN('Verification Report'!W688)=0,"",'Verification Report'!W688)</f>
        <v/>
      </c>
      <c r="G687" s="1260" t="s">
        <v>247</v>
      </c>
    </row>
    <row r="688" spans="1:7" ht="15.75" hidden="1" thickBot="1" x14ac:dyDescent="0.3">
      <c r="D688" s="1841"/>
      <c r="E688" s="1295"/>
      <c r="F688" s="94"/>
      <c r="G688" s="1260" t="s">
        <v>247</v>
      </c>
    </row>
    <row r="689" spans="1:7" ht="15.75" hidden="1" thickBot="1" x14ac:dyDescent="0.3">
      <c r="D689" s="1841"/>
      <c r="E689" s="1295"/>
      <c r="F689" s="94"/>
      <c r="G689" s="1260" t="s">
        <v>247</v>
      </c>
    </row>
    <row r="690" spans="1:7" ht="15.75" hidden="1" thickBot="1" x14ac:dyDescent="0.3">
      <c r="D690" s="1841"/>
      <c r="E690" s="1295"/>
      <c r="F690" s="94"/>
      <c r="G690" s="1260" t="s">
        <v>247</v>
      </c>
    </row>
    <row r="691" spans="1:7" ht="15.75" hidden="1" thickBot="1" x14ac:dyDescent="0.3">
      <c r="D691" s="1841"/>
      <c r="E691" s="1295"/>
      <c r="F691" s="94"/>
      <c r="G691" s="1260" t="s">
        <v>247</v>
      </c>
    </row>
    <row r="692" spans="1:7" ht="15.75" hidden="1" thickBot="1" x14ac:dyDescent="0.3">
      <c r="D692" s="1842"/>
      <c r="E692" s="1294"/>
      <c r="F692" s="94"/>
      <c r="G692" s="1260" t="s">
        <v>247</v>
      </c>
    </row>
    <row r="693" spans="1:7" ht="15.75" hidden="1" customHeight="1" thickTop="1" x14ac:dyDescent="0.25">
      <c r="A693" s="180">
        <v>607.20000000000005</v>
      </c>
      <c r="B693" s="181"/>
      <c r="C693" s="182"/>
      <c r="D693" s="1781" t="s">
        <v>691</v>
      </c>
      <c r="E693" s="1298">
        <f>'Verification Report'!O694</f>
        <v>0</v>
      </c>
      <c r="F693" s="1313" t="str">
        <f>IF(LEN('Verification Report'!W694)=0,"",'Verification Report'!W694)</f>
        <v/>
      </c>
      <c r="G693" s="1260" t="s">
        <v>247</v>
      </c>
    </row>
    <row r="694" spans="1:7" ht="15.75" hidden="1" thickBot="1" x14ac:dyDescent="0.3">
      <c r="A694" s="130"/>
      <c r="B694" s="129"/>
      <c r="C694" s="1139"/>
      <c r="D694" s="1782"/>
      <c r="E694" s="1296"/>
      <c r="F694" s="94"/>
      <c r="G694" s="1260" t="s">
        <v>247</v>
      </c>
    </row>
    <row r="695" spans="1:7" ht="19.5" hidden="1" thickBot="1" x14ac:dyDescent="0.35">
      <c r="A695" s="14" t="s">
        <v>692</v>
      </c>
      <c r="B695" s="23"/>
      <c r="C695" s="82"/>
      <c r="D695" s="229"/>
      <c r="E695" s="1043"/>
      <c r="F695" s="94"/>
      <c r="G695" s="1260" t="s">
        <v>247</v>
      </c>
    </row>
    <row r="696" spans="1:7" ht="15" hidden="1" customHeight="1" x14ac:dyDescent="0.25">
      <c r="A696" s="64">
        <v>608.1</v>
      </c>
      <c r="B696" s="4"/>
      <c r="C696" s="1128"/>
      <c r="D696" s="1796" t="s">
        <v>693</v>
      </c>
      <c r="E696" s="1295">
        <f ca="1">'Verification Report'!O697</f>
        <v>0</v>
      </c>
      <c r="F696" s="1313" t="str">
        <f>IF(LEN('Verification Report'!W697)=0,"",'Verification Report'!W697)</f>
        <v/>
      </c>
      <c r="G696" s="1260" t="s">
        <v>247</v>
      </c>
    </row>
    <row r="697" spans="1:7" ht="15.75" hidden="1" thickBot="1" x14ac:dyDescent="0.3">
      <c r="A697" s="64"/>
      <c r="B697" s="4"/>
      <c r="C697" s="1128"/>
      <c r="D697" s="1796"/>
      <c r="E697" s="1295"/>
      <c r="F697" s="94"/>
      <c r="G697" s="1260" t="s">
        <v>247</v>
      </c>
    </row>
    <row r="698" spans="1:7" ht="15.75" hidden="1" thickBot="1" x14ac:dyDescent="0.3">
      <c r="A698" s="64"/>
      <c r="B698" s="4"/>
      <c r="C698" s="1128"/>
      <c r="D698" s="1796"/>
      <c r="E698" s="1295"/>
      <c r="F698" s="94"/>
      <c r="G698" s="1260" t="s">
        <v>247</v>
      </c>
    </row>
    <row r="699" spans="1:7" ht="15" hidden="1" customHeight="1" x14ac:dyDescent="0.25">
      <c r="A699" s="64"/>
      <c r="B699" s="27" t="s">
        <v>256</v>
      </c>
      <c r="C699" s="1128"/>
      <c r="D699" s="1779" t="s">
        <v>694</v>
      </c>
      <c r="E699" s="1295"/>
      <c r="F699" s="94"/>
      <c r="G699" s="1260" t="s">
        <v>247</v>
      </c>
    </row>
    <row r="700" spans="1:7" ht="15.75" hidden="1" thickBot="1" x14ac:dyDescent="0.3">
      <c r="A700" s="64"/>
      <c r="B700" s="27"/>
      <c r="C700" s="1128"/>
      <c r="D700" s="1779"/>
      <c r="E700" s="1295"/>
      <c r="F700" s="94"/>
      <c r="G700" s="1260" t="s">
        <v>247</v>
      </c>
    </row>
    <row r="701" spans="1:7" ht="15.75" hidden="1" thickBot="1" x14ac:dyDescent="0.3">
      <c r="A701" s="64"/>
      <c r="B701" s="27" t="s">
        <v>258</v>
      </c>
      <c r="C701" s="1128"/>
      <c r="D701" s="1554" t="s">
        <v>695</v>
      </c>
      <c r="E701" s="1295"/>
      <c r="F701" s="94"/>
      <c r="G701" s="1260" t="s">
        <v>247</v>
      </c>
    </row>
    <row r="702" spans="1:7" ht="15.75" hidden="1" thickBot="1" x14ac:dyDescent="0.3">
      <c r="A702" s="64"/>
      <c r="B702" s="27" t="s">
        <v>260</v>
      </c>
      <c r="C702" s="1128"/>
      <c r="D702" s="1554" t="s">
        <v>696</v>
      </c>
      <c r="E702" s="1295"/>
      <c r="F702" s="94"/>
      <c r="G702" s="1260" t="s">
        <v>247</v>
      </c>
    </row>
    <row r="703" spans="1:7" ht="15" hidden="1" customHeight="1" x14ac:dyDescent="0.25">
      <c r="A703" s="64"/>
      <c r="B703" s="27"/>
      <c r="C703" s="1128"/>
      <c r="D703" s="1550" t="s">
        <v>3090</v>
      </c>
      <c r="E703" s="1295"/>
      <c r="F703" s="94"/>
      <c r="G703" s="1260" t="s">
        <v>247</v>
      </c>
    </row>
    <row r="704" spans="1:7" ht="19.5" hidden="1" thickBot="1" x14ac:dyDescent="0.35">
      <c r="A704" s="14" t="s">
        <v>697</v>
      </c>
      <c r="B704" s="23"/>
      <c r="C704" s="82"/>
      <c r="D704" s="229"/>
      <c r="E704" s="1043"/>
      <c r="F704" s="94"/>
      <c r="G704" s="1260" t="s">
        <v>247</v>
      </c>
    </row>
    <row r="705" spans="1:7" ht="15" hidden="1" customHeight="1" x14ac:dyDescent="0.25">
      <c r="A705" s="64">
        <v>609.1</v>
      </c>
      <c r="B705" s="4"/>
      <c r="C705" s="1128"/>
      <c r="D705" s="1796" t="s">
        <v>698</v>
      </c>
      <c r="E705" s="1270">
        <f ca="1">'Verification Report'!O706</f>
        <v>0</v>
      </c>
      <c r="F705" s="94"/>
      <c r="G705" s="1260" t="s">
        <v>247</v>
      </c>
    </row>
    <row r="706" spans="1:7" ht="15.75" hidden="1" thickBot="1" x14ac:dyDescent="0.3">
      <c r="A706" s="64"/>
      <c r="B706" s="4"/>
      <c r="C706" s="1128"/>
      <c r="D706" s="1796"/>
      <c r="E706" s="1270"/>
      <c r="F706" s="94"/>
      <c r="G706" s="1260" t="s">
        <v>247</v>
      </c>
    </row>
    <row r="707" spans="1:7" ht="15.75" hidden="1" thickBot="1" x14ac:dyDescent="0.3">
      <c r="A707" s="64"/>
      <c r="B707" s="27" t="s">
        <v>256</v>
      </c>
      <c r="C707" s="1128"/>
      <c r="D707" s="1288" t="s">
        <v>4880</v>
      </c>
      <c r="E707" s="1270"/>
      <c r="F707" s="1313" t="str">
        <f>IF(LEN('Verification Report'!W708)=0,"",'Verification Report'!W708)</f>
        <v/>
      </c>
      <c r="G707" s="1260" t="s">
        <v>247</v>
      </c>
    </row>
    <row r="708" spans="1:7" ht="15.75" hidden="1" thickBot="1" x14ac:dyDescent="0.3">
      <c r="A708" s="64"/>
      <c r="B708" s="27"/>
      <c r="C708" s="1128"/>
      <c r="D708" s="1288"/>
      <c r="E708" s="1270"/>
      <c r="F708" s="94"/>
      <c r="G708" s="1260" t="s">
        <v>247</v>
      </c>
    </row>
    <row r="709" spans="1:7" ht="15.75" hidden="1" thickBot="1" x14ac:dyDescent="0.3">
      <c r="A709" s="64"/>
      <c r="B709" s="27" t="s">
        <v>258</v>
      </c>
      <c r="C709" s="1128"/>
      <c r="D709" s="1288" t="s">
        <v>4881</v>
      </c>
      <c r="E709" s="1270"/>
      <c r="F709" s="1313" t="str">
        <f>IF(LEN('Verification Report'!W710)=0,"",'Verification Report'!W710)</f>
        <v/>
      </c>
      <c r="G709" s="1260" t="s">
        <v>247</v>
      </c>
    </row>
    <row r="710" spans="1:7" ht="15.75" hidden="1" thickBot="1" x14ac:dyDescent="0.3">
      <c r="A710" s="64"/>
      <c r="B710" s="27"/>
      <c r="C710" s="1128"/>
      <c r="D710" s="1288"/>
      <c r="E710" s="1270"/>
      <c r="F710" s="94"/>
      <c r="G710" s="1260" t="s">
        <v>247</v>
      </c>
    </row>
    <row r="711" spans="1:7" ht="15" hidden="1" customHeight="1" x14ac:dyDescent="0.25">
      <c r="A711" s="64"/>
      <c r="B711" s="4"/>
      <c r="C711" s="1128"/>
      <c r="D711" s="1851" t="s">
        <v>4879</v>
      </c>
      <c r="E711" s="1295"/>
      <c r="F711" s="94"/>
      <c r="G711" s="1260" t="s">
        <v>247</v>
      </c>
    </row>
    <row r="712" spans="1:7" ht="15.75" hidden="1" thickBot="1" x14ac:dyDescent="0.3">
      <c r="A712" s="64"/>
      <c r="B712" s="4"/>
      <c r="C712" s="1128"/>
      <c r="D712" s="1851"/>
      <c r="E712" s="1295"/>
      <c r="F712" s="94"/>
      <c r="G712" s="1260" t="s">
        <v>247</v>
      </c>
    </row>
    <row r="713" spans="1:7" ht="15.75" hidden="1" thickBot="1" x14ac:dyDescent="0.3">
      <c r="A713" s="64"/>
      <c r="B713" s="4"/>
      <c r="C713" s="1128"/>
      <c r="D713" s="1851"/>
      <c r="E713" s="1295"/>
      <c r="F713" s="94"/>
      <c r="G713" s="1260" t="s">
        <v>247</v>
      </c>
    </row>
    <row r="714" spans="1:7" ht="15" hidden="1" customHeight="1" x14ac:dyDescent="0.25">
      <c r="A714" s="64"/>
      <c r="B714" s="4"/>
      <c r="C714" s="1128"/>
      <c r="D714" s="1849" t="s">
        <v>3104</v>
      </c>
      <c r="E714" s="1295"/>
      <c r="F714" s="94"/>
      <c r="G714" s="1260" t="s">
        <v>247</v>
      </c>
    </row>
    <row r="715" spans="1:7" ht="15.75" hidden="1" thickBot="1" x14ac:dyDescent="0.3">
      <c r="A715" s="64"/>
      <c r="B715" s="4"/>
      <c r="C715" s="1128"/>
      <c r="D715" s="1859"/>
      <c r="E715" s="1295"/>
      <c r="F715" s="94"/>
      <c r="G715" s="1260" t="s">
        <v>247</v>
      </c>
    </row>
    <row r="716" spans="1:7" ht="19.5" hidden="1" thickBot="1" x14ac:dyDescent="0.35">
      <c r="A716" s="14" t="s">
        <v>700</v>
      </c>
      <c r="B716" s="23"/>
      <c r="C716" s="82"/>
      <c r="D716" s="229"/>
      <c r="E716" s="1043"/>
      <c r="F716" s="94"/>
      <c r="G716" s="1260" t="s">
        <v>247</v>
      </c>
    </row>
    <row r="717" spans="1:7" ht="15" hidden="1" customHeight="1" x14ac:dyDescent="0.25">
      <c r="A717" s="64">
        <v>610.1</v>
      </c>
      <c r="B717" s="4"/>
      <c r="C717" s="1128"/>
      <c r="D717" s="1796" t="s">
        <v>701</v>
      </c>
      <c r="E717" s="1295"/>
      <c r="F717" s="94"/>
      <c r="G717" s="1260" t="s">
        <v>247</v>
      </c>
    </row>
    <row r="718" spans="1:7" ht="15.75" hidden="1" thickBot="1" x14ac:dyDescent="0.3">
      <c r="A718" s="64"/>
      <c r="B718" s="4"/>
      <c r="C718" s="1128"/>
      <c r="D718" s="1796"/>
      <c r="E718" s="1295"/>
      <c r="F718" s="94"/>
      <c r="G718" s="1260" t="s">
        <v>247</v>
      </c>
    </row>
    <row r="719" spans="1:7" ht="15.75" hidden="1" thickBot="1" x14ac:dyDescent="0.3">
      <c r="A719" s="64"/>
      <c r="B719" s="4"/>
      <c r="C719" s="1128"/>
      <c r="D719" s="1796"/>
      <c r="E719" s="1295"/>
      <c r="F719" s="94"/>
      <c r="G719" s="1260" t="s">
        <v>247</v>
      </c>
    </row>
    <row r="720" spans="1:7" ht="15.75" hidden="1" thickBot="1" x14ac:dyDescent="0.3">
      <c r="A720" s="64"/>
      <c r="B720" s="4"/>
      <c r="C720" s="1128"/>
      <c r="D720" s="1796"/>
      <c r="E720" s="1295"/>
      <c r="F720" s="94"/>
      <c r="G720" s="1260" t="s">
        <v>247</v>
      </c>
    </row>
    <row r="721" spans="1:7" ht="15.75" hidden="1" thickBot="1" x14ac:dyDescent="0.3">
      <c r="A721" s="64"/>
      <c r="B721" s="4"/>
      <c r="C721" s="1128"/>
      <c r="D721" s="1796"/>
      <c r="E721" s="1295"/>
      <c r="F721" s="94"/>
      <c r="G721" s="1260" t="s">
        <v>247</v>
      </c>
    </row>
    <row r="722" spans="1:7" ht="15.75" hidden="1" thickBot="1" x14ac:dyDescent="0.3">
      <c r="A722" s="64"/>
      <c r="B722" s="4"/>
      <c r="C722" s="1128"/>
      <c r="D722" s="1796"/>
      <c r="E722" s="1295"/>
      <c r="F722" s="94"/>
      <c r="G722" s="1260" t="s">
        <v>247</v>
      </c>
    </row>
    <row r="723" spans="1:7" ht="15.75" hidden="1" thickBot="1" x14ac:dyDescent="0.3">
      <c r="A723" s="64"/>
      <c r="B723" s="4"/>
      <c r="C723" s="1128"/>
      <c r="D723" s="1561" t="s">
        <v>4894</v>
      </c>
      <c r="E723" s="1295"/>
      <c r="F723" s="94"/>
      <c r="G723" s="1260" t="s">
        <v>247</v>
      </c>
    </row>
    <row r="724" spans="1:7" ht="15.75" hidden="1" customHeight="1" thickTop="1" x14ac:dyDescent="0.25">
      <c r="A724" s="180" t="s">
        <v>702</v>
      </c>
      <c r="B724" s="181"/>
      <c r="C724" s="182"/>
      <c r="D724" s="1781" t="s">
        <v>703</v>
      </c>
      <c r="E724" s="1298"/>
      <c r="F724" s="94"/>
      <c r="G724" s="1260" t="s">
        <v>247</v>
      </c>
    </row>
    <row r="725" spans="1:7" ht="15.75" hidden="1" thickBot="1" x14ac:dyDescent="0.3">
      <c r="A725" s="130"/>
      <c r="B725" s="129"/>
      <c r="C725" s="1139"/>
      <c r="D725" s="1782"/>
      <c r="E725" s="1296"/>
      <c r="F725" s="94"/>
      <c r="G725" s="1260" t="s">
        <v>247</v>
      </c>
    </row>
    <row r="726" spans="1:7" ht="15" hidden="1" customHeight="1" x14ac:dyDescent="0.25">
      <c r="A726" s="64"/>
      <c r="B726" s="183" t="s">
        <v>256</v>
      </c>
      <c r="C726" s="1139"/>
      <c r="D726" s="1754" t="s">
        <v>704</v>
      </c>
      <c r="E726" s="1296">
        <f>'Verification Report'!O727</f>
        <v>0</v>
      </c>
      <c r="F726" s="1313" t="str">
        <f>IF(LEN('Verification Report'!W727)=0,"",'Verification Report'!W727)</f>
        <v/>
      </c>
      <c r="G726" s="1260" t="s">
        <v>247</v>
      </c>
    </row>
    <row r="727" spans="1:7" ht="15.75" hidden="1" thickBot="1" x14ac:dyDescent="0.3">
      <c r="A727" s="64"/>
      <c r="B727" s="129"/>
      <c r="C727" s="1139"/>
      <c r="D727" s="1754"/>
      <c r="E727" s="1296"/>
      <c r="F727" s="94"/>
      <c r="G727" s="1260" t="s">
        <v>247</v>
      </c>
    </row>
    <row r="728" spans="1:7" ht="15.75" hidden="1" thickBot="1" x14ac:dyDescent="0.3">
      <c r="A728" s="64"/>
      <c r="B728" s="129"/>
      <c r="C728" s="1139"/>
      <c r="D728" s="1754"/>
      <c r="E728" s="1296"/>
      <c r="F728" s="94"/>
      <c r="G728" s="1260" t="s">
        <v>247</v>
      </c>
    </row>
    <row r="729" spans="1:7" ht="15.75" hidden="1" thickBot="1" x14ac:dyDescent="0.3">
      <c r="A729" s="64"/>
      <c r="B729" s="129"/>
      <c r="C729" s="91" t="s">
        <v>121</v>
      </c>
      <c r="D729" s="1546" t="s">
        <v>705</v>
      </c>
      <c r="E729" s="1296"/>
      <c r="F729" s="94"/>
      <c r="G729" s="1260" t="s">
        <v>247</v>
      </c>
    </row>
    <row r="730" spans="1:7" ht="15.75" hidden="1" thickBot="1" x14ac:dyDescent="0.3">
      <c r="A730" s="64"/>
      <c r="B730" s="129"/>
      <c r="C730" s="91" t="s">
        <v>122</v>
      </c>
      <c r="D730" s="1546" t="s">
        <v>706</v>
      </c>
      <c r="E730" s="1296"/>
      <c r="F730" s="94"/>
      <c r="G730" s="1260" t="s">
        <v>247</v>
      </c>
    </row>
    <row r="731" spans="1:7" ht="15.75" hidden="1" thickBot="1" x14ac:dyDescent="0.3">
      <c r="A731" s="64"/>
      <c r="B731" s="129"/>
      <c r="C731" s="91" t="s">
        <v>123</v>
      </c>
      <c r="D731" s="1546" t="s">
        <v>707</v>
      </c>
      <c r="E731" s="1296"/>
      <c r="F731" s="94"/>
      <c r="G731" s="1260" t="s">
        <v>247</v>
      </c>
    </row>
    <row r="732" spans="1:7" ht="15.75" hidden="1" thickBot="1" x14ac:dyDescent="0.3">
      <c r="A732" s="64"/>
      <c r="B732" s="129"/>
      <c r="C732" s="110" t="s">
        <v>401</v>
      </c>
      <c r="D732" s="1546" t="s">
        <v>708</v>
      </c>
      <c r="E732" s="1296"/>
      <c r="F732" s="94"/>
      <c r="G732" s="1260" t="s">
        <v>247</v>
      </c>
    </row>
    <row r="733" spans="1:7" ht="15.75" hidden="1" thickBot="1" x14ac:dyDescent="0.3">
      <c r="A733" s="64"/>
      <c r="B733" s="129"/>
      <c r="C733" s="187" t="s">
        <v>539</v>
      </c>
      <c r="D733" s="1546" t="s">
        <v>709</v>
      </c>
      <c r="E733" s="1296"/>
      <c r="F733" s="94"/>
      <c r="G733" s="1260" t="s">
        <v>247</v>
      </c>
    </row>
    <row r="734" spans="1:7" ht="15.75" hidden="1" thickBot="1" x14ac:dyDescent="0.3">
      <c r="A734" s="64"/>
      <c r="B734" s="210"/>
      <c r="C734" s="174" t="s">
        <v>604</v>
      </c>
      <c r="D734" s="1536" t="s">
        <v>710</v>
      </c>
      <c r="E734" s="1297"/>
      <c r="F734" s="94"/>
      <c r="G734" s="1260" t="s">
        <v>247</v>
      </c>
    </row>
    <row r="735" spans="1:7" ht="15" hidden="1" customHeight="1" x14ac:dyDescent="0.25">
      <c r="A735" s="64"/>
      <c r="B735" s="209" t="s">
        <v>258</v>
      </c>
      <c r="C735" s="194"/>
      <c r="D735" s="1778" t="s">
        <v>711</v>
      </c>
      <c r="E735" s="1293">
        <f>'Verification Report'!O736</f>
        <v>0</v>
      </c>
      <c r="F735" s="1313" t="str">
        <f>IF(LEN('Verification Report'!W736)=0,"",'Verification Report'!W736)</f>
        <v/>
      </c>
      <c r="G735" s="1260" t="s">
        <v>247</v>
      </c>
    </row>
    <row r="736" spans="1:7" ht="15.75" hidden="1" thickBot="1" x14ac:dyDescent="0.3">
      <c r="A736" s="64"/>
      <c r="B736" s="129"/>
      <c r="C736" s="1139"/>
      <c r="D736" s="1754"/>
      <c r="E736" s="1296"/>
      <c r="F736" s="94"/>
      <c r="G736" s="1260" t="s">
        <v>247</v>
      </c>
    </row>
    <row r="737" spans="1:7" ht="15.75" hidden="1" thickBot="1" x14ac:dyDescent="0.3">
      <c r="A737" s="64"/>
      <c r="B737" s="129"/>
      <c r="C737" s="1139"/>
      <c r="D737" s="1754"/>
      <c r="E737" s="1296"/>
      <c r="F737" s="94"/>
      <c r="G737" s="1260" t="s">
        <v>247</v>
      </c>
    </row>
    <row r="738" spans="1:7" ht="15.75" hidden="1" thickBot="1" x14ac:dyDescent="0.3">
      <c r="A738" s="64"/>
      <c r="B738" s="129"/>
      <c r="C738" s="1139"/>
      <c r="D738" s="1754"/>
      <c r="E738" s="1296"/>
      <c r="F738" s="94"/>
      <c r="G738" s="1260" t="s">
        <v>247</v>
      </c>
    </row>
    <row r="739" spans="1:7" ht="15.75" hidden="1" thickBot="1" x14ac:dyDescent="0.3">
      <c r="A739" s="64"/>
      <c r="B739" s="129"/>
      <c r="C739" s="1139"/>
      <c r="D739" s="1754"/>
      <c r="E739" s="1296"/>
      <c r="F739" s="94"/>
      <c r="G739" s="1260" t="s">
        <v>247</v>
      </c>
    </row>
    <row r="740" spans="1:7" ht="15.75" hidden="1" thickBot="1" x14ac:dyDescent="0.3">
      <c r="A740" s="64"/>
      <c r="B740" s="129"/>
      <c r="C740" s="1139"/>
      <c r="D740" s="1754"/>
      <c r="E740" s="1296"/>
      <c r="F740" s="94"/>
      <c r="G740" s="1260" t="s">
        <v>247</v>
      </c>
    </row>
    <row r="741" spans="1:7" ht="15.75" hidden="1" thickBot="1" x14ac:dyDescent="0.3">
      <c r="A741" s="64"/>
      <c r="B741" s="129"/>
      <c r="C741" s="1139"/>
      <c r="D741" s="1754"/>
      <c r="E741" s="1296"/>
      <c r="F741" s="94"/>
      <c r="G741" s="1260" t="s">
        <v>247</v>
      </c>
    </row>
    <row r="742" spans="1:7" ht="15.75" hidden="1" thickBot="1" x14ac:dyDescent="0.3">
      <c r="A742" s="64"/>
      <c r="B742" s="210"/>
      <c r="C742" s="175"/>
      <c r="D742" s="1755"/>
      <c r="E742" s="1297"/>
      <c r="F742" s="94"/>
      <c r="G742" s="1260" t="s">
        <v>247</v>
      </c>
    </row>
    <row r="743" spans="1:7" ht="15" hidden="1" customHeight="1" x14ac:dyDescent="0.25">
      <c r="A743" s="64"/>
      <c r="B743" s="27" t="s">
        <v>260</v>
      </c>
      <c r="C743" s="1128"/>
      <c r="D743" s="1779" t="s">
        <v>712</v>
      </c>
      <c r="E743" s="1295">
        <f>'Verification Report'!O744</f>
        <v>0</v>
      </c>
      <c r="F743" s="1313" t="str">
        <f>IF(LEN('Verification Report'!W744)=0,"",'Verification Report'!W744)</f>
        <v/>
      </c>
      <c r="G743" s="1260" t="s">
        <v>247</v>
      </c>
    </row>
    <row r="744" spans="1:7" ht="15.75" hidden="1" thickBot="1" x14ac:dyDescent="0.3">
      <c r="A744" s="64"/>
      <c r="B744" s="4"/>
      <c r="C744" s="1128"/>
      <c r="D744" s="1779"/>
      <c r="E744" s="1295"/>
      <c r="F744" s="94"/>
      <c r="G744" s="1260" t="s">
        <v>247</v>
      </c>
    </row>
    <row r="745" spans="1:7" ht="15.75" hidden="1" customHeight="1" thickTop="1" x14ac:dyDescent="0.25">
      <c r="A745" s="180" t="s">
        <v>713</v>
      </c>
      <c r="B745" s="181"/>
      <c r="C745" s="182"/>
      <c r="D745" s="1781" t="s">
        <v>714</v>
      </c>
      <c r="E745" s="1298">
        <f ca="1">'Verification Report'!O746</f>
        <v>0</v>
      </c>
      <c r="F745" s="94"/>
      <c r="G745" s="1260" t="s">
        <v>247</v>
      </c>
    </row>
    <row r="746" spans="1:7" ht="15.75" hidden="1" thickBot="1" x14ac:dyDescent="0.3">
      <c r="A746" s="130"/>
      <c r="B746" s="129"/>
      <c r="C746" s="1139"/>
      <c r="D746" s="1782"/>
      <c r="E746" s="1296"/>
      <c r="F746" s="94"/>
      <c r="G746" s="1260" t="s">
        <v>247</v>
      </c>
    </row>
    <row r="747" spans="1:7" ht="15.75" hidden="1" thickBot="1" x14ac:dyDescent="0.3">
      <c r="A747" s="130"/>
      <c r="B747" s="129"/>
      <c r="C747" s="1139"/>
      <c r="D747" s="1782"/>
      <c r="E747" s="1296"/>
      <c r="F747" s="94"/>
      <c r="G747" s="1260" t="s">
        <v>247</v>
      </c>
    </row>
    <row r="748" spans="1:7" ht="15.75" hidden="1" thickBot="1" x14ac:dyDescent="0.3">
      <c r="A748" s="215"/>
      <c r="B748" s="210"/>
      <c r="C748" s="175"/>
      <c r="D748" s="1843"/>
      <c r="E748" s="1297"/>
      <c r="F748" s="94"/>
      <c r="G748" s="1260" t="s">
        <v>247</v>
      </c>
    </row>
    <row r="749" spans="1:7" ht="15" hidden="1" customHeight="1" x14ac:dyDescent="0.25">
      <c r="A749" s="192" t="s">
        <v>716</v>
      </c>
      <c r="B749" s="193"/>
      <c r="C749" s="194"/>
      <c r="D749" s="1864" t="s">
        <v>717</v>
      </c>
      <c r="E749" s="1295"/>
      <c r="F749" s="1847"/>
      <c r="G749" s="1260" t="s">
        <v>247</v>
      </c>
    </row>
    <row r="750" spans="1:7" ht="15.75" hidden="1" thickBot="1" x14ac:dyDescent="0.3">
      <c r="A750" s="130"/>
      <c r="B750" s="129"/>
      <c r="C750" s="1139"/>
      <c r="D750" s="1782"/>
      <c r="E750" s="1295"/>
      <c r="F750" s="1847"/>
      <c r="G750" s="1260" t="s">
        <v>247</v>
      </c>
    </row>
    <row r="751" spans="1:7" ht="15.75" hidden="1" thickBot="1" x14ac:dyDescent="0.3">
      <c r="A751" s="130"/>
      <c r="B751" s="129"/>
      <c r="C751" s="1139"/>
      <c r="D751" s="1782"/>
      <c r="E751" s="1295"/>
      <c r="F751" s="1313" t="str">
        <f>IF(LEN('Verification Report'!W752)=0,"",'Verification Report'!W752)</f>
        <v/>
      </c>
      <c r="G751" s="1260" t="s">
        <v>247</v>
      </c>
    </row>
    <row r="752" spans="1:7" ht="15.75" hidden="1" thickBot="1" x14ac:dyDescent="0.3">
      <c r="A752" s="130"/>
      <c r="B752" s="129"/>
      <c r="C752" s="91" t="s">
        <v>121</v>
      </c>
      <c r="D752" s="1546" t="s">
        <v>705</v>
      </c>
      <c r="E752" s="1295"/>
      <c r="F752" s="94"/>
      <c r="G752" s="1260" t="s">
        <v>247</v>
      </c>
    </row>
    <row r="753" spans="1:7" ht="15.75" hidden="1" thickBot="1" x14ac:dyDescent="0.3">
      <c r="A753" s="130"/>
      <c r="B753" s="129"/>
      <c r="C753" s="91" t="s">
        <v>122</v>
      </c>
      <c r="D753" s="1546" t="s">
        <v>706</v>
      </c>
      <c r="E753" s="1295"/>
      <c r="F753" s="94"/>
      <c r="G753" s="1260" t="s">
        <v>247</v>
      </c>
    </row>
    <row r="754" spans="1:7" ht="15.75" hidden="1" thickBot="1" x14ac:dyDescent="0.3">
      <c r="A754" s="130"/>
      <c r="B754" s="129"/>
      <c r="C754" s="91" t="s">
        <v>123</v>
      </c>
      <c r="D754" s="1546" t="s">
        <v>707</v>
      </c>
      <c r="E754" s="1295"/>
      <c r="F754" s="94"/>
      <c r="G754" s="1260" t="s">
        <v>247</v>
      </c>
    </row>
    <row r="755" spans="1:7" ht="15.75" hidden="1" thickBot="1" x14ac:dyDescent="0.3">
      <c r="A755" s="130"/>
      <c r="B755" s="129"/>
      <c r="C755" s="110" t="s">
        <v>401</v>
      </c>
      <c r="D755" s="1546" t="s">
        <v>708</v>
      </c>
      <c r="E755" s="1295"/>
      <c r="F755" s="94"/>
      <c r="G755" s="1260" t="s">
        <v>247</v>
      </c>
    </row>
    <row r="756" spans="1:7" ht="15.75" hidden="1" thickBot="1" x14ac:dyDescent="0.3">
      <c r="A756" s="130"/>
      <c r="B756" s="129"/>
      <c r="C756" s="187" t="s">
        <v>539</v>
      </c>
      <c r="D756" s="1546" t="s">
        <v>709</v>
      </c>
      <c r="E756" s="1295"/>
      <c r="F756" s="1847"/>
      <c r="G756" s="1260" t="s">
        <v>247</v>
      </c>
    </row>
    <row r="757" spans="1:7" ht="15.75" hidden="1" thickBot="1" x14ac:dyDescent="0.3">
      <c r="A757" s="130"/>
      <c r="B757" s="129"/>
      <c r="C757" s="91" t="s">
        <v>604</v>
      </c>
      <c r="D757" s="1546" t="s">
        <v>710</v>
      </c>
      <c r="E757" s="1295"/>
      <c r="F757" s="1847"/>
      <c r="G757" s="1260" t="s">
        <v>247</v>
      </c>
    </row>
    <row r="758" spans="1:7" ht="15" hidden="1" customHeight="1" x14ac:dyDescent="0.25">
      <c r="A758" s="130"/>
      <c r="B758" s="129"/>
      <c r="C758" s="94"/>
      <c r="D758" s="1860" t="s">
        <v>718</v>
      </c>
      <c r="E758" s="1295"/>
      <c r="F758" s="1313" t="str">
        <f>IF(LEN('Verification Report'!W759)=0,"",'Verification Report'!W759)</f>
        <v/>
      </c>
      <c r="G758" s="1260" t="s">
        <v>247</v>
      </c>
    </row>
    <row r="759" spans="1:7" ht="15.75" hidden="1" thickBot="1" x14ac:dyDescent="0.3">
      <c r="A759" s="130"/>
      <c r="B759" s="129"/>
      <c r="C759" s="1278"/>
      <c r="D759" s="1860"/>
      <c r="E759" s="1295"/>
      <c r="F759" s="94"/>
      <c r="G759" s="1260" t="s">
        <v>247</v>
      </c>
    </row>
    <row r="760" spans="1:7" ht="15.75" hidden="1" thickBot="1" x14ac:dyDescent="0.3">
      <c r="A760" s="130"/>
      <c r="B760" s="129"/>
      <c r="C760" s="1278"/>
      <c r="D760" s="1860"/>
      <c r="E760" s="1295"/>
      <c r="F760" s="94"/>
      <c r="G760" s="1260" t="s">
        <v>247</v>
      </c>
    </row>
    <row r="761" spans="1:7" ht="15" hidden="1" customHeight="1" x14ac:dyDescent="0.25">
      <c r="A761" s="130"/>
      <c r="B761" s="129"/>
      <c r="C761" s="1278"/>
      <c r="D761" s="1855" t="s">
        <v>3106</v>
      </c>
      <c r="E761" s="1295"/>
      <c r="F761" s="94"/>
      <c r="G761" s="1260" t="s">
        <v>247</v>
      </c>
    </row>
    <row r="762" spans="1:7" ht="15.75" hidden="1" thickBot="1" x14ac:dyDescent="0.3">
      <c r="A762" s="215"/>
      <c r="B762" s="210"/>
      <c r="C762" s="1285"/>
      <c r="D762" s="1861"/>
      <c r="E762" s="1295"/>
      <c r="F762" s="94"/>
      <c r="G762" s="1260" t="s">
        <v>247</v>
      </c>
    </row>
    <row r="763" spans="1:7" ht="15" hidden="1" customHeight="1" x14ac:dyDescent="0.25">
      <c r="A763" s="64" t="s">
        <v>719</v>
      </c>
      <c r="B763" s="4"/>
      <c r="C763" s="1128"/>
      <c r="D763" s="1796" t="s">
        <v>720</v>
      </c>
      <c r="E763" s="1295"/>
      <c r="F763" s="94"/>
      <c r="G763" s="1260" t="s">
        <v>247</v>
      </c>
    </row>
    <row r="764" spans="1:7" ht="15.75" hidden="1" thickBot="1" x14ac:dyDescent="0.3">
      <c r="A764" s="64"/>
      <c r="B764" s="4"/>
      <c r="C764" s="1128"/>
      <c r="D764" s="1796"/>
      <c r="E764" s="1295"/>
      <c r="F764" s="1313" t="str">
        <f>IF(LEN('Verification Report'!W765)=0,"",'Verification Report'!W765)</f>
        <v/>
      </c>
      <c r="G764" s="1260" t="s">
        <v>247</v>
      </c>
    </row>
    <row r="765" spans="1:7" ht="15.75" hidden="1" thickBot="1" x14ac:dyDescent="0.3">
      <c r="A765" s="64"/>
      <c r="B765" s="4"/>
      <c r="C765" s="1128"/>
      <c r="D765" s="1796"/>
      <c r="E765" s="1295"/>
      <c r="F765" s="94"/>
      <c r="G765" s="1260" t="s">
        <v>247</v>
      </c>
    </row>
    <row r="766" spans="1:7" ht="15.75" hidden="1" thickBot="1" x14ac:dyDescent="0.3">
      <c r="A766" s="64"/>
      <c r="B766" s="4"/>
      <c r="C766" s="1128"/>
      <c r="D766" s="1796"/>
      <c r="E766" s="1295"/>
      <c r="F766" s="94"/>
      <c r="G766" s="1260" t="s">
        <v>247</v>
      </c>
    </row>
    <row r="767" spans="1:7" ht="15.75" hidden="1" thickBot="1" x14ac:dyDescent="0.3">
      <c r="A767" s="64"/>
      <c r="B767" s="4"/>
      <c r="C767" s="1128"/>
      <c r="D767" s="1796"/>
      <c r="E767" s="1295"/>
      <c r="F767" s="94"/>
      <c r="G767" s="1260" t="s">
        <v>247</v>
      </c>
    </row>
    <row r="768" spans="1:7" ht="15.75" hidden="1" thickBot="1" x14ac:dyDescent="0.3">
      <c r="A768" s="64"/>
      <c r="B768" s="4"/>
      <c r="C768" s="1128"/>
      <c r="D768" s="1796"/>
      <c r="E768" s="1295"/>
      <c r="F768" s="94"/>
      <c r="G768" s="1260" t="s">
        <v>247</v>
      </c>
    </row>
    <row r="769" spans="1:7" ht="15.75" hidden="1" thickBot="1" x14ac:dyDescent="0.3">
      <c r="A769" s="64"/>
      <c r="B769" s="4"/>
      <c r="C769" s="1128"/>
      <c r="D769" s="1796"/>
      <c r="E769" s="1295"/>
      <c r="F769" s="94"/>
      <c r="G769" s="1260" t="s">
        <v>247</v>
      </c>
    </row>
    <row r="770" spans="1:7" ht="15.75" hidden="1" thickBot="1" x14ac:dyDescent="0.3">
      <c r="A770" s="64"/>
      <c r="B770" s="4"/>
      <c r="C770" s="1128"/>
      <c r="D770" s="1796"/>
      <c r="E770" s="1295"/>
      <c r="F770" s="94"/>
      <c r="G770" s="1260" t="s">
        <v>247</v>
      </c>
    </row>
    <row r="771" spans="1:7" ht="15.75" hidden="1" thickBot="1" x14ac:dyDescent="0.3">
      <c r="A771" s="64"/>
      <c r="B771" s="4"/>
      <c r="C771" s="1128"/>
      <c r="D771" s="1796"/>
      <c r="E771" s="1295"/>
      <c r="F771" s="1313" t="str">
        <f>IF(LEN('Verification Report'!W772)=0,"",'Verification Report'!W772)</f>
        <v/>
      </c>
      <c r="G771" s="1260" t="s">
        <v>247</v>
      </c>
    </row>
    <row r="772" spans="1:7" ht="15.75" hidden="1" thickBot="1" x14ac:dyDescent="0.3">
      <c r="A772" s="64"/>
      <c r="B772" s="4"/>
      <c r="C772" s="87" t="s">
        <v>121</v>
      </c>
      <c r="D772" s="1554" t="s">
        <v>721</v>
      </c>
      <c r="E772" s="1295"/>
      <c r="F772" s="94"/>
      <c r="G772" s="1260" t="s">
        <v>247</v>
      </c>
    </row>
    <row r="773" spans="1:7" ht="15.75" hidden="1" thickBot="1" x14ac:dyDescent="0.3">
      <c r="A773" s="64"/>
      <c r="B773" s="4"/>
      <c r="C773" s="87" t="s">
        <v>122</v>
      </c>
      <c r="D773" s="1554" t="s">
        <v>722</v>
      </c>
      <c r="E773" s="1295"/>
      <c r="F773" s="94"/>
      <c r="G773" s="1260" t="s">
        <v>247</v>
      </c>
    </row>
    <row r="774" spans="1:7" ht="15.75" hidden="1" thickBot="1" x14ac:dyDescent="0.3">
      <c r="A774" s="64"/>
      <c r="B774" s="4"/>
      <c r="C774" s="87" t="s">
        <v>123</v>
      </c>
      <c r="D774" s="1554" t="s">
        <v>723</v>
      </c>
      <c r="E774" s="1295"/>
      <c r="F774" s="94"/>
      <c r="G774" s="1260" t="s">
        <v>247</v>
      </c>
    </row>
    <row r="775" spans="1:7" ht="15.75" hidden="1" thickBot="1" x14ac:dyDescent="0.3">
      <c r="A775" s="64"/>
      <c r="B775" s="4"/>
      <c r="C775" s="89" t="s">
        <v>401</v>
      </c>
      <c r="D775" s="1554" t="s">
        <v>724</v>
      </c>
      <c r="E775" s="1295"/>
      <c r="F775" s="94"/>
      <c r="G775" s="1260" t="s">
        <v>247</v>
      </c>
    </row>
    <row r="776" spans="1:7" ht="15" hidden="1" customHeight="1" x14ac:dyDescent="0.25">
      <c r="A776" s="64"/>
      <c r="B776" s="4"/>
      <c r="C776" s="1128"/>
      <c r="D776" s="1841" t="s">
        <v>725</v>
      </c>
      <c r="E776" s="1295"/>
      <c r="F776" s="94"/>
      <c r="G776" s="1260" t="s">
        <v>247</v>
      </c>
    </row>
    <row r="777" spans="1:7" ht="15.75" hidden="1" thickBot="1" x14ac:dyDescent="0.3">
      <c r="A777" s="64"/>
      <c r="B777" s="4"/>
      <c r="C777" s="1128"/>
      <c r="D777" s="1841"/>
      <c r="E777" s="1295"/>
      <c r="F777" s="1313" t="str">
        <f>IF(LEN('Verification Report'!W778)=0,"",'Verification Report'!W778)</f>
        <v/>
      </c>
      <c r="G777" s="1260" t="s">
        <v>247</v>
      </c>
    </row>
    <row r="778" spans="1:7" ht="15.75" hidden="1" thickBot="1" x14ac:dyDescent="0.3">
      <c r="A778" s="64"/>
      <c r="B778" s="4"/>
      <c r="C778" s="87" t="s">
        <v>121</v>
      </c>
      <c r="D778" s="1554" t="s">
        <v>705</v>
      </c>
      <c r="E778" s="1295"/>
      <c r="F778" s="94"/>
      <c r="G778" s="1260" t="s">
        <v>247</v>
      </c>
    </row>
    <row r="779" spans="1:7" ht="15.75" hidden="1" thickBot="1" x14ac:dyDescent="0.3">
      <c r="A779" s="64"/>
      <c r="B779" s="4"/>
      <c r="C779" s="87" t="s">
        <v>122</v>
      </c>
      <c r="D779" s="1554" t="s">
        <v>706</v>
      </c>
      <c r="E779" s="1295"/>
      <c r="F779" s="94"/>
      <c r="G779" s="1260" t="s">
        <v>247</v>
      </c>
    </row>
    <row r="780" spans="1:7" ht="15.75" hidden="1" thickBot="1" x14ac:dyDescent="0.3">
      <c r="A780" s="64"/>
      <c r="B780" s="4"/>
      <c r="C780" s="87" t="s">
        <v>123</v>
      </c>
      <c r="D780" s="1554" t="s">
        <v>707</v>
      </c>
      <c r="E780" s="1295"/>
      <c r="F780" s="94"/>
      <c r="G780" s="1260" t="s">
        <v>247</v>
      </c>
    </row>
    <row r="781" spans="1:7" ht="15.75" hidden="1" thickBot="1" x14ac:dyDescent="0.3">
      <c r="A781" s="64"/>
      <c r="B781" s="4"/>
      <c r="C781" s="89" t="s">
        <v>401</v>
      </c>
      <c r="D781" s="1554" t="s">
        <v>708</v>
      </c>
      <c r="E781" s="1295"/>
      <c r="F781" s="94"/>
      <c r="G781" s="1260" t="s">
        <v>247</v>
      </c>
    </row>
    <row r="782" spans="1:7" ht="15.75" hidden="1" thickBot="1" x14ac:dyDescent="0.3">
      <c r="A782" s="64"/>
      <c r="B782" s="4"/>
      <c r="C782" s="85" t="s">
        <v>539</v>
      </c>
      <c r="D782" s="1554" t="s">
        <v>709</v>
      </c>
      <c r="E782" s="1295"/>
      <c r="F782" s="94"/>
      <c r="G782" s="1260" t="s">
        <v>247</v>
      </c>
    </row>
    <row r="783" spans="1:7" ht="15.75" hidden="1" thickBot="1" x14ac:dyDescent="0.3">
      <c r="A783" s="64"/>
      <c r="B783" s="4"/>
      <c r="C783" s="87" t="s">
        <v>604</v>
      </c>
      <c r="D783" s="1554" t="s">
        <v>710</v>
      </c>
      <c r="E783" s="1295"/>
      <c r="F783" s="1313" t="str">
        <f>IF(LEN('Verification Report'!W784)=0,"",'Verification Report'!W784)</f>
        <v/>
      </c>
      <c r="G783" s="1260" t="s">
        <v>247</v>
      </c>
    </row>
    <row r="784" spans="1:7" ht="15" hidden="1" customHeight="1" x14ac:dyDescent="0.25">
      <c r="A784" s="64"/>
      <c r="B784" s="4"/>
      <c r="C784" s="1128"/>
      <c r="D784" s="1851" t="s">
        <v>726</v>
      </c>
      <c r="E784" s="1295"/>
      <c r="F784" s="94"/>
      <c r="G784" s="1260" t="s">
        <v>247</v>
      </c>
    </row>
    <row r="785" spans="1:7" ht="15.75" hidden="1" thickBot="1" x14ac:dyDescent="0.3">
      <c r="A785" s="64"/>
      <c r="B785" s="4"/>
      <c r="C785" s="1128"/>
      <c r="D785" s="1851"/>
      <c r="E785" s="1295"/>
      <c r="F785" s="94"/>
      <c r="G785" s="1260" t="s">
        <v>247</v>
      </c>
    </row>
    <row r="786" spans="1:7" ht="15" hidden="1" customHeight="1" x14ac:dyDescent="0.25">
      <c r="A786" s="64"/>
      <c r="B786" s="4"/>
      <c r="C786" s="1128"/>
      <c r="D786" s="1849" t="s">
        <v>3114</v>
      </c>
      <c r="E786" s="1295"/>
      <c r="F786" s="94"/>
      <c r="G786" s="1260" t="s">
        <v>247</v>
      </c>
    </row>
    <row r="787" spans="1:7" ht="15.75" hidden="1" thickBot="1" x14ac:dyDescent="0.3">
      <c r="A787" s="64"/>
      <c r="B787" s="4"/>
      <c r="C787" s="1128"/>
      <c r="D787" s="1850"/>
      <c r="E787" s="1295"/>
      <c r="F787" s="94"/>
      <c r="G787" s="1260" t="s">
        <v>247</v>
      </c>
    </row>
    <row r="788" spans="1:7" ht="19.5" hidden="1" thickBot="1" x14ac:dyDescent="0.35">
      <c r="A788" s="995" t="s">
        <v>4871</v>
      </c>
      <c r="B788" s="968"/>
      <c r="C788" s="996"/>
      <c r="D788" s="1001"/>
      <c r="E788" s="1053"/>
      <c r="F788" s="94"/>
      <c r="G788" s="1260" t="s">
        <v>247</v>
      </c>
    </row>
    <row r="789" spans="1:7" ht="15" hidden="1" customHeight="1" x14ac:dyDescent="0.25">
      <c r="A789" s="130">
        <v>611.1</v>
      </c>
      <c r="B789" s="129"/>
      <c r="C789" s="1139"/>
      <c r="D789" s="1782" t="s">
        <v>4189</v>
      </c>
      <c r="E789" s="1296">
        <f>'Verification Report'!O790</f>
        <v>0</v>
      </c>
      <c r="F789" s="94"/>
      <c r="G789" s="1260" t="s">
        <v>247</v>
      </c>
    </row>
    <row r="790" spans="1:7" ht="15.75" hidden="1" thickBot="1" x14ac:dyDescent="0.3">
      <c r="A790" s="64"/>
      <c r="B790" s="4"/>
      <c r="C790" s="1128"/>
      <c r="D790" s="1796"/>
      <c r="E790" s="1296"/>
      <c r="F790" s="94"/>
      <c r="G790" s="1260" t="s">
        <v>247</v>
      </c>
    </row>
    <row r="791" spans="1:7" ht="15.75" hidden="1" thickBot="1" x14ac:dyDescent="0.3">
      <c r="A791" s="64"/>
      <c r="B791" s="4"/>
      <c r="C791" s="1128"/>
      <c r="D791" s="1796"/>
      <c r="E791" s="1296"/>
      <c r="F791" s="94"/>
      <c r="G791" s="1260" t="s">
        <v>247</v>
      </c>
    </row>
    <row r="792" spans="1:7" ht="15.75" hidden="1" thickBot="1" x14ac:dyDescent="0.3">
      <c r="A792" s="64"/>
      <c r="B792" s="4"/>
      <c r="C792" s="1128"/>
      <c r="D792" s="1796"/>
      <c r="E792" s="1296"/>
      <c r="F792" s="94"/>
      <c r="G792" s="1260" t="s">
        <v>247</v>
      </c>
    </row>
    <row r="793" spans="1:7" ht="15.75" hidden="1" thickBot="1" x14ac:dyDescent="0.3">
      <c r="A793" s="215"/>
      <c r="B793" s="210"/>
      <c r="C793" s="175"/>
      <c r="D793" s="1843"/>
      <c r="E793" s="1297"/>
      <c r="F793" s="94"/>
      <c r="G793" s="1260" t="s">
        <v>247</v>
      </c>
    </row>
    <row r="794" spans="1:7" ht="15" hidden="1" customHeight="1" x14ac:dyDescent="0.25">
      <c r="A794" s="64" t="s">
        <v>4190</v>
      </c>
      <c r="B794" s="4"/>
      <c r="C794" s="1128"/>
      <c r="D794" s="1852" t="s">
        <v>4818</v>
      </c>
      <c r="E794" s="1295"/>
      <c r="F794" s="94"/>
      <c r="G794" s="1260" t="s">
        <v>247</v>
      </c>
    </row>
    <row r="795" spans="1:7" ht="15.75" hidden="1" thickBot="1" x14ac:dyDescent="0.3">
      <c r="A795" s="64"/>
      <c r="B795" s="4"/>
      <c r="C795" s="1128"/>
      <c r="D795" s="1852"/>
      <c r="E795" s="1295"/>
      <c r="F795" s="1313" t="str">
        <f>IF(LEN('Verification Report'!W796)=0,"",'Verification Report'!W796)</f>
        <v/>
      </c>
      <c r="G795" s="1260" t="s">
        <v>247</v>
      </c>
    </row>
    <row r="796" spans="1:7" ht="15.75" hidden="1" thickBot="1" x14ac:dyDescent="0.3">
      <c r="A796" s="64"/>
      <c r="B796" s="4"/>
      <c r="C796" s="1128"/>
      <c r="D796" s="1852"/>
      <c r="E796" s="1295"/>
      <c r="F796" s="94"/>
      <c r="G796" s="1260" t="s">
        <v>247</v>
      </c>
    </row>
    <row r="797" spans="1:7" ht="15.75" hidden="1" thickBot="1" x14ac:dyDescent="0.3">
      <c r="A797" s="64"/>
      <c r="B797" s="4"/>
      <c r="C797" s="1128"/>
      <c r="D797" s="1852"/>
      <c r="E797" s="1295"/>
      <c r="F797" s="94"/>
      <c r="G797" s="1260" t="s">
        <v>247</v>
      </c>
    </row>
    <row r="798" spans="1:7" ht="15.75" hidden="1" thickBot="1" x14ac:dyDescent="0.3">
      <c r="A798" s="64"/>
      <c r="B798" s="4"/>
      <c r="C798" s="1128"/>
      <c r="D798" s="1852"/>
      <c r="E798" s="1295"/>
      <c r="F798" s="94"/>
      <c r="G798" s="1260" t="s">
        <v>247</v>
      </c>
    </row>
    <row r="799" spans="1:7" ht="15.75" hidden="1" thickBot="1" x14ac:dyDescent="0.3">
      <c r="A799" s="64"/>
      <c r="B799" s="4"/>
      <c r="C799" s="1128"/>
      <c r="D799" s="1852"/>
      <c r="E799" s="1295"/>
      <c r="F799" s="94"/>
      <c r="G799" s="1260" t="s">
        <v>247</v>
      </c>
    </row>
    <row r="800" spans="1:7" ht="15.75" hidden="1" thickBot="1" x14ac:dyDescent="0.3">
      <c r="A800" s="64"/>
      <c r="B800" s="4"/>
      <c r="C800" s="1128"/>
      <c r="D800" s="1852"/>
      <c r="E800" s="1295"/>
      <c r="F800" s="94"/>
      <c r="G800" s="1260" t="s">
        <v>247</v>
      </c>
    </row>
    <row r="801" spans="1:7" ht="15.75" hidden="1" thickBot="1" x14ac:dyDescent="0.3">
      <c r="A801" s="64"/>
      <c r="B801" s="4"/>
      <c r="C801" s="1128"/>
      <c r="D801" s="1852"/>
      <c r="E801" s="1295"/>
      <c r="F801" s="94"/>
      <c r="G801" s="1260" t="s">
        <v>247</v>
      </c>
    </row>
    <row r="802" spans="1:7" ht="15.75" hidden="1" thickBot="1" x14ac:dyDescent="0.3">
      <c r="A802" s="64"/>
      <c r="B802" s="4"/>
      <c r="C802" s="1128"/>
      <c r="D802" s="1852"/>
      <c r="E802" s="1295"/>
      <c r="F802" s="94"/>
      <c r="G802" s="1260" t="s">
        <v>247</v>
      </c>
    </row>
    <row r="803" spans="1:7" ht="15.75" hidden="1" thickBot="1" x14ac:dyDescent="0.3">
      <c r="A803" s="215"/>
      <c r="B803" s="210"/>
      <c r="C803" s="175"/>
      <c r="D803" s="1561" t="s">
        <v>3138</v>
      </c>
      <c r="E803" s="1295"/>
      <c r="F803" s="94"/>
      <c r="G803" s="1260" t="s">
        <v>247</v>
      </c>
    </row>
    <row r="804" spans="1:7" ht="15" hidden="1" customHeight="1" x14ac:dyDescent="0.25">
      <c r="A804" s="64" t="s">
        <v>4191</v>
      </c>
      <c r="B804" s="4"/>
      <c r="C804" s="1128"/>
      <c r="D804" s="1852" t="s">
        <v>4819</v>
      </c>
      <c r="E804" s="1296"/>
      <c r="F804" s="1847"/>
      <c r="G804" s="1260" t="s">
        <v>247</v>
      </c>
    </row>
    <row r="805" spans="1:7" ht="15.75" hidden="1" thickBot="1" x14ac:dyDescent="0.3">
      <c r="A805" s="64"/>
      <c r="B805" s="4"/>
      <c r="C805" s="1128"/>
      <c r="D805" s="1852"/>
      <c r="E805" s="1296"/>
      <c r="F805" s="1847"/>
      <c r="G805" s="1260" t="s">
        <v>247</v>
      </c>
    </row>
    <row r="806" spans="1:7" ht="15.75" hidden="1" thickBot="1" x14ac:dyDescent="0.3">
      <c r="A806" s="64"/>
      <c r="B806" s="4"/>
      <c r="C806" s="1128"/>
      <c r="D806" s="1852"/>
      <c r="E806" s="1296"/>
      <c r="F806" s="1313" t="str">
        <f>IF(LEN('Verification Report'!W807)=0,"",'Verification Report'!W807)</f>
        <v/>
      </c>
      <c r="G806" s="1260" t="s">
        <v>247</v>
      </c>
    </row>
    <row r="807" spans="1:7" ht="15.75" hidden="1" thickBot="1" x14ac:dyDescent="0.3">
      <c r="A807" s="64"/>
      <c r="B807" s="4"/>
      <c r="C807" s="1128"/>
      <c r="D807" s="1852"/>
      <c r="E807" s="1296"/>
      <c r="F807" s="94"/>
      <c r="G807" s="1260" t="s">
        <v>247</v>
      </c>
    </row>
    <row r="808" spans="1:7" ht="15.75" hidden="1" thickBot="1" x14ac:dyDescent="0.3">
      <c r="A808" s="64"/>
      <c r="B808" s="4"/>
      <c r="C808" s="1128"/>
      <c r="D808" s="1852"/>
      <c r="E808" s="1296"/>
      <c r="F808" s="94"/>
      <c r="G808" s="1260" t="s">
        <v>247</v>
      </c>
    </row>
    <row r="809" spans="1:7" ht="15.75" hidden="1" thickBot="1" x14ac:dyDescent="0.3">
      <c r="A809" s="64"/>
      <c r="B809" s="4"/>
      <c r="C809" s="1128"/>
      <c r="D809" s="1852"/>
      <c r="E809" s="1296"/>
      <c r="F809" s="94"/>
      <c r="G809" s="1260" t="s">
        <v>247</v>
      </c>
    </row>
    <row r="810" spans="1:7" ht="15.75" hidden="1" thickBot="1" x14ac:dyDescent="0.3">
      <c r="A810" s="99"/>
      <c r="B810" s="99"/>
      <c r="C810" s="99"/>
      <c r="D810" s="1580" t="s">
        <v>3138</v>
      </c>
      <c r="E810" s="1294"/>
      <c r="F810" s="94"/>
      <c r="G810" s="1260" t="s">
        <v>247</v>
      </c>
    </row>
    <row r="811" spans="1:7" ht="19.5" hidden="1" thickBot="1" x14ac:dyDescent="0.35">
      <c r="A811" s="14" t="s">
        <v>4185</v>
      </c>
      <c r="B811" s="23"/>
      <c r="C811" s="82"/>
      <c r="D811" s="229"/>
      <c r="E811" s="1043"/>
      <c r="F811" s="94"/>
      <c r="G811" s="1260" t="s">
        <v>247</v>
      </c>
    </row>
    <row r="812" spans="1:7" ht="15" hidden="1" customHeight="1" x14ac:dyDescent="0.25">
      <c r="A812" s="64">
        <v>612.1</v>
      </c>
      <c r="B812" s="4"/>
      <c r="C812" s="1128"/>
      <c r="D812" s="1796" t="s">
        <v>4186</v>
      </c>
      <c r="E812" s="1295">
        <f ca="1">'Verification Report'!O813</f>
        <v>0</v>
      </c>
      <c r="F812" s="1313" t="str">
        <f>IF(LEN('Verification Report'!W813)=0,"",'Verification Report'!W813)</f>
        <v/>
      </c>
      <c r="G812" s="1260" t="s">
        <v>247</v>
      </c>
    </row>
    <row r="813" spans="1:7" ht="15.75" hidden="1" thickBot="1" x14ac:dyDescent="0.3">
      <c r="A813" s="64"/>
      <c r="B813" s="4"/>
      <c r="C813" s="1128"/>
      <c r="D813" s="1796"/>
      <c r="E813" s="1295"/>
      <c r="F813" s="94"/>
      <c r="G813" s="1260" t="s">
        <v>247</v>
      </c>
    </row>
    <row r="814" spans="1:7" ht="15.75" hidden="1" thickBot="1" x14ac:dyDescent="0.3">
      <c r="A814" s="64"/>
      <c r="B814" s="4"/>
      <c r="C814" s="1128"/>
      <c r="D814" s="1796"/>
      <c r="E814" s="1295"/>
      <c r="F814" s="94"/>
      <c r="G814" s="1260" t="s">
        <v>247</v>
      </c>
    </row>
    <row r="815" spans="1:7" ht="15.75" hidden="1" thickBot="1" x14ac:dyDescent="0.3">
      <c r="A815" s="64"/>
      <c r="B815" s="4"/>
      <c r="C815" s="1128"/>
      <c r="D815" s="1796"/>
      <c r="E815" s="1295"/>
      <c r="F815" s="94"/>
      <c r="G815" s="1260" t="s">
        <v>247</v>
      </c>
    </row>
    <row r="816" spans="1:7" ht="15.75" hidden="1" thickBot="1" x14ac:dyDescent="0.3">
      <c r="A816" s="64"/>
      <c r="B816" s="4"/>
      <c r="C816" s="1128"/>
      <c r="D816" s="1796"/>
      <c r="E816" s="1295"/>
      <c r="F816" s="94"/>
      <c r="G816" s="1260" t="s">
        <v>247</v>
      </c>
    </row>
    <row r="817" spans="1:7" ht="15.75" hidden="1" thickBot="1" x14ac:dyDescent="0.3">
      <c r="A817" s="64"/>
      <c r="B817" s="4"/>
      <c r="C817" s="1128"/>
      <c r="D817" s="1568" t="s">
        <v>727</v>
      </c>
      <c r="E817" s="1295"/>
      <c r="F817" s="94"/>
      <c r="G817" s="1260" t="s">
        <v>247</v>
      </c>
    </row>
    <row r="818" spans="1:7" ht="15" hidden="1" customHeight="1" x14ac:dyDescent="0.25">
      <c r="A818" s="64"/>
      <c r="B818" s="4"/>
      <c r="C818" s="1128"/>
      <c r="D818" s="1804" t="s">
        <v>4859</v>
      </c>
      <c r="E818" s="1295"/>
      <c r="F818" s="94"/>
      <c r="G818" s="1260" t="s">
        <v>247</v>
      </c>
    </row>
    <row r="819" spans="1:7" ht="15.75" hidden="1" thickBot="1" x14ac:dyDescent="0.3">
      <c r="A819" s="64"/>
      <c r="B819" s="4"/>
      <c r="C819" s="1128"/>
      <c r="D819" s="1849"/>
      <c r="E819" s="1295"/>
      <c r="F819" s="94"/>
      <c r="G819" s="1260" t="s">
        <v>247</v>
      </c>
    </row>
    <row r="820" spans="1:7" ht="15.75" hidden="1" customHeight="1" thickTop="1" x14ac:dyDescent="0.25">
      <c r="A820" s="180">
        <v>612.20000000000005</v>
      </c>
      <c r="B820" s="181"/>
      <c r="C820" s="182"/>
      <c r="D820" s="1781" t="s">
        <v>4195</v>
      </c>
      <c r="E820" s="1298">
        <f>'Verification Report'!O821</f>
        <v>0</v>
      </c>
      <c r="F820" s="94"/>
      <c r="G820" s="1260" t="s">
        <v>247</v>
      </c>
    </row>
    <row r="821" spans="1:7" ht="15.75" hidden="1" thickBot="1" x14ac:dyDescent="0.3">
      <c r="A821" s="64"/>
      <c r="B821" s="4"/>
      <c r="C821" s="1128"/>
      <c r="D821" s="1796"/>
      <c r="E821" s="1296"/>
      <c r="F821" s="94"/>
      <c r="G821" s="1260" t="s">
        <v>247</v>
      </c>
    </row>
    <row r="822" spans="1:7" ht="15.75" hidden="1" thickBot="1" x14ac:dyDescent="0.3">
      <c r="A822" s="64"/>
      <c r="B822" s="4"/>
      <c r="C822" s="1128"/>
      <c r="D822" s="1796"/>
      <c r="E822" s="1296"/>
      <c r="F822" s="94"/>
      <c r="G822" s="1260" t="s">
        <v>247</v>
      </c>
    </row>
    <row r="823" spans="1:7" ht="15.75" hidden="1" thickBot="1" x14ac:dyDescent="0.3">
      <c r="A823" s="64"/>
      <c r="B823" s="206" t="s">
        <v>256</v>
      </c>
      <c r="C823" s="175"/>
      <c r="D823" s="1544" t="s">
        <v>4196</v>
      </c>
      <c r="E823" s="1295"/>
      <c r="F823" s="1313" t="str">
        <f>IF(LEN('Verification Report'!W824)=0,"",'Verification Report'!W824)</f>
        <v/>
      </c>
      <c r="G823" s="1260" t="s">
        <v>247</v>
      </c>
    </row>
    <row r="824" spans="1:7" ht="15" hidden="1" customHeight="1" x14ac:dyDescent="0.25">
      <c r="A824" s="64"/>
      <c r="B824" s="209" t="s">
        <v>258</v>
      </c>
      <c r="C824" s="194"/>
      <c r="D824" s="1769" t="s">
        <v>4197</v>
      </c>
      <c r="E824" s="1295"/>
      <c r="F824" s="1313" t="str">
        <f>IF(LEN('Verification Report'!W825)=0,"",'Verification Report'!W825)</f>
        <v/>
      </c>
      <c r="G824" s="1260" t="s">
        <v>247</v>
      </c>
    </row>
    <row r="825" spans="1:7" ht="15.75" hidden="1" thickBot="1" x14ac:dyDescent="0.3">
      <c r="B825" s="178"/>
      <c r="C825" s="178"/>
      <c r="D825" s="1786"/>
      <c r="E825" s="664"/>
      <c r="F825" s="94"/>
      <c r="G825" s="1260" t="s">
        <v>247</v>
      </c>
    </row>
    <row r="826" spans="1:7" ht="15" hidden="1" customHeight="1" x14ac:dyDescent="0.25">
      <c r="A826" s="64"/>
      <c r="B826" s="209" t="s">
        <v>260</v>
      </c>
      <c r="C826" s="194"/>
      <c r="D826" s="1769" t="s">
        <v>4198</v>
      </c>
      <c r="E826" s="1295"/>
      <c r="F826" s="1313" t="str">
        <f>IF(LEN('Verification Report'!W827)=0,"",'Verification Report'!W827)</f>
        <v/>
      </c>
      <c r="G826" s="1260" t="s">
        <v>247</v>
      </c>
    </row>
    <row r="827" spans="1:7" ht="15.75" hidden="1" thickBot="1" x14ac:dyDescent="0.3">
      <c r="B827" s="178"/>
      <c r="C827" s="178"/>
      <c r="D827" s="1786"/>
      <c r="E827" s="664"/>
      <c r="F827" s="94"/>
      <c r="G827" s="1260" t="s">
        <v>247</v>
      </c>
    </row>
    <row r="828" spans="1:7" ht="15" hidden="1" customHeight="1" x14ac:dyDescent="0.25">
      <c r="A828" s="64"/>
      <c r="B828" s="209" t="s">
        <v>269</v>
      </c>
      <c r="C828" s="194"/>
      <c r="D828" s="1769" t="s">
        <v>4199</v>
      </c>
      <c r="E828" s="1295"/>
      <c r="F828" s="1313" t="str">
        <f>IF(LEN('Verification Report'!W829)=0,"",'Verification Report'!W829)</f>
        <v/>
      </c>
      <c r="G828" s="1260" t="s">
        <v>247</v>
      </c>
    </row>
    <row r="829" spans="1:7" ht="15.75" hidden="1" thickBot="1" x14ac:dyDescent="0.3">
      <c r="B829" s="178"/>
      <c r="C829" s="178"/>
      <c r="D829" s="1786"/>
      <c r="E829" s="664"/>
      <c r="F829" s="94"/>
      <c r="G829" s="1260" t="s">
        <v>247</v>
      </c>
    </row>
    <row r="830" spans="1:7" ht="15" hidden="1" customHeight="1" x14ac:dyDescent="0.25">
      <c r="A830" s="64"/>
      <c r="B830" s="209" t="s">
        <v>275</v>
      </c>
      <c r="C830" s="194"/>
      <c r="D830" s="1769" t="s">
        <v>4200</v>
      </c>
      <c r="E830" s="1295"/>
      <c r="F830" s="1313" t="str">
        <f>IF(LEN('Verification Report'!W831)=0,"",'Verification Report'!W831)</f>
        <v/>
      </c>
      <c r="G830" s="1260" t="s">
        <v>247</v>
      </c>
    </row>
    <row r="831" spans="1:7" ht="15.75" hidden="1" thickBot="1" x14ac:dyDescent="0.3">
      <c r="B831" s="178"/>
      <c r="C831" s="178"/>
      <c r="D831" s="1786"/>
      <c r="E831" s="664"/>
      <c r="F831" s="94"/>
      <c r="G831" s="1260" t="s">
        <v>247</v>
      </c>
    </row>
    <row r="832" spans="1:7" ht="15" hidden="1" customHeight="1" x14ac:dyDescent="0.25">
      <c r="A832" s="64"/>
      <c r="B832" s="209" t="s">
        <v>277</v>
      </c>
      <c r="C832" s="194"/>
      <c r="D832" s="1769" t="s">
        <v>4201</v>
      </c>
      <c r="E832" s="1295"/>
      <c r="F832" s="1313" t="str">
        <f>IF(LEN('Verification Report'!W833)=0,"",'Verification Report'!W833)</f>
        <v/>
      </c>
      <c r="G832" s="1260" t="s">
        <v>247</v>
      </c>
    </row>
    <row r="833" spans="1:9" ht="15.75" hidden="1" thickBot="1" x14ac:dyDescent="0.3">
      <c r="B833" s="178"/>
      <c r="C833" s="178"/>
      <c r="D833" s="1786"/>
      <c r="E833" s="664"/>
      <c r="F833" s="94"/>
      <c r="G833" s="1260" t="s">
        <v>247</v>
      </c>
    </row>
    <row r="834" spans="1:9" ht="15" hidden="1" customHeight="1" x14ac:dyDescent="0.25">
      <c r="A834" s="64"/>
      <c r="B834" s="27" t="s">
        <v>383</v>
      </c>
      <c r="C834" s="1128"/>
      <c r="D834" s="1769" t="s">
        <v>4202</v>
      </c>
      <c r="E834" s="1295"/>
      <c r="F834" s="1313" t="str">
        <f>IF(LEN('Verification Report'!W835)=0,"",'Verification Report'!W835)</f>
        <v/>
      </c>
      <c r="G834" s="1260" t="s">
        <v>247</v>
      </c>
    </row>
    <row r="835" spans="1:9" ht="15.75" hidden="1" thickBot="1" x14ac:dyDescent="0.3">
      <c r="A835" s="64"/>
      <c r="B835" s="27"/>
      <c r="C835" s="1128"/>
      <c r="D835" s="1766"/>
      <c r="E835" s="1295"/>
      <c r="F835" s="94"/>
      <c r="G835" s="1260" t="s">
        <v>247</v>
      </c>
    </row>
    <row r="836" spans="1:9" ht="15.75" customHeight="1" thickTop="1" x14ac:dyDescent="0.25">
      <c r="A836" s="180">
        <v>612.29999999999995</v>
      </c>
      <c r="B836" s="198"/>
      <c r="C836" s="182"/>
      <c r="D836" s="1781" t="s">
        <v>4192</v>
      </c>
      <c r="E836" s="1298">
        <f ca="1">'Verification Report'!O837</f>
        <v>0</v>
      </c>
      <c r="F836" s="94"/>
      <c r="G836" s="585" t="str">
        <f ca="1">IF(E836&gt;0,"P","")</f>
        <v/>
      </c>
    </row>
    <row r="837" spans="1:9" x14ac:dyDescent="0.25">
      <c r="A837" s="64"/>
      <c r="B837" s="4"/>
      <c r="C837" s="1128"/>
      <c r="D837" s="1796"/>
      <c r="E837" s="1295"/>
      <c r="F837" s="94"/>
      <c r="G837" s="585" t="str">
        <f ca="1">G836</f>
        <v/>
      </c>
    </row>
    <row r="838" spans="1:9" ht="15" customHeight="1" x14ac:dyDescent="0.25">
      <c r="A838" s="64"/>
      <c r="B838" s="183" t="s">
        <v>256</v>
      </c>
      <c r="C838" s="1139"/>
      <c r="D838" s="1754" t="s">
        <v>728</v>
      </c>
      <c r="E838" s="1295"/>
      <c r="F838" s="1313" t="str">
        <f>IF(LEN('Verification Report'!W839)=0,"",'Verification Report'!W839)</f>
        <v/>
      </c>
      <c r="G838" s="585" t="str">
        <f>IF(AND(LEN(F838)&gt;0,NOT(F838=FALSE)),"P","")</f>
        <v/>
      </c>
      <c r="H838" s="1330" t="s">
        <v>5095</v>
      </c>
      <c r="I838" s="1527"/>
    </row>
    <row r="839" spans="1:9" x14ac:dyDescent="0.25">
      <c r="A839" s="64"/>
      <c r="B839" s="129"/>
      <c r="C839" s="1139"/>
      <c r="D839" s="1754"/>
      <c r="E839" s="1295"/>
      <c r="F839" s="94"/>
      <c r="G839" s="585" t="str">
        <f>G838</f>
        <v/>
      </c>
    </row>
    <row r="840" spans="1:9" x14ac:dyDescent="0.25">
      <c r="A840" s="64"/>
      <c r="B840" s="129"/>
      <c r="C840" s="1139"/>
      <c r="D840" s="1754"/>
      <c r="E840" s="1295"/>
      <c r="F840" s="94"/>
      <c r="G840" s="585" t="str">
        <f>G839</f>
        <v/>
      </c>
    </row>
    <row r="841" spans="1:9" x14ac:dyDescent="0.25">
      <c r="A841" s="64"/>
      <c r="B841" s="129"/>
      <c r="C841" s="1139"/>
      <c r="D841" s="1754"/>
      <c r="E841" s="1295"/>
      <c r="F841" s="94"/>
      <c r="G841" s="585" t="str">
        <f>G840</f>
        <v/>
      </c>
    </row>
    <row r="842" spans="1:9" x14ac:dyDescent="0.25">
      <c r="A842" s="64"/>
      <c r="B842" s="210"/>
      <c r="C842" s="175"/>
      <c r="D842" s="1755"/>
      <c r="E842" s="1295"/>
      <c r="F842" s="94"/>
      <c r="G842" s="585" t="str">
        <f>G841</f>
        <v/>
      </c>
    </row>
    <row r="843" spans="1:9" ht="15" hidden="1" customHeight="1" x14ac:dyDescent="0.25">
      <c r="A843" s="64"/>
      <c r="B843" s="209" t="s">
        <v>258</v>
      </c>
      <c r="C843" s="194"/>
      <c r="D843" s="1778" t="s">
        <v>729</v>
      </c>
      <c r="E843" s="1295"/>
      <c r="F843" s="1313" t="str">
        <f>IF(LEN('Verification Report'!W844)=0,"",'Verification Report'!W844)</f>
        <v/>
      </c>
      <c r="G843" s="1260" t="s">
        <v>247</v>
      </c>
    </row>
    <row r="844" spans="1:9" hidden="1" x14ac:dyDescent="0.25">
      <c r="A844" s="64"/>
      <c r="B844" s="129"/>
      <c r="C844" s="1139"/>
      <c r="D844" s="1754"/>
      <c r="E844" s="1295"/>
      <c r="F844" s="94"/>
      <c r="G844" s="1260" t="s">
        <v>247</v>
      </c>
    </row>
    <row r="845" spans="1:9" hidden="1" x14ac:dyDescent="0.25">
      <c r="A845" s="64"/>
      <c r="B845" s="129"/>
      <c r="C845" s="1139"/>
      <c r="D845" s="1754"/>
      <c r="E845" s="1295"/>
      <c r="F845" s="94"/>
      <c r="G845" s="1260" t="s">
        <v>247</v>
      </c>
    </row>
    <row r="846" spans="1:9" hidden="1" x14ac:dyDescent="0.25">
      <c r="A846" s="64"/>
      <c r="B846" s="210"/>
      <c r="C846" s="175"/>
      <c r="D846" s="1755"/>
      <c r="E846" s="1295"/>
      <c r="F846" s="94"/>
      <c r="G846" s="1260" t="s">
        <v>247</v>
      </c>
    </row>
    <row r="847" spans="1:9" ht="15" hidden="1" customHeight="1" x14ac:dyDescent="0.25">
      <c r="A847" s="64"/>
      <c r="B847" s="209" t="s">
        <v>260</v>
      </c>
      <c r="C847" s="194"/>
      <c r="D847" s="1778" t="s">
        <v>730</v>
      </c>
      <c r="E847" s="1295"/>
      <c r="F847" s="1313" t="str">
        <f>IF(LEN('Verification Report'!W848)=0,"",'Verification Report'!W848)</f>
        <v/>
      </c>
      <c r="G847" s="1260" t="s">
        <v>247</v>
      </c>
    </row>
    <row r="848" spans="1:9" hidden="1" x14ac:dyDescent="0.25">
      <c r="A848" s="64"/>
      <c r="B848" s="210"/>
      <c r="C848" s="175"/>
      <c r="D848" s="1755"/>
      <c r="E848" s="1295"/>
      <c r="F848" s="94"/>
      <c r="G848" s="1260" t="s">
        <v>247</v>
      </c>
    </row>
    <row r="849" spans="1:7" ht="15" hidden="1" customHeight="1" x14ac:dyDescent="0.25">
      <c r="A849" s="64"/>
      <c r="B849" s="209" t="s">
        <v>269</v>
      </c>
      <c r="C849" s="194"/>
      <c r="D849" s="1778" t="s">
        <v>731</v>
      </c>
      <c r="E849" s="1295"/>
      <c r="F849" s="1313" t="str">
        <f>IF(LEN('Verification Report'!W850)=0,"",'Verification Report'!W850)</f>
        <v/>
      </c>
      <c r="G849" s="1260" t="s">
        <v>247</v>
      </c>
    </row>
    <row r="850" spans="1:7" hidden="1" x14ac:dyDescent="0.25">
      <c r="A850" s="64"/>
      <c r="B850" s="210"/>
      <c r="C850" s="175"/>
      <c r="D850" s="1755"/>
      <c r="E850" s="1295"/>
      <c r="F850" s="94"/>
      <c r="G850" s="1260" t="s">
        <v>247</v>
      </c>
    </row>
    <row r="851" spans="1:7" hidden="1" x14ac:dyDescent="0.25">
      <c r="A851" s="64"/>
      <c r="B851" s="207" t="s">
        <v>275</v>
      </c>
      <c r="C851" s="208"/>
      <c r="D851" s="280" t="s">
        <v>732</v>
      </c>
      <c r="E851" s="1295"/>
      <c r="F851" s="1313" t="str">
        <f>IF(LEN('Verification Report'!W852)=0,"",'Verification Report'!W852)</f>
        <v/>
      </c>
      <c r="G851" s="1260" t="s">
        <v>247</v>
      </c>
    </row>
    <row r="852" spans="1:7" hidden="1" x14ac:dyDescent="0.25">
      <c r="A852" s="64"/>
      <c r="B852" s="207" t="s">
        <v>277</v>
      </c>
      <c r="C852" s="208"/>
      <c r="D852" s="1545" t="s">
        <v>4203</v>
      </c>
      <c r="E852" s="1295"/>
      <c r="F852" s="1313" t="str">
        <f>IF(LEN('Verification Report'!W853)=0,"",'Verification Report'!W853)</f>
        <v/>
      </c>
      <c r="G852" s="1260" t="s">
        <v>247</v>
      </c>
    </row>
    <row r="853" spans="1:7" ht="15" hidden="1" customHeight="1" x14ac:dyDescent="0.25">
      <c r="A853" s="64"/>
      <c r="B853" s="209" t="s">
        <v>383</v>
      </c>
      <c r="C853" s="194"/>
      <c r="D853" s="1778" t="s">
        <v>733</v>
      </c>
      <c r="E853" s="1295"/>
      <c r="F853" s="1313" t="str">
        <f>IF(LEN('Verification Report'!W854)=0,"",'Verification Report'!W854)</f>
        <v/>
      </c>
      <c r="G853" s="1260" t="s">
        <v>247</v>
      </c>
    </row>
    <row r="854" spans="1:7" hidden="1" x14ac:dyDescent="0.25">
      <c r="A854" s="64"/>
      <c r="B854" s="129"/>
      <c r="C854" s="1139"/>
      <c r="D854" s="1754"/>
      <c r="E854" s="1295"/>
      <c r="F854" s="94"/>
      <c r="G854" s="1260" t="s">
        <v>247</v>
      </c>
    </row>
    <row r="855" spans="1:7" hidden="1" x14ac:dyDescent="0.25">
      <c r="A855" s="64"/>
      <c r="B855" s="129"/>
      <c r="C855" s="1139"/>
      <c r="D855" s="1754"/>
      <c r="E855" s="1295"/>
      <c r="F855" s="94"/>
      <c r="G855" s="1260" t="s">
        <v>247</v>
      </c>
    </row>
    <row r="856" spans="1:7" hidden="1" x14ac:dyDescent="0.25">
      <c r="A856" s="64"/>
      <c r="B856" s="210"/>
      <c r="C856" s="175"/>
      <c r="D856" s="1755"/>
      <c r="E856" s="1295"/>
      <c r="F856" s="94"/>
      <c r="G856" s="1260" t="s">
        <v>247</v>
      </c>
    </row>
    <row r="857" spans="1:7" ht="15" hidden="1" customHeight="1" x14ac:dyDescent="0.25">
      <c r="A857" s="64"/>
      <c r="B857" s="209" t="s">
        <v>428</v>
      </c>
      <c r="C857" s="194"/>
      <c r="D857" s="1778" t="s">
        <v>734</v>
      </c>
      <c r="E857" s="1295"/>
      <c r="F857" s="1313" t="str">
        <f>IF(LEN('Verification Report'!W858)=0,"",'Verification Report'!W858)</f>
        <v/>
      </c>
      <c r="G857" s="1260" t="s">
        <v>247</v>
      </c>
    </row>
    <row r="858" spans="1:7" hidden="1" x14ac:dyDescent="0.25">
      <c r="A858" s="64"/>
      <c r="B858" s="210"/>
      <c r="C858" s="175"/>
      <c r="D858" s="1755"/>
      <c r="E858" s="1295"/>
      <c r="F858" s="94"/>
      <c r="G858" s="1260" t="s">
        <v>247</v>
      </c>
    </row>
    <row r="859" spans="1:7" ht="15" hidden="1" customHeight="1" x14ac:dyDescent="0.25">
      <c r="A859" s="64"/>
      <c r="B859" s="27" t="s">
        <v>430</v>
      </c>
      <c r="C859" s="1128"/>
      <c r="D859" s="1779" t="s">
        <v>735</v>
      </c>
      <c r="E859" s="1295"/>
      <c r="F859" s="1313" t="str">
        <f>IF(LEN('Verification Report'!W860)=0,"",'Verification Report'!W860)</f>
        <v/>
      </c>
      <c r="G859" s="1260" t="s">
        <v>247</v>
      </c>
    </row>
    <row r="860" spans="1:7" hidden="1" x14ac:dyDescent="0.25">
      <c r="A860" s="64"/>
      <c r="B860" s="27"/>
      <c r="C860" s="1128"/>
      <c r="D860" s="1779"/>
      <c r="E860" s="1295"/>
      <c r="F860" s="94"/>
      <c r="G860" s="1260" t="s">
        <v>247</v>
      </c>
    </row>
    <row r="861" spans="1:7" hidden="1" x14ac:dyDescent="0.25">
      <c r="A861" s="64"/>
      <c r="B861" s="4"/>
      <c r="C861" s="1128"/>
      <c r="D861" s="1779"/>
      <c r="E861" s="1295"/>
      <c r="F861" s="94"/>
      <c r="G861" s="1260" t="s">
        <v>247</v>
      </c>
    </row>
    <row r="862" spans="1:7" ht="18.75" hidden="1" x14ac:dyDescent="0.3">
      <c r="A862" s="1140" t="s">
        <v>4904</v>
      </c>
      <c r="B862" s="1141"/>
      <c r="C862" s="1142"/>
      <c r="D862" s="1143"/>
      <c r="E862" s="1146"/>
      <c r="F862" s="94"/>
      <c r="G862" s="1260" t="s">
        <v>247</v>
      </c>
    </row>
    <row r="863" spans="1:7" ht="15" hidden="1" customHeight="1" x14ac:dyDescent="0.25">
      <c r="A863" s="130">
        <v>613.1</v>
      </c>
      <c r="B863" s="129"/>
      <c r="C863" s="1139"/>
      <c r="D863" s="1782" t="s">
        <v>4215</v>
      </c>
      <c r="E863" s="1296">
        <f ca="1">'Verification Report'!O864</f>
        <v>0</v>
      </c>
      <c r="F863" s="1313" t="str">
        <f>IF(LEN('Verification Report'!W864)=0,"",'Verification Report'!W864)</f>
        <v/>
      </c>
      <c r="G863" s="1260" t="s">
        <v>247</v>
      </c>
    </row>
    <row r="864" spans="1:7" hidden="1" x14ac:dyDescent="0.25">
      <c r="A864" s="64"/>
      <c r="B864" s="4"/>
      <c r="C864" s="1128"/>
      <c r="D864" s="1796"/>
      <c r="E864" s="1295"/>
      <c r="F864" s="94"/>
      <c r="G864" s="1260" t="s">
        <v>247</v>
      </c>
    </row>
    <row r="865" spans="1:7" hidden="1" x14ac:dyDescent="0.25">
      <c r="A865" s="64"/>
      <c r="B865" s="4"/>
      <c r="C865" s="1128"/>
      <c r="D865" s="1796"/>
      <c r="E865" s="1295"/>
      <c r="F865" s="94"/>
      <c r="G865" s="1260" t="s">
        <v>247</v>
      </c>
    </row>
    <row r="866" spans="1:7" hidden="1" x14ac:dyDescent="0.25">
      <c r="A866" s="64"/>
      <c r="B866" s="4"/>
      <c r="C866" s="1128"/>
      <c r="D866" s="1796"/>
      <c r="E866" s="1295"/>
      <c r="F866" s="94"/>
      <c r="G866" s="1260" t="s">
        <v>247</v>
      </c>
    </row>
    <row r="867" spans="1:7" hidden="1" x14ac:dyDescent="0.25">
      <c r="A867" s="64"/>
      <c r="B867" s="4"/>
      <c r="C867" s="1128"/>
      <c r="D867" s="1796"/>
      <c r="E867" s="1295"/>
      <c r="F867" s="94"/>
      <c r="G867" s="1260" t="s">
        <v>247</v>
      </c>
    </row>
    <row r="868" spans="1:7" ht="15" hidden="1" customHeight="1" x14ac:dyDescent="0.25">
      <c r="A868" s="667"/>
      <c r="B868" s="845"/>
      <c r="C868" s="87" t="s">
        <v>121</v>
      </c>
      <c r="D868" s="1833" t="s">
        <v>4216</v>
      </c>
      <c r="E868" s="1295"/>
      <c r="F868" s="94"/>
      <c r="G868" s="1260" t="s">
        <v>247</v>
      </c>
    </row>
    <row r="869" spans="1:7" hidden="1" x14ac:dyDescent="0.25">
      <c r="A869" s="679"/>
      <c r="B869" s="845"/>
      <c r="C869" s="178"/>
      <c r="D869" s="1834"/>
      <c r="E869" s="1295"/>
      <c r="F869" s="94"/>
      <c r="G869" s="1260" t="s">
        <v>247</v>
      </c>
    </row>
    <row r="870" spans="1:7" ht="15" hidden="1" customHeight="1" x14ac:dyDescent="0.25">
      <c r="A870" s="667"/>
      <c r="B870" s="845"/>
      <c r="C870" s="846" t="s">
        <v>122</v>
      </c>
      <c r="D870" s="1835" t="s">
        <v>4210</v>
      </c>
      <c r="E870" s="1295"/>
      <c r="F870" s="94"/>
      <c r="G870" s="1260" t="s">
        <v>247</v>
      </c>
    </row>
    <row r="871" spans="1:7" hidden="1" x14ac:dyDescent="0.25">
      <c r="A871" s="679"/>
      <c r="B871" s="845"/>
      <c r="D871" s="1833"/>
      <c r="E871" s="1295"/>
      <c r="F871" s="94"/>
      <c r="G871" s="1260" t="s">
        <v>247</v>
      </c>
    </row>
    <row r="872" spans="1:7" hidden="1" x14ac:dyDescent="0.25">
      <c r="A872" s="679"/>
      <c r="B872" s="845"/>
      <c r="D872" s="1833"/>
      <c r="E872" s="1295"/>
      <c r="F872" s="94"/>
      <c r="G872" s="1260" t="s">
        <v>247</v>
      </c>
    </row>
    <row r="873" spans="1:7" hidden="1" x14ac:dyDescent="0.25">
      <c r="A873" s="679"/>
      <c r="B873" s="845"/>
      <c r="C873" s="178"/>
      <c r="D873" s="1834"/>
      <c r="E873" s="1295"/>
      <c r="F873" s="94"/>
      <c r="G873" s="1260" t="s">
        <v>247</v>
      </c>
    </row>
    <row r="874" spans="1:7" hidden="1" x14ac:dyDescent="0.25">
      <c r="A874" s="667"/>
      <c r="B874" s="845"/>
      <c r="C874" s="212" t="s">
        <v>123</v>
      </c>
      <c r="D874" s="860" t="s">
        <v>4211</v>
      </c>
      <c r="E874" s="1295"/>
      <c r="F874" s="94"/>
      <c r="G874" s="1260" t="s">
        <v>247</v>
      </c>
    </row>
    <row r="875" spans="1:7" hidden="1" x14ac:dyDescent="0.25">
      <c r="A875" s="667"/>
      <c r="B875" s="845"/>
      <c r="C875" s="217" t="s">
        <v>401</v>
      </c>
      <c r="D875" s="860" t="s">
        <v>4212</v>
      </c>
      <c r="E875" s="1295"/>
      <c r="F875" s="94"/>
      <c r="G875" s="1260" t="s">
        <v>247</v>
      </c>
    </row>
    <row r="876" spans="1:7" hidden="1" x14ac:dyDescent="0.25">
      <c r="A876" s="667"/>
      <c r="B876" s="845"/>
      <c r="C876" s="218" t="s">
        <v>539</v>
      </c>
      <c r="D876" s="860" t="s">
        <v>4213</v>
      </c>
      <c r="E876" s="1295"/>
      <c r="F876" s="94"/>
      <c r="G876" s="1260" t="s">
        <v>247</v>
      </c>
    </row>
    <row r="877" spans="1:7" hidden="1" x14ac:dyDescent="0.25">
      <c r="A877" s="667"/>
      <c r="B877" s="845"/>
      <c r="C877" s="87" t="s">
        <v>604</v>
      </c>
      <c r="D877" s="1552" t="s">
        <v>4214</v>
      </c>
      <c r="E877" s="1295"/>
      <c r="F877" s="94"/>
      <c r="G877" s="1260" t="s">
        <v>247</v>
      </c>
    </row>
    <row r="878" spans="1:7" ht="18.75" hidden="1" x14ac:dyDescent="0.3">
      <c r="A878" s="22" t="s">
        <v>813</v>
      </c>
      <c r="B878" s="22"/>
      <c r="C878" s="22"/>
      <c r="D878" s="1208"/>
      <c r="E878" s="24"/>
      <c r="F878" s="94"/>
      <c r="G878" s="1260" t="s">
        <v>247</v>
      </c>
    </row>
    <row r="879" spans="1:7" ht="15" hidden="1" customHeight="1" x14ac:dyDescent="0.25">
      <c r="A879" s="130">
        <v>701.1</v>
      </c>
      <c r="B879" s="518"/>
      <c r="C879" s="1481"/>
      <c r="D879" s="1782" t="s">
        <v>4855</v>
      </c>
      <c r="E879" s="1296"/>
      <c r="F879" s="94"/>
      <c r="G879" s="1260" t="s">
        <v>247</v>
      </c>
    </row>
    <row r="880" spans="1:7" hidden="1" x14ac:dyDescent="0.25">
      <c r="A880" s="130"/>
      <c r="B880" s="518"/>
      <c r="C880" s="1481"/>
      <c r="D880" s="1782"/>
      <c r="E880" s="1296"/>
      <c r="F880" s="94"/>
      <c r="G880" s="1260" t="s">
        <v>247</v>
      </c>
    </row>
    <row r="881" spans="1:8" hidden="1" x14ac:dyDescent="0.25">
      <c r="A881" s="130"/>
      <c r="B881" s="518"/>
      <c r="C881" s="1481"/>
      <c r="D881" s="1782"/>
      <c r="E881" s="1296"/>
      <c r="F881" s="1313" t="str">
        <f>IF(LEN('Verification Report'!W882)=0,"",'Verification Report'!W882)</f>
        <v/>
      </c>
      <c r="G881" s="1260" t="s">
        <v>247</v>
      </c>
    </row>
    <row r="882" spans="1:8" hidden="1" x14ac:dyDescent="0.25">
      <c r="A882" s="130"/>
      <c r="B882" s="518"/>
      <c r="C882" s="1481"/>
      <c r="D882" s="1782"/>
      <c r="E882" s="1483"/>
      <c r="F882" s="94"/>
      <c r="G882" s="1260" t="s">
        <v>247</v>
      </c>
    </row>
    <row r="883" spans="1:8" s="1480" customFormat="1" ht="15" hidden="1" customHeight="1" x14ac:dyDescent="0.25">
      <c r="A883" s="130"/>
      <c r="B883" s="518"/>
      <c r="C883" s="1481"/>
      <c r="D883" s="1905" t="s">
        <v>5628</v>
      </c>
      <c r="E883" s="1483"/>
      <c r="F883" s="94"/>
      <c r="G883" s="1480" t="s">
        <v>247</v>
      </c>
      <c r="H883" s="699"/>
    </row>
    <row r="884" spans="1:8" s="1508" customFormat="1" hidden="1" x14ac:dyDescent="0.25">
      <c r="A884" s="130"/>
      <c r="B884" s="518"/>
      <c r="C884" s="1509"/>
      <c r="D884" s="1905"/>
      <c r="E884" s="1511"/>
      <c r="F884" s="94"/>
      <c r="G884" s="1508" t="s">
        <v>247</v>
      </c>
      <c r="H884" s="699"/>
    </row>
    <row r="885" spans="1:8" s="1480" customFormat="1" hidden="1" x14ac:dyDescent="0.25">
      <c r="A885" s="130"/>
      <c r="B885" s="518"/>
      <c r="C885" s="1481"/>
      <c r="D885" s="1905"/>
      <c r="E885" s="1483"/>
      <c r="F885" s="94"/>
      <c r="G885" s="1480" t="s">
        <v>247</v>
      </c>
      <c r="H885" s="699"/>
    </row>
    <row r="886" spans="1:8" ht="15" hidden="1" customHeight="1" x14ac:dyDescent="0.25">
      <c r="A886" s="192" t="s">
        <v>814</v>
      </c>
      <c r="B886" s="1271"/>
      <c r="C886" s="1271"/>
      <c r="D886" s="1864" t="s">
        <v>5123</v>
      </c>
      <c r="E886" s="1293"/>
      <c r="F886" s="94"/>
      <c r="G886" s="1260" t="s">
        <v>247</v>
      </c>
    </row>
    <row r="887" spans="1:8" s="1346" customFormat="1" hidden="1" x14ac:dyDescent="0.25">
      <c r="A887" s="130"/>
      <c r="B887" s="1348"/>
      <c r="C887" s="1348"/>
      <c r="D887" s="1782"/>
      <c r="E887" s="1351"/>
      <c r="F887" s="94"/>
      <c r="G887" s="1346" t="s">
        <v>247</v>
      </c>
      <c r="H887" s="699"/>
    </row>
    <row r="888" spans="1:8" hidden="1" x14ac:dyDescent="0.25">
      <c r="A888" s="210"/>
      <c r="B888" s="1262"/>
      <c r="C888" s="1262"/>
      <c r="D888" s="1843"/>
      <c r="E888" s="1296"/>
      <c r="F888" s="94"/>
      <c r="G888" s="1260" t="s">
        <v>247</v>
      </c>
    </row>
    <row r="889" spans="1:8" ht="15" hidden="1" customHeight="1" x14ac:dyDescent="0.25">
      <c r="A889" s="192" t="s">
        <v>815</v>
      </c>
      <c r="B889" s="1271"/>
      <c r="C889" s="1271"/>
      <c r="D889" s="1864" t="s">
        <v>5124</v>
      </c>
      <c r="E889" s="1296"/>
      <c r="F889" s="94"/>
      <c r="G889" s="1260" t="s">
        <v>247</v>
      </c>
    </row>
    <row r="890" spans="1:8" hidden="1" x14ac:dyDescent="0.25">
      <c r="A890" s="129"/>
      <c r="B890" s="1261"/>
      <c r="C890" s="1261"/>
      <c r="D890" s="1782"/>
      <c r="E890" s="1296"/>
      <c r="F890" s="94"/>
      <c r="G890" s="1260" t="s">
        <v>247</v>
      </c>
    </row>
    <row r="891" spans="1:8" s="1346" customFormat="1" hidden="1" x14ac:dyDescent="0.25">
      <c r="A891" s="129"/>
      <c r="B891" s="1348"/>
      <c r="C891" s="1348"/>
      <c r="D891" s="1782"/>
      <c r="E891" s="1351"/>
      <c r="F891" s="94"/>
      <c r="G891" s="1346" t="s">
        <v>247</v>
      </c>
      <c r="H891" s="699"/>
    </row>
    <row r="892" spans="1:8" hidden="1" x14ac:dyDescent="0.25">
      <c r="A892" s="210"/>
      <c r="B892" s="1262"/>
      <c r="C892" s="1262"/>
      <c r="D892" s="1843"/>
      <c r="E892" s="1296"/>
      <c r="F892" s="94"/>
      <c r="G892" s="1260" t="s">
        <v>247</v>
      </c>
    </row>
    <row r="893" spans="1:8" ht="15" hidden="1" customHeight="1" x14ac:dyDescent="0.25">
      <c r="A893" s="130" t="s">
        <v>816</v>
      </c>
      <c r="B893" s="1261"/>
      <c r="C893" s="1261"/>
      <c r="D893" s="1782" t="s">
        <v>5125</v>
      </c>
      <c r="E893" s="1296"/>
      <c r="F893" s="94"/>
      <c r="G893" s="1260" t="s">
        <v>247</v>
      </c>
    </row>
    <row r="894" spans="1:8" hidden="1" x14ac:dyDescent="0.25">
      <c r="A894" s="129"/>
      <c r="B894" s="1261"/>
      <c r="C894" s="1261"/>
      <c r="D894" s="1782"/>
      <c r="E894" s="1296"/>
      <c r="F894" s="94"/>
      <c r="G894" s="1260" t="s">
        <v>247</v>
      </c>
    </row>
    <row r="895" spans="1:8" hidden="1" x14ac:dyDescent="0.25">
      <c r="A895" s="210"/>
      <c r="B895" s="1262"/>
      <c r="C895" s="1262"/>
      <c r="D895" s="1843"/>
      <c r="E895" s="1297"/>
      <c r="F895" s="94"/>
      <c r="G895" s="1260" t="s">
        <v>247</v>
      </c>
    </row>
    <row r="896" spans="1:8" ht="15" hidden="1" customHeight="1" x14ac:dyDescent="0.25">
      <c r="A896" s="510" t="s">
        <v>817</v>
      </c>
      <c r="B896" s="1607"/>
      <c r="C896" s="1607"/>
      <c r="D896" s="1782" t="s">
        <v>4892</v>
      </c>
      <c r="E896" s="1296">
        <f ca="1">'Verification Report'!O897</f>
        <v>0</v>
      </c>
      <c r="F896" s="94"/>
      <c r="G896" s="1260" t="s">
        <v>247</v>
      </c>
    </row>
    <row r="897" spans="1:8" hidden="1" x14ac:dyDescent="0.25">
      <c r="A897" s="129"/>
      <c r="B897" s="1607"/>
      <c r="C897" s="1607"/>
      <c r="D897" s="1782"/>
      <c r="E897" s="1296"/>
      <c r="F897" s="1313" t="str">
        <f>IF(LEN('Verification Report'!W898)=0,"",'Verification Report'!W898)</f>
        <v/>
      </c>
      <c r="G897" s="1260" t="s">
        <v>247</v>
      </c>
    </row>
    <row r="898" spans="1:8" hidden="1" x14ac:dyDescent="0.25">
      <c r="A898" s="129"/>
      <c r="B898" s="1607"/>
      <c r="C898" s="1607"/>
      <c r="D898" s="1782"/>
      <c r="E898" s="1296"/>
      <c r="F898" s="94"/>
      <c r="G898" s="1260" t="s">
        <v>247</v>
      </c>
    </row>
    <row r="899" spans="1:8" hidden="1" x14ac:dyDescent="0.25">
      <c r="A899" s="129"/>
      <c r="B899" s="1607"/>
      <c r="C899" s="1607"/>
      <c r="D899" s="1782"/>
      <c r="E899" s="1296"/>
      <c r="F899" s="94"/>
      <c r="G899" s="1260" t="s">
        <v>247</v>
      </c>
    </row>
    <row r="900" spans="1:8" hidden="1" x14ac:dyDescent="0.25">
      <c r="A900" s="129"/>
      <c r="B900" s="1607"/>
      <c r="C900" s="1607"/>
      <c r="D900" s="1782"/>
      <c r="E900" s="1296"/>
      <c r="F900" s="94"/>
      <c r="G900" s="1260" t="s">
        <v>247</v>
      </c>
    </row>
    <row r="901" spans="1:8" hidden="1" x14ac:dyDescent="0.25">
      <c r="A901" s="129"/>
      <c r="B901" s="1607"/>
      <c r="C901" s="1607"/>
      <c r="D901" s="1782"/>
      <c r="E901" s="1296"/>
      <c r="F901" s="94"/>
      <c r="G901" s="1260" t="s">
        <v>247</v>
      </c>
    </row>
    <row r="902" spans="1:8" hidden="1" x14ac:dyDescent="0.25">
      <c r="A902" s="129"/>
      <c r="B902" s="1607"/>
      <c r="C902" s="1607"/>
      <c r="D902" s="1782"/>
      <c r="E902" s="1296"/>
      <c r="F902" s="94"/>
      <c r="G902" s="1260" t="s">
        <v>247</v>
      </c>
    </row>
    <row r="903" spans="1:8" hidden="1" x14ac:dyDescent="0.25">
      <c r="A903" s="129"/>
      <c r="B903" s="1607"/>
      <c r="C903" s="1607"/>
      <c r="D903" s="1782"/>
      <c r="E903" s="1296"/>
      <c r="F903" s="94"/>
      <c r="G903" s="1260" t="s">
        <v>247</v>
      </c>
    </row>
    <row r="904" spans="1:8" hidden="1" x14ac:dyDescent="0.25">
      <c r="A904" s="129"/>
      <c r="B904" s="1607"/>
      <c r="C904" s="1607"/>
      <c r="D904" s="1782"/>
      <c r="E904" s="1616"/>
      <c r="F904" s="94"/>
      <c r="G904" s="1260" t="s">
        <v>247</v>
      </c>
    </row>
    <row r="905" spans="1:8" s="1606" customFormat="1" ht="15.75" hidden="1" thickBot="1" x14ac:dyDescent="0.3">
      <c r="A905" s="99"/>
      <c r="B905" s="99"/>
      <c r="C905" s="99"/>
      <c r="D905" s="1621" t="s">
        <v>5677</v>
      </c>
      <c r="E905" s="1616"/>
      <c r="F905" s="94"/>
      <c r="G905" s="1606" t="s">
        <v>247</v>
      </c>
      <c r="H905" s="699"/>
    </row>
    <row r="906" spans="1:8" ht="15.75" hidden="1" customHeight="1" thickTop="1" x14ac:dyDescent="0.25">
      <c r="A906" s="87" t="s">
        <v>4227</v>
      </c>
      <c r="B906" s="845"/>
      <c r="C906" s="845"/>
      <c r="D906" s="1836" t="s">
        <v>4228</v>
      </c>
      <c r="E906" s="1298"/>
      <c r="F906" s="94"/>
      <c r="G906" s="1260" t="s">
        <v>247</v>
      </c>
    </row>
    <row r="907" spans="1:8" hidden="1" x14ac:dyDescent="0.25">
      <c r="A907" s="90"/>
      <c r="B907" s="845"/>
      <c r="C907" s="845"/>
      <c r="D907" s="1836"/>
      <c r="E907" s="1296"/>
      <c r="F907" s="94"/>
      <c r="G907" s="1260" t="s">
        <v>247</v>
      </c>
    </row>
    <row r="908" spans="1:8" hidden="1" x14ac:dyDescent="0.25">
      <c r="A908" s="90"/>
      <c r="B908" s="845"/>
      <c r="C908" s="845"/>
      <c r="D908" s="1877"/>
      <c r="E908" s="1296"/>
      <c r="F908" s="94"/>
      <c r="G908" s="1260" t="s">
        <v>247</v>
      </c>
    </row>
    <row r="909" spans="1:8" s="1606" customFormat="1" hidden="1" x14ac:dyDescent="0.25">
      <c r="A909" s="90"/>
      <c r="B909" s="845"/>
      <c r="C909" s="845"/>
      <c r="D909" s="1622" t="s">
        <v>5677</v>
      </c>
      <c r="E909" s="1616"/>
      <c r="F909" s="94"/>
      <c r="G909" s="1606" t="s">
        <v>247</v>
      </c>
      <c r="H909" s="699"/>
    </row>
    <row r="910" spans="1:8" hidden="1" x14ac:dyDescent="0.25">
      <c r="A910" s="90"/>
      <c r="B910" s="684" t="s">
        <v>256</v>
      </c>
      <c r="C910" s="863"/>
      <c r="D910" s="1544" t="s">
        <v>4229</v>
      </c>
      <c r="E910" s="1297"/>
      <c r="F910" s="1313" t="str">
        <f>IF(LEN('Verification Report'!W911)=0,"",'Verification Report'!W911)</f>
        <v/>
      </c>
      <c r="G910" s="1260" t="s">
        <v>247</v>
      </c>
    </row>
    <row r="911" spans="1:8" ht="15" hidden="1" customHeight="1" x14ac:dyDescent="0.25">
      <c r="A911" s="90"/>
      <c r="B911" s="693" t="s">
        <v>258</v>
      </c>
      <c r="C911" s="993"/>
      <c r="D911" s="1769" t="s">
        <v>4230</v>
      </c>
      <c r="E911" s="1293"/>
      <c r="F911" s="1313" t="str">
        <f>IF(LEN('Verification Report'!W912)=0,"",'Verification Report'!W912)</f>
        <v/>
      </c>
      <c r="G911" s="1260" t="s">
        <v>247</v>
      </c>
    </row>
    <row r="912" spans="1:8" hidden="1" x14ac:dyDescent="0.25">
      <c r="A912" s="90"/>
      <c r="B912" s="684"/>
      <c r="C912" s="863"/>
      <c r="D912" s="1786"/>
      <c r="E912" s="1297"/>
      <c r="F912" s="94"/>
      <c r="G912" s="1260" t="s">
        <v>247</v>
      </c>
    </row>
    <row r="913" spans="1:7" hidden="1" x14ac:dyDescent="0.25">
      <c r="A913" s="90"/>
      <c r="B913" s="691" t="s">
        <v>260</v>
      </c>
      <c r="C913" s="994"/>
      <c r="D913" s="858" t="s">
        <v>4231</v>
      </c>
      <c r="E913" s="1306"/>
      <c r="F913" s="1313" t="str">
        <f>IF(LEN('Verification Report'!W914)=0,"",'Verification Report'!W914)</f>
        <v/>
      </c>
      <c r="G913" s="1260" t="s">
        <v>247</v>
      </c>
    </row>
    <row r="914" spans="1:7" ht="15" hidden="1" customHeight="1" x14ac:dyDescent="0.25">
      <c r="A914" s="90"/>
      <c r="B914" s="693" t="s">
        <v>269</v>
      </c>
      <c r="C914" s="993"/>
      <c r="D914" s="1769" t="s">
        <v>4232</v>
      </c>
      <c r="E914" s="1295"/>
      <c r="F914" s="1313" t="str">
        <f>IF(LEN('Verification Report'!W915)=0,"",'Verification Report'!W915)</f>
        <v/>
      </c>
      <c r="G914" s="1260" t="s">
        <v>247</v>
      </c>
    </row>
    <row r="915" spans="1:7" hidden="1" x14ac:dyDescent="0.25">
      <c r="A915" s="90"/>
      <c r="B915" s="684"/>
      <c r="C915" s="863"/>
      <c r="D915" s="1786"/>
      <c r="E915" s="1297"/>
      <c r="F915" s="94"/>
      <c r="G915" s="1260" t="s">
        <v>247</v>
      </c>
    </row>
    <row r="916" spans="1:7" ht="15" hidden="1" customHeight="1" x14ac:dyDescent="0.25">
      <c r="A916" s="90"/>
      <c r="B916" s="693" t="s">
        <v>275</v>
      </c>
      <c r="C916" s="993"/>
      <c r="D916" s="1769" t="s">
        <v>4233</v>
      </c>
      <c r="E916" s="1295"/>
      <c r="F916" s="1313" t="str">
        <f>IF(LEN('Verification Report'!W917)=0,"",'Verification Report'!W917)</f>
        <v/>
      </c>
      <c r="G916" s="1260" t="s">
        <v>247</v>
      </c>
    </row>
    <row r="917" spans="1:7" hidden="1" x14ac:dyDescent="0.25">
      <c r="A917" s="90"/>
      <c r="B917" s="684"/>
      <c r="C917" s="863"/>
      <c r="D917" s="1786"/>
      <c r="E917" s="1295"/>
      <c r="F917" s="94"/>
      <c r="G917" s="1260" t="s">
        <v>247</v>
      </c>
    </row>
    <row r="918" spans="1:7" hidden="1" x14ac:dyDescent="0.25">
      <c r="A918" s="90"/>
      <c r="B918" s="667" t="s">
        <v>277</v>
      </c>
      <c r="C918" s="862"/>
      <c r="D918" s="1537" t="s">
        <v>4234</v>
      </c>
      <c r="E918" s="1295"/>
      <c r="F918" s="94"/>
      <c r="G918" s="1260" t="s">
        <v>247</v>
      </c>
    </row>
    <row r="919" spans="1:7" hidden="1" x14ac:dyDescent="0.25">
      <c r="A919" s="90"/>
      <c r="B919" s="667"/>
      <c r="C919" s="863" t="s">
        <v>121</v>
      </c>
      <c r="D919" s="1544" t="s">
        <v>4235</v>
      </c>
      <c r="E919" s="1297"/>
      <c r="F919" s="1313" t="str">
        <f>IF(LEN('Verification Report'!W920)=0,"",'Verification Report'!W920)</f>
        <v/>
      </c>
      <c r="G919" s="1260" t="s">
        <v>247</v>
      </c>
    </row>
    <row r="920" spans="1:7" hidden="1" x14ac:dyDescent="0.25">
      <c r="A920" s="90"/>
      <c r="B920" s="667"/>
      <c r="C920" s="994" t="s">
        <v>122</v>
      </c>
      <c r="D920" s="858" t="s">
        <v>4236</v>
      </c>
      <c r="E920" s="1306"/>
      <c r="F920" s="1313" t="str">
        <f>IF(LEN('Verification Report'!W921)=0,"",'Verification Report'!W921)</f>
        <v/>
      </c>
      <c r="G920" s="1260" t="s">
        <v>247</v>
      </c>
    </row>
    <row r="921" spans="1:7" hidden="1" x14ac:dyDescent="0.25">
      <c r="A921" s="90"/>
      <c r="B921" s="684"/>
      <c r="C921" s="863" t="s">
        <v>123</v>
      </c>
      <c r="D921" s="1544" t="s">
        <v>4237</v>
      </c>
      <c r="E921" s="1295"/>
      <c r="F921" s="1313" t="str">
        <f>IF(LEN('Verification Report'!W922)=0,"",'Verification Report'!W922)</f>
        <v/>
      </c>
      <c r="G921" s="1260" t="s">
        <v>247</v>
      </c>
    </row>
    <row r="922" spans="1:7" hidden="1" x14ac:dyDescent="0.25">
      <c r="A922" s="90"/>
      <c r="B922" s="667" t="s">
        <v>383</v>
      </c>
      <c r="C922" s="862"/>
      <c r="D922" s="1537" t="s">
        <v>4238</v>
      </c>
      <c r="E922" s="1295"/>
      <c r="F922" s="94"/>
      <c r="G922" s="1260" t="s">
        <v>247</v>
      </c>
    </row>
    <row r="923" spans="1:7" hidden="1" x14ac:dyDescent="0.25">
      <c r="A923" s="90"/>
      <c r="B923" s="667"/>
      <c r="C923" s="863" t="s">
        <v>121</v>
      </c>
      <c r="D923" s="1544" t="s">
        <v>4239</v>
      </c>
      <c r="E923" s="1297"/>
      <c r="F923" s="1313" t="str">
        <f>IF(LEN('Verification Report'!W924)=0,"",'Verification Report'!W924)</f>
        <v/>
      </c>
      <c r="G923" s="1260" t="s">
        <v>247</v>
      </c>
    </row>
    <row r="924" spans="1:7" hidden="1" x14ac:dyDescent="0.25">
      <c r="A924" s="90"/>
      <c r="B924" s="667"/>
      <c r="C924" s="994" t="s">
        <v>122</v>
      </c>
      <c r="D924" s="858" t="s">
        <v>4240</v>
      </c>
      <c r="E924" s="1297"/>
      <c r="F924" s="1313" t="str">
        <f>IF(LEN('Verification Report'!W925)=0,"",'Verification Report'!W925)</f>
        <v/>
      </c>
      <c r="G924" s="1260" t="s">
        <v>247</v>
      </c>
    </row>
    <row r="925" spans="1:7" hidden="1" x14ac:dyDescent="0.25">
      <c r="A925" s="90"/>
      <c r="B925" s="684"/>
      <c r="C925" s="863" t="s">
        <v>123</v>
      </c>
      <c r="D925" s="1544" t="s">
        <v>4241</v>
      </c>
      <c r="E925" s="1297"/>
      <c r="F925" s="1313" t="str">
        <f>IF(LEN('Verification Report'!W926)=0,"",'Verification Report'!W926)</f>
        <v/>
      </c>
      <c r="G925" s="1260" t="s">
        <v>247</v>
      </c>
    </row>
    <row r="926" spans="1:7" ht="15" hidden="1" customHeight="1" x14ac:dyDescent="0.25">
      <c r="A926" s="90"/>
      <c r="B926" s="693" t="s">
        <v>428</v>
      </c>
      <c r="C926" s="993"/>
      <c r="D926" s="1769" t="s">
        <v>4242</v>
      </c>
      <c r="E926" s="1295"/>
      <c r="F926" s="1313" t="str">
        <f>IF(LEN('Verification Report'!W927)=0,"",'Verification Report'!W927)</f>
        <v/>
      </c>
      <c r="G926" s="1260" t="s">
        <v>247</v>
      </c>
    </row>
    <row r="927" spans="1:7" hidden="1" x14ac:dyDescent="0.25">
      <c r="A927" s="90"/>
      <c r="B927" s="684"/>
      <c r="C927" s="863"/>
      <c r="D927" s="1786"/>
      <c r="E927" s="1297"/>
      <c r="F927" s="94"/>
      <c r="G927" s="1260" t="s">
        <v>247</v>
      </c>
    </row>
    <row r="928" spans="1:7" ht="15" hidden="1" customHeight="1" x14ac:dyDescent="0.25">
      <c r="A928" s="90"/>
      <c r="B928" s="667" t="s">
        <v>430</v>
      </c>
      <c r="C928" s="862"/>
      <c r="D928" s="1765" t="s">
        <v>4243</v>
      </c>
      <c r="E928" s="1295"/>
      <c r="F928" s="1313" t="str">
        <f>IF(LEN('Verification Report'!W929)=0,"",'Verification Report'!W929)</f>
        <v/>
      </c>
      <c r="G928" s="1260" t="s">
        <v>247</v>
      </c>
    </row>
    <row r="929" spans="1:7" ht="15.75" hidden="1" thickBot="1" x14ac:dyDescent="0.3">
      <c r="A929" s="90"/>
      <c r="B929" s="845"/>
      <c r="C929" s="845"/>
      <c r="D929" s="1766"/>
      <c r="E929" s="1295"/>
      <c r="F929" s="94"/>
      <c r="G929" s="1260" t="s">
        <v>247</v>
      </c>
    </row>
    <row r="930" spans="1:7" ht="15.75" hidden="1" customHeight="1" thickTop="1" x14ac:dyDescent="0.25">
      <c r="A930" s="180">
        <v>701.2</v>
      </c>
      <c r="B930" s="520"/>
      <c r="C930" s="520"/>
      <c r="D930" s="1781" t="s">
        <v>4856</v>
      </c>
      <c r="E930" s="1298"/>
      <c r="F930" s="94"/>
      <c r="G930" s="1260" t="s">
        <v>247</v>
      </c>
    </row>
    <row r="931" spans="1:7" ht="15.75" hidden="1" thickBot="1" x14ac:dyDescent="0.3">
      <c r="A931" s="240"/>
      <c r="B931" s="1276"/>
      <c r="C931" s="1276"/>
      <c r="D931" s="1797"/>
      <c r="E931" s="1294"/>
      <c r="F931" s="94"/>
      <c r="G931" s="1260" t="s">
        <v>247</v>
      </c>
    </row>
    <row r="932" spans="1:7" ht="15.75" hidden="1" customHeight="1" thickTop="1" x14ac:dyDescent="0.25">
      <c r="A932" s="180">
        <v>701.3</v>
      </c>
      <c r="B932" s="520"/>
      <c r="C932" s="520"/>
      <c r="D932" s="1781" t="s">
        <v>818</v>
      </c>
      <c r="E932" s="1298"/>
      <c r="F932" s="1313" t="str">
        <f>IF(LEN('Verification Report'!W933)=0,"",'Verification Report'!W933)</f>
        <v/>
      </c>
      <c r="G932" s="1260" t="s">
        <v>247</v>
      </c>
    </row>
    <row r="933" spans="1:7" hidden="1" x14ac:dyDescent="0.25">
      <c r="A933" s="129"/>
      <c r="B933" s="1261"/>
      <c r="C933" s="1261"/>
      <c r="D933" s="1782"/>
      <c r="E933" s="1296"/>
      <c r="F933" s="94"/>
      <c r="G933" s="1260" t="s">
        <v>247</v>
      </c>
    </row>
    <row r="934" spans="1:7" ht="15.75" hidden="1" thickBot="1" x14ac:dyDescent="0.3">
      <c r="A934" s="240"/>
      <c r="B934" s="1276"/>
      <c r="C934" s="1276"/>
      <c r="D934" s="1580" t="s">
        <v>3383</v>
      </c>
      <c r="E934" s="1294"/>
      <c r="F934" s="94"/>
      <c r="G934" s="1260" t="s">
        <v>247</v>
      </c>
    </row>
    <row r="935" spans="1:7" ht="15.75" hidden="1" thickTop="1" x14ac:dyDescent="0.25">
      <c r="A935" s="180">
        <v>701.4</v>
      </c>
      <c r="B935" s="520"/>
      <c r="C935" s="520"/>
      <c r="D935" s="1569" t="s">
        <v>819</v>
      </c>
      <c r="E935" s="1298"/>
      <c r="F935" s="94"/>
      <c r="G935" s="1260" t="s">
        <v>247</v>
      </c>
    </row>
    <row r="936" spans="1:7" hidden="1" x14ac:dyDescent="0.25">
      <c r="A936" s="215" t="s">
        <v>820</v>
      </c>
      <c r="B936" s="1262"/>
      <c r="C936" s="1262"/>
      <c r="D936" s="1565" t="s">
        <v>821</v>
      </c>
      <c r="E936" s="1297"/>
      <c r="F936" s="94"/>
      <c r="G936" s="1260" t="s">
        <v>247</v>
      </c>
    </row>
    <row r="937" spans="1:7" ht="15" hidden="1" customHeight="1" x14ac:dyDescent="0.25">
      <c r="A937" s="192" t="s">
        <v>822</v>
      </c>
      <c r="B937" s="1271"/>
      <c r="C937" s="1271"/>
      <c r="D937" s="1864" t="s">
        <v>823</v>
      </c>
      <c r="E937" s="1293"/>
      <c r="F937" s="1313" t="str">
        <f>IF(LEN('Verification Report'!W938)=0,"",'Verification Report'!W938)</f>
        <v/>
      </c>
      <c r="G937" s="1260" t="s">
        <v>247</v>
      </c>
    </row>
    <row r="938" spans="1:7" hidden="1" x14ac:dyDescent="0.25">
      <c r="A938" s="129"/>
      <c r="B938" s="1261"/>
      <c r="C938" s="1261"/>
      <c r="D938" s="1782"/>
      <c r="E938" s="1296"/>
      <c r="F938" s="94"/>
      <c r="G938" s="1260" t="s">
        <v>247</v>
      </c>
    </row>
    <row r="939" spans="1:7" hidden="1" x14ac:dyDescent="0.25">
      <c r="A939" s="210"/>
      <c r="B939" s="1262"/>
      <c r="C939" s="1262"/>
      <c r="D939" s="1843"/>
      <c r="E939" s="1297"/>
      <c r="F939" s="94"/>
      <c r="G939" s="1260" t="s">
        <v>247</v>
      </c>
    </row>
    <row r="940" spans="1:7" ht="15" hidden="1" customHeight="1" x14ac:dyDescent="0.25">
      <c r="A940" s="533" t="s">
        <v>824</v>
      </c>
      <c r="B940" s="1271"/>
      <c r="C940" s="1271"/>
      <c r="D940" s="1864" t="s">
        <v>825</v>
      </c>
      <c r="E940" s="1293"/>
      <c r="F940" s="1313" t="str">
        <f>IF(LEN('Verification Report'!W941)=0,"",'Verification Report'!W941)</f>
        <v/>
      </c>
      <c r="G940" s="1260" t="s">
        <v>247</v>
      </c>
    </row>
    <row r="941" spans="1:7" hidden="1" x14ac:dyDescent="0.25">
      <c r="A941" s="129"/>
      <c r="B941" s="1261"/>
      <c r="C941" s="1261"/>
      <c r="D941" s="1782"/>
      <c r="E941" s="1296"/>
      <c r="F941" s="94"/>
      <c r="G941" s="1260" t="s">
        <v>247</v>
      </c>
    </row>
    <row r="942" spans="1:7" hidden="1" x14ac:dyDescent="0.25">
      <c r="A942" s="129"/>
      <c r="B942" s="1261"/>
      <c r="C942" s="1261"/>
      <c r="D942" s="1782"/>
      <c r="E942" s="1296"/>
      <c r="F942" s="94"/>
      <c r="G942" s="1260" t="s">
        <v>247</v>
      </c>
    </row>
    <row r="943" spans="1:7" hidden="1" x14ac:dyDescent="0.25">
      <c r="A943" s="129"/>
      <c r="B943" s="1261"/>
      <c r="C943" s="1261"/>
      <c r="D943" s="1782"/>
      <c r="E943" s="1296"/>
      <c r="F943" s="94"/>
      <c r="G943" s="1260" t="s">
        <v>247</v>
      </c>
    </row>
    <row r="944" spans="1:7" hidden="1" x14ac:dyDescent="0.25">
      <c r="A944" s="210"/>
      <c r="B944" s="1262"/>
      <c r="C944" s="1262"/>
      <c r="D944" s="1843"/>
      <c r="E944" s="1297"/>
      <c r="F944" s="94"/>
      <c r="G944" s="1260" t="s">
        <v>247</v>
      </c>
    </row>
    <row r="945" spans="1:7" hidden="1" x14ac:dyDescent="0.25">
      <c r="A945" s="533" t="s">
        <v>826</v>
      </c>
      <c r="B945" s="1271"/>
      <c r="C945" s="1271"/>
      <c r="D945" s="1566" t="s">
        <v>827</v>
      </c>
      <c r="E945" s="1293"/>
      <c r="F945" s="94"/>
      <c r="G945" s="1260" t="s">
        <v>247</v>
      </c>
    </row>
    <row r="946" spans="1:7" ht="15" hidden="1" customHeight="1" x14ac:dyDescent="0.25">
      <c r="A946" s="510" t="s">
        <v>3809</v>
      </c>
      <c r="B946" s="1261"/>
      <c r="C946" s="1261"/>
      <c r="D946" s="1782" t="s">
        <v>828</v>
      </c>
      <c r="E946" s="1296"/>
      <c r="F946" s="1313" t="str">
        <f>IF(LEN('Verification Report'!W947)=0,"",'Verification Report'!W947)</f>
        <v/>
      </c>
      <c r="G946" s="1260" t="s">
        <v>247</v>
      </c>
    </row>
    <row r="947" spans="1:7" hidden="1" x14ac:dyDescent="0.25">
      <c r="A947" s="510"/>
      <c r="B947" s="1261"/>
      <c r="C947" s="1261"/>
      <c r="D947" s="1782"/>
      <c r="E947" s="1296"/>
      <c r="F947" s="94"/>
      <c r="G947" s="1260" t="s">
        <v>247</v>
      </c>
    </row>
    <row r="948" spans="1:7" hidden="1" x14ac:dyDescent="0.25">
      <c r="A948" s="534"/>
      <c r="B948" s="1262"/>
      <c r="C948" s="1262"/>
      <c r="D948" s="1843"/>
      <c r="E948" s="1297"/>
      <c r="F948" s="94"/>
      <c r="G948" s="1260" t="s">
        <v>247</v>
      </c>
    </row>
    <row r="949" spans="1:7" ht="15" hidden="1" customHeight="1" x14ac:dyDescent="0.25">
      <c r="A949" s="535" t="s">
        <v>829</v>
      </c>
      <c r="B949" s="280"/>
      <c r="C949" s="280"/>
      <c r="D949" s="536" t="s">
        <v>830</v>
      </c>
      <c r="E949" s="1306"/>
      <c r="F949" s="1313" t="str">
        <f>IF(LEN('Verification Report'!W950)=0,"",'Verification Report'!W950)</f>
        <v/>
      </c>
      <c r="G949" s="1260" t="s">
        <v>247</v>
      </c>
    </row>
    <row r="950" spans="1:7" ht="15" hidden="1" customHeight="1" x14ac:dyDescent="0.25">
      <c r="A950" s="533" t="s">
        <v>831</v>
      </c>
      <c r="B950" s="1271"/>
      <c r="C950" s="1271"/>
      <c r="D950" s="1864" t="s">
        <v>832</v>
      </c>
      <c r="E950" s="1293"/>
      <c r="F950" s="1313" t="str">
        <f>IF(LEN('Verification Report'!W951)=0,"",'Verification Report'!W951)</f>
        <v/>
      </c>
      <c r="G950" s="1260" t="s">
        <v>247</v>
      </c>
    </row>
    <row r="951" spans="1:7" hidden="1" x14ac:dyDescent="0.25">
      <c r="A951" s="534"/>
      <c r="B951" s="1262"/>
      <c r="C951" s="1262"/>
      <c r="D951" s="1843"/>
      <c r="E951" s="1297"/>
      <c r="F951" s="94"/>
      <c r="G951" s="1260" t="s">
        <v>247</v>
      </c>
    </row>
    <row r="952" spans="1:7" hidden="1" x14ac:dyDescent="0.25">
      <c r="A952" s="533" t="s">
        <v>833</v>
      </c>
      <c r="B952" s="1271"/>
      <c r="C952" s="1271"/>
      <c r="D952" s="1566" t="s">
        <v>834</v>
      </c>
      <c r="E952" s="1293"/>
      <c r="F952" s="94"/>
      <c r="G952" s="1260" t="s">
        <v>247</v>
      </c>
    </row>
    <row r="953" spans="1:7" ht="15" hidden="1" customHeight="1" x14ac:dyDescent="0.25">
      <c r="A953" s="66" t="s">
        <v>835</v>
      </c>
      <c r="B953" s="1277"/>
      <c r="C953" s="1277"/>
      <c r="D953" s="1796" t="s">
        <v>836</v>
      </c>
      <c r="E953" s="1295"/>
      <c r="F953" s="94"/>
      <c r="G953" s="1260" t="s">
        <v>247</v>
      </c>
    </row>
    <row r="954" spans="1:7" hidden="1" x14ac:dyDescent="0.25">
      <c r="A954" s="4"/>
      <c r="B954" s="1277"/>
      <c r="C954" s="1277"/>
      <c r="D954" s="1796"/>
      <c r="E954" s="1295"/>
      <c r="F954" s="1313" t="str">
        <f>IF(LEN('Verification Report'!W955)=0,"",'Verification Report'!W955)</f>
        <v/>
      </c>
      <c r="G954" s="1260" t="s">
        <v>247</v>
      </c>
    </row>
    <row r="955" spans="1:7" hidden="1" x14ac:dyDescent="0.25">
      <c r="A955" s="4"/>
      <c r="B955" s="1277"/>
      <c r="C955" s="1277"/>
      <c r="D955" s="1796"/>
      <c r="E955" s="1295"/>
      <c r="F955" s="94"/>
      <c r="G955" s="1260" t="s">
        <v>247</v>
      </c>
    </row>
    <row r="956" spans="1:7" hidden="1" x14ac:dyDescent="0.25">
      <c r="A956" s="4"/>
      <c r="B956" s="1277"/>
      <c r="C956" s="1277"/>
      <c r="D956" s="1796"/>
      <c r="E956" s="1295"/>
      <c r="F956" s="94"/>
      <c r="G956" s="1260" t="s">
        <v>247</v>
      </c>
    </row>
    <row r="957" spans="1:7" hidden="1" x14ac:dyDescent="0.25">
      <c r="A957" s="4"/>
      <c r="B957" s="1277"/>
      <c r="C957" s="230" t="s">
        <v>121</v>
      </c>
      <c r="D957" s="1554" t="s">
        <v>837</v>
      </c>
      <c r="E957" s="1295"/>
      <c r="F957" s="1313" t="str">
        <f>IF(LEN('Verification Report'!W958)=0,"",'Verification Report'!W958)</f>
        <v/>
      </c>
      <c r="G957" s="1260" t="s">
        <v>247</v>
      </c>
    </row>
    <row r="958" spans="1:7" hidden="1" x14ac:dyDescent="0.25">
      <c r="A958" s="4"/>
      <c r="B958" s="1277"/>
      <c r="C958" s="230" t="s">
        <v>122</v>
      </c>
      <c r="D958" s="1554" t="s">
        <v>838</v>
      </c>
      <c r="E958" s="1295"/>
      <c r="F958" s="1313" t="str">
        <f>IF(LEN('Verification Report'!W959)=0,"",'Verification Report'!W959)</f>
        <v/>
      </c>
      <c r="G958" s="1260" t="s">
        <v>247</v>
      </c>
    </row>
    <row r="959" spans="1:7" ht="15" hidden="1" customHeight="1" x14ac:dyDescent="0.25">
      <c r="A959" s="4"/>
      <c r="B959" s="1277"/>
      <c r="C959" s="231" t="s">
        <v>123</v>
      </c>
      <c r="D959" s="1554" t="s">
        <v>839</v>
      </c>
      <c r="E959" s="1295"/>
      <c r="F959" s="1313" t="str">
        <f>IF(LEN('Verification Report'!W960)=0,"",'Verification Report'!W960)</f>
        <v/>
      </c>
      <c r="G959" s="1260" t="s">
        <v>247</v>
      </c>
    </row>
    <row r="960" spans="1:7" hidden="1" x14ac:dyDescent="0.25">
      <c r="A960" s="4"/>
      <c r="B960" s="1277"/>
      <c r="C960" s="1281" t="s">
        <v>401</v>
      </c>
      <c r="D960" s="1554" t="s">
        <v>840</v>
      </c>
      <c r="E960" s="1295"/>
      <c r="F960" s="1313" t="str">
        <f>IF(LEN('Verification Report'!W961)=0,"",'Verification Report'!W961)</f>
        <v/>
      </c>
      <c r="G960" s="1260" t="s">
        <v>247</v>
      </c>
    </row>
    <row r="961" spans="1:7" hidden="1" x14ac:dyDescent="0.25">
      <c r="A961" s="4"/>
      <c r="B961" s="1277"/>
      <c r="C961" s="1281" t="s">
        <v>539</v>
      </c>
      <c r="D961" s="1554" t="s">
        <v>841</v>
      </c>
      <c r="E961" s="1295"/>
      <c r="F961" s="1313" t="str">
        <f>IF(LEN('Verification Report'!W962)=0,"",'Verification Report'!W962)</f>
        <v/>
      </c>
      <c r="G961" s="1260" t="s">
        <v>247</v>
      </c>
    </row>
    <row r="962" spans="1:7" hidden="1" x14ac:dyDescent="0.25">
      <c r="A962" s="4"/>
      <c r="B962" s="1277"/>
      <c r="C962" s="231" t="s">
        <v>604</v>
      </c>
      <c r="D962" s="1554" t="s">
        <v>842</v>
      </c>
      <c r="E962" s="1295"/>
      <c r="F962" s="1313" t="str">
        <f>IF(LEN('Verification Report'!W963)=0,"",'Verification Report'!W963)</f>
        <v/>
      </c>
      <c r="G962" s="1260" t="s">
        <v>247</v>
      </c>
    </row>
    <row r="963" spans="1:7" hidden="1" x14ac:dyDescent="0.25">
      <c r="A963" s="4"/>
      <c r="B963" s="1277"/>
      <c r="C963" s="1281" t="s">
        <v>606</v>
      </c>
      <c r="D963" s="1553" t="s">
        <v>4246</v>
      </c>
      <c r="E963" s="1295"/>
      <c r="F963" s="1313" t="str">
        <f>IF(LEN('Verification Report'!W964)=0,"",'Verification Report'!W964)</f>
        <v/>
      </c>
      <c r="G963" s="1260" t="s">
        <v>247</v>
      </c>
    </row>
    <row r="964" spans="1:7" hidden="1" x14ac:dyDescent="0.25">
      <c r="A964" s="4"/>
      <c r="B964" s="1277"/>
      <c r="C964" s="1281" t="s">
        <v>608</v>
      </c>
      <c r="D964" s="1554" t="s">
        <v>843</v>
      </c>
      <c r="E964" s="1295"/>
      <c r="F964" s="1313" t="str">
        <f>IF(LEN('Verification Report'!W965)=0,"",'Verification Report'!W965)</f>
        <v/>
      </c>
      <c r="G964" s="1260" t="s">
        <v>247</v>
      </c>
    </row>
    <row r="965" spans="1:7" hidden="1" x14ac:dyDescent="0.25">
      <c r="A965" s="4"/>
      <c r="B965" s="1277"/>
      <c r="C965" s="1281" t="s">
        <v>844</v>
      </c>
      <c r="D965" s="1553" t="s">
        <v>4247</v>
      </c>
      <c r="E965" s="1295"/>
      <c r="F965" s="1313" t="str">
        <f>IF(LEN('Verification Report'!W966)=0,"",'Verification Report'!W966)</f>
        <v/>
      </c>
      <c r="G965" s="1260" t="s">
        <v>247</v>
      </c>
    </row>
    <row r="966" spans="1:7" hidden="1" x14ac:dyDescent="0.25">
      <c r="A966" s="4"/>
      <c r="B966" s="1277"/>
      <c r="C966" s="1281" t="s">
        <v>845</v>
      </c>
      <c r="D966" s="1554" t="s">
        <v>846</v>
      </c>
      <c r="E966" s="1295"/>
      <c r="F966" s="1313" t="str">
        <f>IF(LEN('Verification Report'!W967)=0,"",'Verification Report'!W967)</f>
        <v/>
      </c>
      <c r="G966" s="1260" t="s">
        <v>247</v>
      </c>
    </row>
    <row r="967" spans="1:7" hidden="1" x14ac:dyDescent="0.25">
      <c r="A967" s="129"/>
      <c r="B967" s="1261"/>
      <c r="C967" s="1281" t="s">
        <v>847</v>
      </c>
      <c r="D967" s="1553" t="s">
        <v>4248</v>
      </c>
      <c r="E967" s="1296"/>
      <c r="F967" s="1313" t="str">
        <f>IF(LEN('Verification Report'!W968)=0,"",'Verification Report'!W968)</f>
        <v/>
      </c>
      <c r="G967" s="1260" t="s">
        <v>247</v>
      </c>
    </row>
    <row r="968" spans="1:7" hidden="1" x14ac:dyDescent="0.25">
      <c r="C968" s="1281" t="s">
        <v>848</v>
      </c>
      <c r="D968" s="1553" t="s">
        <v>4249</v>
      </c>
      <c r="E968" s="1296"/>
      <c r="F968" s="1313" t="str">
        <f>IF(LEN('Verification Report'!W969)=0,"",'Verification Report'!W969)</f>
        <v/>
      </c>
      <c r="G968" s="1260" t="s">
        <v>247</v>
      </c>
    </row>
    <row r="969" spans="1:7" hidden="1" x14ac:dyDescent="0.25">
      <c r="A969" s="210"/>
      <c r="B969" s="1262"/>
      <c r="C969" s="1284" t="s">
        <v>3969</v>
      </c>
      <c r="D969" s="1536" t="s">
        <v>849</v>
      </c>
      <c r="E969" s="1297"/>
      <c r="F969" s="1313" t="str">
        <f>IF(LEN('Verification Report'!W970)=0,"",'Verification Report'!W970)</f>
        <v/>
      </c>
      <c r="G969" s="1260" t="s">
        <v>247</v>
      </c>
    </row>
    <row r="970" spans="1:7" ht="15" hidden="1" customHeight="1" x14ac:dyDescent="0.25">
      <c r="A970" s="66" t="s">
        <v>850</v>
      </c>
      <c r="B970" s="1277"/>
      <c r="C970" s="1277"/>
      <c r="D970" s="1835" t="s">
        <v>4250</v>
      </c>
      <c r="E970" s="1295"/>
      <c r="F970" s="94"/>
      <c r="G970" s="1260" t="s">
        <v>247</v>
      </c>
    </row>
    <row r="971" spans="1:7" hidden="1" x14ac:dyDescent="0.25">
      <c r="A971" s="66"/>
      <c r="B971" s="1277"/>
      <c r="C971" s="1277"/>
      <c r="D971" s="1833"/>
      <c r="E971" s="1295"/>
      <c r="F971" s="94"/>
      <c r="G971" s="1260" t="s">
        <v>247</v>
      </c>
    </row>
    <row r="972" spans="1:7" hidden="1" x14ac:dyDescent="0.25">
      <c r="A972" s="4"/>
      <c r="B972" s="1277"/>
      <c r="C972" s="1277"/>
      <c r="D972" s="1833"/>
      <c r="E972" s="1295"/>
      <c r="F972" s="94"/>
      <c r="G972" s="1260" t="s">
        <v>247</v>
      </c>
    </row>
    <row r="973" spans="1:7" hidden="1" x14ac:dyDescent="0.25">
      <c r="A973" s="4"/>
      <c r="B973" s="1277"/>
      <c r="C973" s="1277"/>
      <c r="D973" s="1833"/>
      <c r="E973" s="1295"/>
      <c r="F973" s="94"/>
      <c r="G973" s="1260" t="s">
        <v>247</v>
      </c>
    </row>
    <row r="974" spans="1:7" ht="15" hidden="1" customHeight="1" x14ac:dyDescent="0.25">
      <c r="A974" s="4"/>
      <c r="B974" s="230" t="s">
        <v>256</v>
      </c>
      <c r="C974" s="1277"/>
      <c r="D974" s="1796" t="s">
        <v>851</v>
      </c>
      <c r="E974" s="1295"/>
      <c r="F974" s="1313" t="str">
        <f>IF(LEN('Verification Report'!W975)=0,"",'Verification Report'!W975)</f>
        <v/>
      </c>
      <c r="G974" s="1260" t="s">
        <v>247</v>
      </c>
    </row>
    <row r="975" spans="1:7" hidden="1" x14ac:dyDescent="0.25">
      <c r="A975" s="4"/>
      <c r="B975" s="1277"/>
      <c r="C975" s="1277"/>
      <c r="D975" s="1796"/>
      <c r="E975" s="1295"/>
      <c r="F975" s="94"/>
      <c r="G975" s="1260" t="s">
        <v>247</v>
      </c>
    </row>
    <row r="976" spans="1:7" hidden="1" x14ac:dyDescent="0.25">
      <c r="A976" s="4"/>
      <c r="B976" s="1277"/>
      <c r="C976" s="1277"/>
      <c r="D976" s="1796"/>
      <c r="E976" s="1295"/>
      <c r="F976" s="94"/>
      <c r="G976" s="1260" t="s">
        <v>247</v>
      </c>
    </row>
    <row r="977" spans="1:7" hidden="1" x14ac:dyDescent="0.25">
      <c r="A977" s="4"/>
      <c r="B977" s="1277"/>
      <c r="C977" s="1277"/>
      <c r="D977" s="1796"/>
      <c r="E977" s="1295"/>
      <c r="F977" s="1313" t="str">
        <f>IF(LEN('Verification Report'!W978)=0,"",'Verification Report'!W978)</f>
        <v/>
      </c>
      <c r="G977" s="1260" t="s">
        <v>247</v>
      </c>
    </row>
    <row r="978" spans="1:7" hidden="1" x14ac:dyDescent="0.25">
      <c r="A978" s="4"/>
      <c r="B978" s="1277"/>
      <c r="C978" s="1277"/>
      <c r="D978" s="1796"/>
      <c r="E978" s="1295"/>
      <c r="F978" s="94"/>
      <c r="G978" s="1260" t="s">
        <v>247</v>
      </c>
    </row>
    <row r="979" spans="1:7" hidden="1" x14ac:dyDescent="0.25">
      <c r="A979" s="4"/>
      <c r="B979" s="1277"/>
      <c r="C979" s="230" t="s">
        <v>121</v>
      </c>
      <c r="D979" s="1554" t="s">
        <v>852</v>
      </c>
      <c r="E979" s="1295"/>
      <c r="F979" s="94"/>
      <c r="G979" s="1260" t="s">
        <v>247</v>
      </c>
    </row>
    <row r="980" spans="1:7" ht="15" hidden="1" customHeight="1" x14ac:dyDescent="0.25">
      <c r="A980" s="4"/>
      <c r="B980" s="1277"/>
      <c r="C980" s="230" t="s">
        <v>122</v>
      </c>
      <c r="D980" s="1779" t="s">
        <v>853</v>
      </c>
      <c r="E980" s="1295"/>
      <c r="F980" s="94"/>
      <c r="G980" s="1260" t="s">
        <v>247</v>
      </c>
    </row>
    <row r="981" spans="1:7" hidden="1" x14ac:dyDescent="0.25">
      <c r="A981" s="4"/>
      <c r="B981" s="1277"/>
      <c r="C981" s="230"/>
      <c r="D981" s="1779"/>
      <c r="E981" s="1295"/>
      <c r="F981" s="94"/>
      <c r="G981" s="1260" t="s">
        <v>247</v>
      </c>
    </row>
    <row r="982" spans="1:7" hidden="1" x14ac:dyDescent="0.25">
      <c r="A982" s="4"/>
      <c r="B982" s="1277"/>
      <c r="C982" s="231" t="s">
        <v>123</v>
      </c>
      <c r="D982" s="1554" t="s">
        <v>854</v>
      </c>
      <c r="E982" s="1295"/>
      <c r="F982" s="94"/>
      <c r="G982" s="1260" t="s">
        <v>247</v>
      </c>
    </row>
    <row r="983" spans="1:7" ht="15" hidden="1" customHeight="1" x14ac:dyDescent="0.25">
      <c r="A983" s="4"/>
      <c r="B983" s="1277"/>
      <c r="C983" s="1281" t="s">
        <v>401</v>
      </c>
      <c r="D983" s="1779" t="s">
        <v>855</v>
      </c>
      <c r="E983" s="1295"/>
      <c r="F983" s="94"/>
      <c r="G983" s="1260" t="s">
        <v>247</v>
      </c>
    </row>
    <row r="984" spans="1:7" hidden="1" x14ac:dyDescent="0.25">
      <c r="A984" s="4"/>
      <c r="B984" s="1277"/>
      <c r="C984" s="1281"/>
      <c r="D984" s="1779"/>
      <c r="E984" s="1295"/>
      <c r="F984" s="94"/>
      <c r="G984" s="1260" t="s">
        <v>247</v>
      </c>
    </row>
    <row r="985" spans="1:7" hidden="1" x14ac:dyDescent="0.25">
      <c r="A985" s="4"/>
      <c r="B985" s="1277"/>
      <c r="C985" s="1281" t="s">
        <v>539</v>
      </c>
      <c r="D985" s="1554" t="s">
        <v>856</v>
      </c>
      <c r="E985" s="1295"/>
      <c r="F985" s="94"/>
      <c r="G985" s="1260" t="s">
        <v>247</v>
      </c>
    </row>
    <row r="986" spans="1:7" hidden="1" x14ac:dyDescent="0.25">
      <c r="A986" s="4"/>
      <c r="B986" s="1277"/>
      <c r="C986" s="231" t="s">
        <v>604</v>
      </c>
      <c r="D986" s="1554" t="s">
        <v>857</v>
      </c>
      <c r="E986" s="1295"/>
      <c r="F986" s="94"/>
      <c r="G986" s="1260" t="s">
        <v>247</v>
      </c>
    </row>
    <row r="987" spans="1:7" hidden="1" x14ac:dyDescent="0.25">
      <c r="A987" s="4"/>
      <c r="B987" s="1277"/>
      <c r="C987" s="1281" t="s">
        <v>606</v>
      </c>
      <c r="D987" s="1554" t="s">
        <v>858</v>
      </c>
      <c r="E987" s="1295"/>
      <c r="F987" s="94"/>
      <c r="G987" s="1260" t="s">
        <v>247</v>
      </c>
    </row>
    <row r="988" spans="1:7" ht="15" hidden="1" customHeight="1" x14ac:dyDescent="0.25">
      <c r="A988" s="4"/>
      <c r="B988" s="1261"/>
      <c r="C988" s="547"/>
      <c r="D988" s="1804" t="s">
        <v>4251</v>
      </c>
      <c r="E988" s="1295"/>
      <c r="F988" s="94"/>
      <c r="G988" s="1260" t="s">
        <v>247</v>
      </c>
    </row>
    <row r="989" spans="1:7" hidden="1" x14ac:dyDescent="0.25">
      <c r="A989" s="4"/>
      <c r="B989" s="1262"/>
      <c r="C989" s="548"/>
      <c r="D989" s="1861"/>
      <c r="E989" s="1295"/>
      <c r="F989" s="94"/>
      <c r="G989" s="1260" t="s">
        <v>247</v>
      </c>
    </row>
    <row r="990" spans="1:7" ht="15" hidden="1" customHeight="1" x14ac:dyDescent="0.25">
      <c r="A990" s="129"/>
      <c r="B990" s="518" t="s">
        <v>258</v>
      </c>
      <c r="C990" s="1261"/>
      <c r="D990" s="1782" t="s">
        <v>859</v>
      </c>
      <c r="E990" s="1296"/>
      <c r="F990" s="1313" t="str">
        <f>IF(LEN('Verification Report'!W991)=0,"",'Verification Report'!W991)</f>
        <v/>
      </c>
      <c r="G990" s="1260" t="s">
        <v>247</v>
      </c>
    </row>
    <row r="991" spans="1:7" hidden="1" x14ac:dyDescent="0.25">
      <c r="A991" s="129"/>
      <c r="B991" s="1261"/>
      <c r="C991" s="1261"/>
      <c r="D991" s="1782"/>
      <c r="E991" s="1296"/>
      <c r="F991" s="94"/>
      <c r="G991" s="1260" t="s">
        <v>247</v>
      </c>
    </row>
    <row r="992" spans="1:7" hidden="1" x14ac:dyDescent="0.25">
      <c r="A992" s="210"/>
      <c r="B992" s="1262"/>
      <c r="C992" s="1262"/>
      <c r="D992" s="527" t="s">
        <v>3415</v>
      </c>
      <c r="E992" s="1297"/>
      <c r="F992" s="94"/>
      <c r="G992" s="1260" t="s">
        <v>247</v>
      </c>
    </row>
    <row r="993" spans="1:7" ht="15" hidden="1" customHeight="1" x14ac:dyDescent="0.25">
      <c r="A993" s="66" t="s">
        <v>860</v>
      </c>
      <c r="B993" s="1277"/>
      <c r="C993" s="1271"/>
      <c r="D993" s="1835" t="s">
        <v>4252</v>
      </c>
      <c r="E993" s="1295"/>
      <c r="F993" s="1313" t="str">
        <f>IF(LEN('Verification Report'!W994)=0,"",'Verification Report'!W994)</f>
        <v/>
      </c>
      <c r="G993" s="1260" t="s">
        <v>247</v>
      </c>
    </row>
    <row r="994" spans="1:7" hidden="1" x14ac:dyDescent="0.25">
      <c r="A994" s="4"/>
      <c r="D994" s="1833"/>
      <c r="E994" s="664"/>
      <c r="F994" s="94"/>
      <c r="G994" s="1260" t="s">
        <v>247</v>
      </c>
    </row>
    <row r="995" spans="1:7" hidden="1" x14ac:dyDescent="0.25">
      <c r="A995" s="4"/>
      <c r="D995" s="1833"/>
      <c r="E995" s="664"/>
      <c r="F995" s="94"/>
      <c r="G995" s="1260" t="s">
        <v>247</v>
      </c>
    </row>
    <row r="996" spans="1:7" hidden="1" x14ac:dyDescent="0.25">
      <c r="A996" s="4"/>
      <c r="B996" s="178"/>
      <c r="C996" s="178"/>
      <c r="D996" s="1834"/>
      <c r="E996" s="664"/>
      <c r="F996" s="94"/>
      <c r="G996" s="1260" t="s">
        <v>247</v>
      </c>
    </row>
    <row r="997" spans="1:7" hidden="1" x14ac:dyDescent="0.25">
      <c r="A997" s="4"/>
      <c r="B997" s="684" t="s">
        <v>256</v>
      </c>
      <c r="C997" s="1262"/>
      <c r="D997" s="1536" t="s">
        <v>861</v>
      </c>
      <c r="E997" s="1295"/>
      <c r="F997" s="94"/>
      <c r="G997" s="1260" t="s">
        <v>247</v>
      </c>
    </row>
    <row r="998" spans="1:7" ht="15" hidden="1" customHeight="1" x14ac:dyDescent="0.25">
      <c r="A998" s="4"/>
      <c r="B998" s="667" t="s">
        <v>258</v>
      </c>
      <c r="C998" s="1277"/>
      <c r="D998" s="1779" t="s">
        <v>862</v>
      </c>
      <c r="E998" s="1295"/>
      <c r="F998" s="94"/>
      <c r="G998" s="1260" t="s">
        <v>247</v>
      </c>
    </row>
    <row r="999" spans="1:7" hidden="1" x14ac:dyDescent="0.25">
      <c r="A999" s="4"/>
      <c r="B999" s="667"/>
      <c r="C999" s="1277"/>
      <c r="D999" s="1779"/>
      <c r="E999" s="1295"/>
      <c r="F999" s="94"/>
      <c r="G999" s="1260" t="s">
        <v>247</v>
      </c>
    </row>
    <row r="1000" spans="1:7" hidden="1" x14ac:dyDescent="0.25">
      <c r="A1000" s="4"/>
      <c r="B1000" s="667"/>
      <c r="C1000" s="1277"/>
      <c r="D1000" s="1779"/>
      <c r="E1000" s="1295"/>
      <c r="F1000" s="94"/>
      <c r="G1000" s="1260" t="s">
        <v>247</v>
      </c>
    </row>
    <row r="1001" spans="1:7" hidden="1" x14ac:dyDescent="0.25">
      <c r="A1001" s="4"/>
      <c r="B1001" s="684"/>
      <c r="C1001" s="1262"/>
      <c r="D1001" s="1755"/>
      <c r="E1001" s="1295"/>
      <c r="F1001" s="94"/>
      <c r="G1001" s="1260" t="s">
        <v>247</v>
      </c>
    </row>
    <row r="1002" spans="1:7" ht="15" hidden="1" customHeight="1" x14ac:dyDescent="0.25">
      <c r="A1002" s="4"/>
      <c r="B1002" s="667" t="s">
        <v>260</v>
      </c>
      <c r="C1002" s="1277"/>
      <c r="D1002" s="1779" t="s">
        <v>863</v>
      </c>
      <c r="E1002" s="1295"/>
      <c r="F1002" s="94"/>
      <c r="G1002" s="1260" t="s">
        <v>247</v>
      </c>
    </row>
    <row r="1003" spans="1:7" hidden="1" x14ac:dyDescent="0.25">
      <c r="A1003" s="4"/>
      <c r="B1003" s="684"/>
      <c r="C1003" s="1262"/>
      <c r="D1003" s="1755"/>
      <c r="E1003" s="1295"/>
      <c r="F1003" s="94"/>
      <c r="G1003" s="1260" t="s">
        <v>247</v>
      </c>
    </row>
    <row r="1004" spans="1:7" ht="15" hidden="1" customHeight="1" x14ac:dyDescent="0.25">
      <c r="A1004" s="4"/>
      <c r="B1004" s="667" t="s">
        <v>269</v>
      </c>
      <c r="C1004" s="1271"/>
      <c r="D1004" s="1778" t="s">
        <v>864</v>
      </c>
      <c r="E1004" s="1295"/>
      <c r="F1004" s="94"/>
      <c r="G1004" s="1260" t="s">
        <v>247</v>
      </c>
    </row>
    <row r="1005" spans="1:7" hidden="1" x14ac:dyDescent="0.25">
      <c r="A1005" s="4"/>
      <c r="B1005" s="667"/>
      <c r="C1005" s="1277"/>
      <c r="D1005" s="1779"/>
      <c r="E1005" s="1295"/>
      <c r="F1005" s="94"/>
      <c r="G1005" s="1260" t="s">
        <v>247</v>
      </c>
    </row>
    <row r="1006" spans="1:7" hidden="1" x14ac:dyDescent="0.25">
      <c r="A1006" s="4"/>
      <c r="B1006" s="684"/>
      <c r="C1006" s="1262"/>
      <c r="D1006" s="1755"/>
      <c r="E1006" s="1295"/>
      <c r="F1006" s="94"/>
      <c r="G1006" s="1260" t="s">
        <v>247</v>
      </c>
    </row>
    <row r="1007" spans="1:7" ht="15" hidden="1" customHeight="1" x14ac:dyDescent="0.25">
      <c r="A1007" s="4"/>
      <c r="B1007" s="667" t="s">
        <v>275</v>
      </c>
      <c r="C1007" s="1271"/>
      <c r="D1007" s="1778" t="s">
        <v>865</v>
      </c>
      <c r="E1007" s="1295"/>
      <c r="F1007" s="94"/>
      <c r="G1007" s="1260" t="s">
        <v>247</v>
      </c>
    </row>
    <row r="1008" spans="1:7" hidden="1" x14ac:dyDescent="0.25">
      <c r="A1008" s="4"/>
      <c r="B1008" s="684"/>
      <c r="C1008" s="1262"/>
      <c r="D1008" s="1755"/>
      <c r="E1008" s="1295"/>
      <c r="F1008" s="94"/>
      <c r="G1008" s="1260" t="s">
        <v>247</v>
      </c>
    </row>
    <row r="1009" spans="1:7" ht="15" hidden="1" customHeight="1" x14ac:dyDescent="0.25">
      <c r="A1009" s="4"/>
      <c r="B1009" s="684" t="s">
        <v>277</v>
      </c>
      <c r="C1009" s="280"/>
      <c r="D1009" s="280" t="s">
        <v>866</v>
      </c>
      <c r="E1009" s="1295"/>
      <c r="F1009" s="94"/>
      <c r="G1009" s="1260" t="s">
        <v>247</v>
      </c>
    </row>
    <row r="1010" spans="1:7" hidden="1" x14ac:dyDescent="0.25">
      <c r="A1010" s="4"/>
      <c r="B1010" s="684" t="s">
        <v>383</v>
      </c>
      <c r="C1010" s="280"/>
      <c r="D1010" s="280" t="s">
        <v>867</v>
      </c>
      <c r="E1010" s="1295"/>
      <c r="F1010" s="94"/>
      <c r="G1010" s="1260" t="s">
        <v>247</v>
      </c>
    </row>
    <row r="1011" spans="1:7" ht="15" hidden="1" customHeight="1" x14ac:dyDescent="0.25">
      <c r="A1011" s="4"/>
      <c r="B1011" s="667" t="s">
        <v>428</v>
      </c>
      <c r="C1011" s="1271"/>
      <c r="D1011" s="1778" t="s">
        <v>868</v>
      </c>
      <c r="E1011" s="1295"/>
      <c r="F1011" s="94"/>
      <c r="G1011" s="1260" t="s">
        <v>247</v>
      </c>
    </row>
    <row r="1012" spans="1:7" hidden="1" x14ac:dyDescent="0.25">
      <c r="A1012" s="4"/>
      <c r="B1012" s="667"/>
      <c r="C1012" s="1277"/>
      <c r="D1012" s="1779"/>
      <c r="E1012" s="1295"/>
      <c r="F1012" s="94"/>
      <c r="G1012" s="1260" t="s">
        <v>247</v>
      </c>
    </row>
    <row r="1013" spans="1:7" hidden="1" x14ac:dyDescent="0.25">
      <c r="A1013" s="4"/>
      <c r="B1013" s="684"/>
      <c r="C1013" s="1262"/>
      <c r="D1013" s="1755"/>
      <c r="E1013" s="1295"/>
      <c r="F1013" s="94"/>
      <c r="G1013" s="1260" t="s">
        <v>247</v>
      </c>
    </row>
    <row r="1014" spans="1:7" ht="15" hidden="1" customHeight="1" x14ac:dyDescent="0.25">
      <c r="A1014" s="129"/>
      <c r="B1014" s="667" t="s">
        <v>430</v>
      </c>
      <c r="C1014" s="1277"/>
      <c r="D1014" s="1787" t="s">
        <v>4253</v>
      </c>
      <c r="E1014" s="1296"/>
      <c r="F1014" s="94"/>
      <c r="G1014" s="1260" t="s">
        <v>247</v>
      </c>
    </row>
    <row r="1015" spans="1:7" hidden="1" x14ac:dyDescent="0.25">
      <c r="A1015" s="210"/>
      <c r="B1015" s="230"/>
      <c r="C1015" s="1277"/>
      <c r="D1015" s="1787"/>
      <c r="E1015" s="1296"/>
      <c r="F1015" s="94"/>
      <c r="G1015" s="1260" t="s">
        <v>247</v>
      </c>
    </row>
    <row r="1016" spans="1:7" ht="15" hidden="1" customHeight="1" x14ac:dyDescent="0.25">
      <c r="A1016" s="192" t="s">
        <v>869</v>
      </c>
      <c r="B1016" s="1271"/>
      <c r="C1016" s="1271"/>
      <c r="D1016" s="1864" t="s">
        <v>4373</v>
      </c>
      <c r="E1016" s="1293"/>
      <c r="F1016" s="94"/>
      <c r="G1016" s="1260" t="s">
        <v>247</v>
      </c>
    </row>
    <row r="1017" spans="1:7" hidden="1" x14ac:dyDescent="0.25">
      <c r="A1017" s="130"/>
      <c r="B1017" s="1261"/>
      <c r="C1017" s="1261"/>
      <c r="D1017" s="1796"/>
      <c r="E1017" s="1296"/>
      <c r="F1017" s="94"/>
      <c r="G1017" s="1260" t="s">
        <v>247</v>
      </c>
    </row>
    <row r="1018" spans="1:7" hidden="1" x14ac:dyDescent="0.25">
      <c r="A1018" s="215"/>
      <c r="B1018" s="1262"/>
      <c r="C1018" s="1262"/>
      <c r="D1018" s="1843"/>
      <c r="E1018" s="1297"/>
      <c r="F1018" s="94"/>
      <c r="G1018" s="1260" t="s">
        <v>247</v>
      </c>
    </row>
    <row r="1019" spans="1:7" ht="15" hidden="1" customHeight="1" x14ac:dyDescent="0.25">
      <c r="A1019" s="192" t="s">
        <v>870</v>
      </c>
      <c r="B1019" s="1271"/>
      <c r="C1019" s="1271"/>
      <c r="D1019" s="1864" t="s">
        <v>4254</v>
      </c>
      <c r="E1019" s="1293"/>
      <c r="F1019" s="1313" t="str">
        <f>IF(LEN('Verification Report'!W1020)=0,"",'Verification Report'!W1020)</f>
        <v/>
      </c>
      <c r="G1019" s="1260" t="s">
        <v>247</v>
      </c>
    </row>
    <row r="1020" spans="1:7" hidden="1" x14ac:dyDescent="0.25">
      <c r="A1020" s="129"/>
      <c r="B1020" s="1261"/>
      <c r="C1020" s="1261"/>
      <c r="D1020" s="1796"/>
      <c r="E1020" s="1296"/>
      <c r="F1020" s="94"/>
      <c r="G1020" s="1260" t="s">
        <v>247</v>
      </c>
    </row>
    <row r="1021" spans="1:7" hidden="1" x14ac:dyDescent="0.25">
      <c r="A1021" s="129"/>
      <c r="B1021" s="1261"/>
      <c r="C1021" s="1261"/>
      <c r="D1021" s="1796"/>
      <c r="E1021" s="1296"/>
      <c r="F1021" s="94"/>
      <c r="G1021" s="1260" t="s">
        <v>247</v>
      </c>
    </row>
    <row r="1022" spans="1:7" hidden="1" x14ac:dyDescent="0.25">
      <c r="A1022" s="129"/>
      <c r="B1022" s="1261"/>
      <c r="C1022" s="1261"/>
      <c r="D1022" s="1796"/>
      <c r="E1022" s="1296"/>
      <c r="F1022" s="94"/>
      <c r="G1022" s="1260" t="s">
        <v>247</v>
      </c>
    </row>
    <row r="1023" spans="1:7" hidden="1" x14ac:dyDescent="0.25">
      <c r="A1023" s="129"/>
      <c r="B1023" s="1261"/>
      <c r="C1023" s="1261"/>
      <c r="D1023" s="1796"/>
      <c r="E1023" s="1296"/>
      <c r="F1023" s="94"/>
      <c r="G1023" s="1260" t="s">
        <v>247</v>
      </c>
    </row>
    <row r="1024" spans="1:7" hidden="1" x14ac:dyDescent="0.25">
      <c r="A1024" s="129"/>
      <c r="B1024" s="1261"/>
      <c r="C1024" s="1261"/>
      <c r="D1024" s="1796"/>
      <c r="E1024" s="1296"/>
      <c r="F1024" s="94"/>
      <c r="G1024" s="1260" t="s">
        <v>247</v>
      </c>
    </row>
    <row r="1025" spans="1:7" hidden="1" x14ac:dyDescent="0.25">
      <c r="A1025" s="129"/>
      <c r="B1025" s="1261"/>
      <c r="C1025" s="1261"/>
      <c r="D1025" s="1796"/>
      <c r="E1025" s="1296"/>
      <c r="F1025" s="94"/>
      <c r="G1025" s="1260" t="s">
        <v>247</v>
      </c>
    </row>
    <row r="1026" spans="1:7" ht="15" hidden="1" customHeight="1" x14ac:dyDescent="0.25">
      <c r="A1026" s="129"/>
      <c r="B1026" s="1261"/>
      <c r="C1026" s="1261"/>
      <c r="D1026" s="1796" t="s">
        <v>4255</v>
      </c>
      <c r="E1026" s="1296"/>
      <c r="F1026" s="94"/>
      <c r="G1026" s="1260" t="s">
        <v>247</v>
      </c>
    </row>
    <row r="1027" spans="1:7" hidden="1" x14ac:dyDescent="0.25">
      <c r="A1027" s="129"/>
      <c r="B1027" s="1261"/>
      <c r="C1027" s="1261"/>
      <c r="D1027" s="1796"/>
      <c r="E1027" s="1296"/>
      <c r="F1027" s="94"/>
      <c r="G1027" s="1260" t="s">
        <v>247</v>
      </c>
    </row>
    <row r="1028" spans="1:7" hidden="1" x14ac:dyDescent="0.25">
      <c r="A1028" s="210"/>
      <c r="B1028" s="1262"/>
      <c r="C1028" s="1262"/>
      <c r="D1028" s="1843"/>
      <c r="E1028" s="1297"/>
      <c r="F1028" s="94"/>
      <c r="G1028" s="1260" t="s">
        <v>247</v>
      </c>
    </row>
    <row r="1029" spans="1:7" ht="15" hidden="1" customHeight="1" x14ac:dyDescent="0.25">
      <c r="A1029" s="192" t="s">
        <v>871</v>
      </c>
      <c r="B1029" s="1271"/>
      <c r="C1029" s="1271"/>
      <c r="D1029" s="1835" t="s">
        <v>4256</v>
      </c>
      <c r="E1029" s="1293"/>
      <c r="F1029" s="1313" t="str">
        <f>IF(LEN('Verification Report'!W1030)=0,"",'Verification Report'!W1030)</f>
        <v/>
      </c>
      <c r="G1029" s="1260" t="s">
        <v>247</v>
      </c>
    </row>
    <row r="1030" spans="1:7" hidden="1" x14ac:dyDescent="0.25">
      <c r="A1030" s="129"/>
      <c r="B1030" s="1261"/>
      <c r="C1030" s="1261"/>
      <c r="D1030" s="1833"/>
      <c r="E1030" s="1296"/>
      <c r="F1030" s="94"/>
      <c r="G1030" s="1260" t="s">
        <v>247</v>
      </c>
    </row>
    <row r="1031" spans="1:7" hidden="1" x14ac:dyDescent="0.25">
      <c r="A1031" s="129"/>
      <c r="B1031" s="1261"/>
      <c r="C1031" s="1261"/>
      <c r="D1031" s="1833"/>
      <c r="E1031" s="1296"/>
      <c r="F1031" s="94"/>
      <c r="G1031" s="1260" t="s">
        <v>247</v>
      </c>
    </row>
    <row r="1032" spans="1:7" hidden="1" x14ac:dyDescent="0.25">
      <c r="A1032" s="129"/>
      <c r="B1032" s="1261"/>
      <c r="C1032" s="1261"/>
      <c r="D1032" s="1833"/>
      <c r="E1032" s="1296"/>
      <c r="F1032" s="94"/>
      <c r="G1032" s="1260" t="s">
        <v>247</v>
      </c>
    </row>
    <row r="1033" spans="1:7" hidden="1" x14ac:dyDescent="0.25">
      <c r="A1033" s="129"/>
      <c r="B1033" s="1261"/>
      <c r="C1033" s="1261"/>
      <c r="D1033" s="1833"/>
      <c r="E1033" s="1296"/>
      <c r="F1033" s="94"/>
      <c r="G1033" s="1260" t="s">
        <v>247</v>
      </c>
    </row>
    <row r="1034" spans="1:7" hidden="1" x14ac:dyDescent="0.25">
      <c r="A1034" s="129"/>
      <c r="B1034" s="1261"/>
      <c r="C1034" s="1261"/>
      <c r="D1034" s="1833"/>
      <c r="E1034" s="1296"/>
      <c r="F1034" s="94"/>
      <c r="G1034" s="1260" t="s">
        <v>247</v>
      </c>
    </row>
    <row r="1035" spans="1:7" hidden="1" x14ac:dyDescent="0.25">
      <c r="A1035" s="129"/>
      <c r="B1035" s="1261"/>
      <c r="C1035" s="1261"/>
      <c r="D1035" s="1833"/>
      <c r="E1035" s="1296"/>
      <c r="F1035" s="94"/>
      <c r="G1035" s="1260" t="s">
        <v>247</v>
      </c>
    </row>
    <row r="1036" spans="1:7" hidden="1" x14ac:dyDescent="0.25">
      <c r="A1036" s="210"/>
      <c r="B1036" s="1262"/>
      <c r="C1036" s="1262"/>
      <c r="D1036" s="1834"/>
      <c r="E1036" s="1297"/>
      <c r="F1036" s="94"/>
      <c r="G1036" s="1260" t="s">
        <v>247</v>
      </c>
    </row>
    <row r="1037" spans="1:7" ht="15" hidden="1" customHeight="1" x14ac:dyDescent="0.25">
      <c r="A1037" s="64" t="s">
        <v>872</v>
      </c>
      <c r="B1037" s="1277"/>
      <c r="C1037" s="1277"/>
      <c r="D1037" s="1833" t="s">
        <v>4257</v>
      </c>
      <c r="E1037" s="1295"/>
      <c r="F1037" s="94"/>
      <c r="G1037" s="1260" t="s">
        <v>247</v>
      </c>
    </row>
    <row r="1038" spans="1:7" hidden="1" x14ac:dyDescent="0.25">
      <c r="A1038" s="4"/>
      <c r="B1038" s="1277"/>
      <c r="C1038" s="1277"/>
      <c r="D1038" s="1833"/>
      <c r="E1038" s="1295"/>
      <c r="F1038" s="94"/>
      <c r="G1038" s="1260" t="s">
        <v>247</v>
      </c>
    </row>
    <row r="1039" spans="1:7" ht="15" hidden="1" customHeight="1" x14ac:dyDescent="0.25">
      <c r="A1039" s="4"/>
      <c r="B1039" s="518" t="s">
        <v>256</v>
      </c>
      <c r="C1039" s="1261"/>
      <c r="D1039" s="1754" t="s">
        <v>873</v>
      </c>
      <c r="E1039" s="1295"/>
      <c r="F1039" s="1313" t="str">
        <f>IF(LEN('Verification Report'!W1040)=0,"",'Verification Report'!W1040)</f>
        <v/>
      </c>
      <c r="G1039" s="1260" t="s">
        <v>247</v>
      </c>
    </row>
    <row r="1040" spans="1:7" hidden="1" x14ac:dyDescent="0.25">
      <c r="A1040" s="4"/>
      <c r="B1040" s="530"/>
      <c r="C1040" s="1262"/>
      <c r="D1040" s="1755"/>
      <c r="E1040" s="1295"/>
      <c r="F1040" s="94"/>
      <c r="G1040" s="1260" t="s">
        <v>247</v>
      </c>
    </row>
    <row r="1041" spans="1:7" hidden="1" x14ac:dyDescent="0.25">
      <c r="A1041" s="210"/>
      <c r="B1041" s="530" t="s">
        <v>258</v>
      </c>
      <c r="C1041" s="1262"/>
      <c r="D1041" s="1536" t="s">
        <v>874</v>
      </c>
      <c r="E1041" s="1297"/>
      <c r="F1041" s="1313" t="str">
        <f>IF(LEN('Verification Report'!W1042)=0,"",'Verification Report'!W1042)</f>
        <v/>
      </c>
      <c r="G1041" s="1260" t="s">
        <v>247</v>
      </c>
    </row>
    <row r="1042" spans="1:7" ht="15" hidden="1" customHeight="1" x14ac:dyDescent="0.25">
      <c r="A1042" s="64" t="s">
        <v>875</v>
      </c>
      <c r="B1042" s="1277"/>
      <c r="C1042" s="1277"/>
      <c r="D1042" s="1833" t="s">
        <v>4258</v>
      </c>
      <c r="E1042" s="1295"/>
      <c r="F1042" s="1313" t="str">
        <f>IF(LEN('Verification Report'!W1043)=0,"",'Verification Report'!W1043)</f>
        <v/>
      </c>
      <c r="G1042" s="1260" t="s">
        <v>247</v>
      </c>
    </row>
    <row r="1043" spans="1:7" hidden="1" x14ac:dyDescent="0.25">
      <c r="D1043" s="1833"/>
      <c r="E1043" s="664"/>
      <c r="F1043" s="94"/>
      <c r="G1043" s="1260" t="s">
        <v>247</v>
      </c>
    </row>
    <row r="1044" spans="1:7" ht="18.75" hidden="1" x14ac:dyDescent="0.3">
      <c r="A1044" s="14" t="s">
        <v>876</v>
      </c>
      <c r="B1044" s="84"/>
      <c r="C1044" s="84"/>
      <c r="D1044" s="84"/>
      <c r="E1044" s="1043"/>
      <c r="F1044" s="94"/>
      <c r="G1044" s="1260" t="s">
        <v>247</v>
      </c>
    </row>
    <row r="1045" spans="1:7" ht="15" hidden="1" customHeight="1" x14ac:dyDescent="0.25">
      <c r="A1045" s="130">
        <v>702.1</v>
      </c>
      <c r="B1045" s="1261"/>
      <c r="C1045" s="1261"/>
      <c r="D1045" s="1782" t="s">
        <v>4857</v>
      </c>
      <c r="E1045" s="1296"/>
      <c r="F1045" s="94"/>
      <c r="G1045" s="1260" t="s">
        <v>247</v>
      </c>
    </row>
    <row r="1046" spans="1:7" ht="15.75" hidden="1" thickBot="1" x14ac:dyDescent="0.3">
      <c r="A1046" s="240"/>
      <c r="B1046" s="1276"/>
      <c r="C1046" s="1276"/>
      <c r="D1046" s="1797"/>
      <c r="E1046" s="1294"/>
      <c r="F1046" s="94"/>
      <c r="G1046" s="1260" t="s">
        <v>247</v>
      </c>
    </row>
    <row r="1047" spans="1:7" ht="15.75" hidden="1" thickTop="1" x14ac:dyDescent="0.25">
      <c r="A1047" s="180">
        <v>702.2</v>
      </c>
      <c r="B1047" s="520"/>
      <c r="C1047" s="520"/>
      <c r="D1047" s="1569" t="s">
        <v>877</v>
      </c>
      <c r="E1047" s="1298"/>
      <c r="F1047" s="94"/>
      <c r="G1047" s="1260" t="s">
        <v>247</v>
      </c>
    </row>
    <row r="1048" spans="1:7" ht="15" hidden="1" customHeight="1" x14ac:dyDescent="0.25">
      <c r="A1048" s="510" t="s">
        <v>878</v>
      </c>
      <c r="B1048" s="1261"/>
      <c r="C1048" s="1261"/>
      <c r="D1048" s="1782" t="s">
        <v>879</v>
      </c>
      <c r="E1048" s="1296"/>
      <c r="F1048" s="1313" t="str">
        <f>IF(LEN('Verification Report'!W1049)=0,"",'Verification Report'!W1049)</f>
        <v/>
      </c>
      <c r="G1048" s="1260" t="s">
        <v>247</v>
      </c>
    </row>
    <row r="1049" spans="1:7" hidden="1" x14ac:dyDescent="0.25">
      <c r="A1049" s="129"/>
      <c r="B1049" s="1261"/>
      <c r="C1049" s="1261"/>
      <c r="D1049" s="1782"/>
      <c r="E1049" s="1296"/>
      <c r="F1049" s="94"/>
      <c r="G1049" s="1260" t="s">
        <v>247</v>
      </c>
    </row>
    <row r="1050" spans="1:7" hidden="1" x14ac:dyDescent="0.25">
      <c r="A1050" s="129"/>
      <c r="B1050" s="1261"/>
      <c r="C1050" s="1261"/>
      <c r="D1050" s="1782"/>
      <c r="E1050" s="1296"/>
      <c r="F1050" s="94"/>
      <c r="G1050" s="1260" t="s">
        <v>247</v>
      </c>
    </row>
    <row r="1051" spans="1:7" hidden="1" x14ac:dyDescent="0.25">
      <c r="A1051" s="210"/>
      <c r="B1051" s="1262"/>
      <c r="C1051" s="1262"/>
      <c r="D1051" s="1843"/>
      <c r="E1051" s="1297"/>
      <c r="F1051" s="94"/>
      <c r="G1051" s="1260" t="s">
        <v>247</v>
      </c>
    </row>
    <row r="1052" spans="1:7" ht="15" hidden="1" customHeight="1" x14ac:dyDescent="0.25">
      <c r="A1052" s="66" t="s">
        <v>880</v>
      </c>
      <c r="B1052" s="1277"/>
      <c r="C1052" s="1277"/>
      <c r="D1052" s="1796" t="s">
        <v>4259</v>
      </c>
      <c r="E1052" s="1295">
        <f ca="1">'Verification Report'!O1053</f>
        <v>0</v>
      </c>
      <c r="F1052" s="1847"/>
      <c r="G1052" s="1260" t="s">
        <v>247</v>
      </c>
    </row>
    <row r="1053" spans="1:7" hidden="1" x14ac:dyDescent="0.25">
      <c r="A1053" s="4"/>
      <c r="B1053" s="1277"/>
      <c r="C1053" s="1277"/>
      <c r="D1053" s="1796"/>
      <c r="E1053" s="1295"/>
      <c r="F1053" s="1847"/>
      <c r="G1053" s="1260" t="s">
        <v>247</v>
      </c>
    </row>
    <row r="1054" spans="1:7" hidden="1" x14ac:dyDescent="0.25">
      <c r="A1054" s="4"/>
      <c r="B1054" s="1277"/>
      <c r="C1054" s="1277"/>
      <c r="D1054" s="1796"/>
      <c r="E1054" s="1295"/>
      <c r="F1054" s="1313" t="str">
        <f>IF(LEN('Verification Report'!W1055)=0,"",'Verification Report'!W1055)</f>
        <v/>
      </c>
      <c r="G1054" s="1260" t="s">
        <v>247</v>
      </c>
    </row>
    <row r="1055" spans="1:7" hidden="1" x14ac:dyDescent="0.25">
      <c r="A1055" s="4"/>
      <c r="B1055" s="1277"/>
      <c r="C1055" s="1277"/>
      <c r="D1055" s="1796"/>
      <c r="E1055" s="1295"/>
      <c r="F1055" s="94"/>
      <c r="G1055" s="1260" t="s">
        <v>247</v>
      </c>
    </row>
    <row r="1056" spans="1:7" hidden="1" x14ac:dyDescent="0.25">
      <c r="A1056" s="4"/>
      <c r="B1056" s="1277"/>
      <c r="C1056" s="1277"/>
      <c r="D1056" s="1796"/>
      <c r="E1056" s="1295"/>
      <c r="F1056" s="94"/>
      <c r="G1056" s="1260" t="s">
        <v>247</v>
      </c>
    </row>
    <row r="1057" spans="1:7" hidden="1" x14ac:dyDescent="0.25">
      <c r="A1057" s="4"/>
      <c r="B1057" s="1277"/>
      <c r="C1057" s="1277"/>
      <c r="D1057" s="1563" t="s">
        <v>5120</v>
      </c>
      <c r="E1057" s="1295"/>
      <c r="F1057" s="94"/>
      <c r="G1057" s="1260" t="s">
        <v>247</v>
      </c>
    </row>
    <row r="1058" spans="1:7" ht="15" hidden="1" customHeight="1" x14ac:dyDescent="0.25">
      <c r="A1058" s="129"/>
      <c r="B1058" s="1261"/>
      <c r="C1058" s="1261"/>
      <c r="D1058" s="1855" t="s">
        <v>2998</v>
      </c>
      <c r="E1058" s="1296"/>
      <c r="F1058" s="94"/>
      <c r="G1058" s="1260" t="s">
        <v>247</v>
      </c>
    </row>
    <row r="1059" spans="1:7" hidden="1" x14ac:dyDescent="0.25">
      <c r="A1059" s="129"/>
      <c r="B1059" s="1261"/>
      <c r="C1059" s="1261"/>
      <c r="D1059" s="1855"/>
      <c r="E1059" s="1296"/>
      <c r="F1059" s="94"/>
      <c r="G1059" s="1260" t="s">
        <v>247</v>
      </c>
    </row>
    <row r="1060" spans="1:7" hidden="1" x14ac:dyDescent="0.25">
      <c r="A1060" s="210"/>
      <c r="B1060" s="1262"/>
      <c r="C1060" s="1262"/>
      <c r="D1060" s="1861"/>
      <c r="E1060" s="1296"/>
      <c r="F1060" s="94"/>
      <c r="G1060" s="1260" t="s">
        <v>247</v>
      </c>
    </row>
    <row r="1061" spans="1:7" ht="15" hidden="1" customHeight="1" x14ac:dyDescent="0.25">
      <c r="A1061" s="66" t="s">
        <v>881</v>
      </c>
      <c r="B1061" s="1277"/>
      <c r="C1061" s="1277"/>
      <c r="D1061" s="1796" t="s">
        <v>882</v>
      </c>
      <c r="E1061" s="1295"/>
      <c r="F1061" s="94"/>
      <c r="G1061" s="1260" t="s">
        <v>247</v>
      </c>
    </row>
    <row r="1062" spans="1:7" hidden="1" x14ac:dyDescent="0.25">
      <c r="A1062" s="4"/>
      <c r="B1062" s="1277"/>
      <c r="C1062" s="1277"/>
      <c r="D1062" s="1796"/>
      <c r="E1062" s="1295"/>
      <c r="F1062" s="94"/>
      <c r="G1062" s="1260" t="s">
        <v>247</v>
      </c>
    </row>
    <row r="1063" spans="1:7" ht="18.75" hidden="1" x14ac:dyDescent="0.3">
      <c r="A1063" s="14" t="s">
        <v>883</v>
      </c>
      <c r="B1063" s="84"/>
      <c r="C1063" s="84"/>
      <c r="D1063" s="84"/>
      <c r="E1063" s="1043"/>
      <c r="F1063" s="94"/>
      <c r="G1063" s="1260" t="s">
        <v>247</v>
      </c>
    </row>
    <row r="1064" spans="1:7" hidden="1" x14ac:dyDescent="0.25">
      <c r="A1064" s="64">
        <v>703.1</v>
      </c>
      <c r="B1064" s="1277"/>
      <c r="C1064" s="1277"/>
      <c r="D1064" s="1563" t="s">
        <v>884</v>
      </c>
      <c r="E1064" s="1280">
        <f ca="1">'Verification Report'!O1065</f>
        <v>0</v>
      </c>
      <c r="F1064" s="94"/>
      <c r="G1064" s="1260" t="s">
        <v>247</v>
      </c>
    </row>
    <row r="1065" spans="1:7" ht="15" hidden="1" customHeight="1" x14ac:dyDescent="0.25">
      <c r="A1065" s="66" t="s">
        <v>885</v>
      </c>
      <c r="B1065" s="1277"/>
      <c r="C1065" s="1277"/>
      <c r="D1065" s="1833" t="s">
        <v>4260</v>
      </c>
      <c r="E1065" s="1295"/>
      <c r="F1065" s="1313" t="str">
        <f>IF(LEN('Verification Report'!W1066)=0,"",'Verification Report'!W1066)</f>
        <v/>
      </c>
      <c r="G1065" s="1260" t="s">
        <v>247</v>
      </c>
    </row>
    <row r="1066" spans="1:7" hidden="1" x14ac:dyDescent="0.25">
      <c r="A1066" s="4"/>
      <c r="B1066" s="1277"/>
      <c r="C1066" s="1277"/>
      <c r="D1066" s="1833"/>
      <c r="E1066" s="1295"/>
      <c r="F1066" s="94"/>
      <c r="G1066" s="1260" t="s">
        <v>247</v>
      </c>
    </row>
    <row r="1067" spans="1:7" hidden="1" x14ac:dyDescent="0.25">
      <c r="A1067" s="210"/>
      <c r="B1067" s="1262"/>
      <c r="C1067" s="1262"/>
      <c r="D1067" s="1561" t="s">
        <v>2999</v>
      </c>
      <c r="E1067" s="1295"/>
      <c r="F1067" s="94"/>
      <c r="G1067" s="1260" t="s">
        <v>247</v>
      </c>
    </row>
    <row r="1068" spans="1:7" ht="15" hidden="1" customHeight="1" x14ac:dyDescent="0.25">
      <c r="A1068" s="533" t="s">
        <v>886</v>
      </c>
      <c r="B1068" s="1271"/>
      <c r="C1068" s="1271"/>
      <c r="D1068" s="1835" t="s">
        <v>4261</v>
      </c>
      <c r="E1068" s="1295"/>
      <c r="F1068" s="94"/>
      <c r="G1068" s="1260" t="s">
        <v>247</v>
      </c>
    </row>
    <row r="1069" spans="1:7" hidden="1" x14ac:dyDescent="0.25">
      <c r="A1069" s="129"/>
      <c r="B1069" s="1261"/>
      <c r="C1069" s="1261"/>
      <c r="D1069" s="1833"/>
      <c r="E1069" s="1295"/>
      <c r="F1069" s="94"/>
      <c r="G1069" s="1260" t="s">
        <v>247</v>
      </c>
    </row>
    <row r="1070" spans="1:7" hidden="1" x14ac:dyDescent="0.25">
      <c r="A1070" s="129"/>
      <c r="B1070" s="1261"/>
      <c r="C1070" s="1261"/>
      <c r="D1070" s="1833"/>
      <c r="E1070" s="1295"/>
      <c r="F1070" s="94"/>
      <c r="G1070" s="1260" t="s">
        <v>247</v>
      </c>
    </row>
    <row r="1071" spans="1:7" hidden="1" x14ac:dyDescent="0.25">
      <c r="A1071" s="129"/>
      <c r="B1071" s="1261"/>
      <c r="C1071" s="1261"/>
      <c r="D1071" s="1833"/>
      <c r="E1071" s="1295"/>
      <c r="F1071" s="94"/>
      <c r="G1071" s="1260" t="s">
        <v>247</v>
      </c>
    </row>
    <row r="1072" spans="1:7" hidden="1" x14ac:dyDescent="0.25">
      <c r="A1072" s="129"/>
      <c r="B1072" s="1261"/>
      <c r="C1072" s="1261"/>
      <c r="D1072" s="1833"/>
      <c r="E1072" s="1295"/>
      <c r="F1072" s="94"/>
      <c r="G1072" s="1260" t="s">
        <v>247</v>
      </c>
    </row>
    <row r="1073" spans="1:8" hidden="1" x14ac:dyDescent="0.25">
      <c r="A1073" s="129"/>
      <c r="B1073" s="1261"/>
      <c r="C1073" s="1261"/>
      <c r="D1073" s="1833"/>
      <c r="E1073" s="1295"/>
      <c r="F1073" s="94"/>
      <c r="G1073" s="1260" t="s">
        <v>247</v>
      </c>
    </row>
    <row r="1074" spans="1:8" hidden="1" x14ac:dyDescent="0.25">
      <c r="A1074" s="129"/>
      <c r="B1074" s="1261"/>
      <c r="C1074" s="1261"/>
      <c r="D1074" s="1833"/>
      <c r="E1074" s="1295"/>
      <c r="F1074" s="94"/>
      <c r="G1074" s="1260" t="s">
        <v>247</v>
      </c>
    </row>
    <row r="1075" spans="1:8" hidden="1" x14ac:dyDescent="0.25">
      <c r="A1075" s="210"/>
      <c r="B1075" s="1262"/>
      <c r="C1075" s="1262"/>
      <c r="D1075" s="1834"/>
      <c r="E1075" s="1295"/>
      <c r="F1075" s="94"/>
      <c r="G1075" s="1260" t="s">
        <v>247</v>
      </c>
    </row>
    <row r="1076" spans="1:8" ht="15" hidden="1" customHeight="1" x14ac:dyDescent="0.25">
      <c r="A1076" s="533" t="s">
        <v>887</v>
      </c>
      <c r="B1076" s="1271"/>
      <c r="C1076" s="1271"/>
      <c r="D1076" s="1835" t="s">
        <v>4262</v>
      </c>
      <c r="E1076" s="1295"/>
      <c r="F1076" s="94"/>
      <c r="G1076" s="1260" t="s">
        <v>247</v>
      </c>
    </row>
    <row r="1077" spans="1:8" hidden="1" x14ac:dyDescent="0.25">
      <c r="A1077" s="129"/>
      <c r="B1077" s="1261"/>
      <c r="C1077" s="1261"/>
      <c r="D1077" s="1833"/>
      <c r="E1077" s="1295"/>
      <c r="F1077" s="94"/>
      <c r="G1077" s="1260" t="s">
        <v>247</v>
      </c>
    </row>
    <row r="1078" spans="1:8" hidden="1" x14ac:dyDescent="0.25">
      <c r="A1078" s="129"/>
      <c r="B1078" s="1261"/>
      <c r="C1078" s="1261"/>
      <c r="D1078" s="1833"/>
      <c r="E1078" s="1295"/>
      <c r="F1078" s="94"/>
      <c r="G1078" s="1260" t="s">
        <v>247</v>
      </c>
    </row>
    <row r="1079" spans="1:8" hidden="1" x14ac:dyDescent="0.25">
      <c r="A1079" s="210"/>
      <c r="B1079" s="1262"/>
      <c r="C1079" s="1262"/>
      <c r="D1079" s="1834"/>
      <c r="E1079" s="1297"/>
      <c r="F1079" s="94"/>
      <c r="G1079" s="1260" t="s">
        <v>247</v>
      </c>
    </row>
    <row r="1080" spans="1:8" ht="15" hidden="1" customHeight="1" x14ac:dyDescent="0.25">
      <c r="A1080" s="66" t="s">
        <v>888</v>
      </c>
      <c r="B1080" s="1277"/>
      <c r="C1080" s="1277"/>
      <c r="D1080" s="1833" t="s">
        <v>4263</v>
      </c>
      <c r="E1080" s="1295"/>
      <c r="F1080" s="1313" t="str">
        <f>IF(LEN('Verification Report'!W1081)=0,"",'Verification Report'!W1081)</f>
        <v/>
      </c>
      <c r="G1080" s="1260" t="s">
        <v>247</v>
      </c>
    </row>
    <row r="1081" spans="1:8" hidden="1" x14ac:dyDescent="0.25">
      <c r="A1081" s="4"/>
      <c r="B1081" s="1277"/>
      <c r="C1081" s="1277"/>
      <c r="D1081" s="1833"/>
      <c r="E1081" s="1295"/>
      <c r="F1081" s="1969"/>
      <c r="G1081" s="1260" t="s">
        <v>247</v>
      </c>
    </row>
    <row r="1082" spans="1:8" hidden="1" x14ac:dyDescent="0.25">
      <c r="A1082" s="210"/>
      <c r="B1082" s="1262"/>
      <c r="C1082" s="1262"/>
      <c r="D1082" s="1561" t="s">
        <v>3531</v>
      </c>
      <c r="E1082" s="1297"/>
      <c r="F1082" s="1969"/>
      <c r="G1082" s="1260" t="s">
        <v>247</v>
      </c>
    </row>
    <row r="1083" spans="1:8" ht="15" hidden="1" customHeight="1" x14ac:dyDescent="0.25">
      <c r="A1083" s="510" t="s">
        <v>889</v>
      </c>
      <c r="B1083" s="1261"/>
      <c r="C1083" s="1261"/>
      <c r="D1083" s="1782" t="s">
        <v>5122</v>
      </c>
      <c r="E1083" s="1296"/>
      <c r="F1083" s="1313" t="str">
        <f>IF(LEN('Verification Report'!W1084)=0,"",'Verification Report'!W1084)</f>
        <v/>
      </c>
      <c r="G1083" s="1260" t="s">
        <v>247</v>
      </c>
    </row>
    <row r="1084" spans="1:8" s="1657" customFormat="1" ht="15" hidden="1" customHeight="1" x14ac:dyDescent="0.25">
      <c r="A1084" s="510"/>
      <c r="B1084" s="1658"/>
      <c r="C1084" s="1658"/>
      <c r="D1084" s="1782"/>
      <c r="E1084" s="1661"/>
      <c r="F1084"/>
      <c r="G1084" s="1657" t="s">
        <v>247</v>
      </c>
      <c r="H1084" s="699"/>
    </row>
    <row r="1085" spans="1:8" s="1657" customFormat="1" ht="15" hidden="1" customHeight="1" x14ac:dyDescent="0.25">
      <c r="A1085" s="510"/>
      <c r="B1085" s="1658"/>
      <c r="C1085" s="1658"/>
      <c r="D1085" s="1782"/>
      <c r="E1085" s="1661"/>
      <c r="F1085"/>
      <c r="G1085" s="1657" t="s">
        <v>247</v>
      </c>
      <c r="H1085" s="699"/>
    </row>
    <row r="1086" spans="1:8" s="1657" customFormat="1" ht="15" hidden="1" customHeight="1" x14ac:dyDescent="0.25">
      <c r="A1086" s="510"/>
      <c r="B1086" s="1658"/>
      <c r="C1086" s="1658"/>
      <c r="D1086" s="1782"/>
      <c r="E1086" s="1661"/>
      <c r="F1086"/>
      <c r="G1086" s="1657" t="s">
        <v>247</v>
      </c>
      <c r="H1086" s="699"/>
    </row>
    <row r="1087" spans="1:8" ht="15.75" hidden="1" thickBot="1" x14ac:dyDescent="0.3">
      <c r="A1087" s="240"/>
      <c r="B1087" s="1276"/>
      <c r="C1087" s="1276"/>
      <c r="D1087" s="1797"/>
      <c r="E1087" s="1294"/>
      <c r="F1087" s="94"/>
      <c r="G1087" s="1260" t="s">
        <v>247</v>
      </c>
    </row>
    <row r="1088" spans="1:8" hidden="1" x14ac:dyDescent="0.25">
      <c r="A1088" s="64">
        <v>703.2</v>
      </c>
      <c r="B1088" s="1277"/>
      <c r="C1088" s="1277"/>
      <c r="D1088" s="1563" t="s">
        <v>890</v>
      </c>
      <c r="E1088" s="1295"/>
      <c r="F1088" s="94"/>
      <c r="G1088" s="1260" t="s">
        <v>247</v>
      </c>
    </row>
    <row r="1089" spans="1:7" ht="15" hidden="1" customHeight="1" x14ac:dyDescent="0.25">
      <c r="A1089" s="64" t="s">
        <v>891</v>
      </c>
      <c r="B1089" s="1277"/>
      <c r="C1089" s="1277"/>
      <c r="D1089" s="1833" t="s">
        <v>4264</v>
      </c>
      <c r="E1089" s="1295">
        <f>'Verification Report'!O1090</f>
        <v>0</v>
      </c>
      <c r="F1089" s="1313" t="str">
        <f>IF(LEN('Verification Report'!W1090)=0,"",'Verification Report'!W1090)</f>
        <v/>
      </c>
      <c r="G1089" s="1260" t="s">
        <v>247</v>
      </c>
    </row>
    <row r="1090" spans="1:7" hidden="1" x14ac:dyDescent="0.25">
      <c r="A1090" s="4"/>
      <c r="B1090" s="1277"/>
      <c r="C1090" s="1277"/>
      <c r="D1090" s="1833"/>
      <c r="E1090" s="1295"/>
      <c r="F1090" s="94"/>
      <c r="G1090" s="1260" t="s">
        <v>247</v>
      </c>
    </row>
    <row r="1091" spans="1:7" hidden="1" x14ac:dyDescent="0.25">
      <c r="A1091" s="4"/>
      <c r="B1091" s="1277"/>
      <c r="C1091" s="1277"/>
      <c r="D1091" s="1833"/>
      <c r="E1091" s="1295"/>
      <c r="F1091" s="1313" t="str">
        <f>IF(LEN('Verification Report'!W1092)=0,"",'Verification Report'!W1092)</f>
        <v/>
      </c>
      <c r="G1091" s="1260" t="s">
        <v>247</v>
      </c>
    </row>
    <row r="1092" spans="1:7" hidden="1" x14ac:dyDescent="0.25">
      <c r="A1092" s="4"/>
      <c r="B1092" s="1277"/>
      <c r="C1092" s="1277"/>
      <c r="D1092" s="1833"/>
      <c r="E1092" s="1295"/>
      <c r="F1092" s="94"/>
      <c r="G1092" s="1260" t="s">
        <v>247</v>
      </c>
    </row>
    <row r="1093" spans="1:7" hidden="1" x14ac:dyDescent="0.25">
      <c r="A1093" s="4"/>
      <c r="B1093" s="1277"/>
      <c r="C1093" s="1277"/>
      <c r="D1093" s="1833"/>
      <c r="E1093" s="1295"/>
      <c r="F1093" s="94"/>
      <c r="G1093" s="1260" t="s">
        <v>247</v>
      </c>
    </row>
    <row r="1094" spans="1:7" hidden="1" x14ac:dyDescent="0.25">
      <c r="A1094" s="4"/>
      <c r="B1094" s="1277"/>
      <c r="C1094" s="1277"/>
      <c r="D1094" s="1833"/>
      <c r="E1094" s="1295"/>
      <c r="F1094" s="94"/>
      <c r="G1094" s="1260" t="s">
        <v>247</v>
      </c>
    </row>
    <row r="1095" spans="1:7" hidden="1" x14ac:dyDescent="0.25">
      <c r="A1095" s="210"/>
      <c r="B1095" s="1262"/>
      <c r="C1095" s="1262"/>
      <c r="D1095" s="527" t="s">
        <v>3532</v>
      </c>
      <c r="E1095" s="1297"/>
      <c r="F1095" s="94"/>
      <c r="G1095" s="1260" t="s">
        <v>247</v>
      </c>
    </row>
    <row r="1096" spans="1:7" ht="15" hidden="1" customHeight="1" x14ac:dyDescent="0.25">
      <c r="A1096" s="192" t="s">
        <v>893</v>
      </c>
      <c r="B1096" s="1271"/>
      <c r="C1096" s="1271"/>
      <c r="D1096" s="1864" t="s">
        <v>894</v>
      </c>
      <c r="E1096" s="1293">
        <f>'Verification Report'!O1097</f>
        <v>0</v>
      </c>
      <c r="F1096" s="94"/>
      <c r="G1096" s="1260" t="s">
        <v>247</v>
      </c>
    </row>
    <row r="1097" spans="1:7" hidden="1" x14ac:dyDescent="0.25">
      <c r="A1097" s="210"/>
      <c r="B1097" s="1262"/>
      <c r="C1097" s="1262"/>
      <c r="D1097" s="1843"/>
      <c r="E1097" s="1297"/>
      <c r="F1097" s="1313" t="str">
        <f>IF(LEN('Verification Report'!W1098)=0,"",'Verification Report'!W1098)</f>
        <v/>
      </c>
      <c r="G1097" s="1260" t="s">
        <v>247</v>
      </c>
    </row>
    <row r="1098" spans="1:7" ht="15" hidden="1" customHeight="1" x14ac:dyDescent="0.25">
      <c r="A1098" s="192" t="s">
        <v>896</v>
      </c>
      <c r="B1098" s="1271"/>
      <c r="C1098" s="1271"/>
      <c r="D1098" s="1864" t="s">
        <v>897</v>
      </c>
      <c r="E1098" s="1293">
        <f ca="1">'Verification Report'!O1099</f>
        <v>0</v>
      </c>
      <c r="F1098" s="1313" t="str">
        <f>IF(LEN('Verification Report'!W1099)=0,"",'Verification Report'!W1099)</f>
        <v/>
      </c>
      <c r="G1098" s="1260" t="s">
        <v>247</v>
      </c>
    </row>
    <row r="1099" spans="1:7" hidden="1" x14ac:dyDescent="0.25">
      <c r="A1099" s="129"/>
      <c r="B1099" s="1261"/>
      <c r="C1099" s="1261"/>
      <c r="D1099" s="1782"/>
      <c r="E1099" s="1296"/>
      <c r="F1099" s="94"/>
      <c r="G1099" s="1260" t="s">
        <v>247</v>
      </c>
    </row>
    <row r="1100" spans="1:7" hidden="1" x14ac:dyDescent="0.25">
      <c r="A1100" s="210"/>
      <c r="B1100" s="1262"/>
      <c r="C1100" s="1262"/>
      <c r="D1100" s="1843"/>
      <c r="E1100" s="1297"/>
      <c r="F1100" s="94"/>
      <c r="G1100" s="1260" t="s">
        <v>247</v>
      </c>
    </row>
    <row r="1101" spans="1:7" ht="15" hidden="1" customHeight="1" x14ac:dyDescent="0.25">
      <c r="A1101" s="192" t="s">
        <v>898</v>
      </c>
      <c r="B1101" s="1271"/>
      <c r="C1101" s="1271"/>
      <c r="D1101" s="1864" t="s">
        <v>4272</v>
      </c>
      <c r="E1101" s="1293">
        <f ca="1">'Verification Report'!O1102</f>
        <v>0</v>
      </c>
      <c r="F1101" s="1847"/>
      <c r="G1101" s="1260" t="s">
        <v>247</v>
      </c>
    </row>
    <row r="1102" spans="1:7" hidden="1" x14ac:dyDescent="0.25">
      <c r="A1102" s="129"/>
      <c r="B1102" s="1261"/>
      <c r="C1102" s="1261"/>
      <c r="D1102" s="1796"/>
      <c r="E1102" s="1296"/>
      <c r="F1102" s="1847"/>
      <c r="G1102" s="1260" t="s">
        <v>247</v>
      </c>
    </row>
    <row r="1103" spans="1:7" hidden="1" x14ac:dyDescent="0.25">
      <c r="A1103" s="210"/>
      <c r="B1103" s="1262"/>
      <c r="C1103" s="1262"/>
      <c r="D1103" s="1843"/>
      <c r="E1103" s="1297"/>
      <c r="F1103" s="1254"/>
      <c r="G1103" s="1260" t="s">
        <v>247</v>
      </c>
    </row>
    <row r="1104" spans="1:7" hidden="1" x14ac:dyDescent="0.25">
      <c r="A1104" s="66" t="s">
        <v>899</v>
      </c>
      <c r="B1104" s="1277"/>
      <c r="C1104" s="1277"/>
      <c r="D1104" s="1563" t="s">
        <v>900</v>
      </c>
      <c r="E1104" s="1295"/>
      <c r="F1104" s="94"/>
      <c r="G1104" s="1260" t="s">
        <v>247</v>
      </c>
    </row>
    <row r="1105" spans="1:7" ht="15" hidden="1" customHeight="1" x14ac:dyDescent="0.25">
      <c r="A1105" s="510" t="s">
        <v>901</v>
      </c>
      <c r="B1105" s="1261"/>
      <c r="C1105" s="1261"/>
      <c r="D1105" s="1754" t="s">
        <v>902</v>
      </c>
      <c r="E1105" s="1295"/>
      <c r="F1105" s="1313" t="str">
        <f>IF(LEN('Verification Report'!W1106)=0,"",'Verification Report'!W1106)</f>
        <v/>
      </c>
      <c r="G1105" s="1260" t="s">
        <v>247</v>
      </c>
    </row>
    <row r="1106" spans="1:7" hidden="1" x14ac:dyDescent="0.25">
      <c r="A1106" s="129"/>
      <c r="B1106" s="1261"/>
      <c r="C1106" s="1261"/>
      <c r="D1106" s="1754"/>
      <c r="E1106" s="1295"/>
      <c r="F1106" s="94"/>
      <c r="G1106" s="1260" t="s">
        <v>247</v>
      </c>
    </row>
    <row r="1107" spans="1:7" hidden="1" x14ac:dyDescent="0.25">
      <c r="A1107" s="129"/>
      <c r="B1107" s="1261"/>
      <c r="C1107" s="1261"/>
      <c r="D1107" s="1754"/>
      <c r="E1107" s="1295"/>
      <c r="F1107" s="94"/>
      <c r="G1107" s="1260" t="s">
        <v>247</v>
      </c>
    </row>
    <row r="1108" spans="1:7" hidden="1" x14ac:dyDescent="0.25">
      <c r="A1108" s="129"/>
      <c r="B1108" s="1261"/>
      <c r="C1108" s="1261"/>
      <c r="D1108" s="1754"/>
      <c r="E1108" s="1295"/>
      <c r="F1108" s="94"/>
      <c r="G1108" s="1260" t="s">
        <v>247</v>
      </c>
    </row>
    <row r="1109" spans="1:7" hidden="1" x14ac:dyDescent="0.25">
      <c r="A1109" s="129"/>
      <c r="B1109" s="1261"/>
      <c r="C1109" s="1261"/>
      <c r="D1109" s="1754"/>
      <c r="E1109" s="1295"/>
      <c r="F1109" s="94"/>
      <c r="G1109" s="1260" t="s">
        <v>247</v>
      </c>
    </row>
    <row r="1110" spans="1:7" hidden="1" x14ac:dyDescent="0.25">
      <c r="A1110" s="129"/>
      <c r="B1110" s="1261"/>
      <c r="C1110" s="1261"/>
      <c r="D1110" s="1754"/>
      <c r="E1110" s="1295"/>
      <c r="F1110" s="94"/>
      <c r="G1110" s="1260" t="s">
        <v>247</v>
      </c>
    </row>
    <row r="1111" spans="1:7" hidden="1" x14ac:dyDescent="0.25">
      <c r="A1111" s="129"/>
      <c r="B1111" s="1261"/>
      <c r="C1111" s="1261"/>
      <c r="D1111" s="1754"/>
      <c r="E1111" s="1295"/>
      <c r="F1111" s="94"/>
      <c r="G1111" s="1260" t="s">
        <v>247</v>
      </c>
    </row>
    <row r="1112" spans="1:7" hidden="1" x14ac:dyDescent="0.25">
      <c r="A1112" s="210"/>
      <c r="B1112" s="1262"/>
      <c r="C1112" s="1262"/>
      <c r="D1112" s="527" t="s">
        <v>3779</v>
      </c>
      <c r="E1112" s="1295"/>
      <c r="F1112" s="94"/>
      <c r="G1112" s="1260" t="s">
        <v>247</v>
      </c>
    </row>
    <row r="1113" spans="1:7" ht="15" hidden="1" customHeight="1" x14ac:dyDescent="0.25">
      <c r="A1113" s="533" t="s">
        <v>903</v>
      </c>
      <c r="B1113" s="1271"/>
      <c r="C1113" s="1271"/>
      <c r="D1113" s="1864" t="s">
        <v>904</v>
      </c>
      <c r="E1113" s="1295"/>
      <c r="F1113" s="1313" t="str">
        <f>IF(LEN('Verification Report'!W1114)=0,"",'Verification Report'!W1114)</f>
        <v/>
      </c>
      <c r="G1113" s="1260" t="s">
        <v>247</v>
      </c>
    </row>
    <row r="1114" spans="1:7" hidden="1" x14ac:dyDescent="0.25">
      <c r="A1114" s="129"/>
      <c r="B1114" s="1261"/>
      <c r="C1114" s="1261"/>
      <c r="D1114" s="1782"/>
      <c r="E1114" s="1295"/>
      <c r="F1114" s="94"/>
      <c r="G1114" s="1260" t="s">
        <v>247</v>
      </c>
    </row>
    <row r="1115" spans="1:7" hidden="1" x14ac:dyDescent="0.25">
      <c r="A1115" s="129"/>
      <c r="B1115" s="1261"/>
      <c r="C1115" s="1261"/>
      <c r="D1115" s="1782"/>
      <c r="E1115" s="1295"/>
      <c r="F1115" s="94"/>
      <c r="G1115" s="1260" t="s">
        <v>247</v>
      </c>
    </row>
    <row r="1116" spans="1:7" hidden="1" x14ac:dyDescent="0.25">
      <c r="A1116" s="129"/>
      <c r="B1116" s="1261"/>
      <c r="C1116" s="1261"/>
      <c r="D1116" s="1782"/>
      <c r="E1116" s="1295"/>
      <c r="F1116" s="94"/>
      <c r="G1116" s="1260" t="s">
        <v>247</v>
      </c>
    </row>
    <row r="1117" spans="1:7" hidden="1" x14ac:dyDescent="0.25">
      <c r="A1117" s="129"/>
      <c r="B1117" s="1261"/>
      <c r="C1117" s="1261"/>
      <c r="D1117" s="1782"/>
      <c r="E1117" s="1295"/>
      <c r="F1117" s="94"/>
      <c r="G1117" s="1260" t="s">
        <v>247</v>
      </c>
    </row>
    <row r="1118" spans="1:7" hidden="1" x14ac:dyDescent="0.25">
      <c r="A1118" s="129"/>
      <c r="B1118" s="1261"/>
      <c r="C1118" s="1261"/>
      <c r="D1118" s="1782"/>
      <c r="E1118" s="1295"/>
      <c r="F1118" s="94"/>
      <c r="G1118" s="1260" t="s">
        <v>247</v>
      </c>
    </row>
    <row r="1119" spans="1:7" hidden="1" x14ac:dyDescent="0.25">
      <c r="A1119" s="129"/>
      <c r="B1119" s="1261"/>
      <c r="C1119" s="1261"/>
      <c r="D1119" s="1782"/>
      <c r="E1119" s="1295"/>
      <c r="F1119" s="94"/>
      <c r="G1119" s="1260" t="s">
        <v>247</v>
      </c>
    </row>
    <row r="1120" spans="1:7" hidden="1" x14ac:dyDescent="0.25">
      <c r="A1120" s="210"/>
      <c r="B1120" s="1262"/>
      <c r="C1120" s="1262"/>
      <c r="D1120" s="1843"/>
      <c r="E1120" s="1295"/>
      <c r="F1120" s="94"/>
      <c r="G1120" s="1260" t="s">
        <v>247</v>
      </c>
    </row>
    <row r="1121" spans="1:7" ht="15" hidden="1" customHeight="1" x14ac:dyDescent="0.25">
      <c r="A1121" s="66" t="s">
        <v>905</v>
      </c>
      <c r="B1121" s="1277"/>
      <c r="C1121" s="1277"/>
      <c r="D1121" s="1796" t="s">
        <v>906</v>
      </c>
      <c r="E1121" s="1295">
        <f ca="1">'Verification Report'!O1122</f>
        <v>0</v>
      </c>
      <c r="F1121" s="1313" t="str">
        <f>IF(LEN('Verification Report'!W1122)=0,"",'Verification Report'!W1122)</f>
        <v/>
      </c>
      <c r="G1121" s="1260" t="s">
        <v>247</v>
      </c>
    </row>
    <row r="1122" spans="1:7" hidden="1" x14ac:dyDescent="0.25">
      <c r="A1122" s="4"/>
      <c r="B1122" s="1277"/>
      <c r="C1122" s="1277"/>
      <c r="D1122" s="1796"/>
      <c r="E1122" s="1295"/>
      <c r="F1122" s="94"/>
      <c r="G1122" s="1260" t="s">
        <v>247</v>
      </c>
    </row>
    <row r="1123" spans="1:7" hidden="1" x14ac:dyDescent="0.25">
      <c r="A1123" s="4"/>
      <c r="B1123" s="1277"/>
      <c r="C1123" s="1277"/>
      <c r="D1123" s="1796"/>
      <c r="E1123" s="1295"/>
      <c r="F1123" s="94"/>
      <c r="G1123" s="1260" t="s">
        <v>247</v>
      </c>
    </row>
    <row r="1124" spans="1:7" hidden="1" x14ac:dyDescent="0.25">
      <c r="A1124" s="4"/>
      <c r="B1124" s="1277"/>
      <c r="C1124" s="1277"/>
      <c r="D1124" s="1796"/>
      <c r="E1124" s="1295"/>
      <c r="F1124" s="94"/>
      <c r="G1124" s="1260" t="s">
        <v>247</v>
      </c>
    </row>
    <row r="1125" spans="1:7" hidden="1" x14ac:dyDescent="0.25">
      <c r="A1125" s="4"/>
      <c r="B1125" s="1277"/>
      <c r="C1125" s="1277"/>
      <c r="D1125" s="1796"/>
      <c r="E1125" s="1295"/>
      <c r="F1125" s="94"/>
      <c r="G1125" s="1260" t="s">
        <v>247</v>
      </c>
    </row>
    <row r="1126" spans="1:7" hidden="1" x14ac:dyDescent="0.25">
      <c r="A1126" s="4"/>
      <c r="B1126" s="1277"/>
      <c r="C1126" s="530" t="s">
        <v>121</v>
      </c>
      <c r="D1126" s="1534" t="s">
        <v>3480</v>
      </c>
      <c r="E1126" s="1295"/>
      <c r="F1126" s="94"/>
      <c r="G1126" s="1260" t="s">
        <v>247</v>
      </c>
    </row>
    <row r="1127" spans="1:7" hidden="1" x14ac:dyDescent="0.25">
      <c r="A1127" s="4"/>
      <c r="B1127" s="1277"/>
      <c r="C1127" s="530" t="s">
        <v>122</v>
      </c>
      <c r="D1127" s="1534" t="s">
        <v>3479</v>
      </c>
      <c r="E1127" s="1295"/>
      <c r="F1127" s="94"/>
      <c r="G1127" s="1260" t="s">
        <v>247</v>
      </c>
    </row>
    <row r="1128" spans="1:7" hidden="1" x14ac:dyDescent="0.25">
      <c r="A1128" s="210"/>
      <c r="B1128" s="1262"/>
      <c r="C1128" s="551" t="s">
        <v>123</v>
      </c>
      <c r="D1128" s="279" t="s">
        <v>3478</v>
      </c>
      <c r="E1128" s="1295"/>
      <c r="F1128" s="94"/>
      <c r="G1128" s="1260" t="s">
        <v>247</v>
      </c>
    </row>
    <row r="1129" spans="1:7" ht="15" hidden="1" customHeight="1" x14ac:dyDescent="0.25">
      <c r="A1129" s="510" t="s">
        <v>907</v>
      </c>
      <c r="B1129" s="1261"/>
      <c r="C1129" s="94"/>
      <c r="D1129" s="1782" t="s">
        <v>908</v>
      </c>
      <c r="E1129" s="1296"/>
      <c r="F1129" s="1313" t="str">
        <f>IF(LEN('Verification Report'!W1130)=0,"",'Verification Report'!W1130)</f>
        <v/>
      </c>
      <c r="G1129" s="1260" t="s">
        <v>247</v>
      </c>
    </row>
    <row r="1130" spans="1:7" hidden="1" x14ac:dyDescent="0.25">
      <c r="A1130" s="129"/>
      <c r="B1130" s="1261"/>
      <c r="C1130" s="1261"/>
      <c r="D1130" s="1782"/>
      <c r="E1130" s="1296"/>
      <c r="F1130" s="94"/>
      <c r="G1130" s="1260" t="s">
        <v>247</v>
      </c>
    </row>
    <row r="1131" spans="1:7" hidden="1" x14ac:dyDescent="0.25">
      <c r="A1131" s="129"/>
      <c r="B1131" s="1261"/>
      <c r="C1131" s="1261"/>
      <c r="D1131" s="1782"/>
      <c r="E1131" s="1296"/>
      <c r="F1131" s="94"/>
      <c r="G1131" s="1260" t="s">
        <v>247</v>
      </c>
    </row>
    <row r="1132" spans="1:7" hidden="1" x14ac:dyDescent="0.25">
      <c r="A1132" s="129"/>
      <c r="B1132" s="1261"/>
      <c r="C1132" s="1261"/>
      <c r="D1132" s="1782"/>
      <c r="E1132" s="1296"/>
      <c r="F1132" s="94"/>
      <c r="G1132" s="1260" t="s">
        <v>247</v>
      </c>
    </row>
    <row r="1133" spans="1:7" hidden="1" x14ac:dyDescent="0.25">
      <c r="A1133" s="129"/>
      <c r="B1133" s="1261"/>
      <c r="C1133" s="1261"/>
      <c r="D1133" s="1782"/>
      <c r="E1133" s="1296"/>
      <c r="F1133" s="94"/>
      <c r="G1133" s="1260" t="s">
        <v>247</v>
      </c>
    </row>
    <row r="1134" spans="1:7" hidden="1" x14ac:dyDescent="0.25">
      <c r="A1134" s="129"/>
      <c r="B1134" s="1261"/>
      <c r="C1134" s="1261"/>
      <c r="D1134" s="1782"/>
      <c r="E1134" s="1296"/>
      <c r="F1134" s="94"/>
      <c r="G1134" s="1260" t="s">
        <v>247</v>
      </c>
    </row>
    <row r="1135" spans="1:7" hidden="1" x14ac:dyDescent="0.25">
      <c r="A1135" s="129"/>
      <c r="B1135" s="1261"/>
      <c r="C1135" s="1261"/>
      <c r="D1135" s="1782"/>
      <c r="E1135" s="1296"/>
      <c r="F1135" s="94"/>
      <c r="G1135" s="1260" t="s">
        <v>247</v>
      </c>
    </row>
    <row r="1136" spans="1:7" hidden="1" x14ac:dyDescent="0.25">
      <c r="A1136" s="129"/>
      <c r="B1136" s="1261"/>
      <c r="C1136" s="1261"/>
      <c r="D1136" s="1782"/>
      <c r="E1136" s="1296"/>
      <c r="F1136" s="94"/>
      <c r="G1136" s="1260" t="s">
        <v>247</v>
      </c>
    </row>
    <row r="1137" spans="1:7" ht="15.75" hidden="1" thickBot="1" x14ac:dyDescent="0.3">
      <c r="A1137" s="240"/>
      <c r="B1137" s="1276"/>
      <c r="C1137" s="1276"/>
      <c r="D1137" s="1797"/>
      <c r="E1137" s="1294"/>
      <c r="F1137" s="94"/>
      <c r="G1137" s="1260" t="s">
        <v>247</v>
      </c>
    </row>
    <row r="1138" spans="1:7" hidden="1" x14ac:dyDescent="0.25">
      <c r="A1138" s="27">
        <v>703.3</v>
      </c>
      <c r="B1138" s="1277"/>
      <c r="C1138" s="1277"/>
      <c r="D1138" s="1563" t="s">
        <v>910</v>
      </c>
      <c r="E1138" s="1295"/>
      <c r="F1138" s="94"/>
      <c r="G1138" s="1260" t="s">
        <v>247</v>
      </c>
    </row>
    <row r="1139" spans="1:7" ht="15" hidden="1" customHeight="1" x14ac:dyDescent="0.25">
      <c r="A1139" s="66" t="s">
        <v>909</v>
      </c>
      <c r="B1139" s="1277"/>
      <c r="C1139" s="1277"/>
      <c r="D1139" s="1796" t="s">
        <v>911</v>
      </c>
      <c r="E1139" s="1295"/>
      <c r="F1139" s="94"/>
      <c r="G1139" s="1260" t="s">
        <v>247</v>
      </c>
    </row>
    <row r="1140" spans="1:7" hidden="1" x14ac:dyDescent="0.25">
      <c r="A1140" s="4"/>
      <c r="B1140" s="1277"/>
      <c r="C1140" s="1277"/>
      <c r="D1140" s="1796"/>
      <c r="E1140" s="1295"/>
      <c r="F1140" s="1313" t="str">
        <f>IF(LEN('Verification Report'!W1141)=0,"",'Verification Report'!W1141)</f>
        <v/>
      </c>
      <c r="G1140" s="1260" t="s">
        <v>247</v>
      </c>
    </row>
    <row r="1141" spans="1:7" hidden="1" x14ac:dyDescent="0.25">
      <c r="A1141" s="4"/>
      <c r="B1141" s="1277"/>
      <c r="C1141" s="1277"/>
      <c r="D1141" s="1796"/>
      <c r="E1141" s="1295"/>
      <c r="F1141" s="94"/>
      <c r="G1141" s="1260" t="s">
        <v>247</v>
      </c>
    </row>
    <row r="1142" spans="1:7" hidden="1" x14ac:dyDescent="0.25">
      <c r="A1142" s="4"/>
      <c r="B1142" s="1277"/>
      <c r="C1142" s="1277"/>
      <c r="D1142" s="1796"/>
      <c r="E1142" s="1295"/>
      <c r="F1142" s="94"/>
      <c r="G1142" s="1260" t="s">
        <v>247</v>
      </c>
    </row>
    <row r="1143" spans="1:7" hidden="1" x14ac:dyDescent="0.25">
      <c r="A1143" s="4"/>
      <c r="B1143" s="1277"/>
      <c r="C1143" s="1277"/>
      <c r="D1143" s="1796"/>
      <c r="E1143" s="1295"/>
      <c r="F1143" s="94"/>
      <c r="G1143" s="1260" t="s">
        <v>247</v>
      </c>
    </row>
    <row r="1144" spans="1:7" hidden="1" x14ac:dyDescent="0.25">
      <c r="A1144" s="4"/>
      <c r="B1144" s="1277"/>
      <c r="C1144" s="1277"/>
      <c r="D1144" s="1796"/>
      <c r="E1144" s="1295"/>
      <c r="F1144" s="94"/>
      <c r="G1144" s="1260" t="s">
        <v>247</v>
      </c>
    </row>
    <row r="1145" spans="1:7" hidden="1" x14ac:dyDescent="0.25">
      <c r="A1145" s="4"/>
      <c r="B1145" s="1277"/>
      <c r="C1145" s="1277"/>
      <c r="D1145" s="1796"/>
      <c r="E1145" s="1295"/>
      <c r="F1145" s="94"/>
      <c r="G1145" s="1260" t="s">
        <v>247</v>
      </c>
    </row>
    <row r="1146" spans="1:7" hidden="1" x14ac:dyDescent="0.25">
      <c r="A1146" s="4"/>
      <c r="B1146" s="1277"/>
      <c r="C1146" s="1277"/>
      <c r="D1146" s="1796"/>
      <c r="E1146" s="1295"/>
      <c r="F1146" s="94"/>
      <c r="G1146" s="1260" t="s">
        <v>247</v>
      </c>
    </row>
    <row r="1147" spans="1:7" hidden="1" x14ac:dyDescent="0.25">
      <c r="A1147" s="4"/>
      <c r="B1147" s="1277"/>
      <c r="C1147" s="1277"/>
      <c r="D1147" s="1796"/>
      <c r="E1147" s="1295"/>
      <c r="F1147" s="1313" t="str">
        <f>IF(LEN('Verification Report'!W1148)=0,"",'Verification Report'!W1148)</f>
        <v/>
      </c>
      <c r="G1147" s="1260" t="s">
        <v>247</v>
      </c>
    </row>
    <row r="1148" spans="1:7" ht="15" hidden="1" customHeight="1" x14ac:dyDescent="0.25">
      <c r="A1148" s="4"/>
      <c r="B1148" s="1277"/>
      <c r="C1148" s="1277"/>
      <c r="D1148" s="1898" t="s">
        <v>1101</v>
      </c>
      <c r="E1148" s="1295"/>
      <c r="F1148" s="94"/>
      <c r="G1148" s="1260" t="s">
        <v>247</v>
      </c>
    </row>
    <row r="1149" spans="1:7" hidden="1" x14ac:dyDescent="0.25">
      <c r="A1149" s="4"/>
      <c r="B1149" s="1277"/>
      <c r="C1149" s="1277"/>
      <c r="D1149" s="1898"/>
      <c r="E1149" s="1295"/>
      <c r="F1149" s="94"/>
      <c r="G1149" s="1260" t="s">
        <v>247</v>
      </c>
    </row>
    <row r="1150" spans="1:7" hidden="1" x14ac:dyDescent="0.25">
      <c r="A1150" s="4"/>
      <c r="B1150" s="1277"/>
      <c r="C1150" s="1277"/>
      <c r="D1150" s="1567" t="s">
        <v>912</v>
      </c>
      <c r="E1150" s="1295"/>
      <c r="F1150" s="94"/>
      <c r="G1150" s="1260" t="s">
        <v>247</v>
      </c>
    </row>
    <row r="1151" spans="1:7" hidden="1" x14ac:dyDescent="0.25">
      <c r="A1151" s="129"/>
      <c r="B1151" s="1261"/>
      <c r="C1151" s="1261"/>
      <c r="D1151" s="1578" t="s">
        <v>913</v>
      </c>
      <c r="E1151" s="1295"/>
      <c r="F1151" s="94"/>
      <c r="G1151" s="1260" t="s">
        <v>247</v>
      </c>
    </row>
    <row r="1152" spans="1:7" hidden="1" x14ac:dyDescent="0.25">
      <c r="A1152" s="210"/>
      <c r="B1152" s="1262"/>
      <c r="C1152" s="1262"/>
      <c r="D1152" s="541" t="s">
        <v>914</v>
      </c>
      <c r="E1152" s="1295"/>
      <c r="F1152" s="94"/>
      <c r="G1152" s="1260" t="s">
        <v>247</v>
      </c>
    </row>
    <row r="1153" spans="1:7" ht="15" hidden="1" customHeight="1" x14ac:dyDescent="0.25">
      <c r="A1153" s="510" t="s">
        <v>915</v>
      </c>
      <c r="B1153" s="1261"/>
      <c r="C1153" s="1261"/>
      <c r="D1153" s="1835" t="s">
        <v>4277</v>
      </c>
      <c r="E1153" s="1296">
        <f ca="1">'Verification Report'!O1154</f>
        <v>0</v>
      </c>
      <c r="F1153" s="1313" t="str">
        <f>IF(LEN('Verification Report'!W1154)=0,"",'Verification Report'!W1154)</f>
        <v/>
      </c>
      <c r="G1153" s="1260" t="s">
        <v>247</v>
      </c>
    </row>
    <row r="1154" spans="1:7" hidden="1" x14ac:dyDescent="0.25">
      <c r="A1154" s="129"/>
      <c r="B1154" s="1261"/>
      <c r="C1154" s="1261"/>
      <c r="D1154" s="1833"/>
      <c r="E1154" s="1296"/>
      <c r="F1154" s="94"/>
      <c r="G1154" s="1260" t="s">
        <v>247</v>
      </c>
    </row>
    <row r="1155" spans="1:7" hidden="1" x14ac:dyDescent="0.25">
      <c r="A1155" s="129"/>
      <c r="B1155" s="1261"/>
      <c r="C1155" s="1261"/>
      <c r="D1155" s="1833"/>
      <c r="E1155" s="1296"/>
      <c r="F1155" s="94"/>
      <c r="G1155" s="1260" t="s">
        <v>247</v>
      </c>
    </row>
    <row r="1156" spans="1:7" hidden="1" x14ac:dyDescent="0.25">
      <c r="A1156" s="129"/>
      <c r="B1156" s="1261"/>
      <c r="C1156" s="1261"/>
      <c r="D1156" s="1833"/>
      <c r="E1156" s="1296"/>
      <c r="F1156" s="94"/>
      <c r="G1156" s="1260" t="s">
        <v>247</v>
      </c>
    </row>
    <row r="1157" spans="1:7" hidden="1" x14ac:dyDescent="0.25">
      <c r="A1157" s="210"/>
      <c r="B1157" s="1262"/>
      <c r="C1157" s="1262"/>
      <c r="D1157" s="1834"/>
      <c r="E1157" s="1297"/>
      <c r="F1157" s="94"/>
      <c r="G1157" s="1260" t="s">
        <v>247</v>
      </c>
    </row>
    <row r="1158" spans="1:7" hidden="1" x14ac:dyDescent="0.25">
      <c r="A1158" s="66" t="s">
        <v>916</v>
      </c>
      <c r="B1158" s="1277"/>
      <c r="C1158" s="1277"/>
      <c r="D1158" s="1563" t="s">
        <v>917</v>
      </c>
      <c r="E1158" s="1295"/>
      <c r="F1158" s="94"/>
      <c r="G1158" s="1260" t="s">
        <v>247</v>
      </c>
    </row>
    <row r="1159" spans="1:7" hidden="1" x14ac:dyDescent="0.25">
      <c r="A1159" s="4"/>
      <c r="B1159" s="230" t="s">
        <v>256</v>
      </c>
      <c r="C1159" s="1277"/>
      <c r="D1159" s="1554" t="s">
        <v>918</v>
      </c>
      <c r="E1159" s="1295">
        <f ca="1">'Verification Report'!O1160</f>
        <v>0</v>
      </c>
      <c r="F1159" s="94"/>
      <c r="G1159" s="1260" t="s">
        <v>247</v>
      </c>
    </row>
    <row r="1160" spans="1:7" hidden="1" x14ac:dyDescent="0.25">
      <c r="A1160" s="4"/>
      <c r="B1160" s="230"/>
      <c r="C1160" s="1277"/>
      <c r="D1160" s="1554" t="s">
        <v>3770</v>
      </c>
      <c r="E1160" s="1295"/>
      <c r="F1160" s="1313" t="str">
        <f>IF(LEN('Verification Report'!W1161)=0,"",'Verification Report'!W1161)</f>
        <v/>
      </c>
      <c r="G1160" s="1260" t="s">
        <v>247</v>
      </c>
    </row>
    <row r="1161" spans="1:7" hidden="1" x14ac:dyDescent="0.25">
      <c r="A1161" s="4"/>
      <c r="B1161" s="230"/>
      <c r="C1161" s="1277"/>
      <c r="D1161" s="1554" t="s">
        <v>3771</v>
      </c>
      <c r="E1161" s="1295"/>
      <c r="F1161" s="94"/>
      <c r="G1161" s="1260" t="s">
        <v>247</v>
      </c>
    </row>
    <row r="1162" spans="1:7" hidden="1" x14ac:dyDescent="0.25">
      <c r="A1162" s="4"/>
      <c r="B1162" s="230"/>
      <c r="C1162" s="1277"/>
      <c r="D1162" s="1554" t="s">
        <v>3772</v>
      </c>
      <c r="E1162" s="1295"/>
      <c r="F1162" s="94"/>
      <c r="G1162" s="1260" t="s">
        <v>247</v>
      </c>
    </row>
    <row r="1163" spans="1:7" hidden="1" x14ac:dyDescent="0.25">
      <c r="A1163" s="4"/>
      <c r="B1163" s="230"/>
      <c r="C1163" s="1277"/>
      <c r="D1163" s="1554" t="s">
        <v>3773</v>
      </c>
      <c r="E1163" s="1295"/>
      <c r="F1163" s="94"/>
      <c r="G1163" s="1260" t="s">
        <v>247</v>
      </c>
    </row>
    <row r="1164" spans="1:7" hidden="1" x14ac:dyDescent="0.25">
      <c r="A1164" s="4"/>
      <c r="B1164" s="1262"/>
      <c r="C1164" s="1262"/>
      <c r="D1164" s="1536" t="s">
        <v>3774</v>
      </c>
      <c r="E1164" s="1297"/>
      <c r="F1164" s="94"/>
      <c r="G1164" s="1260" t="s">
        <v>247</v>
      </c>
    </row>
    <row r="1165" spans="1:7" hidden="1" x14ac:dyDescent="0.25">
      <c r="A1165" s="4"/>
      <c r="B1165" s="230" t="s">
        <v>258</v>
      </c>
      <c r="C1165" s="1277"/>
      <c r="D1165" s="1554" t="s">
        <v>919</v>
      </c>
      <c r="E1165" s="1295">
        <f ca="1">'Verification Report'!O1166</f>
        <v>0</v>
      </c>
      <c r="F1165" s="94"/>
      <c r="G1165" s="1260" t="s">
        <v>247</v>
      </c>
    </row>
    <row r="1166" spans="1:7" hidden="1" x14ac:dyDescent="0.25">
      <c r="A1166" s="4"/>
      <c r="B1166" s="230"/>
      <c r="C1166" s="1277"/>
      <c r="D1166" s="1554" t="s">
        <v>3775</v>
      </c>
      <c r="E1166" s="1295"/>
      <c r="F1166" s="1313" t="str">
        <f>IF(LEN('Verification Report'!W1167)=0,"",'Verification Report'!W1167)</f>
        <v/>
      </c>
      <c r="G1166" s="1260" t="s">
        <v>247</v>
      </c>
    </row>
    <row r="1167" spans="1:7" hidden="1" x14ac:dyDescent="0.25">
      <c r="A1167" s="4"/>
      <c r="B1167" s="1262"/>
      <c r="C1167" s="1262"/>
      <c r="D1167" s="1536" t="s">
        <v>3770</v>
      </c>
      <c r="E1167" s="1297"/>
      <c r="F1167" s="94"/>
      <c r="G1167" s="1260" t="s">
        <v>247</v>
      </c>
    </row>
    <row r="1168" spans="1:7" hidden="1" x14ac:dyDescent="0.25">
      <c r="A1168" s="4"/>
      <c r="B1168" s="230" t="s">
        <v>260</v>
      </c>
      <c r="C1168" s="1277"/>
      <c r="D1168" s="1554" t="s">
        <v>920</v>
      </c>
      <c r="E1168" s="1295">
        <f ca="1">'Verification Report'!O1169</f>
        <v>0</v>
      </c>
      <c r="F1168" s="94"/>
      <c r="G1168" s="1260" t="s">
        <v>247</v>
      </c>
    </row>
    <row r="1169" spans="1:7" hidden="1" x14ac:dyDescent="0.25">
      <c r="A1169" s="4"/>
      <c r="B1169" s="230"/>
      <c r="C1169" s="1277"/>
      <c r="D1169" s="1554" t="s">
        <v>3775</v>
      </c>
      <c r="E1169" s="1295"/>
      <c r="F1169" s="1313" t="str">
        <f>IF(LEN('Verification Report'!W1170)=0,"",'Verification Report'!W1170)</f>
        <v/>
      </c>
      <c r="G1169" s="1260" t="s">
        <v>247</v>
      </c>
    </row>
    <row r="1170" spans="1:7" hidden="1" x14ac:dyDescent="0.25">
      <c r="A1170" s="4"/>
      <c r="B1170" s="230"/>
      <c r="C1170" s="1277"/>
      <c r="D1170" s="1554" t="s">
        <v>3770</v>
      </c>
      <c r="E1170" s="1295"/>
      <c r="F1170" s="94"/>
      <c r="G1170" s="1260" t="s">
        <v>247</v>
      </c>
    </row>
    <row r="1171" spans="1:7" hidden="1" x14ac:dyDescent="0.25">
      <c r="A1171" s="4"/>
      <c r="B1171" s="230"/>
      <c r="C1171" s="1277"/>
      <c r="D1171" s="1554" t="s">
        <v>3772</v>
      </c>
      <c r="E1171" s="1295"/>
      <c r="F1171" s="94"/>
      <c r="G1171" s="1260" t="s">
        <v>247</v>
      </c>
    </row>
    <row r="1172" spans="1:7" hidden="1" x14ac:dyDescent="0.25">
      <c r="A1172" s="4"/>
      <c r="B1172" s="1262"/>
      <c r="C1172" s="1262"/>
      <c r="D1172" s="1536" t="s">
        <v>3773</v>
      </c>
      <c r="E1172" s="1297"/>
      <c r="F1172" s="94"/>
      <c r="G1172" s="1260" t="s">
        <v>247</v>
      </c>
    </row>
    <row r="1173" spans="1:7" hidden="1" x14ac:dyDescent="0.25">
      <c r="A1173" s="4"/>
      <c r="B1173" s="230" t="s">
        <v>269</v>
      </c>
      <c r="C1173" s="1277"/>
      <c r="D1173" s="1554" t="s">
        <v>921</v>
      </c>
      <c r="E1173" s="1295">
        <f ca="1">'Verification Report'!O1174</f>
        <v>0</v>
      </c>
      <c r="F1173" s="94"/>
      <c r="G1173" s="1260" t="s">
        <v>247</v>
      </c>
    </row>
    <row r="1174" spans="1:7" hidden="1" x14ac:dyDescent="0.25">
      <c r="A1174" s="4"/>
      <c r="B1174" s="230"/>
      <c r="C1174" s="1277"/>
      <c r="D1174" s="1554" t="s">
        <v>3775</v>
      </c>
      <c r="E1174" s="1295"/>
      <c r="F1174" s="1313" t="str">
        <f>IF(LEN('Verification Report'!W1175)=0,"",'Verification Report'!W1175)</f>
        <v/>
      </c>
      <c r="G1174" s="1260" t="s">
        <v>247</v>
      </c>
    </row>
    <row r="1175" spans="1:7" hidden="1" x14ac:dyDescent="0.25">
      <c r="A1175" s="210"/>
      <c r="B1175" s="1262"/>
      <c r="C1175" s="1262"/>
      <c r="D1175" s="1536" t="s">
        <v>3770</v>
      </c>
      <c r="E1175" s="1295"/>
      <c r="F1175" s="94"/>
      <c r="G1175" s="1260" t="s">
        <v>247</v>
      </c>
    </row>
    <row r="1176" spans="1:7" ht="15" hidden="1" customHeight="1" x14ac:dyDescent="0.25">
      <c r="A1176" s="66" t="s">
        <v>922</v>
      </c>
      <c r="B1176" s="1277"/>
      <c r="C1176" s="1277"/>
      <c r="D1176" s="1796" t="s">
        <v>923</v>
      </c>
      <c r="E1176" s="1295"/>
      <c r="F1176" s="94"/>
      <c r="G1176" s="1260" t="s">
        <v>247</v>
      </c>
    </row>
    <row r="1177" spans="1:7" hidden="1" x14ac:dyDescent="0.25">
      <c r="A1177" s="4"/>
      <c r="B1177" s="1277"/>
      <c r="C1177" s="1277"/>
      <c r="D1177" s="1796"/>
      <c r="E1177" s="1295"/>
      <c r="F1177" s="94"/>
      <c r="G1177" s="1260" t="s">
        <v>247</v>
      </c>
    </row>
    <row r="1178" spans="1:7" hidden="1" x14ac:dyDescent="0.25">
      <c r="A1178" s="4"/>
      <c r="B1178" s="1277"/>
      <c r="C1178" s="1277"/>
      <c r="D1178" s="1796"/>
      <c r="E1178" s="1295"/>
      <c r="F1178" s="94"/>
      <c r="G1178" s="1260" t="s">
        <v>247</v>
      </c>
    </row>
    <row r="1179" spans="1:7" hidden="1" x14ac:dyDescent="0.25">
      <c r="A1179" s="4"/>
      <c r="B1179" s="230" t="s">
        <v>256</v>
      </c>
      <c r="C1179" s="1277"/>
      <c r="D1179" s="1540" t="s">
        <v>3481</v>
      </c>
      <c r="E1179" s="1295">
        <f ca="1">'Verification Report'!O1180</f>
        <v>0</v>
      </c>
      <c r="F1179" s="94"/>
      <c r="G1179" s="1260" t="s">
        <v>247</v>
      </c>
    </row>
    <row r="1180" spans="1:7" hidden="1" x14ac:dyDescent="0.25">
      <c r="A1180" s="4"/>
      <c r="B1180" s="230"/>
      <c r="C1180" s="1277"/>
      <c r="D1180" s="1554" t="s">
        <v>3786</v>
      </c>
      <c r="E1180" s="1295"/>
      <c r="F1180" s="1313" t="str">
        <f>IF(LEN('Verification Report'!W1181)=0,"",'Verification Report'!W1181)</f>
        <v/>
      </c>
      <c r="G1180" s="1260" t="s">
        <v>247</v>
      </c>
    </row>
    <row r="1181" spans="1:7" hidden="1" x14ac:dyDescent="0.25">
      <c r="A1181" s="4"/>
      <c r="B1181" s="230"/>
      <c r="C1181" s="1277"/>
      <c r="D1181" s="1554" t="s">
        <v>3787</v>
      </c>
      <c r="E1181" s="1295"/>
      <c r="F1181" s="94"/>
      <c r="G1181" s="1260" t="s">
        <v>247</v>
      </c>
    </row>
    <row r="1182" spans="1:7" hidden="1" x14ac:dyDescent="0.25">
      <c r="A1182" s="4"/>
      <c r="B1182" s="230"/>
      <c r="C1182" s="1277"/>
      <c r="D1182" s="1554" t="s">
        <v>3788</v>
      </c>
      <c r="E1182" s="1295"/>
      <c r="F1182" s="94"/>
      <c r="G1182" s="1260" t="s">
        <v>247</v>
      </c>
    </row>
    <row r="1183" spans="1:7" hidden="1" x14ac:dyDescent="0.25">
      <c r="A1183" s="4"/>
      <c r="B1183" s="230"/>
      <c r="C1183" s="1277"/>
      <c r="D1183" s="1554" t="s">
        <v>3789</v>
      </c>
      <c r="E1183" s="1295"/>
      <c r="F1183" s="94"/>
      <c r="G1183" s="1260" t="s">
        <v>247</v>
      </c>
    </row>
    <row r="1184" spans="1:7" hidden="1" x14ac:dyDescent="0.25">
      <c r="B1184" s="530"/>
      <c r="C1184" s="1262"/>
      <c r="D1184" s="1536" t="s">
        <v>4278</v>
      </c>
      <c r="E1184" s="1297"/>
      <c r="F1184" s="94"/>
      <c r="G1184" s="1260" t="s">
        <v>247</v>
      </c>
    </row>
    <row r="1185" spans="1:7" hidden="1" x14ac:dyDescent="0.25">
      <c r="B1185" s="667" t="s">
        <v>258</v>
      </c>
      <c r="C1185" s="667"/>
      <c r="D1185" s="1545" t="s">
        <v>4868</v>
      </c>
      <c r="E1185" s="1270">
        <f ca="1">'Verification Report'!O1186</f>
        <v>0</v>
      </c>
      <c r="F1185" s="1313" t="str">
        <f>IF(LEN('Verification Report'!W1186)=0,"",'Verification Report'!W1186)</f>
        <v/>
      </c>
      <c r="G1185" s="1260" t="s">
        <v>247</v>
      </c>
    </row>
    <row r="1186" spans="1:7" hidden="1" x14ac:dyDescent="0.25">
      <c r="B1186" s="684"/>
      <c r="C1186" s="684"/>
      <c r="D1186" s="1544"/>
      <c r="E1186" s="1267"/>
      <c r="F1186" s="94"/>
      <c r="G1186" s="1260" t="s">
        <v>247</v>
      </c>
    </row>
    <row r="1187" spans="1:7" hidden="1" x14ac:dyDescent="0.25">
      <c r="A1187" s="210"/>
      <c r="B1187" s="530" t="s">
        <v>260</v>
      </c>
      <c r="C1187" s="1262"/>
      <c r="D1187" s="1534" t="s">
        <v>3790</v>
      </c>
      <c r="E1187" s="1297">
        <f ca="1">'Verification Report'!O1188</f>
        <v>0</v>
      </c>
      <c r="F1187" s="1313" t="str">
        <f>IF(LEN('Verification Report'!W1188)=0,"",'Verification Report'!W1188)</f>
        <v/>
      </c>
      <c r="G1187" s="1260" t="s">
        <v>247</v>
      </c>
    </row>
    <row r="1188" spans="1:7" ht="15" hidden="1" customHeight="1" x14ac:dyDescent="0.25">
      <c r="A1188" s="66" t="s">
        <v>924</v>
      </c>
      <c r="B1188" s="1277"/>
      <c r="C1188" s="1277"/>
      <c r="D1188" s="1884" t="s">
        <v>925</v>
      </c>
      <c r="E1188" s="1295"/>
      <c r="F1188" s="94"/>
      <c r="G1188" s="1260" t="s">
        <v>247</v>
      </c>
    </row>
    <row r="1189" spans="1:7" hidden="1" x14ac:dyDescent="0.25">
      <c r="A1189" s="4"/>
      <c r="B1189" s="1277"/>
      <c r="C1189" s="1277"/>
      <c r="D1189" s="1884"/>
      <c r="E1189" s="1295"/>
      <c r="F1189" s="94"/>
      <c r="G1189" s="1260" t="s">
        <v>247</v>
      </c>
    </row>
    <row r="1190" spans="1:7" hidden="1" x14ac:dyDescent="0.25">
      <c r="A1190" s="4"/>
      <c r="B1190" s="1277"/>
      <c r="C1190" s="1277"/>
      <c r="D1190" s="1884"/>
      <c r="E1190" s="1295"/>
      <c r="F1190" s="94"/>
      <c r="G1190" s="1260" t="s">
        <v>247</v>
      </c>
    </row>
    <row r="1191" spans="1:7" hidden="1" x14ac:dyDescent="0.25">
      <c r="A1191" s="4"/>
      <c r="B1191" s="230" t="s">
        <v>256</v>
      </c>
      <c r="C1191" s="1277"/>
      <c r="D1191" s="1540" t="s">
        <v>3799</v>
      </c>
      <c r="E1191" s="1295">
        <f ca="1">'Verification Report'!O1192</f>
        <v>0</v>
      </c>
      <c r="F1191" s="94"/>
      <c r="G1191" s="1260" t="s">
        <v>247</v>
      </c>
    </row>
    <row r="1192" spans="1:7" hidden="1" x14ac:dyDescent="0.25">
      <c r="A1192" s="4"/>
      <c r="B1192" s="230"/>
      <c r="C1192" s="1277"/>
      <c r="D1192" s="1554" t="s">
        <v>3793</v>
      </c>
      <c r="E1192" s="1295"/>
      <c r="F1192" s="1313" t="str">
        <f>IF(LEN('Verification Report'!W1193)=0,"",'Verification Report'!W1193)</f>
        <v/>
      </c>
      <c r="G1192" s="1260" t="s">
        <v>247</v>
      </c>
    </row>
    <row r="1193" spans="1:7" hidden="1" x14ac:dyDescent="0.25">
      <c r="A1193" s="4"/>
      <c r="B1193" s="230"/>
      <c r="C1193" s="1277"/>
      <c r="D1193" s="1554" t="s">
        <v>3794</v>
      </c>
      <c r="E1193" s="1295"/>
      <c r="F1193" s="94"/>
      <c r="G1193" s="1260" t="s">
        <v>247</v>
      </c>
    </row>
    <row r="1194" spans="1:7" hidden="1" x14ac:dyDescent="0.25">
      <c r="A1194" s="4"/>
      <c r="B1194" s="230"/>
      <c r="C1194" s="1277"/>
      <c r="D1194" s="1554" t="s">
        <v>3795</v>
      </c>
      <c r="E1194" s="1295"/>
      <c r="F1194" s="94"/>
      <c r="G1194" s="1260" t="s">
        <v>247</v>
      </c>
    </row>
    <row r="1195" spans="1:7" hidden="1" x14ac:dyDescent="0.25">
      <c r="A1195" s="4"/>
      <c r="B1195" s="230"/>
      <c r="C1195" s="1277"/>
      <c r="D1195" s="1554" t="s">
        <v>3796</v>
      </c>
      <c r="E1195" s="1295"/>
      <c r="F1195" s="94"/>
      <c r="G1195" s="1260" t="s">
        <v>247</v>
      </c>
    </row>
    <row r="1196" spans="1:7" hidden="1" x14ac:dyDescent="0.25">
      <c r="D1196" s="1554" t="s">
        <v>4279</v>
      </c>
      <c r="E1196" s="1295"/>
      <c r="F1196" s="94"/>
      <c r="G1196" s="1260" t="s">
        <v>247</v>
      </c>
    </row>
    <row r="1197" spans="1:7" ht="15" hidden="1" customHeight="1" x14ac:dyDescent="0.25">
      <c r="A1197" s="4"/>
      <c r="B1197" s="94"/>
      <c r="C1197" s="518" t="s">
        <v>3798</v>
      </c>
      <c r="D1197" s="1793" t="s">
        <v>3797</v>
      </c>
      <c r="E1197" s="1296">
        <f ca="1">'Verification Report'!O1198</f>
        <v>0</v>
      </c>
      <c r="F1197" s="1313" t="str">
        <f>IF(LEN('Verification Report'!W1198)=0,"",'Verification Report'!W1198)</f>
        <v/>
      </c>
      <c r="G1197" s="1260" t="s">
        <v>247</v>
      </c>
    </row>
    <row r="1198" spans="1:7" hidden="1" x14ac:dyDescent="0.25">
      <c r="A1198" s="4"/>
      <c r="B1198" s="530"/>
      <c r="C1198" s="1262"/>
      <c r="D1198" s="1761"/>
      <c r="E1198" s="1297"/>
      <c r="F1198" s="94"/>
      <c r="G1198" s="1260" t="s">
        <v>247</v>
      </c>
    </row>
    <row r="1199" spans="1:7" hidden="1" x14ac:dyDescent="0.25">
      <c r="A1199" s="210"/>
      <c r="B1199" s="530" t="s">
        <v>258</v>
      </c>
      <c r="C1199" s="1262"/>
      <c r="D1199" s="1534" t="s">
        <v>3800</v>
      </c>
      <c r="E1199" s="1297">
        <f ca="1">'Verification Report'!O1200</f>
        <v>0</v>
      </c>
      <c r="F1199" s="1313" t="str">
        <f>IF(LEN('Verification Report'!W1200)=0,"",'Verification Report'!W1200)</f>
        <v/>
      </c>
      <c r="G1199" s="1260" t="s">
        <v>247</v>
      </c>
    </row>
    <row r="1200" spans="1:7" ht="15" hidden="1" customHeight="1" x14ac:dyDescent="0.25">
      <c r="A1200" s="533" t="s">
        <v>926</v>
      </c>
      <c r="B1200" s="1271"/>
      <c r="C1200" s="1271"/>
      <c r="D1200" s="1864" t="s">
        <v>927</v>
      </c>
      <c r="E1200" s="1293">
        <f ca="1">'Verification Report'!O1201</f>
        <v>0</v>
      </c>
      <c r="F1200" s="1313" t="str">
        <f>IF(LEN('Verification Report'!W1201)=0,"",'Verification Report'!W1201)</f>
        <v/>
      </c>
      <c r="G1200" s="1260" t="s">
        <v>247</v>
      </c>
    </row>
    <row r="1201" spans="1:7" hidden="1" x14ac:dyDescent="0.25">
      <c r="A1201" s="129"/>
      <c r="B1201" s="1261"/>
      <c r="C1201" s="1261"/>
      <c r="D1201" s="1782"/>
      <c r="E1201" s="1296"/>
      <c r="F1201" s="94"/>
      <c r="G1201" s="1260" t="s">
        <v>247</v>
      </c>
    </row>
    <row r="1202" spans="1:7" hidden="1" x14ac:dyDescent="0.25">
      <c r="A1202" s="129"/>
      <c r="B1202" s="1261"/>
      <c r="C1202" s="1261"/>
      <c r="D1202" s="1782"/>
      <c r="E1202" s="1296"/>
      <c r="F1202" s="94"/>
      <c r="G1202" s="1260" t="s">
        <v>247</v>
      </c>
    </row>
    <row r="1203" spans="1:7" hidden="1" x14ac:dyDescent="0.25">
      <c r="A1203" s="210"/>
      <c r="B1203" s="1262"/>
      <c r="C1203" s="1262"/>
      <c r="D1203" s="1536" t="s">
        <v>3802</v>
      </c>
      <c r="E1203" s="1297"/>
      <c r="F1203" s="94"/>
      <c r="G1203" s="1260" t="s">
        <v>247</v>
      </c>
    </row>
    <row r="1204" spans="1:7" ht="15" hidden="1" customHeight="1" x14ac:dyDescent="0.25">
      <c r="A1204" s="66" t="s">
        <v>928</v>
      </c>
      <c r="B1204" s="1277"/>
      <c r="C1204" s="1277"/>
      <c r="D1204" s="1884" t="s">
        <v>3836</v>
      </c>
      <c r="E1204" s="1295">
        <f ca="1">'Verification Report'!O1205</f>
        <v>0</v>
      </c>
      <c r="F1204" s="94"/>
      <c r="G1204" s="1260" t="s">
        <v>247</v>
      </c>
    </row>
    <row r="1205" spans="1:7" hidden="1" x14ac:dyDescent="0.25">
      <c r="A1205" s="4"/>
      <c r="B1205" s="1277"/>
      <c r="C1205" s="1277"/>
      <c r="D1205" s="1884"/>
      <c r="E1205" s="1295"/>
      <c r="F1205" s="1313" t="str">
        <f>IF(LEN('Verification Report'!W1206)=0,"",'Verification Report'!W1206)</f>
        <v/>
      </c>
      <c r="G1205" s="1260" t="s">
        <v>247</v>
      </c>
    </row>
    <row r="1206" spans="1:7" hidden="1" x14ac:dyDescent="0.25">
      <c r="A1206" s="4"/>
      <c r="B1206" s="1277"/>
      <c r="C1206" s="1277"/>
      <c r="D1206" s="1884"/>
      <c r="E1206" s="1295"/>
      <c r="F1206" s="94"/>
      <c r="G1206" s="1260" t="s">
        <v>247</v>
      </c>
    </row>
    <row r="1207" spans="1:7" hidden="1" x14ac:dyDescent="0.25">
      <c r="A1207" s="4"/>
      <c r="B1207" s="1277"/>
      <c r="C1207" s="1277"/>
      <c r="D1207" s="1554" t="s">
        <v>3803</v>
      </c>
      <c r="E1207" s="1295"/>
      <c r="F1207" s="94"/>
      <c r="G1207" s="1260" t="s">
        <v>247</v>
      </c>
    </row>
    <row r="1208" spans="1:7" hidden="1" x14ac:dyDescent="0.25">
      <c r="A1208" s="4"/>
      <c r="B1208" s="1277"/>
      <c r="C1208" s="1277"/>
      <c r="D1208" s="1554" t="s">
        <v>3804</v>
      </c>
      <c r="E1208" s="1295"/>
      <c r="F1208" s="94"/>
      <c r="G1208" s="1260" t="s">
        <v>247</v>
      </c>
    </row>
    <row r="1209" spans="1:7" hidden="1" x14ac:dyDescent="0.25">
      <c r="A1209" s="210"/>
      <c r="B1209" s="1262"/>
      <c r="C1209" s="1262"/>
      <c r="D1209" s="1536" t="s">
        <v>3805</v>
      </c>
      <c r="E1209" s="1297"/>
      <c r="F1209" s="94"/>
      <c r="G1209" s="1260" t="s">
        <v>247</v>
      </c>
    </row>
    <row r="1210" spans="1:7" hidden="1" x14ac:dyDescent="0.25">
      <c r="A1210" s="66" t="s">
        <v>929</v>
      </c>
      <c r="B1210" s="1277"/>
      <c r="C1210" s="1277"/>
      <c r="D1210" s="1563" t="s">
        <v>930</v>
      </c>
      <c r="E1210" s="1295">
        <f ca="1">'Verification Report'!O1211</f>
        <v>0</v>
      </c>
      <c r="F1210" s="1313" t="str">
        <f>IF(LEN('Verification Report'!W1211)=0,"",'Verification Report'!W1211)</f>
        <v/>
      </c>
      <c r="G1210" s="1260" t="s">
        <v>247</v>
      </c>
    </row>
    <row r="1211" spans="1:7" hidden="1" x14ac:dyDescent="0.25">
      <c r="A1211" s="4"/>
      <c r="B1211" s="1277"/>
      <c r="C1211" s="1277"/>
      <c r="D1211" s="1573" t="s">
        <v>931</v>
      </c>
      <c r="E1211" s="1295"/>
      <c r="F1211" s="94"/>
      <c r="G1211" s="1260" t="s">
        <v>247</v>
      </c>
    </row>
    <row r="1212" spans="1:7" ht="15" hidden="1" customHeight="1" x14ac:dyDescent="0.25">
      <c r="A1212" s="4"/>
      <c r="B1212" s="1277"/>
      <c r="C1212" s="1277"/>
      <c r="D1212" s="1884" t="s">
        <v>4280</v>
      </c>
      <c r="E1212" s="1295"/>
      <c r="F1212" s="1313" t="str">
        <f>IF(LEN('Verification Report'!W1213)=0,"",'Verification Report'!W1213)</f>
        <v/>
      </c>
      <c r="G1212" s="1260" t="s">
        <v>247</v>
      </c>
    </row>
    <row r="1213" spans="1:7" hidden="1" x14ac:dyDescent="0.25">
      <c r="A1213" s="4"/>
      <c r="B1213" s="1277"/>
      <c r="C1213" s="1277"/>
      <c r="D1213" s="1884"/>
      <c r="E1213" s="1295"/>
      <c r="F1213" s="94"/>
      <c r="G1213" s="1260" t="s">
        <v>247</v>
      </c>
    </row>
    <row r="1214" spans="1:7" hidden="1" x14ac:dyDescent="0.25">
      <c r="A1214" s="4"/>
      <c r="B1214" s="1277"/>
      <c r="C1214" s="1277"/>
      <c r="D1214" s="1884"/>
      <c r="E1214" s="1295"/>
      <c r="F1214" s="94"/>
      <c r="G1214" s="1260" t="s">
        <v>247</v>
      </c>
    </row>
    <row r="1215" spans="1:7" hidden="1" x14ac:dyDescent="0.25">
      <c r="A1215" s="4"/>
      <c r="B1215" s="1277"/>
      <c r="C1215" s="1277"/>
      <c r="D1215" s="1884"/>
      <c r="E1215" s="1295"/>
      <c r="F1215" s="94"/>
      <c r="G1215" s="1260" t="s">
        <v>247</v>
      </c>
    </row>
    <row r="1216" spans="1:7" hidden="1" x14ac:dyDescent="0.25">
      <c r="A1216" s="210"/>
      <c r="B1216" s="1262"/>
      <c r="C1216" s="1262"/>
      <c r="D1216" s="1561" t="s">
        <v>3778</v>
      </c>
      <c r="E1216" s="1297"/>
      <c r="F1216" s="94"/>
      <c r="G1216" s="1260" t="s">
        <v>247</v>
      </c>
    </row>
    <row r="1217" spans="1:7" ht="15" hidden="1" customHeight="1" x14ac:dyDescent="0.25">
      <c r="A1217" s="533" t="s">
        <v>932</v>
      </c>
      <c r="B1217" s="1271"/>
      <c r="C1217" s="1271"/>
      <c r="D1217" s="1887" t="s">
        <v>4281</v>
      </c>
      <c r="E1217" s="1293">
        <f ca="1">'Verification Report'!O1218</f>
        <v>0</v>
      </c>
      <c r="F1217" s="1313" t="str">
        <f>IF(LEN('Verification Report'!W1218)=0,"",'Verification Report'!W1218)</f>
        <v/>
      </c>
      <c r="G1217" s="1260" t="s">
        <v>247</v>
      </c>
    </row>
    <row r="1218" spans="1:7" hidden="1" x14ac:dyDescent="0.25">
      <c r="A1218" s="129"/>
      <c r="B1218" s="1261"/>
      <c r="C1218" s="1261"/>
      <c r="D1218" s="1884"/>
      <c r="E1218" s="1296"/>
      <c r="F1218" s="94"/>
      <c r="G1218" s="1260" t="s">
        <v>247</v>
      </c>
    </row>
    <row r="1219" spans="1:7" hidden="1" x14ac:dyDescent="0.25">
      <c r="A1219" s="129"/>
      <c r="B1219" s="1261"/>
      <c r="C1219" s="1261"/>
      <c r="D1219" s="1560" t="s">
        <v>931</v>
      </c>
      <c r="E1219" s="1296"/>
      <c r="F1219" s="94"/>
      <c r="G1219" s="1260" t="s">
        <v>247</v>
      </c>
    </row>
    <row r="1220" spans="1:7" ht="15" hidden="1" customHeight="1" x14ac:dyDescent="0.25">
      <c r="A1220" s="129"/>
      <c r="B1220" s="1261"/>
      <c r="C1220" s="1261"/>
      <c r="D1220" s="1855" t="s">
        <v>3777</v>
      </c>
      <c r="E1220" s="1296"/>
      <c r="F1220" s="94"/>
      <c r="G1220" s="1260" t="s">
        <v>247</v>
      </c>
    </row>
    <row r="1221" spans="1:7" ht="15.75" hidden="1" thickBot="1" x14ac:dyDescent="0.3">
      <c r="A1221" s="240"/>
      <c r="B1221" s="1276"/>
      <c r="C1221" s="1276"/>
      <c r="D1221" s="2101"/>
      <c r="E1221" s="1294"/>
      <c r="F1221" s="94"/>
      <c r="G1221" s="1260" t="s">
        <v>247</v>
      </c>
    </row>
    <row r="1222" spans="1:7" hidden="1" x14ac:dyDescent="0.25">
      <c r="A1222" s="64">
        <v>703.4</v>
      </c>
      <c r="B1222" s="1277"/>
      <c r="C1222" s="1277"/>
      <c r="D1222" s="1563" t="s">
        <v>933</v>
      </c>
      <c r="E1222" s="1295"/>
      <c r="F1222" s="94"/>
      <c r="G1222" s="1260" t="s">
        <v>247</v>
      </c>
    </row>
    <row r="1223" spans="1:7" hidden="1" x14ac:dyDescent="0.25">
      <c r="A1223" s="130" t="s">
        <v>934</v>
      </c>
      <c r="B1223" s="1261"/>
      <c r="C1223" s="1261"/>
      <c r="D1223" s="1564" t="s">
        <v>935</v>
      </c>
      <c r="E1223" s="1296">
        <f ca="1">'Verification Report'!O1224</f>
        <v>0</v>
      </c>
      <c r="F1223" s="1313" t="str">
        <f>IF(LEN('Verification Report'!W1224)=0,"",'Verification Report'!W1224)</f>
        <v/>
      </c>
      <c r="G1223" s="1260" t="s">
        <v>247</v>
      </c>
    </row>
    <row r="1224" spans="1:7" hidden="1" x14ac:dyDescent="0.25">
      <c r="A1224" s="210"/>
      <c r="B1224" s="1262"/>
      <c r="C1224" s="1262"/>
      <c r="D1224" s="1561" t="s">
        <v>936</v>
      </c>
      <c r="E1224" s="1297"/>
      <c r="F1224" s="94"/>
      <c r="G1224" s="1260" t="s">
        <v>247</v>
      </c>
    </row>
    <row r="1225" spans="1:7" hidden="1" x14ac:dyDescent="0.25">
      <c r="A1225" s="192" t="s">
        <v>937</v>
      </c>
      <c r="B1225" s="1271"/>
      <c r="C1225" s="1271"/>
      <c r="D1225" s="1566" t="s">
        <v>938</v>
      </c>
      <c r="E1225" s="1293">
        <f ca="1">'Verification Report'!O1226</f>
        <v>0</v>
      </c>
      <c r="F1225" s="1313" t="str">
        <f>IF(LEN('Verification Report'!W1226)=0,"",'Verification Report'!W1226)</f>
        <v/>
      </c>
      <c r="G1225" s="1260" t="s">
        <v>247</v>
      </c>
    </row>
    <row r="1226" spans="1:7" hidden="1" x14ac:dyDescent="0.25">
      <c r="A1226" s="210"/>
      <c r="B1226" s="1262"/>
      <c r="C1226" s="1262"/>
      <c r="D1226" s="1561" t="s">
        <v>936</v>
      </c>
      <c r="E1226" s="1297"/>
      <c r="F1226" s="94"/>
      <c r="G1226" s="1260" t="s">
        <v>247</v>
      </c>
    </row>
    <row r="1227" spans="1:7" hidden="1" x14ac:dyDescent="0.25">
      <c r="A1227" s="64" t="s">
        <v>939</v>
      </c>
      <c r="B1227" s="1277"/>
      <c r="C1227" s="1277"/>
      <c r="D1227" s="1563" t="s">
        <v>940</v>
      </c>
      <c r="E1227" s="1295">
        <f ca="1">'Verification Report'!O1228</f>
        <v>0</v>
      </c>
      <c r="F1227" s="94"/>
      <c r="G1227" s="1260" t="s">
        <v>247</v>
      </c>
    </row>
    <row r="1228" spans="1:7" hidden="1" x14ac:dyDescent="0.25">
      <c r="A1228" s="4"/>
      <c r="B1228" s="530" t="s">
        <v>256</v>
      </c>
      <c r="C1228" s="1262"/>
      <c r="D1228" s="1536" t="s">
        <v>941</v>
      </c>
      <c r="E1228" s="1295"/>
      <c r="F1228" s="1313" t="str">
        <f>IF(LEN('Verification Report'!W1229)=0,"",'Verification Report'!W1229)</f>
        <v/>
      </c>
      <c r="G1228" s="1260" t="s">
        <v>247</v>
      </c>
    </row>
    <row r="1229" spans="1:7" ht="15" hidden="1" customHeight="1" x14ac:dyDescent="0.25">
      <c r="A1229" s="4"/>
      <c r="B1229" s="549" t="s">
        <v>258</v>
      </c>
      <c r="C1229" s="1271"/>
      <c r="D1229" s="1778" t="s">
        <v>942</v>
      </c>
      <c r="E1229" s="1295"/>
      <c r="F1229" s="1313" t="str">
        <f>IF(LEN('Verification Report'!W1230)=0,"",'Verification Report'!W1230)</f>
        <v/>
      </c>
      <c r="G1229" s="1260" t="s">
        <v>247</v>
      </c>
    </row>
    <row r="1230" spans="1:7" hidden="1" x14ac:dyDescent="0.25">
      <c r="A1230" s="4"/>
      <c r="B1230" s="1262"/>
      <c r="C1230" s="1262"/>
      <c r="D1230" s="1755"/>
      <c r="E1230" s="1295"/>
      <c r="F1230" s="94"/>
      <c r="G1230" s="1260" t="s">
        <v>247</v>
      </c>
    </row>
    <row r="1231" spans="1:7" hidden="1" x14ac:dyDescent="0.25">
      <c r="A1231" s="129"/>
      <c r="B1231" s="518" t="s">
        <v>260</v>
      </c>
      <c r="C1231" s="1261"/>
      <c r="D1231" s="1546" t="s">
        <v>943</v>
      </c>
      <c r="E1231" s="1295"/>
      <c r="F1231" s="1313" t="str">
        <f>IF(LEN('Verification Report'!W1232)=0,"",'Verification Report'!W1232)</f>
        <v/>
      </c>
      <c r="G1231" s="1260" t="s">
        <v>247</v>
      </c>
    </row>
    <row r="1232" spans="1:7" hidden="1" x14ac:dyDescent="0.25">
      <c r="A1232" s="210"/>
      <c r="B1232" s="1262"/>
      <c r="C1232" s="1262"/>
      <c r="D1232" s="1561" t="s">
        <v>936</v>
      </c>
      <c r="E1232" s="1295"/>
      <c r="F1232" s="94"/>
      <c r="G1232" s="1260" t="s">
        <v>247</v>
      </c>
    </row>
    <row r="1233" spans="1:7" ht="15" hidden="1" customHeight="1" x14ac:dyDescent="0.25">
      <c r="A1233" s="130" t="s">
        <v>944</v>
      </c>
      <c r="B1233" s="1261"/>
      <c r="C1233" s="1261"/>
      <c r="D1233" s="1782" t="s">
        <v>945</v>
      </c>
      <c r="E1233" s="1296">
        <f ca="1">'Verification Report'!O1234</f>
        <v>0</v>
      </c>
      <c r="F1233" s="1313" t="str">
        <f>IF(LEN('Verification Report'!W1234)=0,"",'Verification Report'!W1234)</f>
        <v/>
      </c>
      <c r="G1233" s="1260" t="s">
        <v>247</v>
      </c>
    </row>
    <row r="1234" spans="1:7" hidden="1" x14ac:dyDescent="0.25">
      <c r="A1234" s="129"/>
      <c r="B1234" s="1261"/>
      <c r="C1234" s="1261"/>
      <c r="D1234" s="1782"/>
      <c r="E1234" s="1296"/>
      <c r="F1234" s="94"/>
      <c r="G1234" s="1260" t="s">
        <v>247</v>
      </c>
    </row>
    <row r="1235" spans="1:7" hidden="1" x14ac:dyDescent="0.25">
      <c r="A1235" s="129"/>
      <c r="B1235" s="1261"/>
      <c r="C1235" s="1261"/>
      <c r="D1235" s="1782"/>
      <c r="E1235" s="1296"/>
      <c r="F1235" s="94"/>
      <c r="G1235" s="1260" t="s">
        <v>247</v>
      </c>
    </row>
    <row r="1236" spans="1:7" hidden="1" x14ac:dyDescent="0.25">
      <c r="A1236" s="129"/>
      <c r="B1236" s="1261"/>
      <c r="C1236" s="1261"/>
      <c r="D1236" s="1782"/>
      <c r="E1236" s="1296"/>
      <c r="F1236" s="94"/>
      <c r="G1236" s="1260" t="s">
        <v>247</v>
      </c>
    </row>
    <row r="1237" spans="1:7" hidden="1" x14ac:dyDescent="0.25">
      <c r="A1237" s="129"/>
      <c r="B1237" s="1261"/>
      <c r="C1237" s="1261"/>
      <c r="D1237" s="1782"/>
      <c r="E1237" s="1296"/>
      <c r="F1237" s="94"/>
      <c r="G1237" s="1260" t="s">
        <v>247</v>
      </c>
    </row>
    <row r="1238" spans="1:7" hidden="1" x14ac:dyDescent="0.25">
      <c r="A1238" s="129"/>
      <c r="B1238" s="1261"/>
      <c r="C1238" s="1261"/>
      <c r="D1238" s="1560" t="s">
        <v>946</v>
      </c>
      <c r="E1238" s="1296"/>
      <c r="F1238" s="94"/>
      <c r="G1238" s="1260" t="s">
        <v>247</v>
      </c>
    </row>
    <row r="1239" spans="1:7" hidden="1" x14ac:dyDescent="0.25">
      <c r="A1239" s="129"/>
      <c r="B1239" s="530" t="s">
        <v>256</v>
      </c>
      <c r="C1239" s="1262"/>
      <c r="D1239" s="1536" t="s">
        <v>3642</v>
      </c>
      <c r="E1239" s="1296"/>
      <c r="F1239" s="94"/>
      <c r="G1239" s="1260" t="s">
        <v>247</v>
      </c>
    </row>
    <row r="1240" spans="1:7" hidden="1" x14ac:dyDescent="0.25">
      <c r="A1240" s="129"/>
      <c r="B1240" s="550" t="s">
        <v>258</v>
      </c>
      <c r="C1240" s="280"/>
      <c r="D1240" s="280" t="s">
        <v>4838</v>
      </c>
      <c r="E1240" s="1296"/>
      <c r="F1240" s="94"/>
      <c r="G1240" s="1260" t="s">
        <v>247</v>
      </c>
    </row>
    <row r="1241" spans="1:7" ht="15.75" hidden="1" thickBot="1" x14ac:dyDescent="0.3">
      <c r="A1241" s="240"/>
      <c r="B1241" s="519" t="s">
        <v>260</v>
      </c>
      <c r="C1241" s="1276"/>
      <c r="D1241" s="1555" t="s">
        <v>3643</v>
      </c>
      <c r="E1241" s="1294"/>
      <c r="F1241" s="94"/>
      <c r="G1241" s="1260" t="s">
        <v>247</v>
      </c>
    </row>
    <row r="1242" spans="1:7" hidden="1" x14ac:dyDescent="0.25">
      <c r="A1242" s="64">
        <v>703.5</v>
      </c>
      <c r="B1242" s="1277"/>
      <c r="C1242" s="1277"/>
      <c r="D1242" s="1563" t="s">
        <v>947</v>
      </c>
      <c r="E1242" s="1295"/>
      <c r="F1242" s="94"/>
      <c r="G1242" s="1260" t="s">
        <v>247</v>
      </c>
    </row>
    <row r="1243" spans="1:7" hidden="1" x14ac:dyDescent="0.25">
      <c r="A1243" s="64" t="s">
        <v>948</v>
      </c>
      <c r="B1243" s="1277"/>
      <c r="C1243" s="1277"/>
      <c r="D1243" s="1563" t="s">
        <v>4282</v>
      </c>
      <c r="E1243" s="664"/>
      <c r="F1243" s="94"/>
      <c r="G1243" s="1260" t="s">
        <v>247</v>
      </c>
    </row>
    <row r="1244" spans="1:7" ht="15" hidden="1" customHeight="1" x14ac:dyDescent="0.25">
      <c r="A1244" s="4"/>
      <c r="B1244" s="1277"/>
      <c r="C1244" s="1277"/>
      <c r="D1244" s="1849" t="s">
        <v>4283</v>
      </c>
      <c r="E1244" s="664"/>
      <c r="F1244" s="1313" t="str">
        <f>IF(LEN('Verification Report'!W1245)=0,"",'Verification Report'!W1245)</f>
        <v/>
      </c>
      <c r="G1244" s="1260" t="s">
        <v>247</v>
      </c>
    </row>
    <row r="1245" spans="1:7" hidden="1" x14ac:dyDescent="0.25">
      <c r="A1245" s="4"/>
      <c r="B1245" s="1277"/>
      <c r="C1245" s="1277"/>
      <c r="D1245" s="1859"/>
      <c r="E1245" s="664"/>
      <c r="F1245" s="94"/>
      <c r="G1245" s="1260" t="s">
        <v>247</v>
      </c>
    </row>
    <row r="1246" spans="1:7" ht="15" hidden="1" customHeight="1" x14ac:dyDescent="0.25">
      <c r="A1246" s="4"/>
      <c r="B1246" s="1277"/>
      <c r="C1246" s="1277"/>
      <c r="D1246" s="1849" t="s">
        <v>4284</v>
      </c>
      <c r="E1246" s="664"/>
      <c r="F1246" s="94"/>
      <c r="G1246" s="1260" t="s">
        <v>247</v>
      </c>
    </row>
    <row r="1247" spans="1:7" hidden="1" x14ac:dyDescent="0.25">
      <c r="A1247" s="4"/>
      <c r="B1247" s="1277"/>
      <c r="C1247" s="1277"/>
      <c r="D1247" s="1859"/>
      <c r="E1247" s="664"/>
      <c r="F1247" s="94"/>
      <c r="G1247" s="1260" t="s">
        <v>247</v>
      </c>
    </row>
    <row r="1248" spans="1:7" ht="15" hidden="1" customHeight="1" x14ac:dyDescent="0.25">
      <c r="A1248" s="4"/>
      <c r="B1248" s="1277"/>
      <c r="C1248" s="1277"/>
      <c r="D1248" s="1804" t="s">
        <v>4285</v>
      </c>
      <c r="E1248" s="664"/>
      <c r="F1248" s="94"/>
      <c r="G1248" s="1260" t="s">
        <v>247</v>
      </c>
    </row>
    <row r="1249" spans="1:7" hidden="1" x14ac:dyDescent="0.25">
      <c r="A1249" s="4"/>
      <c r="B1249" s="1277"/>
      <c r="C1249" s="1277"/>
      <c r="D1249" s="1804"/>
      <c r="E1249" s="664"/>
      <c r="F1249" s="94"/>
      <c r="G1249" s="1260" t="s">
        <v>247</v>
      </c>
    </row>
    <row r="1250" spans="1:7" hidden="1" x14ac:dyDescent="0.25">
      <c r="A1250" s="4"/>
      <c r="B1250" s="230" t="s">
        <v>256</v>
      </c>
      <c r="C1250" s="1277"/>
      <c r="D1250" s="1554" t="s">
        <v>949</v>
      </c>
      <c r="E1250" s="1295"/>
      <c r="F1250" s="1313" t="str">
        <f>IF(LEN('Verification Report'!W1251)=0,"",'Verification Report'!W1251)</f>
        <v/>
      </c>
      <c r="G1250" s="1260" t="s">
        <v>247</v>
      </c>
    </row>
    <row r="1251" spans="1:7" ht="15" hidden="1" customHeight="1" x14ac:dyDescent="0.25">
      <c r="A1251" s="4"/>
      <c r="B1251" s="230"/>
      <c r="C1251" s="667" t="s">
        <v>121</v>
      </c>
      <c r="D1251" s="1787" t="s">
        <v>4286</v>
      </c>
      <c r="E1251" s="1270">
        <f ca="1">'Verification Report'!O1252</f>
        <v>0</v>
      </c>
      <c r="F1251" s="94"/>
      <c r="G1251" s="1260" t="s">
        <v>247</v>
      </c>
    </row>
    <row r="1252" spans="1:7" hidden="1" x14ac:dyDescent="0.25">
      <c r="A1252" s="4"/>
      <c r="B1252" s="230"/>
      <c r="C1252" s="667"/>
      <c r="D1252" s="1787"/>
      <c r="E1252" s="1270"/>
      <c r="F1252" s="1313" t="str">
        <f>IF(LEN('Verification Report'!W1253)=0,"",'Verification Report'!W1253)</f>
        <v/>
      </c>
      <c r="G1252" s="1260" t="s">
        <v>247</v>
      </c>
    </row>
    <row r="1253" spans="1:7" hidden="1" x14ac:dyDescent="0.25">
      <c r="A1253" s="4"/>
      <c r="B1253" s="230"/>
      <c r="C1253" s="139"/>
      <c r="D1253" s="1537" t="s">
        <v>5106</v>
      </c>
      <c r="E1253" s="1266"/>
      <c r="F1253" s="94"/>
      <c r="G1253" s="1260" t="s">
        <v>247</v>
      </c>
    </row>
    <row r="1254" spans="1:7" hidden="1" x14ac:dyDescent="0.25">
      <c r="A1254" s="4"/>
      <c r="B1254" s="230"/>
      <c r="C1254" s="669"/>
      <c r="D1254" s="1544" t="s">
        <v>5107</v>
      </c>
      <c r="E1254" s="1267"/>
      <c r="F1254" s="94"/>
      <c r="G1254" s="1260" t="s">
        <v>247</v>
      </c>
    </row>
    <row r="1255" spans="1:7" ht="15" hidden="1" customHeight="1" x14ac:dyDescent="0.25">
      <c r="A1255" s="4"/>
      <c r="B1255" s="230"/>
      <c r="C1255" s="668" t="s">
        <v>122</v>
      </c>
      <c r="D1255" s="1765" t="s">
        <v>4289</v>
      </c>
      <c r="E1255" s="1266">
        <f ca="1">'Verification Report'!O1256</f>
        <v>0</v>
      </c>
      <c r="F1255" s="94"/>
      <c r="G1255" s="1260" t="s">
        <v>247</v>
      </c>
    </row>
    <row r="1256" spans="1:7" hidden="1" x14ac:dyDescent="0.25">
      <c r="A1256" s="4"/>
      <c r="B1256" s="230"/>
      <c r="C1256" s="684"/>
      <c r="D1256" s="1786"/>
      <c r="E1256" s="1267"/>
      <c r="F1256" s="94"/>
      <c r="G1256" s="1260" t="s">
        <v>247</v>
      </c>
    </row>
    <row r="1257" spans="1:7" hidden="1" x14ac:dyDescent="0.25">
      <c r="A1257" s="4"/>
      <c r="B1257" s="230"/>
      <c r="C1257" s="667" t="s">
        <v>123</v>
      </c>
      <c r="D1257" s="1545" t="s">
        <v>4290</v>
      </c>
      <c r="E1257" s="1270">
        <f ca="1">'Verification Report'!O1258</f>
        <v>0</v>
      </c>
      <c r="F1257" s="94"/>
      <c r="G1257" s="1260" t="s">
        <v>247</v>
      </c>
    </row>
    <row r="1258" spans="1:7" hidden="1" x14ac:dyDescent="0.25">
      <c r="A1258" s="4"/>
      <c r="B1258" s="230"/>
      <c r="C1258" s="667"/>
      <c r="D1258" s="1545" t="s">
        <v>4291</v>
      </c>
      <c r="E1258" s="1270"/>
      <c r="F1258" s="94"/>
      <c r="G1258" s="1260" t="s">
        <v>247</v>
      </c>
    </row>
    <row r="1259" spans="1:7" hidden="1" x14ac:dyDescent="0.25">
      <c r="A1259" s="4"/>
      <c r="B1259" s="230"/>
      <c r="C1259" s="669"/>
      <c r="D1259" s="1544" t="s">
        <v>4292</v>
      </c>
      <c r="E1259" s="1267"/>
      <c r="F1259" s="94"/>
      <c r="G1259" s="1260" t="s">
        <v>247</v>
      </c>
    </row>
    <row r="1260" spans="1:7" ht="15" hidden="1" customHeight="1" x14ac:dyDescent="0.25">
      <c r="A1260" s="4"/>
      <c r="B1260" s="230"/>
      <c r="C1260" s="667" t="s">
        <v>401</v>
      </c>
      <c r="D1260" s="1787" t="s">
        <v>4293</v>
      </c>
      <c r="E1260" s="1270">
        <f ca="1">'Verification Report'!O1261</f>
        <v>0</v>
      </c>
      <c r="F1260" s="94"/>
      <c r="G1260" s="1260" t="s">
        <v>247</v>
      </c>
    </row>
    <row r="1261" spans="1:7" hidden="1" x14ac:dyDescent="0.25">
      <c r="A1261" s="4"/>
      <c r="B1261" s="230"/>
      <c r="C1261" s="667"/>
      <c r="D1261" s="1787"/>
      <c r="E1261" s="1270"/>
      <c r="F1261" s="94"/>
      <c r="G1261" s="1260" t="s">
        <v>247</v>
      </c>
    </row>
    <row r="1262" spans="1:7" hidden="1" x14ac:dyDescent="0.25">
      <c r="A1262" s="4"/>
      <c r="B1262" s="230"/>
      <c r="C1262" s="667"/>
      <c r="D1262" s="1787"/>
      <c r="E1262" s="1270"/>
      <c r="F1262" s="94"/>
      <c r="G1262" s="1260" t="s">
        <v>247</v>
      </c>
    </row>
    <row r="1263" spans="1:7" hidden="1" x14ac:dyDescent="0.25">
      <c r="A1263" s="4"/>
      <c r="B1263" s="230"/>
      <c r="C1263" s="139"/>
      <c r="D1263" s="1545" t="s">
        <v>4294</v>
      </c>
      <c r="E1263" s="1270"/>
      <c r="F1263" s="94"/>
      <c r="G1263" s="1260" t="s">
        <v>247</v>
      </c>
    </row>
    <row r="1264" spans="1:7" hidden="1" x14ac:dyDescent="0.25">
      <c r="A1264" s="4"/>
      <c r="B1264" s="230"/>
      <c r="C1264" s="684"/>
      <c r="D1264" s="1544" t="s">
        <v>4292</v>
      </c>
      <c r="E1264" s="1267"/>
      <c r="F1264" s="94"/>
      <c r="G1264" s="1260" t="s">
        <v>247</v>
      </c>
    </row>
    <row r="1265" spans="1:7" ht="15" hidden="1" customHeight="1" x14ac:dyDescent="0.25">
      <c r="A1265" s="4"/>
      <c r="B1265" s="1277"/>
      <c r="C1265" s="667" t="s">
        <v>539</v>
      </c>
      <c r="D1265" s="1787" t="s">
        <v>4295</v>
      </c>
      <c r="E1265" s="1270">
        <f ca="1">'Verification Report'!O1266</f>
        <v>0</v>
      </c>
      <c r="F1265" s="94"/>
      <c r="G1265" s="1260" t="s">
        <v>247</v>
      </c>
    </row>
    <row r="1266" spans="1:7" hidden="1" x14ac:dyDescent="0.25">
      <c r="A1266" s="4"/>
      <c r="B1266" s="1277"/>
      <c r="C1266" s="679"/>
      <c r="D1266" s="1787"/>
      <c r="E1266" s="1270"/>
      <c r="F1266" s="94"/>
      <c r="G1266" s="1260" t="s">
        <v>247</v>
      </c>
    </row>
    <row r="1267" spans="1:7" hidden="1" x14ac:dyDescent="0.25">
      <c r="A1267" s="4"/>
      <c r="B1267" s="1277"/>
      <c r="C1267" s="845"/>
      <c r="D1267" s="1545" t="s">
        <v>5108</v>
      </c>
      <c r="E1267" s="1270"/>
      <c r="F1267" s="94"/>
      <c r="G1267" s="1260" t="s">
        <v>247</v>
      </c>
    </row>
    <row r="1268" spans="1:7" hidden="1" x14ac:dyDescent="0.25">
      <c r="A1268" s="4"/>
      <c r="B1268" s="1262"/>
      <c r="C1268" s="851"/>
      <c r="D1268" s="1544" t="s">
        <v>5109</v>
      </c>
      <c r="E1268" s="1267"/>
      <c r="F1268" s="94"/>
      <c r="G1268" s="1260" t="s">
        <v>247</v>
      </c>
    </row>
    <row r="1269" spans="1:7" hidden="1" x14ac:dyDescent="0.25">
      <c r="A1269" s="4"/>
      <c r="B1269" s="230" t="s">
        <v>258</v>
      </c>
      <c r="C1269" s="1277"/>
      <c r="D1269" s="1554" t="s">
        <v>950</v>
      </c>
      <c r="E1269" s="1270"/>
      <c r="F1269" s="1313" t="str">
        <f>IF(LEN('Verification Report'!W1270)=0,"",'Verification Report'!W1270)</f>
        <v/>
      </c>
      <c r="G1269" s="1260" t="s">
        <v>247</v>
      </c>
    </row>
    <row r="1270" spans="1:7" ht="15" hidden="1" customHeight="1" x14ac:dyDescent="0.25">
      <c r="A1270" s="4"/>
      <c r="B1270" s="230"/>
      <c r="C1270" s="667" t="s">
        <v>121</v>
      </c>
      <c r="D1270" s="1787" t="s">
        <v>4298</v>
      </c>
      <c r="E1270" s="1270">
        <f ca="1">'Verification Report'!O1271</f>
        <v>0</v>
      </c>
      <c r="F1270" s="94"/>
      <c r="G1270" s="1260" t="s">
        <v>247</v>
      </c>
    </row>
    <row r="1271" spans="1:7" hidden="1" x14ac:dyDescent="0.25">
      <c r="A1271" s="4"/>
      <c r="B1271" s="230"/>
      <c r="C1271" s="667"/>
      <c r="D1271" s="1787"/>
      <c r="E1271" s="1270"/>
      <c r="F1271" s="1313" t="str">
        <f>IF(LEN('Verification Report'!W1272)=0,"",'Verification Report'!W1272)</f>
        <v/>
      </c>
      <c r="G1271" s="1260" t="s">
        <v>247</v>
      </c>
    </row>
    <row r="1272" spans="1:7" hidden="1" x14ac:dyDescent="0.25">
      <c r="A1272" s="4"/>
      <c r="B1272" s="230"/>
      <c r="C1272" s="139"/>
      <c r="D1272" s="1545" t="s">
        <v>5110</v>
      </c>
      <c r="E1272" s="1270"/>
      <c r="F1272" s="94"/>
      <c r="G1272" s="1260" t="s">
        <v>247</v>
      </c>
    </row>
    <row r="1273" spans="1:7" hidden="1" x14ac:dyDescent="0.25">
      <c r="A1273" s="4"/>
      <c r="B1273" s="230"/>
      <c r="C1273" s="139"/>
      <c r="D1273" s="1545" t="s">
        <v>5111</v>
      </c>
      <c r="E1273" s="1270"/>
      <c r="F1273" s="94"/>
      <c r="G1273" s="1260" t="s">
        <v>247</v>
      </c>
    </row>
    <row r="1274" spans="1:7" hidden="1" x14ac:dyDescent="0.25">
      <c r="A1274" s="4"/>
      <c r="B1274" s="230"/>
      <c r="C1274" s="85"/>
      <c r="D1274" s="1545" t="s">
        <v>5112</v>
      </c>
      <c r="E1274" s="1270"/>
      <c r="F1274" s="94"/>
      <c r="G1274" s="1260" t="s">
        <v>247</v>
      </c>
    </row>
    <row r="1275" spans="1:7" hidden="1" x14ac:dyDescent="0.25">
      <c r="A1275" s="4"/>
      <c r="B1275" s="230"/>
      <c r="C1275" s="85"/>
      <c r="D1275" s="1128" t="s">
        <v>5113</v>
      </c>
      <c r="E1275" s="1270"/>
      <c r="F1275" s="94"/>
      <c r="G1275" s="1260" t="s">
        <v>247</v>
      </c>
    </row>
    <row r="1276" spans="1:7" hidden="1" x14ac:dyDescent="0.25">
      <c r="A1276" s="4"/>
      <c r="B1276" s="230"/>
      <c r="C1276" s="85"/>
      <c r="D1276" s="1128" t="s">
        <v>5114</v>
      </c>
      <c r="E1276" s="1270"/>
      <c r="F1276" s="94"/>
      <c r="G1276" s="1260" t="s">
        <v>247</v>
      </c>
    </row>
    <row r="1277" spans="1:7" hidden="1" x14ac:dyDescent="0.25">
      <c r="A1277" s="4"/>
      <c r="B1277" s="230"/>
      <c r="C1277" s="85"/>
      <c r="D1277" s="1545" t="s">
        <v>5115</v>
      </c>
      <c r="E1277" s="1270"/>
      <c r="F1277" s="94"/>
      <c r="G1277" s="1260" t="s">
        <v>247</v>
      </c>
    </row>
    <row r="1278" spans="1:7" hidden="1" x14ac:dyDescent="0.25">
      <c r="A1278" s="4"/>
      <c r="B1278" s="230"/>
      <c r="C1278" s="216"/>
      <c r="D1278" s="175" t="s">
        <v>5116</v>
      </c>
      <c r="E1278" s="1267"/>
      <c r="F1278" s="94"/>
      <c r="G1278" s="1260" t="s">
        <v>247</v>
      </c>
    </row>
    <row r="1279" spans="1:7" ht="15" hidden="1" customHeight="1" x14ac:dyDescent="0.25">
      <c r="A1279" s="4"/>
      <c r="B1279" s="230"/>
      <c r="C1279" s="667" t="s">
        <v>122</v>
      </c>
      <c r="D1279" s="1787" t="s">
        <v>4306</v>
      </c>
      <c r="E1279" s="1272">
        <f ca="1">'Verification Report'!O1280</f>
        <v>0</v>
      </c>
      <c r="F1279" s="94"/>
      <c r="G1279" s="1260" t="s">
        <v>247</v>
      </c>
    </row>
    <row r="1280" spans="1:7" hidden="1" x14ac:dyDescent="0.25">
      <c r="A1280" s="4"/>
      <c r="B1280" s="230"/>
      <c r="C1280" s="667"/>
      <c r="D1280" s="1787"/>
      <c r="E1280" s="1270"/>
      <c r="F1280" s="94"/>
      <c r="G1280" s="1260" t="s">
        <v>247</v>
      </c>
    </row>
    <row r="1281" spans="1:7" hidden="1" x14ac:dyDescent="0.25">
      <c r="A1281" s="4"/>
      <c r="B1281" s="230"/>
      <c r="C1281" s="85"/>
      <c r="D1281" s="1128" t="s">
        <v>5114</v>
      </c>
      <c r="E1281" s="1270"/>
      <c r="F1281" s="94"/>
      <c r="G1281" s="1260" t="s">
        <v>247</v>
      </c>
    </row>
    <row r="1282" spans="1:7" hidden="1" x14ac:dyDescent="0.25">
      <c r="A1282" s="4"/>
      <c r="B1282" s="230"/>
      <c r="C1282" s="667"/>
      <c r="D1282" s="1128" t="s">
        <v>5115</v>
      </c>
      <c r="E1282" s="1270"/>
      <c r="F1282" s="94"/>
      <c r="G1282" s="1260" t="s">
        <v>247</v>
      </c>
    </row>
    <row r="1283" spans="1:7" hidden="1" x14ac:dyDescent="0.25">
      <c r="A1283" s="4"/>
      <c r="B1283" s="230"/>
      <c r="C1283" s="139"/>
      <c r="D1283" s="1545" t="s">
        <v>5117</v>
      </c>
      <c r="E1283" s="1270"/>
      <c r="F1283" s="94"/>
      <c r="G1283" s="1260" t="s">
        <v>247</v>
      </c>
    </row>
    <row r="1284" spans="1:7" hidden="1" x14ac:dyDescent="0.25">
      <c r="A1284" s="4"/>
      <c r="B1284" s="230"/>
      <c r="C1284" s="216"/>
      <c r="D1284" s="175" t="s">
        <v>5118</v>
      </c>
      <c r="E1284" s="1267"/>
      <c r="F1284" s="94"/>
      <c r="G1284" s="1260" t="s">
        <v>247</v>
      </c>
    </row>
    <row r="1285" spans="1:7" ht="15" hidden="1" customHeight="1" x14ac:dyDescent="0.25">
      <c r="A1285" s="4"/>
      <c r="B1285" s="230"/>
      <c r="C1285" s="668" t="s">
        <v>123</v>
      </c>
      <c r="D1285" s="1765" t="s">
        <v>4309</v>
      </c>
      <c r="E1285" s="1266">
        <f ca="1">'Verification Report'!O1286</f>
        <v>0</v>
      </c>
      <c r="F1285" s="94"/>
      <c r="G1285" s="1260" t="s">
        <v>247</v>
      </c>
    </row>
    <row r="1286" spans="1:7" hidden="1" x14ac:dyDescent="0.25">
      <c r="A1286" s="4"/>
      <c r="B1286" s="230"/>
      <c r="C1286" s="684"/>
      <c r="D1286" s="1786"/>
      <c r="E1286" s="1267"/>
      <c r="F1286" s="94"/>
      <c r="G1286" s="1260" t="s">
        <v>247</v>
      </c>
    </row>
    <row r="1287" spans="1:7" ht="15" hidden="1" customHeight="1" x14ac:dyDescent="0.25">
      <c r="A1287" s="4"/>
      <c r="B1287" s="230"/>
      <c r="C1287" s="668" t="s">
        <v>401</v>
      </c>
      <c r="D1287" s="1765" t="s">
        <v>4310</v>
      </c>
      <c r="E1287" s="1266">
        <f ca="1">'Verification Report'!O1288</f>
        <v>0</v>
      </c>
      <c r="F1287" s="94"/>
      <c r="G1287" s="1260" t="s">
        <v>247</v>
      </c>
    </row>
    <row r="1288" spans="1:7" hidden="1" x14ac:dyDescent="0.25">
      <c r="A1288" s="4"/>
      <c r="B1288" s="230"/>
      <c r="C1288" s="684"/>
      <c r="D1288" s="1786"/>
      <c r="E1288" s="1267"/>
      <c r="F1288" s="94"/>
      <c r="G1288" s="1260" t="s">
        <v>247</v>
      </c>
    </row>
    <row r="1289" spans="1:7" ht="15" hidden="1" customHeight="1" x14ac:dyDescent="0.25">
      <c r="A1289" s="4"/>
      <c r="B1289" s="1277"/>
      <c r="C1289" s="667" t="s">
        <v>539</v>
      </c>
      <c r="D1289" s="1787" t="s">
        <v>4311</v>
      </c>
      <c r="E1289" s="1266">
        <f ca="1">'Verification Report'!O1290</f>
        <v>0</v>
      </c>
      <c r="F1289" s="94"/>
      <c r="G1289" s="1260" t="s">
        <v>247</v>
      </c>
    </row>
    <row r="1290" spans="1:7" hidden="1" x14ac:dyDescent="0.25">
      <c r="A1290" s="4"/>
      <c r="B1290" s="1262"/>
      <c r="C1290" s="845"/>
      <c r="D1290" s="1786"/>
      <c r="E1290" s="1267"/>
      <c r="F1290" s="94"/>
      <c r="G1290" s="1260" t="s">
        <v>247</v>
      </c>
    </row>
    <row r="1291" spans="1:7" hidden="1" x14ac:dyDescent="0.25">
      <c r="A1291" s="210"/>
      <c r="B1291" s="550" t="s">
        <v>260</v>
      </c>
      <c r="C1291" s="280"/>
      <c r="D1291" s="858" t="s">
        <v>4312</v>
      </c>
      <c r="E1291" s="1275">
        <f ca="1">'Verification Report'!O1292</f>
        <v>0</v>
      </c>
      <c r="F1291" s="1313" t="str">
        <f>IF(LEN('Verification Report'!W1292)=0,"",'Verification Report'!W1292)</f>
        <v/>
      </c>
      <c r="G1291" s="1260" t="s">
        <v>247</v>
      </c>
    </row>
    <row r="1292" spans="1:7" ht="15" hidden="1" customHeight="1" x14ac:dyDescent="0.25">
      <c r="A1292" s="510" t="s">
        <v>951</v>
      </c>
      <c r="B1292" s="1261"/>
      <c r="C1292" s="1261"/>
      <c r="D1292" s="1885" t="s">
        <v>952</v>
      </c>
      <c r="E1292" s="1296">
        <f ca="1">'Verification Report'!O1293</f>
        <v>0</v>
      </c>
      <c r="F1292" s="1313" t="str">
        <f>IF(LEN('Verification Report'!W1293)=0,"",'Verification Report'!W1293)</f>
        <v/>
      </c>
      <c r="G1292" s="1260" t="s">
        <v>247</v>
      </c>
    </row>
    <row r="1293" spans="1:7" hidden="1" x14ac:dyDescent="0.25">
      <c r="A1293" s="534"/>
      <c r="B1293" s="1262"/>
      <c r="C1293" s="1262"/>
      <c r="D1293" s="1886"/>
      <c r="E1293" s="1297"/>
      <c r="F1293" s="94"/>
      <c r="G1293" s="1260" t="s">
        <v>247</v>
      </c>
    </row>
    <row r="1294" spans="1:7" hidden="1" x14ac:dyDescent="0.25">
      <c r="A1294" s="66" t="s">
        <v>953</v>
      </c>
      <c r="B1294" s="1277"/>
      <c r="C1294" s="1277"/>
      <c r="D1294" s="1563" t="s">
        <v>954</v>
      </c>
      <c r="E1294" s="1295">
        <f ca="1">'Verification Report'!O1295</f>
        <v>0</v>
      </c>
      <c r="F1294" s="1313" t="str">
        <f>IF(LEN('Verification Report'!W1295)=0,"",'Verification Report'!W1295)</f>
        <v/>
      </c>
      <c r="G1294" s="1260" t="s">
        <v>247</v>
      </c>
    </row>
    <row r="1295" spans="1:7" hidden="1" x14ac:dyDescent="0.25">
      <c r="A1295" s="178"/>
      <c r="B1295" s="1262"/>
      <c r="C1295" s="1262"/>
      <c r="D1295" s="1571" t="s">
        <v>931</v>
      </c>
      <c r="E1295" s="1297"/>
      <c r="F1295" s="94"/>
      <c r="G1295" s="1260" t="s">
        <v>247</v>
      </c>
    </row>
    <row r="1296" spans="1:7" ht="15" hidden="1" customHeight="1" x14ac:dyDescent="0.25">
      <c r="A1296" s="534" t="s">
        <v>3634</v>
      </c>
      <c r="B1296" s="1262"/>
      <c r="C1296" s="1262"/>
      <c r="D1296" s="1565" t="s">
        <v>955</v>
      </c>
      <c r="E1296" s="1297">
        <f ca="1">'Verification Report'!O1297</f>
        <v>0</v>
      </c>
      <c r="F1296" s="1313" t="str">
        <f>IF(LEN('Verification Report'!W1297)=0,"",'Verification Report'!W1297)</f>
        <v/>
      </c>
      <c r="G1296" s="1260" t="s">
        <v>247</v>
      </c>
    </row>
    <row r="1297" spans="1:7" ht="15" hidden="1" customHeight="1" x14ac:dyDescent="0.25">
      <c r="A1297" s="533" t="s">
        <v>956</v>
      </c>
      <c r="B1297" s="1271"/>
      <c r="C1297" s="1271"/>
      <c r="D1297" s="1833" t="s">
        <v>4315</v>
      </c>
      <c r="E1297" s="664"/>
      <c r="F1297" s="94"/>
      <c r="G1297" s="1260" t="s">
        <v>247</v>
      </c>
    </row>
    <row r="1298" spans="1:7" hidden="1" x14ac:dyDescent="0.25">
      <c r="A1298" s="4"/>
      <c r="B1298" s="1277"/>
      <c r="C1298" s="1277"/>
      <c r="D1298" s="1833"/>
      <c r="E1298" s="664"/>
      <c r="F1298" s="1313" t="str">
        <f>IF(LEN('Verification Report'!W1299)=0,"",'Verification Report'!W1299)</f>
        <v/>
      </c>
      <c r="G1298" s="1260" t="s">
        <v>247</v>
      </c>
    </row>
    <row r="1299" spans="1:7" hidden="1" x14ac:dyDescent="0.25">
      <c r="A1299" s="4"/>
      <c r="B1299" s="1277"/>
      <c r="C1299" s="1277"/>
      <c r="D1299" s="1833"/>
      <c r="E1299" s="665"/>
      <c r="F1299" s="94"/>
      <c r="G1299" s="1260" t="s">
        <v>247</v>
      </c>
    </row>
    <row r="1300" spans="1:7" ht="15" hidden="1" customHeight="1" x14ac:dyDescent="0.25">
      <c r="A1300" s="4"/>
      <c r="B1300" s="1277"/>
      <c r="C1300" s="667" t="s">
        <v>121</v>
      </c>
      <c r="D1300" s="1787" t="s">
        <v>4313</v>
      </c>
      <c r="E1300" s="1296">
        <f ca="1">'Verification Report'!O1301</f>
        <v>0</v>
      </c>
      <c r="F1300" s="1313" t="str">
        <f>IF(LEN('Verification Report'!W1301)=0,"",'Verification Report'!W1301)</f>
        <v/>
      </c>
      <c r="G1300" s="1260" t="s">
        <v>247</v>
      </c>
    </row>
    <row r="1301" spans="1:7" hidden="1" x14ac:dyDescent="0.25">
      <c r="A1301" s="4"/>
      <c r="B1301" s="1277"/>
      <c r="C1301" s="667"/>
      <c r="D1301" s="1787"/>
      <c r="E1301" s="1296"/>
      <c r="F1301" s="94"/>
      <c r="G1301" s="1260" t="s">
        <v>247</v>
      </c>
    </row>
    <row r="1302" spans="1:7" hidden="1" x14ac:dyDescent="0.25">
      <c r="A1302" s="4"/>
      <c r="C1302" s="139"/>
      <c r="D1302" s="1544" t="s">
        <v>3637</v>
      </c>
      <c r="E1302" s="1296"/>
      <c r="F1302" s="94"/>
      <c r="G1302" s="1260" t="s">
        <v>247</v>
      </c>
    </row>
    <row r="1303" spans="1:7" hidden="1" x14ac:dyDescent="0.25">
      <c r="A1303" s="4"/>
      <c r="C1303" s="139"/>
      <c r="D1303" s="858" t="s">
        <v>3638</v>
      </c>
      <c r="E1303" s="1296"/>
      <c r="F1303" s="94"/>
      <c r="G1303" s="1260" t="s">
        <v>247</v>
      </c>
    </row>
    <row r="1304" spans="1:7" hidden="1" x14ac:dyDescent="0.25">
      <c r="A1304" s="4"/>
      <c r="C1304" s="85"/>
      <c r="D1304" s="858" t="s">
        <v>3639</v>
      </c>
      <c r="E1304" s="1296"/>
      <c r="F1304" s="94"/>
      <c r="G1304" s="1260" t="s">
        <v>247</v>
      </c>
    </row>
    <row r="1305" spans="1:7" hidden="1" x14ac:dyDescent="0.25">
      <c r="A1305" s="4"/>
      <c r="C1305" s="85"/>
      <c r="D1305" s="858" t="s">
        <v>3640</v>
      </c>
      <c r="E1305" s="1296"/>
      <c r="F1305" s="94"/>
      <c r="G1305" s="1260" t="s">
        <v>247</v>
      </c>
    </row>
    <row r="1306" spans="1:7" hidden="1" x14ac:dyDescent="0.25">
      <c r="A1306" s="4"/>
      <c r="C1306" s="216"/>
      <c r="D1306" s="1544" t="s">
        <v>3641</v>
      </c>
      <c r="E1306" s="1297"/>
      <c r="F1306" s="94"/>
      <c r="G1306" s="1260" t="s">
        <v>247</v>
      </c>
    </row>
    <row r="1307" spans="1:7" ht="15" hidden="1" customHeight="1" x14ac:dyDescent="0.25">
      <c r="A1307" s="4"/>
      <c r="C1307" s="667" t="s">
        <v>122</v>
      </c>
      <c r="D1307" s="1787" t="s">
        <v>4314</v>
      </c>
      <c r="E1307" s="1296">
        <f ca="1">'Verification Report'!O1308</f>
        <v>0</v>
      </c>
      <c r="F1307" s="94"/>
      <c r="G1307" s="1260" t="s">
        <v>247</v>
      </c>
    </row>
    <row r="1308" spans="1:7" hidden="1" x14ac:dyDescent="0.25">
      <c r="A1308" s="4"/>
      <c r="C1308" s="1128"/>
      <c r="D1308" s="1787"/>
      <c r="E1308" s="1296"/>
      <c r="F1308" s="94"/>
      <c r="G1308" s="1260" t="s">
        <v>247</v>
      </c>
    </row>
    <row r="1309" spans="1:7" hidden="1" x14ac:dyDescent="0.25">
      <c r="A1309" s="4"/>
      <c r="C1309" s="1128"/>
      <c r="D1309" s="1544" t="s">
        <v>3637</v>
      </c>
      <c r="E1309" s="1296"/>
      <c r="F1309" s="94"/>
      <c r="G1309" s="1260" t="s">
        <v>247</v>
      </c>
    </row>
    <row r="1310" spans="1:7" hidden="1" x14ac:dyDescent="0.25">
      <c r="A1310" s="4"/>
      <c r="C1310" s="845"/>
      <c r="D1310" s="858" t="s">
        <v>3638</v>
      </c>
      <c r="E1310" s="1296"/>
      <c r="F1310" s="94"/>
      <c r="G1310" s="1260" t="s">
        <v>247</v>
      </c>
    </row>
    <row r="1311" spans="1:7" hidden="1" x14ac:dyDescent="0.25">
      <c r="A1311" s="4"/>
      <c r="C1311" s="845"/>
      <c r="D1311" s="858" t="s">
        <v>3639</v>
      </c>
      <c r="E1311" s="1296"/>
      <c r="F1311" s="94"/>
      <c r="G1311" s="1260" t="s">
        <v>247</v>
      </c>
    </row>
    <row r="1312" spans="1:7" hidden="1" x14ac:dyDescent="0.25">
      <c r="A1312" s="4"/>
      <c r="C1312" s="845"/>
      <c r="D1312" s="858" t="s">
        <v>3640</v>
      </c>
      <c r="E1312" s="1296"/>
      <c r="F1312" s="94"/>
      <c r="G1312" s="1260" t="s">
        <v>247</v>
      </c>
    </row>
    <row r="1313" spans="1:7" ht="15.75" hidden="1" thickBot="1" x14ac:dyDescent="0.3">
      <c r="A1313" s="240"/>
      <c r="B1313" s="99"/>
      <c r="C1313" s="852"/>
      <c r="D1313" s="1538" t="s">
        <v>3641</v>
      </c>
      <c r="E1313" s="1294"/>
      <c r="F1313" s="94"/>
      <c r="G1313" s="1260" t="s">
        <v>247</v>
      </c>
    </row>
    <row r="1314" spans="1:7" hidden="1" x14ac:dyDescent="0.25">
      <c r="A1314" s="64">
        <v>703.6</v>
      </c>
      <c r="B1314" s="1277"/>
      <c r="C1314" s="1277"/>
      <c r="D1314" s="1563" t="s">
        <v>957</v>
      </c>
      <c r="E1314" s="1295"/>
      <c r="F1314" s="94"/>
      <c r="G1314" s="1260" t="s">
        <v>247</v>
      </c>
    </row>
    <row r="1315" spans="1:7" ht="15" hidden="1" customHeight="1" x14ac:dyDescent="0.25">
      <c r="A1315" s="64" t="s">
        <v>958</v>
      </c>
      <c r="B1315" s="1277"/>
      <c r="C1315" s="1277"/>
      <c r="D1315" s="1884" t="s">
        <v>959</v>
      </c>
      <c r="E1315" s="1295"/>
      <c r="F1315" s="94"/>
      <c r="G1315" s="1260" t="s">
        <v>247</v>
      </c>
    </row>
    <row r="1316" spans="1:7" hidden="1" x14ac:dyDescent="0.25">
      <c r="A1316" s="64"/>
      <c r="B1316" s="1277"/>
      <c r="C1316" s="1277"/>
      <c r="D1316" s="1884"/>
      <c r="E1316" s="1295"/>
      <c r="F1316" s="94"/>
      <c r="G1316" s="1260" t="s">
        <v>247</v>
      </c>
    </row>
    <row r="1317" spans="1:7" ht="15" hidden="1" customHeight="1" x14ac:dyDescent="0.25">
      <c r="A1317" s="4"/>
      <c r="B1317" s="518" t="s">
        <v>256</v>
      </c>
      <c r="C1317" s="1261"/>
      <c r="D1317" s="1787" t="s">
        <v>5236</v>
      </c>
      <c r="E1317" s="1296">
        <f ca="1">'Verification Report'!O1318</f>
        <v>0</v>
      </c>
      <c r="F1317" s="1313" t="str">
        <f>IF(LEN('Verification Report'!W1318)=0,"",'Verification Report'!W1318)</f>
        <v/>
      </c>
      <c r="G1317" s="1260" t="s">
        <v>247</v>
      </c>
    </row>
    <row r="1318" spans="1:7" hidden="1" x14ac:dyDescent="0.25">
      <c r="A1318" s="4"/>
      <c r="B1318" s="530"/>
      <c r="C1318" s="1262"/>
      <c r="D1318" s="1786"/>
      <c r="E1318" s="1297"/>
      <c r="F1318" s="94"/>
      <c r="G1318" s="1260" t="s">
        <v>247</v>
      </c>
    </row>
    <row r="1319" spans="1:7" ht="15" hidden="1" customHeight="1" x14ac:dyDescent="0.25">
      <c r="A1319" s="4"/>
      <c r="B1319" s="549" t="s">
        <v>258</v>
      </c>
      <c r="C1319" s="1271"/>
      <c r="D1319" s="1787" t="s">
        <v>4316</v>
      </c>
      <c r="E1319" s="1293">
        <f ca="1">'Verification Report'!O1320</f>
        <v>0</v>
      </c>
      <c r="F1319" s="1313" t="str">
        <f>IF(LEN('Verification Report'!W1320)=0,"",'Verification Report'!W1320)</f>
        <v/>
      </c>
      <c r="G1319" s="1260" t="s">
        <v>247</v>
      </c>
    </row>
    <row r="1320" spans="1:7" hidden="1" x14ac:dyDescent="0.25">
      <c r="A1320" s="4"/>
      <c r="B1320" s="1262"/>
      <c r="C1320" s="1262"/>
      <c r="D1320" s="1786"/>
      <c r="E1320" s="1297"/>
      <c r="F1320" s="94"/>
      <c r="G1320" s="1260" t="s">
        <v>247</v>
      </c>
    </row>
    <row r="1321" spans="1:7" ht="15" hidden="1" customHeight="1" x14ac:dyDescent="0.25">
      <c r="A1321" s="129"/>
      <c r="B1321" s="518" t="s">
        <v>260</v>
      </c>
      <c r="C1321" s="1261"/>
      <c r="D1321" s="1754" t="s">
        <v>960</v>
      </c>
      <c r="E1321" s="1296">
        <f ca="1">'Verification Report'!O1322</f>
        <v>0</v>
      </c>
      <c r="F1321" s="1313" t="str">
        <f>IF(LEN('Verification Report'!W1322)=0,"",'Verification Report'!W1322)</f>
        <v/>
      </c>
      <c r="G1321" s="1260" t="s">
        <v>247</v>
      </c>
    </row>
    <row r="1322" spans="1:7" hidden="1" x14ac:dyDescent="0.25">
      <c r="A1322" s="210"/>
      <c r="B1322" s="1262"/>
      <c r="C1322" s="1262"/>
      <c r="D1322" s="1755"/>
      <c r="E1322" s="1297"/>
      <c r="F1322" s="94"/>
      <c r="G1322" s="1260" t="s">
        <v>247</v>
      </c>
    </row>
    <row r="1323" spans="1:7" hidden="1" x14ac:dyDescent="0.25">
      <c r="A1323" s="66" t="s">
        <v>961</v>
      </c>
      <c r="B1323" s="1277"/>
      <c r="C1323" s="1277"/>
      <c r="D1323" s="1563" t="s">
        <v>962</v>
      </c>
      <c r="E1323" s="1295"/>
      <c r="F1323" s="94"/>
      <c r="G1323" s="1260" t="s">
        <v>247</v>
      </c>
    </row>
    <row r="1324" spans="1:7" hidden="1" x14ac:dyDescent="0.25">
      <c r="A1324" s="4"/>
      <c r="B1324" s="530" t="s">
        <v>256</v>
      </c>
      <c r="C1324" s="1262"/>
      <c r="D1324" s="552" t="s">
        <v>963</v>
      </c>
      <c r="E1324" s="1297">
        <f ca="1">'Verification Report'!O1325</f>
        <v>0</v>
      </c>
      <c r="F1324" s="1313" t="str">
        <f>IF(LEN('Verification Report'!W1325)=0,"",'Verification Report'!W1325)</f>
        <v/>
      </c>
      <c r="G1324" s="1260" t="s">
        <v>247</v>
      </c>
    </row>
    <row r="1325" spans="1:7" hidden="1" x14ac:dyDescent="0.25">
      <c r="A1325" s="4"/>
      <c r="B1325" s="550" t="s">
        <v>258</v>
      </c>
      <c r="C1325" s="280"/>
      <c r="D1325" s="280" t="s">
        <v>964</v>
      </c>
      <c r="E1325" s="1306">
        <f ca="1">'Verification Report'!O1326</f>
        <v>0</v>
      </c>
      <c r="F1325" s="1313" t="str">
        <f>IF(LEN('Verification Report'!W1326)=0,"",'Verification Report'!W1326)</f>
        <v/>
      </c>
      <c r="G1325" s="1260" t="s">
        <v>247</v>
      </c>
    </row>
    <row r="1326" spans="1:7" hidden="1" x14ac:dyDescent="0.25">
      <c r="A1326" s="129"/>
      <c r="B1326" s="518" t="s">
        <v>260</v>
      </c>
      <c r="C1326" s="1261"/>
      <c r="D1326" s="1546" t="s">
        <v>965</v>
      </c>
      <c r="E1326" s="1296">
        <f ca="1">'Verification Report'!O1327</f>
        <v>0</v>
      </c>
      <c r="F1326" s="1313" t="str">
        <f>IF(LEN('Verification Report'!W1327)=0,"",'Verification Report'!W1327)</f>
        <v/>
      </c>
      <c r="G1326" s="1260" t="s">
        <v>247</v>
      </c>
    </row>
    <row r="1327" spans="1:7" ht="15.75" hidden="1" thickBot="1" x14ac:dyDescent="0.3">
      <c r="A1327" s="240"/>
      <c r="B1327" s="519"/>
      <c r="C1327" s="1276"/>
      <c r="D1327" s="1580" t="s">
        <v>3627</v>
      </c>
      <c r="E1327" s="1294"/>
      <c r="F1327" s="94"/>
      <c r="G1327" s="1260" t="s">
        <v>247</v>
      </c>
    </row>
    <row r="1328" spans="1:7" hidden="1" x14ac:dyDescent="0.25">
      <c r="A1328" s="139">
        <v>703.7</v>
      </c>
      <c r="B1328" s="1277"/>
      <c r="C1328" s="1277"/>
      <c r="D1328" s="1563" t="s">
        <v>966</v>
      </c>
      <c r="E1328" s="1295"/>
      <c r="F1328" s="94"/>
      <c r="G1328" s="1260" t="s">
        <v>247</v>
      </c>
    </row>
    <row r="1329" spans="1:7" ht="15" hidden="1" customHeight="1" x14ac:dyDescent="0.25">
      <c r="A1329" s="139" t="s">
        <v>967</v>
      </c>
      <c r="B1329" s="1277"/>
      <c r="C1329" s="1277"/>
      <c r="D1329" s="1796" t="s">
        <v>968</v>
      </c>
      <c r="E1329" s="1295">
        <f ca="1">'Verification Report'!O1330</f>
        <v>0</v>
      </c>
      <c r="F1329" s="1313" t="str">
        <f>IF(LEN('Verification Report'!W1330)=0,"",'Verification Report'!W1330)</f>
        <v/>
      </c>
      <c r="G1329" s="1260" t="s">
        <v>247</v>
      </c>
    </row>
    <row r="1330" spans="1:7" hidden="1" x14ac:dyDescent="0.25">
      <c r="A1330" s="4"/>
      <c r="B1330" s="1277"/>
      <c r="C1330" s="1277"/>
      <c r="D1330" s="1796"/>
      <c r="E1330" s="1295"/>
      <c r="F1330" s="94"/>
      <c r="G1330" s="1260" t="s">
        <v>247</v>
      </c>
    </row>
    <row r="1331" spans="1:7" ht="15" hidden="1" customHeight="1" x14ac:dyDescent="0.25">
      <c r="A1331" s="4"/>
      <c r="B1331" s="518" t="s">
        <v>256</v>
      </c>
      <c r="C1331" s="1261"/>
      <c r="D1331" s="1754" t="s">
        <v>969</v>
      </c>
      <c r="E1331" s="1295"/>
      <c r="F1331" s="94"/>
      <c r="G1331" s="1260" t="s">
        <v>247</v>
      </c>
    </row>
    <row r="1332" spans="1:7" hidden="1" x14ac:dyDescent="0.25">
      <c r="A1332" s="4"/>
      <c r="B1332" s="530"/>
      <c r="C1332" s="1262"/>
      <c r="D1332" s="1755"/>
      <c r="E1332" s="1295"/>
      <c r="F1332" s="94"/>
      <c r="G1332" s="1260" t="s">
        <v>247</v>
      </c>
    </row>
    <row r="1333" spans="1:7" ht="15" hidden="1" customHeight="1" x14ac:dyDescent="0.25">
      <c r="A1333" s="4"/>
      <c r="B1333" s="549" t="s">
        <v>258</v>
      </c>
      <c r="C1333" s="1271"/>
      <c r="D1333" s="1769" t="s">
        <v>4317</v>
      </c>
      <c r="E1333" s="1295"/>
      <c r="F1333" s="94"/>
      <c r="G1333" s="1260" t="s">
        <v>247</v>
      </c>
    </row>
    <row r="1334" spans="1:7" hidden="1" x14ac:dyDescent="0.25">
      <c r="A1334" s="4"/>
      <c r="B1334" s="530"/>
      <c r="C1334" s="1262"/>
      <c r="D1334" s="1786"/>
      <c r="E1334" s="1295"/>
      <c r="F1334" s="94"/>
      <c r="G1334" s="1260" t="s">
        <v>247</v>
      </c>
    </row>
    <row r="1335" spans="1:7" ht="15" hidden="1" customHeight="1" x14ac:dyDescent="0.25">
      <c r="A1335" s="4"/>
      <c r="B1335" s="549" t="s">
        <v>260</v>
      </c>
      <c r="C1335" s="1271"/>
      <c r="D1335" s="1787" t="s">
        <v>4318</v>
      </c>
      <c r="E1335" s="1295"/>
      <c r="F1335" s="94"/>
      <c r="G1335" s="1260" t="s">
        <v>247</v>
      </c>
    </row>
    <row r="1336" spans="1:7" hidden="1" x14ac:dyDescent="0.25">
      <c r="A1336" s="4"/>
      <c r="B1336" s="1262"/>
      <c r="C1336" s="1262"/>
      <c r="D1336" s="1786"/>
      <c r="E1336" s="1295"/>
      <c r="F1336" s="94"/>
      <c r="G1336" s="1260" t="s">
        <v>247</v>
      </c>
    </row>
    <row r="1337" spans="1:7" ht="15" hidden="1" customHeight="1" x14ac:dyDescent="0.25">
      <c r="A1337" s="4"/>
      <c r="B1337" s="549" t="s">
        <v>269</v>
      </c>
      <c r="C1337" s="1271"/>
      <c r="D1337" s="1787" t="s">
        <v>4319</v>
      </c>
      <c r="E1337" s="1295"/>
      <c r="F1337" s="94"/>
      <c r="G1337" s="1260" t="s">
        <v>247</v>
      </c>
    </row>
    <row r="1338" spans="1:7" hidden="1" x14ac:dyDescent="0.25">
      <c r="A1338" s="4"/>
      <c r="B1338" s="1262"/>
      <c r="C1338" s="1262"/>
      <c r="D1338" s="1786"/>
      <c r="E1338" s="1295"/>
      <c r="F1338" s="94"/>
      <c r="G1338" s="1260" t="s">
        <v>247</v>
      </c>
    </row>
    <row r="1339" spans="1:7" ht="15" hidden="1" customHeight="1" x14ac:dyDescent="0.25">
      <c r="A1339" s="4"/>
      <c r="B1339" s="549" t="s">
        <v>275</v>
      </c>
      <c r="C1339" s="1271"/>
      <c r="D1339" s="1787" t="s">
        <v>4320</v>
      </c>
      <c r="E1339" s="1295"/>
      <c r="F1339" s="94"/>
      <c r="G1339" s="1260" t="s">
        <v>247</v>
      </c>
    </row>
    <row r="1340" spans="1:7" hidden="1" x14ac:dyDescent="0.25">
      <c r="A1340" s="4"/>
      <c r="B1340" s="1262"/>
      <c r="C1340" s="1262"/>
      <c r="D1340" s="1786"/>
      <c r="E1340" s="1295"/>
      <c r="F1340" s="94"/>
      <c r="G1340" s="1260" t="s">
        <v>247</v>
      </c>
    </row>
    <row r="1341" spans="1:7" hidden="1" x14ac:dyDescent="0.25">
      <c r="A1341" s="4"/>
      <c r="B1341" s="230" t="s">
        <v>277</v>
      </c>
      <c r="C1341" s="1277"/>
      <c r="D1341" s="1554" t="s">
        <v>970</v>
      </c>
      <c r="E1341" s="1295"/>
      <c r="F1341" s="94"/>
      <c r="G1341" s="1260" t="s">
        <v>247</v>
      </c>
    </row>
    <row r="1342" spans="1:7" hidden="1" x14ac:dyDescent="0.25">
      <c r="A1342" s="4"/>
      <c r="B1342" s="1277"/>
      <c r="C1342" s="230" t="s">
        <v>121</v>
      </c>
      <c r="D1342" s="1554" t="s">
        <v>4321</v>
      </c>
      <c r="E1342" s="1295"/>
      <c r="F1342" s="94"/>
      <c r="G1342" s="1260" t="s">
        <v>247</v>
      </c>
    </row>
    <row r="1343" spans="1:7" hidden="1" x14ac:dyDescent="0.25">
      <c r="A1343" s="4"/>
      <c r="B1343" s="1277"/>
      <c r="C1343" s="230" t="s">
        <v>122</v>
      </c>
      <c r="D1343" s="1554" t="s">
        <v>971</v>
      </c>
      <c r="E1343" s="1295"/>
      <c r="F1343" s="94"/>
      <c r="G1343" s="1260" t="s">
        <v>247</v>
      </c>
    </row>
    <row r="1344" spans="1:7" ht="15" hidden="1" customHeight="1" x14ac:dyDescent="0.25">
      <c r="A1344" s="4"/>
      <c r="B1344" s="1261"/>
      <c r="C1344" s="554" t="s">
        <v>123</v>
      </c>
      <c r="D1344" s="1754" t="s">
        <v>972</v>
      </c>
      <c r="E1344" s="1295"/>
      <c r="F1344" s="94"/>
      <c r="G1344" s="1260" t="s">
        <v>247</v>
      </c>
    </row>
    <row r="1345" spans="1:9" hidden="1" x14ac:dyDescent="0.25">
      <c r="A1345" s="4"/>
      <c r="B1345" s="1262"/>
      <c r="C1345" s="1262"/>
      <c r="D1345" s="1755"/>
      <c r="E1345" s="1295"/>
      <c r="F1345" s="94"/>
      <c r="G1345" s="1260" t="s">
        <v>247</v>
      </c>
    </row>
    <row r="1346" spans="1:9" ht="15" hidden="1" customHeight="1" x14ac:dyDescent="0.25">
      <c r="A1346" s="4"/>
      <c r="B1346" s="549" t="s">
        <v>383</v>
      </c>
      <c r="C1346" s="1271"/>
      <c r="D1346" s="1778" t="s">
        <v>3629</v>
      </c>
      <c r="E1346" s="1295"/>
      <c r="F1346" s="94"/>
      <c r="G1346" s="1260" t="s">
        <v>247</v>
      </c>
    </row>
    <row r="1347" spans="1:9" hidden="1" x14ac:dyDescent="0.25">
      <c r="A1347" s="4"/>
      <c r="B1347" s="1261"/>
      <c r="C1347" s="1261"/>
      <c r="D1347" s="1754"/>
      <c r="E1347" s="1295"/>
      <c r="F1347" s="94"/>
      <c r="G1347" s="1260" t="s">
        <v>247</v>
      </c>
    </row>
    <row r="1348" spans="1:9" hidden="1" x14ac:dyDescent="0.25">
      <c r="A1348" s="4"/>
      <c r="B1348" s="1262"/>
      <c r="C1348" s="1262"/>
      <c r="D1348" s="527" t="s">
        <v>3630</v>
      </c>
      <c r="E1348" s="1295"/>
      <c r="F1348" s="94"/>
      <c r="G1348" s="1260" t="s">
        <v>247</v>
      </c>
    </row>
    <row r="1349" spans="1:9" hidden="1" x14ac:dyDescent="0.25">
      <c r="A1349" s="4"/>
      <c r="B1349" s="550" t="s">
        <v>428</v>
      </c>
      <c r="C1349" s="280"/>
      <c r="D1349" s="280" t="s">
        <v>973</v>
      </c>
      <c r="E1349" s="1295"/>
      <c r="F1349" s="94"/>
      <c r="G1349" s="1260" t="s">
        <v>247</v>
      </c>
    </row>
    <row r="1350" spans="1:9" hidden="1" x14ac:dyDescent="0.25">
      <c r="A1350" s="4"/>
      <c r="B1350" s="230" t="s">
        <v>430</v>
      </c>
      <c r="C1350" s="1277"/>
      <c r="D1350" s="1554" t="s">
        <v>974</v>
      </c>
      <c r="E1350" s="1295"/>
      <c r="F1350" s="94"/>
      <c r="G1350" s="1260" t="s">
        <v>247</v>
      </c>
    </row>
    <row r="1351" spans="1:9" ht="15" hidden="1" customHeight="1" x14ac:dyDescent="0.25">
      <c r="A1351" s="129"/>
      <c r="B1351" s="1261"/>
      <c r="C1351" s="1261"/>
      <c r="D1351" s="1804" t="s">
        <v>4322</v>
      </c>
      <c r="E1351" s="1296"/>
      <c r="F1351" s="94"/>
      <c r="G1351" s="1260" t="s">
        <v>247</v>
      </c>
    </row>
    <row r="1352" spans="1:9" hidden="1" x14ac:dyDescent="0.25">
      <c r="A1352" s="129"/>
      <c r="B1352" s="1261"/>
      <c r="C1352" s="1261"/>
      <c r="D1352" s="1804"/>
      <c r="E1352" s="1296"/>
      <c r="F1352" s="94"/>
      <c r="G1352" s="1260" t="s">
        <v>247</v>
      </c>
    </row>
    <row r="1353" spans="1:9" hidden="1" x14ac:dyDescent="0.25">
      <c r="A1353" s="129"/>
      <c r="B1353" s="1261"/>
      <c r="C1353" s="1261"/>
      <c r="D1353" s="1804"/>
      <c r="E1353" s="1296"/>
      <c r="F1353" s="94"/>
      <c r="G1353" s="1260" t="s">
        <v>247</v>
      </c>
    </row>
    <row r="1354" spans="1:9" hidden="1" x14ac:dyDescent="0.25">
      <c r="A1354" s="129"/>
      <c r="B1354" s="1261"/>
      <c r="C1354" s="1261"/>
      <c r="D1354" s="1804"/>
      <c r="E1354" s="1296"/>
      <c r="F1354" s="94"/>
      <c r="G1354" s="1260" t="s">
        <v>247</v>
      </c>
    </row>
    <row r="1355" spans="1:9" hidden="1" x14ac:dyDescent="0.25">
      <c r="A1355" s="210"/>
      <c r="B1355" s="1262"/>
      <c r="C1355" s="1262"/>
      <c r="D1355" s="1861"/>
      <c r="E1355" s="1297"/>
      <c r="F1355" s="94"/>
      <c r="G1355" s="1260" t="s">
        <v>247</v>
      </c>
    </row>
    <row r="1356" spans="1:9" ht="15" customHeight="1" x14ac:dyDescent="0.25">
      <c r="A1356" s="533" t="s">
        <v>975</v>
      </c>
      <c r="B1356" s="1271"/>
      <c r="C1356" s="1271"/>
      <c r="D1356" s="1864" t="s">
        <v>976</v>
      </c>
      <c r="E1356" s="1293">
        <f ca="1">'Verification Report'!O1357</f>
        <v>0</v>
      </c>
      <c r="F1356" s="1313" t="str">
        <f>IF(LEN('Verification Report'!W1357)=0,"",'Verification Report'!W1357)</f>
        <v/>
      </c>
      <c r="G1356" s="585" t="str">
        <f ca="1">IF(E1356&gt;0,"P","")</f>
        <v/>
      </c>
      <c r="H1356" s="1330" t="s">
        <v>5096</v>
      </c>
      <c r="I1356" s="1527"/>
    </row>
    <row r="1357" spans="1:9" x14ac:dyDescent="0.25">
      <c r="A1357" s="210"/>
      <c r="B1357" s="1262"/>
      <c r="C1357" s="1262"/>
      <c r="D1357" s="1843"/>
      <c r="E1357" s="1297"/>
      <c r="F1357" s="94"/>
      <c r="G1357" s="585" t="str">
        <f ca="1">G1356</f>
        <v/>
      </c>
    </row>
    <row r="1358" spans="1:9" ht="15" customHeight="1" x14ac:dyDescent="0.25">
      <c r="A1358" s="66" t="s">
        <v>977</v>
      </c>
      <c r="B1358" s="1277"/>
      <c r="C1358" s="1277"/>
      <c r="D1358" s="1796" t="s">
        <v>978</v>
      </c>
      <c r="E1358" s="1295">
        <f ca="1">'Verification Report'!O1359</f>
        <v>0</v>
      </c>
      <c r="F1358" s="94"/>
      <c r="G1358" s="585" t="str">
        <f ca="1">IF(E1358&gt;0,"P","")</f>
        <v/>
      </c>
    </row>
    <row r="1359" spans="1:9" x14ac:dyDescent="0.25">
      <c r="A1359" s="4"/>
      <c r="B1359" s="1277"/>
      <c r="C1359" s="1277"/>
      <c r="D1359" s="1796"/>
      <c r="E1359" s="1295"/>
      <c r="F1359" s="94"/>
      <c r="G1359" s="585" t="str">
        <f ca="1">G1358</f>
        <v/>
      </c>
    </row>
    <row r="1360" spans="1:9" hidden="1" x14ac:dyDescent="0.25">
      <c r="A1360" s="4"/>
      <c r="B1360" s="1277"/>
      <c r="C1360" s="1277"/>
      <c r="D1360" s="1557" t="s">
        <v>979</v>
      </c>
      <c r="E1360" s="1295"/>
      <c r="F1360" s="94"/>
      <c r="G1360" s="1328" t="s">
        <v>247</v>
      </c>
    </row>
    <row r="1361" spans="1:9" hidden="1" x14ac:dyDescent="0.25">
      <c r="A1361" s="4"/>
      <c r="B1361" s="1277"/>
      <c r="C1361" s="1277"/>
      <c r="D1361" s="1557" t="s">
        <v>980</v>
      </c>
      <c r="E1361" s="1295"/>
      <c r="F1361" s="94"/>
      <c r="G1361" s="1328" t="s">
        <v>247</v>
      </c>
    </row>
    <row r="1362" spans="1:9" ht="15" customHeight="1" x14ac:dyDescent="0.25">
      <c r="A1362" s="4"/>
      <c r="B1362" s="234" t="s">
        <v>256</v>
      </c>
      <c r="C1362" s="1277"/>
      <c r="D1362" s="1779" t="s">
        <v>981</v>
      </c>
      <c r="E1362" s="1295"/>
      <c r="F1362" s="94"/>
      <c r="G1362" s="2363" t="str">
        <f>IF(COUNTIF(G1364:H1368,"P")&gt;0,"P","")</f>
        <v/>
      </c>
      <c r="H1362" s="1330" t="s">
        <v>5097</v>
      </c>
      <c r="I1362" s="1527"/>
    </row>
    <row r="1363" spans="1:9" x14ac:dyDescent="0.25">
      <c r="A1363" s="4"/>
      <c r="B1363" s="1277"/>
      <c r="C1363" s="1277"/>
      <c r="D1363" s="1779"/>
      <c r="E1363" s="1295"/>
      <c r="F1363" s="94"/>
      <c r="G1363" s="585" t="str">
        <f>G1362</f>
        <v/>
      </c>
    </row>
    <row r="1364" spans="1:9" ht="15" customHeight="1" x14ac:dyDescent="0.25">
      <c r="A1364" s="4"/>
      <c r="B1364" s="1277"/>
      <c r="C1364" s="230" t="s">
        <v>121</v>
      </c>
      <c r="D1364" s="1779" t="s">
        <v>982</v>
      </c>
      <c r="E1364" s="1295"/>
      <c r="F1364" s="1313" t="str">
        <f>IF(LEN('Verification Report'!W1365)=0,"",'Verification Report'!W1365)</f>
        <v/>
      </c>
      <c r="G1364" s="585" t="str">
        <f>IF(AND(LEN(F1364)&gt;0,NOT(F1364=FALSE)),"P","")</f>
        <v/>
      </c>
    </row>
    <row r="1365" spans="1:9" x14ac:dyDescent="0.25">
      <c r="A1365" s="4"/>
      <c r="B1365" s="1277"/>
      <c r="C1365" s="1277"/>
      <c r="D1365" s="1779"/>
      <c r="E1365" s="1295"/>
      <c r="F1365" s="94"/>
      <c r="G1365" s="585" t="str">
        <f>G1364</f>
        <v/>
      </c>
    </row>
    <row r="1366" spans="1:9" x14ac:dyDescent="0.25">
      <c r="A1366" s="4"/>
      <c r="B1366" s="1277"/>
      <c r="C1366" s="230" t="s">
        <v>122</v>
      </c>
      <c r="D1366" s="1554" t="s">
        <v>983</v>
      </c>
      <c r="E1366" s="1295"/>
      <c r="F1366" s="1313" t="str">
        <f>IF(LEN('Verification Report'!W1367)=0,"",'Verification Report'!W1367)</f>
        <v/>
      </c>
      <c r="G1366" s="585" t="str">
        <f>IF(AND(LEN(F1366)&gt;0,NOT(F1366=FALSE)),"P","")</f>
        <v/>
      </c>
    </row>
    <row r="1367" spans="1:9" x14ac:dyDescent="0.25">
      <c r="A1367" s="4"/>
      <c r="B1367" s="1277"/>
      <c r="C1367" s="231" t="s">
        <v>123</v>
      </c>
      <c r="D1367" s="1554" t="s">
        <v>984</v>
      </c>
      <c r="E1367" s="1295"/>
      <c r="F1367" s="1313" t="str">
        <f>IF(LEN('Verification Report'!W1368)=0,"",'Verification Report'!W1368)</f>
        <v/>
      </c>
      <c r="G1367" s="585" t="str">
        <f>IF(AND(LEN(F1367)&gt;0,NOT(F1367=FALSE)),"P","")</f>
        <v/>
      </c>
    </row>
    <row r="1368" spans="1:9" ht="15" customHeight="1" x14ac:dyDescent="0.25">
      <c r="A1368" s="4"/>
      <c r="B1368" s="1261"/>
      <c r="C1368" s="1283" t="s">
        <v>401</v>
      </c>
      <c r="D1368" s="1754" t="s">
        <v>985</v>
      </c>
      <c r="E1368" s="1295"/>
      <c r="F1368" s="1313" t="str">
        <f>IF(LEN('Verification Report'!W1369)=0,"",'Verification Report'!W1369)</f>
        <v/>
      </c>
      <c r="G1368" s="585" t="str">
        <f>IF(AND(LEN(F1368)&gt;0,NOT(F1368=FALSE)),"P","")</f>
        <v/>
      </c>
    </row>
    <row r="1369" spans="1:9" x14ac:dyDescent="0.25">
      <c r="A1369" s="4"/>
      <c r="B1369" s="1262"/>
      <c r="C1369" s="1262"/>
      <c r="D1369" s="1755"/>
      <c r="E1369" s="1295"/>
      <c r="F1369" s="94"/>
      <c r="G1369" s="585" t="str">
        <f>G1368</f>
        <v/>
      </c>
    </row>
    <row r="1370" spans="1:9" ht="15" customHeight="1" x14ac:dyDescent="0.25">
      <c r="A1370" s="4"/>
      <c r="B1370" s="234" t="s">
        <v>258</v>
      </c>
      <c r="C1370" s="1277"/>
      <c r="D1370" s="1779" t="s">
        <v>986</v>
      </c>
      <c r="E1370" s="1295"/>
      <c r="F1370" s="1313" t="str">
        <f>IF(LEN('Verification Report'!W1371)=0,"",'Verification Report'!W1371)</f>
        <v/>
      </c>
      <c r="G1370" s="585" t="str">
        <f>IF(AND(LEN(F1370)&gt;0,NOT(F1370=FALSE)),"P","")</f>
        <v/>
      </c>
      <c r="H1370" s="1330" t="s">
        <v>5098</v>
      </c>
      <c r="I1370" s="1527"/>
    </row>
    <row r="1371" spans="1:9" x14ac:dyDescent="0.25">
      <c r="A1371" s="4"/>
      <c r="B1371" s="1277"/>
      <c r="C1371" s="1277"/>
      <c r="D1371" s="1779"/>
      <c r="E1371" s="1295"/>
      <c r="F1371" s="94"/>
      <c r="G1371" s="585" t="str">
        <f>G1370</f>
        <v/>
      </c>
    </row>
    <row r="1372" spans="1:9" hidden="1" x14ac:dyDescent="0.25">
      <c r="A1372" s="4"/>
      <c r="B1372" s="1262"/>
      <c r="C1372" s="1262"/>
      <c r="D1372" s="1571" t="s">
        <v>987</v>
      </c>
      <c r="E1372" s="1295"/>
      <c r="F1372" s="94"/>
      <c r="G1372" s="1260" t="s">
        <v>247</v>
      </c>
    </row>
    <row r="1373" spans="1:9" ht="15" hidden="1" customHeight="1" x14ac:dyDescent="0.25">
      <c r="A1373" s="4"/>
      <c r="B1373" s="556" t="s">
        <v>260</v>
      </c>
      <c r="C1373" s="1271"/>
      <c r="D1373" s="1787" t="s">
        <v>4323</v>
      </c>
      <c r="E1373" s="1295"/>
      <c r="F1373" s="1313" t="str">
        <f>IF(LEN('Verification Report'!W1374)=0,"",'Verification Report'!W1374)</f>
        <v/>
      </c>
      <c r="G1373" s="1260" t="s">
        <v>247</v>
      </c>
    </row>
    <row r="1374" spans="1:9" hidden="1" x14ac:dyDescent="0.25">
      <c r="D1374" s="1787"/>
      <c r="E1374" s="664"/>
      <c r="F1374" s="94"/>
      <c r="G1374" s="1260" t="s">
        <v>247</v>
      </c>
    </row>
    <row r="1375" spans="1:9" ht="15" hidden="1" customHeight="1" x14ac:dyDescent="0.25">
      <c r="A1375" s="4"/>
      <c r="B1375" s="556" t="s">
        <v>269</v>
      </c>
      <c r="C1375" s="1271"/>
      <c r="D1375" s="1778" t="s">
        <v>988</v>
      </c>
      <c r="E1375" s="1295"/>
      <c r="F1375" s="1313" t="str">
        <f>IF(LEN('Verification Report'!W1376)=0,"",'Verification Report'!W1376)</f>
        <v/>
      </c>
      <c r="G1375" s="1260" t="s">
        <v>247</v>
      </c>
    </row>
    <row r="1376" spans="1:9" hidden="1" x14ac:dyDescent="0.25">
      <c r="A1376" s="4"/>
      <c r="B1376" s="1262"/>
      <c r="C1376" s="1262"/>
      <c r="D1376" s="1755"/>
      <c r="E1376" s="1295"/>
      <c r="F1376" s="94"/>
      <c r="G1376" s="1260" t="s">
        <v>247</v>
      </c>
    </row>
    <row r="1377" spans="1:7" ht="15" hidden="1" customHeight="1" x14ac:dyDescent="0.25">
      <c r="A1377" s="4"/>
      <c r="B1377" s="234" t="s">
        <v>275</v>
      </c>
      <c r="C1377" s="1277"/>
      <c r="D1377" s="1779" t="s">
        <v>989</v>
      </c>
      <c r="E1377" s="1295"/>
      <c r="F1377" s="94"/>
      <c r="G1377" s="1260" t="s">
        <v>247</v>
      </c>
    </row>
    <row r="1378" spans="1:7" hidden="1" x14ac:dyDescent="0.25">
      <c r="A1378" s="4"/>
      <c r="B1378" s="1277"/>
      <c r="C1378" s="1277"/>
      <c r="D1378" s="1779"/>
      <c r="E1378" s="1295"/>
      <c r="F1378" s="94"/>
      <c r="G1378" s="1260" t="s">
        <v>247</v>
      </c>
    </row>
    <row r="1379" spans="1:7" hidden="1" x14ac:dyDescent="0.25">
      <c r="A1379" s="4"/>
      <c r="B1379" s="1277"/>
      <c r="C1379" s="1277"/>
      <c r="D1379" s="1779"/>
      <c r="E1379" s="1295"/>
      <c r="F1379" s="94"/>
      <c r="G1379" s="1260" t="s">
        <v>247</v>
      </c>
    </row>
    <row r="1380" spans="1:7" ht="15" hidden="1" customHeight="1" x14ac:dyDescent="0.25">
      <c r="A1380" s="4"/>
      <c r="B1380" s="1277"/>
      <c r="C1380" s="230" t="s">
        <v>121</v>
      </c>
      <c r="D1380" s="1779" t="s">
        <v>990</v>
      </c>
      <c r="E1380" s="1295"/>
      <c r="F1380" s="1313" t="str">
        <f>IF(LEN('Verification Report'!W1381)=0,"",'Verification Report'!W1381)</f>
        <v/>
      </c>
      <c r="G1380" s="1260" t="s">
        <v>247</v>
      </c>
    </row>
    <row r="1381" spans="1:7" hidden="1" x14ac:dyDescent="0.25">
      <c r="A1381" s="4"/>
      <c r="B1381" s="1277"/>
      <c r="C1381" s="1277"/>
      <c r="D1381" s="1779"/>
      <c r="E1381" s="1295"/>
      <c r="F1381" s="94"/>
      <c r="G1381" s="1260" t="s">
        <v>247</v>
      </c>
    </row>
    <row r="1382" spans="1:7" ht="15" hidden="1" customHeight="1" x14ac:dyDescent="0.25">
      <c r="A1382" s="4"/>
      <c r="B1382" s="1261"/>
      <c r="C1382" s="518" t="s">
        <v>122</v>
      </c>
      <c r="D1382" s="1754" t="s">
        <v>991</v>
      </c>
      <c r="E1382" s="1295"/>
      <c r="F1382" s="1313" t="str">
        <f>IF(LEN('Verification Report'!W1383)=0,"",'Verification Report'!W1383)</f>
        <v/>
      </c>
      <c r="G1382" s="1260" t="s">
        <v>247</v>
      </c>
    </row>
    <row r="1383" spans="1:7" hidden="1" x14ac:dyDescent="0.25">
      <c r="A1383" s="4"/>
      <c r="B1383" s="1262"/>
      <c r="C1383" s="1262"/>
      <c r="D1383" s="1755"/>
      <c r="E1383" s="1295"/>
      <c r="F1383" s="94"/>
      <c r="G1383" s="1260" t="s">
        <v>247</v>
      </c>
    </row>
    <row r="1384" spans="1:7" ht="15" hidden="1" customHeight="1" x14ac:dyDescent="0.25">
      <c r="A1384" s="129"/>
      <c r="B1384" s="543" t="s">
        <v>277</v>
      </c>
      <c r="C1384" s="1261"/>
      <c r="D1384" s="1754" t="s">
        <v>992</v>
      </c>
      <c r="E1384" s="1296"/>
      <c r="F1384" s="1313" t="str">
        <f>IF(LEN('Verification Report'!W1385)=0,"",'Verification Report'!W1385)</f>
        <v/>
      </c>
      <c r="G1384" s="1260" t="s">
        <v>247</v>
      </c>
    </row>
    <row r="1385" spans="1:7" hidden="1" x14ac:dyDescent="0.25">
      <c r="A1385" s="210"/>
      <c r="B1385" s="1262"/>
      <c r="C1385" s="1262"/>
      <c r="D1385" s="1755"/>
      <c r="E1385" s="1297"/>
      <c r="F1385" s="94"/>
      <c r="G1385" s="1260" t="s">
        <v>247</v>
      </c>
    </row>
    <row r="1386" spans="1:7" ht="15" hidden="1" customHeight="1" x14ac:dyDescent="0.25">
      <c r="A1386" s="66" t="s">
        <v>993</v>
      </c>
      <c r="B1386" s="1277"/>
      <c r="C1386" s="1277"/>
      <c r="D1386" s="1852" t="s">
        <v>994</v>
      </c>
      <c r="E1386" s="1295">
        <f ca="1">'Verification Report'!O1387</f>
        <v>0</v>
      </c>
      <c r="F1386" s="1313" t="str">
        <f>IF(LEN('Verification Report'!W1387)=0,"",'Verification Report'!W1387)</f>
        <v/>
      </c>
      <c r="G1386" s="1260" t="s">
        <v>247</v>
      </c>
    </row>
    <row r="1387" spans="1:7" hidden="1" x14ac:dyDescent="0.25">
      <c r="A1387" s="4"/>
      <c r="B1387" s="1277"/>
      <c r="C1387" s="1277"/>
      <c r="D1387" s="1852"/>
      <c r="E1387" s="1295"/>
      <c r="F1387" s="94"/>
      <c r="G1387" s="1260" t="s">
        <v>247</v>
      </c>
    </row>
    <row r="1388" spans="1:7" hidden="1" x14ac:dyDescent="0.25">
      <c r="A1388" s="4"/>
      <c r="B1388" s="1277"/>
      <c r="C1388" s="1277"/>
      <c r="D1388" s="1554" t="s">
        <v>995</v>
      </c>
      <c r="E1388" s="1295"/>
      <c r="F1388" s="94"/>
      <c r="G1388" s="1260" t="s">
        <v>247</v>
      </c>
    </row>
    <row r="1389" spans="1:7" ht="15" hidden="1" customHeight="1" x14ac:dyDescent="0.25">
      <c r="A1389" s="4"/>
      <c r="B1389" s="543" t="s">
        <v>256</v>
      </c>
      <c r="C1389" s="1261"/>
      <c r="D1389" s="1754" t="s">
        <v>996</v>
      </c>
      <c r="E1389" s="1295"/>
      <c r="F1389" s="94"/>
      <c r="G1389" s="1260" t="s">
        <v>247</v>
      </c>
    </row>
    <row r="1390" spans="1:7" hidden="1" x14ac:dyDescent="0.25">
      <c r="A1390" s="4"/>
      <c r="B1390" s="1262"/>
      <c r="C1390" s="1262"/>
      <c r="D1390" s="1755"/>
      <c r="E1390" s="1295"/>
      <c r="F1390" s="94"/>
      <c r="G1390" s="1260" t="s">
        <v>247</v>
      </c>
    </row>
    <row r="1391" spans="1:7" ht="15" hidden="1" customHeight="1" x14ac:dyDescent="0.25">
      <c r="A1391" s="4"/>
      <c r="B1391" s="234" t="s">
        <v>258</v>
      </c>
      <c r="C1391" s="1277"/>
      <c r="D1391" s="1841" t="s">
        <v>997</v>
      </c>
      <c r="E1391" s="1295"/>
      <c r="F1391" s="94"/>
      <c r="G1391" s="1260" t="s">
        <v>247</v>
      </c>
    </row>
    <row r="1392" spans="1:7" hidden="1" x14ac:dyDescent="0.25">
      <c r="A1392" s="4"/>
      <c r="B1392" s="1277"/>
      <c r="C1392" s="1277"/>
      <c r="D1392" s="1841"/>
      <c r="E1392" s="1295"/>
      <c r="F1392" s="94"/>
      <c r="G1392" s="1260" t="s">
        <v>247</v>
      </c>
    </row>
    <row r="1393" spans="1:7" ht="15" hidden="1" customHeight="1" x14ac:dyDescent="0.25">
      <c r="A1393" s="4"/>
      <c r="B1393" s="1277"/>
      <c r="C1393" s="518" t="s">
        <v>121</v>
      </c>
      <c r="D1393" s="1754" t="s">
        <v>998</v>
      </c>
      <c r="E1393" s="1295"/>
      <c r="F1393" s="94"/>
      <c r="G1393" s="1260" t="s">
        <v>247</v>
      </c>
    </row>
    <row r="1394" spans="1:7" hidden="1" x14ac:dyDescent="0.25">
      <c r="A1394" s="4"/>
      <c r="B1394" s="1277"/>
      <c r="C1394" s="1261"/>
      <c r="D1394" s="1754"/>
      <c r="E1394" s="1295"/>
      <c r="F1394" s="94"/>
      <c r="G1394" s="1260" t="s">
        <v>247</v>
      </c>
    </row>
    <row r="1395" spans="1:7" hidden="1" x14ac:dyDescent="0.25">
      <c r="A1395" s="4"/>
      <c r="B1395" s="1277"/>
      <c r="C1395" s="1262"/>
      <c r="D1395" s="1755"/>
      <c r="E1395" s="1295"/>
      <c r="F1395" s="94"/>
      <c r="G1395" s="1260" t="s">
        <v>247</v>
      </c>
    </row>
    <row r="1396" spans="1:7" ht="15" hidden="1" customHeight="1" x14ac:dyDescent="0.25">
      <c r="A1396" s="4"/>
      <c r="B1396" s="1277"/>
      <c r="C1396" s="230" t="s">
        <v>122</v>
      </c>
      <c r="D1396" s="1779" t="s">
        <v>999</v>
      </c>
      <c r="E1396" s="1295"/>
      <c r="F1396" s="94"/>
      <c r="G1396" s="1260" t="s">
        <v>247</v>
      </c>
    </row>
    <row r="1397" spans="1:7" hidden="1" x14ac:dyDescent="0.25">
      <c r="A1397" s="4"/>
      <c r="B1397" s="1277"/>
      <c r="C1397" s="1277"/>
      <c r="D1397" s="1779"/>
      <c r="E1397" s="1295"/>
      <c r="F1397" s="94"/>
      <c r="G1397" s="1260" t="s">
        <v>247</v>
      </c>
    </row>
    <row r="1398" spans="1:7" ht="15" hidden="1" customHeight="1" x14ac:dyDescent="0.25">
      <c r="A1398" s="4"/>
      <c r="B1398" s="1277"/>
      <c r="C1398" s="1279" t="s">
        <v>844</v>
      </c>
      <c r="D1398" s="1779" t="s">
        <v>1000</v>
      </c>
      <c r="E1398" s="1295"/>
      <c r="F1398" s="94"/>
      <c r="G1398" s="1260" t="s">
        <v>247</v>
      </c>
    </row>
    <row r="1399" spans="1:7" hidden="1" x14ac:dyDescent="0.25">
      <c r="A1399" s="4"/>
      <c r="B1399" s="1277"/>
      <c r="C1399" s="1282"/>
      <c r="D1399" s="1779"/>
      <c r="E1399" s="1295"/>
      <c r="F1399" s="94"/>
      <c r="G1399" s="1260" t="s">
        <v>247</v>
      </c>
    </row>
    <row r="1400" spans="1:7" ht="15" hidden="1" customHeight="1" x14ac:dyDescent="0.25">
      <c r="A1400" s="4"/>
      <c r="B1400" s="1277"/>
      <c r="C1400" s="1279" t="s">
        <v>1001</v>
      </c>
      <c r="D1400" s="1779" t="s">
        <v>1002</v>
      </c>
      <c r="E1400" s="1295"/>
      <c r="F1400" s="94"/>
      <c r="G1400" s="1260" t="s">
        <v>247</v>
      </c>
    </row>
    <row r="1401" spans="1:7" hidden="1" x14ac:dyDescent="0.25">
      <c r="A1401" s="4"/>
      <c r="B1401" s="1277"/>
      <c r="C1401" s="1282"/>
      <c r="D1401" s="1779"/>
      <c r="E1401" s="1295"/>
      <c r="F1401" s="94"/>
      <c r="G1401" s="1260" t="s">
        <v>247</v>
      </c>
    </row>
    <row r="1402" spans="1:7" ht="15" hidden="1" customHeight="1" x14ac:dyDescent="0.25">
      <c r="A1402" s="4"/>
      <c r="B1402" s="1277"/>
      <c r="C1402" s="1278" t="s">
        <v>1003</v>
      </c>
      <c r="D1402" s="1754" t="s">
        <v>1004</v>
      </c>
      <c r="E1402" s="1295"/>
      <c r="F1402" s="94"/>
      <c r="G1402" s="1260" t="s">
        <v>247</v>
      </c>
    </row>
    <row r="1403" spans="1:7" hidden="1" x14ac:dyDescent="0.25">
      <c r="A1403" s="4"/>
      <c r="B1403" s="1277"/>
      <c r="C1403" s="1262"/>
      <c r="D1403" s="1755"/>
      <c r="E1403" s="1295"/>
      <c r="F1403" s="94"/>
      <c r="G1403" s="1260" t="s">
        <v>247</v>
      </c>
    </row>
    <row r="1404" spans="1:7" ht="15" hidden="1" customHeight="1" x14ac:dyDescent="0.25">
      <c r="A1404" s="4"/>
      <c r="B1404" s="1261"/>
      <c r="C1404" s="518" t="s">
        <v>123</v>
      </c>
      <c r="D1404" s="1754" t="s">
        <v>1005</v>
      </c>
      <c r="E1404" s="1295"/>
      <c r="F1404" s="94"/>
      <c r="G1404" s="1260" t="s">
        <v>247</v>
      </c>
    </row>
    <row r="1405" spans="1:7" hidden="1" x14ac:dyDescent="0.25">
      <c r="A1405" s="4"/>
      <c r="B1405" s="1261"/>
      <c r="C1405" s="1261"/>
      <c r="D1405" s="1754"/>
      <c r="E1405" s="1295"/>
      <c r="F1405" s="94"/>
      <c r="G1405" s="1260" t="s">
        <v>247</v>
      </c>
    </row>
    <row r="1406" spans="1:7" hidden="1" x14ac:dyDescent="0.25">
      <c r="A1406" s="4"/>
      <c r="B1406" s="1262"/>
      <c r="C1406" s="1262"/>
      <c r="D1406" s="1755"/>
      <c r="E1406" s="1295"/>
      <c r="F1406" s="94"/>
      <c r="G1406" s="1260" t="s">
        <v>247</v>
      </c>
    </row>
    <row r="1407" spans="1:7" ht="15" hidden="1" customHeight="1" x14ac:dyDescent="0.25">
      <c r="A1407" s="4"/>
      <c r="B1407" s="234" t="s">
        <v>260</v>
      </c>
      <c r="C1407" s="1277"/>
      <c r="D1407" s="1779" t="s">
        <v>1006</v>
      </c>
      <c r="E1407" s="1295"/>
      <c r="F1407" s="94"/>
      <c r="G1407" s="1260" t="s">
        <v>247</v>
      </c>
    </row>
    <row r="1408" spans="1:7" hidden="1" x14ac:dyDescent="0.25">
      <c r="A1408" s="4"/>
      <c r="B1408" s="1277"/>
      <c r="C1408" s="1277"/>
      <c r="D1408" s="1779"/>
      <c r="E1408" s="1295"/>
      <c r="F1408" s="94"/>
      <c r="G1408" s="1260" t="s">
        <v>247</v>
      </c>
    </row>
    <row r="1409" spans="1:7" ht="18.75" hidden="1" x14ac:dyDescent="0.3">
      <c r="A1409" s="14" t="s">
        <v>4858</v>
      </c>
      <c r="B1409" s="84"/>
      <c r="C1409" s="84"/>
      <c r="D1409" s="84"/>
      <c r="E1409" s="1043"/>
      <c r="F1409" s="94"/>
      <c r="G1409" s="1260" t="s">
        <v>247</v>
      </c>
    </row>
    <row r="1410" spans="1:7" ht="15" hidden="1" customHeight="1" x14ac:dyDescent="0.25">
      <c r="A1410" s="64">
        <v>704.1</v>
      </c>
      <c r="B1410" s="1277"/>
      <c r="C1410" s="1277"/>
      <c r="D1410" s="1833" t="s">
        <v>4324</v>
      </c>
      <c r="E1410" s="1295">
        <f>'Verification Report'!O1411</f>
        <v>0</v>
      </c>
      <c r="F1410" s="94"/>
      <c r="G1410" s="1260" t="s">
        <v>247</v>
      </c>
    </row>
    <row r="1411" spans="1:7" hidden="1" x14ac:dyDescent="0.25">
      <c r="A1411" s="4"/>
      <c r="B1411" s="1277"/>
      <c r="C1411" s="1277"/>
      <c r="D1411" s="1833"/>
      <c r="E1411" s="1295"/>
      <c r="F1411" s="94"/>
      <c r="G1411" s="1260" t="s">
        <v>247</v>
      </c>
    </row>
    <row r="1412" spans="1:7" hidden="1" x14ac:dyDescent="0.25">
      <c r="A1412" s="4"/>
      <c r="B1412" s="1277"/>
      <c r="C1412" s="1277"/>
      <c r="D1412" s="1833"/>
      <c r="E1412" s="1295"/>
      <c r="F1412" s="94"/>
      <c r="G1412" s="1260" t="s">
        <v>247</v>
      </c>
    </row>
    <row r="1413" spans="1:7" hidden="1" x14ac:dyDescent="0.25">
      <c r="A1413" s="4"/>
      <c r="B1413" s="1277"/>
      <c r="C1413" s="1277"/>
      <c r="D1413" s="1833"/>
      <c r="E1413" s="1295"/>
      <c r="F1413" s="94"/>
      <c r="G1413" s="1260" t="s">
        <v>247</v>
      </c>
    </row>
    <row r="1414" spans="1:7" ht="15" hidden="1" customHeight="1" x14ac:dyDescent="0.25">
      <c r="A1414" s="4"/>
      <c r="B1414" s="1277"/>
      <c r="C1414" s="1277"/>
      <c r="D1414" s="1787" t="s">
        <v>4325</v>
      </c>
      <c r="E1414" s="1295"/>
      <c r="F1414" s="1847"/>
      <c r="G1414" s="1260" t="s">
        <v>247</v>
      </c>
    </row>
    <row r="1415" spans="1:7" hidden="1" x14ac:dyDescent="0.25">
      <c r="A1415" s="210"/>
      <c r="B1415" s="1262"/>
      <c r="C1415" s="1262"/>
      <c r="D1415" s="1786"/>
      <c r="E1415" s="1295"/>
      <c r="F1415" s="1847"/>
      <c r="G1415" s="1260" t="s">
        <v>247</v>
      </c>
    </row>
    <row r="1416" spans="1:7" ht="15" hidden="1" customHeight="1" x14ac:dyDescent="0.25">
      <c r="A1416" s="64">
        <v>704.2</v>
      </c>
      <c r="B1416" s="1277"/>
      <c r="C1416" s="1277"/>
      <c r="D1416" s="1833" t="s">
        <v>4326</v>
      </c>
      <c r="E1416" s="1295"/>
      <c r="F1416" s="1313" t="str">
        <f>IF(LEN('Verification Report'!W1417)=0,"",'Verification Report'!W1417)</f>
        <v/>
      </c>
      <c r="G1416" s="1260" t="s">
        <v>247</v>
      </c>
    </row>
    <row r="1417" spans="1:7" hidden="1" x14ac:dyDescent="0.25">
      <c r="A1417" s="4"/>
      <c r="B1417" s="1277"/>
      <c r="C1417" s="1277"/>
      <c r="D1417" s="1833"/>
      <c r="E1417" s="1295"/>
      <c r="F1417" s="94"/>
      <c r="G1417" s="1260" t="s">
        <v>247</v>
      </c>
    </row>
    <row r="1418" spans="1:7" hidden="1" x14ac:dyDescent="0.25">
      <c r="A1418" s="4"/>
      <c r="B1418" s="1277"/>
      <c r="C1418" s="1277"/>
      <c r="D1418" s="1833"/>
      <c r="E1418" s="1295"/>
      <c r="F1418" s="1313" t="str">
        <f>IF(LEN('Verification Report'!W1419)=0,"",'Verification Report'!W1419)</f>
        <v/>
      </c>
      <c r="G1418" s="1260" t="s">
        <v>247</v>
      </c>
    </row>
    <row r="1419" spans="1:7" ht="15" hidden="1" customHeight="1" x14ac:dyDescent="0.25">
      <c r="A1419" s="4"/>
      <c r="B1419" s="1277"/>
      <c r="C1419" s="1277"/>
      <c r="D1419" s="1833" t="s">
        <v>4327</v>
      </c>
      <c r="E1419" s="1295"/>
      <c r="F1419" s="94"/>
      <c r="G1419" s="1260" t="s">
        <v>247</v>
      </c>
    </row>
    <row r="1420" spans="1:7" hidden="1" x14ac:dyDescent="0.25">
      <c r="A1420" s="4"/>
      <c r="B1420" s="1277"/>
      <c r="C1420" s="1277"/>
      <c r="D1420" s="1833"/>
      <c r="E1420" s="1295"/>
      <c r="F1420" s="94"/>
      <c r="G1420" s="1260" t="s">
        <v>247</v>
      </c>
    </row>
    <row r="1421" spans="1:7" ht="18.75" hidden="1" x14ac:dyDescent="0.3">
      <c r="A1421" s="14" t="s">
        <v>1007</v>
      </c>
      <c r="B1421" s="84"/>
      <c r="C1421" s="84"/>
      <c r="D1421" s="84"/>
      <c r="E1421" s="1043"/>
      <c r="F1421" s="94"/>
      <c r="G1421" s="1260" t="s">
        <v>247</v>
      </c>
    </row>
    <row r="1422" spans="1:7" hidden="1" x14ac:dyDescent="0.25">
      <c r="A1422" s="64">
        <v>705.2</v>
      </c>
      <c r="B1422" s="1277"/>
      <c r="C1422" s="1277"/>
      <c r="D1422" s="1563" t="s">
        <v>1008</v>
      </c>
      <c r="E1422" s="1295"/>
      <c r="F1422" s="94"/>
      <c r="G1422" s="1260" t="s">
        <v>247</v>
      </c>
    </row>
    <row r="1423" spans="1:7" hidden="1" x14ac:dyDescent="0.25">
      <c r="A1423" s="66" t="s">
        <v>1009</v>
      </c>
      <c r="B1423" s="1277"/>
      <c r="C1423" s="1277"/>
      <c r="D1423" s="1563" t="s">
        <v>1010</v>
      </c>
      <c r="E1423" s="1295"/>
      <c r="F1423" s="94"/>
      <c r="G1423" s="1260" t="s">
        <v>247</v>
      </c>
    </row>
    <row r="1424" spans="1:7" ht="15" hidden="1" customHeight="1" x14ac:dyDescent="0.25">
      <c r="A1424" s="66"/>
      <c r="B1424" s="1277"/>
      <c r="C1424" s="1277"/>
      <c r="D1424" s="1904" t="s">
        <v>1011</v>
      </c>
      <c r="E1424" s="1295"/>
      <c r="F1424" s="94"/>
      <c r="G1424" s="1260" t="s">
        <v>247</v>
      </c>
    </row>
    <row r="1425" spans="1:9" hidden="1" x14ac:dyDescent="0.25">
      <c r="A1425" s="66"/>
      <c r="B1425" s="1277"/>
      <c r="C1425" s="1277"/>
      <c r="D1425" s="1904"/>
      <c r="E1425" s="1295"/>
      <c r="F1425" s="94"/>
      <c r="G1425" s="1260" t="s">
        <v>247</v>
      </c>
    </row>
    <row r="1426" spans="1:9" ht="15" hidden="1" customHeight="1" x14ac:dyDescent="0.25">
      <c r="A1426" s="66" t="s">
        <v>1012</v>
      </c>
      <c r="B1426" s="1277"/>
      <c r="C1426" s="1277"/>
      <c r="D1426" s="1833" t="s">
        <v>4328</v>
      </c>
      <c r="E1426" s="1295">
        <f ca="1">'Verification Report'!O1427</f>
        <v>0</v>
      </c>
      <c r="F1426" s="1313" t="str">
        <f>IF(LEN('Verification Report'!W1427)=0,"",'Verification Report'!W1427)</f>
        <v/>
      </c>
      <c r="G1426" s="1260" t="s">
        <v>247</v>
      </c>
    </row>
    <row r="1427" spans="1:9" hidden="1" x14ac:dyDescent="0.25">
      <c r="A1427" s="4"/>
      <c r="B1427" s="1277"/>
      <c r="C1427" s="1277"/>
      <c r="D1427" s="1833"/>
      <c r="E1427" s="1295"/>
      <c r="F1427" s="94"/>
      <c r="G1427" s="1260" t="s">
        <v>247</v>
      </c>
    </row>
    <row r="1428" spans="1:9" hidden="1" x14ac:dyDescent="0.25">
      <c r="A1428" s="4"/>
      <c r="B1428" s="544" t="s">
        <v>256</v>
      </c>
      <c r="C1428" s="1262"/>
      <c r="D1428" s="1536" t="s">
        <v>1013</v>
      </c>
      <c r="E1428" s="1295"/>
      <c r="F1428" s="94"/>
      <c r="G1428" s="1260" t="s">
        <v>247</v>
      </c>
    </row>
    <row r="1429" spans="1:9" hidden="1" x14ac:dyDescent="0.25">
      <c r="A1429" s="210"/>
      <c r="B1429" s="544" t="s">
        <v>258</v>
      </c>
      <c r="C1429" s="1262"/>
      <c r="D1429" s="1536" t="s">
        <v>1014</v>
      </c>
      <c r="E1429" s="1297"/>
      <c r="F1429" s="94"/>
      <c r="G1429" s="1260" t="s">
        <v>247</v>
      </c>
    </row>
    <row r="1430" spans="1:9" ht="15" customHeight="1" x14ac:dyDescent="0.25">
      <c r="A1430" s="510" t="s">
        <v>1015</v>
      </c>
      <c r="B1430" s="543"/>
      <c r="C1430" s="1261"/>
      <c r="D1430" s="1782" t="s">
        <v>1016</v>
      </c>
      <c r="E1430" s="1296">
        <f>'Verification Report'!O1431</f>
        <v>0</v>
      </c>
      <c r="F1430" s="1313" t="str">
        <f>IF(LEN('Verification Report'!W1431)=0,"",'Verification Report'!W1431)</f>
        <v/>
      </c>
      <c r="G1430" s="585" t="str">
        <f>IF(E1430&gt;0,"P","")</f>
        <v/>
      </c>
      <c r="H1430" s="1330" t="s">
        <v>5099</v>
      </c>
      <c r="I1430" s="1527"/>
    </row>
    <row r="1431" spans="1:9" ht="15.75" thickBot="1" x14ac:dyDescent="0.3">
      <c r="A1431" s="210"/>
      <c r="B1431" s="1262"/>
      <c r="C1431" s="1262"/>
      <c r="D1431" s="1843"/>
      <c r="E1431" s="1297"/>
      <c r="F1431" s="94"/>
      <c r="G1431" s="585" t="str">
        <f>G1430</f>
        <v/>
      </c>
    </row>
    <row r="1432" spans="1:9" ht="15.75" hidden="1" thickBot="1" x14ac:dyDescent="0.3">
      <c r="A1432" s="66" t="s">
        <v>1017</v>
      </c>
      <c r="B1432" s="1277"/>
      <c r="C1432" s="1277"/>
      <c r="D1432" s="1563" t="s">
        <v>1018</v>
      </c>
      <c r="E1432" s="1295"/>
      <c r="F1432" s="94"/>
      <c r="G1432" s="1260" t="s">
        <v>247</v>
      </c>
    </row>
    <row r="1433" spans="1:9" ht="15" hidden="1" customHeight="1" x14ac:dyDescent="0.25">
      <c r="A1433" s="4"/>
      <c r="B1433" s="234" t="s">
        <v>256</v>
      </c>
      <c r="C1433" s="1277"/>
      <c r="D1433" s="1779" t="s">
        <v>1019</v>
      </c>
      <c r="E1433" s="1295">
        <f ca="1">'Verification Report'!O1434</f>
        <v>0</v>
      </c>
      <c r="F1433" s="1313" t="str">
        <f>IF(LEN('Verification Report'!W1434)=0,"",'Verification Report'!W1434)</f>
        <v/>
      </c>
      <c r="G1433" s="1260" t="s">
        <v>247</v>
      </c>
    </row>
    <row r="1434" spans="1:9" ht="15.75" hidden="1" thickBot="1" x14ac:dyDescent="0.3">
      <c r="A1434" s="4"/>
      <c r="B1434" s="1277"/>
      <c r="C1434" s="1277"/>
      <c r="D1434" s="1779"/>
      <c r="E1434" s="1295"/>
      <c r="F1434" s="94"/>
      <c r="G1434" s="1260" t="s">
        <v>247</v>
      </c>
    </row>
    <row r="1435" spans="1:9" ht="15.75" hidden="1" thickBot="1" x14ac:dyDescent="0.3">
      <c r="A1435" s="4"/>
      <c r="B1435" s="1277"/>
      <c r="C1435" s="230" t="s">
        <v>121</v>
      </c>
      <c r="D1435" s="1554" t="s">
        <v>1013</v>
      </c>
      <c r="E1435" s="1295"/>
      <c r="F1435" s="94"/>
      <c r="G1435" s="1260" t="s">
        <v>247</v>
      </c>
    </row>
    <row r="1436" spans="1:9" ht="15.75" hidden="1" thickBot="1" x14ac:dyDescent="0.3">
      <c r="A1436" s="4"/>
      <c r="B1436" s="1262"/>
      <c r="C1436" s="530" t="s">
        <v>122</v>
      </c>
      <c r="D1436" s="1536" t="s">
        <v>1014</v>
      </c>
      <c r="E1436" s="1297"/>
      <c r="F1436" s="94"/>
      <c r="G1436" s="1260" t="s">
        <v>247</v>
      </c>
    </row>
    <row r="1437" spans="1:9" ht="15" hidden="1" customHeight="1" x14ac:dyDescent="0.25">
      <c r="A1437" s="4"/>
      <c r="B1437" s="234" t="s">
        <v>258</v>
      </c>
      <c r="C1437" s="1277"/>
      <c r="D1437" s="1779" t="s">
        <v>1020</v>
      </c>
      <c r="E1437" s="1295">
        <f ca="1">'Verification Report'!O1438</f>
        <v>0</v>
      </c>
      <c r="F1437" s="1313" t="str">
        <f>IF(LEN('Verification Report'!W1438)=0,"",'Verification Report'!W1438)</f>
        <v/>
      </c>
      <c r="G1437" s="1260" t="s">
        <v>247</v>
      </c>
    </row>
    <row r="1438" spans="1:9" ht="15.75" hidden="1" thickBot="1" x14ac:dyDescent="0.3">
      <c r="A1438" s="4"/>
      <c r="B1438" s="1277"/>
      <c r="C1438" s="1277"/>
      <c r="D1438" s="1779"/>
      <c r="E1438" s="1295"/>
      <c r="F1438" s="94"/>
      <c r="G1438" s="1260" t="s">
        <v>247</v>
      </c>
    </row>
    <row r="1439" spans="1:9" ht="15.75" hidden="1" thickBot="1" x14ac:dyDescent="0.3">
      <c r="A1439" s="4"/>
      <c r="B1439" s="1277"/>
      <c r="C1439" s="1277"/>
      <c r="D1439" s="1779"/>
      <c r="E1439" s="1295"/>
      <c r="F1439" s="94"/>
      <c r="G1439" s="1260" t="s">
        <v>247</v>
      </c>
    </row>
    <row r="1440" spans="1:9" ht="15.75" hidden="1" thickBot="1" x14ac:dyDescent="0.3">
      <c r="A1440" s="129"/>
      <c r="B1440" s="1261"/>
      <c r="C1440" s="518" t="s">
        <v>121</v>
      </c>
      <c r="D1440" s="1546" t="s">
        <v>1021</v>
      </c>
      <c r="E1440" s="1295"/>
      <c r="F1440" s="94"/>
      <c r="G1440" s="1260" t="s">
        <v>247</v>
      </c>
    </row>
    <row r="1441" spans="1:7" ht="15.75" hidden="1" thickBot="1" x14ac:dyDescent="0.3">
      <c r="A1441" s="210"/>
      <c r="B1441" s="1262"/>
      <c r="C1441" s="530" t="s">
        <v>122</v>
      </c>
      <c r="D1441" s="1536" t="s">
        <v>1022</v>
      </c>
      <c r="E1441" s="1297"/>
      <c r="F1441" s="94"/>
      <c r="G1441" s="1260" t="s">
        <v>247</v>
      </c>
    </row>
    <row r="1442" spans="1:7" ht="15" hidden="1" customHeight="1" x14ac:dyDescent="0.25">
      <c r="A1442" s="66" t="s">
        <v>1023</v>
      </c>
      <c r="B1442" s="1277"/>
      <c r="C1442" s="1277"/>
      <c r="D1442" s="1796" t="s">
        <v>1024</v>
      </c>
      <c r="E1442" s="1295">
        <f ca="1">'Verification Report'!O1443</f>
        <v>0</v>
      </c>
      <c r="F1442" s="1313" t="str">
        <f>IF(LEN('Verification Report'!W1443)=0,"",'Verification Report'!W1443)</f>
        <v/>
      </c>
      <c r="G1442" s="1260" t="s">
        <v>247</v>
      </c>
    </row>
    <row r="1443" spans="1:7" ht="15.75" hidden="1" thickBot="1" x14ac:dyDescent="0.3">
      <c r="A1443" s="4"/>
      <c r="B1443" s="1277"/>
      <c r="C1443" s="1277"/>
      <c r="D1443" s="1796"/>
      <c r="E1443" s="1295"/>
      <c r="F1443" s="94"/>
      <c r="G1443" s="1260" t="s">
        <v>247</v>
      </c>
    </row>
    <row r="1444" spans="1:7" ht="15.75" hidden="1" thickBot="1" x14ac:dyDescent="0.3">
      <c r="A1444" s="4"/>
      <c r="B1444" s="1277"/>
      <c r="C1444" s="1277"/>
      <c r="D1444" s="1796"/>
      <c r="E1444" s="1295"/>
      <c r="F1444" s="94"/>
      <c r="G1444" s="1260" t="s">
        <v>247</v>
      </c>
    </row>
    <row r="1445" spans="1:7" ht="15.75" hidden="1" thickBot="1" x14ac:dyDescent="0.3">
      <c r="A1445" s="4"/>
      <c r="B1445" s="544" t="s">
        <v>256</v>
      </c>
      <c r="C1445" s="1262"/>
      <c r="D1445" s="1536" t="s">
        <v>1021</v>
      </c>
      <c r="E1445" s="1295"/>
      <c r="F1445" s="94"/>
      <c r="G1445" s="1260" t="s">
        <v>247</v>
      </c>
    </row>
    <row r="1446" spans="1:7" ht="15.75" hidden="1" thickBot="1" x14ac:dyDescent="0.3">
      <c r="A1446" s="210"/>
      <c r="B1446" s="544" t="s">
        <v>258</v>
      </c>
      <c r="C1446" s="1262"/>
      <c r="D1446" s="1536" t="s">
        <v>1025</v>
      </c>
      <c r="E1446" s="1297"/>
      <c r="F1446" s="94"/>
      <c r="G1446" s="1260" t="s">
        <v>247</v>
      </c>
    </row>
    <row r="1447" spans="1:7" ht="15" hidden="1" customHeight="1" x14ac:dyDescent="0.25">
      <c r="A1447" s="533" t="s">
        <v>1026</v>
      </c>
      <c r="B1447" s="1271"/>
      <c r="C1447" s="1271"/>
      <c r="D1447" s="1864" t="s">
        <v>1027</v>
      </c>
      <c r="E1447" s="1293">
        <f>'Verification Report'!O1448</f>
        <v>0</v>
      </c>
      <c r="F1447" s="1313" t="str">
        <f>IF(LEN('Verification Report'!W1448)=0,"",'Verification Report'!W1448)</f>
        <v/>
      </c>
      <c r="G1447" s="1260" t="s">
        <v>247</v>
      </c>
    </row>
    <row r="1448" spans="1:7" ht="15.75" hidden="1" thickBot="1" x14ac:dyDescent="0.3">
      <c r="A1448" s="129"/>
      <c r="B1448" s="1261"/>
      <c r="C1448" s="1261"/>
      <c r="D1448" s="1782"/>
      <c r="E1448" s="1296"/>
      <c r="F1448" s="94"/>
      <c r="G1448" s="1260" t="s">
        <v>247</v>
      </c>
    </row>
    <row r="1449" spans="1:7" ht="15.75" hidden="1" thickBot="1" x14ac:dyDescent="0.3">
      <c r="A1449" s="210"/>
      <c r="B1449" s="1262"/>
      <c r="C1449" s="1262"/>
      <c r="D1449" s="1571" t="s">
        <v>931</v>
      </c>
      <c r="E1449" s="1297"/>
      <c r="F1449" s="94"/>
      <c r="G1449" s="1260" t="s">
        <v>247</v>
      </c>
    </row>
    <row r="1450" spans="1:7" ht="15" hidden="1" customHeight="1" x14ac:dyDescent="0.25">
      <c r="A1450" s="533" t="s">
        <v>1028</v>
      </c>
      <c r="B1450" s="1271"/>
      <c r="C1450" s="1271"/>
      <c r="D1450" s="1864" t="s">
        <v>1029</v>
      </c>
      <c r="E1450" s="1293">
        <f>'Verification Report'!O1451</f>
        <v>0</v>
      </c>
      <c r="F1450" s="1313" t="str">
        <f>IF(LEN('Verification Report'!W1451)=0,"",'Verification Report'!W1451)</f>
        <v/>
      </c>
      <c r="G1450" s="1260" t="s">
        <v>247</v>
      </c>
    </row>
    <row r="1451" spans="1:7" ht="15.75" hidden="1" thickBot="1" x14ac:dyDescent="0.3">
      <c r="A1451" s="210"/>
      <c r="B1451" s="1262"/>
      <c r="C1451" s="1262"/>
      <c r="D1451" s="1843"/>
      <c r="E1451" s="1297"/>
      <c r="F1451" s="94"/>
      <c r="G1451" s="1260" t="s">
        <v>247</v>
      </c>
    </row>
    <row r="1452" spans="1:7" ht="15" hidden="1" customHeight="1" x14ac:dyDescent="0.25">
      <c r="A1452" s="510" t="s">
        <v>1030</v>
      </c>
      <c r="B1452" s="1261"/>
      <c r="C1452" s="1261"/>
      <c r="D1452" s="1782" t="s">
        <v>1031</v>
      </c>
      <c r="E1452" s="1296">
        <f>'Verification Report'!O1453</f>
        <v>0</v>
      </c>
      <c r="F1452" s="94"/>
      <c r="G1452" s="1260" t="s">
        <v>247</v>
      </c>
    </row>
    <row r="1453" spans="1:7" ht="15.75" hidden="1" thickBot="1" x14ac:dyDescent="0.3">
      <c r="A1453" s="129"/>
      <c r="B1453" s="1261"/>
      <c r="C1453" s="1261"/>
      <c r="D1453" s="1782"/>
      <c r="E1453" s="1296"/>
      <c r="F1453" s="1313" t="str">
        <f>IF(LEN('Verification Report'!W1454)=0,"",'Verification Report'!W1454)</f>
        <v/>
      </c>
      <c r="G1453" s="1260" t="s">
        <v>247</v>
      </c>
    </row>
    <row r="1454" spans="1:7" ht="15.75" hidden="1" thickBot="1" x14ac:dyDescent="0.3">
      <c r="A1454" s="240"/>
      <c r="B1454" s="1276"/>
      <c r="C1454" s="1276"/>
      <c r="D1454" s="1797"/>
      <c r="E1454" s="1294"/>
      <c r="F1454" s="1255"/>
      <c r="G1454" s="1260" t="s">
        <v>247</v>
      </c>
    </row>
    <row r="1455" spans="1:7" ht="16.5" hidden="1" thickTop="1" thickBot="1" x14ac:dyDescent="0.3">
      <c r="A1455" s="363">
        <v>705.3</v>
      </c>
      <c r="B1455" s="521"/>
      <c r="C1455" s="521"/>
      <c r="D1455" s="365" t="s">
        <v>1032</v>
      </c>
      <c r="E1455" s="1050">
        <f>'Verification Report'!O1456</f>
        <v>0</v>
      </c>
      <c r="F1455" s="1313" t="str">
        <f>IF(LEN('Verification Report'!W1456)=0,"",'Verification Report'!W1456)</f>
        <v/>
      </c>
      <c r="G1455" s="1260" t="s">
        <v>247</v>
      </c>
    </row>
    <row r="1456" spans="1:7" ht="15.75" hidden="1" customHeight="1" thickTop="1" x14ac:dyDescent="0.25">
      <c r="A1456" s="180">
        <v>705.4</v>
      </c>
      <c r="B1456" s="520"/>
      <c r="C1456" s="520"/>
      <c r="D1456" s="1781" t="s">
        <v>1033</v>
      </c>
      <c r="E1456" s="1298">
        <f>'Verification Report'!O1457</f>
        <v>0</v>
      </c>
      <c r="F1456" s="1313" t="str">
        <f>IF(LEN('Verification Report'!W1457)=0,"",'Verification Report'!W1457)</f>
        <v/>
      </c>
      <c r="G1456" s="1260" t="s">
        <v>247</v>
      </c>
    </row>
    <row r="1457" spans="1:7" ht="15.75" hidden="1" thickBot="1" x14ac:dyDescent="0.3">
      <c r="A1457" s="129"/>
      <c r="B1457" s="1261"/>
      <c r="C1457" s="1261"/>
      <c r="D1457" s="1782"/>
      <c r="E1457" s="1296"/>
      <c r="F1457" s="94"/>
      <c r="G1457" s="1260" t="s">
        <v>247</v>
      </c>
    </row>
    <row r="1458" spans="1:7" ht="15.75" hidden="1" thickBot="1" x14ac:dyDescent="0.3">
      <c r="A1458" s="240"/>
      <c r="B1458" s="1276"/>
      <c r="C1458" s="1276"/>
      <c r="D1458" s="1797"/>
      <c r="E1458" s="1294"/>
      <c r="F1458" s="94"/>
      <c r="G1458" s="1260" t="s">
        <v>247</v>
      </c>
    </row>
    <row r="1459" spans="1:7" ht="15.75" hidden="1" thickBot="1" x14ac:dyDescent="0.3">
      <c r="A1459" s="64">
        <v>705.5</v>
      </c>
      <c r="B1459" s="1277"/>
      <c r="C1459" s="1277"/>
      <c r="D1459" s="1563" t="s">
        <v>1034</v>
      </c>
      <c r="E1459" s="1295"/>
      <c r="F1459" s="94"/>
      <c r="G1459" s="1260" t="s">
        <v>247</v>
      </c>
    </row>
    <row r="1460" spans="1:7" ht="15.75" hidden="1" thickBot="1" x14ac:dyDescent="0.3">
      <c r="A1460" s="510" t="s">
        <v>1035</v>
      </c>
      <c r="B1460" s="1277"/>
      <c r="C1460" s="1277"/>
      <c r="D1460" s="1552" t="s">
        <v>4329</v>
      </c>
      <c r="E1460" s="1296"/>
      <c r="F1460" s="94"/>
      <c r="G1460" s="1260" t="s">
        <v>247</v>
      </c>
    </row>
    <row r="1461" spans="1:7" ht="15" hidden="1" customHeight="1" x14ac:dyDescent="0.25">
      <c r="A1461" s="129"/>
      <c r="B1461" s="667" t="s">
        <v>256</v>
      </c>
      <c r="C1461" s="1277"/>
      <c r="D1461" s="1787" t="s">
        <v>4330</v>
      </c>
      <c r="E1461" s="1296">
        <f>'Verification Report'!O1462</f>
        <v>0</v>
      </c>
      <c r="F1461" s="1313" t="str">
        <f>IF(LEN('Verification Report'!W1462)=0,"",'Verification Report'!W1462)</f>
        <v/>
      </c>
      <c r="G1461" s="1260" t="s">
        <v>247</v>
      </c>
    </row>
    <row r="1462" spans="1:7" ht="15.75" hidden="1" thickBot="1" x14ac:dyDescent="0.3">
      <c r="A1462" s="129"/>
      <c r="B1462" s="667"/>
      <c r="C1462" s="1277"/>
      <c r="D1462" s="1787"/>
      <c r="E1462" s="1296"/>
      <c r="F1462" s="94"/>
      <c r="G1462" s="1260" t="s">
        <v>247</v>
      </c>
    </row>
    <row r="1463" spans="1:7" ht="15.75" hidden="1" thickBot="1" x14ac:dyDescent="0.3">
      <c r="A1463" s="129"/>
      <c r="B1463" s="684"/>
      <c r="C1463" s="1262"/>
      <c r="D1463" s="1786"/>
      <c r="E1463" s="1297"/>
      <c r="F1463" s="94"/>
      <c r="G1463" s="1260" t="s">
        <v>247</v>
      </c>
    </row>
    <row r="1464" spans="1:7" ht="15" hidden="1" customHeight="1" x14ac:dyDescent="0.25">
      <c r="A1464" s="129"/>
      <c r="B1464" s="667" t="s">
        <v>258</v>
      </c>
      <c r="C1464" s="1277"/>
      <c r="D1464" s="1787" t="s">
        <v>4331</v>
      </c>
      <c r="E1464" s="1293">
        <f>'Verification Report'!O1465</f>
        <v>0</v>
      </c>
      <c r="F1464" s="1313" t="str">
        <f>IF(LEN('Verification Report'!W1465)=0,"",'Verification Report'!W1465)</f>
        <v/>
      </c>
      <c r="G1464" s="1260" t="s">
        <v>247</v>
      </c>
    </row>
    <row r="1465" spans="1:7" ht="15.75" hidden="1" thickBot="1" x14ac:dyDescent="0.3">
      <c r="A1465" s="210"/>
      <c r="B1465" s="1262"/>
      <c r="C1465" s="1262"/>
      <c r="D1465" s="1786"/>
      <c r="E1465" s="1297"/>
      <c r="F1465" s="94"/>
      <c r="G1465" s="1260" t="s">
        <v>247</v>
      </c>
    </row>
    <row r="1466" spans="1:7" ht="15" hidden="1" customHeight="1" x14ac:dyDescent="0.25">
      <c r="A1466" s="66" t="s">
        <v>1036</v>
      </c>
      <c r="B1466" s="1277"/>
      <c r="C1466" s="1277"/>
      <c r="D1466" s="1796" t="s">
        <v>1037</v>
      </c>
      <c r="E1466" s="1295">
        <f>'Verification Report'!O1467</f>
        <v>0</v>
      </c>
      <c r="F1466" s="1313" t="str">
        <f>IF(LEN('Verification Report'!W1467)=0,"",'Verification Report'!W1467)</f>
        <v/>
      </c>
      <c r="G1466" s="1260" t="s">
        <v>247</v>
      </c>
    </row>
    <row r="1467" spans="1:7" ht="15.75" hidden="1" thickBot="1" x14ac:dyDescent="0.3">
      <c r="A1467" s="4"/>
      <c r="B1467" s="1277"/>
      <c r="C1467" s="1277"/>
      <c r="D1467" s="1796"/>
      <c r="E1467" s="1295"/>
      <c r="F1467" s="94"/>
      <c r="G1467" s="1260" t="s">
        <v>247</v>
      </c>
    </row>
    <row r="1468" spans="1:7" ht="15.75" hidden="1" thickBot="1" x14ac:dyDescent="0.3">
      <c r="A1468" s="4"/>
      <c r="B1468" s="544" t="s">
        <v>256</v>
      </c>
      <c r="C1468" s="1262"/>
      <c r="D1468" s="1536" t="s">
        <v>1038</v>
      </c>
      <c r="E1468" s="1295"/>
      <c r="F1468" s="94"/>
      <c r="G1468" s="1260" t="s">
        <v>247</v>
      </c>
    </row>
    <row r="1469" spans="1:7" ht="15.75" hidden="1" thickBot="1" x14ac:dyDescent="0.3">
      <c r="A1469" s="4"/>
      <c r="B1469" s="544" t="s">
        <v>258</v>
      </c>
      <c r="C1469" s="1262"/>
      <c r="D1469" s="1536" t="s">
        <v>1039</v>
      </c>
      <c r="E1469" s="1295"/>
      <c r="F1469" s="94"/>
      <c r="G1469" s="1260" t="s">
        <v>247</v>
      </c>
    </row>
    <row r="1470" spans="1:7" ht="15.75" hidden="1" thickBot="1" x14ac:dyDescent="0.3">
      <c r="A1470" s="4"/>
      <c r="B1470" s="555" t="s">
        <v>260</v>
      </c>
      <c r="C1470" s="280"/>
      <c r="D1470" s="280" t="s">
        <v>1040</v>
      </c>
      <c r="E1470" s="1295"/>
      <c r="F1470" s="94"/>
      <c r="G1470" s="1260" t="s">
        <v>247</v>
      </c>
    </row>
    <row r="1471" spans="1:7" ht="15.75" hidden="1" thickBot="1" x14ac:dyDescent="0.3">
      <c r="A1471" s="129"/>
      <c r="B1471" s="555" t="s">
        <v>269</v>
      </c>
      <c r="C1471" s="280"/>
      <c r="D1471" s="280" t="s">
        <v>1041</v>
      </c>
      <c r="E1471" s="1296"/>
      <c r="F1471" s="94"/>
      <c r="G1471" s="1260" t="s">
        <v>247</v>
      </c>
    </row>
    <row r="1472" spans="1:7" ht="15.75" hidden="1" thickBot="1" x14ac:dyDescent="0.3">
      <c r="A1472" s="129"/>
      <c r="B1472" s="555" t="s">
        <v>275</v>
      </c>
      <c r="C1472" s="280"/>
      <c r="D1472" s="280" t="s">
        <v>1042</v>
      </c>
      <c r="E1472" s="1296"/>
      <c r="F1472" s="94"/>
      <c r="G1472" s="1260" t="s">
        <v>247</v>
      </c>
    </row>
    <row r="1473" spans="1:7" ht="15.75" hidden="1" thickBot="1" x14ac:dyDescent="0.3">
      <c r="A1473" s="210"/>
      <c r="B1473" s="544" t="s">
        <v>277</v>
      </c>
      <c r="C1473" s="1262"/>
      <c r="D1473" s="1536" t="s">
        <v>1043</v>
      </c>
      <c r="E1473" s="1297"/>
      <c r="F1473" s="94"/>
      <c r="G1473" s="1260" t="s">
        <v>247</v>
      </c>
    </row>
    <row r="1474" spans="1:7" ht="15.75" hidden="1" thickBot="1" x14ac:dyDescent="0.3">
      <c r="A1474" s="87" t="s">
        <v>4332</v>
      </c>
      <c r="B1474" s="862"/>
      <c r="C1474" s="845"/>
      <c r="D1474" s="1552" t="s">
        <v>4333</v>
      </c>
      <c r="E1474" s="1293"/>
      <c r="F1474" s="94"/>
      <c r="G1474" s="1260" t="s">
        <v>247</v>
      </c>
    </row>
    <row r="1475" spans="1:7" ht="15" hidden="1" customHeight="1" x14ac:dyDescent="0.25">
      <c r="A1475" s="87"/>
      <c r="B1475" s="862" t="s">
        <v>256</v>
      </c>
      <c r="C1475" s="845"/>
      <c r="D1475" s="1787" t="s">
        <v>4334</v>
      </c>
      <c r="E1475" s="1295">
        <f>'Verification Report'!O1476</f>
        <v>0</v>
      </c>
      <c r="F1475" s="1313" t="str">
        <f>IF(LEN('Verification Report'!W1476)=0,"",'Verification Report'!W1476)</f>
        <v/>
      </c>
      <c r="G1475" s="1260" t="s">
        <v>247</v>
      </c>
    </row>
    <row r="1476" spans="1:7" ht="15.75" hidden="1" thickBot="1" x14ac:dyDescent="0.3">
      <c r="A1476" s="87"/>
      <c r="B1476" s="863"/>
      <c r="C1476" s="851"/>
      <c r="D1476" s="1786"/>
      <c r="E1476" s="1297"/>
      <c r="F1476" s="94"/>
      <c r="G1476" s="1260" t="s">
        <v>247</v>
      </c>
    </row>
    <row r="1477" spans="1:7" ht="15.75" hidden="1" thickBot="1" x14ac:dyDescent="0.3">
      <c r="A1477" s="96"/>
      <c r="B1477" s="902" t="s">
        <v>258</v>
      </c>
      <c r="C1477" s="852"/>
      <c r="D1477" s="1538" t="s">
        <v>4335</v>
      </c>
      <c r="E1477" s="1058">
        <f>'Verification Report'!O1478</f>
        <v>0</v>
      </c>
      <c r="F1477" s="1313" t="str">
        <f>IF(LEN('Verification Report'!W1478)=0,"",'Verification Report'!W1478)</f>
        <v/>
      </c>
      <c r="G1477" s="1260" t="s">
        <v>247</v>
      </c>
    </row>
    <row r="1478" spans="1:7" ht="15.75" hidden="1" thickBot="1" x14ac:dyDescent="0.3">
      <c r="A1478" s="139">
        <v>705.6</v>
      </c>
      <c r="B1478" s="1277"/>
      <c r="C1478" s="1277"/>
      <c r="D1478" s="1563" t="s">
        <v>1044</v>
      </c>
      <c r="E1478" s="1295"/>
      <c r="F1478" s="94"/>
      <c r="G1478" s="1260" t="s">
        <v>247</v>
      </c>
    </row>
    <row r="1479" spans="1:7" ht="15" hidden="1" customHeight="1" x14ac:dyDescent="0.25">
      <c r="A1479" s="510" t="s">
        <v>1045</v>
      </c>
      <c r="B1479" s="1261"/>
      <c r="C1479" s="1261"/>
      <c r="D1479" s="1833" t="s">
        <v>4336</v>
      </c>
      <c r="E1479" s="1296">
        <f>'Verification Report'!O1480</f>
        <v>0</v>
      </c>
      <c r="F1479" s="1873"/>
      <c r="G1479" s="1260" t="s">
        <v>247</v>
      </c>
    </row>
    <row r="1480" spans="1:7" ht="15.75" hidden="1" thickBot="1" x14ac:dyDescent="0.3">
      <c r="A1480" s="129"/>
      <c r="B1480" s="1261"/>
      <c r="C1480" s="1261"/>
      <c r="D1480" s="1833"/>
      <c r="E1480" s="1296"/>
      <c r="F1480" s="1873"/>
      <c r="G1480" s="1260" t="s">
        <v>247</v>
      </c>
    </row>
    <row r="1481" spans="1:7" ht="15.75" hidden="1" thickBot="1" x14ac:dyDescent="0.3">
      <c r="A1481" s="129"/>
      <c r="B1481" s="1261"/>
      <c r="C1481" s="1261"/>
      <c r="D1481" s="1833"/>
      <c r="E1481" s="1296"/>
      <c r="F1481" s="1873"/>
      <c r="G1481" s="1260" t="s">
        <v>247</v>
      </c>
    </row>
    <row r="1482" spans="1:7" ht="15.75" hidden="1" thickBot="1" x14ac:dyDescent="0.3">
      <c r="A1482" s="129"/>
      <c r="B1482" s="1261"/>
      <c r="C1482" s="1261"/>
      <c r="D1482" s="1833"/>
      <c r="E1482" s="1296"/>
      <c r="F1482" s="1873"/>
      <c r="G1482" s="1260" t="s">
        <v>247</v>
      </c>
    </row>
    <row r="1483" spans="1:7" ht="15.75" hidden="1" thickBot="1" x14ac:dyDescent="0.3">
      <c r="A1483" s="129"/>
      <c r="B1483" s="1261"/>
      <c r="C1483" s="1261"/>
      <c r="D1483" s="1833"/>
      <c r="E1483" s="1296"/>
      <c r="F1483" s="1873"/>
      <c r="G1483" s="1260" t="s">
        <v>247</v>
      </c>
    </row>
    <row r="1484" spans="1:7" ht="15.75" hidden="1" thickBot="1" x14ac:dyDescent="0.3">
      <c r="A1484" s="210"/>
      <c r="B1484" s="1262"/>
      <c r="C1484" s="1262"/>
      <c r="D1484" s="1834"/>
      <c r="E1484" s="1297"/>
      <c r="F1484" s="1873"/>
      <c r="G1484" s="1260" t="s">
        <v>247</v>
      </c>
    </row>
    <row r="1485" spans="1:7" ht="15.75" hidden="1" thickBot="1" x14ac:dyDescent="0.3">
      <c r="A1485" s="66" t="s">
        <v>3619</v>
      </c>
      <c r="B1485" s="1277"/>
      <c r="C1485" s="1277"/>
      <c r="D1485" s="1563" t="s">
        <v>3620</v>
      </c>
      <c r="E1485" s="1295"/>
      <c r="F1485" s="94"/>
      <c r="G1485" s="1260" t="s">
        <v>247</v>
      </c>
    </row>
    <row r="1486" spans="1:7" ht="15" hidden="1" customHeight="1" x14ac:dyDescent="0.25">
      <c r="A1486" s="66" t="s">
        <v>1047</v>
      </c>
      <c r="B1486" s="1277"/>
      <c r="C1486" s="1277"/>
      <c r="D1486" s="1796" t="s">
        <v>4831</v>
      </c>
      <c r="E1486" s="1295"/>
      <c r="F1486" s="94"/>
      <c r="G1486" s="1260" t="s">
        <v>247</v>
      </c>
    </row>
    <row r="1487" spans="1:7" ht="15.75" hidden="1" thickBot="1" x14ac:dyDescent="0.3">
      <c r="A1487" s="4"/>
      <c r="B1487" s="1277"/>
      <c r="C1487" s="1277"/>
      <c r="D1487" s="1796"/>
      <c r="E1487" s="1295"/>
      <c r="F1487" s="94"/>
      <c r="G1487" s="1260" t="s">
        <v>247</v>
      </c>
    </row>
    <row r="1488" spans="1:7" ht="15.75" hidden="1" thickBot="1" x14ac:dyDescent="0.3">
      <c r="A1488" s="4"/>
      <c r="B1488" s="1277"/>
      <c r="C1488" s="1277"/>
      <c r="D1488" s="1796"/>
      <c r="E1488" s="1295"/>
      <c r="F1488" s="94"/>
      <c r="G1488" s="1260" t="s">
        <v>247</v>
      </c>
    </row>
    <row r="1489" spans="1:7" ht="15" hidden="1" customHeight="1" x14ac:dyDescent="0.25">
      <c r="A1489" s="4"/>
      <c r="B1489" s="1277"/>
      <c r="C1489" s="1277"/>
      <c r="D1489" s="1851" t="s">
        <v>1046</v>
      </c>
      <c r="E1489" s="1295"/>
      <c r="F1489" s="94"/>
      <c r="G1489" s="1260" t="s">
        <v>247</v>
      </c>
    </row>
    <row r="1490" spans="1:7" ht="15.75" hidden="1" thickBot="1" x14ac:dyDescent="0.3">
      <c r="A1490" s="4"/>
      <c r="B1490" s="1277"/>
      <c r="C1490" s="1277"/>
      <c r="D1490" s="1851"/>
      <c r="E1490" s="1295"/>
      <c r="F1490" s="94"/>
      <c r="G1490" s="1260" t="s">
        <v>247</v>
      </c>
    </row>
    <row r="1491" spans="1:7" ht="15.75" hidden="1" thickBot="1" x14ac:dyDescent="0.3">
      <c r="A1491" s="4"/>
      <c r="B1491" s="1277"/>
      <c r="C1491" s="1277"/>
      <c r="D1491" s="1557" t="s">
        <v>3622</v>
      </c>
      <c r="E1491" s="1295"/>
      <c r="F1491" s="94"/>
      <c r="G1491" s="1260" t="s">
        <v>247</v>
      </c>
    </row>
    <row r="1492" spans="1:7" ht="15.75" hidden="1" thickBot="1" x14ac:dyDescent="0.3">
      <c r="A1492" s="4"/>
      <c r="B1492" s="543" t="s">
        <v>256</v>
      </c>
      <c r="C1492" s="1261"/>
      <c r="D1492" s="1546" t="s">
        <v>1048</v>
      </c>
      <c r="E1492" s="1266">
        <f>'Verification Report'!O1493</f>
        <v>0</v>
      </c>
      <c r="F1492" s="1313" t="str">
        <f>IF(LEN('Verification Report'!W1493)=0,"",'Verification Report'!W1493)</f>
        <v/>
      </c>
      <c r="G1492" s="1260" t="s">
        <v>247</v>
      </c>
    </row>
    <row r="1493" spans="1:7" ht="15.75" hidden="1" thickBot="1" x14ac:dyDescent="0.3">
      <c r="A1493" s="4"/>
      <c r="D1493" s="1531"/>
      <c r="E1493" s="1266"/>
      <c r="F1493" s="94"/>
      <c r="G1493" s="1260" t="s">
        <v>247</v>
      </c>
    </row>
    <row r="1494" spans="1:7" ht="15.75" hidden="1" thickBot="1" x14ac:dyDescent="0.3">
      <c r="A1494" s="4"/>
      <c r="B1494" s="178"/>
      <c r="C1494" s="178"/>
      <c r="D1494" s="1579"/>
      <c r="E1494" s="1267"/>
      <c r="F1494" s="1313" t="str">
        <f>IF(LEN('Verification Report'!W1495)=0,"",'Verification Report'!W1495)</f>
        <v/>
      </c>
      <c r="G1494" s="1260" t="s">
        <v>247</v>
      </c>
    </row>
    <row r="1495" spans="1:7" ht="15.75" hidden="1" thickBot="1" x14ac:dyDescent="0.3">
      <c r="A1495" s="4"/>
      <c r="B1495" s="234" t="s">
        <v>258</v>
      </c>
      <c r="C1495" s="1277"/>
      <c r="D1495" s="1554" t="s">
        <v>1049</v>
      </c>
      <c r="E1495" s="1295">
        <f>'Verification Report'!O1496</f>
        <v>0</v>
      </c>
      <c r="F1495" s="1313" t="str">
        <f>IF(LEN('Verification Report'!W1496)=0,"",'Verification Report'!W1496)</f>
        <v/>
      </c>
      <c r="G1495" s="1260" t="s">
        <v>247</v>
      </c>
    </row>
    <row r="1496" spans="1:7" ht="15" hidden="1" customHeight="1" x14ac:dyDescent="0.25">
      <c r="A1496" s="129"/>
      <c r="B1496" s="543"/>
      <c r="C1496" s="1261"/>
      <c r="D1496" s="1855" t="s">
        <v>3623</v>
      </c>
      <c r="E1496" s="1295"/>
      <c r="F1496" s="94"/>
      <c r="G1496" s="1260" t="s">
        <v>247</v>
      </c>
    </row>
    <row r="1497" spans="1:7" ht="15.75" hidden="1" thickBot="1" x14ac:dyDescent="0.3">
      <c r="A1497" s="210"/>
      <c r="B1497" s="544"/>
      <c r="C1497" s="1262"/>
      <c r="D1497" s="1861"/>
      <c r="E1497" s="664"/>
      <c r="F1497" s="94"/>
      <c r="G1497" s="1260" t="s">
        <v>247</v>
      </c>
    </row>
    <row r="1498" spans="1:7" ht="15" hidden="1" customHeight="1" x14ac:dyDescent="0.25">
      <c r="A1498" s="66" t="s">
        <v>1050</v>
      </c>
      <c r="B1498" s="1277"/>
      <c r="C1498" s="1277"/>
      <c r="D1498" s="1796" t="s">
        <v>4338</v>
      </c>
      <c r="E1498" s="664"/>
      <c r="F1498" s="94"/>
      <c r="G1498" s="1260" t="s">
        <v>247</v>
      </c>
    </row>
    <row r="1499" spans="1:7" ht="15.75" hidden="1" thickBot="1" x14ac:dyDescent="0.3">
      <c r="A1499" s="4"/>
      <c r="B1499" s="1277"/>
      <c r="C1499" s="1277"/>
      <c r="D1499" s="1796"/>
      <c r="E1499" s="1295"/>
      <c r="F1499" s="94"/>
      <c r="G1499" s="1260" t="s">
        <v>247</v>
      </c>
    </row>
    <row r="1500" spans="1:7" ht="15.75" hidden="1" thickBot="1" x14ac:dyDescent="0.3">
      <c r="A1500" s="4"/>
      <c r="B1500" s="1277"/>
      <c r="C1500" s="1277"/>
      <c r="D1500" s="1796"/>
      <c r="E1500" s="1295"/>
      <c r="F1500" s="94"/>
      <c r="G1500" s="1260" t="s">
        <v>247</v>
      </c>
    </row>
    <row r="1501" spans="1:7" ht="15" hidden="1" customHeight="1" x14ac:dyDescent="0.25">
      <c r="A1501" s="4"/>
      <c r="B1501" s="543" t="s">
        <v>256</v>
      </c>
      <c r="C1501" s="1261"/>
      <c r="D1501" s="1754" t="s">
        <v>1051</v>
      </c>
      <c r="E1501" s="1296">
        <f>'Verification Report'!O1502</f>
        <v>0</v>
      </c>
      <c r="F1501" s="1313" t="str">
        <f>IF(LEN('Verification Report'!W1502)=0,"",'Verification Report'!W1502)</f>
        <v/>
      </c>
      <c r="G1501" s="1260" t="s">
        <v>247</v>
      </c>
    </row>
    <row r="1502" spans="1:7" ht="15.75" hidden="1" thickBot="1" x14ac:dyDescent="0.3">
      <c r="A1502" s="4"/>
      <c r="B1502" s="544"/>
      <c r="C1502" s="1262"/>
      <c r="D1502" s="1755"/>
      <c r="E1502" s="1297"/>
      <c r="F1502" s="94"/>
      <c r="G1502" s="1260" t="s">
        <v>247</v>
      </c>
    </row>
    <row r="1503" spans="1:7" ht="15.75" hidden="1" thickBot="1" x14ac:dyDescent="0.3">
      <c r="A1503" s="4"/>
      <c r="B1503" s="234" t="s">
        <v>258</v>
      </c>
      <c r="C1503" s="1277"/>
      <c r="D1503" s="1554" t="s">
        <v>1052</v>
      </c>
      <c r="E1503" s="1293">
        <f>'Verification Report'!O1504</f>
        <v>0</v>
      </c>
      <c r="F1503" s="1313" t="str">
        <f>IF(LEN('Verification Report'!W1504)=0,"",'Verification Report'!W1504)</f>
        <v/>
      </c>
      <c r="G1503" s="1260" t="s">
        <v>247</v>
      </c>
    </row>
    <row r="1504" spans="1:7" ht="15" hidden="1" customHeight="1" x14ac:dyDescent="0.25">
      <c r="A1504" s="129"/>
      <c r="B1504" s="543"/>
      <c r="C1504" s="1261"/>
      <c r="D1504" s="1855" t="s">
        <v>3624</v>
      </c>
      <c r="E1504" s="1296"/>
      <c r="F1504" s="94"/>
      <c r="G1504" s="1260" t="s">
        <v>247</v>
      </c>
    </row>
    <row r="1505" spans="1:7" ht="15.75" hidden="1" thickBot="1" x14ac:dyDescent="0.3">
      <c r="A1505" s="210"/>
      <c r="B1505" s="544"/>
      <c r="C1505" s="1262"/>
      <c r="D1505" s="1861"/>
      <c r="E1505" s="1297"/>
      <c r="F1505" s="94"/>
      <c r="G1505" s="1260" t="s">
        <v>247</v>
      </c>
    </row>
    <row r="1506" spans="1:7" ht="15.75" hidden="1" thickBot="1" x14ac:dyDescent="0.3">
      <c r="A1506" s="66" t="s">
        <v>1053</v>
      </c>
      <c r="B1506" s="1277"/>
      <c r="C1506" s="1277"/>
      <c r="D1506" s="1563" t="s">
        <v>1054</v>
      </c>
      <c r="E1506" s="1295">
        <f ca="1">'Verification Report'!O1507</f>
        <v>0</v>
      </c>
      <c r="F1506" s="1313" t="str">
        <f>IF(LEN('Verification Report'!W1507)=0,"",'Verification Report'!W1507)</f>
        <v/>
      </c>
      <c r="G1506" s="1260" t="s">
        <v>247</v>
      </c>
    </row>
    <row r="1507" spans="1:7" ht="15.75" hidden="1" thickBot="1" x14ac:dyDescent="0.3">
      <c r="A1507" s="4"/>
      <c r="B1507" s="1277"/>
      <c r="C1507" s="1277"/>
      <c r="D1507" s="1557" t="s">
        <v>1055</v>
      </c>
      <c r="E1507" s="1295"/>
      <c r="F1507" s="94"/>
      <c r="G1507" s="1260" t="s">
        <v>247</v>
      </c>
    </row>
    <row r="1508" spans="1:7" ht="15.75" hidden="1" thickBot="1" x14ac:dyDescent="0.3">
      <c r="A1508" s="4"/>
      <c r="B1508" s="1277"/>
      <c r="C1508" s="1277"/>
      <c r="D1508" s="1557" t="s">
        <v>3547</v>
      </c>
      <c r="E1508" s="1295"/>
      <c r="F1508" s="94"/>
      <c r="G1508" s="1260" t="s">
        <v>247</v>
      </c>
    </row>
    <row r="1509" spans="1:7" ht="15.75" hidden="1" thickBot="1" x14ac:dyDescent="0.3">
      <c r="A1509" s="4"/>
      <c r="B1509" s="544" t="s">
        <v>256</v>
      </c>
      <c r="C1509" s="1262"/>
      <c r="D1509" s="1536" t="s">
        <v>3548</v>
      </c>
      <c r="E1509" s="1295"/>
      <c r="F1509" s="94"/>
      <c r="G1509" s="1260" t="s">
        <v>247</v>
      </c>
    </row>
    <row r="1510" spans="1:7" ht="15" hidden="1" customHeight="1" x14ac:dyDescent="0.25">
      <c r="A1510" s="129"/>
      <c r="B1510" s="543" t="s">
        <v>258</v>
      </c>
      <c r="C1510" s="1261"/>
      <c r="D1510" s="1754" t="s">
        <v>3549</v>
      </c>
      <c r="E1510" s="1295"/>
      <c r="F1510" s="94"/>
      <c r="G1510" s="1260" t="s">
        <v>247</v>
      </c>
    </row>
    <row r="1511" spans="1:7" ht="15.75" hidden="1" thickBot="1" x14ac:dyDescent="0.3">
      <c r="A1511" s="210"/>
      <c r="B1511" s="178"/>
      <c r="C1511" s="1262"/>
      <c r="D1511" s="1755"/>
      <c r="E1511" s="1297"/>
      <c r="F1511" s="94"/>
      <c r="G1511" s="1260" t="s">
        <v>247</v>
      </c>
    </row>
    <row r="1512" spans="1:7" ht="15" hidden="1" customHeight="1" x14ac:dyDescent="0.25">
      <c r="A1512" s="66" t="s">
        <v>3546</v>
      </c>
      <c r="B1512" s="1277"/>
      <c r="C1512" s="1277"/>
      <c r="D1512" s="1884" t="s">
        <v>3550</v>
      </c>
      <c r="E1512" s="1295">
        <f>'Verification Report'!O1513</f>
        <v>0</v>
      </c>
      <c r="F1512" s="1313" t="str">
        <f>IF(LEN('Verification Report'!W1513)=0,"",'Verification Report'!W1513)</f>
        <v/>
      </c>
      <c r="G1512" s="1260" t="s">
        <v>247</v>
      </c>
    </row>
    <row r="1513" spans="1:7" ht="15.75" hidden="1" thickBot="1" x14ac:dyDescent="0.3">
      <c r="A1513" s="4"/>
      <c r="B1513" s="1277"/>
      <c r="C1513" s="1277"/>
      <c r="D1513" s="1884"/>
      <c r="E1513" s="1295"/>
      <c r="F1513" s="94"/>
      <c r="G1513" s="1260" t="s">
        <v>247</v>
      </c>
    </row>
    <row r="1514" spans="1:7" ht="15.75" hidden="1" thickBot="1" x14ac:dyDescent="0.3">
      <c r="A1514" s="4"/>
      <c r="B1514" s="1277"/>
      <c r="C1514" s="1277"/>
      <c r="D1514" s="1557" t="s">
        <v>1055</v>
      </c>
      <c r="E1514" s="1295"/>
      <c r="F1514" s="1313" t="str">
        <f>IF(LEN('Verification Report'!W1515)=0,"",'Verification Report'!W1515)</f>
        <v/>
      </c>
      <c r="G1514" s="1260" t="s">
        <v>247</v>
      </c>
    </row>
    <row r="1515" spans="1:7" ht="15.75" hidden="1" thickBot="1" x14ac:dyDescent="0.3">
      <c r="A1515" s="4"/>
      <c r="B1515" s="1277"/>
      <c r="C1515" s="230" t="s">
        <v>121</v>
      </c>
      <c r="D1515" s="1554" t="s">
        <v>1056</v>
      </c>
      <c r="E1515" s="1295"/>
      <c r="F1515" s="94"/>
      <c r="G1515" s="1260" t="s">
        <v>247</v>
      </c>
    </row>
    <row r="1516" spans="1:7" ht="15.75" hidden="1" thickBot="1" x14ac:dyDescent="0.3">
      <c r="A1516" s="4"/>
      <c r="B1516" s="1277"/>
      <c r="C1516" s="230" t="s">
        <v>122</v>
      </c>
      <c r="D1516" s="1545" t="s">
        <v>4339</v>
      </c>
      <c r="E1516" s="1295"/>
      <c r="F1516" s="94"/>
      <c r="G1516" s="1260" t="s">
        <v>247</v>
      </c>
    </row>
    <row r="1517" spans="1:7" ht="15.75" hidden="1" thickBot="1" x14ac:dyDescent="0.3">
      <c r="A1517" s="4"/>
      <c r="B1517" s="1277"/>
      <c r="C1517" s="231" t="s">
        <v>123</v>
      </c>
      <c r="D1517" s="1554" t="s">
        <v>1057</v>
      </c>
      <c r="E1517" s="1295"/>
      <c r="F1517" s="94"/>
      <c r="G1517" s="1260" t="s">
        <v>247</v>
      </c>
    </row>
    <row r="1518" spans="1:7" ht="15.75" hidden="1" thickBot="1" x14ac:dyDescent="0.3">
      <c r="A1518" s="4"/>
      <c r="B1518" s="1277"/>
      <c r="C1518" s="1281" t="s">
        <v>401</v>
      </c>
      <c r="D1518" s="1554" t="s">
        <v>1058</v>
      </c>
      <c r="E1518" s="1295"/>
      <c r="F1518" s="94"/>
      <c r="G1518" s="1260" t="s">
        <v>247</v>
      </c>
    </row>
    <row r="1519" spans="1:7" ht="15.75" hidden="1" thickBot="1" x14ac:dyDescent="0.3">
      <c r="A1519" s="4"/>
      <c r="B1519" s="1277"/>
      <c r="C1519" s="1281" t="s">
        <v>539</v>
      </c>
      <c r="D1519" s="1554" t="s">
        <v>1059</v>
      </c>
      <c r="E1519" s="1295"/>
      <c r="F1519" s="94"/>
      <c r="G1519" s="1260" t="s">
        <v>247</v>
      </c>
    </row>
    <row r="1520" spans="1:7" ht="15.75" hidden="1" thickBot="1" x14ac:dyDescent="0.3">
      <c r="A1520" s="4"/>
      <c r="B1520" s="1277"/>
      <c r="C1520" s="231" t="s">
        <v>604</v>
      </c>
      <c r="D1520" s="1554" t="s">
        <v>1060</v>
      </c>
      <c r="E1520" s="1295"/>
      <c r="F1520" s="94"/>
      <c r="G1520" s="1260" t="s">
        <v>247</v>
      </c>
    </row>
    <row r="1521" spans="1:7" ht="15" hidden="1" customHeight="1" x14ac:dyDescent="0.25">
      <c r="A1521" s="129"/>
      <c r="B1521" s="1261"/>
      <c r="C1521" s="1283" t="s">
        <v>606</v>
      </c>
      <c r="D1521" s="1793" t="s">
        <v>1061</v>
      </c>
      <c r="E1521" s="1295"/>
      <c r="F1521" s="94"/>
      <c r="G1521" s="1260" t="s">
        <v>247</v>
      </c>
    </row>
    <row r="1522" spans="1:7" ht="15.75" hidden="1" thickBot="1" x14ac:dyDescent="0.3">
      <c r="A1522" s="210"/>
      <c r="B1522" s="1262"/>
      <c r="C1522" s="1284"/>
      <c r="D1522" s="1761"/>
      <c r="E1522" s="1295"/>
      <c r="F1522" s="94"/>
      <c r="G1522" s="1260" t="s">
        <v>247</v>
      </c>
    </row>
    <row r="1523" spans="1:7" ht="15.75" hidden="1" thickBot="1" x14ac:dyDescent="0.3">
      <c r="A1523" s="66" t="s">
        <v>1062</v>
      </c>
      <c r="B1523" s="1277"/>
      <c r="C1523" s="1277"/>
      <c r="D1523" s="235" t="s">
        <v>1063</v>
      </c>
      <c r="E1523" s="1295"/>
      <c r="F1523" s="94"/>
      <c r="G1523" s="1260" t="s">
        <v>247</v>
      </c>
    </row>
    <row r="1524" spans="1:7" ht="15" hidden="1" customHeight="1" x14ac:dyDescent="0.25">
      <c r="A1524" s="510" t="s">
        <v>1064</v>
      </c>
      <c r="B1524" s="1261"/>
      <c r="C1524" s="1261"/>
      <c r="D1524" s="1902" t="s">
        <v>1065</v>
      </c>
      <c r="E1524" s="1296">
        <f ca="1">'Verification Report'!O1525</f>
        <v>0</v>
      </c>
      <c r="F1524" s="1313" t="str">
        <f>IF(LEN('Verification Report'!W1525)=0,"",'Verification Report'!W1525)</f>
        <v/>
      </c>
      <c r="G1524" s="1260" t="s">
        <v>247</v>
      </c>
    </row>
    <row r="1525" spans="1:7" ht="15.75" hidden="1" thickBot="1" x14ac:dyDescent="0.3">
      <c r="A1525" s="534"/>
      <c r="B1525" s="1262"/>
      <c r="C1525" s="1262"/>
      <c r="D1525" s="1903"/>
      <c r="E1525" s="1297"/>
      <c r="F1525" s="94"/>
      <c r="G1525" s="1260" t="s">
        <v>247</v>
      </c>
    </row>
    <row r="1526" spans="1:7" ht="15" hidden="1" customHeight="1" x14ac:dyDescent="0.25">
      <c r="A1526" s="510" t="s">
        <v>1066</v>
      </c>
      <c r="B1526" s="1261"/>
      <c r="C1526" s="1261"/>
      <c r="D1526" s="1835" t="s">
        <v>4340</v>
      </c>
      <c r="E1526" s="1296">
        <f ca="1">'Verification Report'!O1527</f>
        <v>0</v>
      </c>
      <c r="F1526" s="1313" t="str">
        <f>IF(LEN('Verification Report'!W1527)=0,"",'Verification Report'!W1527)</f>
        <v/>
      </c>
      <c r="G1526" s="1260" t="s">
        <v>247</v>
      </c>
    </row>
    <row r="1527" spans="1:7" ht="15.75" hidden="1" thickBot="1" x14ac:dyDescent="0.3">
      <c r="A1527" s="240"/>
      <c r="B1527" s="1276"/>
      <c r="C1527" s="1276"/>
      <c r="D1527" s="1900"/>
      <c r="E1527" s="1294"/>
      <c r="F1527" s="94"/>
      <c r="G1527" s="1260" t="s">
        <v>247</v>
      </c>
    </row>
    <row r="1528" spans="1:7" ht="15.75" hidden="1" customHeight="1" thickTop="1" x14ac:dyDescent="0.25">
      <c r="A1528" s="64">
        <v>705.7</v>
      </c>
      <c r="B1528" s="1277"/>
      <c r="C1528" s="1277"/>
      <c r="D1528" s="1901" t="s">
        <v>1067</v>
      </c>
      <c r="E1528" s="1295">
        <f ca="1">'Verification Report'!O1529</f>
        <v>0</v>
      </c>
      <c r="F1528" s="1313" t="str">
        <f>IF(LEN('Verification Report'!W1529)=0,"",'Verification Report'!W1529)</f>
        <v/>
      </c>
      <c r="G1528" s="1260" t="s">
        <v>247</v>
      </c>
    </row>
    <row r="1529" spans="1:7" ht="15.75" hidden="1" thickBot="1" x14ac:dyDescent="0.3">
      <c r="A1529" s="4"/>
      <c r="B1529" s="1277"/>
      <c r="C1529" s="1277"/>
      <c r="D1529" s="1901"/>
      <c r="E1529" s="1295"/>
      <c r="F1529" s="94"/>
      <c r="G1529" s="1260" t="s">
        <v>247</v>
      </c>
    </row>
    <row r="1530" spans="1:7" ht="15.75" hidden="1" thickBot="1" x14ac:dyDescent="0.3">
      <c r="A1530" s="4"/>
      <c r="B1530" s="1277"/>
      <c r="C1530" s="1277"/>
      <c r="D1530" s="1901"/>
      <c r="E1530" s="1295"/>
      <c r="F1530" s="94"/>
      <c r="G1530" s="1260" t="s">
        <v>247</v>
      </c>
    </row>
    <row r="1531" spans="1:7" ht="15.75" hidden="1" thickBot="1" x14ac:dyDescent="0.3">
      <c r="A1531" s="4"/>
      <c r="B1531" s="1277"/>
      <c r="C1531" s="1277"/>
      <c r="D1531" s="1901"/>
      <c r="E1531" s="1295"/>
      <c r="F1531" s="94"/>
      <c r="G1531" s="1260" t="s">
        <v>247</v>
      </c>
    </row>
    <row r="1532" spans="1:7" ht="19.5" hidden="1" thickBot="1" x14ac:dyDescent="0.35">
      <c r="A1532" s="14" t="s">
        <v>1068</v>
      </c>
      <c r="B1532" s="84"/>
      <c r="C1532" s="84"/>
      <c r="D1532" s="84"/>
      <c r="E1532" s="1043"/>
      <c r="F1532" s="94"/>
      <c r="G1532" s="1260" t="s">
        <v>247</v>
      </c>
    </row>
    <row r="1533" spans="1:7" ht="15" hidden="1" customHeight="1" x14ac:dyDescent="0.25">
      <c r="A1533" s="64">
        <v>706.1</v>
      </c>
      <c r="B1533" s="1277"/>
      <c r="C1533" s="1277"/>
      <c r="D1533" s="1833" t="s">
        <v>4341</v>
      </c>
      <c r="E1533" s="1295">
        <f>'Verification Report'!O1534</f>
        <v>0</v>
      </c>
      <c r="F1533" s="94"/>
      <c r="G1533" s="1260" t="s">
        <v>247</v>
      </c>
    </row>
    <row r="1534" spans="1:7" ht="15.75" hidden="1" thickBot="1" x14ac:dyDescent="0.3">
      <c r="A1534" s="4"/>
      <c r="B1534" s="1277"/>
      <c r="C1534" s="1277"/>
      <c r="D1534" s="1833"/>
      <c r="E1534" s="1295"/>
      <c r="F1534" s="94"/>
      <c r="G1534" s="1260" t="s">
        <v>247</v>
      </c>
    </row>
    <row r="1535" spans="1:7" ht="15.75" hidden="1" thickBot="1" x14ac:dyDescent="0.3">
      <c r="A1535" s="4"/>
      <c r="B1535" s="544" t="s">
        <v>256</v>
      </c>
      <c r="C1535" s="1262"/>
      <c r="D1535" s="1536" t="s">
        <v>1069</v>
      </c>
      <c r="E1535" s="1295"/>
      <c r="F1535" s="1313" t="str">
        <f>IF(LEN('Verification Report'!W1536)=0,"",'Verification Report'!W1536)</f>
        <v/>
      </c>
      <c r="G1535" s="1260" t="s">
        <v>247</v>
      </c>
    </row>
    <row r="1536" spans="1:7" ht="15.75" hidden="1" thickBot="1" x14ac:dyDescent="0.3">
      <c r="A1536" s="4"/>
      <c r="B1536" s="555" t="s">
        <v>258</v>
      </c>
      <c r="C1536" s="280"/>
      <c r="D1536" s="280" t="s">
        <v>1070</v>
      </c>
      <c r="E1536" s="1295"/>
      <c r="F1536" s="1313" t="str">
        <f>IF(LEN('Verification Report'!W1537)=0,"",'Verification Report'!W1537)</f>
        <v/>
      </c>
      <c r="G1536" s="1260" t="s">
        <v>247</v>
      </c>
    </row>
    <row r="1537" spans="1:7" ht="15.75" hidden="1" thickBot="1" x14ac:dyDescent="0.3">
      <c r="A1537" s="4"/>
      <c r="B1537" s="555" t="s">
        <v>260</v>
      </c>
      <c r="C1537" s="280"/>
      <c r="D1537" s="280" t="s">
        <v>1071</v>
      </c>
      <c r="E1537" s="1295"/>
      <c r="F1537" s="1313" t="str">
        <f>IF(LEN('Verification Report'!W1538)=0,"",'Verification Report'!W1538)</f>
        <v/>
      </c>
      <c r="G1537" s="1260" t="s">
        <v>247</v>
      </c>
    </row>
    <row r="1538" spans="1:7" ht="15" hidden="1" customHeight="1" x14ac:dyDescent="0.25">
      <c r="A1538" s="4"/>
      <c r="B1538" s="556" t="s">
        <v>269</v>
      </c>
      <c r="C1538" s="1271"/>
      <c r="D1538" s="1760" t="s">
        <v>1072</v>
      </c>
      <c r="E1538" s="1295"/>
      <c r="F1538" s="1313" t="str">
        <f>IF(LEN('Verification Report'!W1539)=0,"",'Verification Report'!W1539)</f>
        <v/>
      </c>
      <c r="G1538" s="1260" t="s">
        <v>247</v>
      </c>
    </row>
    <row r="1539" spans="1:7" ht="15.75" hidden="1" thickBot="1" x14ac:dyDescent="0.3">
      <c r="A1539" s="4"/>
      <c r="B1539" s="544"/>
      <c r="C1539" s="1262"/>
      <c r="D1539" s="1761"/>
      <c r="E1539" s="1295"/>
      <c r="F1539" s="94"/>
      <c r="G1539" s="1260" t="s">
        <v>247</v>
      </c>
    </row>
    <row r="1540" spans="1:7" ht="15.75" hidden="1" thickBot="1" x14ac:dyDescent="0.3">
      <c r="A1540" s="240"/>
      <c r="B1540" s="546" t="s">
        <v>275</v>
      </c>
      <c r="C1540" s="1276"/>
      <c r="D1540" s="1555" t="s">
        <v>1073</v>
      </c>
      <c r="E1540" s="1294"/>
      <c r="F1540" s="1313" t="str">
        <f>IF(LEN('Verification Report'!W1541)=0,"",'Verification Report'!W1541)</f>
        <v/>
      </c>
      <c r="G1540" s="1260" t="s">
        <v>247</v>
      </c>
    </row>
    <row r="1541" spans="1:7" ht="15.75" hidden="1" customHeight="1" thickTop="1" x14ac:dyDescent="0.25">
      <c r="A1541" s="64">
        <v>706.2</v>
      </c>
      <c r="B1541" s="1277"/>
      <c r="C1541" s="1277"/>
      <c r="D1541" s="1884" t="s">
        <v>1074</v>
      </c>
      <c r="E1541" s="1295"/>
      <c r="F1541" s="94"/>
      <c r="G1541" s="1260" t="s">
        <v>247</v>
      </c>
    </row>
    <row r="1542" spans="1:7" ht="15.75" hidden="1" thickBot="1" x14ac:dyDescent="0.3">
      <c r="A1542" s="64"/>
      <c r="B1542" s="1277"/>
      <c r="C1542" s="1277"/>
      <c r="D1542" s="1884"/>
      <c r="E1542" s="1295"/>
      <c r="F1542" s="94"/>
      <c r="G1542" s="1260" t="s">
        <v>247</v>
      </c>
    </row>
    <row r="1543" spans="1:7" ht="15" hidden="1" customHeight="1" x14ac:dyDescent="0.25">
      <c r="A1543" s="4"/>
      <c r="B1543" s="543" t="s">
        <v>256</v>
      </c>
      <c r="C1543" s="1261"/>
      <c r="D1543" s="1787" t="s">
        <v>4342</v>
      </c>
      <c r="E1543" s="1296">
        <f>'Verification Report'!O1544</f>
        <v>0</v>
      </c>
      <c r="F1543" s="1313" t="str">
        <f>IF(LEN('Verification Report'!W1544)=0,"",'Verification Report'!W1544)</f>
        <v/>
      </c>
      <c r="G1543" s="1260" t="s">
        <v>247</v>
      </c>
    </row>
    <row r="1544" spans="1:7" ht="15.75" hidden="1" thickBot="1" x14ac:dyDescent="0.3">
      <c r="A1544" s="4"/>
      <c r="B1544" s="1261"/>
      <c r="C1544" s="1261"/>
      <c r="D1544" s="1787"/>
      <c r="E1544" s="1296"/>
      <c r="F1544" s="94"/>
      <c r="G1544" s="1260" t="s">
        <v>247</v>
      </c>
    </row>
    <row r="1545" spans="1:7" ht="15.75" hidden="1" thickBot="1" x14ac:dyDescent="0.3">
      <c r="A1545" s="4"/>
      <c r="B1545" s="1261"/>
      <c r="C1545" s="1261"/>
      <c r="D1545" s="1787"/>
      <c r="E1545" s="1296"/>
      <c r="F1545" s="94"/>
      <c r="G1545" s="1260" t="s">
        <v>247</v>
      </c>
    </row>
    <row r="1546" spans="1:7" ht="15.75" hidden="1" thickBot="1" x14ac:dyDescent="0.3">
      <c r="A1546" s="4"/>
      <c r="B1546" s="1261"/>
      <c r="C1546" s="1261"/>
      <c r="D1546" s="1787"/>
      <c r="E1546" s="1296"/>
      <c r="F1546" s="94"/>
      <c r="G1546" s="1260" t="s">
        <v>247</v>
      </c>
    </row>
    <row r="1547" spans="1:7" ht="15.75" hidden="1" thickBot="1" x14ac:dyDescent="0.3">
      <c r="A1547" s="4"/>
      <c r="B1547" s="1262"/>
      <c r="C1547" s="1262"/>
      <c r="D1547" s="1786"/>
      <c r="E1547" s="1297"/>
      <c r="F1547" s="94"/>
      <c r="G1547" s="1260" t="s">
        <v>247</v>
      </c>
    </row>
    <row r="1548" spans="1:7" ht="15" hidden="1" customHeight="1" x14ac:dyDescent="0.25">
      <c r="A1548" s="129"/>
      <c r="B1548" s="543" t="s">
        <v>258</v>
      </c>
      <c r="C1548" s="1261"/>
      <c r="D1548" s="1754" t="s">
        <v>1075</v>
      </c>
      <c r="E1548" s="1296">
        <f ca="1">'Verification Report'!O1549</f>
        <v>0</v>
      </c>
      <c r="F1548" s="1313" t="str">
        <f>IF(LEN('Verification Report'!W1549)=0,"",'Verification Report'!W1549)</f>
        <v/>
      </c>
      <c r="G1548" s="1260" t="s">
        <v>247</v>
      </c>
    </row>
    <row r="1549" spans="1:7" ht="15.75" hidden="1" thickBot="1" x14ac:dyDescent="0.3">
      <c r="A1549" s="129"/>
      <c r="B1549" s="1261"/>
      <c r="C1549" s="1261"/>
      <c r="D1549" s="1754"/>
      <c r="E1549" s="1296"/>
      <c r="F1549" s="94"/>
      <c r="G1549" s="1260" t="s">
        <v>247</v>
      </c>
    </row>
    <row r="1550" spans="1:7" ht="15.75" hidden="1" thickBot="1" x14ac:dyDescent="0.3">
      <c r="A1550" s="129"/>
      <c r="B1550" s="1261"/>
      <c r="C1550" s="1261"/>
      <c r="D1550" s="1754"/>
      <c r="E1550" s="1296"/>
      <c r="F1550" s="94"/>
      <c r="G1550" s="1260" t="s">
        <v>247</v>
      </c>
    </row>
    <row r="1551" spans="1:7" ht="15" hidden="1" customHeight="1" x14ac:dyDescent="0.25">
      <c r="A1551" s="129"/>
      <c r="B1551" s="1261"/>
      <c r="C1551" s="518" t="s">
        <v>121</v>
      </c>
      <c r="D1551" s="1754" t="s">
        <v>1076</v>
      </c>
      <c r="E1551" s="1296"/>
      <c r="F1551" s="94"/>
      <c r="G1551" s="1260" t="s">
        <v>247</v>
      </c>
    </row>
    <row r="1552" spans="1:7" ht="15.75" hidden="1" thickBot="1" x14ac:dyDescent="0.3">
      <c r="A1552" s="129"/>
      <c r="B1552" s="1261"/>
      <c r="C1552" s="530"/>
      <c r="D1552" s="1755"/>
      <c r="E1552" s="1296"/>
      <c r="F1552" s="94"/>
      <c r="G1552" s="1260" t="s">
        <v>247</v>
      </c>
    </row>
    <row r="1553" spans="1:7" ht="15" hidden="1" customHeight="1" x14ac:dyDescent="0.25">
      <c r="A1553" s="129"/>
      <c r="B1553" s="1261"/>
      <c r="C1553" s="518" t="s">
        <v>122</v>
      </c>
      <c r="D1553" s="1754" t="s">
        <v>1077</v>
      </c>
      <c r="E1553" s="1296"/>
      <c r="F1553" s="94"/>
      <c r="G1553" s="1260" t="s">
        <v>247</v>
      </c>
    </row>
    <row r="1554" spans="1:7" ht="15.75" hidden="1" thickBot="1" x14ac:dyDescent="0.3">
      <c r="A1554" s="240"/>
      <c r="B1554" s="1276"/>
      <c r="C1554" s="1276"/>
      <c r="D1554" s="1783"/>
      <c r="E1554" s="1294"/>
      <c r="F1554" s="94"/>
      <c r="G1554" s="1260" t="s">
        <v>247</v>
      </c>
    </row>
    <row r="1555" spans="1:7" ht="15.75" hidden="1" customHeight="1" thickTop="1" x14ac:dyDescent="0.25">
      <c r="A1555" s="64">
        <v>706.3</v>
      </c>
      <c r="B1555" s="1277"/>
      <c r="C1555" s="1277"/>
      <c r="D1555" s="1884" t="s">
        <v>1078</v>
      </c>
      <c r="E1555" s="1295">
        <f>'Verification Report'!O1556</f>
        <v>0</v>
      </c>
      <c r="F1555" s="94"/>
      <c r="G1555" s="1260" t="s">
        <v>247</v>
      </c>
    </row>
    <row r="1556" spans="1:7" ht="15.75" hidden="1" thickBot="1" x14ac:dyDescent="0.3">
      <c r="A1556" s="64"/>
      <c r="B1556" s="1277"/>
      <c r="C1556" s="1277"/>
      <c r="D1556" s="1884"/>
      <c r="E1556" s="1295"/>
      <c r="F1556" s="94"/>
      <c r="G1556" s="1260" t="s">
        <v>247</v>
      </c>
    </row>
    <row r="1557" spans="1:7" ht="15.75" hidden="1" thickBot="1" x14ac:dyDescent="0.3">
      <c r="A1557" s="4"/>
      <c r="B1557" s="1277"/>
      <c r="C1557" s="1277"/>
      <c r="D1557" s="1568" t="s">
        <v>1079</v>
      </c>
      <c r="E1557" s="1295"/>
      <c r="F1557" s="94"/>
      <c r="G1557" s="1260" t="s">
        <v>247</v>
      </c>
    </row>
    <row r="1558" spans="1:7" ht="15.75" hidden="1" thickBot="1" x14ac:dyDescent="0.3">
      <c r="A1558" s="4"/>
      <c r="B1558" s="1277"/>
      <c r="C1558" s="1277"/>
      <c r="D1558" s="1568" t="s">
        <v>1080</v>
      </c>
      <c r="E1558" s="1295"/>
      <c r="F1558" s="94"/>
      <c r="G1558" s="1260" t="s">
        <v>247</v>
      </c>
    </row>
    <row r="1559" spans="1:7" ht="15" hidden="1" customHeight="1" x14ac:dyDescent="0.25">
      <c r="A1559" s="4"/>
      <c r="C1559" s="237"/>
      <c r="D1559" s="1851" t="s">
        <v>1081</v>
      </c>
      <c r="E1559" s="1295"/>
      <c r="F1559" s="94"/>
      <c r="G1559" s="1260" t="s">
        <v>247</v>
      </c>
    </row>
    <row r="1560" spans="1:7" ht="15.75" hidden="1" thickBot="1" x14ac:dyDescent="0.3">
      <c r="A1560" s="4"/>
      <c r="C1560" s="237"/>
      <c r="D1560" s="1851"/>
      <c r="E1560" s="1295"/>
      <c r="F1560" s="94"/>
      <c r="G1560" s="1260" t="s">
        <v>247</v>
      </c>
    </row>
    <row r="1561" spans="1:7" ht="15" hidden="1" customHeight="1" x14ac:dyDescent="0.25">
      <c r="A1561" s="4"/>
      <c r="B1561" s="1277"/>
      <c r="D1561" s="1851" t="s">
        <v>1082</v>
      </c>
      <c r="E1561" s="1295"/>
      <c r="F1561" s="94"/>
      <c r="G1561" s="1260" t="s">
        <v>247</v>
      </c>
    </row>
    <row r="1562" spans="1:7" ht="15.75" hidden="1" thickBot="1" x14ac:dyDescent="0.3">
      <c r="A1562" s="4"/>
      <c r="B1562" s="1277"/>
      <c r="D1562" s="1851"/>
      <c r="E1562" s="1295"/>
      <c r="F1562" s="94"/>
      <c r="G1562" s="1260" t="s">
        <v>247</v>
      </c>
    </row>
    <row r="1563" spans="1:7" ht="15.75" hidden="1" thickBot="1" x14ac:dyDescent="0.3">
      <c r="A1563" s="4"/>
      <c r="B1563" s="544" t="s">
        <v>256</v>
      </c>
      <c r="C1563" s="1262"/>
      <c r="D1563" s="1536" t="s">
        <v>963</v>
      </c>
      <c r="E1563" s="1295"/>
      <c r="F1563" s="1313" t="str">
        <f>IF(LEN('Verification Report'!W1564)=0,"",'Verification Report'!W1564)</f>
        <v/>
      </c>
      <c r="G1563" s="1260" t="s">
        <v>247</v>
      </c>
    </row>
    <row r="1564" spans="1:7" ht="15.75" hidden="1" thickBot="1" x14ac:dyDescent="0.3">
      <c r="A1564" s="4"/>
      <c r="B1564" s="555" t="s">
        <v>258</v>
      </c>
      <c r="C1564" s="280"/>
      <c r="D1564" s="280" t="s">
        <v>1083</v>
      </c>
      <c r="E1564" s="1295"/>
      <c r="F1564" s="1313" t="str">
        <f>IF(LEN('Verification Report'!W1565)=0,"",'Verification Report'!W1565)</f>
        <v/>
      </c>
      <c r="G1564" s="1260" t="s">
        <v>247</v>
      </c>
    </row>
    <row r="1565" spans="1:7" ht="15.75" hidden="1" thickBot="1" x14ac:dyDescent="0.3">
      <c r="A1565" s="4"/>
      <c r="B1565" s="555" t="s">
        <v>260</v>
      </c>
      <c r="C1565" s="280"/>
      <c r="D1565" s="280" t="s">
        <v>964</v>
      </c>
      <c r="E1565" s="1295"/>
      <c r="F1565" s="1313" t="str">
        <f>IF(LEN('Verification Report'!W1566)=0,"",'Verification Report'!W1566)</f>
        <v/>
      </c>
      <c r="G1565" s="1260" t="s">
        <v>247</v>
      </c>
    </row>
    <row r="1566" spans="1:7" ht="15.75" hidden="1" thickBot="1" x14ac:dyDescent="0.3">
      <c r="A1566" s="4"/>
      <c r="B1566" s="555" t="s">
        <v>269</v>
      </c>
      <c r="C1566" s="280"/>
      <c r="D1566" s="280" t="s">
        <v>1084</v>
      </c>
      <c r="E1566" s="1295"/>
      <c r="F1566" s="1313" t="str">
        <f>IF(LEN('Verification Report'!W1567)=0,"",'Verification Report'!W1567)</f>
        <v/>
      </c>
      <c r="G1566" s="1260" t="s">
        <v>247</v>
      </c>
    </row>
    <row r="1567" spans="1:7" ht="15.75" hidden="1" thickBot="1" x14ac:dyDescent="0.3">
      <c r="A1567" s="4"/>
      <c r="B1567" s="555" t="s">
        <v>275</v>
      </c>
      <c r="C1567" s="280"/>
      <c r="D1567" s="280" t="s">
        <v>1085</v>
      </c>
      <c r="E1567" s="1295"/>
      <c r="F1567" s="1313" t="str">
        <f>IF(LEN('Verification Report'!W1568)=0,"",'Verification Report'!W1568)</f>
        <v/>
      </c>
      <c r="G1567" s="1260" t="s">
        <v>247</v>
      </c>
    </row>
    <row r="1568" spans="1:7" ht="15.75" hidden="1" thickBot="1" x14ac:dyDescent="0.3">
      <c r="A1568" s="4"/>
      <c r="B1568" s="555" t="s">
        <v>277</v>
      </c>
      <c r="C1568" s="280"/>
      <c r="D1568" s="280" t="s">
        <v>1086</v>
      </c>
      <c r="E1568" s="1295"/>
      <c r="F1568" s="1313" t="str">
        <f>IF(LEN('Verification Report'!W1569)=0,"",'Verification Report'!W1569)</f>
        <v/>
      </c>
      <c r="G1568" s="1260" t="s">
        <v>247</v>
      </c>
    </row>
    <row r="1569" spans="1:9" ht="15.75" hidden="1" thickBot="1" x14ac:dyDescent="0.3">
      <c r="A1569" s="4"/>
      <c r="B1569" s="555" t="s">
        <v>383</v>
      </c>
      <c r="C1569" s="280"/>
      <c r="D1569" s="280" t="s">
        <v>1087</v>
      </c>
      <c r="E1569" s="1295"/>
      <c r="F1569" s="1313" t="str">
        <f>IF(LEN('Verification Report'!W1570)=0,"",'Verification Report'!W1570)</f>
        <v/>
      </c>
      <c r="G1569" s="1260" t="s">
        <v>247</v>
      </c>
    </row>
    <row r="1570" spans="1:9" ht="15.75" hidden="1" thickBot="1" x14ac:dyDescent="0.3">
      <c r="A1570" s="240"/>
      <c r="B1570" s="546" t="s">
        <v>428</v>
      </c>
      <c r="C1570" s="1276"/>
      <c r="D1570" s="1555" t="s">
        <v>1088</v>
      </c>
      <c r="E1570" s="1294"/>
      <c r="F1570" s="1313" t="str">
        <f>IF(LEN('Verification Report'!W1571)=0,"",'Verification Report'!W1571)</f>
        <v/>
      </c>
      <c r="G1570" s="1260" t="s">
        <v>247</v>
      </c>
    </row>
    <row r="1571" spans="1:9" ht="15.75" hidden="1" thickBot="1" x14ac:dyDescent="0.3">
      <c r="A1571" s="64">
        <v>706.4</v>
      </c>
      <c r="B1571" s="1277"/>
      <c r="C1571" s="1277"/>
      <c r="D1571" s="1563" t="s">
        <v>1089</v>
      </c>
      <c r="E1571" s="1295"/>
      <c r="F1571" s="94"/>
      <c r="G1571" s="1260" t="s">
        <v>247</v>
      </c>
    </row>
    <row r="1572" spans="1:9" ht="15.75" hidden="1" thickBot="1" x14ac:dyDescent="0.3">
      <c r="A1572" s="64" t="s">
        <v>1090</v>
      </c>
      <c r="B1572" s="1277"/>
      <c r="C1572" s="1277"/>
      <c r="D1572" s="1563" t="s">
        <v>1091</v>
      </c>
      <c r="E1572" s="1295"/>
      <c r="F1572" s="94"/>
      <c r="G1572" s="1260" t="s">
        <v>247</v>
      </c>
    </row>
    <row r="1573" spans="1:9" ht="15" hidden="1" customHeight="1" x14ac:dyDescent="0.25">
      <c r="A1573" s="4"/>
      <c r="B1573" s="543" t="s">
        <v>256</v>
      </c>
      <c r="C1573" s="1261"/>
      <c r="D1573" s="1754" t="s">
        <v>1092</v>
      </c>
      <c r="E1573" s="1296">
        <f>'Verification Report'!O1574</f>
        <v>0</v>
      </c>
      <c r="F1573" s="1313" t="str">
        <f>IF(LEN('Verification Report'!W1574)=0,"",'Verification Report'!W1574)</f>
        <v/>
      </c>
      <c r="G1573" s="1260" t="s">
        <v>247</v>
      </c>
    </row>
    <row r="1574" spans="1:9" ht="15.75" hidden="1" thickBot="1" x14ac:dyDescent="0.3">
      <c r="A1574" s="4"/>
      <c r="B1574" s="544"/>
      <c r="C1574" s="1262"/>
      <c r="D1574" s="1755"/>
      <c r="E1574" s="1297"/>
      <c r="F1574" s="94"/>
      <c r="G1574" s="1260" t="s">
        <v>247</v>
      </c>
    </row>
    <row r="1575" spans="1:9" ht="15" hidden="1" customHeight="1" x14ac:dyDescent="0.25">
      <c r="A1575" s="129"/>
      <c r="B1575" s="543" t="s">
        <v>258</v>
      </c>
      <c r="C1575" s="1261"/>
      <c r="D1575" s="1754" t="s">
        <v>1093</v>
      </c>
      <c r="E1575" s="1296">
        <f>'Verification Report'!O1576</f>
        <v>0</v>
      </c>
      <c r="F1575" s="1313" t="str">
        <f>IF(LEN('Verification Report'!W1576)=0,"",'Verification Report'!W1576)</f>
        <v/>
      </c>
      <c r="G1575" s="1260" t="s">
        <v>247</v>
      </c>
    </row>
    <row r="1576" spans="1:9" ht="15.75" hidden="1" thickBot="1" x14ac:dyDescent="0.3">
      <c r="A1576" s="210"/>
      <c r="B1576" s="1262"/>
      <c r="C1576" s="1262"/>
      <c r="D1576" s="1755"/>
      <c r="E1576" s="1297"/>
      <c r="F1576" s="94"/>
      <c r="G1576" s="1260" t="s">
        <v>247</v>
      </c>
    </row>
    <row r="1577" spans="1:9" ht="15" hidden="1" customHeight="1" x14ac:dyDescent="0.25">
      <c r="A1577" s="192" t="s">
        <v>1094</v>
      </c>
      <c r="B1577" s="1271"/>
      <c r="C1577" s="1271"/>
      <c r="D1577" s="1864" t="s">
        <v>1095</v>
      </c>
      <c r="E1577" s="1293">
        <f>'Verification Report'!O1578</f>
        <v>0</v>
      </c>
      <c r="F1577" s="1313" t="str">
        <f>IF(LEN('Verification Report'!W1578)=0,"",'Verification Report'!W1578)</f>
        <v/>
      </c>
      <c r="G1577" s="1260" t="s">
        <v>247</v>
      </c>
    </row>
    <row r="1578" spans="1:9" ht="15.75" hidden="1" thickBot="1" x14ac:dyDescent="0.3">
      <c r="A1578" s="240"/>
      <c r="B1578" s="1276"/>
      <c r="C1578" s="1276"/>
      <c r="D1578" s="1797"/>
      <c r="E1578" s="1294"/>
      <c r="F1578" s="94"/>
      <c r="G1578" s="1260" t="s">
        <v>247</v>
      </c>
    </row>
    <row r="1579" spans="1:9" ht="15.75" thickTop="1" x14ac:dyDescent="0.25">
      <c r="A1579" s="106">
        <v>706.5</v>
      </c>
      <c r="B1579" s="667"/>
      <c r="C1579" s="667"/>
      <c r="D1579" s="1552" t="s">
        <v>4349</v>
      </c>
      <c r="E1579" s="664"/>
      <c r="F1579" s="94"/>
      <c r="G1579" s="2363" t="str">
        <f ca="1">IF(COUNTIF(G1582,"P")&gt;0,"P","")</f>
        <v/>
      </c>
    </row>
    <row r="1580" spans="1:9" hidden="1" x14ac:dyDescent="0.25">
      <c r="A1580" s="129"/>
      <c r="B1580" s="667" t="s">
        <v>256</v>
      </c>
      <c r="C1580" s="667"/>
      <c r="D1580" s="1545" t="s">
        <v>4343</v>
      </c>
      <c r="E1580" s="1295">
        <f>'Verification Report'!O1581</f>
        <v>0</v>
      </c>
      <c r="F1580" s="1313" t="str">
        <f>IF(LEN('Verification Report'!W1581)=0,"",'Verification Report'!W1581)</f>
        <v/>
      </c>
      <c r="G1580" s="1260" t="s">
        <v>247</v>
      </c>
    </row>
    <row r="1581" spans="1:9" hidden="1" x14ac:dyDescent="0.25">
      <c r="A1581" s="129"/>
      <c r="B1581" s="684"/>
      <c r="C1581" s="684"/>
      <c r="D1581" s="1544"/>
      <c r="E1581" s="1297"/>
      <c r="F1581" s="94"/>
      <c r="G1581" s="1260" t="s">
        <v>247</v>
      </c>
    </row>
    <row r="1582" spans="1:9" x14ac:dyDescent="0.25">
      <c r="A1582" s="129"/>
      <c r="B1582" s="667" t="s">
        <v>258</v>
      </c>
      <c r="C1582" s="667"/>
      <c r="D1582" s="1545" t="s">
        <v>4344</v>
      </c>
      <c r="E1582" s="1295">
        <f ca="1">'Verification Report'!O1583</f>
        <v>0</v>
      </c>
      <c r="F1582" s="1313" t="str">
        <f>IF(LEN('Verification Report'!W1583)=0,"",'Verification Report'!W1583)</f>
        <v/>
      </c>
      <c r="G1582" s="585" t="str">
        <f ca="1">IF(E1582&gt;0,"P","")</f>
        <v/>
      </c>
      <c r="H1582" s="1330" t="s">
        <v>5100</v>
      </c>
      <c r="I1582" s="1527"/>
    </row>
    <row r="1583" spans="1:9" ht="15.75" thickBot="1" x14ac:dyDescent="0.3">
      <c r="A1583" s="129"/>
      <c r="B1583" s="684"/>
      <c r="C1583" s="684"/>
      <c r="D1583" s="1544"/>
      <c r="E1583" s="1297"/>
      <c r="F1583" s="94"/>
      <c r="G1583" s="585" t="str">
        <f ca="1">G1582</f>
        <v/>
      </c>
    </row>
    <row r="1584" spans="1:9" ht="15" hidden="1" customHeight="1" x14ac:dyDescent="0.25">
      <c r="A1584" s="129"/>
      <c r="B1584" s="667" t="s">
        <v>260</v>
      </c>
      <c r="C1584" s="667"/>
      <c r="D1584" s="1787" t="s">
        <v>4345</v>
      </c>
      <c r="E1584" s="1295">
        <f ca="1">'Verification Report'!O1585</f>
        <v>0</v>
      </c>
      <c r="F1584" s="1313" t="str">
        <f>IF(LEN('Verification Report'!W1585)=0,"",'Verification Report'!W1585)</f>
        <v/>
      </c>
      <c r="G1584" s="1260" t="s">
        <v>247</v>
      </c>
    </row>
    <row r="1585" spans="1:9" ht="15.75" hidden="1" thickBot="1" x14ac:dyDescent="0.3">
      <c r="A1585" s="129"/>
      <c r="B1585" s="667"/>
      <c r="C1585" s="667"/>
      <c r="D1585" s="1787"/>
      <c r="E1585" s="1295"/>
      <c r="F1585" s="94"/>
      <c r="G1585" s="1260" t="s">
        <v>247</v>
      </c>
    </row>
    <row r="1586" spans="1:9" ht="15" hidden="1" customHeight="1" x14ac:dyDescent="0.25">
      <c r="A1586" s="129"/>
      <c r="B1586" s="667"/>
      <c r="C1586" s="667"/>
      <c r="D1586" s="1796" t="s">
        <v>4884</v>
      </c>
      <c r="E1586" s="1296"/>
      <c r="F1586" s="94"/>
      <c r="G1586" s="1260" t="s">
        <v>247</v>
      </c>
    </row>
    <row r="1587" spans="1:9" ht="15.75" hidden="1" thickBot="1" x14ac:dyDescent="0.3">
      <c r="A1587" s="129"/>
      <c r="B1587" s="667"/>
      <c r="C1587" s="667"/>
      <c r="D1587" s="1796"/>
      <c r="E1587" s="1296"/>
      <c r="F1587" s="94"/>
      <c r="G1587" s="1260" t="s">
        <v>247</v>
      </c>
    </row>
    <row r="1588" spans="1:9" ht="15.75" hidden="1" thickBot="1" x14ac:dyDescent="0.3">
      <c r="A1588" s="129"/>
      <c r="B1588" s="667"/>
      <c r="C1588" s="667"/>
      <c r="D1588" s="1796"/>
      <c r="E1588" s="1296"/>
      <c r="F1588" s="94"/>
      <c r="G1588" s="1260" t="s">
        <v>247</v>
      </c>
    </row>
    <row r="1589" spans="1:9" ht="15" hidden="1" customHeight="1" x14ac:dyDescent="0.25">
      <c r="A1589" s="129"/>
      <c r="B1589" s="667"/>
      <c r="C1589" s="667"/>
      <c r="D1589" s="1796"/>
      <c r="E1589" s="1296"/>
      <c r="F1589" s="94"/>
      <c r="G1589" s="1260" t="s">
        <v>247</v>
      </c>
    </row>
    <row r="1590" spans="1:9" ht="15.75" hidden="1" thickBot="1" x14ac:dyDescent="0.3">
      <c r="A1590" s="129"/>
      <c r="B1590" s="667"/>
      <c r="C1590" s="667"/>
      <c r="D1590" s="1796"/>
      <c r="E1590" s="1296"/>
      <c r="F1590" s="94"/>
      <c r="G1590" s="1260" t="s">
        <v>247</v>
      </c>
    </row>
    <row r="1591" spans="1:9" ht="15" hidden="1" customHeight="1" x14ac:dyDescent="0.25">
      <c r="A1591" s="129"/>
      <c r="B1591" s="667"/>
      <c r="C1591" s="667"/>
      <c r="D1591" s="1796"/>
      <c r="E1591" s="1296"/>
      <c r="F1591" s="94"/>
      <c r="G1591" s="1260" t="s">
        <v>247</v>
      </c>
    </row>
    <row r="1592" spans="1:9" ht="15.75" hidden="1" thickBot="1" x14ac:dyDescent="0.3">
      <c r="A1592" s="129"/>
      <c r="B1592" s="667"/>
      <c r="C1592" s="667"/>
      <c r="D1592" s="1906" t="s">
        <v>4347</v>
      </c>
      <c r="E1592" s="1296"/>
      <c r="F1592" s="94"/>
      <c r="G1592" s="1260" t="s">
        <v>247</v>
      </c>
    </row>
    <row r="1593" spans="1:9" ht="15.75" hidden="1" thickBot="1" x14ac:dyDescent="0.3">
      <c r="A1593" s="129"/>
      <c r="B1593" s="667"/>
      <c r="C1593" s="667"/>
      <c r="D1593" s="1907"/>
      <c r="E1593" s="1296"/>
      <c r="F1593" s="94"/>
      <c r="G1593" s="1260" t="s">
        <v>247</v>
      </c>
    </row>
    <row r="1594" spans="1:9" ht="15.75" customHeight="1" thickTop="1" x14ac:dyDescent="0.25">
      <c r="A1594" s="180">
        <v>706.6</v>
      </c>
      <c r="B1594" s="520"/>
      <c r="C1594" s="520"/>
      <c r="D1594" s="1781" t="s">
        <v>1096</v>
      </c>
      <c r="E1594" s="1298">
        <f ca="1">'Verification Report'!O1595</f>
        <v>0</v>
      </c>
      <c r="F1594" s="1313" t="str">
        <f>IF(LEN('Verification Report'!W1597)=0,"",'Verification Report'!W1597)</f>
        <v/>
      </c>
      <c r="G1594" s="585" t="str">
        <f ca="1">IF(E1594&gt;0,"P","")</f>
        <v/>
      </c>
      <c r="H1594" s="1330" t="s">
        <v>5078</v>
      </c>
      <c r="I1594" s="1527"/>
    </row>
    <row r="1595" spans="1:9" ht="15.75" thickBot="1" x14ac:dyDescent="0.3">
      <c r="A1595" s="240"/>
      <c r="B1595" s="1276"/>
      <c r="C1595" s="1276"/>
      <c r="D1595" s="1797"/>
      <c r="E1595" s="1294"/>
      <c r="F1595" s="94"/>
      <c r="G1595" s="585" t="str">
        <f ca="1">G1594</f>
        <v/>
      </c>
    </row>
    <row r="1596" spans="1:9" ht="15.75" hidden="1" customHeight="1" thickTop="1" x14ac:dyDescent="0.25">
      <c r="A1596" s="64">
        <v>706.7</v>
      </c>
      <c r="B1596" s="1277"/>
      <c r="C1596" s="1277"/>
      <c r="D1596" s="1796" t="s">
        <v>1097</v>
      </c>
      <c r="E1596" s="1295"/>
      <c r="F1596" s="94"/>
      <c r="G1596" s="1260" t="s">
        <v>247</v>
      </c>
    </row>
    <row r="1597" spans="1:9" ht="16.5" hidden="1" thickTop="1" thickBot="1" x14ac:dyDescent="0.3">
      <c r="A1597" s="4"/>
      <c r="B1597" s="1277"/>
      <c r="C1597" s="1277"/>
      <c r="D1597" s="1796"/>
      <c r="E1597" s="1295"/>
      <c r="F1597" s="94"/>
      <c r="G1597" s="1260" t="s">
        <v>247</v>
      </c>
    </row>
    <row r="1598" spans="1:9" ht="16.5" hidden="1" thickTop="1" thickBot="1" x14ac:dyDescent="0.3">
      <c r="A1598" s="4"/>
      <c r="B1598" s="544" t="s">
        <v>256</v>
      </c>
      <c r="C1598" s="1262"/>
      <c r="D1598" s="1536" t="s">
        <v>1098</v>
      </c>
      <c r="E1598" s="1297">
        <f>'Verification Report'!O1599</f>
        <v>0</v>
      </c>
      <c r="F1598" s="1313" t="str">
        <f>IF(LEN('Verification Report'!W1601)=0,"",'Verification Report'!W1601)</f>
        <v/>
      </c>
      <c r="G1598" s="1260" t="s">
        <v>247</v>
      </c>
    </row>
    <row r="1599" spans="1:9" ht="16.5" hidden="1" thickTop="1" thickBot="1" x14ac:dyDescent="0.3">
      <c r="A1599" s="129"/>
      <c r="B1599" s="543" t="s">
        <v>258</v>
      </c>
      <c r="C1599" s="1261"/>
      <c r="D1599" s="1546" t="s">
        <v>1099</v>
      </c>
      <c r="E1599" s="1296">
        <f>'Verification Report'!O1600</f>
        <v>0</v>
      </c>
      <c r="F1599" s="1313" t="str">
        <f>IF(LEN('Verification Report'!W1602)=0,"",'Verification Report'!W1602)</f>
        <v/>
      </c>
      <c r="G1599" s="1260" t="s">
        <v>247</v>
      </c>
    </row>
    <row r="1600" spans="1:9" ht="15" hidden="1" customHeight="1" x14ac:dyDescent="0.25">
      <c r="A1600" s="129"/>
      <c r="B1600" s="1261"/>
      <c r="C1600" s="1261"/>
      <c r="D1600" s="1782" t="s">
        <v>1100</v>
      </c>
      <c r="E1600" s="1296"/>
      <c r="F1600" s="94"/>
      <c r="G1600" s="1260" t="s">
        <v>247</v>
      </c>
    </row>
    <row r="1601" spans="1:7" ht="16.5" hidden="1" thickTop="1" thickBot="1" x14ac:dyDescent="0.3">
      <c r="A1601" s="240"/>
      <c r="B1601" s="1276"/>
      <c r="C1601" s="1276"/>
      <c r="D1601" s="1797"/>
      <c r="E1601" s="1294"/>
      <c r="F1601" s="94"/>
      <c r="G1601" s="1260" t="s">
        <v>247</v>
      </c>
    </row>
    <row r="1602" spans="1:7" ht="15.75" hidden="1" customHeight="1" thickTop="1" x14ac:dyDescent="0.25">
      <c r="A1602" s="180">
        <v>706.8</v>
      </c>
      <c r="B1602" s="520"/>
      <c r="C1602" s="520"/>
      <c r="D1602" s="1899" t="s">
        <v>4352</v>
      </c>
      <c r="E1602" s="1298">
        <f>'Verification Report'!O1603</f>
        <v>0</v>
      </c>
      <c r="F1602" s="1313" t="str">
        <f>IF(LEN('Verification Report'!W1605)=0,"",'Verification Report'!W1605)</f>
        <v/>
      </c>
      <c r="G1602" s="1260" t="s">
        <v>247</v>
      </c>
    </row>
    <row r="1603" spans="1:7" ht="16.5" hidden="1" thickTop="1" thickBot="1" x14ac:dyDescent="0.3">
      <c r="A1603" s="4"/>
      <c r="B1603" s="1277"/>
      <c r="C1603" s="1277"/>
      <c r="D1603" s="1833"/>
      <c r="E1603" s="1296"/>
      <c r="F1603" s="94"/>
      <c r="G1603" s="1260" t="s">
        <v>247</v>
      </c>
    </row>
    <row r="1604" spans="1:7" ht="16.5" hidden="1" thickTop="1" thickBot="1" x14ac:dyDescent="0.3">
      <c r="A1604" s="240"/>
      <c r="B1604" s="1276"/>
      <c r="C1604" s="1276"/>
      <c r="D1604" s="1900"/>
      <c r="E1604" s="1294"/>
      <c r="F1604" s="94"/>
      <c r="G1604" s="1260" t="s">
        <v>247</v>
      </c>
    </row>
    <row r="1605" spans="1:7" ht="15.75" hidden="1" customHeight="1" thickTop="1" x14ac:dyDescent="0.25">
      <c r="A1605" s="87" t="s">
        <v>4353</v>
      </c>
      <c r="B1605" s="845"/>
      <c r="C1605" s="845"/>
      <c r="D1605" s="1833" t="s">
        <v>4354</v>
      </c>
      <c r="E1605" s="1298">
        <f>'Verification Report'!O1606</f>
        <v>0</v>
      </c>
      <c r="F1605" s="1313" t="str">
        <f>IF(LEN('Verification Report'!W1608)=0,"",'Verification Report'!W1608)</f>
        <v/>
      </c>
      <c r="G1605" s="1260" t="s">
        <v>247</v>
      </c>
    </row>
    <row r="1606" spans="1:7" ht="16.5" hidden="1" thickTop="1" thickBot="1" x14ac:dyDescent="0.3">
      <c r="A1606" s="90"/>
      <c r="B1606" s="845"/>
      <c r="C1606" s="845"/>
      <c r="D1606" s="1833"/>
      <c r="E1606" s="1296"/>
      <c r="F1606" s="94"/>
      <c r="G1606" s="1260" t="s">
        <v>247</v>
      </c>
    </row>
    <row r="1607" spans="1:7" ht="16.5" hidden="1" thickTop="1" thickBot="1" x14ac:dyDescent="0.3">
      <c r="A1607" s="90"/>
      <c r="B1607" s="845"/>
      <c r="C1607" s="845"/>
      <c r="D1607" s="1833"/>
      <c r="E1607" s="1296"/>
      <c r="F1607" s="94"/>
      <c r="G1607" s="1260" t="s">
        <v>247</v>
      </c>
    </row>
    <row r="1608" spans="1:7" ht="16.5" hidden="1" thickTop="1" thickBot="1" x14ac:dyDescent="0.3">
      <c r="A1608" s="90"/>
      <c r="B1608" s="845"/>
      <c r="C1608" s="845"/>
      <c r="D1608" s="1833"/>
      <c r="E1608" s="1296"/>
      <c r="F1608" s="94"/>
      <c r="G1608" s="1260" t="s">
        <v>247</v>
      </c>
    </row>
    <row r="1609" spans="1:7" ht="16.5" hidden="1" thickTop="1" thickBot="1" x14ac:dyDescent="0.3">
      <c r="A1609" s="103"/>
      <c r="B1609" s="852"/>
      <c r="C1609" s="852"/>
      <c r="D1609" s="1900"/>
      <c r="E1609" s="1294"/>
      <c r="F1609" s="94"/>
      <c r="G1609" s="1260" t="s">
        <v>247</v>
      </c>
    </row>
    <row r="1610" spans="1:7" ht="15.75" hidden="1" customHeight="1" thickTop="1" x14ac:dyDescent="0.25">
      <c r="A1610" s="78" t="s">
        <v>4355</v>
      </c>
      <c r="B1610" s="1277"/>
      <c r="C1610" s="1277"/>
      <c r="D1610" s="1796" t="s">
        <v>4356</v>
      </c>
      <c r="E1610" s="1295">
        <f>'Verification Report'!O1611</f>
        <v>0</v>
      </c>
      <c r="F1610" s="1313" t="str">
        <f>IF(LEN('Verification Report'!W1613)=0,"",'Verification Report'!W1613)</f>
        <v/>
      </c>
      <c r="G1610" s="1260" t="s">
        <v>247</v>
      </c>
    </row>
    <row r="1611" spans="1:7" ht="16.5" hidden="1" thickTop="1" thickBot="1" x14ac:dyDescent="0.3">
      <c r="A1611" s="4"/>
      <c r="B1611" s="1277"/>
      <c r="C1611" s="1277"/>
      <c r="D1611" s="1796"/>
      <c r="E1611" s="1295"/>
      <c r="F1611" s="94"/>
      <c r="G1611" s="1260" t="s">
        <v>247</v>
      </c>
    </row>
    <row r="1612" spans="1:7" ht="16.5" hidden="1" thickTop="1" thickBot="1" x14ac:dyDescent="0.3">
      <c r="A1612" s="4"/>
      <c r="B1612" s="1277"/>
      <c r="C1612" s="1277"/>
      <c r="D1612" s="1796"/>
      <c r="E1612" s="1295"/>
      <c r="F1612" s="94"/>
      <c r="G1612" s="1260" t="s">
        <v>247</v>
      </c>
    </row>
    <row r="1613" spans="1:7" ht="15" hidden="1" customHeight="1" x14ac:dyDescent="0.25">
      <c r="A1613" s="4"/>
      <c r="B1613" s="1277"/>
      <c r="C1613" s="1277"/>
      <c r="D1613" s="1796" t="s">
        <v>4357</v>
      </c>
      <c r="E1613" s="1295"/>
      <c r="F1613" s="94"/>
      <c r="G1613" s="1260" t="s">
        <v>247</v>
      </c>
    </row>
    <row r="1614" spans="1:7" ht="16.5" hidden="1" thickTop="1" thickBot="1" x14ac:dyDescent="0.3">
      <c r="A1614" s="4"/>
      <c r="B1614" s="1277"/>
      <c r="C1614" s="1277"/>
      <c r="D1614" s="1796"/>
      <c r="E1614" s="1295"/>
      <c r="F1614" s="94"/>
      <c r="G1614" s="1260" t="s">
        <v>247</v>
      </c>
    </row>
    <row r="1615" spans="1:7" ht="15.75" hidden="1" customHeight="1" thickTop="1" x14ac:dyDescent="0.25">
      <c r="A1615" s="682" t="s">
        <v>4364</v>
      </c>
      <c r="B1615" s="682"/>
      <c r="C1615" s="682"/>
      <c r="D1615" s="1899" t="s">
        <v>4372</v>
      </c>
      <c r="E1615" s="1298">
        <f>'Verification Report'!O1616</f>
        <v>0</v>
      </c>
      <c r="F1615" s="1313" t="str">
        <f>IF(LEN('Verification Report'!W1618)=0,"",'Verification Report'!W1618)</f>
        <v/>
      </c>
      <c r="G1615" s="1260" t="s">
        <v>247</v>
      </c>
    </row>
    <row r="1616" spans="1:7" ht="16.5" hidden="1" thickTop="1" thickBot="1" x14ac:dyDescent="0.3">
      <c r="A1616" s="673"/>
      <c r="B1616" s="673"/>
      <c r="C1616" s="673"/>
      <c r="D1616" s="1900"/>
      <c r="E1616" s="1294"/>
      <c r="F1616" s="94"/>
      <c r="G1616" s="1260" t="s">
        <v>247</v>
      </c>
    </row>
    <row r="1617" spans="1:7" ht="15.75" hidden="1" customHeight="1" thickTop="1" x14ac:dyDescent="0.25">
      <c r="A1617" s="682" t="s">
        <v>4365</v>
      </c>
      <c r="B1617" s="682"/>
      <c r="C1617" s="682"/>
      <c r="D1617" s="1899" t="s">
        <v>5589</v>
      </c>
      <c r="E1617" s="1298">
        <f>'Verification Report'!O1618</f>
        <v>0</v>
      </c>
      <c r="F1617" s="1313" t="str">
        <f>IF(LEN('Verification Report'!W1620)=0,"",'Verification Report'!W1620)</f>
        <v/>
      </c>
      <c r="G1617" s="1260" t="s">
        <v>247</v>
      </c>
    </row>
    <row r="1618" spans="1:7" ht="16.5" hidden="1" thickTop="1" thickBot="1" x14ac:dyDescent="0.3">
      <c r="A1618" s="667"/>
      <c r="B1618" s="667"/>
      <c r="C1618" s="667"/>
      <c r="D1618" s="1833"/>
      <c r="E1618" s="1295"/>
      <c r="F1618" s="94"/>
      <c r="G1618" s="1260" t="s">
        <v>247</v>
      </c>
    </row>
    <row r="1619" spans="1:7" ht="16.5" hidden="1" thickTop="1" thickBot="1" x14ac:dyDescent="0.3">
      <c r="A1619" s="667"/>
      <c r="B1619" s="667"/>
      <c r="C1619" s="667"/>
      <c r="D1619" s="1833"/>
      <c r="E1619" s="1295"/>
      <c r="F1619" s="94"/>
      <c r="G1619" s="1260" t="s">
        <v>247</v>
      </c>
    </row>
    <row r="1620" spans="1:7" ht="16.5" hidden="1" thickTop="1" thickBot="1" x14ac:dyDescent="0.3">
      <c r="A1620" s="673"/>
      <c r="B1620" s="673"/>
      <c r="C1620" s="673"/>
      <c r="D1620" s="1900"/>
      <c r="E1620" s="1294"/>
      <c r="F1620" s="94"/>
      <c r="G1620" s="1260" t="s">
        <v>247</v>
      </c>
    </row>
    <row r="1621" spans="1:7" ht="15.75" hidden="1" customHeight="1" thickTop="1" x14ac:dyDescent="0.25">
      <c r="A1621" s="682" t="s">
        <v>4366</v>
      </c>
      <c r="B1621" s="682"/>
      <c r="C1621" s="682"/>
      <c r="D1621" s="1899" t="s">
        <v>4371</v>
      </c>
      <c r="E1621" s="1298">
        <f ca="1">'Verification Report'!O1622</f>
        <v>0</v>
      </c>
      <c r="F1621" s="1313" t="str">
        <f>IF(LEN('Verification Report'!W1624)=0,"",'Verification Report'!W1624)</f>
        <v/>
      </c>
      <c r="G1621" s="1260" t="s">
        <v>247</v>
      </c>
    </row>
    <row r="1622" spans="1:7" ht="16.5" hidden="1" thickTop="1" thickBot="1" x14ac:dyDescent="0.3">
      <c r="A1622" s="667"/>
      <c r="B1622" s="667"/>
      <c r="C1622" s="667"/>
      <c r="D1622" s="1833"/>
      <c r="E1622" s="1295"/>
      <c r="F1622" s="94"/>
      <c r="G1622" s="1260" t="s">
        <v>247</v>
      </c>
    </row>
    <row r="1623" spans="1:7" ht="16.5" hidden="1" thickTop="1" thickBot="1" x14ac:dyDescent="0.3">
      <c r="A1623" s="667"/>
      <c r="B1623" s="684" t="s">
        <v>256</v>
      </c>
      <c r="C1623" s="684"/>
      <c r="D1623" s="1544" t="s">
        <v>4358</v>
      </c>
      <c r="E1623" s="1295"/>
      <c r="F1623" s="94"/>
      <c r="G1623" s="1260" t="s">
        <v>247</v>
      </c>
    </row>
    <row r="1624" spans="1:7" ht="16.5" hidden="1" thickTop="1" thickBot="1" x14ac:dyDescent="0.3">
      <c r="A1624" s="673"/>
      <c r="B1624" s="673" t="s">
        <v>258</v>
      </c>
      <c r="C1624" s="673"/>
      <c r="D1624" s="1538" t="s">
        <v>4359</v>
      </c>
      <c r="E1624" s="1052"/>
      <c r="F1624" s="94"/>
      <c r="G1624" s="1260" t="s">
        <v>247</v>
      </c>
    </row>
    <row r="1625" spans="1:7" ht="16.5" hidden="1" thickTop="1" thickBot="1" x14ac:dyDescent="0.3">
      <c r="A1625" s="667" t="s">
        <v>4367</v>
      </c>
      <c r="B1625" s="667"/>
      <c r="C1625" s="667"/>
      <c r="D1625" s="1552" t="s">
        <v>4370</v>
      </c>
      <c r="E1625" s="664"/>
      <c r="F1625" s="94"/>
      <c r="G1625" s="1260" t="s">
        <v>247</v>
      </c>
    </row>
    <row r="1626" spans="1:7" ht="15" hidden="1" customHeight="1" x14ac:dyDescent="0.25">
      <c r="A1626" s="667"/>
      <c r="B1626" s="667" t="s">
        <v>256</v>
      </c>
      <c r="C1626" s="667"/>
      <c r="D1626" s="1787" t="s">
        <v>4360</v>
      </c>
      <c r="E1626" s="1295">
        <f ca="1">'Verification Report'!O1627</f>
        <v>0</v>
      </c>
      <c r="F1626" s="1313" t="str">
        <f>IF(LEN('Verification Report'!W1629)=0,"",'Verification Report'!W1629)</f>
        <v/>
      </c>
      <c r="G1626" s="1260" t="s">
        <v>247</v>
      </c>
    </row>
    <row r="1627" spans="1:7" ht="16.5" hidden="1" thickTop="1" thickBot="1" x14ac:dyDescent="0.3">
      <c r="A1627" s="667"/>
      <c r="B1627" s="667"/>
      <c r="C1627" s="667"/>
      <c r="D1627" s="1787"/>
      <c r="E1627" s="1295"/>
      <c r="F1627" s="94"/>
      <c r="G1627" s="1260" t="s">
        <v>247</v>
      </c>
    </row>
    <row r="1628" spans="1:7" ht="16.5" hidden="1" thickTop="1" thickBot="1" x14ac:dyDescent="0.3">
      <c r="A1628" s="667"/>
      <c r="B1628" s="667"/>
      <c r="C1628" s="667"/>
      <c r="D1628" s="1787"/>
      <c r="E1628" s="1295"/>
      <c r="F1628" s="94"/>
      <c r="G1628" s="1260" t="s">
        <v>247</v>
      </c>
    </row>
    <row r="1629" spans="1:7" ht="16.5" hidden="1" thickTop="1" thickBot="1" x14ac:dyDescent="0.3">
      <c r="A1629" s="667"/>
      <c r="B1629" s="684"/>
      <c r="C1629" s="684"/>
      <c r="D1629" s="1786"/>
      <c r="E1629" s="1297"/>
      <c r="F1629" s="94"/>
      <c r="G1629" s="1260" t="s">
        <v>247</v>
      </c>
    </row>
    <row r="1630" spans="1:7" ht="15" hidden="1" customHeight="1" x14ac:dyDescent="0.25">
      <c r="A1630" s="667"/>
      <c r="B1630" s="667" t="s">
        <v>258</v>
      </c>
      <c r="C1630" s="667"/>
      <c r="D1630" s="1787" t="s">
        <v>4361</v>
      </c>
      <c r="E1630" s="1295">
        <f>'Verification Report'!O1631</f>
        <v>0</v>
      </c>
      <c r="F1630" s="1313" t="str">
        <f>IF(LEN('Verification Report'!W1633)=0,"",'Verification Report'!W1633)</f>
        <v/>
      </c>
      <c r="G1630" s="1260" t="s">
        <v>247</v>
      </c>
    </row>
    <row r="1631" spans="1:7" ht="16.5" hidden="1" thickTop="1" thickBot="1" x14ac:dyDescent="0.3">
      <c r="A1631" s="673"/>
      <c r="B1631" s="673"/>
      <c r="C1631" s="673"/>
      <c r="D1631" s="1766"/>
      <c r="E1631" s="1294"/>
      <c r="F1631" s="94"/>
      <c r="G1631" s="1260" t="s">
        <v>247</v>
      </c>
    </row>
    <row r="1632" spans="1:7" ht="15.75" hidden="1" customHeight="1" thickTop="1" x14ac:dyDescent="0.25">
      <c r="A1632" s="667" t="s">
        <v>4368</v>
      </c>
      <c r="B1632" s="667"/>
      <c r="C1632" s="667"/>
      <c r="D1632" s="1833" t="s">
        <v>4369</v>
      </c>
      <c r="E1632" s="664"/>
      <c r="F1632" s="94"/>
      <c r="G1632" s="1260" t="s">
        <v>247</v>
      </c>
    </row>
    <row r="1633" spans="1:7" ht="16.5" hidden="1" thickTop="1" thickBot="1" x14ac:dyDescent="0.3">
      <c r="A1633" s="667"/>
      <c r="B1633" s="667"/>
      <c r="C1633" s="667"/>
      <c r="D1633" s="1833"/>
      <c r="E1633" s="664"/>
      <c r="F1633" s="94"/>
      <c r="G1633" s="1260" t="s">
        <v>247</v>
      </c>
    </row>
    <row r="1634" spans="1:7" ht="16.5" hidden="1" thickTop="1" thickBot="1" x14ac:dyDescent="0.3">
      <c r="A1634" s="667"/>
      <c r="B1634" s="667"/>
      <c r="C1634" s="667"/>
      <c r="D1634" s="1833"/>
      <c r="E1634" s="664"/>
      <c r="F1634" s="94"/>
      <c r="G1634" s="1260" t="s">
        <v>247</v>
      </c>
    </row>
    <row r="1635" spans="1:7" ht="16.5" hidden="1" thickTop="1" thickBot="1" x14ac:dyDescent="0.3">
      <c r="A1635" s="667"/>
      <c r="B1635" s="684" t="s">
        <v>256</v>
      </c>
      <c r="C1635" s="684"/>
      <c r="D1635" s="1544" t="s">
        <v>4362</v>
      </c>
      <c r="E1635" s="1297">
        <f ca="1">'Verification Report'!O1636</f>
        <v>0</v>
      </c>
      <c r="F1635" s="1313" t="str">
        <f>IF(LEN('Verification Report'!W1638)=0,"",'Verification Report'!W1638)</f>
        <v/>
      </c>
      <c r="G1635" s="1260" t="s">
        <v>247</v>
      </c>
    </row>
    <row r="1636" spans="1:7" ht="16.5" hidden="1" thickTop="1" thickBot="1" x14ac:dyDescent="0.3">
      <c r="A1636" s="667"/>
      <c r="B1636" s="667" t="s">
        <v>258</v>
      </c>
      <c r="C1636" s="667"/>
      <c r="D1636" s="1545" t="s">
        <v>4363</v>
      </c>
      <c r="E1636" s="1293">
        <f ca="1">'Verification Report'!O1637</f>
        <v>0</v>
      </c>
      <c r="F1636" s="1313" t="str">
        <f>IF(LEN('Verification Report'!W1639)=0,"",'Verification Report'!W1639)</f>
        <v/>
      </c>
      <c r="G1636" s="1260" t="s">
        <v>247</v>
      </c>
    </row>
    <row r="1637" spans="1:7" ht="20.25" hidden="1" thickTop="1" thickBot="1" x14ac:dyDescent="0.35">
      <c r="A1637" s="22" t="s">
        <v>772</v>
      </c>
      <c r="B1637" s="22"/>
      <c r="C1637" s="22"/>
      <c r="D1637" s="1208"/>
      <c r="E1637" s="1051"/>
      <c r="F1637" s="94"/>
      <c r="G1637" s="1260" t="s">
        <v>247</v>
      </c>
    </row>
    <row r="1638" spans="1:7" ht="15" hidden="1" customHeight="1" x14ac:dyDescent="0.25">
      <c r="A1638" s="78" t="s">
        <v>773</v>
      </c>
      <c r="B1638" s="164"/>
      <c r="C1638" s="4"/>
      <c r="D1638" s="1796" t="s">
        <v>4374</v>
      </c>
      <c r="E1638" s="1296"/>
      <c r="F1638" s="94"/>
      <c r="G1638" s="1260" t="s">
        <v>247</v>
      </c>
    </row>
    <row r="1639" spans="1:7" ht="16.5" hidden="1" thickTop="1" thickBot="1" x14ac:dyDescent="0.3">
      <c r="A1639" s="78"/>
      <c r="B1639" s="164"/>
      <c r="C1639" s="4"/>
      <c r="D1639" s="1796"/>
      <c r="E1639" s="1296"/>
      <c r="F1639" s="94"/>
      <c r="G1639" s="1260" t="s">
        <v>247</v>
      </c>
    </row>
    <row r="1640" spans="1:7" ht="16.5" hidden="1" thickTop="1" thickBot="1" x14ac:dyDescent="0.3">
      <c r="A1640" s="910"/>
      <c r="B1640" s="524"/>
      <c r="C1640" s="210"/>
      <c r="D1640" s="1843"/>
      <c r="E1640" s="1296"/>
      <c r="F1640" s="94"/>
      <c r="G1640" s="1260" t="s">
        <v>247</v>
      </c>
    </row>
    <row r="1641" spans="1:7" ht="15" hidden="1" customHeight="1" x14ac:dyDescent="0.25">
      <c r="A1641" s="64">
        <v>801.1</v>
      </c>
      <c r="B1641" s="164"/>
      <c r="C1641" s="4"/>
      <c r="D1641" s="1922" t="s">
        <v>4823</v>
      </c>
      <c r="E1641" s="1296"/>
      <c r="F1641" s="1313" t="str">
        <f>IF(LEN('Verification Report'!W1644)=0,"",'Verification Report'!W1644)</f>
        <v/>
      </c>
      <c r="G1641" s="1260" t="s">
        <v>247</v>
      </c>
    </row>
    <row r="1642" spans="1:7" ht="16.5" hidden="1" thickTop="1" thickBot="1" x14ac:dyDescent="0.3">
      <c r="A1642" s="78"/>
      <c r="B1642" s="164"/>
      <c r="C1642" s="4"/>
      <c r="D1642" s="1922"/>
      <c r="E1642" s="1296"/>
      <c r="F1642" s="94"/>
      <c r="G1642" s="1260" t="s">
        <v>247</v>
      </c>
    </row>
    <row r="1643" spans="1:7" ht="16.5" hidden="1" thickTop="1" thickBot="1" x14ac:dyDescent="0.3">
      <c r="A1643" s="78"/>
      <c r="B1643" s="164"/>
      <c r="C1643" s="4"/>
      <c r="D1643" s="1922"/>
      <c r="E1643" s="1296"/>
      <c r="F1643" s="94"/>
      <c r="G1643" s="1260" t="s">
        <v>247</v>
      </c>
    </row>
    <row r="1644" spans="1:7" ht="16.5" hidden="1" thickTop="1" thickBot="1" x14ac:dyDescent="0.3">
      <c r="A1644" s="78"/>
      <c r="B1644" s="164"/>
      <c r="C1644" s="4"/>
      <c r="D1644" s="1922"/>
      <c r="E1644" s="1296"/>
      <c r="F1644" s="94"/>
      <c r="G1644" s="1260" t="s">
        <v>247</v>
      </c>
    </row>
    <row r="1645" spans="1:7" ht="16.5" hidden="1" thickTop="1" thickBot="1" x14ac:dyDescent="0.3">
      <c r="A1645" s="78"/>
      <c r="B1645" s="164"/>
      <c r="C1645" s="4"/>
      <c r="D1645" s="1922"/>
      <c r="E1645" s="1296"/>
      <c r="F1645" s="94"/>
      <c r="G1645" s="1260" t="s">
        <v>247</v>
      </c>
    </row>
    <row r="1646" spans="1:7" ht="16.5" hidden="1" thickTop="1" thickBot="1" x14ac:dyDescent="0.3">
      <c r="A1646" s="359"/>
      <c r="B1646" s="481"/>
      <c r="C1646" s="240"/>
      <c r="D1646" s="1923"/>
      <c r="E1646" s="1294"/>
      <c r="F1646" s="94"/>
      <c r="G1646" s="1260" t="s">
        <v>247</v>
      </c>
    </row>
    <row r="1647" spans="1:7" ht="20.25" hidden="1" thickTop="1" thickBot="1" x14ac:dyDescent="0.35">
      <c r="A1647" s="14" t="s">
        <v>4398</v>
      </c>
      <c r="B1647" s="14"/>
      <c r="C1647" s="23"/>
      <c r="D1647" s="229"/>
      <c r="E1647" s="1043"/>
      <c r="F1647" s="94"/>
      <c r="G1647" s="1260" t="s">
        <v>247</v>
      </c>
    </row>
    <row r="1648" spans="1:7" ht="15" hidden="1" customHeight="1" x14ac:dyDescent="0.25">
      <c r="A1648" s="64">
        <v>802.1</v>
      </c>
      <c r="B1648" s="4"/>
      <c r="C1648" s="4"/>
      <c r="D1648" s="1796" t="s">
        <v>4396</v>
      </c>
      <c r="E1648" s="1295">
        <f ca="1">'Verification Report'!O1649</f>
        <v>0</v>
      </c>
      <c r="F1648" s="94"/>
      <c r="G1648" s="1260" t="s">
        <v>247</v>
      </c>
    </row>
    <row r="1649" spans="1:7" ht="16.5" hidden="1" thickTop="1" thickBot="1" x14ac:dyDescent="0.3">
      <c r="A1649" s="64"/>
      <c r="B1649" s="4"/>
      <c r="C1649" s="4"/>
      <c r="D1649" s="1796"/>
      <c r="E1649" s="1295"/>
      <c r="F1649" s="1313" t="str">
        <f>IF(LEN('Verification Report'!W1652)=0,"",'Verification Report'!W1652)</f>
        <v/>
      </c>
      <c r="G1649" s="1260" t="s">
        <v>247</v>
      </c>
    </row>
    <row r="1650" spans="1:7" ht="16.5" hidden="1" thickTop="1" thickBot="1" x14ac:dyDescent="0.3">
      <c r="A1650" s="64"/>
      <c r="B1650" s="4"/>
      <c r="C1650" s="4"/>
      <c r="D1650" s="1796"/>
      <c r="E1650" s="1295"/>
      <c r="F1650" s="94"/>
      <c r="G1650" s="1260" t="s">
        <v>247</v>
      </c>
    </row>
    <row r="1651" spans="1:7" ht="16.5" hidden="1" thickTop="1" thickBot="1" x14ac:dyDescent="0.3">
      <c r="A1651" s="64"/>
      <c r="B1651" s="4"/>
      <c r="C1651" s="4"/>
      <c r="D1651" s="1796"/>
      <c r="E1651" s="1295"/>
      <c r="F1651" s="94"/>
      <c r="G1651" s="1260" t="s">
        <v>247</v>
      </c>
    </row>
    <row r="1652" spans="1:7" ht="16.5" hidden="1" thickTop="1" thickBot="1" x14ac:dyDescent="0.3">
      <c r="A1652" s="64"/>
      <c r="B1652" s="4"/>
      <c r="C1652" s="4"/>
      <c r="D1652" s="1796"/>
      <c r="E1652" s="1295"/>
      <c r="F1652" s="94"/>
      <c r="G1652" s="1260" t="s">
        <v>247</v>
      </c>
    </row>
    <row r="1653" spans="1:7" ht="15" hidden="1" customHeight="1" x14ac:dyDescent="0.25">
      <c r="A1653" s="64"/>
      <c r="B1653" s="4"/>
      <c r="C1653" s="4"/>
      <c r="D1653" s="1924" t="s">
        <v>774</v>
      </c>
      <c r="E1653" s="1295"/>
      <c r="F1653" s="94"/>
      <c r="G1653" s="1260" t="s">
        <v>247</v>
      </c>
    </row>
    <row r="1654" spans="1:7" ht="16.5" hidden="1" thickTop="1" thickBot="1" x14ac:dyDescent="0.3">
      <c r="A1654" s="64"/>
      <c r="B1654" s="4"/>
      <c r="C1654" s="4"/>
      <c r="D1654" s="1924"/>
      <c r="E1654" s="1295"/>
      <c r="F1654" s="94"/>
      <c r="G1654" s="1260" t="s">
        <v>247</v>
      </c>
    </row>
    <row r="1655" spans="1:7" ht="16.5" hidden="1" thickTop="1" thickBot="1" x14ac:dyDescent="0.3">
      <c r="A1655" s="64"/>
      <c r="B1655" s="4"/>
      <c r="C1655" s="4"/>
      <c r="D1655" s="1924"/>
      <c r="E1655" s="1295"/>
      <c r="F1655" s="94"/>
      <c r="G1655" s="1260" t="s">
        <v>247</v>
      </c>
    </row>
    <row r="1656" spans="1:7" ht="15" hidden="1" customHeight="1" x14ac:dyDescent="0.25">
      <c r="A1656" s="64"/>
      <c r="B1656" s="4"/>
      <c r="C1656" s="4"/>
      <c r="D1656" s="1924" t="s">
        <v>775</v>
      </c>
      <c r="E1656" s="1295"/>
      <c r="F1656" s="94"/>
      <c r="G1656" s="1260" t="s">
        <v>247</v>
      </c>
    </row>
    <row r="1657" spans="1:7" ht="16.5" hidden="1" thickTop="1" thickBot="1" x14ac:dyDescent="0.3">
      <c r="A1657" s="64"/>
      <c r="B1657" s="4"/>
      <c r="C1657" s="4"/>
      <c r="D1657" s="1924"/>
      <c r="E1657" s="1295"/>
      <c r="F1657" s="94"/>
      <c r="G1657" s="1260" t="s">
        <v>247</v>
      </c>
    </row>
    <row r="1658" spans="1:7" ht="16.5" hidden="1" thickTop="1" thickBot="1" x14ac:dyDescent="0.3">
      <c r="A1658" s="64"/>
      <c r="B1658" s="4"/>
      <c r="C1658" s="4"/>
      <c r="D1658" s="1924"/>
      <c r="E1658" s="1295"/>
      <c r="F1658" s="94"/>
      <c r="G1658" s="1260" t="s">
        <v>247</v>
      </c>
    </row>
    <row r="1659" spans="1:7" ht="16.5" hidden="1" thickTop="1" thickBot="1" x14ac:dyDescent="0.3">
      <c r="A1659" s="64"/>
      <c r="B1659" s="4"/>
      <c r="C1659" s="4"/>
      <c r="D1659" s="1550" t="s">
        <v>776</v>
      </c>
      <c r="E1659" s="1295"/>
      <c r="F1659" s="94"/>
      <c r="G1659" s="1260" t="s">
        <v>247</v>
      </c>
    </row>
    <row r="1660" spans="1:7" ht="16.5" hidden="1" thickTop="1" thickBot="1" x14ac:dyDescent="0.3">
      <c r="A1660" s="64"/>
      <c r="B1660" s="4"/>
      <c r="C1660" s="4"/>
      <c r="D1660" s="1582" t="s">
        <v>4586</v>
      </c>
      <c r="E1660" s="1295"/>
      <c r="F1660" s="94"/>
      <c r="G1660" s="1260" t="s">
        <v>247</v>
      </c>
    </row>
    <row r="1661" spans="1:7" ht="16.5" hidden="1" thickTop="1" thickBot="1" x14ac:dyDescent="0.3">
      <c r="A1661" s="64"/>
      <c r="B1661" s="4"/>
      <c r="C1661" s="4"/>
      <c r="D1661" s="1582" t="s">
        <v>4587</v>
      </c>
      <c r="E1661" s="1295"/>
      <c r="F1661" s="94"/>
      <c r="G1661" s="1260" t="s">
        <v>247</v>
      </c>
    </row>
    <row r="1662" spans="1:7" ht="15" hidden="1" customHeight="1" x14ac:dyDescent="0.25">
      <c r="A1662" s="64"/>
      <c r="B1662" s="183" t="s">
        <v>256</v>
      </c>
      <c r="C1662" s="129"/>
      <c r="D1662" s="1754" t="s">
        <v>777</v>
      </c>
      <c r="E1662" s="1295"/>
      <c r="F1662" s="94"/>
      <c r="G1662" s="1260" t="s">
        <v>247</v>
      </c>
    </row>
    <row r="1663" spans="1:7" ht="16.5" hidden="1" thickTop="1" thickBot="1" x14ac:dyDescent="0.3">
      <c r="A1663" s="64"/>
      <c r="B1663" s="206"/>
      <c r="C1663" s="210"/>
      <c r="D1663" s="1755"/>
      <c r="E1663" s="1295"/>
      <c r="F1663" s="94"/>
      <c r="G1663" s="1260" t="s">
        <v>247</v>
      </c>
    </row>
    <row r="1664" spans="1:7" ht="15" hidden="1" customHeight="1" x14ac:dyDescent="0.25">
      <c r="A1664" s="64"/>
      <c r="B1664" s="183" t="s">
        <v>258</v>
      </c>
      <c r="C1664" s="129"/>
      <c r="D1664" s="1754" t="s">
        <v>778</v>
      </c>
      <c r="E1664" s="1295"/>
      <c r="F1664" s="94"/>
      <c r="G1664" s="1260" t="s">
        <v>247</v>
      </c>
    </row>
    <row r="1665" spans="1:7" ht="16.5" hidden="1" thickTop="1" thickBot="1" x14ac:dyDescent="0.3">
      <c r="A1665" s="64"/>
      <c r="B1665" s="206"/>
      <c r="C1665" s="210"/>
      <c r="D1665" s="1755"/>
      <c r="E1665" s="1295"/>
      <c r="F1665" s="94"/>
      <c r="G1665" s="1260" t="s">
        <v>247</v>
      </c>
    </row>
    <row r="1666" spans="1:7" ht="15" hidden="1" customHeight="1" x14ac:dyDescent="0.25">
      <c r="A1666" s="64"/>
      <c r="B1666" s="183" t="s">
        <v>260</v>
      </c>
      <c r="C1666" s="129"/>
      <c r="D1666" s="1754" t="s">
        <v>779</v>
      </c>
      <c r="E1666" s="1295"/>
      <c r="F1666" s="94"/>
      <c r="G1666" s="1260" t="s">
        <v>247</v>
      </c>
    </row>
    <row r="1667" spans="1:7" ht="16.5" hidden="1" thickTop="1" thickBot="1" x14ac:dyDescent="0.3">
      <c r="A1667" s="64"/>
      <c r="B1667" s="206"/>
      <c r="C1667" s="210"/>
      <c r="D1667" s="1755"/>
      <c r="E1667" s="1295"/>
      <c r="F1667" s="94"/>
      <c r="G1667" s="1260" t="s">
        <v>247</v>
      </c>
    </row>
    <row r="1668" spans="1:7" ht="15" hidden="1" customHeight="1" x14ac:dyDescent="0.25">
      <c r="A1668" s="64"/>
      <c r="B1668" s="27" t="s">
        <v>269</v>
      </c>
      <c r="C1668" s="4"/>
      <c r="D1668" s="1779" t="s">
        <v>780</v>
      </c>
      <c r="E1668" s="1295"/>
      <c r="F1668" s="94"/>
      <c r="G1668" s="1260" t="s">
        <v>247</v>
      </c>
    </row>
    <row r="1669" spans="1:7" ht="16.5" hidden="1" thickTop="1" thickBot="1" x14ac:dyDescent="0.3">
      <c r="A1669" s="64"/>
      <c r="B1669" s="4"/>
      <c r="C1669" s="4"/>
      <c r="D1669" s="1779"/>
      <c r="E1669" s="1295"/>
      <c r="F1669" s="94"/>
      <c r="G1669" s="1260" t="s">
        <v>247</v>
      </c>
    </row>
    <row r="1670" spans="1:7" ht="16.5" hidden="1" thickTop="1" thickBot="1" x14ac:dyDescent="0.3">
      <c r="A1670" s="64"/>
      <c r="B1670" s="4"/>
      <c r="C1670" s="4"/>
      <c r="D1670" s="1779"/>
      <c r="E1670" s="1295"/>
      <c r="F1670" s="94"/>
      <c r="G1670" s="1260" t="s">
        <v>247</v>
      </c>
    </row>
    <row r="1671" spans="1:7" ht="15" hidden="1" customHeight="1" x14ac:dyDescent="0.25">
      <c r="A1671" s="4"/>
      <c r="B1671" s="129"/>
      <c r="C1671" s="183" t="s">
        <v>121</v>
      </c>
      <c r="D1671" s="1754" t="s">
        <v>781</v>
      </c>
      <c r="E1671" s="1295"/>
      <c r="F1671" s="94"/>
      <c r="G1671" s="1260" t="s">
        <v>247</v>
      </c>
    </row>
    <row r="1672" spans="1:7" ht="16.5" hidden="1" thickTop="1" thickBot="1" x14ac:dyDescent="0.3">
      <c r="A1672" s="64"/>
      <c r="B1672" s="210"/>
      <c r="C1672" s="210"/>
      <c r="D1672" s="1755"/>
      <c r="E1672" s="1295"/>
      <c r="F1672" s="94"/>
      <c r="G1672" s="1260" t="s">
        <v>247</v>
      </c>
    </row>
    <row r="1673" spans="1:7" ht="15" hidden="1" customHeight="1" x14ac:dyDescent="0.25">
      <c r="A1673" s="64"/>
      <c r="B1673" s="183" t="s">
        <v>275</v>
      </c>
      <c r="C1673" s="129"/>
      <c r="D1673" s="1754" t="s">
        <v>783</v>
      </c>
      <c r="E1673" s="1296"/>
      <c r="F1673" s="94"/>
      <c r="G1673" s="1260" t="s">
        <v>247</v>
      </c>
    </row>
    <row r="1674" spans="1:7" ht="16.5" hidden="1" thickTop="1" thickBot="1" x14ac:dyDescent="0.3">
      <c r="A1674" s="64"/>
      <c r="B1674" s="129"/>
      <c r="C1674" s="129"/>
      <c r="D1674" s="1754"/>
      <c r="E1674" s="1296"/>
      <c r="F1674" s="94"/>
      <c r="G1674" s="1260" t="s">
        <v>247</v>
      </c>
    </row>
    <row r="1675" spans="1:7" ht="16.5" hidden="1" thickTop="1" thickBot="1" x14ac:dyDescent="0.3">
      <c r="A1675" s="64"/>
      <c r="B1675" s="129"/>
      <c r="C1675" s="129"/>
      <c r="D1675" s="1754"/>
      <c r="E1675" s="1296"/>
      <c r="F1675" s="94"/>
      <c r="G1675" s="1260" t="s">
        <v>247</v>
      </c>
    </row>
    <row r="1676" spans="1:7" ht="16.5" hidden="1" thickTop="1" thickBot="1" x14ac:dyDescent="0.3">
      <c r="A1676" s="64"/>
      <c r="B1676" s="129"/>
      <c r="C1676" s="129"/>
      <c r="D1676" s="1754"/>
      <c r="E1676" s="1296"/>
      <c r="F1676" s="94"/>
      <c r="G1676" s="1260" t="s">
        <v>247</v>
      </c>
    </row>
    <row r="1677" spans="1:7" ht="16.5" hidden="1" thickTop="1" thickBot="1" x14ac:dyDescent="0.3">
      <c r="A1677" s="64"/>
      <c r="B1677" s="210"/>
      <c r="C1677" s="210"/>
      <c r="D1677" s="1755"/>
      <c r="E1677" s="1297"/>
      <c r="F1677" s="94"/>
      <c r="G1677" s="1260" t="s">
        <v>247</v>
      </c>
    </row>
    <row r="1678" spans="1:7" ht="15" hidden="1" customHeight="1" x14ac:dyDescent="0.25">
      <c r="A1678" s="130"/>
      <c r="B1678" s="183" t="s">
        <v>277</v>
      </c>
      <c r="C1678" s="129"/>
      <c r="D1678" s="1754" t="s">
        <v>784</v>
      </c>
      <c r="E1678" s="1296">
        <f ca="1">'Verification Report'!O1679</f>
        <v>0</v>
      </c>
      <c r="F1678" s="1313" t="str">
        <f>IF(LEN('Verification Report'!W1681)=0,"",'Verification Report'!W1681)</f>
        <v/>
      </c>
      <c r="G1678" s="1260" t="s">
        <v>247</v>
      </c>
    </row>
    <row r="1679" spans="1:7" ht="16.5" hidden="1" thickTop="1" thickBot="1" x14ac:dyDescent="0.3">
      <c r="A1679" s="130"/>
      <c r="B1679" s="129"/>
      <c r="C1679" s="129"/>
      <c r="D1679" s="1754"/>
      <c r="E1679" s="1296"/>
      <c r="F1679" s="94"/>
      <c r="G1679" s="1260" t="s">
        <v>247</v>
      </c>
    </row>
    <row r="1680" spans="1:7" ht="16.5" hidden="1" thickTop="1" thickBot="1" x14ac:dyDescent="0.3">
      <c r="A1680" s="189"/>
      <c r="B1680" s="240"/>
      <c r="C1680" s="240"/>
      <c r="D1680" s="1783"/>
      <c r="E1680" s="1294"/>
      <c r="F1680" s="94"/>
      <c r="G1680" s="1260" t="s">
        <v>247</v>
      </c>
    </row>
    <row r="1681" spans="1:7" ht="15.75" hidden="1" customHeight="1" thickTop="1" x14ac:dyDescent="0.25">
      <c r="A1681" s="64">
        <v>802.2</v>
      </c>
      <c r="B1681" s="4"/>
      <c r="C1681" s="4"/>
      <c r="D1681" s="1796" t="s">
        <v>4375</v>
      </c>
      <c r="E1681" s="1295"/>
      <c r="F1681" s="94"/>
      <c r="G1681" s="1260" t="s">
        <v>247</v>
      </c>
    </row>
    <row r="1682" spans="1:7" ht="16.5" hidden="1" thickTop="1" thickBot="1" x14ac:dyDescent="0.3">
      <c r="A1682" s="64"/>
      <c r="B1682" s="4"/>
      <c r="C1682" s="4"/>
      <c r="D1682" s="1796"/>
      <c r="E1682" s="1295"/>
      <c r="F1682" s="94"/>
      <c r="G1682" s="1260" t="s">
        <v>247</v>
      </c>
    </row>
    <row r="1683" spans="1:7" ht="16.5" hidden="1" thickTop="1" thickBot="1" x14ac:dyDescent="0.3">
      <c r="A1683" s="64"/>
      <c r="B1683" s="206" t="s">
        <v>256</v>
      </c>
      <c r="C1683" s="210"/>
      <c r="D1683" s="1536" t="s">
        <v>785</v>
      </c>
      <c r="E1683" s="1297">
        <f ca="1">'Verification Report'!O1684</f>
        <v>0</v>
      </c>
      <c r="F1683" s="1313" t="str">
        <f>IF(LEN('Verification Report'!W1686)=0,"",'Verification Report'!W1686)</f>
        <v/>
      </c>
      <c r="G1683" s="1260" t="s">
        <v>247</v>
      </c>
    </row>
    <row r="1684" spans="1:7" ht="16.5" hidden="1" thickTop="1" thickBot="1" x14ac:dyDescent="0.3">
      <c r="A1684" s="130"/>
      <c r="B1684" s="206" t="s">
        <v>258</v>
      </c>
      <c r="C1684" s="210"/>
      <c r="D1684" s="1536" t="s">
        <v>4399</v>
      </c>
      <c r="E1684" s="1296">
        <f ca="1">'Verification Report'!O1685</f>
        <v>0</v>
      </c>
      <c r="F1684" s="1313" t="str">
        <f>IF(LEN('Verification Report'!W1687)=0,"",'Verification Report'!W1687)</f>
        <v/>
      </c>
      <c r="G1684" s="1260" t="s">
        <v>247</v>
      </c>
    </row>
    <row r="1685" spans="1:7" ht="16.5" hidden="1" thickTop="1" thickBot="1" x14ac:dyDescent="0.3">
      <c r="A1685" s="130"/>
      <c r="B1685" s="183" t="s">
        <v>260</v>
      </c>
      <c r="C1685" s="129"/>
      <c r="D1685" s="1554" t="s">
        <v>4400</v>
      </c>
      <c r="E1685" s="1296"/>
      <c r="F1685" s="94"/>
      <c r="G1685" s="1260" t="s">
        <v>247</v>
      </c>
    </row>
    <row r="1686" spans="1:7" ht="15" hidden="1" customHeight="1" x14ac:dyDescent="0.25">
      <c r="A1686" s="130"/>
      <c r="B1686" s="183"/>
      <c r="C1686" s="129"/>
      <c r="D1686" s="1849" t="s">
        <v>3586</v>
      </c>
      <c r="E1686" s="1296"/>
      <c r="F1686" s="94"/>
      <c r="G1686" s="1260" t="s">
        <v>247</v>
      </c>
    </row>
    <row r="1687" spans="1:7" ht="16.5" hidden="1" thickTop="1" thickBot="1" x14ac:dyDescent="0.3">
      <c r="A1687" s="130"/>
      <c r="B1687" s="183"/>
      <c r="C1687" s="129"/>
      <c r="D1687" s="1859"/>
      <c r="E1687" s="1296"/>
      <c r="F1687" s="94"/>
      <c r="G1687" s="1260" t="s">
        <v>247</v>
      </c>
    </row>
    <row r="1688" spans="1:7" ht="15" hidden="1" customHeight="1" x14ac:dyDescent="0.25">
      <c r="A1688" s="130"/>
      <c r="B1688" s="94"/>
      <c r="C1688" s="94"/>
      <c r="D1688" s="1855" t="s">
        <v>3587</v>
      </c>
      <c r="E1688" s="1296"/>
      <c r="F1688" s="94"/>
      <c r="G1688" s="1260" t="s">
        <v>247</v>
      </c>
    </row>
    <row r="1689" spans="1:7" ht="16.5" hidden="1" thickTop="1" thickBot="1" x14ac:dyDescent="0.3">
      <c r="A1689" s="189"/>
      <c r="B1689" s="99"/>
      <c r="C1689" s="99"/>
      <c r="D1689" s="2101"/>
      <c r="E1689" s="1294"/>
      <c r="F1689" s="94"/>
      <c r="G1689" s="1260" t="s">
        <v>247</v>
      </c>
    </row>
    <row r="1690" spans="1:7" ht="16.5" hidden="1" thickTop="1" thickBot="1" x14ac:dyDescent="0.3">
      <c r="A1690" s="943">
        <v>802.3</v>
      </c>
      <c r="B1690" s="667"/>
      <c r="C1690" s="862"/>
      <c r="D1690" s="1572" t="s">
        <v>4401</v>
      </c>
      <c r="E1690" s="1295"/>
      <c r="F1690" s="94"/>
      <c r="G1690" s="1260" t="s">
        <v>247</v>
      </c>
    </row>
    <row r="1691" spans="1:7" ht="16.5" hidden="1" thickTop="1" thickBot="1" x14ac:dyDescent="0.3">
      <c r="A1691" s="943"/>
      <c r="B1691" s="667" t="s">
        <v>256</v>
      </c>
      <c r="C1691" s="862"/>
      <c r="D1691" s="942" t="s">
        <v>4402</v>
      </c>
      <c r="E1691" s="1295"/>
      <c r="F1691" s="94"/>
      <c r="G1691" s="1260" t="s">
        <v>247</v>
      </c>
    </row>
    <row r="1692" spans="1:7" ht="15" hidden="1" customHeight="1" x14ac:dyDescent="0.25">
      <c r="A1692" s="943"/>
      <c r="B1692" s="667"/>
      <c r="C1692" s="862" t="s">
        <v>121</v>
      </c>
      <c r="D1692" s="1779" t="s">
        <v>4403</v>
      </c>
      <c r="E1692" s="1295">
        <f ca="1">'Verification Report'!O1693</f>
        <v>0</v>
      </c>
      <c r="F1692" s="1313" t="str">
        <f>IF(LEN('Verification Report'!W1695)=0,"",'Verification Report'!W1695)</f>
        <v/>
      </c>
      <c r="G1692" s="1260" t="s">
        <v>247</v>
      </c>
    </row>
    <row r="1693" spans="1:7" ht="16.5" hidden="1" thickTop="1" thickBot="1" x14ac:dyDescent="0.3">
      <c r="A1693" s="943"/>
      <c r="B1693" s="667"/>
      <c r="C1693" s="863"/>
      <c r="D1693" s="1755"/>
      <c r="E1693" s="1297"/>
      <c r="F1693" s="94"/>
      <c r="G1693" s="1260" t="s">
        <v>247</v>
      </c>
    </row>
    <row r="1694" spans="1:7" ht="15" hidden="1" customHeight="1" x14ac:dyDescent="0.25">
      <c r="A1694" s="943"/>
      <c r="B1694" s="667"/>
      <c r="C1694" s="862" t="s">
        <v>122</v>
      </c>
      <c r="D1694" s="1779" t="s">
        <v>4404</v>
      </c>
      <c r="E1694" s="1295">
        <f ca="1">'Verification Report'!O1695</f>
        <v>0</v>
      </c>
      <c r="F1694" s="1313" t="str">
        <f>IF(LEN('Verification Report'!W1697)=0,"",'Verification Report'!W1697)</f>
        <v/>
      </c>
      <c r="G1694" s="1260" t="s">
        <v>247</v>
      </c>
    </row>
    <row r="1695" spans="1:7" ht="16.5" hidden="1" thickTop="1" thickBot="1" x14ac:dyDescent="0.3">
      <c r="A1695" s="943"/>
      <c r="B1695" s="667"/>
      <c r="C1695" s="862"/>
      <c r="D1695" s="1779"/>
      <c r="E1695" s="1295"/>
      <c r="F1695" s="94"/>
      <c r="G1695" s="1260" t="s">
        <v>247</v>
      </c>
    </row>
    <row r="1696" spans="1:7" ht="16.5" hidden="1" thickTop="1" thickBot="1" x14ac:dyDescent="0.3">
      <c r="A1696" s="943"/>
      <c r="B1696" s="667"/>
      <c r="C1696" s="862"/>
      <c r="D1696" s="1779"/>
      <c r="E1696" s="1295"/>
      <c r="F1696" s="94"/>
      <c r="G1696" s="1260" t="s">
        <v>247</v>
      </c>
    </row>
    <row r="1697" spans="1:7" ht="16.5" hidden="1" thickTop="1" thickBot="1" x14ac:dyDescent="0.3">
      <c r="A1697" s="943"/>
      <c r="B1697" s="684"/>
      <c r="C1697" s="863"/>
      <c r="D1697" s="1755"/>
      <c r="E1697" s="1297"/>
      <c r="F1697" s="94"/>
      <c r="G1697" s="1260" t="s">
        <v>247</v>
      </c>
    </row>
    <row r="1698" spans="1:7" ht="16.5" hidden="1" thickTop="1" thickBot="1" x14ac:dyDescent="0.3">
      <c r="A1698" s="943"/>
      <c r="B1698" s="667" t="s">
        <v>258</v>
      </c>
      <c r="C1698" s="862"/>
      <c r="D1698" s="1540" t="s">
        <v>4405</v>
      </c>
      <c r="F1698" s="94"/>
      <c r="G1698" s="1260" t="s">
        <v>247</v>
      </c>
    </row>
    <row r="1699" spans="1:7" ht="15" hidden="1" customHeight="1" x14ac:dyDescent="0.25">
      <c r="A1699" s="943"/>
      <c r="B1699" s="667"/>
      <c r="D1699" s="1796" t="s">
        <v>4409</v>
      </c>
      <c r="F1699" s="94"/>
      <c r="G1699" s="1260" t="s">
        <v>247</v>
      </c>
    </row>
    <row r="1700" spans="1:7" ht="16.5" hidden="1" thickTop="1" thickBot="1" x14ac:dyDescent="0.3">
      <c r="A1700" s="943"/>
      <c r="B1700" s="667"/>
      <c r="D1700" s="1796"/>
      <c r="F1700" s="94"/>
      <c r="G1700" s="1260" t="s">
        <v>247</v>
      </c>
    </row>
    <row r="1701" spans="1:7" ht="15" hidden="1" customHeight="1" x14ac:dyDescent="0.25">
      <c r="A1701" s="943"/>
      <c r="B1701" s="667"/>
      <c r="C1701" s="862" t="s">
        <v>121</v>
      </c>
      <c r="D1701" s="1779" t="s">
        <v>4403</v>
      </c>
      <c r="E1701" s="1270">
        <f ca="1">'Verification Report'!O1702</f>
        <v>0</v>
      </c>
      <c r="F1701" s="1313" t="str">
        <f>IF(LEN('Verification Report'!W1704)=0,"",'Verification Report'!W1704)</f>
        <v/>
      </c>
      <c r="G1701" s="1260" t="s">
        <v>247</v>
      </c>
    </row>
    <row r="1702" spans="1:7" ht="16.5" hidden="1" thickTop="1" thickBot="1" x14ac:dyDescent="0.3">
      <c r="A1702" s="943"/>
      <c r="B1702" s="667"/>
      <c r="C1702" s="863"/>
      <c r="D1702" s="1755"/>
      <c r="E1702" s="1267"/>
      <c r="F1702" s="94"/>
      <c r="G1702" s="1260" t="s">
        <v>247</v>
      </c>
    </row>
    <row r="1703" spans="1:7" ht="15" hidden="1" customHeight="1" x14ac:dyDescent="0.25">
      <c r="A1703" s="943"/>
      <c r="B1703" s="667"/>
      <c r="C1703" s="862" t="s">
        <v>122</v>
      </c>
      <c r="D1703" s="1779" t="s">
        <v>4404</v>
      </c>
      <c r="E1703" s="1270">
        <f ca="1">'Verification Report'!O1704</f>
        <v>0</v>
      </c>
      <c r="F1703" s="1313" t="str">
        <f>IF(LEN('Verification Report'!W1706)=0,"",'Verification Report'!W1706)</f>
        <v/>
      </c>
      <c r="G1703" s="1260" t="s">
        <v>247</v>
      </c>
    </row>
    <row r="1704" spans="1:7" ht="16.5" hidden="1" thickTop="1" thickBot="1" x14ac:dyDescent="0.3">
      <c r="A1704" s="943"/>
      <c r="B1704" s="667"/>
      <c r="C1704" s="862"/>
      <c r="D1704" s="1779"/>
      <c r="E1704" s="1270"/>
      <c r="F1704" s="94"/>
      <c r="G1704" s="1260" t="s">
        <v>247</v>
      </c>
    </row>
    <row r="1705" spans="1:7" ht="16.5" hidden="1" thickTop="1" thickBot="1" x14ac:dyDescent="0.3">
      <c r="A1705" s="943"/>
      <c r="B1705" s="667"/>
      <c r="C1705" s="862"/>
      <c r="D1705" s="1779"/>
      <c r="E1705" s="1270"/>
      <c r="F1705" s="94"/>
      <c r="G1705" s="1260" t="s">
        <v>247</v>
      </c>
    </row>
    <row r="1706" spans="1:7" ht="16.5" hidden="1" thickTop="1" thickBot="1" x14ac:dyDescent="0.3">
      <c r="A1706" s="948"/>
      <c r="B1706" s="673"/>
      <c r="C1706" s="902"/>
      <c r="D1706" s="1783"/>
      <c r="E1706" s="1273"/>
      <c r="F1706" s="94"/>
      <c r="G1706" s="1260" t="s">
        <v>247</v>
      </c>
    </row>
    <row r="1707" spans="1:7" ht="16.5" hidden="1" thickTop="1" thickBot="1" x14ac:dyDescent="0.3">
      <c r="A1707" s="64">
        <v>802.4</v>
      </c>
      <c r="B1707" s="164"/>
      <c r="C1707" s="4"/>
      <c r="D1707" s="1563" t="s">
        <v>4411</v>
      </c>
      <c r="E1707" s="1295"/>
      <c r="F1707" s="94"/>
      <c r="G1707" s="1260" t="s">
        <v>247</v>
      </c>
    </row>
    <row r="1708" spans="1:7" ht="15" hidden="1" customHeight="1" x14ac:dyDescent="0.25">
      <c r="A1708" s="64"/>
      <c r="B1708" s="78" t="s">
        <v>256</v>
      </c>
      <c r="C1708" s="4"/>
      <c r="D1708" s="1779" t="s">
        <v>4414</v>
      </c>
      <c r="E1708" s="1295">
        <f ca="1">'Verification Report'!O1709</f>
        <v>0</v>
      </c>
      <c r="F1708" s="1313" t="str">
        <f>IF(LEN('Verification Report'!W1711)=0,"",'Verification Report'!W1711)</f>
        <v/>
      </c>
      <c r="G1708" s="1260" t="s">
        <v>247</v>
      </c>
    </row>
    <row r="1709" spans="1:7" ht="16.5" hidden="1" thickTop="1" thickBot="1" x14ac:dyDescent="0.3">
      <c r="A1709" s="64"/>
      <c r="B1709" s="164"/>
      <c r="C1709" s="4"/>
      <c r="D1709" s="1779"/>
      <c r="E1709" s="1295"/>
      <c r="F1709" s="94"/>
      <c r="G1709" s="1260" t="s">
        <v>247</v>
      </c>
    </row>
    <row r="1710" spans="1:7" ht="16.5" hidden="1" thickTop="1" thickBot="1" x14ac:dyDescent="0.3">
      <c r="A1710" s="64"/>
      <c r="B1710" s="164"/>
      <c r="C1710" s="4"/>
      <c r="D1710" s="1779"/>
      <c r="E1710" s="1295"/>
      <c r="F1710" s="94"/>
      <c r="G1710" s="1260" t="s">
        <v>247</v>
      </c>
    </row>
    <row r="1711" spans="1:7" ht="16.5" hidden="1" thickTop="1" thickBot="1" x14ac:dyDescent="0.3">
      <c r="A1711" s="64"/>
      <c r="B1711" s="164"/>
      <c r="C1711" s="4"/>
      <c r="D1711" s="1779"/>
      <c r="E1711" s="1295"/>
      <c r="F1711" s="94"/>
      <c r="G1711" s="1260" t="s">
        <v>247</v>
      </c>
    </row>
    <row r="1712" spans="1:7" ht="16.5" hidden="1" thickTop="1" thickBot="1" x14ac:dyDescent="0.3">
      <c r="A1712" s="64"/>
      <c r="B1712" s="164"/>
      <c r="C1712" s="4"/>
      <c r="D1712" s="1779"/>
      <c r="E1712" s="1295"/>
      <c r="F1712" s="94"/>
      <c r="G1712" s="1260" t="s">
        <v>247</v>
      </c>
    </row>
    <row r="1713" spans="1:7" ht="16.5" hidden="1" thickTop="1" thickBot="1" x14ac:dyDescent="0.3">
      <c r="A1713" s="64"/>
      <c r="B1713" s="164"/>
      <c r="C1713" s="4"/>
      <c r="D1713" s="1779"/>
      <c r="E1713" s="1295"/>
      <c r="F1713" s="94"/>
      <c r="G1713" s="1260" t="s">
        <v>247</v>
      </c>
    </row>
    <row r="1714" spans="1:7" ht="16.5" hidden="1" thickTop="1" thickBot="1" x14ac:dyDescent="0.3">
      <c r="A1714" s="64"/>
      <c r="B1714" s="164"/>
      <c r="C1714" s="4"/>
      <c r="D1714" s="1779"/>
      <c r="E1714" s="1295"/>
      <c r="F1714" s="94"/>
      <c r="G1714" s="1260" t="s">
        <v>247</v>
      </c>
    </row>
    <row r="1715" spans="1:7" ht="16.5" hidden="1" thickTop="1" thickBot="1" x14ac:dyDescent="0.3">
      <c r="A1715" s="64"/>
      <c r="B1715" s="164"/>
      <c r="C1715" s="4"/>
      <c r="D1715" s="1779"/>
      <c r="E1715" s="1295"/>
      <c r="F1715" s="94"/>
      <c r="G1715" s="1260" t="s">
        <v>247</v>
      </c>
    </row>
    <row r="1716" spans="1:7" ht="16.5" hidden="1" thickTop="1" thickBot="1" x14ac:dyDescent="0.3">
      <c r="A1716" s="64"/>
      <c r="B1716" s="164"/>
      <c r="C1716" s="4"/>
      <c r="D1716" s="1779"/>
      <c r="E1716" s="1295"/>
      <c r="F1716" s="94"/>
      <c r="G1716" s="1260" t="s">
        <v>247</v>
      </c>
    </row>
    <row r="1717" spans="1:7" ht="15" hidden="1" customHeight="1" x14ac:dyDescent="0.25">
      <c r="A1717" s="64"/>
      <c r="B1717" s="164"/>
      <c r="C1717" s="4"/>
      <c r="D1717" s="1851" t="s">
        <v>4415</v>
      </c>
      <c r="E1717" s="1296"/>
      <c r="F1717" s="94"/>
      <c r="G1717" s="1260" t="s">
        <v>247</v>
      </c>
    </row>
    <row r="1718" spans="1:7" ht="16.5" hidden="1" thickTop="1" thickBot="1" x14ac:dyDescent="0.3">
      <c r="A1718" s="64"/>
      <c r="B1718" s="164"/>
      <c r="C1718" s="4"/>
      <c r="D1718" s="1851"/>
      <c r="E1718" s="1296"/>
      <c r="F1718" s="94"/>
      <c r="G1718" s="1260" t="s">
        <v>247</v>
      </c>
    </row>
    <row r="1719" spans="1:7" ht="16.5" hidden="1" thickTop="1" thickBot="1" x14ac:dyDescent="0.3">
      <c r="A1719" s="64"/>
      <c r="B1719" s="524"/>
      <c r="C1719" s="210"/>
      <c r="D1719" s="1918"/>
      <c r="E1719" s="1297"/>
      <c r="F1719" s="94"/>
      <c r="G1719" s="1260" t="s">
        <v>247</v>
      </c>
    </row>
    <row r="1720" spans="1:7" ht="15" hidden="1" customHeight="1" x14ac:dyDescent="0.25">
      <c r="A1720" s="64"/>
      <c r="B1720" s="78" t="s">
        <v>258</v>
      </c>
      <c r="C1720" s="4"/>
      <c r="D1720" s="1779" t="s">
        <v>5854</v>
      </c>
      <c r="E1720" s="1295">
        <f ca="1">'Verification Report'!O1721</f>
        <v>0</v>
      </c>
      <c r="F1720" s="1313" t="str">
        <f>IF(LEN('Verification Report'!W1723)=0,"",'Verification Report'!W1723)</f>
        <v/>
      </c>
      <c r="G1720" s="1260" t="s">
        <v>247</v>
      </c>
    </row>
    <row r="1721" spans="1:7" ht="16.5" hidden="1" thickTop="1" thickBot="1" x14ac:dyDescent="0.3">
      <c r="A1721" s="64"/>
      <c r="B1721" s="78"/>
      <c r="C1721" s="4"/>
      <c r="D1721" s="1779"/>
      <c r="E1721" s="1295"/>
      <c r="F1721" s="94"/>
      <c r="G1721" s="1260" t="s">
        <v>247</v>
      </c>
    </row>
    <row r="1722" spans="1:7" ht="16.5" hidden="1" thickTop="1" thickBot="1" x14ac:dyDescent="0.3">
      <c r="A1722" s="64"/>
      <c r="B1722" s="164"/>
      <c r="C1722" s="4"/>
      <c r="D1722" s="1779"/>
      <c r="E1722" s="1295"/>
      <c r="F1722" s="94"/>
      <c r="G1722" s="1260" t="s">
        <v>247</v>
      </c>
    </row>
    <row r="1723" spans="1:7" ht="16.5" hidden="1" thickTop="1" thickBot="1" x14ac:dyDescent="0.3">
      <c r="A1723" s="4"/>
      <c r="B1723" s="164"/>
      <c r="C1723" s="27" t="s">
        <v>121</v>
      </c>
      <c r="D1723" s="1540" t="s">
        <v>4416</v>
      </c>
      <c r="E1723" s="1295"/>
      <c r="F1723" s="94"/>
      <c r="G1723" s="1260" t="s">
        <v>247</v>
      </c>
    </row>
    <row r="1724" spans="1:7" ht="16.5" hidden="1" thickTop="1" thickBot="1" x14ac:dyDescent="0.3">
      <c r="A1724" s="4"/>
      <c r="B1724" s="524"/>
      <c r="C1724" s="206" t="s">
        <v>122</v>
      </c>
      <c r="D1724" s="1534" t="s">
        <v>4417</v>
      </c>
      <c r="E1724" s="1297"/>
      <c r="F1724" s="94"/>
      <c r="G1724" s="1260" t="s">
        <v>247</v>
      </c>
    </row>
    <row r="1725" spans="1:7" ht="15" hidden="1" customHeight="1" x14ac:dyDescent="0.25">
      <c r="A1725" s="64"/>
      <c r="B1725" s="78" t="s">
        <v>260</v>
      </c>
      <c r="C1725" s="4"/>
      <c r="D1725" s="1554" t="s">
        <v>791</v>
      </c>
      <c r="E1725" s="1296">
        <f ca="1">'Verification Report'!O1726</f>
        <v>0</v>
      </c>
      <c r="F1725" s="1313" t="str">
        <f>IF(LEN('Verification Report'!W1728)=0,"",'Verification Report'!W1728)</f>
        <v/>
      </c>
      <c r="G1725" s="1260" t="s">
        <v>247</v>
      </c>
    </row>
    <row r="1726" spans="1:7" ht="16.5" hidden="1" thickTop="1" thickBot="1" x14ac:dyDescent="0.3">
      <c r="A1726" s="189"/>
      <c r="B1726" s="481"/>
      <c r="C1726" s="240"/>
      <c r="D1726" s="1577" t="s">
        <v>792</v>
      </c>
      <c r="E1726" s="1294"/>
      <c r="F1726" s="94"/>
      <c r="G1726" s="1260" t="s">
        <v>247</v>
      </c>
    </row>
    <row r="1727" spans="1:7" ht="16.5" hidden="1" thickTop="1" thickBot="1" x14ac:dyDescent="0.3">
      <c r="A1727" s="180">
        <v>802.5</v>
      </c>
      <c r="B1727" s="952"/>
      <c r="C1727" s="181"/>
      <c r="D1727" s="1569" t="s">
        <v>4418</v>
      </c>
      <c r="E1727" s="1298"/>
      <c r="F1727" s="94"/>
      <c r="G1727" s="1260" t="s">
        <v>247</v>
      </c>
    </row>
    <row r="1728" spans="1:7" ht="15" hidden="1" customHeight="1" x14ac:dyDescent="0.25">
      <c r="A1728" s="64" t="s">
        <v>4412</v>
      </c>
      <c r="B1728" s="164"/>
      <c r="C1728" s="4"/>
      <c r="D1728" s="1796" t="s">
        <v>4419</v>
      </c>
      <c r="E1728" s="1295">
        <f ca="1">'Verification Report'!O1729</f>
        <v>0</v>
      </c>
      <c r="F1728" s="1313" t="str">
        <f>IF(LEN('Verification Report'!W1731)=0,"",'Verification Report'!W1731)</f>
        <v/>
      </c>
      <c r="G1728" s="1260" t="s">
        <v>247</v>
      </c>
    </row>
    <row r="1729" spans="1:7" ht="16.5" hidden="1" thickTop="1" thickBot="1" x14ac:dyDescent="0.3">
      <c r="A1729" s="64"/>
      <c r="B1729" s="164"/>
      <c r="C1729" s="4"/>
      <c r="D1729" s="1796"/>
      <c r="E1729" s="1295"/>
      <c r="F1729" s="94"/>
      <c r="G1729" s="1260" t="s">
        <v>247</v>
      </c>
    </row>
    <row r="1730" spans="1:7" ht="16.5" hidden="1" thickTop="1" thickBot="1" x14ac:dyDescent="0.3">
      <c r="A1730" s="64"/>
      <c r="B1730" s="164"/>
      <c r="C1730" s="4"/>
      <c r="D1730" s="1796"/>
      <c r="E1730" s="1295"/>
      <c r="F1730" s="1313" t="str">
        <f>IF(LEN('Verification Report'!W1733)=0,"",'Verification Report'!W1733)</f>
        <v/>
      </c>
      <c r="G1730" s="1260" t="s">
        <v>247</v>
      </c>
    </row>
    <row r="1731" spans="1:7" ht="16.5" hidden="1" thickTop="1" thickBot="1" x14ac:dyDescent="0.3">
      <c r="A1731" s="64"/>
      <c r="B1731" s="78" t="s">
        <v>256</v>
      </c>
      <c r="C1731" s="4"/>
      <c r="D1731" s="1554" t="s">
        <v>4430</v>
      </c>
      <c r="E1731" s="1295"/>
      <c r="F1731" s="94"/>
      <c r="G1731" s="1260" t="s">
        <v>247</v>
      </c>
    </row>
    <row r="1732" spans="1:7" ht="15" hidden="1" customHeight="1" x14ac:dyDescent="0.25">
      <c r="A1732" s="64"/>
      <c r="B1732" s="164"/>
      <c r="C1732" s="4"/>
      <c r="D1732" s="1851" t="s">
        <v>4432</v>
      </c>
      <c r="E1732" s="664"/>
      <c r="F1732" s="94"/>
      <c r="G1732" s="1260" t="s">
        <v>247</v>
      </c>
    </row>
    <row r="1733" spans="1:7" ht="16.5" hidden="1" thickTop="1" thickBot="1" x14ac:dyDescent="0.3">
      <c r="A1733" s="64"/>
      <c r="B1733" s="164"/>
      <c r="C1733" s="4"/>
      <c r="D1733" s="1851"/>
      <c r="E1733" s="664"/>
      <c r="F1733" s="94"/>
      <c r="G1733" s="1260" t="s">
        <v>247</v>
      </c>
    </row>
    <row r="1734" spans="1:7" ht="16.5" hidden="1" thickTop="1" thickBot="1" x14ac:dyDescent="0.3">
      <c r="A1734" s="64"/>
      <c r="B1734" s="524"/>
      <c r="C1734" s="210"/>
      <c r="D1734" s="1918"/>
      <c r="E1734" s="664"/>
      <c r="F1734" s="94"/>
      <c r="G1734" s="1260" t="s">
        <v>247</v>
      </c>
    </row>
    <row r="1735" spans="1:7" ht="16.5" hidden="1" thickTop="1" thickBot="1" x14ac:dyDescent="0.3">
      <c r="A1735" s="64"/>
      <c r="B1735" s="691" t="s">
        <v>258</v>
      </c>
      <c r="C1735" s="954"/>
      <c r="D1735" s="280" t="s">
        <v>4431</v>
      </c>
      <c r="E1735" s="664"/>
      <c r="F1735" s="94"/>
      <c r="G1735" s="1260" t="s">
        <v>247</v>
      </c>
    </row>
    <row r="1736" spans="1:7" ht="16.5" hidden="1" thickTop="1" thickBot="1" x14ac:dyDescent="0.3">
      <c r="B1736" s="684" t="s">
        <v>260</v>
      </c>
      <c r="C1736" s="851"/>
      <c r="D1736" s="1534" t="s">
        <v>4427</v>
      </c>
      <c r="E1736" s="664"/>
      <c r="F1736" s="94"/>
      <c r="G1736" s="1260" t="s">
        <v>247</v>
      </c>
    </row>
    <row r="1737" spans="1:7" ht="15" hidden="1" customHeight="1" x14ac:dyDescent="0.25">
      <c r="B1737" s="667" t="s">
        <v>269</v>
      </c>
      <c r="C1737" s="845"/>
      <c r="D1737" s="1779" t="s">
        <v>4428</v>
      </c>
      <c r="E1737" s="664"/>
      <c r="F1737" s="94"/>
      <c r="G1737" s="1260" t="s">
        <v>247</v>
      </c>
    </row>
    <row r="1738" spans="1:7" ht="16.5" hidden="1" thickTop="1" thickBot="1" x14ac:dyDescent="0.3">
      <c r="B1738" s="684"/>
      <c r="C1738" s="851"/>
      <c r="D1738" s="1755"/>
      <c r="E1738" s="664"/>
      <c r="F1738" s="94"/>
      <c r="G1738" s="1260" t="s">
        <v>247</v>
      </c>
    </row>
    <row r="1739" spans="1:7" ht="16.5" hidden="1" thickTop="1" thickBot="1" x14ac:dyDescent="0.3">
      <c r="A1739" s="178"/>
      <c r="B1739" s="684" t="s">
        <v>275</v>
      </c>
      <c r="C1739" s="851"/>
      <c r="D1739" s="1534" t="s">
        <v>4429</v>
      </c>
      <c r="E1739" s="1041"/>
      <c r="F1739" s="94"/>
      <c r="G1739" s="1260" t="s">
        <v>247</v>
      </c>
    </row>
    <row r="1740" spans="1:7" ht="15" hidden="1" customHeight="1" x14ac:dyDescent="0.25">
      <c r="A1740" s="943" t="s">
        <v>4413</v>
      </c>
      <c r="B1740" s="667"/>
      <c r="C1740" s="862"/>
      <c r="D1740" s="1796" t="s">
        <v>4421</v>
      </c>
      <c r="E1740" s="1295">
        <f ca="1">'Verification Report'!O1741</f>
        <v>0</v>
      </c>
      <c r="F1740" s="1313" t="str">
        <f>IF(LEN('Verification Report'!W1743)=0,"",'Verification Report'!W1743)</f>
        <v/>
      </c>
      <c r="G1740" s="1260" t="s">
        <v>247</v>
      </c>
    </row>
    <row r="1741" spans="1:7" ht="16.5" hidden="1" thickTop="1" thickBot="1" x14ac:dyDescent="0.3">
      <c r="A1741" s="943"/>
      <c r="B1741" s="667"/>
      <c r="C1741" s="862"/>
      <c r="D1741" s="1796"/>
      <c r="E1741" s="1295"/>
      <c r="F1741" s="94"/>
      <c r="G1741" s="1260" t="s">
        <v>247</v>
      </c>
    </row>
    <row r="1742" spans="1:7" ht="16.5" hidden="1" thickTop="1" thickBot="1" x14ac:dyDescent="0.3">
      <c r="A1742" s="943"/>
      <c r="B1742" s="667"/>
      <c r="C1742" s="862"/>
      <c r="D1742" s="1796"/>
      <c r="E1742" s="1295"/>
      <c r="F1742" s="94"/>
      <c r="G1742" s="1260" t="s">
        <v>247</v>
      </c>
    </row>
    <row r="1743" spans="1:7" ht="16.5" hidden="1" thickTop="1" thickBot="1" x14ac:dyDescent="0.3">
      <c r="A1743" s="943"/>
      <c r="B1743" s="667" t="s">
        <v>256</v>
      </c>
      <c r="C1743" s="862"/>
      <c r="D1743" s="1540" t="s">
        <v>4422</v>
      </c>
      <c r="E1743" s="1295"/>
      <c r="F1743" s="94"/>
      <c r="G1743" s="1260" t="s">
        <v>247</v>
      </c>
    </row>
    <row r="1744" spans="1:7" ht="16.5" hidden="1" thickTop="1" thickBot="1" x14ac:dyDescent="0.3">
      <c r="A1744" s="949"/>
      <c r="B1744" s="684" t="s">
        <v>258</v>
      </c>
      <c r="C1744" s="863"/>
      <c r="D1744" s="1534" t="s">
        <v>4423</v>
      </c>
      <c r="E1744" s="1297"/>
      <c r="F1744" s="94"/>
      <c r="G1744" s="1260" t="s">
        <v>247</v>
      </c>
    </row>
    <row r="1745" spans="1:7" ht="15" hidden="1" customHeight="1" x14ac:dyDescent="0.25">
      <c r="A1745" s="64" t="s">
        <v>4424</v>
      </c>
      <c r="B1745" s="164"/>
      <c r="C1745" s="4"/>
      <c r="D1745" s="1796" t="s">
        <v>4425</v>
      </c>
      <c r="E1745" s="1296">
        <f ca="1">'Verification Report'!O1746</f>
        <v>0</v>
      </c>
      <c r="F1745" s="1313" t="str">
        <f>IF(LEN('Verification Report'!W1748)=0,"",'Verification Report'!W1748)</f>
        <v/>
      </c>
      <c r="G1745" s="1260" t="s">
        <v>247</v>
      </c>
    </row>
    <row r="1746" spans="1:7" ht="16.5" hidden="1" thickTop="1" thickBot="1" x14ac:dyDescent="0.3">
      <c r="A1746" s="64"/>
      <c r="B1746" s="164"/>
      <c r="C1746" s="4"/>
      <c r="D1746" s="1796"/>
      <c r="E1746" s="1296"/>
      <c r="F1746" s="94"/>
      <c r="G1746" s="1260" t="s">
        <v>247</v>
      </c>
    </row>
    <row r="1747" spans="1:7" ht="16.5" hidden="1" thickTop="1" thickBot="1" x14ac:dyDescent="0.3">
      <c r="A1747" s="189"/>
      <c r="B1747" s="481"/>
      <c r="C1747" s="240"/>
      <c r="D1747" s="1577" t="s">
        <v>794</v>
      </c>
      <c r="E1747" s="1294"/>
      <c r="F1747" s="94"/>
      <c r="G1747" s="1260" t="s">
        <v>247</v>
      </c>
    </row>
    <row r="1748" spans="1:7" ht="15.75" hidden="1" customHeight="1" thickTop="1" x14ac:dyDescent="0.25">
      <c r="A1748" s="64" t="s">
        <v>4436</v>
      </c>
      <c r="B1748" s="164"/>
      <c r="C1748" s="4"/>
      <c r="D1748" s="1884" t="s">
        <v>4437</v>
      </c>
      <c r="E1748" s="1295"/>
      <c r="F1748" s="94"/>
      <c r="G1748" s="1260" t="s">
        <v>247</v>
      </c>
    </row>
    <row r="1749" spans="1:7" ht="16.5" hidden="1" thickTop="1" thickBot="1" x14ac:dyDescent="0.3">
      <c r="A1749" s="64"/>
      <c r="B1749" s="164"/>
      <c r="C1749" s="4"/>
      <c r="D1749" s="1884"/>
      <c r="E1749" s="1295"/>
      <c r="F1749" s="94"/>
      <c r="G1749" s="1260" t="s">
        <v>247</v>
      </c>
    </row>
    <row r="1750" spans="1:7" ht="15" hidden="1" customHeight="1" x14ac:dyDescent="0.25">
      <c r="A1750" s="64"/>
      <c r="B1750" s="78" t="s">
        <v>256</v>
      </c>
      <c r="C1750" s="4"/>
      <c r="D1750" s="1841" t="s">
        <v>4440</v>
      </c>
      <c r="E1750" s="1296"/>
      <c r="F1750" s="94"/>
      <c r="G1750" s="1260" t="s">
        <v>247</v>
      </c>
    </row>
    <row r="1751" spans="1:7" ht="16.5" hidden="1" thickTop="1" thickBot="1" x14ac:dyDescent="0.3">
      <c r="A1751" s="64"/>
      <c r="B1751" s="910"/>
      <c r="C1751" s="210"/>
      <c r="D1751" s="1761"/>
      <c r="E1751" s="1297"/>
      <c r="F1751" s="94"/>
      <c r="G1751" s="1260" t="s">
        <v>247</v>
      </c>
    </row>
    <row r="1752" spans="1:7" ht="15" hidden="1" customHeight="1" x14ac:dyDescent="0.25">
      <c r="A1752" s="64"/>
      <c r="B1752" s="78" t="s">
        <v>258</v>
      </c>
      <c r="C1752" s="4"/>
      <c r="D1752" s="1779" t="s">
        <v>4898</v>
      </c>
      <c r="E1752" s="1295">
        <f ca="1">'Verification Report'!O1753</f>
        <v>0</v>
      </c>
      <c r="F1752" s="1313" t="str">
        <f>IF(LEN('Verification Report'!W1755)=0,"",'Verification Report'!W1755)</f>
        <v/>
      </c>
      <c r="G1752" s="1260" t="s">
        <v>247</v>
      </c>
    </row>
    <row r="1753" spans="1:7" ht="16.5" hidden="1" thickTop="1" thickBot="1" x14ac:dyDescent="0.3">
      <c r="A1753" s="64"/>
      <c r="B1753" s="164"/>
      <c r="C1753" s="4"/>
      <c r="D1753" s="1779"/>
      <c r="E1753" s="1295"/>
      <c r="F1753" s="94"/>
      <c r="G1753" s="1260" t="s">
        <v>247</v>
      </c>
    </row>
    <row r="1754" spans="1:7" ht="16.5" hidden="1" thickTop="1" thickBot="1" x14ac:dyDescent="0.3">
      <c r="A1754" s="64"/>
      <c r="B1754" s="164"/>
      <c r="C1754" s="4"/>
      <c r="D1754" s="1779"/>
      <c r="E1754" s="1295"/>
      <c r="F1754" s="94"/>
      <c r="G1754" s="1260" t="s">
        <v>247</v>
      </c>
    </row>
    <row r="1755" spans="1:7" ht="16.5" hidden="1" thickTop="1" thickBot="1" x14ac:dyDescent="0.3">
      <c r="A1755" s="64"/>
      <c r="B1755" s="164"/>
      <c r="C1755" s="4"/>
      <c r="D1755" s="1779"/>
      <c r="E1755" s="1295"/>
      <c r="F1755" s="94"/>
      <c r="G1755" s="1260" t="s">
        <v>247</v>
      </c>
    </row>
    <row r="1756" spans="1:7" ht="15" hidden="1" customHeight="1" x14ac:dyDescent="0.25">
      <c r="A1756" s="64"/>
      <c r="B1756" s="164"/>
      <c r="C1756" s="4"/>
      <c r="D1756" s="1851" t="s">
        <v>4441</v>
      </c>
      <c r="E1756" s="1295"/>
      <c r="F1756" s="94"/>
      <c r="G1756" s="1260" t="s">
        <v>247</v>
      </c>
    </row>
    <row r="1757" spans="1:7" ht="16.5" hidden="1" thickTop="1" thickBot="1" x14ac:dyDescent="0.3">
      <c r="A1757" s="64"/>
      <c r="B1757" s="164"/>
      <c r="C1757" s="4"/>
      <c r="D1757" s="1851"/>
      <c r="E1757" s="1295"/>
      <c r="F1757" s="94"/>
      <c r="G1757" s="1260" t="s">
        <v>247</v>
      </c>
    </row>
    <row r="1758" spans="1:7" ht="16.5" hidden="1" thickTop="1" thickBot="1" x14ac:dyDescent="0.3">
      <c r="A1758" s="64"/>
      <c r="B1758" s="524"/>
      <c r="C1758" s="210"/>
      <c r="D1758" s="1918"/>
      <c r="E1758" s="1297"/>
      <c r="F1758" s="94"/>
      <c r="G1758" s="1260" t="s">
        <v>247</v>
      </c>
    </row>
    <row r="1759" spans="1:7" ht="16.5" hidden="1" thickTop="1" thickBot="1" x14ac:dyDescent="0.3">
      <c r="A1759" s="64"/>
      <c r="B1759" s="910" t="s">
        <v>260</v>
      </c>
      <c r="C1759" s="210"/>
      <c r="D1759" s="1536" t="s">
        <v>4438</v>
      </c>
      <c r="E1759" s="1297">
        <f ca="1">'Verification Report'!O1760</f>
        <v>0</v>
      </c>
      <c r="F1759" s="1313" t="str">
        <f>IF(LEN('Verification Report'!W1762)=0,"",'Verification Report'!W1762)</f>
        <v/>
      </c>
      <c r="G1759" s="1260" t="s">
        <v>247</v>
      </c>
    </row>
    <row r="1760" spans="1:7" ht="15" hidden="1" customHeight="1" x14ac:dyDescent="0.25">
      <c r="A1760" s="64"/>
      <c r="B1760" s="78" t="s">
        <v>269</v>
      </c>
      <c r="C1760" s="4"/>
      <c r="D1760" s="1779" t="s">
        <v>4439</v>
      </c>
      <c r="E1760" s="1295"/>
      <c r="F1760" s="94"/>
      <c r="G1760" s="1260" t="s">
        <v>247</v>
      </c>
    </row>
    <row r="1761" spans="1:7" ht="16.5" hidden="1" thickTop="1" thickBot="1" x14ac:dyDescent="0.3">
      <c r="A1761" s="64"/>
      <c r="B1761" s="164"/>
      <c r="C1761" s="4"/>
      <c r="D1761" s="1779"/>
      <c r="E1761" s="1295"/>
      <c r="F1761" s="94"/>
      <c r="G1761" s="1260" t="s">
        <v>247</v>
      </c>
    </row>
    <row r="1762" spans="1:7" ht="16.5" hidden="1" thickTop="1" thickBot="1" x14ac:dyDescent="0.3">
      <c r="A1762" s="4"/>
      <c r="B1762" s="164"/>
      <c r="C1762" s="27" t="s">
        <v>121</v>
      </c>
      <c r="D1762" s="1554" t="s">
        <v>4447</v>
      </c>
      <c r="E1762" s="1296">
        <f ca="1">'Verification Report'!O1763</f>
        <v>0</v>
      </c>
      <c r="F1762" s="1313" t="str">
        <f>IF(LEN('Verification Report'!W1765)=0,"",'Verification Report'!W1765)</f>
        <v/>
      </c>
      <c r="G1762" s="1260" t="s">
        <v>247</v>
      </c>
    </row>
    <row r="1763" spans="1:7" ht="15" hidden="1" customHeight="1" x14ac:dyDescent="0.25">
      <c r="A1763" s="4"/>
      <c r="B1763" s="164"/>
      <c r="C1763" s="4"/>
      <c r="D1763" s="1851" t="s">
        <v>4448</v>
      </c>
      <c r="E1763" s="1296"/>
      <c r="F1763" s="94"/>
      <c r="G1763" s="1260" t="s">
        <v>247</v>
      </c>
    </row>
    <row r="1764" spans="1:7" ht="16.5" hidden="1" thickTop="1" thickBot="1" x14ac:dyDescent="0.3">
      <c r="A1764" s="4"/>
      <c r="B1764" s="164"/>
      <c r="C1764" s="4"/>
      <c r="D1764" s="1851"/>
      <c r="E1764" s="1296"/>
      <c r="F1764" s="94"/>
      <c r="G1764" s="1260" t="s">
        <v>247</v>
      </c>
    </row>
    <row r="1765" spans="1:7" ht="16.5" hidden="1" thickTop="1" thickBot="1" x14ac:dyDescent="0.3">
      <c r="A1765" s="4"/>
      <c r="B1765" s="164"/>
      <c r="C1765" s="210"/>
      <c r="D1765" s="1918"/>
      <c r="E1765" s="1297"/>
      <c r="F1765" s="94"/>
      <c r="G1765" s="1260" t="s">
        <v>247</v>
      </c>
    </row>
    <row r="1766" spans="1:7" ht="15" hidden="1" customHeight="1" x14ac:dyDescent="0.25">
      <c r="A1766" s="4"/>
      <c r="B1766" s="164"/>
      <c r="C1766" s="27" t="s">
        <v>122</v>
      </c>
      <c r="D1766" s="1779" t="s">
        <v>4446</v>
      </c>
      <c r="E1766" s="1296">
        <f ca="1">'Verification Report'!O1767</f>
        <v>0</v>
      </c>
      <c r="F1766" s="1313" t="str">
        <f>IF(LEN('Verification Report'!W1769)=0,"",'Verification Report'!W1769)</f>
        <v/>
      </c>
      <c r="G1766" s="1260" t="s">
        <v>247</v>
      </c>
    </row>
    <row r="1767" spans="1:7" ht="16.5" hidden="1" thickTop="1" thickBot="1" x14ac:dyDescent="0.3">
      <c r="A1767" s="4"/>
      <c r="B1767" s="164"/>
      <c r="C1767" s="206"/>
      <c r="D1767" s="1755"/>
      <c r="E1767" s="1297"/>
      <c r="F1767" s="94"/>
      <c r="G1767" s="1260" t="s">
        <v>247</v>
      </c>
    </row>
    <row r="1768" spans="1:7" ht="15" hidden="1" customHeight="1" x14ac:dyDescent="0.25">
      <c r="A1768" s="4"/>
      <c r="B1768" s="164"/>
      <c r="C1768" s="27" t="s">
        <v>123</v>
      </c>
      <c r="D1768" s="1779" t="s">
        <v>4449</v>
      </c>
      <c r="E1768" s="1293">
        <f ca="1">'Verification Report'!O1769</f>
        <v>0</v>
      </c>
      <c r="F1768" s="1313" t="str">
        <f>IF(LEN('Verification Report'!W1771)=0,"",'Verification Report'!W1771)</f>
        <v/>
      </c>
      <c r="G1768" s="1260" t="s">
        <v>247</v>
      </c>
    </row>
    <row r="1769" spans="1:7" ht="16.5" hidden="1" thickTop="1" thickBot="1" x14ac:dyDescent="0.3">
      <c r="A1769" s="99"/>
      <c r="B1769" s="99"/>
      <c r="C1769" s="99"/>
      <c r="D1769" s="1783"/>
      <c r="E1769" s="1294"/>
      <c r="F1769" s="94"/>
      <c r="G1769" s="1260" t="s">
        <v>247</v>
      </c>
    </row>
    <row r="1770" spans="1:7" ht="16.5" hidden="1" thickTop="1" thickBot="1" x14ac:dyDescent="0.3">
      <c r="A1770" s="64">
        <v>802.6</v>
      </c>
      <c r="B1770" s="164"/>
      <c r="C1770" s="4"/>
      <c r="D1770" s="1563" t="s">
        <v>4377</v>
      </c>
      <c r="E1770" s="1296"/>
      <c r="F1770" s="94"/>
      <c r="G1770" s="1260" t="s">
        <v>247</v>
      </c>
    </row>
    <row r="1771" spans="1:7" ht="15" hidden="1" customHeight="1" x14ac:dyDescent="0.25">
      <c r="A1771" s="64" t="s">
        <v>4376</v>
      </c>
      <c r="B1771" s="164"/>
      <c r="C1771" s="4"/>
      <c r="D1771" s="1796" t="s">
        <v>4450</v>
      </c>
      <c r="E1771" s="1296"/>
      <c r="F1771" s="1313" t="str">
        <f>IF(LEN('Verification Report'!W1774)=0,"",'Verification Report'!W1774)</f>
        <v/>
      </c>
      <c r="G1771" s="1260" t="s">
        <v>247</v>
      </c>
    </row>
    <row r="1772" spans="1:7" ht="16.5" hidden="1" thickTop="1" thickBot="1" x14ac:dyDescent="0.3">
      <c r="A1772" s="215"/>
      <c r="B1772" s="524"/>
      <c r="C1772" s="210"/>
      <c r="D1772" s="1843"/>
      <c r="E1772" s="1297"/>
      <c r="F1772" s="94"/>
      <c r="G1772" s="1260" t="s">
        <v>247</v>
      </c>
    </row>
    <row r="1773" spans="1:7" ht="15" hidden="1" customHeight="1" x14ac:dyDescent="0.25">
      <c r="A1773" s="64" t="s">
        <v>4378</v>
      </c>
      <c r="B1773" s="164"/>
      <c r="C1773" s="4"/>
      <c r="D1773" s="1864" t="s">
        <v>4451</v>
      </c>
      <c r="E1773" s="1296">
        <f ca="1">'Verification Report'!O1774</f>
        <v>0</v>
      </c>
      <c r="F1773" s="1313" t="str">
        <f>IF(LEN('Verification Report'!W1776)=0,"",'Verification Report'!W1776)</f>
        <v/>
      </c>
      <c r="G1773" s="1260" t="s">
        <v>247</v>
      </c>
    </row>
    <row r="1774" spans="1:7" ht="16.5" hidden="1" thickTop="1" thickBot="1" x14ac:dyDescent="0.3">
      <c r="A1774" s="64"/>
      <c r="B1774" s="164"/>
      <c r="C1774" s="4"/>
      <c r="D1774" s="1796"/>
      <c r="E1774" s="1296"/>
      <c r="F1774" s="94"/>
      <c r="G1774" s="1260" t="s">
        <v>247</v>
      </c>
    </row>
    <row r="1775" spans="1:7" ht="16.5" hidden="1" thickTop="1" thickBot="1" x14ac:dyDescent="0.3">
      <c r="A1775" s="215"/>
      <c r="B1775" s="524"/>
      <c r="C1775" s="210"/>
      <c r="D1775" s="1843"/>
      <c r="E1775" s="1297"/>
      <c r="F1775" s="94"/>
      <c r="G1775" s="1260" t="s">
        <v>247</v>
      </c>
    </row>
    <row r="1776" spans="1:7" ht="16.5" hidden="1" thickTop="1" thickBot="1" x14ac:dyDescent="0.3">
      <c r="A1776" s="64" t="s">
        <v>4379</v>
      </c>
      <c r="B1776" s="164"/>
      <c r="C1776" s="4"/>
      <c r="D1776" s="1563" t="s">
        <v>4452</v>
      </c>
      <c r="E1776" s="1295"/>
      <c r="F1776" s="94"/>
      <c r="G1776" s="1260" t="s">
        <v>247</v>
      </c>
    </row>
    <row r="1777" spans="1:7" ht="16.5" hidden="1" thickTop="1" thickBot="1" x14ac:dyDescent="0.3">
      <c r="A1777" s="64"/>
      <c r="B1777" s="910" t="s">
        <v>256</v>
      </c>
      <c r="C1777" s="210"/>
      <c r="D1777" s="1536" t="s">
        <v>796</v>
      </c>
      <c r="E1777" s="1297">
        <f ca="1">'Verification Report'!O1778</f>
        <v>0</v>
      </c>
      <c r="F1777" s="1313" t="str">
        <f>IF(LEN('Verification Report'!W1780)=0,"",'Verification Report'!W1780)</f>
        <v/>
      </c>
      <c r="G1777" s="1260" t="s">
        <v>247</v>
      </c>
    </row>
    <row r="1778" spans="1:7" ht="16.5" hidden="1" thickTop="1" thickBot="1" x14ac:dyDescent="0.3">
      <c r="A1778" s="64"/>
      <c r="B1778" s="910" t="s">
        <v>258</v>
      </c>
      <c r="C1778" s="210"/>
      <c r="D1778" s="1536" t="s">
        <v>797</v>
      </c>
      <c r="E1778" s="1297">
        <f ca="1">'Verification Report'!O1779</f>
        <v>0</v>
      </c>
      <c r="F1778" s="1313" t="str">
        <f>IF(LEN('Verification Report'!W1781)=0,"",'Verification Report'!W1781)</f>
        <v/>
      </c>
      <c r="G1778" s="1260" t="s">
        <v>247</v>
      </c>
    </row>
    <row r="1779" spans="1:7" ht="15" hidden="1" customHeight="1" x14ac:dyDescent="0.25">
      <c r="A1779" s="64"/>
      <c r="B1779" s="78" t="s">
        <v>260</v>
      </c>
      <c r="C1779" s="4"/>
      <c r="D1779" s="1779" t="s">
        <v>798</v>
      </c>
      <c r="E1779" s="1296">
        <f ca="1">'Verification Report'!O1780</f>
        <v>0</v>
      </c>
      <c r="F1779" s="1313" t="str">
        <f>IF(LEN('Verification Report'!W1782)=0,"",'Verification Report'!W1782)</f>
        <v/>
      </c>
      <c r="G1779" s="1260" t="s">
        <v>247</v>
      </c>
    </row>
    <row r="1780" spans="1:7" ht="16.5" hidden="1" thickTop="1" thickBot="1" x14ac:dyDescent="0.3">
      <c r="A1780" s="215"/>
      <c r="B1780" s="524"/>
      <c r="C1780" s="210"/>
      <c r="D1780" s="1755"/>
      <c r="E1780" s="1297"/>
      <c r="F1780" s="94"/>
      <c r="G1780" s="1260" t="s">
        <v>247</v>
      </c>
    </row>
    <row r="1781" spans="1:7" ht="15" hidden="1" customHeight="1" x14ac:dyDescent="0.25">
      <c r="A1781" s="64" t="s">
        <v>4380</v>
      </c>
      <c r="B1781" s="164"/>
      <c r="C1781" s="4"/>
      <c r="D1781" s="1884" t="s">
        <v>4381</v>
      </c>
      <c r="E1781" s="1295"/>
      <c r="F1781" s="94"/>
      <c r="G1781" s="1260" t="s">
        <v>247</v>
      </c>
    </row>
    <row r="1782" spans="1:7" ht="16.5" hidden="1" thickTop="1" thickBot="1" x14ac:dyDescent="0.3">
      <c r="A1782" s="64"/>
      <c r="B1782" s="164"/>
      <c r="C1782" s="4"/>
      <c r="D1782" s="1884"/>
      <c r="E1782" s="1295"/>
      <c r="F1782" s="94"/>
      <c r="G1782" s="1260" t="s">
        <v>247</v>
      </c>
    </row>
    <row r="1783" spans="1:7" ht="16.5" hidden="1" thickTop="1" thickBot="1" x14ac:dyDescent="0.3">
      <c r="A1783" s="64"/>
      <c r="B1783" s="164"/>
      <c r="C1783" s="4"/>
      <c r="D1783" s="1557" t="s">
        <v>799</v>
      </c>
      <c r="E1783" s="1295"/>
      <c r="F1783" s="94"/>
      <c r="G1783" s="1260" t="s">
        <v>247</v>
      </c>
    </row>
    <row r="1784" spans="1:7" ht="15" hidden="1" customHeight="1" x14ac:dyDescent="0.25">
      <c r="A1784" s="64"/>
      <c r="B1784" s="78" t="s">
        <v>256</v>
      </c>
      <c r="C1784" s="4"/>
      <c r="D1784" s="1779" t="s">
        <v>4453</v>
      </c>
      <c r="E1784" s="1296">
        <f ca="1">'Verification Report'!O1785</f>
        <v>0</v>
      </c>
      <c r="F1784" s="1313" t="str">
        <f>IF(LEN('Verification Report'!W1787)=0,"",'Verification Report'!W1787)</f>
        <v/>
      </c>
      <c r="G1784" s="1260" t="s">
        <v>247</v>
      </c>
    </row>
    <row r="1785" spans="1:7" ht="16.5" hidden="1" thickTop="1" thickBot="1" x14ac:dyDescent="0.3">
      <c r="B1785" s="178"/>
      <c r="C1785" s="178"/>
      <c r="D1785" s="1755"/>
      <c r="E1785" s="1297"/>
      <c r="F1785" s="94"/>
      <c r="G1785" s="1260" t="s">
        <v>247</v>
      </c>
    </row>
    <row r="1786" spans="1:7" ht="15" hidden="1" customHeight="1" x14ac:dyDescent="0.25">
      <c r="A1786" s="64"/>
      <c r="B1786" s="78" t="s">
        <v>258</v>
      </c>
      <c r="C1786" s="4"/>
      <c r="D1786" s="1779" t="s">
        <v>4454</v>
      </c>
      <c r="E1786" s="1296">
        <f ca="1">'Verification Report'!O1787</f>
        <v>0</v>
      </c>
      <c r="F1786" s="1313" t="str">
        <f>IF(LEN('Verification Report'!W1789)=0,"",'Verification Report'!W1789)</f>
        <v/>
      </c>
      <c r="G1786" s="1260" t="s">
        <v>247</v>
      </c>
    </row>
    <row r="1787" spans="1:7" ht="16.5" hidden="1" thickTop="1" thickBot="1" x14ac:dyDescent="0.3">
      <c r="A1787" s="64"/>
      <c r="B1787" s="164"/>
      <c r="C1787" s="4"/>
      <c r="D1787" s="1779"/>
      <c r="E1787" s="1296"/>
      <c r="F1787" s="94"/>
      <c r="G1787" s="1260" t="s">
        <v>247</v>
      </c>
    </row>
    <row r="1788" spans="1:7" ht="15" hidden="1" customHeight="1" x14ac:dyDescent="0.25">
      <c r="A1788" s="130"/>
      <c r="B1788" s="129"/>
      <c r="C1788" s="129"/>
      <c r="D1788" s="1804" t="s">
        <v>5625</v>
      </c>
      <c r="E1788" s="1296"/>
      <c r="F1788" s="94"/>
      <c r="G1788" s="1260" t="s">
        <v>247</v>
      </c>
    </row>
    <row r="1789" spans="1:7" ht="16.5" hidden="1" thickTop="1" thickBot="1" x14ac:dyDescent="0.3">
      <c r="A1789" s="215"/>
      <c r="B1789" s="210"/>
      <c r="C1789" s="210"/>
      <c r="D1789" s="1861"/>
      <c r="E1789" s="1297"/>
      <c r="F1789" s="94"/>
      <c r="G1789" s="1260" t="s">
        <v>247</v>
      </c>
    </row>
    <row r="1790" spans="1:7" ht="15" hidden="1" customHeight="1" x14ac:dyDescent="0.25">
      <c r="A1790" s="64" t="s">
        <v>4382</v>
      </c>
      <c r="D1790" s="1796" t="s">
        <v>4455</v>
      </c>
      <c r="E1790" s="664"/>
      <c r="F1790" s="94"/>
      <c r="G1790" s="1260" t="s">
        <v>247</v>
      </c>
    </row>
    <row r="1791" spans="1:7" ht="16.5" hidden="1" thickTop="1" thickBot="1" x14ac:dyDescent="0.3">
      <c r="D1791" s="1796"/>
      <c r="E1791" s="664"/>
      <c r="F1791" s="94"/>
      <c r="G1791" s="1260" t="s">
        <v>247</v>
      </c>
    </row>
    <row r="1792" spans="1:7" ht="15" hidden="1" customHeight="1" x14ac:dyDescent="0.25">
      <c r="A1792" s="64"/>
      <c r="B1792" s="668" t="s">
        <v>256</v>
      </c>
      <c r="C1792" s="850"/>
      <c r="D1792" s="1754" t="s">
        <v>4456</v>
      </c>
      <c r="E1792" s="1296">
        <f ca="1">'Verification Report'!O1793</f>
        <v>0</v>
      </c>
      <c r="F1792" s="1313" t="str">
        <f>IF(LEN('Verification Report'!W1795)=0,"",'Verification Report'!W1795)</f>
        <v/>
      </c>
      <c r="G1792" s="1260" t="s">
        <v>247</v>
      </c>
    </row>
    <row r="1793" spans="1:7" ht="16.5" hidden="1" thickTop="1" thickBot="1" x14ac:dyDescent="0.3">
      <c r="A1793" s="64"/>
      <c r="B1793" s="684"/>
      <c r="C1793" s="851"/>
      <c r="D1793" s="1755"/>
      <c r="E1793" s="1297"/>
      <c r="F1793" s="94"/>
      <c r="G1793" s="1260" t="s">
        <v>247</v>
      </c>
    </row>
    <row r="1794" spans="1:7" ht="15" hidden="1" customHeight="1" x14ac:dyDescent="0.25">
      <c r="A1794" s="64"/>
      <c r="B1794" s="693" t="s">
        <v>258</v>
      </c>
      <c r="C1794" s="849"/>
      <c r="D1794" s="1778" t="s">
        <v>4457</v>
      </c>
      <c r="E1794" s="1293">
        <f ca="1">'Verification Report'!O1795</f>
        <v>0</v>
      </c>
      <c r="F1794" s="1313" t="str">
        <f>IF(LEN('Verification Report'!W1797)=0,"",'Verification Report'!W1797)</f>
        <v/>
      </c>
      <c r="G1794" s="1260" t="s">
        <v>247</v>
      </c>
    </row>
    <row r="1795" spans="1:7" ht="16.5" hidden="1" thickTop="1" thickBot="1" x14ac:dyDescent="0.3">
      <c r="A1795" s="64"/>
      <c r="B1795" s="684"/>
      <c r="C1795" s="851"/>
      <c r="D1795" s="1755"/>
      <c r="E1795" s="1297"/>
      <c r="F1795" s="94"/>
      <c r="G1795" s="1260" t="s">
        <v>247</v>
      </c>
    </row>
    <row r="1796" spans="1:7" ht="16.5" hidden="1" thickTop="1" thickBot="1" x14ac:dyDescent="0.3">
      <c r="A1796" s="64"/>
      <c r="B1796" s="691" t="s">
        <v>260</v>
      </c>
      <c r="C1796" s="954"/>
      <c r="D1796" s="279" t="s">
        <v>4458</v>
      </c>
      <c r="E1796" s="1306">
        <f ca="1">'Verification Report'!O1797</f>
        <v>0</v>
      </c>
      <c r="F1796" s="1313" t="str">
        <f>IF(LEN('Verification Report'!W1799)=0,"",'Verification Report'!W1799)</f>
        <v/>
      </c>
      <c r="G1796" s="1260" t="s">
        <v>247</v>
      </c>
    </row>
    <row r="1797" spans="1:7" ht="15" hidden="1" customHeight="1" x14ac:dyDescent="0.25">
      <c r="A1797" s="64"/>
      <c r="B1797" s="693" t="s">
        <v>269</v>
      </c>
      <c r="C1797" s="849"/>
      <c r="D1797" s="1778" t="s">
        <v>4459</v>
      </c>
      <c r="E1797" s="1293">
        <f ca="1">'Verification Report'!O1798</f>
        <v>0</v>
      </c>
      <c r="F1797" s="1313" t="str">
        <f>IF(LEN('Verification Report'!W1800)=0,"",'Verification Report'!W1800)</f>
        <v/>
      </c>
      <c r="G1797" s="1260" t="s">
        <v>247</v>
      </c>
    </row>
    <row r="1798" spans="1:7" ht="16.5" hidden="1" thickTop="1" thickBot="1" x14ac:dyDescent="0.3">
      <c r="A1798" s="64"/>
      <c r="B1798" s="684"/>
      <c r="C1798" s="851"/>
      <c r="D1798" s="1755"/>
      <c r="E1798" s="1297"/>
      <c r="F1798" s="94"/>
      <c r="G1798" s="1260" t="s">
        <v>247</v>
      </c>
    </row>
    <row r="1799" spans="1:7" ht="15" hidden="1" customHeight="1" x14ac:dyDescent="0.25">
      <c r="A1799" s="64"/>
      <c r="B1799" s="667" t="s">
        <v>275</v>
      </c>
      <c r="C1799" s="845"/>
      <c r="D1799" s="1779" t="s">
        <v>4460</v>
      </c>
      <c r="E1799" s="1296">
        <f ca="1">'Verification Report'!O1800</f>
        <v>0</v>
      </c>
      <c r="F1799" s="1313" t="str">
        <f>IF(LEN('Verification Report'!W1802)=0,"",'Verification Report'!W1802)</f>
        <v/>
      </c>
      <c r="G1799" s="1260" t="s">
        <v>247</v>
      </c>
    </row>
    <row r="1800" spans="1:7" ht="16.5" hidden="1" thickTop="1" thickBot="1" x14ac:dyDescent="0.3">
      <c r="A1800" s="64"/>
      <c r="B1800" s="845"/>
      <c r="C1800" s="845"/>
      <c r="D1800" s="1779"/>
      <c r="E1800" s="1296"/>
      <c r="F1800" s="94"/>
      <c r="G1800" s="1260" t="s">
        <v>247</v>
      </c>
    </row>
    <row r="1801" spans="1:7" ht="15.75" hidden="1" customHeight="1" thickTop="1" x14ac:dyDescent="0.25">
      <c r="A1801" s="180">
        <v>802.7</v>
      </c>
      <c r="B1801" s="952"/>
      <c r="C1801" s="181"/>
      <c r="D1801" s="1913" t="s">
        <v>4383</v>
      </c>
      <c r="E1801" s="1298"/>
      <c r="F1801" s="94"/>
      <c r="G1801" s="1260" t="s">
        <v>247</v>
      </c>
    </row>
    <row r="1802" spans="1:7" ht="16.5" hidden="1" thickTop="1" thickBot="1" x14ac:dyDescent="0.3">
      <c r="A1802" s="64"/>
      <c r="B1802" s="164"/>
      <c r="C1802" s="4"/>
      <c r="D1802" s="2130"/>
      <c r="E1802" s="1296"/>
      <c r="F1802" s="94"/>
      <c r="G1802" s="1260" t="s">
        <v>247</v>
      </c>
    </row>
    <row r="1803" spans="1:7" ht="16.5" hidden="1" thickTop="1" thickBot="1" x14ac:dyDescent="0.3">
      <c r="A1803" s="64" t="s">
        <v>4384</v>
      </c>
      <c r="B1803" s="164"/>
      <c r="C1803" s="4"/>
      <c r="D1803" s="1581" t="s">
        <v>4385</v>
      </c>
      <c r="E1803" s="1296">
        <f ca="1">'Verification Report'!O1804</f>
        <v>0</v>
      </c>
      <c r="F1803" s="1313" t="str">
        <f>IF(LEN('Verification Report'!W1806)=0,"",'Verification Report'!W1806)</f>
        <v/>
      </c>
      <c r="G1803" s="1260" t="s">
        <v>247</v>
      </c>
    </row>
    <row r="1804" spans="1:7" ht="16.5" hidden="1" thickTop="1" thickBot="1" x14ac:dyDescent="0.3">
      <c r="A1804" s="130"/>
      <c r="B1804" s="206" t="s">
        <v>256</v>
      </c>
      <c r="C1804" s="210"/>
      <c r="D1804" s="1536" t="s">
        <v>800</v>
      </c>
      <c r="E1804" s="1296"/>
      <c r="F1804" s="94"/>
      <c r="G1804" s="1260" t="s">
        <v>247</v>
      </c>
    </row>
    <row r="1805" spans="1:7" ht="15" hidden="1" customHeight="1" x14ac:dyDescent="0.25">
      <c r="A1805" s="130"/>
      <c r="B1805" s="183" t="s">
        <v>258</v>
      </c>
      <c r="C1805" s="129"/>
      <c r="D1805" s="1754" t="s">
        <v>801</v>
      </c>
      <c r="E1805" s="1296"/>
      <c r="F1805" s="94"/>
      <c r="G1805" s="1260" t="s">
        <v>247</v>
      </c>
    </row>
    <row r="1806" spans="1:7" ht="16.5" hidden="1" thickTop="1" thickBot="1" x14ac:dyDescent="0.3">
      <c r="A1806" s="130"/>
      <c r="B1806" s="129"/>
      <c r="C1806" s="129"/>
      <c r="D1806" s="1754"/>
      <c r="E1806" s="1296"/>
      <c r="F1806" s="94"/>
      <c r="G1806" s="1260" t="s">
        <v>247</v>
      </c>
    </row>
    <row r="1807" spans="1:7" ht="16.5" hidden="1" thickTop="1" thickBot="1" x14ac:dyDescent="0.3">
      <c r="A1807" s="129"/>
      <c r="B1807" s="129"/>
      <c r="C1807" s="206" t="s">
        <v>121</v>
      </c>
      <c r="D1807" s="1536" t="s">
        <v>802</v>
      </c>
      <c r="E1807" s="1296"/>
      <c r="F1807" s="94"/>
      <c r="G1807" s="1260" t="s">
        <v>247</v>
      </c>
    </row>
    <row r="1808" spans="1:7" ht="16.5" hidden="1" thickTop="1" thickBot="1" x14ac:dyDescent="0.3">
      <c r="A1808" s="129"/>
      <c r="B1808" s="129"/>
      <c r="C1808" s="206" t="s">
        <v>122</v>
      </c>
      <c r="D1808" s="1536" t="s">
        <v>803</v>
      </c>
      <c r="E1808" s="1296"/>
      <c r="F1808" s="94"/>
      <c r="G1808" s="1260" t="s">
        <v>247</v>
      </c>
    </row>
    <row r="1809" spans="1:7" ht="15" hidden="1" customHeight="1" x14ac:dyDescent="0.25">
      <c r="A1809" s="129"/>
      <c r="B1809" s="129"/>
      <c r="C1809" s="183" t="s">
        <v>123</v>
      </c>
      <c r="D1809" s="1754" t="s">
        <v>804</v>
      </c>
      <c r="E1809" s="1296"/>
      <c r="F1809" s="94"/>
      <c r="G1809" s="1260" t="s">
        <v>247</v>
      </c>
    </row>
    <row r="1810" spans="1:7" ht="16.5" hidden="1" thickTop="1" thickBot="1" x14ac:dyDescent="0.3">
      <c r="A1810" s="129"/>
      <c r="B1810" s="129"/>
      <c r="C1810" s="210"/>
      <c r="D1810" s="1755"/>
      <c r="E1810" s="1296"/>
      <c r="F1810" s="94"/>
      <c r="G1810" s="1260" t="s">
        <v>247</v>
      </c>
    </row>
    <row r="1811" spans="1:7" ht="15" hidden="1" customHeight="1" x14ac:dyDescent="0.25">
      <c r="A1811" s="129"/>
      <c r="B1811" s="129"/>
      <c r="C1811" s="183" t="s">
        <v>401</v>
      </c>
      <c r="D1811" s="1754" t="s">
        <v>805</v>
      </c>
      <c r="E1811" s="1296"/>
      <c r="F1811" s="94"/>
      <c r="G1811" s="1260" t="s">
        <v>247</v>
      </c>
    </row>
    <row r="1812" spans="1:7" ht="16.5" hidden="1" thickTop="1" thickBot="1" x14ac:dyDescent="0.3">
      <c r="A1812" s="130"/>
      <c r="B1812" s="129"/>
      <c r="C1812" s="129"/>
      <c r="D1812" s="1754"/>
      <c r="E1812" s="1296"/>
      <c r="F1812" s="94"/>
      <c r="G1812" s="1260" t="s">
        <v>247</v>
      </c>
    </row>
    <row r="1813" spans="1:7" ht="16.5" hidden="1" thickTop="1" thickBot="1" x14ac:dyDescent="0.3">
      <c r="A1813" s="215"/>
      <c r="B1813" s="210"/>
      <c r="C1813" s="210"/>
      <c r="D1813" s="1755"/>
      <c r="E1813" s="1297"/>
      <c r="F1813" s="94"/>
      <c r="G1813" s="1260" t="s">
        <v>247</v>
      </c>
    </row>
    <row r="1814" spans="1:7" ht="15" hidden="1" customHeight="1" x14ac:dyDescent="0.25">
      <c r="A1814" s="64" t="s">
        <v>4386</v>
      </c>
      <c r="B1814" s="164"/>
      <c r="C1814" s="4"/>
      <c r="D1814" s="1796" t="s">
        <v>4387</v>
      </c>
      <c r="E1814" s="1295">
        <f ca="1">'Verification Report'!O1815</f>
        <v>0</v>
      </c>
      <c r="F1814" s="94"/>
      <c r="G1814" s="1260" t="s">
        <v>247</v>
      </c>
    </row>
    <row r="1815" spans="1:7" ht="16.5" hidden="1" thickTop="1" thickBot="1" x14ac:dyDescent="0.3">
      <c r="A1815" s="64"/>
      <c r="B1815" s="164"/>
      <c r="C1815" s="4"/>
      <c r="D1815" s="1796"/>
      <c r="E1815" s="1295"/>
      <c r="F1815" s="94"/>
      <c r="G1815" s="1260" t="s">
        <v>247</v>
      </c>
    </row>
    <row r="1816" spans="1:7" ht="16.5" hidden="1" thickTop="1" thickBot="1" x14ac:dyDescent="0.3">
      <c r="A1816" s="64"/>
      <c r="B1816" s="164"/>
      <c r="C1816" s="4"/>
      <c r="D1816" s="1796"/>
      <c r="E1816" s="1295"/>
      <c r="F1816" s="94"/>
      <c r="G1816" s="1260" t="s">
        <v>247</v>
      </c>
    </row>
    <row r="1817" spans="1:7" ht="15" hidden="1" customHeight="1" x14ac:dyDescent="0.25">
      <c r="A1817" s="64"/>
      <c r="B1817" s="183" t="s">
        <v>256</v>
      </c>
      <c r="C1817" s="129"/>
      <c r="D1817" s="1546" t="s">
        <v>806</v>
      </c>
      <c r="E1817" s="1295"/>
      <c r="F1817" s="1313" t="str">
        <f>IF(LEN('Verification Report'!W1820)=0,"",'Verification Report'!W1820)</f>
        <v/>
      </c>
      <c r="G1817" s="1260" t="s">
        <v>247</v>
      </c>
    </row>
    <row r="1818" spans="1:7" ht="16.5" hidden="1" thickTop="1" thickBot="1" x14ac:dyDescent="0.3">
      <c r="A1818" s="64"/>
      <c r="B1818" s="210"/>
      <c r="C1818" s="210"/>
      <c r="D1818" s="1571" t="s">
        <v>807</v>
      </c>
      <c r="E1818" s="1295"/>
      <c r="F1818" s="94"/>
      <c r="G1818" s="1260" t="s">
        <v>247</v>
      </c>
    </row>
    <row r="1819" spans="1:7" ht="16.5" hidden="1" thickTop="1" thickBot="1" x14ac:dyDescent="0.3">
      <c r="A1819" s="189"/>
      <c r="B1819" s="190" t="s">
        <v>258</v>
      </c>
      <c r="C1819" s="240"/>
      <c r="D1819" s="1555" t="s">
        <v>808</v>
      </c>
      <c r="E1819" s="1294"/>
      <c r="F1819" s="1313" t="str">
        <f>IF(LEN('Verification Report'!W1822)=0,"",'Verification Report'!W1822)</f>
        <v/>
      </c>
      <c r="G1819" s="1260" t="s">
        <v>247</v>
      </c>
    </row>
    <row r="1820" spans="1:7" ht="15.75" hidden="1" customHeight="1" thickTop="1" x14ac:dyDescent="0.25">
      <c r="A1820" s="78">
        <v>802.8</v>
      </c>
      <c r="B1820" s="77"/>
      <c r="C1820" s="4"/>
      <c r="D1820" s="1796" t="s">
        <v>4461</v>
      </c>
      <c r="E1820" s="1298">
        <f ca="1">'Verification Report'!O1821</f>
        <v>0</v>
      </c>
      <c r="F1820" s="1313" t="str">
        <f>IF(LEN('Verification Report'!W1823)=0,"",'Verification Report'!W1823)</f>
        <v/>
      </c>
      <c r="G1820" s="1260" t="s">
        <v>247</v>
      </c>
    </row>
    <row r="1821" spans="1:7" ht="16.5" hidden="1" thickTop="1" thickBot="1" x14ac:dyDescent="0.3">
      <c r="A1821" s="359"/>
      <c r="B1821" s="958"/>
      <c r="C1821" s="240"/>
      <c r="D1821" s="1797"/>
      <c r="E1821" s="1294"/>
      <c r="F1821" s="94"/>
      <c r="G1821" s="1260" t="s">
        <v>247</v>
      </c>
    </row>
    <row r="1822" spans="1:7" ht="16.5" hidden="1" thickTop="1" thickBot="1" x14ac:dyDescent="0.3">
      <c r="A1822" s="959">
        <v>802.9</v>
      </c>
      <c r="B1822" s="862"/>
      <c r="C1822" s="845"/>
      <c r="D1822" s="1547" t="s">
        <v>4462</v>
      </c>
      <c r="E1822" s="1298"/>
      <c r="F1822" s="94"/>
      <c r="G1822" s="1260" t="s">
        <v>247</v>
      </c>
    </row>
    <row r="1823" spans="1:7" ht="15" hidden="1" customHeight="1" x14ac:dyDescent="0.25">
      <c r="A1823" s="959" t="s">
        <v>4463</v>
      </c>
      <c r="B1823" s="862"/>
      <c r="C1823" s="845"/>
      <c r="D1823" s="1796" t="s">
        <v>4464</v>
      </c>
      <c r="E1823" s="1295">
        <f ca="1">'Verification Report'!O1824</f>
        <v>0</v>
      </c>
      <c r="F1823" s="1313" t="str">
        <f>IF(LEN('Verification Report'!W1826)=0,"",'Verification Report'!W1826)</f>
        <v/>
      </c>
      <c r="G1823" s="1260" t="s">
        <v>247</v>
      </c>
    </row>
    <row r="1824" spans="1:7" ht="16.5" hidden="1" thickTop="1" thickBot="1" x14ac:dyDescent="0.3">
      <c r="A1824" s="959"/>
      <c r="B1824" s="862"/>
      <c r="C1824" s="845"/>
      <c r="D1824" s="1796"/>
      <c r="E1824" s="1295"/>
      <c r="F1824" s="94"/>
      <c r="G1824" s="1260" t="s">
        <v>247</v>
      </c>
    </row>
    <row r="1825" spans="1:7" ht="16.5" hidden="1" thickTop="1" thickBot="1" x14ac:dyDescent="0.3">
      <c r="A1825" s="959"/>
      <c r="B1825" s="862"/>
      <c r="C1825" s="845"/>
      <c r="D1825" s="1796"/>
      <c r="E1825" s="1295"/>
      <c r="F1825" s="94"/>
      <c r="G1825" s="1260" t="s">
        <v>247</v>
      </c>
    </row>
    <row r="1826" spans="1:7" ht="16.5" hidden="1" thickTop="1" thickBot="1" x14ac:dyDescent="0.3">
      <c r="A1826" s="959"/>
      <c r="B1826" s="862"/>
      <c r="C1826" s="845"/>
      <c r="D1826" s="1796"/>
      <c r="E1826" s="1295"/>
      <c r="F1826" s="94"/>
      <c r="G1826" s="1260" t="s">
        <v>247</v>
      </c>
    </row>
    <row r="1827" spans="1:7" ht="16.5" hidden="1" thickTop="1" thickBot="1" x14ac:dyDescent="0.3">
      <c r="A1827" s="959"/>
      <c r="B1827" s="862"/>
      <c r="C1827" s="845"/>
      <c r="D1827" s="1796"/>
      <c r="E1827" s="1295"/>
      <c r="F1827" s="94"/>
      <c r="G1827" s="1260" t="s">
        <v>247</v>
      </c>
    </row>
    <row r="1828" spans="1:7" ht="16.5" hidden="1" thickTop="1" thickBot="1" x14ac:dyDescent="0.3">
      <c r="A1828" s="959"/>
      <c r="B1828" s="862"/>
      <c r="C1828" s="845"/>
      <c r="D1828" s="1796"/>
      <c r="E1828" s="1295"/>
      <c r="F1828" s="94"/>
      <c r="G1828" s="1260" t="s">
        <v>247</v>
      </c>
    </row>
    <row r="1829" spans="1:7" ht="16.5" hidden="1" thickTop="1" thickBot="1" x14ac:dyDescent="0.3">
      <c r="A1829" s="959"/>
      <c r="B1829" s="863" t="s">
        <v>256</v>
      </c>
      <c r="C1829" s="851"/>
      <c r="D1829" s="1534" t="s">
        <v>4465</v>
      </c>
      <c r="E1829" s="1295"/>
      <c r="F1829" s="94"/>
      <c r="G1829" s="1260" t="s">
        <v>247</v>
      </c>
    </row>
    <row r="1830" spans="1:7" ht="16.5" hidden="1" thickTop="1" thickBot="1" x14ac:dyDescent="0.3">
      <c r="A1830" s="962"/>
      <c r="B1830" s="863" t="s">
        <v>258</v>
      </c>
      <c r="C1830" s="851"/>
      <c r="D1830" s="1534" t="s">
        <v>4466</v>
      </c>
      <c r="E1830" s="1297"/>
      <c r="F1830" s="94"/>
      <c r="G1830" s="1260" t="s">
        <v>247</v>
      </c>
    </row>
    <row r="1831" spans="1:7" ht="15" hidden="1" customHeight="1" x14ac:dyDescent="0.25">
      <c r="A1831" s="959" t="s">
        <v>4467</v>
      </c>
      <c r="B1831" s="862"/>
      <c r="C1831" s="845"/>
      <c r="D1831" s="1796" t="s">
        <v>4468</v>
      </c>
      <c r="E1831" s="1293">
        <f ca="1">'Verification Report'!O1832</f>
        <v>0</v>
      </c>
      <c r="F1831" s="1313" t="str">
        <f>IF(LEN('Verification Report'!W1834)=0,"",'Verification Report'!W1834)</f>
        <v/>
      </c>
      <c r="G1831" s="1260" t="s">
        <v>247</v>
      </c>
    </row>
    <row r="1832" spans="1:7" ht="16.5" hidden="1" thickTop="1" thickBot="1" x14ac:dyDescent="0.3">
      <c r="A1832" s="959"/>
      <c r="B1832" s="862"/>
      <c r="C1832" s="845"/>
      <c r="D1832" s="1796"/>
      <c r="E1832" s="1296"/>
      <c r="F1832" s="94"/>
      <c r="G1832" s="1260" t="s">
        <v>247</v>
      </c>
    </row>
    <row r="1833" spans="1:7" ht="16.5" hidden="1" thickTop="1" thickBot="1" x14ac:dyDescent="0.3">
      <c r="A1833" s="959"/>
      <c r="B1833" s="863" t="s">
        <v>256</v>
      </c>
      <c r="C1833" s="851"/>
      <c r="D1833" s="1534" t="s">
        <v>4469</v>
      </c>
      <c r="E1833" s="1296"/>
      <c r="F1833" s="94"/>
      <c r="G1833" s="1260" t="s">
        <v>247</v>
      </c>
    </row>
    <row r="1834" spans="1:7" ht="16.5" hidden="1" thickTop="1" thickBot="1" x14ac:dyDescent="0.3">
      <c r="A1834" s="961"/>
      <c r="B1834" s="902" t="s">
        <v>258</v>
      </c>
      <c r="C1834" s="852"/>
      <c r="D1834" s="1542" t="s">
        <v>4470</v>
      </c>
      <c r="E1834" s="1294"/>
      <c r="F1834" s="94"/>
      <c r="G1834" s="1260" t="s">
        <v>247</v>
      </c>
    </row>
    <row r="1835" spans="1:7" ht="16.5" hidden="1" thickTop="1" thickBot="1" x14ac:dyDescent="0.3">
      <c r="A1835" s="959" t="s">
        <v>4475</v>
      </c>
      <c r="B1835" s="862"/>
      <c r="C1835" s="845"/>
      <c r="D1835" s="1547" t="s">
        <v>4471</v>
      </c>
      <c r="E1835" s="1296"/>
      <c r="F1835" s="94"/>
      <c r="G1835" s="1260" t="s">
        <v>247</v>
      </c>
    </row>
    <row r="1836" spans="1:7" ht="15" hidden="1" customHeight="1" x14ac:dyDescent="0.25">
      <c r="A1836" s="959" t="s">
        <v>4472</v>
      </c>
      <c r="B1836" s="862"/>
      <c r="C1836" s="845"/>
      <c r="D1836" s="1796" t="s">
        <v>4473</v>
      </c>
      <c r="E1836" s="1296"/>
      <c r="F1836" s="1313" t="str">
        <f>IF(LEN('Verification Report'!W1839)=0,"",'Verification Report'!W1839)</f>
        <v/>
      </c>
      <c r="G1836" s="1260" t="s">
        <v>247</v>
      </c>
    </row>
    <row r="1837" spans="1:7" ht="16.5" hidden="1" thickTop="1" thickBot="1" x14ac:dyDescent="0.3">
      <c r="A1837" s="959"/>
      <c r="B1837" s="862"/>
      <c r="C1837" s="845"/>
      <c r="D1837" s="1796"/>
      <c r="E1837" s="1295"/>
      <c r="F1837" s="94"/>
      <c r="G1837" s="1260" t="s">
        <v>247</v>
      </c>
    </row>
    <row r="1838" spans="1:7" ht="16.5" hidden="1" thickTop="1" thickBot="1" x14ac:dyDescent="0.3">
      <c r="A1838" s="959"/>
      <c r="B1838" s="862"/>
      <c r="C1838" s="845"/>
      <c r="D1838" s="1796"/>
      <c r="E1838" s="1295"/>
      <c r="F1838" s="94"/>
      <c r="G1838" s="1260" t="s">
        <v>247</v>
      </c>
    </row>
    <row r="1839" spans="1:7" ht="16.5" hidden="1" thickTop="1" thickBot="1" x14ac:dyDescent="0.3">
      <c r="A1839" s="959"/>
      <c r="B1839" s="862" t="s">
        <v>256</v>
      </c>
      <c r="C1839" s="845"/>
      <c r="D1839" s="1540" t="s">
        <v>4474</v>
      </c>
      <c r="E1839" s="1295">
        <f ca="1">'Verification Report'!O1840</f>
        <v>0</v>
      </c>
      <c r="F1839" s="1313" t="str">
        <f>IF(LEN('Verification Report'!W1842)=0,"",'Verification Report'!W1842)</f>
        <v/>
      </c>
      <c r="G1839" s="1260" t="s">
        <v>247</v>
      </c>
    </row>
    <row r="1840" spans="1:7" ht="20.25" hidden="1" thickTop="1" thickBot="1" x14ac:dyDescent="0.35">
      <c r="A1840" s="14" t="s">
        <v>4388</v>
      </c>
      <c r="B1840" s="14"/>
      <c r="C1840" s="23"/>
      <c r="D1840" s="229"/>
      <c r="E1840" s="1043"/>
      <c r="F1840" s="94"/>
      <c r="G1840" s="1260" t="s">
        <v>247</v>
      </c>
    </row>
    <row r="1841" spans="1:7" ht="15" hidden="1" customHeight="1" x14ac:dyDescent="0.25">
      <c r="A1841" s="64">
        <v>803.1</v>
      </c>
      <c r="B1841" s="164"/>
      <c r="C1841" s="4"/>
      <c r="D1841" s="1796" t="s">
        <v>4389</v>
      </c>
      <c r="E1841" s="1295">
        <f ca="1">'Verification Report'!O1842</f>
        <v>0</v>
      </c>
      <c r="F1841" s="94"/>
      <c r="G1841" s="1260" t="s">
        <v>247</v>
      </c>
    </row>
    <row r="1842" spans="1:7" ht="16.5" hidden="1" thickTop="1" thickBot="1" x14ac:dyDescent="0.3">
      <c r="A1842" s="64"/>
      <c r="B1842" s="164"/>
      <c r="C1842" s="4"/>
      <c r="D1842" s="1796"/>
      <c r="E1842" s="1295"/>
      <c r="F1842" s="94"/>
      <c r="G1842" s="1260" t="s">
        <v>247</v>
      </c>
    </row>
    <row r="1843" spans="1:7" ht="16.5" hidden="1" thickTop="1" thickBot="1" x14ac:dyDescent="0.3">
      <c r="A1843" s="64"/>
      <c r="B1843" s="4"/>
      <c r="C1843" s="4"/>
      <c r="D1843" s="1557" t="s">
        <v>4476</v>
      </c>
      <c r="E1843" s="1295"/>
      <c r="F1843" s="94"/>
      <c r="G1843" s="1260" t="s">
        <v>247</v>
      </c>
    </row>
    <row r="1844" spans="1:7" ht="16.5" hidden="1" thickTop="1" thickBot="1" x14ac:dyDescent="0.3">
      <c r="A1844" s="64"/>
      <c r="B1844" s="4"/>
      <c r="C1844" s="4"/>
      <c r="D1844" s="1557" t="s">
        <v>4477</v>
      </c>
      <c r="E1844" s="1295"/>
      <c r="F1844" s="94"/>
      <c r="G1844" s="1260" t="s">
        <v>247</v>
      </c>
    </row>
    <row r="1845" spans="1:7" ht="16.5" hidden="1" thickTop="1" thickBot="1" x14ac:dyDescent="0.3">
      <c r="A1845" s="64"/>
      <c r="B1845" s="183" t="s">
        <v>256</v>
      </c>
      <c r="C1845" s="129"/>
      <c r="D1845" s="1546" t="s">
        <v>809</v>
      </c>
      <c r="E1845" s="1295"/>
      <c r="F1845" s="1313" t="str">
        <f>IF(LEN('Verification Report'!W1848)=0,"",'Verification Report'!W1848)</f>
        <v/>
      </c>
      <c r="G1845" s="1260" t="s">
        <v>247</v>
      </c>
    </row>
    <row r="1846" spans="1:7" ht="16.5" hidden="1" thickTop="1" thickBot="1" x14ac:dyDescent="0.3">
      <c r="A1846" s="64"/>
      <c r="B1846" s="210"/>
      <c r="C1846" s="210"/>
      <c r="D1846" s="1571" t="s">
        <v>810</v>
      </c>
      <c r="E1846" s="1295"/>
      <c r="F1846" s="94"/>
      <c r="G1846" s="1260" t="s">
        <v>247</v>
      </c>
    </row>
    <row r="1847" spans="1:7" ht="16.5" hidden="1" thickTop="1" thickBot="1" x14ac:dyDescent="0.3">
      <c r="A1847" s="189"/>
      <c r="B1847" s="190" t="s">
        <v>258</v>
      </c>
      <c r="C1847" s="240"/>
      <c r="D1847" s="1555" t="s">
        <v>811</v>
      </c>
      <c r="E1847" s="1294"/>
      <c r="F1847" s="1313" t="str">
        <f>IF(LEN('Verification Report'!W1850)=0,"",'Verification Report'!W1850)</f>
        <v/>
      </c>
      <c r="G1847" s="1260" t="s">
        <v>247</v>
      </c>
    </row>
    <row r="1848" spans="1:7" ht="15.75" hidden="1" customHeight="1" thickTop="1" x14ac:dyDescent="0.25">
      <c r="A1848" s="180">
        <v>803.2</v>
      </c>
      <c r="B1848" s="952"/>
      <c r="C1848" s="181"/>
      <c r="D1848" s="1781" t="s">
        <v>4390</v>
      </c>
      <c r="E1848" s="1298">
        <f>'Verification Report'!O1849</f>
        <v>0</v>
      </c>
      <c r="F1848" s="94"/>
      <c r="G1848" s="1260" t="s">
        <v>247</v>
      </c>
    </row>
    <row r="1849" spans="1:7" ht="16.5" hidden="1" thickTop="1" thickBot="1" x14ac:dyDescent="0.3">
      <c r="A1849" s="64"/>
      <c r="B1849" s="164"/>
      <c r="C1849" s="4"/>
      <c r="D1849" s="1796"/>
      <c r="E1849" s="1296"/>
      <c r="F1849" s="1313" t="str">
        <f>IF(LEN('Verification Report'!W1852)=0,"",'Verification Report'!W1852)</f>
        <v/>
      </c>
      <c r="G1849" s="1260" t="s">
        <v>247</v>
      </c>
    </row>
    <row r="1850" spans="1:7" ht="16.5" hidden="1" thickTop="1" thickBot="1" x14ac:dyDescent="0.3">
      <c r="A1850" s="189"/>
      <c r="B1850" s="481"/>
      <c r="C1850" s="240"/>
      <c r="D1850" s="1797"/>
      <c r="E1850" s="1294"/>
      <c r="F1850" s="94"/>
      <c r="G1850" s="1260" t="s">
        <v>247</v>
      </c>
    </row>
    <row r="1851" spans="1:7" ht="15.75" hidden="1" customHeight="1" thickTop="1" x14ac:dyDescent="0.25">
      <c r="A1851" s="64">
        <v>803.3</v>
      </c>
      <c r="B1851" s="164"/>
      <c r="C1851" s="4"/>
      <c r="D1851" s="1796" t="s">
        <v>4478</v>
      </c>
      <c r="E1851" s="1270">
        <f ca="1">'Verification Report'!O1852</f>
        <v>0</v>
      </c>
      <c r="F1851" s="1313" t="str">
        <f>IF(LEN('Verification Report'!W1854)=0,"",'Verification Report'!W1854)</f>
        <v/>
      </c>
      <c r="G1851" s="1260" t="s">
        <v>247</v>
      </c>
    </row>
    <row r="1852" spans="1:7" ht="16.5" hidden="1" thickTop="1" thickBot="1" x14ac:dyDescent="0.3">
      <c r="A1852" s="64"/>
      <c r="B1852" s="164"/>
      <c r="C1852" s="4"/>
      <c r="D1852" s="1796"/>
      <c r="E1852" s="1270"/>
      <c r="F1852" s="94"/>
      <c r="G1852" s="1260" t="s">
        <v>247</v>
      </c>
    </row>
    <row r="1853" spans="1:7" ht="16.5" hidden="1" thickTop="1" thickBot="1" x14ac:dyDescent="0.3">
      <c r="A1853" s="64"/>
      <c r="B1853" s="164"/>
      <c r="C1853" s="4"/>
      <c r="D1853" s="1796"/>
      <c r="E1853" s="1270"/>
      <c r="F1853" s="94"/>
      <c r="G1853" s="1260" t="s">
        <v>247</v>
      </c>
    </row>
    <row r="1854" spans="1:7" ht="16.5" hidden="1" thickTop="1" thickBot="1" x14ac:dyDescent="0.3">
      <c r="A1854" s="64"/>
      <c r="B1854" s="910" t="s">
        <v>256</v>
      </c>
      <c r="C1854" s="210"/>
      <c r="D1854" s="1534" t="s">
        <v>4479</v>
      </c>
      <c r="E1854" s="1296"/>
      <c r="F1854" s="94"/>
      <c r="G1854" s="1260" t="s">
        <v>247</v>
      </c>
    </row>
    <row r="1855" spans="1:7" ht="16.5" hidden="1" thickTop="1" thickBot="1" x14ac:dyDescent="0.3">
      <c r="A1855" s="189"/>
      <c r="B1855" s="359" t="s">
        <v>258</v>
      </c>
      <c r="C1855" s="240"/>
      <c r="D1855" s="1540" t="s">
        <v>4480</v>
      </c>
      <c r="E1855" s="1294"/>
      <c r="F1855" s="94"/>
      <c r="G1855" s="1260" t="s">
        <v>247</v>
      </c>
    </row>
    <row r="1856" spans="1:7" ht="15.75" hidden="1" customHeight="1" thickTop="1" x14ac:dyDescent="0.25">
      <c r="A1856" s="180">
        <v>803.4</v>
      </c>
      <c r="B1856" s="952"/>
      <c r="C1856" s="181"/>
      <c r="D1856" s="1781" t="s">
        <v>4391</v>
      </c>
      <c r="E1856" s="1298">
        <f ca="1">'Verification Report'!O1857</f>
        <v>0</v>
      </c>
      <c r="F1856" s="1313" t="str">
        <f>IF(LEN('Verification Report'!W1859)=0,"",'Verification Report'!W1859)</f>
        <v/>
      </c>
      <c r="G1856" s="1260" t="s">
        <v>247</v>
      </c>
    </row>
    <row r="1857" spans="1:7" ht="16.5" hidden="1" thickTop="1" thickBot="1" x14ac:dyDescent="0.3">
      <c r="A1857" s="64"/>
      <c r="B1857" s="164"/>
      <c r="C1857" s="4"/>
      <c r="D1857" s="1796"/>
      <c r="E1857" s="1296"/>
      <c r="F1857" s="94"/>
      <c r="G1857" s="1260" t="s">
        <v>247</v>
      </c>
    </row>
    <row r="1858" spans="1:7" ht="16.5" hidden="1" thickTop="1" thickBot="1" x14ac:dyDescent="0.3">
      <c r="A1858" s="189"/>
      <c r="B1858" s="481"/>
      <c r="C1858" s="240"/>
      <c r="D1858" s="1797"/>
      <c r="E1858" s="1294"/>
      <c r="F1858" s="94"/>
      <c r="G1858" s="1260" t="s">
        <v>247</v>
      </c>
    </row>
    <row r="1859" spans="1:7" ht="15.75" hidden="1" customHeight="1" thickTop="1" x14ac:dyDescent="0.25">
      <c r="A1859" s="180">
        <v>803.5</v>
      </c>
      <c r="B1859" s="952"/>
      <c r="C1859" s="181"/>
      <c r="D1859" s="1916" t="s">
        <v>4392</v>
      </c>
      <c r="E1859" s="1298">
        <f ca="1">'Verification Report'!O1860</f>
        <v>0</v>
      </c>
      <c r="F1859" s="1313" t="str">
        <f>IF(LEN('Verification Report'!W1862)=0,"",'Verification Report'!W1862)</f>
        <v/>
      </c>
      <c r="G1859" s="1260" t="s">
        <v>247</v>
      </c>
    </row>
    <row r="1860" spans="1:7" ht="16.5" hidden="1" thickTop="1" thickBot="1" x14ac:dyDescent="0.3">
      <c r="A1860" s="189"/>
      <c r="B1860" s="481"/>
      <c r="C1860" s="240"/>
      <c r="D1860" s="1917"/>
      <c r="E1860" s="1294"/>
      <c r="F1860" s="94"/>
      <c r="G1860" s="1260" t="s">
        <v>247</v>
      </c>
    </row>
    <row r="1861" spans="1:7" ht="15.75" hidden="1" customHeight="1" thickTop="1" x14ac:dyDescent="0.25">
      <c r="A1861" s="64">
        <v>803.6</v>
      </c>
      <c r="B1861" s="164"/>
      <c r="C1861" s="4"/>
      <c r="D1861" s="1796" t="s">
        <v>4393</v>
      </c>
      <c r="E1861" s="1295">
        <f ca="1">'Verification Report'!O1862</f>
        <v>0</v>
      </c>
      <c r="F1861" s="1313" t="str">
        <f>IF(LEN('Verification Report'!W1864)=0,"",'Verification Report'!W1864)</f>
        <v/>
      </c>
      <c r="G1861" s="1260" t="s">
        <v>247</v>
      </c>
    </row>
    <row r="1862" spans="1:7" ht="16.5" hidden="1" thickTop="1" thickBot="1" x14ac:dyDescent="0.3">
      <c r="A1862" s="64"/>
      <c r="B1862" s="164"/>
      <c r="C1862" s="4"/>
      <c r="D1862" s="1796"/>
      <c r="E1862" s="1295"/>
      <c r="F1862" s="94"/>
      <c r="G1862" s="1260" t="s">
        <v>247</v>
      </c>
    </row>
    <row r="1863" spans="1:7" ht="16.5" hidden="1" thickTop="1" thickBot="1" x14ac:dyDescent="0.3">
      <c r="A1863" s="64"/>
      <c r="B1863" s="164"/>
      <c r="C1863" s="4"/>
      <c r="D1863" s="1557" t="s">
        <v>4477</v>
      </c>
      <c r="E1863" s="1295"/>
      <c r="F1863" s="94"/>
      <c r="G1863" s="1260" t="s">
        <v>247</v>
      </c>
    </row>
    <row r="1864" spans="1:7" ht="20.25" hidden="1" thickTop="1" thickBot="1" x14ac:dyDescent="0.35">
      <c r="A1864" s="14" t="s">
        <v>4485</v>
      </c>
      <c r="B1864" s="963"/>
      <c r="C1864" s="963"/>
      <c r="D1864" s="228"/>
      <c r="E1864" s="1054"/>
      <c r="F1864" s="94"/>
      <c r="G1864" s="1260" t="s">
        <v>247</v>
      </c>
    </row>
    <row r="1865" spans="1:7" ht="15" hidden="1" customHeight="1" x14ac:dyDescent="0.25">
      <c r="A1865" s="943">
        <v>804.1</v>
      </c>
      <c r="B1865" s="845"/>
      <c r="C1865" s="845"/>
      <c r="D1865" s="1796" t="s">
        <v>5590</v>
      </c>
      <c r="E1865" s="664"/>
      <c r="F1865" s="94"/>
      <c r="G1865" s="1260" t="s">
        <v>247</v>
      </c>
    </row>
    <row r="1866" spans="1:7" ht="16.5" hidden="1" thickTop="1" thickBot="1" x14ac:dyDescent="0.3">
      <c r="A1866" s="949"/>
      <c r="B1866" s="851"/>
      <c r="C1866" s="851"/>
      <c r="D1866" s="1843"/>
      <c r="E1866" s="664"/>
      <c r="F1866" s="94"/>
      <c r="G1866" s="1260" t="s">
        <v>247</v>
      </c>
    </row>
    <row r="1867" spans="1:7" ht="15" hidden="1" customHeight="1" x14ac:dyDescent="0.25">
      <c r="A1867" s="992">
        <v>804.2</v>
      </c>
      <c r="B1867" s="849"/>
      <c r="C1867" s="849"/>
      <c r="D1867" s="1864" t="s">
        <v>4481</v>
      </c>
      <c r="E1867" s="664"/>
      <c r="F1867" s="94"/>
      <c r="G1867" s="1260" t="s">
        <v>247</v>
      </c>
    </row>
    <row r="1868" spans="1:7" ht="16.5" hidden="1" thickTop="1" thickBot="1" x14ac:dyDescent="0.3">
      <c r="A1868" s="949"/>
      <c r="B1868" s="851"/>
      <c r="C1868" s="851"/>
      <c r="D1868" s="1843"/>
      <c r="E1868" s="664"/>
      <c r="F1868" s="94"/>
      <c r="G1868" s="1260" t="s">
        <v>247</v>
      </c>
    </row>
    <row r="1869" spans="1:7" ht="15" hidden="1" customHeight="1" x14ac:dyDescent="0.25">
      <c r="A1869" s="943">
        <v>804.3</v>
      </c>
      <c r="B1869" s="845"/>
      <c r="C1869" s="845"/>
      <c r="D1869" s="1796" t="s">
        <v>4482</v>
      </c>
      <c r="E1869" s="664"/>
      <c r="F1869" s="94"/>
      <c r="G1869" s="1260" t="s">
        <v>247</v>
      </c>
    </row>
    <row r="1870" spans="1:7" ht="16.5" hidden="1" thickTop="1" thickBot="1" x14ac:dyDescent="0.3">
      <c r="A1870" s="909"/>
      <c r="B1870" s="845"/>
      <c r="C1870" s="845"/>
      <c r="D1870" s="1796"/>
      <c r="E1870" s="664"/>
      <c r="F1870" s="94"/>
      <c r="G1870" s="1260" t="s">
        <v>247</v>
      </c>
    </row>
    <row r="1871" spans="1:7" ht="16.5" hidden="1" thickTop="1" thickBot="1" x14ac:dyDescent="0.3">
      <c r="A1871" s="909"/>
      <c r="B1871" s="845"/>
      <c r="C1871" s="845"/>
      <c r="D1871" s="1796"/>
      <c r="E1871" s="664"/>
      <c r="F1871" s="94"/>
      <c r="G1871" s="1260" t="s">
        <v>247</v>
      </c>
    </row>
    <row r="1872" spans="1:7" ht="16.5" hidden="1" thickTop="1" thickBot="1" x14ac:dyDescent="0.3">
      <c r="A1872" s="909"/>
      <c r="B1872" s="845"/>
      <c r="C1872" s="845"/>
      <c r="D1872" s="237" t="s">
        <v>4483</v>
      </c>
      <c r="E1872" s="664"/>
      <c r="F1872" s="94"/>
      <c r="G1872" s="1260" t="s">
        <v>247</v>
      </c>
    </row>
    <row r="1873" spans="1:7" ht="16.5" hidden="1" thickTop="1" thickBot="1" x14ac:dyDescent="0.3">
      <c r="A1873" s="1003"/>
      <c r="B1873" s="850"/>
      <c r="C1873" s="850"/>
      <c r="D1873" s="1004" t="s">
        <v>4484</v>
      </c>
      <c r="E1873" s="665"/>
      <c r="F1873" s="94"/>
      <c r="G1873" s="1260" t="s">
        <v>247</v>
      </c>
    </row>
    <row r="1874" spans="1:7" ht="20.25" hidden="1" thickTop="1" thickBot="1" x14ac:dyDescent="0.35">
      <c r="A1874" s="22" t="s">
        <v>3143</v>
      </c>
      <c r="B1874" s="22"/>
      <c r="C1874" s="22"/>
      <c r="D1874" s="1208"/>
      <c r="E1874" s="1051"/>
      <c r="F1874" s="94"/>
      <c r="G1874" s="1260" t="s">
        <v>247</v>
      </c>
    </row>
    <row r="1875" spans="1:7" ht="16.5" hidden="1" thickTop="1" thickBot="1" x14ac:dyDescent="0.3">
      <c r="A1875" s="221">
        <v>901</v>
      </c>
      <c r="B1875" s="4"/>
      <c r="C1875" s="4"/>
      <c r="D1875" s="1563" t="s">
        <v>3144</v>
      </c>
      <c r="E1875" s="1280"/>
      <c r="F1875" s="94"/>
      <c r="G1875" s="1260" t="s">
        <v>247</v>
      </c>
    </row>
    <row r="1876" spans="1:7" ht="16.5" hidden="1" thickTop="1" thickBot="1" x14ac:dyDescent="0.3">
      <c r="A1876" s="238">
        <v>901.1</v>
      </c>
      <c r="B1876" s="129"/>
      <c r="C1876" s="129"/>
      <c r="D1876" s="1564" t="s">
        <v>3145</v>
      </c>
      <c r="E1876" s="1287"/>
      <c r="F1876" s="94"/>
      <c r="G1876" s="1260" t="s">
        <v>247</v>
      </c>
    </row>
    <row r="1877" spans="1:7" ht="15" hidden="1" customHeight="1" x14ac:dyDescent="0.25">
      <c r="A1877" s="238" t="s">
        <v>3146</v>
      </c>
      <c r="B1877" s="129"/>
      <c r="C1877" s="129"/>
      <c r="D1877" s="1782" t="s">
        <v>3147</v>
      </c>
      <c r="E1877" s="1296">
        <f>'Verification Report'!O1878</f>
        <v>0</v>
      </c>
      <c r="F1877" s="1313" t="str">
        <f>IF(LEN('Verification Report'!W1880)=0,"",'Verification Report'!W1880)</f>
        <v/>
      </c>
      <c r="G1877" s="1260" t="s">
        <v>247</v>
      </c>
    </row>
    <row r="1878" spans="1:7" ht="16.5" hidden="1" thickTop="1" thickBot="1" x14ac:dyDescent="0.3">
      <c r="A1878" s="480"/>
      <c r="B1878" s="129"/>
      <c r="C1878" s="129"/>
      <c r="D1878" s="1782"/>
      <c r="E1878" s="1296"/>
      <c r="F1878" s="94"/>
      <c r="G1878" s="1260" t="s">
        <v>247</v>
      </c>
    </row>
    <row r="1879" spans="1:7" ht="16.5" hidden="1" thickTop="1" thickBot="1" x14ac:dyDescent="0.3">
      <c r="A1879" s="480"/>
      <c r="B1879" s="129"/>
      <c r="C1879" s="129"/>
      <c r="D1879" s="1782"/>
      <c r="E1879" s="1296"/>
      <c r="F1879" s="94"/>
      <c r="G1879" s="1260" t="s">
        <v>247</v>
      </c>
    </row>
    <row r="1880" spans="1:7" ht="16.5" hidden="1" thickTop="1" thickBot="1" x14ac:dyDescent="0.3">
      <c r="A1880" s="480"/>
      <c r="B1880" s="129"/>
      <c r="C1880" s="129"/>
      <c r="D1880" s="1782"/>
      <c r="E1880" s="1296"/>
      <c r="F1880" s="94"/>
      <c r="G1880" s="1260" t="s">
        <v>247</v>
      </c>
    </row>
    <row r="1881" spans="1:7" ht="15" hidden="1" customHeight="1" x14ac:dyDescent="0.25">
      <c r="A1881" s="480"/>
      <c r="B1881" s="129"/>
      <c r="C1881" s="129"/>
      <c r="D1881" s="1942" t="s">
        <v>3379</v>
      </c>
      <c r="E1881" s="1296"/>
      <c r="F1881" s="94"/>
      <c r="G1881" s="1260" t="s">
        <v>247</v>
      </c>
    </row>
    <row r="1882" spans="1:7" ht="16.5" hidden="1" thickTop="1" thickBot="1" x14ac:dyDescent="0.3">
      <c r="A1882" s="524"/>
      <c r="B1882" s="210"/>
      <c r="C1882" s="210"/>
      <c r="D1882" s="1944"/>
      <c r="E1882" s="1297"/>
      <c r="F1882" s="94"/>
      <c r="G1882" s="1260" t="s">
        <v>247</v>
      </c>
    </row>
    <row r="1883" spans="1:7" ht="15" hidden="1" customHeight="1" x14ac:dyDescent="0.25">
      <c r="A1883" s="192" t="s">
        <v>3148</v>
      </c>
      <c r="B1883" s="193"/>
      <c r="C1883" s="193"/>
      <c r="D1883" s="1864" t="s">
        <v>3149</v>
      </c>
      <c r="E1883" s="1293">
        <f>'Verification Report'!O1884</f>
        <v>0</v>
      </c>
      <c r="F1883" s="1313" t="str">
        <f>IF(LEN('Verification Report'!W1886)=0,"",'Verification Report'!W1886)</f>
        <v/>
      </c>
      <c r="G1883" s="1260" t="s">
        <v>247</v>
      </c>
    </row>
    <row r="1884" spans="1:7" ht="16.5" hidden="1" thickTop="1" thickBot="1" x14ac:dyDescent="0.3">
      <c r="A1884" s="480"/>
      <c r="B1884" s="129"/>
      <c r="C1884" s="129"/>
      <c r="D1884" s="1782"/>
      <c r="E1884" s="1296"/>
      <c r="F1884" s="94"/>
      <c r="G1884" s="1260" t="s">
        <v>247</v>
      </c>
    </row>
    <row r="1885" spans="1:7" ht="16.5" hidden="1" thickTop="1" thickBot="1" x14ac:dyDescent="0.3">
      <c r="A1885" s="524"/>
      <c r="B1885" s="210"/>
      <c r="C1885" s="210"/>
      <c r="D1885" s="1561" t="s">
        <v>3661</v>
      </c>
      <c r="E1885" s="1297"/>
      <c r="F1885" s="94"/>
      <c r="G1885" s="1260" t="s">
        <v>247</v>
      </c>
    </row>
    <row r="1886" spans="1:7" ht="15" hidden="1" customHeight="1" x14ac:dyDescent="0.25">
      <c r="A1886" s="64" t="s">
        <v>3150</v>
      </c>
      <c r="B1886" s="4"/>
      <c r="C1886" s="4"/>
      <c r="D1886" s="1796" t="s">
        <v>3151</v>
      </c>
      <c r="E1886" s="1295"/>
      <c r="F1886" s="94"/>
      <c r="G1886" s="1260" t="s">
        <v>247</v>
      </c>
    </row>
    <row r="1887" spans="1:7" ht="16.5" hidden="1" thickTop="1" thickBot="1" x14ac:dyDescent="0.3">
      <c r="A1887" s="164"/>
      <c r="B1887" s="4"/>
      <c r="C1887" s="4"/>
      <c r="D1887" s="1796"/>
      <c r="E1887" s="1295"/>
      <c r="F1887" s="94"/>
      <c r="G1887" s="1260" t="s">
        <v>247</v>
      </c>
    </row>
    <row r="1888" spans="1:7" ht="16.5" hidden="1" thickTop="1" thickBot="1" x14ac:dyDescent="0.3">
      <c r="A1888" s="164"/>
      <c r="B1888" s="27" t="s">
        <v>256</v>
      </c>
      <c r="C1888" s="4"/>
      <c r="D1888" s="1554" t="s">
        <v>3152</v>
      </c>
      <c r="E1888" s="1295">
        <f ca="1">'Verification Report'!O1889</f>
        <v>0</v>
      </c>
      <c r="F1888" s="1313" t="str">
        <f>IF(LEN('Verification Report'!W1891)=0,"",'Verification Report'!W1891)</f>
        <v/>
      </c>
      <c r="G1888" s="1260" t="s">
        <v>247</v>
      </c>
    </row>
    <row r="1889" spans="1:7" ht="16.5" hidden="1" thickTop="1" thickBot="1" x14ac:dyDescent="0.3">
      <c r="A1889" s="164"/>
      <c r="B1889" s="27"/>
      <c r="C1889" s="27" t="s">
        <v>121</v>
      </c>
      <c r="D1889" s="1554" t="s">
        <v>3153</v>
      </c>
      <c r="E1889" s="1295"/>
      <c r="F1889" s="94"/>
      <c r="G1889" s="1260" t="s">
        <v>247</v>
      </c>
    </row>
    <row r="1890" spans="1:7" ht="16.5" hidden="1" thickTop="1" thickBot="1" x14ac:dyDescent="0.3">
      <c r="A1890" s="164"/>
      <c r="B1890" s="206"/>
      <c r="C1890" s="206" t="s">
        <v>122</v>
      </c>
      <c r="D1890" s="1536" t="s">
        <v>3154</v>
      </c>
      <c r="E1890" s="1297"/>
      <c r="F1890" s="94"/>
      <c r="G1890" s="1260" t="s">
        <v>247</v>
      </c>
    </row>
    <row r="1891" spans="1:7" ht="16.5" hidden="1" thickTop="1" thickBot="1" x14ac:dyDescent="0.3">
      <c r="A1891" s="480"/>
      <c r="B1891" s="183" t="s">
        <v>258</v>
      </c>
      <c r="C1891" s="129"/>
      <c r="D1891" s="1546" t="s">
        <v>3155</v>
      </c>
      <c r="E1891" s="1296">
        <f ca="1">'Verification Report'!O1892</f>
        <v>0</v>
      </c>
      <c r="F1891" s="1313" t="str">
        <f>IF(LEN('Verification Report'!W1894)=0,"",'Verification Report'!W1894)</f>
        <v/>
      </c>
      <c r="G1891" s="1260" t="s">
        <v>247</v>
      </c>
    </row>
    <row r="1892" spans="1:7" ht="16.5" hidden="1" thickTop="1" thickBot="1" x14ac:dyDescent="0.3">
      <c r="A1892" s="480"/>
      <c r="B1892" s="129"/>
      <c r="C1892" s="183" t="s">
        <v>121</v>
      </c>
      <c r="D1892" s="1546" t="s">
        <v>3156</v>
      </c>
      <c r="E1892" s="1296"/>
      <c r="F1892" s="94"/>
      <c r="G1892" s="1260" t="s">
        <v>247</v>
      </c>
    </row>
    <row r="1893" spans="1:7" ht="16.5" hidden="1" thickTop="1" thickBot="1" x14ac:dyDescent="0.3">
      <c r="A1893" s="524"/>
      <c r="B1893" s="210"/>
      <c r="C1893" s="206" t="s">
        <v>122</v>
      </c>
      <c r="D1893" s="1536" t="s">
        <v>3157</v>
      </c>
      <c r="E1893" s="1297"/>
      <c r="F1893" s="94"/>
      <c r="G1893" s="1260" t="s">
        <v>247</v>
      </c>
    </row>
    <row r="1894" spans="1:7" ht="15" hidden="1" customHeight="1" x14ac:dyDescent="0.25">
      <c r="A1894" s="130" t="s">
        <v>3158</v>
      </c>
      <c r="B1894" s="129"/>
      <c r="C1894" s="129"/>
      <c r="D1894" s="1796" t="s">
        <v>4487</v>
      </c>
      <c r="E1894" s="1296"/>
      <c r="F1894" s="1313" t="str">
        <f>IF(LEN('Verification Report'!W1897)=0,"",'Verification Report'!W1897)</f>
        <v/>
      </c>
      <c r="G1894" s="1260" t="s">
        <v>247</v>
      </c>
    </row>
    <row r="1895" spans="1:7" ht="16.5" hidden="1" thickTop="1" thickBot="1" x14ac:dyDescent="0.3">
      <c r="A1895" s="480"/>
      <c r="B1895" s="129"/>
      <c r="C1895" s="129"/>
      <c r="D1895" s="1796"/>
      <c r="E1895" s="1296"/>
      <c r="F1895" s="94"/>
      <c r="G1895" s="1260" t="s">
        <v>247</v>
      </c>
    </row>
    <row r="1896" spans="1:7" ht="16.5" hidden="1" thickTop="1" thickBot="1" x14ac:dyDescent="0.3">
      <c r="A1896" s="480"/>
      <c r="B1896" s="129"/>
      <c r="C1896" s="129"/>
      <c r="D1896" s="1796"/>
      <c r="E1896" s="1296"/>
      <c r="F1896" s="94"/>
      <c r="G1896" s="1260" t="s">
        <v>247</v>
      </c>
    </row>
    <row r="1897" spans="1:7" ht="16.5" hidden="1" thickTop="1" thickBot="1" x14ac:dyDescent="0.3">
      <c r="A1897" s="480"/>
      <c r="B1897" s="129"/>
      <c r="C1897" s="129"/>
      <c r="D1897" s="1796"/>
      <c r="E1897" s="1296"/>
      <c r="F1897" s="94"/>
      <c r="G1897" s="1260" t="s">
        <v>247</v>
      </c>
    </row>
    <row r="1898" spans="1:7" ht="16.5" hidden="1" thickTop="1" thickBot="1" x14ac:dyDescent="0.3">
      <c r="A1898" s="524"/>
      <c r="B1898" s="210"/>
      <c r="C1898" s="210"/>
      <c r="D1898" s="1843"/>
      <c r="E1898" s="1297"/>
      <c r="F1898" s="94"/>
      <c r="G1898" s="1260" t="s">
        <v>247</v>
      </c>
    </row>
    <row r="1899" spans="1:7" ht="15" hidden="1" customHeight="1" x14ac:dyDescent="0.25">
      <c r="A1899" s="130" t="s">
        <v>3159</v>
      </c>
      <c r="B1899" s="129"/>
      <c r="C1899" s="129"/>
      <c r="D1899" s="1782" t="s">
        <v>3160</v>
      </c>
      <c r="E1899" s="1296">
        <f>'Verification Report'!O1900</f>
        <v>0</v>
      </c>
      <c r="F1899" s="1313" t="str">
        <f>IF(LEN('Verification Report'!W1902)=0,"",'Verification Report'!W1902)</f>
        <v/>
      </c>
      <c r="G1899" s="1260" t="s">
        <v>247</v>
      </c>
    </row>
    <row r="1900" spans="1:7" ht="16.5" hidden="1" thickTop="1" thickBot="1" x14ac:dyDescent="0.3">
      <c r="A1900" s="480"/>
      <c r="B1900" s="129"/>
      <c r="C1900" s="129"/>
      <c r="D1900" s="1782"/>
      <c r="E1900" s="1296"/>
      <c r="F1900" s="94"/>
      <c r="G1900" s="1260" t="s">
        <v>247</v>
      </c>
    </row>
    <row r="1901" spans="1:7" ht="16.5" hidden="1" thickTop="1" thickBot="1" x14ac:dyDescent="0.3">
      <c r="A1901" s="524"/>
      <c r="B1901" s="210"/>
      <c r="C1901" s="210"/>
      <c r="D1901" s="1843"/>
      <c r="E1901" s="1297"/>
      <c r="F1901" s="94"/>
      <c r="G1901" s="1260" t="s">
        <v>247</v>
      </c>
    </row>
    <row r="1902" spans="1:7" ht="16.5" hidden="1" thickTop="1" thickBot="1" x14ac:dyDescent="0.3">
      <c r="A1902" s="130" t="s">
        <v>3161</v>
      </c>
      <c r="B1902" s="129"/>
      <c r="C1902" s="129"/>
      <c r="D1902" s="1564" t="s">
        <v>3162</v>
      </c>
      <c r="E1902" s="1296">
        <f ca="1">'Verification Report'!O1903</f>
        <v>0</v>
      </c>
      <c r="F1902" s="1313" t="str">
        <f>IF(LEN('Verification Report'!W1905)=0,"",'Verification Report'!W1905)</f>
        <v/>
      </c>
      <c r="G1902" s="1260" t="s">
        <v>247</v>
      </c>
    </row>
    <row r="1903" spans="1:7" ht="16.5" hidden="1" thickTop="1" thickBot="1" x14ac:dyDescent="0.3">
      <c r="A1903" s="480"/>
      <c r="B1903" s="206" t="s">
        <v>256</v>
      </c>
      <c r="C1903" s="210"/>
      <c r="D1903" s="1536" t="s">
        <v>3163</v>
      </c>
      <c r="E1903" s="1296"/>
      <c r="F1903" s="94"/>
      <c r="G1903" s="1260" t="s">
        <v>247</v>
      </c>
    </row>
    <row r="1904" spans="1:7" ht="16.5" hidden="1" thickTop="1" thickBot="1" x14ac:dyDescent="0.3">
      <c r="A1904" s="481"/>
      <c r="B1904" s="190" t="s">
        <v>258</v>
      </c>
      <c r="C1904" s="240"/>
      <c r="D1904" s="1555" t="s">
        <v>3164</v>
      </c>
      <c r="E1904" s="1294"/>
      <c r="F1904" s="94"/>
      <c r="G1904" s="1260" t="s">
        <v>247</v>
      </c>
    </row>
    <row r="1905" spans="1:9" ht="15.75" thickTop="1" x14ac:dyDescent="0.25">
      <c r="A1905" s="180">
        <v>901.2</v>
      </c>
      <c r="B1905" s="181"/>
      <c r="C1905" s="181"/>
      <c r="D1905" s="1569" t="s">
        <v>3165</v>
      </c>
      <c r="E1905" s="1298"/>
      <c r="F1905" s="94"/>
      <c r="G1905" s="2363" t="str">
        <f>IF(COUNTIF(G1906,"P")&gt;0,"P","")</f>
        <v/>
      </c>
    </row>
    <row r="1906" spans="1:9" ht="15" customHeight="1" x14ac:dyDescent="0.25">
      <c r="A1906" s="64" t="s">
        <v>3166</v>
      </c>
      <c r="B1906" s="4"/>
      <c r="C1906" s="4"/>
      <c r="D1906" s="1796" t="s">
        <v>3167</v>
      </c>
      <c r="E1906" s="1295"/>
      <c r="F1906" s="94"/>
      <c r="G1906" s="2363" t="str">
        <f>IF(COUNTIF(G1908:H1918,"P")&gt;0,"P","")</f>
        <v/>
      </c>
      <c r="H1906" s="1330" t="s">
        <v>5101</v>
      </c>
      <c r="I1906" s="1527"/>
    </row>
    <row r="1907" spans="1:9" x14ac:dyDescent="0.25">
      <c r="A1907" s="164"/>
      <c r="B1907" s="4"/>
      <c r="C1907" s="4"/>
      <c r="D1907" s="1796"/>
      <c r="E1907" s="1295"/>
      <c r="F1907" s="94"/>
      <c r="G1907" s="585" t="str">
        <f>G1906</f>
        <v/>
      </c>
    </row>
    <row r="1908" spans="1:9" ht="15" customHeight="1" x14ac:dyDescent="0.25">
      <c r="A1908" s="164"/>
      <c r="B1908" s="183" t="s">
        <v>256</v>
      </c>
      <c r="C1908" s="129"/>
      <c r="D1908" s="1754" t="s">
        <v>3168</v>
      </c>
      <c r="E1908" s="1296">
        <f>'Verification Report'!O1909</f>
        <v>0</v>
      </c>
      <c r="F1908" s="1313" t="str">
        <f>IF(LEN('Verification Report'!W1911)=0,"",'Verification Report'!W1911)</f>
        <v/>
      </c>
      <c r="G1908" s="585" t="str">
        <f>IF(E1908&gt;0,"P","")</f>
        <v/>
      </c>
    </row>
    <row r="1909" spans="1:9" x14ac:dyDescent="0.25">
      <c r="A1909" s="164"/>
      <c r="B1909" s="129"/>
      <c r="C1909" s="129"/>
      <c r="D1909" s="1754"/>
      <c r="E1909" s="1296"/>
      <c r="F1909" s="94"/>
      <c r="G1909" s="585" t="str">
        <f>G1908</f>
        <v/>
      </c>
    </row>
    <row r="1910" spans="1:9" x14ac:dyDescent="0.25">
      <c r="A1910" s="164"/>
      <c r="B1910" s="210"/>
      <c r="C1910" s="210"/>
      <c r="D1910" s="1755"/>
      <c r="E1910" s="1297"/>
      <c r="F1910" s="94"/>
      <c r="G1910" s="585" t="str">
        <f>G1909</f>
        <v/>
      </c>
    </row>
    <row r="1911" spans="1:9" ht="15" customHeight="1" x14ac:dyDescent="0.25">
      <c r="A1911" s="164"/>
      <c r="B1911" s="183" t="s">
        <v>258</v>
      </c>
      <c r="C1911" s="129"/>
      <c r="D1911" s="1779" t="s">
        <v>4488</v>
      </c>
      <c r="E1911" s="1296">
        <f>'Verification Report'!O1912</f>
        <v>0</v>
      </c>
      <c r="F1911" s="1313" t="str">
        <f>IF(LEN('Verification Report'!W1914)=0,"",'Verification Report'!W1914)</f>
        <v/>
      </c>
      <c r="G1911" s="585" t="str">
        <f>IF(E1911&gt;0,"P","")</f>
        <v/>
      </c>
    </row>
    <row r="1912" spans="1:9" x14ac:dyDescent="0.25">
      <c r="A1912" s="164"/>
      <c r="B1912" s="206"/>
      <c r="C1912" s="210"/>
      <c r="D1912" s="1755"/>
      <c r="E1912" s="1297"/>
      <c r="F1912" s="94"/>
      <c r="G1912" s="585" t="str">
        <f>G1911</f>
        <v/>
      </c>
    </row>
    <row r="1913" spans="1:9" ht="15" customHeight="1" x14ac:dyDescent="0.25">
      <c r="A1913" s="164"/>
      <c r="B1913" s="183" t="s">
        <v>260</v>
      </c>
      <c r="C1913" s="129"/>
      <c r="D1913" s="1754" t="s">
        <v>3169</v>
      </c>
      <c r="E1913" s="1296">
        <f>'Verification Report'!O1914</f>
        <v>0</v>
      </c>
      <c r="F1913" s="1313" t="str">
        <f>IF(LEN('Verification Report'!W1916)=0,"",'Verification Report'!W1916)</f>
        <v/>
      </c>
      <c r="G1913" s="585" t="str">
        <f>IF(E1913&gt;0,"P","")</f>
        <v/>
      </c>
    </row>
    <row r="1914" spans="1:9" x14ac:dyDescent="0.25">
      <c r="A1914" s="164"/>
      <c r="B1914" s="183"/>
      <c r="C1914" s="129"/>
      <c r="D1914" s="1754"/>
      <c r="E1914" s="1296"/>
      <c r="F1914" s="94"/>
      <c r="G1914" s="585" t="str">
        <f>G1913</f>
        <v/>
      </c>
    </row>
    <row r="1915" spans="1:9" x14ac:dyDescent="0.25">
      <c r="A1915" s="164"/>
      <c r="B1915" s="206"/>
      <c r="C1915" s="210"/>
      <c r="D1915" s="1755"/>
      <c r="E1915" s="1297"/>
      <c r="F1915" s="94"/>
      <c r="G1915" s="585" t="str">
        <f>G1914</f>
        <v/>
      </c>
    </row>
    <row r="1916" spans="1:9" ht="15" customHeight="1" x14ac:dyDescent="0.25">
      <c r="A1916" s="164"/>
      <c r="B1916" s="183" t="s">
        <v>269</v>
      </c>
      <c r="C1916" s="129"/>
      <c r="D1916" s="1793" t="s">
        <v>3170</v>
      </c>
      <c r="E1916" s="1296">
        <f>'Verification Report'!O1917</f>
        <v>0</v>
      </c>
      <c r="F1916" s="1313" t="str">
        <f>IF(LEN('Verification Report'!W1919)=0,"",'Verification Report'!W1919)</f>
        <v/>
      </c>
      <c r="G1916" s="585" t="str">
        <f>IF(E1916&gt;0,"P","")</f>
        <v/>
      </c>
    </row>
    <row r="1917" spans="1:9" x14ac:dyDescent="0.25">
      <c r="A1917" s="164"/>
      <c r="B1917" s="206"/>
      <c r="C1917" s="210"/>
      <c r="D1917" s="1761"/>
      <c r="E1917" s="1297"/>
      <c r="F1917" s="94"/>
      <c r="G1917" s="585" t="str">
        <f>G1916</f>
        <v/>
      </c>
    </row>
    <row r="1918" spans="1:9" ht="15" customHeight="1" x14ac:dyDescent="0.25">
      <c r="A1918" s="480"/>
      <c r="B1918" s="183" t="s">
        <v>275</v>
      </c>
      <c r="C1918" s="129"/>
      <c r="D1918" s="1754" t="s">
        <v>3171</v>
      </c>
      <c r="E1918" s="1296">
        <f>'Verification Report'!O1919</f>
        <v>0</v>
      </c>
      <c r="F1918" s="1313" t="str">
        <f>IF(LEN('Verification Report'!W1921)=0,"",'Verification Report'!W1921)</f>
        <v/>
      </c>
      <c r="G1918" s="585" t="str">
        <f>IF(E1918&gt;0,"P","")</f>
        <v/>
      </c>
    </row>
    <row r="1919" spans="1:9" x14ac:dyDescent="0.25">
      <c r="A1919" s="524"/>
      <c r="B1919" s="206"/>
      <c r="C1919" s="210"/>
      <c r="D1919" s="1755"/>
      <c r="E1919" s="1297"/>
      <c r="F1919" s="94"/>
      <c r="G1919" s="585" t="str">
        <f>G1918</f>
        <v/>
      </c>
    </row>
    <row r="1920" spans="1:9" ht="15.75" thickBot="1" x14ac:dyDescent="0.3">
      <c r="A1920" s="189" t="s">
        <v>3172</v>
      </c>
      <c r="B1920" s="240"/>
      <c r="C1920" s="240"/>
      <c r="D1920" s="525" t="s">
        <v>3173</v>
      </c>
      <c r="E1920" s="1294">
        <f>'Verification Report'!O1921</f>
        <v>0</v>
      </c>
      <c r="F1920" s="1313" t="str">
        <f>IF(LEN('Verification Report'!W1923)=0,"",'Verification Report'!W1923)</f>
        <v/>
      </c>
      <c r="G1920" s="585" t="str">
        <f>IF(E1920&gt;0,"P","")</f>
        <v/>
      </c>
      <c r="H1920" s="1330" t="s">
        <v>5101</v>
      </c>
      <c r="I1920" s="1527"/>
    </row>
    <row r="1921" spans="1:9" ht="15.75" thickTop="1" x14ac:dyDescent="0.25">
      <c r="A1921" s="64">
        <v>901.3</v>
      </c>
      <c r="B1921" s="4"/>
      <c r="C1921" s="4"/>
      <c r="D1921" s="1563" t="s">
        <v>3174</v>
      </c>
      <c r="E1921" s="1295"/>
      <c r="F1921" s="94"/>
      <c r="G1921" s="2363" t="str">
        <f ca="1">IF(COUNTIF(G1922,"P")&gt;0,"P","")</f>
        <v/>
      </c>
      <c r="H1921" s="1330" t="s">
        <v>5102</v>
      </c>
      <c r="I1921" s="1527"/>
    </row>
    <row r="1922" spans="1:9" x14ac:dyDescent="0.25">
      <c r="A1922" s="164"/>
      <c r="B1922" s="27" t="s">
        <v>256</v>
      </c>
      <c r="C1922" s="4"/>
      <c r="D1922" s="1554" t="s">
        <v>3175</v>
      </c>
      <c r="E1922" s="1295"/>
      <c r="F1922" s="94"/>
      <c r="G1922" s="2363" t="str">
        <f ca="1">IF(COUNTIF(G1923:H1933,"P")&gt;0,"P","")</f>
        <v/>
      </c>
    </row>
    <row r="1923" spans="1:9" ht="15" customHeight="1" x14ac:dyDescent="0.25">
      <c r="A1923" s="164"/>
      <c r="B1923" s="4"/>
      <c r="C1923" s="183" t="s">
        <v>121</v>
      </c>
      <c r="D1923" s="1754" t="s">
        <v>3176</v>
      </c>
      <c r="E1923" s="1296">
        <f>'Verification Report'!O1924</f>
        <v>0</v>
      </c>
      <c r="F1923" s="1313" t="str">
        <f>IF(LEN('Verification Report'!W1926)=0,"",'Verification Report'!W1926)</f>
        <v/>
      </c>
      <c r="G1923" s="585" t="str">
        <f>IF(E1923&gt;0,"P","")</f>
        <v/>
      </c>
    </row>
    <row r="1924" spans="1:9" x14ac:dyDescent="0.25">
      <c r="A1924" s="164"/>
      <c r="B1924" s="4"/>
      <c r="C1924" s="206"/>
      <c r="D1924" s="1755"/>
      <c r="E1924" s="1297"/>
      <c r="F1924" s="94"/>
      <c r="G1924" s="585" t="str">
        <f>G1923</f>
        <v/>
      </c>
    </row>
    <row r="1925" spans="1:9" ht="15" customHeight="1" x14ac:dyDescent="0.25">
      <c r="A1925" s="164"/>
      <c r="B1925" s="4"/>
      <c r="C1925" s="183" t="s">
        <v>122</v>
      </c>
      <c r="D1925" s="1754" t="s">
        <v>3177</v>
      </c>
      <c r="E1925" s="1296">
        <f>'Verification Report'!O1926</f>
        <v>0</v>
      </c>
      <c r="F1925" s="1313" t="str">
        <f>IF(LEN('Verification Report'!W1928)=0,"",'Verification Report'!W1928)</f>
        <v/>
      </c>
      <c r="G1925" s="585" t="str">
        <f>IF(E1925&gt;0,"P","")</f>
        <v/>
      </c>
    </row>
    <row r="1926" spans="1:9" x14ac:dyDescent="0.25">
      <c r="A1926" s="164"/>
      <c r="B1926" s="4"/>
      <c r="C1926" s="210"/>
      <c r="D1926" s="1755"/>
      <c r="E1926" s="1297"/>
      <c r="F1926" s="94"/>
      <c r="G1926" s="585" t="str">
        <f>G1925</f>
        <v/>
      </c>
    </row>
    <row r="1927" spans="1:9" ht="15" customHeight="1" x14ac:dyDescent="0.25">
      <c r="A1927" s="164"/>
      <c r="B1927" s="129"/>
      <c r="C1927" s="183" t="s">
        <v>123</v>
      </c>
      <c r="D1927" s="1754" t="s">
        <v>5591</v>
      </c>
      <c r="E1927" s="1296">
        <f ca="1">'Verification Report'!O1928</f>
        <v>0</v>
      </c>
      <c r="F1927" s="1313" t="str">
        <f>IF(LEN('Verification Report'!W1930)=0,"",'Verification Report'!W1930)</f>
        <v/>
      </c>
      <c r="G1927" s="585" t="str">
        <f ca="1">IF(E1927&gt;0,"P","")</f>
        <v/>
      </c>
    </row>
    <row r="1928" spans="1:9" x14ac:dyDescent="0.25">
      <c r="A1928" s="164"/>
      <c r="B1928" s="129"/>
      <c r="C1928" s="129"/>
      <c r="D1928" s="1754"/>
      <c r="E1928" s="1296"/>
      <c r="F1928" s="94"/>
      <c r="G1928" s="585" t="str">
        <f ca="1">G1927</f>
        <v/>
      </c>
    </row>
    <row r="1929" spans="1:9" x14ac:dyDescent="0.25">
      <c r="A1929" s="164"/>
      <c r="B1929" s="129"/>
      <c r="C1929" s="129"/>
      <c r="D1929" s="1754"/>
      <c r="E1929" s="1296"/>
      <c r="F1929" s="94"/>
      <c r="G1929" s="585" t="str">
        <f ca="1">G1928</f>
        <v/>
      </c>
    </row>
    <row r="1930" spans="1:9" x14ac:dyDescent="0.25">
      <c r="A1930" s="164"/>
      <c r="B1930" s="129"/>
      <c r="C1930" s="129"/>
      <c r="D1930" s="1754"/>
      <c r="E1930" s="1296"/>
      <c r="F1930" s="94"/>
      <c r="G1930" s="585" t="str">
        <f ca="1">G1929</f>
        <v/>
      </c>
    </row>
    <row r="1931" spans="1:9" x14ac:dyDescent="0.25">
      <c r="A1931" s="164"/>
      <c r="B1931" s="129"/>
      <c r="C1931" s="129"/>
      <c r="D1931" s="1754"/>
      <c r="E1931" s="1296"/>
      <c r="F1931" s="94"/>
      <c r="G1931" s="585" t="str">
        <f ca="1">G1930</f>
        <v/>
      </c>
    </row>
    <row r="1932" spans="1:9" x14ac:dyDescent="0.25">
      <c r="A1932" s="164"/>
      <c r="B1932" s="210"/>
      <c r="C1932" s="210"/>
      <c r="D1932" s="1755"/>
      <c r="E1932" s="1297"/>
      <c r="F1932" s="94"/>
      <c r="G1932" s="585" t="str">
        <f ca="1">G1931</f>
        <v/>
      </c>
    </row>
    <row r="1933" spans="1:9" ht="15" customHeight="1" thickBot="1" x14ac:dyDescent="0.3">
      <c r="A1933" s="481"/>
      <c r="B1933" s="190" t="s">
        <v>258</v>
      </c>
      <c r="C1933" s="240"/>
      <c r="D1933" s="1555" t="s">
        <v>3178</v>
      </c>
      <c r="E1933" s="1294">
        <f>'Verification Report'!O1934</f>
        <v>0</v>
      </c>
      <c r="F1933" s="1313" t="str">
        <f>IF(LEN('Verification Report'!W1936)=0,"",'Verification Report'!W1936)</f>
        <v/>
      </c>
      <c r="G1933" s="585" t="str">
        <f>IF(E1933&gt;0,"P","")</f>
        <v/>
      </c>
      <c r="H1933" s="1330" t="s">
        <v>5102</v>
      </c>
      <c r="I1933" s="1527"/>
    </row>
    <row r="1934" spans="1:9" ht="15.75" hidden="1" customHeight="1" thickTop="1" x14ac:dyDescent="0.25">
      <c r="A1934" s="64">
        <v>901.4</v>
      </c>
      <c r="B1934" s="4"/>
      <c r="C1934" s="4"/>
      <c r="D1934" s="1779" t="s">
        <v>3179</v>
      </c>
      <c r="E1934" s="1298">
        <f ca="1">'Verification Report'!O1935</f>
        <v>0</v>
      </c>
      <c r="F1934" s="94"/>
      <c r="G1934" s="1260" t="s">
        <v>247</v>
      </c>
    </row>
    <row r="1935" spans="1:9" ht="16.5" hidden="1" thickTop="1" thickBot="1" x14ac:dyDescent="0.3">
      <c r="A1935" s="164"/>
      <c r="B1935" s="4"/>
      <c r="C1935" s="4"/>
      <c r="D1935" s="1779"/>
      <c r="E1935" s="1295"/>
      <c r="F1935" s="94"/>
      <c r="G1935" s="1260" t="s">
        <v>247</v>
      </c>
    </row>
    <row r="1936" spans="1:9" ht="16.5" hidden="1" thickTop="1" thickBot="1" x14ac:dyDescent="0.3">
      <c r="A1936" s="164"/>
      <c r="B1936" s="4"/>
      <c r="C1936" s="4"/>
      <c r="D1936" s="1779"/>
      <c r="E1936" s="1295"/>
      <c r="F1936" s="94"/>
      <c r="G1936" s="1260" t="s">
        <v>247</v>
      </c>
    </row>
    <row r="1937" spans="1:7" ht="15" hidden="1" customHeight="1" x14ac:dyDescent="0.25">
      <c r="A1937" s="164"/>
      <c r="B1937" s="183" t="s">
        <v>256</v>
      </c>
      <c r="C1937" s="129"/>
      <c r="D1937" s="1754" t="s">
        <v>3180</v>
      </c>
      <c r="E1937" s="664"/>
      <c r="F1937" s="1313" t="str">
        <f>IF(LEN('Verification Report'!W1940)=0,"",'Verification Report'!W1940)</f>
        <v/>
      </c>
      <c r="G1937" s="1260" t="s">
        <v>247</v>
      </c>
    </row>
    <row r="1938" spans="1:7" ht="16.5" hidden="1" thickTop="1" thickBot="1" x14ac:dyDescent="0.3">
      <c r="A1938" s="164"/>
      <c r="B1938" s="129"/>
      <c r="C1938" s="129"/>
      <c r="D1938" s="1754"/>
      <c r="E1938" s="1295"/>
      <c r="F1938" s="94"/>
      <c r="G1938" s="1260" t="s">
        <v>247</v>
      </c>
    </row>
    <row r="1939" spans="1:7" ht="16.5" hidden="1" thickTop="1" thickBot="1" x14ac:dyDescent="0.3">
      <c r="A1939" s="164"/>
      <c r="B1939" s="129"/>
      <c r="C1939" s="129"/>
      <c r="D1939" s="1754"/>
      <c r="E1939" s="1295"/>
      <c r="F1939" s="94"/>
      <c r="G1939" s="1260" t="s">
        <v>247</v>
      </c>
    </row>
    <row r="1940" spans="1:7" ht="16.5" hidden="1" thickTop="1" thickBot="1" x14ac:dyDescent="0.3">
      <c r="A1940" s="164"/>
      <c r="B1940" s="129"/>
      <c r="C1940" s="129"/>
      <c r="D1940" s="1754"/>
      <c r="E1940" s="1295"/>
      <c r="F1940" s="94"/>
      <c r="G1940" s="1260" t="s">
        <v>247</v>
      </c>
    </row>
    <row r="1941" spans="1:7" ht="16.5" hidden="1" thickTop="1" thickBot="1" x14ac:dyDescent="0.3">
      <c r="A1941" s="164"/>
      <c r="B1941" s="210"/>
      <c r="C1941" s="210"/>
      <c r="D1941" s="1561" t="s">
        <v>3967</v>
      </c>
      <c r="E1941" s="1295"/>
      <c r="F1941" s="94"/>
      <c r="G1941" s="1260" t="s">
        <v>247</v>
      </c>
    </row>
    <row r="1942" spans="1:7" ht="16.5" hidden="1" thickTop="1" thickBot="1" x14ac:dyDescent="0.3">
      <c r="A1942" s="480"/>
      <c r="B1942" s="129"/>
      <c r="C1942" s="129"/>
      <c r="D1942" s="1546" t="s">
        <v>3646</v>
      </c>
      <c r="E1942" s="1296"/>
      <c r="F1942" s="1313" t="str">
        <f>IF(LEN('Verification Report'!W1945)=0,"",'Verification Report'!W1945)</f>
        <v/>
      </c>
      <c r="G1942" s="1260" t="s">
        <v>247</v>
      </c>
    </row>
    <row r="1943" spans="1:7" ht="16.5" hidden="1" thickTop="1" thickBot="1" x14ac:dyDescent="0.3">
      <c r="A1943" s="480"/>
      <c r="B1943" s="129"/>
      <c r="C1943" s="129"/>
      <c r="D1943" s="1546" t="s">
        <v>3647</v>
      </c>
      <c r="E1943" s="1296"/>
      <c r="F1943" s="1313" t="str">
        <f>IF(LEN('Verification Report'!W1946)=0,"",'Verification Report'!W1946)</f>
        <v/>
      </c>
      <c r="G1943" s="1260" t="s">
        <v>247</v>
      </c>
    </row>
    <row r="1944" spans="1:7" ht="16.5" hidden="1" thickTop="1" thickBot="1" x14ac:dyDescent="0.3">
      <c r="A1944" s="480"/>
      <c r="B1944" s="129"/>
      <c r="C1944" s="129"/>
      <c r="D1944" s="1546" t="s">
        <v>3648</v>
      </c>
      <c r="E1944" s="1296"/>
      <c r="F1944" s="1313" t="str">
        <f>IF(LEN('Verification Report'!W1947)=0,"",'Verification Report'!W1947)</f>
        <v/>
      </c>
      <c r="G1944" s="1260" t="s">
        <v>247</v>
      </c>
    </row>
    <row r="1945" spans="1:7" ht="16.5" hidden="1" thickTop="1" thickBot="1" x14ac:dyDescent="0.3">
      <c r="A1945" s="480"/>
      <c r="B1945" s="129"/>
      <c r="C1945" s="129"/>
      <c r="D1945" s="1546" t="s">
        <v>3649</v>
      </c>
      <c r="E1945" s="1296"/>
      <c r="F1945" s="1313" t="str">
        <f>IF(LEN('Verification Report'!W1948)=0,"",'Verification Report'!W1948)</f>
        <v/>
      </c>
      <c r="G1945" s="1260" t="s">
        <v>247</v>
      </c>
    </row>
    <row r="1946" spans="1:7" ht="15" hidden="1" customHeight="1" x14ac:dyDescent="0.25">
      <c r="A1946" s="480"/>
      <c r="B1946" s="183" t="s">
        <v>258</v>
      </c>
      <c r="C1946" s="129"/>
      <c r="D1946" s="1754" t="s">
        <v>3181</v>
      </c>
      <c r="E1946" s="1296"/>
      <c r="F1946" s="94"/>
      <c r="G1946" s="1260" t="s">
        <v>247</v>
      </c>
    </row>
    <row r="1947" spans="1:7" ht="16.5" hidden="1" thickTop="1" thickBot="1" x14ac:dyDescent="0.3">
      <c r="A1947" s="480"/>
      <c r="B1947" s="210"/>
      <c r="C1947" s="210"/>
      <c r="D1947" s="1755"/>
      <c r="E1947" s="1296"/>
      <c r="F1947" s="94"/>
      <c r="G1947" s="1260" t="s">
        <v>247</v>
      </c>
    </row>
    <row r="1948" spans="1:7" ht="16.5" hidden="1" thickTop="1" thickBot="1" x14ac:dyDescent="0.3">
      <c r="A1948" s="480"/>
      <c r="B1948" s="206" t="s">
        <v>260</v>
      </c>
      <c r="C1948" s="210"/>
      <c r="D1948" s="1536" t="s">
        <v>3182</v>
      </c>
      <c r="E1948" s="1296"/>
      <c r="F1948" s="94"/>
      <c r="G1948" s="1260" t="s">
        <v>247</v>
      </c>
    </row>
    <row r="1949" spans="1:7" ht="16.5" hidden="1" thickTop="1" thickBot="1" x14ac:dyDescent="0.3">
      <c r="A1949" s="480"/>
      <c r="B1949" s="206" t="s">
        <v>269</v>
      </c>
      <c r="C1949" s="210"/>
      <c r="D1949" s="1536" t="s">
        <v>3183</v>
      </c>
      <c r="E1949" s="1296"/>
      <c r="F1949" s="94"/>
      <c r="G1949" s="1260" t="s">
        <v>247</v>
      </c>
    </row>
    <row r="1950" spans="1:7" ht="15" hidden="1" customHeight="1" x14ac:dyDescent="0.25">
      <c r="A1950" s="480"/>
      <c r="B1950" s="183" t="s">
        <v>275</v>
      </c>
      <c r="C1950" s="129"/>
      <c r="D1950" s="1754" t="s">
        <v>3184</v>
      </c>
      <c r="E1950" s="1296"/>
      <c r="F1950" s="94"/>
      <c r="G1950" s="1260" t="s">
        <v>247</v>
      </c>
    </row>
    <row r="1951" spans="1:7" ht="16.5" hidden="1" thickTop="1" thickBot="1" x14ac:dyDescent="0.3">
      <c r="A1951" s="480"/>
      <c r="B1951" s="206"/>
      <c r="C1951" s="210"/>
      <c r="D1951" s="1755"/>
      <c r="E1951" s="1296"/>
      <c r="F1951" s="94"/>
      <c r="G1951" s="1260" t="s">
        <v>247</v>
      </c>
    </row>
    <row r="1952" spans="1:7" ht="16.5" hidden="1" thickTop="1" thickBot="1" x14ac:dyDescent="0.3">
      <c r="A1952" s="481"/>
      <c r="B1952" s="190" t="s">
        <v>277</v>
      </c>
      <c r="C1952" s="240"/>
      <c r="D1952" s="1555" t="s">
        <v>3185</v>
      </c>
      <c r="E1952" s="1294"/>
      <c r="F1952" s="94"/>
      <c r="G1952" s="1260" t="s">
        <v>247</v>
      </c>
    </row>
    <row r="1953" spans="1:7" ht="15.75" hidden="1" customHeight="1" thickTop="1" x14ac:dyDescent="0.25">
      <c r="A1953" s="64">
        <v>901.5</v>
      </c>
      <c r="B1953" s="4"/>
      <c r="C1953" s="4"/>
      <c r="D1953" s="1796" t="s">
        <v>3186</v>
      </c>
      <c r="E1953" s="1295"/>
      <c r="F1953" s="94"/>
      <c r="G1953" s="1260" t="s">
        <v>247</v>
      </c>
    </row>
    <row r="1954" spans="1:7" ht="16.5" hidden="1" thickTop="1" thickBot="1" x14ac:dyDescent="0.3">
      <c r="A1954" s="164"/>
      <c r="B1954" s="4"/>
      <c r="C1954" s="4"/>
      <c r="D1954" s="1796"/>
      <c r="E1954" s="1295"/>
      <c r="F1954" s="94"/>
      <c r="G1954" s="1260" t="s">
        <v>247</v>
      </c>
    </row>
    <row r="1955" spans="1:7" ht="16.5" hidden="1" thickTop="1" thickBot="1" x14ac:dyDescent="0.3">
      <c r="A1955" s="164"/>
      <c r="B1955" s="4"/>
      <c r="C1955" s="4"/>
      <c r="D1955" s="1557" t="s">
        <v>3187</v>
      </c>
      <c r="E1955" s="1295"/>
      <c r="F1955" s="94"/>
      <c r="G1955" s="1260" t="s">
        <v>247</v>
      </c>
    </row>
    <row r="1956" spans="1:7" ht="15" hidden="1" customHeight="1" x14ac:dyDescent="0.25">
      <c r="A1956" s="164"/>
      <c r="B1956" s="183" t="s">
        <v>256</v>
      </c>
      <c r="C1956" s="129"/>
      <c r="D1956" s="1754" t="s">
        <v>3188</v>
      </c>
      <c r="E1956" s="1296">
        <f>'Verification Report'!O1957</f>
        <v>0</v>
      </c>
      <c r="F1956" s="1313" t="str">
        <f>IF(LEN('Verification Report'!W1959)=0,"",'Verification Report'!W1959)</f>
        <v/>
      </c>
      <c r="G1956" s="1260" t="s">
        <v>247</v>
      </c>
    </row>
    <row r="1957" spans="1:7" ht="16.5" hidden="1" thickTop="1" thickBot="1" x14ac:dyDescent="0.3">
      <c r="A1957" s="164"/>
      <c r="B1957" s="210"/>
      <c r="C1957" s="210"/>
      <c r="D1957" s="1755"/>
      <c r="E1957" s="1297"/>
      <c r="F1957" s="94"/>
      <c r="G1957" s="1260" t="s">
        <v>247</v>
      </c>
    </row>
    <row r="1958" spans="1:7" ht="15" hidden="1" customHeight="1" x14ac:dyDescent="0.25">
      <c r="A1958" s="480"/>
      <c r="B1958" s="183" t="s">
        <v>258</v>
      </c>
      <c r="C1958" s="129"/>
      <c r="D1958" s="1754" t="s">
        <v>5592</v>
      </c>
      <c r="E1958" s="1296">
        <f>'Verification Report'!O1959</f>
        <v>0</v>
      </c>
      <c r="F1958" s="1313" t="str">
        <f>IF(LEN('Verification Report'!W1961)=0,"",'Verification Report'!W1961)</f>
        <v/>
      </c>
      <c r="G1958" s="1260" t="s">
        <v>247</v>
      </c>
    </row>
    <row r="1959" spans="1:7" ht="16.5" hidden="1" thickTop="1" thickBot="1" x14ac:dyDescent="0.3">
      <c r="A1959" s="480"/>
      <c r="B1959" s="129"/>
      <c r="C1959" s="129"/>
      <c r="D1959" s="1754"/>
      <c r="E1959" s="1296"/>
      <c r="F1959" s="94"/>
      <c r="G1959" s="1260" t="s">
        <v>247</v>
      </c>
    </row>
    <row r="1960" spans="1:7" ht="16.5" hidden="1" thickTop="1" thickBot="1" x14ac:dyDescent="0.3">
      <c r="A1960" s="481"/>
      <c r="B1960" s="240"/>
      <c r="C1960" s="240"/>
      <c r="D1960" s="1783"/>
      <c r="E1960" s="1294"/>
      <c r="F1960" s="94"/>
      <c r="G1960" s="1260" t="s">
        <v>247</v>
      </c>
    </row>
    <row r="1961" spans="1:7" ht="15.75" hidden="1" customHeight="1" thickTop="1" x14ac:dyDescent="0.25">
      <c r="A1961" s="180">
        <v>901.6</v>
      </c>
      <c r="B1961" s="181"/>
      <c r="C1961" s="181"/>
      <c r="D1961" s="1781" t="s">
        <v>3190</v>
      </c>
      <c r="E1961" s="1298"/>
      <c r="F1961" s="1313" t="str">
        <f>IF(LEN('Verification Report'!W1964)=0,"",'Verification Report'!W1964)</f>
        <v/>
      </c>
      <c r="G1961" s="1260" t="s">
        <v>247</v>
      </c>
    </row>
    <row r="1962" spans="1:7" ht="16.5" hidden="1" thickTop="1" thickBot="1" x14ac:dyDescent="0.3">
      <c r="A1962" s="481"/>
      <c r="B1962" s="240"/>
      <c r="C1962" s="240"/>
      <c r="D1962" s="1797"/>
      <c r="E1962" s="1294"/>
      <c r="F1962" s="94"/>
      <c r="G1962" s="1260" t="s">
        <v>247</v>
      </c>
    </row>
    <row r="1963" spans="1:7" ht="15.75" hidden="1" customHeight="1" thickTop="1" x14ac:dyDescent="0.25">
      <c r="A1963" s="64">
        <v>901.7</v>
      </c>
      <c r="B1963" s="4"/>
      <c r="C1963" s="4"/>
      <c r="D1963" s="1796" t="s">
        <v>5593</v>
      </c>
      <c r="E1963" s="1295">
        <f>'Verification Report'!O1964</f>
        <v>0</v>
      </c>
      <c r="F1963" s="94"/>
      <c r="G1963" s="1260" t="s">
        <v>247</v>
      </c>
    </row>
    <row r="1964" spans="1:7" ht="16.5" hidden="1" thickTop="1" thickBot="1" x14ac:dyDescent="0.3">
      <c r="A1964" s="164"/>
      <c r="B1964" s="4"/>
      <c r="C1964" s="4"/>
      <c r="D1964" s="1796"/>
      <c r="E1964" s="1295"/>
      <c r="F1964" s="94"/>
      <c r="G1964" s="1260" t="s">
        <v>247</v>
      </c>
    </row>
    <row r="1965" spans="1:7" ht="16.5" hidden="1" thickTop="1" thickBot="1" x14ac:dyDescent="0.3">
      <c r="A1965" s="164"/>
      <c r="B1965" s="4"/>
      <c r="C1965" s="4"/>
      <c r="D1965" s="1796"/>
      <c r="E1965" s="1295"/>
      <c r="F1965" s="94"/>
      <c r="G1965" s="1260" t="s">
        <v>247</v>
      </c>
    </row>
    <row r="1966" spans="1:7" ht="16.5" hidden="1" thickTop="1" thickBot="1" x14ac:dyDescent="0.3">
      <c r="A1966" s="164"/>
      <c r="B1966" s="4"/>
      <c r="C1966" s="4"/>
      <c r="D1966" s="1796"/>
      <c r="E1966" s="1295"/>
      <c r="F1966" s="94"/>
      <c r="G1966" s="1260" t="s">
        <v>247</v>
      </c>
    </row>
    <row r="1967" spans="1:7" ht="16.5" hidden="1" thickTop="1" thickBot="1" x14ac:dyDescent="0.3">
      <c r="A1967" s="164"/>
      <c r="B1967" s="4"/>
      <c r="C1967" s="4"/>
      <c r="D1967" s="1796"/>
      <c r="E1967" s="1295"/>
      <c r="F1967" s="94"/>
      <c r="G1967" s="1260" t="s">
        <v>247</v>
      </c>
    </row>
    <row r="1968" spans="1:7" ht="15" hidden="1" customHeight="1" x14ac:dyDescent="0.25">
      <c r="A1968" s="164"/>
      <c r="B1968" s="4"/>
      <c r="C1968" s="4"/>
      <c r="D1968" s="1851" t="s">
        <v>3192</v>
      </c>
      <c r="E1968" s="1295"/>
      <c r="F1968" s="94"/>
      <c r="G1968" s="1260" t="s">
        <v>247</v>
      </c>
    </row>
    <row r="1969" spans="1:7" ht="16.5" hidden="1" thickTop="1" thickBot="1" x14ac:dyDescent="0.3">
      <c r="A1969" s="164"/>
      <c r="B1969" s="4"/>
      <c r="C1969" s="4"/>
      <c r="D1969" s="1851"/>
      <c r="E1969" s="1295"/>
      <c r="F1969" s="94"/>
      <c r="G1969" s="1260" t="s">
        <v>247</v>
      </c>
    </row>
    <row r="1970" spans="1:7" ht="15" hidden="1" customHeight="1" x14ac:dyDescent="0.25">
      <c r="A1970" s="164"/>
      <c r="B1970" s="27" t="s">
        <v>256</v>
      </c>
      <c r="C1970" s="4"/>
      <c r="D1970" s="1779" t="s">
        <v>3193</v>
      </c>
      <c r="E1970" s="1295"/>
      <c r="F1970" s="1313" t="str">
        <f>IF(LEN('Verification Report'!W1973)=0,"",'Verification Report'!W1973)</f>
        <v/>
      </c>
      <c r="G1970" s="1260" t="s">
        <v>247</v>
      </c>
    </row>
    <row r="1971" spans="1:7" ht="16.5" hidden="1" thickTop="1" thickBot="1" x14ac:dyDescent="0.3">
      <c r="A1971" s="164"/>
      <c r="B1971" s="4"/>
      <c r="C1971" s="4"/>
      <c r="D1971" s="1779"/>
      <c r="E1971" s="1295"/>
      <c r="F1971" s="94"/>
      <c r="G1971" s="1260" t="s">
        <v>247</v>
      </c>
    </row>
    <row r="1972" spans="1:7" ht="16.5" hidden="1" thickTop="1" thickBot="1" x14ac:dyDescent="0.3">
      <c r="A1972" s="164"/>
      <c r="B1972" s="4"/>
      <c r="C1972" s="4"/>
      <c r="D1972" s="1779"/>
      <c r="E1972" s="1295"/>
      <c r="F1972" s="94"/>
      <c r="G1972" s="1260" t="s">
        <v>247</v>
      </c>
    </row>
    <row r="1973" spans="1:7" ht="16.5" hidden="1" thickTop="1" thickBot="1" x14ac:dyDescent="0.3">
      <c r="A1973" s="164"/>
      <c r="B1973" s="4"/>
      <c r="C1973" s="4"/>
      <c r="D1973" s="1779"/>
      <c r="E1973" s="1295"/>
      <c r="F1973" s="94"/>
      <c r="G1973" s="1260" t="s">
        <v>247</v>
      </c>
    </row>
    <row r="1974" spans="1:7" ht="16.5" hidden="1" thickTop="1" thickBot="1" x14ac:dyDescent="0.3">
      <c r="A1974" s="164"/>
      <c r="B1974" s="4"/>
      <c r="C1974" s="27" t="s">
        <v>121</v>
      </c>
      <c r="D1974" s="1554" t="s">
        <v>3194</v>
      </c>
      <c r="E1974" s="1295"/>
      <c r="F1974" s="94"/>
      <c r="G1974" s="1260" t="s">
        <v>247</v>
      </c>
    </row>
    <row r="1975" spans="1:7" ht="16.5" hidden="1" thickTop="1" thickBot="1" x14ac:dyDescent="0.3">
      <c r="A1975" s="164"/>
      <c r="B1975" s="4"/>
      <c r="C1975" s="27" t="s">
        <v>122</v>
      </c>
      <c r="D1975" s="1554" t="s">
        <v>3195</v>
      </c>
      <c r="E1975" s="1295"/>
      <c r="F1975" s="94"/>
      <c r="G1975" s="1260" t="s">
        <v>247</v>
      </c>
    </row>
    <row r="1976" spans="1:7" ht="16.5" hidden="1" thickTop="1" thickBot="1" x14ac:dyDescent="0.3">
      <c r="A1976" s="164"/>
      <c r="B1976" s="4"/>
      <c r="C1976" s="27" t="s">
        <v>123</v>
      </c>
      <c r="D1976" s="1554" t="s">
        <v>3196</v>
      </c>
      <c r="E1976" s="1295"/>
      <c r="F1976" s="94"/>
      <c r="G1976" s="1260" t="s">
        <v>247</v>
      </c>
    </row>
    <row r="1977" spans="1:7" ht="16.5" hidden="1" thickTop="1" thickBot="1" x14ac:dyDescent="0.3">
      <c r="A1977" s="164"/>
      <c r="B1977" s="4"/>
      <c r="C1977" s="27" t="s">
        <v>401</v>
      </c>
      <c r="D1977" s="1554" t="s">
        <v>3197</v>
      </c>
      <c r="E1977" s="1295"/>
      <c r="F1977" s="94"/>
      <c r="G1977" s="1260" t="s">
        <v>247</v>
      </c>
    </row>
    <row r="1978" spans="1:7" ht="16.5" hidden="1" thickTop="1" thickBot="1" x14ac:dyDescent="0.3">
      <c r="A1978" s="164"/>
      <c r="B1978" s="4"/>
      <c r="C1978" s="27" t="s">
        <v>539</v>
      </c>
      <c r="D1978" s="1554" t="s">
        <v>3198</v>
      </c>
      <c r="E1978" s="1295"/>
      <c r="F1978" s="94"/>
      <c r="G1978" s="1260" t="s">
        <v>247</v>
      </c>
    </row>
    <row r="1979" spans="1:7" ht="16.5" hidden="1" thickTop="1" thickBot="1" x14ac:dyDescent="0.3">
      <c r="A1979" s="164"/>
      <c r="B1979" s="210"/>
      <c r="C1979" s="206" t="s">
        <v>604</v>
      </c>
      <c r="D1979" s="1536" t="s">
        <v>3199</v>
      </c>
      <c r="E1979" s="1295"/>
      <c r="F1979" s="94"/>
      <c r="G1979" s="1260" t="s">
        <v>247</v>
      </c>
    </row>
    <row r="1980" spans="1:7" ht="16.5" hidden="1" thickTop="1" thickBot="1" x14ac:dyDescent="0.3">
      <c r="A1980" s="480"/>
      <c r="B1980" s="206" t="s">
        <v>258</v>
      </c>
      <c r="C1980" s="210"/>
      <c r="D1980" s="1536" t="s">
        <v>3837</v>
      </c>
      <c r="E1980" s="1296"/>
      <c r="F1980" s="1313" t="str">
        <f>IF(LEN('Verification Report'!W1983)=0,"",'Verification Report'!W1983)</f>
        <v/>
      </c>
      <c r="G1980" s="1260" t="s">
        <v>247</v>
      </c>
    </row>
    <row r="1981" spans="1:7" ht="16.5" hidden="1" thickTop="1" thickBot="1" x14ac:dyDescent="0.3">
      <c r="A1981" s="480"/>
      <c r="B1981" s="183" t="s">
        <v>260</v>
      </c>
      <c r="C1981" s="129"/>
      <c r="D1981" s="1546" t="s">
        <v>3650</v>
      </c>
      <c r="E1981" s="1296"/>
      <c r="F1981" s="1313" t="str">
        <f>IF(LEN('Verification Report'!W1984)=0,"",'Verification Report'!W1984)</f>
        <v/>
      </c>
      <c r="G1981" s="1260" t="s">
        <v>247</v>
      </c>
    </row>
    <row r="1982" spans="1:7" ht="15" hidden="1" customHeight="1" x14ac:dyDescent="0.25">
      <c r="A1982" s="480"/>
      <c r="B1982" s="129"/>
      <c r="C1982" s="129"/>
      <c r="D1982" s="1860" t="s">
        <v>3200</v>
      </c>
      <c r="E1982" s="1296"/>
      <c r="F1982" s="94"/>
      <c r="G1982" s="1260" t="s">
        <v>247</v>
      </c>
    </row>
    <row r="1983" spans="1:7" ht="16.5" hidden="1" thickTop="1" thickBot="1" x14ac:dyDescent="0.3">
      <c r="A1983" s="481"/>
      <c r="B1983" s="240"/>
      <c r="C1983" s="240"/>
      <c r="D1983" s="1943"/>
      <c r="E1983" s="1294"/>
      <c r="F1983" s="94"/>
      <c r="G1983" s="1260" t="s">
        <v>247</v>
      </c>
    </row>
    <row r="1984" spans="1:7" ht="15.75" hidden="1" customHeight="1" thickTop="1" x14ac:dyDescent="0.25">
      <c r="A1984" s="180">
        <v>901.8</v>
      </c>
      <c r="B1984" s="181"/>
      <c r="C1984" s="181"/>
      <c r="D1984" s="1781" t="s">
        <v>5594</v>
      </c>
      <c r="E1984" s="1298">
        <f>'Verification Report'!O1985</f>
        <v>0</v>
      </c>
      <c r="F1984" s="1313" t="str">
        <f>IF(LEN('Verification Report'!W1987)=0,"",'Verification Report'!W1987)</f>
        <v/>
      </c>
      <c r="G1984" s="1260" t="s">
        <v>247</v>
      </c>
    </row>
    <row r="1985" spans="1:7" ht="16.5" hidden="1" thickTop="1" thickBot="1" x14ac:dyDescent="0.3">
      <c r="A1985" s="480"/>
      <c r="B1985" s="129"/>
      <c r="C1985" s="129"/>
      <c r="D1985" s="1782"/>
      <c r="E1985" s="1296"/>
      <c r="F1985" s="94"/>
      <c r="G1985" s="1260" t="s">
        <v>247</v>
      </c>
    </row>
    <row r="1986" spans="1:7" ht="16.5" hidden="1" thickTop="1" thickBot="1" x14ac:dyDescent="0.3">
      <c r="A1986" s="480"/>
      <c r="B1986" s="129"/>
      <c r="C1986" s="129"/>
      <c r="D1986" s="1782"/>
      <c r="E1986" s="1296"/>
      <c r="F1986" s="94"/>
      <c r="G1986" s="1260" t="s">
        <v>247</v>
      </c>
    </row>
    <row r="1987" spans="1:7" ht="16.5" hidden="1" thickTop="1" thickBot="1" x14ac:dyDescent="0.3">
      <c r="A1987" s="480"/>
      <c r="B1987" s="129"/>
      <c r="C1987" s="129"/>
      <c r="D1987" s="1782"/>
      <c r="E1987" s="1296"/>
      <c r="F1987" s="94"/>
      <c r="G1987" s="1260" t="s">
        <v>247</v>
      </c>
    </row>
    <row r="1988" spans="1:7" ht="16.5" hidden="1" thickTop="1" thickBot="1" x14ac:dyDescent="0.3">
      <c r="A1988" s="480"/>
      <c r="B1988" s="129"/>
      <c r="C1988" s="129"/>
      <c r="D1988" s="1782"/>
      <c r="E1988" s="1296"/>
      <c r="F1988" s="94"/>
      <c r="G1988" s="1260" t="s">
        <v>247</v>
      </c>
    </row>
    <row r="1989" spans="1:7" ht="16.5" hidden="1" thickTop="1" thickBot="1" x14ac:dyDescent="0.3">
      <c r="A1989" s="481"/>
      <c r="B1989" s="240"/>
      <c r="C1989" s="240"/>
      <c r="D1989" s="1797"/>
      <c r="E1989" s="1294"/>
      <c r="F1989" s="94"/>
      <c r="G1989" s="1260" t="s">
        <v>247</v>
      </c>
    </row>
    <row r="1990" spans="1:7" ht="15.75" hidden="1" customHeight="1" thickTop="1" x14ac:dyDescent="0.25">
      <c r="A1990" s="180">
        <v>901.9</v>
      </c>
      <c r="B1990" s="181"/>
      <c r="C1990" s="181"/>
      <c r="D1990" s="1781" t="s">
        <v>3202</v>
      </c>
      <c r="E1990" s="1298"/>
      <c r="F1990" s="94"/>
      <c r="G1990" s="1260" t="s">
        <v>247</v>
      </c>
    </row>
    <row r="1991" spans="1:7" ht="16.5" hidden="1" thickTop="1" thickBot="1" x14ac:dyDescent="0.3">
      <c r="A1991" s="480"/>
      <c r="B1991" s="129"/>
      <c r="C1991" s="129"/>
      <c r="D1991" s="1782"/>
      <c r="E1991" s="1296"/>
      <c r="F1991" s="94"/>
      <c r="G1991" s="1260" t="s">
        <v>247</v>
      </c>
    </row>
    <row r="1992" spans="1:7" ht="16.5" hidden="1" thickTop="1" thickBot="1" x14ac:dyDescent="0.3">
      <c r="A1992" s="480"/>
      <c r="B1992" s="129"/>
      <c r="C1992" s="129"/>
      <c r="D1992" s="1782"/>
      <c r="E1992" s="1296"/>
      <c r="F1992" s="94"/>
      <c r="G1992" s="1260" t="s">
        <v>247</v>
      </c>
    </row>
    <row r="1993" spans="1:7" ht="15" hidden="1" customHeight="1" x14ac:dyDescent="0.25">
      <c r="A1993" s="64" t="s">
        <v>3203</v>
      </c>
      <c r="B1993" s="4"/>
      <c r="C1993" s="4"/>
      <c r="D1993" s="1796" t="s">
        <v>3204</v>
      </c>
      <c r="E1993" s="1295">
        <f>'Verification Report'!O1994</f>
        <v>0</v>
      </c>
      <c r="F1993" s="94"/>
      <c r="G1993" s="1260" t="s">
        <v>247</v>
      </c>
    </row>
    <row r="1994" spans="1:7" ht="16.5" hidden="1" thickTop="1" thickBot="1" x14ac:dyDescent="0.3">
      <c r="A1994" s="164"/>
      <c r="B1994" s="4"/>
      <c r="C1994" s="4"/>
      <c r="D1994" s="1796"/>
      <c r="E1994" s="1295"/>
      <c r="F1994" s="94"/>
      <c r="G1994" s="1260" t="s">
        <v>247</v>
      </c>
    </row>
    <row r="1995" spans="1:7" ht="15" hidden="1" customHeight="1" x14ac:dyDescent="0.25">
      <c r="A1995" s="164"/>
      <c r="B1995" s="183" t="s">
        <v>256</v>
      </c>
      <c r="C1995" s="129"/>
      <c r="D1995" s="1754" t="s">
        <v>3205</v>
      </c>
      <c r="E1995" s="1295"/>
      <c r="F1995" s="1313" t="str">
        <f>IF(LEN('Verification Report'!W1998)=0,"",'Verification Report'!W1998)</f>
        <v/>
      </c>
      <c r="G1995" s="1260" t="s">
        <v>247</v>
      </c>
    </row>
    <row r="1996" spans="1:7" ht="16.5" hidden="1" thickTop="1" thickBot="1" x14ac:dyDescent="0.3">
      <c r="A1996" s="164"/>
      <c r="B1996" s="210"/>
      <c r="C1996" s="210"/>
      <c r="D1996" s="1755"/>
      <c r="E1996" s="1295"/>
      <c r="F1996" s="94"/>
      <c r="G1996" s="1260" t="s">
        <v>247</v>
      </c>
    </row>
    <row r="1997" spans="1:7" ht="16.5" hidden="1" thickTop="1" thickBot="1" x14ac:dyDescent="0.3">
      <c r="A1997" s="164"/>
      <c r="B1997" s="206" t="s">
        <v>258</v>
      </c>
      <c r="C1997" s="210"/>
      <c r="D1997" s="1536" t="s">
        <v>3206</v>
      </c>
      <c r="E1997" s="1295"/>
      <c r="F1997" s="1313" t="str">
        <f>IF(LEN('Verification Report'!W2000)=0,"",'Verification Report'!W2000)</f>
        <v/>
      </c>
      <c r="G1997" s="1260" t="s">
        <v>247</v>
      </c>
    </row>
    <row r="1998" spans="1:7" ht="16.5" hidden="1" thickTop="1" thickBot="1" x14ac:dyDescent="0.3">
      <c r="A1998" s="480"/>
      <c r="B1998" s="183" t="s">
        <v>260</v>
      </c>
      <c r="C1998" s="129"/>
      <c r="D1998" s="1546" t="s">
        <v>3207</v>
      </c>
      <c r="E1998" s="1296"/>
      <c r="F1998" s="1313" t="str">
        <f>IF(LEN('Verification Report'!W2001)=0,"",'Verification Report'!W2001)</f>
        <v/>
      </c>
      <c r="G1998" s="1260" t="s">
        <v>247</v>
      </c>
    </row>
    <row r="1999" spans="1:7" ht="16.5" hidden="1" thickTop="1" thickBot="1" x14ac:dyDescent="0.3">
      <c r="A1999" s="178"/>
      <c r="B1999" s="178"/>
      <c r="C1999" s="178"/>
      <c r="D1999" s="527" t="s">
        <v>3664</v>
      </c>
      <c r="E1999" s="1041"/>
      <c r="F1999" s="94"/>
      <c r="G1999" s="1260" t="s">
        <v>247</v>
      </c>
    </row>
    <row r="2000" spans="1:7" ht="15" hidden="1" customHeight="1" x14ac:dyDescent="0.25">
      <c r="A2000" s="192" t="s">
        <v>3208</v>
      </c>
      <c r="B2000" s="193"/>
      <c r="C2000" s="193"/>
      <c r="D2000" s="1864" t="s">
        <v>3209</v>
      </c>
      <c r="E2000" s="1293">
        <f>'Verification Report'!O2001</f>
        <v>0</v>
      </c>
      <c r="F2000" s="1313" t="str">
        <f>IF(LEN('Verification Report'!W2003)=0,"",'Verification Report'!W2003)</f>
        <v/>
      </c>
      <c r="G2000" s="1260" t="s">
        <v>247</v>
      </c>
    </row>
    <row r="2001" spans="1:7" ht="16.5" hidden="1" thickTop="1" thickBot="1" x14ac:dyDescent="0.3">
      <c r="A2001" s="480"/>
      <c r="B2001" s="129"/>
      <c r="C2001" s="129"/>
      <c r="D2001" s="1782"/>
      <c r="E2001" s="1296"/>
      <c r="F2001" s="94"/>
      <c r="G2001" s="1260" t="s">
        <v>247</v>
      </c>
    </row>
    <row r="2002" spans="1:7" ht="15" hidden="1" customHeight="1" x14ac:dyDescent="0.25">
      <c r="A2002" s="480"/>
      <c r="B2002" s="129"/>
      <c r="C2002" s="129"/>
      <c r="D2002" s="1942" t="s">
        <v>3210</v>
      </c>
      <c r="E2002" s="1296"/>
      <c r="F2002" s="94"/>
      <c r="G2002" s="1260" t="s">
        <v>247</v>
      </c>
    </row>
    <row r="2003" spans="1:7" ht="16.5" hidden="1" thickTop="1" thickBot="1" x14ac:dyDescent="0.3">
      <c r="A2003" s="480"/>
      <c r="B2003" s="129"/>
      <c r="C2003" s="129"/>
      <c r="D2003" s="1942"/>
      <c r="E2003" s="1296"/>
      <c r="F2003" s="94"/>
      <c r="G2003" s="1260" t="s">
        <v>247</v>
      </c>
    </row>
    <row r="2004" spans="1:7" ht="16.5" hidden="1" thickTop="1" thickBot="1" x14ac:dyDescent="0.3">
      <c r="A2004" s="524"/>
      <c r="B2004" s="210"/>
      <c r="C2004" s="210"/>
      <c r="D2004" s="527" t="s">
        <v>3759</v>
      </c>
      <c r="E2004" s="1297"/>
      <c r="F2004" s="94"/>
      <c r="G2004" s="1260" t="s">
        <v>247</v>
      </c>
    </row>
    <row r="2005" spans="1:7" ht="15" hidden="1" customHeight="1" x14ac:dyDescent="0.25">
      <c r="A2005" s="130" t="s">
        <v>3211</v>
      </c>
      <c r="B2005" s="129"/>
      <c r="C2005" s="129"/>
      <c r="D2005" s="1782" t="s">
        <v>5595</v>
      </c>
      <c r="E2005" s="1296">
        <f>'Verification Report'!O2006</f>
        <v>0</v>
      </c>
      <c r="F2005" s="1313" t="str">
        <f>IF(LEN('Verification Report'!W2008)=0,"",'Verification Report'!W2008)</f>
        <v/>
      </c>
      <c r="G2005" s="1260" t="s">
        <v>247</v>
      </c>
    </row>
    <row r="2006" spans="1:7" ht="16.5" hidden="1" thickTop="1" thickBot="1" x14ac:dyDescent="0.3">
      <c r="A2006" s="480"/>
      <c r="B2006" s="129"/>
      <c r="C2006" s="129"/>
      <c r="D2006" s="1782"/>
      <c r="E2006" s="1296"/>
      <c r="F2006" s="94"/>
      <c r="G2006" s="1260" t="s">
        <v>247</v>
      </c>
    </row>
    <row r="2007" spans="1:7" ht="16.5" hidden="1" thickTop="1" thickBot="1" x14ac:dyDescent="0.3">
      <c r="A2007" s="480"/>
      <c r="B2007" s="129"/>
      <c r="C2007" s="129"/>
      <c r="D2007" s="1782"/>
      <c r="E2007" s="1296"/>
      <c r="F2007" s="94"/>
      <c r="G2007" s="1260" t="s">
        <v>247</v>
      </c>
    </row>
    <row r="2008" spans="1:7" ht="16.5" hidden="1" thickTop="1" thickBot="1" x14ac:dyDescent="0.3">
      <c r="A2008" s="480"/>
      <c r="B2008" s="129"/>
      <c r="C2008" s="129"/>
      <c r="D2008" s="1782"/>
      <c r="E2008" s="1296"/>
      <c r="F2008" s="94"/>
      <c r="G2008" s="1260" t="s">
        <v>247</v>
      </c>
    </row>
    <row r="2009" spans="1:7" ht="16.5" hidden="1" thickTop="1" thickBot="1" x14ac:dyDescent="0.3">
      <c r="A2009" s="480"/>
      <c r="B2009" s="129"/>
      <c r="C2009" s="129"/>
      <c r="D2009" s="1782"/>
      <c r="E2009" s="1296"/>
      <c r="F2009" s="94"/>
      <c r="G2009" s="1260" t="s">
        <v>247</v>
      </c>
    </row>
    <row r="2010" spans="1:7" ht="16.5" hidden="1" thickTop="1" thickBot="1" x14ac:dyDescent="0.3">
      <c r="A2010" s="481"/>
      <c r="B2010" s="240"/>
      <c r="C2010" s="240"/>
      <c r="D2010" s="1797"/>
      <c r="E2010" s="1294"/>
      <c r="F2010" s="94"/>
      <c r="G2010" s="1260" t="s">
        <v>247</v>
      </c>
    </row>
    <row r="2011" spans="1:7" ht="15.75" hidden="1" customHeight="1" thickTop="1" x14ac:dyDescent="0.25">
      <c r="A2011" s="222">
        <v>901.1</v>
      </c>
      <c r="B2011" s="4"/>
      <c r="C2011" s="4"/>
      <c r="D2011" s="1796" t="s">
        <v>3213</v>
      </c>
      <c r="E2011" s="1295">
        <f>'Verification Report'!O2012</f>
        <v>0</v>
      </c>
      <c r="F2011" s="94"/>
      <c r="G2011" s="1260" t="s">
        <v>247</v>
      </c>
    </row>
    <row r="2012" spans="1:7" ht="16.5" hidden="1" thickTop="1" thickBot="1" x14ac:dyDescent="0.3">
      <c r="A2012" s="164"/>
      <c r="B2012" s="4"/>
      <c r="C2012" s="4"/>
      <c r="D2012" s="1796"/>
      <c r="E2012" s="1295"/>
      <c r="F2012" s="94"/>
      <c r="G2012" s="1260" t="s">
        <v>247</v>
      </c>
    </row>
    <row r="2013" spans="1:7" ht="16.5" hidden="1" thickTop="1" thickBot="1" x14ac:dyDescent="0.3">
      <c r="A2013" s="164"/>
      <c r="B2013" s="4"/>
      <c r="C2013" s="4"/>
      <c r="D2013" s="1796"/>
      <c r="E2013" s="1295"/>
      <c r="F2013" s="94"/>
      <c r="G2013" s="1260" t="s">
        <v>247</v>
      </c>
    </row>
    <row r="2014" spans="1:7" ht="15" hidden="1" customHeight="1" x14ac:dyDescent="0.25">
      <c r="A2014" s="164"/>
      <c r="B2014" s="183" t="s">
        <v>256</v>
      </c>
      <c r="C2014" s="129"/>
      <c r="D2014" s="1754" t="s">
        <v>5596</v>
      </c>
      <c r="E2014" s="1295"/>
      <c r="F2014" s="1313" t="str">
        <f>IF(LEN('Verification Report'!W2017)=0,"",'Verification Report'!W2017)</f>
        <v/>
      </c>
      <c r="G2014" s="1260" t="s">
        <v>247</v>
      </c>
    </row>
    <row r="2015" spans="1:7" ht="16.5" hidden="1" thickTop="1" thickBot="1" x14ac:dyDescent="0.3">
      <c r="A2015" s="164"/>
      <c r="B2015" s="129"/>
      <c r="C2015" s="129"/>
      <c r="D2015" s="1754"/>
      <c r="E2015" s="1295"/>
      <c r="F2015" s="94"/>
      <c r="G2015" s="1260" t="s">
        <v>247</v>
      </c>
    </row>
    <row r="2016" spans="1:7" ht="16.5" hidden="1" thickTop="1" thickBot="1" x14ac:dyDescent="0.3">
      <c r="A2016" s="164"/>
      <c r="B2016" s="129"/>
      <c r="C2016" s="129"/>
      <c r="D2016" s="1754"/>
      <c r="E2016" s="1295"/>
      <c r="F2016" s="94"/>
      <c r="G2016" s="1260" t="s">
        <v>247</v>
      </c>
    </row>
    <row r="2017" spans="1:7" ht="16.5" hidden="1" thickTop="1" thickBot="1" x14ac:dyDescent="0.3">
      <c r="A2017" s="164"/>
      <c r="B2017" s="129"/>
      <c r="C2017" s="129"/>
      <c r="D2017" s="1754"/>
      <c r="E2017" s="1295"/>
      <c r="F2017" s="94"/>
      <c r="G2017" s="1260" t="s">
        <v>247</v>
      </c>
    </row>
    <row r="2018" spans="1:7" ht="16.5" hidden="1" thickTop="1" thickBot="1" x14ac:dyDescent="0.3">
      <c r="A2018" s="164"/>
      <c r="B2018" s="210"/>
      <c r="C2018" s="210"/>
      <c r="D2018" s="1755"/>
      <c r="E2018" s="1295"/>
      <c r="F2018" s="94"/>
      <c r="G2018" s="1260" t="s">
        <v>247</v>
      </c>
    </row>
    <row r="2019" spans="1:7" ht="16.5" hidden="1" thickTop="1" thickBot="1" x14ac:dyDescent="0.3">
      <c r="A2019" s="164"/>
      <c r="B2019" s="206" t="s">
        <v>258</v>
      </c>
      <c r="C2019" s="210"/>
      <c r="D2019" s="1536" t="s">
        <v>3215</v>
      </c>
      <c r="E2019" s="1295"/>
      <c r="F2019" s="1313" t="str">
        <f>IF(LEN('Verification Report'!W2022)=0,"",'Verification Report'!W2022)</f>
        <v/>
      </c>
      <c r="G2019" s="1260" t="s">
        <v>247</v>
      </c>
    </row>
    <row r="2020" spans="1:7" ht="15" hidden="1" customHeight="1" x14ac:dyDescent="0.25">
      <c r="A2020" s="480"/>
      <c r="B2020" s="183" t="s">
        <v>260</v>
      </c>
      <c r="C2020" s="129"/>
      <c r="D2020" s="1754" t="s">
        <v>3216</v>
      </c>
      <c r="E2020" s="1296"/>
      <c r="F2020" s="1313" t="str">
        <f>IF(LEN('Verification Report'!W2023)=0,"",'Verification Report'!W2023)</f>
        <v/>
      </c>
      <c r="G2020" s="1260" t="s">
        <v>247</v>
      </c>
    </row>
    <row r="2021" spans="1:7" ht="16.5" hidden="1" thickTop="1" thickBot="1" x14ac:dyDescent="0.3">
      <c r="A2021" s="480"/>
      <c r="B2021" s="129"/>
      <c r="C2021" s="129"/>
      <c r="D2021" s="1754"/>
      <c r="E2021" s="1296"/>
      <c r="F2021" s="94"/>
      <c r="G2021" s="1260" t="s">
        <v>247</v>
      </c>
    </row>
    <row r="2022" spans="1:7" ht="16.5" hidden="1" thickTop="1" thickBot="1" x14ac:dyDescent="0.3">
      <c r="A2022" s="480"/>
      <c r="B2022" s="129"/>
      <c r="C2022" s="129"/>
      <c r="D2022" s="1754"/>
      <c r="E2022" s="1296"/>
      <c r="F2022" s="94"/>
      <c r="G2022" s="1260" t="s">
        <v>247</v>
      </c>
    </row>
    <row r="2023" spans="1:7" ht="16.5" hidden="1" thickTop="1" thickBot="1" x14ac:dyDescent="0.3">
      <c r="A2023" s="481"/>
      <c r="B2023" s="240"/>
      <c r="C2023" s="240"/>
      <c r="D2023" s="482" t="s">
        <v>3760</v>
      </c>
      <c r="E2023" s="1294"/>
      <c r="F2023" s="94"/>
      <c r="G2023" s="1260" t="s">
        <v>247</v>
      </c>
    </row>
    <row r="2024" spans="1:7" ht="15.75" hidden="1" customHeight="1" thickTop="1" x14ac:dyDescent="0.25">
      <c r="A2024" s="180">
        <v>901.11</v>
      </c>
      <c r="B2024" s="181"/>
      <c r="C2024" s="181"/>
      <c r="D2024" s="1781" t="s">
        <v>5597</v>
      </c>
      <c r="E2024" s="1298">
        <f>'Verification Report'!O2025</f>
        <v>0</v>
      </c>
      <c r="F2024" s="1313" t="str">
        <f>IF(LEN('Verification Report'!W2027)=0,"",'Verification Report'!W2027)</f>
        <v/>
      </c>
      <c r="G2024" s="1260" t="s">
        <v>247</v>
      </c>
    </row>
    <row r="2025" spans="1:7" ht="16.5" hidden="1" thickTop="1" thickBot="1" x14ac:dyDescent="0.3">
      <c r="A2025" s="480"/>
      <c r="B2025" s="129"/>
      <c r="C2025" s="129"/>
      <c r="D2025" s="1782"/>
      <c r="E2025" s="1296"/>
      <c r="F2025" s="94"/>
      <c r="G2025" s="1260" t="s">
        <v>247</v>
      </c>
    </row>
    <row r="2026" spans="1:7" ht="16.5" hidden="1" thickTop="1" thickBot="1" x14ac:dyDescent="0.3">
      <c r="A2026" s="480"/>
      <c r="B2026" s="129"/>
      <c r="C2026" s="129"/>
      <c r="D2026" s="1782"/>
      <c r="E2026" s="1296"/>
      <c r="F2026" s="94"/>
      <c r="G2026" s="1260" t="s">
        <v>247</v>
      </c>
    </row>
    <row r="2027" spans="1:7" ht="16.5" hidden="1" thickTop="1" thickBot="1" x14ac:dyDescent="0.3">
      <c r="A2027" s="480"/>
      <c r="B2027" s="129"/>
      <c r="C2027" s="129"/>
      <c r="D2027" s="1782"/>
      <c r="E2027" s="1296"/>
      <c r="F2027" s="94"/>
      <c r="G2027" s="1260" t="s">
        <v>247</v>
      </c>
    </row>
    <row r="2028" spans="1:7" ht="16.5" hidden="1" thickTop="1" thickBot="1" x14ac:dyDescent="0.3">
      <c r="A2028" s="481"/>
      <c r="B2028" s="240"/>
      <c r="C2028" s="240"/>
      <c r="D2028" s="1797"/>
      <c r="E2028" s="1294"/>
      <c r="F2028" s="94"/>
      <c r="G2028" s="1260" t="s">
        <v>247</v>
      </c>
    </row>
    <row r="2029" spans="1:7" ht="15.75" hidden="1" customHeight="1" thickTop="1" x14ac:dyDescent="0.25">
      <c r="A2029" s="180">
        <v>901.12</v>
      </c>
      <c r="B2029" s="4"/>
      <c r="C2029" s="4"/>
      <c r="D2029" s="1941" t="s">
        <v>4489</v>
      </c>
      <c r="E2029" s="1298">
        <f ca="1">'Verification Report'!O2030</f>
        <v>0</v>
      </c>
      <c r="F2029" s="1313" t="str">
        <f>IF(LEN('Verification Report'!W2032)=0,"",'Verification Report'!W2032)</f>
        <v/>
      </c>
      <c r="G2029" s="1260" t="s">
        <v>247</v>
      </c>
    </row>
    <row r="2030" spans="1:7" ht="16.5" hidden="1" thickTop="1" thickBot="1" x14ac:dyDescent="0.3">
      <c r="A2030" s="164"/>
      <c r="B2030" s="4"/>
      <c r="C2030" s="4"/>
      <c r="D2030" s="1941"/>
      <c r="E2030" s="1296"/>
      <c r="F2030" s="94"/>
      <c r="G2030" s="1260" t="s">
        <v>247</v>
      </c>
    </row>
    <row r="2031" spans="1:7" ht="16.5" hidden="1" thickTop="1" thickBot="1" x14ac:dyDescent="0.3">
      <c r="A2031" s="164"/>
      <c r="B2031" s="4"/>
      <c r="C2031" s="4"/>
      <c r="D2031" s="1941"/>
      <c r="E2031" s="1296"/>
      <c r="F2031" s="94"/>
      <c r="G2031" s="1260" t="s">
        <v>247</v>
      </c>
    </row>
    <row r="2032" spans="1:7" ht="16.5" hidden="1" thickTop="1" thickBot="1" x14ac:dyDescent="0.3">
      <c r="A2032" s="164"/>
      <c r="B2032" s="4"/>
      <c r="C2032" s="4"/>
      <c r="D2032" s="1941"/>
      <c r="E2032" s="1294"/>
      <c r="F2032" s="94"/>
      <c r="G2032" s="1260" t="s">
        <v>247</v>
      </c>
    </row>
    <row r="2033" spans="1:9" ht="15.75" hidden="1" customHeight="1" thickTop="1" x14ac:dyDescent="0.25">
      <c r="A2033" s="180">
        <v>901.13</v>
      </c>
      <c r="B2033" s="181"/>
      <c r="C2033" s="181"/>
      <c r="D2033" s="1781" t="s">
        <v>4492</v>
      </c>
      <c r="E2033" s="1298"/>
      <c r="F2033" s="1313" t="str">
        <f>IF(LEN('Verification Report'!W2036)=0,"",'Verification Report'!W2036)</f>
        <v/>
      </c>
      <c r="G2033" s="1260" t="s">
        <v>247</v>
      </c>
    </row>
    <row r="2034" spans="1:9" ht="16.5" hidden="1" thickTop="1" thickBot="1" x14ac:dyDescent="0.3">
      <c r="A2034" s="481"/>
      <c r="B2034" s="240"/>
      <c r="C2034" s="240"/>
      <c r="D2034" s="1797"/>
      <c r="E2034" s="1294"/>
      <c r="F2034" s="94"/>
      <c r="G2034" s="1260" t="s">
        <v>247</v>
      </c>
    </row>
    <row r="2035" spans="1:9" ht="15.75" customHeight="1" thickTop="1" x14ac:dyDescent="0.25">
      <c r="A2035" s="64">
        <v>901.14</v>
      </c>
      <c r="B2035" s="181"/>
      <c r="C2035" s="181"/>
      <c r="D2035" s="1781" t="s">
        <v>4491</v>
      </c>
      <c r="E2035" s="1298">
        <f ca="1">'Verification Report'!O2036</f>
        <v>0</v>
      </c>
      <c r="F2035" s="94"/>
      <c r="G2035" s="585" t="str">
        <f ca="1">IF(E2035&gt;0,"P","")</f>
        <v/>
      </c>
    </row>
    <row r="2036" spans="1:9" x14ac:dyDescent="0.25">
      <c r="A2036" s="164"/>
      <c r="B2036" s="4"/>
      <c r="C2036" s="4"/>
      <c r="D2036" s="1796"/>
      <c r="E2036" s="1296"/>
      <c r="F2036" s="94"/>
      <c r="G2036" s="585" t="str">
        <f ca="1">G2035</f>
        <v/>
      </c>
    </row>
    <row r="2037" spans="1:9" ht="15" customHeight="1" x14ac:dyDescent="0.25">
      <c r="A2037" s="480"/>
      <c r="B2037" s="206" t="s">
        <v>256</v>
      </c>
      <c r="C2037" s="210"/>
      <c r="D2037" s="1536" t="s">
        <v>3218</v>
      </c>
      <c r="E2037" s="1296"/>
      <c r="F2037" s="1313" t="str">
        <f>IF(LEN('Verification Report'!W2040)=0,"",'Verification Report'!W2040)</f>
        <v/>
      </c>
      <c r="G2037" s="585" t="str">
        <f>IF(AND(LEN(F2037)&gt;0,NOT(F2037=FALSE)),"P","")</f>
        <v/>
      </c>
      <c r="H2037" s="1330" t="s">
        <v>5103</v>
      </c>
      <c r="I2037" s="1527"/>
    </row>
    <row r="2038" spans="1:9" ht="15" hidden="1" customHeight="1" thickBot="1" x14ac:dyDescent="0.3">
      <c r="A2038" s="481"/>
      <c r="B2038" s="190" t="s">
        <v>258</v>
      </c>
      <c r="C2038" s="240"/>
      <c r="D2038" s="1555" t="s">
        <v>3219</v>
      </c>
      <c r="E2038" s="1294"/>
      <c r="F2038" s="1313" t="str">
        <f>IF(LEN('Verification Report'!W2041)=0,"",'Verification Report'!W2041)</f>
        <v/>
      </c>
      <c r="G2038" s="1260" t="s">
        <v>247</v>
      </c>
    </row>
    <row r="2039" spans="1:9" ht="15.75" hidden="1" customHeight="1" thickTop="1" x14ac:dyDescent="0.25">
      <c r="A2039" s="64">
        <v>901.15</v>
      </c>
      <c r="B2039" s="4"/>
      <c r="C2039" s="4"/>
      <c r="D2039" s="1796" t="s">
        <v>4490</v>
      </c>
      <c r="E2039" s="1295"/>
      <c r="F2039" s="94"/>
      <c r="G2039" s="1260" t="s">
        <v>247</v>
      </c>
    </row>
    <row r="2040" spans="1:9" hidden="1" x14ac:dyDescent="0.25">
      <c r="A2040" s="164"/>
      <c r="B2040" s="4"/>
      <c r="C2040" s="4"/>
      <c r="D2040" s="1796"/>
      <c r="E2040" s="1295"/>
      <c r="F2040" s="94"/>
      <c r="G2040" s="1260" t="s">
        <v>247</v>
      </c>
    </row>
    <row r="2041" spans="1:9" ht="15" hidden="1" customHeight="1" x14ac:dyDescent="0.25">
      <c r="A2041" s="164"/>
      <c r="B2041" s="183" t="s">
        <v>256</v>
      </c>
      <c r="C2041" s="129"/>
      <c r="D2041" s="1754" t="s">
        <v>3220</v>
      </c>
      <c r="E2041" s="1296">
        <f ca="1">'Verification Report'!O2042</f>
        <v>0</v>
      </c>
      <c r="F2041" s="1313" t="str">
        <f>IF(LEN('Verification Report'!W2044)=0,"",'Verification Report'!W2044)</f>
        <v/>
      </c>
      <c r="G2041" s="1260" t="s">
        <v>247</v>
      </c>
    </row>
    <row r="2042" spans="1:9" hidden="1" x14ac:dyDescent="0.25">
      <c r="A2042" s="164"/>
      <c r="B2042" s="210"/>
      <c r="C2042" s="210"/>
      <c r="D2042" s="1755"/>
      <c r="E2042" s="1297"/>
      <c r="F2042" s="94"/>
      <c r="G2042" s="1260" t="s">
        <v>247</v>
      </c>
    </row>
    <row r="2043" spans="1:9" ht="15" hidden="1" customHeight="1" x14ac:dyDescent="0.25">
      <c r="A2043" s="164"/>
      <c r="B2043" s="27" t="s">
        <v>258</v>
      </c>
      <c r="C2043" s="4"/>
      <c r="D2043" s="1779" t="s">
        <v>3221</v>
      </c>
      <c r="E2043" s="1295">
        <f ca="1">'Verification Report'!O2044</f>
        <v>0</v>
      </c>
      <c r="F2043" s="1313" t="str">
        <f>IF(LEN('Verification Report'!W2046)=0,"",'Verification Report'!W2046)</f>
        <v/>
      </c>
      <c r="G2043" s="1260" t="s">
        <v>247</v>
      </c>
    </row>
    <row r="2044" spans="1:9" hidden="1" x14ac:dyDescent="0.25">
      <c r="A2044" s="164"/>
      <c r="B2044" s="4"/>
      <c r="C2044" s="4"/>
      <c r="D2044" s="1779"/>
      <c r="E2044" s="1295"/>
      <c r="F2044" s="94"/>
      <c r="G2044" s="1260" t="s">
        <v>247</v>
      </c>
    </row>
    <row r="2045" spans="1:9" ht="18.75" hidden="1" x14ac:dyDescent="0.3">
      <c r="A2045" s="14" t="s">
        <v>3222</v>
      </c>
      <c r="B2045" s="23"/>
      <c r="C2045" s="23"/>
      <c r="D2045" s="84"/>
      <c r="E2045" s="1043"/>
      <c r="F2045" s="94"/>
      <c r="G2045" s="1260" t="s">
        <v>247</v>
      </c>
    </row>
    <row r="2046" spans="1:9" ht="15.75" hidden="1" thickBot="1" x14ac:dyDescent="0.3">
      <c r="A2046" s="478">
        <v>902</v>
      </c>
      <c r="B2046" s="240"/>
      <c r="C2046" s="240"/>
      <c r="D2046" s="1570" t="s">
        <v>3223</v>
      </c>
      <c r="E2046" s="1294"/>
      <c r="F2046" s="94"/>
      <c r="G2046" s="1260" t="s">
        <v>247</v>
      </c>
    </row>
    <row r="2047" spans="1:9" hidden="1" x14ac:dyDescent="0.25">
      <c r="A2047" s="64">
        <v>902.1</v>
      </c>
      <c r="B2047" s="4"/>
      <c r="C2047" s="4"/>
      <c r="D2047" s="1563" t="s">
        <v>3224</v>
      </c>
      <c r="E2047" s="1295"/>
      <c r="F2047" s="94"/>
      <c r="G2047" s="1260" t="s">
        <v>247</v>
      </c>
    </row>
    <row r="2048" spans="1:9" hidden="1" x14ac:dyDescent="0.25">
      <c r="A2048" s="64" t="s">
        <v>3807</v>
      </c>
      <c r="B2048" s="4"/>
      <c r="C2048" s="4"/>
      <c r="D2048" s="1563" t="s">
        <v>3808</v>
      </c>
      <c r="E2048" s="1295"/>
      <c r="F2048" s="94"/>
      <c r="G2048" s="1260" t="s">
        <v>247</v>
      </c>
    </row>
    <row r="2049" spans="1:7" ht="15" hidden="1" customHeight="1" x14ac:dyDescent="0.25">
      <c r="A2049" s="164"/>
      <c r="B2049" s="27" t="s">
        <v>256</v>
      </c>
      <c r="C2049" s="4"/>
      <c r="D2049" s="1779" t="s">
        <v>3225</v>
      </c>
      <c r="E2049" s="1295"/>
      <c r="F2049" s="1313" t="str">
        <f>IF(LEN('Verification Report'!W2052)=0,"",'Verification Report'!W2052)</f>
        <v/>
      </c>
      <c r="G2049" s="1260" t="s">
        <v>247</v>
      </c>
    </row>
    <row r="2050" spans="1:7" hidden="1" x14ac:dyDescent="0.25">
      <c r="A2050" s="164"/>
      <c r="B2050" s="4"/>
      <c r="C2050" s="4"/>
      <c r="D2050" s="1779"/>
      <c r="E2050" s="1295"/>
      <c r="F2050" s="94"/>
      <c r="G2050" s="1260" t="s">
        <v>247</v>
      </c>
    </row>
    <row r="2051" spans="1:7" ht="15" hidden="1" customHeight="1" x14ac:dyDescent="0.25">
      <c r="A2051" s="164"/>
      <c r="B2051" s="183"/>
      <c r="C2051" s="183" t="s">
        <v>121</v>
      </c>
      <c r="D2051" s="1754" t="s">
        <v>3651</v>
      </c>
      <c r="E2051" s="1296">
        <f>'Verification Report'!O2052</f>
        <v>0</v>
      </c>
      <c r="F2051" s="1313" t="str">
        <f>IF(LEN('Verification Report'!W2054)=0,"",'Verification Report'!W2054)</f>
        <v/>
      </c>
      <c r="G2051" s="1260" t="s">
        <v>247</v>
      </c>
    </row>
    <row r="2052" spans="1:7" hidden="1" x14ac:dyDescent="0.25">
      <c r="A2052" s="164"/>
      <c r="B2052" s="206"/>
      <c r="C2052" s="210"/>
      <c r="D2052" s="1755"/>
      <c r="E2052" s="1297"/>
      <c r="F2052" s="94"/>
      <c r="G2052" s="1260" t="s">
        <v>247</v>
      </c>
    </row>
    <row r="2053" spans="1:7" ht="15" hidden="1" customHeight="1" x14ac:dyDescent="0.25">
      <c r="A2053" s="164"/>
      <c r="B2053" s="183" t="s">
        <v>258</v>
      </c>
      <c r="C2053" s="129"/>
      <c r="D2053" s="1754" t="s">
        <v>3226</v>
      </c>
      <c r="E2053" s="1295"/>
      <c r="F2053" s="1313" t="str">
        <f>IF(LEN('Verification Report'!W2056)=0,"",'Verification Report'!W2056)</f>
        <v/>
      </c>
      <c r="G2053" s="1260" t="s">
        <v>247</v>
      </c>
    </row>
    <row r="2054" spans="1:7" hidden="1" x14ac:dyDescent="0.25">
      <c r="A2054" s="164"/>
      <c r="B2054" s="206"/>
      <c r="C2054" s="210"/>
      <c r="D2054" s="1755"/>
      <c r="E2054" s="1297"/>
      <c r="F2054" s="94"/>
      <c r="G2054" s="1260" t="s">
        <v>247</v>
      </c>
    </row>
    <row r="2055" spans="1:7" ht="15" hidden="1" customHeight="1" x14ac:dyDescent="0.25">
      <c r="A2055" s="480"/>
      <c r="B2055" s="183" t="s">
        <v>260</v>
      </c>
      <c r="C2055" s="129"/>
      <c r="D2055" s="1754" t="s">
        <v>3227</v>
      </c>
      <c r="E2055" s="1296">
        <f>'Verification Report'!O2056</f>
        <v>0</v>
      </c>
      <c r="F2055" s="1313" t="str">
        <f>IF(LEN('Verification Report'!W2058)=0,"",'Verification Report'!W2058)</f>
        <v/>
      </c>
      <c r="G2055" s="1260" t="s">
        <v>247</v>
      </c>
    </row>
    <row r="2056" spans="1:7" hidden="1" x14ac:dyDescent="0.25">
      <c r="A2056" s="480"/>
      <c r="B2056" s="183"/>
      <c r="C2056" s="129"/>
      <c r="D2056" s="1754"/>
      <c r="E2056" s="1296"/>
      <c r="F2056" s="94"/>
      <c r="G2056" s="1260" t="s">
        <v>247</v>
      </c>
    </row>
    <row r="2057" spans="1:7" hidden="1" x14ac:dyDescent="0.25">
      <c r="A2057" s="524"/>
      <c r="B2057" s="210"/>
      <c r="C2057" s="210"/>
      <c r="D2057" s="1755"/>
      <c r="E2057" s="1297"/>
      <c r="F2057" s="94"/>
      <c r="G2057" s="1260" t="s">
        <v>247</v>
      </c>
    </row>
    <row r="2058" spans="1:7" ht="15" hidden="1" customHeight="1" x14ac:dyDescent="0.25">
      <c r="A2058" s="192" t="s">
        <v>3228</v>
      </c>
      <c r="B2058" s="193"/>
      <c r="C2058" s="193"/>
      <c r="D2058" s="1864" t="s">
        <v>3229</v>
      </c>
      <c r="E2058" s="1293">
        <f>'Verification Report'!O2059</f>
        <v>0</v>
      </c>
      <c r="F2058" s="94"/>
      <c r="G2058" s="1260" t="s">
        <v>247</v>
      </c>
    </row>
    <row r="2059" spans="1:7" hidden="1" x14ac:dyDescent="0.25">
      <c r="A2059" s="480"/>
      <c r="B2059" s="129"/>
      <c r="C2059" s="129"/>
      <c r="D2059" s="1782"/>
      <c r="E2059" s="1296"/>
      <c r="F2059" s="1313" t="str">
        <f>IF(LEN('Verification Report'!W2062)=0,"",'Verification Report'!W2062)</f>
        <v/>
      </c>
      <c r="G2059" s="1260" t="s">
        <v>247</v>
      </c>
    </row>
    <row r="2060" spans="1:7" hidden="1" x14ac:dyDescent="0.25">
      <c r="A2060" s="480"/>
      <c r="B2060" s="206" t="s">
        <v>256</v>
      </c>
      <c r="C2060" s="210"/>
      <c r="D2060" s="1536" t="s">
        <v>3231</v>
      </c>
      <c r="E2060" s="1296"/>
      <c r="F2060" s="94"/>
      <c r="G2060" s="1260" t="s">
        <v>247</v>
      </c>
    </row>
    <row r="2061" spans="1:7" hidden="1" x14ac:dyDescent="0.25">
      <c r="A2061" s="524"/>
      <c r="B2061" s="206" t="s">
        <v>258</v>
      </c>
      <c r="C2061" s="210"/>
      <c r="D2061" s="1536" t="s">
        <v>3232</v>
      </c>
      <c r="E2061" s="1297"/>
      <c r="F2061" s="1313" t="str">
        <f>IF(LEN('Verification Report'!W2064)=0,"",'Verification Report'!W2064)</f>
        <v/>
      </c>
      <c r="G2061" s="1260" t="s">
        <v>247</v>
      </c>
    </row>
    <row r="2062" spans="1:7" ht="15" hidden="1" customHeight="1" x14ac:dyDescent="0.25">
      <c r="A2062" s="192" t="s">
        <v>3233</v>
      </c>
      <c r="B2062" s="193"/>
      <c r="C2062" s="193"/>
      <c r="D2062" s="1864" t="s">
        <v>3234</v>
      </c>
      <c r="E2062" s="1293">
        <f>'Verification Report'!O2063</f>
        <v>0</v>
      </c>
      <c r="F2062" s="1313" t="str">
        <f>IF(LEN('Verification Report'!W2065)=0,"",'Verification Report'!W2065)</f>
        <v/>
      </c>
      <c r="G2062" s="1260" t="s">
        <v>247</v>
      </c>
    </row>
    <row r="2063" spans="1:7" hidden="1" x14ac:dyDescent="0.25">
      <c r="A2063" s="480"/>
      <c r="B2063" s="129"/>
      <c r="C2063" s="129"/>
      <c r="D2063" s="1782"/>
      <c r="E2063" s="1296"/>
      <c r="F2063" s="94"/>
      <c r="G2063" s="1260" t="s">
        <v>247</v>
      </c>
    </row>
    <row r="2064" spans="1:7" hidden="1" x14ac:dyDescent="0.25">
      <c r="A2064" s="480"/>
      <c r="B2064" s="129"/>
      <c r="C2064" s="183" t="s">
        <v>121</v>
      </c>
      <c r="D2064" s="1546" t="s">
        <v>3235</v>
      </c>
      <c r="E2064" s="1296"/>
      <c r="F2064" s="94"/>
      <c r="G2064" s="1260" t="s">
        <v>247</v>
      </c>
    </row>
    <row r="2065" spans="1:7" ht="15" hidden="1" customHeight="1" x14ac:dyDescent="0.25">
      <c r="A2065" s="524"/>
      <c r="B2065" s="210"/>
      <c r="C2065" s="206" t="s">
        <v>122</v>
      </c>
      <c r="D2065" s="1536" t="s">
        <v>3236</v>
      </c>
      <c r="E2065" s="1297"/>
      <c r="F2065" s="94"/>
      <c r="G2065" s="1260" t="s">
        <v>247</v>
      </c>
    </row>
    <row r="2066" spans="1:7" hidden="1" x14ac:dyDescent="0.25">
      <c r="A2066" s="192" t="s">
        <v>3237</v>
      </c>
      <c r="B2066" s="193"/>
      <c r="C2066" s="193"/>
      <c r="D2066" s="1566" t="s">
        <v>3238</v>
      </c>
      <c r="E2066" s="1293">
        <f>'Verification Report'!O2067</f>
        <v>0</v>
      </c>
      <c r="F2066" s="94"/>
      <c r="G2066" s="1260" t="s">
        <v>247</v>
      </c>
    </row>
    <row r="2067" spans="1:7" hidden="1" x14ac:dyDescent="0.25">
      <c r="A2067" s="480"/>
      <c r="B2067" s="183" t="s">
        <v>256</v>
      </c>
      <c r="C2067" s="129"/>
      <c r="D2067" s="1546" t="s">
        <v>3654</v>
      </c>
      <c r="E2067" s="1296"/>
      <c r="F2067" s="94"/>
      <c r="G2067" s="1260" t="s">
        <v>247</v>
      </c>
    </row>
    <row r="2068" spans="1:7" hidden="1" x14ac:dyDescent="0.25">
      <c r="A2068" s="480"/>
      <c r="B2068" s="206"/>
      <c r="C2068" s="210"/>
      <c r="D2068" s="1571" t="s">
        <v>3239</v>
      </c>
      <c r="E2068" s="1296"/>
      <c r="F2068" s="1313" t="str">
        <f>IF(LEN('Verification Report'!W2071)=0,"",'Verification Report'!W2071)</f>
        <v/>
      </c>
      <c r="G2068" s="1260" t="s">
        <v>247</v>
      </c>
    </row>
    <row r="2069" spans="1:7" hidden="1" x14ac:dyDescent="0.25">
      <c r="A2069" s="480"/>
      <c r="B2069" s="183" t="s">
        <v>258</v>
      </c>
      <c r="C2069" s="129"/>
      <c r="D2069" s="1546" t="s">
        <v>3240</v>
      </c>
      <c r="E2069" s="1296"/>
      <c r="F2069" s="94"/>
      <c r="G2069" s="1260" t="s">
        <v>247</v>
      </c>
    </row>
    <row r="2070" spans="1:7" hidden="1" x14ac:dyDescent="0.25">
      <c r="A2070" s="524"/>
      <c r="B2070" s="210"/>
      <c r="C2070" s="210"/>
      <c r="D2070" s="1571" t="s">
        <v>3239</v>
      </c>
      <c r="E2070" s="1297"/>
      <c r="F2070" s="1313" t="str">
        <f>IF(LEN('Verification Report'!W2073)=0,"",'Verification Report'!W2073)</f>
        <v/>
      </c>
      <c r="G2070" s="1260" t="s">
        <v>247</v>
      </c>
    </row>
    <row r="2071" spans="1:7" ht="15" hidden="1" customHeight="1" x14ac:dyDescent="0.25">
      <c r="A2071" s="64" t="s">
        <v>3241</v>
      </c>
      <c r="B2071" s="4"/>
      <c r="C2071" s="4"/>
      <c r="D2071" s="1796" t="s">
        <v>3242</v>
      </c>
      <c r="E2071" s="1295">
        <f>'Verification Report'!O2072</f>
        <v>0</v>
      </c>
      <c r="F2071" s="94"/>
      <c r="G2071" s="1260" t="s">
        <v>247</v>
      </c>
    </row>
    <row r="2072" spans="1:7" hidden="1" x14ac:dyDescent="0.25">
      <c r="A2072" s="164"/>
      <c r="B2072" s="4"/>
      <c r="C2072" s="4"/>
      <c r="D2072" s="1796"/>
      <c r="E2072" s="1295"/>
      <c r="F2072" s="94"/>
      <c r="G2072" s="1260" t="s">
        <v>247</v>
      </c>
    </row>
    <row r="2073" spans="1:7" ht="15" hidden="1" customHeight="1" x14ac:dyDescent="0.25">
      <c r="A2073" s="164"/>
      <c r="B2073" s="183" t="s">
        <v>256</v>
      </c>
      <c r="C2073" s="129"/>
      <c r="D2073" s="1779" t="s">
        <v>4494</v>
      </c>
      <c r="E2073" s="1295"/>
      <c r="F2073" s="1313" t="str">
        <f>IF(LEN('Verification Report'!W2076)=0,"",'Verification Report'!W2076)</f>
        <v/>
      </c>
      <c r="G2073" s="1260" t="s">
        <v>247</v>
      </c>
    </row>
    <row r="2074" spans="1:7" hidden="1" x14ac:dyDescent="0.25">
      <c r="A2074" s="164"/>
      <c r="B2074" s="206"/>
      <c r="C2074" s="210"/>
      <c r="D2074" s="1755"/>
      <c r="E2074" s="1295"/>
      <c r="F2074" s="94"/>
      <c r="G2074" s="1260" t="s">
        <v>247</v>
      </c>
    </row>
    <row r="2075" spans="1:7" ht="15" hidden="1" customHeight="1" x14ac:dyDescent="0.25">
      <c r="A2075" s="164"/>
      <c r="B2075" s="183" t="s">
        <v>258</v>
      </c>
      <c r="C2075" s="129"/>
      <c r="D2075" s="1754" t="s">
        <v>3243</v>
      </c>
      <c r="E2075" s="1295"/>
      <c r="F2075" s="1313" t="str">
        <f>IF(LEN('Verification Report'!W2078)=0,"",'Verification Report'!W2078)</f>
        <v/>
      </c>
      <c r="G2075" s="1260" t="s">
        <v>247</v>
      </c>
    </row>
    <row r="2076" spans="1:7" hidden="1" x14ac:dyDescent="0.25">
      <c r="A2076" s="164"/>
      <c r="B2076" s="210"/>
      <c r="C2076" s="210"/>
      <c r="D2076" s="1755"/>
      <c r="E2076" s="1295"/>
      <c r="F2076" s="94"/>
      <c r="G2076" s="1260" t="s">
        <v>247</v>
      </c>
    </row>
    <row r="2077" spans="1:7" ht="15" hidden="1" customHeight="1" x14ac:dyDescent="0.25">
      <c r="A2077" s="480"/>
      <c r="B2077" s="183" t="s">
        <v>260</v>
      </c>
      <c r="C2077" s="129"/>
      <c r="D2077" s="1754" t="s">
        <v>3244</v>
      </c>
      <c r="E2077" s="1296"/>
      <c r="F2077" s="1313" t="str">
        <f>IF(LEN('Verification Report'!W2080)=0,"",'Verification Report'!W2080)</f>
        <v/>
      </c>
      <c r="G2077" s="1260" t="s">
        <v>247</v>
      </c>
    </row>
    <row r="2078" spans="1:7" hidden="1" x14ac:dyDescent="0.25">
      <c r="A2078" s="480"/>
      <c r="B2078" s="129"/>
      <c r="C2078" s="129"/>
      <c r="D2078" s="1754"/>
      <c r="E2078" s="1296"/>
      <c r="F2078" s="94"/>
      <c r="G2078" s="1260" t="s">
        <v>247</v>
      </c>
    </row>
    <row r="2079" spans="1:7" hidden="1" x14ac:dyDescent="0.25">
      <c r="A2079" s="524"/>
      <c r="B2079" s="210"/>
      <c r="C2079" s="210"/>
      <c r="D2079" s="1755"/>
      <c r="E2079" s="1297"/>
      <c r="F2079" s="94"/>
      <c r="G2079" s="1260" t="s">
        <v>247</v>
      </c>
    </row>
    <row r="2080" spans="1:7" ht="15" hidden="1" customHeight="1" x14ac:dyDescent="0.25">
      <c r="A2080" s="667" t="s">
        <v>4495</v>
      </c>
      <c r="B2080" s="679"/>
      <c r="C2080" s="679"/>
      <c r="D2080" s="1802" t="s">
        <v>4496</v>
      </c>
      <c r="E2080" s="1296">
        <f ca="1">'Verification Report'!O2081</f>
        <v>0</v>
      </c>
      <c r="F2080" s="1313" t="str">
        <f>IF(LEN('Verification Report'!W2083)=0,"",'Verification Report'!W2083)</f>
        <v/>
      </c>
      <c r="G2080" s="1260" t="s">
        <v>247</v>
      </c>
    </row>
    <row r="2081" spans="1:8" hidden="1" x14ac:dyDescent="0.25">
      <c r="A2081" s="679"/>
      <c r="B2081" s="679"/>
      <c r="C2081" s="679"/>
      <c r="D2081" s="1785"/>
      <c r="E2081" s="1295"/>
      <c r="F2081" s="94"/>
      <c r="G2081" s="1260" t="s">
        <v>247</v>
      </c>
    </row>
    <row r="2082" spans="1:8" ht="15.75" hidden="1" thickBot="1" x14ac:dyDescent="0.3">
      <c r="A2082" s="679"/>
      <c r="B2082" s="679"/>
      <c r="C2082" s="679"/>
      <c r="D2082" s="1803"/>
      <c r="E2082" s="1294"/>
      <c r="F2082" s="94"/>
      <c r="G2082" s="1260" t="s">
        <v>247</v>
      </c>
    </row>
    <row r="2083" spans="1:8" ht="15.75" hidden="1" thickTop="1" x14ac:dyDescent="0.25">
      <c r="A2083" s="180">
        <v>902.2</v>
      </c>
      <c r="B2083" s="181"/>
      <c r="C2083" s="181"/>
      <c r="D2083" s="1569" t="s">
        <v>3245</v>
      </c>
      <c r="E2083" s="1298"/>
      <c r="F2083" s="94"/>
      <c r="G2083" s="1260" t="s">
        <v>247</v>
      </c>
    </row>
    <row r="2084" spans="1:8" ht="15" hidden="1" customHeight="1" x14ac:dyDescent="0.25">
      <c r="A2084" s="130" t="s">
        <v>3656</v>
      </c>
      <c r="B2084" s="129"/>
      <c r="C2084" s="129"/>
      <c r="D2084" s="1782" t="s">
        <v>5598</v>
      </c>
      <c r="E2084" s="1296">
        <f ca="1">'Verification Report'!O2085</f>
        <v>0</v>
      </c>
      <c r="F2084" s="1313" t="str">
        <f>IF(LEN('Verification Report'!W2088)=0,"",'Verification Report'!W2088)</f>
        <v/>
      </c>
      <c r="G2084" s="1260" t="s">
        <v>247</v>
      </c>
    </row>
    <row r="2085" spans="1:8" hidden="1" x14ac:dyDescent="0.25">
      <c r="A2085" s="480"/>
      <c r="B2085" s="129"/>
      <c r="C2085" s="129"/>
      <c r="D2085" s="1782"/>
      <c r="E2085" s="1296"/>
      <c r="F2085" s="94"/>
      <c r="G2085" s="1260" t="s">
        <v>247</v>
      </c>
    </row>
    <row r="2086" spans="1:8" s="1477" customFormat="1" hidden="1" x14ac:dyDescent="0.25">
      <c r="A2086" s="480"/>
      <c r="B2086" s="129"/>
      <c r="C2086" s="129"/>
      <c r="D2086" s="1782"/>
      <c r="E2086" s="1478"/>
      <c r="F2086" s="94"/>
      <c r="G2086" s="1477" t="s">
        <v>247</v>
      </c>
      <c r="H2086" s="699"/>
    </row>
    <row r="2087" spans="1:8" hidden="1" x14ac:dyDescent="0.25">
      <c r="A2087" s="480"/>
      <c r="B2087" s="129"/>
      <c r="C2087" s="129"/>
      <c r="D2087" s="1782"/>
      <c r="E2087" s="1296"/>
      <c r="F2087" s="94"/>
      <c r="G2087" s="1260" t="s">
        <v>247</v>
      </c>
    </row>
    <row r="2088" spans="1:8" ht="15" hidden="1" customHeight="1" x14ac:dyDescent="0.25">
      <c r="A2088" s="480"/>
      <c r="B2088" s="183" t="s">
        <v>256</v>
      </c>
      <c r="C2088" s="129"/>
      <c r="D2088" s="1793" t="s">
        <v>3246</v>
      </c>
      <c r="E2088" s="1296"/>
      <c r="F2088" s="94"/>
      <c r="G2088" s="1260" t="s">
        <v>247</v>
      </c>
    </row>
    <row r="2089" spans="1:8" hidden="1" x14ac:dyDescent="0.25">
      <c r="A2089" s="480"/>
      <c r="B2089" s="206"/>
      <c r="C2089" s="210"/>
      <c r="D2089" s="1761"/>
      <c r="E2089" s="1296"/>
      <c r="F2089" s="94"/>
      <c r="G2089" s="1260" t="s">
        <v>247</v>
      </c>
    </row>
    <row r="2090" spans="1:8" ht="15" hidden="1" customHeight="1" x14ac:dyDescent="0.25">
      <c r="A2090" s="480"/>
      <c r="B2090" s="183" t="s">
        <v>258</v>
      </c>
      <c r="C2090" s="129"/>
      <c r="D2090" s="1754" t="s">
        <v>3247</v>
      </c>
      <c r="E2090" s="1296"/>
      <c r="F2090" s="94"/>
      <c r="G2090" s="1260" t="s">
        <v>247</v>
      </c>
    </row>
    <row r="2091" spans="1:8" hidden="1" x14ac:dyDescent="0.25">
      <c r="A2091" s="480"/>
      <c r="B2091" s="210"/>
      <c r="C2091" s="210"/>
      <c r="D2091" s="1755"/>
      <c r="E2091" s="1296"/>
      <c r="F2091" s="94"/>
      <c r="G2091" s="1260" t="s">
        <v>247</v>
      </c>
    </row>
    <row r="2092" spans="1:8" hidden="1" x14ac:dyDescent="0.25">
      <c r="A2092" s="480"/>
      <c r="B2092" s="206" t="s">
        <v>260</v>
      </c>
      <c r="C2092" s="210"/>
      <c r="D2092" s="1536" t="s">
        <v>3248</v>
      </c>
      <c r="E2092" s="1296"/>
      <c r="F2092" s="94"/>
      <c r="G2092" s="1260" t="s">
        <v>247</v>
      </c>
    </row>
    <row r="2093" spans="1:8" hidden="1" x14ac:dyDescent="0.25">
      <c r="A2093" s="164"/>
      <c r="B2093" s="206" t="s">
        <v>269</v>
      </c>
      <c r="C2093" s="210"/>
      <c r="D2093" s="1536" t="s">
        <v>3249</v>
      </c>
      <c r="E2093" s="1296"/>
      <c r="F2093" s="94"/>
      <c r="G2093" s="1260" t="s">
        <v>247</v>
      </c>
    </row>
    <row r="2094" spans="1:8" hidden="1" x14ac:dyDescent="0.25">
      <c r="A2094" s="164"/>
      <c r="B2094" s="206" t="s">
        <v>275</v>
      </c>
      <c r="C2094" s="210"/>
      <c r="D2094" s="1536" t="s">
        <v>4497</v>
      </c>
      <c r="E2094" s="1296"/>
      <c r="F2094" s="94"/>
      <c r="G2094" s="1260" t="s">
        <v>247</v>
      </c>
    </row>
    <row r="2095" spans="1:8" ht="15" hidden="1" customHeight="1" x14ac:dyDescent="0.25">
      <c r="A2095" s="192" t="s">
        <v>3250</v>
      </c>
      <c r="B2095" s="193"/>
      <c r="C2095" s="193"/>
      <c r="D2095" s="1864" t="s">
        <v>4498</v>
      </c>
      <c r="E2095" s="1293">
        <f ca="1">'Verification Report'!O2096</f>
        <v>0</v>
      </c>
      <c r="F2095" s="1313" t="str">
        <f>IF(LEN('Verification Report'!W2098)=0,"",'Verification Report'!W2098)</f>
        <v/>
      </c>
      <c r="G2095" s="1260" t="s">
        <v>247</v>
      </c>
    </row>
    <row r="2096" spans="1:8" hidden="1" x14ac:dyDescent="0.25">
      <c r="A2096" s="524"/>
      <c r="B2096" s="210"/>
      <c r="C2096" s="210"/>
      <c r="D2096" s="1843"/>
      <c r="E2096" s="1297"/>
      <c r="F2096" s="94"/>
      <c r="G2096" s="1260" t="s">
        <v>247</v>
      </c>
    </row>
    <row r="2097" spans="1:7" ht="15" hidden="1" customHeight="1" x14ac:dyDescent="0.25">
      <c r="A2097" s="192" t="s">
        <v>3251</v>
      </c>
      <c r="B2097" s="193"/>
      <c r="C2097" s="193"/>
      <c r="D2097" s="1864" t="s">
        <v>3252</v>
      </c>
      <c r="E2097" s="1293">
        <f>'Verification Report'!O2098</f>
        <v>0</v>
      </c>
      <c r="F2097" s="1313" t="str">
        <f>IF(LEN('Verification Report'!W2100)=0,"",'Verification Report'!W2100)</f>
        <v/>
      </c>
      <c r="G2097" s="1260" t="s">
        <v>247</v>
      </c>
    </row>
    <row r="2098" spans="1:7" hidden="1" x14ac:dyDescent="0.25">
      <c r="A2098" s="480"/>
      <c r="B2098" s="129"/>
      <c r="C2098" s="129"/>
      <c r="D2098" s="1782"/>
      <c r="E2098" s="1296"/>
      <c r="F2098" s="94"/>
      <c r="G2098" s="1260" t="s">
        <v>247</v>
      </c>
    </row>
    <row r="2099" spans="1:7" hidden="1" x14ac:dyDescent="0.25">
      <c r="A2099" s="524"/>
      <c r="B2099" s="210"/>
      <c r="C2099" s="210"/>
      <c r="D2099" s="1843"/>
      <c r="E2099" s="1297"/>
      <c r="F2099" s="94"/>
      <c r="G2099" s="1260" t="s">
        <v>247</v>
      </c>
    </row>
    <row r="2100" spans="1:7" ht="15" hidden="1" customHeight="1" x14ac:dyDescent="0.25">
      <c r="A2100" s="130" t="s">
        <v>3253</v>
      </c>
      <c r="B2100" s="129"/>
      <c r="C2100" s="129"/>
      <c r="D2100" s="1782" t="s">
        <v>3254</v>
      </c>
      <c r="E2100" s="1296">
        <f>'Verification Report'!O2101</f>
        <v>0</v>
      </c>
      <c r="F2100" s="1313" t="str">
        <f>IF(LEN('Verification Report'!W2103)=0,"",'Verification Report'!W2103)</f>
        <v/>
      </c>
      <c r="G2100" s="1260" t="s">
        <v>247</v>
      </c>
    </row>
    <row r="2101" spans="1:7" hidden="1" x14ac:dyDescent="0.25">
      <c r="A2101" s="480"/>
      <c r="B2101" s="129"/>
      <c r="C2101" s="129"/>
      <c r="D2101" s="1782"/>
      <c r="E2101" s="1296"/>
      <c r="F2101" s="94"/>
      <c r="G2101" s="1260" t="s">
        <v>247</v>
      </c>
    </row>
    <row r="2102" spans="1:7" ht="15.75" hidden="1" thickBot="1" x14ac:dyDescent="0.3">
      <c r="A2102" s="481"/>
      <c r="B2102" s="240"/>
      <c r="C2102" s="240"/>
      <c r="D2102" s="1797"/>
      <c r="E2102" s="1294"/>
      <c r="F2102" s="94"/>
      <c r="G2102" s="1260" t="s">
        <v>247</v>
      </c>
    </row>
    <row r="2103" spans="1:7" ht="15.75" hidden="1" customHeight="1" thickTop="1" x14ac:dyDescent="0.25">
      <c r="A2103" s="78" t="s">
        <v>4499</v>
      </c>
      <c r="B2103" s="667"/>
      <c r="C2103" s="667"/>
      <c r="D2103" s="1785" t="s">
        <v>4500</v>
      </c>
      <c r="E2103" s="1274"/>
      <c r="F2103" s="1313" t="str">
        <f>IF(LEN('Verification Report'!W2106)=0,"",'Verification Report'!W2106)</f>
        <v/>
      </c>
      <c r="G2103" s="1260" t="s">
        <v>247</v>
      </c>
    </row>
    <row r="2104" spans="1:7" hidden="1" x14ac:dyDescent="0.25">
      <c r="A2104" s="667"/>
      <c r="B2104" s="667"/>
      <c r="C2104" s="667"/>
      <c r="D2104" s="1785"/>
      <c r="E2104" s="1266"/>
      <c r="F2104" s="94"/>
      <c r="G2104" s="1260" t="s">
        <v>247</v>
      </c>
    </row>
    <row r="2105" spans="1:7" hidden="1" x14ac:dyDescent="0.25">
      <c r="A2105" s="667"/>
      <c r="B2105" s="667"/>
      <c r="C2105" s="667"/>
      <c r="D2105" s="1785"/>
      <c r="E2105" s="1266"/>
      <c r="F2105" s="94"/>
      <c r="G2105" s="1260" t="s">
        <v>247</v>
      </c>
    </row>
    <row r="2106" spans="1:7" hidden="1" x14ac:dyDescent="0.25">
      <c r="A2106" s="667"/>
      <c r="B2106" s="667" t="s">
        <v>256</v>
      </c>
      <c r="C2106" s="667"/>
      <c r="D2106" s="1574" t="s">
        <v>3255</v>
      </c>
      <c r="E2106" s="1270">
        <f ca="1">'Verification Report'!O2107</f>
        <v>0</v>
      </c>
      <c r="F2106" s="94"/>
      <c r="G2106" s="1260" t="s">
        <v>247</v>
      </c>
    </row>
    <row r="2107" spans="1:7" hidden="1" x14ac:dyDescent="0.25">
      <c r="A2107" s="667"/>
      <c r="B2107" s="667"/>
      <c r="C2107" s="667" t="s">
        <v>121</v>
      </c>
      <c r="D2107" s="1574" t="s">
        <v>4501</v>
      </c>
      <c r="E2107" s="1270"/>
      <c r="F2107" s="94"/>
      <c r="G2107" s="1260" t="s">
        <v>247</v>
      </c>
    </row>
    <row r="2108" spans="1:7" hidden="1" x14ac:dyDescent="0.25">
      <c r="A2108" s="667"/>
      <c r="B2108" s="684"/>
      <c r="C2108" s="684" t="s">
        <v>122</v>
      </c>
      <c r="D2108" s="1575" t="s">
        <v>4502</v>
      </c>
      <c r="E2108" s="1267"/>
      <c r="F2108" s="94"/>
      <c r="G2108" s="1260" t="s">
        <v>247</v>
      </c>
    </row>
    <row r="2109" spans="1:7" hidden="1" x14ac:dyDescent="0.25">
      <c r="A2109" s="667"/>
      <c r="B2109" s="667" t="s">
        <v>258</v>
      </c>
      <c r="C2109" s="667"/>
      <c r="D2109" s="1574" t="s">
        <v>3256</v>
      </c>
      <c r="E2109" s="1270">
        <f ca="1">'Verification Report'!O2110</f>
        <v>0</v>
      </c>
      <c r="F2109" s="94"/>
      <c r="G2109" s="1260" t="s">
        <v>247</v>
      </c>
    </row>
    <row r="2110" spans="1:7" hidden="1" x14ac:dyDescent="0.25">
      <c r="A2110" s="667"/>
      <c r="B2110" s="667"/>
      <c r="C2110" s="667" t="s">
        <v>121</v>
      </c>
      <c r="D2110" s="1574" t="s">
        <v>4501</v>
      </c>
      <c r="E2110" s="1270"/>
      <c r="F2110" s="94"/>
      <c r="G2110" s="1260" t="s">
        <v>247</v>
      </c>
    </row>
    <row r="2111" spans="1:7" hidden="1" x14ac:dyDescent="0.25">
      <c r="A2111" s="684"/>
      <c r="B2111" s="684"/>
      <c r="C2111" s="684" t="s">
        <v>122</v>
      </c>
      <c r="D2111" s="1575" t="s">
        <v>4502</v>
      </c>
      <c r="F2111" s="94"/>
      <c r="G2111" s="1260" t="s">
        <v>247</v>
      </c>
    </row>
    <row r="2112" spans="1:7" ht="15" hidden="1" customHeight="1" x14ac:dyDescent="0.25">
      <c r="A2112" s="667" t="s">
        <v>4503</v>
      </c>
      <c r="B2112" s="667"/>
      <c r="C2112" s="667"/>
      <c r="D2112" s="1543" t="s">
        <v>4504</v>
      </c>
      <c r="E2112" s="195"/>
      <c r="F2112" s="94"/>
      <c r="G2112" s="1260" t="s">
        <v>247</v>
      </c>
    </row>
    <row r="2113" spans="1:7" ht="15" hidden="1" customHeight="1" x14ac:dyDescent="0.25">
      <c r="A2113" s="667" t="s">
        <v>4505</v>
      </c>
      <c r="B2113" s="667"/>
      <c r="C2113" s="667"/>
      <c r="D2113" s="1785" t="s">
        <v>4506</v>
      </c>
      <c r="E2113" s="664"/>
      <c r="F2113" s="94"/>
      <c r="G2113" s="1260" t="s">
        <v>247</v>
      </c>
    </row>
    <row r="2114" spans="1:7" hidden="1" x14ac:dyDescent="0.25">
      <c r="A2114" s="667"/>
      <c r="B2114" s="667"/>
      <c r="C2114" s="667"/>
      <c r="D2114" s="1785"/>
      <c r="E2114" s="664"/>
      <c r="F2114" s="94"/>
      <c r="G2114" s="1260" t="s">
        <v>247</v>
      </c>
    </row>
    <row r="2115" spans="1:7" hidden="1" x14ac:dyDescent="0.25">
      <c r="A2115" s="667"/>
      <c r="B2115" s="667"/>
      <c r="C2115" s="667"/>
      <c r="D2115" s="1785"/>
      <c r="E2115" s="664"/>
      <c r="F2115" s="94"/>
      <c r="G2115" s="1260" t="s">
        <v>247</v>
      </c>
    </row>
    <row r="2116" spans="1:7" hidden="1" x14ac:dyDescent="0.25">
      <c r="A2116" s="667"/>
      <c r="B2116" s="667"/>
      <c r="C2116" s="667"/>
      <c r="D2116" s="1785"/>
      <c r="E2116" s="664"/>
      <c r="F2116" s="94"/>
      <c r="G2116" s="1260" t="s">
        <v>247</v>
      </c>
    </row>
    <row r="2117" spans="1:7" hidden="1" x14ac:dyDescent="0.25">
      <c r="A2117" s="667"/>
      <c r="B2117" s="667"/>
      <c r="C2117" s="667"/>
      <c r="D2117" s="1785"/>
      <c r="E2117" s="664"/>
      <c r="F2117" s="94"/>
      <c r="G2117" s="1260" t="s">
        <v>247</v>
      </c>
    </row>
    <row r="2118" spans="1:7" hidden="1" x14ac:dyDescent="0.25">
      <c r="A2118" s="667"/>
      <c r="B2118" s="667"/>
      <c r="C2118" s="667"/>
      <c r="D2118" s="1785"/>
      <c r="E2118" s="664"/>
      <c r="F2118" s="94"/>
      <c r="G2118" s="1260" t="s">
        <v>247</v>
      </c>
    </row>
    <row r="2119" spans="1:7" hidden="1" x14ac:dyDescent="0.25">
      <c r="A2119" s="667"/>
      <c r="B2119" s="667"/>
      <c r="C2119" s="667"/>
      <c r="D2119" s="1785"/>
      <c r="E2119" s="664"/>
      <c r="F2119" s="94"/>
      <c r="G2119" s="1260" t="s">
        <v>247</v>
      </c>
    </row>
    <row r="2120" spans="1:7" hidden="1" x14ac:dyDescent="0.25">
      <c r="A2120" s="684"/>
      <c r="B2120" s="684"/>
      <c r="C2120" s="684"/>
      <c r="D2120" s="1936"/>
      <c r="E2120" s="664"/>
      <c r="F2120" s="94"/>
      <c r="G2120" s="1260" t="s">
        <v>247</v>
      </c>
    </row>
    <row r="2121" spans="1:7" ht="15" hidden="1" customHeight="1" x14ac:dyDescent="0.25">
      <c r="A2121" s="693" t="s">
        <v>4507</v>
      </c>
      <c r="B2121" s="693"/>
      <c r="C2121" s="693"/>
      <c r="D2121" s="1935" t="s">
        <v>4508</v>
      </c>
      <c r="E2121" s="664"/>
      <c r="F2121" s="94"/>
      <c r="G2121" s="1260" t="s">
        <v>247</v>
      </c>
    </row>
    <row r="2122" spans="1:7" hidden="1" x14ac:dyDescent="0.25">
      <c r="A2122" s="667"/>
      <c r="B2122" s="667"/>
      <c r="C2122" s="667"/>
      <c r="D2122" s="1785"/>
      <c r="E2122" s="664"/>
      <c r="F2122" s="94"/>
      <c r="G2122" s="1260" t="s">
        <v>247</v>
      </c>
    </row>
    <row r="2123" spans="1:7" hidden="1" x14ac:dyDescent="0.25">
      <c r="A2123" s="667"/>
      <c r="B2123" s="667"/>
      <c r="C2123" s="667"/>
      <c r="D2123" s="1785"/>
      <c r="E2123" s="664"/>
      <c r="F2123" s="94"/>
      <c r="G2123" s="1260" t="s">
        <v>247</v>
      </c>
    </row>
    <row r="2124" spans="1:7" hidden="1" x14ac:dyDescent="0.25">
      <c r="A2124" s="667"/>
      <c r="B2124" s="667"/>
      <c r="C2124" s="667"/>
      <c r="D2124" s="1785"/>
      <c r="E2124" s="664"/>
      <c r="F2124" s="94"/>
      <c r="G2124" s="1260" t="s">
        <v>247</v>
      </c>
    </row>
    <row r="2125" spans="1:7" hidden="1" x14ac:dyDescent="0.25">
      <c r="A2125" s="667"/>
      <c r="B2125" s="667"/>
      <c r="C2125" s="667"/>
      <c r="D2125" s="1785"/>
      <c r="E2125" s="664"/>
      <c r="F2125" s="94"/>
      <c r="G2125" s="1260" t="s">
        <v>247</v>
      </c>
    </row>
    <row r="2126" spans="1:7" hidden="1" x14ac:dyDescent="0.25">
      <c r="A2126" s="667"/>
      <c r="B2126" s="667"/>
      <c r="C2126" s="667"/>
      <c r="D2126" s="1785"/>
      <c r="E2126" s="664"/>
      <c r="F2126" s="94"/>
      <c r="G2126" s="1260" t="s">
        <v>247</v>
      </c>
    </row>
    <row r="2127" spans="1:7" hidden="1" x14ac:dyDescent="0.25">
      <c r="A2127" s="684"/>
      <c r="B2127" s="684"/>
      <c r="C2127" s="684"/>
      <c r="D2127" s="1936"/>
      <c r="E2127" s="664"/>
      <c r="F2127" s="94"/>
      <c r="G2127" s="1260" t="s">
        <v>247</v>
      </c>
    </row>
    <row r="2128" spans="1:7" ht="15" hidden="1" customHeight="1" x14ac:dyDescent="0.25">
      <c r="A2128" s="693" t="s">
        <v>4509</v>
      </c>
      <c r="B2128" s="693"/>
      <c r="C2128" s="693"/>
      <c r="D2128" s="1935" t="s">
        <v>4510</v>
      </c>
      <c r="E2128" s="664"/>
      <c r="F2128" s="94"/>
      <c r="G2128" s="1260" t="s">
        <v>247</v>
      </c>
    </row>
    <row r="2129" spans="1:7" hidden="1" x14ac:dyDescent="0.25">
      <c r="A2129" s="667"/>
      <c r="B2129" s="667"/>
      <c r="C2129" s="667"/>
      <c r="D2129" s="1785"/>
      <c r="E2129" s="664"/>
      <c r="F2129" s="94"/>
      <c r="G2129" s="1260" t="s">
        <v>247</v>
      </c>
    </row>
    <row r="2130" spans="1:7" hidden="1" x14ac:dyDescent="0.25">
      <c r="A2130" s="667"/>
      <c r="B2130" s="667"/>
      <c r="C2130" s="667"/>
      <c r="D2130" s="1785"/>
      <c r="E2130" s="664"/>
      <c r="F2130" s="94"/>
      <c r="G2130" s="1260" t="s">
        <v>247</v>
      </c>
    </row>
    <row r="2131" spans="1:7" hidden="1" x14ac:dyDescent="0.25">
      <c r="A2131" s="667"/>
      <c r="B2131" s="667"/>
      <c r="C2131" s="667"/>
      <c r="D2131" s="1785"/>
      <c r="E2131" s="664"/>
      <c r="F2131" s="94"/>
      <c r="G2131" s="1260" t="s">
        <v>247</v>
      </c>
    </row>
    <row r="2132" spans="1:7" hidden="1" x14ac:dyDescent="0.25">
      <c r="A2132" s="667"/>
      <c r="B2132" s="667"/>
      <c r="C2132" s="667"/>
      <c r="D2132" s="1785"/>
      <c r="E2132" s="664"/>
      <c r="F2132" s="94"/>
      <c r="G2132" s="1260" t="s">
        <v>247</v>
      </c>
    </row>
    <row r="2133" spans="1:7" hidden="1" x14ac:dyDescent="0.25">
      <c r="A2133" s="667"/>
      <c r="B2133" s="667"/>
      <c r="C2133" s="667"/>
      <c r="D2133" s="1785"/>
      <c r="E2133" s="664"/>
      <c r="F2133" s="94"/>
      <c r="G2133" s="1260" t="s">
        <v>247</v>
      </c>
    </row>
    <row r="2134" spans="1:7" hidden="1" x14ac:dyDescent="0.25">
      <c r="A2134" s="684"/>
      <c r="B2134" s="684"/>
      <c r="C2134" s="684"/>
      <c r="D2134" s="1936"/>
      <c r="E2134" s="664"/>
      <c r="F2134" s="94"/>
      <c r="G2134" s="1260" t="s">
        <v>247</v>
      </c>
    </row>
    <row r="2135" spans="1:7" ht="15" hidden="1" customHeight="1" x14ac:dyDescent="0.25">
      <c r="A2135" s="693" t="s">
        <v>4511</v>
      </c>
      <c r="B2135" s="693"/>
      <c r="C2135" s="693"/>
      <c r="D2135" s="1935" t="s">
        <v>4512</v>
      </c>
      <c r="E2135" s="664"/>
      <c r="F2135" s="94"/>
      <c r="G2135" s="1260" t="s">
        <v>247</v>
      </c>
    </row>
    <row r="2136" spans="1:7" hidden="1" x14ac:dyDescent="0.25">
      <c r="A2136" s="667"/>
      <c r="B2136" s="667"/>
      <c r="C2136" s="667"/>
      <c r="D2136" s="1785"/>
      <c r="E2136" s="664"/>
      <c r="F2136" s="94"/>
      <c r="G2136" s="1260" t="s">
        <v>247</v>
      </c>
    </row>
    <row r="2137" spans="1:7" hidden="1" x14ac:dyDescent="0.25">
      <c r="A2137" s="667"/>
      <c r="B2137" s="667"/>
      <c r="C2137" s="667"/>
      <c r="D2137" s="1785"/>
      <c r="E2137" s="664"/>
      <c r="F2137" s="94"/>
      <c r="G2137" s="1260" t="s">
        <v>247</v>
      </c>
    </row>
    <row r="2138" spans="1:7" hidden="1" x14ac:dyDescent="0.25">
      <c r="A2138" s="667"/>
      <c r="B2138" s="667"/>
      <c r="C2138" s="667"/>
      <c r="D2138" s="1785"/>
      <c r="E2138" s="664"/>
      <c r="F2138" s="94"/>
      <c r="G2138" s="1260" t="s">
        <v>247</v>
      </c>
    </row>
    <row r="2139" spans="1:7" hidden="1" x14ac:dyDescent="0.25">
      <c r="A2139" s="684"/>
      <c r="B2139" s="684"/>
      <c r="C2139" s="684"/>
      <c r="D2139" s="1936"/>
      <c r="E2139" s="664"/>
      <c r="F2139" s="94"/>
      <c r="G2139" s="1260" t="s">
        <v>247</v>
      </c>
    </row>
    <row r="2140" spans="1:7" ht="15" hidden="1" customHeight="1" x14ac:dyDescent="0.25">
      <c r="A2140" s="693" t="s">
        <v>4513</v>
      </c>
      <c r="B2140" s="693"/>
      <c r="C2140" s="693"/>
      <c r="D2140" s="1935" t="s">
        <v>4514</v>
      </c>
      <c r="E2140" s="664"/>
      <c r="F2140" s="94"/>
      <c r="G2140" s="1260" t="s">
        <v>247</v>
      </c>
    </row>
    <row r="2141" spans="1:7" hidden="1" x14ac:dyDescent="0.25">
      <c r="A2141" s="684"/>
      <c r="B2141" s="684"/>
      <c r="C2141" s="684"/>
      <c r="D2141" s="1936"/>
      <c r="E2141" s="664"/>
      <c r="F2141" s="94"/>
      <c r="G2141" s="1260" t="s">
        <v>247</v>
      </c>
    </row>
    <row r="2142" spans="1:7" ht="15" hidden="1" customHeight="1" x14ac:dyDescent="0.25">
      <c r="A2142" s="693" t="s">
        <v>4515</v>
      </c>
      <c r="B2142" s="693"/>
      <c r="C2142" s="693"/>
      <c r="D2142" s="1935" t="s">
        <v>4516</v>
      </c>
      <c r="E2142" s="664"/>
      <c r="F2142" s="94"/>
      <c r="G2142" s="1260" t="s">
        <v>247</v>
      </c>
    </row>
    <row r="2143" spans="1:7" hidden="1" x14ac:dyDescent="0.25">
      <c r="A2143" s="667"/>
      <c r="B2143" s="667"/>
      <c r="C2143" s="667"/>
      <c r="D2143" s="1785"/>
      <c r="E2143" s="664"/>
      <c r="F2143" s="94"/>
      <c r="G2143" s="1260" t="s">
        <v>247</v>
      </c>
    </row>
    <row r="2144" spans="1:7" hidden="1" x14ac:dyDescent="0.25">
      <c r="A2144" s="667"/>
      <c r="B2144" s="667"/>
      <c r="C2144" s="667"/>
      <c r="D2144" s="1785"/>
      <c r="E2144" s="664"/>
      <c r="F2144" s="94"/>
      <c r="G2144" s="1260" t="s">
        <v>247</v>
      </c>
    </row>
    <row r="2145" spans="1:7" hidden="1" x14ac:dyDescent="0.25">
      <c r="A2145" s="684"/>
      <c r="B2145" s="684"/>
      <c r="C2145" s="684"/>
      <c r="D2145" s="1936"/>
      <c r="E2145" s="664"/>
      <c r="F2145" s="94"/>
      <c r="G2145" s="1260" t="s">
        <v>247</v>
      </c>
    </row>
    <row r="2146" spans="1:7" ht="15" hidden="1" customHeight="1" x14ac:dyDescent="0.25">
      <c r="A2146" s="693" t="s">
        <v>4517</v>
      </c>
      <c r="B2146" s="693"/>
      <c r="C2146" s="693"/>
      <c r="D2146" s="1935" t="s">
        <v>4518</v>
      </c>
      <c r="E2146" s="664"/>
      <c r="F2146" s="94"/>
      <c r="G2146" s="1260" t="s">
        <v>247</v>
      </c>
    </row>
    <row r="2147" spans="1:7" hidden="1" x14ac:dyDescent="0.25">
      <c r="A2147" s="667"/>
      <c r="B2147" s="667"/>
      <c r="C2147" s="667"/>
      <c r="D2147" s="1785"/>
      <c r="E2147" s="664"/>
      <c r="F2147" s="94"/>
      <c r="G2147" s="1260" t="s">
        <v>247</v>
      </c>
    </row>
    <row r="2148" spans="1:7" hidden="1" x14ac:dyDescent="0.25">
      <c r="A2148" s="684"/>
      <c r="B2148" s="684"/>
      <c r="C2148" s="684"/>
      <c r="D2148" s="1936"/>
      <c r="E2148" s="664"/>
      <c r="F2148" s="94"/>
      <c r="G2148" s="1260" t="s">
        <v>247</v>
      </c>
    </row>
    <row r="2149" spans="1:7" hidden="1" x14ac:dyDescent="0.25">
      <c r="A2149" s="667" t="s">
        <v>4519</v>
      </c>
      <c r="B2149" s="667"/>
      <c r="C2149" s="667"/>
      <c r="D2149" s="1543" t="s">
        <v>4520</v>
      </c>
      <c r="E2149" s="1055"/>
      <c r="F2149" s="94"/>
      <c r="G2149" s="1260" t="s">
        <v>247</v>
      </c>
    </row>
    <row r="2150" spans="1:7" hidden="1" x14ac:dyDescent="0.25">
      <c r="A2150" s="667"/>
      <c r="B2150" s="667"/>
      <c r="C2150" s="667"/>
      <c r="D2150" s="1543" t="s">
        <v>4521</v>
      </c>
      <c r="E2150" s="664"/>
      <c r="F2150" s="94"/>
      <c r="G2150" s="1260" t="s">
        <v>247</v>
      </c>
    </row>
    <row r="2151" spans="1:7" ht="15" hidden="1" customHeight="1" x14ac:dyDescent="0.25">
      <c r="A2151" s="667"/>
      <c r="B2151" s="667"/>
      <c r="C2151" s="667"/>
      <c r="D2151" s="1933" t="s">
        <v>4522</v>
      </c>
      <c r="E2151" s="664"/>
      <c r="F2151" s="1313" t="str">
        <f>IF(LEN('Verification Report'!W2154)=0,"",'Verification Report'!W2154)</f>
        <v/>
      </c>
      <c r="G2151" s="1260" t="s">
        <v>247</v>
      </c>
    </row>
    <row r="2152" spans="1:7" hidden="1" x14ac:dyDescent="0.25">
      <c r="A2152" s="667"/>
      <c r="B2152" s="667"/>
      <c r="C2152" s="667"/>
      <c r="D2152" s="1933"/>
      <c r="E2152" s="664"/>
      <c r="F2152" s="94"/>
      <c r="G2152" s="1260" t="s">
        <v>247</v>
      </c>
    </row>
    <row r="2153" spans="1:7" hidden="1" x14ac:dyDescent="0.25">
      <c r="A2153" s="667"/>
      <c r="B2153" s="667" t="s">
        <v>256</v>
      </c>
      <c r="C2153" s="667"/>
      <c r="D2153" s="1574" t="s">
        <v>4523</v>
      </c>
      <c r="E2153" s="1295">
        <f>'Verification Report'!O2154</f>
        <v>0</v>
      </c>
      <c r="F2153" s="1313" t="str">
        <f>IF(LEN('Verification Report'!W2156)=0,"",'Verification Report'!W2156)</f>
        <v/>
      </c>
      <c r="G2153" s="1260" t="s">
        <v>247</v>
      </c>
    </row>
    <row r="2154" spans="1:7" hidden="1" x14ac:dyDescent="0.25">
      <c r="A2154" s="667"/>
      <c r="B2154" s="667"/>
      <c r="C2154" s="667" t="s">
        <v>121</v>
      </c>
      <c r="D2154" s="1574" t="s">
        <v>4524</v>
      </c>
      <c r="E2154" s="1295"/>
      <c r="F2154" s="94"/>
      <c r="G2154" s="1260" t="s">
        <v>247</v>
      </c>
    </row>
    <row r="2155" spans="1:7" ht="15" hidden="1" customHeight="1" x14ac:dyDescent="0.25">
      <c r="A2155" s="667"/>
      <c r="B2155" s="667"/>
      <c r="C2155" s="667" t="s">
        <v>122</v>
      </c>
      <c r="D2155" s="1933" t="s">
        <v>4525</v>
      </c>
      <c r="E2155" s="664"/>
      <c r="F2155" s="94"/>
      <c r="G2155" s="1260" t="s">
        <v>247</v>
      </c>
    </row>
    <row r="2156" spans="1:7" hidden="1" x14ac:dyDescent="0.25">
      <c r="A2156" s="667"/>
      <c r="B2156" s="667"/>
      <c r="C2156" s="667"/>
      <c r="D2156" s="1933"/>
      <c r="E2156" s="664"/>
      <c r="F2156" s="94"/>
      <c r="G2156" s="1260" t="s">
        <v>247</v>
      </c>
    </row>
    <row r="2157" spans="1:7" ht="15" hidden="1" customHeight="1" x14ac:dyDescent="0.25">
      <c r="C2157" s="667" t="s">
        <v>123</v>
      </c>
      <c r="D2157" s="1933" t="s">
        <v>4526</v>
      </c>
      <c r="E2157" s="664"/>
      <c r="F2157" s="94"/>
      <c r="G2157" s="1260" t="s">
        <v>247</v>
      </c>
    </row>
    <row r="2158" spans="1:7" hidden="1" x14ac:dyDescent="0.25">
      <c r="C2158" s="667"/>
      <c r="D2158" s="1933"/>
      <c r="E2158" s="664"/>
      <c r="F2158" s="94"/>
      <c r="G2158" s="1260" t="s">
        <v>247</v>
      </c>
    </row>
    <row r="2159" spans="1:7" ht="15" hidden="1" customHeight="1" x14ac:dyDescent="0.25">
      <c r="C2159" s="139" t="s">
        <v>401</v>
      </c>
      <c r="D2159" s="1933" t="s">
        <v>4527</v>
      </c>
      <c r="E2159" s="664"/>
      <c r="F2159" s="94"/>
      <c r="G2159" s="1260" t="s">
        <v>247</v>
      </c>
    </row>
    <row r="2160" spans="1:7" hidden="1" x14ac:dyDescent="0.25">
      <c r="C2160" s="139"/>
      <c r="D2160" s="1933"/>
      <c r="E2160" s="664"/>
      <c r="F2160" s="94"/>
      <c r="G2160" s="1260" t="s">
        <v>247</v>
      </c>
    </row>
    <row r="2161" spans="1:7" ht="15" hidden="1" customHeight="1" x14ac:dyDescent="0.25">
      <c r="C2161" s="139" t="s">
        <v>539</v>
      </c>
      <c r="D2161" s="1933" t="s">
        <v>4897</v>
      </c>
      <c r="E2161" s="664"/>
      <c r="F2161" s="94"/>
      <c r="G2161" s="1260" t="s">
        <v>247</v>
      </c>
    </row>
    <row r="2162" spans="1:7" hidden="1" x14ac:dyDescent="0.25">
      <c r="C2162" s="139"/>
      <c r="D2162" s="1933"/>
      <c r="E2162" s="664"/>
      <c r="F2162" s="94"/>
      <c r="G2162" s="1260" t="s">
        <v>247</v>
      </c>
    </row>
    <row r="2163" spans="1:7" hidden="1" x14ac:dyDescent="0.25">
      <c r="C2163" s="139"/>
      <c r="D2163" s="1933"/>
      <c r="E2163" s="664"/>
      <c r="F2163" s="94"/>
      <c r="G2163" s="1260" t="s">
        <v>247</v>
      </c>
    </row>
    <row r="2164" spans="1:7" ht="15" hidden="1" customHeight="1" x14ac:dyDescent="0.25">
      <c r="C2164" s="139" t="s">
        <v>604</v>
      </c>
      <c r="D2164" s="1933" t="s">
        <v>4528</v>
      </c>
      <c r="E2164" s="664"/>
      <c r="F2164" s="94"/>
      <c r="G2164" s="1260" t="s">
        <v>247</v>
      </c>
    </row>
    <row r="2165" spans="1:7" hidden="1" x14ac:dyDescent="0.25">
      <c r="C2165" s="139"/>
      <c r="D2165" s="1933"/>
      <c r="E2165" s="664"/>
      <c r="F2165" s="94"/>
      <c r="G2165" s="1260" t="s">
        <v>247</v>
      </c>
    </row>
    <row r="2166" spans="1:7" ht="15" hidden="1" customHeight="1" x14ac:dyDescent="0.25">
      <c r="C2166" s="667" t="s">
        <v>606</v>
      </c>
      <c r="D2166" s="1933" t="s">
        <v>4529</v>
      </c>
      <c r="E2166" s="664"/>
      <c r="F2166" s="94"/>
      <c r="G2166" s="1260" t="s">
        <v>247</v>
      </c>
    </row>
    <row r="2167" spans="1:7" hidden="1" x14ac:dyDescent="0.25">
      <c r="C2167" s="667"/>
      <c r="D2167" s="1933"/>
      <c r="E2167" s="664"/>
      <c r="F2167" s="94"/>
      <c r="G2167" s="1260" t="s">
        <v>247</v>
      </c>
    </row>
    <row r="2168" spans="1:7" ht="15" hidden="1" customHeight="1" x14ac:dyDescent="0.25">
      <c r="C2168" s="667" t="s">
        <v>608</v>
      </c>
      <c r="D2168" s="1933" t="s">
        <v>4530</v>
      </c>
      <c r="E2168" s="664"/>
      <c r="F2168" s="94"/>
      <c r="G2168" s="1260" t="s">
        <v>247</v>
      </c>
    </row>
    <row r="2169" spans="1:7" hidden="1" x14ac:dyDescent="0.25">
      <c r="C2169" s="667"/>
      <c r="D2169" s="1933"/>
      <c r="E2169" s="664"/>
      <c r="F2169" s="94"/>
      <c r="G2169" s="1260" t="s">
        <v>247</v>
      </c>
    </row>
    <row r="2170" spans="1:7" ht="15" hidden="1" customHeight="1" x14ac:dyDescent="0.25">
      <c r="C2170" s="667" t="s">
        <v>844</v>
      </c>
      <c r="D2170" s="1933" t="s">
        <v>4531</v>
      </c>
      <c r="E2170" s="664"/>
      <c r="F2170" s="94"/>
      <c r="G2170" s="1260" t="s">
        <v>247</v>
      </c>
    </row>
    <row r="2171" spans="1:7" hidden="1" x14ac:dyDescent="0.25">
      <c r="C2171" s="667"/>
      <c r="D2171" s="1933"/>
      <c r="E2171" s="664"/>
      <c r="F2171" s="94"/>
      <c r="G2171" s="1260" t="s">
        <v>247</v>
      </c>
    </row>
    <row r="2172" spans="1:7" hidden="1" x14ac:dyDescent="0.25">
      <c r="C2172" s="667"/>
      <c r="D2172" s="1933"/>
      <c r="E2172" s="664"/>
      <c r="F2172" s="94"/>
      <c r="G2172" s="1260" t="s">
        <v>247</v>
      </c>
    </row>
    <row r="2173" spans="1:7" ht="15" hidden="1" customHeight="1" x14ac:dyDescent="0.25">
      <c r="C2173" s="667" t="s">
        <v>845</v>
      </c>
      <c r="D2173" s="1933" t="s">
        <v>4532</v>
      </c>
      <c r="E2173" s="664"/>
      <c r="F2173" s="94"/>
      <c r="G2173" s="1260" t="s">
        <v>247</v>
      </c>
    </row>
    <row r="2174" spans="1:7" hidden="1" x14ac:dyDescent="0.25">
      <c r="B2174" s="684"/>
      <c r="C2174" s="684"/>
      <c r="D2174" s="1934"/>
      <c r="E2174" s="1041"/>
      <c r="F2174" s="94"/>
      <c r="G2174" s="1260" t="s">
        <v>247</v>
      </c>
    </row>
    <row r="2175" spans="1:7" ht="15" hidden="1" customHeight="1" x14ac:dyDescent="0.25">
      <c r="A2175" s="668"/>
      <c r="B2175" s="667" t="s">
        <v>258</v>
      </c>
      <c r="C2175" s="668"/>
      <c r="D2175" s="1929" t="s">
        <v>4533</v>
      </c>
      <c r="E2175" s="1286">
        <f>'Verification Report'!O2176</f>
        <v>0</v>
      </c>
      <c r="F2175" s="1313" t="str">
        <f>IF(LEN('Verification Report'!W2178)=0,"",'Verification Report'!W2178)</f>
        <v/>
      </c>
      <c r="G2175" s="1260" t="s">
        <v>247</v>
      </c>
    </row>
    <row r="2176" spans="1:7" ht="15.75" hidden="1" thickBot="1" x14ac:dyDescent="0.3">
      <c r="A2176" s="673"/>
      <c r="B2176" s="673"/>
      <c r="C2176" s="673"/>
      <c r="D2176" s="1930"/>
      <c r="E2176" s="1269"/>
      <c r="F2176" s="94"/>
      <c r="G2176" s="1260" t="s">
        <v>247</v>
      </c>
    </row>
    <row r="2177" spans="1:7" ht="15.75" hidden="1" customHeight="1" thickTop="1" x14ac:dyDescent="0.25">
      <c r="A2177" s="64">
        <v>902.4</v>
      </c>
      <c r="B2177" s="4"/>
      <c r="C2177" s="4"/>
      <c r="D2177" s="1796" t="s">
        <v>3257</v>
      </c>
      <c r="E2177" s="1298">
        <f>'Verification Report'!O2178</f>
        <v>0</v>
      </c>
      <c r="F2177" s="94"/>
      <c r="G2177" s="1260" t="s">
        <v>247</v>
      </c>
    </row>
    <row r="2178" spans="1:7" hidden="1" x14ac:dyDescent="0.25">
      <c r="A2178" s="164"/>
      <c r="B2178" s="4"/>
      <c r="C2178" s="4"/>
      <c r="D2178" s="1796"/>
      <c r="E2178" s="1296"/>
      <c r="F2178" s="94"/>
      <c r="G2178" s="1260" t="s">
        <v>247</v>
      </c>
    </row>
    <row r="2179" spans="1:7" ht="15" hidden="1" customHeight="1" x14ac:dyDescent="0.25">
      <c r="A2179" s="164"/>
      <c r="B2179" s="183" t="s">
        <v>256</v>
      </c>
      <c r="C2179" s="129"/>
      <c r="D2179" s="1754" t="s">
        <v>3258</v>
      </c>
      <c r="E2179" s="1295"/>
      <c r="F2179" s="1313" t="str">
        <f>IF(LEN('Verification Report'!W2182)=0,"",'Verification Report'!W2182)</f>
        <v/>
      </c>
      <c r="G2179" s="1260" t="s">
        <v>247</v>
      </c>
    </row>
    <row r="2180" spans="1:7" hidden="1" x14ac:dyDescent="0.25">
      <c r="A2180" s="164"/>
      <c r="B2180" s="206"/>
      <c r="C2180" s="210"/>
      <c r="D2180" s="1755"/>
      <c r="E2180" s="1295"/>
      <c r="F2180" s="94"/>
      <c r="G2180" s="1260" t="s">
        <v>247</v>
      </c>
    </row>
    <row r="2181" spans="1:7" ht="15" hidden="1" customHeight="1" x14ac:dyDescent="0.25">
      <c r="A2181" s="164"/>
      <c r="B2181" s="27" t="s">
        <v>258</v>
      </c>
      <c r="C2181" s="4"/>
      <c r="D2181" s="1779" t="s">
        <v>3259</v>
      </c>
      <c r="E2181" s="1296"/>
      <c r="F2181" s="1313" t="str">
        <f>IF(LEN('Verification Report'!W2184)=0,"",'Verification Report'!W2184)</f>
        <v/>
      </c>
      <c r="G2181" s="1260" t="s">
        <v>247</v>
      </c>
    </row>
    <row r="2182" spans="1:7" hidden="1" x14ac:dyDescent="0.25">
      <c r="A2182" s="164"/>
      <c r="B2182" s="4"/>
      <c r="C2182" s="4"/>
      <c r="D2182" s="1779"/>
      <c r="E2182" s="1296"/>
      <c r="F2182" s="94"/>
      <c r="G2182" s="1260" t="s">
        <v>247</v>
      </c>
    </row>
    <row r="2183" spans="1:7" hidden="1" x14ac:dyDescent="0.25">
      <c r="A2183" s="164"/>
      <c r="B2183" s="210"/>
      <c r="C2183" s="210"/>
      <c r="D2183" s="1755"/>
      <c r="E2183" s="1296"/>
      <c r="F2183" s="94"/>
      <c r="G2183" s="1260" t="s">
        <v>247</v>
      </c>
    </row>
    <row r="2184" spans="1:7" ht="15" hidden="1" customHeight="1" x14ac:dyDescent="0.25">
      <c r="A2184" s="164"/>
      <c r="B2184" s="667" t="s">
        <v>260</v>
      </c>
      <c r="C2184" s="679"/>
      <c r="D2184" s="1933" t="s">
        <v>4538</v>
      </c>
      <c r="E2184" s="1296"/>
      <c r="F2184" s="1313" t="str">
        <f>IF(LEN('Verification Report'!W2187)=0,"",'Verification Report'!W2187)</f>
        <v/>
      </c>
      <c r="G2184" s="1260" t="s">
        <v>247</v>
      </c>
    </row>
    <row r="2185" spans="1:7" hidden="1" x14ac:dyDescent="0.25">
      <c r="A2185" s="164"/>
      <c r="B2185" s="679"/>
      <c r="C2185" s="679"/>
      <c r="D2185" s="1933"/>
      <c r="E2185" s="1296"/>
      <c r="F2185" s="94"/>
      <c r="G2185" s="1260" t="s">
        <v>247</v>
      </c>
    </row>
    <row r="2186" spans="1:7" hidden="1" x14ac:dyDescent="0.25">
      <c r="A2186" s="164"/>
      <c r="B2186" s="679"/>
      <c r="C2186" s="679"/>
      <c r="D2186" s="1933"/>
      <c r="E2186" s="1296"/>
      <c r="F2186" s="94"/>
      <c r="G2186" s="1260" t="s">
        <v>247</v>
      </c>
    </row>
    <row r="2187" spans="1:7" ht="15.75" hidden="1" customHeight="1" thickTop="1" x14ac:dyDescent="0.25">
      <c r="A2187" s="180">
        <v>902.5</v>
      </c>
      <c r="B2187" s="181"/>
      <c r="C2187" s="181"/>
      <c r="D2187" s="1916" t="s">
        <v>3260</v>
      </c>
      <c r="E2187" s="1298">
        <f>'Verification Report'!O2188</f>
        <v>0</v>
      </c>
      <c r="F2187" s="1313" t="str">
        <f>IF(LEN('Verification Report'!W2190)=0,"",'Verification Report'!W2190)</f>
        <v/>
      </c>
      <c r="G2187" s="1260" t="s">
        <v>247</v>
      </c>
    </row>
    <row r="2188" spans="1:7" ht="15.75" hidden="1" thickBot="1" x14ac:dyDescent="0.3">
      <c r="A2188" s="189"/>
      <c r="B2188" s="240"/>
      <c r="C2188" s="240"/>
      <c r="D2188" s="1917"/>
      <c r="E2188" s="1294"/>
      <c r="F2188" s="94"/>
      <c r="G2188" s="1260" t="s">
        <v>247</v>
      </c>
    </row>
    <row r="2189" spans="1:7" ht="15.75" hidden="1" customHeight="1" thickTop="1" x14ac:dyDescent="0.25">
      <c r="A2189" s="64">
        <v>902.6</v>
      </c>
      <c r="B2189" s="4"/>
      <c r="C2189" s="4"/>
      <c r="D2189" s="1796" t="s">
        <v>3261</v>
      </c>
      <c r="E2189" s="1295"/>
      <c r="F2189" s="1313" t="str">
        <f>IF(LEN('Verification Report'!W2192)=0,"",'Verification Report'!W2192)</f>
        <v/>
      </c>
      <c r="G2189" s="1260" t="s">
        <v>247</v>
      </c>
    </row>
    <row r="2190" spans="1:7" hidden="1" x14ac:dyDescent="0.25">
      <c r="A2190" s="164"/>
      <c r="B2190" s="4"/>
      <c r="C2190" s="4"/>
      <c r="D2190" s="1796"/>
      <c r="E2190" s="1295"/>
      <c r="F2190" s="94"/>
      <c r="G2190" s="1260" t="s">
        <v>247</v>
      </c>
    </row>
    <row r="2191" spans="1:7" ht="18.75" hidden="1" x14ac:dyDescent="0.3">
      <c r="A2191" s="14" t="s">
        <v>3262</v>
      </c>
      <c r="B2191" s="23"/>
      <c r="C2191" s="23"/>
      <c r="D2191" s="84"/>
      <c r="E2191" s="1043"/>
      <c r="F2191" s="94"/>
      <c r="G2191" s="1260" t="s">
        <v>247</v>
      </c>
    </row>
    <row r="2192" spans="1:7" ht="15.75" hidden="1" thickBot="1" x14ac:dyDescent="0.3">
      <c r="A2192" s="478">
        <v>903</v>
      </c>
      <c r="B2192" s="240"/>
      <c r="C2192" s="240"/>
      <c r="D2192" s="1570" t="s">
        <v>3263</v>
      </c>
      <c r="E2192" s="1294"/>
      <c r="F2192" s="94"/>
      <c r="G2192" s="1260" t="s">
        <v>247</v>
      </c>
    </row>
    <row r="2193" spans="1:7" ht="15.75" hidden="1" thickTop="1" x14ac:dyDescent="0.25">
      <c r="A2193" s="479">
        <v>903.1</v>
      </c>
      <c r="B2193" s="181"/>
      <c r="C2193" s="181"/>
      <c r="D2193" s="1569" t="s">
        <v>3659</v>
      </c>
      <c r="E2193" s="1298">
        <f ca="1">'Verification Report'!O2194</f>
        <v>0</v>
      </c>
      <c r="F2193" s="1313" t="str">
        <f>IF(LEN('Verification Report'!W2196)=0,"",'Verification Report'!W2196)</f>
        <v/>
      </c>
      <c r="G2193" s="1260" t="s">
        <v>247</v>
      </c>
    </row>
    <row r="2194" spans="1:7" ht="15" hidden="1" customHeight="1" x14ac:dyDescent="0.25">
      <c r="A2194" s="480"/>
      <c r="B2194" s="183" t="s">
        <v>256</v>
      </c>
      <c r="C2194" s="129"/>
      <c r="D2194" s="1754" t="s">
        <v>3657</v>
      </c>
      <c r="E2194" s="1296"/>
      <c r="F2194" s="94"/>
      <c r="G2194" s="1260" t="s">
        <v>247</v>
      </c>
    </row>
    <row r="2195" spans="1:7" hidden="1" x14ac:dyDescent="0.25">
      <c r="A2195" s="480"/>
      <c r="B2195" s="206"/>
      <c r="C2195" s="210"/>
      <c r="D2195" s="1843"/>
      <c r="E2195" s="1296"/>
      <c r="F2195" s="94"/>
      <c r="G2195" s="1260" t="s">
        <v>247</v>
      </c>
    </row>
    <row r="2196" spans="1:7" ht="15.75" hidden="1" thickBot="1" x14ac:dyDescent="0.3">
      <c r="A2196" s="481"/>
      <c r="B2196" s="190" t="s">
        <v>258</v>
      </c>
      <c r="C2196" s="240"/>
      <c r="D2196" s="1555" t="s">
        <v>3658</v>
      </c>
      <c r="E2196" s="1294"/>
      <c r="F2196" s="94"/>
      <c r="G2196" s="1260" t="s">
        <v>247</v>
      </c>
    </row>
    <row r="2197" spans="1:7" ht="15.75" hidden="1" thickTop="1" x14ac:dyDescent="0.25">
      <c r="A2197" s="180">
        <v>903.2</v>
      </c>
      <c r="B2197" s="181"/>
      <c r="C2197" s="181"/>
      <c r="D2197" s="1569" t="s">
        <v>3266</v>
      </c>
      <c r="E2197" s="1298">
        <f ca="1">'Verification Report'!O2198</f>
        <v>0</v>
      </c>
      <c r="F2197" s="1313" t="str">
        <f>IF(LEN('Verification Report'!W2200)=0,"",'Verification Report'!W2200)</f>
        <v/>
      </c>
      <c r="G2197" s="1260" t="s">
        <v>247</v>
      </c>
    </row>
    <row r="2198" spans="1:7" hidden="1" x14ac:dyDescent="0.25">
      <c r="A2198" s="480"/>
      <c r="B2198" s="206" t="s">
        <v>256</v>
      </c>
      <c r="C2198" s="210"/>
      <c r="D2198" s="1536" t="s">
        <v>3267</v>
      </c>
      <c r="E2198" s="1296"/>
      <c r="F2198" s="94"/>
      <c r="G2198" s="1260" t="s">
        <v>247</v>
      </c>
    </row>
    <row r="2199" spans="1:7" ht="15" hidden="1" customHeight="1" x14ac:dyDescent="0.25">
      <c r="A2199" s="480"/>
      <c r="B2199" s="183" t="s">
        <v>258</v>
      </c>
      <c r="C2199" s="129"/>
      <c r="D2199" s="1754" t="s">
        <v>3268</v>
      </c>
      <c r="E2199" s="1296"/>
      <c r="F2199" s="94"/>
      <c r="G2199" s="1260" t="s">
        <v>247</v>
      </c>
    </row>
    <row r="2200" spans="1:7" ht="15.75" hidden="1" thickBot="1" x14ac:dyDescent="0.3">
      <c r="A2200" s="481"/>
      <c r="B2200" s="240"/>
      <c r="C2200" s="240"/>
      <c r="D2200" s="1783"/>
      <c r="E2200" s="1294"/>
      <c r="F2200" s="94"/>
      <c r="G2200" s="1260" t="s">
        <v>247</v>
      </c>
    </row>
    <row r="2201" spans="1:7" ht="15.75" hidden="1" customHeight="1" thickTop="1" x14ac:dyDescent="0.25">
      <c r="A2201" s="64">
        <v>903.3</v>
      </c>
      <c r="B2201" s="4"/>
      <c r="C2201" s="4"/>
      <c r="D2201" s="1796" t="s">
        <v>3660</v>
      </c>
      <c r="E2201" s="1295">
        <f>'Verification Report'!O2202</f>
        <v>0</v>
      </c>
      <c r="F2201" s="94"/>
      <c r="G2201" s="1260" t="s">
        <v>247</v>
      </c>
    </row>
    <row r="2202" spans="1:7" hidden="1" x14ac:dyDescent="0.25">
      <c r="A2202" s="164"/>
      <c r="B2202" s="4"/>
      <c r="C2202" s="4"/>
      <c r="D2202" s="1796"/>
      <c r="E2202" s="1295"/>
      <c r="F2202" s="94"/>
      <c r="G2202" s="1260" t="s">
        <v>247</v>
      </c>
    </row>
    <row r="2203" spans="1:7" hidden="1" x14ac:dyDescent="0.25">
      <c r="A2203" s="164"/>
      <c r="B2203" s="206" t="s">
        <v>256</v>
      </c>
      <c r="C2203" s="178"/>
      <c r="D2203" s="1536" t="s">
        <v>3269</v>
      </c>
      <c r="E2203" s="1296"/>
      <c r="F2203" s="1313" t="str">
        <f>IF(LEN('Verification Report'!W2206)=0,"",'Verification Report'!W2206)</f>
        <v/>
      </c>
      <c r="G2203" s="1260" t="s">
        <v>247</v>
      </c>
    </row>
    <row r="2204" spans="1:7" ht="15" hidden="1" customHeight="1" x14ac:dyDescent="0.25">
      <c r="A2204" s="164"/>
      <c r="B2204" s="27" t="s">
        <v>258</v>
      </c>
      <c r="D2204" s="1841" t="s">
        <v>3270</v>
      </c>
      <c r="E2204" s="1296"/>
      <c r="F2204" s="1313" t="str">
        <f>IF(LEN('Verification Report'!W2207)=0,"",'Verification Report'!W2207)</f>
        <v/>
      </c>
      <c r="G2204" s="1260" t="s">
        <v>247</v>
      </c>
    </row>
    <row r="2205" spans="1:7" hidden="1" x14ac:dyDescent="0.25">
      <c r="A2205" s="164"/>
      <c r="B2205" s="4"/>
      <c r="C2205" s="27"/>
      <c r="D2205" s="1841"/>
      <c r="E2205" s="1295"/>
      <c r="F2205" s="94"/>
      <c r="G2205" s="1260" t="s">
        <v>247</v>
      </c>
    </row>
    <row r="2206" spans="1:7" ht="18.75" hidden="1" x14ac:dyDescent="0.3">
      <c r="A2206" s="14" t="s">
        <v>3271</v>
      </c>
      <c r="B2206" s="23"/>
      <c r="C2206" s="23"/>
      <c r="D2206" s="84"/>
      <c r="E2206" s="1043"/>
      <c r="F2206" s="94"/>
      <c r="G2206" s="1260" t="s">
        <v>247</v>
      </c>
    </row>
    <row r="2207" spans="1:7" ht="15" hidden="1" customHeight="1" x14ac:dyDescent="0.25">
      <c r="A2207" s="238">
        <v>904</v>
      </c>
      <c r="B2207" s="129"/>
      <c r="C2207" s="129"/>
      <c r="D2207" s="1782" t="s">
        <v>3272</v>
      </c>
      <c r="E2207" s="1296"/>
      <c r="F2207" s="94"/>
      <c r="G2207" s="1260" t="s">
        <v>247</v>
      </c>
    </row>
    <row r="2208" spans="1:7" ht="15.75" hidden="1" thickBot="1" x14ac:dyDescent="0.3">
      <c r="A2208" s="481"/>
      <c r="B2208" s="240"/>
      <c r="C2208" s="240"/>
      <c r="D2208" s="1797"/>
      <c r="E2208" s="1294"/>
      <c r="F2208" s="94"/>
      <c r="G2208" s="1260" t="s">
        <v>247</v>
      </c>
    </row>
    <row r="2209" spans="1:7" ht="15.75" hidden="1" customHeight="1" thickTop="1" x14ac:dyDescent="0.25">
      <c r="A2209" s="479">
        <v>904.1</v>
      </c>
      <c r="B2209" s="181"/>
      <c r="C2209" s="181"/>
      <c r="D2209" s="1781" t="s">
        <v>3273</v>
      </c>
      <c r="E2209" s="1298">
        <f>'Verification Report'!O2210</f>
        <v>0</v>
      </c>
      <c r="F2209" s="1313" t="str">
        <f>IF(LEN('Verification Report'!W2212)=0,"",'Verification Report'!W2212)</f>
        <v/>
      </c>
      <c r="G2209" s="1260" t="s">
        <v>247</v>
      </c>
    </row>
    <row r="2210" spans="1:7" hidden="1" x14ac:dyDescent="0.25">
      <c r="A2210" s="480"/>
      <c r="B2210" s="129"/>
      <c r="C2210" s="129"/>
      <c r="D2210" s="1782"/>
      <c r="E2210" s="1296"/>
      <c r="F2210" s="94"/>
      <c r="G2210" s="1260" t="s">
        <v>247</v>
      </c>
    </row>
    <row r="2211" spans="1:7" hidden="1" x14ac:dyDescent="0.25">
      <c r="A2211" s="480"/>
      <c r="B2211" s="129"/>
      <c r="C2211" s="129"/>
      <c r="D2211" s="1782"/>
      <c r="E2211" s="1296"/>
      <c r="F2211" s="94"/>
      <c r="G2211" s="1260" t="s">
        <v>247</v>
      </c>
    </row>
    <row r="2212" spans="1:7" hidden="1" x14ac:dyDescent="0.25">
      <c r="A2212" s="480"/>
      <c r="B2212" s="129"/>
      <c r="C2212" s="129"/>
      <c r="D2212" s="1782"/>
      <c r="E2212" s="1296"/>
      <c r="F2212" s="94"/>
      <c r="G2212" s="1260" t="s">
        <v>247</v>
      </c>
    </row>
    <row r="2213" spans="1:7" ht="15.75" hidden="1" thickBot="1" x14ac:dyDescent="0.3">
      <c r="A2213" s="481"/>
      <c r="B2213" s="240"/>
      <c r="C2213" s="240"/>
      <c r="D2213" s="1797"/>
      <c r="E2213" s="1294"/>
      <c r="F2213" s="94"/>
      <c r="G2213" s="1260" t="s">
        <v>247</v>
      </c>
    </row>
    <row r="2214" spans="1:7" ht="15.75" hidden="1" customHeight="1" thickTop="1" x14ac:dyDescent="0.25">
      <c r="A2214" s="180">
        <v>904.2</v>
      </c>
      <c r="B2214" s="181"/>
      <c r="C2214" s="181"/>
      <c r="D2214" s="1781" t="s">
        <v>3274</v>
      </c>
      <c r="E2214" s="1298">
        <f>'Verification Report'!O2215</f>
        <v>0</v>
      </c>
      <c r="F2214" s="1313" t="str">
        <f>IF(LEN('Verification Report'!W2217)=0,"",'Verification Report'!W2217)</f>
        <v/>
      </c>
      <c r="G2214" s="1260" t="s">
        <v>247</v>
      </c>
    </row>
    <row r="2215" spans="1:7" hidden="1" x14ac:dyDescent="0.25">
      <c r="A2215" s="480"/>
      <c r="B2215" s="129"/>
      <c r="C2215" s="129"/>
      <c r="D2215" s="1782"/>
      <c r="E2215" s="1296"/>
      <c r="F2215" s="94"/>
      <c r="G2215" s="1260" t="s">
        <v>247</v>
      </c>
    </row>
    <row r="2216" spans="1:7" ht="15.75" hidden="1" thickBot="1" x14ac:dyDescent="0.3">
      <c r="A2216" s="481"/>
      <c r="B2216" s="240"/>
      <c r="C2216" s="240"/>
      <c r="D2216" s="1797"/>
      <c r="E2216" s="1294"/>
      <c r="F2216" s="94"/>
      <c r="G2216" s="1260" t="s">
        <v>247</v>
      </c>
    </row>
    <row r="2217" spans="1:7" ht="15.75" hidden="1" customHeight="1" thickTop="1" x14ac:dyDescent="0.25">
      <c r="A2217" s="667" t="s">
        <v>4541</v>
      </c>
      <c r="B2217" s="667"/>
      <c r="C2217" s="679"/>
      <c r="D2217" s="1785" t="s">
        <v>4542</v>
      </c>
      <c r="E2217" s="664"/>
      <c r="F2217" s="94"/>
      <c r="G2217" s="1260" t="s">
        <v>247</v>
      </c>
    </row>
    <row r="2218" spans="1:7" hidden="1" x14ac:dyDescent="0.25">
      <c r="A2218" s="667"/>
      <c r="B2218" s="667"/>
      <c r="C2218" s="679"/>
      <c r="D2218" s="1785"/>
      <c r="E2218" s="664"/>
      <c r="F2218" s="94"/>
      <c r="G2218" s="1260" t="s">
        <v>247</v>
      </c>
    </row>
    <row r="2219" spans="1:7" ht="15" hidden="1" customHeight="1" x14ac:dyDescent="0.25">
      <c r="A2219" s="667"/>
      <c r="B2219" s="668" t="s">
        <v>256</v>
      </c>
      <c r="C2219" s="680"/>
      <c r="D2219" s="1929" t="s">
        <v>4539</v>
      </c>
      <c r="E2219" s="665"/>
      <c r="F2219" s="1313" t="str">
        <f>IF(LEN('Verification Report'!W2222)=0,"",'Verification Report'!W2222)</f>
        <v/>
      </c>
      <c r="G2219" s="1260" t="s">
        <v>247</v>
      </c>
    </row>
    <row r="2220" spans="1:7" hidden="1" x14ac:dyDescent="0.25">
      <c r="A2220" s="667"/>
      <c r="B2220" s="668"/>
      <c r="C2220" s="680"/>
      <c r="D2220" s="1929"/>
      <c r="E2220" s="665"/>
      <c r="F2220" s="94"/>
      <c r="G2220" s="1260" t="s">
        <v>247</v>
      </c>
    </row>
    <row r="2221" spans="1:7" hidden="1" x14ac:dyDescent="0.25">
      <c r="A2221" s="667"/>
      <c r="B2221" s="668"/>
      <c r="C2221" s="680"/>
      <c r="D2221" s="1929"/>
      <c r="E2221" s="665"/>
      <c r="F2221" s="94"/>
      <c r="G2221" s="1260" t="s">
        <v>247</v>
      </c>
    </row>
    <row r="2222" spans="1:7" hidden="1" x14ac:dyDescent="0.25">
      <c r="A2222" s="667"/>
      <c r="B2222" s="668"/>
      <c r="C2222" s="680"/>
      <c r="D2222" s="1929"/>
      <c r="E2222" s="665"/>
      <c r="F2222" s="94"/>
      <c r="G2222" s="1260" t="s">
        <v>247</v>
      </c>
    </row>
    <row r="2223" spans="1:7" hidden="1" x14ac:dyDescent="0.25">
      <c r="A2223" s="667"/>
      <c r="B2223" s="668"/>
      <c r="C2223" s="680"/>
      <c r="D2223" s="1929"/>
      <c r="E2223" s="665"/>
      <c r="F2223" s="94"/>
      <c r="G2223" s="1260" t="s">
        <v>247</v>
      </c>
    </row>
    <row r="2224" spans="1:7" hidden="1" x14ac:dyDescent="0.25">
      <c r="A2224" s="667"/>
      <c r="B2224" s="668"/>
      <c r="C2224" s="680"/>
      <c r="D2224" s="1929"/>
      <c r="E2224" s="665"/>
      <c r="F2224" s="94"/>
      <c r="G2224" s="1260" t="s">
        <v>247</v>
      </c>
    </row>
    <row r="2225" spans="1:7" hidden="1" x14ac:dyDescent="0.25">
      <c r="A2225" s="667"/>
      <c r="B2225" s="668"/>
      <c r="C2225" s="680"/>
      <c r="D2225" s="1929"/>
      <c r="E2225" s="665"/>
      <c r="F2225" s="94"/>
      <c r="G2225" s="1260" t="s">
        <v>247</v>
      </c>
    </row>
    <row r="2226" spans="1:7" hidden="1" x14ac:dyDescent="0.25">
      <c r="A2226" s="667"/>
      <c r="B2226" s="684"/>
      <c r="C2226" s="686"/>
      <c r="D2226" s="1934"/>
      <c r="E2226" s="1041"/>
      <c r="F2226" s="94"/>
      <c r="G2226" s="1260" t="s">
        <v>247</v>
      </c>
    </row>
    <row r="2227" spans="1:7" ht="15" hidden="1" customHeight="1" x14ac:dyDescent="0.25">
      <c r="A2227" s="667"/>
      <c r="B2227" s="667" t="s">
        <v>258</v>
      </c>
      <c r="C2227" s="679"/>
      <c r="D2227" s="1933" t="s">
        <v>4540</v>
      </c>
      <c r="E2227" s="664"/>
      <c r="F2227" s="1313" t="str">
        <f>IF(LEN('Verification Report'!W2230)=0,"",'Verification Report'!W2230)</f>
        <v/>
      </c>
      <c r="G2227" s="1260" t="s">
        <v>247</v>
      </c>
    </row>
    <row r="2228" spans="1:7" hidden="1" x14ac:dyDescent="0.25">
      <c r="A2228" s="679"/>
      <c r="B2228" s="679"/>
      <c r="C2228" s="679"/>
      <c r="D2228" s="1933"/>
      <c r="E2228" s="664"/>
      <c r="F2228" s="94"/>
      <c r="G2228" s="1260" t="s">
        <v>247</v>
      </c>
    </row>
    <row r="2229" spans="1:7" hidden="1" x14ac:dyDescent="0.25">
      <c r="A2229" s="679"/>
      <c r="B2229" s="679"/>
      <c r="C2229" s="679"/>
      <c r="D2229" s="1933"/>
      <c r="E2229" s="664"/>
      <c r="F2229" s="94"/>
      <c r="G2229" s="1260" t="s">
        <v>247</v>
      </c>
    </row>
    <row r="2230" spans="1:7" ht="18.75" hidden="1" x14ac:dyDescent="0.3">
      <c r="A2230" s="14" t="s">
        <v>3275</v>
      </c>
      <c r="B2230" s="23"/>
      <c r="C2230" s="23"/>
      <c r="D2230" s="84"/>
      <c r="E2230" s="1043"/>
      <c r="F2230" s="94"/>
      <c r="G2230" s="1260" t="s">
        <v>247</v>
      </c>
    </row>
    <row r="2231" spans="1:7" ht="15" hidden="1" customHeight="1" x14ac:dyDescent="0.25">
      <c r="A2231" s="130">
        <v>905.1</v>
      </c>
      <c r="B2231" s="129"/>
      <c r="C2231" s="129"/>
      <c r="D2231" s="1782" t="s">
        <v>3276</v>
      </c>
      <c r="E2231" s="1296">
        <f>'Verification Report'!O2232</f>
        <v>0</v>
      </c>
      <c r="F2231" s="1313" t="str">
        <f>IF(LEN('Verification Report'!W2234)=0,"",'Verification Report'!W2234)</f>
        <v/>
      </c>
      <c r="G2231" s="1260" t="s">
        <v>247</v>
      </c>
    </row>
    <row r="2232" spans="1:7" hidden="1" x14ac:dyDescent="0.25">
      <c r="A2232" s="480"/>
      <c r="B2232" s="129"/>
      <c r="C2232" s="129"/>
      <c r="D2232" s="1782"/>
      <c r="E2232" s="1296"/>
      <c r="F2232" s="94"/>
      <c r="G2232" s="1260" t="s">
        <v>247</v>
      </c>
    </row>
    <row r="2233" spans="1:7" hidden="1" x14ac:dyDescent="0.25">
      <c r="A2233" s="480"/>
      <c r="B2233" s="129"/>
      <c r="C2233" s="129"/>
      <c r="D2233" s="1782"/>
      <c r="E2233" s="1296"/>
      <c r="F2233" s="94"/>
      <c r="G2233" s="1260" t="s">
        <v>247</v>
      </c>
    </row>
    <row r="2234" spans="1:7" hidden="1" x14ac:dyDescent="0.25">
      <c r="A2234" s="480"/>
      <c r="B2234" s="129"/>
      <c r="C2234" s="129"/>
      <c r="D2234" s="1782"/>
      <c r="E2234" s="1296"/>
      <c r="F2234" s="94"/>
      <c r="G2234" s="1260" t="s">
        <v>247</v>
      </c>
    </row>
    <row r="2235" spans="1:7" ht="15.75" hidden="1" thickBot="1" x14ac:dyDescent="0.3">
      <c r="A2235" s="481"/>
      <c r="B2235" s="240"/>
      <c r="C2235" s="240"/>
      <c r="D2235" s="1797"/>
      <c r="E2235" s="1294"/>
      <c r="F2235" s="94"/>
      <c r="G2235" s="1260" t="s">
        <v>247</v>
      </c>
    </row>
    <row r="2236" spans="1:7" ht="15.75" hidden="1" customHeight="1" thickTop="1" x14ac:dyDescent="0.25">
      <c r="A2236" s="180">
        <v>905.2</v>
      </c>
      <c r="B2236" s="181"/>
      <c r="C2236" s="181"/>
      <c r="D2236" s="1781" t="s">
        <v>3277</v>
      </c>
      <c r="E2236" s="1298">
        <f>'Verification Report'!O2237</f>
        <v>0</v>
      </c>
      <c r="F2236" s="1313" t="str">
        <f>IF(LEN('Verification Report'!W2239)=0,"",'Verification Report'!W2239)</f>
        <v/>
      </c>
      <c r="G2236" s="1260" t="s">
        <v>247</v>
      </c>
    </row>
    <row r="2237" spans="1:7" ht="15.75" hidden="1" thickBot="1" x14ac:dyDescent="0.3">
      <c r="A2237" s="481"/>
      <c r="B2237" s="240"/>
      <c r="C2237" s="240"/>
      <c r="D2237" s="1797"/>
      <c r="E2237" s="1294"/>
      <c r="F2237" s="94"/>
      <c r="G2237" s="1260" t="s">
        <v>247</v>
      </c>
    </row>
    <row r="2238" spans="1:7" hidden="1" x14ac:dyDescent="0.25">
      <c r="A2238" s="667" t="s">
        <v>4543</v>
      </c>
      <c r="B2238" s="667"/>
      <c r="C2238" s="679"/>
      <c r="D2238" s="1543" t="s">
        <v>4544</v>
      </c>
      <c r="E2238" s="1295">
        <f>'Verification Report'!O2239</f>
        <v>0</v>
      </c>
      <c r="F2238" s="94"/>
      <c r="G2238" s="1260" t="s">
        <v>247</v>
      </c>
    </row>
    <row r="2239" spans="1:7" hidden="1" x14ac:dyDescent="0.25">
      <c r="A2239" s="667"/>
      <c r="B2239" s="667" t="s">
        <v>256</v>
      </c>
      <c r="C2239" s="679"/>
      <c r="D2239" s="1574" t="s">
        <v>4545</v>
      </c>
      <c r="E2239" s="1295"/>
      <c r="F2239" s="1313" t="str">
        <f>IF(LEN('Verification Report'!W2242)=0,"",'Verification Report'!W2242)</f>
        <v/>
      </c>
      <c r="G2239" s="1260" t="s">
        <v>247</v>
      </c>
    </row>
    <row r="2240" spans="1:7" ht="15" hidden="1" customHeight="1" x14ac:dyDescent="0.25">
      <c r="A2240" s="667"/>
      <c r="B2240" s="667" t="s">
        <v>258</v>
      </c>
      <c r="C2240" s="679"/>
      <c r="D2240" s="1933" t="s">
        <v>4546</v>
      </c>
      <c r="E2240" s="665"/>
      <c r="F2240" s="1313" t="str">
        <f>IF(LEN('Verification Report'!W2243)=0,"",'Verification Report'!W2243)</f>
        <v/>
      </c>
      <c r="G2240" s="1260" t="s">
        <v>247</v>
      </c>
    </row>
    <row r="2241" spans="1:7" ht="15.75" hidden="1" thickBot="1" x14ac:dyDescent="0.3">
      <c r="A2241" s="673"/>
      <c r="B2241" s="673"/>
      <c r="C2241" s="681"/>
      <c r="D2241" s="1930"/>
      <c r="E2241" s="1052"/>
      <c r="F2241" s="94"/>
      <c r="G2241" s="1260" t="s">
        <v>247</v>
      </c>
    </row>
    <row r="2242" spans="1:7" ht="15.75" hidden="1" customHeight="1" thickTop="1" x14ac:dyDescent="0.25">
      <c r="A2242" s="682" t="s">
        <v>4547</v>
      </c>
      <c r="B2242" s="682"/>
      <c r="C2242" s="687"/>
      <c r="D2242" s="1801" t="s">
        <v>4891</v>
      </c>
      <c r="E2242" s="1298">
        <f ca="1">'Verification Report'!O2243</f>
        <v>0</v>
      </c>
      <c r="F2242" s="1313" t="str">
        <f>IF(LEN('Verification Report'!W2245)=0,"",'Verification Report'!W2245)</f>
        <v/>
      </c>
      <c r="G2242" s="1260" t="s">
        <v>247</v>
      </c>
    </row>
    <row r="2243" spans="1:7" hidden="1" x14ac:dyDescent="0.25">
      <c r="A2243" s="667"/>
      <c r="B2243" s="667"/>
      <c r="C2243" s="679"/>
      <c r="D2243" s="1785"/>
      <c r="E2243" s="1296"/>
      <c r="F2243" s="94"/>
      <c r="G2243" s="1260" t="s">
        <v>247</v>
      </c>
    </row>
    <row r="2244" spans="1:7" hidden="1" x14ac:dyDescent="0.25">
      <c r="A2244" s="667"/>
      <c r="B2244" s="667"/>
      <c r="C2244" s="679"/>
      <c r="D2244" s="1785"/>
      <c r="E2244" s="1296"/>
      <c r="F2244" s="94"/>
      <c r="G2244" s="1260" t="s">
        <v>247</v>
      </c>
    </row>
    <row r="2245" spans="1:7" hidden="1" x14ac:dyDescent="0.25">
      <c r="A2245" s="667"/>
      <c r="B2245" s="667"/>
      <c r="C2245" s="679"/>
      <c r="D2245" s="1785"/>
      <c r="E2245" s="665"/>
      <c r="F2245" s="94"/>
      <c r="G2245" s="1260" t="s">
        <v>247</v>
      </c>
    </row>
    <row r="2246" spans="1:7" ht="15.75" hidden="1" thickBot="1" x14ac:dyDescent="0.3">
      <c r="A2246" s="673"/>
      <c r="B2246" s="673"/>
      <c r="C2246" s="681"/>
      <c r="D2246" s="1803"/>
      <c r="E2246" s="1052"/>
      <c r="F2246" s="94"/>
      <c r="G2246" s="1260" t="s">
        <v>247</v>
      </c>
    </row>
    <row r="2247" spans="1:7" ht="15.75" hidden="1" customHeight="1" thickTop="1" x14ac:dyDescent="0.25">
      <c r="A2247" s="667" t="s">
        <v>4548</v>
      </c>
      <c r="B2247" s="667"/>
      <c r="C2247" s="679"/>
      <c r="D2247" s="1785" t="s">
        <v>4549</v>
      </c>
      <c r="E2247" s="1298">
        <f>'Verification Report'!O2248</f>
        <v>0</v>
      </c>
      <c r="F2247" s="1313" t="str">
        <f>IF(LEN('Verification Report'!W2250)=0,"",'Verification Report'!W2250)</f>
        <v/>
      </c>
      <c r="G2247" s="1260" t="s">
        <v>247</v>
      </c>
    </row>
    <row r="2248" spans="1:7" hidden="1" x14ac:dyDescent="0.25">
      <c r="A2248" s="679"/>
      <c r="B2248" s="679"/>
      <c r="C2248" s="679"/>
      <c r="D2248" s="1785"/>
      <c r="E2248" s="1296"/>
      <c r="F2248" s="94"/>
      <c r="G2248" s="1260" t="s">
        <v>247</v>
      </c>
    </row>
    <row r="2249" spans="1:7" hidden="1" x14ac:dyDescent="0.25">
      <c r="A2249" s="679"/>
      <c r="B2249" s="679"/>
      <c r="C2249" s="679"/>
      <c r="D2249" s="1785"/>
      <c r="E2249" s="1296"/>
      <c r="F2249" s="94"/>
      <c r="G2249" s="1260" t="s">
        <v>247</v>
      </c>
    </row>
    <row r="2250" spans="1:7" hidden="1" x14ac:dyDescent="0.25">
      <c r="A2250" s="679"/>
      <c r="B2250" s="679"/>
      <c r="C2250" s="679"/>
      <c r="D2250" s="1785"/>
      <c r="E2250" s="1296"/>
      <c r="F2250" s="94"/>
      <c r="G2250" s="1260" t="s">
        <v>247</v>
      </c>
    </row>
    <row r="2251" spans="1:7" ht="18.75" hidden="1" x14ac:dyDescent="0.3">
      <c r="A2251" s="22" t="s">
        <v>3372</v>
      </c>
      <c r="B2251" s="22"/>
      <c r="C2251" s="22"/>
      <c r="D2251" s="1208"/>
      <c r="E2251" s="1051"/>
      <c r="F2251" s="94"/>
      <c r="G2251" s="1260" t="s">
        <v>247</v>
      </c>
    </row>
    <row r="2252" spans="1:7" ht="15" hidden="1" customHeight="1" x14ac:dyDescent="0.25">
      <c r="A2252" s="238">
        <v>1001</v>
      </c>
      <c r="B2252" s="129"/>
      <c r="C2252" s="129"/>
      <c r="D2252" s="1782" t="s">
        <v>3278</v>
      </c>
      <c r="E2252" s="665"/>
      <c r="F2252" s="94"/>
      <c r="G2252" s="1260" t="s">
        <v>247</v>
      </c>
    </row>
    <row r="2253" spans="1:7" ht="15.75" hidden="1" thickBot="1" x14ac:dyDescent="0.3">
      <c r="A2253" s="240"/>
      <c r="B2253" s="240"/>
      <c r="C2253" s="240"/>
      <c r="D2253" s="1797"/>
      <c r="E2253" s="1052"/>
      <c r="F2253" s="94"/>
      <c r="G2253" s="1260" t="s">
        <v>247</v>
      </c>
    </row>
    <row r="2254" spans="1:7" ht="15.75" hidden="1" customHeight="1" thickTop="1" x14ac:dyDescent="0.25">
      <c r="A2254" s="139">
        <v>1001.1</v>
      </c>
      <c r="B2254" s="4"/>
      <c r="C2254" s="4"/>
      <c r="D2254" s="1796" t="s">
        <v>3279</v>
      </c>
      <c r="E2254" s="1295">
        <f>'Verification Report'!O2255</f>
        <v>0</v>
      </c>
      <c r="F2254" s="94"/>
      <c r="G2254" s="1260" t="s">
        <v>247</v>
      </c>
    </row>
    <row r="2255" spans="1:7" hidden="1" x14ac:dyDescent="0.25">
      <c r="A2255" s="4"/>
      <c r="B2255" s="4"/>
      <c r="C2255" s="4"/>
      <c r="D2255" s="1796"/>
      <c r="E2255" s="1295"/>
      <c r="F2255" s="94"/>
      <c r="G2255" s="1260" t="s">
        <v>247</v>
      </c>
    </row>
    <row r="2256" spans="1:7" hidden="1" x14ac:dyDescent="0.25">
      <c r="A2256" s="4"/>
      <c r="B2256" s="4"/>
      <c r="C2256" s="4"/>
      <c r="D2256" s="223" t="s">
        <v>3371</v>
      </c>
      <c r="E2256" s="1295"/>
      <c r="F2256" s="94"/>
      <c r="G2256" s="1260" t="s">
        <v>247</v>
      </c>
    </row>
    <row r="2257" spans="1:7" hidden="1" x14ac:dyDescent="0.25">
      <c r="A2257" s="4"/>
      <c r="B2257" s="206" t="s">
        <v>256</v>
      </c>
      <c r="C2257" s="210"/>
      <c r="D2257" s="1536" t="s">
        <v>3280</v>
      </c>
      <c r="E2257" s="1295"/>
      <c r="F2257" s="1313" t="str">
        <f>IF(LEN('Verification Report'!W2260)=0,"",'Verification Report'!W2260)</f>
        <v/>
      </c>
      <c r="G2257" s="1260" t="s">
        <v>247</v>
      </c>
    </row>
    <row r="2258" spans="1:7" hidden="1" x14ac:dyDescent="0.25">
      <c r="A2258" s="4"/>
      <c r="B2258" s="207" t="s">
        <v>258</v>
      </c>
      <c r="C2258" s="243"/>
      <c r="D2258" s="280" t="s">
        <v>3281</v>
      </c>
      <c r="E2258" s="1295"/>
      <c r="F2258" s="1313" t="str">
        <f>IF(LEN('Verification Report'!W2261)=0,"",'Verification Report'!W2261)</f>
        <v/>
      </c>
      <c r="G2258" s="1260" t="s">
        <v>247</v>
      </c>
    </row>
    <row r="2259" spans="1:7" ht="15" hidden="1" customHeight="1" x14ac:dyDescent="0.25">
      <c r="A2259" s="4"/>
      <c r="B2259" s="209" t="s">
        <v>260</v>
      </c>
      <c r="C2259" s="193"/>
      <c r="D2259" s="1778" t="s">
        <v>3282</v>
      </c>
      <c r="E2259" s="1295"/>
      <c r="F2259" s="1313" t="str">
        <f>IF(LEN('Verification Report'!W2262)=0,"",'Verification Report'!W2262)</f>
        <v/>
      </c>
      <c r="G2259" s="1260" t="s">
        <v>247</v>
      </c>
    </row>
    <row r="2260" spans="1:7" hidden="1" x14ac:dyDescent="0.25">
      <c r="A2260" s="4"/>
      <c r="B2260" s="183"/>
      <c r="C2260" s="129"/>
      <c r="D2260" s="1754"/>
      <c r="E2260" s="1295"/>
      <c r="F2260" s="94"/>
      <c r="G2260" s="1260" t="s">
        <v>247</v>
      </c>
    </row>
    <row r="2261" spans="1:7" hidden="1" x14ac:dyDescent="0.25">
      <c r="A2261" s="4"/>
      <c r="B2261" s="183"/>
      <c r="C2261" s="129"/>
      <c r="D2261" s="1754"/>
      <c r="E2261" s="1295"/>
      <c r="F2261" s="94"/>
      <c r="G2261" s="1260" t="s">
        <v>247</v>
      </c>
    </row>
    <row r="2262" spans="1:7" hidden="1" x14ac:dyDescent="0.25">
      <c r="A2262" s="4"/>
      <c r="B2262" s="206"/>
      <c r="C2262" s="210"/>
      <c r="D2262" s="1755"/>
      <c r="E2262" s="1295"/>
      <c r="F2262" s="94"/>
      <c r="G2262" s="1260" t="s">
        <v>247</v>
      </c>
    </row>
    <row r="2263" spans="1:7" hidden="1" x14ac:dyDescent="0.25">
      <c r="A2263" s="4"/>
      <c r="B2263" s="207" t="s">
        <v>269</v>
      </c>
      <c r="C2263" s="243"/>
      <c r="D2263" s="280" t="s">
        <v>3283</v>
      </c>
      <c r="E2263" s="1295"/>
      <c r="F2263" s="1313" t="str">
        <f>IF(LEN('Verification Report'!W2266)=0,"",'Verification Report'!W2266)</f>
        <v/>
      </c>
      <c r="G2263" s="1260" t="s">
        <v>247</v>
      </c>
    </row>
    <row r="2264" spans="1:7" hidden="1" x14ac:dyDescent="0.25">
      <c r="A2264" s="4"/>
      <c r="B2264" s="207" t="s">
        <v>275</v>
      </c>
      <c r="C2264" s="243"/>
      <c r="D2264" s="280" t="s">
        <v>3284</v>
      </c>
      <c r="E2264" s="1295"/>
      <c r="F2264" s="1313" t="str">
        <f>IF(LEN('Verification Report'!W2267)=0,"",'Verification Report'!W2267)</f>
        <v/>
      </c>
      <c r="G2264" s="1260" t="s">
        <v>247</v>
      </c>
    </row>
    <row r="2265" spans="1:7" ht="15" hidden="1" customHeight="1" x14ac:dyDescent="0.25">
      <c r="A2265" s="4"/>
      <c r="B2265" s="209" t="s">
        <v>277</v>
      </c>
      <c r="C2265" s="193"/>
      <c r="D2265" s="1778" t="s">
        <v>3285</v>
      </c>
      <c r="E2265" s="1295"/>
      <c r="F2265" s="1313" t="str">
        <f>IF(LEN('Verification Report'!W2268)=0,"",'Verification Report'!W2268)</f>
        <v/>
      </c>
      <c r="G2265" s="1260" t="s">
        <v>247</v>
      </c>
    </row>
    <row r="2266" spans="1:7" hidden="1" x14ac:dyDescent="0.25">
      <c r="A2266" s="4"/>
      <c r="B2266" s="206"/>
      <c r="C2266" s="210"/>
      <c r="D2266" s="1755"/>
      <c r="E2266" s="1295"/>
      <c r="F2266" s="94"/>
      <c r="G2266" s="1260" t="s">
        <v>247</v>
      </c>
    </row>
    <row r="2267" spans="1:7" ht="15" hidden="1" customHeight="1" x14ac:dyDescent="0.25">
      <c r="A2267" s="4"/>
      <c r="B2267" s="209" t="s">
        <v>383</v>
      </c>
      <c r="C2267" s="193"/>
      <c r="D2267" s="1778" t="s">
        <v>3286</v>
      </c>
      <c r="E2267" s="1295"/>
      <c r="F2267" s="1313" t="str">
        <f>IF(LEN('Verification Report'!W2270)=0,"",'Verification Report'!W2270)</f>
        <v/>
      </c>
      <c r="G2267" s="1260" t="s">
        <v>247</v>
      </c>
    </row>
    <row r="2268" spans="1:7" hidden="1" x14ac:dyDescent="0.25">
      <c r="A2268" s="4"/>
      <c r="B2268" s="206"/>
      <c r="C2268" s="210"/>
      <c r="D2268" s="1755"/>
      <c r="E2268" s="1295"/>
      <c r="F2268" s="94"/>
      <c r="G2268" s="1260" t="s">
        <v>247</v>
      </c>
    </row>
    <row r="2269" spans="1:7" hidden="1" x14ac:dyDescent="0.25">
      <c r="A2269" s="4"/>
      <c r="B2269" s="207" t="s">
        <v>428</v>
      </c>
      <c r="C2269" s="243"/>
      <c r="D2269" s="280" t="s">
        <v>3287</v>
      </c>
      <c r="E2269" s="1295"/>
      <c r="F2269" s="1313" t="str">
        <f>IF(LEN('Verification Report'!W2272)=0,"",'Verification Report'!W2272)</f>
        <v/>
      </c>
      <c r="G2269" s="1260" t="s">
        <v>247</v>
      </c>
    </row>
    <row r="2270" spans="1:7" ht="15" hidden="1" customHeight="1" x14ac:dyDescent="0.25">
      <c r="A2270" s="4"/>
      <c r="B2270" s="27" t="s">
        <v>430</v>
      </c>
      <c r="C2270" s="4"/>
      <c r="D2270" s="1760" t="s">
        <v>3288</v>
      </c>
      <c r="E2270" s="1295"/>
      <c r="F2270" s="1313" t="str">
        <f>IF(LEN('Verification Report'!W2273)=0,"",'Verification Report'!W2273)</f>
        <v/>
      </c>
      <c r="G2270" s="1260" t="s">
        <v>247</v>
      </c>
    </row>
    <row r="2271" spans="1:7" hidden="1" x14ac:dyDescent="0.25">
      <c r="A2271" s="4"/>
      <c r="B2271" s="27"/>
      <c r="C2271" s="4"/>
      <c r="D2271" s="1761"/>
      <c r="E2271" s="1295"/>
      <c r="F2271" s="94"/>
      <c r="G2271" s="1260" t="s">
        <v>247</v>
      </c>
    </row>
    <row r="2272" spans="1:7" hidden="1" x14ac:dyDescent="0.25">
      <c r="A2272" s="4"/>
      <c r="B2272" s="207" t="s">
        <v>432</v>
      </c>
      <c r="C2272" s="243"/>
      <c r="D2272" s="280" t="s">
        <v>3289</v>
      </c>
      <c r="E2272" s="1295"/>
      <c r="F2272" s="1313" t="str">
        <f>IF(LEN('Verification Report'!W2275)=0,"",'Verification Report'!W2275)</f>
        <v/>
      </c>
      <c r="G2272" s="1260" t="s">
        <v>247</v>
      </c>
    </row>
    <row r="2273" spans="1:7" ht="15" hidden="1" customHeight="1" x14ac:dyDescent="0.25">
      <c r="A2273" s="4"/>
      <c r="B2273" s="27" t="s">
        <v>434</v>
      </c>
      <c r="C2273" s="4"/>
      <c r="D2273" s="1554" t="s">
        <v>3290</v>
      </c>
      <c r="E2273" s="1295"/>
      <c r="F2273" s="1313" t="str">
        <f>IF(LEN('Verification Report'!W2276)=0,"",'Verification Report'!W2276)</f>
        <v/>
      </c>
      <c r="G2273" s="1260" t="s">
        <v>247</v>
      </c>
    </row>
    <row r="2274" spans="1:7" ht="15" hidden="1" customHeight="1" x14ac:dyDescent="0.25">
      <c r="A2274" s="4"/>
      <c r="B2274" s="209" t="s">
        <v>436</v>
      </c>
      <c r="C2274" s="193"/>
      <c r="D2274" s="1778" t="s">
        <v>3291</v>
      </c>
      <c r="E2274" s="1295"/>
      <c r="F2274" s="1313" t="str">
        <f>IF(LEN('Verification Report'!W2277)=0,"",'Verification Report'!W2277)</f>
        <v/>
      </c>
      <c r="G2274" s="1260" t="s">
        <v>247</v>
      </c>
    </row>
    <row r="2275" spans="1:7" hidden="1" x14ac:dyDescent="0.25">
      <c r="A2275" s="4"/>
      <c r="B2275" s="129"/>
      <c r="C2275" s="129"/>
      <c r="D2275" s="1754"/>
      <c r="E2275" s="1295"/>
      <c r="F2275" s="94"/>
      <c r="G2275" s="1260" t="s">
        <v>247</v>
      </c>
    </row>
    <row r="2276" spans="1:7" hidden="1" x14ac:dyDescent="0.25">
      <c r="A2276" s="4"/>
      <c r="B2276" s="129"/>
      <c r="C2276" s="183" t="s">
        <v>121</v>
      </c>
      <c r="D2276" s="1546" t="s">
        <v>3292</v>
      </c>
      <c r="E2276" s="1295"/>
      <c r="F2276" s="94"/>
      <c r="G2276" s="1260" t="s">
        <v>247</v>
      </c>
    </row>
    <row r="2277" spans="1:7" hidden="1" x14ac:dyDescent="0.25">
      <c r="A2277" s="4"/>
      <c r="B2277" s="129"/>
      <c r="C2277" s="183" t="s">
        <v>122</v>
      </c>
      <c r="D2277" s="1546" t="s">
        <v>3293</v>
      </c>
      <c r="E2277" s="1295"/>
      <c r="F2277" s="94"/>
      <c r="G2277" s="1260" t="s">
        <v>247</v>
      </c>
    </row>
    <row r="2278" spans="1:7" ht="15" hidden="1" customHeight="1" x14ac:dyDescent="0.25">
      <c r="A2278" s="4"/>
      <c r="B2278" s="129"/>
      <c r="C2278" s="183" t="s">
        <v>123</v>
      </c>
      <c r="D2278" s="1754" t="s">
        <v>3294</v>
      </c>
      <c r="E2278" s="1295"/>
      <c r="F2278" s="94"/>
      <c r="G2278" s="1260" t="s">
        <v>247</v>
      </c>
    </row>
    <row r="2279" spans="1:7" hidden="1" x14ac:dyDescent="0.25">
      <c r="A2279" s="4"/>
      <c r="B2279" s="210"/>
      <c r="C2279" s="210"/>
      <c r="D2279" s="1755"/>
      <c r="E2279" s="1295"/>
      <c r="F2279" s="94"/>
      <c r="G2279" s="1260" t="s">
        <v>247</v>
      </c>
    </row>
    <row r="2280" spans="1:7" ht="15" hidden="1" customHeight="1" x14ac:dyDescent="0.25">
      <c r="A2280" s="4"/>
      <c r="B2280" s="209" t="s">
        <v>3295</v>
      </c>
      <c r="C2280" s="193"/>
      <c r="D2280" s="1778" t="s">
        <v>3296</v>
      </c>
      <c r="E2280" s="1295"/>
      <c r="F2280" s="1313" t="str">
        <f>IF(LEN('Verification Report'!W2283)=0,"",'Verification Report'!W2283)</f>
        <v/>
      </c>
      <c r="G2280" s="1260" t="s">
        <v>247</v>
      </c>
    </row>
    <row r="2281" spans="1:7" hidden="1" x14ac:dyDescent="0.25">
      <c r="A2281" s="4"/>
      <c r="B2281" s="129"/>
      <c r="C2281" s="129"/>
      <c r="D2281" s="1754"/>
      <c r="E2281" s="1295"/>
      <c r="F2281" s="94"/>
      <c r="G2281" s="1260" t="s">
        <v>247</v>
      </c>
    </row>
    <row r="2282" spans="1:7" hidden="1" x14ac:dyDescent="0.25">
      <c r="A2282" s="4"/>
      <c r="B2282" s="129"/>
      <c r="C2282" s="129"/>
      <c r="D2282" s="1754"/>
      <c r="E2282" s="1295"/>
      <c r="F2282" s="94"/>
      <c r="G2282" s="1260" t="s">
        <v>247</v>
      </c>
    </row>
    <row r="2283" spans="1:7" hidden="1" x14ac:dyDescent="0.25">
      <c r="A2283" s="4"/>
      <c r="B2283" s="210"/>
      <c r="C2283" s="210"/>
      <c r="D2283" s="1755"/>
      <c r="E2283" s="1295"/>
      <c r="F2283" s="94"/>
      <c r="G2283" s="1260" t="s">
        <v>247</v>
      </c>
    </row>
    <row r="2284" spans="1:7" ht="15" hidden="1" customHeight="1" x14ac:dyDescent="0.25">
      <c r="A2284" s="4"/>
      <c r="B2284" s="209" t="s">
        <v>3297</v>
      </c>
      <c r="C2284" s="193"/>
      <c r="D2284" s="1778" t="s">
        <v>3298</v>
      </c>
      <c r="E2284" s="1295"/>
      <c r="F2284" s="1313" t="str">
        <f>IF(LEN('Verification Report'!W2287)=0,"",'Verification Report'!W2287)</f>
        <v/>
      </c>
      <c r="G2284" s="1260" t="s">
        <v>247</v>
      </c>
    </row>
    <row r="2285" spans="1:7" hidden="1" x14ac:dyDescent="0.25">
      <c r="A2285" s="4"/>
      <c r="B2285" s="210"/>
      <c r="C2285" s="210"/>
      <c r="D2285" s="1755"/>
      <c r="E2285" s="1295"/>
      <c r="F2285" s="94"/>
      <c r="G2285" s="1260" t="s">
        <v>247</v>
      </c>
    </row>
    <row r="2286" spans="1:7" ht="15" hidden="1" customHeight="1" x14ac:dyDescent="0.25">
      <c r="A2286" s="4"/>
      <c r="B2286" s="209" t="s">
        <v>3299</v>
      </c>
      <c r="C2286" s="193"/>
      <c r="D2286" s="1778" t="s">
        <v>3300</v>
      </c>
      <c r="E2286" s="1295"/>
      <c r="F2286" s="1313" t="str">
        <f>IF(LEN('Verification Report'!W2289)=0,"",'Verification Report'!W2289)</f>
        <v/>
      </c>
      <c r="G2286" s="1260" t="s">
        <v>247</v>
      </c>
    </row>
    <row r="2287" spans="1:7" hidden="1" x14ac:dyDescent="0.25">
      <c r="A2287" s="4"/>
      <c r="B2287" s="210"/>
      <c r="C2287" s="210"/>
      <c r="D2287" s="1755"/>
      <c r="E2287" s="1295"/>
      <c r="F2287" s="94"/>
      <c r="G2287" s="1260" t="s">
        <v>247</v>
      </c>
    </row>
    <row r="2288" spans="1:7" hidden="1" x14ac:dyDescent="0.25">
      <c r="A2288" s="4"/>
      <c r="B2288" s="207" t="s">
        <v>3301</v>
      </c>
      <c r="C2288" s="243"/>
      <c r="D2288" s="280" t="s">
        <v>3302</v>
      </c>
      <c r="E2288" s="1295"/>
      <c r="F2288" s="1313" t="str">
        <f>IF(LEN('Verification Report'!W2291)=0,"",'Verification Report'!W2291)</f>
        <v/>
      </c>
      <c r="G2288" s="1260" t="s">
        <v>247</v>
      </c>
    </row>
    <row r="2289" spans="1:7" ht="15" hidden="1" customHeight="1" x14ac:dyDescent="0.25">
      <c r="A2289" s="4"/>
      <c r="B2289" s="209" t="s">
        <v>3303</v>
      </c>
      <c r="C2289" s="193"/>
      <c r="D2289" s="1760" t="s">
        <v>3304</v>
      </c>
      <c r="E2289" s="1295"/>
      <c r="F2289" s="1313" t="str">
        <f>IF(LEN('Verification Report'!W2292)=0,"",'Verification Report'!W2292)</f>
        <v/>
      </c>
      <c r="G2289" s="1260" t="s">
        <v>247</v>
      </c>
    </row>
    <row r="2290" spans="1:7" hidden="1" x14ac:dyDescent="0.25">
      <c r="A2290" s="4"/>
      <c r="B2290" s="206"/>
      <c r="C2290" s="210"/>
      <c r="D2290" s="1761"/>
      <c r="E2290" s="1295"/>
      <c r="F2290" s="94"/>
      <c r="G2290" s="1260" t="s">
        <v>247</v>
      </c>
    </row>
    <row r="2291" spans="1:7" ht="15" hidden="1" customHeight="1" x14ac:dyDescent="0.25">
      <c r="A2291" s="4"/>
      <c r="B2291" s="209" t="s">
        <v>3305</v>
      </c>
      <c r="C2291" s="193"/>
      <c r="D2291" s="1778" t="s">
        <v>3306</v>
      </c>
      <c r="E2291" s="1295"/>
      <c r="F2291" s="1313" t="str">
        <f>IF(LEN('Verification Report'!W2294)=0,"",'Verification Report'!W2294)</f>
        <v/>
      </c>
      <c r="G2291" s="1260" t="s">
        <v>247</v>
      </c>
    </row>
    <row r="2292" spans="1:7" hidden="1" x14ac:dyDescent="0.25">
      <c r="A2292" s="4"/>
      <c r="B2292" s="210"/>
      <c r="C2292" s="210"/>
      <c r="D2292" s="1755"/>
      <c r="E2292" s="1295"/>
      <c r="F2292" s="94"/>
      <c r="G2292" s="1260" t="s">
        <v>247</v>
      </c>
    </row>
    <row r="2293" spans="1:7" hidden="1" x14ac:dyDescent="0.25">
      <c r="A2293" s="4"/>
      <c r="B2293" s="207" t="s">
        <v>3307</v>
      </c>
      <c r="C2293" s="243"/>
      <c r="D2293" s="280" t="s">
        <v>3308</v>
      </c>
      <c r="E2293" s="1295"/>
      <c r="F2293" s="1313" t="str">
        <f>IF(LEN('Verification Report'!W2296)=0,"",'Verification Report'!W2296)</f>
        <v/>
      </c>
      <c r="G2293" s="1260" t="s">
        <v>247</v>
      </c>
    </row>
    <row r="2294" spans="1:7" ht="15" hidden="1" customHeight="1" x14ac:dyDescent="0.25">
      <c r="A2294" s="4"/>
      <c r="B2294" s="209" t="s">
        <v>3309</v>
      </c>
      <c r="C2294" s="193"/>
      <c r="D2294" s="1778" t="s">
        <v>3310</v>
      </c>
      <c r="E2294" s="1295"/>
      <c r="F2294" s="1313" t="str">
        <f>IF(LEN('Verification Report'!W2297)=0,"",'Verification Report'!W2297)</f>
        <v/>
      </c>
      <c r="G2294" s="1260" t="s">
        <v>247</v>
      </c>
    </row>
    <row r="2295" spans="1:7" hidden="1" x14ac:dyDescent="0.25">
      <c r="A2295" s="4"/>
      <c r="B2295" s="210"/>
      <c r="C2295" s="210"/>
      <c r="D2295" s="1755"/>
      <c r="E2295" s="1295"/>
      <c r="F2295" s="94"/>
      <c r="G2295" s="1260" t="s">
        <v>247</v>
      </c>
    </row>
    <row r="2296" spans="1:7" ht="15" hidden="1" customHeight="1" x14ac:dyDescent="0.25">
      <c r="A2296" s="4"/>
      <c r="B2296" s="209" t="s">
        <v>3311</v>
      </c>
      <c r="C2296" s="193"/>
      <c r="D2296" s="1778" t="s">
        <v>3312</v>
      </c>
      <c r="E2296" s="1295"/>
      <c r="F2296" s="1313" t="str">
        <f>IF(LEN('Verification Report'!W2299)=0,"",'Verification Report'!W2299)</f>
        <v/>
      </c>
      <c r="G2296" s="1260" t="s">
        <v>247</v>
      </c>
    </row>
    <row r="2297" spans="1:7" hidden="1" x14ac:dyDescent="0.25">
      <c r="A2297" s="4"/>
      <c r="B2297" s="210"/>
      <c r="C2297" s="210"/>
      <c r="D2297" s="1755"/>
      <c r="E2297" s="1295"/>
      <c r="F2297" s="94"/>
      <c r="G2297" s="1260" t="s">
        <v>247</v>
      </c>
    </row>
    <row r="2298" spans="1:7" ht="15" hidden="1" customHeight="1" x14ac:dyDescent="0.25">
      <c r="A2298" s="4"/>
      <c r="B2298" s="209" t="s">
        <v>3313</v>
      </c>
      <c r="C2298" s="193"/>
      <c r="D2298" s="1778" t="s">
        <v>3314</v>
      </c>
      <c r="E2298" s="1295"/>
      <c r="F2298" s="1313" t="str">
        <f>IF(LEN('Verification Report'!W2301)=0,"",'Verification Report'!W2301)</f>
        <v/>
      </c>
      <c r="G2298" s="1260" t="s">
        <v>247</v>
      </c>
    </row>
    <row r="2299" spans="1:7" hidden="1" x14ac:dyDescent="0.25">
      <c r="A2299" s="4"/>
      <c r="B2299" s="210"/>
      <c r="C2299" s="210"/>
      <c r="D2299" s="1755"/>
      <c r="E2299" s="1295"/>
      <c r="F2299" s="94"/>
      <c r="G2299" s="1260" t="s">
        <v>247</v>
      </c>
    </row>
    <row r="2300" spans="1:7" hidden="1" x14ac:dyDescent="0.25">
      <c r="A2300" s="4"/>
      <c r="B2300" s="207" t="s">
        <v>3315</v>
      </c>
      <c r="C2300" s="243"/>
      <c r="D2300" s="280" t="s">
        <v>3316</v>
      </c>
      <c r="E2300" s="1295"/>
      <c r="F2300" s="1313" t="str">
        <f>IF(LEN('Verification Report'!W2303)=0,"",'Verification Report'!W2303)</f>
        <v/>
      </c>
      <c r="G2300" s="1260" t="s">
        <v>247</v>
      </c>
    </row>
    <row r="2301" spans="1:7" ht="15.75" hidden="1" thickBot="1" x14ac:dyDescent="0.3">
      <c r="A2301" s="240"/>
      <c r="B2301" s="190" t="s">
        <v>3317</v>
      </c>
      <c r="C2301" s="240"/>
      <c r="D2301" s="1555" t="s">
        <v>3318</v>
      </c>
      <c r="E2301" s="1294"/>
      <c r="F2301" s="1313" t="str">
        <f>IF(LEN('Verification Report'!W2304)=0,"",'Verification Report'!W2304)</f>
        <v/>
      </c>
      <c r="G2301" s="1260" t="s">
        <v>247</v>
      </c>
    </row>
    <row r="2302" spans="1:7" ht="15.75" hidden="1" customHeight="1" thickTop="1" x14ac:dyDescent="0.25">
      <c r="A2302" s="64">
        <v>1001.2</v>
      </c>
      <c r="B2302" s="4"/>
      <c r="C2302" s="4"/>
      <c r="D2302" s="1796" t="s">
        <v>3319</v>
      </c>
      <c r="E2302" s="1298">
        <f>'Verification Report'!O2303</f>
        <v>0</v>
      </c>
      <c r="F2302" s="1313" t="str">
        <f>IF(LEN('Verification Report'!W2305)=0,"",'Verification Report'!W2305)</f>
        <v/>
      </c>
      <c r="G2302" s="1260" t="s">
        <v>247</v>
      </c>
    </row>
    <row r="2303" spans="1:7" hidden="1" x14ac:dyDescent="0.25">
      <c r="A2303" s="4"/>
      <c r="B2303" s="4"/>
      <c r="C2303" s="4"/>
      <c r="D2303" s="1796"/>
      <c r="E2303" s="1295"/>
      <c r="F2303" s="94"/>
      <c r="G2303" s="1260" t="s">
        <v>247</v>
      </c>
    </row>
    <row r="2304" spans="1:7" hidden="1" x14ac:dyDescent="0.25">
      <c r="A2304" s="4"/>
      <c r="B2304" s="4"/>
      <c r="C2304" s="4"/>
      <c r="D2304" s="1796"/>
      <c r="E2304" s="1295"/>
      <c r="F2304" s="94"/>
      <c r="G2304" s="1260" t="s">
        <v>247</v>
      </c>
    </row>
    <row r="2305" spans="1:7" hidden="1" x14ac:dyDescent="0.25">
      <c r="A2305" s="4"/>
      <c r="B2305" s="4"/>
      <c r="C2305" s="4"/>
      <c r="D2305" s="1796"/>
      <c r="E2305" s="1295"/>
      <c r="F2305" s="94"/>
      <c r="G2305" s="1260" t="s">
        <v>247</v>
      </c>
    </row>
    <row r="2306" spans="1:7" hidden="1" x14ac:dyDescent="0.25">
      <c r="A2306" s="4"/>
      <c r="B2306" s="183" t="s">
        <v>256</v>
      </c>
      <c r="C2306" s="129"/>
      <c r="D2306" s="1289" t="s">
        <v>3320</v>
      </c>
      <c r="E2306" s="1295"/>
      <c r="F2306" s="94"/>
      <c r="G2306" s="1260" t="s">
        <v>247</v>
      </c>
    </row>
    <row r="2307" spans="1:7" hidden="1" x14ac:dyDescent="0.25">
      <c r="A2307" s="4"/>
      <c r="B2307" s="183" t="s">
        <v>258</v>
      </c>
      <c r="C2307" s="129"/>
      <c r="D2307" s="1289" t="s">
        <v>3321</v>
      </c>
      <c r="E2307" s="1295"/>
      <c r="F2307" s="94"/>
      <c r="G2307" s="1260" t="s">
        <v>247</v>
      </c>
    </row>
    <row r="2308" spans="1:7" hidden="1" x14ac:dyDescent="0.25">
      <c r="A2308" s="4"/>
      <c r="B2308" s="183" t="s">
        <v>260</v>
      </c>
      <c r="C2308" s="129"/>
      <c r="D2308" s="1289" t="s">
        <v>3322</v>
      </c>
      <c r="E2308" s="1295"/>
      <c r="F2308" s="94"/>
      <c r="G2308" s="1260" t="s">
        <v>247</v>
      </c>
    </row>
    <row r="2309" spans="1:7" hidden="1" x14ac:dyDescent="0.25">
      <c r="A2309" s="4"/>
      <c r="B2309" s="183" t="s">
        <v>269</v>
      </c>
      <c r="C2309" s="129"/>
      <c r="D2309" s="1289" t="s">
        <v>3323</v>
      </c>
      <c r="E2309" s="1295"/>
      <c r="F2309" s="94"/>
      <c r="G2309" s="1260" t="s">
        <v>247</v>
      </c>
    </row>
    <row r="2310" spans="1:7" hidden="1" x14ac:dyDescent="0.25">
      <c r="A2310" s="4"/>
      <c r="B2310" s="183" t="s">
        <v>275</v>
      </c>
      <c r="C2310" s="129"/>
      <c r="D2310" s="1289" t="s">
        <v>3324</v>
      </c>
      <c r="E2310" s="1295"/>
      <c r="F2310" s="94"/>
      <c r="G2310" s="1260" t="s">
        <v>247</v>
      </c>
    </row>
    <row r="2311" spans="1:7" hidden="1" x14ac:dyDescent="0.25">
      <c r="A2311" s="4"/>
      <c r="B2311" s="183" t="s">
        <v>277</v>
      </c>
      <c r="C2311" s="129"/>
      <c r="D2311" s="1289" t="s">
        <v>3325</v>
      </c>
      <c r="E2311" s="1295"/>
      <c r="F2311" s="94"/>
      <c r="G2311" s="1260" t="s">
        <v>247</v>
      </c>
    </row>
    <row r="2312" spans="1:7" hidden="1" x14ac:dyDescent="0.25">
      <c r="A2312" s="4"/>
      <c r="B2312" s="27" t="s">
        <v>383</v>
      </c>
      <c r="C2312" s="4"/>
      <c r="D2312" s="1288" t="s">
        <v>3326</v>
      </c>
      <c r="E2312" s="1295"/>
      <c r="F2312" s="94"/>
      <c r="G2312" s="1260" t="s">
        <v>247</v>
      </c>
    </row>
    <row r="2313" spans="1:7" hidden="1" x14ac:dyDescent="0.25">
      <c r="B2313" s="667" t="s">
        <v>428</v>
      </c>
      <c r="C2313" s="679"/>
      <c r="D2313" s="1554" t="s">
        <v>4550</v>
      </c>
      <c r="E2313" s="1295"/>
      <c r="F2313" s="94"/>
      <c r="G2313" s="1260" t="s">
        <v>247</v>
      </c>
    </row>
    <row r="2314" spans="1:7" ht="18.75" hidden="1" x14ac:dyDescent="0.3">
      <c r="A2314" s="14" t="s">
        <v>3327</v>
      </c>
      <c r="B2314" s="23"/>
      <c r="C2314" s="23"/>
      <c r="D2314" s="228"/>
      <c r="E2314" s="1043"/>
      <c r="F2314" s="94"/>
      <c r="G2314" s="1260" t="s">
        <v>247</v>
      </c>
    </row>
    <row r="2315" spans="1:7" ht="15" hidden="1" customHeight="1" x14ac:dyDescent="0.25">
      <c r="A2315" s="238">
        <v>1002</v>
      </c>
      <c r="B2315" s="129"/>
      <c r="C2315" s="129"/>
      <c r="D2315" s="1782" t="s">
        <v>3328</v>
      </c>
      <c r="E2315" s="1296"/>
      <c r="F2315" s="94"/>
      <c r="G2315" s="1260" t="s">
        <v>247</v>
      </c>
    </row>
    <row r="2316" spans="1:7" hidden="1" x14ac:dyDescent="0.25">
      <c r="A2316" s="129"/>
      <c r="B2316" s="129"/>
      <c r="C2316" s="129"/>
      <c r="D2316" s="1782"/>
      <c r="E2316" s="1296"/>
      <c r="F2316" s="94"/>
      <c r="G2316" s="1260" t="s">
        <v>247</v>
      </c>
    </row>
    <row r="2317" spans="1:7" hidden="1" x14ac:dyDescent="0.25">
      <c r="A2317" s="129"/>
      <c r="B2317" s="129"/>
      <c r="C2317" s="129"/>
      <c r="D2317" s="1782"/>
      <c r="E2317" s="1296"/>
      <c r="F2317" s="94"/>
      <c r="G2317" s="1260" t="s">
        <v>247</v>
      </c>
    </row>
    <row r="2318" spans="1:7" hidden="1" x14ac:dyDescent="0.25">
      <c r="A2318" s="129"/>
      <c r="B2318" s="129"/>
      <c r="C2318" s="129"/>
      <c r="D2318" s="1782"/>
      <c r="E2318" s="1296"/>
      <c r="F2318" s="94"/>
      <c r="G2318" s="1260" t="s">
        <v>247</v>
      </c>
    </row>
    <row r="2319" spans="1:7" hidden="1" x14ac:dyDescent="0.25">
      <c r="A2319" s="129"/>
      <c r="B2319" s="129"/>
      <c r="C2319" s="129"/>
      <c r="D2319" s="1782"/>
      <c r="E2319" s="1296"/>
      <c r="F2319" s="94"/>
      <c r="G2319" s="1260" t="s">
        <v>247</v>
      </c>
    </row>
    <row r="2320" spans="1:7" ht="15.75" hidden="1" thickBot="1" x14ac:dyDescent="0.3">
      <c r="A2320" s="240"/>
      <c r="B2320" s="240"/>
      <c r="C2320" s="240"/>
      <c r="D2320" s="1797"/>
      <c r="E2320" s="1294"/>
      <c r="F2320" s="94"/>
      <c r="G2320" s="1260" t="s">
        <v>247</v>
      </c>
    </row>
    <row r="2321" spans="1:7" ht="15.75" hidden="1" customHeight="1" thickTop="1" x14ac:dyDescent="0.25">
      <c r="A2321" s="64">
        <v>1002.1</v>
      </c>
      <c r="B2321" s="4"/>
      <c r="C2321" s="4"/>
      <c r="D2321" s="1796" t="s">
        <v>3375</v>
      </c>
      <c r="E2321" s="1299">
        <f>'Verification Report'!O2322</f>
        <v>0</v>
      </c>
      <c r="F2321" s="94"/>
      <c r="G2321" s="1260" t="s">
        <v>247</v>
      </c>
    </row>
    <row r="2322" spans="1:7" hidden="1" x14ac:dyDescent="0.25">
      <c r="A2322" s="4"/>
      <c r="B2322" s="4"/>
      <c r="C2322" s="4"/>
      <c r="D2322" s="1796"/>
      <c r="E2322" s="1299"/>
      <c r="F2322" s="94"/>
      <c r="G2322" s="1260" t="s">
        <v>247</v>
      </c>
    </row>
    <row r="2323" spans="1:7" hidden="1" x14ac:dyDescent="0.25">
      <c r="A2323" s="4"/>
      <c r="B2323" s="4"/>
      <c r="C2323" s="4"/>
      <c r="D2323" s="225" t="s">
        <v>3373</v>
      </c>
      <c r="E2323" s="1299"/>
      <c r="F2323" s="94"/>
      <c r="G2323" s="1260" t="s">
        <v>247</v>
      </c>
    </row>
    <row r="2324" spans="1:7" ht="15" hidden="1" customHeight="1" x14ac:dyDescent="0.25">
      <c r="A2324" s="4"/>
      <c r="B2324" s="27" t="s">
        <v>256</v>
      </c>
      <c r="C2324" s="4"/>
      <c r="D2324" s="1779" t="s">
        <v>3329</v>
      </c>
      <c r="E2324" s="1295"/>
      <c r="F2324" s="1313" t="str">
        <f>IF(LEN('Verification Report'!W2327)=0,"",'Verification Report'!W2327)</f>
        <v/>
      </c>
      <c r="G2324" s="1260" t="s">
        <v>247</v>
      </c>
    </row>
    <row r="2325" spans="1:7" hidden="1" x14ac:dyDescent="0.25">
      <c r="A2325" s="4"/>
      <c r="B2325" s="27"/>
      <c r="C2325" s="4"/>
      <c r="D2325" s="1779"/>
      <c r="E2325" s="1295"/>
      <c r="F2325" s="94"/>
      <c r="G2325" s="1260" t="s">
        <v>247</v>
      </c>
    </row>
    <row r="2326" spans="1:7" hidden="1" x14ac:dyDescent="0.25">
      <c r="A2326" s="4"/>
      <c r="B2326" s="27"/>
      <c r="C2326" s="4"/>
      <c r="D2326" s="1779"/>
      <c r="E2326" s="1295"/>
      <c r="F2326" s="94"/>
      <c r="G2326" s="1260" t="s">
        <v>247</v>
      </c>
    </row>
    <row r="2327" spans="1:7" ht="15" hidden="1" customHeight="1" x14ac:dyDescent="0.25">
      <c r="A2327" s="4"/>
      <c r="B2327" s="209" t="s">
        <v>258</v>
      </c>
      <c r="C2327" s="193"/>
      <c r="D2327" s="1778" t="s">
        <v>3330</v>
      </c>
      <c r="E2327" s="1295"/>
      <c r="F2327" s="1313" t="str">
        <f>IF(LEN('Verification Report'!W2330)=0,"",'Verification Report'!W2330)</f>
        <v/>
      </c>
      <c r="G2327" s="1260" t="s">
        <v>247</v>
      </c>
    </row>
    <row r="2328" spans="1:7" hidden="1" x14ac:dyDescent="0.25">
      <c r="A2328" s="4"/>
      <c r="B2328" s="183"/>
      <c r="C2328" s="129"/>
      <c r="D2328" s="1754"/>
      <c r="E2328" s="1295"/>
      <c r="F2328" s="94"/>
      <c r="G2328" s="1260" t="s">
        <v>247</v>
      </c>
    </row>
    <row r="2329" spans="1:7" hidden="1" x14ac:dyDescent="0.25">
      <c r="A2329" s="4"/>
      <c r="B2329" s="206"/>
      <c r="C2329" s="210"/>
      <c r="D2329" s="1755"/>
      <c r="E2329" s="1295"/>
      <c r="F2329" s="94"/>
      <c r="G2329" s="1260" t="s">
        <v>247</v>
      </c>
    </row>
    <row r="2330" spans="1:7" ht="15" hidden="1" customHeight="1" x14ac:dyDescent="0.25">
      <c r="A2330" s="4"/>
      <c r="B2330" s="27" t="s">
        <v>260</v>
      </c>
      <c r="C2330" s="4"/>
      <c r="D2330" s="1779" t="s">
        <v>3331</v>
      </c>
      <c r="E2330" s="1295"/>
      <c r="F2330" s="1313" t="str">
        <f>IF(LEN('Verification Report'!W2333)=0,"",'Verification Report'!W2333)</f>
        <v/>
      </c>
      <c r="G2330" s="1260" t="s">
        <v>247</v>
      </c>
    </row>
    <row r="2331" spans="1:7" hidden="1" x14ac:dyDescent="0.25">
      <c r="A2331" s="4"/>
      <c r="B2331" s="27"/>
      <c r="C2331" s="4"/>
      <c r="D2331" s="1779"/>
      <c r="E2331" s="1295"/>
      <c r="F2331" s="94"/>
      <c r="G2331" s="1260" t="s">
        <v>247</v>
      </c>
    </row>
    <row r="2332" spans="1:7" hidden="1" x14ac:dyDescent="0.25">
      <c r="A2332" s="4"/>
      <c r="B2332" s="207" t="s">
        <v>269</v>
      </c>
      <c r="C2332" s="243"/>
      <c r="D2332" s="280" t="s">
        <v>3332</v>
      </c>
      <c r="E2332" s="1295"/>
      <c r="F2332" s="1313" t="str">
        <f>IF(LEN('Verification Report'!W2335)=0,"",'Verification Report'!W2335)</f>
        <v/>
      </c>
      <c r="G2332" s="1260" t="s">
        <v>247</v>
      </c>
    </row>
    <row r="2333" spans="1:7" ht="15" hidden="1" customHeight="1" x14ac:dyDescent="0.25">
      <c r="A2333" s="4"/>
      <c r="B2333" s="27" t="s">
        <v>275</v>
      </c>
      <c r="C2333" s="4"/>
      <c r="D2333" s="1779" t="s">
        <v>3333</v>
      </c>
      <c r="E2333" s="1295"/>
      <c r="F2333" s="1313" t="str">
        <f>IF(LEN('Verification Report'!W2336)=0,"",'Verification Report'!W2336)</f>
        <v/>
      </c>
      <c r="G2333" s="1260" t="s">
        <v>247</v>
      </c>
    </row>
    <row r="2334" spans="1:7" hidden="1" x14ac:dyDescent="0.25">
      <c r="A2334" s="4"/>
      <c r="B2334" s="27"/>
      <c r="C2334" s="4"/>
      <c r="D2334" s="1779"/>
      <c r="E2334" s="1295"/>
      <c r="F2334" s="94"/>
      <c r="G2334" s="1260" t="s">
        <v>247</v>
      </c>
    </row>
    <row r="2335" spans="1:7" ht="15" hidden="1" customHeight="1" x14ac:dyDescent="0.25">
      <c r="A2335" s="4"/>
      <c r="B2335" s="207" t="s">
        <v>277</v>
      </c>
      <c r="C2335" s="243"/>
      <c r="D2335" s="280" t="s">
        <v>3290</v>
      </c>
      <c r="E2335" s="1295"/>
      <c r="F2335" s="1313" t="str">
        <f>IF(LEN('Verification Report'!W2338)=0,"",'Verification Report'!W2338)</f>
        <v/>
      </c>
      <c r="G2335" s="1260" t="s">
        <v>247</v>
      </c>
    </row>
    <row r="2336" spans="1:7" hidden="1" x14ac:dyDescent="0.25">
      <c r="A2336" s="4"/>
      <c r="B2336" s="207" t="s">
        <v>383</v>
      </c>
      <c r="C2336" s="243"/>
      <c r="D2336" s="280" t="s">
        <v>3334</v>
      </c>
      <c r="E2336" s="1295"/>
      <c r="F2336" s="1313" t="str">
        <f>IF(LEN('Verification Report'!W2339)=0,"",'Verification Report'!W2339)</f>
        <v/>
      </c>
      <c r="G2336" s="1260" t="s">
        <v>247</v>
      </c>
    </row>
    <row r="2337" spans="1:7" ht="15" hidden="1" customHeight="1" x14ac:dyDescent="0.25">
      <c r="A2337" s="129"/>
      <c r="B2337" s="183" t="s">
        <v>428</v>
      </c>
      <c r="C2337" s="129"/>
      <c r="D2337" s="1754" t="s">
        <v>3335</v>
      </c>
      <c r="E2337" s="1296"/>
      <c r="F2337" s="1313" t="str">
        <f>IF(LEN('Verification Report'!W2340)=0,"",'Verification Report'!W2340)</f>
        <v/>
      </c>
      <c r="G2337" s="1260" t="s">
        <v>247</v>
      </c>
    </row>
    <row r="2338" spans="1:7" ht="15.75" hidden="1" thickBot="1" x14ac:dyDescent="0.3">
      <c r="A2338" s="240"/>
      <c r="B2338" s="240"/>
      <c r="C2338" s="240"/>
      <c r="D2338" s="1783"/>
      <c r="E2338" s="1294"/>
      <c r="F2338" s="94"/>
      <c r="G2338" s="1260" t="s">
        <v>247</v>
      </c>
    </row>
    <row r="2339" spans="1:7" ht="15.75" hidden="1" customHeight="1" thickTop="1" x14ac:dyDescent="0.25">
      <c r="A2339" s="139">
        <v>1002.2</v>
      </c>
      <c r="B2339" s="4"/>
      <c r="C2339" s="4"/>
      <c r="D2339" s="1796" t="s">
        <v>3376</v>
      </c>
      <c r="E2339" s="1299">
        <f>'Verification Report'!O2340</f>
        <v>0</v>
      </c>
      <c r="F2339" s="94"/>
      <c r="G2339" s="1260" t="s">
        <v>247</v>
      </c>
    </row>
    <row r="2340" spans="1:7" hidden="1" x14ac:dyDescent="0.25">
      <c r="A2340" s="4"/>
      <c r="B2340" s="4"/>
      <c r="C2340" s="4"/>
      <c r="D2340" s="1796"/>
      <c r="E2340" s="1299"/>
      <c r="F2340" s="94"/>
      <c r="G2340" s="1260" t="s">
        <v>247</v>
      </c>
    </row>
    <row r="2341" spans="1:7" hidden="1" x14ac:dyDescent="0.25">
      <c r="A2341" s="4"/>
      <c r="B2341" s="4"/>
      <c r="C2341" s="4"/>
      <c r="D2341" s="1796"/>
      <c r="E2341" s="1299"/>
      <c r="F2341" s="94"/>
      <c r="G2341" s="1260" t="s">
        <v>247</v>
      </c>
    </row>
    <row r="2342" spans="1:7" hidden="1" x14ac:dyDescent="0.25">
      <c r="A2342" s="4"/>
      <c r="B2342" s="4"/>
      <c r="C2342" s="4"/>
      <c r="D2342" s="226" t="s">
        <v>3373</v>
      </c>
      <c r="E2342" s="1299"/>
      <c r="F2342" s="94"/>
      <c r="G2342" s="1260" t="s">
        <v>247</v>
      </c>
    </row>
    <row r="2343" spans="1:7" ht="15" hidden="1" customHeight="1" x14ac:dyDescent="0.25">
      <c r="A2343" s="4"/>
      <c r="B2343" s="183" t="s">
        <v>256</v>
      </c>
      <c r="C2343" s="129"/>
      <c r="D2343" s="1754" t="s">
        <v>3336</v>
      </c>
      <c r="E2343" s="1295"/>
      <c r="F2343" s="1313" t="str">
        <f>IF(LEN('Verification Report'!W2346)=0,"",'Verification Report'!W2346)</f>
        <v/>
      </c>
      <c r="G2343" s="1260" t="s">
        <v>247</v>
      </c>
    </row>
    <row r="2344" spans="1:7" hidden="1" x14ac:dyDescent="0.25">
      <c r="A2344" s="4"/>
      <c r="B2344" s="206"/>
      <c r="C2344" s="210"/>
      <c r="D2344" s="1755"/>
      <c r="E2344" s="1295"/>
      <c r="F2344" s="94"/>
      <c r="G2344" s="1260" t="s">
        <v>247</v>
      </c>
    </row>
    <row r="2345" spans="1:7" ht="15" hidden="1" customHeight="1" x14ac:dyDescent="0.25">
      <c r="A2345" s="4"/>
      <c r="B2345" s="209" t="s">
        <v>258</v>
      </c>
      <c r="C2345" s="193"/>
      <c r="D2345" s="1778" t="s">
        <v>3337</v>
      </c>
      <c r="E2345" s="1295"/>
      <c r="F2345" s="1313" t="str">
        <f>IF(LEN('Verification Report'!W2348)=0,"",'Verification Report'!W2348)</f>
        <v/>
      </c>
      <c r="G2345" s="1260" t="s">
        <v>247</v>
      </c>
    </row>
    <row r="2346" spans="1:7" hidden="1" x14ac:dyDescent="0.25">
      <c r="A2346" s="4"/>
      <c r="B2346" s="183"/>
      <c r="C2346" s="129"/>
      <c r="D2346" s="1754"/>
      <c r="E2346" s="1295"/>
      <c r="F2346" s="94"/>
      <c r="G2346" s="1260" t="s">
        <v>247</v>
      </c>
    </row>
    <row r="2347" spans="1:7" hidden="1" x14ac:dyDescent="0.25">
      <c r="A2347" s="4"/>
      <c r="B2347" s="206"/>
      <c r="C2347" s="210"/>
      <c r="D2347" s="1755"/>
      <c r="E2347" s="1295"/>
      <c r="F2347" s="94"/>
      <c r="G2347" s="1260" t="s">
        <v>247</v>
      </c>
    </row>
    <row r="2348" spans="1:7" ht="15" hidden="1" customHeight="1" x14ac:dyDescent="0.25">
      <c r="A2348" s="4"/>
      <c r="B2348" s="209" t="s">
        <v>260</v>
      </c>
      <c r="C2348" s="193"/>
      <c r="D2348" s="1778" t="s">
        <v>3306</v>
      </c>
      <c r="E2348" s="1295"/>
      <c r="F2348" s="1313" t="str">
        <f>IF(LEN('Verification Report'!W2351)=0,"",'Verification Report'!W2351)</f>
        <v/>
      </c>
      <c r="G2348" s="1260" t="s">
        <v>247</v>
      </c>
    </row>
    <row r="2349" spans="1:7" hidden="1" x14ac:dyDescent="0.25">
      <c r="A2349" s="4"/>
      <c r="B2349" s="210"/>
      <c r="C2349" s="210"/>
      <c r="D2349" s="1755"/>
      <c r="E2349" s="1295"/>
      <c r="F2349" s="94"/>
      <c r="G2349" s="1260" t="s">
        <v>247</v>
      </c>
    </row>
    <row r="2350" spans="1:7" ht="15" hidden="1" customHeight="1" x14ac:dyDescent="0.25">
      <c r="A2350" s="4"/>
      <c r="B2350" s="27" t="s">
        <v>269</v>
      </c>
      <c r="C2350" s="4"/>
      <c r="D2350" s="1779" t="s">
        <v>3338</v>
      </c>
      <c r="E2350" s="1295"/>
      <c r="F2350" s="1313" t="str">
        <f>IF(LEN('Verification Report'!W2353)=0,"",'Verification Report'!W2353)</f>
        <v/>
      </c>
      <c r="G2350" s="1260" t="s">
        <v>247</v>
      </c>
    </row>
    <row r="2351" spans="1:7" hidden="1" x14ac:dyDescent="0.25">
      <c r="A2351" s="4"/>
      <c r="B2351" s="4"/>
      <c r="C2351" s="4"/>
      <c r="D2351" s="1779"/>
      <c r="E2351" s="1295"/>
      <c r="F2351" s="94"/>
      <c r="G2351" s="1260" t="s">
        <v>247</v>
      </c>
    </row>
    <row r="2352" spans="1:7" hidden="1" x14ac:dyDescent="0.25">
      <c r="A2352" s="4"/>
      <c r="B2352" s="4"/>
      <c r="C2352" s="4"/>
      <c r="D2352" s="1779"/>
      <c r="E2352" s="1295"/>
      <c r="F2352" s="94"/>
      <c r="G2352" s="1260" t="s">
        <v>247</v>
      </c>
    </row>
    <row r="2353" spans="1:7" ht="15" hidden="1" customHeight="1" x14ac:dyDescent="0.25">
      <c r="A2353" s="4"/>
      <c r="B2353" s="209" t="s">
        <v>275</v>
      </c>
      <c r="C2353" s="193"/>
      <c r="D2353" s="1778" t="s">
        <v>3339</v>
      </c>
      <c r="E2353" s="1295"/>
      <c r="F2353" s="1313" t="str">
        <f>IF(LEN('Verification Report'!W2356)=0,"",'Verification Report'!W2356)</f>
        <v/>
      </c>
      <c r="G2353" s="1260" t="s">
        <v>247</v>
      </c>
    </row>
    <row r="2354" spans="1:7" hidden="1" x14ac:dyDescent="0.25">
      <c r="A2354" s="4"/>
      <c r="B2354" s="206"/>
      <c r="C2354" s="210"/>
      <c r="D2354" s="1755"/>
      <c r="E2354" s="1295"/>
      <c r="F2354" s="94"/>
      <c r="G2354" s="1260" t="s">
        <v>247</v>
      </c>
    </row>
    <row r="2355" spans="1:7" hidden="1" x14ac:dyDescent="0.25">
      <c r="A2355" s="4"/>
      <c r="B2355" s="27" t="s">
        <v>277</v>
      </c>
      <c r="C2355" s="4"/>
      <c r="D2355" s="1554" t="s">
        <v>3289</v>
      </c>
      <c r="E2355" s="1295"/>
      <c r="F2355" s="1313" t="str">
        <f>IF(LEN('Verification Report'!W2358)=0,"",'Verification Report'!W2358)</f>
        <v/>
      </c>
      <c r="G2355" s="1260" t="s">
        <v>247</v>
      </c>
    </row>
    <row r="2356" spans="1:7" ht="15" hidden="1" customHeight="1" x14ac:dyDescent="0.25">
      <c r="A2356" s="4"/>
      <c r="B2356" s="209" t="s">
        <v>383</v>
      </c>
      <c r="C2356" s="193"/>
      <c r="D2356" s="1778" t="s">
        <v>3340</v>
      </c>
      <c r="E2356" s="1295"/>
      <c r="F2356" s="1313" t="str">
        <f>IF(LEN('Verification Report'!W2359)=0,"",'Verification Report'!W2359)</f>
        <v/>
      </c>
      <c r="G2356" s="1260" t="s">
        <v>247</v>
      </c>
    </row>
    <row r="2357" spans="1:7" hidden="1" x14ac:dyDescent="0.25">
      <c r="A2357" s="4"/>
      <c r="B2357" s="210"/>
      <c r="C2357" s="210"/>
      <c r="D2357" s="1755"/>
      <c r="E2357" s="1295"/>
      <c r="F2357" s="94"/>
      <c r="G2357" s="1260" t="s">
        <v>247</v>
      </c>
    </row>
    <row r="2358" spans="1:7" ht="15" hidden="1" customHeight="1" x14ac:dyDescent="0.25">
      <c r="A2358" s="4"/>
      <c r="B2358" s="27" t="s">
        <v>428</v>
      </c>
      <c r="C2358" s="4"/>
      <c r="D2358" s="1841" t="s">
        <v>3304</v>
      </c>
      <c r="E2358" s="1295"/>
      <c r="F2358" s="1313" t="str">
        <f>IF(LEN('Verification Report'!W2361)=0,"",'Verification Report'!W2361)</f>
        <v/>
      </c>
      <c r="G2358" s="1260" t="s">
        <v>247</v>
      </c>
    </row>
    <row r="2359" spans="1:7" hidden="1" x14ac:dyDescent="0.25">
      <c r="A2359" s="4"/>
      <c r="B2359" s="27"/>
      <c r="C2359" s="4"/>
      <c r="D2359" s="1841"/>
      <c r="E2359" s="1295"/>
      <c r="F2359" s="94"/>
      <c r="G2359" s="1260" t="s">
        <v>247</v>
      </c>
    </row>
    <row r="2360" spans="1:7" hidden="1" x14ac:dyDescent="0.25">
      <c r="A2360" s="4"/>
      <c r="B2360" s="209" t="s">
        <v>430</v>
      </c>
      <c r="C2360" s="193"/>
      <c r="D2360" s="1535" t="s">
        <v>3341</v>
      </c>
      <c r="E2360" s="1295"/>
      <c r="F2360" s="1313" t="str">
        <f>IF(LEN('Verification Report'!W2363)=0,"",'Verification Report'!W2363)</f>
        <v/>
      </c>
      <c r="G2360" s="1260" t="s">
        <v>247</v>
      </c>
    </row>
    <row r="2361" spans="1:7" ht="15" hidden="1" customHeight="1" x14ac:dyDescent="0.25">
      <c r="A2361" s="4"/>
      <c r="B2361" s="209" t="s">
        <v>432</v>
      </c>
      <c r="C2361" s="193"/>
      <c r="D2361" s="1778" t="s">
        <v>3342</v>
      </c>
      <c r="E2361" s="1295"/>
      <c r="F2361" s="1313" t="str">
        <f>IF(LEN('Verification Report'!W2364)=0,"",'Verification Report'!W2364)</f>
        <v/>
      </c>
      <c r="G2361" s="1260" t="s">
        <v>247</v>
      </c>
    </row>
    <row r="2362" spans="1:7" hidden="1" x14ac:dyDescent="0.25">
      <c r="A2362" s="4"/>
      <c r="B2362" s="183"/>
      <c r="C2362" s="129"/>
      <c r="D2362" s="1754"/>
      <c r="E2362" s="1295"/>
      <c r="F2362" s="94"/>
      <c r="G2362" s="1260" t="s">
        <v>247</v>
      </c>
    </row>
    <row r="2363" spans="1:7" hidden="1" x14ac:dyDescent="0.25">
      <c r="A2363" s="4"/>
      <c r="B2363" s="206"/>
      <c r="C2363" s="210"/>
      <c r="D2363" s="1755"/>
      <c r="E2363" s="1295"/>
      <c r="F2363" s="94"/>
      <c r="G2363" s="1260" t="s">
        <v>247</v>
      </c>
    </row>
    <row r="2364" spans="1:7" ht="15" hidden="1" customHeight="1" x14ac:dyDescent="0.25">
      <c r="A2364" s="129"/>
      <c r="B2364" s="183" t="s">
        <v>434</v>
      </c>
      <c r="C2364" s="129"/>
      <c r="D2364" s="1793" t="s">
        <v>3343</v>
      </c>
      <c r="E2364" s="1296"/>
      <c r="F2364" s="1313" t="str">
        <f>IF(LEN('Verification Report'!W2367)=0,"",'Verification Report'!W2367)</f>
        <v/>
      </c>
      <c r="G2364" s="1260" t="s">
        <v>247</v>
      </c>
    </row>
    <row r="2365" spans="1:7" ht="15.75" hidden="1" thickBot="1" x14ac:dyDescent="0.3">
      <c r="A2365" s="240"/>
      <c r="B2365" s="190"/>
      <c r="C2365" s="240"/>
      <c r="D2365" s="1842"/>
      <c r="E2365" s="1294"/>
      <c r="F2365" s="94"/>
      <c r="G2365" s="1260" t="s">
        <v>247</v>
      </c>
    </row>
    <row r="2366" spans="1:7" ht="15.75" hidden="1" customHeight="1" thickTop="1" x14ac:dyDescent="0.25">
      <c r="A2366" s="139">
        <v>1002.3</v>
      </c>
      <c r="B2366" s="4"/>
      <c r="C2366" s="4"/>
      <c r="D2366" s="1796" t="s">
        <v>3377</v>
      </c>
      <c r="E2366" s="1299">
        <f>'Verification Report'!O2367</f>
        <v>0</v>
      </c>
      <c r="F2366" s="94"/>
      <c r="G2366" s="1260" t="s">
        <v>247</v>
      </c>
    </row>
    <row r="2367" spans="1:7" hidden="1" x14ac:dyDescent="0.25">
      <c r="A2367" s="4"/>
      <c r="B2367" s="4"/>
      <c r="C2367" s="4"/>
      <c r="D2367" s="1796"/>
      <c r="E2367" s="1299"/>
      <c r="F2367" s="94"/>
      <c r="G2367" s="1260" t="s">
        <v>247</v>
      </c>
    </row>
    <row r="2368" spans="1:7" hidden="1" x14ac:dyDescent="0.25">
      <c r="A2368" s="4"/>
      <c r="B2368" s="4"/>
      <c r="C2368" s="4"/>
      <c r="D2368" s="1796"/>
      <c r="E2368" s="1299"/>
      <c r="F2368" s="94"/>
      <c r="G2368" s="1260" t="s">
        <v>247</v>
      </c>
    </row>
    <row r="2369" spans="1:7" hidden="1" x14ac:dyDescent="0.25">
      <c r="A2369" s="4"/>
      <c r="B2369" s="4"/>
      <c r="C2369" s="4"/>
      <c r="D2369" s="226" t="s">
        <v>3373</v>
      </c>
      <c r="E2369" s="1299"/>
      <c r="F2369" s="94"/>
      <c r="G2369" s="1260" t="s">
        <v>247</v>
      </c>
    </row>
    <row r="2370" spans="1:7" ht="15" hidden="1" customHeight="1" x14ac:dyDescent="0.25">
      <c r="A2370" s="4"/>
      <c r="B2370" s="183" t="s">
        <v>256</v>
      </c>
      <c r="C2370" s="129"/>
      <c r="D2370" s="1754" t="s">
        <v>3344</v>
      </c>
      <c r="E2370" s="1295"/>
      <c r="F2370" s="1313" t="str">
        <f>IF(LEN('Verification Report'!W2373)=0,"",'Verification Report'!W2373)</f>
        <v/>
      </c>
      <c r="G2370" s="1260" t="s">
        <v>247</v>
      </c>
    </row>
    <row r="2371" spans="1:7" hidden="1" x14ac:dyDescent="0.25">
      <c r="A2371" s="4"/>
      <c r="B2371" s="206"/>
      <c r="C2371" s="210"/>
      <c r="D2371" s="1755"/>
      <c r="E2371" s="1295"/>
      <c r="F2371" s="94"/>
      <c r="G2371" s="1260" t="s">
        <v>247</v>
      </c>
    </row>
    <row r="2372" spans="1:7" ht="15" hidden="1" customHeight="1" x14ac:dyDescent="0.25">
      <c r="A2372" s="4"/>
      <c r="B2372" s="209" t="s">
        <v>258</v>
      </c>
      <c r="C2372" s="193"/>
      <c r="D2372" s="1778" t="s">
        <v>3296</v>
      </c>
      <c r="E2372" s="1295"/>
      <c r="F2372" s="1313" t="str">
        <f>IF(LEN('Verification Report'!W2375)=0,"",'Verification Report'!W2375)</f>
        <v/>
      </c>
      <c r="G2372" s="1260" t="s">
        <v>247</v>
      </c>
    </row>
    <row r="2373" spans="1:7" hidden="1" x14ac:dyDescent="0.25">
      <c r="A2373" s="4"/>
      <c r="B2373" s="129"/>
      <c r="C2373" s="129"/>
      <c r="D2373" s="1754"/>
      <c r="E2373" s="1295"/>
      <c r="F2373" s="94"/>
      <c r="G2373" s="1260" t="s">
        <v>247</v>
      </c>
    </row>
    <row r="2374" spans="1:7" hidden="1" x14ac:dyDescent="0.25">
      <c r="A2374" s="4"/>
      <c r="B2374" s="129"/>
      <c r="C2374" s="129"/>
      <c r="D2374" s="1754"/>
      <c r="E2374" s="1295"/>
      <c r="F2374" s="94"/>
      <c r="G2374" s="1260" t="s">
        <v>247</v>
      </c>
    </row>
    <row r="2375" spans="1:7" hidden="1" x14ac:dyDescent="0.25">
      <c r="A2375" s="4"/>
      <c r="B2375" s="210"/>
      <c r="C2375" s="210"/>
      <c r="D2375" s="1755"/>
      <c r="E2375" s="1295"/>
      <c r="F2375" s="94"/>
      <c r="G2375" s="1260" t="s">
        <v>247</v>
      </c>
    </row>
    <row r="2376" spans="1:7" hidden="1" x14ac:dyDescent="0.25">
      <c r="A2376" s="4"/>
      <c r="B2376" s="209" t="s">
        <v>260</v>
      </c>
      <c r="C2376" s="193"/>
      <c r="D2376" s="1290" t="s">
        <v>3345</v>
      </c>
      <c r="E2376" s="1295"/>
      <c r="F2376" s="1313" t="str">
        <f>IF(LEN('Verification Report'!W2379)=0,"",'Verification Report'!W2379)</f>
        <v/>
      </c>
      <c r="G2376" s="1260" t="s">
        <v>247</v>
      </c>
    </row>
    <row r="2377" spans="1:7" hidden="1" x14ac:dyDescent="0.25">
      <c r="A2377" s="4"/>
      <c r="B2377" s="129"/>
      <c r="C2377" s="183" t="s">
        <v>121</v>
      </c>
      <c r="D2377" s="1289" t="s">
        <v>3346</v>
      </c>
      <c r="E2377" s="1295"/>
      <c r="F2377" s="94"/>
      <c r="G2377" s="1260" t="s">
        <v>247</v>
      </c>
    </row>
    <row r="2378" spans="1:7" hidden="1" x14ac:dyDescent="0.25">
      <c r="A2378" s="4"/>
      <c r="B2378" s="129"/>
      <c r="C2378" s="183" t="s">
        <v>122</v>
      </c>
      <c r="D2378" s="1289" t="s">
        <v>3347</v>
      </c>
      <c r="E2378" s="1295"/>
      <c r="F2378" s="94"/>
      <c r="G2378" s="1260" t="s">
        <v>247</v>
      </c>
    </row>
    <row r="2379" spans="1:7" hidden="1" x14ac:dyDescent="0.25">
      <c r="A2379" s="4"/>
      <c r="B2379" s="129"/>
      <c r="C2379" s="183" t="s">
        <v>123</v>
      </c>
      <c r="D2379" s="1289" t="s">
        <v>3348</v>
      </c>
      <c r="E2379" s="1295"/>
      <c r="F2379" s="94"/>
      <c r="G2379" s="1260" t="s">
        <v>247</v>
      </c>
    </row>
    <row r="2380" spans="1:7" hidden="1" x14ac:dyDescent="0.25">
      <c r="A2380" s="4"/>
      <c r="B2380" s="129"/>
      <c r="C2380" s="183" t="s">
        <v>401</v>
      </c>
      <c r="D2380" s="1289" t="s">
        <v>3349</v>
      </c>
      <c r="E2380" s="1295"/>
      <c r="F2380" s="94"/>
      <c r="G2380" s="1260" t="s">
        <v>247</v>
      </c>
    </row>
    <row r="2381" spans="1:7" hidden="1" x14ac:dyDescent="0.25">
      <c r="A2381" s="4"/>
      <c r="B2381" s="129"/>
      <c r="C2381" s="183" t="s">
        <v>539</v>
      </c>
      <c r="D2381" s="1289" t="s">
        <v>3350</v>
      </c>
      <c r="E2381" s="1295"/>
      <c r="F2381" s="94"/>
      <c r="G2381" s="1260" t="s">
        <v>247</v>
      </c>
    </row>
    <row r="2382" spans="1:7" hidden="1" x14ac:dyDescent="0.25">
      <c r="A2382" s="4"/>
      <c r="B2382" s="210"/>
      <c r="C2382" s="206" t="s">
        <v>604</v>
      </c>
      <c r="D2382" s="1291" t="s">
        <v>3351</v>
      </c>
      <c r="E2382" s="1295"/>
      <c r="F2382" s="94"/>
      <c r="G2382" s="1260" t="s">
        <v>247</v>
      </c>
    </row>
    <row r="2383" spans="1:7" ht="15" hidden="1" customHeight="1" x14ac:dyDescent="0.25">
      <c r="A2383" s="4"/>
      <c r="B2383" s="27" t="s">
        <v>269</v>
      </c>
      <c r="C2383" s="4"/>
      <c r="D2383" s="1779" t="s">
        <v>3300</v>
      </c>
      <c r="E2383" s="1295"/>
      <c r="F2383" s="1313" t="str">
        <f>IF(LEN('Verification Report'!W2386)=0,"",'Verification Report'!W2386)</f>
        <v/>
      </c>
      <c r="G2383" s="1260" t="s">
        <v>247</v>
      </c>
    </row>
    <row r="2384" spans="1:7" hidden="1" x14ac:dyDescent="0.25">
      <c r="A2384" s="4"/>
      <c r="B2384" s="4"/>
      <c r="C2384" s="4"/>
      <c r="D2384" s="1779"/>
      <c r="E2384" s="1295"/>
      <c r="F2384" s="94"/>
      <c r="G2384" s="1260" t="s">
        <v>247</v>
      </c>
    </row>
    <row r="2385" spans="1:7" hidden="1" x14ac:dyDescent="0.25">
      <c r="A2385" s="4"/>
      <c r="B2385" s="207" t="s">
        <v>275</v>
      </c>
      <c r="C2385" s="243"/>
      <c r="D2385" s="244" t="s">
        <v>3302</v>
      </c>
      <c r="E2385" s="1295"/>
      <c r="F2385" s="1313" t="str">
        <f>IF(LEN('Verification Report'!W2388)=0,"",'Verification Report'!W2388)</f>
        <v/>
      </c>
      <c r="G2385" s="1260" t="s">
        <v>247</v>
      </c>
    </row>
    <row r="2386" spans="1:7" ht="15" hidden="1" customHeight="1" x14ac:dyDescent="0.25">
      <c r="A2386" s="4"/>
      <c r="B2386" s="27" t="s">
        <v>277</v>
      </c>
      <c r="C2386" s="4"/>
      <c r="D2386" s="1779" t="s">
        <v>3352</v>
      </c>
      <c r="E2386" s="1295"/>
      <c r="F2386" s="1313" t="str">
        <f>IF(LEN('Verification Report'!W2389)=0,"",'Verification Report'!W2389)</f>
        <v/>
      </c>
      <c r="G2386" s="1260" t="s">
        <v>247</v>
      </c>
    </row>
    <row r="2387" spans="1:7" hidden="1" x14ac:dyDescent="0.25">
      <c r="A2387" s="4"/>
      <c r="B2387" s="27"/>
      <c r="C2387" s="4"/>
      <c r="D2387" s="1779"/>
      <c r="E2387" s="1295"/>
      <c r="F2387" s="94"/>
      <c r="G2387" s="1260" t="s">
        <v>247</v>
      </c>
    </row>
    <row r="2388" spans="1:7" hidden="1" x14ac:dyDescent="0.25">
      <c r="A2388" s="4"/>
      <c r="B2388" s="207" t="s">
        <v>383</v>
      </c>
      <c r="C2388" s="243"/>
      <c r="D2388" s="244" t="s">
        <v>3308</v>
      </c>
      <c r="E2388" s="1295"/>
      <c r="F2388" s="1313" t="str">
        <f>IF(LEN('Verification Report'!W2391)=0,"",'Verification Report'!W2391)</f>
        <v/>
      </c>
      <c r="G2388" s="1260" t="s">
        <v>247</v>
      </c>
    </row>
    <row r="2389" spans="1:7" hidden="1" x14ac:dyDescent="0.25">
      <c r="A2389" s="4"/>
      <c r="B2389" s="27" t="s">
        <v>428</v>
      </c>
      <c r="C2389" s="4"/>
      <c r="D2389" s="1288" t="s">
        <v>3353</v>
      </c>
      <c r="E2389" s="1295"/>
      <c r="F2389" s="1313" t="str">
        <f>IF(LEN('Verification Report'!W2392)=0,"",'Verification Report'!W2392)</f>
        <v/>
      </c>
      <c r="G2389" s="1260" t="s">
        <v>247</v>
      </c>
    </row>
    <row r="2390" spans="1:7" hidden="1" x14ac:dyDescent="0.25">
      <c r="A2390" s="4"/>
      <c r="B2390" s="207" t="s">
        <v>430</v>
      </c>
      <c r="C2390" s="243"/>
      <c r="D2390" s="244" t="s">
        <v>3354</v>
      </c>
      <c r="E2390" s="1295"/>
      <c r="F2390" s="1313" t="str">
        <f>IF(LEN('Verification Report'!W2393)=0,"",'Verification Report'!W2393)</f>
        <v/>
      </c>
      <c r="G2390" s="1260" t="s">
        <v>247</v>
      </c>
    </row>
    <row r="2391" spans="1:7" hidden="1" x14ac:dyDescent="0.25">
      <c r="A2391" s="129"/>
      <c r="B2391" s="207" t="s">
        <v>432</v>
      </c>
      <c r="C2391" s="243"/>
      <c r="D2391" s="244" t="s">
        <v>3355</v>
      </c>
      <c r="E2391" s="1296"/>
      <c r="F2391" s="1313" t="str">
        <f>IF(LEN('Verification Report'!W2394)=0,"",'Verification Report'!W2394)</f>
        <v/>
      </c>
      <c r="G2391" s="1260" t="s">
        <v>247</v>
      </c>
    </row>
    <row r="2392" spans="1:7" ht="15" hidden="1" customHeight="1" x14ac:dyDescent="0.25">
      <c r="B2392" s="668" t="s">
        <v>434</v>
      </c>
      <c r="C2392" s="680"/>
      <c r="D2392" s="2133" t="s">
        <v>4551</v>
      </c>
      <c r="E2392" s="664"/>
      <c r="F2392" s="1313" t="str">
        <f>IF(LEN('Verification Report'!W2395)=0,"",'Verification Report'!W2395)</f>
        <v/>
      </c>
      <c r="G2392" s="1260" t="s">
        <v>247</v>
      </c>
    </row>
    <row r="2393" spans="1:7" ht="15.75" hidden="1" thickBot="1" x14ac:dyDescent="0.3">
      <c r="A2393" s="99"/>
      <c r="B2393" s="681"/>
      <c r="C2393" s="681"/>
      <c r="D2393" s="1947"/>
      <c r="E2393" s="1052"/>
      <c r="F2393" s="94"/>
      <c r="G2393" s="1260" t="s">
        <v>247</v>
      </c>
    </row>
    <row r="2394" spans="1:7" ht="15.75" hidden="1" customHeight="1" thickTop="1" x14ac:dyDescent="0.25">
      <c r="A2394" s="139">
        <v>1002.4</v>
      </c>
      <c r="B2394" s="4"/>
      <c r="C2394" s="4"/>
      <c r="D2394" s="1796" t="s">
        <v>3356</v>
      </c>
      <c r="E2394" s="1298">
        <f>'Verification Report'!O2395</f>
        <v>0</v>
      </c>
      <c r="F2394" s="1313" t="str">
        <f>IF(LEN('Verification Report'!W2397)=0,"",'Verification Report'!W2397)</f>
        <v/>
      </c>
      <c r="G2394" s="1260" t="s">
        <v>247</v>
      </c>
    </row>
    <row r="2395" spans="1:7" hidden="1" x14ac:dyDescent="0.25">
      <c r="A2395" s="4"/>
      <c r="B2395" s="4"/>
      <c r="C2395" s="4"/>
      <c r="D2395" s="1796"/>
      <c r="E2395" s="1296"/>
      <c r="F2395" s="94"/>
      <c r="G2395" s="1260" t="s">
        <v>247</v>
      </c>
    </row>
    <row r="2396" spans="1:7" hidden="1" x14ac:dyDescent="0.25">
      <c r="A2396" s="4"/>
      <c r="B2396" s="4"/>
      <c r="C2396" s="4"/>
      <c r="D2396" s="1796"/>
      <c r="E2396" s="1296"/>
      <c r="F2396" s="94"/>
      <c r="G2396" s="1260" t="s">
        <v>247</v>
      </c>
    </row>
    <row r="2397" spans="1:7" hidden="1" x14ac:dyDescent="0.25">
      <c r="A2397" s="4"/>
      <c r="B2397" s="4"/>
      <c r="C2397" s="4"/>
      <c r="D2397" s="1796"/>
      <c r="E2397" s="1296"/>
      <c r="F2397" s="94"/>
      <c r="G2397" s="1260" t="s">
        <v>247</v>
      </c>
    </row>
    <row r="2398" spans="1:7" hidden="1" x14ac:dyDescent="0.25">
      <c r="A2398" s="4"/>
      <c r="B2398" s="4"/>
      <c r="C2398" s="4"/>
      <c r="D2398" s="1796"/>
      <c r="E2398" s="1296"/>
      <c r="F2398" s="94"/>
      <c r="G2398" s="1260" t="s">
        <v>247</v>
      </c>
    </row>
    <row r="2399" spans="1:7" hidden="1" x14ac:dyDescent="0.25">
      <c r="A2399" s="4"/>
      <c r="B2399" s="27" t="s">
        <v>256</v>
      </c>
      <c r="C2399" s="4"/>
      <c r="D2399" s="1288" t="s">
        <v>3346</v>
      </c>
      <c r="E2399" s="1295"/>
      <c r="F2399" s="94"/>
      <c r="G2399" s="1260" t="s">
        <v>247</v>
      </c>
    </row>
    <row r="2400" spans="1:7" hidden="1" x14ac:dyDescent="0.25">
      <c r="A2400" s="4"/>
      <c r="B2400" s="27" t="s">
        <v>258</v>
      </c>
      <c r="C2400" s="4"/>
      <c r="D2400" s="1288" t="s">
        <v>3347</v>
      </c>
      <c r="E2400" s="1295"/>
      <c r="F2400" s="94"/>
      <c r="G2400" s="1260" t="s">
        <v>247</v>
      </c>
    </row>
    <row r="2401" spans="1:7" hidden="1" x14ac:dyDescent="0.25">
      <c r="A2401" s="4"/>
      <c r="B2401" s="27" t="s">
        <v>260</v>
      </c>
      <c r="C2401" s="4"/>
      <c r="D2401" s="1288" t="s">
        <v>3348</v>
      </c>
      <c r="E2401" s="1295"/>
      <c r="F2401" s="94"/>
      <c r="G2401" s="1260" t="s">
        <v>247</v>
      </c>
    </row>
    <row r="2402" spans="1:7" hidden="1" x14ac:dyDescent="0.25">
      <c r="A2402" s="4"/>
      <c r="B2402" s="27" t="s">
        <v>269</v>
      </c>
      <c r="C2402" s="4"/>
      <c r="D2402" s="1288" t="s">
        <v>3357</v>
      </c>
      <c r="E2402" s="1295"/>
      <c r="F2402" s="94"/>
      <c r="G2402" s="1260" t="s">
        <v>247</v>
      </c>
    </row>
    <row r="2403" spans="1:7" hidden="1" x14ac:dyDescent="0.25">
      <c r="A2403" s="4"/>
      <c r="B2403" s="27" t="s">
        <v>275</v>
      </c>
      <c r="C2403" s="4"/>
      <c r="D2403" s="1288" t="s">
        <v>3358</v>
      </c>
      <c r="E2403" s="1295"/>
      <c r="F2403" s="94"/>
      <c r="G2403" s="1260" t="s">
        <v>247</v>
      </c>
    </row>
    <row r="2404" spans="1:7" hidden="1" x14ac:dyDescent="0.25">
      <c r="A2404" s="4"/>
      <c r="B2404" s="27" t="s">
        <v>277</v>
      </c>
      <c r="C2404" s="4"/>
      <c r="D2404" s="1288" t="s">
        <v>3351</v>
      </c>
      <c r="E2404" s="1295"/>
      <c r="F2404" s="94"/>
      <c r="G2404" s="1260" t="s">
        <v>247</v>
      </c>
    </row>
    <row r="2405" spans="1:7" hidden="1" x14ac:dyDescent="0.25">
      <c r="A2405" s="4"/>
      <c r="B2405" s="27" t="s">
        <v>383</v>
      </c>
      <c r="C2405" s="4"/>
      <c r="D2405" s="1288" t="s">
        <v>3359</v>
      </c>
      <c r="E2405" s="1295"/>
      <c r="F2405" s="94"/>
      <c r="G2405" s="1260" t="s">
        <v>247</v>
      </c>
    </row>
    <row r="2406" spans="1:7" ht="15.75" hidden="1" thickBot="1" x14ac:dyDescent="0.3">
      <c r="A2406" s="240"/>
      <c r="B2406" s="673" t="s">
        <v>428</v>
      </c>
      <c r="C2406" s="681"/>
      <c r="D2406" s="1555" t="s">
        <v>4552</v>
      </c>
      <c r="E2406" s="1294"/>
      <c r="F2406" s="94"/>
      <c r="G2406" s="1260" t="s">
        <v>247</v>
      </c>
    </row>
    <row r="2407" spans="1:7" ht="15.75" hidden="1" customHeight="1" thickTop="1" x14ac:dyDescent="0.25">
      <c r="A2407" s="667" t="s">
        <v>4553</v>
      </c>
      <c r="B2407" s="667"/>
      <c r="C2407" s="679"/>
      <c r="D2407" s="1884" t="s">
        <v>4555</v>
      </c>
      <c r="E2407" s="1295">
        <f>'Verification Report'!O2408</f>
        <v>0</v>
      </c>
      <c r="F2407" s="94"/>
      <c r="G2407" s="1260" t="s">
        <v>247</v>
      </c>
    </row>
    <row r="2408" spans="1:7" hidden="1" x14ac:dyDescent="0.25">
      <c r="A2408" s="667"/>
      <c r="B2408" s="667"/>
      <c r="C2408" s="679"/>
      <c r="D2408" s="1884"/>
      <c r="E2408" s="1295"/>
      <c r="F2408" s="94"/>
      <c r="G2408" s="1260" t="s">
        <v>247</v>
      </c>
    </row>
    <row r="2409" spans="1:7" hidden="1" x14ac:dyDescent="0.25">
      <c r="A2409" s="667"/>
      <c r="B2409" s="667" t="s">
        <v>256</v>
      </c>
      <c r="C2409" s="679"/>
      <c r="D2409" s="1554" t="s">
        <v>4556</v>
      </c>
      <c r="E2409" s="1295"/>
      <c r="F2409" s="1313" t="str">
        <f>IF(LEN('Verification Report'!W2412)=0,"",'Verification Report'!W2412)</f>
        <v/>
      </c>
      <c r="G2409" s="1260" t="s">
        <v>247</v>
      </c>
    </row>
    <row r="2410" spans="1:7" hidden="1" x14ac:dyDescent="0.25">
      <c r="A2410" s="667"/>
      <c r="B2410" s="667" t="s">
        <v>258</v>
      </c>
      <c r="C2410" s="679"/>
      <c r="D2410" s="1554" t="s">
        <v>4557</v>
      </c>
      <c r="E2410" s="1295"/>
      <c r="F2410" s="1313" t="str">
        <f>IF(LEN('Verification Report'!W2413)=0,"",'Verification Report'!W2413)</f>
        <v/>
      </c>
      <c r="G2410" s="1260" t="s">
        <v>247</v>
      </c>
    </row>
    <row r="2411" spans="1:7" ht="15" hidden="1" customHeight="1" x14ac:dyDescent="0.25">
      <c r="A2411" s="667"/>
      <c r="B2411" s="667" t="s">
        <v>260</v>
      </c>
      <c r="C2411" s="679"/>
      <c r="D2411" s="1841" t="s">
        <v>4558</v>
      </c>
      <c r="E2411" s="1295"/>
      <c r="F2411" s="1313" t="str">
        <f>IF(LEN('Verification Report'!W2414)=0,"",'Verification Report'!W2414)</f>
        <v/>
      </c>
      <c r="G2411" s="1260" t="s">
        <v>247</v>
      </c>
    </row>
    <row r="2412" spans="1:7" hidden="1" x14ac:dyDescent="0.25">
      <c r="A2412" s="667"/>
      <c r="B2412" s="667"/>
      <c r="C2412" s="679"/>
      <c r="D2412" s="1841"/>
      <c r="E2412" s="1295"/>
      <c r="F2412" s="94"/>
      <c r="G2412" s="1260" t="s">
        <v>247</v>
      </c>
    </row>
    <row r="2413" spans="1:7" hidden="1" x14ac:dyDescent="0.25">
      <c r="A2413" s="667"/>
      <c r="B2413" s="667" t="s">
        <v>269</v>
      </c>
      <c r="C2413" s="679"/>
      <c r="D2413" s="1554" t="s">
        <v>4559</v>
      </c>
      <c r="E2413" s="1295"/>
      <c r="F2413" s="1313" t="str">
        <f>IF(LEN('Verification Report'!W2416)=0,"",'Verification Report'!W2416)</f>
        <v/>
      </c>
      <c r="G2413" s="1260" t="s">
        <v>247</v>
      </c>
    </row>
    <row r="2414" spans="1:7" hidden="1" x14ac:dyDescent="0.25">
      <c r="A2414" s="667"/>
      <c r="B2414" s="667" t="s">
        <v>275</v>
      </c>
      <c r="C2414" s="679"/>
      <c r="D2414" s="1554" t="s">
        <v>4560</v>
      </c>
      <c r="E2414" s="1295"/>
      <c r="F2414" s="1313" t="str">
        <f>IF(LEN('Verification Report'!W2417)=0,"",'Verification Report'!W2417)</f>
        <v/>
      </c>
      <c r="G2414" s="1260" t="s">
        <v>247</v>
      </c>
    </row>
    <row r="2415" spans="1:7" hidden="1" x14ac:dyDescent="0.25">
      <c r="A2415" s="667"/>
      <c r="B2415" s="667" t="s">
        <v>277</v>
      </c>
      <c r="C2415" s="679"/>
      <c r="D2415" s="1554" t="s">
        <v>4561</v>
      </c>
      <c r="E2415" s="1295"/>
      <c r="F2415" s="1313" t="str">
        <f>IF(LEN('Verification Report'!W2418)=0,"",'Verification Report'!W2418)</f>
        <v/>
      </c>
      <c r="G2415" s="1260" t="s">
        <v>247</v>
      </c>
    </row>
    <row r="2416" spans="1:7" hidden="1" x14ac:dyDescent="0.25">
      <c r="A2416" s="667"/>
      <c r="B2416" s="667" t="s">
        <v>383</v>
      </c>
      <c r="C2416" s="679"/>
      <c r="D2416" s="1554" t="s">
        <v>4562</v>
      </c>
      <c r="E2416" s="1295"/>
      <c r="F2416" s="1313" t="str">
        <f>IF(LEN('Verification Report'!W2419)=0,"",'Verification Report'!W2419)</f>
        <v/>
      </c>
      <c r="G2416" s="1260" t="s">
        <v>247</v>
      </c>
    </row>
    <row r="2417" spans="1:7" hidden="1" x14ac:dyDescent="0.25">
      <c r="A2417" s="667"/>
      <c r="B2417" s="667" t="s">
        <v>428</v>
      </c>
      <c r="C2417" s="679"/>
      <c r="D2417" s="1554" t="s">
        <v>4563</v>
      </c>
      <c r="E2417" s="1295"/>
      <c r="F2417" s="1313" t="str">
        <f>IF(LEN('Verification Report'!W2420)=0,"",'Verification Report'!W2420)</f>
        <v/>
      </c>
      <c r="G2417" s="1260" t="s">
        <v>247</v>
      </c>
    </row>
    <row r="2418" spans="1:7" ht="15.75" hidden="1" thickBot="1" x14ac:dyDescent="0.3">
      <c r="A2418" s="673"/>
      <c r="B2418" s="673" t="s">
        <v>430</v>
      </c>
      <c r="C2418" s="681"/>
      <c r="D2418" s="1555" t="s">
        <v>4564</v>
      </c>
      <c r="E2418" s="1294"/>
      <c r="F2418" s="1313" t="str">
        <f>IF(LEN('Verification Report'!W2421)=0,"",'Verification Report'!W2421)</f>
        <v/>
      </c>
      <c r="G2418" s="1260" t="s">
        <v>247</v>
      </c>
    </row>
    <row r="2419" spans="1:7" ht="15.75" hidden="1" customHeight="1" thickTop="1" x14ac:dyDescent="0.25">
      <c r="A2419" s="667" t="s">
        <v>4554</v>
      </c>
      <c r="B2419" s="667"/>
      <c r="C2419" s="679"/>
      <c r="D2419" s="1884" t="s">
        <v>4565</v>
      </c>
      <c r="E2419" s="1295">
        <f>'Verification Report'!O2420</f>
        <v>0</v>
      </c>
      <c r="F2419" s="94"/>
      <c r="G2419" s="1260" t="s">
        <v>247</v>
      </c>
    </row>
    <row r="2420" spans="1:7" hidden="1" x14ac:dyDescent="0.25">
      <c r="A2420" s="667"/>
      <c r="B2420" s="667"/>
      <c r="C2420" s="679"/>
      <c r="D2420" s="1884"/>
      <c r="E2420" s="1295"/>
      <c r="F2420" s="94"/>
      <c r="G2420" s="1260" t="s">
        <v>247</v>
      </c>
    </row>
    <row r="2421" spans="1:7" hidden="1" x14ac:dyDescent="0.25">
      <c r="A2421" s="667"/>
      <c r="B2421" s="667"/>
      <c r="C2421" s="679"/>
      <c r="D2421" s="1884"/>
      <c r="E2421" s="1295"/>
      <c r="F2421" s="94"/>
      <c r="G2421" s="1260" t="s">
        <v>247</v>
      </c>
    </row>
    <row r="2422" spans="1:7" hidden="1" x14ac:dyDescent="0.25">
      <c r="A2422" s="667"/>
      <c r="B2422" s="667"/>
      <c r="C2422" s="679"/>
      <c r="D2422" s="1884"/>
      <c r="E2422" s="1295"/>
      <c r="F2422" s="94"/>
      <c r="G2422" s="1260" t="s">
        <v>247</v>
      </c>
    </row>
    <row r="2423" spans="1:7" hidden="1" x14ac:dyDescent="0.25">
      <c r="A2423" s="667"/>
      <c r="B2423" s="667" t="s">
        <v>256</v>
      </c>
      <c r="C2423" s="679"/>
      <c r="D2423" s="1554" t="s">
        <v>4566</v>
      </c>
      <c r="E2423" s="1295"/>
      <c r="F2423" s="1313" t="str">
        <f>IF(LEN('Verification Report'!W2426)=0,"",'Verification Report'!W2426)</f>
        <v/>
      </c>
      <c r="G2423" s="1260" t="s">
        <v>247</v>
      </c>
    </row>
    <row r="2424" spans="1:7" hidden="1" x14ac:dyDescent="0.25">
      <c r="A2424" s="667"/>
      <c r="B2424" s="667" t="s">
        <v>258</v>
      </c>
      <c r="C2424" s="679"/>
      <c r="D2424" s="1554" t="s">
        <v>4567</v>
      </c>
      <c r="E2424" s="1295"/>
      <c r="F2424" s="1313" t="str">
        <f>IF(LEN('Verification Report'!W2427)=0,"",'Verification Report'!W2427)</f>
        <v/>
      </c>
      <c r="G2424" s="1260" t="s">
        <v>247</v>
      </c>
    </row>
    <row r="2425" spans="1:7" hidden="1" x14ac:dyDescent="0.25">
      <c r="A2425" s="667"/>
      <c r="B2425" s="667" t="s">
        <v>260</v>
      </c>
      <c r="C2425" s="679"/>
      <c r="D2425" s="1554" t="s">
        <v>4568</v>
      </c>
      <c r="E2425" s="1295"/>
      <c r="F2425" s="1313" t="str">
        <f>IF(LEN('Verification Report'!W2428)=0,"",'Verification Report'!W2428)</f>
        <v/>
      </c>
      <c r="G2425" s="1260" t="s">
        <v>247</v>
      </c>
    </row>
    <row r="2426" spans="1:7" hidden="1" x14ac:dyDescent="0.25">
      <c r="A2426" s="667"/>
      <c r="B2426" s="667" t="s">
        <v>269</v>
      </c>
      <c r="C2426" s="679"/>
      <c r="D2426" s="1554" t="s">
        <v>4569</v>
      </c>
      <c r="E2426" s="1295"/>
      <c r="F2426" s="1313" t="str">
        <f>IF(LEN('Verification Report'!W2429)=0,"",'Verification Report'!W2429)</f>
        <v/>
      </c>
      <c r="G2426" s="1260" t="s">
        <v>247</v>
      </c>
    </row>
    <row r="2427" spans="1:7" hidden="1" x14ac:dyDescent="0.25">
      <c r="A2427" s="667"/>
      <c r="B2427" s="667" t="s">
        <v>275</v>
      </c>
      <c r="C2427" s="679"/>
      <c r="D2427" s="1554" t="s">
        <v>4570</v>
      </c>
      <c r="E2427" s="1295"/>
      <c r="F2427" s="1313" t="str">
        <f>IF(LEN('Verification Report'!W2430)=0,"",'Verification Report'!W2430)</f>
        <v/>
      </c>
      <c r="G2427" s="1260" t="s">
        <v>247</v>
      </c>
    </row>
    <row r="2428" spans="1:7" hidden="1" x14ac:dyDescent="0.25">
      <c r="A2428" s="667"/>
      <c r="B2428" s="667" t="s">
        <v>277</v>
      </c>
      <c r="C2428" s="679"/>
      <c r="D2428" s="1554" t="s">
        <v>3346</v>
      </c>
      <c r="E2428" s="1295"/>
      <c r="F2428" s="1313" t="str">
        <f>IF(LEN('Verification Report'!W2431)=0,"",'Verification Report'!W2431)</f>
        <v/>
      </c>
      <c r="G2428" s="1260" t="s">
        <v>247</v>
      </c>
    </row>
    <row r="2429" spans="1:7" hidden="1" x14ac:dyDescent="0.25">
      <c r="A2429" s="667"/>
      <c r="B2429" s="667" t="s">
        <v>383</v>
      </c>
      <c r="C2429" s="679"/>
      <c r="D2429" s="1554" t="s">
        <v>4571</v>
      </c>
      <c r="E2429" s="664"/>
      <c r="F2429" s="1313" t="str">
        <f>IF(LEN('Verification Report'!W2432)=0,"",'Verification Report'!W2432)</f>
        <v/>
      </c>
      <c r="G2429" s="1260" t="s">
        <v>247</v>
      </c>
    </row>
    <row r="2430" spans="1:7" ht="18.75" hidden="1" x14ac:dyDescent="0.3">
      <c r="A2430" s="69" t="s">
        <v>3360</v>
      </c>
      <c r="B2430" s="23"/>
      <c r="C2430" s="23"/>
      <c r="D2430" s="228"/>
      <c r="E2430" s="1043"/>
      <c r="F2430" s="94"/>
      <c r="G2430" s="1260" t="s">
        <v>247</v>
      </c>
    </row>
    <row r="2431" spans="1:7" ht="15" hidden="1" customHeight="1" x14ac:dyDescent="0.25">
      <c r="A2431" s="668" t="s">
        <v>3985</v>
      </c>
      <c r="B2431" s="129"/>
      <c r="C2431" s="129"/>
      <c r="D2431" s="1782" t="s">
        <v>3361</v>
      </c>
      <c r="E2431" s="1296"/>
      <c r="F2431" s="94"/>
      <c r="G2431" s="1260" t="s">
        <v>247</v>
      </c>
    </row>
    <row r="2432" spans="1:7" hidden="1" x14ac:dyDescent="0.25">
      <c r="A2432" s="1309"/>
      <c r="B2432" s="129"/>
      <c r="C2432" s="129"/>
      <c r="D2432" s="1782"/>
      <c r="E2432" s="1296"/>
      <c r="F2432" s="94"/>
      <c r="G2432" s="1260" t="s">
        <v>247</v>
      </c>
    </row>
    <row r="2433" spans="1:7" ht="15.75" hidden="1" thickBot="1" x14ac:dyDescent="0.3">
      <c r="A2433" s="658"/>
      <c r="B2433" s="240"/>
      <c r="C2433" s="240"/>
      <c r="D2433" s="1797"/>
      <c r="E2433" s="1294"/>
      <c r="F2433" s="94"/>
      <c r="G2433" s="1260" t="s">
        <v>247</v>
      </c>
    </row>
    <row r="2434" spans="1:7" hidden="1" x14ac:dyDescent="0.25">
      <c r="A2434" s="139">
        <v>1003.1</v>
      </c>
      <c r="B2434" s="4"/>
      <c r="C2434" s="4"/>
      <c r="D2434" s="227" t="s">
        <v>3362</v>
      </c>
      <c r="E2434" s="1295">
        <f>'Verification Report'!O2435</f>
        <v>0</v>
      </c>
      <c r="F2434" s="94"/>
      <c r="G2434" s="1260" t="s">
        <v>247</v>
      </c>
    </row>
    <row r="2435" spans="1:7" ht="15" hidden="1" customHeight="1" x14ac:dyDescent="0.25">
      <c r="A2435" s="1308"/>
      <c r="B2435" s="183" t="s">
        <v>256</v>
      </c>
      <c r="C2435" s="129"/>
      <c r="D2435" s="1782" t="s">
        <v>3364</v>
      </c>
      <c r="E2435" s="1295"/>
      <c r="F2435" s="1313" t="str">
        <f>IF(LEN('Verification Report'!W2438)=0,"",'Verification Report'!W2438)</f>
        <v/>
      </c>
      <c r="G2435" s="1260" t="s">
        <v>247</v>
      </c>
    </row>
    <row r="2436" spans="1:7" hidden="1" x14ac:dyDescent="0.25">
      <c r="A2436" s="1308"/>
      <c r="B2436" s="206"/>
      <c r="C2436" s="210"/>
      <c r="D2436" s="1843"/>
      <c r="E2436" s="1295"/>
      <c r="F2436" s="94"/>
      <c r="G2436" s="1260" t="s">
        <v>247</v>
      </c>
    </row>
    <row r="2437" spans="1:7" ht="15" hidden="1" customHeight="1" x14ac:dyDescent="0.25">
      <c r="A2437" s="1308"/>
      <c r="B2437" s="209" t="s">
        <v>258</v>
      </c>
      <c r="C2437" s="193"/>
      <c r="D2437" s="1864" t="s">
        <v>3365</v>
      </c>
      <c r="E2437" s="1295"/>
      <c r="F2437" s="1313" t="str">
        <f>IF(LEN('Verification Report'!W2440)=0,"",'Verification Report'!W2440)</f>
        <v/>
      </c>
      <c r="G2437" s="1260" t="s">
        <v>247</v>
      </c>
    </row>
    <row r="2438" spans="1:7" hidden="1" x14ac:dyDescent="0.25">
      <c r="A2438" s="1308"/>
      <c r="B2438" s="183"/>
      <c r="C2438" s="129"/>
      <c r="D2438" s="1782"/>
      <c r="E2438" s="1295"/>
      <c r="F2438" s="94"/>
      <c r="G2438" s="1260" t="s">
        <v>247</v>
      </c>
    </row>
    <row r="2439" spans="1:7" hidden="1" x14ac:dyDescent="0.25">
      <c r="A2439" s="1308"/>
      <c r="B2439" s="206"/>
      <c r="C2439" s="210"/>
      <c r="D2439" s="1843"/>
      <c r="E2439" s="1295"/>
      <c r="F2439" s="94"/>
      <c r="G2439" s="1260" t="s">
        <v>247</v>
      </c>
    </row>
    <row r="2440" spans="1:7" ht="15" hidden="1" customHeight="1" x14ac:dyDescent="0.25">
      <c r="A2440" s="1308"/>
      <c r="B2440" s="27" t="s">
        <v>260</v>
      </c>
      <c r="C2440" s="4"/>
      <c r="D2440" s="1796" t="s">
        <v>3366</v>
      </c>
      <c r="E2440" s="1295"/>
      <c r="F2440" s="1313" t="str">
        <f>IF(LEN('Verification Report'!W2443)=0,"",'Verification Report'!W2443)</f>
        <v/>
      </c>
      <c r="G2440" s="1260" t="s">
        <v>247</v>
      </c>
    </row>
    <row r="2441" spans="1:7" hidden="1" x14ac:dyDescent="0.25">
      <c r="A2441" s="1308"/>
      <c r="B2441" s="4"/>
      <c r="C2441" s="4"/>
      <c r="D2441" s="1796"/>
      <c r="E2441" s="1295"/>
      <c r="F2441" s="94"/>
      <c r="G2441" s="1260" t="s">
        <v>247</v>
      </c>
    </row>
    <row r="2442" spans="1:7" hidden="1" x14ac:dyDescent="0.25">
      <c r="A2442" s="1308"/>
      <c r="B2442" s="4"/>
      <c r="C2442" s="4"/>
      <c r="D2442" s="1796"/>
      <c r="E2442" s="1295"/>
      <c r="F2442" s="94"/>
      <c r="G2442" s="1260" t="s">
        <v>247</v>
      </c>
    </row>
    <row r="2443" spans="1:7" ht="18.75" hidden="1" x14ac:dyDescent="0.3">
      <c r="A2443" s="69" t="s">
        <v>3367</v>
      </c>
      <c r="B2443" s="23"/>
      <c r="C2443" s="23"/>
      <c r="D2443" s="228"/>
      <c r="E2443" s="1043"/>
      <c r="F2443" s="94"/>
      <c r="G2443" s="1260" t="s">
        <v>247</v>
      </c>
    </row>
    <row r="2444" spans="1:7" ht="15" hidden="1" customHeight="1" x14ac:dyDescent="0.25">
      <c r="A2444" s="668" t="s">
        <v>3986</v>
      </c>
      <c r="B2444" s="129"/>
      <c r="C2444" s="129"/>
      <c r="D2444" s="1782" t="s">
        <v>3368</v>
      </c>
      <c r="E2444" s="1296"/>
      <c r="F2444" s="94"/>
      <c r="G2444" s="1260" t="s">
        <v>247</v>
      </c>
    </row>
    <row r="2445" spans="1:7" hidden="1" x14ac:dyDescent="0.25">
      <c r="A2445" s="1309"/>
      <c r="B2445" s="129"/>
      <c r="C2445" s="129"/>
      <c r="D2445" s="1782"/>
      <c r="E2445" s="1296"/>
      <c r="F2445" s="94"/>
      <c r="G2445" s="1260" t="s">
        <v>247</v>
      </c>
    </row>
    <row r="2446" spans="1:7" hidden="1" x14ac:dyDescent="0.25">
      <c r="A2446" s="1309"/>
      <c r="B2446" s="129"/>
      <c r="C2446" s="129"/>
      <c r="D2446" s="1782"/>
      <c r="E2446" s="1296"/>
      <c r="F2446" s="94"/>
      <c r="G2446" s="1260" t="s">
        <v>247</v>
      </c>
    </row>
    <row r="2447" spans="1:7" ht="15.75" hidden="1" thickBot="1" x14ac:dyDescent="0.3">
      <c r="A2447" s="658"/>
      <c r="B2447" s="240"/>
      <c r="C2447" s="240"/>
      <c r="D2447" s="1797"/>
      <c r="E2447" s="1294"/>
      <c r="F2447" s="94"/>
      <c r="G2447" s="1260" t="s">
        <v>247</v>
      </c>
    </row>
    <row r="2448" spans="1:7" ht="15.75" hidden="1" customHeight="1" thickTop="1" x14ac:dyDescent="0.25">
      <c r="A2448" s="139">
        <v>1004.1</v>
      </c>
      <c r="B2448" s="4"/>
      <c r="C2448" s="4"/>
      <c r="D2448" s="1796" t="s">
        <v>3369</v>
      </c>
      <c r="E2448" s="1295"/>
      <c r="F2448" s="94"/>
      <c r="G2448" s="1260" t="s">
        <v>247</v>
      </c>
    </row>
    <row r="2449" spans="1:7" hidden="1" x14ac:dyDescent="0.25">
      <c r="A2449" s="4"/>
      <c r="B2449" s="4"/>
      <c r="C2449" s="4"/>
      <c r="D2449" s="1796"/>
      <c r="E2449" s="1295"/>
      <c r="F2449" s="94"/>
      <c r="G2449" s="1260" t="s">
        <v>247</v>
      </c>
    </row>
    <row r="2450" spans="1:7" hidden="1" x14ac:dyDescent="0.25">
      <c r="A2450" s="4"/>
      <c r="B2450" s="4"/>
      <c r="C2450" s="4"/>
      <c r="D2450" s="1796"/>
      <c r="E2450" s="1295"/>
      <c r="F2450" s="94"/>
      <c r="G2450" s="1260" t="s">
        <v>247</v>
      </c>
    </row>
    <row r="2451" spans="1:7" hidden="1" x14ac:dyDescent="0.25">
      <c r="A2451" s="4"/>
      <c r="B2451" s="4"/>
      <c r="C2451" s="4"/>
      <c r="D2451" s="1796"/>
      <c r="E2451" s="1295"/>
      <c r="F2451" s="94"/>
      <c r="G2451" s="1260" t="s">
        <v>247</v>
      </c>
    </row>
    <row r="2452" spans="1:7" hidden="1" x14ac:dyDescent="0.25">
      <c r="A2452" s="4"/>
      <c r="B2452" s="4"/>
      <c r="C2452" s="4"/>
      <c r="D2452" s="1796"/>
      <c r="E2452" s="1295"/>
      <c r="F2452" s="94"/>
      <c r="G2452" s="1260" t="s">
        <v>247</v>
      </c>
    </row>
    <row r="2453" spans="1:7" ht="15" hidden="1" customHeight="1" x14ac:dyDescent="0.25">
      <c r="A2453" s="4"/>
      <c r="B2453" s="183" t="s">
        <v>256</v>
      </c>
      <c r="C2453" s="129"/>
      <c r="D2453" s="1754" t="s">
        <v>3950</v>
      </c>
      <c r="E2453" s="1296">
        <f>'Verification Report'!O2454</f>
        <v>0</v>
      </c>
      <c r="F2453" s="1313" t="str">
        <f>IF(LEN('Verification Report'!W2456)=0,"",'Verification Report'!W2456)</f>
        <v/>
      </c>
      <c r="G2453" s="1260" t="s">
        <v>247</v>
      </c>
    </row>
    <row r="2454" spans="1:7" hidden="1" x14ac:dyDescent="0.25">
      <c r="A2454" s="4"/>
      <c r="B2454" s="206"/>
      <c r="C2454" s="210"/>
      <c r="D2454" s="1755"/>
      <c r="E2454" s="1297"/>
      <c r="F2454" s="94"/>
      <c r="G2454" s="1260" t="s">
        <v>247</v>
      </c>
    </row>
    <row r="2455" spans="1:7" ht="15" hidden="1" customHeight="1" x14ac:dyDescent="0.25">
      <c r="A2455" s="4"/>
      <c r="B2455" s="209" t="s">
        <v>258</v>
      </c>
      <c r="C2455" s="193"/>
      <c r="D2455" s="1778" t="s">
        <v>3370</v>
      </c>
      <c r="E2455" s="1293">
        <f>'Verification Report'!O2456</f>
        <v>0</v>
      </c>
      <c r="F2455" s="1313" t="str">
        <f>IF(LEN('Verification Report'!W2458)=0,"",'Verification Report'!W2458)</f>
        <v/>
      </c>
      <c r="G2455" s="1260" t="s">
        <v>247</v>
      </c>
    </row>
    <row r="2456" spans="1:7" hidden="1" x14ac:dyDescent="0.25">
      <c r="A2456" s="4"/>
      <c r="B2456" s="210"/>
      <c r="C2456" s="210"/>
      <c r="D2456" s="1755"/>
      <c r="E2456" s="1297"/>
      <c r="F2456" s="94"/>
      <c r="G2456" s="1260" t="s">
        <v>247</v>
      </c>
    </row>
    <row r="2457" spans="1:7" ht="18.75" hidden="1" x14ac:dyDescent="0.25">
      <c r="A2457" s="69" t="s">
        <v>4574</v>
      </c>
      <c r="B2457" s="79"/>
      <c r="C2457" s="79"/>
      <c r="D2457" s="84"/>
      <c r="E2457" s="1053"/>
      <c r="F2457" s="94"/>
      <c r="G2457" s="1260" t="s">
        <v>247</v>
      </c>
    </row>
    <row r="2458" spans="1:7" hidden="1" x14ac:dyDescent="0.25">
      <c r="A2458" s="679" t="s">
        <v>4575</v>
      </c>
      <c r="B2458" s="679"/>
      <c r="C2458" s="679"/>
      <c r="D2458" s="1563" t="s">
        <v>4576</v>
      </c>
      <c r="E2458" s="1296"/>
      <c r="F2458" s="94"/>
      <c r="G2458" s="1260" t="s">
        <v>247</v>
      </c>
    </row>
    <row r="2459" spans="1:7" ht="15" hidden="1" customHeight="1" x14ac:dyDescent="0.25">
      <c r="A2459" s="679"/>
      <c r="B2459" s="680" t="s">
        <v>256</v>
      </c>
      <c r="C2459" s="680"/>
      <c r="D2459" s="1793" t="s">
        <v>4577</v>
      </c>
      <c r="E2459" s="1296">
        <f>'Verification Report'!O2460</f>
        <v>0</v>
      </c>
      <c r="F2459" s="1313" t="str">
        <f>IF(LEN('Verification Report'!W2462)=0,"",'Verification Report'!W2462)</f>
        <v/>
      </c>
      <c r="G2459" s="1260" t="s">
        <v>247</v>
      </c>
    </row>
    <row r="2460" spans="1:7" hidden="1" x14ac:dyDescent="0.25">
      <c r="A2460" s="679"/>
      <c r="B2460" s="680"/>
      <c r="C2460" s="680"/>
      <c r="D2460" s="1793"/>
      <c r="E2460" s="1296"/>
      <c r="F2460" s="94"/>
      <c r="G2460" s="1260" t="s">
        <v>247</v>
      </c>
    </row>
    <row r="2461" spans="1:7" hidden="1" x14ac:dyDescent="0.25">
      <c r="A2461" s="679"/>
      <c r="B2461" s="686"/>
      <c r="C2461" s="686"/>
      <c r="D2461" s="1761"/>
      <c r="E2461" s="1297"/>
      <c r="F2461" s="94"/>
      <c r="G2461" s="1260" t="s">
        <v>247</v>
      </c>
    </row>
    <row r="2462" spans="1:7" ht="15" hidden="1" customHeight="1" x14ac:dyDescent="0.25">
      <c r="A2462" s="679"/>
      <c r="B2462" s="966" t="s">
        <v>258</v>
      </c>
      <c r="C2462" s="966"/>
      <c r="D2462" s="1760" t="s">
        <v>4578</v>
      </c>
      <c r="E2462" s="1296">
        <f>'Verification Report'!O2463</f>
        <v>0</v>
      </c>
      <c r="F2462" s="1313" t="str">
        <f>IF(LEN('Verification Report'!W2465)=0,"",'Verification Report'!W2465)</f>
        <v/>
      </c>
      <c r="G2462" s="1260" t="s">
        <v>247</v>
      </c>
    </row>
    <row r="2463" spans="1:7" hidden="1" x14ac:dyDescent="0.25">
      <c r="A2463" s="679"/>
      <c r="B2463" s="680"/>
      <c r="C2463" s="680"/>
      <c r="D2463" s="1793"/>
      <c r="E2463" s="1296"/>
      <c r="F2463"/>
      <c r="G2463" s="1260" t="s">
        <v>247</v>
      </c>
    </row>
    <row r="2464" spans="1:7" hidden="1" x14ac:dyDescent="0.25">
      <c r="A2464" s="679"/>
      <c r="B2464" s="680"/>
      <c r="C2464" s="680"/>
      <c r="D2464" s="1793"/>
      <c r="E2464" s="1296"/>
      <c r="F2464"/>
      <c r="G2464" s="1260" t="s">
        <v>247</v>
      </c>
    </row>
    <row r="2465" spans="1:7" hidden="1" x14ac:dyDescent="0.25">
      <c r="A2465" s="679"/>
      <c r="B2465" s="686"/>
      <c r="C2465" s="686"/>
      <c r="D2465" s="1761"/>
      <c r="E2465" s="1297"/>
      <c r="F2465"/>
      <c r="G2465" s="1260" t="s">
        <v>247</v>
      </c>
    </row>
    <row r="2466" spans="1:7" ht="15" hidden="1" customHeight="1" x14ac:dyDescent="0.25">
      <c r="A2466" s="679"/>
      <c r="B2466" s="679" t="s">
        <v>260</v>
      </c>
      <c r="C2466" s="679"/>
      <c r="D2466" s="1841" t="s">
        <v>4579</v>
      </c>
      <c r="E2466" s="1295">
        <f>'Verification Report'!O2467</f>
        <v>2</v>
      </c>
      <c r="F2466"/>
      <c r="G2466" s="1260" t="s">
        <v>247</v>
      </c>
    </row>
    <row r="2467" spans="1:7" hidden="1" x14ac:dyDescent="0.25">
      <c r="A2467" s="679"/>
      <c r="B2467" s="679"/>
      <c r="C2467" s="679"/>
      <c r="D2467" s="1841"/>
      <c r="E2467" s="1295"/>
      <c r="F2467"/>
      <c r="G2467" s="1260" t="s">
        <v>247</v>
      </c>
    </row>
    <row r="2468" spans="1:7" hidden="1" x14ac:dyDescent="0.25">
      <c r="A2468" s="679"/>
      <c r="B2468" s="679"/>
      <c r="C2468" s="679"/>
      <c r="D2468" s="1841"/>
      <c r="E2468" s="1295"/>
      <c r="F2468"/>
      <c r="G2468" s="1260" t="s">
        <v>247</v>
      </c>
    </row>
  </sheetData>
  <sheetProtection algorithmName="SHA-512" hashValue="MRKVuCYy/JY30S9H95VlwGTKl3twzjwW0G118H/tJ34HMQLGj2uTxDyELQkb89irPkwBv9r64mFuPxaRFsJy1Q==" saltValue="MTUqSQs30JIqd9gNOURLAQ==" spinCount="100000" sheet="1" objects="1" scenarios="1" selectLockedCells="1"/>
  <autoFilter ref="G6:G2468" xr:uid="{7FA7FBF1-D20B-4086-B51B-75E269EBDB3A}">
    <filterColumn colId="0">
      <filters>
        <filter val="NP"/>
      </filters>
    </filterColumn>
  </autoFilter>
  <mergeCells count="644">
    <mergeCell ref="F749:F750"/>
    <mergeCell ref="F756:F757"/>
    <mergeCell ref="F804:F805"/>
    <mergeCell ref="F1052:F1053"/>
    <mergeCell ref="F1081:F1082"/>
    <mergeCell ref="F1101:F1102"/>
    <mergeCell ref="F1414:F1415"/>
    <mergeCell ref="F1479:F1484"/>
    <mergeCell ref="D2466:D2468"/>
    <mergeCell ref="D2444:D2447"/>
    <mergeCell ref="D2448:D2452"/>
    <mergeCell ref="D2453:D2454"/>
    <mergeCell ref="D2455:D2456"/>
    <mergeCell ref="D2459:D2461"/>
    <mergeCell ref="D2462:D2465"/>
    <mergeCell ref="D2411:D2412"/>
    <mergeCell ref="D2419:D2422"/>
    <mergeCell ref="D2431:D2433"/>
    <mergeCell ref="D2435:D2436"/>
    <mergeCell ref="D2437:D2439"/>
    <mergeCell ref="D2440:D2442"/>
    <mergeCell ref="D2372:D2375"/>
    <mergeCell ref="D2383:D2384"/>
    <mergeCell ref="D2386:D2387"/>
    <mergeCell ref="D2392:D2393"/>
    <mergeCell ref="D2394:D2398"/>
    <mergeCell ref="D2407:D2408"/>
    <mergeCell ref="D2356:D2357"/>
    <mergeCell ref="D2358:D2359"/>
    <mergeCell ref="D2361:D2363"/>
    <mergeCell ref="D2364:D2365"/>
    <mergeCell ref="D2366:D2368"/>
    <mergeCell ref="D2370:D2371"/>
    <mergeCell ref="D2339:D2341"/>
    <mergeCell ref="D2343:D2344"/>
    <mergeCell ref="D2345:D2347"/>
    <mergeCell ref="D2348:D2349"/>
    <mergeCell ref="D2350:D2352"/>
    <mergeCell ref="D2353:D2354"/>
    <mergeCell ref="D2321:D2322"/>
    <mergeCell ref="D2324:D2326"/>
    <mergeCell ref="D2327:D2329"/>
    <mergeCell ref="D2330:D2331"/>
    <mergeCell ref="D2333:D2334"/>
    <mergeCell ref="D2337:D2338"/>
    <mergeCell ref="D2291:D2292"/>
    <mergeCell ref="D2294:D2295"/>
    <mergeCell ref="D2296:D2297"/>
    <mergeCell ref="D2298:D2299"/>
    <mergeCell ref="D2302:D2305"/>
    <mergeCell ref="D2315:D2320"/>
    <mergeCell ref="D2274:D2275"/>
    <mergeCell ref="D2278:D2279"/>
    <mergeCell ref="D2280:D2283"/>
    <mergeCell ref="D2284:D2285"/>
    <mergeCell ref="D2286:D2287"/>
    <mergeCell ref="D2289:D2290"/>
    <mergeCell ref="D2252:D2253"/>
    <mergeCell ref="D2254:D2255"/>
    <mergeCell ref="D2259:D2262"/>
    <mergeCell ref="D2265:D2266"/>
    <mergeCell ref="D2267:D2268"/>
    <mergeCell ref="D2270:D2271"/>
    <mergeCell ref="D2227:D2229"/>
    <mergeCell ref="D2231:D2235"/>
    <mergeCell ref="D2236:D2237"/>
    <mergeCell ref="D2240:D2241"/>
    <mergeCell ref="D2242:D2246"/>
    <mergeCell ref="D2247:D2250"/>
    <mergeCell ref="D2204:D2205"/>
    <mergeCell ref="D2207:D2208"/>
    <mergeCell ref="D2209:D2213"/>
    <mergeCell ref="D2214:D2216"/>
    <mergeCell ref="D2217:D2218"/>
    <mergeCell ref="D2219:D2226"/>
    <mergeCell ref="D2184:D2186"/>
    <mergeCell ref="D2187:D2188"/>
    <mergeCell ref="D2189:D2190"/>
    <mergeCell ref="D2194:D2195"/>
    <mergeCell ref="D2199:D2200"/>
    <mergeCell ref="D2201:D2202"/>
    <mergeCell ref="D2170:D2172"/>
    <mergeCell ref="D2173:D2174"/>
    <mergeCell ref="D2175:D2176"/>
    <mergeCell ref="D2177:D2178"/>
    <mergeCell ref="D2179:D2180"/>
    <mergeCell ref="D2181:D2183"/>
    <mergeCell ref="D2157:D2158"/>
    <mergeCell ref="D2159:D2160"/>
    <mergeCell ref="D2161:D2163"/>
    <mergeCell ref="D2164:D2165"/>
    <mergeCell ref="D2166:D2167"/>
    <mergeCell ref="D2168:D2169"/>
    <mergeCell ref="D2135:D2139"/>
    <mergeCell ref="D2140:D2141"/>
    <mergeCell ref="D2142:D2145"/>
    <mergeCell ref="D2146:D2148"/>
    <mergeCell ref="D2151:D2152"/>
    <mergeCell ref="D2155:D2156"/>
    <mergeCell ref="D2097:D2099"/>
    <mergeCell ref="D2100:D2102"/>
    <mergeCell ref="D2103:D2105"/>
    <mergeCell ref="D2113:D2120"/>
    <mergeCell ref="D2121:D2127"/>
    <mergeCell ref="D2128:D2134"/>
    <mergeCell ref="D2077:D2079"/>
    <mergeCell ref="D2080:D2082"/>
    <mergeCell ref="D2084:D2087"/>
    <mergeCell ref="D2088:D2089"/>
    <mergeCell ref="D2090:D2091"/>
    <mergeCell ref="D2095:D2096"/>
    <mergeCell ref="D2055:D2057"/>
    <mergeCell ref="D2058:D2059"/>
    <mergeCell ref="D2062:D2063"/>
    <mergeCell ref="D2071:D2072"/>
    <mergeCell ref="D2073:D2074"/>
    <mergeCell ref="D2075:D2076"/>
    <mergeCell ref="D1881:D1882"/>
    <mergeCell ref="D2039:D2040"/>
    <mergeCell ref="D2041:D2042"/>
    <mergeCell ref="D2043:D2044"/>
    <mergeCell ref="D2049:D2050"/>
    <mergeCell ref="D2051:D2052"/>
    <mergeCell ref="D2053:D2054"/>
    <mergeCell ref="D2014:D2018"/>
    <mergeCell ref="D2020:D2022"/>
    <mergeCell ref="D2024:D2028"/>
    <mergeCell ref="D2029:D2032"/>
    <mergeCell ref="D2033:D2034"/>
    <mergeCell ref="D2035:D2036"/>
    <mergeCell ref="D1883:D1884"/>
    <mergeCell ref="D1886:D1887"/>
    <mergeCell ref="D1894:D1898"/>
    <mergeCell ref="D1899:D1901"/>
    <mergeCell ref="D1927:D1932"/>
    <mergeCell ref="D1934:D1936"/>
    <mergeCell ref="D1937:D1940"/>
    <mergeCell ref="D1925:D1926"/>
    <mergeCell ref="D1913:D1915"/>
    <mergeCell ref="D1916:D1917"/>
    <mergeCell ref="D1918:D1919"/>
    <mergeCell ref="D1923:D1924"/>
    <mergeCell ref="D1906:D1907"/>
    <mergeCell ref="D1908:D1910"/>
    <mergeCell ref="D1911:D1912"/>
    <mergeCell ref="D1686:D1687"/>
    <mergeCell ref="D1692:D1693"/>
    <mergeCell ref="D1694:D1697"/>
    <mergeCell ref="D1688:D1689"/>
    <mergeCell ref="D1699:D1700"/>
    <mergeCell ref="D1861:D1862"/>
    <mergeCell ref="D1867:D1868"/>
    <mergeCell ref="D1851:D1853"/>
    <mergeCell ref="D1856:D1858"/>
    <mergeCell ref="D1859:D1860"/>
    <mergeCell ref="D1865:D1866"/>
    <mergeCell ref="D1836:D1838"/>
    <mergeCell ref="D1841:D1842"/>
    <mergeCell ref="D1848:D1850"/>
    <mergeCell ref="D1823:D1828"/>
    <mergeCell ref="D1831:D1832"/>
    <mergeCell ref="D1820:D1821"/>
    <mergeCell ref="D1790:D1791"/>
    <mergeCell ref="D1792:D1793"/>
    <mergeCell ref="D1794:D1795"/>
    <mergeCell ref="D1877:D1880"/>
    <mergeCell ref="D1577:D1578"/>
    <mergeCell ref="D1541:D1542"/>
    <mergeCell ref="D1543:D1547"/>
    <mergeCell ref="D1548:D1550"/>
    <mergeCell ref="D1551:D1552"/>
    <mergeCell ref="D1553:D1554"/>
    <mergeCell ref="D1668:D1670"/>
    <mergeCell ref="D1671:D1672"/>
    <mergeCell ref="D1673:D1677"/>
    <mergeCell ref="D1594:D1595"/>
    <mergeCell ref="D1596:D1597"/>
    <mergeCell ref="D1600:D1601"/>
    <mergeCell ref="D1602:D1604"/>
    <mergeCell ref="D1605:D1609"/>
    <mergeCell ref="D1610:D1612"/>
    <mergeCell ref="D1584:D1585"/>
    <mergeCell ref="D1760:D1761"/>
    <mergeCell ref="D1763:D1765"/>
    <mergeCell ref="D1766:D1767"/>
    <mergeCell ref="D1748:D1749"/>
    <mergeCell ref="D1750:D1751"/>
    <mergeCell ref="D1752:D1755"/>
    <mergeCell ref="D1756:D1758"/>
    <mergeCell ref="D1466:D1467"/>
    <mergeCell ref="D1461:D1463"/>
    <mergeCell ref="D1464:D1465"/>
    <mergeCell ref="D1447:D1448"/>
    <mergeCell ref="D1450:D1451"/>
    <mergeCell ref="D1452:D1454"/>
    <mergeCell ref="D1678:D1680"/>
    <mergeCell ref="D1681:D1682"/>
    <mergeCell ref="D1869:D1871"/>
    <mergeCell ref="D1797:D1798"/>
    <mergeCell ref="D1788:D1789"/>
    <mergeCell ref="D1768:D1769"/>
    <mergeCell ref="D1799:D1800"/>
    <mergeCell ref="D1801:D1802"/>
    <mergeCell ref="D1805:D1806"/>
    <mergeCell ref="D1809:D1810"/>
    <mergeCell ref="D1811:D1813"/>
    <mergeCell ref="D1814:D1816"/>
    <mergeCell ref="D1771:D1772"/>
    <mergeCell ref="D1773:D1775"/>
    <mergeCell ref="D1779:D1780"/>
    <mergeCell ref="D1781:D1782"/>
    <mergeCell ref="D1784:D1785"/>
    <mergeCell ref="D1786:D1787"/>
    <mergeCell ref="D1317:D1318"/>
    <mergeCell ref="D1319:D1320"/>
    <mergeCell ref="D1321:D1322"/>
    <mergeCell ref="D1329:D1330"/>
    <mergeCell ref="D1331:D1332"/>
    <mergeCell ref="D1333:D1334"/>
    <mergeCell ref="D1279:D1280"/>
    <mergeCell ref="D1285:D1286"/>
    <mergeCell ref="D1287:D1288"/>
    <mergeCell ref="D1289:D1290"/>
    <mergeCell ref="D1292:D1293"/>
    <mergeCell ref="D1297:D1299"/>
    <mergeCell ref="D1307:D1308"/>
    <mergeCell ref="D1315:D1316"/>
    <mergeCell ref="D1300:D1301"/>
    <mergeCell ref="D896:D904"/>
    <mergeCell ref="D906:D908"/>
    <mergeCell ref="D911:D912"/>
    <mergeCell ref="D914:D915"/>
    <mergeCell ref="D916:D917"/>
    <mergeCell ref="D928:D929"/>
    <mergeCell ref="D879:D882"/>
    <mergeCell ref="D886:D888"/>
    <mergeCell ref="D889:D892"/>
    <mergeCell ref="D893:D895"/>
    <mergeCell ref="D883:D885"/>
    <mergeCell ref="D1105:D1111"/>
    <mergeCell ref="D1113:D1120"/>
    <mergeCell ref="D1121:D1125"/>
    <mergeCell ref="D1065:D1066"/>
    <mergeCell ref="D1068:D1075"/>
    <mergeCell ref="D1076:D1079"/>
    <mergeCell ref="D1080:D1081"/>
    <mergeCell ref="D1083:D1087"/>
    <mergeCell ref="D1089:D1094"/>
    <mergeCell ref="D714:D715"/>
    <mergeCell ref="D717:D722"/>
    <mergeCell ref="D724:D725"/>
    <mergeCell ref="D726:D728"/>
    <mergeCell ref="D693:D694"/>
    <mergeCell ref="D711:D713"/>
    <mergeCell ref="D868:D869"/>
    <mergeCell ref="D870:D873"/>
    <mergeCell ref="D834:D835"/>
    <mergeCell ref="D836:D837"/>
    <mergeCell ref="D838:D842"/>
    <mergeCell ref="D784:D785"/>
    <mergeCell ref="D786:D787"/>
    <mergeCell ref="D789:D793"/>
    <mergeCell ref="D776:D777"/>
    <mergeCell ref="D749:D751"/>
    <mergeCell ref="D758:D760"/>
    <mergeCell ref="D761:D762"/>
    <mergeCell ref="D763:D771"/>
    <mergeCell ref="D735:D742"/>
    <mergeCell ref="D743:D744"/>
    <mergeCell ref="D745:D748"/>
    <mergeCell ref="D843:D846"/>
    <mergeCell ref="D847:D848"/>
    <mergeCell ref="D524:D525"/>
    <mergeCell ref="D452:D455"/>
    <mergeCell ref="D456:D458"/>
    <mergeCell ref="D461:D462"/>
    <mergeCell ref="D463:D464"/>
    <mergeCell ref="D466:D467"/>
    <mergeCell ref="D468:D469"/>
    <mergeCell ref="D492:D494"/>
    <mergeCell ref="D496:D499"/>
    <mergeCell ref="D501:D503"/>
    <mergeCell ref="D477:D481"/>
    <mergeCell ref="D486:D487"/>
    <mergeCell ref="D470:D473"/>
    <mergeCell ref="D474:D475"/>
    <mergeCell ref="D384:D385"/>
    <mergeCell ref="D388:D389"/>
    <mergeCell ref="D390:D391"/>
    <mergeCell ref="D374:D376"/>
    <mergeCell ref="D379:D380"/>
    <mergeCell ref="D363:D365"/>
    <mergeCell ref="D504:D505"/>
    <mergeCell ref="D506:D507"/>
    <mergeCell ref="D509:D514"/>
    <mergeCell ref="D425:D427"/>
    <mergeCell ref="D428:D429"/>
    <mergeCell ref="D431:D433"/>
    <mergeCell ref="D434:D435"/>
    <mergeCell ref="D436:D437"/>
    <mergeCell ref="D440:D441"/>
    <mergeCell ref="D393:D394"/>
    <mergeCell ref="D395:D396"/>
    <mergeCell ref="D397:D401"/>
    <mergeCell ref="D402:D404"/>
    <mergeCell ref="D410:D412"/>
    <mergeCell ref="D413:D414"/>
    <mergeCell ref="D415:D416"/>
    <mergeCell ref="D420:D421"/>
    <mergeCell ref="D422:D423"/>
    <mergeCell ref="D215:D216"/>
    <mergeCell ref="D217:D218"/>
    <mergeCell ref="D219:D221"/>
    <mergeCell ref="D222:D223"/>
    <mergeCell ref="D406:D407"/>
    <mergeCell ref="D154:D155"/>
    <mergeCell ref="D156:D158"/>
    <mergeCell ref="D144:D145"/>
    <mergeCell ref="D309:D310"/>
    <mergeCell ref="D311:D313"/>
    <mergeCell ref="D315:D316"/>
    <mergeCell ref="D317:D319"/>
    <mergeCell ref="D320:D321"/>
    <mergeCell ref="D327:D329"/>
    <mergeCell ref="D233:D235"/>
    <mergeCell ref="D247:D249"/>
    <mergeCell ref="D250:D251"/>
    <mergeCell ref="D252:D253"/>
    <mergeCell ref="D261:D262"/>
    <mergeCell ref="D271:D273"/>
    <mergeCell ref="D322:D323"/>
    <mergeCell ref="D324:D325"/>
    <mergeCell ref="D287:D289"/>
    <mergeCell ref="D292:D295"/>
    <mergeCell ref="D197:D198"/>
    <mergeCell ref="D199:D201"/>
    <mergeCell ref="D202:D203"/>
    <mergeCell ref="D205:D206"/>
    <mergeCell ref="D190:D191"/>
    <mergeCell ref="D193:D194"/>
    <mergeCell ref="D195:D196"/>
    <mergeCell ref="D207:D210"/>
    <mergeCell ref="D212:D213"/>
    <mergeCell ref="D184:D185"/>
    <mergeCell ref="D186:D187"/>
    <mergeCell ref="D180:D181"/>
    <mergeCell ref="D182:D183"/>
    <mergeCell ref="D170:D174"/>
    <mergeCell ref="D175:D176"/>
    <mergeCell ref="D177:D179"/>
    <mergeCell ref="D159:D160"/>
    <mergeCell ref="D161:D163"/>
    <mergeCell ref="D2000:D2001"/>
    <mergeCell ref="D2002:D2003"/>
    <mergeCell ref="D2005:D2010"/>
    <mergeCell ref="D2011:D2013"/>
    <mergeCell ref="D1968:D1969"/>
    <mergeCell ref="D1993:D1994"/>
    <mergeCell ref="D1995:D1996"/>
    <mergeCell ref="D1946:D1947"/>
    <mergeCell ref="D1950:D1951"/>
    <mergeCell ref="D1953:D1954"/>
    <mergeCell ref="D1956:D1957"/>
    <mergeCell ref="D1958:D1960"/>
    <mergeCell ref="D1961:D1962"/>
    <mergeCell ref="D1963:D1967"/>
    <mergeCell ref="D1970:D1973"/>
    <mergeCell ref="D1982:D1983"/>
    <mergeCell ref="D1984:D1989"/>
    <mergeCell ref="D1990:D1992"/>
    <mergeCell ref="D1745:D1746"/>
    <mergeCell ref="D1656:D1658"/>
    <mergeCell ref="D1662:D1663"/>
    <mergeCell ref="D1664:D1665"/>
    <mergeCell ref="D1666:D1667"/>
    <mergeCell ref="D1615:D1616"/>
    <mergeCell ref="D1617:D1620"/>
    <mergeCell ref="D1621:D1622"/>
    <mergeCell ref="D1626:D1629"/>
    <mergeCell ref="D1737:D1738"/>
    <mergeCell ref="D1701:D1702"/>
    <mergeCell ref="D1703:D1706"/>
    <mergeCell ref="D1708:D1716"/>
    <mergeCell ref="D1717:D1719"/>
    <mergeCell ref="D1720:D1722"/>
    <mergeCell ref="D1728:D1730"/>
    <mergeCell ref="D1732:D1734"/>
    <mergeCell ref="D1740:D1742"/>
    <mergeCell ref="D1613:D1614"/>
    <mergeCell ref="D1630:D1631"/>
    <mergeCell ref="D1632:D1634"/>
    <mergeCell ref="D1638:D1640"/>
    <mergeCell ref="D1641:D1646"/>
    <mergeCell ref="D1648:D1652"/>
    <mergeCell ref="D1653:D1655"/>
    <mergeCell ref="D1555:D1556"/>
    <mergeCell ref="D1559:D1560"/>
    <mergeCell ref="D1561:D1562"/>
    <mergeCell ref="D1573:D1574"/>
    <mergeCell ref="D1575:D1576"/>
    <mergeCell ref="D1586:D1591"/>
    <mergeCell ref="D1592:D1593"/>
    <mergeCell ref="D1489:D1490"/>
    <mergeCell ref="D1496:D1497"/>
    <mergeCell ref="D1498:D1500"/>
    <mergeCell ref="D1475:D1476"/>
    <mergeCell ref="D1479:D1484"/>
    <mergeCell ref="D1486:D1488"/>
    <mergeCell ref="D1528:D1531"/>
    <mergeCell ref="D1533:D1534"/>
    <mergeCell ref="D1538:D1539"/>
    <mergeCell ref="D1501:D1502"/>
    <mergeCell ref="D1504:D1505"/>
    <mergeCell ref="D1510:D1511"/>
    <mergeCell ref="D1512:D1513"/>
    <mergeCell ref="D1521:D1522"/>
    <mergeCell ref="D1526:D1527"/>
    <mergeCell ref="D1524:D1525"/>
    <mergeCell ref="D1456:D1458"/>
    <mergeCell ref="D1433:D1434"/>
    <mergeCell ref="D1437:D1439"/>
    <mergeCell ref="D1442:D1444"/>
    <mergeCell ref="D1430:D1431"/>
    <mergeCell ref="D1358:D1359"/>
    <mergeCell ref="D1362:D1363"/>
    <mergeCell ref="D1364:D1365"/>
    <mergeCell ref="D1368:D1369"/>
    <mergeCell ref="D1426:D1427"/>
    <mergeCell ref="D1373:D1374"/>
    <mergeCell ref="D1375:D1376"/>
    <mergeCell ref="D1382:D1383"/>
    <mergeCell ref="D1384:D1385"/>
    <mergeCell ref="D1389:D1390"/>
    <mergeCell ref="D1398:D1399"/>
    <mergeCell ref="D1400:D1401"/>
    <mergeCell ref="D1391:D1392"/>
    <mergeCell ref="D1393:D1395"/>
    <mergeCell ref="D1396:D1397"/>
    <mergeCell ref="D1386:D1387"/>
    <mergeCell ref="D1351:D1355"/>
    <mergeCell ref="D1356:D1357"/>
    <mergeCell ref="D1335:D1336"/>
    <mergeCell ref="D1337:D1338"/>
    <mergeCell ref="D1339:D1340"/>
    <mergeCell ref="D1344:D1345"/>
    <mergeCell ref="D1346:D1347"/>
    <mergeCell ref="D1424:D1425"/>
    <mergeCell ref="D1402:D1403"/>
    <mergeCell ref="D1404:D1406"/>
    <mergeCell ref="D1407:D1408"/>
    <mergeCell ref="D1410:D1413"/>
    <mergeCell ref="D1414:D1415"/>
    <mergeCell ref="D1416:D1418"/>
    <mergeCell ref="D1419:D1420"/>
    <mergeCell ref="D1370:D1371"/>
    <mergeCell ref="D1377:D1379"/>
    <mergeCell ref="D1380:D1381"/>
    <mergeCell ref="D1265:D1266"/>
    <mergeCell ref="D1270:D1271"/>
    <mergeCell ref="D1255:D1256"/>
    <mergeCell ref="D1260:D1262"/>
    <mergeCell ref="D1244:D1245"/>
    <mergeCell ref="D1246:D1247"/>
    <mergeCell ref="D1248:D1249"/>
    <mergeCell ref="D1251:D1252"/>
    <mergeCell ref="D1229:D1230"/>
    <mergeCell ref="D1233:D1237"/>
    <mergeCell ref="D1212:D1215"/>
    <mergeCell ref="D1217:D1218"/>
    <mergeCell ref="D1220:D1221"/>
    <mergeCell ref="D1197:D1198"/>
    <mergeCell ref="D1200:D1202"/>
    <mergeCell ref="D1204:D1206"/>
    <mergeCell ref="D1188:D1190"/>
    <mergeCell ref="D1176:D1178"/>
    <mergeCell ref="D1153:D1157"/>
    <mergeCell ref="D1139:D1147"/>
    <mergeCell ref="D1148:D1149"/>
    <mergeCell ref="D1129:D1137"/>
    <mergeCell ref="D1052:D1056"/>
    <mergeCell ref="D1058:D1060"/>
    <mergeCell ref="D1061:D1062"/>
    <mergeCell ref="D998:D1001"/>
    <mergeCell ref="D1002:D1003"/>
    <mergeCell ref="D1004:D1006"/>
    <mergeCell ref="D1029:D1036"/>
    <mergeCell ref="D1037:D1038"/>
    <mergeCell ref="D1039:D1040"/>
    <mergeCell ref="D1042:D1043"/>
    <mergeCell ref="D1045:D1046"/>
    <mergeCell ref="D1048:D1051"/>
    <mergeCell ref="D1007:D1008"/>
    <mergeCell ref="D1011:D1013"/>
    <mergeCell ref="D1014:D1015"/>
    <mergeCell ref="D1016:D1018"/>
    <mergeCell ref="D1019:D1025"/>
    <mergeCell ref="D1026:D1028"/>
    <mergeCell ref="D1096:D1097"/>
    <mergeCell ref="D1098:D1100"/>
    <mergeCell ref="D1101:D1103"/>
    <mergeCell ref="D983:D984"/>
    <mergeCell ref="D988:D989"/>
    <mergeCell ref="D990:D991"/>
    <mergeCell ref="D993:D996"/>
    <mergeCell ref="D930:D931"/>
    <mergeCell ref="D932:D933"/>
    <mergeCell ref="D937:D939"/>
    <mergeCell ref="D940:D944"/>
    <mergeCell ref="D926:D927"/>
    <mergeCell ref="D970:D973"/>
    <mergeCell ref="D974:D978"/>
    <mergeCell ref="D980:D981"/>
    <mergeCell ref="D946:D948"/>
    <mergeCell ref="D950:D951"/>
    <mergeCell ref="D953:D956"/>
    <mergeCell ref="D849:D850"/>
    <mergeCell ref="D853:D856"/>
    <mergeCell ref="D857:D858"/>
    <mergeCell ref="D859:D861"/>
    <mergeCell ref="D863:D867"/>
    <mergeCell ref="D794:D802"/>
    <mergeCell ref="D804:D809"/>
    <mergeCell ref="D812:D816"/>
    <mergeCell ref="D818:D819"/>
    <mergeCell ref="D828:D829"/>
    <mergeCell ref="D830:D831"/>
    <mergeCell ref="D832:D833"/>
    <mergeCell ref="D820:D822"/>
    <mergeCell ref="D824:D825"/>
    <mergeCell ref="D826:D827"/>
    <mergeCell ref="D595:D600"/>
    <mergeCell ref="D601:D604"/>
    <mergeCell ref="D606:D607"/>
    <mergeCell ref="D680:D681"/>
    <mergeCell ref="D682:D686"/>
    <mergeCell ref="D687:D692"/>
    <mergeCell ref="D696:D698"/>
    <mergeCell ref="D699:D700"/>
    <mergeCell ref="D705:D706"/>
    <mergeCell ref="D608:D609"/>
    <mergeCell ref="D610:D611"/>
    <mergeCell ref="D612:D614"/>
    <mergeCell ref="D616:D618"/>
    <mergeCell ref="D619:D620"/>
    <mergeCell ref="D646:D647"/>
    <mergeCell ref="D662:D666"/>
    <mergeCell ref="D667:D668"/>
    <mergeCell ref="D670:D671"/>
    <mergeCell ref="D673:D676"/>
    <mergeCell ref="D648:D649"/>
    <mergeCell ref="D650:D651"/>
    <mergeCell ref="D652:D653"/>
    <mergeCell ref="D655:D656"/>
    <mergeCell ref="D643:D644"/>
    <mergeCell ref="D592:D594"/>
    <mergeCell ref="D540:D543"/>
    <mergeCell ref="D547:D549"/>
    <mergeCell ref="D550:D552"/>
    <mergeCell ref="D554:D558"/>
    <mergeCell ref="D559:D560"/>
    <mergeCell ref="D563:D564"/>
    <mergeCell ref="D442:D444"/>
    <mergeCell ref="D445:D446"/>
    <mergeCell ref="D448:D451"/>
    <mergeCell ref="D582:D583"/>
    <mergeCell ref="D586:D587"/>
    <mergeCell ref="D544:D545"/>
    <mergeCell ref="D527:D530"/>
    <mergeCell ref="D531:D532"/>
    <mergeCell ref="D533:D534"/>
    <mergeCell ref="D537:D538"/>
    <mergeCell ref="D565:D566"/>
    <mergeCell ref="D568:D570"/>
    <mergeCell ref="D571:D573"/>
    <mergeCell ref="D575:D577"/>
    <mergeCell ref="D578:D579"/>
    <mergeCell ref="D520:D521"/>
    <mergeCell ref="D522:D523"/>
    <mergeCell ref="D366:D368"/>
    <mergeCell ref="D346:D347"/>
    <mergeCell ref="D348:D350"/>
    <mergeCell ref="D351:D353"/>
    <mergeCell ref="D355:D357"/>
    <mergeCell ref="D330:D335"/>
    <mergeCell ref="D342:D343"/>
    <mergeCell ref="D344:D345"/>
    <mergeCell ref="D225:D226"/>
    <mergeCell ref="D227:D228"/>
    <mergeCell ref="D229:D232"/>
    <mergeCell ref="D266:D269"/>
    <mergeCell ref="D254:D255"/>
    <mergeCell ref="D263:D265"/>
    <mergeCell ref="D296:D303"/>
    <mergeCell ref="D304:D307"/>
    <mergeCell ref="D282:D284"/>
    <mergeCell ref="D285:D286"/>
    <mergeCell ref="D146:D147"/>
    <mergeCell ref="D148:D149"/>
    <mergeCell ref="D127:D130"/>
    <mergeCell ref="D134:D135"/>
    <mergeCell ref="D139:D140"/>
    <mergeCell ref="D141:D143"/>
    <mergeCell ref="D117:D119"/>
    <mergeCell ref="D120:D122"/>
    <mergeCell ref="D123:D126"/>
    <mergeCell ref="D103:D104"/>
    <mergeCell ref="D105:D106"/>
    <mergeCell ref="D108:D109"/>
    <mergeCell ref="D113:D116"/>
    <mergeCell ref="D70:D71"/>
    <mergeCell ref="D78:D79"/>
    <mergeCell ref="D72:D73"/>
    <mergeCell ref="D74:D75"/>
    <mergeCell ref="D76:D77"/>
    <mergeCell ref="D80:D81"/>
    <mergeCell ref="D82:D86"/>
    <mergeCell ref="D90:D91"/>
    <mergeCell ref="D92:D93"/>
    <mergeCell ref="D97:D98"/>
    <mergeCell ref="D100:D101"/>
    <mergeCell ref="H225:H226"/>
    <mergeCell ref="H274:H275"/>
    <mergeCell ref="H330:H331"/>
    <mergeCell ref="H509:H510"/>
    <mergeCell ref="D8:D10"/>
    <mergeCell ref="D18:D19"/>
    <mergeCell ref="D1:D3"/>
    <mergeCell ref="D4:D5"/>
    <mergeCell ref="H14:H15"/>
    <mergeCell ref="H141:H142"/>
    <mergeCell ref="H154:H155"/>
    <mergeCell ref="H193:H194"/>
    <mergeCell ref="D68:D69"/>
    <mergeCell ref="D62:D65"/>
    <mergeCell ref="D49:D50"/>
    <mergeCell ref="D51:D52"/>
    <mergeCell ref="D57:D60"/>
    <mergeCell ref="D35:D38"/>
    <mergeCell ref="D41:D43"/>
    <mergeCell ref="D44:D45"/>
    <mergeCell ref="D20:D21"/>
    <mergeCell ref="D22:D23"/>
    <mergeCell ref="D24:D25"/>
    <mergeCell ref="D26:D29"/>
  </mergeCells>
  <conditionalFormatting sqref="I14">
    <cfRule type="notContainsBlanks" dxfId="111" priority="68">
      <formula>LEN(TRIM(I14))&gt;0</formula>
    </cfRule>
  </conditionalFormatting>
  <conditionalFormatting sqref="I24">
    <cfRule type="notContainsBlanks" dxfId="110" priority="67">
      <formula>LEN(TRIM(I24))&gt;0</formula>
    </cfRule>
  </conditionalFormatting>
  <conditionalFormatting sqref="I88">
    <cfRule type="notContainsBlanks" dxfId="109" priority="66">
      <formula>LEN(TRIM(I88))&gt;0</formula>
    </cfRule>
  </conditionalFormatting>
  <conditionalFormatting sqref="I97">
    <cfRule type="notContainsBlanks" dxfId="108" priority="65">
      <formula>LEN(TRIM(I97))&gt;0</formula>
    </cfRule>
  </conditionalFormatting>
  <conditionalFormatting sqref="I141">
    <cfRule type="notContainsBlanks" dxfId="107" priority="64">
      <formula>LEN(TRIM(I141))&gt;0</formula>
    </cfRule>
  </conditionalFormatting>
  <conditionalFormatting sqref="I154">
    <cfRule type="notContainsBlanks" dxfId="106" priority="63">
      <formula>LEN(TRIM(I154))&gt;0</formula>
    </cfRule>
  </conditionalFormatting>
  <conditionalFormatting sqref="I156">
    <cfRule type="notContainsBlanks" dxfId="105" priority="62">
      <formula>LEN(TRIM(I156))&gt;0</formula>
    </cfRule>
  </conditionalFormatting>
  <conditionalFormatting sqref="I159">
    <cfRule type="notContainsBlanks" dxfId="104" priority="61">
      <formula>LEN(TRIM(I159))&gt;0</formula>
    </cfRule>
  </conditionalFormatting>
  <conditionalFormatting sqref="I161">
    <cfRule type="notContainsBlanks" dxfId="103" priority="60">
      <formula>LEN(TRIM(I161))&gt;0</formula>
    </cfRule>
  </conditionalFormatting>
  <conditionalFormatting sqref="I164">
    <cfRule type="notContainsBlanks" dxfId="102" priority="59">
      <formula>LEN(TRIM(I164))&gt;0</formula>
    </cfRule>
  </conditionalFormatting>
  <conditionalFormatting sqref="I169">
    <cfRule type="notContainsBlanks" dxfId="101" priority="58">
      <formula>LEN(TRIM(I169))&gt;0</formula>
    </cfRule>
  </conditionalFormatting>
  <conditionalFormatting sqref="I170">
    <cfRule type="notContainsBlanks" dxfId="100" priority="57">
      <formula>LEN(TRIM(I170))&gt;0</formula>
    </cfRule>
  </conditionalFormatting>
  <conditionalFormatting sqref="I175">
    <cfRule type="notContainsBlanks" dxfId="99" priority="56">
      <formula>LEN(TRIM(I175))&gt;0</formula>
    </cfRule>
  </conditionalFormatting>
  <conditionalFormatting sqref="I177">
    <cfRule type="notContainsBlanks" dxfId="98" priority="55">
      <formula>LEN(TRIM(I177))&gt;0</formula>
    </cfRule>
  </conditionalFormatting>
  <conditionalFormatting sqref="I186">
    <cfRule type="notContainsBlanks" dxfId="97" priority="54">
      <formula>LEN(TRIM(I186))&gt;0</formula>
    </cfRule>
  </conditionalFormatting>
  <conditionalFormatting sqref="I193">
    <cfRule type="notContainsBlanks" dxfId="96" priority="53">
      <formula>LEN(TRIM(I193))&gt;0</formula>
    </cfRule>
  </conditionalFormatting>
  <conditionalFormatting sqref="I213">
    <cfRule type="notContainsBlanks" dxfId="95" priority="52">
      <formula>LEN(TRIM(I213))&gt;0</formula>
    </cfRule>
  </conditionalFormatting>
  <conditionalFormatting sqref="I222">
    <cfRule type="notContainsBlanks" dxfId="94" priority="51">
      <formula>LEN(TRIM(I222))&gt;0</formula>
    </cfRule>
  </conditionalFormatting>
  <conditionalFormatting sqref="I224">
    <cfRule type="notContainsBlanks" dxfId="93" priority="50">
      <formula>LEN(TRIM(I224))&gt;0</formula>
    </cfRule>
  </conditionalFormatting>
  <conditionalFormatting sqref="I225">
    <cfRule type="notContainsBlanks" dxfId="92" priority="49">
      <formula>LEN(TRIM(I225))&gt;0</formula>
    </cfRule>
  </conditionalFormatting>
  <conditionalFormatting sqref="I227">
    <cfRule type="notContainsBlanks" dxfId="91" priority="48">
      <formula>LEN(TRIM(I227))&gt;0</formula>
    </cfRule>
  </conditionalFormatting>
  <conditionalFormatting sqref="I252">
    <cfRule type="notContainsBlanks" dxfId="90" priority="47">
      <formula>LEN(TRIM(I252))&gt;0</formula>
    </cfRule>
  </conditionalFormatting>
  <conditionalFormatting sqref="I256">
    <cfRule type="notContainsBlanks" dxfId="89" priority="46">
      <formula>LEN(TRIM(I256))&gt;0</formula>
    </cfRule>
  </conditionalFormatting>
  <conditionalFormatting sqref="I263">
    <cfRule type="notContainsBlanks" dxfId="88" priority="45">
      <formula>LEN(TRIM(I263))&gt;0</formula>
    </cfRule>
  </conditionalFormatting>
  <conditionalFormatting sqref="I266">
    <cfRule type="notContainsBlanks" dxfId="87" priority="44">
      <formula>LEN(TRIM(I266))&gt;0</formula>
    </cfRule>
  </conditionalFormatting>
  <conditionalFormatting sqref="I271">
    <cfRule type="notContainsBlanks" dxfId="86" priority="43">
      <formula>LEN(TRIM(I271))&gt;0</formula>
    </cfRule>
  </conditionalFormatting>
  <conditionalFormatting sqref="I274">
    <cfRule type="notContainsBlanks" dxfId="85" priority="42">
      <formula>LEN(TRIM(I274))&gt;0</formula>
    </cfRule>
  </conditionalFormatting>
  <conditionalFormatting sqref="I280">
    <cfRule type="notContainsBlanks" dxfId="84" priority="41">
      <formula>LEN(TRIM(I280))&gt;0</formula>
    </cfRule>
  </conditionalFormatting>
  <conditionalFormatting sqref="I330">
    <cfRule type="notContainsBlanks" dxfId="83" priority="40">
      <formula>LEN(TRIM(I330))&gt;0</formula>
    </cfRule>
  </conditionalFormatting>
  <conditionalFormatting sqref="I374">
    <cfRule type="notContainsBlanks" dxfId="82" priority="39">
      <formula>LEN(TRIM(I374))&gt;0</formula>
    </cfRule>
  </conditionalFormatting>
  <conditionalFormatting sqref="I474">
    <cfRule type="notContainsBlanks" dxfId="81" priority="38">
      <formula>LEN(TRIM(I474))&gt;0</formula>
    </cfRule>
  </conditionalFormatting>
  <conditionalFormatting sqref="I477">
    <cfRule type="notContainsBlanks" dxfId="80" priority="37">
      <formula>LEN(TRIM(I477))&gt;0</formula>
    </cfRule>
  </conditionalFormatting>
  <conditionalFormatting sqref="I509">
    <cfRule type="notContainsBlanks" dxfId="79" priority="36">
      <formula>LEN(TRIM(I509))&gt;0</formula>
    </cfRule>
  </conditionalFormatting>
  <conditionalFormatting sqref="I524">
    <cfRule type="notContainsBlanks" dxfId="78" priority="35">
      <formula>LEN(TRIM(I524))&gt;0</formula>
    </cfRule>
  </conditionalFormatting>
  <conditionalFormatting sqref="I531">
    <cfRule type="notContainsBlanks" dxfId="77" priority="34">
      <formula>LEN(TRIM(I531))&gt;0</formula>
    </cfRule>
  </conditionalFormatting>
  <conditionalFormatting sqref="I546">
    <cfRule type="notContainsBlanks" dxfId="76" priority="33">
      <formula>LEN(TRIM(I546))&gt;0</formula>
    </cfRule>
  </conditionalFormatting>
  <conditionalFormatting sqref="I551">
    <cfRule type="notContainsBlanks" dxfId="75" priority="32">
      <formula>LEN(TRIM(I551))&gt;0</formula>
    </cfRule>
  </conditionalFormatting>
  <conditionalFormatting sqref="I554">
    <cfRule type="notContainsBlanks" dxfId="74" priority="31">
      <formula>LEN(TRIM(I554))&gt;0</formula>
    </cfRule>
  </conditionalFormatting>
  <conditionalFormatting sqref="I559">
    <cfRule type="notContainsBlanks" dxfId="73" priority="30">
      <formula>LEN(TRIM(I559))&gt;0</formula>
    </cfRule>
  </conditionalFormatting>
  <conditionalFormatting sqref="I561">
    <cfRule type="notContainsBlanks" dxfId="72" priority="29">
      <formula>LEN(TRIM(I561))&gt;0</formula>
    </cfRule>
  </conditionalFormatting>
  <conditionalFormatting sqref="I838">
    <cfRule type="notContainsBlanks" dxfId="71" priority="28">
      <formula>LEN(TRIM(I838))&gt;0</formula>
    </cfRule>
  </conditionalFormatting>
  <conditionalFormatting sqref="I1356">
    <cfRule type="notContainsBlanks" dxfId="70" priority="27">
      <formula>LEN(TRIM(I1356))&gt;0</formula>
    </cfRule>
  </conditionalFormatting>
  <conditionalFormatting sqref="I1362">
    <cfRule type="notContainsBlanks" dxfId="69" priority="26">
      <formula>LEN(TRIM(I1362))&gt;0</formula>
    </cfRule>
  </conditionalFormatting>
  <conditionalFormatting sqref="I1370">
    <cfRule type="notContainsBlanks" dxfId="68" priority="25">
      <formula>LEN(TRIM(I1370))&gt;0</formula>
    </cfRule>
  </conditionalFormatting>
  <conditionalFormatting sqref="I1430">
    <cfRule type="notContainsBlanks" dxfId="67" priority="24">
      <formula>LEN(TRIM(I1430))&gt;0</formula>
    </cfRule>
  </conditionalFormatting>
  <conditionalFormatting sqref="I1582">
    <cfRule type="notContainsBlanks" dxfId="66" priority="23">
      <formula>LEN(TRIM(I1582))&gt;0</formula>
    </cfRule>
  </conditionalFormatting>
  <conditionalFormatting sqref="I1594">
    <cfRule type="notContainsBlanks" dxfId="65" priority="22">
      <formula>LEN(TRIM(I1594))&gt;0</formula>
    </cfRule>
  </conditionalFormatting>
  <conditionalFormatting sqref="I1906">
    <cfRule type="notContainsBlanks" dxfId="64" priority="21">
      <formula>LEN(TRIM(I1906))&gt;0</formula>
    </cfRule>
  </conditionalFormatting>
  <conditionalFormatting sqref="I1920">
    <cfRule type="notContainsBlanks" dxfId="63" priority="20">
      <formula>LEN(TRIM(I1920))&gt;0</formula>
    </cfRule>
  </conditionalFormatting>
  <conditionalFormatting sqref="I1921">
    <cfRule type="notContainsBlanks" dxfId="62" priority="19">
      <formula>LEN(TRIM(I1921))&gt;0</formula>
    </cfRule>
  </conditionalFormatting>
  <conditionalFormatting sqref="I1933">
    <cfRule type="notContainsBlanks" dxfId="61" priority="18">
      <formula>LEN(TRIM(I1933))&gt;0</formula>
    </cfRule>
  </conditionalFormatting>
  <conditionalFormatting sqref="I2037">
    <cfRule type="notContainsBlanks" dxfId="60" priority="17">
      <formula>LEN(TRIM(I2037))&gt;0</formula>
    </cfRule>
  </conditionalFormatting>
  <hyperlinks>
    <hyperlink ref="D447" location="'Figure 6(3)'!A1" display="See Figure 6(3)" xr:uid="{2881B70A-F479-4F43-B1E4-D71AC07D1685}"/>
    <hyperlink ref="D439" location="'Figure 6(3)'!A1" display="See Figure 6(3)" xr:uid="{B8F4B909-C1C9-445B-B2C0-72185094764F}"/>
    <hyperlink ref="D585" location="'Table 604.1'!A1" display="See Table 604.1" xr:uid="{D25A6F25-234E-4426-BD0C-A9844E0A69B0}"/>
    <hyperlink ref="D992" location="'Table 701.4.3.2(2)'!A1" display="See Table 701.4.3.2(2)" xr:uid="{A363E550-3ADC-423C-912B-0A10732A89A5}"/>
    <hyperlink ref="D1095" location="'Table 703.2.1(a)'!A1" display="See Table 703.2.1(a)" xr:uid="{9525D657-F806-441A-A8F2-0A30B7C4C469}"/>
    <hyperlink ref="D1348" location="'Table 703.7.1(7)'!A1" display="See Table 703.7.1(7)" xr:uid="{6E096938-92B6-4F52-AB3C-120F13FCE800}"/>
    <hyperlink ref="D1112" location="'Table 703.2.5.1'!A1" display="See Table 703.2.5.1" xr:uid="{C8B66CB7-FB6E-4C9B-B4E6-09A01D317D65}"/>
    <hyperlink ref="D1660" location="'Table 801.1(1)'!A1" display="See Table 801.1(1)" xr:uid="{D309054C-7154-491F-AA9A-69902F89192A}"/>
    <hyperlink ref="D1661" location="'Table 801.1(2)'!A1" display="See Table 801.1(2)" xr:uid="{909E95CB-F2E1-414E-8F87-3DCCDA7119CE}"/>
    <hyperlink ref="D1999" location="'Table 901.9.1'!A1" display="See Table 901.9.1" xr:uid="{60108AAC-5A1D-4CFA-AFB8-902A1F64A5C1}"/>
    <hyperlink ref="D2004" location="'Table 901.9.2'!A1" display="See Table 901.9.2" xr:uid="{B6C2FB9F-F315-463A-A8B1-8291A11DF054}"/>
    <hyperlink ref="D2023" location="'Table 901.10(3)'!A1" display="See Table 901.10(3)" xr:uid="{7464F1A0-2072-4893-BE25-8D267C862221}"/>
    <hyperlink ref="D526" location="'Table 602.1.12'!A1" display="See Table 602.1.12" xr:uid="{6400BDDF-711E-4594-BAFF-508835DB1C40}"/>
  </hyperlinks>
  <pageMargins left="0.7" right="0.7" top="0.75" bottom="0.75" header="0.3" footer="0.3"/>
  <pageSetup scale="35"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5CA33CC9-662C-49E9-8C68-AB81F79DB95C}">
            <xm:f>AND(LEN('Overview (Verification)'!$P$28)&gt;0,'Overview (Verification)'!$P$28&gt;2400)</xm:f>
            <x14:dxf>
              <font>
                <color theme="1"/>
              </font>
              <fill>
                <patternFill>
                  <bgColor rgb="FFFF0000"/>
                </patternFill>
              </fill>
              <border>
                <left style="thin">
                  <color auto="1"/>
                </left>
                <right style="thin">
                  <color auto="1"/>
                </right>
                <top style="thin">
                  <color auto="1"/>
                </top>
                <vertical/>
                <horizontal/>
              </border>
            </x14:dxf>
          </x14:cfRule>
          <xm:sqref>D905</xm:sqref>
        </x14:conditionalFormatting>
        <x14:conditionalFormatting xmlns:xm="http://schemas.microsoft.com/office/excel/2006/main">
          <x14:cfRule type="expression" priority="1" id="{1EF81B37-E516-4EE8-A821-F7D463E06AA2}">
            <xm:f>AND(LEN('Overview (Verification)'!$P$28)&gt;0,'Overview (Verification)'!$P$28&gt;2400)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D909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L183"/>
  <sheetViews>
    <sheetView showGridLines="0" topLeftCell="A39" zoomScaleNormal="100" workbookViewId="0">
      <selection activeCell="C39" sqref="C39:I41"/>
    </sheetView>
  </sheetViews>
  <sheetFormatPr defaultColWidth="9.140625" defaultRowHeight="15" x14ac:dyDescent="0.25"/>
  <cols>
    <col min="1" max="2" width="10.7109375" style="563" customWidth="1"/>
    <col min="3" max="3" width="43.28515625" style="563" customWidth="1"/>
    <col min="4" max="9" width="15.7109375" style="563" customWidth="1"/>
    <col min="10" max="10" width="30.7109375" style="1123" hidden="1" customWidth="1"/>
    <col min="11" max="12" width="15.7109375" style="563" hidden="1" customWidth="1"/>
    <col min="13" max="16384" width="9.140625" style="563"/>
  </cols>
  <sheetData>
    <row r="1" spans="1:12" x14ac:dyDescent="0.25">
      <c r="D1" s="1776" t="s">
        <v>4877</v>
      </c>
      <c r="E1" s="1776"/>
      <c r="F1" s="1776"/>
      <c r="G1" s="1776"/>
      <c r="H1" s="1776"/>
      <c r="I1" s="1776"/>
      <c r="K1" s="334"/>
      <c r="L1" s="334"/>
    </row>
    <row r="2" spans="1:12" x14ac:dyDescent="0.25">
      <c r="D2" s="1776"/>
      <c r="E2" s="1776"/>
      <c r="F2" s="1776"/>
      <c r="G2" s="1776"/>
      <c r="H2" s="1776"/>
      <c r="I2" s="1776"/>
      <c r="K2" s="334"/>
      <c r="L2" s="334"/>
    </row>
    <row r="3" spans="1:12" x14ac:dyDescent="0.25">
      <c r="D3" s="1776"/>
      <c r="E3" s="1776"/>
      <c r="F3" s="1776"/>
      <c r="G3" s="1776"/>
      <c r="H3" s="1776"/>
      <c r="I3" s="1776"/>
      <c r="K3" s="334"/>
      <c r="L3" s="334"/>
    </row>
    <row r="4" spans="1:12" s="622" customFormat="1" x14ac:dyDescent="0.25">
      <c r="D4" s="1776"/>
      <c r="E4" s="1776"/>
      <c r="F4" s="1776"/>
      <c r="G4" s="1776"/>
      <c r="H4" s="1776"/>
      <c r="I4" s="1776"/>
      <c r="J4" s="1123"/>
      <c r="K4" s="334"/>
      <c r="L4" s="334"/>
    </row>
    <row r="5" spans="1:12" x14ac:dyDescent="0.25">
      <c r="D5" s="1776"/>
      <c r="E5" s="1776"/>
      <c r="F5" s="1776"/>
      <c r="G5" s="1776"/>
      <c r="H5" s="1776"/>
      <c r="I5" s="1776"/>
      <c r="K5" s="334"/>
      <c r="L5" s="334"/>
    </row>
    <row r="6" spans="1:12" ht="18.75" x14ac:dyDescent="0.3">
      <c r="A6" s="715"/>
      <c r="B6" s="715"/>
      <c r="C6" s="14" t="s">
        <v>5800</v>
      </c>
      <c r="D6" s="715"/>
      <c r="E6" s="715"/>
      <c r="F6" s="715"/>
      <c r="G6" s="715"/>
      <c r="H6" s="715"/>
      <c r="I6" s="715"/>
      <c r="J6" s="1120" t="s">
        <v>247</v>
      </c>
      <c r="K6" s="716" t="s">
        <v>247</v>
      </c>
      <c r="L6" s="716" t="s">
        <v>247</v>
      </c>
    </row>
    <row r="7" spans="1:12" x14ac:dyDescent="0.25">
      <c r="K7" s="334"/>
      <c r="L7" s="334"/>
    </row>
    <row r="8" spans="1:12" x14ac:dyDescent="0.25">
      <c r="A8" s="2157" t="s">
        <v>3839</v>
      </c>
      <c r="B8" s="2157"/>
      <c r="C8" s="2156" t="str">
        <f>IF(dstBatch,"See Batch Submission",IF('Overview (Verification)'!P8="","None entered on ""Overview (Verification)"" Sheet",'Overview (Verification)'!P8))</f>
        <v>None entered on "Overview (Verification)" Sheet</v>
      </c>
      <c r="D8" s="2156"/>
      <c r="F8" s="708" t="s">
        <v>3840</v>
      </c>
      <c r="G8" s="2175" t="str">
        <f ca="1">Points!R22</f>
        <v>None</v>
      </c>
      <c r="H8" s="2175"/>
      <c r="I8" s="2175"/>
      <c r="K8" s="334"/>
      <c r="L8" s="334"/>
    </row>
    <row r="9" spans="1:12" ht="3" customHeight="1" x14ac:dyDescent="0.25">
      <c r="A9" s="728"/>
      <c r="B9" s="728"/>
      <c r="C9" s="623"/>
      <c r="D9" s="623"/>
      <c r="E9" s="582"/>
      <c r="F9" s="601"/>
      <c r="G9" s="582"/>
      <c r="H9" s="582"/>
      <c r="I9" s="582"/>
      <c r="K9" s="582"/>
      <c r="L9" s="334"/>
    </row>
    <row r="10" spans="1:12" x14ac:dyDescent="0.25">
      <c r="A10" s="2157" t="s">
        <v>3841</v>
      </c>
      <c r="B10" s="2157"/>
      <c r="C10" s="2156" t="str">
        <f>IF('Overview (Verification)'!P10="","None entered on ""Overview (Verification)"" Sheet",'Overview (Verification)'!P10)</f>
        <v>None entered on "Overview (Verification)" Sheet</v>
      </c>
      <c r="D10" s="2156"/>
      <c r="F10" s="708" t="s">
        <v>3842</v>
      </c>
      <c r="G10" s="1709" t="str">
        <f>'Overview (Verification)'!P18</f>
        <v>Single-Family</v>
      </c>
      <c r="H10" s="1709"/>
      <c r="I10" s="1709"/>
      <c r="K10" s="334"/>
      <c r="L10" s="334"/>
    </row>
    <row r="11" spans="1:12" ht="3" customHeight="1" x14ac:dyDescent="0.25">
      <c r="A11" s="729"/>
      <c r="B11" s="729"/>
      <c r="C11" s="623"/>
      <c r="D11" s="624"/>
      <c r="E11" s="582"/>
      <c r="F11" s="601"/>
      <c r="G11" s="584"/>
      <c r="H11" s="584"/>
      <c r="I11" s="584"/>
      <c r="K11" s="582"/>
      <c r="L11" s="334"/>
    </row>
    <row r="12" spans="1:12" x14ac:dyDescent="0.25">
      <c r="A12" s="2157" t="s">
        <v>3988</v>
      </c>
      <c r="B12" s="2157"/>
      <c r="C12" s="2156" t="str">
        <f>IF(dstBatch,"See Batch Submission",IF('Overview (Verification)'!P13="","None entered on ""Overview (Verification)"" Sheet",'Overview (Verification)'!P11&amp;", "&amp;'Overview (Verification)'!P13&amp;", "&amp;'Overview (Verification)'!P14&amp;"  "&amp;'Overview (Verification)'!P16))</f>
        <v>None entered on "Overview (Verification)" Sheet</v>
      </c>
      <c r="D12" s="2156"/>
      <c r="F12" s="708" t="s">
        <v>156</v>
      </c>
      <c r="G12" s="2174">
        <f>IF('Overview (Verification)'!P19&lt;&gt;"",'Overview (Verification)'!P19,1)</f>
        <v>1</v>
      </c>
      <c r="H12" s="2174"/>
      <c r="I12" s="2174"/>
      <c r="K12" s="334"/>
      <c r="L12" s="334"/>
    </row>
    <row r="13" spans="1:12" ht="3" customHeight="1" x14ac:dyDescent="0.25">
      <c r="A13" s="729"/>
      <c r="B13" s="729"/>
      <c r="C13" s="623"/>
      <c r="D13" s="624"/>
      <c r="E13" s="582"/>
      <c r="F13" s="601"/>
      <c r="G13" s="584"/>
      <c r="H13" s="584"/>
      <c r="I13" s="584"/>
      <c r="K13" s="582"/>
      <c r="L13" s="334"/>
    </row>
    <row r="14" spans="1:12" x14ac:dyDescent="0.25">
      <c r="A14" s="2157" t="s">
        <v>130</v>
      </c>
      <c r="B14" s="2157"/>
      <c r="C14" s="2156" t="str">
        <f>IF('Overview (Verification)'!P12="","None entered on ""Overview (Verification)"" Sheet",'Overview (Verification)'!P12)</f>
        <v>None entered on "Overview (Verification)" Sheet</v>
      </c>
      <c r="D14" s="2156"/>
      <c r="F14" s="708" t="s">
        <v>4088</v>
      </c>
      <c r="G14" s="1709" t="str">
        <f>'Overview (Verification)'!P26</f>
        <v/>
      </c>
      <c r="H14" s="1709"/>
      <c r="I14" s="1709"/>
      <c r="K14" s="334"/>
      <c r="L14" s="334"/>
    </row>
    <row r="15" spans="1:12" ht="3" customHeight="1" x14ac:dyDescent="0.25">
      <c r="A15" s="729"/>
      <c r="B15" s="729"/>
      <c r="C15" s="623"/>
      <c r="D15" s="624"/>
      <c r="E15" s="582"/>
      <c r="F15" s="601"/>
      <c r="G15" s="584"/>
      <c r="H15" s="584"/>
      <c r="I15" s="584"/>
      <c r="K15" s="582"/>
      <c r="L15" s="334"/>
    </row>
    <row r="16" spans="1:12" x14ac:dyDescent="0.25">
      <c r="A16" s="2157" t="s">
        <v>3618</v>
      </c>
      <c r="B16" s="2157"/>
      <c r="C16" s="2162" t="str">
        <f>'Overview (Verification)'!U11&amp;" "&amp;'Overview (Verification)'!V11&amp;" "&amp;'Overview (Verification)'!W11&amp;" "&amp;'Overview (Verification)'!Y11</f>
        <v>!! !! !! !!</v>
      </c>
      <c r="D16" s="2162"/>
      <c r="E16" s="334"/>
      <c r="F16" s="708" t="s">
        <v>3843</v>
      </c>
      <c r="G16" s="1709" t="str">
        <f>'Overview (Verification)'!P30</f>
        <v/>
      </c>
      <c r="H16" s="1709"/>
      <c r="I16" s="1709"/>
      <c r="K16" s="334"/>
      <c r="L16" s="334"/>
    </row>
    <row r="17" spans="1:12" s="622" customFormat="1" ht="3" customHeight="1" x14ac:dyDescent="0.25">
      <c r="A17" s="582"/>
      <c r="B17" s="582"/>
      <c r="C17" s="331"/>
      <c r="D17" s="583"/>
      <c r="E17" s="582"/>
      <c r="F17" s="601"/>
      <c r="G17" s="584"/>
      <c r="H17" s="584"/>
      <c r="I17" s="584"/>
      <c r="J17" s="1123"/>
      <c r="K17" s="582"/>
      <c r="L17" s="334"/>
    </row>
    <row r="18" spans="1:12" ht="14.45" customHeight="1" x14ac:dyDescent="0.25">
      <c r="A18" s="334"/>
      <c r="B18" s="334"/>
      <c r="C18" s="2351" t="s">
        <v>3992</v>
      </c>
      <c r="D18" s="2159"/>
      <c r="E18"/>
      <c r="F18" s="2351" t="s">
        <v>3993</v>
      </c>
      <c r="G18" s="2159"/>
      <c r="H18" s="2159"/>
      <c r="I18" s="2159"/>
      <c r="K18" s="334" t="b">
        <f>OR(K57:K136)</f>
        <v>1</v>
      </c>
      <c r="L18" s="334"/>
    </row>
    <row r="19" spans="1:12" x14ac:dyDescent="0.25">
      <c r="A19" s="585"/>
      <c r="B19" s="585"/>
      <c r="C19" s="585"/>
      <c r="D19" s="585"/>
      <c r="E19" s="585"/>
      <c r="F19" s="585"/>
      <c r="G19" s="585"/>
      <c r="H19" s="585"/>
      <c r="I19" s="585"/>
      <c r="K19" s="334"/>
      <c r="L19" s="334"/>
    </row>
    <row r="20" spans="1:12" x14ac:dyDescent="0.25">
      <c r="A20" s="585"/>
      <c r="B20" s="585"/>
      <c r="C20" s="585"/>
      <c r="D20" s="585"/>
      <c r="E20" s="2160" t="str">
        <f>IF('Verification Report'!L5="Rough","Rough Points claimed by","NO LONGER VALID")</f>
        <v>NO LONGER VALID</v>
      </c>
      <c r="F20" s="585"/>
      <c r="G20" s="585"/>
      <c r="H20" s="585"/>
      <c r="I20" s="585"/>
      <c r="K20" s="334"/>
      <c r="L20" s="334"/>
    </row>
    <row r="21" spans="1:12" x14ac:dyDescent="0.25">
      <c r="A21" s="585"/>
      <c r="B21" s="585"/>
      <c r="C21" s="585"/>
      <c r="E21" s="2161"/>
      <c r="F21" s="585"/>
      <c r="G21" s="585"/>
      <c r="H21" s="585"/>
      <c r="I21" s="585"/>
      <c r="K21" s="334"/>
      <c r="L21" s="334"/>
    </row>
    <row r="22" spans="1:12" ht="15" customHeight="1" x14ac:dyDescent="0.25">
      <c r="A22" s="585"/>
      <c r="B22" s="585"/>
      <c r="C22" s="565" t="s">
        <v>3844</v>
      </c>
      <c r="D22" s="586" t="s">
        <v>3845</v>
      </c>
      <c r="E22" s="586" t="s">
        <v>3540</v>
      </c>
      <c r="F22" s="565" t="s">
        <v>3846</v>
      </c>
      <c r="G22" s="565" t="s">
        <v>3847</v>
      </c>
      <c r="H22" s="565" t="s">
        <v>3848</v>
      </c>
      <c r="I22" s="565" t="s">
        <v>3849</v>
      </c>
      <c r="K22" s="334"/>
      <c r="L22" s="334"/>
    </row>
    <row r="23" spans="1:12" s="94" customFormat="1" ht="3" customHeight="1" x14ac:dyDescent="0.25">
      <c r="A23" s="587"/>
      <c r="B23" s="587"/>
      <c r="C23" s="588"/>
      <c r="D23" s="568"/>
      <c r="E23" s="569"/>
      <c r="K23" s="582"/>
      <c r="L23" s="582"/>
    </row>
    <row r="24" spans="1:12" ht="15" customHeight="1" x14ac:dyDescent="0.25">
      <c r="A24" s="585"/>
      <c r="B24" s="585"/>
      <c r="C24" s="589" t="s">
        <v>3850</v>
      </c>
      <c r="D24" s="590">
        <f ca="1">'Design Summ.'!I13</f>
        <v>0</v>
      </c>
      <c r="E24" s="591">
        <f ca="1">Ch5PointsFinal</f>
        <v>0</v>
      </c>
      <c r="F24" s="591">
        <v>50</v>
      </c>
      <c r="G24" s="591">
        <v>64</v>
      </c>
      <c r="H24" s="591">
        <v>93</v>
      </c>
      <c r="I24" s="591">
        <v>121</v>
      </c>
      <c r="K24" s="334"/>
      <c r="L24" s="334"/>
    </row>
    <row r="25" spans="1:12" ht="15" customHeight="1" x14ac:dyDescent="0.25">
      <c r="A25" s="585"/>
      <c r="B25" s="585"/>
      <c r="C25" s="592" t="s">
        <v>3851</v>
      </c>
      <c r="D25" s="593">
        <f ca="1">'Design Summ.'!I14</f>
        <v>0</v>
      </c>
      <c r="E25" s="594">
        <f ca="1">Ch6PointsFinal</f>
        <v>0</v>
      </c>
      <c r="F25" s="594">
        <v>43</v>
      </c>
      <c r="G25" s="594">
        <v>59</v>
      </c>
      <c r="H25" s="594">
        <v>89</v>
      </c>
      <c r="I25" s="594">
        <v>119</v>
      </c>
      <c r="K25" s="334"/>
      <c r="L25" s="334"/>
    </row>
    <row r="26" spans="1:12" ht="15" customHeight="1" x14ac:dyDescent="0.25">
      <c r="A26" s="585"/>
      <c r="B26" s="585"/>
      <c r="C26" s="592" t="s">
        <v>3852</v>
      </c>
      <c r="D26" s="593">
        <f ca="1">'Design Summ.'!I15</f>
        <v>0</v>
      </c>
      <c r="E26" s="594">
        <f ca="1">Ch7PointsFinal</f>
        <v>0</v>
      </c>
      <c r="F26" s="594">
        <v>30</v>
      </c>
      <c r="G26" s="594">
        <v>45</v>
      </c>
      <c r="H26" s="594">
        <v>60</v>
      </c>
      <c r="I26" s="594">
        <v>70</v>
      </c>
      <c r="K26" s="334"/>
      <c r="L26" s="334"/>
    </row>
    <row r="27" spans="1:12" ht="15" customHeight="1" x14ac:dyDescent="0.25">
      <c r="A27" s="585"/>
      <c r="B27" s="585"/>
      <c r="C27" s="592" t="s">
        <v>3853</v>
      </c>
      <c r="D27" s="593">
        <f ca="1">'Design Summ.'!I16</f>
        <v>0</v>
      </c>
      <c r="E27" s="594">
        <f ca="1">Ch8PointsFinal</f>
        <v>0</v>
      </c>
      <c r="F27" s="594">
        <v>25</v>
      </c>
      <c r="G27" s="594">
        <v>39</v>
      </c>
      <c r="H27" s="594">
        <v>67</v>
      </c>
      <c r="I27" s="594">
        <v>92</v>
      </c>
      <c r="K27" s="334"/>
      <c r="L27" s="334"/>
    </row>
    <row r="28" spans="1:12" ht="15" customHeight="1" x14ac:dyDescent="0.25">
      <c r="A28" s="585"/>
      <c r="B28" s="585"/>
      <c r="C28" s="592" t="s">
        <v>3854</v>
      </c>
      <c r="D28" s="593">
        <f ca="1">'Design Summ.'!I17</f>
        <v>0</v>
      </c>
      <c r="E28" s="594">
        <f ca="1">Ch9PointsFinal</f>
        <v>0</v>
      </c>
      <c r="F28" s="594">
        <v>25</v>
      </c>
      <c r="G28" s="594">
        <v>42</v>
      </c>
      <c r="H28" s="594">
        <v>69</v>
      </c>
      <c r="I28" s="594">
        <v>97</v>
      </c>
      <c r="K28" s="334"/>
      <c r="L28" s="334"/>
    </row>
    <row r="29" spans="1:12" ht="15" customHeight="1" x14ac:dyDescent="0.25">
      <c r="A29" s="585"/>
      <c r="B29" s="585"/>
      <c r="C29" s="595" t="s">
        <v>3855</v>
      </c>
      <c r="D29" s="596">
        <f>'Design Summ.'!I18</f>
        <v>2</v>
      </c>
      <c r="E29" s="596">
        <f>Ch10PointsFinal</f>
        <v>2</v>
      </c>
      <c r="F29" s="597">
        <v>8</v>
      </c>
      <c r="G29" s="597">
        <v>10</v>
      </c>
      <c r="H29" s="597">
        <v>11</v>
      </c>
      <c r="I29" s="597">
        <v>12</v>
      </c>
      <c r="K29" s="334"/>
      <c r="L29" s="334"/>
    </row>
    <row r="30" spans="1:12" s="94" customFormat="1" ht="3" customHeight="1" x14ac:dyDescent="0.25">
      <c r="A30" s="587"/>
      <c r="B30" s="587"/>
      <c r="C30" s="598"/>
      <c r="D30" s="599"/>
      <c r="E30" s="587"/>
      <c r="F30" s="587"/>
      <c r="G30" s="587"/>
      <c r="H30" s="587"/>
      <c r="I30" s="587"/>
      <c r="K30" s="582"/>
      <c r="L30" s="582"/>
    </row>
    <row r="31" spans="1:12" s="94" customFormat="1" ht="3" customHeight="1" x14ac:dyDescent="0.25">
      <c r="A31" s="587"/>
      <c r="B31" s="587"/>
      <c r="C31" s="587"/>
      <c r="D31" s="599"/>
      <c r="E31" s="587"/>
      <c r="F31" s="587"/>
      <c r="G31" s="587"/>
      <c r="H31" s="587"/>
      <c r="I31" s="587"/>
      <c r="K31" s="582"/>
      <c r="L31" s="582"/>
    </row>
    <row r="32" spans="1:12" ht="15" customHeight="1" x14ac:dyDescent="0.25">
      <c r="A32" s="585"/>
      <c r="B32" s="585"/>
      <c r="C32" s="564" t="s">
        <v>3856</v>
      </c>
      <c r="D32" s="28">
        <f ca="1">'Design Summ.'!I21</f>
        <v>2</v>
      </c>
      <c r="E32" s="28">
        <f ca="1">SUM(E24:E29)</f>
        <v>2</v>
      </c>
      <c r="F32" s="28">
        <f>SUM(F24:F29)+Points!C22</f>
        <v>231</v>
      </c>
      <c r="G32" s="28">
        <f>SUM(G24:G29)+Points!D22</f>
        <v>334</v>
      </c>
      <c r="H32" s="28">
        <f>SUM(H24:H29)+Points!E22</f>
        <v>489</v>
      </c>
      <c r="I32" s="28">
        <f>SUM(I24:I29)+Points!F22</f>
        <v>611</v>
      </c>
      <c r="K32" s="334"/>
      <c r="L32" s="334"/>
    </row>
    <row r="33" spans="1:12" s="94" customFormat="1" ht="3" customHeight="1" x14ac:dyDescent="0.25">
      <c r="A33" s="587"/>
      <c r="B33" s="587"/>
      <c r="C33" s="598"/>
      <c r="D33" s="599"/>
      <c r="E33" s="587"/>
      <c r="F33" s="587"/>
      <c r="G33" s="587"/>
      <c r="H33" s="587"/>
      <c r="I33" s="587"/>
      <c r="K33" s="582"/>
      <c r="L33" s="582"/>
    </row>
    <row r="34" spans="1:12" ht="15" customHeight="1" x14ac:dyDescent="0.25">
      <c r="A34" s="585"/>
      <c r="B34" s="585"/>
      <c r="C34" s="2359" t="s">
        <v>5801</v>
      </c>
      <c r="D34" s="2163"/>
      <c r="E34" s="585"/>
      <c r="F34" s="585"/>
      <c r="G34" s="585"/>
      <c r="H34" s="585"/>
      <c r="I34" s="585"/>
      <c r="K34" s="334"/>
      <c r="L34" s="334"/>
    </row>
    <row r="35" spans="1:12" s="94" customFormat="1" ht="3" customHeight="1" x14ac:dyDescent="0.25">
      <c r="A35" s="587"/>
      <c r="B35" s="587"/>
      <c r="C35" s="598"/>
      <c r="D35" s="599"/>
      <c r="E35" s="587"/>
      <c r="F35" s="587"/>
      <c r="G35" s="587"/>
      <c r="H35" s="587"/>
      <c r="I35" s="587"/>
      <c r="K35" s="582"/>
      <c r="L35" s="582"/>
    </row>
    <row r="36" spans="1:12" s="707" customFormat="1" ht="18" customHeight="1" x14ac:dyDescent="0.25">
      <c r="B36"/>
      <c r="C36"/>
      <c r="D36"/>
      <c r="E36"/>
      <c r="F36"/>
      <c r="G36"/>
      <c r="H36"/>
      <c r="I36"/>
      <c r="J36" s="1123"/>
      <c r="K36" s="334"/>
      <c r="L36" s="334"/>
    </row>
    <row r="37" spans="1:12" s="707" customFormat="1" x14ac:dyDescent="0.25">
      <c r="A37"/>
      <c r="B37"/>
      <c r="C37"/>
      <c r="D37"/>
      <c r="E37"/>
      <c r="F37"/>
      <c r="G37"/>
      <c r="J37" s="1123"/>
      <c r="K37" s="334"/>
      <c r="L37" s="334"/>
    </row>
    <row r="38" spans="1:12" s="707" customFormat="1" ht="3" customHeight="1" x14ac:dyDescent="0.25">
      <c r="A38" s="710"/>
      <c r="B38" s="710"/>
      <c r="C38" s="605"/>
      <c r="D38" s="605"/>
      <c r="J38" s="1123"/>
      <c r="K38" s="334"/>
      <c r="L38" s="334"/>
    </row>
    <row r="39" spans="1:12" s="707" customFormat="1" x14ac:dyDescent="0.25">
      <c r="A39" s="1712" t="s">
        <v>3990</v>
      </c>
      <c r="B39" s="1712"/>
      <c r="C39" s="2158"/>
      <c r="D39" s="2158"/>
      <c r="E39" s="2158"/>
      <c r="F39" s="2158"/>
      <c r="G39" s="2158"/>
      <c r="H39" s="2158"/>
      <c r="I39" s="2158"/>
      <c r="J39" s="1123"/>
      <c r="K39" s="334"/>
      <c r="L39" s="334"/>
    </row>
    <row r="40" spans="1:12" s="707" customFormat="1" x14ac:dyDescent="0.25">
      <c r="A40" s="1712"/>
      <c r="B40" s="1712"/>
      <c r="C40" s="2158"/>
      <c r="D40" s="2158"/>
      <c r="E40" s="2158"/>
      <c r="F40" s="2158"/>
      <c r="G40" s="2158"/>
      <c r="H40" s="2158"/>
      <c r="I40" s="2158"/>
      <c r="J40" s="1123"/>
      <c r="K40" s="334"/>
      <c r="L40" s="334"/>
    </row>
    <row r="41" spans="1:12" s="707" customFormat="1" x14ac:dyDescent="0.25">
      <c r="A41" s="1712"/>
      <c r="B41" s="1712"/>
      <c r="C41" s="2158"/>
      <c r="D41" s="2158"/>
      <c r="E41" s="2158"/>
      <c r="F41" s="2158"/>
      <c r="G41" s="2158"/>
      <c r="H41" s="2158"/>
      <c r="I41" s="2158"/>
      <c r="J41" s="1123"/>
      <c r="K41" s="334"/>
      <c r="L41" s="334"/>
    </row>
    <row r="42" spans="1:12" ht="3" customHeight="1" x14ac:dyDescent="0.25">
      <c r="A42" s="335"/>
      <c r="B42" s="335"/>
      <c r="C42" s="94"/>
      <c r="K42" s="334"/>
      <c r="L42" s="334"/>
    </row>
    <row r="43" spans="1:12" ht="15" customHeight="1" x14ac:dyDescent="0.25">
      <c r="A43" s="335"/>
      <c r="B43" s="600" t="s">
        <v>3857</v>
      </c>
      <c r="C43" s="2164"/>
      <c r="D43" s="2164"/>
      <c r="K43" s="334"/>
      <c r="L43" s="334"/>
    </row>
    <row r="44" spans="1:12" ht="3" customHeight="1" x14ac:dyDescent="0.25">
      <c r="A44" s="335"/>
      <c r="B44" s="600"/>
      <c r="K44" s="334"/>
      <c r="L44" s="334"/>
    </row>
    <row r="45" spans="1:12" x14ac:dyDescent="0.25">
      <c r="A45" s="335"/>
      <c r="B45" s="600" t="s">
        <v>3858</v>
      </c>
      <c r="C45" s="2164"/>
      <c r="D45" s="2164"/>
      <c r="K45" s="334"/>
      <c r="L45" s="334"/>
    </row>
    <row r="46" spans="1:12" ht="3" customHeight="1" x14ac:dyDescent="0.25">
      <c r="A46" s="335"/>
      <c r="B46" s="600"/>
      <c r="K46" s="334"/>
      <c r="L46" s="334"/>
    </row>
    <row r="47" spans="1:12" x14ac:dyDescent="0.25">
      <c r="A47" s="335"/>
      <c r="B47" s="600" t="s">
        <v>3859</v>
      </c>
      <c r="C47" s="2164"/>
      <c r="D47" s="2164"/>
      <c r="K47" s="334"/>
      <c r="L47" s="334"/>
    </row>
    <row r="48" spans="1:12" ht="3" customHeight="1" x14ac:dyDescent="0.25">
      <c r="A48" s="335"/>
      <c r="B48" s="600"/>
      <c r="K48" s="334"/>
      <c r="L48" s="334"/>
    </row>
    <row r="49" spans="1:12" x14ac:dyDescent="0.25">
      <c r="A49" s="335"/>
      <c r="B49" s="601" t="s">
        <v>3860</v>
      </c>
      <c r="C49" s="2164"/>
      <c r="D49" s="2164"/>
      <c r="K49" s="334"/>
      <c r="L49" s="334"/>
    </row>
    <row r="50" spans="1:12" x14ac:dyDescent="0.25">
      <c r="A50" s="602"/>
      <c r="B50" s="94"/>
      <c r="K50" s="334"/>
      <c r="L50" s="334"/>
    </row>
    <row r="51" spans="1:12" x14ac:dyDescent="0.25">
      <c r="A51" s="603"/>
      <c r="B51" s="603"/>
      <c r="K51" s="334"/>
      <c r="L51" s="334"/>
    </row>
    <row r="52" spans="1:12" x14ac:dyDescent="0.25">
      <c r="A52"/>
      <c r="B52"/>
      <c r="C52"/>
      <c r="D52"/>
      <c r="E52"/>
      <c r="F52"/>
      <c r="G52"/>
      <c r="H52"/>
      <c r="I52"/>
      <c r="K52" s="334"/>
      <c r="L52" s="334"/>
    </row>
    <row r="53" spans="1:12" s="707" customFormat="1" x14ac:dyDescent="0.25">
      <c r="A53" s="1712" t="s">
        <v>3862</v>
      </c>
      <c r="B53" s="1712"/>
      <c r="C53" s="2165"/>
      <c r="D53" s="2166"/>
      <c r="E53" s="2166"/>
      <c r="F53" s="2166"/>
      <c r="G53" s="2166"/>
      <c r="H53" s="2166"/>
      <c r="I53" s="2167"/>
      <c r="J53" s="1123"/>
      <c r="K53" s="334"/>
      <c r="L53" s="334"/>
    </row>
    <row r="54" spans="1:12" s="707" customFormat="1" x14ac:dyDescent="0.25">
      <c r="A54" s="1712"/>
      <c r="B54" s="1712"/>
      <c r="C54" s="2168"/>
      <c r="D54" s="2169"/>
      <c r="E54" s="2169"/>
      <c r="F54" s="2169"/>
      <c r="G54" s="2169"/>
      <c r="H54" s="2169"/>
      <c r="I54" s="2170"/>
      <c r="J54" s="1123"/>
      <c r="K54" s="334"/>
      <c r="L54" s="334"/>
    </row>
    <row r="55" spans="1:12" x14ac:dyDescent="0.25">
      <c r="A55" s="1712"/>
      <c r="B55" s="1712"/>
      <c r="C55" s="2171"/>
      <c r="D55" s="2172"/>
      <c r="E55" s="2172"/>
      <c r="F55" s="2172"/>
      <c r="G55" s="2172"/>
      <c r="H55" s="2172"/>
      <c r="I55" s="2173"/>
      <c r="K55" s="334"/>
      <c r="L55" s="334"/>
    </row>
    <row r="56" spans="1:12" ht="3" customHeight="1" x14ac:dyDescent="0.25">
      <c r="A56" s="335"/>
      <c r="B56" s="335"/>
      <c r="K56" s="334"/>
      <c r="L56" s="334"/>
    </row>
    <row r="57" spans="1:12" x14ac:dyDescent="0.25">
      <c r="A57" s="1712" t="s">
        <v>3857</v>
      </c>
      <c r="B57" s="1712"/>
      <c r="C57" s="727"/>
      <c r="K57" s="334" t="b">
        <f>ISBLANK(C57)</f>
        <v>1</v>
      </c>
      <c r="L57" s="334"/>
    </row>
    <row r="58" spans="1:12" ht="3" customHeight="1" x14ac:dyDescent="0.25">
      <c r="A58" s="600"/>
      <c r="B58" s="600"/>
      <c r="K58" s="334"/>
      <c r="L58" s="334"/>
    </row>
    <row r="59" spans="1:12" x14ac:dyDescent="0.25">
      <c r="A59" s="1712" t="s">
        <v>3858</v>
      </c>
      <c r="B59" s="1712"/>
      <c r="C59" s="727"/>
      <c r="K59" s="334" t="b">
        <f>ISBLANK(C59)</f>
        <v>1</v>
      </c>
      <c r="L59" s="334"/>
    </row>
    <row r="60" spans="1:12" ht="3" customHeight="1" x14ac:dyDescent="0.25">
      <c r="A60" s="600"/>
      <c r="B60" s="600"/>
      <c r="K60" s="334"/>
      <c r="L60" s="334"/>
    </row>
    <row r="61" spans="1:12" x14ac:dyDescent="0.25">
      <c r="A61" s="1712" t="s">
        <v>3859</v>
      </c>
      <c r="B61" s="1712"/>
      <c r="C61" s="727"/>
      <c r="K61" s="334" t="b">
        <f>ISBLANK(C61)</f>
        <v>1</v>
      </c>
      <c r="L61" s="334"/>
    </row>
    <row r="62" spans="1:12" ht="3" customHeight="1" x14ac:dyDescent="0.25">
      <c r="A62" s="600"/>
      <c r="B62" s="600"/>
      <c r="K62" s="334"/>
      <c r="L62" s="334"/>
    </row>
    <row r="63" spans="1:12" x14ac:dyDescent="0.25">
      <c r="A63" s="1712" t="s">
        <v>3864</v>
      </c>
      <c r="B63" s="1712"/>
      <c r="C63" s="727"/>
      <c r="D63" s="2139" t="s">
        <v>4099</v>
      </c>
      <c r="K63" s="334" t="b">
        <f>ISBLANK(C63)</f>
        <v>1</v>
      </c>
      <c r="L63" s="334"/>
    </row>
    <row r="64" spans="1:12" ht="3" customHeight="1" x14ac:dyDescent="0.25">
      <c r="A64" s="600"/>
      <c r="B64" s="600"/>
      <c r="D64" s="2139"/>
      <c r="K64" s="334"/>
      <c r="L64" s="334"/>
    </row>
    <row r="65" spans="1:12" x14ac:dyDescent="0.25">
      <c r="A65" s="1712" t="s">
        <v>3865</v>
      </c>
      <c r="B65" s="1712"/>
      <c r="C65" s="727"/>
      <c r="D65" s="2139"/>
      <c r="K65" s="334" t="b">
        <f>ISBLANK(C65)</f>
        <v>1</v>
      </c>
      <c r="L65" s="334"/>
    </row>
    <row r="66" spans="1:12" ht="3" customHeight="1" x14ac:dyDescent="0.25">
      <c r="A66" s="600"/>
      <c r="B66" s="600"/>
      <c r="K66" s="334"/>
      <c r="L66" s="334"/>
    </row>
    <row r="67" spans="1:12" x14ac:dyDescent="0.25">
      <c r="A67" s="1712" t="s">
        <v>3860</v>
      </c>
      <c r="B67" s="1712"/>
      <c r="C67" s="727"/>
      <c r="D67" s="606" t="s">
        <v>3866</v>
      </c>
      <c r="K67" s="334" t="b">
        <f>ISBLANK(C67)</f>
        <v>1</v>
      </c>
      <c r="L67" s="334"/>
    </row>
    <row r="68" spans="1:12" x14ac:dyDescent="0.25">
      <c r="D68" s="607"/>
      <c r="K68" s="334"/>
      <c r="L68" s="334"/>
    </row>
    <row r="69" spans="1:12" x14ac:dyDescent="0.25">
      <c r="K69" s="334"/>
      <c r="L69" s="334"/>
    </row>
    <row r="70" spans="1:12" s="622" customFormat="1" x14ac:dyDescent="0.25">
      <c r="J70" s="1123"/>
      <c r="K70" s="334"/>
      <c r="L70" s="334"/>
    </row>
    <row r="71" spans="1:12" x14ac:dyDescent="0.25">
      <c r="C71" s="335" t="s">
        <v>3867</v>
      </c>
      <c r="K71" s="334"/>
      <c r="L71" s="334"/>
    </row>
    <row r="72" spans="1:12" x14ac:dyDescent="0.25">
      <c r="C72" s="2139" t="s">
        <v>3868</v>
      </c>
      <c r="D72" s="2139"/>
      <c r="E72" s="2139"/>
      <c r="F72" s="2139"/>
      <c r="G72" s="2139"/>
      <c r="H72" s="2139"/>
      <c r="I72" s="2139"/>
      <c r="K72" s="334"/>
      <c r="L72" s="334"/>
    </row>
    <row r="73" spans="1:12" x14ac:dyDescent="0.25">
      <c r="K73" s="334"/>
      <c r="L73" s="334"/>
    </row>
    <row r="74" spans="1:12" x14ac:dyDescent="0.25">
      <c r="C74" s="608" t="s">
        <v>3869</v>
      </c>
      <c r="D74" s="608" t="s">
        <v>3870</v>
      </c>
      <c r="E74" s="2176" t="s">
        <v>3871</v>
      </c>
      <c r="F74" s="2176"/>
      <c r="G74" s="1706" t="s">
        <v>4100</v>
      </c>
      <c r="H74" s="1706"/>
      <c r="K74" s="334"/>
      <c r="L74" s="334"/>
    </row>
    <row r="75" spans="1:12" x14ac:dyDescent="0.25">
      <c r="B75" s="562">
        <v>1</v>
      </c>
      <c r="C75" s="718"/>
      <c r="D75" s="718"/>
      <c r="E75" s="2155"/>
      <c r="F75" s="2155"/>
      <c r="G75" s="2155"/>
      <c r="H75" s="2155"/>
      <c r="K75" s="563" t="b">
        <f>AND(OR(LEN(C75)=0,LEN(D75)=0,LEN(E75)=0,LEN(G75)=0),L75)</f>
        <v>0</v>
      </c>
      <c r="L75" s="610" t="b">
        <f>OR(NOT(LEN(C75)=0),NOT(LEN(D75)=0),NOT(LEN(E75)=0),NOT(LEN(G75)=0))</f>
        <v>0</v>
      </c>
    </row>
    <row r="76" spans="1:12" x14ac:dyDescent="0.25">
      <c r="B76" s="562">
        <v>2</v>
      </c>
      <c r="C76" s="718"/>
      <c r="D76" s="718"/>
      <c r="E76" s="2155"/>
      <c r="F76" s="2155"/>
      <c r="G76" s="2155"/>
      <c r="H76" s="2155"/>
      <c r="K76" s="786" t="b">
        <f>AND(OR(LEN(C76)=0,LEN(D76)=0,LEN(E76)=0,LEN(G76)=0),L76)</f>
        <v>0</v>
      </c>
      <c r="L76" s="610" t="b">
        <f>OR(NOT(LEN(C76)=0),NOT(LEN(D76)=0),NOT(LEN(E76)=0),NOT(LEN(G76)=0))</f>
        <v>0</v>
      </c>
    </row>
    <row r="77" spans="1:12" x14ac:dyDescent="0.25">
      <c r="B77" s="562">
        <v>3</v>
      </c>
      <c r="C77" s="718"/>
      <c r="D77" s="718"/>
      <c r="E77" s="2155"/>
      <c r="F77" s="2155"/>
      <c r="G77" s="2155"/>
      <c r="H77" s="2155"/>
      <c r="K77" s="786" t="b">
        <f>AND(OR(LEN(C77)=0,LEN(D77)=0,LEN(E77)=0,LEN(G77)=0),L77)</f>
        <v>0</v>
      </c>
      <c r="L77" s="610" t="b">
        <f>OR(NOT(LEN(C77)=0),NOT(LEN(D77)=0),NOT(LEN(E77)=0),NOT(LEN(G77)=0))</f>
        <v>0</v>
      </c>
    </row>
    <row r="78" spans="1:12" x14ac:dyDescent="0.25">
      <c r="B78" s="562">
        <v>4</v>
      </c>
      <c r="C78" s="718"/>
      <c r="D78" s="718"/>
      <c r="E78" s="2155"/>
      <c r="F78" s="2155"/>
      <c r="G78" s="2155"/>
      <c r="H78" s="2155"/>
      <c r="K78" s="786" t="b">
        <f>AND(OR(LEN(C78)=0,LEN(D78)=0,LEN(E78)=0,LEN(G78)=0),L78)</f>
        <v>0</v>
      </c>
      <c r="L78" s="610" t="b">
        <f>OR(NOT(LEN(C78)=0),NOT(LEN(D78)=0),NOT(LEN(E78)=0),NOT(LEN(G78)=0))</f>
        <v>0</v>
      </c>
    </row>
    <row r="79" spans="1:12" x14ac:dyDescent="0.25">
      <c r="B79" s="562">
        <v>5</v>
      </c>
      <c r="C79" s="718"/>
      <c r="D79" s="718"/>
      <c r="E79" s="2155"/>
      <c r="F79" s="2155"/>
      <c r="G79" s="2155"/>
      <c r="H79" s="2155"/>
      <c r="K79" s="786" t="b">
        <f>AND(OR(LEN(C79)=0,LEN(D79)=0,LEN(E79)=0,LEN(G79)=0),L79)</f>
        <v>0</v>
      </c>
      <c r="L79" s="610" t="b">
        <f>OR(NOT(LEN(C79)=0),NOT(LEN(D79)=0),NOT(LEN(E79)=0),NOT(LEN(G79)=0))</f>
        <v>0</v>
      </c>
    </row>
    <row r="80" spans="1:12" x14ac:dyDescent="0.25">
      <c r="L80" s="334"/>
    </row>
    <row r="81" spans="2:12" x14ac:dyDescent="0.25">
      <c r="L81" s="334"/>
    </row>
    <row r="82" spans="2:12" x14ac:dyDescent="0.25">
      <c r="L82" s="334"/>
    </row>
    <row r="83" spans="2:12" x14ac:dyDescent="0.25">
      <c r="C83" s="335" t="s">
        <v>3872</v>
      </c>
      <c r="L83" s="334"/>
    </row>
    <row r="84" spans="2:12" x14ac:dyDescent="0.25">
      <c r="C84" s="607"/>
      <c r="L84" s="334"/>
    </row>
    <row r="85" spans="2:12" x14ac:dyDescent="0.25">
      <c r="L85" s="334"/>
    </row>
    <row r="86" spans="2:12" ht="27" x14ac:dyDescent="0.25">
      <c r="C86" s="1984" t="s">
        <v>3874</v>
      </c>
      <c r="D86" s="1984"/>
      <c r="E86" s="1686" t="s">
        <v>5808</v>
      </c>
      <c r="F86" s="1686" t="s">
        <v>2</v>
      </c>
      <c r="G86" s="1686" t="s">
        <v>5809</v>
      </c>
      <c r="H86" s="1685" t="s">
        <v>3875</v>
      </c>
      <c r="I86" s="1684" t="s">
        <v>3876</v>
      </c>
      <c r="L86" s="609"/>
    </row>
    <row r="87" spans="2:12" x14ac:dyDescent="0.25">
      <c r="B87" s="709">
        <v>1</v>
      </c>
      <c r="C87" s="2155"/>
      <c r="D87" s="2155"/>
      <c r="E87" s="776"/>
      <c r="F87" s="2152" t="str">
        <f>'Overview (Verification)'!P14</f>
        <v/>
      </c>
      <c r="G87" s="776"/>
      <c r="H87" s="776"/>
      <c r="I87" s="719"/>
      <c r="K87" s="712" t="b">
        <f t="shared" ref="K87:K118" si="0">AND(OR(LEN(C87)=0,LEN(E87)=0,LEN(G87)=0,LEN(H87)=0,LEN(I87)=0),L87)</f>
        <v>0</v>
      </c>
      <c r="L87" s="610" t="b">
        <f t="shared" ref="L87:L118" si="1">OR(NOT(LEN(C87)=0),NOT(LEN(E87)=0),NOT(LEN(G87)=0),NOT(LEN(H87)=0),NOT(LEN(I87)=0))</f>
        <v>0</v>
      </c>
    </row>
    <row r="88" spans="2:12" x14ac:dyDescent="0.25">
      <c r="B88" s="709">
        <v>2</v>
      </c>
      <c r="C88" s="2155"/>
      <c r="D88" s="2155"/>
      <c r="E88" s="776"/>
      <c r="F88" s="2153"/>
      <c r="G88" s="776"/>
      <c r="H88" s="776"/>
      <c r="I88" s="719"/>
      <c r="K88" s="1682" t="b">
        <f t="shared" si="0"/>
        <v>0</v>
      </c>
      <c r="L88" s="610" t="b">
        <f t="shared" si="1"/>
        <v>0</v>
      </c>
    </row>
    <row r="89" spans="2:12" x14ac:dyDescent="0.25">
      <c r="B89" s="709">
        <v>3</v>
      </c>
      <c r="C89" s="2155"/>
      <c r="D89" s="2155"/>
      <c r="E89" s="776"/>
      <c r="F89" s="2153"/>
      <c r="G89" s="776"/>
      <c r="H89" s="776"/>
      <c r="I89" s="719"/>
      <c r="K89" s="1682" t="b">
        <f t="shared" si="0"/>
        <v>0</v>
      </c>
      <c r="L89" s="610" t="b">
        <f t="shared" si="1"/>
        <v>0</v>
      </c>
    </row>
    <row r="90" spans="2:12" x14ac:dyDescent="0.25">
      <c r="B90" s="709">
        <v>4</v>
      </c>
      <c r="C90" s="2155"/>
      <c r="D90" s="2155"/>
      <c r="E90" s="776"/>
      <c r="F90" s="2153"/>
      <c r="G90" s="776"/>
      <c r="H90" s="776"/>
      <c r="I90" s="719"/>
      <c r="K90" s="1682" t="b">
        <f t="shared" si="0"/>
        <v>0</v>
      </c>
      <c r="L90" s="610" t="b">
        <f t="shared" si="1"/>
        <v>0</v>
      </c>
    </row>
    <row r="91" spans="2:12" x14ac:dyDescent="0.25">
      <c r="B91" s="709">
        <v>5</v>
      </c>
      <c r="C91" s="2155"/>
      <c r="D91" s="2155"/>
      <c r="E91" s="776"/>
      <c r="F91" s="2153"/>
      <c r="G91" s="776"/>
      <c r="H91" s="776"/>
      <c r="I91" s="719"/>
      <c r="K91" s="1682" t="b">
        <f t="shared" si="0"/>
        <v>0</v>
      </c>
      <c r="L91" s="610" t="b">
        <f t="shared" si="1"/>
        <v>0</v>
      </c>
    </row>
    <row r="92" spans="2:12" x14ac:dyDescent="0.25">
      <c r="B92" s="709">
        <v>6</v>
      </c>
      <c r="C92" s="2155"/>
      <c r="D92" s="2155"/>
      <c r="E92" s="776"/>
      <c r="F92" s="2153"/>
      <c r="G92" s="776"/>
      <c r="H92" s="776"/>
      <c r="I92" s="719"/>
      <c r="K92" s="1682" t="b">
        <f t="shared" si="0"/>
        <v>0</v>
      </c>
      <c r="L92" s="610" t="b">
        <f t="shared" si="1"/>
        <v>0</v>
      </c>
    </row>
    <row r="93" spans="2:12" x14ac:dyDescent="0.25">
      <c r="B93" s="709">
        <v>7</v>
      </c>
      <c r="C93" s="2155"/>
      <c r="D93" s="2155"/>
      <c r="E93" s="776"/>
      <c r="F93" s="2153"/>
      <c r="G93" s="776"/>
      <c r="H93" s="776"/>
      <c r="I93" s="719"/>
      <c r="K93" s="1682" t="b">
        <f t="shared" si="0"/>
        <v>0</v>
      </c>
      <c r="L93" s="610" t="b">
        <f t="shared" si="1"/>
        <v>0</v>
      </c>
    </row>
    <row r="94" spans="2:12" x14ac:dyDescent="0.25">
      <c r="B94" s="709">
        <v>8</v>
      </c>
      <c r="C94" s="2155"/>
      <c r="D94" s="2155"/>
      <c r="E94" s="776"/>
      <c r="F94" s="2153"/>
      <c r="G94" s="776"/>
      <c r="H94" s="776"/>
      <c r="I94" s="719"/>
      <c r="K94" s="1682" t="b">
        <f t="shared" si="0"/>
        <v>0</v>
      </c>
      <c r="L94" s="610" t="b">
        <f t="shared" si="1"/>
        <v>0</v>
      </c>
    </row>
    <row r="95" spans="2:12" x14ac:dyDescent="0.25">
      <c r="B95" s="709">
        <v>9</v>
      </c>
      <c r="C95" s="2155"/>
      <c r="D95" s="2155"/>
      <c r="E95" s="776"/>
      <c r="F95" s="2153"/>
      <c r="G95" s="776"/>
      <c r="H95" s="776"/>
      <c r="I95" s="719"/>
      <c r="K95" s="1682" t="b">
        <f t="shared" si="0"/>
        <v>0</v>
      </c>
      <c r="L95" s="610" t="b">
        <f t="shared" si="1"/>
        <v>0</v>
      </c>
    </row>
    <row r="96" spans="2:12" x14ac:dyDescent="0.25">
      <c r="B96" s="709">
        <v>10</v>
      </c>
      <c r="C96" s="2155"/>
      <c r="D96" s="2155"/>
      <c r="E96" s="776"/>
      <c r="F96" s="2153"/>
      <c r="G96" s="776"/>
      <c r="H96" s="776"/>
      <c r="I96" s="719"/>
      <c r="K96" s="1682" t="b">
        <f t="shared" si="0"/>
        <v>0</v>
      </c>
      <c r="L96" s="610" t="b">
        <f t="shared" si="1"/>
        <v>0</v>
      </c>
    </row>
    <row r="97" spans="2:12" s="791" customFormat="1" x14ac:dyDescent="0.25">
      <c r="B97" s="790">
        <v>11</v>
      </c>
      <c r="C97" s="2155"/>
      <c r="D97" s="2155"/>
      <c r="E97" s="776"/>
      <c r="F97" s="2153"/>
      <c r="G97" s="776"/>
      <c r="H97" s="776"/>
      <c r="I97" s="719"/>
      <c r="K97" s="1682" t="b">
        <f t="shared" si="0"/>
        <v>0</v>
      </c>
      <c r="L97" s="610" t="b">
        <f t="shared" si="1"/>
        <v>0</v>
      </c>
    </row>
    <row r="98" spans="2:12" s="791" customFormat="1" x14ac:dyDescent="0.25">
      <c r="B98" s="790">
        <v>12</v>
      </c>
      <c r="C98" s="2155"/>
      <c r="D98" s="2155"/>
      <c r="E98" s="776"/>
      <c r="F98" s="2153"/>
      <c r="G98" s="776"/>
      <c r="H98" s="776"/>
      <c r="I98" s="719"/>
      <c r="K98" s="1682" t="b">
        <f t="shared" si="0"/>
        <v>0</v>
      </c>
      <c r="L98" s="610" t="b">
        <f t="shared" si="1"/>
        <v>0</v>
      </c>
    </row>
    <row r="99" spans="2:12" s="1679" customFormat="1" x14ac:dyDescent="0.25">
      <c r="B99" s="1683">
        <v>13</v>
      </c>
      <c r="C99" s="2155"/>
      <c r="D99" s="2155"/>
      <c r="E99" s="776"/>
      <c r="F99" s="2153"/>
      <c r="G99" s="776"/>
      <c r="H99" s="776"/>
      <c r="I99" s="719"/>
      <c r="K99" s="1682" t="b">
        <f t="shared" si="0"/>
        <v>0</v>
      </c>
      <c r="L99" s="610" t="b">
        <f t="shared" si="1"/>
        <v>0</v>
      </c>
    </row>
    <row r="100" spans="2:12" s="1679" customFormat="1" x14ac:dyDescent="0.25">
      <c r="B100" s="1683">
        <v>14</v>
      </c>
      <c r="C100" s="2155"/>
      <c r="D100" s="2155"/>
      <c r="E100" s="776"/>
      <c r="F100" s="2153"/>
      <c r="G100" s="776"/>
      <c r="H100" s="776"/>
      <c r="I100" s="719"/>
      <c r="K100" s="1682" t="b">
        <f t="shared" si="0"/>
        <v>0</v>
      </c>
      <c r="L100" s="610" t="b">
        <f t="shared" si="1"/>
        <v>0</v>
      </c>
    </row>
    <row r="101" spans="2:12" s="1679" customFormat="1" x14ac:dyDescent="0.25">
      <c r="B101" s="1683">
        <v>15</v>
      </c>
      <c r="C101" s="2155"/>
      <c r="D101" s="2155"/>
      <c r="E101" s="776"/>
      <c r="F101" s="2153"/>
      <c r="G101" s="776"/>
      <c r="H101" s="776"/>
      <c r="I101" s="719"/>
      <c r="K101" s="1682" t="b">
        <f t="shared" si="0"/>
        <v>0</v>
      </c>
      <c r="L101" s="610" t="b">
        <f t="shared" si="1"/>
        <v>0</v>
      </c>
    </row>
    <row r="102" spans="2:12" s="1679" customFormat="1" x14ac:dyDescent="0.25">
      <c r="B102" s="1683">
        <v>16</v>
      </c>
      <c r="C102" s="2155"/>
      <c r="D102" s="2155"/>
      <c r="E102" s="776"/>
      <c r="F102" s="2153"/>
      <c r="G102" s="776"/>
      <c r="H102" s="776"/>
      <c r="I102" s="719"/>
      <c r="K102" s="1682" t="b">
        <f t="shared" si="0"/>
        <v>0</v>
      </c>
      <c r="L102" s="610" t="b">
        <f t="shared" si="1"/>
        <v>0</v>
      </c>
    </row>
    <row r="103" spans="2:12" s="1679" customFormat="1" x14ac:dyDescent="0.25">
      <c r="B103" s="1683">
        <v>17</v>
      </c>
      <c r="C103" s="2149"/>
      <c r="D103" s="2150"/>
      <c r="E103" s="776"/>
      <c r="F103" s="2153"/>
      <c r="G103" s="776"/>
      <c r="H103" s="776"/>
      <c r="I103" s="719"/>
      <c r="K103" s="1682" t="b">
        <f t="shared" si="0"/>
        <v>0</v>
      </c>
      <c r="L103" s="610" t="b">
        <f t="shared" si="1"/>
        <v>0</v>
      </c>
    </row>
    <row r="104" spans="2:12" s="1679" customFormat="1" x14ac:dyDescent="0.25">
      <c r="B104" s="1683">
        <v>18</v>
      </c>
      <c r="C104" s="2149"/>
      <c r="D104" s="2150"/>
      <c r="E104" s="776"/>
      <c r="F104" s="2153"/>
      <c r="G104" s="776"/>
      <c r="H104" s="776"/>
      <c r="I104" s="719"/>
      <c r="K104" s="1682" t="b">
        <f t="shared" si="0"/>
        <v>0</v>
      </c>
      <c r="L104" s="610" t="b">
        <f t="shared" si="1"/>
        <v>0</v>
      </c>
    </row>
    <row r="105" spans="2:12" s="1679" customFormat="1" x14ac:dyDescent="0.25">
      <c r="B105" s="1683">
        <v>19</v>
      </c>
      <c r="C105" s="2149"/>
      <c r="D105" s="2150"/>
      <c r="E105" s="776"/>
      <c r="F105" s="2153"/>
      <c r="G105" s="776"/>
      <c r="H105" s="776"/>
      <c r="I105" s="719"/>
      <c r="K105" s="1682" t="b">
        <f t="shared" si="0"/>
        <v>0</v>
      </c>
      <c r="L105" s="610" t="b">
        <f t="shared" si="1"/>
        <v>0</v>
      </c>
    </row>
    <row r="106" spans="2:12" s="1679" customFormat="1" x14ac:dyDescent="0.25">
      <c r="B106" s="1683">
        <v>20</v>
      </c>
      <c r="C106" s="2149"/>
      <c r="D106" s="2150"/>
      <c r="E106" s="776"/>
      <c r="F106" s="2153"/>
      <c r="G106" s="776"/>
      <c r="H106" s="776"/>
      <c r="I106" s="719"/>
      <c r="K106" s="1682" t="b">
        <f t="shared" si="0"/>
        <v>0</v>
      </c>
      <c r="L106" s="610" t="b">
        <f t="shared" si="1"/>
        <v>0</v>
      </c>
    </row>
    <row r="107" spans="2:12" s="1679" customFormat="1" x14ac:dyDescent="0.25">
      <c r="B107" s="1683">
        <v>21</v>
      </c>
      <c r="C107" s="2149"/>
      <c r="D107" s="2150"/>
      <c r="E107" s="776"/>
      <c r="F107" s="2153"/>
      <c r="G107" s="776"/>
      <c r="H107" s="776"/>
      <c r="I107" s="719"/>
      <c r="K107" s="1682" t="b">
        <f t="shared" si="0"/>
        <v>0</v>
      </c>
      <c r="L107" s="610" t="b">
        <f t="shared" si="1"/>
        <v>0</v>
      </c>
    </row>
    <row r="108" spans="2:12" s="1679" customFormat="1" x14ac:dyDescent="0.25">
      <c r="B108" s="1683">
        <v>22</v>
      </c>
      <c r="C108" s="2149"/>
      <c r="D108" s="2150"/>
      <c r="E108" s="776"/>
      <c r="F108" s="2153"/>
      <c r="G108" s="776"/>
      <c r="H108" s="776"/>
      <c r="I108" s="719"/>
      <c r="K108" s="1682" t="b">
        <f t="shared" si="0"/>
        <v>0</v>
      </c>
      <c r="L108" s="610" t="b">
        <f t="shared" si="1"/>
        <v>0</v>
      </c>
    </row>
    <row r="109" spans="2:12" s="1679" customFormat="1" x14ac:dyDescent="0.25">
      <c r="B109" s="1683">
        <v>23</v>
      </c>
      <c r="C109" s="2149"/>
      <c r="D109" s="2150"/>
      <c r="E109" s="776"/>
      <c r="F109" s="2153"/>
      <c r="G109" s="776"/>
      <c r="H109" s="776"/>
      <c r="I109" s="719"/>
      <c r="K109" s="1682" t="b">
        <f t="shared" si="0"/>
        <v>0</v>
      </c>
      <c r="L109" s="610" t="b">
        <f t="shared" si="1"/>
        <v>0</v>
      </c>
    </row>
    <row r="110" spans="2:12" s="1679" customFormat="1" x14ac:dyDescent="0.25">
      <c r="B110" s="1683">
        <v>24</v>
      </c>
      <c r="C110" s="2149"/>
      <c r="D110" s="2150"/>
      <c r="E110" s="776"/>
      <c r="F110" s="2153"/>
      <c r="G110" s="776"/>
      <c r="H110" s="776"/>
      <c r="I110" s="719"/>
      <c r="K110" s="1682" t="b">
        <f t="shared" si="0"/>
        <v>0</v>
      </c>
      <c r="L110" s="610" t="b">
        <f t="shared" si="1"/>
        <v>0</v>
      </c>
    </row>
    <row r="111" spans="2:12" s="1679" customFormat="1" x14ac:dyDescent="0.25">
      <c r="B111" s="1683">
        <v>25</v>
      </c>
      <c r="C111" s="2149"/>
      <c r="D111" s="2150"/>
      <c r="E111" s="776"/>
      <c r="F111" s="2153"/>
      <c r="G111" s="776"/>
      <c r="H111" s="776"/>
      <c r="I111" s="719"/>
      <c r="K111" s="1682" t="b">
        <f t="shared" si="0"/>
        <v>0</v>
      </c>
      <c r="L111" s="610" t="b">
        <f t="shared" si="1"/>
        <v>0</v>
      </c>
    </row>
    <row r="112" spans="2:12" s="1679" customFormat="1" x14ac:dyDescent="0.25">
      <c r="B112" s="1683">
        <v>26</v>
      </c>
      <c r="C112" s="2149"/>
      <c r="D112" s="2150"/>
      <c r="E112" s="776"/>
      <c r="F112" s="2153"/>
      <c r="G112" s="776"/>
      <c r="H112" s="776"/>
      <c r="I112" s="719"/>
      <c r="K112" s="1682" t="b">
        <f t="shared" si="0"/>
        <v>0</v>
      </c>
      <c r="L112" s="610" t="b">
        <f t="shared" si="1"/>
        <v>0</v>
      </c>
    </row>
    <row r="113" spans="2:12" s="1679" customFormat="1" x14ac:dyDescent="0.25">
      <c r="B113" s="1683">
        <v>27</v>
      </c>
      <c r="C113" s="2149"/>
      <c r="D113" s="2150"/>
      <c r="E113" s="776"/>
      <c r="F113" s="2153"/>
      <c r="G113" s="776"/>
      <c r="H113" s="776"/>
      <c r="I113" s="719"/>
      <c r="K113" s="1682" t="b">
        <f t="shared" si="0"/>
        <v>0</v>
      </c>
      <c r="L113" s="610" t="b">
        <f t="shared" si="1"/>
        <v>0</v>
      </c>
    </row>
    <row r="114" spans="2:12" s="1679" customFormat="1" x14ac:dyDescent="0.25">
      <c r="B114" s="1683">
        <v>28</v>
      </c>
      <c r="C114" s="2149"/>
      <c r="D114" s="2150"/>
      <c r="E114" s="776"/>
      <c r="F114" s="2153"/>
      <c r="G114" s="776"/>
      <c r="H114" s="776"/>
      <c r="I114" s="719"/>
      <c r="K114" s="1682" t="b">
        <f t="shared" si="0"/>
        <v>0</v>
      </c>
      <c r="L114" s="610" t="b">
        <f t="shared" si="1"/>
        <v>0</v>
      </c>
    </row>
    <row r="115" spans="2:12" s="1679" customFormat="1" x14ac:dyDescent="0.25">
      <c r="B115" s="1683">
        <v>29</v>
      </c>
      <c r="C115" s="2149"/>
      <c r="D115" s="2150"/>
      <c r="E115" s="776"/>
      <c r="F115" s="2153"/>
      <c r="G115" s="776"/>
      <c r="H115" s="776"/>
      <c r="I115" s="719"/>
      <c r="K115" s="1682" t="b">
        <f t="shared" si="0"/>
        <v>0</v>
      </c>
      <c r="L115" s="610" t="b">
        <f t="shared" si="1"/>
        <v>0</v>
      </c>
    </row>
    <row r="116" spans="2:12" s="1679" customFormat="1" x14ac:dyDescent="0.25">
      <c r="B116" s="1683">
        <v>30</v>
      </c>
      <c r="C116" s="2149"/>
      <c r="D116" s="2150"/>
      <c r="E116" s="776"/>
      <c r="F116" s="2153"/>
      <c r="G116" s="776"/>
      <c r="H116" s="776"/>
      <c r="I116" s="719"/>
      <c r="K116" s="1682" t="b">
        <f t="shared" si="0"/>
        <v>0</v>
      </c>
      <c r="L116" s="610" t="b">
        <f t="shared" si="1"/>
        <v>0</v>
      </c>
    </row>
    <row r="117" spans="2:12" s="1679" customFormat="1" x14ac:dyDescent="0.25">
      <c r="B117" s="1683">
        <v>31</v>
      </c>
      <c r="C117" s="2149"/>
      <c r="D117" s="2150"/>
      <c r="E117" s="776"/>
      <c r="F117" s="2153"/>
      <c r="G117" s="776"/>
      <c r="H117" s="776"/>
      <c r="I117" s="719"/>
      <c r="K117" s="1682" t="b">
        <f t="shared" si="0"/>
        <v>0</v>
      </c>
      <c r="L117" s="610" t="b">
        <f t="shared" si="1"/>
        <v>0</v>
      </c>
    </row>
    <row r="118" spans="2:12" s="1679" customFormat="1" x14ac:dyDescent="0.25">
      <c r="B118" s="1683">
        <v>32</v>
      </c>
      <c r="C118" s="2149"/>
      <c r="D118" s="2150"/>
      <c r="E118" s="776"/>
      <c r="F118" s="2153"/>
      <c r="G118" s="776"/>
      <c r="H118" s="776"/>
      <c r="I118" s="719"/>
      <c r="K118" s="1682" t="b">
        <f t="shared" si="0"/>
        <v>0</v>
      </c>
      <c r="L118" s="610" t="b">
        <f t="shared" si="1"/>
        <v>0</v>
      </c>
    </row>
    <row r="119" spans="2:12" s="1679" customFormat="1" x14ac:dyDescent="0.25">
      <c r="B119" s="1683">
        <v>33</v>
      </c>
      <c r="C119" s="2149"/>
      <c r="D119" s="2150"/>
      <c r="E119" s="776"/>
      <c r="F119" s="2153"/>
      <c r="G119" s="776"/>
      <c r="H119" s="776"/>
      <c r="I119" s="719"/>
      <c r="K119" s="1682" t="b">
        <f t="shared" ref="K119:K136" si="2">AND(OR(LEN(C119)=0,LEN(E119)=0,LEN(G119)=0,LEN(H119)=0,LEN(I119)=0),L119)</f>
        <v>0</v>
      </c>
      <c r="L119" s="610" t="b">
        <f t="shared" ref="L119:L136" si="3">OR(NOT(LEN(C119)=0),NOT(LEN(E119)=0),NOT(LEN(G119)=0),NOT(LEN(H119)=0),NOT(LEN(I119)=0))</f>
        <v>0</v>
      </c>
    </row>
    <row r="120" spans="2:12" s="1679" customFormat="1" x14ac:dyDescent="0.25">
      <c r="B120" s="1683">
        <v>34</v>
      </c>
      <c r="C120" s="2149"/>
      <c r="D120" s="2150"/>
      <c r="E120" s="776"/>
      <c r="F120" s="2153"/>
      <c r="G120" s="776"/>
      <c r="H120" s="776"/>
      <c r="I120" s="719"/>
      <c r="K120" s="1682" t="b">
        <f t="shared" si="2"/>
        <v>0</v>
      </c>
      <c r="L120" s="610" t="b">
        <f t="shared" si="3"/>
        <v>0</v>
      </c>
    </row>
    <row r="121" spans="2:12" s="1679" customFormat="1" x14ac:dyDescent="0.25">
      <c r="B121" s="1683">
        <v>35</v>
      </c>
      <c r="C121" s="2149"/>
      <c r="D121" s="2150"/>
      <c r="E121" s="776"/>
      <c r="F121" s="2153"/>
      <c r="G121" s="776"/>
      <c r="H121" s="776"/>
      <c r="I121" s="719"/>
      <c r="K121" s="1682" t="b">
        <f t="shared" si="2"/>
        <v>0</v>
      </c>
      <c r="L121" s="610" t="b">
        <f t="shared" si="3"/>
        <v>0</v>
      </c>
    </row>
    <row r="122" spans="2:12" s="1679" customFormat="1" x14ac:dyDescent="0.25">
      <c r="B122" s="1683">
        <v>36</v>
      </c>
      <c r="C122" s="2149"/>
      <c r="D122" s="2150"/>
      <c r="E122" s="776"/>
      <c r="F122" s="2153"/>
      <c r="G122" s="776"/>
      <c r="H122" s="776"/>
      <c r="I122" s="719"/>
      <c r="K122" s="1682" t="b">
        <f t="shared" si="2"/>
        <v>0</v>
      </c>
      <c r="L122" s="610" t="b">
        <f t="shared" si="3"/>
        <v>0</v>
      </c>
    </row>
    <row r="123" spans="2:12" s="1679" customFormat="1" x14ac:dyDescent="0.25">
      <c r="B123" s="1683">
        <v>37</v>
      </c>
      <c r="C123" s="2149"/>
      <c r="D123" s="2150"/>
      <c r="E123" s="776"/>
      <c r="F123" s="2153"/>
      <c r="G123" s="776"/>
      <c r="H123" s="776"/>
      <c r="I123" s="719"/>
      <c r="K123" s="1682" t="b">
        <f t="shared" si="2"/>
        <v>0</v>
      </c>
      <c r="L123" s="610" t="b">
        <f t="shared" si="3"/>
        <v>0</v>
      </c>
    </row>
    <row r="124" spans="2:12" s="1679" customFormat="1" x14ac:dyDescent="0.25">
      <c r="B124" s="1683">
        <v>38</v>
      </c>
      <c r="C124" s="2149"/>
      <c r="D124" s="2150"/>
      <c r="E124" s="776"/>
      <c r="F124" s="2153"/>
      <c r="G124" s="776"/>
      <c r="H124" s="776"/>
      <c r="I124" s="719"/>
      <c r="K124" s="1682" t="b">
        <f t="shared" si="2"/>
        <v>0</v>
      </c>
      <c r="L124" s="610" t="b">
        <f t="shared" si="3"/>
        <v>0</v>
      </c>
    </row>
    <row r="125" spans="2:12" s="1679" customFormat="1" x14ac:dyDescent="0.25">
      <c r="B125" s="1683">
        <v>39</v>
      </c>
      <c r="C125" s="2149"/>
      <c r="D125" s="2150"/>
      <c r="E125" s="776"/>
      <c r="F125" s="2153"/>
      <c r="G125" s="776"/>
      <c r="H125" s="776"/>
      <c r="I125" s="719"/>
      <c r="K125" s="1682" t="b">
        <f t="shared" si="2"/>
        <v>0</v>
      </c>
      <c r="L125" s="610" t="b">
        <f t="shared" si="3"/>
        <v>0</v>
      </c>
    </row>
    <row r="126" spans="2:12" s="1679" customFormat="1" x14ac:dyDescent="0.25">
      <c r="B126" s="1683">
        <v>40</v>
      </c>
      <c r="C126" s="2149"/>
      <c r="D126" s="2150"/>
      <c r="E126" s="776"/>
      <c r="F126" s="2153"/>
      <c r="G126" s="776"/>
      <c r="H126" s="776"/>
      <c r="I126" s="719"/>
      <c r="K126" s="1682" t="b">
        <f t="shared" si="2"/>
        <v>0</v>
      </c>
      <c r="L126" s="610" t="b">
        <f t="shared" si="3"/>
        <v>0</v>
      </c>
    </row>
    <row r="127" spans="2:12" s="1679" customFormat="1" x14ac:dyDescent="0.25">
      <c r="B127" s="1683">
        <v>41</v>
      </c>
      <c r="C127" s="2149"/>
      <c r="D127" s="2150"/>
      <c r="E127" s="776"/>
      <c r="F127" s="2153"/>
      <c r="G127" s="776"/>
      <c r="H127" s="776"/>
      <c r="I127" s="719"/>
      <c r="K127" s="1682" t="b">
        <f t="shared" si="2"/>
        <v>0</v>
      </c>
      <c r="L127" s="610" t="b">
        <f t="shared" si="3"/>
        <v>0</v>
      </c>
    </row>
    <row r="128" spans="2:12" s="1679" customFormat="1" x14ac:dyDescent="0.25">
      <c r="B128" s="1683">
        <v>42</v>
      </c>
      <c r="C128" s="2149"/>
      <c r="D128" s="2150"/>
      <c r="E128" s="776"/>
      <c r="F128" s="2153"/>
      <c r="G128" s="776"/>
      <c r="H128" s="776"/>
      <c r="I128" s="719"/>
      <c r="K128" s="1682" t="b">
        <f t="shared" si="2"/>
        <v>0</v>
      </c>
      <c r="L128" s="610" t="b">
        <f t="shared" si="3"/>
        <v>0</v>
      </c>
    </row>
    <row r="129" spans="2:12" s="791" customFormat="1" x14ac:dyDescent="0.25">
      <c r="B129" s="1683">
        <v>43</v>
      </c>
      <c r="C129" s="2149"/>
      <c r="D129" s="2150"/>
      <c r="E129" s="776"/>
      <c r="F129" s="2153"/>
      <c r="G129" s="776"/>
      <c r="H129" s="776"/>
      <c r="I129" s="719"/>
      <c r="K129" s="1682" t="b">
        <f t="shared" si="2"/>
        <v>0</v>
      </c>
      <c r="L129" s="610" t="b">
        <f t="shared" si="3"/>
        <v>0</v>
      </c>
    </row>
    <row r="130" spans="2:12" s="791" customFormat="1" x14ac:dyDescent="0.25">
      <c r="B130" s="1683">
        <v>44</v>
      </c>
      <c r="C130" s="2149"/>
      <c r="D130" s="2150"/>
      <c r="E130" s="776"/>
      <c r="F130" s="2153"/>
      <c r="G130" s="776"/>
      <c r="H130" s="776"/>
      <c r="I130" s="719"/>
      <c r="K130" s="1682" t="b">
        <f t="shared" si="2"/>
        <v>0</v>
      </c>
      <c r="L130" s="610" t="b">
        <f t="shared" si="3"/>
        <v>0</v>
      </c>
    </row>
    <row r="131" spans="2:12" s="791" customFormat="1" x14ac:dyDescent="0.25">
      <c r="B131" s="1683">
        <v>45</v>
      </c>
      <c r="C131" s="2149"/>
      <c r="D131" s="2150"/>
      <c r="E131" s="776"/>
      <c r="F131" s="2153"/>
      <c r="G131" s="776"/>
      <c r="H131" s="776"/>
      <c r="I131" s="719"/>
      <c r="K131" s="1682" t="b">
        <f t="shared" si="2"/>
        <v>0</v>
      </c>
      <c r="L131" s="610" t="b">
        <f t="shared" si="3"/>
        <v>0</v>
      </c>
    </row>
    <row r="132" spans="2:12" s="791" customFormat="1" x14ac:dyDescent="0.25">
      <c r="B132" s="1683">
        <v>46</v>
      </c>
      <c r="C132" s="2149"/>
      <c r="D132" s="2150"/>
      <c r="E132" s="776"/>
      <c r="F132" s="2153"/>
      <c r="G132" s="776"/>
      <c r="H132" s="776"/>
      <c r="I132" s="719"/>
      <c r="K132" s="1682" t="b">
        <f t="shared" si="2"/>
        <v>0</v>
      </c>
      <c r="L132" s="610" t="b">
        <f t="shared" si="3"/>
        <v>0</v>
      </c>
    </row>
    <row r="133" spans="2:12" s="791" customFormat="1" x14ac:dyDescent="0.25">
      <c r="B133" s="1683">
        <v>47</v>
      </c>
      <c r="C133" s="2149"/>
      <c r="D133" s="2150"/>
      <c r="E133" s="776"/>
      <c r="F133" s="2153"/>
      <c r="G133" s="776"/>
      <c r="H133" s="776"/>
      <c r="I133" s="719"/>
      <c r="K133" s="1682" t="b">
        <f t="shared" si="2"/>
        <v>0</v>
      </c>
      <c r="L133" s="610" t="b">
        <f t="shared" si="3"/>
        <v>0</v>
      </c>
    </row>
    <row r="134" spans="2:12" s="791" customFormat="1" x14ac:dyDescent="0.25">
      <c r="B134" s="1683">
        <v>48</v>
      </c>
      <c r="C134" s="2149"/>
      <c r="D134" s="2150"/>
      <c r="E134" s="776"/>
      <c r="F134" s="2153"/>
      <c r="G134" s="776"/>
      <c r="H134" s="776"/>
      <c r="I134" s="719"/>
      <c r="K134" s="1682" t="b">
        <f t="shared" si="2"/>
        <v>0</v>
      </c>
      <c r="L134" s="610" t="b">
        <f t="shared" si="3"/>
        <v>0</v>
      </c>
    </row>
    <row r="135" spans="2:12" s="791" customFormat="1" x14ac:dyDescent="0.25">
      <c r="B135" s="1683">
        <v>49</v>
      </c>
      <c r="C135" s="2149"/>
      <c r="D135" s="2150"/>
      <c r="E135" s="776"/>
      <c r="F135" s="2153"/>
      <c r="G135" s="776"/>
      <c r="H135" s="776"/>
      <c r="I135" s="719"/>
      <c r="K135" s="1682" t="b">
        <f t="shared" si="2"/>
        <v>0</v>
      </c>
      <c r="L135" s="610" t="b">
        <f t="shared" si="3"/>
        <v>0</v>
      </c>
    </row>
    <row r="136" spans="2:12" s="791" customFormat="1" x14ac:dyDescent="0.25">
      <c r="B136" s="1683">
        <v>50</v>
      </c>
      <c r="C136" s="2149"/>
      <c r="D136" s="2150"/>
      <c r="E136" s="776"/>
      <c r="F136" s="2154"/>
      <c r="G136" s="776"/>
      <c r="H136" s="776"/>
      <c r="I136" s="719"/>
      <c r="K136" s="1682" t="b">
        <f t="shared" si="2"/>
        <v>0</v>
      </c>
      <c r="L136" s="610" t="b">
        <f t="shared" si="3"/>
        <v>0</v>
      </c>
    </row>
    <row r="137" spans="2:12" x14ac:dyDescent="0.25">
      <c r="K137" s="582"/>
      <c r="L137" s="582"/>
    </row>
    <row r="138" spans="2:12" x14ac:dyDescent="0.25">
      <c r="B138" s="585"/>
      <c r="C138" s="585"/>
      <c r="D138" s="585"/>
      <c r="E138" s="585"/>
      <c r="F138" s="585"/>
      <c r="G138" s="585"/>
      <c r="H138" s="585"/>
      <c r="I138" s="585"/>
      <c r="K138" s="334"/>
      <c r="L138" s="334"/>
    </row>
    <row r="139" spans="2:12" s="1101" customFormat="1" x14ac:dyDescent="0.25">
      <c r="B139" s="585"/>
      <c r="C139" s="1103" t="s">
        <v>3877</v>
      </c>
      <c r="D139" s="585"/>
      <c r="E139" s="585"/>
      <c r="F139" s="585"/>
      <c r="G139" s="585"/>
      <c r="H139" s="585"/>
      <c r="I139" s="585"/>
      <c r="J139" s="1123"/>
    </row>
    <row r="140" spans="2:12" s="1101" customFormat="1" ht="3" customHeight="1" x14ac:dyDescent="0.25">
      <c r="B140" s="585"/>
      <c r="C140" s="1103"/>
      <c r="D140" s="585"/>
      <c r="E140" s="585"/>
      <c r="F140" s="585"/>
      <c r="G140" s="585"/>
      <c r="H140" s="585"/>
      <c r="I140" s="585"/>
      <c r="J140" s="1123"/>
    </row>
    <row r="141" spans="2:12" s="1101" customFormat="1" x14ac:dyDescent="0.25">
      <c r="B141" s="585"/>
      <c r="C141" s="1104" t="s">
        <v>4863</v>
      </c>
      <c r="D141" s="585"/>
      <c r="E141" s="585"/>
      <c r="F141" s="585"/>
      <c r="G141" s="585"/>
      <c r="H141" s="585"/>
      <c r="I141" s="585"/>
      <c r="J141" s="1123"/>
    </row>
    <row r="142" spans="2:12" s="1101" customFormat="1" ht="3" customHeight="1" x14ac:dyDescent="0.25">
      <c r="B142" s="585"/>
      <c r="C142" s="1104"/>
      <c r="D142" s="585"/>
      <c r="E142" s="585"/>
      <c r="F142" s="585"/>
      <c r="G142" s="585"/>
      <c r="H142" s="585"/>
      <c r="I142" s="585"/>
      <c r="J142" s="1123"/>
    </row>
    <row r="143" spans="2:12" s="1101" customFormat="1" x14ac:dyDescent="0.25">
      <c r="B143" s="585"/>
      <c r="C143" s="1104" t="s">
        <v>5810</v>
      </c>
      <c r="D143" s="585"/>
      <c r="E143" s="585"/>
      <c r="F143" s="585"/>
      <c r="G143" s="585"/>
      <c r="H143" s="585"/>
      <c r="I143" s="585"/>
      <c r="J143" s="1123"/>
    </row>
    <row r="144" spans="2:12" s="1101" customFormat="1" ht="3" customHeight="1" x14ac:dyDescent="0.25">
      <c r="B144" s="585"/>
      <c r="C144" s="1104"/>
      <c r="D144" s="585"/>
      <c r="E144" s="585"/>
      <c r="F144" s="585"/>
      <c r="G144" s="585"/>
      <c r="H144" s="585"/>
      <c r="I144" s="585"/>
      <c r="J144" s="1123"/>
    </row>
    <row r="145" spans="2:12" s="1101" customFormat="1" x14ac:dyDescent="0.25">
      <c r="B145" s="585"/>
      <c r="C145" s="2179" t="s">
        <v>5811</v>
      </c>
      <c r="D145" s="2179"/>
      <c r="E145" s="2179"/>
      <c r="F145" s="2179"/>
      <c r="G145" s="2179"/>
      <c r="H145" s="2179"/>
      <c r="I145" s="2179"/>
      <c r="J145" s="1123"/>
    </row>
    <row r="146" spans="2:12" s="1101" customFormat="1" ht="3" customHeight="1" x14ac:dyDescent="0.25">
      <c r="B146" s="585"/>
      <c r="C146" s="2179"/>
      <c r="D146" s="2179"/>
      <c r="E146" s="2179"/>
      <c r="F146" s="2179"/>
      <c r="G146" s="2179"/>
      <c r="H146" s="2179"/>
      <c r="I146" s="2179"/>
      <c r="J146" s="1123"/>
    </row>
    <row r="147" spans="2:12" s="1101" customFormat="1" x14ac:dyDescent="0.25">
      <c r="B147" s="585"/>
      <c r="C147" s="2148" t="s">
        <v>5812</v>
      </c>
      <c r="D147" s="2148"/>
      <c r="E147" s="2148"/>
      <c r="F147" s="2148"/>
      <c r="G147" s="2148"/>
      <c r="H147" s="2148"/>
      <c r="I147" s="2148"/>
      <c r="J147" s="1123"/>
    </row>
    <row r="148" spans="2:12" s="1101" customFormat="1" ht="3" customHeight="1" x14ac:dyDescent="0.25">
      <c r="B148" s="585"/>
      <c r="C148" s="1104"/>
      <c r="D148" s="585"/>
      <c r="E148" s="585"/>
      <c r="F148" s="585"/>
      <c r="G148" s="585"/>
      <c r="H148" s="585"/>
      <c r="I148" s="585"/>
      <c r="J148" s="1123"/>
    </row>
    <row r="149" spans="2:12" s="1101" customFormat="1" x14ac:dyDescent="0.25">
      <c r="B149" s="585"/>
      <c r="C149" s="1104" t="s">
        <v>4864</v>
      </c>
      <c r="D149" s="585"/>
      <c r="E149" s="585"/>
      <c r="F149" s="585"/>
      <c r="G149" s="585"/>
      <c r="H149" s="585"/>
      <c r="I149" s="585"/>
      <c r="J149" s="1123"/>
    </row>
    <row r="150" spans="2:12" s="1101" customFormat="1" ht="3" customHeight="1" x14ac:dyDescent="0.25">
      <c r="B150" s="585"/>
      <c r="C150" s="1104"/>
      <c r="D150" s="585"/>
      <c r="E150" s="585"/>
      <c r="F150" s="585"/>
      <c r="G150" s="585"/>
      <c r="H150" s="585"/>
      <c r="I150" s="585"/>
      <c r="J150" s="1123"/>
    </row>
    <row r="151" spans="2:12" s="1101" customFormat="1" ht="30" customHeight="1" x14ac:dyDescent="0.25">
      <c r="B151" s="585"/>
      <c r="C151" s="2180" t="s">
        <v>4865</v>
      </c>
      <c r="D151" s="2180"/>
      <c r="E151" s="2180"/>
      <c r="F151" s="2180"/>
      <c r="G151" s="2180"/>
      <c r="H151" s="2180"/>
      <c r="I151" s="2180"/>
      <c r="J151" s="1121"/>
    </row>
    <row r="152" spans="2:12" s="1101" customFormat="1" ht="3" customHeight="1" x14ac:dyDescent="0.25">
      <c r="B152" s="585"/>
      <c r="C152" s="1104"/>
      <c r="D152" s="585"/>
      <c r="E152" s="585"/>
      <c r="F152" s="585"/>
      <c r="G152" s="585"/>
      <c r="H152" s="585"/>
      <c r="I152" s="585"/>
      <c r="J152" s="1123"/>
    </row>
    <row r="153" spans="2:12" s="1101" customFormat="1" ht="30" customHeight="1" x14ac:dyDescent="0.25">
      <c r="B153" s="585"/>
      <c r="C153" s="2179" t="s">
        <v>4866</v>
      </c>
      <c r="D153" s="2179"/>
      <c r="E153" s="2179"/>
      <c r="F153" s="2179"/>
      <c r="G153" s="2179"/>
      <c r="H153" s="2179"/>
      <c r="I153" s="2179"/>
      <c r="J153" s="1123"/>
      <c r="K153" s="1105"/>
      <c r="L153" s="1105"/>
    </row>
    <row r="154" spans="2:12" s="1101" customFormat="1" ht="3" customHeight="1" x14ac:dyDescent="0.25">
      <c r="B154" s="585"/>
      <c r="C154" s="1104"/>
      <c r="D154" s="585"/>
      <c r="E154" s="585"/>
      <c r="F154" s="585"/>
      <c r="G154" s="585"/>
      <c r="H154" s="585"/>
      <c r="I154" s="585"/>
      <c r="J154" s="334"/>
    </row>
    <row r="155" spans="2:12" s="1101" customFormat="1" x14ac:dyDescent="0.25">
      <c r="B155" s="585"/>
      <c r="C155" s="1104" t="s">
        <v>5813</v>
      </c>
      <c r="D155" s="585"/>
      <c r="E155" s="585"/>
      <c r="F155" s="585"/>
      <c r="G155" s="585"/>
      <c r="H155" s="585"/>
      <c r="I155" s="585"/>
      <c r="J155" s="334"/>
    </row>
    <row r="156" spans="2:12" x14ac:dyDescent="0.25">
      <c r="B156" s="334"/>
      <c r="C156" s="334"/>
      <c r="D156" s="334"/>
      <c r="E156" s="334"/>
      <c r="F156" s="334"/>
      <c r="G156" s="334"/>
      <c r="H156" s="334"/>
      <c r="I156" s="334"/>
      <c r="K156" s="334"/>
      <c r="L156" s="334"/>
    </row>
    <row r="157" spans="2:12" s="1084" customFormat="1" hidden="1" x14ac:dyDescent="0.25">
      <c r="B157" s="334"/>
      <c r="C157" s="334"/>
      <c r="D157" s="334"/>
      <c r="E157" s="334"/>
      <c r="F157" s="334"/>
      <c r="G157" s="334"/>
      <c r="H157" s="334"/>
      <c r="I157" s="334"/>
      <c r="J157" s="1123"/>
      <c r="K157" s="334"/>
      <c r="L157" s="334"/>
    </row>
    <row r="158" spans="2:12" hidden="1" x14ac:dyDescent="0.25">
      <c r="C158" s="1699" t="s">
        <v>4836</v>
      </c>
      <c r="D158" s="1699"/>
      <c r="E158" s="1699"/>
      <c r="F158" s="1699"/>
      <c r="G158" s="1699"/>
      <c r="H158" s="1699"/>
    </row>
    <row r="159" spans="2:12" hidden="1" x14ac:dyDescent="0.25">
      <c r="C159" s="1699"/>
      <c r="D159" s="1699"/>
      <c r="E159" s="1699"/>
      <c r="F159" s="1699"/>
      <c r="G159" s="1699"/>
      <c r="H159" s="1699"/>
    </row>
    <row r="160" spans="2:12" hidden="1" x14ac:dyDescent="0.25"/>
    <row r="161" spans="2:8" ht="75" hidden="1" x14ac:dyDescent="0.25">
      <c r="C161" s="586" t="s">
        <v>4833</v>
      </c>
      <c r="D161" s="586" t="s">
        <v>4834</v>
      </c>
      <c r="E161" s="586" t="s">
        <v>4835</v>
      </c>
      <c r="F161" s="2182" t="s">
        <v>1</v>
      </c>
      <c r="G161" s="2182"/>
      <c r="H161" s="2182"/>
    </row>
    <row r="162" spans="2:8" hidden="1" x14ac:dyDescent="0.25">
      <c r="B162" s="1335">
        <v>1</v>
      </c>
      <c r="C162" s="1095"/>
      <c r="D162" s="1096"/>
      <c r="E162" s="1096"/>
      <c r="F162" s="2151"/>
      <c r="G162" s="2151"/>
      <c r="H162" s="2151"/>
    </row>
    <row r="163" spans="2:8" hidden="1" x14ac:dyDescent="0.25">
      <c r="B163" s="1335">
        <v>2</v>
      </c>
      <c r="C163" s="1095"/>
      <c r="D163" s="1096"/>
      <c r="E163" s="1096"/>
      <c r="F163" s="2151"/>
      <c r="G163" s="2151"/>
      <c r="H163" s="2151"/>
    </row>
    <row r="164" spans="2:8" hidden="1" x14ac:dyDescent="0.25">
      <c r="B164" s="1335">
        <v>3</v>
      </c>
      <c r="C164" s="1095"/>
      <c r="D164" s="1096"/>
      <c r="E164" s="1096"/>
      <c r="F164" s="2151"/>
      <c r="G164" s="2151"/>
      <c r="H164" s="2151"/>
    </row>
    <row r="165" spans="2:8" hidden="1" x14ac:dyDescent="0.25">
      <c r="B165" s="1335">
        <v>4</v>
      </c>
      <c r="C165" s="1095"/>
      <c r="D165" s="1096"/>
      <c r="E165" s="1096"/>
      <c r="F165" s="2151"/>
      <c r="G165" s="2151"/>
      <c r="H165" s="2151"/>
    </row>
    <row r="166" spans="2:8" hidden="1" x14ac:dyDescent="0.25">
      <c r="B166" s="1335">
        <v>5</v>
      </c>
      <c r="C166" s="1095"/>
      <c r="D166" s="1096"/>
      <c r="E166" s="1096"/>
      <c r="F166" s="2151"/>
      <c r="G166" s="2151"/>
      <c r="H166" s="2151"/>
    </row>
    <row r="167" spans="2:8" hidden="1" x14ac:dyDescent="0.25">
      <c r="B167" s="1335">
        <v>6</v>
      </c>
      <c r="C167" s="1095"/>
      <c r="D167" s="1096"/>
      <c r="E167" s="1096"/>
      <c r="F167" s="2151"/>
      <c r="G167" s="2151"/>
      <c r="H167" s="2151"/>
    </row>
    <row r="168" spans="2:8" hidden="1" x14ac:dyDescent="0.25">
      <c r="B168" s="1335">
        <v>7</v>
      </c>
      <c r="C168" s="1095"/>
      <c r="D168" s="1096"/>
      <c r="E168" s="1096"/>
      <c r="F168" s="2151"/>
      <c r="G168" s="2151"/>
      <c r="H168" s="2151"/>
    </row>
    <row r="169" spans="2:8" hidden="1" x14ac:dyDescent="0.25">
      <c r="B169" s="1335">
        <v>8</v>
      </c>
      <c r="C169" s="1095"/>
      <c r="D169" s="1096"/>
      <c r="E169" s="1096"/>
      <c r="F169" s="2151"/>
      <c r="G169" s="2151"/>
      <c r="H169" s="2151"/>
    </row>
    <row r="170" spans="2:8" hidden="1" x14ac:dyDescent="0.25">
      <c r="B170" s="1335">
        <v>9</v>
      </c>
      <c r="C170" s="1095"/>
      <c r="D170" s="1096"/>
      <c r="E170" s="1096"/>
      <c r="F170" s="2151"/>
      <c r="G170" s="2151"/>
      <c r="H170" s="2151"/>
    </row>
    <row r="171" spans="2:8" hidden="1" x14ac:dyDescent="0.25">
      <c r="B171" s="1335">
        <v>10</v>
      </c>
      <c r="C171" s="1095"/>
      <c r="D171" s="1096"/>
      <c r="E171" s="1096"/>
      <c r="F171" s="2151"/>
      <c r="G171" s="2151"/>
      <c r="H171" s="2151"/>
    </row>
    <row r="172" spans="2:8" hidden="1" x14ac:dyDescent="0.25">
      <c r="B172" s="1335">
        <v>11</v>
      </c>
      <c r="C172" s="1095"/>
      <c r="D172" s="1096"/>
      <c r="E172" s="1096"/>
      <c r="F172" s="2151"/>
      <c r="G172" s="2151"/>
      <c r="H172" s="2151"/>
    </row>
    <row r="173" spans="2:8" hidden="1" x14ac:dyDescent="0.25">
      <c r="B173" s="1335">
        <v>12</v>
      </c>
      <c r="C173" s="1095"/>
      <c r="D173" s="1096"/>
      <c r="E173" s="1096"/>
      <c r="F173" s="2151"/>
      <c r="G173" s="2151"/>
      <c r="H173" s="2151"/>
    </row>
    <row r="174" spans="2:8" hidden="1" x14ac:dyDescent="0.25">
      <c r="B174" s="1335">
        <v>13</v>
      </c>
      <c r="C174" s="1095"/>
      <c r="D174" s="1096"/>
      <c r="E174" s="1096"/>
      <c r="F174" s="2151"/>
      <c r="G174" s="2151"/>
      <c r="H174" s="2151"/>
    </row>
    <row r="175" spans="2:8" hidden="1" x14ac:dyDescent="0.25">
      <c r="B175" s="1335">
        <v>14</v>
      </c>
      <c r="C175" s="1095"/>
      <c r="D175" s="1096"/>
      <c r="E175" s="1096"/>
      <c r="F175" s="2151"/>
      <c r="G175" s="2151"/>
      <c r="H175" s="2151"/>
    </row>
    <row r="176" spans="2:8" hidden="1" x14ac:dyDescent="0.25">
      <c r="B176" s="1335">
        <v>15</v>
      </c>
      <c r="C176" s="1095"/>
      <c r="D176" s="1096"/>
      <c r="E176" s="1096"/>
      <c r="F176" s="2151"/>
      <c r="G176" s="2151"/>
      <c r="H176" s="2151"/>
    </row>
    <row r="177" spans="2:11" hidden="1" x14ac:dyDescent="0.25">
      <c r="B177" s="1335">
        <v>16</v>
      </c>
      <c r="C177" s="1095"/>
      <c r="D177" s="1096"/>
      <c r="E177" s="1096"/>
      <c r="F177" s="2181"/>
      <c r="G177" s="2181"/>
      <c r="H177" s="2181"/>
    </row>
    <row r="178" spans="2:11" hidden="1" x14ac:dyDescent="0.25">
      <c r="C178" s="2349" t="s">
        <v>4870</v>
      </c>
      <c r="D178" s="578" t="str">
        <f>"TOTAL: "&amp;SUM(D162:D177)</f>
        <v>TOTAL: 0</v>
      </c>
      <c r="E178" s="578" t="str">
        <f>"TOTAL: "&amp;SUM(E162:E177)</f>
        <v>TOTAL: 0</v>
      </c>
      <c r="F178" s="2350" t="s">
        <v>4869</v>
      </c>
      <c r="G178" s="2177"/>
      <c r="H178" s="2177"/>
      <c r="K178" s="439">
        <f>IFERROR(SUM(E162:E177)/SUM(D162:D177),0)</f>
        <v>0</v>
      </c>
    </row>
    <row r="179" spans="2:11" hidden="1" x14ac:dyDescent="0.25">
      <c r="C179" s="2178"/>
      <c r="F179" s="2177"/>
      <c r="G179" s="2177"/>
      <c r="H179" s="2177"/>
    </row>
    <row r="180" spans="2:11" hidden="1" x14ac:dyDescent="0.25">
      <c r="C180" s="2178"/>
      <c r="F180" s="2177"/>
      <c r="G180" s="2177"/>
      <c r="H180" s="2177"/>
    </row>
    <row r="181" spans="2:11" hidden="1" x14ac:dyDescent="0.25">
      <c r="C181" s="1107"/>
      <c r="F181" s="2177"/>
      <c r="G181" s="2177"/>
      <c r="H181" s="2177"/>
    </row>
    <row r="182" spans="2:11" hidden="1" x14ac:dyDescent="0.25">
      <c r="F182" s="2177"/>
      <c r="G182" s="2177"/>
      <c r="H182" s="2177"/>
    </row>
    <row r="183" spans="2:11" hidden="1" x14ac:dyDescent="0.25">
      <c r="F183" s="2177"/>
      <c r="G183" s="2177"/>
      <c r="H183" s="2177"/>
    </row>
  </sheetData>
  <sheetProtection algorithmName="SHA-512" hashValue="k+AjUTUN4ECOyMde8W9i4cEYt4YdD0VZL9c3G0Q903Hno4khKH4zfeWtaIi8WDIQUAmeNfT5omURWd0qke+4Ug==" saltValue="836nLk/usa8LAXxUb6sN0Q==" spinCount="100000" sheet="1" objects="1" scenarios="1" selectLockedCells="1"/>
  <mergeCells count="128">
    <mergeCell ref="F178:H183"/>
    <mergeCell ref="C178:C180"/>
    <mergeCell ref="C87:D87"/>
    <mergeCell ref="C94:D94"/>
    <mergeCell ref="C95:D95"/>
    <mergeCell ref="C96:D96"/>
    <mergeCell ref="C89:D89"/>
    <mergeCell ref="C90:D90"/>
    <mergeCell ref="C91:D91"/>
    <mergeCell ref="C92:D92"/>
    <mergeCell ref="C93:D93"/>
    <mergeCell ref="C136:D136"/>
    <mergeCell ref="C88:D88"/>
    <mergeCell ref="C97:D97"/>
    <mergeCell ref="C98:D98"/>
    <mergeCell ref="C145:I146"/>
    <mergeCell ref="C151:I151"/>
    <mergeCell ref="C135:D135"/>
    <mergeCell ref="F174:H174"/>
    <mergeCell ref="F175:H175"/>
    <mergeCell ref="C153:I153"/>
    <mergeCell ref="C158:H159"/>
    <mergeCell ref="F177:H177"/>
    <mergeCell ref="F161:H161"/>
    <mergeCell ref="D1:I5"/>
    <mergeCell ref="G12:I12"/>
    <mergeCell ref="G14:I14"/>
    <mergeCell ref="G8:I8"/>
    <mergeCell ref="C10:D10"/>
    <mergeCell ref="E75:F75"/>
    <mergeCell ref="G10:I10"/>
    <mergeCell ref="C43:D43"/>
    <mergeCell ref="C45:D45"/>
    <mergeCell ref="C47:D47"/>
    <mergeCell ref="E74:F74"/>
    <mergeCell ref="G74:H74"/>
    <mergeCell ref="A55:B55"/>
    <mergeCell ref="C49:D49"/>
    <mergeCell ref="A57:B57"/>
    <mergeCell ref="A59:B59"/>
    <mergeCell ref="A61:B61"/>
    <mergeCell ref="A53:B53"/>
    <mergeCell ref="A54:B54"/>
    <mergeCell ref="C53:I55"/>
    <mergeCell ref="E79:F79"/>
    <mergeCell ref="A63:B63"/>
    <mergeCell ref="D63:D65"/>
    <mergeCell ref="A65:B65"/>
    <mergeCell ref="A67:B67"/>
    <mergeCell ref="C72:I72"/>
    <mergeCell ref="E78:F78"/>
    <mergeCell ref="A39:B39"/>
    <mergeCell ref="A40:B40"/>
    <mergeCell ref="A41:B41"/>
    <mergeCell ref="C8:D8"/>
    <mergeCell ref="A8:B8"/>
    <mergeCell ref="A10:B10"/>
    <mergeCell ref="A12:B12"/>
    <mergeCell ref="A14:B14"/>
    <mergeCell ref="A16:B16"/>
    <mergeCell ref="C12:D12"/>
    <mergeCell ref="C39:I41"/>
    <mergeCell ref="G16:I16"/>
    <mergeCell ref="F18:I18"/>
    <mergeCell ref="E20:E21"/>
    <mergeCell ref="C14:D14"/>
    <mergeCell ref="C16:D16"/>
    <mergeCell ref="C18:D18"/>
    <mergeCell ref="C34:D34"/>
    <mergeCell ref="C86:D86"/>
    <mergeCell ref="G75:H75"/>
    <mergeCell ref="G76:H76"/>
    <mergeCell ref="G77:H77"/>
    <mergeCell ref="G78:H78"/>
    <mergeCell ref="G79:H79"/>
    <mergeCell ref="E76:F76"/>
    <mergeCell ref="E77:F77"/>
    <mergeCell ref="C134:D134"/>
    <mergeCell ref="C129:D129"/>
    <mergeCell ref="C130:D130"/>
    <mergeCell ref="C131:D131"/>
    <mergeCell ref="C132:D132"/>
    <mergeCell ref="C133:D133"/>
    <mergeCell ref="C113:D113"/>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6:H176"/>
    <mergeCell ref="C114:D114"/>
    <mergeCell ref="C115:D115"/>
    <mergeCell ref="C116:D116"/>
    <mergeCell ref="C117:D117"/>
    <mergeCell ref="C118:D118"/>
    <mergeCell ref="F87:F136"/>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47:I147"/>
    <mergeCell ref="C124:D124"/>
    <mergeCell ref="C125:D125"/>
    <mergeCell ref="C126:D126"/>
    <mergeCell ref="C127:D127"/>
    <mergeCell ref="C128:D128"/>
    <mergeCell ref="C119:D119"/>
    <mergeCell ref="C120:D120"/>
    <mergeCell ref="C121:D121"/>
    <mergeCell ref="C122:D122"/>
    <mergeCell ref="C123:D123"/>
  </mergeCells>
  <conditionalFormatting sqref="F24:I29">
    <cfRule type="cellIs" dxfId="57" priority="30" operator="lessThanOrEqual">
      <formula>$E24</formula>
    </cfRule>
  </conditionalFormatting>
  <conditionalFormatting sqref="F32:I32">
    <cfRule type="cellIs" dxfId="56" priority="26" operator="lessThanOrEqual">
      <formula>$E32</formula>
    </cfRule>
  </conditionalFormatting>
  <conditionalFormatting sqref="G8">
    <cfRule type="expression" dxfId="55" priority="20">
      <formula>G8="Gold"</formula>
    </cfRule>
    <cfRule type="expression" dxfId="54" priority="21">
      <formula>G8="Silver"</formula>
    </cfRule>
    <cfRule type="expression" dxfId="53" priority="22">
      <formula>G8="Bronze"</formula>
    </cfRule>
    <cfRule type="expression" dxfId="52" priority="23">
      <formula>G8="Emerald"</formula>
    </cfRule>
  </conditionalFormatting>
  <conditionalFormatting sqref="F18:I18">
    <cfRule type="expression" dxfId="51" priority="18">
      <formula>$K$18</formula>
    </cfRule>
  </conditionalFormatting>
  <conditionalFormatting sqref="C39 C43 C45 C47 C49 C53 C57 C59 C61 C63 C65 C67 C75:H79 C87:D96 F87 H87:I136">
    <cfRule type="notContainsBlanks" dxfId="50" priority="16">
      <formula>LEN(TRIM(C39))&gt;0</formula>
    </cfRule>
  </conditionalFormatting>
  <conditionalFormatting sqref="C75:H79 C87:D96 H87:I136">
    <cfRule type="expression" dxfId="49" priority="4755">
      <formula>$L75</formula>
    </cfRule>
  </conditionalFormatting>
  <conditionalFormatting sqref="C97:D136">
    <cfRule type="notContainsBlanks" dxfId="48" priority="14">
      <formula>LEN(TRIM(C97))&gt;0</formula>
    </cfRule>
  </conditionalFormatting>
  <conditionalFormatting sqref="C97:D136">
    <cfRule type="expression" dxfId="47" priority="15">
      <formula>$L97</formula>
    </cfRule>
  </conditionalFormatting>
  <conditionalFormatting sqref="C162:H177">
    <cfRule type="notContainsBlanks" dxfId="46" priority="13">
      <formula>LEN(TRIM(C162))&gt;0</formula>
    </cfRule>
  </conditionalFormatting>
  <conditionalFormatting sqref="D178:E178">
    <cfRule type="expression" dxfId="45" priority="10">
      <formula>$K$178&gt;=0.2</formula>
    </cfRule>
    <cfRule type="expression" dxfId="44" priority="11">
      <formula>$K$178&gt;=(1/7)</formula>
    </cfRule>
    <cfRule type="expression" dxfId="43" priority="12">
      <formula>$K$178&gt;0</formula>
    </cfRule>
  </conditionalFormatting>
  <conditionalFormatting sqref="C178:C180">
    <cfRule type="expression" dxfId="42" priority="9">
      <formula>AND($K$178&gt;0,$K$178&lt;(1/7))</formula>
    </cfRule>
  </conditionalFormatting>
  <conditionalFormatting sqref="F178:H183">
    <cfRule type="expression" dxfId="41" priority="8">
      <formula>AND($K$178&gt;=(1/7),$K$178&lt;0.2)</formula>
    </cfRule>
  </conditionalFormatting>
  <conditionalFormatting sqref="E87:E136">
    <cfRule type="notContainsBlanks" dxfId="40" priority="3">
      <formula>LEN(TRIM(E87))&gt;0</formula>
    </cfRule>
  </conditionalFormatting>
  <conditionalFormatting sqref="E87:E136">
    <cfRule type="expression" dxfId="39" priority="4">
      <formula>$L87</formula>
    </cfRule>
  </conditionalFormatting>
  <conditionalFormatting sqref="G87:G136">
    <cfRule type="notContainsBlanks" dxfId="38" priority="1">
      <formula>LEN(TRIM(G87))&gt;0</formula>
    </cfRule>
  </conditionalFormatting>
  <conditionalFormatting sqref="G87:G136">
    <cfRule type="expression" dxfId="37" priority="2">
      <formula>$L87</formula>
    </cfRule>
  </conditionalFormatting>
  <dataValidations count="1">
    <dataValidation type="whole" allowBlank="1" showInputMessage="1" showErrorMessage="1" sqref="D162:E177" xr:uid="{BE6E0183-838A-4588-992F-6052484E1BE2}">
      <formula1>0</formula1>
      <formula2>10000</formula2>
    </dataValidation>
  </dataValidations>
  <pageMargins left="0.7" right="0.7" top="0.75" bottom="0.75" header="0.3" footer="0.3"/>
  <pageSetup scale="57" fitToHeight="0" orientation="portrait" r:id="rId1"/>
  <rowBreaks count="2" manualBreakCount="2">
    <brk id="82" max="16383" man="1"/>
    <brk id="156"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9" stopIfTrue="1" id="{DDABF1C9-C1A1-4C38-A492-5D0883D9EF43}">
            <xm:f>Points!$Y10&lt;3</xm:f>
            <x14:dxf>
              <fill>
                <patternFill patternType="lightGray"/>
              </fill>
            </x14:dxf>
          </x14:cfRule>
          <xm:sqref>H26</xm:sqref>
        </x14:conditionalFormatting>
        <x14:conditionalFormatting xmlns:xm="http://schemas.microsoft.com/office/excel/2006/main">
          <x14:cfRule type="expression" priority="28" stopIfTrue="1" id="{D71DE272-16BC-4289-8D4F-146DEF81DDC7}">
            <xm:f>Points!$Y10&lt;4</xm:f>
            <x14:dxf>
              <fill>
                <patternFill patternType="lightGray"/>
              </fill>
            </x14:dxf>
          </x14:cfRule>
          <xm:sqref>I26</xm:sqref>
        </x14:conditionalFormatting>
        <x14:conditionalFormatting xmlns:xm="http://schemas.microsoft.com/office/excel/2006/main">
          <x14:cfRule type="expression" priority="19" id="{128E1DF5-B51E-4D75-80EB-08F9971F1789}">
            <xm:f>OR('Verification Report'!$AI$3,'Verification Report'!$AG$3)</xm:f>
            <x14:dxf>
              <font>
                <b/>
                <i val="0"/>
                <color theme="1"/>
              </font>
              <fill>
                <patternFill>
                  <bgColor rgb="FFFF0000"/>
                </patternFill>
              </fill>
            </x14:dxf>
          </x14:cfRule>
          <xm:sqref>C18:D18</xm:sqref>
        </x14:conditionalFormatting>
        <x14:conditionalFormatting xmlns:xm="http://schemas.microsoft.com/office/excel/2006/main">
          <x14:cfRule type="expression" priority="5" id="{C3157C43-CBFD-4C60-9B10-4941A8BD7A8E}">
            <xm:f>('Overview (Verification)'!$P$20="Yes")</xm:f>
            <x14:dxf>
              <font>
                <b/>
                <i val="0"/>
                <color theme="1"/>
              </font>
              <fill>
                <patternFill>
                  <bgColor rgb="FFFFFF00"/>
                </patternFill>
              </fill>
              <border>
                <left style="thin">
                  <color auto="1"/>
                </left>
                <right style="thin">
                  <color auto="1"/>
                </right>
                <top style="thin">
                  <color auto="1"/>
                </top>
                <bottom style="thin">
                  <color auto="1"/>
                </bottom>
              </border>
            </x14:dxf>
          </x14:cfRule>
          <xm:sqref>C34:D34</xm:sqref>
        </x14:conditionalFormatting>
        <x14:conditionalFormatting xmlns:xm="http://schemas.microsoft.com/office/excel/2006/main">
          <x14:cfRule type="expression" priority="13455" stopIfTrue="1" id="{DDABF1C9-C1A1-4C38-A492-5D0883D9EF43}">
            <xm:f>Points!$Y12&lt;3</xm:f>
            <x14:dxf>
              <fill>
                <patternFill patternType="lightGray"/>
              </fill>
            </x14:dxf>
          </x14:cfRule>
          <xm:sqref>H27</xm:sqref>
        </x14:conditionalFormatting>
        <x14:conditionalFormatting xmlns:xm="http://schemas.microsoft.com/office/excel/2006/main">
          <x14:cfRule type="expression" priority="13457" stopIfTrue="1" id="{D71DE272-16BC-4289-8D4F-146DEF81DDC7}">
            <xm:f>Points!$Y12&lt;4</xm:f>
            <x14:dxf>
              <fill>
                <patternFill patternType="lightGray"/>
              </fill>
            </x14:dxf>
          </x14:cfRule>
          <xm:sqref>I27</xm:sqref>
        </x14:conditionalFormatting>
        <x14:conditionalFormatting xmlns:xm="http://schemas.microsoft.com/office/excel/2006/main">
          <x14:cfRule type="expression" priority="13458" stopIfTrue="1" id="{F8739ABB-6B55-48D6-B2F0-82315F2C898B}">
            <xm:f>MIN(Points!$Y$10:$Y$12)&lt;3</xm:f>
            <x14:dxf>
              <fill>
                <patternFill patternType="lightGray"/>
              </fill>
            </x14:dxf>
          </x14:cfRule>
          <xm:sqref>H32</xm:sqref>
        </x14:conditionalFormatting>
        <x14:conditionalFormatting xmlns:xm="http://schemas.microsoft.com/office/excel/2006/main">
          <x14:cfRule type="expression" priority="13459" id="{8C727C8C-E261-4E43-A18E-EEBDB77E3D7F}">
            <xm:f>MIN(Points!$Y$10:$Y$12)&lt;4</xm:f>
            <x14:dxf>
              <fill>
                <patternFill patternType="lightGray"/>
              </fill>
            </x14:dxf>
          </x14:cfRule>
          <xm:sqref>I32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N183"/>
  <sheetViews>
    <sheetView showGridLines="0" topLeftCell="A39" zoomScaleNormal="100" workbookViewId="0">
      <selection activeCell="C39" sqref="C39:I41"/>
    </sheetView>
  </sheetViews>
  <sheetFormatPr defaultColWidth="9.140625" defaultRowHeight="15" x14ac:dyDescent="0.25"/>
  <cols>
    <col min="1" max="2" width="10.7109375" style="563" customWidth="1"/>
    <col min="3" max="3" width="43.28515625" style="563" customWidth="1"/>
    <col min="4" max="9" width="15.7109375" style="563" customWidth="1"/>
    <col min="10" max="10" width="15.7109375" style="1123" customWidth="1"/>
    <col min="11" max="11" width="15.7109375" customWidth="1"/>
    <col min="12" max="13" width="15.7109375" style="563" hidden="1" customWidth="1"/>
    <col min="14" max="14" width="9.140625" style="563" hidden="1" customWidth="1"/>
    <col min="15" max="15" width="9.140625" style="563" customWidth="1"/>
    <col min="16" max="16384" width="9.140625" style="563"/>
  </cols>
  <sheetData>
    <row r="1" spans="1:14" x14ac:dyDescent="0.25">
      <c r="A1" s="622"/>
      <c r="B1" s="622"/>
      <c r="C1" s="622"/>
      <c r="D1" s="1776" t="s">
        <v>4877</v>
      </c>
      <c r="E1" s="1776"/>
      <c r="F1" s="1776"/>
      <c r="G1" s="1776"/>
      <c r="H1" s="1776"/>
      <c r="I1" s="1776"/>
      <c r="L1" s="334"/>
      <c r="M1" s="334"/>
    </row>
    <row r="2" spans="1:14" x14ac:dyDescent="0.25">
      <c r="A2" s="622"/>
      <c r="B2" s="622"/>
      <c r="C2" s="622"/>
      <c r="D2" s="1776"/>
      <c r="E2" s="1776"/>
      <c r="F2" s="1776"/>
      <c r="G2" s="1776"/>
      <c r="H2" s="1776"/>
      <c r="I2" s="1776"/>
      <c r="L2" s="334"/>
      <c r="M2" s="334"/>
    </row>
    <row r="3" spans="1:14" x14ac:dyDescent="0.25">
      <c r="A3" s="622"/>
      <c r="B3" s="622"/>
      <c r="C3" s="622"/>
      <c r="D3" s="1776"/>
      <c r="E3" s="1776"/>
      <c r="F3" s="1776"/>
      <c r="G3" s="1776"/>
      <c r="H3" s="1776"/>
      <c r="I3" s="1776"/>
      <c r="L3" s="334"/>
      <c r="M3" s="334"/>
    </row>
    <row r="4" spans="1:14" s="622" customFormat="1" x14ac:dyDescent="0.25">
      <c r="D4" s="1776"/>
      <c r="E4" s="1776"/>
      <c r="F4" s="1776"/>
      <c r="G4" s="1776"/>
      <c r="H4" s="1776"/>
      <c r="I4" s="1776"/>
      <c r="J4" s="1123"/>
      <c r="K4"/>
      <c r="L4" s="334"/>
      <c r="M4" s="334"/>
    </row>
    <row r="5" spans="1:14" x14ac:dyDescent="0.25">
      <c r="A5" s="622"/>
      <c r="B5" s="622"/>
      <c r="C5" s="622"/>
      <c r="D5" s="1776"/>
      <c r="E5" s="1776"/>
      <c r="F5" s="1776"/>
      <c r="G5" s="1776"/>
      <c r="H5" s="1776"/>
      <c r="I5" s="1776"/>
      <c r="L5" s="334"/>
      <c r="M5" s="334"/>
    </row>
    <row r="6" spans="1:14" ht="18.75" x14ac:dyDescent="0.3">
      <c r="A6" s="715"/>
      <c r="B6" s="715"/>
      <c r="C6" s="14" t="s">
        <v>5802</v>
      </c>
      <c r="D6" s="715"/>
      <c r="E6" s="715"/>
      <c r="F6" s="715"/>
      <c r="G6" s="715"/>
      <c r="H6" s="715"/>
      <c r="I6" s="715"/>
      <c r="J6" s="1120"/>
      <c r="L6" s="716" t="s">
        <v>247</v>
      </c>
      <c r="M6" s="716" t="s">
        <v>247</v>
      </c>
      <c r="N6" s="1120" t="s">
        <v>247</v>
      </c>
    </row>
    <row r="7" spans="1:14" x14ac:dyDescent="0.25">
      <c r="L7" s="334"/>
      <c r="M7" s="334"/>
    </row>
    <row r="8" spans="1:14" x14ac:dyDescent="0.25">
      <c r="A8" s="2186" t="s">
        <v>3839</v>
      </c>
      <c r="B8" s="2186"/>
      <c r="C8" s="2156" t="str">
        <f>IF(dstBatch,"See Batch Submission",IF('Overview (Verification)'!P8="","None entered on ""Overview (Verification)"" Sheet",'Overview (Verification)'!P8))</f>
        <v>None entered on "Overview (Verification)" Sheet</v>
      </c>
      <c r="D8" s="2156"/>
      <c r="E8" s="710"/>
      <c r="F8" s="708" t="s">
        <v>3989</v>
      </c>
      <c r="G8" s="2187" t="str">
        <f ca="1">Points!AC22</f>
        <v>None</v>
      </c>
      <c r="H8" s="2187"/>
      <c r="I8" s="2187"/>
      <c r="L8" s="334"/>
      <c r="M8" s="334"/>
    </row>
    <row r="9" spans="1:14" ht="3" customHeight="1" x14ac:dyDescent="0.25">
      <c r="A9" s="582"/>
      <c r="B9" s="582"/>
      <c r="C9" s="623"/>
      <c r="D9" s="623"/>
      <c r="E9" s="714"/>
      <c r="F9" s="601"/>
      <c r="G9" s="623"/>
      <c r="H9" s="623"/>
      <c r="I9" s="623"/>
      <c r="L9" s="582"/>
      <c r="M9" s="334"/>
    </row>
    <row r="10" spans="1:14" x14ac:dyDescent="0.25">
      <c r="A10" s="2186" t="s">
        <v>3841</v>
      </c>
      <c r="B10" s="2186"/>
      <c r="C10" s="2156" t="str">
        <f>IF('Overview (Verification)'!P10="","None entered on ""Overview (Verification)"" Sheet",'Overview (Verification)'!P10)</f>
        <v>None entered on "Overview (Verification)" Sheet</v>
      </c>
      <c r="D10" s="2156"/>
      <c r="E10" s="710"/>
      <c r="F10" s="708" t="s">
        <v>3842</v>
      </c>
      <c r="G10" s="1709" t="str">
        <f>'Overview (Verification)'!P18</f>
        <v>Single-Family</v>
      </c>
      <c r="H10" s="1709"/>
      <c r="I10" s="1709"/>
      <c r="L10" s="334"/>
      <c r="M10" s="334"/>
    </row>
    <row r="11" spans="1:14" ht="3" customHeight="1" x14ac:dyDescent="0.25">
      <c r="A11" s="714"/>
      <c r="B11" s="714"/>
      <c r="C11" s="623"/>
      <c r="D11" s="624"/>
      <c r="E11" s="714"/>
      <c r="F11" s="601"/>
      <c r="G11" s="584"/>
      <c r="H11" s="584"/>
      <c r="I11" s="584"/>
      <c r="L11" s="582"/>
      <c r="M11" s="334"/>
    </row>
    <row r="12" spans="1:14" x14ac:dyDescent="0.25">
      <c r="A12" s="2186" t="s">
        <v>3988</v>
      </c>
      <c r="B12" s="2186"/>
      <c r="C12" s="2156" t="str">
        <f>IF(dstBatch,"See Batch Submission",IF('Overview (Verification)'!P13="","None entered on ""Overview (Verification)"" Sheet",'Overview (Verification)'!P11&amp;", "&amp;'Overview (Verification)'!P13&amp;", "&amp;'Overview (Verification)'!P14&amp;"  "&amp;'Overview (Verification)'!P16))</f>
        <v>None entered on "Overview (Verification)" Sheet</v>
      </c>
      <c r="D12" s="2156"/>
      <c r="E12" s="710"/>
      <c r="F12" s="708" t="s">
        <v>156</v>
      </c>
      <c r="G12" s="2174">
        <f>IF('Overview (Verification)'!P19&lt;&gt;"",'Overview (Verification)'!P19,1)</f>
        <v>1</v>
      </c>
      <c r="H12" s="2174"/>
      <c r="I12" s="2174"/>
      <c r="L12" s="334"/>
      <c r="M12" s="334"/>
    </row>
    <row r="13" spans="1:14" ht="3" customHeight="1" x14ac:dyDescent="0.25">
      <c r="A13" s="714"/>
      <c r="B13" s="714"/>
      <c r="C13" s="623"/>
      <c r="D13" s="624"/>
      <c r="E13" s="714"/>
      <c r="F13" s="601"/>
      <c r="G13" s="584"/>
      <c r="H13" s="584"/>
      <c r="I13" s="584"/>
      <c r="L13" s="582"/>
      <c r="M13" s="334"/>
    </row>
    <row r="14" spans="1:14" x14ac:dyDescent="0.25">
      <c r="A14" s="2186" t="s">
        <v>130</v>
      </c>
      <c r="B14" s="2186"/>
      <c r="C14" s="2156" t="str">
        <f>IF('Overview (Verification)'!P12="","None entered on ""Overview (Verification)"" Sheet",'Overview (Verification)'!P12)</f>
        <v>None entered on "Overview (Verification)" Sheet</v>
      </c>
      <c r="D14" s="2156"/>
      <c r="E14" s="710"/>
      <c r="F14" s="708" t="s">
        <v>4088</v>
      </c>
      <c r="G14" s="1709" t="str">
        <f>'Overview (Verification)'!P26</f>
        <v/>
      </c>
      <c r="H14" s="1709"/>
      <c r="I14" s="1709"/>
      <c r="L14" s="334"/>
      <c r="M14" s="334"/>
    </row>
    <row r="15" spans="1:14" ht="3" customHeight="1" x14ac:dyDescent="0.25">
      <c r="A15" s="714"/>
      <c r="B15" s="714"/>
      <c r="C15" s="623"/>
      <c r="D15" s="624"/>
      <c r="E15" s="714"/>
      <c r="F15" s="601"/>
      <c r="G15" s="584"/>
      <c r="H15" s="584"/>
      <c r="I15" s="584"/>
      <c r="L15" s="582"/>
      <c r="M15" s="334"/>
    </row>
    <row r="16" spans="1:14" x14ac:dyDescent="0.25">
      <c r="A16" s="2186" t="s">
        <v>3618</v>
      </c>
      <c r="B16" s="2186"/>
      <c r="C16" s="2162" t="str">
        <f>'Overview (Verification)'!U11&amp;" "&amp;'Overview (Verification)'!V11&amp;" "&amp;'Overview (Verification)'!W11&amp;" "&amp;'Overview (Verification)'!Y11</f>
        <v>!! !! !! !!</v>
      </c>
      <c r="D16" s="2162"/>
      <c r="E16" s="611"/>
      <c r="F16" s="708" t="s">
        <v>3843</v>
      </c>
      <c r="G16" s="1709" t="str">
        <f>'Overview (Verification)'!P30</f>
        <v/>
      </c>
      <c r="H16" s="1709"/>
      <c r="I16" s="1709"/>
      <c r="L16" s="334"/>
      <c r="M16" s="334"/>
    </row>
    <row r="17" spans="1:13" ht="3" customHeight="1" x14ac:dyDescent="0.25">
      <c r="A17" s="155"/>
      <c r="B17" s="155"/>
      <c r="C17" s="612"/>
      <c r="D17" s="612"/>
      <c r="E17" s="611"/>
      <c r="F17" s="708"/>
      <c r="L17" s="334"/>
      <c r="M17" s="334"/>
    </row>
    <row r="18" spans="1:13" ht="14.45" customHeight="1" x14ac:dyDescent="0.25">
      <c r="A18" s="334"/>
      <c r="C18" s="2351" t="s">
        <v>3992</v>
      </c>
      <c r="D18" s="2159"/>
      <c r="E18" s="712"/>
      <c r="F18" s="2351" t="s">
        <v>3993</v>
      </c>
      <c r="G18" s="2159"/>
      <c r="H18" s="2159"/>
      <c r="I18" s="2159"/>
      <c r="L18" s="334" t="b">
        <f ca="1">OR(L43:L136)</f>
        <v>1</v>
      </c>
      <c r="M18" s="334"/>
    </row>
    <row r="19" spans="1:13" x14ac:dyDescent="0.25">
      <c r="A19" s="334"/>
      <c r="B19" s="334"/>
      <c r="C19" s="334"/>
      <c r="I19" s="334"/>
      <c r="L19" s="334"/>
      <c r="M19" s="334"/>
    </row>
    <row r="20" spans="1:13" x14ac:dyDescent="0.25">
      <c r="A20" s="585"/>
      <c r="B20" s="585"/>
      <c r="C20" s="585"/>
      <c r="D20" s="585"/>
      <c r="E20" s="2160" t="str">
        <f>IF('Verification Report'!L5="Final","Final Points claimed by","NOT YET FINAL PHASE")</f>
        <v>NOT YET FINAL PHASE</v>
      </c>
      <c r="F20" s="585"/>
      <c r="G20" s="585"/>
      <c r="H20" s="585"/>
      <c r="I20" s="585"/>
      <c r="L20" s="334"/>
      <c r="M20" s="334"/>
    </row>
    <row r="21" spans="1:13" x14ac:dyDescent="0.25">
      <c r="A21" s="585"/>
      <c r="B21" s="585"/>
      <c r="C21" s="585"/>
      <c r="D21" s="1084"/>
      <c r="E21" s="2161"/>
      <c r="F21" s="585"/>
      <c r="G21" s="585"/>
      <c r="H21" s="585"/>
      <c r="I21" s="585"/>
      <c r="L21" s="334"/>
      <c r="M21" s="334"/>
    </row>
    <row r="22" spans="1:13" ht="15" customHeight="1" x14ac:dyDescent="0.25">
      <c r="A22" s="585"/>
      <c r="B22" s="585"/>
      <c r="C22" s="565" t="s">
        <v>3844</v>
      </c>
      <c r="D22" s="586" t="s">
        <v>3845</v>
      </c>
      <c r="E22" s="586" t="s">
        <v>3540</v>
      </c>
      <c r="F22" s="565" t="s">
        <v>3846</v>
      </c>
      <c r="G22" s="565" t="s">
        <v>3847</v>
      </c>
      <c r="H22" s="565" t="s">
        <v>3848</v>
      </c>
      <c r="I22" s="565" t="s">
        <v>3849</v>
      </c>
      <c r="L22" s="334"/>
      <c r="M22" s="334"/>
    </row>
    <row r="23" spans="1:13" s="94" customFormat="1" ht="3" customHeight="1" x14ac:dyDescent="0.25">
      <c r="A23" s="587"/>
      <c r="B23" s="587"/>
      <c r="C23" s="588"/>
      <c r="D23" s="1088"/>
      <c r="E23" s="1089"/>
      <c r="K23"/>
      <c r="L23" s="582"/>
      <c r="M23" s="582"/>
    </row>
    <row r="24" spans="1:13" ht="15" customHeight="1" x14ac:dyDescent="0.25">
      <c r="A24" s="585"/>
      <c r="B24" s="585"/>
      <c r="C24" s="589" t="s">
        <v>3850</v>
      </c>
      <c r="D24" s="590">
        <f ca="1">'Design Summ.'!I13</f>
        <v>0</v>
      </c>
      <c r="E24" s="591">
        <f ca="1">Ch5PointsFinal</f>
        <v>0</v>
      </c>
      <c r="F24" s="591">
        <v>50</v>
      </c>
      <c r="G24" s="591">
        <v>64</v>
      </c>
      <c r="H24" s="591">
        <v>93</v>
      </c>
      <c r="I24" s="591">
        <v>121</v>
      </c>
      <c r="L24" s="334"/>
      <c r="M24" s="334"/>
    </row>
    <row r="25" spans="1:13" ht="15" customHeight="1" x14ac:dyDescent="0.25">
      <c r="A25" s="585"/>
      <c r="B25" s="585"/>
      <c r="C25" s="592" t="s">
        <v>3851</v>
      </c>
      <c r="D25" s="593">
        <f ca="1">'Design Summ.'!I14</f>
        <v>0</v>
      </c>
      <c r="E25" s="594">
        <f ca="1">Ch6PointsFinal</f>
        <v>0</v>
      </c>
      <c r="F25" s="594">
        <v>43</v>
      </c>
      <c r="G25" s="594">
        <v>59</v>
      </c>
      <c r="H25" s="594">
        <v>89</v>
      </c>
      <c r="I25" s="594">
        <v>119</v>
      </c>
      <c r="L25" s="334"/>
      <c r="M25" s="334"/>
    </row>
    <row r="26" spans="1:13" ht="15" customHeight="1" x14ac:dyDescent="0.25">
      <c r="A26" s="585"/>
      <c r="B26" s="585"/>
      <c r="C26" s="592" t="s">
        <v>3852</v>
      </c>
      <c r="D26" s="593">
        <f ca="1">'Design Summ.'!I15</f>
        <v>0</v>
      </c>
      <c r="E26" s="594">
        <f ca="1">Ch7PointsFinal</f>
        <v>0</v>
      </c>
      <c r="F26" s="594">
        <v>30</v>
      </c>
      <c r="G26" s="594">
        <v>45</v>
      </c>
      <c r="H26" s="594">
        <v>60</v>
      </c>
      <c r="I26" s="594">
        <v>70</v>
      </c>
      <c r="L26" s="334"/>
      <c r="M26" s="334"/>
    </row>
    <row r="27" spans="1:13" ht="15" customHeight="1" x14ac:dyDescent="0.25">
      <c r="A27" s="585"/>
      <c r="B27" s="585"/>
      <c r="C27" s="592" t="s">
        <v>3853</v>
      </c>
      <c r="D27" s="593">
        <f ca="1">'Design Summ.'!I16</f>
        <v>0</v>
      </c>
      <c r="E27" s="594">
        <f ca="1">Ch8PointsFinal</f>
        <v>0</v>
      </c>
      <c r="F27" s="594">
        <v>25</v>
      </c>
      <c r="G27" s="594">
        <v>39</v>
      </c>
      <c r="H27" s="594">
        <v>67</v>
      </c>
      <c r="I27" s="594">
        <v>92</v>
      </c>
      <c r="L27" s="334"/>
      <c r="M27" s="334"/>
    </row>
    <row r="28" spans="1:13" ht="15" customHeight="1" x14ac:dyDescent="0.25">
      <c r="A28" s="585"/>
      <c r="B28" s="585"/>
      <c r="C28" s="592" t="s">
        <v>3854</v>
      </c>
      <c r="D28" s="593">
        <f ca="1">'Design Summ.'!I17</f>
        <v>0</v>
      </c>
      <c r="E28" s="594">
        <f ca="1">Ch9PointsFinal</f>
        <v>0</v>
      </c>
      <c r="F28" s="594">
        <v>25</v>
      </c>
      <c r="G28" s="594">
        <v>42</v>
      </c>
      <c r="H28" s="594">
        <v>69</v>
      </c>
      <c r="I28" s="594">
        <v>97</v>
      </c>
      <c r="L28" s="334"/>
      <c r="M28" s="334"/>
    </row>
    <row r="29" spans="1:13" ht="15" customHeight="1" x14ac:dyDescent="0.25">
      <c r="A29" s="585"/>
      <c r="B29" s="585"/>
      <c r="C29" s="595" t="s">
        <v>3855</v>
      </c>
      <c r="D29" s="596">
        <f>'Design Summ.'!I18</f>
        <v>2</v>
      </c>
      <c r="E29" s="596">
        <f>Ch10PointsFinal</f>
        <v>2</v>
      </c>
      <c r="F29" s="597">
        <v>8</v>
      </c>
      <c r="G29" s="597">
        <v>10</v>
      </c>
      <c r="H29" s="597">
        <v>11</v>
      </c>
      <c r="I29" s="597">
        <v>12</v>
      </c>
      <c r="L29" s="334"/>
      <c r="M29" s="334"/>
    </row>
    <row r="30" spans="1:13" s="94" customFormat="1" ht="3" customHeight="1" x14ac:dyDescent="0.25">
      <c r="A30" s="587"/>
      <c r="B30" s="587"/>
      <c r="C30" s="598"/>
      <c r="D30" s="599"/>
      <c r="E30" s="587"/>
      <c r="F30" s="587"/>
      <c r="G30" s="587"/>
      <c r="H30" s="587"/>
      <c r="I30" s="587"/>
      <c r="K30"/>
      <c r="L30" s="582"/>
      <c r="M30" s="582"/>
    </row>
    <row r="31" spans="1:13" s="94" customFormat="1" ht="3" customHeight="1" x14ac:dyDescent="0.25">
      <c r="A31" s="587"/>
      <c r="B31" s="587"/>
      <c r="C31" s="587"/>
      <c r="D31" s="599"/>
      <c r="E31" s="587"/>
      <c r="F31" s="587"/>
      <c r="G31" s="587"/>
      <c r="H31" s="587"/>
      <c r="I31" s="587"/>
      <c r="K31"/>
      <c r="L31" s="582"/>
      <c r="M31" s="582"/>
    </row>
    <row r="32" spans="1:13" ht="15" customHeight="1" x14ac:dyDescent="0.25">
      <c r="A32" s="585"/>
      <c r="B32" s="585"/>
      <c r="C32" s="1086" t="s">
        <v>3856</v>
      </c>
      <c r="D32" s="28">
        <f ca="1">'Design Summ.'!I21</f>
        <v>2</v>
      </c>
      <c r="E32" s="28">
        <f ca="1">SUM(E24:E29)</f>
        <v>2</v>
      </c>
      <c r="F32" s="28">
        <f>SUM(F24:F29)+Points!C22</f>
        <v>231</v>
      </c>
      <c r="G32" s="28">
        <f>SUM(G24:G29)+Points!D22</f>
        <v>334</v>
      </c>
      <c r="H32" s="28">
        <f>SUM(H24:H29)+Points!E22</f>
        <v>489</v>
      </c>
      <c r="I32" s="28">
        <f>SUM(I24:I29)+Points!F22</f>
        <v>611</v>
      </c>
      <c r="L32" s="334"/>
      <c r="M32" s="334"/>
    </row>
    <row r="33" spans="1:13" s="94" customFormat="1" ht="3" customHeight="1" x14ac:dyDescent="0.25">
      <c r="A33" s="587"/>
      <c r="B33" s="587"/>
      <c r="C33" s="598"/>
      <c r="D33" s="599"/>
      <c r="E33" s="587"/>
      <c r="F33" s="587"/>
      <c r="G33" s="587"/>
      <c r="H33" s="587"/>
      <c r="I33" s="587"/>
      <c r="K33"/>
      <c r="L33" s="582"/>
      <c r="M33" s="582"/>
    </row>
    <row r="34" spans="1:13" s="1132" customFormat="1" ht="15" customHeight="1" x14ac:dyDescent="0.25">
      <c r="A34" s="585"/>
      <c r="B34" s="585"/>
      <c r="C34" s="2163" t="s">
        <v>5801</v>
      </c>
      <c r="D34" s="2163"/>
      <c r="E34" s="585"/>
      <c r="F34" s="585"/>
      <c r="G34" s="585"/>
      <c r="H34" s="585"/>
      <c r="I34" s="585"/>
      <c r="K34"/>
      <c r="L34" s="334"/>
      <c r="M34" s="334"/>
    </row>
    <row r="35" spans="1:13" s="94" customFormat="1" ht="3" customHeight="1" x14ac:dyDescent="0.25">
      <c r="A35" s="587"/>
      <c r="B35" s="587"/>
      <c r="C35" s="598"/>
      <c r="D35" s="599"/>
      <c r="E35" s="587"/>
      <c r="F35" s="587"/>
      <c r="G35" s="587"/>
      <c r="H35" s="587"/>
      <c r="I35" s="587"/>
      <c r="K35"/>
      <c r="L35" s="582"/>
      <c r="M35" s="582"/>
    </row>
    <row r="36" spans="1:13" ht="18" customHeight="1" x14ac:dyDescent="0.25">
      <c r="A36"/>
      <c r="B36"/>
      <c r="C36"/>
      <c r="D36"/>
      <c r="E36"/>
      <c r="F36"/>
      <c r="G36"/>
      <c r="H36"/>
      <c r="I36"/>
      <c r="L36" s="334"/>
      <c r="M36" s="334"/>
    </row>
    <row r="37" spans="1:13" s="707" customFormat="1" x14ac:dyDescent="0.25">
      <c r="A37"/>
      <c r="B37"/>
      <c r="C37"/>
      <c r="D37"/>
      <c r="E37"/>
      <c r="F37"/>
      <c r="G37"/>
      <c r="H37"/>
      <c r="I37"/>
      <c r="J37" s="1123"/>
      <c r="K37"/>
      <c r="L37" s="334"/>
      <c r="M37" s="334"/>
    </row>
    <row r="38" spans="1:13" s="707" customFormat="1" ht="3" customHeight="1" x14ac:dyDescent="0.25">
      <c r="A38" s="710"/>
      <c r="B38" s="710"/>
      <c r="C38" s="605"/>
      <c r="D38" s="605"/>
      <c r="J38" s="1123"/>
      <c r="K38"/>
      <c r="L38" s="334"/>
      <c r="M38" s="334"/>
    </row>
    <row r="39" spans="1:13" s="707" customFormat="1" x14ac:dyDescent="0.25">
      <c r="A39" s="1712" t="s">
        <v>3990</v>
      </c>
      <c r="B39" s="1712"/>
      <c r="C39" s="2189"/>
      <c r="D39" s="2190"/>
      <c r="E39" s="2190"/>
      <c r="F39" s="2190"/>
      <c r="G39" s="2190"/>
      <c r="H39" s="2190"/>
      <c r="I39" s="2191"/>
      <c r="J39" s="1123"/>
      <c r="K39"/>
      <c r="L39" s="334"/>
      <c r="M39" s="334"/>
    </row>
    <row r="40" spans="1:13" s="707" customFormat="1" x14ac:dyDescent="0.25">
      <c r="A40" s="1712"/>
      <c r="B40" s="1712"/>
      <c r="C40" s="2192"/>
      <c r="D40" s="2193"/>
      <c r="E40" s="2193"/>
      <c r="F40" s="2193"/>
      <c r="G40" s="2193"/>
      <c r="H40" s="2193"/>
      <c r="I40" s="2194"/>
      <c r="J40" s="1123"/>
      <c r="K40"/>
      <c r="L40" s="334"/>
      <c r="M40" s="334"/>
    </row>
    <row r="41" spans="1:13" s="707" customFormat="1" x14ac:dyDescent="0.25">
      <c r="A41" s="1712"/>
      <c r="B41" s="1712"/>
      <c r="C41" s="2195"/>
      <c r="D41" s="2196"/>
      <c r="E41" s="2196"/>
      <c r="F41" s="2196"/>
      <c r="G41" s="2196"/>
      <c r="H41" s="2196"/>
      <c r="I41" s="2197"/>
      <c r="J41" s="1123"/>
      <c r="K41"/>
      <c r="L41" s="334"/>
      <c r="M41" s="334"/>
    </row>
    <row r="42" spans="1:13" s="707" customFormat="1" ht="3" customHeight="1" x14ac:dyDescent="0.25">
      <c r="A42" s="710"/>
      <c r="B42" s="710"/>
      <c r="J42" s="1123"/>
      <c r="K42"/>
      <c r="L42" s="334"/>
      <c r="M42" s="334"/>
    </row>
    <row r="43" spans="1:13" ht="15" customHeight="1" x14ac:dyDescent="0.25">
      <c r="A43" s="335"/>
      <c r="B43" s="600" t="s">
        <v>3857</v>
      </c>
      <c r="C43" s="2188"/>
      <c r="D43" s="2188"/>
      <c r="E43"/>
      <c r="F43"/>
      <c r="G43"/>
      <c r="H43"/>
      <c r="I43"/>
      <c r="L43" s="334" t="b">
        <f>ISBLANK(C43)</f>
        <v>1</v>
      </c>
      <c r="M43" s="334"/>
    </row>
    <row r="44" spans="1:13" ht="3" customHeight="1" x14ac:dyDescent="0.25">
      <c r="A44" s="335"/>
      <c r="B44" s="600"/>
      <c r="E44"/>
      <c r="F44"/>
      <c r="G44"/>
      <c r="H44"/>
      <c r="I44"/>
      <c r="L44" s="334"/>
      <c r="M44" s="334"/>
    </row>
    <row r="45" spans="1:13" ht="15" customHeight="1" x14ac:dyDescent="0.25">
      <c r="A45" s="335"/>
      <c r="B45" s="600" t="s">
        <v>3858</v>
      </c>
      <c r="C45" s="2188"/>
      <c r="D45" s="2188"/>
      <c r="E45"/>
      <c r="F45"/>
      <c r="G45" s="1688"/>
      <c r="H45"/>
      <c r="I45"/>
      <c r="L45" s="334" t="b">
        <f>ISBLANK(C45)</f>
        <v>1</v>
      </c>
      <c r="M45" s="334"/>
    </row>
    <row r="46" spans="1:13" ht="3" customHeight="1" x14ac:dyDescent="0.25">
      <c r="A46" s="335"/>
      <c r="B46" s="600"/>
      <c r="E46"/>
      <c r="F46"/>
      <c r="G46"/>
      <c r="H46"/>
      <c r="I46"/>
      <c r="L46" s="334"/>
      <c r="M46" s="334"/>
    </row>
    <row r="47" spans="1:13" x14ac:dyDescent="0.25">
      <c r="A47" s="335"/>
      <c r="B47" s="600" t="s">
        <v>3859</v>
      </c>
      <c r="C47" s="2188"/>
      <c r="D47" s="2188"/>
      <c r="E47"/>
      <c r="F47"/>
      <c r="G47"/>
      <c r="H47"/>
      <c r="I47"/>
      <c r="L47" s="334" t="b">
        <f>ISBLANK(C47)</f>
        <v>1</v>
      </c>
      <c r="M47" s="334"/>
    </row>
    <row r="48" spans="1:13" ht="3" customHeight="1" x14ac:dyDescent="0.25">
      <c r="A48" s="335"/>
      <c r="B48" s="600"/>
      <c r="E48"/>
      <c r="F48"/>
      <c r="G48"/>
      <c r="H48"/>
      <c r="I48"/>
      <c r="L48" s="334"/>
      <c r="M48" s="334"/>
    </row>
    <row r="49" spans="1:13" x14ac:dyDescent="0.25">
      <c r="A49" s="335"/>
      <c r="B49" s="601" t="s">
        <v>3860</v>
      </c>
      <c r="C49" s="2188"/>
      <c r="D49" s="2188"/>
      <c r="E49"/>
      <c r="F49"/>
      <c r="G49" s="1688"/>
      <c r="H49"/>
      <c r="I49"/>
      <c r="L49" s="334" t="b">
        <f>ISBLANK(C49)</f>
        <v>1</v>
      </c>
      <c r="M49" s="334"/>
    </row>
    <row r="50" spans="1:13" x14ac:dyDescent="0.25">
      <c r="A50" s="335"/>
      <c r="E50"/>
      <c r="F50"/>
      <c r="G50"/>
      <c r="H50"/>
      <c r="I50"/>
      <c r="L50"/>
      <c r="M50" s="334"/>
    </row>
    <row r="51" spans="1:13" s="1682" customFormat="1" x14ac:dyDescent="0.25">
      <c r="A51" s="1681"/>
      <c r="K51"/>
      <c r="M51" s="334"/>
    </row>
    <row r="52" spans="1:13" x14ac:dyDescent="0.25">
      <c r="D52" s="613"/>
      <c r="E52" s="614"/>
      <c r="L52"/>
      <c r="M52" s="334"/>
    </row>
    <row r="53" spans="1:13" x14ac:dyDescent="0.25">
      <c r="A53" s="1712" t="s">
        <v>3862</v>
      </c>
      <c r="B53" s="1712"/>
      <c r="C53" s="2189"/>
      <c r="D53" s="2190"/>
      <c r="E53" s="2190"/>
      <c r="F53" s="2190"/>
      <c r="G53" s="2190"/>
      <c r="H53" s="2190"/>
      <c r="I53" s="2191"/>
      <c r="L53" s="334"/>
      <c r="M53" s="334"/>
    </row>
    <row r="54" spans="1:13" s="707" customFormat="1" x14ac:dyDescent="0.25">
      <c r="A54" s="1712"/>
      <c r="B54" s="1712"/>
      <c r="C54" s="2192"/>
      <c r="D54" s="2193"/>
      <c r="E54" s="2193"/>
      <c r="F54" s="2193"/>
      <c r="G54" s="2193"/>
      <c r="H54" s="2193"/>
      <c r="I54" s="2194"/>
      <c r="J54" s="1123"/>
      <c r="K54"/>
      <c r="L54" s="334"/>
      <c r="M54" s="334"/>
    </row>
    <row r="55" spans="1:13" s="707" customFormat="1" x14ac:dyDescent="0.25">
      <c r="A55" s="1712"/>
      <c r="B55" s="1712"/>
      <c r="C55" s="2195"/>
      <c r="D55" s="2196"/>
      <c r="E55" s="2196"/>
      <c r="F55" s="2196"/>
      <c r="G55" s="2196"/>
      <c r="H55" s="2196"/>
      <c r="I55" s="2197"/>
      <c r="J55" s="1123"/>
      <c r="K55"/>
      <c r="L55" s="334"/>
      <c r="M55" s="334"/>
    </row>
    <row r="56" spans="1:13" ht="3" customHeight="1" x14ac:dyDescent="0.25">
      <c r="A56" s="335"/>
      <c r="B56" s="335"/>
      <c r="L56" s="334"/>
      <c r="M56" s="334"/>
    </row>
    <row r="57" spans="1:13" x14ac:dyDescent="0.25">
      <c r="A57" s="1712" t="s">
        <v>3857</v>
      </c>
      <c r="B57" s="1712"/>
      <c r="C57" s="717"/>
      <c r="L57" s="334" t="b">
        <f>ISBLANK(C57)</f>
        <v>1</v>
      </c>
      <c r="M57" s="334"/>
    </row>
    <row r="58" spans="1:13" ht="3" customHeight="1" x14ac:dyDescent="0.25">
      <c r="A58" s="600"/>
      <c r="B58" s="600"/>
      <c r="L58" s="334"/>
      <c r="M58" s="334"/>
    </row>
    <row r="59" spans="1:13" x14ac:dyDescent="0.25">
      <c r="A59" s="1712" t="s">
        <v>3858</v>
      </c>
      <c r="B59" s="1712"/>
      <c r="C59" s="717"/>
      <c r="L59" s="334" t="b">
        <f>ISBLANK(C59)</f>
        <v>1</v>
      </c>
      <c r="M59" s="334"/>
    </row>
    <row r="60" spans="1:13" ht="3" customHeight="1" x14ac:dyDescent="0.25">
      <c r="A60" s="600"/>
      <c r="B60" s="600"/>
      <c r="L60" s="334"/>
      <c r="M60" s="334"/>
    </row>
    <row r="61" spans="1:13" x14ac:dyDescent="0.25">
      <c r="A61" s="1712" t="s">
        <v>3859</v>
      </c>
      <c r="B61" s="1712"/>
      <c r="C61" s="717"/>
      <c r="L61" s="334" t="b">
        <f>ISBLANK(C61)</f>
        <v>1</v>
      </c>
      <c r="M61" s="334"/>
    </row>
    <row r="62" spans="1:13" ht="3" customHeight="1" x14ac:dyDescent="0.25">
      <c r="A62" s="600"/>
      <c r="B62" s="600"/>
      <c r="L62" s="334"/>
      <c r="M62" s="334"/>
    </row>
    <row r="63" spans="1:13" x14ac:dyDescent="0.25">
      <c r="A63" s="1712" t="s">
        <v>3864</v>
      </c>
      <c r="B63" s="1712"/>
      <c r="C63" s="717"/>
      <c r="D63" s="2139" t="s">
        <v>4099</v>
      </c>
      <c r="L63" s="334" t="b">
        <f>ISBLANK(C63)</f>
        <v>1</v>
      </c>
      <c r="M63" s="334"/>
    </row>
    <row r="64" spans="1:13" ht="3" customHeight="1" x14ac:dyDescent="0.25">
      <c r="A64" s="600"/>
      <c r="B64" s="600"/>
      <c r="D64" s="2139"/>
      <c r="L64" s="334"/>
      <c r="M64" s="334"/>
    </row>
    <row r="65" spans="1:13" x14ac:dyDescent="0.25">
      <c r="A65" s="1712" t="s">
        <v>3865</v>
      </c>
      <c r="B65" s="1712"/>
      <c r="C65" s="717"/>
      <c r="D65" s="2139"/>
      <c r="L65" s="334" t="b">
        <f>ISBLANK(C65)</f>
        <v>1</v>
      </c>
      <c r="M65" s="334"/>
    </row>
    <row r="66" spans="1:13" ht="3" customHeight="1" x14ac:dyDescent="0.25">
      <c r="A66" s="600"/>
      <c r="B66" s="600"/>
      <c r="L66" s="334"/>
      <c r="M66" s="334"/>
    </row>
    <row r="67" spans="1:13" x14ac:dyDescent="0.25">
      <c r="A67" s="1712" t="s">
        <v>3860</v>
      </c>
      <c r="B67" s="1712"/>
      <c r="C67" s="717"/>
      <c r="D67" s="606" t="s">
        <v>3866</v>
      </c>
      <c r="E67" s="1706"/>
      <c r="F67" s="1706"/>
      <c r="G67" s="1706"/>
      <c r="H67" s="1706"/>
      <c r="I67" s="1706"/>
      <c r="L67" s="334" t="b">
        <f>ISBLANK(C67)</f>
        <v>1</v>
      </c>
      <c r="M67" s="334"/>
    </row>
    <row r="68" spans="1:13" x14ac:dyDescent="0.25">
      <c r="D68" s="607"/>
      <c r="L68" s="334"/>
      <c r="M68" s="334"/>
    </row>
    <row r="69" spans="1:13" ht="15" customHeight="1" x14ac:dyDescent="0.25">
      <c r="A69"/>
      <c r="B69"/>
      <c r="C69"/>
      <c r="D69"/>
      <c r="E69"/>
      <c r="F69"/>
      <c r="G69"/>
      <c r="H69"/>
      <c r="I69"/>
      <c r="L69" s="334"/>
      <c r="M69" s="334"/>
    </row>
    <row r="70" spans="1:13" x14ac:dyDescent="0.25">
      <c r="L70" s="334"/>
      <c r="M70" s="334"/>
    </row>
    <row r="71" spans="1:13" x14ac:dyDescent="0.25">
      <c r="C71" s="335" t="s">
        <v>3867</v>
      </c>
      <c r="L71" s="334"/>
      <c r="M71" s="334"/>
    </row>
    <row r="72" spans="1:13" x14ac:dyDescent="0.25">
      <c r="C72" s="2139" t="s">
        <v>3868</v>
      </c>
      <c r="D72" s="2139"/>
      <c r="E72" s="2139"/>
      <c r="F72" s="2139"/>
      <c r="G72" s="2139"/>
      <c r="H72" s="2139"/>
      <c r="I72" s="2139"/>
      <c r="L72" s="334"/>
      <c r="M72" s="334"/>
    </row>
    <row r="73" spans="1:13" x14ac:dyDescent="0.25">
      <c r="L73" s="334"/>
      <c r="M73" s="334"/>
    </row>
    <row r="74" spans="1:13" x14ac:dyDescent="0.25">
      <c r="C74" s="608" t="s">
        <v>3869</v>
      </c>
      <c r="D74" s="608" t="s">
        <v>3870</v>
      </c>
      <c r="E74" s="2176" t="s">
        <v>3871</v>
      </c>
      <c r="F74" s="2176"/>
      <c r="G74" s="1706" t="s">
        <v>4100</v>
      </c>
      <c r="H74" s="1706"/>
      <c r="L74" s="334"/>
      <c r="M74" s="334"/>
    </row>
    <row r="75" spans="1:13" x14ac:dyDescent="0.25">
      <c r="B75" s="562">
        <v>1</v>
      </c>
      <c r="C75" s="718"/>
      <c r="D75" s="718"/>
      <c r="E75" s="2155"/>
      <c r="F75" s="2155"/>
      <c r="G75" s="2155"/>
      <c r="H75" s="2155"/>
      <c r="L75" s="712" t="b">
        <f>AND(OR(LEN(C75)=0,LEN(D75)=0,LEN(E75)=0,LEN(G75)=0),M75)</f>
        <v>0</v>
      </c>
      <c r="M75" s="610" t="b">
        <f>OR(NOT(LEN(C75)=0),NOT(LEN(D75)=0),NOT(LEN(E75)=0),NOT(LEN(G75)=0))</f>
        <v>0</v>
      </c>
    </row>
    <row r="76" spans="1:13" x14ac:dyDescent="0.25">
      <c r="B76" s="562">
        <v>2</v>
      </c>
      <c r="C76" s="718"/>
      <c r="D76" s="718"/>
      <c r="E76" s="2155"/>
      <c r="F76" s="2155"/>
      <c r="G76" s="2155"/>
      <c r="H76" s="2155"/>
      <c r="L76" s="786" t="b">
        <f>AND(OR(LEN(C76)=0,LEN(D76)=0,LEN(E76)=0,LEN(G76)=0),M76)</f>
        <v>0</v>
      </c>
      <c r="M76" s="610" t="b">
        <f>OR(NOT(LEN(C76)=0),NOT(LEN(D76)=0),NOT(LEN(E76)=0),NOT(LEN(G76)=0))</f>
        <v>0</v>
      </c>
    </row>
    <row r="77" spans="1:13" x14ac:dyDescent="0.25">
      <c r="B77" s="562">
        <v>3</v>
      </c>
      <c r="C77" s="718"/>
      <c r="D77" s="718"/>
      <c r="E77" s="2155"/>
      <c r="F77" s="2155"/>
      <c r="G77" s="2155"/>
      <c r="H77" s="2155"/>
      <c r="L77" s="786" t="b">
        <f>AND(OR(LEN(C77)=0,LEN(D77)=0,LEN(E77)=0,LEN(G77)=0),M77)</f>
        <v>0</v>
      </c>
      <c r="M77" s="610" t="b">
        <f>OR(NOT(LEN(C77)=0),NOT(LEN(D77)=0),NOT(LEN(E77)=0),NOT(LEN(G77)=0))</f>
        <v>0</v>
      </c>
    </row>
    <row r="78" spans="1:13" x14ac:dyDescent="0.25">
      <c r="B78" s="562">
        <v>4</v>
      </c>
      <c r="C78" s="718"/>
      <c r="D78" s="718"/>
      <c r="E78" s="2155"/>
      <c r="F78" s="2155"/>
      <c r="G78" s="2155"/>
      <c r="H78" s="2155"/>
      <c r="L78" s="786" t="b">
        <f>AND(OR(LEN(C78)=0,LEN(D78)=0,LEN(E78)=0,LEN(G78)=0),M78)</f>
        <v>0</v>
      </c>
      <c r="M78" s="610" t="b">
        <f>OR(NOT(LEN(C78)=0),NOT(LEN(D78)=0),NOT(LEN(E78)=0),NOT(LEN(G78)=0))</f>
        <v>0</v>
      </c>
    </row>
    <row r="79" spans="1:13" x14ac:dyDescent="0.25">
      <c r="B79" s="562">
        <v>5</v>
      </c>
      <c r="C79" s="718"/>
      <c r="D79" s="718"/>
      <c r="E79" s="2155"/>
      <c r="F79" s="2155"/>
      <c r="G79" s="2155"/>
      <c r="H79" s="2155"/>
      <c r="L79" s="786" t="b">
        <f>AND(OR(LEN(C79)=0,LEN(D79)=0,LEN(E79)=0,LEN(G79)=0),M79)</f>
        <v>0</v>
      </c>
      <c r="M79" s="610" t="b">
        <f>OR(NOT(LEN(C79)=0),NOT(LEN(D79)=0),NOT(LEN(E79)=0),NOT(LEN(G79)=0))</f>
        <v>0</v>
      </c>
    </row>
    <row r="80" spans="1:13" x14ac:dyDescent="0.25">
      <c r="L80" s="712"/>
      <c r="M80" s="334"/>
    </row>
    <row r="81" spans="2:14" x14ac:dyDescent="0.25">
      <c r="L81" s="712"/>
      <c r="M81" s="334"/>
    </row>
    <row r="82" spans="2:14" x14ac:dyDescent="0.25">
      <c r="L82" s="712"/>
      <c r="M82" s="334"/>
    </row>
    <row r="83" spans="2:14" x14ac:dyDescent="0.25">
      <c r="C83" s="335" t="s">
        <v>3872</v>
      </c>
      <c r="D83"/>
      <c r="E83"/>
      <c r="I83" s="1123"/>
      <c r="J83"/>
      <c r="K83" s="712"/>
      <c r="L83" s="334"/>
    </row>
    <row r="84" spans="2:14" x14ac:dyDescent="0.25">
      <c r="C84" s="607"/>
      <c r="L84" s="712"/>
      <c r="M84" s="334"/>
      <c r="N84" s="1122" t="s">
        <v>4874</v>
      </c>
    </row>
    <row r="85" spans="2:14" x14ac:dyDescent="0.25">
      <c r="L85" s="712"/>
      <c r="M85" s="334"/>
      <c r="N85" s="1123">
        <f ca="1">'Verification Report'!$S$1643</f>
        <v>0</v>
      </c>
    </row>
    <row r="86" spans="2:14" ht="27" x14ac:dyDescent="0.25">
      <c r="C86" s="1984" t="s">
        <v>3873</v>
      </c>
      <c r="D86" s="1984"/>
      <c r="E86" s="1686" t="s">
        <v>5808</v>
      </c>
      <c r="F86" s="1686" t="s">
        <v>2</v>
      </c>
      <c r="G86" s="1686" t="s">
        <v>5809</v>
      </c>
      <c r="H86" s="1685" t="s">
        <v>3875</v>
      </c>
      <c r="I86" s="1684" t="s">
        <v>4873</v>
      </c>
      <c r="J86" s="1684" t="s">
        <v>3876</v>
      </c>
      <c r="K86" s="563"/>
      <c r="L86" s="1682"/>
      <c r="M86" s="609"/>
    </row>
    <row r="87" spans="2:14" x14ac:dyDescent="0.25">
      <c r="B87" s="709">
        <v>1</v>
      </c>
      <c r="C87" s="2155"/>
      <c r="D87" s="2155"/>
      <c r="E87" s="776"/>
      <c r="F87" s="2183" t="str">
        <f>IF('Rough Summary'!F87="","",'Rough Summary'!F87)</f>
        <v/>
      </c>
      <c r="G87" s="776"/>
      <c r="H87" s="776"/>
      <c r="I87" s="776"/>
      <c r="J87" s="719"/>
      <c r="K87" s="563"/>
      <c r="L87" s="1682" t="b">
        <f t="shared" ref="L87:L118" ca="1" si="0">AND(OR(LEN(C87)=0,LEN(E87)=0,LEN(G87)=0,LEN(H87)=0,AND($N$85=1,LEN(I87)=0),LEN(J87)=0),M87)</f>
        <v>0</v>
      </c>
      <c r="M87" s="610" t="b">
        <f>OR(NOT(LEN(C87)=0),NOT(LEN(E87)=0),NOT(LEN(G87)=0),NOT(LEN(H87)=0),NOT(LEN(I87)=0),NOT(LEN(J87)=0))</f>
        <v>0</v>
      </c>
    </row>
    <row r="88" spans="2:14" x14ac:dyDescent="0.25">
      <c r="B88" s="709">
        <v>2</v>
      </c>
      <c r="C88" s="2155"/>
      <c r="D88" s="2155"/>
      <c r="E88" s="776"/>
      <c r="F88" s="2184"/>
      <c r="G88" s="776"/>
      <c r="H88" s="776"/>
      <c r="I88" s="776"/>
      <c r="J88" s="719"/>
      <c r="K88" s="563"/>
      <c r="L88" s="1682" t="b">
        <f t="shared" ca="1" si="0"/>
        <v>0</v>
      </c>
      <c r="M88" s="610" t="b">
        <f>OR(NOT(LEN(C88)=0),NOT(LEN(E88)=0),NOT(LEN(G88)=0),NOT(LEN(H88)=0),NOT(LEN(I88)=0),NOT(LEN(J88)=0))</f>
        <v>0</v>
      </c>
    </row>
    <row r="89" spans="2:14" x14ac:dyDescent="0.25">
      <c r="B89" s="1683">
        <v>3</v>
      </c>
      <c r="C89" s="2155"/>
      <c r="D89" s="2155"/>
      <c r="E89" s="776"/>
      <c r="F89" s="2184"/>
      <c r="G89" s="776"/>
      <c r="H89" s="776"/>
      <c r="I89" s="776"/>
      <c r="J89" s="719"/>
      <c r="K89" s="563"/>
      <c r="L89" s="1682" t="b">
        <f t="shared" ca="1" si="0"/>
        <v>0</v>
      </c>
      <c r="M89" s="610" t="b">
        <f t="shared" ref="M89:M136" si="1">OR(NOT(LEN(D89)=0),NOT(LEN(F89)=0),NOT(LEN(H89)=0),NOT(LEN(I89)=0),NOT(LEN(J89)=0))</f>
        <v>0</v>
      </c>
    </row>
    <row r="90" spans="2:14" x14ac:dyDescent="0.25">
      <c r="B90" s="1683">
        <v>4</v>
      </c>
      <c r="C90" s="2155"/>
      <c r="D90" s="2155"/>
      <c r="E90" s="776"/>
      <c r="F90" s="2184"/>
      <c r="G90" s="776"/>
      <c r="H90" s="776"/>
      <c r="I90" s="776"/>
      <c r="J90" s="719"/>
      <c r="K90" s="563"/>
      <c r="L90" s="1682" t="b">
        <f t="shared" ca="1" si="0"/>
        <v>0</v>
      </c>
      <c r="M90" s="610" t="b">
        <f t="shared" si="1"/>
        <v>0</v>
      </c>
    </row>
    <row r="91" spans="2:14" x14ac:dyDescent="0.25">
      <c r="B91" s="1683">
        <v>5</v>
      </c>
      <c r="C91" s="2155"/>
      <c r="D91" s="2155"/>
      <c r="E91" s="776"/>
      <c r="F91" s="2184"/>
      <c r="G91" s="776"/>
      <c r="H91" s="776"/>
      <c r="I91" s="776"/>
      <c r="J91" s="719"/>
      <c r="K91" s="563"/>
      <c r="L91" s="1682" t="b">
        <f t="shared" ca="1" si="0"/>
        <v>0</v>
      </c>
      <c r="M91" s="610" t="b">
        <f t="shared" si="1"/>
        <v>0</v>
      </c>
    </row>
    <row r="92" spans="2:14" x14ac:dyDescent="0.25">
      <c r="B92" s="1683">
        <v>6</v>
      </c>
      <c r="C92" s="2155"/>
      <c r="D92" s="2155"/>
      <c r="E92" s="776"/>
      <c r="F92" s="2184"/>
      <c r="G92" s="776"/>
      <c r="H92" s="776"/>
      <c r="I92" s="776"/>
      <c r="J92" s="719"/>
      <c r="K92" s="563"/>
      <c r="L92" s="1682" t="b">
        <f t="shared" ca="1" si="0"/>
        <v>0</v>
      </c>
      <c r="M92" s="610" t="b">
        <f t="shared" si="1"/>
        <v>0</v>
      </c>
    </row>
    <row r="93" spans="2:14" x14ac:dyDescent="0.25">
      <c r="B93" s="1683">
        <v>7</v>
      </c>
      <c r="C93" s="2155"/>
      <c r="D93" s="2155"/>
      <c r="E93" s="776"/>
      <c r="F93" s="2184"/>
      <c r="G93" s="776"/>
      <c r="H93" s="776"/>
      <c r="I93" s="776"/>
      <c r="J93" s="719"/>
      <c r="K93" s="563"/>
      <c r="L93" s="1682" t="b">
        <f t="shared" ca="1" si="0"/>
        <v>0</v>
      </c>
      <c r="M93" s="610" t="b">
        <f t="shared" si="1"/>
        <v>0</v>
      </c>
    </row>
    <row r="94" spans="2:14" x14ac:dyDescent="0.25">
      <c r="B94" s="1683">
        <v>8</v>
      </c>
      <c r="C94" s="2155"/>
      <c r="D94" s="2155"/>
      <c r="E94" s="776"/>
      <c r="F94" s="2184"/>
      <c r="G94" s="776"/>
      <c r="H94" s="776"/>
      <c r="I94" s="776"/>
      <c r="J94" s="719"/>
      <c r="K94" s="563"/>
      <c r="L94" s="1682" t="b">
        <f t="shared" ca="1" si="0"/>
        <v>0</v>
      </c>
      <c r="M94" s="610" t="b">
        <f t="shared" si="1"/>
        <v>0</v>
      </c>
    </row>
    <row r="95" spans="2:14" x14ac:dyDescent="0.25">
      <c r="B95" s="1683">
        <v>9</v>
      </c>
      <c r="C95" s="2155"/>
      <c r="D95" s="2155"/>
      <c r="E95" s="776"/>
      <c r="F95" s="2184"/>
      <c r="G95" s="776"/>
      <c r="H95" s="776"/>
      <c r="I95" s="776"/>
      <c r="J95" s="719"/>
      <c r="K95" s="563"/>
      <c r="L95" s="1682" t="b">
        <f t="shared" ca="1" si="0"/>
        <v>0</v>
      </c>
      <c r="M95" s="610" t="b">
        <f t="shared" si="1"/>
        <v>0</v>
      </c>
    </row>
    <row r="96" spans="2:14" x14ac:dyDescent="0.25">
      <c r="B96" s="1683">
        <v>10</v>
      </c>
      <c r="C96" s="2155"/>
      <c r="D96" s="2155"/>
      <c r="E96" s="776"/>
      <c r="F96" s="2184"/>
      <c r="G96" s="776"/>
      <c r="H96" s="776"/>
      <c r="I96" s="776"/>
      <c r="J96" s="719"/>
      <c r="K96" s="563"/>
      <c r="L96" s="1682" t="b">
        <f t="shared" ca="1" si="0"/>
        <v>0</v>
      </c>
      <c r="M96" s="610" t="b">
        <f t="shared" si="1"/>
        <v>0</v>
      </c>
    </row>
    <row r="97" spans="2:13" s="791" customFormat="1" x14ac:dyDescent="0.25">
      <c r="B97" s="1683">
        <v>11</v>
      </c>
      <c r="C97" s="2155"/>
      <c r="D97" s="2155"/>
      <c r="E97" s="776"/>
      <c r="F97" s="2184"/>
      <c r="G97" s="776"/>
      <c r="H97" s="776"/>
      <c r="I97" s="776"/>
      <c r="J97" s="719"/>
      <c r="L97" s="1682" t="b">
        <f t="shared" ca="1" si="0"/>
        <v>0</v>
      </c>
      <c r="M97" s="610" t="b">
        <f t="shared" si="1"/>
        <v>0</v>
      </c>
    </row>
    <row r="98" spans="2:13" s="791" customFormat="1" x14ac:dyDescent="0.25">
      <c r="B98" s="1683">
        <v>12</v>
      </c>
      <c r="C98" s="2155"/>
      <c r="D98" s="2155"/>
      <c r="E98" s="776"/>
      <c r="F98" s="2184"/>
      <c r="G98" s="776"/>
      <c r="H98" s="776"/>
      <c r="I98" s="776"/>
      <c r="J98" s="719"/>
      <c r="L98" s="1682" t="b">
        <f t="shared" ca="1" si="0"/>
        <v>0</v>
      </c>
      <c r="M98" s="610" t="b">
        <f t="shared" si="1"/>
        <v>0</v>
      </c>
    </row>
    <row r="99" spans="2:13" s="791" customFormat="1" x14ac:dyDescent="0.25">
      <c r="B99" s="1683">
        <v>13</v>
      </c>
      <c r="C99" s="2155"/>
      <c r="D99" s="2155"/>
      <c r="E99" s="776"/>
      <c r="F99" s="2184"/>
      <c r="G99" s="776"/>
      <c r="H99" s="776"/>
      <c r="I99" s="776"/>
      <c r="J99" s="719"/>
      <c r="L99" s="1682" t="b">
        <f t="shared" ca="1" si="0"/>
        <v>0</v>
      </c>
      <c r="M99" s="610" t="b">
        <f t="shared" si="1"/>
        <v>0</v>
      </c>
    </row>
    <row r="100" spans="2:13" s="791" customFormat="1" x14ac:dyDescent="0.25">
      <c r="B100" s="1683">
        <v>14</v>
      </c>
      <c r="C100" s="2155"/>
      <c r="D100" s="2155"/>
      <c r="E100" s="776"/>
      <c r="F100" s="2184"/>
      <c r="G100" s="776"/>
      <c r="H100" s="776"/>
      <c r="I100" s="776"/>
      <c r="J100" s="719"/>
      <c r="L100" s="1682" t="b">
        <f t="shared" ca="1" si="0"/>
        <v>0</v>
      </c>
      <c r="M100" s="610" t="b">
        <f t="shared" si="1"/>
        <v>0</v>
      </c>
    </row>
    <row r="101" spans="2:13" s="791" customFormat="1" x14ac:dyDescent="0.25">
      <c r="B101" s="1683">
        <v>15</v>
      </c>
      <c r="C101" s="2155"/>
      <c r="D101" s="2155"/>
      <c r="E101" s="776"/>
      <c r="F101" s="2184"/>
      <c r="G101" s="776"/>
      <c r="H101" s="776"/>
      <c r="I101" s="776"/>
      <c r="J101" s="719"/>
      <c r="L101" s="1682" t="b">
        <f t="shared" ca="1" si="0"/>
        <v>0</v>
      </c>
      <c r="M101" s="610" t="b">
        <f t="shared" si="1"/>
        <v>0</v>
      </c>
    </row>
    <row r="102" spans="2:13" s="791" customFormat="1" x14ac:dyDescent="0.25">
      <c r="B102" s="1683">
        <v>16</v>
      </c>
      <c r="C102" s="2155"/>
      <c r="D102" s="2155"/>
      <c r="E102" s="776"/>
      <c r="F102" s="2184"/>
      <c r="G102" s="776"/>
      <c r="H102" s="776"/>
      <c r="I102" s="776"/>
      <c r="J102" s="719"/>
      <c r="L102" s="1682" t="b">
        <f t="shared" ca="1" si="0"/>
        <v>0</v>
      </c>
      <c r="M102" s="610" t="b">
        <f t="shared" si="1"/>
        <v>0</v>
      </c>
    </row>
    <row r="103" spans="2:13" s="791" customFormat="1" x14ac:dyDescent="0.25">
      <c r="B103" s="1683">
        <v>17</v>
      </c>
      <c r="C103" s="2149"/>
      <c r="D103" s="2150"/>
      <c r="E103" s="776"/>
      <c r="F103" s="2184"/>
      <c r="G103" s="776"/>
      <c r="H103" s="776"/>
      <c r="I103" s="776"/>
      <c r="J103" s="719"/>
      <c r="L103" s="1682" t="b">
        <f t="shared" ca="1" si="0"/>
        <v>0</v>
      </c>
      <c r="M103" s="610" t="b">
        <f t="shared" si="1"/>
        <v>0</v>
      </c>
    </row>
    <row r="104" spans="2:13" s="791" customFormat="1" x14ac:dyDescent="0.25">
      <c r="B104" s="1683">
        <v>18</v>
      </c>
      <c r="C104" s="2149"/>
      <c r="D104" s="2150"/>
      <c r="E104" s="776"/>
      <c r="F104" s="2184"/>
      <c r="G104" s="776"/>
      <c r="H104" s="776"/>
      <c r="I104" s="776"/>
      <c r="J104" s="719"/>
      <c r="L104" s="1682" t="b">
        <f t="shared" ca="1" si="0"/>
        <v>0</v>
      </c>
      <c r="M104" s="610" t="b">
        <f t="shared" si="1"/>
        <v>0</v>
      </c>
    </row>
    <row r="105" spans="2:13" s="791" customFormat="1" x14ac:dyDescent="0.25">
      <c r="B105" s="1683">
        <v>19</v>
      </c>
      <c r="C105" s="2149"/>
      <c r="D105" s="2150"/>
      <c r="E105" s="776"/>
      <c r="F105" s="2184"/>
      <c r="G105" s="776"/>
      <c r="H105" s="776"/>
      <c r="I105" s="776"/>
      <c r="J105" s="719"/>
      <c r="L105" s="1682" t="b">
        <f t="shared" ca="1" si="0"/>
        <v>0</v>
      </c>
      <c r="M105" s="610" t="b">
        <f t="shared" si="1"/>
        <v>0</v>
      </c>
    </row>
    <row r="106" spans="2:13" s="1682" customFormat="1" x14ac:dyDescent="0.25">
      <c r="B106" s="1683">
        <v>20</v>
      </c>
      <c r="C106" s="2149"/>
      <c r="D106" s="2150"/>
      <c r="E106" s="776"/>
      <c r="F106" s="2184"/>
      <c r="G106" s="776"/>
      <c r="H106" s="776"/>
      <c r="I106" s="776"/>
      <c r="J106" s="719"/>
      <c r="L106" s="1682" t="b">
        <f t="shared" ca="1" si="0"/>
        <v>0</v>
      </c>
      <c r="M106" s="610" t="b">
        <f t="shared" si="1"/>
        <v>0</v>
      </c>
    </row>
    <row r="107" spans="2:13" s="1682" customFormat="1" x14ac:dyDescent="0.25">
      <c r="B107" s="1683">
        <v>21</v>
      </c>
      <c r="C107" s="2149"/>
      <c r="D107" s="2150"/>
      <c r="E107" s="776"/>
      <c r="F107" s="2184"/>
      <c r="G107" s="776"/>
      <c r="H107" s="776"/>
      <c r="I107" s="776"/>
      <c r="J107" s="719"/>
      <c r="L107" s="1682" t="b">
        <f t="shared" ca="1" si="0"/>
        <v>0</v>
      </c>
      <c r="M107" s="610" t="b">
        <f t="shared" si="1"/>
        <v>0</v>
      </c>
    </row>
    <row r="108" spans="2:13" s="1682" customFormat="1" x14ac:dyDescent="0.25">
      <c r="B108" s="1683">
        <v>22</v>
      </c>
      <c r="C108" s="2149"/>
      <c r="D108" s="2150"/>
      <c r="E108" s="776"/>
      <c r="F108" s="2184"/>
      <c r="G108" s="776"/>
      <c r="H108" s="776"/>
      <c r="I108" s="776"/>
      <c r="J108" s="719"/>
      <c r="L108" s="1682" t="b">
        <f t="shared" ca="1" si="0"/>
        <v>0</v>
      </c>
      <c r="M108" s="610" t="b">
        <f t="shared" si="1"/>
        <v>0</v>
      </c>
    </row>
    <row r="109" spans="2:13" s="1682" customFormat="1" x14ac:dyDescent="0.25">
      <c r="B109" s="1683">
        <v>23</v>
      </c>
      <c r="C109" s="2149"/>
      <c r="D109" s="2150"/>
      <c r="E109" s="776"/>
      <c r="F109" s="2184"/>
      <c r="G109" s="776"/>
      <c r="H109" s="776"/>
      <c r="I109" s="776"/>
      <c r="J109" s="719"/>
      <c r="L109" s="1682" t="b">
        <f t="shared" ca="1" si="0"/>
        <v>0</v>
      </c>
      <c r="M109" s="610" t="b">
        <f t="shared" si="1"/>
        <v>0</v>
      </c>
    </row>
    <row r="110" spans="2:13" s="1682" customFormat="1" x14ac:dyDescent="0.25">
      <c r="B110" s="1683">
        <v>24</v>
      </c>
      <c r="C110" s="2149"/>
      <c r="D110" s="2150"/>
      <c r="E110" s="776"/>
      <c r="F110" s="2184"/>
      <c r="G110" s="776"/>
      <c r="H110" s="776"/>
      <c r="I110" s="776"/>
      <c r="J110" s="719"/>
      <c r="L110" s="1682" t="b">
        <f t="shared" ca="1" si="0"/>
        <v>0</v>
      </c>
      <c r="M110" s="610" t="b">
        <f t="shared" si="1"/>
        <v>0</v>
      </c>
    </row>
    <row r="111" spans="2:13" s="1682" customFormat="1" x14ac:dyDescent="0.25">
      <c r="B111" s="1683">
        <v>25</v>
      </c>
      <c r="C111" s="2149"/>
      <c r="D111" s="2150"/>
      <c r="E111" s="776"/>
      <c r="F111" s="2184"/>
      <c r="G111" s="776"/>
      <c r="H111" s="776"/>
      <c r="I111" s="776"/>
      <c r="J111" s="719"/>
      <c r="L111" s="1682" t="b">
        <f t="shared" ca="1" si="0"/>
        <v>0</v>
      </c>
      <c r="M111" s="610" t="b">
        <f t="shared" si="1"/>
        <v>0</v>
      </c>
    </row>
    <row r="112" spans="2:13" s="1682" customFormat="1" x14ac:dyDescent="0.25">
      <c r="B112" s="1683">
        <v>26</v>
      </c>
      <c r="C112" s="2149"/>
      <c r="D112" s="2150"/>
      <c r="E112" s="776"/>
      <c r="F112" s="2184"/>
      <c r="G112" s="776"/>
      <c r="H112" s="776"/>
      <c r="I112" s="776"/>
      <c r="J112" s="719"/>
      <c r="L112" s="1682" t="b">
        <f t="shared" ca="1" si="0"/>
        <v>0</v>
      </c>
      <c r="M112" s="610" t="b">
        <f t="shared" si="1"/>
        <v>0</v>
      </c>
    </row>
    <row r="113" spans="2:13" s="1682" customFormat="1" x14ac:dyDescent="0.25">
      <c r="B113" s="1683">
        <v>27</v>
      </c>
      <c r="C113" s="2149"/>
      <c r="D113" s="2150"/>
      <c r="E113" s="776"/>
      <c r="F113" s="2184"/>
      <c r="G113" s="776"/>
      <c r="H113" s="776"/>
      <c r="I113" s="776"/>
      <c r="J113" s="719"/>
      <c r="L113" s="1682" t="b">
        <f t="shared" ca="1" si="0"/>
        <v>0</v>
      </c>
      <c r="M113" s="610" t="b">
        <f t="shared" si="1"/>
        <v>0</v>
      </c>
    </row>
    <row r="114" spans="2:13" s="1682" customFormat="1" x14ac:dyDescent="0.25">
      <c r="B114" s="1683">
        <v>28</v>
      </c>
      <c r="C114" s="2149"/>
      <c r="D114" s="2150"/>
      <c r="E114" s="776"/>
      <c r="F114" s="2184"/>
      <c r="G114" s="776"/>
      <c r="H114" s="776"/>
      <c r="I114" s="776"/>
      <c r="J114" s="719"/>
      <c r="L114" s="1682" t="b">
        <f t="shared" ca="1" si="0"/>
        <v>0</v>
      </c>
      <c r="M114" s="610" t="b">
        <f t="shared" si="1"/>
        <v>0</v>
      </c>
    </row>
    <row r="115" spans="2:13" s="1682" customFormat="1" x14ac:dyDescent="0.25">
      <c r="B115" s="1683">
        <v>29</v>
      </c>
      <c r="C115" s="2149"/>
      <c r="D115" s="2150"/>
      <c r="E115" s="776"/>
      <c r="F115" s="2184"/>
      <c r="G115" s="776"/>
      <c r="H115" s="776"/>
      <c r="I115" s="776"/>
      <c r="J115" s="719"/>
      <c r="L115" s="1682" t="b">
        <f t="shared" ca="1" si="0"/>
        <v>0</v>
      </c>
      <c r="M115" s="610" t="b">
        <f t="shared" si="1"/>
        <v>0</v>
      </c>
    </row>
    <row r="116" spans="2:13" s="1682" customFormat="1" x14ac:dyDescent="0.25">
      <c r="B116" s="1683">
        <v>30</v>
      </c>
      <c r="C116" s="2149"/>
      <c r="D116" s="2150"/>
      <c r="E116" s="776"/>
      <c r="F116" s="2184"/>
      <c r="G116" s="776"/>
      <c r="H116" s="776"/>
      <c r="I116" s="776"/>
      <c r="J116" s="719"/>
      <c r="L116" s="1682" t="b">
        <f t="shared" ca="1" si="0"/>
        <v>0</v>
      </c>
      <c r="M116" s="610" t="b">
        <f t="shared" si="1"/>
        <v>0</v>
      </c>
    </row>
    <row r="117" spans="2:13" s="1682" customFormat="1" x14ac:dyDescent="0.25">
      <c r="B117" s="1683">
        <v>31</v>
      </c>
      <c r="C117" s="2149"/>
      <c r="D117" s="2150"/>
      <c r="E117" s="776"/>
      <c r="F117" s="2184"/>
      <c r="G117" s="776"/>
      <c r="H117" s="776"/>
      <c r="I117" s="776"/>
      <c r="J117" s="719"/>
      <c r="L117" s="1682" t="b">
        <f t="shared" ca="1" si="0"/>
        <v>0</v>
      </c>
      <c r="M117" s="610" t="b">
        <f t="shared" si="1"/>
        <v>0</v>
      </c>
    </row>
    <row r="118" spans="2:13" s="1682" customFormat="1" x14ac:dyDescent="0.25">
      <c r="B118" s="1683">
        <v>32</v>
      </c>
      <c r="C118" s="2149"/>
      <c r="D118" s="2150"/>
      <c r="E118" s="776"/>
      <c r="F118" s="2184"/>
      <c r="G118" s="776"/>
      <c r="H118" s="776"/>
      <c r="I118" s="776"/>
      <c r="J118" s="719"/>
      <c r="L118" s="1682" t="b">
        <f t="shared" ca="1" si="0"/>
        <v>0</v>
      </c>
      <c r="M118" s="610" t="b">
        <f t="shared" si="1"/>
        <v>0</v>
      </c>
    </row>
    <row r="119" spans="2:13" s="1682" customFormat="1" x14ac:dyDescent="0.25">
      <c r="B119" s="1683">
        <v>33</v>
      </c>
      <c r="C119" s="2149"/>
      <c r="D119" s="2150"/>
      <c r="E119" s="776"/>
      <c r="F119" s="2184"/>
      <c r="G119" s="776"/>
      <c r="H119" s="776"/>
      <c r="I119" s="776"/>
      <c r="J119" s="719"/>
      <c r="L119" s="1682" t="b">
        <f t="shared" ref="L119:L136" ca="1" si="2">AND(OR(LEN(C119)=0,LEN(E119)=0,LEN(G119)=0,LEN(H119)=0,AND($N$85=1,LEN(I119)=0),LEN(J119)=0),M119)</f>
        <v>0</v>
      </c>
      <c r="M119" s="610" t="b">
        <f t="shared" si="1"/>
        <v>0</v>
      </c>
    </row>
    <row r="120" spans="2:13" s="1682" customFormat="1" x14ac:dyDescent="0.25">
      <c r="B120" s="1683">
        <v>34</v>
      </c>
      <c r="C120" s="2149"/>
      <c r="D120" s="2150"/>
      <c r="E120" s="776"/>
      <c r="F120" s="2184"/>
      <c r="G120" s="776"/>
      <c r="H120" s="776"/>
      <c r="I120" s="776"/>
      <c r="J120" s="719"/>
      <c r="L120" s="1682" t="b">
        <f t="shared" ca="1" si="2"/>
        <v>0</v>
      </c>
      <c r="M120" s="610" t="b">
        <f t="shared" si="1"/>
        <v>0</v>
      </c>
    </row>
    <row r="121" spans="2:13" s="1682" customFormat="1" x14ac:dyDescent="0.25">
      <c r="B121" s="1683">
        <v>35</v>
      </c>
      <c r="C121" s="2149"/>
      <c r="D121" s="2150"/>
      <c r="E121" s="776"/>
      <c r="F121" s="2184"/>
      <c r="G121" s="776"/>
      <c r="H121" s="776"/>
      <c r="I121" s="776"/>
      <c r="J121" s="719"/>
      <c r="L121" s="1682" t="b">
        <f t="shared" ca="1" si="2"/>
        <v>0</v>
      </c>
      <c r="M121" s="610" t="b">
        <f t="shared" si="1"/>
        <v>0</v>
      </c>
    </row>
    <row r="122" spans="2:13" s="1682" customFormat="1" x14ac:dyDescent="0.25">
      <c r="B122" s="1683">
        <v>36</v>
      </c>
      <c r="C122" s="2149"/>
      <c r="D122" s="2150"/>
      <c r="E122" s="776"/>
      <c r="F122" s="2184"/>
      <c r="G122" s="776"/>
      <c r="H122" s="776"/>
      <c r="I122" s="776"/>
      <c r="J122" s="719"/>
      <c r="L122" s="1682" t="b">
        <f t="shared" ca="1" si="2"/>
        <v>0</v>
      </c>
      <c r="M122" s="610" t="b">
        <f t="shared" si="1"/>
        <v>0</v>
      </c>
    </row>
    <row r="123" spans="2:13" s="1682" customFormat="1" x14ac:dyDescent="0.25">
      <c r="B123" s="1683">
        <v>37</v>
      </c>
      <c r="C123" s="2149"/>
      <c r="D123" s="2150"/>
      <c r="E123" s="776"/>
      <c r="F123" s="2184"/>
      <c r="G123" s="776"/>
      <c r="H123" s="776"/>
      <c r="I123" s="776"/>
      <c r="J123" s="719"/>
      <c r="L123" s="1682" t="b">
        <f t="shared" ca="1" si="2"/>
        <v>0</v>
      </c>
      <c r="M123" s="610" t="b">
        <f t="shared" si="1"/>
        <v>0</v>
      </c>
    </row>
    <row r="124" spans="2:13" s="1682" customFormat="1" x14ac:dyDescent="0.25">
      <c r="B124" s="1683">
        <v>38</v>
      </c>
      <c r="C124" s="2149"/>
      <c r="D124" s="2150"/>
      <c r="E124" s="776"/>
      <c r="F124" s="2184"/>
      <c r="G124" s="776"/>
      <c r="H124" s="776"/>
      <c r="I124" s="776"/>
      <c r="J124" s="719"/>
      <c r="L124" s="1682" t="b">
        <f t="shared" ca="1" si="2"/>
        <v>0</v>
      </c>
      <c r="M124" s="610" t="b">
        <f t="shared" si="1"/>
        <v>0</v>
      </c>
    </row>
    <row r="125" spans="2:13" s="1682" customFormat="1" x14ac:dyDescent="0.25">
      <c r="B125" s="1683">
        <v>39</v>
      </c>
      <c r="C125" s="2149"/>
      <c r="D125" s="2150"/>
      <c r="E125" s="776"/>
      <c r="F125" s="2184"/>
      <c r="G125" s="776"/>
      <c r="H125" s="776"/>
      <c r="I125" s="776"/>
      <c r="J125" s="719"/>
      <c r="L125" s="1682" t="b">
        <f t="shared" ca="1" si="2"/>
        <v>0</v>
      </c>
      <c r="M125" s="610" t="b">
        <f t="shared" si="1"/>
        <v>0</v>
      </c>
    </row>
    <row r="126" spans="2:13" s="1682" customFormat="1" x14ac:dyDescent="0.25">
      <c r="B126" s="1683">
        <v>40</v>
      </c>
      <c r="C126" s="2149"/>
      <c r="D126" s="2150"/>
      <c r="E126" s="776"/>
      <c r="F126" s="2184"/>
      <c r="G126" s="776"/>
      <c r="H126" s="776"/>
      <c r="I126" s="776"/>
      <c r="J126" s="719"/>
      <c r="L126" s="1682" t="b">
        <f t="shared" ca="1" si="2"/>
        <v>0</v>
      </c>
      <c r="M126" s="610" t="b">
        <f t="shared" si="1"/>
        <v>0</v>
      </c>
    </row>
    <row r="127" spans="2:13" s="1682" customFormat="1" x14ac:dyDescent="0.25">
      <c r="B127" s="1683">
        <v>41</v>
      </c>
      <c r="C127" s="2149"/>
      <c r="D127" s="2150"/>
      <c r="E127" s="776"/>
      <c r="F127" s="2184"/>
      <c r="G127" s="776"/>
      <c r="H127" s="776"/>
      <c r="I127" s="776"/>
      <c r="J127" s="719"/>
      <c r="L127" s="1682" t="b">
        <f t="shared" ca="1" si="2"/>
        <v>0</v>
      </c>
      <c r="M127" s="610" t="b">
        <f t="shared" si="1"/>
        <v>0</v>
      </c>
    </row>
    <row r="128" spans="2:13" s="1682" customFormat="1" x14ac:dyDescent="0.25">
      <c r="B128" s="1683">
        <v>42</v>
      </c>
      <c r="C128" s="2149"/>
      <c r="D128" s="2150"/>
      <c r="E128" s="776"/>
      <c r="F128" s="2184"/>
      <c r="G128" s="776"/>
      <c r="H128" s="776"/>
      <c r="I128" s="776"/>
      <c r="J128" s="719"/>
      <c r="L128" s="1682" t="b">
        <f t="shared" ca="1" si="2"/>
        <v>0</v>
      </c>
      <c r="M128" s="610" t="b">
        <f t="shared" si="1"/>
        <v>0</v>
      </c>
    </row>
    <row r="129" spans="2:13" s="1682" customFormat="1" x14ac:dyDescent="0.25">
      <c r="B129" s="1683">
        <v>43</v>
      </c>
      <c r="C129" s="2149"/>
      <c r="D129" s="2150"/>
      <c r="E129" s="776"/>
      <c r="F129" s="2184"/>
      <c r="G129" s="776"/>
      <c r="H129" s="776"/>
      <c r="I129" s="776"/>
      <c r="J129" s="719"/>
      <c r="L129" s="1682" t="b">
        <f t="shared" ca="1" si="2"/>
        <v>0</v>
      </c>
      <c r="M129" s="610" t="b">
        <f t="shared" si="1"/>
        <v>0</v>
      </c>
    </row>
    <row r="130" spans="2:13" s="1682" customFormat="1" x14ac:dyDescent="0.25">
      <c r="B130" s="1683">
        <v>44</v>
      </c>
      <c r="C130" s="2149"/>
      <c r="D130" s="2150"/>
      <c r="E130" s="776"/>
      <c r="F130" s="2184"/>
      <c r="G130" s="776"/>
      <c r="H130" s="776"/>
      <c r="I130" s="776"/>
      <c r="J130" s="719"/>
      <c r="L130" s="1682" t="b">
        <f t="shared" ca="1" si="2"/>
        <v>0</v>
      </c>
      <c r="M130" s="610" t="b">
        <f t="shared" si="1"/>
        <v>0</v>
      </c>
    </row>
    <row r="131" spans="2:13" s="1682" customFormat="1" x14ac:dyDescent="0.25">
      <c r="B131" s="1683">
        <v>45</v>
      </c>
      <c r="C131" s="2149"/>
      <c r="D131" s="2150"/>
      <c r="E131" s="776"/>
      <c r="F131" s="2184"/>
      <c r="G131" s="776"/>
      <c r="H131" s="776"/>
      <c r="I131" s="776"/>
      <c r="J131" s="719"/>
      <c r="L131" s="1682" t="b">
        <f t="shared" ca="1" si="2"/>
        <v>0</v>
      </c>
      <c r="M131" s="610" t="b">
        <f t="shared" si="1"/>
        <v>0</v>
      </c>
    </row>
    <row r="132" spans="2:13" s="1682" customFormat="1" x14ac:dyDescent="0.25">
      <c r="B132" s="1683">
        <v>46</v>
      </c>
      <c r="C132" s="2149"/>
      <c r="D132" s="2150"/>
      <c r="E132" s="776"/>
      <c r="F132" s="2184"/>
      <c r="G132" s="776"/>
      <c r="H132" s="776"/>
      <c r="I132" s="776"/>
      <c r="J132" s="719"/>
      <c r="L132" s="1682" t="b">
        <f t="shared" ca="1" si="2"/>
        <v>0</v>
      </c>
      <c r="M132" s="610" t="b">
        <f t="shared" si="1"/>
        <v>0</v>
      </c>
    </row>
    <row r="133" spans="2:13" s="1682" customFormat="1" x14ac:dyDescent="0.25">
      <c r="B133" s="1683">
        <v>47</v>
      </c>
      <c r="C133" s="2149"/>
      <c r="D133" s="2150"/>
      <c r="E133" s="776"/>
      <c r="F133" s="2184"/>
      <c r="G133" s="776"/>
      <c r="H133" s="776"/>
      <c r="I133" s="776"/>
      <c r="J133" s="719"/>
      <c r="L133" s="1682" t="b">
        <f t="shared" ca="1" si="2"/>
        <v>0</v>
      </c>
      <c r="M133" s="610" t="b">
        <f t="shared" si="1"/>
        <v>0</v>
      </c>
    </row>
    <row r="134" spans="2:13" s="1682" customFormat="1" x14ac:dyDescent="0.25">
      <c r="B134" s="1683">
        <v>48</v>
      </c>
      <c r="C134" s="2149"/>
      <c r="D134" s="2150"/>
      <c r="E134" s="776"/>
      <c r="F134" s="2184"/>
      <c r="G134" s="776"/>
      <c r="H134" s="776"/>
      <c r="I134" s="776"/>
      <c r="J134" s="719"/>
      <c r="L134" s="1682" t="b">
        <f t="shared" ca="1" si="2"/>
        <v>0</v>
      </c>
      <c r="M134" s="610" t="b">
        <f t="shared" si="1"/>
        <v>0</v>
      </c>
    </row>
    <row r="135" spans="2:13" s="1682" customFormat="1" x14ac:dyDescent="0.25">
      <c r="B135" s="1683">
        <v>49</v>
      </c>
      <c r="C135" s="2149"/>
      <c r="D135" s="2150"/>
      <c r="E135" s="776"/>
      <c r="F135" s="2184"/>
      <c r="G135" s="776"/>
      <c r="H135" s="776"/>
      <c r="I135" s="776"/>
      <c r="J135" s="719"/>
      <c r="L135" s="1682" t="b">
        <f t="shared" ca="1" si="2"/>
        <v>0</v>
      </c>
      <c r="M135" s="610" t="b">
        <f t="shared" si="1"/>
        <v>0</v>
      </c>
    </row>
    <row r="136" spans="2:13" s="791" customFormat="1" x14ac:dyDescent="0.25">
      <c r="B136" s="1683">
        <v>50</v>
      </c>
      <c r="C136" s="2149"/>
      <c r="D136" s="2150"/>
      <c r="E136" s="776"/>
      <c r="F136" s="2185"/>
      <c r="G136" s="776"/>
      <c r="H136" s="776"/>
      <c r="I136" s="776"/>
      <c r="J136" s="719"/>
      <c r="L136" s="1682" t="b">
        <f t="shared" ca="1" si="2"/>
        <v>0</v>
      </c>
      <c r="M136" s="610" t="b">
        <f t="shared" si="1"/>
        <v>0</v>
      </c>
    </row>
    <row r="137" spans="2:13" x14ac:dyDescent="0.25">
      <c r="L137" s="582"/>
      <c r="M137" s="582"/>
    </row>
    <row r="138" spans="2:13" x14ac:dyDescent="0.25">
      <c r="B138" s="585"/>
      <c r="C138" s="585"/>
      <c r="D138" s="585"/>
      <c r="E138" s="585"/>
      <c r="F138" s="585"/>
      <c r="G138" s="585"/>
      <c r="H138" s="585"/>
      <c r="I138" s="585"/>
      <c r="L138" s="334"/>
      <c r="M138" s="334"/>
    </row>
    <row r="139" spans="2:13" s="1101" customFormat="1" x14ac:dyDescent="0.25">
      <c r="B139" s="585"/>
      <c r="C139" s="1103" t="s">
        <v>3877</v>
      </c>
      <c r="D139" s="585"/>
      <c r="E139" s="585"/>
      <c r="F139" s="585"/>
      <c r="G139" s="585"/>
      <c r="H139" s="585"/>
      <c r="I139" s="585"/>
      <c r="J139" s="1123"/>
      <c r="K139"/>
    </row>
    <row r="140" spans="2:13" s="1101" customFormat="1" ht="3" customHeight="1" x14ac:dyDescent="0.25">
      <c r="B140" s="585"/>
      <c r="C140" s="1103"/>
      <c r="D140" s="585"/>
      <c r="E140" s="585"/>
      <c r="F140" s="585"/>
      <c r="G140" s="585"/>
      <c r="H140" s="585"/>
      <c r="I140" s="585"/>
      <c r="J140" s="1123"/>
      <c r="K140"/>
    </row>
    <row r="141" spans="2:13" s="1682" customFormat="1" x14ac:dyDescent="0.25">
      <c r="B141" s="585"/>
      <c r="C141" s="1104" t="s">
        <v>4863</v>
      </c>
      <c r="D141" s="585"/>
      <c r="E141" s="585"/>
      <c r="F141" s="585"/>
      <c r="G141" s="585"/>
      <c r="H141" s="585"/>
      <c r="I141" s="585"/>
    </row>
    <row r="142" spans="2:13" s="1682" customFormat="1" ht="3" customHeight="1" x14ac:dyDescent="0.25">
      <c r="B142" s="585"/>
      <c r="C142" s="1104"/>
      <c r="D142" s="585"/>
      <c r="E142" s="585"/>
      <c r="F142" s="585"/>
      <c r="G142" s="585"/>
      <c r="H142" s="585"/>
      <c r="I142" s="585"/>
    </row>
    <row r="143" spans="2:13" s="1682" customFormat="1" x14ac:dyDescent="0.25">
      <c r="B143" s="585"/>
      <c r="C143" s="1104" t="s">
        <v>5810</v>
      </c>
      <c r="D143" s="585"/>
      <c r="E143" s="585"/>
      <c r="F143" s="585"/>
      <c r="G143" s="585"/>
      <c r="H143" s="585"/>
      <c r="I143" s="585"/>
    </row>
    <row r="144" spans="2:13" s="1682" customFormat="1" ht="3" customHeight="1" x14ac:dyDescent="0.25">
      <c r="B144" s="585"/>
      <c r="C144" s="1104"/>
      <c r="D144" s="585"/>
      <c r="E144" s="585"/>
      <c r="F144" s="585"/>
      <c r="G144" s="585"/>
      <c r="H144" s="585"/>
      <c r="I144" s="585"/>
    </row>
    <row r="145" spans="2:13" s="1682" customFormat="1" x14ac:dyDescent="0.25">
      <c r="B145" s="585"/>
      <c r="C145" s="2179" t="s">
        <v>5811</v>
      </c>
      <c r="D145" s="2179"/>
      <c r="E145" s="2179"/>
      <c r="F145" s="2179"/>
      <c r="G145" s="2179"/>
      <c r="H145" s="2179"/>
      <c r="I145" s="2179"/>
    </row>
    <row r="146" spans="2:13" s="1682" customFormat="1" ht="3" customHeight="1" x14ac:dyDescent="0.25">
      <c r="B146" s="585"/>
      <c r="C146" s="2179"/>
      <c r="D146" s="2179"/>
      <c r="E146" s="2179"/>
      <c r="F146" s="2179"/>
      <c r="G146" s="2179"/>
      <c r="H146" s="2179"/>
      <c r="I146" s="2179"/>
    </row>
    <row r="147" spans="2:13" s="1682" customFormat="1" x14ac:dyDescent="0.25">
      <c r="B147" s="585"/>
      <c r="C147" s="2148" t="s">
        <v>5812</v>
      </c>
      <c r="D147" s="2148"/>
      <c r="E147" s="2148"/>
      <c r="F147" s="2148"/>
      <c r="G147" s="2148"/>
      <c r="H147" s="2148"/>
      <c r="I147" s="2148"/>
    </row>
    <row r="148" spans="2:13" s="1682" customFormat="1" ht="3" customHeight="1" x14ac:dyDescent="0.25">
      <c r="B148" s="585"/>
      <c r="C148" s="1104"/>
      <c r="D148" s="585"/>
      <c r="E148" s="585"/>
      <c r="F148" s="585"/>
      <c r="G148" s="585"/>
      <c r="H148" s="585"/>
      <c r="I148" s="585"/>
    </row>
    <row r="149" spans="2:13" s="1682" customFormat="1" x14ac:dyDescent="0.25">
      <c r="B149" s="585"/>
      <c r="C149" s="1104" t="s">
        <v>4864</v>
      </c>
      <c r="D149" s="585"/>
      <c r="E149" s="585"/>
      <c r="F149" s="585"/>
      <c r="G149" s="585"/>
      <c r="H149" s="585"/>
      <c r="I149" s="585"/>
    </row>
    <row r="150" spans="2:13" s="1682" customFormat="1" ht="3" customHeight="1" x14ac:dyDescent="0.25">
      <c r="B150" s="585"/>
      <c r="C150" s="1104"/>
      <c r="D150" s="585"/>
      <c r="E150" s="585"/>
      <c r="F150" s="585"/>
      <c r="G150" s="585"/>
      <c r="H150" s="585"/>
      <c r="I150" s="585"/>
    </row>
    <row r="151" spans="2:13" s="1682" customFormat="1" ht="30" customHeight="1" x14ac:dyDescent="0.25">
      <c r="B151" s="585"/>
      <c r="C151" s="2180" t="s">
        <v>4865</v>
      </c>
      <c r="D151" s="2180"/>
      <c r="E151" s="2180"/>
      <c r="F151" s="2180"/>
      <c r="G151" s="2180"/>
      <c r="H151" s="2180"/>
      <c r="I151" s="2180"/>
      <c r="J151" s="1680"/>
    </row>
    <row r="152" spans="2:13" s="1682" customFormat="1" ht="3" customHeight="1" x14ac:dyDescent="0.25">
      <c r="B152" s="585"/>
      <c r="C152" s="1104"/>
      <c r="D152" s="585"/>
      <c r="E152" s="585"/>
      <c r="F152" s="585"/>
      <c r="G152" s="585"/>
      <c r="H152" s="585"/>
      <c r="I152" s="585"/>
    </row>
    <row r="153" spans="2:13" s="1682" customFormat="1" ht="30" customHeight="1" x14ac:dyDescent="0.25">
      <c r="B153" s="585"/>
      <c r="C153" s="2179" t="s">
        <v>4866</v>
      </c>
      <c r="D153" s="2179"/>
      <c r="E153" s="2179"/>
      <c r="F153" s="2179"/>
      <c r="G153" s="2179"/>
      <c r="H153" s="2179"/>
      <c r="I153" s="2179"/>
      <c r="K153" s="1105"/>
      <c r="L153" s="1105"/>
      <c r="M153" s="1680"/>
    </row>
    <row r="154" spans="2:13" s="1682" customFormat="1" ht="3" customHeight="1" x14ac:dyDescent="0.25">
      <c r="B154" s="585"/>
      <c r="C154" s="1104"/>
      <c r="D154" s="585"/>
      <c r="E154" s="585"/>
      <c r="F154" s="585"/>
      <c r="G154" s="585"/>
      <c r="H154" s="585"/>
      <c r="I154" s="585"/>
      <c r="J154" s="334"/>
    </row>
    <row r="155" spans="2:13" s="1682" customFormat="1" x14ac:dyDescent="0.25">
      <c r="B155" s="585"/>
      <c r="C155" s="1104" t="s">
        <v>5813</v>
      </c>
      <c r="D155" s="585"/>
      <c r="E155" s="585"/>
      <c r="F155" s="585"/>
      <c r="G155" s="585"/>
      <c r="H155" s="585"/>
      <c r="I155" s="585"/>
      <c r="J155" s="334"/>
    </row>
    <row r="156" spans="2:13" s="1682" customFormat="1" x14ac:dyDescent="0.25">
      <c r="B156" s="334"/>
      <c r="C156" s="334"/>
      <c r="D156" s="334"/>
      <c r="E156" s="334"/>
      <c r="F156" s="334"/>
      <c r="G156" s="334"/>
      <c r="H156" s="334"/>
      <c r="I156" s="334"/>
      <c r="K156" s="334"/>
      <c r="L156" s="334"/>
      <c r="M156" s="334"/>
    </row>
    <row r="157" spans="2:13" hidden="1" x14ac:dyDescent="0.25">
      <c r="B157" s="334"/>
      <c r="C157" s="334"/>
      <c r="D157" s="334"/>
      <c r="E157" s="334"/>
      <c r="F157" s="334"/>
      <c r="G157" s="334"/>
      <c r="H157" s="334"/>
      <c r="I157" s="334"/>
      <c r="L157" s="334"/>
      <c r="M157" s="334"/>
    </row>
    <row r="158" spans="2:13" hidden="1" x14ac:dyDescent="0.25">
      <c r="C158" s="1699" t="s">
        <v>4836</v>
      </c>
      <c r="D158" s="1699"/>
      <c r="E158" s="1699"/>
      <c r="F158" s="1699"/>
      <c r="G158" s="1699"/>
      <c r="H158" s="1699"/>
    </row>
    <row r="159" spans="2:13" hidden="1" x14ac:dyDescent="0.25">
      <c r="C159" s="1699"/>
      <c r="D159" s="1699"/>
      <c r="E159" s="1699"/>
      <c r="F159" s="1699"/>
      <c r="G159" s="1699"/>
      <c r="H159" s="1699"/>
    </row>
    <row r="160" spans="2:13" hidden="1" x14ac:dyDescent="0.25">
      <c r="C160" s="1084"/>
      <c r="D160" s="1084"/>
      <c r="E160" s="1084"/>
      <c r="F160" s="1084"/>
      <c r="G160" s="1084"/>
      <c r="H160" s="1084"/>
    </row>
    <row r="161" spans="2:8" ht="75" hidden="1" x14ac:dyDescent="0.25">
      <c r="C161" s="586" t="s">
        <v>4833</v>
      </c>
      <c r="D161" s="586" t="s">
        <v>4834</v>
      </c>
      <c r="E161" s="586" t="s">
        <v>4835</v>
      </c>
      <c r="F161" s="2182" t="s">
        <v>1</v>
      </c>
      <c r="G161" s="2182"/>
      <c r="H161" s="2182"/>
    </row>
    <row r="162" spans="2:8" hidden="1" x14ac:dyDescent="0.25">
      <c r="B162" s="1335">
        <v>1</v>
      </c>
      <c r="C162" s="1095"/>
      <c r="D162" s="1096"/>
      <c r="E162" s="1096"/>
      <c r="F162" s="2151"/>
      <c r="G162" s="2151"/>
      <c r="H162" s="2151"/>
    </row>
    <row r="163" spans="2:8" hidden="1" x14ac:dyDescent="0.25">
      <c r="B163" s="1335">
        <v>2</v>
      </c>
      <c r="C163" s="1095"/>
      <c r="D163" s="1096"/>
      <c r="E163" s="1096"/>
      <c r="F163" s="2151"/>
      <c r="G163" s="2151"/>
      <c r="H163" s="2151"/>
    </row>
    <row r="164" spans="2:8" hidden="1" x14ac:dyDescent="0.25">
      <c r="B164" s="1335">
        <v>3</v>
      </c>
      <c r="C164" s="1095"/>
      <c r="D164" s="1096"/>
      <c r="E164" s="1096"/>
      <c r="F164" s="2151"/>
      <c r="G164" s="2151"/>
      <c r="H164" s="2151"/>
    </row>
    <row r="165" spans="2:8" hidden="1" x14ac:dyDescent="0.25">
      <c r="B165" s="1335">
        <v>4</v>
      </c>
      <c r="C165" s="1095"/>
      <c r="D165" s="1096"/>
      <c r="E165" s="1096"/>
      <c r="F165" s="2151"/>
      <c r="G165" s="2151"/>
      <c r="H165" s="2151"/>
    </row>
    <row r="166" spans="2:8" hidden="1" x14ac:dyDescent="0.25">
      <c r="B166" s="1335">
        <v>5</v>
      </c>
      <c r="C166" s="1095"/>
      <c r="D166" s="1096"/>
      <c r="E166" s="1096"/>
      <c r="F166" s="2151"/>
      <c r="G166" s="2151"/>
      <c r="H166" s="2151"/>
    </row>
    <row r="167" spans="2:8" hidden="1" x14ac:dyDescent="0.25">
      <c r="B167" s="1335">
        <v>6</v>
      </c>
      <c r="C167" s="1095"/>
      <c r="D167" s="1096"/>
      <c r="E167" s="1096"/>
      <c r="F167" s="2151"/>
      <c r="G167" s="2151"/>
      <c r="H167" s="2151"/>
    </row>
    <row r="168" spans="2:8" hidden="1" x14ac:dyDescent="0.25">
      <c r="B168" s="1335">
        <v>7</v>
      </c>
      <c r="C168" s="1095"/>
      <c r="D168" s="1096"/>
      <c r="E168" s="1096"/>
      <c r="F168" s="2151"/>
      <c r="G168" s="2151"/>
      <c r="H168" s="2151"/>
    </row>
    <row r="169" spans="2:8" hidden="1" x14ac:dyDescent="0.25">
      <c r="B169" s="1335">
        <v>8</v>
      </c>
      <c r="C169" s="1095"/>
      <c r="D169" s="1096"/>
      <c r="E169" s="1096"/>
      <c r="F169" s="2151"/>
      <c r="G169" s="2151"/>
      <c r="H169" s="2151"/>
    </row>
    <row r="170" spans="2:8" hidden="1" x14ac:dyDescent="0.25">
      <c r="B170" s="1335">
        <v>9</v>
      </c>
      <c r="C170" s="1095"/>
      <c r="D170" s="1096"/>
      <c r="E170" s="1096"/>
      <c r="F170" s="2151"/>
      <c r="G170" s="2151"/>
      <c r="H170" s="2151"/>
    </row>
    <row r="171" spans="2:8" hidden="1" x14ac:dyDescent="0.25">
      <c r="B171" s="1335">
        <v>10</v>
      </c>
      <c r="C171" s="1095"/>
      <c r="D171" s="1096"/>
      <c r="E171" s="1096"/>
      <c r="F171" s="2151"/>
      <c r="G171" s="2151"/>
      <c r="H171" s="2151"/>
    </row>
    <row r="172" spans="2:8" hidden="1" x14ac:dyDescent="0.25">
      <c r="B172" s="1335">
        <v>11</v>
      </c>
      <c r="C172" s="1095"/>
      <c r="D172" s="1096"/>
      <c r="E172" s="1096"/>
      <c r="F172" s="2151"/>
      <c r="G172" s="2151"/>
      <c r="H172" s="2151"/>
    </row>
    <row r="173" spans="2:8" hidden="1" x14ac:dyDescent="0.25">
      <c r="B173" s="1335">
        <v>12</v>
      </c>
      <c r="C173" s="1095"/>
      <c r="D173" s="1096"/>
      <c r="E173" s="1096"/>
      <c r="F173" s="2151"/>
      <c r="G173" s="2151"/>
      <c r="H173" s="2151"/>
    </row>
    <row r="174" spans="2:8" hidden="1" x14ac:dyDescent="0.25">
      <c r="B174" s="1335">
        <v>13</v>
      </c>
      <c r="C174" s="1095"/>
      <c r="D174" s="1096"/>
      <c r="E174" s="1096"/>
      <c r="F174" s="2151"/>
      <c r="G174" s="2151"/>
      <c r="H174" s="2151"/>
    </row>
    <row r="175" spans="2:8" hidden="1" x14ac:dyDescent="0.25">
      <c r="B175" s="1335">
        <v>14</v>
      </c>
      <c r="C175" s="1095"/>
      <c r="D175" s="1096"/>
      <c r="E175" s="1096"/>
      <c r="F175" s="2151"/>
      <c r="G175" s="2151"/>
      <c r="H175" s="2151"/>
    </row>
    <row r="176" spans="2:8" hidden="1" x14ac:dyDescent="0.25">
      <c r="B176" s="1335">
        <v>15</v>
      </c>
      <c r="C176" s="1095"/>
      <c r="D176" s="1096"/>
      <c r="E176" s="1096"/>
      <c r="F176" s="2151"/>
      <c r="G176" s="2151"/>
      <c r="H176" s="2151"/>
    </row>
    <row r="177" spans="2:12" hidden="1" x14ac:dyDescent="0.25">
      <c r="B177" s="1335">
        <v>16</v>
      </c>
      <c r="C177" s="1095"/>
      <c r="D177" s="1096"/>
      <c r="E177" s="1096"/>
      <c r="F177" s="2151"/>
      <c r="G177" s="2151"/>
      <c r="H177" s="2151"/>
    </row>
    <row r="178" spans="2:12" ht="15" hidden="1" customHeight="1" x14ac:dyDescent="0.25">
      <c r="C178" s="2349" t="s">
        <v>4870</v>
      </c>
      <c r="D178" s="578" t="str">
        <f>"TOTAL: "&amp;SUM(D162:D177)</f>
        <v>TOTAL: 0</v>
      </c>
      <c r="E178" s="578" t="str">
        <f>"TOTAL: "&amp;SUM(E162:E177)</f>
        <v>TOTAL: 0</v>
      </c>
      <c r="F178" s="2350" t="s">
        <v>4869</v>
      </c>
      <c r="G178" s="2177"/>
      <c r="H178" s="2177"/>
      <c r="I178" s="1108"/>
      <c r="L178" s="439">
        <f>IFERROR(SUM(E162:E177)/SUM(D162:D177),0)</f>
        <v>0</v>
      </c>
    </row>
    <row r="179" spans="2:12" hidden="1" x14ac:dyDescent="0.25">
      <c r="C179" s="2178"/>
      <c r="D179" s="1108"/>
      <c r="E179" s="1108"/>
      <c r="F179" s="2177"/>
      <c r="G179" s="2177"/>
      <c r="H179" s="2177"/>
      <c r="I179" s="1108"/>
      <c r="L179" s="1108"/>
    </row>
    <row r="180" spans="2:12" hidden="1" x14ac:dyDescent="0.25">
      <c r="C180" s="2178"/>
      <c r="D180" s="1108"/>
      <c r="E180" s="1108"/>
      <c r="F180" s="2177"/>
      <c r="G180" s="2177"/>
      <c r="H180" s="2177"/>
      <c r="I180" s="1108"/>
      <c r="L180" s="1108"/>
    </row>
    <row r="181" spans="2:12" hidden="1" x14ac:dyDescent="0.25">
      <c r="C181" s="1107"/>
      <c r="D181" s="1108"/>
      <c r="E181" s="1108"/>
      <c r="F181" s="2177"/>
      <c r="G181" s="2177"/>
      <c r="H181" s="2177"/>
      <c r="I181" s="1108"/>
      <c r="L181" s="1108"/>
    </row>
    <row r="182" spans="2:12" hidden="1" x14ac:dyDescent="0.25">
      <c r="C182" s="1108"/>
      <c r="D182" s="1108"/>
      <c r="E182" s="1108"/>
      <c r="F182" s="2177"/>
      <c r="G182" s="2177"/>
      <c r="H182" s="2177"/>
      <c r="I182" s="1108"/>
      <c r="L182" s="1108"/>
    </row>
    <row r="183" spans="2:12" hidden="1" x14ac:dyDescent="0.25">
      <c r="C183" s="1108"/>
      <c r="D183" s="1108"/>
      <c r="E183" s="1108"/>
      <c r="F183" s="2177"/>
      <c r="G183" s="2177"/>
      <c r="H183" s="2177"/>
      <c r="I183" s="1108"/>
      <c r="L183" s="1108"/>
    </row>
  </sheetData>
  <sheetProtection algorithmName="SHA-512" hashValue="wbaVNHxtag3TaVMW9n/W6sOv3yA5yfDVYyk6OSY6WyJMTaCviEVwKyEHOCMR3MygqdQinD1dWGt9QVpb1lGw2Q==" saltValue="EWFP0NCHxKuKInDr1+V54w==" spinCount="100000" sheet="1" objects="1" scenarios="1" selectLockedCells="1"/>
  <mergeCells count="129">
    <mergeCell ref="C178:C180"/>
    <mergeCell ref="F178:H183"/>
    <mergeCell ref="D1:I5"/>
    <mergeCell ref="C18:D18"/>
    <mergeCell ref="F18:I18"/>
    <mergeCell ref="C16:D16"/>
    <mergeCell ref="G16:I16"/>
    <mergeCell ref="C72:I72"/>
    <mergeCell ref="E74:F74"/>
    <mergeCell ref="G74:H74"/>
    <mergeCell ref="C45:D45"/>
    <mergeCell ref="E75:F75"/>
    <mergeCell ref="E76:F76"/>
    <mergeCell ref="E77:F77"/>
    <mergeCell ref="E78:F78"/>
    <mergeCell ref="C87:D87"/>
    <mergeCell ref="C88:D88"/>
    <mergeCell ref="C89:D89"/>
    <mergeCell ref="C90:D90"/>
    <mergeCell ref="C97:D97"/>
    <mergeCell ref="C98:D98"/>
    <mergeCell ref="C99:D99"/>
    <mergeCell ref="C145:I146"/>
    <mergeCell ref="F175:H175"/>
    <mergeCell ref="A8:B8"/>
    <mergeCell ref="G8:I8"/>
    <mergeCell ref="A10:B10"/>
    <mergeCell ref="C10:D10"/>
    <mergeCell ref="G10:I10"/>
    <mergeCell ref="C8:D8"/>
    <mergeCell ref="A67:B67"/>
    <mergeCell ref="G75:H75"/>
    <mergeCell ref="G76:H76"/>
    <mergeCell ref="C43:D43"/>
    <mergeCell ref="A16:B16"/>
    <mergeCell ref="E20:E21"/>
    <mergeCell ref="A39:B39"/>
    <mergeCell ref="C39:I41"/>
    <mergeCell ref="A40:B40"/>
    <mergeCell ref="A41:B41"/>
    <mergeCell ref="C47:D47"/>
    <mergeCell ref="C49:D49"/>
    <mergeCell ref="A53:B53"/>
    <mergeCell ref="A57:B57"/>
    <mergeCell ref="A59:B59"/>
    <mergeCell ref="A61:B61"/>
    <mergeCell ref="C53:I55"/>
    <mergeCell ref="A54:B54"/>
    <mergeCell ref="F164:H164"/>
    <mergeCell ref="C105:D105"/>
    <mergeCell ref="A12:B12"/>
    <mergeCell ref="C12:D12"/>
    <mergeCell ref="G12:I12"/>
    <mergeCell ref="A14:B14"/>
    <mergeCell ref="C14:D14"/>
    <mergeCell ref="G14:I14"/>
    <mergeCell ref="G77:H77"/>
    <mergeCell ref="G78:H78"/>
    <mergeCell ref="G79:H79"/>
    <mergeCell ref="A55:B55"/>
    <mergeCell ref="C34:D34"/>
    <mergeCell ref="E79:F79"/>
    <mergeCell ref="E67:I67"/>
    <mergeCell ref="A63:B63"/>
    <mergeCell ref="D63:D65"/>
    <mergeCell ref="A65:B65"/>
    <mergeCell ref="C115:D115"/>
    <mergeCell ref="C116:D116"/>
    <mergeCell ref="C117:D117"/>
    <mergeCell ref="C118:D118"/>
    <mergeCell ref="C119:D119"/>
    <mergeCell ref="C120:D120"/>
    <mergeCell ref="F176:H176"/>
    <mergeCell ref="F177:H177"/>
    <mergeCell ref="F170:H170"/>
    <mergeCell ref="F171:H171"/>
    <mergeCell ref="F172:H172"/>
    <mergeCell ref="F173:H173"/>
    <mergeCell ref="F174:H174"/>
    <mergeCell ref="F165:H165"/>
    <mergeCell ref="F166:H166"/>
    <mergeCell ref="F167:H167"/>
    <mergeCell ref="F168:H168"/>
    <mergeCell ref="F169:H169"/>
    <mergeCell ref="C133:D133"/>
    <mergeCell ref="C91:D91"/>
    <mergeCell ref="C96:D96"/>
    <mergeCell ref="C130:D130"/>
    <mergeCell ref="C131:D131"/>
    <mergeCell ref="C132:D132"/>
    <mergeCell ref="C103:D103"/>
    <mergeCell ref="C104:D104"/>
    <mergeCell ref="C92:D92"/>
    <mergeCell ref="C93:D93"/>
    <mergeCell ref="C94:D94"/>
    <mergeCell ref="C86:D86"/>
    <mergeCell ref="C106:D106"/>
    <mergeCell ref="C107:D107"/>
    <mergeCell ref="C108:D108"/>
    <mergeCell ref="C109:D109"/>
    <mergeCell ref="C110:D110"/>
    <mergeCell ref="C111:D111"/>
    <mergeCell ref="C112:D112"/>
    <mergeCell ref="C113:D113"/>
    <mergeCell ref="C95:D95"/>
    <mergeCell ref="C158:H159"/>
    <mergeCell ref="F161:H161"/>
    <mergeCell ref="F162:H162"/>
    <mergeCell ref="F163:H163"/>
    <mergeCell ref="C134:D134"/>
    <mergeCell ref="C135:D135"/>
    <mergeCell ref="C147:I147"/>
    <mergeCell ref="C151:I151"/>
    <mergeCell ref="C153:I153"/>
    <mergeCell ref="F87:F136"/>
    <mergeCell ref="C121:D121"/>
    <mergeCell ref="C122:D122"/>
    <mergeCell ref="C123:D123"/>
    <mergeCell ref="C124:D124"/>
    <mergeCell ref="C125:D125"/>
    <mergeCell ref="C126:D126"/>
    <mergeCell ref="C127:D127"/>
    <mergeCell ref="C128:D128"/>
    <mergeCell ref="C129:D129"/>
    <mergeCell ref="C100:D100"/>
    <mergeCell ref="C101:D101"/>
    <mergeCell ref="C102:D102"/>
    <mergeCell ref="C136:D136"/>
    <mergeCell ref="C114:D114"/>
  </mergeCells>
  <conditionalFormatting sqref="F24:I29 F32:I32">
    <cfRule type="cellIs" dxfId="28" priority="95" operator="lessThanOrEqual">
      <formula>$E24</formula>
    </cfRule>
  </conditionalFormatting>
  <conditionalFormatting sqref="C39 C43 C45 C47 C49 C53 C57 C59 C61 C63 C65 C67 F87">
    <cfRule type="notContainsBlanks" dxfId="27" priority="4868">
      <formula>LEN(TRIM(C39))&gt;0</formula>
    </cfRule>
  </conditionalFormatting>
  <conditionalFormatting sqref="G8">
    <cfRule type="expression" dxfId="26" priority="40">
      <formula>G8="Gold"</formula>
    </cfRule>
    <cfRule type="expression" dxfId="25" priority="41">
      <formula>G8="Silver"</formula>
    </cfRule>
    <cfRule type="expression" dxfId="24" priority="42">
      <formula>G8="Bronze"</formula>
    </cfRule>
    <cfRule type="expression" dxfId="23" priority="43">
      <formula>G8="Emerald"</formula>
    </cfRule>
  </conditionalFormatting>
  <conditionalFormatting sqref="F18:I18">
    <cfRule type="expression" dxfId="22" priority="38">
      <formula>$L$18</formula>
    </cfRule>
  </conditionalFormatting>
  <conditionalFormatting sqref="C75:H79">
    <cfRule type="notContainsBlanks" dxfId="21" priority="35">
      <formula>LEN(TRIM(C75))&gt;0</formula>
    </cfRule>
  </conditionalFormatting>
  <conditionalFormatting sqref="C75:H79">
    <cfRule type="expression" dxfId="20" priority="4870">
      <formula>$M75</formula>
    </cfRule>
  </conditionalFormatting>
  <conditionalFormatting sqref="C162:H177">
    <cfRule type="notContainsBlanks" dxfId="19" priority="29">
      <formula>LEN(TRIM(C162))&gt;0</formula>
    </cfRule>
  </conditionalFormatting>
  <conditionalFormatting sqref="F178:H183">
    <cfRule type="expression" dxfId="18" priority="24">
      <formula>AND($L$178&gt;=(1/7),$L$178&lt;0.2)</formula>
    </cfRule>
  </conditionalFormatting>
  <conditionalFormatting sqref="D178:E178">
    <cfRule type="expression" dxfId="17" priority="26">
      <formula>$L$178&gt;=0.2</formula>
    </cfRule>
    <cfRule type="expression" dxfId="16" priority="27">
      <formula>$L$178&gt;=(1/7)</formula>
    </cfRule>
    <cfRule type="expression" dxfId="15" priority="28">
      <formula>$L$178&gt;0</formula>
    </cfRule>
  </conditionalFormatting>
  <conditionalFormatting sqref="C178:C180">
    <cfRule type="expression" dxfId="14" priority="25">
      <formula>AND($L$178&gt;0,$L$178&lt;(1/7))</formula>
    </cfRule>
  </conditionalFormatting>
  <conditionalFormatting sqref="C87:E136 G87:H136">
    <cfRule type="notContainsBlanks" dxfId="13" priority="9">
      <formula>LEN(TRIM(C87))&gt;0</formula>
    </cfRule>
    <cfRule type="expression" dxfId="12" priority="10">
      <formula>$L87</formula>
    </cfRule>
  </conditionalFormatting>
  <conditionalFormatting sqref="J87:J136">
    <cfRule type="notContainsBlanks" dxfId="11" priority="3">
      <formula>LEN(TRIM(J87))&gt;0</formula>
    </cfRule>
    <cfRule type="expression" dxfId="10" priority="8">
      <formula>$L87</formula>
    </cfRule>
  </conditionalFormatting>
  <conditionalFormatting sqref="I87:I136">
    <cfRule type="notContainsBlanks" dxfId="9" priority="15064">
      <formula>LEN(TRIM(I87))&gt;0</formula>
    </cfRule>
    <cfRule type="expression" dxfId="8" priority="15065">
      <formula>AND($L87,$N$85=1)</formula>
    </cfRule>
  </conditionalFormatting>
  <dataValidations disablePrompts="1" count="1">
    <dataValidation type="whole" allowBlank="1" showInputMessage="1" showErrorMessage="1" sqref="D162:E177" xr:uid="{82E200DF-543D-4187-88B0-A0B6CA44769D}">
      <formula1>0</formula1>
      <formula2>10000</formula2>
    </dataValidation>
  </dataValidations>
  <pageMargins left="0.7" right="0.7" top="0.75" bottom="0.75" header="0.3" footer="0.3"/>
  <pageSetup scale="51" fitToHeight="0" orientation="portrait" r:id="rId1"/>
  <rowBreaks count="1" manualBreakCount="1">
    <brk id="8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94" stopIfTrue="1" id="{08A68B61-7D14-4FFB-8A40-95825A95933B}">
            <xm:f>Points!$Y10&lt;3</xm:f>
            <x14:dxf>
              <fill>
                <patternFill patternType="lightGray"/>
              </fill>
            </x14:dxf>
          </x14:cfRule>
          <xm:sqref>H26</xm:sqref>
        </x14:conditionalFormatting>
        <x14:conditionalFormatting xmlns:xm="http://schemas.microsoft.com/office/excel/2006/main">
          <x14:cfRule type="expression" priority="93" stopIfTrue="1" id="{A2EC195A-93B7-440D-B4EA-6F78072ED82D}">
            <xm:f>Points!$Y10&lt;4</xm:f>
            <x14:dxf>
              <fill>
                <patternFill patternType="lightGray"/>
              </fill>
            </x14:dxf>
          </x14:cfRule>
          <xm:sqref>I26</xm:sqref>
        </x14:conditionalFormatting>
        <x14:conditionalFormatting xmlns:xm="http://schemas.microsoft.com/office/excel/2006/main">
          <x14:cfRule type="expression" priority="39" id="{262860F8-EFFF-465D-9491-0793F5EC5685}">
            <xm:f>OR('Verification Report'!$AI$3,'Verification Report'!$AG$3)</xm:f>
            <x14:dxf>
              <font>
                <b/>
                <i val="0"/>
                <color theme="1"/>
              </font>
              <fill>
                <patternFill>
                  <bgColor rgb="FFFF0000"/>
                </patternFill>
              </fill>
            </x14:dxf>
          </x14:cfRule>
          <xm:sqref>C18:D18</xm:sqref>
        </x14:conditionalFormatting>
        <x14:conditionalFormatting xmlns:xm="http://schemas.microsoft.com/office/excel/2006/main">
          <x14:cfRule type="expression" priority="13472" stopIfTrue="1" id="{08A68B61-7D14-4FFB-8A40-95825A95933B}">
            <xm:f>Points!$Y12&lt;3</xm:f>
            <x14:dxf>
              <fill>
                <patternFill patternType="lightGray"/>
              </fill>
            </x14:dxf>
          </x14:cfRule>
          <xm:sqref>H27</xm:sqref>
        </x14:conditionalFormatting>
        <x14:conditionalFormatting xmlns:xm="http://schemas.microsoft.com/office/excel/2006/main">
          <x14:cfRule type="expression" priority="13474" stopIfTrue="1" id="{A2EC195A-93B7-440D-B4EA-6F78072ED82D}">
            <xm:f>Points!$Y12&lt;4</xm:f>
            <x14:dxf>
              <fill>
                <patternFill patternType="lightGray"/>
              </fill>
            </x14:dxf>
          </x14:cfRule>
          <xm:sqref>I27</xm:sqref>
        </x14:conditionalFormatting>
        <x14:conditionalFormatting xmlns:xm="http://schemas.microsoft.com/office/excel/2006/main">
          <x14:cfRule type="expression" priority="13475" stopIfTrue="1" id="{B4057145-EB82-42DB-B8E6-47B010E15B78}">
            <xm:f>MIN(Points!$Y$10:$Y$12)&lt;3</xm:f>
            <x14:dxf>
              <fill>
                <patternFill patternType="lightGray"/>
              </fill>
            </x14:dxf>
          </x14:cfRule>
          <xm:sqref>H32</xm:sqref>
        </x14:conditionalFormatting>
        <x14:conditionalFormatting xmlns:xm="http://schemas.microsoft.com/office/excel/2006/main">
          <x14:cfRule type="expression" priority="13476" id="{26B4958A-7349-44B2-8E4C-C51891382655}">
            <xm:f>MIN(Points!$Y$10:$Y$12)&lt;4</xm:f>
            <x14:dxf>
              <fill>
                <patternFill patternType="lightGray"/>
              </fill>
            </x14:dxf>
          </x14:cfRule>
          <xm:sqref>I32</xm:sqref>
        </x14:conditionalFormatting>
        <x14:conditionalFormatting xmlns:xm="http://schemas.microsoft.com/office/excel/2006/main">
          <x14:cfRule type="expression" priority="15" id="{EBC06059-07BE-4C9C-951A-7874CCDE7467}">
            <xm:f>('Overview (Verification)'!$P$20="Yes")</xm:f>
            <x14:dxf>
              <font>
                <b/>
                <i val="0"/>
                <color theme="1"/>
              </font>
              <fill>
                <patternFill>
                  <bgColor rgb="FFFFFF00"/>
                </patternFill>
              </fill>
              <border>
                <left style="thin">
                  <color auto="1"/>
                </left>
                <right style="thin">
                  <color auto="1"/>
                </right>
                <top style="thin">
                  <color auto="1"/>
                </top>
                <bottom style="thin">
                  <color auto="1"/>
                </bottom>
              </border>
            </x14:dxf>
          </x14:cfRule>
          <xm:sqref>C34:D34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B2:L81"/>
  <sheetViews>
    <sheetView showGridLines="0" zoomScaleNormal="100" workbookViewId="0"/>
  </sheetViews>
  <sheetFormatPr defaultColWidth="9.140625" defaultRowHeight="15" x14ac:dyDescent="0.25"/>
  <cols>
    <col min="1" max="16384" width="9.140625" style="720"/>
  </cols>
  <sheetData>
    <row r="2" spans="2:12" ht="15.75" x14ac:dyDescent="0.25">
      <c r="B2" s="724" t="s">
        <v>5581</v>
      </c>
    </row>
    <row r="3" spans="2:12" ht="15.75" x14ac:dyDescent="0.25">
      <c r="B3" s="723"/>
    </row>
    <row r="4" spans="2:12" x14ac:dyDescent="0.25">
      <c r="B4" s="2198" t="s">
        <v>4054</v>
      </c>
      <c r="C4" s="2198"/>
      <c r="D4" s="2198"/>
      <c r="E4" s="2198"/>
      <c r="F4" s="2198"/>
      <c r="G4" s="2198"/>
      <c r="H4" s="2198"/>
      <c r="I4" s="2198"/>
    </row>
    <row r="5" spans="2:12" x14ac:dyDescent="0.25">
      <c r="B5" s="2198"/>
      <c r="C5" s="2198"/>
      <c r="D5" s="2198"/>
      <c r="E5" s="2198"/>
      <c r="F5" s="2198"/>
      <c r="G5" s="2198"/>
      <c r="H5" s="2198"/>
      <c r="I5" s="2198"/>
    </row>
    <row r="6" spans="2:12" x14ac:dyDescent="0.25">
      <c r="B6" s="2198"/>
      <c r="C6" s="2198"/>
      <c r="D6" s="2198"/>
      <c r="E6" s="2198"/>
      <c r="F6" s="2198"/>
      <c r="G6" s="2198"/>
      <c r="H6" s="2198"/>
      <c r="I6" s="2198"/>
    </row>
    <row r="7" spans="2:12" x14ac:dyDescent="0.25">
      <c r="B7" s="722"/>
    </row>
    <row r="8" spans="2:12" x14ac:dyDescent="0.25">
      <c r="B8" s="2233" t="s">
        <v>5582</v>
      </c>
      <c r="C8" s="2234"/>
      <c r="D8" s="2234"/>
      <c r="E8" s="2234"/>
      <c r="F8" s="2234"/>
      <c r="G8" s="2234"/>
      <c r="H8" s="2234"/>
      <c r="I8" s="2234"/>
      <c r="J8" s="2234"/>
      <c r="K8" s="2234"/>
      <c r="L8" s="2234"/>
    </row>
    <row r="9" spans="2:12" x14ac:dyDescent="0.25">
      <c r="B9" s="2233" t="s">
        <v>3994</v>
      </c>
      <c r="C9" s="2234"/>
      <c r="D9" s="2234"/>
      <c r="E9" s="2234"/>
      <c r="F9" s="2234"/>
      <c r="G9" s="2234"/>
      <c r="H9" s="2234"/>
      <c r="I9" s="2234"/>
      <c r="J9" s="2234"/>
      <c r="K9" s="2234"/>
      <c r="L9" s="2234"/>
    </row>
    <row r="10" spans="2:12" x14ac:dyDescent="0.25">
      <c r="B10" s="2235"/>
      <c r="C10" s="2235"/>
      <c r="D10" s="2235"/>
      <c r="E10" s="2235"/>
    </row>
    <row r="11" spans="2:12" x14ac:dyDescent="0.25">
      <c r="B11" s="2231" t="s">
        <v>5584</v>
      </c>
      <c r="C11" s="2231"/>
      <c r="D11" s="2231"/>
      <c r="E11" s="2231"/>
      <c r="F11" s="2231"/>
      <c r="G11" s="2231"/>
      <c r="H11" s="2231"/>
      <c r="I11" s="2231"/>
      <c r="J11" s="2231"/>
      <c r="K11" s="2231"/>
      <c r="L11" s="2231"/>
    </row>
    <row r="12" spans="2:12" x14ac:dyDescent="0.25">
      <c r="B12" s="2231"/>
      <c r="C12" s="2231"/>
      <c r="D12" s="2231"/>
      <c r="E12" s="2231"/>
    </row>
    <row r="13" spans="2:12" x14ac:dyDescent="0.25">
      <c r="B13" s="2232" t="s">
        <v>5583</v>
      </c>
      <c r="C13" s="2232"/>
      <c r="D13" s="2232"/>
      <c r="E13" s="2232"/>
      <c r="F13" s="2232"/>
      <c r="G13" s="2232"/>
      <c r="H13" s="2232"/>
      <c r="I13" s="2232"/>
      <c r="J13" s="2232"/>
      <c r="K13" s="2232"/>
      <c r="L13" s="2232"/>
    </row>
    <row r="14" spans="2:12" x14ac:dyDescent="0.25">
      <c r="B14" s="2232"/>
      <c r="C14" s="2232"/>
      <c r="D14" s="2232"/>
      <c r="E14" s="2232"/>
      <c r="F14" s="2232"/>
      <c r="G14" s="2232"/>
      <c r="H14" s="2232"/>
      <c r="I14" s="2232"/>
      <c r="J14" s="2232"/>
      <c r="K14" s="2232"/>
      <c r="L14" s="2232"/>
    </row>
    <row r="15" spans="2:12" x14ac:dyDescent="0.25">
      <c r="B15" s="2231"/>
      <c r="C15" s="2231"/>
      <c r="D15" s="2231"/>
      <c r="E15" s="2231"/>
    </row>
    <row r="16" spans="2:12" x14ac:dyDescent="0.25">
      <c r="B16" s="2233" t="s">
        <v>5586</v>
      </c>
      <c r="C16" s="2234"/>
      <c r="D16" s="2234"/>
      <c r="E16" s="2234"/>
      <c r="F16" s="2234"/>
      <c r="G16" s="2234"/>
      <c r="H16" s="2234"/>
      <c r="I16" s="2234"/>
      <c r="J16" s="2234"/>
      <c r="K16" s="2234"/>
      <c r="L16" s="2234"/>
    </row>
    <row r="17" spans="2:12" x14ac:dyDescent="0.25">
      <c r="B17" s="2233" t="s">
        <v>4053</v>
      </c>
      <c r="C17" s="2234"/>
      <c r="D17" s="2234"/>
      <c r="E17" s="2234"/>
      <c r="F17" s="2234"/>
      <c r="G17" s="2234"/>
      <c r="H17" s="2234"/>
      <c r="I17" s="2234"/>
      <c r="J17" s="2234"/>
      <c r="K17" s="2234"/>
      <c r="L17" s="2234"/>
    </row>
    <row r="18" spans="2:12" x14ac:dyDescent="0.25">
      <c r="B18" s="2231"/>
      <c r="C18" s="2231"/>
      <c r="D18" s="2231"/>
      <c r="E18" s="2231"/>
    </row>
    <row r="19" spans="2:12" x14ac:dyDescent="0.25">
      <c r="B19" s="2236" t="s">
        <v>5585</v>
      </c>
      <c r="C19" s="2236"/>
      <c r="D19" s="2236"/>
      <c r="E19" s="2236"/>
      <c r="F19" s="2236"/>
      <c r="G19" s="2236"/>
      <c r="H19" s="2236"/>
      <c r="I19" s="2236"/>
      <c r="J19" s="2236"/>
      <c r="K19" s="2236"/>
      <c r="L19" s="2236"/>
    </row>
    <row r="20" spans="2:12" ht="15.75" thickBot="1" x14ac:dyDescent="0.3">
      <c r="B20" s="2226" t="s">
        <v>4052</v>
      </c>
      <c r="C20" s="2226"/>
      <c r="D20" s="2226"/>
      <c r="E20" s="2226"/>
      <c r="F20" s="2226"/>
      <c r="G20" s="2226"/>
      <c r="H20" s="2226"/>
      <c r="I20" s="2226"/>
      <c r="J20" s="2226"/>
      <c r="K20" s="2226"/>
      <c r="L20" s="2226"/>
    </row>
    <row r="21" spans="2:12" ht="15" customHeight="1" x14ac:dyDescent="0.25">
      <c r="B21" s="2222" t="s">
        <v>4051</v>
      </c>
      <c r="C21" s="2223"/>
      <c r="D21" s="2224"/>
      <c r="E21" s="2222" t="s">
        <v>4050</v>
      </c>
      <c r="F21" s="2223"/>
      <c r="G21" s="2223"/>
      <c r="H21" s="2223"/>
      <c r="I21" s="2223"/>
      <c r="J21" s="2223"/>
      <c r="K21" s="2223"/>
      <c r="L21" s="2224"/>
    </row>
    <row r="22" spans="2:12" ht="15" customHeight="1" thickBot="1" x14ac:dyDescent="0.3">
      <c r="B22" s="2225"/>
      <c r="C22" s="2226"/>
      <c r="D22" s="2227"/>
      <c r="E22" s="2225"/>
      <c r="F22" s="2226"/>
      <c r="G22" s="2226"/>
      <c r="H22" s="2226"/>
      <c r="I22" s="2226"/>
      <c r="J22" s="2226"/>
      <c r="K22" s="2226"/>
      <c r="L22" s="2227"/>
    </row>
    <row r="23" spans="2:12" ht="15" customHeight="1" x14ac:dyDescent="0.25">
      <c r="B23" s="2211" t="s">
        <v>4049</v>
      </c>
      <c r="C23" s="2212"/>
      <c r="D23" s="2212"/>
      <c r="E23" s="2212" t="s">
        <v>4048</v>
      </c>
      <c r="F23" s="2212"/>
      <c r="G23" s="2212"/>
      <c r="H23" s="2212"/>
      <c r="I23" s="2212"/>
      <c r="J23" s="2212"/>
      <c r="K23" s="2212"/>
      <c r="L23" s="2237"/>
    </row>
    <row r="24" spans="2:12" ht="15" customHeight="1" x14ac:dyDescent="0.25">
      <c r="B24" s="2213"/>
      <c r="C24" s="2214"/>
      <c r="D24" s="2214"/>
      <c r="E24" s="2214"/>
      <c r="F24" s="2214"/>
      <c r="G24" s="2214"/>
      <c r="H24" s="2214"/>
      <c r="I24" s="2214"/>
      <c r="J24" s="2214"/>
      <c r="K24" s="2214"/>
      <c r="L24" s="2230"/>
    </row>
    <row r="25" spans="2:12" ht="15" customHeight="1" x14ac:dyDescent="0.25">
      <c r="B25" s="2213" t="s">
        <v>4047</v>
      </c>
      <c r="C25" s="2214"/>
      <c r="D25" s="2214"/>
      <c r="E25" s="2214" t="s">
        <v>4027</v>
      </c>
      <c r="F25" s="2214"/>
      <c r="G25" s="2214"/>
      <c r="H25" s="2214"/>
      <c r="I25" s="2214"/>
      <c r="J25" s="2214"/>
      <c r="K25" s="2214"/>
      <c r="L25" s="2230"/>
    </row>
    <row r="26" spans="2:12" ht="15" customHeight="1" x14ac:dyDescent="0.25">
      <c r="B26" s="2213" t="s">
        <v>4046</v>
      </c>
      <c r="C26" s="2214"/>
      <c r="D26" s="2214"/>
      <c r="E26" s="2214" t="s">
        <v>4045</v>
      </c>
      <c r="F26" s="2214"/>
      <c r="G26" s="2214"/>
      <c r="H26" s="2214"/>
      <c r="I26" s="2214"/>
      <c r="J26" s="2214"/>
      <c r="K26" s="2214"/>
      <c r="L26" s="2230"/>
    </row>
    <row r="27" spans="2:12" ht="15" customHeight="1" x14ac:dyDescent="0.25">
      <c r="B27" s="2213"/>
      <c r="C27" s="2214"/>
      <c r="D27" s="2214"/>
      <c r="E27" s="2214"/>
      <c r="F27" s="2214"/>
      <c r="G27" s="2214"/>
      <c r="H27" s="2214"/>
      <c r="I27" s="2214"/>
      <c r="J27" s="2214"/>
      <c r="K27" s="2214"/>
      <c r="L27" s="2230"/>
    </row>
    <row r="28" spans="2:12" ht="15" customHeight="1" x14ac:dyDescent="0.25">
      <c r="B28" s="2213" t="s">
        <v>4044</v>
      </c>
      <c r="C28" s="2214"/>
      <c r="D28" s="2214"/>
      <c r="E28" s="2214" t="s">
        <v>4020</v>
      </c>
      <c r="F28" s="2214"/>
      <c r="G28" s="2214"/>
      <c r="H28" s="2214"/>
      <c r="I28" s="2214"/>
      <c r="J28" s="2214"/>
      <c r="K28" s="2214"/>
      <c r="L28" s="2230"/>
    </row>
    <row r="29" spans="2:12" ht="15" customHeight="1" x14ac:dyDescent="0.25">
      <c r="B29" s="2213"/>
      <c r="C29" s="2214"/>
      <c r="D29" s="2214"/>
      <c r="E29" s="2214" t="s">
        <v>4012</v>
      </c>
      <c r="F29" s="2214"/>
      <c r="G29" s="2214"/>
      <c r="H29" s="2214"/>
      <c r="I29" s="2214"/>
      <c r="J29" s="2214"/>
      <c r="K29" s="2214"/>
      <c r="L29" s="2230"/>
    </row>
    <row r="30" spans="2:12" ht="15" customHeight="1" x14ac:dyDescent="0.25">
      <c r="B30" s="2213" t="s">
        <v>4043</v>
      </c>
      <c r="C30" s="2214"/>
      <c r="D30" s="2214"/>
      <c r="E30" s="2214" t="s">
        <v>4020</v>
      </c>
      <c r="F30" s="2214"/>
      <c r="G30" s="2214"/>
      <c r="H30" s="2214"/>
      <c r="I30" s="2214"/>
      <c r="J30" s="2214"/>
      <c r="K30" s="2214"/>
      <c r="L30" s="2230"/>
    </row>
    <row r="31" spans="2:12" ht="15" customHeight="1" x14ac:dyDescent="0.25">
      <c r="B31" s="2213"/>
      <c r="C31" s="2214"/>
      <c r="D31" s="2214"/>
      <c r="E31" s="2214" t="s">
        <v>4012</v>
      </c>
      <c r="F31" s="2214"/>
      <c r="G31" s="2214"/>
      <c r="H31" s="2214"/>
      <c r="I31" s="2214"/>
      <c r="J31" s="2214"/>
      <c r="K31" s="2214"/>
      <c r="L31" s="2230"/>
    </row>
    <row r="32" spans="2:12" ht="15" customHeight="1" x14ac:dyDescent="0.25">
      <c r="B32" s="2213"/>
      <c r="C32" s="2214"/>
      <c r="D32" s="2214"/>
      <c r="E32" s="2214" t="s">
        <v>4006</v>
      </c>
      <c r="F32" s="2214"/>
      <c r="G32" s="2214"/>
      <c r="H32" s="2214"/>
      <c r="I32" s="2214"/>
      <c r="J32" s="2214"/>
      <c r="K32" s="2214"/>
      <c r="L32" s="2230"/>
    </row>
    <row r="33" spans="2:12" x14ac:dyDescent="0.25">
      <c r="B33" s="2213"/>
      <c r="C33" s="2214"/>
      <c r="D33" s="2214"/>
      <c r="E33" s="2214" t="s">
        <v>4000</v>
      </c>
      <c r="F33" s="2214"/>
      <c r="G33" s="2214"/>
      <c r="H33" s="2214"/>
      <c r="I33" s="2214"/>
      <c r="J33" s="2214"/>
      <c r="K33" s="2214"/>
      <c r="L33" s="2230"/>
    </row>
    <row r="34" spans="2:12" ht="15" customHeight="1" x14ac:dyDescent="0.25">
      <c r="B34" s="2213" t="s">
        <v>4042</v>
      </c>
      <c r="C34" s="2214"/>
      <c r="D34" s="2214"/>
      <c r="E34" s="2214" t="s">
        <v>4041</v>
      </c>
      <c r="F34" s="2214"/>
      <c r="G34" s="2214"/>
      <c r="H34" s="2214"/>
      <c r="I34" s="2214"/>
      <c r="J34" s="2214"/>
      <c r="K34" s="2214"/>
      <c r="L34" s="2230"/>
    </row>
    <row r="35" spans="2:12" ht="15" customHeight="1" x14ac:dyDescent="0.25">
      <c r="B35" s="2213"/>
      <c r="C35" s="2214"/>
      <c r="D35" s="2214"/>
      <c r="E35" s="2214" t="s">
        <v>4040</v>
      </c>
      <c r="F35" s="2214"/>
      <c r="G35" s="2214"/>
      <c r="H35" s="2214"/>
      <c r="I35" s="2214"/>
      <c r="J35" s="2214"/>
      <c r="K35" s="2214"/>
      <c r="L35" s="2230"/>
    </row>
    <row r="36" spans="2:12" ht="15" customHeight="1" x14ac:dyDescent="0.25">
      <c r="B36" s="2213"/>
      <c r="C36" s="2214"/>
      <c r="D36" s="2214"/>
      <c r="E36" s="2214" t="s">
        <v>4027</v>
      </c>
      <c r="F36" s="2214"/>
      <c r="G36" s="2214"/>
      <c r="H36" s="2214"/>
      <c r="I36" s="2214"/>
      <c r="J36" s="2214"/>
      <c r="K36" s="2214"/>
      <c r="L36" s="2230"/>
    </row>
    <row r="37" spans="2:12" ht="15" customHeight="1" x14ac:dyDescent="0.25">
      <c r="B37" s="2213"/>
      <c r="C37" s="2214"/>
      <c r="D37" s="2214"/>
      <c r="E37" s="2214" t="s">
        <v>4017</v>
      </c>
      <c r="F37" s="2214"/>
      <c r="G37" s="2214"/>
      <c r="H37" s="2214"/>
      <c r="I37" s="2214"/>
      <c r="J37" s="2214"/>
      <c r="K37" s="2214"/>
      <c r="L37" s="2230"/>
    </row>
    <row r="38" spans="2:12" ht="15" customHeight="1" x14ac:dyDescent="0.25">
      <c r="B38" s="2213"/>
      <c r="C38" s="2214"/>
      <c r="D38" s="2214"/>
      <c r="E38" s="2214" t="s">
        <v>4039</v>
      </c>
      <c r="F38" s="2214"/>
      <c r="G38" s="2214"/>
      <c r="H38" s="2214"/>
      <c r="I38" s="2214"/>
      <c r="J38" s="2214"/>
      <c r="K38" s="2214"/>
      <c r="L38" s="2230"/>
    </row>
    <row r="39" spans="2:12" s="1474" customFormat="1" ht="15" customHeight="1" x14ac:dyDescent="0.25">
      <c r="B39" s="2213" t="s">
        <v>4038</v>
      </c>
      <c r="C39" s="2214"/>
      <c r="D39" s="2214"/>
      <c r="E39" s="2214" t="s">
        <v>4037</v>
      </c>
      <c r="F39" s="2214"/>
      <c r="G39" s="2214"/>
      <c r="H39" s="2214"/>
      <c r="I39" s="2214"/>
      <c r="J39" s="2214"/>
      <c r="K39" s="2214"/>
      <c r="L39" s="2230"/>
    </row>
    <row r="40" spans="2:12" s="1474" customFormat="1" ht="15" customHeight="1" x14ac:dyDescent="0.25">
      <c r="B40" s="2213"/>
      <c r="C40" s="2214"/>
      <c r="D40" s="2214"/>
      <c r="E40" s="2214"/>
      <c r="F40" s="2214"/>
      <c r="G40" s="2214"/>
      <c r="H40" s="2214"/>
      <c r="I40" s="2214"/>
      <c r="J40" s="2214"/>
      <c r="K40" s="2214"/>
      <c r="L40" s="2230"/>
    </row>
    <row r="41" spans="2:12" ht="15.75" customHeight="1" x14ac:dyDescent="0.25">
      <c r="B41" s="2213" t="s">
        <v>5579</v>
      </c>
      <c r="C41" s="2214"/>
      <c r="D41" s="2214"/>
      <c r="E41" s="2214" t="s">
        <v>5580</v>
      </c>
      <c r="F41" s="2214"/>
      <c r="G41" s="2214"/>
      <c r="H41" s="2214"/>
      <c r="I41" s="2214"/>
      <c r="J41" s="2214"/>
      <c r="K41" s="2214"/>
      <c r="L41" s="2230"/>
    </row>
    <row r="42" spans="2:12" ht="15.75" customHeight="1" thickBot="1" x14ac:dyDescent="0.3">
      <c r="B42" s="2215"/>
      <c r="C42" s="2216"/>
      <c r="D42" s="2216"/>
      <c r="E42" s="2216"/>
      <c r="F42" s="2216"/>
      <c r="G42" s="2216"/>
      <c r="H42" s="2216"/>
      <c r="I42" s="2216"/>
      <c r="J42" s="2216"/>
      <c r="K42" s="2216"/>
      <c r="L42" s="2238"/>
    </row>
    <row r="45" spans="2:12" x14ac:dyDescent="0.25">
      <c r="B45" s="2205" t="s">
        <v>5587</v>
      </c>
      <c r="C45" s="2206"/>
      <c r="D45" s="2206"/>
      <c r="E45" s="2206"/>
      <c r="F45" s="2206"/>
      <c r="G45" s="2206"/>
      <c r="H45" s="2206"/>
      <c r="I45" s="2206"/>
      <c r="J45" s="2206"/>
      <c r="K45" s="2206"/>
      <c r="L45" s="2207"/>
    </row>
    <row r="46" spans="2:12" ht="15.75" thickBot="1" x14ac:dyDescent="0.3">
      <c r="B46" s="2208" t="s">
        <v>4036</v>
      </c>
      <c r="C46" s="2209"/>
      <c r="D46" s="2209"/>
      <c r="E46" s="2209"/>
      <c r="F46" s="2209"/>
      <c r="G46" s="2209"/>
      <c r="H46" s="2209"/>
      <c r="I46" s="2209"/>
      <c r="J46" s="2209"/>
      <c r="K46" s="2209"/>
      <c r="L46" s="2210"/>
    </row>
    <row r="47" spans="2:12" ht="15.75" thickBot="1" x14ac:dyDescent="0.3">
      <c r="B47" s="2217" t="s">
        <v>4035</v>
      </c>
      <c r="C47" s="2218"/>
      <c r="D47" s="2218"/>
      <c r="E47" s="2218"/>
      <c r="F47" s="2219"/>
      <c r="G47" s="2217" t="s">
        <v>4034</v>
      </c>
      <c r="H47" s="2218"/>
      <c r="I47" s="2218"/>
      <c r="J47" s="2218"/>
      <c r="K47" s="2218"/>
      <c r="L47" s="2219"/>
    </row>
    <row r="48" spans="2:12" x14ac:dyDescent="0.25">
      <c r="B48" s="2228" t="s">
        <v>4033</v>
      </c>
      <c r="C48" s="2229"/>
      <c r="D48" s="2229"/>
      <c r="E48" s="2229"/>
      <c r="F48" s="2229"/>
      <c r="G48" s="2220" t="s">
        <v>4032</v>
      </c>
      <c r="H48" s="2220"/>
      <c r="I48" s="2220"/>
      <c r="J48" s="2220"/>
      <c r="K48" s="2220"/>
      <c r="L48" s="2221"/>
    </row>
    <row r="49" spans="2:12" x14ac:dyDescent="0.25">
      <c r="B49" s="2213"/>
      <c r="C49" s="2214"/>
      <c r="D49" s="2214"/>
      <c r="E49" s="2214"/>
      <c r="F49" s="2214"/>
      <c r="G49" s="2199" t="s">
        <v>4031</v>
      </c>
      <c r="H49" s="2199"/>
      <c r="I49" s="2199"/>
      <c r="J49" s="2199"/>
      <c r="K49" s="2199"/>
      <c r="L49" s="2200"/>
    </row>
    <row r="50" spans="2:12" x14ac:dyDescent="0.25">
      <c r="B50" s="2213"/>
      <c r="C50" s="2214"/>
      <c r="D50" s="2214"/>
      <c r="E50" s="2214"/>
      <c r="F50" s="2214"/>
      <c r="G50" s="2199" t="s">
        <v>4030</v>
      </c>
      <c r="H50" s="2199"/>
      <c r="I50" s="2199"/>
      <c r="J50" s="2199"/>
      <c r="K50" s="2199"/>
      <c r="L50" s="2200"/>
    </row>
    <row r="51" spans="2:12" x14ac:dyDescent="0.25">
      <c r="B51" s="2213"/>
      <c r="C51" s="2214"/>
      <c r="D51" s="2214"/>
      <c r="E51" s="2214"/>
      <c r="F51" s="2214"/>
      <c r="G51" s="2201" t="s">
        <v>4029</v>
      </c>
      <c r="H51" s="2201"/>
      <c r="I51" s="2201"/>
      <c r="J51" s="2201"/>
      <c r="K51" s="2201"/>
      <c r="L51" s="2202"/>
    </row>
    <row r="52" spans="2:12" x14ac:dyDescent="0.25">
      <c r="B52" s="2213"/>
      <c r="C52" s="2214"/>
      <c r="D52" s="2214"/>
      <c r="E52" s="2214"/>
      <c r="F52" s="2214"/>
      <c r="G52" s="2199" t="s">
        <v>4028</v>
      </c>
      <c r="H52" s="2199"/>
      <c r="I52" s="2199"/>
      <c r="J52" s="2199"/>
      <c r="K52" s="2199"/>
      <c r="L52" s="2200"/>
    </row>
    <row r="53" spans="2:12" x14ac:dyDescent="0.25">
      <c r="B53" s="2213" t="s">
        <v>4027</v>
      </c>
      <c r="C53" s="2214"/>
      <c r="D53" s="2214"/>
      <c r="E53" s="2214"/>
      <c r="F53" s="2214"/>
      <c r="G53" s="2199" t="s">
        <v>4026</v>
      </c>
      <c r="H53" s="2199"/>
      <c r="I53" s="2199"/>
      <c r="J53" s="2199"/>
      <c r="K53" s="2199"/>
      <c r="L53" s="2200"/>
    </row>
    <row r="54" spans="2:12" x14ac:dyDescent="0.25">
      <c r="B54" s="2213"/>
      <c r="C54" s="2214"/>
      <c r="D54" s="2214"/>
      <c r="E54" s="2214"/>
      <c r="F54" s="2214"/>
      <c r="G54" s="2199" t="s">
        <v>4025</v>
      </c>
      <c r="H54" s="2199"/>
      <c r="I54" s="2199"/>
      <c r="J54" s="2199"/>
      <c r="K54" s="2199"/>
      <c r="L54" s="2200"/>
    </row>
    <row r="55" spans="2:12" x14ac:dyDescent="0.25">
      <c r="B55" s="2213"/>
      <c r="C55" s="2214"/>
      <c r="D55" s="2214"/>
      <c r="E55" s="2214"/>
      <c r="F55" s="2214"/>
      <c r="G55" s="2199" t="s">
        <v>4024</v>
      </c>
      <c r="H55" s="2199"/>
      <c r="I55" s="2199"/>
      <c r="J55" s="2199"/>
      <c r="K55" s="2199"/>
      <c r="L55" s="2200"/>
    </row>
    <row r="56" spans="2:12" x14ac:dyDescent="0.25">
      <c r="B56" s="2213"/>
      <c r="C56" s="2214"/>
      <c r="D56" s="2214"/>
      <c r="E56" s="2214"/>
      <c r="F56" s="2214"/>
      <c r="G56" s="2199" t="s">
        <v>4023</v>
      </c>
      <c r="H56" s="2199"/>
      <c r="I56" s="2199"/>
      <c r="J56" s="2199"/>
      <c r="K56" s="2199"/>
      <c r="L56" s="2200"/>
    </row>
    <row r="57" spans="2:12" x14ac:dyDescent="0.25">
      <c r="B57" s="2213"/>
      <c r="C57" s="2214"/>
      <c r="D57" s="2214"/>
      <c r="E57" s="2214"/>
      <c r="F57" s="2214"/>
      <c r="G57" s="2201" t="s">
        <v>4022</v>
      </c>
      <c r="H57" s="2201"/>
      <c r="I57" s="2201"/>
      <c r="J57" s="2201"/>
      <c r="K57" s="2201"/>
      <c r="L57" s="2202"/>
    </row>
    <row r="58" spans="2:12" x14ac:dyDescent="0.25">
      <c r="B58" s="2213"/>
      <c r="C58" s="2214"/>
      <c r="D58" s="2214"/>
      <c r="E58" s="2214"/>
      <c r="F58" s="2214"/>
      <c r="G58" s="2199" t="s">
        <v>4021</v>
      </c>
      <c r="H58" s="2199"/>
      <c r="I58" s="2199"/>
      <c r="J58" s="2199"/>
      <c r="K58" s="2199"/>
      <c r="L58" s="2200"/>
    </row>
    <row r="59" spans="2:12" x14ac:dyDescent="0.25">
      <c r="B59" s="2213" t="s">
        <v>4020</v>
      </c>
      <c r="C59" s="2214"/>
      <c r="D59" s="2214"/>
      <c r="E59" s="2214"/>
      <c r="F59" s="2214"/>
      <c r="G59" s="2199" t="s">
        <v>4019</v>
      </c>
      <c r="H59" s="2199"/>
      <c r="I59" s="2199"/>
      <c r="J59" s="2199"/>
      <c r="K59" s="2199"/>
      <c r="L59" s="2200"/>
    </row>
    <row r="60" spans="2:12" x14ac:dyDescent="0.25">
      <c r="B60" s="2213"/>
      <c r="C60" s="2214"/>
      <c r="D60" s="2214"/>
      <c r="E60" s="2214"/>
      <c r="F60" s="2214"/>
      <c r="G60" s="2199"/>
      <c r="H60" s="2199"/>
      <c r="I60" s="2199"/>
      <c r="J60" s="2199"/>
      <c r="K60" s="2199"/>
      <c r="L60" s="2200"/>
    </row>
    <row r="61" spans="2:12" x14ac:dyDescent="0.25">
      <c r="B61" s="2213"/>
      <c r="C61" s="2214"/>
      <c r="D61" s="2214"/>
      <c r="E61" s="2214"/>
      <c r="F61" s="2214"/>
      <c r="G61" s="2201" t="s">
        <v>4018</v>
      </c>
      <c r="H61" s="2201"/>
      <c r="I61" s="2201"/>
      <c r="J61" s="2201"/>
      <c r="K61" s="2201"/>
      <c r="L61" s="2202"/>
    </row>
    <row r="62" spans="2:12" x14ac:dyDescent="0.25">
      <c r="B62" s="2213"/>
      <c r="C62" s="2214"/>
      <c r="D62" s="2214"/>
      <c r="E62" s="2214"/>
      <c r="F62" s="2214"/>
      <c r="G62" s="2199" t="s">
        <v>3995</v>
      </c>
      <c r="H62" s="2199"/>
      <c r="I62" s="2199"/>
      <c r="J62" s="2199"/>
      <c r="K62" s="2199"/>
      <c r="L62" s="2200"/>
    </row>
    <row r="63" spans="2:12" x14ac:dyDescent="0.25">
      <c r="B63" s="2213" t="s">
        <v>4017</v>
      </c>
      <c r="C63" s="2214"/>
      <c r="D63" s="2214"/>
      <c r="E63" s="2214"/>
      <c r="F63" s="2214"/>
      <c r="G63" s="2199" t="s">
        <v>4016</v>
      </c>
      <c r="H63" s="2199"/>
      <c r="I63" s="2199"/>
      <c r="J63" s="2199"/>
      <c r="K63" s="2199"/>
      <c r="L63" s="2200"/>
    </row>
    <row r="64" spans="2:12" x14ac:dyDescent="0.25">
      <c r="B64" s="2213"/>
      <c r="C64" s="2214"/>
      <c r="D64" s="2214"/>
      <c r="E64" s="2214"/>
      <c r="F64" s="2214"/>
      <c r="G64" s="2199" t="s">
        <v>4015</v>
      </c>
      <c r="H64" s="2199"/>
      <c r="I64" s="2199"/>
      <c r="J64" s="2199"/>
      <c r="K64" s="2199"/>
      <c r="L64" s="2200"/>
    </row>
    <row r="65" spans="2:12" x14ac:dyDescent="0.25">
      <c r="B65" s="2213"/>
      <c r="C65" s="2214"/>
      <c r="D65" s="2214"/>
      <c r="E65" s="2214"/>
      <c r="F65" s="2214"/>
      <c r="G65" s="2199" t="s">
        <v>4014</v>
      </c>
      <c r="H65" s="2199"/>
      <c r="I65" s="2199"/>
      <c r="J65" s="2199"/>
      <c r="K65" s="2199"/>
      <c r="L65" s="2200"/>
    </row>
    <row r="66" spans="2:12" x14ac:dyDescent="0.25">
      <c r="B66" s="2213"/>
      <c r="C66" s="2214"/>
      <c r="D66" s="2214"/>
      <c r="E66" s="2214"/>
      <c r="F66" s="2214"/>
      <c r="G66" s="2201" t="s">
        <v>4013</v>
      </c>
      <c r="H66" s="2201"/>
      <c r="I66" s="2201"/>
      <c r="J66" s="2201"/>
      <c r="K66" s="2201"/>
      <c r="L66" s="2202"/>
    </row>
    <row r="67" spans="2:12" x14ac:dyDescent="0.25">
      <c r="B67" s="2213" t="s">
        <v>4012</v>
      </c>
      <c r="C67" s="2214"/>
      <c r="D67" s="2214"/>
      <c r="E67" s="2214"/>
      <c r="F67" s="2214"/>
      <c r="G67" s="2199" t="s">
        <v>4011</v>
      </c>
      <c r="H67" s="2199"/>
      <c r="I67" s="2199"/>
      <c r="J67" s="2199"/>
      <c r="K67" s="2199"/>
      <c r="L67" s="2200"/>
    </row>
    <row r="68" spans="2:12" x14ac:dyDescent="0.25">
      <c r="B68" s="2213"/>
      <c r="C68" s="2214"/>
      <c r="D68" s="2214"/>
      <c r="E68" s="2214"/>
      <c r="F68" s="2214"/>
      <c r="G68" s="2199" t="s">
        <v>4010</v>
      </c>
      <c r="H68" s="2199"/>
      <c r="I68" s="2199"/>
      <c r="J68" s="2199"/>
      <c r="K68" s="2199"/>
      <c r="L68" s="2200"/>
    </row>
    <row r="69" spans="2:12" x14ac:dyDescent="0.25">
      <c r="B69" s="2213"/>
      <c r="C69" s="2214"/>
      <c r="D69" s="2214"/>
      <c r="E69" s="2214"/>
      <c r="F69" s="2214"/>
      <c r="G69" s="2199" t="s">
        <v>4009</v>
      </c>
      <c r="H69" s="2199"/>
      <c r="I69" s="2199"/>
      <c r="J69" s="2199"/>
      <c r="K69" s="2199"/>
      <c r="L69" s="2200"/>
    </row>
    <row r="70" spans="2:12" x14ac:dyDescent="0.25">
      <c r="B70" s="2213"/>
      <c r="C70" s="2214"/>
      <c r="D70" s="2214"/>
      <c r="E70" s="2214"/>
      <c r="F70" s="2214"/>
      <c r="G70" s="2201" t="s">
        <v>4008</v>
      </c>
      <c r="H70" s="2201"/>
      <c r="I70" s="2201"/>
      <c r="J70" s="2201"/>
      <c r="K70" s="2201"/>
      <c r="L70" s="2202"/>
    </row>
    <row r="71" spans="2:12" x14ac:dyDescent="0.25">
      <c r="B71" s="2213"/>
      <c r="C71" s="2214"/>
      <c r="D71" s="2214"/>
      <c r="E71" s="2214"/>
      <c r="F71" s="2214"/>
      <c r="G71" s="2199" t="s">
        <v>4007</v>
      </c>
      <c r="H71" s="2199"/>
      <c r="I71" s="2199"/>
      <c r="J71" s="2199"/>
      <c r="K71" s="2199"/>
      <c r="L71" s="2200"/>
    </row>
    <row r="72" spans="2:12" x14ac:dyDescent="0.25">
      <c r="B72" s="2213" t="s">
        <v>4006</v>
      </c>
      <c r="C72" s="2214"/>
      <c r="D72" s="2214"/>
      <c r="E72" s="2214"/>
      <c r="F72" s="2214"/>
      <c r="G72" s="2199" t="s">
        <v>4005</v>
      </c>
      <c r="H72" s="2199"/>
      <c r="I72" s="2199"/>
      <c r="J72" s="2199"/>
      <c r="K72" s="2199"/>
      <c r="L72" s="2200"/>
    </row>
    <row r="73" spans="2:12" x14ac:dyDescent="0.25">
      <c r="B73" s="2213"/>
      <c r="C73" s="2214"/>
      <c r="D73" s="2214"/>
      <c r="E73" s="2214"/>
      <c r="F73" s="2214"/>
      <c r="G73" s="2199" t="s">
        <v>4004</v>
      </c>
      <c r="H73" s="2199"/>
      <c r="I73" s="2199"/>
      <c r="J73" s="2199"/>
      <c r="K73" s="2199"/>
      <c r="L73" s="2200"/>
    </row>
    <row r="74" spans="2:12" x14ac:dyDescent="0.25">
      <c r="B74" s="2213"/>
      <c r="C74" s="2214"/>
      <c r="D74" s="2214"/>
      <c r="E74" s="2214"/>
      <c r="F74" s="2214"/>
      <c r="G74" s="2199" t="s">
        <v>4003</v>
      </c>
      <c r="H74" s="2199"/>
      <c r="I74" s="2199"/>
      <c r="J74" s="2199"/>
      <c r="K74" s="2199"/>
      <c r="L74" s="2200"/>
    </row>
    <row r="75" spans="2:12" x14ac:dyDescent="0.25">
      <c r="B75" s="2213"/>
      <c r="C75" s="2214"/>
      <c r="D75" s="2214"/>
      <c r="E75" s="2214"/>
      <c r="F75" s="2214"/>
      <c r="G75" s="2201" t="s">
        <v>4002</v>
      </c>
      <c r="H75" s="2201"/>
      <c r="I75" s="2201"/>
      <c r="J75" s="2201"/>
      <c r="K75" s="2201"/>
      <c r="L75" s="2202"/>
    </row>
    <row r="76" spans="2:12" x14ac:dyDescent="0.25">
      <c r="B76" s="2213"/>
      <c r="C76" s="2214"/>
      <c r="D76" s="2214"/>
      <c r="E76" s="2214"/>
      <c r="F76" s="2214"/>
      <c r="G76" s="2199" t="s">
        <v>4001</v>
      </c>
      <c r="H76" s="2199"/>
      <c r="I76" s="2199"/>
      <c r="J76" s="2199"/>
      <c r="K76" s="2199"/>
      <c r="L76" s="2200"/>
    </row>
    <row r="77" spans="2:12" x14ac:dyDescent="0.25">
      <c r="B77" s="2213" t="s">
        <v>4000</v>
      </c>
      <c r="C77" s="2214"/>
      <c r="D77" s="2214"/>
      <c r="E77" s="2214"/>
      <c r="F77" s="2214"/>
      <c r="G77" s="2199" t="s">
        <v>3999</v>
      </c>
      <c r="H77" s="2199"/>
      <c r="I77" s="2199"/>
      <c r="J77" s="2199"/>
      <c r="K77" s="2199"/>
      <c r="L77" s="2200"/>
    </row>
    <row r="78" spans="2:12" x14ac:dyDescent="0.25">
      <c r="B78" s="2213"/>
      <c r="C78" s="2214"/>
      <c r="D78" s="2214"/>
      <c r="E78" s="2214"/>
      <c r="F78" s="2214"/>
      <c r="G78" s="2199" t="s">
        <v>3998</v>
      </c>
      <c r="H78" s="2199"/>
      <c r="I78" s="2199"/>
      <c r="J78" s="2199"/>
      <c r="K78" s="2199"/>
      <c r="L78" s="2200"/>
    </row>
    <row r="79" spans="2:12" x14ac:dyDescent="0.25">
      <c r="B79" s="2213"/>
      <c r="C79" s="2214"/>
      <c r="D79" s="2214"/>
      <c r="E79" s="2214"/>
      <c r="F79" s="2214"/>
      <c r="G79" s="2199" t="s">
        <v>3997</v>
      </c>
      <c r="H79" s="2199"/>
      <c r="I79" s="2199"/>
      <c r="J79" s="2199"/>
      <c r="K79" s="2199"/>
      <c r="L79" s="2200"/>
    </row>
    <row r="80" spans="2:12" x14ac:dyDescent="0.25">
      <c r="B80" s="2213"/>
      <c r="C80" s="2214"/>
      <c r="D80" s="2214"/>
      <c r="E80" s="2214"/>
      <c r="F80" s="2214"/>
      <c r="G80" s="2201" t="s">
        <v>3996</v>
      </c>
      <c r="H80" s="2201"/>
      <c r="I80" s="2201"/>
      <c r="J80" s="2201"/>
      <c r="K80" s="2201"/>
      <c r="L80" s="2202"/>
    </row>
    <row r="81" spans="2:12" ht="15.75" thickBot="1" x14ac:dyDescent="0.3">
      <c r="B81" s="2215"/>
      <c r="C81" s="2216"/>
      <c r="D81" s="2216"/>
      <c r="E81" s="2216"/>
      <c r="F81" s="2216"/>
      <c r="G81" s="2203" t="s">
        <v>3995</v>
      </c>
      <c r="H81" s="2203"/>
      <c r="I81" s="2203"/>
      <c r="J81" s="2203"/>
      <c r="K81" s="2203"/>
      <c r="L81" s="2204"/>
    </row>
  </sheetData>
  <sheetProtection algorithmName="SHA-512" hashValue="j1Mr+hf0KrJvufkZtDuqOqn1US6s+P9ZVY4g8A3AXLliiiw3m5duo984D7anasXO3QPTTZp+IWdQ7Lia5gOT4Q==" saltValue="bBiamOQs5E2+SL5aoFR4WA==" spinCount="100000" sheet="1" objects="1" scenarios="1" selectLockedCells="1" selectUnlockedCells="1"/>
  <mergeCells count="83">
    <mergeCell ref="B67:F71"/>
    <mergeCell ref="B72:F76"/>
    <mergeCell ref="B63:F66"/>
    <mergeCell ref="B19:L19"/>
    <mergeCell ref="B34:D38"/>
    <mergeCell ref="B28:D29"/>
    <mergeCell ref="B30:D33"/>
    <mergeCell ref="E25:L25"/>
    <mergeCell ref="E34:L34"/>
    <mergeCell ref="E35:L35"/>
    <mergeCell ref="E36:L36"/>
    <mergeCell ref="E37:L37"/>
    <mergeCell ref="E33:L33"/>
    <mergeCell ref="E23:L24"/>
    <mergeCell ref="E26:L27"/>
    <mergeCell ref="E41:L42"/>
    <mergeCell ref="B18:E18"/>
    <mergeCell ref="B20:L20"/>
    <mergeCell ref="B11:L11"/>
    <mergeCell ref="B13:L14"/>
    <mergeCell ref="B8:L8"/>
    <mergeCell ref="B9:L9"/>
    <mergeCell ref="B16:L16"/>
    <mergeCell ref="B17:L17"/>
    <mergeCell ref="B10:E10"/>
    <mergeCell ref="B12:E12"/>
    <mergeCell ref="B15:E15"/>
    <mergeCell ref="B25:D25"/>
    <mergeCell ref="B21:D22"/>
    <mergeCell ref="E21:L22"/>
    <mergeCell ref="B47:F47"/>
    <mergeCell ref="B48:F52"/>
    <mergeCell ref="E38:L38"/>
    <mergeCell ref="B41:D42"/>
    <mergeCell ref="E28:L28"/>
    <mergeCell ref="E29:L29"/>
    <mergeCell ref="E30:L30"/>
    <mergeCell ref="E31:L31"/>
    <mergeCell ref="E32:L32"/>
    <mergeCell ref="B39:D40"/>
    <mergeCell ref="E39:L40"/>
    <mergeCell ref="B53:F58"/>
    <mergeCell ref="B59:F62"/>
    <mergeCell ref="G56:L56"/>
    <mergeCell ref="G57:L57"/>
    <mergeCell ref="G58:L58"/>
    <mergeCell ref="B77:F81"/>
    <mergeCell ref="G47:L47"/>
    <mergeCell ref="G48:L48"/>
    <mergeCell ref="G49:L49"/>
    <mergeCell ref="G50:L50"/>
    <mergeCell ref="G51:L51"/>
    <mergeCell ref="G52:L52"/>
    <mergeCell ref="G53:L53"/>
    <mergeCell ref="G54:L54"/>
    <mergeCell ref="G55:L55"/>
    <mergeCell ref="G72:L72"/>
    <mergeCell ref="G61:L61"/>
    <mergeCell ref="G62:L62"/>
    <mergeCell ref="G63:L63"/>
    <mergeCell ref="G64:L64"/>
    <mergeCell ref="G65:L65"/>
    <mergeCell ref="G66:L66"/>
    <mergeCell ref="G74:L74"/>
    <mergeCell ref="G75:L75"/>
    <mergeCell ref="G76:L76"/>
    <mergeCell ref="G77:L77"/>
    <mergeCell ref="B4:I6"/>
    <mergeCell ref="G79:L79"/>
    <mergeCell ref="G80:L80"/>
    <mergeCell ref="G81:L81"/>
    <mergeCell ref="B45:L45"/>
    <mergeCell ref="B46:L46"/>
    <mergeCell ref="B23:D24"/>
    <mergeCell ref="B26:D27"/>
    <mergeCell ref="G59:L60"/>
    <mergeCell ref="G73:L73"/>
    <mergeCell ref="G78:L78"/>
    <mergeCell ref="G67:L67"/>
    <mergeCell ref="G68:L68"/>
    <mergeCell ref="G69:L69"/>
    <mergeCell ref="G70:L70"/>
    <mergeCell ref="G71:L71"/>
  </mergeCells>
  <hyperlinks>
    <hyperlink ref="G51" r:id="rId1" display="http://www.kcma.org/" xr:uid="{00000000-0004-0000-1500-000000000000}"/>
    <hyperlink ref="G57" r:id="rId2" display="http://www.carpet-rug.org/" xr:uid="{00000000-0004-0000-1500-000001000000}"/>
    <hyperlink ref="G61" r:id="rId3" display="http://www.ul.com/" xr:uid="{00000000-0004-0000-1500-000002000000}"/>
    <hyperlink ref="G66" r:id="rId4" display="http://www.rfci.com/" xr:uid="{00000000-0004-0000-1500-000003000000}"/>
    <hyperlink ref="G70" r:id="rId5" display="http://www.scscertified.com/" xr:uid="{00000000-0004-0000-1500-000004000000}"/>
    <hyperlink ref="G75" r:id="rId6" display="http://www.greenseal.org/" xr:uid="{00000000-0004-0000-1500-000005000000}"/>
    <hyperlink ref="G80" r:id="rId7" display="http://www.ul.com/" xr:uid="{00000000-0004-0000-1500-000006000000}"/>
  </hyperlinks>
  <pageMargins left="0.7" right="0.7" top="0.75" bottom="0.75" header="0.3" footer="0.3"/>
  <pageSetup scale="82" fitToHeight="0" orientation="portrait" r:id="rId8"/>
  <rowBreaks count="1" manualBreakCount="1">
    <brk id="4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B2:H12"/>
  <sheetViews>
    <sheetView showGridLines="0" zoomScaleNormal="100" workbookViewId="0">
      <selection activeCell="B2" sqref="B2:C2"/>
    </sheetView>
  </sheetViews>
  <sheetFormatPr defaultColWidth="9.140625" defaultRowHeight="15" x14ac:dyDescent="0.25"/>
  <cols>
    <col min="1" max="7" width="9.140625" style="137"/>
    <col min="8" max="8" width="10.140625" style="137" customWidth="1"/>
    <col min="9" max="16384" width="9.140625" style="137"/>
  </cols>
  <sheetData>
    <row r="2" spans="2:8" s="140" customFormat="1" x14ac:dyDescent="0.25">
      <c r="B2" s="2252" t="s">
        <v>3035</v>
      </c>
      <c r="C2" s="2252"/>
      <c r="F2" s="2249" t="s">
        <v>4069</v>
      </c>
      <c r="G2" s="2250"/>
      <c r="H2" s="2251"/>
    </row>
    <row r="4" spans="2:8" x14ac:dyDescent="0.25">
      <c r="C4" s="2240" t="s">
        <v>3008</v>
      </c>
      <c r="D4" s="2240"/>
      <c r="E4" s="2240"/>
      <c r="F4" s="2240"/>
      <c r="G4" s="2240"/>
      <c r="H4" s="2240"/>
    </row>
    <row r="5" spans="2:8" ht="15" customHeight="1" x14ac:dyDescent="0.25">
      <c r="B5" s="94"/>
      <c r="C5" s="2247" t="s">
        <v>3007</v>
      </c>
      <c r="D5" s="2247"/>
      <c r="E5" s="2247"/>
      <c r="F5" s="2247"/>
      <c r="G5" s="2247"/>
      <c r="H5" s="2247"/>
    </row>
    <row r="6" spans="2:8" ht="25.5" customHeight="1" x14ac:dyDescent="0.25">
      <c r="C6" s="2241" t="s">
        <v>3006</v>
      </c>
      <c r="D6" s="2242"/>
      <c r="E6" s="2241" t="s">
        <v>3005</v>
      </c>
      <c r="F6" s="2242"/>
      <c r="G6" s="2245" t="s">
        <v>3004</v>
      </c>
      <c r="H6" s="2245"/>
    </row>
    <row r="7" spans="2:8" x14ac:dyDescent="0.25">
      <c r="C7" s="2243" t="s">
        <v>3003</v>
      </c>
      <c r="D7" s="2244"/>
      <c r="E7" s="2243">
        <v>12</v>
      </c>
      <c r="F7" s="2244"/>
      <c r="G7" s="2246">
        <v>12</v>
      </c>
      <c r="H7" s="2246"/>
    </row>
    <row r="8" spans="2:8" x14ac:dyDescent="0.25">
      <c r="C8" s="2243" t="s">
        <v>3002</v>
      </c>
      <c r="D8" s="2244"/>
      <c r="E8" s="2243">
        <v>18</v>
      </c>
      <c r="F8" s="2244"/>
      <c r="G8" s="2246">
        <v>12</v>
      </c>
      <c r="H8" s="2246"/>
    </row>
    <row r="9" spans="2:8" x14ac:dyDescent="0.25">
      <c r="C9" s="2243" t="s">
        <v>3001</v>
      </c>
      <c r="D9" s="2244"/>
      <c r="E9" s="2243">
        <v>24</v>
      </c>
      <c r="F9" s="2244"/>
      <c r="G9" s="2246">
        <v>12</v>
      </c>
      <c r="H9" s="2246"/>
    </row>
    <row r="10" spans="2:8" ht="15" customHeight="1" x14ac:dyDescent="0.25">
      <c r="C10" s="2051" t="s">
        <v>3038</v>
      </c>
      <c r="D10" s="2051"/>
      <c r="E10" s="2051"/>
      <c r="F10" s="2051"/>
      <c r="G10" s="2051"/>
      <c r="H10" s="2051"/>
    </row>
    <row r="11" spans="2:8" x14ac:dyDescent="0.25">
      <c r="C11" s="2248" t="s">
        <v>3037</v>
      </c>
      <c r="D11" s="2248"/>
      <c r="E11" s="2248"/>
      <c r="F11" s="2248"/>
      <c r="G11" s="2248"/>
      <c r="H11" s="2248"/>
    </row>
    <row r="12" spans="2:8" x14ac:dyDescent="0.25">
      <c r="C12" s="2239" t="s">
        <v>3000</v>
      </c>
      <c r="D12" s="2239"/>
      <c r="E12" s="2239"/>
    </row>
  </sheetData>
  <sheetProtection algorithmName="SHA-512" hashValue="dtXjphy3GWNHEM9YhImkmrtvX2OLPU+HXzWw+RYPekT3RZbdbZSrdhM8yE5490LoHqYheg+4Txz3BIP3R0bwWg==" saltValue="h7zure8Fnj2vTrQHYsFkDA==" spinCount="100000" sheet="1" objects="1" scenarios="1" selectLockedCells="1"/>
  <mergeCells count="19">
    <mergeCell ref="F2:H2"/>
    <mergeCell ref="E7:F7"/>
    <mergeCell ref="E8:F8"/>
    <mergeCell ref="E9:F9"/>
    <mergeCell ref="B2:C2"/>
    <mergeCell ref="C12:E12"/>
    <mergeCell ref="C4:H4"/>
    <mergeCell ref="C6:D6"/>
    <mergeCell ref="C8:D8"/>
    <mergeCell ref="C7:D7"/>
    <mergeCell ref="C9:D9"/>
    <mergeCell ref="E6:F6"/>
    <mergeCell ref="G6:H6"/>
    <mergeCell ref="G7:H7"/>
    <mergeCell ref="G8:H8"/>
    <mergeCell ref="G9:H9"/>
    <mergeCell ref="C5:H5"/>
    <mergeCell ref="C10:H10"/>
    <mergeCell ref="C11:H11"/>
  </mergeCells>
  <hyperlinks>
    <hyperlink ref="C11:H11" location="'Figure 6(2)'!A1" display="Figure 6(2)" xr:uid="{00000000-0004-0000-1600-000000000000}"/>
    <hyperlink ref="B2:C2" location="hyptarg3" display="back to 602.1.12" xr:uid="{00000000-0004-0000-1600-000001000000}"/>
    <hyperlink ref="F2:G2" location="'Verification Report'!A1" display="back to Verification Report" xr:uid="{00000000-0004-0000-1600-000002000000}"/>
    <hyperlink ref="F2:H2" location="'Verification Report'!A1" display="back to Verification Report" xr:uid="{00000000-0004-0000-1600-000003000000}"/>
  </hyperlinks>
  <pageMargins left="0.7" right="0.7" top="0.75" bottom="0.75" header="0.3" footer="0.3"/>
  <pageSetup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B1:H9"/>
  <sheetViews>
    <sheetView showGridLines="0" zoomScaleNormal="100" workbookViewId="0">
      <selection activeCell="B2" sqref="B2:C2"/>
    </sheetView>
  </sheetViews>
  <sheetFormatPr defaultColWidth="9.140625" defaultRowHeight="15" x14ac:dyDescent="0.25"/>
  <cols>
    <col min="1" max="1" width="9.140625" style="137"/>
    <col min="2" max="2" width="9.140625" style="137" customWidth="1"/>
    <col min="3" max="3" width="9.140625" style="137"/>
    <col min="4" max="4" width="11.5703125" style="137" customWidth="1"/>
    <col min="5" max="5" width="9.140625" style="137"/>
    <col min="6" max="6" width="10.5703125" style="137" customWidth="1"/>
    <col min="7" max="7" width="9.140625" style="137"/>
    <col min="8" max="8" width="11.28515625" style="137" customWidth="1"/>
    <col min="9" max="16384" width="9.140625" style="137"/>
  </cols>
  <sheetData>
    <row r="1" spans="2:8" s="157" customFormat="1" x14ac:dyDescent="0.25"/>
    <row r="2" spans="2:8" x14ac:dyDescent="0.25">
      <c r="B2" s="2252" t="s">
        <v>3065</v>
      </c>
      <c r="C2" s="2252"/>
      <c r="F2" s="2249" t="s">
        <v>4069</v>
      </c>
      <c r="G2" s="2250"/>
      <c r="H2" s="2251"/>
    </row>
    <row r="4" spans="2:8" x14ac:dyDescent="0.25">
      <c r="C4" s="2240" t="s">
        <v>3015</v>
      </c>
      <c r="D4" s="2240"/>
      <c r="E4" s="2240"/>
      <c r="F4" s="2240"/>
      <c r="G4" s="2240"/>
      <c r="H4" s="2240"/>
    </row>
    <row r="5" spans="2:8" x14ac:dyDescent="0.25">
      <c r="C5" s="2247" t="s">
        <v>3014</v>
      </c>
      <c r="D5" s="2247"/>
      <c r="E5" s="2247"/>
      <c r="F5" s="2247"/>
      <c r="G5" s="2247"/>
      <c r="H5" s="2247"/>
    </row>
    <row r="6" spans="2:8" ht="24.75" customHeight="1" x14ac:dyDescent="0.25">
      <c r="C6" s="2241" t="s">
        <v>3058</v>
      </c>
      <c r="D6" s="2242"/>
      <c r="E6" s="2241" t="s">
        <v>3013</v>
      </c>
      <c r="F6" s="2242"/>
      <c r="G6" s="2245" t="s">
        <v>3012</v>
      </c>
      <c r="H6" s="2245"/>
    </row>
    <row r="7" spans="2:8" x14ac:dyDescent="0.25">
      <c r="C7" s="2243" t="s">
        <v>3011</v>
      </c>
      <c r="D7" s="2244"/>
      <c r="E7" s="2253">
        <v>1</v>
      </c>
      <c r="F7" s="2254"/>
      <c r="G7" s="2245">
        <v>2</v>
      </c>
      <c r="H7" s="2245"/>
    </row>
    <row r="8" spans="2:8" x14ac:dyDescent="0.25">
      <c r="C8" s="2243" t="s">
        <v>3010</v>
      </c>
      <c r="D8" s="2244"/>
      <c r="E8" s="2253">
        <v>2</v>
      </c>
      <c r="F8" s="2254"/>
      <c r="G8" s="2245">
        <v>4</v>
      </c>
      <c r="H8" s="2245"/>
    </row>
    <row r="9" spans="2:8" x14ac:dyDescent="0.25">
      <c r="C9" s="2243" t="s">
        <v>3009</v>
      </c>
      <c r="D9" s="2244"/>
      <c r="E9" s="2253">
        <v>3</v>
      </c>
      <c r="F9" s="2254"/>
      <c r="G9" s="2245">
        <v>6</v>
      </c>
      <c r="H9" s="2245"/>
    </row>
  </sheetData>
  <sheetProtection algorithmName="SHA-512" hashValue="m/oAKdni8afEVYk/5E9nAGPTg8U9CQLvazXIryDwf5l/bHujoxjFg/3SbXL4+wzyibBPTPT205i/4ALqMKA8PQ==" saltValue="mOPqXna1ykxofqOFCc2Esw==" spinCount="100000" sheet="1" objects="1" scenarios="1" selectLockedCells="1"/>
  <mergeCells count="16">
    <mergeCell ref="F2:H2"/>
    <mergeCell ref="B2:C2"/>
    <mergeCell ref="C8:D8"/>
    <mergeCell ref="E8:F8"/>
    <mergeCell ref="G8:H8"/>
    <mergeCell ref="C4:H4"/>
    <mergeCell ref="C5:H5"/>
    <mergeCell ref="C6:D6"/>
    <mergeCell ref="E6:F6"/>
    <mergeCell ref="G6:H6"/>
    <mergeCell ref="C9:D9"/>
    <mergeCell ref="E9:F9"/>
    <mergeCell ref="G9:H9"/>
    <mergeCell ref="C7:D7"/>
    <mergeCell ref="E7:F7"/>
    <mergeCell ref="G7:H7"/>
  </mergeCells>
  <hyperlinks>
    <hyperlink ref="B2:C2" location="hyptarg4" display="back to 604.1" xr:uid="{00000000-0004-0000-1700-000000000000}"/>
    <hyperlink ref="F2:G2" location="'Verification Report'!A1" display="back to Verification Report" xr:uid="{00000000-0004-0000-1700-000001000000}"/>
    <hyperlink ref="F2:H2" location="'Verification Report'!A1" display="back to Verification Report" xr:uid="{00000000-0004-0000-1700-000002000000}"/>
  </hyperlinks>
  <pageMargins left="0.7" right="0.7" top="0.75" bottom="0.75"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B2:G8"/>
  <sheetViews>
    <sheetView showGridLines="0" zoomScaleNormal="100" workbookViewId="0">
      <selection activeCell="B2" sqref="B2:C2"/>
    </sheetView>
  </sheetViews>
  <sheetFormatPr defaultColWidth="9.140625" defaultRowHeight="15" x14ac:dyDescent="0.25"/>
  <cols>
    <col min="1" max="3" width="9.140625" style="137"/>
    <col min="4" max="4" width="15.5703125" style="137" customWidth="1"/>
    <col min="5" max="5" width="9.140625" style="137"/>
    <col min="6" max="6" width="18.5703125" style="137" customWidth="1"/>
    <col min="7" max="16384" width="9.140625" style="137"/>
  </cols>
  <sheetData>
    <row r="2" spans="2:7" x14ac:dyDescent="0.25">
      <c r="B2" s="2252" t="s">
        <v>3123</v>
      </c>
      <c r="C2" s="2252"/>
      <c r="E2" s="2249" t="s">
        <v>4069</v>
      </c>
      <c r="F2" s="2250"/>
      <c r="G2" s="2251"/>
    </row>
    <row r="4" spans="2:7" x14ac:dyDescent="0.25">
      <c r="C4" s="2240" t="s">
        <v>3020</v>
      </c>
      <c r="D4" s="2240"/>
      <c r="E4" s="2240"/>
      <c r="F4" s="2240"/>
    </row>
    <row r="5" spans="2:7" x14ac:dyDescent="0.25">
      <c r="C5" s="2247" t="s">
        <v>3019</v>
      </c>
      <c r="D5" s="2247"/>
      <c r="E5" s="2247"/>
      <c r="F5" s="2247"/>
    </row>
    <row r="6" spans="2:7" x14ac:dyDescent="0.25">
      <c r="C6" s="2241" t="s">
        <v>3018</v>
      </c>
      <c r="D6" s="2242"/>
      <c r="E6" s="2241" t="s">
        <v>3017</v>
      </c>
      <c r="F6" s="2242"/>
    </row>
    <row r="7" spans="2:7" x14ac:dyDescent="0.25">
      <c r="C7" s="2255" t="s">
        <v>3016</v>
      </c>
      <c r="D7" s="2256"/>
      <c r="E7" s="2256"/>
      <c r="F7" s="2257"/>
    </row>
    <row r="8" spans="2:7" x14ac:dyDescent="0.25">
      <c r="C8" s="2253">
        <v>2</v>
      </c>
      <c r="D8" s="2254"/>
      <c r="E8" s="2253">
        <v>3</v>
      </c>
      <c r="F8" s="2254"/>
    </row>
  </sheetData>
  <sheetProtection algorithmName="SHA-512" hashValue="C8ke8LK8r5hXz1kyU2HT2YjIx/UkHAKgHqpSHAh74PqQ1QKYzDL+5f/UjnkEdIBKufSQ6cHTEqXFQYOPtcPRLA==" saltValue="YqwrCEYmv1+8L3BK92G9Xw==" spinCount="100000" sheet="1" objects="1" scenarios="1" selectLockedCells="1"/>
  <mergeCells count="9">
    <mergeCell ref="B2:C2"/>
    <mergeCell ref="C8:D8"/>
    <mergeCell ref="E8:F8"/>
    <mergeCell ref="C7:F7"/>
    <mergeCell ref="C4:F4"/>
    <mergeCell ref="C5:F5"/>
    <mergeCell ref="C6:D6"/>
    <mergeCell ref="E6:F6"/>
    <mergeCell ref="E2:G2"/>
  </mergeCells>
  <hyperlinks>
    <hyperlink ref="B2:C2" location="hyptarg5" display="back to 610.1.2.1" xr:uid="{00000000-0004-0000-1800-000000000000}"/>
    <hyperlink ref="E2:F2" location="'Verification Report'!A1" display="back to Verification Report" xr:uid="{00000000-0004-0000-1800-000001000000}"/>
    <hyperlink ref="E2:G2" location="'Verification Report'!A1" display="back to Verification Report" xr:uid="{00000000-0004-0000-1800-000002000000}"/>
  </hyperlinks>
  <pageMargins left="0.7" right="0.7" top="0.75" bottom="0.75" header="0.3" footer="0.3"/>
  <pageSetup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B2:G10"/>
  <sheetViews>
    <sheetView showGridLines="0" zoomScaleNormal="100" workbookViewId="0">
      <selection activeCell="B2" sqref="B2:C2"/>
    </sheetView>
  </sheetViews>
  <sheetFormatPr defaultColWidth="9.140625" defaultRowHeight="15" x14ac:dyDescent="0.25"/>
  <cols>
    <col min="1" max="2" width="9.140625" style="137"/>
    <col min="3" max="3" width="16.5703125" style="137" bestFit="1" customWidth="1"/>
    <col min="4" max="5" width="15.85546875" style="137" bestFit="1" customWidth="1"/>
    <col min="6" max="16384" width="9.140625" style="137"/>
  </cols>
  <sheetData>
    <row r="2" spans="2:7" x14ac:dyDescent="0.25">
      <c r="B2" s="2252" t="s">
        <v>3124</v>
      </c>
      <c r="C2" s="2252"/>
      <c r="E2" s="2249" t="s">
        <v>4069</v>
      </c>
      <c r="F2" s="2250"/>
      <c r="G2" s="2251"/>
    </row>
    <row r="4" spans="2:7" x14ac:dyDescent="0.25">
      <c r="C4" s="2240" t="s">
        <v>3025</v>
      </c>
      <c r="D4" s="2240"/>
      <c r="E4" s="2240"/>
    </row>
    <row r="5" spans="2:7" x14ac:dyDescent="0.25">
      <c r="C5" s="1867" t="s">
        <v>3024</v>
      </c>
      <c r="D5" s="2247"/>
      <c r="E5" s="2247"/>
    </row>
    <row r="6" spans="2:7" ht="15" customHeight="1" x14ac:dyDescent="0.25">
      <c r="C6" s="2259" t="s">
        <v>3645</v>
      </c>
      <c r="D6" s="144" t="s">
        <v>3018</v>
      </c>
      <c r="E6" s="146" t="s">
        <v>3017</v>
      </c>
    </row>
    <row r="7" spans="2:7" ht="12.75" customHeight="1" x14ac:dyDescent="0.25">
      <c r="C7" s="2260"/>
      <c r="D7" s="2258" t="s">
        <v>3016</v>
      </c>
      <c r="E7" s="2258"/>
    </row>
    <row r="8" spans="2:7" x14ac:dyDescent="0.25">
      <c r="C8" s="142" t="s">
        <v>3023</v>
      </c>
      <c r="D8" s="145">
        <v>3</v>
      </c>
      <c r="E8" s="146">
        <v>6</v>
      </c>
    </row>
    <row r="9" spans="2:7" x14ac:dyDescent="0.25">
      <c r="C9" s="143" t="s">
        <v>3022</v>
      </c>
      <c r="D9" s="145">
        <v>4</v>
      </c>
      <c r="E9" s="146">
        <v>8</v>
      </c>
    </row>
    <row r="10" spans="2:7" x14ac:dyDescent="0.25">
      <c r="C10" s="143" t="s">
        <v>3021</v>
      </c>
      <c r="D10" s="145">
        <v>5</v>
      </c>
      <c r="E10" s="146">
        <v>10</v>
      </c>
    </row>
  </sheetData>
  <sheetProtection algorithmName="SHA-512" hashValue="hYhfF4CreARS5MdFQX1sgJLn9WJUP1aS3M1ExuuFmZF3GQRm0n9xG3Zj6PPYwO2ec328Qujua+mp6NyWgylk6w==" saltValue="GRT/xAZq0e0MutIvbTn9Vw==" spinCount="100000" sheet="1" objects="1" scenarios="1" selectLockedCells="1"/>
  <mergeCells count="6">
    <mergeCell ref="C4:E4"/>
    <mergeCell ref="C5:E5"/>
    <mergeCell ref="D7:E7"/>
    <mergeCell ref="B2:C2"/>
    <mergeCell ref="C6:C7"/>
    <mergeCell ref="E2:G2"/>
  </mergeCells>
  <hyperlinks>
    <hyperlink ref="B2:C2" location="hyptarg6" display="back to 610.1.2.2" xr:uid="{00000000-0004-0000-1900-000000000000}"/>
    <hyperlink ref="E2:F2" location="'Verification Report'!A1" display="back to Verification Report" xr:uid="{00000000-0004-0000-1900-000001000000}"/>
    <hyperlink ref="E2:G2" location="'Verification Report'!A1" display="back to Verification Report" xr:uid="{00000000-0004-0000-1900-000002000000}"/>
  </hyperlinks>
  <pageMargins left="0.7" right="0.7" top="0.75" bottom="0.75" header="0.3" footer="0.3"/>
  <pageSetup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R37"/>
  <sheetViews>
    <sheetView showGridLines="0" zoomScaleNormal="100" workbookViewId="0">
      <selection activeCell="B3" sqref="B3:C3"/>
    </sheetView>
  </sheetViews>
  <sheetFormatPr defaultRowHeight="15" x14ac:dyDescent="0.25"/>
  <sheetData>
    <row r="1" spans="1:18" ht="19.5" thickTop="1" x14ac:dyDescent="0.25">
      <c r="A1" s="147" t="s">
        <v>3026</v>
      </c>
      <c r="B1" s="148"/>
      <c r="C1" s="148"/>
      <c r="D1" s="148"/>
      <c r="E1" s="148"/>
      <c r="F1" s="148"/>
      <c r="G1" s="148"/>
      <c r="H1" s="148"/>
      <c r="I1" s="148"/>
      <c r="J1" s="148"/>
      <c r="K1" s="148"/>
      <c r="L1" s="148"/>
      <c r="M1" s="148"/>
      <c r="N1" s="148"/>
      <c r="O1" s="148"/>
      <c r="P1" s="148"/>
      <c r="Q1" s="148"/>
      <c r="R1" s="149"/>
    </row>
    <row r="2" spans="1:18" x14ac:dyDescent="0.25">
      <c r="A2" s="150"/>
      <c r="B2" s="94"/>
      <c r="C2" s="94"/>
      <c r="D2" s="94"/>
      <c r="E2" s="94"/>
      <c r="F2" s="94"/>
      <c r="G2" s="94"/>
      <c r="H2" s="94"/>
      <c r="I2" s="94"/>
      <c r="J2" s="94"/>
      <c r="K2" s="94"/>
      <c r="L2" s="94"/>
      <c r="M2" s="94"/>
      <c r="N2" s="94"/>
      <c r="O2" s="94"/>
      <c r="P2" s="94"/>
      <c r="Q2" s="94"/>
      <c r="R2" s="151"/>
    </row>
    <row r="3" spans="1:18" ht="15" customHeight="1" x14ac:dyDescent="0.25">
      <c r="A3" s="150"/>
      <c r="B3" s="2261" t="s">
        <v>3035</v>
      </c>
      <c r="C3" s="2261"/>
      <c r="D3" s="2261" t="s">
        <v>3052</v>
      </c>
      <c r="E3" s="2261"/>
      <c r="F3" s="2261"/>
      <c r="G3" s="94"/>
      <c r="H3" s="2249" t="s">
        <v>4069</v>
      </c>
      <c r="I3" s="2250"/>
      <c r="J3" s="2251"/>
      <c r="K3" s="94"/>
      <c r="L3" s="94"/>
      <c r="M3" s="94"/>
      <c r="N3" s="94"/>
      <c r="O3" s="94"/>
      <c r="P3" s="94"/>
      <c r="Q3" s="94"/>
      <c r="R3" s="151"/>
    </row>
    <row r="4" spans="1:18" x14ac:dyDescent="0.25">
      <c r="A4" s="150"/>
      <c r="B4" s="94"/>
      <c r="C4" s="94"/>
      <c r="D4" s="94"/>
      <c r="E4" s="94"/>
      <c r="F4" s="94"/>
      <c r="G4" s="94"/>
      <c r="H4" s="94"/>
      <c r="I4" s="94"/>
      <c r="J4" s="94"/>
      <c r="K4" s="94"/>
      <c r="L4" s="94"/>
      <c r="M4" s="94"/>
      <c r="N4" s="94"/>
      <c r="O4" s="94"/>
      <c r="P4" s="94"/>
      <c r="Q4" s="94"/>
      <c r="R4" s="151"/>
    </row>
    <row r="5" spans="1:18" x14ac:dyDescent="0.25">
      <c r="A5" s="150"/>
      <c r="B5" s="94"/>
      <c r="C5" s="94"/>
      <c r="D5" s="94"/>
      <c r="E5" s="94"/>
      <c r="F5" s="94"/>
      <c r="G5" s="94"/>
      <c r="H5" s="94"/>
      <c r="I5" s="94"/>
      <c r="J5" s="94"/>
      <c r="K5" s="94"/>
      <c r="L5" s="94"/>
      <c r="M5" s="94"/>
      <c r="N5" s="94"/>
      <c r="O5" s="94"/>
      <c r="P5" s="94"/>
      <c r="Q5" s="94"/>
      <c r="R5" s="151"/>
    </row>
    <row r="6" spans="1:18" x14ac:dyDescent="0.25">
      <c r="A6" s="150"/>
      <c r="B6" s="94"/>
      <c r="C6" s="94"/>
      <c r="D6" s="94"/>
      <c r="E6" s="94"/>
      <c r="F6" s="94"/>
      <c r="G6" s="94"/>
      <c r="H6" s="94"/>
      <c r="I6" s="94"/>
      <c r="J6" s="94"/>
      <c r="K6" s="94"/>
      <c r="L6" s="94"/>
      <c r="M6" s="94"/>
      <c r="N6" s="94"/>
      <c r="O6" s="94"/>
      <c r="P6" s="94"/>
      <c r="Q6" s="94"/>
      <c r="R6" s="151"/>
    </row>
    <row r="7" spans="1:18" x14ac:dyDescent="0.25">
      <c r="A7" s="150"/>
      <c r="B7" s="94"/>
      <c r="C7" s="94"/>
      <c r="D7" s="94"/>
      <c r="E7" s="94"/>
      <c r="F7" s="94"/>
      <c r="G7" s="94"/>
      <c r="H7" s="94"/>
      <c r="I7" s="94"/>
      <c r="J7" s="94"/>
      <c r="K7" s="94"/>
      <c r="L7" s="94"/>
      <c r="M7" s="94"/>
      <c r="N7" s="94"/>
      <c r="O7" s="94"/>
      <c r="P7" s="94"/>
      <c r="Q7" s="94"/>
      <c r="R7" s="151"/>
    </row>
    <row r="8" spans="1:18" x14ac:dyDescent="0.25">
      <c r="A8" s="150"/>
      <c r="B8" s="94"/>
      <c r="C8" s="94"/>
      <c r="D8" s="94"/>
      <c r="E8" s="94"/>
      <c r="F8" s="94"/>
      <c r="G8" s="94"/>
      <c r="H8" s="94"/>
      <c r="I8" s="94"/>
      <c r="J8" s="94"/>
      <c r="K8" s="94"/>
      <c r="L8" s="94"/>
      <c r="M8" s="94"/>
      <c r="N8" s="94"/>
      <c r="O8" s="94"/>
      <c r="P8" s="94"/>
      <c r="Q8" s="94"/>
      <c r="R8" s="151"/>
    </row>
    <row r="9" spans="1:18" x14ac:dyDescent="0.25">
      <c r="A9" s="150"/>
      <c r="B9" s="94"/>
      <c r="C9" s="94"/>
      <c r="D9" s="94"/>
      <c r="E9" s="94"/>
      <c r="F9" s="94"/>
      <c r="G9" s="94"/>
      <c r="H9" s="94"/>
      <c r="I9" s="94"/>
      <c r="J9" s="94"/>
      <c r="K9" s="94"/>
      <c r="L9" s="94"/>
      <c r="M9" s="94"/>
      <c r="N9" s="94"/>
      <c r="O9" s="94"/>
      <c r="P9" s="94"/>
      <c r="Q9" s="94"/>
      <c r="R9" s="151"/>
    </row>
    <row r="10" spans="1:18" x14ac:dyDescent="0.25">
      <c r="A10" s="150"/>
      <c r="B10" s="94"/>
      <c r="C10" s="94"/>
      <c r="D10" s="94"/>
      <c r="E10" s="94"/>
      <c r="F10" s="94"/>
      <c r="G10" s="94"/>
      <c r="H10" s="94"/>
      <c r="I10" s="94"/>
      <c r="J10" s="94"/>
      <c r="K10" s="94"/>
      <c r="L10" s="94"/>
      <c r="M10" s="94"/>
      <c r="N10" s="94"/>
      <c r="O10" s="94"/>
      <c r="P10" s="94"/>
      <c r="Q10" s="94"/>
      <c r="R10" s="151"/>
    </row>
    <row r="11" spans="1:18" x14ac:dyDescent="0.25">
      <c r="A11" s="150"/>
      <c r="B11" s="94"/>
      <c r="C11" s="94"/>
      <c r="D11" s="94"/>
      <c r="E11" s="94"/>
      <c r="F11" s="94"/>
      <c r="G11" s="94"/>
      <c r="H11" s="94"/>
      <c r="I11" s="94"/>
      <c r="J11" s="94"/>
      <c r="K11" s="94"/>
      <c r="L11" s="94"/>
      <c r="M11" s="94"/>
      <c r="N11" s="94"/>
      <c r="O11" s="94"/>
      <c r="P11" s="94"/>
      <c r="Q11" s="94"/>
      <c r="R11" s="151"/>
    </row>
    <row r="12" spans="1:18" x14ac:dyDescent="0.25">
      <c r="A12" s="150"/>
      <c r="B12" s="94"/>
      <c r="C12" s="94"/>
      <c r="D12" s="94"/>
      <c r="E12" s="94"/>
      <c r="F12" s="94"/>
      <c r="G12" s="94"/>
      <c r="H12" s="94"/>
      <c r="I12" s="94"/>
      <c r="J12" s="94"/>
      <c r="K12" s="94"/>
      <c r="L12" s="94"/>
      <c r="M12" s="94"/>
      <c r="N12" s="94"/>
      <c r="O12" s="94"/>
      <c r="P12" s="94"/>
      <c r="Q12" s="94"/>
      <c r="R12" s="151"/>
    </row>
    <row r="13" spans="1:18" x14ac:dyDescent="0.25">
      <c r="A13" s="150"/>
      <c r="B13" s="94"/>
      <c r="C13" s="94"/>
      <c r="D13" s="94"/>
      <c r="E13" s="94"/>
      <c r="F13" s="94"/>
      <c r="G13" s="94"/>
      <c r="H13" s="94"/>
      <c r="I13" s="94"/>
      <c r="J13" s="94"/>
      <c r="K13" s="94"/>
      <c r="L13" s="94"/>
      <c r="M13" s="94"/>
      <c r="N13" s="94"/>
      <c r="O13" s="94"/>
      <c r="P13" s="94"/>
      <c r="Q13" s="94"/>
      <c r="R13" s="151"/>
    </row>
    <row r="14" spans="1:18" x14ac:dyDescent="0.25">
      <c r="A14" s="150"/>
      <c r="B14" s="94"/>
      <c r="C14" s="94"/>
      <c r="D14" s="94"/>
      <c r="E14" s="94"/>
      <c r="F14" s="94"/>
      <c r="G14" s="94"/>
      <c r="H14" s="94"/>
      <c r="I14" s="94"/>
      <c r="J14" s="94"/>
      <c r="K14" s="94"/>
      <c r="L14" s="94"/>
      <c r="M14" s="94"/>
      <c r="N14" s="94"/>
      <c r="O14" s="94"/>
      <c r="P14" s="94"/>
      <c r="Q14" s="94"/>
      <c r="R14" s="151"/>
    </row>
    <row r="15" spans="1:18" x14ac:dyDescent="0.25">
      <c r="A15" s="150"/>
      <c r="B15" s="94"/>
      <c r="C15" s="94"/>
      <c r="D15" s="94"/>
      <c r="E15" s="94"/>
      <c r="F15" s="94"/>
      <c r="G15" s="94"/>
      <c r="H15" s="94"/>
      <c r="I15" s="94"/>
      <c r="J15" s="94"/>
      <c r="K15" s="94"/>
      <c r="L15" s="94"/>
      <c r="M15" s="94"/>
      <c r="N15" s="94"/>
      <c r="O15" s="94"/>
      <c r="P15" s="94"/>
      <c r="Q15" s="94"/>
      <c r="R15" s="151"/>
    </row>
    <row r="16" spans="1:18" x14ac:dyDescent="0.25">
      <c r="A16" s="150"/>
      <c r="B16" s="94"/>
      <c r="C16" s="94"/>
      <c r="D16" s="94"/>
      <c r="E16" s="94"/>
      <c r="F16" s="94"/>
      <c r="G16" s="94"/>
      <c r="H16" s="94"/>
      <c r="I16" s="94"/>
      <c r="J16" s="94"/>
      <c r="K16" s="94"/>
      <c r="L16" s="94"/>
      <c r="M16" s="94"/>
      <c r="N16" s="94"/>
      <c r="O16" s="94"/>
      <c r="P16" s="94"/>
      <c r="Q16" s="94"/>
      <c r="R16" s="151"/>
    </row>
    <row r="17" spans="1:18" x14ac:dyDescent="0.25">
      <c r="A17" s="150"/>
      <c r="B17" s="94"/>
      <c r="C17" s="94"/>
      <c r="D17" s="94"/>
      <c r="E17" s="94"/>
      <c r="F17" s="94"/>
      <c r="G17" s="94"/>
      <c r="H17" s="94"/>
      <c r="I17" s="94"/>
      <c r="J17" s="94"/>
      <c r="K17" s="94"/>
      <c r="L17" s="94"/>
      <c r="M17" s="94"/>
      <c r="N17" s="94"/>
      <c r="O17" s="94"/>
      <c r="P17" s="94"/>
      <c r="Q17" s="94"/>
      <c r="R17" s="151"/>
    </row>
    <row r="18" spans="1:18" x14ac:dyDescent="0.25">
      <c r="A18" s="150"/>
      <c r="B18" s="94"/>
      <c r="C18" s="94"/>
      <c r="D18" s="94"/>
      <c r="E18" s="94"/>
      <c r="F18" s="94"/>
      <c r="G18" s="94"/>
      <c r="H18" s="94"/>
      <c r="I18" s="94"/>
      <c r="J18" s="94"/>
      <c r="K18" s="94"/>
      <c r="L18" s="94"/>
      <c r="M18" s="94"/>
      <c r="N18" s="94"/>
      <c r="O18" s="94"/>
      <c r="P18" s="94"/>
      <c r="Q18" s="94"/>
      <c r="R18" s="151"/>
    </row>
    <row r="19" spans="1:18" x14ac:dyDescent="0.25">
      <c r="A19" s="150"/>
      <c r="B19" s="94"/>
      <c r="C19" s="94"/>
      <c r="D19" s="94"/>
      <c r="E19" s="94"/>
      <c r="F19" s="94"/>
      <c r="G19" s="94"/>
      <c r="H19" s="94"/>
      <c r="I19" s="94"/>
      <c r="J19" s="94"/>
      <c r="K19" s="94"/>
      <c r="L19" s="94"/>
      <c r="M19" s="94"/>
      <c r="N19" s="94"/>
      <c r="O19" s="94"/>
      <c r="P19" s="94"/>
      <c r="Q19" s="94"/>
      <c r="R19" s="151"/>
    </row>
    <row r="20" spans="1:18" x14ac:dyDescent="0.25">
      <c r="A20" s="150"/>
      <c r="B20" s="94"/>
      <c r="C20" s="94"/>
      <c r="D20" s="94"/>
      <c r="E20" s="94"/>
      <c r="F20" s="94"/>
      <c r="G20" s="94"/>
      <c r="H20" s="94"/>
      <c r="I20" s="94"/>
      <c r="J20" s="94"/>
      <c r="K20" s="94"/>
      <c r="L20" s="94"/>
      <c r="M20" s="94"/>
      <c r="N20" s="94"/>
      <c r="O20" s="94"/>
      <c r="P20" s="94"/>
      <c r="Q20" s="94"/>
      <c r="R20" s="151"/>
    </row>
    <row r="21" spans="1:18" x14ac:dyDescent="0.25">
      <c r="A21" s="150"/>
      <c r="B21" s="94"/>
      <c r="C21" s="94"/>
      <c r="D21" s="94"/>
      <c r="E21" s="94"/>
      <c r="F21" s="94"/>
      <c r="G21" s="94"/>
      <c r="H21" s="94"/>
      <c r="I21" s="94"/>
      <c r="J21" s="94"/>
      <c r="K21" s="94"/>
      <c r="L21" s="94"/>
      <c r="M21" s="94"/>
      <c r="N21" s="94"/>
      <c r="O21" s="94"/>
      <c r="P21" s="94"/>
      <c r="Q21" s="94"/>
      <c r="R21" s="151"/>
    </row>
    <row r="22" spans="1:18" x14ac:dyDescent="0.25">
      <c r="A22" s="150"/>
      <c r="B22" s="94"/>
      <c r="C22" s="94"/>
      <c r="D22" s="94"/>
      <c r="E22" s="94"/>
      <c r="F22" s="94"/>
      <c r="G22" s="94"/>
      <c r="H22" s="94"/>
      <c r="I22" s="94"/>
      <c r="J22" s="94"/>
      <c r="K22" s="94"/>
      <c r="L22" s="94"/>
      <c r="M22" s="94"/>
      <c r="N22" s="94"/>
      <c r="O22" s="94"/>
      <c r="P22" s="94"/>
      <c r="Q22" s="94"/>
      <c r="R22" s="151"/>
    </row>
    <row r="23" spans="1:18" x14ac:dyDescent="0.25">
      <c r="A23" s="150"/>
      <c r="B23" s="94"/>
      <c r="C23" s="94"/>
      <c r="D23" s="94"/>
      <c r="E23" s="94"/>
      <c r="F23" s="94"/>
      <c r="G23" s="94"/>
      <c r="H23" s="94"/>
      <c r="I23" s="94"/>
      <c r="J23" s="94"/>
      <c r="K23" s="94"/>
      <c r="L23" s="94"/>
      <c r="M23" s="94"/>
      <c r="N23" s="94"/>
      <c r="O23" s="94"/>
      <c r="P23" s="94"/>
      <c r="Q23" s="94"/>
      <c r="R23" s="151"/>
    </row>
    <row r="24" spans="1:18" x14ac:dyDescent="0.25">
      <c r="A24" s="150"/>
      <c r="B24" s="94"/>
      <c r="C24" s="94"/>
      <c r="D24" s="94"/>
      <c r="E24" s="94"/>
      <c r="F24" s="94"/>
      <c r="G24" s="94"/>
      <c r="H24" s="94"/>
      <c r="I24" s="94"/>
      <c r="J24" s="94"/>
      <c r="K24" s="94"/>
      <c r="L24" s="94"/>
      <c r="M24" s="94"/>
      <c r="N24" s="94"/>
      <c r="O24" s="94"/>
      <c r="P24" s="94"/>
      <c r="Q24" s="94"/>
      <c r="R24" s="151"/>
    </row>
    <row r="25" spans="1:18" x14ac:dyDescent="0.25">
      <c r="A25" s="150"/>
      <c r="B25" s="94"/>
      <c r="C25" s="94"/>
      <c r="D25" s="94"/>
      <c r="E25" s="94"/>
      <c r="F25" s="94"/>
      <c r="G25" s="94"/>
      <c r="H25" s="94"/>
      <c r="I25" s="94"/>
      <c r="J25" s="94"/>
      <c r="K25" s="94"/>
      <c r="L25" s="94"/>
      <c r="M25" s="94"/>
      <c r="N25" s="94"/>
      <c r="O25" s="94"/>
      <c r="P25" s="94"/>
      <c r="Q25" s="94"/>
      <c r="R25" s="151"/>
    </row>
    <row r="26" spans="1:18" x14ac:dyDescent="0.25">
      <c r="A26" s="150"/>
      <c r="B26" s="94"/>
      <c r="C26" s="94"/>
      <c r="D26" s="94"/>
      <c r="E26" s="94"/>
      <c r="F26" s="94"/>
      <c r="G26" s="94"/>
      <c r="H26" s="94"/>
      <c r="I26" s="94"/>
      <c r="J26" s="94"/>
      <c r="K26" s="94"/>
      <c r="L26" s="94"/>
      <c r="M26" s="94"/>
      <c r="N26" s="94"/>
      <c r="O26" s="94"/>
      <c r="P26" s="94"/>
      <c r="Q26" s="94"/>
      <c r="R26" s="151"/>
    </row>
    <row r="27" spans="1:18" x14ac:dyDescent="0.25">
      <c r="A27" s="150"/>
      <c r="B27" s="94"/>
      <c r="C27" s="94"/>
      <c r="D27" s="94"/>
      <c r="E27" s="94"/>
      <c r="F27" s="94"/>
      <c r="G27" s="94"/>
      <c r="H27" s="94"/>
      <c r="I27" s="94"/>
      <c r="J27" s="94"/>
      <c r="K27" s="94"/>
      <c r="L27" s="94"/>
      <c r="M27" s="94"/>
      <c r="N27" s="94"/>
      <c r="O27" s="94"/>
      <c r="P27" s="94"/>
      <c r="Q27" s="94"/>
      <c r="R27" s="151"/>
    </row>
    <row r="28" spans="1:18" x14ac:dyDescent="0.25">
      <c r="A28" s="150"/>
      <c r="B28" s="94"/>
      <c r="C28" s="94"/>
      <c r="D28" s="94"/>
      <c r="E28" s="94"/>
      <c r="F28" s="94"/>
      <c r="G28" s="94"/>
      <c r="H28" s="94"/>
      <c r="I28" s="94"/>
      <c r="J28" s="94"/>
      <c r="K28" s="94"/>
      <c r="L28" s="94"/>
      <c r="M28" s="94"/>
      <c r="N28" s="94"/>
      <c r="O28" s="94"/>
      <c r="P28" s="94"/>
      <c r="Q28" s="94"/>
      <c r="R28" s="151"/>
    </row>
    <row r="29" spans="1:18" x14ac:dyDescent="0.25">
      <c r="A29" s="150"/>
      <c r="B29" s="94"/>
      <c r="C29" s="94"/>
      <c r="D29" s="94"/>
      <c r="E29" s="94"/>
      <c r="F29" s="94"/>
      <c r="G29" s="94"/>
      <c r="H29" s="94"/>
      <c r="I29" s="94"/>
      <c r="J29" s="94"/>
      <c r="K29" s="94"/>
      <c r="L29" s="94"/>
      <c r="M29" s="94"/>
      <c r="N29" s="94"/>
      <c r="O29" s="94"/>
      <c r="P29" s="94"/>
      <c r="Q29" s="94"/>
      <c r="R29" s="151"/>
    </row>
    <row r="30" spans="1:18" x14ac:dyDescent="0.25">
      <c r="A30" s="150"/>
      <c r="B30" s="94"/>
      <c r="C30" s="94"/>
      <c r="D30" s="94"/>
      <c r="E30" s="94"/>
      <c r="F30" s="94"/>
      <c r="G30" s="94"/>
      <c r="H30" s="94"/>
      <c r="I30" s="94"/>
      <c r="J30" s="94"/>
      <c r="K30" s="94"/>
      <c r="L30" s="94"/>
      <c r="M30" s="94"/>
      <c r="N30" s="94"/>
      <c r="O30" s="94"/>
      <c r="P30" s="94"/>
      <c r="Q30" s="94"/>
      <c r="R30" s="151"/>
    </row>
    <row r="31" spans="1:18" x14ac:dyDescent="0.25">
      <c r="A31" s="150"/>
      <c r="B31" s="94"/>
      <c r="C31" s="94"/>
      <c r="D31" s="94"/>
      <c r="E31" s="94"/>
      <c r="F31" s="94"/>
      <c r="G31" s="94"/>
      <c r="H31" s="94"/>
      <c r="I31" s="94"/>
      <c r="J31" s="94"/>
      <c r="K31" s="94"/>
      <c r="L31" s="94"/>
      <c r="M31" s="94"/>
      <c r="N31" s="94"/>
      <c r="O31" s="94"/>
      <c r="P31" s="94"/>
      <c r="Q31" s="94"/>
      <c r="R31" s="151"/>
    </row>
    <row r="32" spans="1:18" s="137" customFormat="1" x14ac:dyDescent="0.25">
      <c r="A32" s="150"/>
      <c r="B32" s="94"/>
      <c r="C32" s="94"/>
      <c r="D32" s="94"/>
      <c r="E32" s="94"/>
      <c r="F32" s="94"/>
      <c r="G32" s="94"/>
      <c r="H32" s="94"/>
      <c r="I32" s="94"/>
      <c r="J32" s="94"/>
      <c r="K32" s="94"/>
      <c r="L32" s="94"/>
      <c r="M32" s="94"/>
      <c r="N32" s="94"/>
      <c r="O32" s="94"/>
      <c r="P32" s="94"/>
      <c r="Q32" s="94"/>
      <c r="R32" s="151"/>
    </row>
    <row r="33" spans="1:18" s="137" customFormat="1" x14ac:dyDescent="0.25">
      <c r="A33" s="150"/>
      <c r="B33" s="94"/>
      <c r="C33" s="94"/>
      <c r="D33" s="94"/>
      <c r="E33" s="94"/>
      <c r="F33" s="94"/>
      <c r="G33" s="94"/>
      <c r="H33" s="94"/>
      <c r="I33" s="94"/>
      <c r="J33" s="94"/>
      <c r="K33" s="94"/>
      <c r="L33" s="94"/>
      <c r="M33" s="94"/>
      <c r="N33" s="94"/>
      <c r="O33" s="94"/>
      <c r="P33" s="94"/>
      <c r="Q33" s="94"/>
      <c r="R33" s="151"/>
    </row>
    <row r="34" spans="1:18" x14ac:dyDescent="0.25">
      <c r="A34" s="150"/>
      <c r="B34" s="94"/>
      <c r="C34" s="94"/>
      <c r="D34" s="94"/>
      <c r="E34" s="94"/>
      <c r="F34" s="94"/>
      <c r="G34" s="94"/>
      <c r="H34" s="94"/>
      <c r="I34" s="94"/>
      <c r="J34" s="94"/>
      <c r="K34" s="94"/>
      <c r="L34" s="94"/>
      <c r="M34" s="94"/>
      <c r="N34" s="94"/>
      <c r="O34" s="94"/>
      <c r="P34" s="94"/>
      <c r="Q34" s="94"/>
      <c r="R34" s="151"/>
    </row>
    <row r="35" spans="1:18" x14ac:dyDescent="0.25">
      <c r="A35" s="150"/>
      <c r="B35" s="155" t="s">
        <v>3027</v>
      </c>
      <c r="C35" s="263" t="s">
        <v>3028</v>
      </c>
      <c r="D35" s="94"/>
      <c r="E35" s="94"/>
      <c r="F35" s="94"/>
      <c r="G35" s="94"/>
      <c r="H35" s="94"/>
      <c r="I35" s="94"/>
      <c r="J35" s="94"/>
      <c r="K35" s="94"/>
      <c r="L35" s="94"/>
      <c r="M35" s="94"/>
      <c r="N35" s="94"/>
      <c r="O35" s="94"/>
      <c r="P35" s="94"/>
      <c r="Q35" s="94"/>
      <c r="R35" s="151"/>
    </row>
    <row r="36" spans="1:18" ht="15.75" thickBot="1" x14ac:dyDescent="0.3">
      <c r="A36" s="152"/>
      <c r="B36" s="153"/>
      <c r="C36" s="153"/>
      <c r="D36" s="153"/>
      <c r="E36" s="153"/>
      <c r="F36" s="153"/>
      <c r="G36" s="153"/>
      <c r="H36" s="153"/>
      <c r="I36" s="153"/>
      <c r="J36" s="153"/>
      <c r="K36" s="153"/>
      <c r="L36" s="153"/>
      <c r="M36" s="153"/>
      <c r="N36" s="153"/>
      <c r="O36" s="153"/>
      <c r="P36" s="153"/>
      <c r="Q36" s="153"/>
      <c r="R36" s="154"/>
    </row>
    <row r="37" spans="1:18" ht="15.75" thickTop="1" x14ac:dyDescent="0.25"/>
  </sheetData>
  <sheetProtection algorithmName="SHA-512" hashValue="UTytnE2nqv4/Jvyx6jTWJxeIvhl1lH4fj0ntVCAmRgrA8AW7JW4M9Ku2FAZvkAcmprrqVjCI5WJi+VekUG0mOQ==" saltValue="XTQb/k2rF/J46XcuLpbqgQ==" spinCount="100000" sheet="1" objects="1" scenarios="1" selectLockedCells="1"/>
  <mergeCells count="3">
    <mergeCell ref="B3:C3"/>
    <mergeCell ref="D3:F3"/>
    <mergeCell ref="H3:J3"/>
  </mergeCells>
  <hyperlinks>
    <hyperlink ref="C35" r:id="rId1" xr:uid="{00000000-0004-0000-1A00-000000000000}"/>
    <hyperlink ref="B3:C3" location="hyptarg3" display="back to 602.1.12" xr:uid="{00000000-0004-0000-1A00-000001000000}"/>
    <hyperlink ref="D3" location="'Table 602.1.12'!A1" display="See Table 602.1.12" xr:uid="{00000000-0004-0000-1A00-000002000000}"/>
    <hyperlink ref="H3:I3" location="'Verification Report'!A1" display="back to Verification Report" xr:uid="{00000000-0004-0000-1A00-000003000000}"/>
    <hyperlink ref="H3:J3" location="'Verification Report'!A1" display="back to Verification Report" xr:uid="{00000000-0004-0000-1A00-000004000000}"/>
  </hyperlinks>
  <pageMargins left="0.7" right="0.7" top="0.75" bottom="0.75" header="0.3" footer="0.3"/>
  <pageSetup scale="54"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pageSetUpPr fitToPage="1"/>
  </sheetPr>
  <dimension ref="A1:J3255"/>
  <sheetViews>
    <sheetView zoomScaleNormal="100" workbookViewId="0"/>
  </sheetViews>
  <sheetFormatPr defaultRowHeight="15" x14ac:dyDescent="0.25"/>
  <cols>
    <col min="1" max="2" width="0" hidden="1" customWidth="1"/>
    <col min="3" max="3" width="23.28515625" hidden="1" customWidth="1"/>
    <col min="4" max="7" width="0" hidden="1" customWidth="1"/>
    <col min="8" max="8" width="0" style="273" hidden="1" customWidth="1"/>
    <col min="9" max="9" width="0" style="1405" hidden="1" customWidth="1"/>
    <col min="10" max="10" width="0" hidden="1" customWidth="1"/>
    <col min="13" max="13" width="18.7109375" customWidth="1"/>
    <col min="14" max="14" width="19" bestFit="1" customWidth="1"/>
  </cols>
  <sheetData>
    <row r="1" spans="1:10" x14ac:dyDescent="0.25">
      <c r="A1" t="s">
        <v>2</v>
      </c>
      <c r="B1" t="s">
        <v>3</v>
      </c>
      <c r="C1" t="s">
        <v>4</v>
      </c>
      <c r="D1" t="s">
        <v>5</v>
      </c>
      <c r="E1" t="s">
        <v>6</v>
      </c>
      <c r="F1" t="s">
        <v>7</v>
      </c>
      <c r="G1" t="s">
        <v>8</v>
      </c>
      <c r="H1" s="273" t="s">
        <v>3456</v>
      </c>
      <c r="J1" t="s">
        <v>2</v>
      </c>
    </row>
    <row r="2" spans="1:10" x14ac:dyDescent="0.25">
      <c r="A2" t="s">
        <v>12</v>
      </c>
      <c r="B2" t="s">
        <v>114</v>
      </c>
      <c r="C2" t="s">
        <v>1114</v>
      </c>
      <c r="D2">
        <v>2</v>
      </c>
      <c r="E2" s="273">
        <v>3</v>
      </c>
      <c r="F2" s="273" t="s">
        <v>7</v>
      </c>
      <c r="G2" s="273" t="s">
        <v>115</v>
      </c>
      <c r="H2" s="273" t="s">
        <v>11</v>
      </c>
      <c r="J2" t="s">
        <v>12</v>
      </c>
    </row>
    <row r="3" spans="1:10" x14ac:dyDescent="0.25">
      <c r="A3" t="s">
        <v>12</v>
      </c>
      <c r="B3" t="s">
        <v>114</v>
      </c>
      <c r="C3" t="s">
        <v>1115</v>
      </c>
      <c r="D3">
        <v>3</v>
      </c>
      <c r="E3" s="273">
        <v>2</v>
      </c>
      <c r="F3" s="273" t="s">
        <v>7</v>
      </c>
      <c r="G3" s="273" t="s">
        <v>115</v>
      </c>
      <c r="H3" s="273" t="s">
        <v>11</v>
      </c>
      <c r="J3" t="s">
        <v>9</v>
      </c>
    </row>
    <row r="4" spans="1:10" x14ac:dyDescent="0.25">
      <c r="A4" t="s">
        <v>12</v>
      </c>
      <c r="B4" t="s">
        <v>114</v>
      </c>
      <c r="C4" t="s">
        <v>1116</v>
      </c>
      <c r="D4">
        <v>2</v>
      </c>
      <c r="E4" s="273">
        <v>3</v>
      </c>
      <c r="F4" s="273" t="s">
        <v>7</v>
      </c>
      <c r="G4" s="273" t="s">
        <v>115</v>
      </c>
      <c r="H4" s="273" t="s">
        <v>11</v>
      </c>
      <c r="J4" t="s">
        <v>14</v>
      </c>
    </row>
    <row r="5" spans="1:10" x14ac:dyDescent="0.25">
      <c r="A5" t="s">
        <v>12</v>
      </c>
      <c r="B5" t="s">
        <v>114</v>
      </c>
      <c r="C5" t="s">
        <v>1117</v>
      </c>
      <c r="D5">
        <v>2</v>
      </c>
      <c r="E5" s="273">
        <v>3</v>
      </c>
      <c r="F5" s="273" t="s">
        <v>7</v>
      </c>
      <c r="G5" s="273" t="s">
        <v>11</v>
      </c>
      <c r="H5" s="273" t="s">
        <v>11</v>
      </c>
      <c r="J5" t="s">
        <v>13</v>
      </c>
    </row>
    <row r="6" spans="1:10" x14ac:dyDescent="0.25">
      <c r="A6" t="s">
        <v>12</v>
      </c>
      <c r="B6" t="s">
        <v>114</v>
      </c>
      <c r="C6" t="s">
        <v>1118</v>
      </c>
      <c r="D6">
        <v>2</v>
      </c>
      <c r="E6" s="273">
        <v>3</v>
      </c>
      <c r="F6" s="273" t="s">
        <v>7</v>
      </c>
      <c r="G6" s="273" t="s">
        <v>11</v>
      </c>
      <c r="H6" s="273" t="s">
        <v>11</v>
      </c>
      <c r="J6" t="s">
        <v>15</v>
      </c>
    </row>
    <row r="7" spans="1:10" x14ac:dyDescent="0.25">
      <c r="A7" t="s">
        <v>12</v>
      </c>
      <c r="B7" t="s">
        <v>114</v>
      </c>
      <c r="C7" t="s">
        <v>1119</v>
      </c>
      <c r="D7">
        <v>2</v>
      </c>
      <c r="E7" s="273">
        <v>3</v>
      </c>
      <c r="F7" s="273" t="s">
        <v>7</v>
      </c>
      <c r="G7" s="273" t="s">
        <v>115</v>
      </c>
      <c r="H7" s="273" t="s">
        <v>11</v>
      </c>
      <c r="J7" t="s">
        <v>16</v>
      </c>
    </row>
    <row r="8" spans="1:10" x14ac:dyDescent="0.25">
      <c r="A8" t="s">
        <v>12</v>
      </c>
      <c r="B8" t="s">
        <v>114</v>
      </c>
      <c r="C8" t="s">
        <v>1120</v>
      </c>
      <c r="D8">
        <v>3</v>
      </c>
      <c r="E8" s="273">
        <v>3</v>
      </c>
      <c r="F8" s="273" t="s">
        <v>7</v>
      </c>
      <c r="G8" s="273" t="s">
        <v>115</v>
      </c>
      <c r="H8" s="273" t="s">
        <v>11</v>
      </c>
      <c r="J8" t="s">
        <v>17</v>
      </c>
    </row>
    <row r="9" spans="1:10" x14ac:dyDescent="0.25">
      <c r="A9" t="s">
        <v>12</v>
      </c>
      <c r="B9" t="s">
        <v>114</v>
      </c>
      <c r="C9" t="s">
        <v>1121</v>
      </c>
      <c r="D9">
        <v>1</v>
      </c>
      <c r="E9" s="273">
        <v>3</v>
      </c>
      <c r="F9" s="273" t="s">
        <v>7</v>
      </c>
      <c r="G9" s="273" t="s">
        <v>11</v>
      </c>
      <c r="H9" s="273" t="s">
        <v>11</v>
      </c>
      <c r="J9" t="s">
        <v>19</v>
      </c>
    </row>
    <row r="10" spans="1:10" x14ac:dyDescent="0.25">
      <c r="A10" t="s">
        <v>12</v>
      </c>
      <c r="B10" t="s">
        <v>114</v>
      </c>
      <c r="C10" t="s">
        <v>1122</v>
      </c>
      <c r="D10">
        <v>3</v>
      </c>
      <c r="E10" s="273">
        <v>3</v>
      </c>
      <c r="F10" s="273" t="s">
        <v>7</v>
      </c>
      <c r="G10" s="273" t="s">
        <v>11</v>
      </c>
      <c r="H10" s="273" t="s">
        <v>11</v>
      </c>
      <c r="J10" t="s">
        <v>18</v>
      </c>
    </row>
    <row r="11" spans="1:10" x14ac:dyDescent="0.25">
      <c r="A11" t="s">
        <v>12</v>
      </c>
      <c r="B11" t="s">
        <v>114</v>
      </c>
      <c r="C11" t="s">
        <v>1123</v>
      </c>
      <c r="D11">
        <v>2</v>
      </c>
      <c r="E11" s="273">
        <v>3</v>
      </c>
      <c r="F11" s="273" t="s">
        <v>7</v>
      </c>
      <c r="G11" s="273" t="s">
        <v>11</v>
      </c>
      <c r="H11" s="273" t="s">
        <v>11</v>
      </c>
      <c r="J11" t="s">
        <v>20</v>
      </c>
    </row>
    <row r="12" spans="1:10" x14ac:dyDescent="0.25">
      <c r="A12" t="s">
        <v>12</v>
      </c>
      <c r="B12" t="s">
        <v>114</v>
      </c>
      <c r="C12" t="s">
        <v>1124</v>
      </c>
      <c r="D12">
        <v>2</v>
      </c>
      <c r="E12" s="273">
        <v>3</v>
      </c>
      <c r="F12" s="273" t="s">
        <v>7</v>
      </c>
      <c r="G12" s="273" t="s">
        <v>11</v>
      </c>
      <c r="H12" s="273" t="s">
        <v>11</v>
      </c>
      <c r="J12" t="s">
        <v>21</v>
      </c>
    </row>
    <row r="13" spans="1:10" x14ac:dyDescent="0.25">
      <c r="A13" t="s">
        <v>12</v>
      </c>
      <c r="B13" t="s">
        <v>114</v>
      </c>
      <c r="C13" t="s">
        <v>1125</v>
      </c>
      <c r="D13">
        <v>3</v>
      </c>
      <c r="E13" s="273">
        <v>3</v>
      </c>
      <c r="F13" s="273" t="s">
        <v>7</v>
      </c>
      <c r="G13" s="273" t="s">
        <v>115</v>
      </c>
      <c r="H13" s="273" t="s">
        <v>11</v>
      </c>
      <c r="J13" t="s">
        <v>22</v>
      </c>
    </row>
    <row r="14" spans="1:10" x14ac:dyDescent="0.25">
      <c r="A14" t="s">
        <v>12</v>
      </c>
      <c r="B14" t="s">
        <v>114</v>
      </c>
      <c r="C14" t="s">
        <v>1126</v>
      </c>
      <c r="D14">
        <v>3</v>
      </c>
      <c r="E14" s="273">
        <v>3</v>
      </c>
      <c r="F14" s="273" t="s">
        <v>7</v>
      </c>
      <c r="G14" s="273" t="s">
        <v>115</v>
      </c>
      <c r="H14" s="273" t="s">
        <v>11</v>
      </c>
      <c r="J14" t="s">
        <v>24</v>
      </c>
    </row>
    <row r="15" spans="1:10" x14ac:dyDescent="0.25">
      <c r="A15" t="s">
        <v>12</v>
      </c>
      <c r="B15" t="s">
        <v>114</v>
      </c>
      <c r="C15" t="s">
        <v>1127</v>
      </c>
      <c r="D15">
        <v>1</v>
      </c>
      <c r="E15" s="273">
        <v>3</v>
      </c>
      <c r="F15" s="273" t="s">
        <v>7</v>
      </c>
      <c r="G15" s="273" t="s">
        <v>11</v>
      </c>
      <c r="H15" s="273" t="s">
        <v>11</v>
      </c>
      <c r="J15" t="s">
        <v>25</v>
      </c>
    </row>
    <row r="16" spans="1:10" x14ac:dyDescent="0.25">
      <c r="A16" t="s">
        <v>12</v>
      </c>
      <c r="B16" t="s">
        <v>114</v>
      </c>
      <c r="C16" t="s">
        <v>1128</v>
      </c>
      <c r="D16">
        <v>1</v>
      </c>
      <c r="E16" s="273">
        <v>3</v>
      </c>
      <c r="F16" s="273" t="s">
        <v>7</v>
      </c>
      <c r="G16" s="273" t="s">
        <v>11</v>
      </c>
      <c r="H16" s="273" t="s">
        <v>11</v>
      </c>
      <c r="J16" t="s">
        <v>26</v>
      </c>
    </row>
    <row r="17" spans="1:10" x14ac:dyDescent="0.25">
      <c r="A17" t="s">
        <v>12</v>
      </c>
      <c r="B17" t="s">
        <v>114</v>
      </c>
      <c r="C17" t="s">
        <v>1129</v>
      </c>
      <c r="D17">
        <v>3</v>
      </c>
      <c r="E17" s="273">
        <v>3</v>
      </c>
      <c r="F17" s="273" t="s">
        <v>7</v>
      </c>
      <c r="G17" s="273" t="s">
        <v>115</v>
      </c>
      <c r="H17" s="273" t="s">
        <v>11</v>
      </c>
      <c r="J17" t="s">
        <v>23</v>
      </c>
    </row>
    <row r="18" spans="1:10" x14ac:dyDescent="0.25">
      <c r="A18" t="s">
        <v>12</v>
      </c>
      <c r="B18" t="s">
        <v>114</v>
      </c>
      <c r="C18" t="s">
        <v>1130</v>
      </c>
      <c r="D18">
        <v>1</v>
      </c>
      <c r="E18" s="273">
        <v>3</v>
      </c>
      <c r="F18" s="273" t="s">
        <v>7</v>
      </c>
      <c r="G18" s="273" t="s">
        <v>11</v>
      </c>
      <c r="H18" s="273" t="s">
        <v>11</v>
      </c>
      <c r="J18" t="s">
        <v>27</v>
      </c>
    </row>
    <row r="19" spans="1:10" x14ac:dyDescent="0.25">
      <c r="A19" t="s">
        <v>12</v>
      </c>
      <c r="B19" t="s">
        <v>114</v>
      </c>
      <c r="C19" t="s">
        <v>1131</v>
      </c>
      <c r="D19">
        <v>3</v>
      </c>
      <c r="E19" s="273">
        <v>3</v>
      </c>
      <c r="F19" s="273" t="s">
        <v>7</v>
      </c>
      <c r="G19" s="273" t="s">
        <v>115</v>
      </c>
      <c r="H19" s="273" t="s">
        <v>11</v>
      </c>
      <c r="J19" t="s">
        <v>28</v>
      </c>
    </row>
    <row r="20" spans="1:10" x14ac:dyDescent="0.25">
      <c r="A20" t="s">
        <v>12</v>
      </c>
      <c r="B20" t="s">
        <v>114</v>
      </c>
      <c r="C20" t="s">
        <v>1132</v>
      </c>
      <c r="D20">
        <v>1</v>
      </c>
      <c r="E20" s="273">
        <v>3</v>
      </c>
      <c r="F20" s="273" t="s">
        <v>7</v>
      </c>
      <c r="G20" s="273" t="s">
        <v>11</v>
      </c>
      <c r="H20" s="273" t="s">
        <v>11</v>
      </c>
      <c r="J20" t="s">
        <v>29</v>
      </c>
    </row>
    <row r="21" spans="1:10" x14ac:dyDescent="0.25">
      <c r="A21" t="s">
        <v>12</v>
      </c>
      <c r="B21" t="s">
        <v>114</v>
      </c>
      <c r="C21" t="s">
        <v>1133</v>
      </c>
      <c r="D21">
        <v>3</v>
      </c>
      <c r="E21" s="273">
        <v>3</v>
      </c>
      <c r="F21" s="273" t="s">
        <v>7</v>
      </c>
      <c r="G21" s="273" t="s">
        <v>115</v>
      </c>
      <c r="H21" s="273" t="s">
        <v>11</v>
      </c>
      <c r="J21" t="s">
        <v>32</v>
      </c>
    </row>
    <row r="22" spans="1:10" x14ac:dyDescent="0.25">
      <c r="A22" t="s">
        <v>12</v>
      </c>
      <c r="B22" t="s">
        <v>114</v>
      </c>
      <c r="C22" t="s">
        <v>1134</v>
      </c>
      <c r="D22">
        <v>3</v>
      </c>
      <c r="E22" s="273">
        <v>3</v>
      </c>
      <c r="F22" s="273" t="s">
        <v>7</v>
      </c>
      <c r="G22" s="273" t="s">
        <v>115</v>
      </c>
      <c r="H22" s="273" t="s">
        <v>11</v>
      </c>
      <c r="J22" t="s">
        <v>31</v>
      </c>
    </row>
    <row r="23" spans="1:10" x14ac:dyDescent="0.25">
      <c r="A23" t="s">
        <v>12</v>
      </c>
      <c r="B23" t="s">
        <v>114</v>
      </c>
      <c r="C23" t="s">
        <v>1135</v>
      </c>
      <c r="D23">
        <v>2</v>
      </c>
      <c r="E23" s="273">
        <v>3</v>
      </c>
      <c r="F23" s="273" t="s">
        <v>7</v>
      </c>
      <c r="G23" s="273" t="s">
        <v>11</v>
      </c>
      <c r="H23" s="273" t="s">
        <v>11</v>
      </c>
      <c r="J23" t="s">
        <v>30</v>
      </c>
    </row>
    <row r="24" spans="1:10" x14ac:dyDescent="0.25">
      <c r="A24" t="s">
        <v>12</v>
      </c>
      <c r="B24" t="s">
        <v>114</v>
      </c>
      <c r="C24" t="s">
        <v>1136</v>
      </c>
      <c r="D24">
        <v>3</v>
      </c>
      <c r="E24" s="273">
        <v>3</v>
      </c>
      <c r="F24" s="273" t="s">
        <v>7</v>
      </c>
      <c r="G24" s="273" t="s">
        <v>115</v>
      </c>
      <c r="H24" s="273" t="s">
        <v>11</v>
      </c>
      <c r="J24" t="s">
        <v>33</v>
      </c>
    </row>
    <row r="25" spans="1:10" x14ac:dyDescent="0.25">
      <c r="A25" t="s">
        <v>12</v>
      </c>
      <c r="B25" t="s">
        <v>114</v>
      </c>
      <c r="C25" t="s">
        <v>1137</v>
      </c>
      <c r="D25">
        <v>2</v>
      </c>
      <c r="E25" s="273">
        <v>3</v>
      </c>
      <c r="F25" s="273" t="s">
        <v>7</v>
      </c>
      <c r="G25" s="273" t="s">
        <v>115</v>
      </c>
      <c r="H25" s="273" t="s">
        <v>11</v>
      </c>
      <c r="J25" t="s">
        <v>34</v>
      </c>
    </row>
    <row r="26" spans="1:10" x14ac:dyDescent="0.25">
      <c r="A26" t="s">
        <v>12</v>
      </c>
      <c r="B26" t="s">
        <v>114</v>
      </c>
      <c r="C26" t="s">
        <v>1138</v>
      </c>
      <c r="D26">
        <v>2</v>
      </c>
      <c r="E26" s="273">
        <v>3</v>
      </c>
      <c r="F26" s="273" t="s">
        <v>7</v>
      </c>
      <c r="G26" s="273" t="s">
        <v>11</v>
      </c>
      <c r="H26" s="273" t="s">
        <v>11</v>
      </c>
      <c r="J26" t="s">
        <v>36</v>
      </c>
    </row>
    <row r="27" spans="1:10" x14ac:dyDescent="0.25">
      <c r="A27" t="s">
        <v>12</v>
      </c>
      <c r="B27" t="s">
        <v>114</v>
      </c>
      <c r="C27" t="s">
        <v>1139</v>
      </c>
      <c r="D27">
        <v>2</v>
      </c>
      <c r="E27" s="273">
        <v>3</v>
      </c>
      <c r="F27" s="273" t="s">
        <v>7</v>
      </c>
      <c r="G27" s="273" t="s">
        <v>115</v>
      </c>
      <c r="H27" s="273" t="s">
        <v>11</v>
      </c>
      <c r="J27" t="s">
        <v>35</v>
      </c>
    </row>
    <row r="28" spans="1:10" x14ac:dyDescent="0.25">
      <c r="A28" t="s">
        <v>12</v>
      </c>
      <c r="B28" t="s">
        <v>114</v>
      </c>
      <c r="C28" t="s">
        <v>1140</v>
      </c>
      <c r="D28">
        <v>3</v>
      </c>
      <c r="E28" s="273">
        <v>3</v>
      </c>
      <c r="F28" s="273" t="s">
        <v>7</v>
      </c>
      <c r="G28" s="273" t="s">
        <v>115</v>
      </c>
      <c r="H28" s="273" t="s">
        <v>11</v>
      </c>
      <c r="J28" t="s">
        <v>37</v>
      </c>
    </row>
    <row r="29" spans="1:10" x14ac:dyDescent="0.25">
      <c r="A29" t="s">
        <v>12</v>
      </c>
      <c r="B29" t="s">
        <v>114</v>
      </c>
      <c r="C29" t="s">
        <v>1141</v>
      </c>
      <c r="D29">
        <v>2</v>
      </c>
      <c r="E29" s="273">
        <v>3</v>
      </c>
      <c r="F29" s="273" t="s">
        <v>7</v>
      </c>
      <c r="G29" s="273" t="s">
        <v>11</v>
      </c>
      <c r="H29" s="273" t="s">
        <v>11</v>
      </c>
      <c r="J29" t="s">
        <v>41</v>
      </c>
    </row>
    <row r="30" spans="1:10" x14ac:dyDescent="0.25">
      <c r="A30" t="s">
        <v>12</v>
      </c>
      <c r="B30" t="s">
        <v>114</v>
      </c>
      <c r="C30" t="s">
        <v>1142</v>
      </c>
      <c r="D30">
        <v>2</v>
      </c>
      <c r="E30" s="273">
        <v>3</v>
      </c>
      <c r="F30" s="273" t="s">
        <v>7</v>
      </c>
      <c r="G30" s="273" t="s">
        <v>11</v>
      </c>
      <c r="H30" s="273" t="s">
        <v>11</v>
      </c>
      <c r="J30" t="s">
        <v>45</v>
      </c>
    </row>
    <row r="31" spans="1:10" x14ac:dyDescent="0.25">
      <c r="A31" t="s">
        <v>12</v>
      </c>
      <c r="B31" t="s">
        <v>114</v>
      </c>
      <c r="C31" t="s">
        <v>1143</v>
      </c>
      <c r="D31">
        <v>1</v>
      </c>
      <c r="E31" s="273">
        <v>3</v>
      </c>
      <c r="F31" s="273" t="s">
        <v>7</v>
      </c>
      <c r="G31" s="273" t="s">
        <v>11</v>
      </c>
      <c r="H31" s="273" t="s">
        <v>11</v>
      </c>
      <c r="J31" t="s">
        <v>42</v>
      </c>
    </row>
    <row r="32" spans="1:10" x14ac:dyDescent="0.25">
      <c r="A32" t="s">
        <v>12</v>
      </c>
      <c r="B32" t="s">
        <v>114</v>
      </c>
      <c r="C32" t="s">
        <v>1144</v>
      </c>
      <c r="D32">
        <v>3</v>
      </c>
      <c r="E32" s="273">
        <v>3</v>
      </c>
      <c r="F32" s="273" t="s">
        <v>7</v>
      </c>
      <c r="G32" s="273" t="s">
        <v>115</v>
      </c>
      <c r="H32" s="273" t="s">
        <v>11</v>
      </c>
      <c r="J32" t="s">
        <v>43</v>
      </c>
    </row>
    <row r="33" spans="1:10" x14ac:dyDescent="0.25">
      <c r="A33" t="s">
        <v>12</v>
      </c>
      <c r="B33" t="s">
        <v>114</v>
      </c>
      <c r="C33" t="s">
        <v>1145</v>
      </c>
      <c r="D33">
        <v>2</v>
      </c>
      <c r="E33" s="273">
        <v>3</v>
      </c>
      <c r="F33" s="273" t="s">
        <v>7</v>
      </c>
      <c r="G33" s="273" t="s">
        <v>11</v>
      </c>
      <c r="H33" s="273" t="s">
        <v>11</v>
      </c>
      <c r="J33" t="s">
        <v>44</v>
      </c>
    </row>
    <row r="34" spans="1:10" x14ac:dyDescent="0.25">
      <c r="A34" t="s">
        <v>12</v>
      </c>
      <c r="B34" t="s">
        <v>114</v>
      </c>
      <c r="C34" t="s">
        <v>1146</v>
      </c>
      <c r="D34">
        <v>2</v>
      </c>
      <c r="E34" s="273">
        <v>3</v>
      </c>
      <c r="F34" s="273" t="s">
        <v>7</v>
      </c>
      <c r="G34" s="273" t="s">
        <v>11</v>
      </c>
      <c r="H34" s="273" t="s">
        <v>11</v>
      </c>
      <c r="J34" t="s">
        <v>46</v>
      </c>
    </row>
    <row r="35" spans="1:10" x14ac:dyDescent="0.25">
      <c r="A35" t="s">
        <v>12</v>
      </c>
      <c r="B35" t="s">
        <v>114</v>
      </c>
      <c r="C35" t="s">
        <v>1147</v>
      </c>
      <c r="D35">
        <v>3</v>
      </c>
      <c r="E35" s="273">
        <v>3</v>
      </c>
      <c r="F35" s="273" t="s">
        <v>7</v>
      </c>
      <c r="G35" s="273" t="s">
        <v>115</v>
      </c>
      <c r="H35" s="273" t="s">
        <v>11</v>
      </c>
      <c r="J35" t="s">
        <v>38</v>
      </c>
    </row>
    <row r="36" spans="1:10" x14ac:dyDescent="0.25">
      <c r="A36" t="s">
        <v>12</v>
      </c>
      <c r="B36" t="s">
        <v>114</v>
      </c>
      <c r="C36" t="s">
        <v>1148</v>
      </c>
      <c r="D36">
        <v>3</v>
      </c>
      <c r="E36" s="273">
        <v>3</v>
      </c>
      <c r="F36" s="273" t="s">
        <v>7</v>
      </c>
      <c r="G36" s="273" t="s">
        <v>115</v>
      </c>
      <c r="H36" s="273" t="s">
        <v>11</v>
      </c>
      <c r="J36" t="s">
        <v>39</v>
      </c>
    </row>
    <row r="37" spans="1:10" x14ac:dyDescent="0.25">
      <c r="A37" t="s">
        <v>12</v>
      </c>
      <c r="B37" t="s">
        <v>114</v>
      </c>
      <c r="C37" t="s">
        <v>1149</v>
      </c>
      <c r="D37">
        <v>1</v>
      </c>
      <c r="E37" s="273">
        <v>3</v>
      </c>
      <c r="F37" s="273" t="s">
        <v>7</v>
      </c>
      <c r="G37" s="273" t="s">
        <v>11</v>
      </c>
      <c r="H37" s="273" t="s">
        <v>11</v>
      </c>
      <c r="J37" t="s">
        <v>47</v>
      </c>
    </row>
    <row r="38" spans="1:10" x14ac:dyDescent="0.25">
      <c r="A38" t="s">
        <v>12</v>
      </c>
      <c r="B38" t="s">
        <v>114</v>
      </c>
      <c r="C38" t="s">
        <v>1150</v>
      </c>
      <c r="D38">
        <v>2</v>
      </c>
      <c r="E38" s="273">
        <v>3</v>
      </c>
      <c r="F38" s="273" t="s">
        <v>7</v>
      </c>
      <c r="G38" s="273" t="s">
        <v>11</v>
      </c>
      <c r="H38" s="273" t="s">
        <v>11</v>
      </c>
      <c r="J38" t="s">
        <v>48</v>
      </c>
    </row>
    <row r="39" spans="1:10" x14ac:dyDescent="0.25">
      <c r="A39" t="s">
        <v>12</v>
      </c>
      <c r="B39" t="s">
        <v>114</v>
      </c>
      <c r="C39" t="s">
        <v>1151</v>
      </c>
      <c r="D39">
        <v>2</v>
      </c>
      <c r="E39" s="273">
        <v>3</v>
      </c>
      <c r="F39" s="273" t="s">
        <v>7</v>
      </c>
      <c r="G39" s="273" t="s">
        <v>11</v>
      </c>
      <c r="H39" s="273" t="s">
        <v>11</v>
      </c>
      <c r="J39" t="s">
        <v>49</v>
      </c>
    </row>
    <row r="40" spans="1:10" x14ac:dyDescent="0.25">
      <c r="A40" t="s">
        <v>12</v>
      </c>
      <c r="B40" t="s">
        <v>114</v>
      </c>
      <c r="C40" t="s">
        <v>1152</v>
      </c>
      <c r="D40">
        <v>1</v>
      </c>
      <c r="E40" s="273">
        <v>3</v>
      </c>
      <c r="F40" s="273" t="s">
        <v>7</v>
      </c>
      <c r="G40" s="273" t="s">
        <v>11</v>
      </c>
      <c r="H40" s="273" t="s">
        <v>11</v>
      </c>
      <c r="J40" t="s">
        <v>50</v>
      </c>
    </row>
    <row r="41" spans="1:10" x14ac:dyDescent="0.25">
      <c r="A41" t="s">
        <v>12</v>
      </c>
      <c r="B41" t="s">
        <v>114</v>
      </c>
      <c r="C41" t="s">
        <v>1153</v>
      </c>
      <c r="D41">
        <v>1</v>
      </c>
      <c r="E41" s="273">
        <v>3</v>
      </c>
      <c r="F41" s="273" t="s">
        <v>7</v>
      </c>
      <c r="G41" s="273" t="s">
        <v>11</v>
      </c>
      <c r="H41" s="273" t="s">
        <v>11</v>
      </c>
      <c r="J41" t="s">
        <v>51</v>
      </c>
    </row>
    <row r="42" spans="1:10" x14ac:dyDescent="0.25">
      <c r="A42" t="s">
        <v>12</v>
      </c>
      <c r="B42" t="s">
        <v>114</v>
      </c>
      <c r="C42" t="s">
        <v>1154</v>
      </c>
      <c r="D42">
        <v>2</v>
      </c>
      <c r="E42" s="273">
        <v>3</v>
      </c>
      <c r="F42" s="273" t="s">
        <v>7</v>
      </c>
      <c r="G42" s="273" t="s">
        <v>11</v>
      </c>
      <c r="H42" s="273" t="s">
        <v>11</v>
      </c>
      <c r="J42" t="s">
        <v>52</v>
      </c>
    </row>
    <row r="43" spans="1:10" x14ac:dyDescent="0.25">
      <c r="A43" t="s">
        <v>12</v>
      </c>
      <c r="B43" t="s">
        <v>114</v>
      </c>
      <c r="C43" t="s">
        <v>1155</v>
      </c>
      <c r="D43">
        <v>1</v>
      </c>
      <c r="E43" s="273">
        <v>3</v>
      </c>
      <c r="F43" s="273" t="s">
        <v>7</v>
      </c>
      <c r="G43" s="273" t="s">
        <v>11</v>
      </c>
      <c r="H43" s="273" t="s">
        <v>11</v>
      </c>
      <c r="J43" t="s">
        <v>53</v>
      </c>
    </row>
    <row r="44" spans="1:10" x14ac:dyDescent="0.25">
      <c r="A44" t="s">
        <v>12</v>
      </c>
      <c r="B44" t="s">
        <v>114</v>
      </c>
      <c r="C44" t="s">
        <v>1156</v>
      </c>
      <c r="D44">
        <v>2</v>
      </c>
      <c r="E44" s="273">
        <v>3</v>
      </c>
      <c r="F44" s="273" t="s">
        <v>7</v>
      </c>
      <c r="G44" s="273" t="s">
        <v>115</v>
      </c>
      <c r="H44" s="273" t="s">
        <v>11</v>
      </c>
      <c r="J44" t="s">
        <v>55</v>
      </c>
    </row>
    <row r="45" spans="1:10" x14ac:dyDescent="0.25">
      <c r="A45" t="s">
        <v>12</v>
      </c>
      <c r="B45" t="s">
        <v>114</v>
      </c>
      <c r="C45" t="s">
        <v>1157</v>
      </c>
      <c r="D45">
        <v>2</v>
      </c>
      <c r="E45" s="273">
        <v>3</v>
      </c>
      <c r="F45" s="273" t="s">
        <v>7</v>
      </c>
      <c r="G45" s="273" t="s">
        <v>115</v>
      </c>
      <c r="H45" s="273" t="s">
        <v>11</v>
      </c>
      <c r="J45" t="s">
        <v>57</v>
      </c>
    </row>
    <row r="46" spans="1:10" x14ac:dyDescent="0.25">
      <c r="A46" t="s">
        <v>12</v>
      </c>
      <c r="B46" t="s">
        <v>114</v>
      </c>
      <c r="C46" t="s">
        <v>1158</v>
      </c>
      <c r="D46">
        <v>1</v>
      </c>
      <c r="E46" s="273">
        <v>3</v>
      </c>
      <c r="F46" s="273" t="s">
        <v>7</v>
      </c>
      <c r="G46" s="273" t="s">
        <v>11</v>
      </c>
      <c r="H46" s="273" t="s">
        <v>11</v>
      </c>
      <c r="J46" t="s">
        <v>58</v>
      </c>
    </row>
    <row r="47" spans="1:10" x14ac:dyDescent="0.25">
      <c r="A47" t="s">
        <v>12</v>
      </c>
      <c r="B47" t="s">
        <v>114</v>
      </c>
      <c r="C47" t="s">
        <v>1159</v>
      </c>
      <c r="D47">
        <v>3</v>
      </c>
      <c r="E47" s="273">
        <v>3</v>
      </c>
      <c r="F47" s="273" t="s">
        <v>7</v>
      </c>
      <c r="G47" s="273" t="s">
        <v>115</v>
      </c>
      <c r="H47" s="273" t="s">
        <v>11</v>
      </c>
      <c r="J47" t="s">
        <v>60</v>
      </c>
    </row>
    <row r="48" spans="1:10" x14ac:dyDescent="0.25">
      <c r="A48" t="s">
        <v>12</v>
      </c>
      <c r="B48" t="s">
        <v>114</v>
      </c>
      <c r="C48" t="s">
        <v>1160</v>
      </c>
      <c r="D48">
        <v>2</v>
      </c>
      <c r="E48" s="273">
        <v>3</v>
      </c>
      <c r="F48" s="273" t="s">
        <v>7</v>
      </c>
      <c r="G48" s="273" t="s">
        <v>11</v>
      </c>
      <c r="H48" s="273" t="s">
        <v>11</v>
      </c>
      <c r="J48" t="s">
        <v>59</v>
      </c>
    </row>
    <row r="49" spans="1:10" x14ac:dyDescent="0.25">
      <c r="A49" t="s">
        <v>12</v>
      </c>
      <c r="B49" t="s">
        <v>114</v>
      </c>
      <c r="C49" t="s">
        <v>1161</v>
      </c>
      <c r="D49">
        <v>2</v>
      </c>
      <c r="E49" s="273">
        <v>3</v>
      </c>
      <c r="F49" s="273" t="s">
        <v>7</v>
      </c>
      <c r="G49" s="273" t="s">
        <v>11</v>
      </c>
      <c r="H49" s="273" t="s">
        <v>11</v>
      </c>
      <c r="J49" t="s">
        <v>61</v>
      </c>
    </row>
    <row r="50" spans="1:10" x14ac:dyDescent="0.25">
      <c r="A50" t="s">
        <v>12</v>
      </c>
      <c r="B50" t="s">
        <v>114</v>
      </c>
      <c r="C50" t="s">
        <v>1162</v>
      </c>
      <c r="D50">
        <v>3</v>
      </c>
      <c r="E50" s="273">
        <v>2</v>
      </c>
      <c r="F50" s="273" t="s">
        <v>7</v>
      </c>
      <c r="G50" s="273" t="s">
        <v>115</v>
      </c>
      <c r="H50" s="273" t="s">
        <v>11</v>
      </c>
      <c r="J50" t="s">
        <v>63</v>
      </c>
    </row>
    <row r="51" spans="1:10" x14ac:dyDescent="0.25">
      <c r="A51" t="s">
        <v>12</v>
      </c>
      <c r="B51" t="s">
        <v>114</v>
      </c>
      <c r="C51" t="s">
        <v>1163</v>
      </c>
      <c r="D51">
        <v>3</v>
      </c>
      <c r="E51" s="273">
        <v>3</v>
      </c>
      <c r="F51" s="273" t="s">
        <v>7</v>
      </c>
      <c r="G51" s="273" t="s">
        <v>115</v>
      </c>
      <c r="H51" s="273" t="s">
        <v>11</v>
      </c>
      <c r="J51" t="s">
        <v>62</v>
      </c>
    </row>
    <row r="52" spans="1:10" x14ac:dyDescent="0.25">
      <c r="A52" t="s">
        <v>12</v>
      </c>
      <c r="B52" t="s">
        <v>114</v>
      </c>
      <c r="C52" t="s">
        <v>1164</v>
      </c>
      <c r="D52">
        <v>2</v>
      </c>
      <c r="E52" s="273">
        <v>3</v>
      </c>
      <c r="F52" s="273" t="s">
        <v>7</v>
      </c>
      <c r="G52" s="273" t="s">
        <v>115</v>
      </c>
      <c r="H52" s="273" t="s">
        <v>11</v>
      </c>
      <c r="J52" t="s">
        <v>64</v>
      </c>
    </row>
    <row r="53" spans="1:10" x14ac:dyDescent="0.25">
      <c r="A53" t="s">
        <v>12</v>
      </c>
      <c r="B53" t="s">
        <v>114</v>
      </c>
      <c r="C53" t="s">
        <v>1165</v>
      </c>
      <c r="D53">
        <v>1</v>
      </c>
      <c r="E53" s="273">
        <v>3</v>
      </c>
      <c r="F53" s="273" t="s">
        <v>7</v>
      </c>
      <c r="G53" s="273" t="s">
        <v>11</v>
      </c>
      <c r="H53" s="273" t="s">
        <v>11</v>
      </c>
      <c r="J53" t="s">
        <v>65</v>
      </c>
    </row>
    <row r="54" spans="1:10" x14ac:dyDescent="0.25">
      <c r="A54" t="s">
        <v>12</v>
      </c>
      <c r="B54" t="s">
        <v>114</v>
      </c>
      <c r="C54" t="s">
        <v>1166</v>
      </c>
      <c r="D54">
        <v>2</v>
      </c>
      <c r="E54" s="273">
        <v>3</v>
      </c>
      <c r="F54" s="273" t="s">
        <v>7</v>
      </c>
      <c r="G54" s="273" t="s">
        <v>115</v>
      </c>
      <c r="H54" s="273" t="s">
        <v>11</v>
      </c>
      <c r="J54" t="s">
        <v>66</v>
      </c>
    </row>
    <row r="55" spans="1:10" x14ac:dyDescent="0.25">
      <c r="A55" t="s">
        <v>12</v>
      </c>
      <c r="B55" t="s">
        <v>114</v>
      </c>
      <c r="C55" t="s">
        <v>1167</v>
      </c>
      <c r="D55">
        <v>2</v>
      </c>
      <c r="E55" s="273">
        <v>3</v>
      </c>
      <c r="F55" s="273" t="s">
        <v>7</v>
      </c>
      <c r="G55" s="273" t="s">
        <v>11</v>
      </c>
      <c r="H55" s="273" t="s">
        <v>11</v>
      </c>
      <c r="J55" t="s">
        <v>68</v>
      </c>
    </row>
    <row r="56" spans="1:10" x14ac:dyDescent="0.25">
      <c r="A56" t="s">
        <v>12</v>
      </c>
      <c r="B56" t="s">
        <v>114</v>
      </c>
      <c r="C56" t="s">
        <v>1168</v>
      </c>
      <c r="D56">
        <v>3</v>
      </c>
      <c r="E56" s="273">
        <v>3</v>
      </c>
      <c r="F56" s="273" t="s">
        <v>7</v>
      </c>
      <c r="G56" s="273" t="s">
        <v>115</v>
      </c>
      <c r="H56" s="273" t="s">
        <v>11</v>
      </c>
      <c r="J56" t="s">
        <v>69</v>
      </c>
    </row>
    <row r="57" spans="1:10" x14ac:dyDescent="0.25">
      <c r="A57" t="s">
        <v>12</v>
      </c>
      <c r="B57" t="s">
        <v>114</v>
      </c>
      <c r="C57" t="s">
        <v>1169</v>
      </c>
      <c r="D57">
        <v>2</v>
      </c>
      <c r="E57" s="273">
        <v>3</v>
      </c>
      <c r="F57" s="273" t="s">
        <v>7</v>
      </c>
      <c r="G57" s="273" t="s">
        <v>11</v>
      </c>
      <c r="H57" s="273" t="s">
        <v>11</v>
      </c>
      <c r="J57" s="1689" t="s">
        <v>70</v>
      </c>
    </row>
    <row r="58" spans="1:10" x14ac:dyDescent="0.25">
      <c r="A58" t="s">
        <v>12</v>
      </c>
      <c r="B58" t="s">
        <v>114</v>
      </c>
      <c r="C58" t="s">
        <v>1170</v>
      </c>
      <c r="D58">
        <v>2</v>
      </c>
      <c r="E58" s="273">
        <v>3</v>
      </c>
      <c r="F58" s="273" t="s">
        <v>7</v>
      </c>
      <c r="G58" s="273" t="s">
        <v>115</v>
      </c>
      <c r="H58" s="273" t="s">
        <v>11</v>
      </c>
      <c r="J58" s="1689" t="s">
        <v>5821</v>
      </c>
    </row>
    <row r="59" spans="1:10" x14ac:dyDescent="0.25">
      <c r="A59" t="s">
        <v>12</v>
      </c>
      <c r="B59" t="s">
        <v>114</v>
      </c>
      <c r="C59" t="s">
        <v>1171</v>
      </c>
      <c r="D59">
        <v>2</v>
      </c>
      <c r="E59" s="273">
        <v>3</v>
      </c>
      <c r="F59" s="273" t="s">
        <v>7</v>
      </c>
      <c r="G59" s="273" t="s">
        <v>11</v>
      </c>
      <c r="H59" s="273" t="s">
        <v>11</v>
      </c>
      <c r="J59" s="1689"/>
    </row>
    <row r="60" spans="1:10" x14ac:dyDescent="0.25">
      <c r="A60" t="s">
        <v>12</v>
      </c>
      <c r="B60" t="s">
        <v>114</v>
      </c>
      <c r="C60" t="s">
        <v>1172</v>
      </c>
      <c r="D60">
        <v>2</v>
      </c>
      <c r="E60" s="273">
        <v>3</v>
      </c>
      <c r="F60" s="273" t="s">
        <v>7</v>
      </c>
      <c r="G60" s="273" t="s">
        <v>11</v>
      </c>
      <c r="H60" s="273" t="s">
        <v>11</v>
      </c>
    </row>
    <row r="61" spans="1:10" x14ac:dyDescent="0.25">
      <c r="A61" t="s">
        <v>12</v>
      </c>
      <c r="B61" t="s">
        <v>114</v>
      </c>
      <c r="C61" t="s">
        <v>1173</v>
      </c>
      <c r="D61">
        <v>2</v>
      </c>
      <c r="E61" s="273">
        <v>3</v>
      </c>
      <c r="F61" s="273" t="s">
        <v>7</v>
      </c>
      <c r="G61" s="273" t="s">
        <v>11</v>
      </c>
      <c r="H61" s="273" t="s">
        <v>11</v>
      </c>
    </row>
    <row r="62" spans="1:10" x14ac:dyDescent="0.25">
      <c r="A62" t="s">
        <v>12</v>
      </c>
      <c r="B62" t="s">
        <v>114</v>
      </c>
      <c r="C62" t="s">
        <v>1174</v>
      </c>
      <c r="D62">
        <v>1</v>
      </c>
      <c r="E62" s="273">
        <v>3</v>
      </c>
      <c r="F62" s="273" t="s">
        <v>7</v>
      </c>
      <c r="G62" s="273" t="s">
        <v>11</v>
      </c>
      <c r="H62" s="273" t="s">
        <v>11</v>
      </c>
    </row>
    <row r="63" spans="1:10" x14ac:dyDescent="0.25">
      <c r="A63" t="s">
        <v>12</v>
      </c>
      <c r="B63" t="s">
        <v>114</v>
      </c>
      <c r="C63" t="s">
        <v>1175</v>
      </c>
      <c r="D63">
        <v>3</v>
      </c>
      <c r="E63" s="273">
        <v>3</v>
      </c>
      <c r="F63" s="273" t="s">
        <v>7</v>
      </c>
      <c r="G63" s="273" t="s">
        <v>11</v>
      </c>
      <c r="H63" s="273" t="s">
        <v>11</v>
      </c>
    </row>
    <row r="64" spans="1:10" x14ac:dyDescent="0.25">
      <c r="A64" t="s">
        <v>12</v>
      </c>
      <c r="B64" t="s">
        <v>114</v>
      </c>
      <c r="C64" t="s">
        <v>1176</v>
      </c>
      <c r="D64">
        <v>2</v>
      </c>
      <c r="E64" s="273">
        <v>3</v>
      </c>
      <c r="F64" s="273" t="s">
        <v>7</v>
      </c>
      <c r="G64" s="273" t="s">
        <v>11</v>
      </c>
      <c r="H64" s="273" t="s">
        <v>11</v>
      </c>
    </row>
    <row r="65" spans="1:8" x14ac:dyDescent="0.25">
      <c r="A65" t="s">
        <v>12</v>
      </c>
      <c r="B65" t="s">
        <v>114</v>
      </c>
      <c r="C65" t="s">
        <v>1177</v>
      </c>
      <c r="D65">
        <v>2</v>
      </c>
      <c r="E65" s="273">
        <v>3</v>
      </c>
      <c r="F65" s="273" t="s">
        <v>7</v>
      </c>
      <c r="G65" s="273" t="s">
        <v>11</v>
      </c>
      <c r="H65" s="273" t="s">
        <v>11</v>
      </c>
    </row>
    <row r="66" spans="1:8" x14ac:dyDescent="0.25">
      <c r="A66" t="s">
        <v>12</v>
      </c>
      <c r="B66" t="s">
        <v>114</v>
      </c>
      <c r="C66" t="s">
        <v>1178</v>
      </c>
      <c r="D66">
        <v>3</v>
      </c>
      <c r="E66" s="273">
        <v>3</v>
      </c>
      <c r="F66" s="273" t="s">
        <v>7</v>
      </c>
      <c r="G66" s="273" t="s">
        <v>115</v>
      </c>
      <c r="H66" s="273" t="s">
        <v>11</v>
      </c>
    </row>
    <row r="67" spans="1:8" x14ac:dyDescent="0.25">
      <c r="A67" t="s">
        <v>12</v>
      </c>
      <c r="B67" t="s">
        <v>114</v>
      </c>
      <c r="C67" t="s">
        <v>1179</v>
      </c>
      <c r="D67">
        <v>3</v>
      </c>
      <c r="E67" s="273">
        <v>3</v>
      </c>
      <c r="F67" s="273" t="s">
        <v>7</v>
      </c>
      <c r="G67" s="273" t="s">
        <v>115</v>
      </c>
      <c r="H67" s="273" t="s">
        <v>11</v>
      </c>
    </row>
    <row r="68" spans="1:8" x14ac:dyDescent="0.25">
      <c r="A68" t="s">
        <v>12</v>
      </c>
      <c r="B68" t="s">
        <v>114</v>
      </c>
      <c r="C68" t="s">
        <v>1180</v>
      </c>
      <c r="D68">
        <v>2</v>
      </c>
      <c r="E68" s="273">
        <v>3</v>
      </c>
      <c r="F68" s="273" t="s">
        <v>7</v>
      </c>
      <c r="G68" s="273" t="s">
        <v>11</v>
      </c>
      <c r="H68" s="273" t="s">
        <v>11</v>
      </c>
    </row>
    <row r="69" spans="1:8" x14ac:dyDescent="0.25">
      <c r="A69" t="s">
        <v>9</v>
      </c>
      <c r="B69" t="s">
        <v>10</v>
      </c>
      <c r="C69" t="s">
        <v>1181</v>
      </c>
      <c r="D69">
        <v>3</v>
      </c>
      <c r="E69" s="273">
        <v>7</v>
      </c>
      <c r="F69" s="273" t="s">
        <v>11</v>
      </c>
      <c r="G69" s="273" t="s">
        <v>11</v>
      </c>
      <c r="H69" s="273" t="s">
        <v>11</v>
      </c>
    </row>
    <row r="70" spans="1:8" x14ac:dyDescent="0.25">
      <c r="A70" t="s">
        <v>9</v>
      </c>
      <c r="B70" t="s">
        <v>10</v>
      </c>
      <c r="C70" t="s">
        <v>1182</v>
      </c>
      <c r="D70">
        <v>3</v>
      </c>
      <c r="E70" s="273">
        <v>7</v>
      </c>
      <c r="F70" s="273" t="s">
        <v>11</v>
      </c>
      <c r="G70" s="273" t="s">
        <v>11</v>
      </c>
      <c r="H70" s="273" t="s">
        <v>11</v>
      </c>
    </row>
    <row r="71" spans="1:8" x14ac:dyDescent="0.25">
      <c r="A71" t="s">
        <v>9</v>
      </c>
      <c r="B71" t="s">
        <v>10</v>
      </c>
      <c r="C71" t="s">
        <v>1183</v>
      </c>
      <c r="D71">
        <v>2</v>
      </c>
      <c r="E71" s="273">
        <v>7</v>
      </c>
      <c r="F71" s="273" t="s">
        <v>11</v>
      </c>
      <c r="G71" s="273" t="s">
        <v>11</v>
      </c>
      <c r="H71" s="273" t="s">
        <v>11</v>
      </c>
    </row>
    <row r="72" spans="1:8" x14ac:dyDescent="0.25">
      <c r="A72" t="s">
        <v>9</v>
      </c>
      <c r="B72" t="s">
        <v>10</v>
      </c>
      <c r="C72" t="s">
        <v>1184</v>
      </c>
      <c r="D72">
        <v>3</v>
      </c>
      <c r="E72" s="273">
        <v>8</v>
      </c>
      <c r="F72" s="273" t="s">
        <v>11</v>
      </c>
      <c r="G72" s="273" t="s">
        <v>11</v>
      </c>
      <c r="H72" s="273" t="s">
        <v>11</v>
      </c>
    </row>
    <row r="73" spans="1:8" x14ac:dyDescent="0.25">
      <c r="A73" t="s">
        <v>9</v>
      </c>
      <c r="B73" t="s">
        <v>10</v>
      </c>
      <c r="C73" t="s">
        <v>1185</v>
      </c>
      <c r="D73">
        <v>3</v>
      </c>
      <c r="E73" s="273">
        <v>7</v>
      </c>
      <c r="F73" s="273" t="s">
        <v>11</v>
      </c>
      <c r="G73" s="273" t="s">
        <v>11</v>
      </c>
      <c r="H73" s="273" t="s">
        <v>11</v>
      </c>
    </row>
    <row r="74" spans="1:8" x14ac:dyDescent="0.25">
      <c r="A74" t="s">
        <v>9</v>
      </c>
      <c r="B74" t="s">
        <v>10</v>
      </c>
      <c r="C74" t="s">
        <v>1186</v>
      </c>
      <c r="D74">
        <v>3</v>
      </c>
      <c r="E74" s="273">
        <v>7</v>
      </c>
      <c r="F74" s="273" t="s">
        <v>11</v>
      </c>
      <c r="G74" s="273" t="s">
        <v>11</v>
      </c>
      <c r="H74" s="273" t="s">
        <v>11</v>
      </c>
    </row>
    <row r="75" spans="1:8" x14ac:dyDescent="0.25">
      <c r="A75" t="s">
        <v>9</v>
      </c>
      <c r="B75" t="s">
        <v>10</v>
      </c>
      <c r="C75" t="s">
        <v>1187</v>
      </c>
      <c r="D75">
        <v>3</v>
      </c>
      <c r="E75" s="273">
        <v>8</v>
      </c>
      <c r="F75" s="273" t="s">
        <v>11</v>
      </c>
      <c r="G75" s="273" t="s">
        <v>11</v>
      </c>
      <c r="H75" s="273" t="s">
        <v>11</v>
      </c>
    </row>
    <row r="76" spans="1:8" x14ac:dyDescent="0.25">
      <c r="A76" t="s">
        <v>9</v>
      </c>
      <c r="B76" t="s">
        <v>10</v>
      </c>
      <c r="C76" t="s">
        <v>1188</v>
      </c>
      <c r="D76">
        <v>2</v>
      </c>
      <c r="E76" s="273">
        <v>8</v>
      </c>
      <c r="F76" s="273" t="s">
        <v>11</v>
      </c>
      <c r="G76" s="273" t="s">
        <v>11</v>
      </c>
      <c r="H76" s="273" t="s">
        <v>11</v>
      </c>
    </row>
    <row r="77" spans="1:8" x14ac:dyDescent="0.25">
      <c r="A77" t="s">
        <v>9</v>
      </c>
      <c r="B77" t="s">
        <v>10</v>
      </c>
      <c r="C77" t="s">
        <v>1189</v>
      </c>
      <c r="D77">
        <v>3</v>
      </c>
      <c r="E77" s="273">
        <v>7</v>
      </c>
      <c r="F77" s="273" t="s">
        <v>11</v>
      </c>
      <c r="G77" s="273" t="s">
        <v>11</v>
      </c>
      <c r="H77" s="273" t="s">
        <v>11</v>
      </c>
    </row>
    <row r="78" spans="1:8" x14ac:dyDescent="0.25">
      <c r="A78" t="s">
        <v>9</v>
      </c>
      <c r="B78" t="s">
        <v>10</v>
      </c>
      <c r="C78" t="s">
        <v>1190</v>
      </c>
      <c r="D78">
        <v>3</v>
      </c>
      <c r="E78" s="273">
        <v>7</v>
      </c>
      <c r="F78" s="273" t="s">
        <v>11</v>
      </c>
      <c r="G78" s="273" t="s">
        <v>11</v>
      </c>
      <c r="H78" s="273" t="s">
        <v>11</v>
      </c>
    </row>
    <row r="79" spans="1:8" x14ac:dyDescent="0.25">
      <c r="A79" t="s">
        <v>9</v>
      </c>
      <c r="B79" t="s">
        <v>10</v>
      </c>
      <c r="C79" t="s">
        <v>1191</v>
      </c>
      <c r="D79">
        <v>3</v>
      </c>
      <c r="E79" s="273">
        <v>7</v>
      </c>
      <c r="F79" s="273" t="s">
        <v>11</v>
      </c>
      <c r="G79" s="273" t="s">
        <v>11</v>
      </c>
      <c r="H79" s="273" t="s">
        <v>11</v>
      </c>
    </row>
    <row r="80" spans="1:8" x14ac:dyDescent="0.25">
      <c r="A80" t="s">
        <v>9</v>
      </c>
      <c r="B80" t="s">
        <v>10</v>
      </c>
      <c r="C80" t="s">
        <v>1192</v>
      </c>
      <c r="D80">
        <v>2</v>
      </c>
      <c r="E80" s="273">
        <v>7</v>
      </c>
      <c r="F80" s="273" t="s">
        <v>11</v>
      </c>
      <c r="G80" s="273" t="s">
        <v>11</v>
      </c>
      <c r="H80" s="273" t="s">
        <v>11</v>
      </c>
    </row>
    <row r="81" spans="1:8" x14ac:dyDescent="0.25">
      <c r="A81" t="s">
        <v>9</v>
      </c>
      <c r="B81" t="s">
        <v>10</v>
      </c>
      <c r="C81" t="s">
        <v>1193</v>
      </c>
      <c r="D81">
        <v>3</v>
      </c>
      <c r="E81" s="273">
        <v>7</v>
      </c>
      <c r="F81" s="273" t="s">
        <v>11</v>
      </c>
      <c r="G81" s="273" t="s">
        <v>11</v>
      </c>
      <c r="H81" s="273" t="s">
        <v>11</v>
      </c>
    </row>
    <row r="82" spans="1:8" x14ac:dyDescent="0.25">
      <c r="A82" t="s">
        <v>9</v>
      </c>
      <c r="B82" t="s">
        <v>10</v>
      </c>
      <c r="C82" t="s">
        <v>1194</v>
      </c>
      <c r="D82">
        <v>3</v>
      </c>
      <c r="E82" s="273">
        <v>7</v>
      </c>
      <c r="F82" s="273" t="s">
        <v>11</v>
      </c>
      <c r="G82" s="273" t="s">
        <v>11</v>
      </c>
      <c r="H82" s="273" t="s">
        <v>11</v>
      </c>
    </row>
    <row r="83" spans="1:8" x14ac:dyDescent="0.25">
      <c r="A83" t="s">
        <v>9</v>
      </c>
      <c r="B83" t="s">
        <v>10</v>
      </c>
      <c r="C83" t="s">
        <v>1195</v>
      </c>
      <c r="D83">
        <v>3</v>
      </c>
      <c r="E83" s="273">
        <v>7</v>
      </c>
      <c r="F83" s="273" t="s">
        <v>11</v>
      </c>
      <c r="G83" s="273" t="s">
        <v>11</v>
      </c>
      <c r="H83" s="273" t="s">
        <v>11</v>
      </c>
    </row>
    <row r="84" spans="1:8" x14ac:dyDescent="0.25">
      <c r="A84" t="s">
        <v>9</v>
      </c>
      <c r="B84" t="s">
        <v>10</v>
      </c>
      <c r="C84" t="s">
        <v>1196</v>
      </c>
      <c r="D84">
        <v>2</v>
      </c>
      <c r="E84" s="273">
        <v>7</v>
      </c>
      <c r="F84" s="273" t="s">
        <v>11</v>
      </c>
      <c r="G84" s="273" t="s">
        <v>11</v>
      </c>
      <c r="H84" s="273" t="s">
        <v>11</v>
      </c>
    </row>
    <row r="85" spans="1:8" x14ac:dyDescent="0.25">
      <c r="A85" t="s">
        <v>9</v>
      </c>
      <c r="B85" t="s">
        <v>10</v>
      </c>
      <c r="C85" t="s">
        <v>1197</v>
      </c>
      <c r="D85">
        <v>3</v>
      </c>
      <c r="E85" s="273">
        <v>8</v>
      </c>
      <c r="F85" s="273" t="s">
        <v>11</v>
      </c>
      <c r="G85" s="273" t="s">
        <v>11</v>
      </c>
      <c r="H85" s="273" t="s">
        <v>11</v>
      </c>
    </row>
    <row r="86" spans="1:8" x14ac:dyDescent="0.25">
      <c r="A86" t="s">
        <v>9</v>
      </c>
      <c r="B86" t="s">
        <v>10</v>
      </c>
      <c r="C86" t="s">
        <v>1198</v>
      </c>
      <c r="D86">
        <v>3</v>
      </c>
      <c r="E86" s="273">
        <v>8</v>
      </c>
      <c r="F86" s="273" t="s">
        <v>11</v>
      </c>
      <c r="G86" s="273" t="s">
        <v>11</v>
      </c>
      <c r="H86" s="273" t="s">
        <v>11</v>
      </c>
    </row>
    <row r="87" spans="1:8" x14ac:dyDescent="0.25">
      <c r="A87" t="s">
        <v>9</v>
      </c>
      <c r="B87" t="s">
        <v>10</v>
      </c>
      <c r="C87" t="s">
        <v>1199</v>
      </c>
      <c r="D87">
        <v>3</v>
      </c>
      <c r="E87" s="273">
        <v>8</v>
      </c>
      <c r="F87" s="273" t="s">
        <v>11</v>
      </c>
      <c r="G87" s="273" t="s">
        <v>11</v>
      </c>
      <c r="H87" s="273" t="s">
        <v>11</v>
      </c>
    </row>
    <row r="88" spans="1:8" x14ac:dyDescent="0.25">
      <c r="A88" t="s">
        <v>9</v>
      </c>
      <c r="B88" t="s">
        <v>10</v>
      </c>
      <c r="C88" t="s">
        <v>1200</v>
      </c>
      <c r="D88">
        <v>3</v>
      </c>
      <c r="E88" s="273">
        <v>7</v>
      </c>
      <c r="F88" s="273" t="s">
        <v>11</v>
      </c>
      <c r="G88" s="273" t="s">
        <v>11</v>
      </c>
      <c r="H88" s="273" t="s">
        <v>11</v>
      </c>
    </row>
    <row r="89" spans="1:8" x14ac:dyDescent="0.25">
      <c r="A89" t="s">
        <v>9</v>
      </c>
      <c r="B89" t="s">
        <v>10</v>
      </c>
      <c r="C89" t="s">
        <v>1201</v>
      </c>
      <c r="D89">
        <v>3</v>
      </c>
      <c r="E89" s="273">
        <v>7</v>
      </c>
      <c r="F89" s="273" t="s">
        <v>11</v>
      </c>
      <c r="G89" s="273" t="s">
        <v>11</v>
      </c>
      <c r="H89" s="273" t="s">
        <v>11</v>
      </c>
    </row>
    <row r="90" spans="1:8" x14ac:dyDescent="0.25">
      <c r="A90" t="s">
        <v>9</v>
      </c>
      <c r="B90" t="s">
        <v>10</v>
      </c>
      <c r="C90" t="s">
        <v>1202</v>
      </c>
      <c r="D90">
        <v>3</v>
      </c>
      <c r="E90" s="273">
        <v>7</v>
      </c>
      <c r="F90" s="273" t="s">
        <v>11</v>
      </c>
      <c r="G90" s="273" t="s">
        <v>11</v>
      </c>
      <c r="H90" s="273" t="s">
        <v>11</v>
      </c>
    </row>
    <row r="91" spans="1:8" x14ac:dyDescent="0.25">
      <c r="A91" t="s">
        <v>9</v>
      </c>
      <c r="B91" t="s">
        <v>10</v>
      </c>
      <c r="C91" t="s">
        <v>1203</v>
      </c>
      <c r="D91">
        <v>3</v>
      </c>
      <c r="E91" s="273">
        <v>7</v>
      </c>
      <c r="F91" s="273" t="s">
        <v>11</v>
      </c>
      <c r="G91" s="273" t="s">
        <v>11</v>
      </c>
      <c r="H91" s="273" t="s">
        <v>11</v>
      </c>
    </row>
    <row r="92" spans="1:8" x14ac:dyDescent="0.25">
      <c r="A92" t="s">
        <v>9</v>
      </c>
      <c r="B92" t="s">
        <v>10</v>
      </c>
      <c r="C92" t="s">
        <v>1204</v>
      </c>
      <c r="D92">
        <v>2</v>
      </c>
      <c r="E92" s="273">
        <v>8</v>
      </c>
      <c r="F92" s="273" t="s">
        <v>11</v>
      </c>
      <c r="G92" s="273" t="s">
        <v>11</v>
      </c>
      <c r="H92" s="273" t="s">
        <v>11</v>
      </c>
    </row>
    <row r="93" spans="1:8" x14ac:dyDescent="0.25">
      <c r="A93" t="s">
        <v>9</v>
      </c>
      <c r="B93" t="s">
        <v>10</v>
      </c>
      <c r="C93" t="s">
        <v>1205</v>
      </c>
      <c r="D93">
        <v>3</v>
      </c>
      <c r="E93" s="273">
        <v>7</v>
      </c>
      <c r="F93" s="273" t="s">
        <v>11</v>
      </c>
      <c r="G93" s="273" t="s">
        <v>11</v>
      </c>
      <c r="H93" s="273" t="s">
        <v>11</v>
      </c>
    </row>
    <row r="94" spans="1:8" x14ac:dyDescent="0.25">
      <c r="A94" t="s">
        <v>9</v>
      </c>
      <c r="B94" t="s">
        <v>10</v>
      </c>
      <c r="C94" t="s">
        <v>1206</v>
      </c>
      <c r="D94">
        <v>3</v>
      </c>
      <c r="E94" s="273">
        <v>8</v>
      </c>
      <c r="F94" s="273" t="s">
        <v>11</v>
      </c>
      <c r="G94" s="273" t="s">
        <v>11</v>
      </c>
      <c r="H94" s="273" t="s">
        <v>11</v>
      </c>
    </row>
    <row r="95" spans="1:8" x14ac:dyDescent="0.25">
      <c r="A95" t="s">
        <v>9</v>
      </c>
      <c r="B95" t="s">
        <v>10</v>
      </c>
      <c r="C95" t="s">
        <v>1207</v>
      </c>
      <c r="D95">
        <v>3</v>
      </c>
      <c r="E95" s="273">
        <v>7</v>
      </c>
      <c r="F95" s="273" t="s">
        <v>11</v>
      </c>
      <c r="G95" s="273" t="s">
        <v>11</v>
      </c>
      <c r="H95" s="273" t="s">
        <v>11</v>
      </c>
    </row>
    <row r="96" spans="1:8" x14ac:dyDescent="0.25">
      <c r="A96" t="s">
        <v>9</v>
      </c>
      <c r="B96" t="s">
        <v>10</v>
      </c>
      <c r="C96" t="s">
        <v>1208</v>
      </c>
      <c r="D96">
        <v>3</v>
      </c>
      <c r="E96" s="273">
        <v>7</v>
      </c>
      <c r="F96" s="273" t="s">
        <v>11</v>
      </c>
      <c r="G96" s="273" t="s">
        <v>11</v>
      </c>
      <c r="H96" s="273" t="s">
        <v>11</v>
      </c>
    </row>
    <row r="97" spans="1:8" x14ac:dyDescent="0.25">
      <c r="A97" t="s">
        <v>9</v>
      </c>
      <c r="B97" t="s">
        <v>10</v>
      </c>
      <c r="C97" t="s">
        <v>1209</v>
      </c>
      <c r="D97">
        <v>3</v>
      </c>
      <c r="E97" s="273">
        <v>8</v>
      </c>
      <c r="F97" s="273" t="s">
        <v>11</v>
      </c>
      <c r="G97" s="273" t="s">
        <v>11</v>
      </c>
      <c r="H97" s="273" t="s">
        <v>11</v>
      </c>
    </row>
    <row r="98" spans="1:8" x14ac:dyDescent="0.25">
      <c r="A98" t="s">
        <v>65</v>
      </c>
      <c r="C98" t="s">
        <v>1210</v>
      </c>
      <c r="D98" t="s">
        <v>11</v>
      </c>
      <c r="E98" s="273">
        <v>1</v>
      </c>
      <c r="F98" s="273" t="s">
        <v>7</v>
      </c>
      <c r="G98" s="273" t="s">
        <v>115</v>
      </c>
      <c r="H98" s="273" t="s">
        <v>3456</v>
      </c>
    </row>
    <row r="99" spans="1:8" x14ac:dyDescent="0.25">
      <c r="A99" t="s">
        <v>14</v>
      </c>
      <c r="B99" t="s">
        <v>86</v>
      </c>
      <c r="C99" t="s">
        <v>1211</v>
      </c>
      <c r="D99">
        <v>2</v>
      </c>
      <c r="E99" s="273">
        <v>5</v>
      </c>
      <c r="F99" s="273" t="s">
        <v>75</v>
      </c>
      <c r="G99" s="273" t="s">
        <v>11</v>
      </c>
      <c r="H99" s="273" t="s">
        <v>11</v>
      </c>
    </row>
    <row r="100" spans="1:8" x14ac:dyDescent="0.25">
      <c r="A100" t="s">
        <v>14</v>
      </c>
      <c r="B100" t="s">
        <v>86</v>
      </c>
      <c r="C100" t="s">
        <v>1212</v>
      </c>
      <c r="D100">
        <v>2</v>
      </c>
      <c r="E100" s="273">
        <v>3</v>
      </c>
      <c r="F100" s="273" t="s">
        <v>75</v>
      </c>
      <c r="G100" s="273" t="s">
        <v>11</v>
      </c>
      <c r="H100" s="273" t="s">
        <v>11</v>
      </c>
    </row>
    <row r="101" spans="1:8" x14ac:dyDescent="0.25">
      <c r="A101" t="s">
        <v>14</v>
      </c>
      <c r="B101" t="s">
        <v>86</v>
      </c>
      <c r="C101" t="s">
        <v>1213</v>
      </c>
      <c r="D101">
        <v>2</v>
      </c>
      <c r="E101" s="273">
        <v>5</v>
      </c>
      <c r="F101" s="273" t="s">
        <v>75</v>
      </c>
      <c r="G101" s="273" t="s">
        <v>11</v>
      </c>
      <c r="H101" s="273" t="s">
        <v>11</v>
      </c>
    </row>
    <row r="102" spans="1:8" x14ac:dyDescent="0.25">
      <c r="A102" t="s">
        <v>14</v>
      </c>
      <c r="B102" t="s">
        <v>86</v>
      </c>
      <c r="C102" t="s">
        <v>1214</v>
      </c>
      <c r="D102">
        <v>2</v>
      </c>
      <c r="E102" s="273">
        <v>4</v>
      </c>
      <c r="F102" s="273" t="s">
        <v>75</v>
      </c>
      <c r="G102" s="273" t="s">
        <v>11</v>
      </c>
      <c r="H102" s="273" t="s">
        <v>11</v>
      </c>
    </row>
    <row r="103" spans="1:8" x14ac:dyDescent="0.25">
      <c r="A103" t="s">
        <v>14</v>
      </c>
      <c r="B103" t="s">
        <v>86</v>
      </c>
      <c r="C103" t="s">
        <v>1215</v>
      </c>
      <c r="D103">
        <v>2</v>
      </c>
      <c r="E103" s="273">
        <v>3</v>
      </c>
      <c r="F103" s="273" t="s">
        <v>75</v>
      </c>
      <c r="G103" s="273" t="s">
        <v>11</v>
      </c>
      <c r="H103" s="273" t="s">
        <v>11</v>
      </c>
    </row>
    <row r="104" spans="1:8" x14ac:dyDescent="0.25">
      <c r="A104" t="s">
        <v>14</v>
      </c>
      <c r="B104" t="s">
        <v>86</v>
      </c>
      <c r="C104" t="s">
        <v>1216</v>
      </c>
      <c r="D104">
        <v>2</v>
      </c>
      <c r="E104" s="273">
        <v>3</v>
      </c>
      <c r="F104" s="273" t="s">
        <v>75</v>
      </c>
      <c r="G104" s="273" t="s">
        <v>11</v>
      </c>
      <c r="H104" s="273" t="s">
        <v>11</v>
      </c>
    </row>
    <row r="105" spans="1:8" x14ac:dyDescent="0.25">
      <c r="A105" t="s">
        <v>14</v>
      </c>
      <c r="B105" t="s">
        <v>86</v>
      </c>
      <c r="C105" t="s">
        <v>1217</v>
      </c>
      <c r="D105">
        <v>2</v>
      </c>
      <c r="E105" s="273">
        <v>2</v>
      </c>
      <c r="F105" s="273" t="s">
        <v>75</v>
      </c>
      <c r="G105" s="273" t="s">
        <v>11</v>
      </c>
      <c r="H105" s="273" t="s">
        <v>11</v>
      </c>
    </row>
    <row r="106" spans="1:8" x14ac:dyDescent="0.25">
      <c r="A106" t="s">
        <v>14</v>
      </c>
      <c r="B106" t="s">
        <v>86</v>
      </c>
      <c r="C106" t="s">
        <v>1218</v>
      </c>
      <c r="D106">
        <v>2</v>
      </c>
      <c r="E106" s="273">
        <v>2</v>
      </c>
      <c r="F106" s="273" t="s">
        <v>75</v>
      </c>
      <c r="G106" s="273" t="s">
        <v>11</v>
      </c>
      <c r="H106" s="273" t="s">
        <v>11</v>
      </c>
    </row>
    <row r="107" spans="1:8" x14ac:dyDescent="0.25">
      <c r="A107" t="s">
        <v>14</v>
      </c>
      <c r="B107" t="s">
        <v>86</v>
      </c>
      <c r="C107" t="s">
        <v>1219</v>
      </c>
      <c r="D107">
        <v>2</v>
      </c>
      <c r="E107" s="273">
        <v>3</v>
      </c>
      <c r="F107" s="273" t="s">
        <v>75</v>
      </c>
      <c r="G107" s="273" t="s">
        <v>11</v>
      </c>
      <c r="H107" s="273" t="s">
        <v>11</v>
      </c>
    </row>
    <row r="108" spans="1:8" x14ac:dyDescent="0.25">
      <c r="A108" t="s">
        <v>14</v>
      </c>
      <c r="B108" t="s">
        <v>86</v>
      </c>
      <c r="C108" t="s">
        <v>1220</v>
      </c>
      <c r="D108">
        <v>2</v>
      </c>
      <c r="E108" s="273">
        <v>5</v>
      </c>
      <c r="F108" s="273" t="s">
        <v>75</v>
      </c>
      <c r="G108" s="273" t="s">
        <v>11</v>
      </c>
      <c r="H108" s="273" t="s">
        <v>11</v>
      </c>
    </row>
    <row r="109" spans="1:8" x14ac:dyDescent="0.25">
      <c r="A109" t="s">
        <v>14</v>
      </c>
      <c r="B109" t="s">
        <v>86</v>
      </c>
      <c r="C109" t="s">
        <v>1221</v>
      </c>
      <c r="D109">
        <v>2</v>
      </c>
      <c r="E109" s="273">
        <v>2</v>
      </c>
      <c r="F109" s="273" t="s">
        <v>75</v>
      </c>
      <c r="G109" s="273" t="s">
        <v>11</v>
      </c>
      <c r="H109" s="273" t="s">
        <v>11</v>
      </c>
    </row>
    <row r="110" spans="1:8" x14ac:dyDescent="0.25">
      <c r="A110" t="s">
        <v>14</v>
      </c>
      <c r="B110" t="s">
        <v>86</v>
      </c>
      <c r="C110" t="s">
        <v>1222</v>
      </c>
      <c r="D110">
        <v>2</v>
      </c>
      <c r="E110" s="273">
        <v>2</v>
      </c>
      <c r="F110" s="273" t="s">
        <v>75</v>
      </c>
      <c r="G110" s="273" t="s">
        <v>11</v>
      </c>
      <c r="H110" s="273" t="s">
        <v>11</v>
      </c>
    </row>
    <row r="111" spans="1:8" x14ac:dyDescent="0.25">
      <c r="A111" t="s">
        <v>14</v>
      </c>
      <c r="B111" t="s">
        <v>86</v>
      </c>
      <c r="C111" t="s">
        <v>1223</v>
      </c>
      <c r="D111">
        <v>2</v>
      </c>
      <c r="E111" s="273">
        <v>3</v>
      </c>
      <c r="F111" s="273" t="s">
        <v>75</v>
      </c>
      <c r="G111" s="273" t="s">
        <v>11</v>
      </c>
      <c r="H111" s="273" t="s">
        <v>11</v>
      </c>
    </row>
    <row r="112" spans="1:8" x14ac:dyDescent="0.25">
      <c r="A112" t="s">
        <v>14</v>
      </c>
      <c r="B112" t="s">
        <v>86</v>
      </c>
      <c r="C112" t="s">
        <v>1224</v>
      </c>
      <c r="D112">
        <v>2</v>
      </c>
      <c r="E112" s="273">
        <v>4</v>
      </c>
      <c r="F112" s="273" t="s">
        <v>75</v>
      </c>
      <c r="G112" s="273" t="s">
        <v>11</v>
      </c>
      <c r="H112" s="273" t="s">
        <v>11</v>
      </c>
    </row>
    <row r="113" spans="1:8" x14ac:dyDescent="0.25">
      <c r="A113" t="s">
        <v>14</v>
      </c>
      <c r="B113" t="s">
        <v>86</v>
      </c>
      <c r="C113" t="s">
        <v>1225</v>
      </c>
      <c r="D113">
        <v>2</v>
      </c>
      <c r="E113" s="273">
        <v>2</v>
      </c>
      <c r="F113" s="273" t="s">
        <v>75</v>
      </c>
      <c r="G113" s="273" t="s">
        <v>11</v>
      </c>
      <c r="H113" s="273" t="s">
        <v>11</v>
      </c>
    </row>
    <row r="114" spans="1:8" x14ac:dyDescent="0.25">
      <c r="A114" t="s">
        <v>13</v>
      </c>
      <c r="B114" t="s">
        <v>104</v>
      </c>
      <c r="C114" t="s">
        <v>1226</v>
      </c>
      <c r="D114">
        <v>3</v>
      </c>
      <c r="E114" s="273">
        <v>3</v>
      </c>
      <c r="F114" s="273" t="s">
        <v>7</v>
      </c>
      <c r="G114" s="273" t="s">
        <v>11</v>
      </c>
      <c r="H114" s="273" t="s">
        <v>11</v>
      </c>
    </row>
    <row r="115" spans="1:8" x14ac:dyDescent="0.25">
      <c r="A115" t="s">
        <v>13</v>
      </c>
      <c r="B115" t="s">
        <v>104</v>
      </c>
      <c r="C115" t="s">
        <v>1227</v>
      </c>
      <c r="D115">
        <v>3</v>
      </c>
      <c r="E115" s="273">
        <v>3</v>
      </c>
      <c r="F115" s="273" t="s">
        <v>7</v>
      </c>
      <c r="G115" s="273" t="s">
        <v>11</v>
      </c>
      <c r="H115" s="273" t="s">
        <v>11</v>
      </c>
    </row>
    <row r="116" spans="1:8" x14ac:dyDescent="0.25">
      <c r="A116" t="s">
        <v>13</v>
      </c>
      <c r="B116" t="s">
        <v>104</v>
      </c>
      <c r="C116" t="s">
        <v>1228</v>
      </c>
      <c r="D116">
        <v>2</v>
      </c>
      <c r="E116" s="273">
        <v>4</v>
      </c>
      <c r="F116" s="273" t="s">
        <v>7</v>
      </c>
      <c r="G116" s="273" t="s">
        <v>11</v>
      </c>
      <c r="H116" s="273" t="s">
        <v>11</v>
      </c>
    </row>
    <row r="117" spans="1:8" x14ac:dyDescent="0.25">
      <c r="A117" t="s">
        <v>13</v>
      </c>
      <c r="B117" t="s">
        <v>104</v>
      </c>
      <c r="C117" t="s">
        <v>1229</v>
      </c>
      <c r="D117">
        <v>2</v>
      </c>
      <c r="E117" s="273">
        <v>4</v>
      </c>
      <c r="F117" s="273" t="s">
        <v>7</v>
      </c>
      <c r="G117" s="273" t="s">
        <v>11</v>
      </c>
      <c r="H117" s="273" t="s">
        <v>11</v>
      </c>
    </row>
    <row r="118" spans="1:8" x14ac:dyDescent="0.25">
      <c r="A118" t="s">
        <v>13</v>
      </c>
      <c r="B118" t="s">
        <v>104</v>
      </c>
      <c r="C118" t="s">
        <v>1230</v>
      </c>
      <c r="D118">
        <v>2</v>
      </c>
      <c r="E118" s="273">
        <v>4</v>
      </c>
      <c r="F118" s="273" t="s">
        <v>7</v>
      </c>
      <c r="G118" s="273" t="s">
        <v>11</v>
      </c>
      <c r="H118" s="273" t="s">
        <v>11</v>
      </c>
    </row>
    <row r="119" spans="1:8" x14ac:dyDescent="0.25">
      <c r="A119" t="s">
        <v>13</v>
      </c>
      <c r="B119" t="s">
        <v>104</v>
      </c>
      <c r="C119" t="s">
        <v>1231</v>
      </c>
      <c r="D119">
        <v>3</v>
      </c>
      <c r="E119" s="273">
        <v>3</v>
      </c>
      <c r="F119" s="273" t="s">
        <v>7</v>
      </c>
      <c r="G119" s="273" t="s">
        <v>11</v>
      </c>
      <c r="H119" s="273" t="s">
        <v>11</v>
      </c>
    </row>
    <row r="120" spans="1:8" x14ac:dyDescent="0.25">
      <c r="A120" t="s">
        <v>13</v>
      </c>
      <c r="B120" t="s">
        <v>104</v>
      </c>
      <c r="C120" t="s">
        <v>1121</v>
      </c>
      <c r="D120">
        <v>3</v>
      </c>
      <c r="E120" s="273">
        <v>3</v>
      </c>
      <c r="F120" s="273" t="s">
        <v>7</v>
      </c>
      <c r="G120" s="273" t="s">
        <v>11</v>
      </c>
      <c r="H120" s="273" t="s">
        <v>11</v>
      </c>
    </row>
    <row r="121" spans="1:8" x14ac:dyDescent="0.25">
      <c r="A121" t="s">
        <v>13</v>
      </c>
      <c r="B121" t="s">
        <v>104</v>
      </c>
      <c r="C121" t="s">
        <v>1232</v>
      </c>
      <c r="D121">
        <v>2</v>
      </c>
      <c r="E121" s="273">
        <v>4</v>
      </c>
      <c r="F121" s="273" t="s">
        <v>7</v>
      </c>
      <c r="G121" s="273" t="s">
        <v>11</v>
      </c>
      <c r="H121" s="273" t="s">
        <v>11</v>
      </c>
    </row>
    <row r="122" spans="1:8" x14ac:dyDescent="0.25">
      <c r="A122" t="s">
        <v>13</v>
      </c>
      <c r="B122" t="s">
        <v>104</v>
      </c>
      <c r="C122" t="s">
        <v>1233</v>
      </c>
      <c r="D122">
        <v>3</v>
      </c>
      <c r="E122" s="273">
        <v>3</v>
      </c>
      <c r="F122" s="273" t="s">
        <v>7</v>
      </c>
      <c r="G122" s="273" t="s">
        <v>11</v>
      </c>
      <c r="H122" s="273" t="s">
        <v>11</v>
      </c>
    </row>
    <row r="123" spans="1:8" x14ac:dyDescent="0.25">
      <c r="A123" t="s">
        <v>13</v>
      </c>
      <c r="B123" t="s">
        <v>104</v>
      </c>
      <c r="C123" t="s">
        <v>1234</v>
      </c>
      <c r="D123">
        <v>3</v>
      </c>
      <c r="E123" s="273">
        <v>3</v>
      </c>
      <c r="F123" s="273" t="s">
        <v>7</v>
      </c>
      <c r="G123" s="273" t="s">
        <v>11</v>
      </c>
      <c r="H123" s="273" t="s">
        <v>11</v>
      </c>
    </row>
    <row r="124" spans="1:8" x14ac:dyDescent="0.25">
      <c r="A124" t="s">
        <v>13</v>
      </c>
      <c r="B124" t="s">
        <v>104</v>
      </c>
      <c r="C124" t="s">
        <v>1127</v>
      </c>
      <c r="D124">
        <v>3</v>
      </c>
      <c r="E124" s="273">
        <v>3</v>
      </c>
      <c r="F124" s="273" t="s">
        <v>7</v>
      </c>
      <c r="G124" s="273" t="s">
        <v>11</v>
      </c>
      <c r="H124" s="273" t="s">
        <v>11</v>
      </c>
    </row>
    <row r="125" spans="1:8" x14ac:dyDescent="0.25">
      <c r="A125" t="s">
        <v>13</v>
      </c>
      <c r="B125" t="s">
        <v>104</v>
      </c>
      <c r="C125" t="s">
        <v>1128</v>
      </c>
      <c r="D125">
        <v>3</v>
      </c>
      <c r="E125" s="273">
        <v>3</v>
      </c>
      <c r="F125" s="273" t="s">
        <v>7</v>
      </c>
      <c r="G125" s="273" t="s">
        <v>11</v>
      </c>
      <c r="H125" s="273" t="s">
        <v>11</v>
      </c>
    </row>
    <row r="126" spans="1:8" x14ac:dyDescent="0.25">
      <c r="A126" t="s">
        <v>13</v>
      </c>
      <c r="B126" t="s">
        <v>104</v>
      </c>
      <c r="C126" t="s">
        <v>1235</v>
      </c>
      <c r="D126">
        <v>3</v>
      </c>
      <c r="E126" s="273">
        <v>3</v>
      </c>
      <c r="F126" s="273" t="s">
        <v>7</v>
      </c>
      <c r="G126" s="273" t="s">
        <v>11</v>
      </c>
      <c r="H126" s="273" t="s">
        <v>11</v>
      </c>
    </row>
    <row r="127" spans="1:8" x14ac:dyDescent="0.25">
      <c r="A127" t="s">
        <v>13</v>
      </c>
      <c r="B127" t="s">
        <v>104</v>
      </c>
      <c r="C127" t="s">
        <v>1236</v>
      </c>
      <c r="D127">
        <v>3</v>
      </c>
      <c r="E127" s="273">
        <v>3</v>
      </c>
      <c r="F127" s="273" t="s">
        <v>7</v>
      </c>
      <c r="G127" s="273" t="s">
        <v>115</v>
      </c>
      <c r="H127" s="273" t="s">
        <v>11</v>
      </c>
    </row>
    <row r="128" spans="1:8" x14ac:dyDescent="0.25">
      <c r="A128" t="s">
        <v>13</v>
      </c>
      <c r="B128" t="s">
        <v>104</v>
      </c>
      <c r="C128" t="s">
        <v>1237</v>
      </c>
      <c r="D128">
        <v>3</v>
      </c>
      <c r="E128" s="273">
        <v>3</v>
      </c>
      <c r="F128" s="273" t="s">
        <v>7</v>
      </c>
      <c r="G128" s="273" t="s">
        <v>11</v>
      </c>
      <c r="H128" s="273" t="s">
        <v>11</v>
      </c>
    </row>
    <row r="129" spans="1:8" x14ac:dyDescent="0.25">
      <c r="A129" t="s">
        <v>13</v>
      </c>
      <c r="B129" t="s">
        <v>104</v>
      </c>
      <c r="C129" t="s">
        <v>1238</v>
      </c>
      <c r="D129">
        <v>3</v>
      </c>
      <c r="E129" s="273">
        <v>3</v>
      </c>
      <c r="F129" s="273" t="s">
        <v>7</v>
      </c>
      <c r="G129" s="273" t="s">
        <v>11</v>
      </c>
      <c r="H129" s="273" t="s">
        <v>11</v>
      </c>
    </row>
    <row r="130" spans="1:8" x14ac:dyDescent="0.25">
      <c r="A130" t="s">
        <v>13</v>
      </c>
      <c r="B130" t="s">
        <v>104</v>
      </c>
      <c r="C130" t="s">
        <v>1239</v>
      </c>
      <c r="D130">
        <v>3</v>
      </c>
      <c r="E130" s="273">
        <v>3</v>
      </c>
      <c r="F130" s="273" t="s">
        <v>7</v>
      </c>
      <c r="G130" s="273" t="s">
        <v>11</v>
      </c>
      <c r="H130" s="273" t="s">
        <v>11</v>
      </c>
    </row>
    <row r="131" spans="1:8" x14ac:dyDescent="0.25">
      <c r="A131" t="s">
        <v>13</v>
      </c>
      <c r="B131" t="s">
        <v>104</v>
      </c>
      <c r="C131" t="s">
        <v>1240</v>
      </c>
      <c r="D131">
        <v>3</v>
      </c>
      <c r="E131" s="273">
        <v>3</v>
      </c>
      <c r="F131" s="273" t="s">
        <v>7</v>
      </c>
      <c r="G131" s="273" t="s">
        <v>11</v>
      </c>
      <c r="H131" s="273" t="s">
        <v>11</v>
      </c>
    </row>
    <row r="132" spans="1:8" x14ac:dyDescent="0.25">
      <c r="A132" t="s">
        <v>13</v>
      </c>
      <c r="B132" t="s">
        <v>104</v>
      </c>
      <c r="C132" t="s">
        <v>1241</v>
      </c>
      <c r="D132">
        <v>3</v>
      </c>
      <c r="E132" s="273">
        <v>3</v>
      </c>
      <c r="F132" s="273" t="s">
        <v>7</v>
      </c>
      <c r="G132" s="273" t="s">
        <v>11</v>
      </c>
      <c r="H132" s="273" t="s">
        <v>11</v>
      </c>
    </row>
    <row r="133" spans="1:8" x14ac:dyDescent="0.25">
      <c r="A133" t="s">
        <v>13</v>
      </c>
      <c r="B133" t="s">
        <v>104</v>
      </c>
      <c r="C133" t="s">
        <v>1137</v>
      </c>
      <c r="D133">
        <v>3</v>
      </c>
      <c r="E133" s="273">
        <v>3</v>
      </c>
      <c r="F133" s="273" t="s">
        <v>7</v>
      </c>
      <c r="G133" s="273" t="s">
        <v>11</v>
      </c>
      <c r="H133" s="273" t="s">
        <v>11</v>
      </c>
    </row>
    <row r="134" spans="1:8" x14ac:dyDescent="0.25">
      <c r="A134" t="s">
        <v>13</v>
      </c>
      <c r="B134" t="s">
        <v>104</v>
      </c>
      <c r="C134" t="s">
        <v>1242</v>
      </c>
      <c r="D134">
        <v>3</v>
      </c>
      <c r="E134" s="273">
        <v>3</v>
      </c>
      <c r="F134" s="273" t="s">
        <v>7</v>
      </c>
      <c r="G134" s="273" t="s">
        <v>11</v>
      </c>
      <c r="H134" s="273" t="s">
        <v>11</v>
      </c>
    </row>
    <row r="135" spans="1:8" x14ac:dyDescent="0.25">
      <c r="A135" t="s">
        <v>13</v>
      </c>
      <c r="B135" t="s">
        <v>104</v>
      </c>
      <c r="C135" t="s">
        <v>1243</v>
      </c>
      <c r="D135">
        <v>3</v>
      </c>
      <c r="E135" s="273">
        <v>3</v>
      </c>
      <c r="F135" s="273" t="s">
        <v>7</v>
      </c>
      <c r="G135" s="273" t="s">
        <v>11</v>
      </c>
      <c r="H135" s="273" t="s">
        <v>11</v>
      </c>
    </row>
    <row r="136" spans="1:8" x14ac:dyDescent="0.25">
      <c r="A136" t="s">
        <v>13</v>
      </c>
      <c r="B136" t="s">
        <v>104</v>
      </c>
      <c r="C136" t="s">
        <v>1244</v>
      </c>
      <c r="D136">
        <v>3</v>
      </c>
      <c r="E136" s="273">
        <v>3</v>
      </c>
      <c r="F136" s="273" t="s">
        <v>7</v>
      </c>
      <c r="G136" s="273" t="s">
        <v>11</v>
      </c>
      <c r="H136" s="273" t="s">
        <v>11</v>
      </c>
    </row>
    <row r="137" spans="1:8" x14ac:dyDescent="0.25">
      <c r="A137" t="s">
        <v>13</v>
      </c>
      <c r="B137" t="s">
        <v>104</v>
      </c>
      <c r="C137" t="s">
        <v>1143</v>
      </c>
      <c r="D137">
        <v>3</v>
      </c>
      <c r="E137" s="273">
        <v>3</v>
      </c>
      <c r="F137" s="273" t="s">
        <v>7</v>
      </c>
      <c r="G137" s="273" t="s">
        <v>11</v>
      </c>
      <c r="H137" s="273" t="s">
        <v>11</v>
      </c>
    </row>
    <row r="138" spans="1:8" x14ac:dyDescent="0.25">
      <c r="A138" t="s">
        <v>13</v>
      </c>
      <c r="B138" t="s">
        <v>104</v>
      </c>
      <c r="C138" t="s">
        <v>1245</v>
      </c>
      <c r="D138">
        <v>2</v>
      </c>
      <c r="E138" s="273">
        <v>4</v>
      </c>
      <c r="F138" s="273" t="s">
        <v>7</v>
      </c>
      <c r="G138" s="273" t="s">
        <v>11</v>
      </c>
      <c r="H138" s="273" t="s">
        <v>11</v>
      </c>
    </row>
    <row r="139" spans="1:8" x14ac:dyDescent="0.25">
      <c r="A139" t="s">
        <v>13</v>
      </c>
      <c r="B139" t="s">
        <v>104</v>
      </c>
      <c r="C139" t="s">
        <v>1246</v>
      </c>
      <c r="D139">
        <v>2</v>
      </c>
      <c r="E139" s="273">
        <v>3</v>
      </c>
      <c r="F139" s="273" t="s">
        <v>7</v>
      </c>
      <c r="G139" s="273" t="s">
        <v>11</v>
      </c>
      <c r="H139" s="273" t="s">
        <v>11</v>
      </c>
    </row>
    <row r="140" spans="1:8" x14ac:dyDescent="0.25">
      <c r="A140" t="s">
        <v>13</v>
      </c>
      <c r="B140" t="s">
        <v>104</v>
      </c>
      <c r="C140" t="s">
        <v>1247</v>
      </c>
      <c r="D140">
        <v>3</v>
      </c>
      <c r="E140" s="273">
        <v>3</v>
      </c>
      <c r="F140" s="273" t="s">
        <v>7</v>
      </c>
      <c r="G140" s="273" t="s">
        <v>11</v>
      </c>
      <c r="H140" s="273" t="s">
        <v>11</v>
      </c>
    </row>
    <row r="141" spans="1:8" x14ac:dyDescent="0.25">
      <c r="A141" t="s">
        <v>13</v>
      </c>
      <c r="B141" t="s">
        <v>104</v>
      </c>
      <c r="C141" t="s">
        <v>1145</v>
      </c>
      <c r="D141">
        <v>3</v>
      </c>
      <c r="E141" s="273">
        <v>3</v>
      </c>
      <c r="F141" s="273" t="s">
        <v>7</v>
      </c>
      <c r="G141" s="273" t="s">
        <v>11</v>
      </c>
      <c r="H141" s="273" t="s">
        <v>11</v>
      </c>
    </row>
    <row r="142" spans="1:8" x14ac:dyDescent="0.25">
      <c r="A142" t="s">
        <v>13</v>
      </c>
      <c r="B142" t="s">
        <v>104</v>
      </c>
      <c r="C142" t="s">
        <v>1248</v>
      </c>
      <c r="D142">
        <v>3</v>
      </c>
      <c r="E142" s="273">
        <v>3</v>
      </c>
      <c r="F142" s="273" t="s">
        <v>7</v>
      </c>
      <c r="G142" s="273" t="s">
        <v>115</v>
      </c>
      <c r="H142" s="273" t="s">
        <v>11</v>
      </c>
    </row>
    <row r="143" spans="1:8" x14ac:dyDescent="0.25">
      <c r="A143" t="s">
        <v>13</v>
      </c>
      <c r="B143" t="s">
        <v>104</v>
      </c>
      <c r="C143" t="s">
        <v>1249</v>
      </c>
      <c r="D143">
        <v>3</v>
      </c>
      <c r="E143" s="273">
        <v>3</v>
      </c>
      <c r="F143" s="273" t="s">
        <v>7</v>
      </c>
      <c r="G143" s="273" t="s">
        <v>11</v>
      </c>
      <c r="H143" s="273" t="s">
        <v>11</v>
      </c>
    </row>
    <row r="144" spans="1:8" x14ac:dyDescent="0.25">
      <c r="A144" t="s">
        <v>13</v>
      </c>
      <c r="B144" t="s">
        <v>104</v>
      </c>
      <c r="C144" t="s">
        <v>1250</v>
      </c>
      <c r="D144">
        <v>3</v>
      </c>
      <c r="E144" s="273">
        <v>3</v>
      </c>
      <c r="F144" s="273" t="s">
        <v>7</v>
      </c>
      <c r="G144" s="273" t="s">
        <v>11</v>
      </c>
      <c r="H144" s="273" t="s">
        <v>11</v>
      </c>
    </row>
    <row r="145" spans="1:8" x14ac:dyDescent="0.25">
      <c r="A145" t="s">
        <v>13</v>
      </c>
      <c r="B145" t="s">
        <v>104</v>
      </c>
      <c r="C145" t="s">
        <v>1251</v>
      </c>
      <c r="D145">
        <v>2</v>
      </c>
      <c r="E145" s="273">
        <v>3</v>
      </c>
      <c r="F145" s="273" t="s">
        <v>7</v>
      </c>
      <c r="G145" s="273" t="s">
        <v>11</v>
      </c>
      <c r="H145" s="273" t="s">
        <v>11</v>
      </c>
    </row>
    <row r="146" spans="1:8" x14ac:dyDescent="0.25">
      <c r="A146" t="s">
        <v>13</v>
      </c>
      <c r="B146" t="s">
        <v>104</v>
      </c>
      <c r="C146" t="s">
        <v>1252</v>
      </c>
      <c r="D146">
        <v>2</v>
      </c>
      <c r="E146" s="273">
        <v>4</v>
      </c>
      <c r="F146" s="273" t="s">
        <v>7</v>
      </c>
      <c r="G146" s="273" t="s">
        <v>11</v>
      </c>
      <c r="H146" s="273" t="s">
        <v>11</v>
      </c>
    </row>
    <row r="147" spans="1:8" x14ac:dyDescent="0.25">
      <c r="A147" t="s">
        <v>13</v>
      </c>
      <c r="B147" t="s">
        <v>104</v>
      </c>
      <c r="C147" t="s">
        <v>1149</v>
      </c>
      <c r="D147">
        <v>3</v>
      </c>
      <c r="E147" s="273">
        <v>3</v>
      </c>
      <c r="F147" s="273" t="s">
        <v>7</v>
      </c>
      <c r="G147" s="273" t="s">
        <v>11</v>
      </c>
      <c r="H147" s="273" t="s">
        <v>11</v>
      </c>
    </row>
    <row r="148" spans="1:8" x14ac:dyDescent="0.25">
      <c r="A148" t="s">
        <v>13</v>
      </c>
      <c r="B148" t="s">
        <v>104</v>
      </c>
      <c r="C148" t="s">
        <v>1150</v>
      </c>
      <c r="D148">
        <v>3</v>
      </c>
      <c r="E148" s="273">
        <v>3</v>
      </c>
      <c r="F148" s="273" t="s">
        <v>7</v>
      </c>
      <c r="G148" s="273" t="s">
        <v>11</v>
      </c>
      <c r="H148" s="273" t="s">
        <v>11</v>
      </c>
    </row>
    <row r="149" spans="1:8" x14ac:dyDescent="0.25">
      <c r="A149" t="s">
        <v>13</v>
      </c>
      <c r="B149" t="s">
        <v>104</v>
      </c>
      <c r="C149" t="s">
        <v>1253</v>
      </c>
      <c r="D149">
        <v>3</v>
      </c>
      <c r="E149" s="273">
        <v>3</v>
      </c>
      <c r="F149" s="273" t="s">
        <v>7</v>
      </c>
      <c r="G149" s="273" t="s">
        <v>11</v>
      </c>
      <c r="H149" s="273" t="s">
        <v>11</v>
      </c>
    </row>
    <row r="150" spans="1:8" x14ac:dyDescent="0.25">
      <c r="A150" t="s">
        <v>13</v>
      </c>
      <c r="B150" t="s">
        <v>104</v>
      </c>
      <c r="C150" t="s">
        <v>1254</v>
      </c>
      <c r="D150">
        <v>3</v>
      </c>
      <c r="E150" s="273">
        <v>3</v>
      </c>
      <c r="F150" s="273" t="s">
        <v>7</v>
      </c>
      <c r="G150" s="273" t="s">
        <v>115</v>
      </c>
      <c r="H150" s="273" t="s">
        <v>11</v>
      </c>
    </row>
    <row r="151" spans="1:8" x14ac:dyDescent="0.25">
      <c r="A151" t="s">
        <v>13</v>
      </c>
      <c r="B151" t="s">
        <v>104</v>
      </c>
      <c r="C151" t="s">
        <v>1153</v>
      </c>
      <c r="D151">
        <v>3</v>
      </c>
      <c r="E151" s="273">
        <v>3</v>
      </c>
      <c r="F151" s="273" t="s">
        <v>7</v>
      </c>
      <c r="G151" s="273" t="s">
        <v>11</v>
      </c>
      <c r="H151" s="273" t="s">
        <v>11</v>
      </c>
    </row>
    <row r="152" spans="1:8" x14ac:dyDescent="0.25">
      <c r="A152" t="s">
        <v>13</v>
      </c>
      <c r="B152" t="s">
        <v>104</v>
      </c>
      <c r="C152" t="s">
        <v>1154</v>
      </c>
      <c r="D152">
        <v>3</v>
      </c>
      <c r="E152" s="273">
        <v>3</v>
      </c>
      <c r="F152" s="273" t="s">
        <v>7</v>
      </c>
      <c r="G152" s="273" t="s">
        <v>11</v>
      </c>
      <c r="H152" s="273" t="s">
        <v>11</v>
      </c>
    </row>
    <row r="153" spans="1:8" x14ac:dyDescent="0.25">
      <c r="A153" t="s">
        <v>13</v>
      </c>
      <c r="B153" t="s">
        <v>104</v>
      </c>
      <c r="C153" t="s">
        <v>1255</v>
      </c>
      <c r="D153">
        <v>3</v>
      </c>
      <c r="E153" s="273">
        <v>3</v>
      </c>
      <c r="F153" s="273" t="s">
        <v>7</v>
      </c>
      <c r="G153" s="273" t="s">
        <v>11</v>
      </c>
      <c r="H153" s="273" t="s">
        <v>11</v>
      </c>
    </row>
    <row r="154" spans="1:8" x14ac:dyDescent="0.25">
      <c r="A154" t="s">
        <v>13</v>
      </c>
      <c r="B154" t="s">
        <v>104</v>
      </c>
      <c r="C154" t="s">
        <v>1256</v>
      </c>
      <c r="D154">
        <v>3</v>
      </c>
      <c r="E154" s="273">
        <v>3</v>
      </c>
      <c r="F154" s="273" t="s">
        <v>7</v>
      </c>
      <c r="G154" s="273" t="s">
        <v>115</v>
      </c>
      <c r="H154" s="273" t="s">
        <v>11</v>
      </c>
    </row>
    <row r="155" spans="1:8" x14ac:dyDescent="0.25">
      <c r="A155" t="s">
        <v>13</v>
      </c>
      <c r="B155" t="s">
        <v>104</v>
      </c>
      <c r="C155" t="s">
        <v>1257</v>
      </c>
      <c r="D155">
        <v>3</v>
      </c>
      <c r="E155" s="273">
        <v>3</v>
      </c>
      <c r="F155" s="273" t="s">
        <v>7</v>
      </c>
      <c r="G155" s="273" t="s">
        <v>11</v>
      </c>
      <c r="H155" s="273" t="s">
        <v>11</v>
      </c>
    </row>
    <row r="156" spans="1:8" x14ac:dyDescent="0.25">
      <c r="A156" t="s">
        <v>13</v>
      </c>
      <c r="B156" t="s">
        <v>104</v>
      </c>
      <c r="C156" t="s">
        <v>1258</v>
      </c>
      <c r="D156">
        <v>3</v>
      </c>
      <c r="E156" s="273">
        <v>3</v>
      </c>
      <c r="F156" s="273" t="s">
        <v>7</v>
      </c>
      <c r="G156" s="273" t="s">
        <v>11</v>
      </c>
      <c r="H156" s="273" t="s">
        <v>11</v>
      </c>
    </row>
    <row r="157" spans="1:8" x14ac:dyDescent="0.25">
      <c r="A157" t="s">
        <v>13</v>
      </c>
      <c r="B157" t="s">
        <v>104</v>
      </c>
      <c r="C157" t="s">
        <v>1158</v>
      </c>
      <c r="D157">
        <v>3</v>
      </c>
      <c r="E157" s="273">
        <v>4</v>
      </c>
      <c r="F157" s="273" t="s">
        <v>7</v>
      </c>
      <c r="G157" s="273" t="s">
        <v>11</v>
      </c>
      <c r="H157" s="273" t="s">
        <v>11</v>
      </c>
    </row>
    <row r="158" spans="1:8" x14ac:dyDescent="0.25">
      <c r="A158" t="s">
        <v>13</v>
      </c>
      <c r="B158" t="s">
        <v>104</v>
      </c>
      <c r="C158" t="s">
        <v>1160</v>
      </c>
      <c r="D158">
        <v>2</v>
      </c>
      <c r="E158" s="273">
        <v>4</v>
      </c>
      <c r="F158" s="273" t="s">
        <v>7</v>
      </c>
      <c r="G158" s="273" t="s">
        <v>11</v>
      </c>
      <c r="H158" s="273" t="s">
        <v>11</v>
      </c>
    </row>
    <row r="159" spans="1:8" x14ac:dyDescent="0.25">
      <c r="A159" t="s">
        <v>13</v>
      </c>
      <c r="B159" t="s">
        <v>104</v>
      </c>
      <c r="C159" t="s">
        <v>1259</v>
      </c>
      <c r="D159">
        <v>3</v>
      </c>
      <c r="E159" s="273">
        <v>3</v>
      </c>
      <c r="F159" s="273" t="s">
        <v>7</v>
      </c>
      <c r="G159" s="273" t="s">
        <v>115</v>
      </c>
      <c r="H159" s="273" t="s">
        <v>11</v>
      </c>
    </row>
    <row r="160" spans="1:8" x14ac:dyDescent="0.25">
      <c r="A160" t="s">
        <v>13</v>
      </c>
      <c r="B160" t="s">
        <v>104</v>
      </c>
      <c r="C160" t="s">
        <v>1260</v>
      </c>
      <c r="D160">
        <v>3</v>
      </c>
      <c r="E160" s="273">
        <v>3</v>
      </c>
      <c r="F160" s="273" t="s">
        <v>7</v>
      </c>
      <c r="G160" s="273" t="s">
        <v>11</v>
      </c>
      <c r="H160" s="273" t="s">
        <v>11</v>
      </c>
    </row>
    <row r="161" spans="1:8" x14ac:dyDescent="0.25">
      <c r="A161" t="s">
        <v>13</v>
      </c>
      <c r="B161" t="s">
        <v>104</v>
      </c>
      <c r="C161" t="s">
        <v>1163</v>
      </c>
      <c r="D161">
        <v>3</v>
      </c>
      <c r="E161" s="273">
        <v>3</v>
      </c>
      <c r="F161" s="273" t="s">
        <v>7</v>
      </c>
      <c r="G161" s="273" t="s">
        <v>11</v>
      </c>
      <c r="H161" s="273" t="s">
        <v>11</v>
      </c>
    </row>
    <row r="162" spans="1:8" x14ac:dyDescent="0.25">
      <c r="A162" t="s">
        <v>13</v>
      </c>
      <c r="B162" t="s">
        <v>104</v>
      </c>
      <c r="C162" t="s">
        <v>1164</v>
      </c>
      <c r="D162">
        <v>2</v>
      </c>
      <c r="E162" s="273">
        <v>3</v>
      </c>
      <c r="F162" s="273" t="s">
        <v>7</v>
      </c>
      <c r="G162" s="273" t="s">
        <v>11</v>
      </c>
      <c r="H162" s="273" t="s">
        <v>11</v>
      </c>
    </row>
    <row r="163" spans="1:8" x14ac:dyDescent="0.25">
      <c r="A163" t="s">
        <v>13</v>
      </c>
      <c r="B163" t="s">
        <v>104</v>
      </c>
      <c r="C163" t="s">
        <v>1261</v>
      </c>
      <c r="D163">
        <v>3</v>
      </c>
      <c r="E163" s="273">
        <v>3</v>
      </c>
      <c r="F163" s="273" t="s">
        <v>7</v>
      </c>
      <c r="G163" s="273" t="s">
        <v>11</v>
      </c>
      <c r="H163" s="273" t="s">
        <v>11</v>
      </c>
    </row>
    <row r="164" spans="1:8" x14ac:dyDescent="0.25">
      <c r="A164" t="s">
        <v>13</v>
      </c>
      <c r="B164" t="s">
        <v>104</v>
      </c>
      <c r="C164" t="s">
        <v>1262</v>
      </c>
      <c r="D164">
        <v>3</v>
      </c>
      <c r="E164" s="273">
        <v>4</v>
      </c>
      <c r="F164" s="273" t="s">
        <v>7</v>
      </c>
      <c r="G164" s="273" t="s">
        <v>11</v>
      </c>
      <c r="H164" s="273" t="s">
        <v>11</v>
      </c>
    </row>
    <row r="165" spans="1:8" x14ac:dyDescent="0.25">
      <c r="A165" t="s">
        <v>13</v>
      </c>
      <c r="B165" t="s">
        <v>104</v>
      </c>
      <c r="C165" t="s">
        <v>1263</v>
      </c>
      <c r="D165">
        <v>3</v>
      </c>
      <c r="E165" s="273">
        <v>3</v>
      </c>
      <c r="F165" s="273" t="s">
        <v>7</v>
      </c>
      <c r="G165" s="273" t="s">
        <v>11</v>
      </c>
      <c r="H165" s="273" t="s">
        <v>11</v>
      </c>
    </row>
    <row r="166" spans="1:8" x14ac:dyDescent="0.25">
      <c r="A166" t="s">
        <v>13</v>
      </c>
      <c r="B166" t="s">
        <v>104</v>
      </c>
      <c r="C166" t="s">
        <v>1166</v>
      </c>
      <c r="D166">
        <v>3</v>
      </c>
      <c r="E166" s="273">
        <v>3</v>
      </c>
      <c r="F166" s="273" t="s">
        <v>7</v>
      </c>
      <c r="G166" s="273" t="s">
        <v>11</v>
      </c>
      <c r="H166" s="273" t="s">
        <v>11</v>
      </c>
    </row>
    <row r="167" spans="1:8" x14ac:dyDescent="0.25">
      <c r="A167" t="s">
        <v>13</v>
      </c>
      <c r="B167" t="s">
        <v>104</v>
      </c>
      <c r="C167" t="s">
        <v>1264</v>
      </c>
      <c r="D167">
        <v>3</v>
      </c>
      <c r="E167" s="273">
        <v>3</v>
      </c>
      <c r="F167" s="273" t="s">
        <v>7</v>
      </c>
      <c r="G167" s="273" t="s">
        <v>11</v>
      </c>
      <c r="H167" s="273" t="s">
        <v>11</v>
      </c>
    </row>
    <row r="168" spans="1:8" x14ac:dyDescent="0.25">
      <c r="A168" t="s">
        <v>13</v>
      </c>
      <c r="B168" t="s">
        <v>104</v>
      </c>
      <c r="C168" t="s">
        <v>1168</v>
      </c>
      <c r="D168">
        <v>3</v>
      </c>
      <c r="E168" s="273">
        <v>3</v>
      </c>
      <c r="F168" s="273" t="s">
        <v>7</v>
      </c>
      <c r="G168" s="273" t="s">
        <v>11</v>
      </c>
      <c r="H168" s="273" t="s">
        <v>11</v>
      </c>
    </row>
    <row r="169" spans="1:8" x14ac:dyDescent="0.25">
      <c r="A169" t="s">
        <v>13</v>
      </c>
      <c r="B169" t="s">
        <v>104</v>
      </c>
      <c r="C169" t="s">
        <v>1265</v>
      </c>
      <c r="D169">
        <v>3</v>
      </c>
      <c r="E169" s="273">
        <v>3</v>
      </c>
      <c r="F169" s="273" t="s">
        <v>7</v>
      </c>
      <c r="G169" s="273" t="s">
        <v>11</v>
      </c>
      <c r="H169" s="273" t="s">
        <v>11</v>
      </c>
    </row>
    <row r="170" spans="1:8" x14ac:dyDescent="0.25">
      <c r="A170" t="s">
        <v>13</v>
      </c>
      <c r="B170" t="s">
        <v>104</v>
      </c>
      <c r="C170" t="s">
        <v>1266</v>
      </c>
      <c r="D170">
        <v>3</v>
      </c>
      <c r="E170" s="273">
        <v>3</v>
      </c>
      <c r="F170" s="273" t="s">
        <v>7</v>
      </c>
      <c r="G170" s="273" t="s">
        <v>11</v>
      </c>
      <c r="H170" s="273" t="s">
        <v>11</v>
      </c>
    </row>
    <row r="171" spans="1:8" x14ac:dyDescent="0.25">
      <c r="A171" t="s">
        <v>13</v>
      </c>
      <c r="B171" t="s">
        <v>104</v>
      </c>
      <c r="C171" t="s">
        <v>1267</v>
      </c>
      <c r="D171">
        <v>3</v>
      </c>
      <c r="E171" s="273">
        <v>3</v>
      </c>
      <c r="F171" s="273" t="s">
        <v>7</v>
      </c>
      <c r="G171" s="273" t="s">
        <v>11</v>
      </c>
      <c r="H171" s="273" t="s">
        <v>11</v>
      </c>
    </row>
    <row r="172" spans="1:8" x14ac:dyDescent="0.25">
      <c r="A172" t="s">
        <v>13</v>
      </c>
      <c r="B172" t="s">
        <v>104</v>
      </c>
      <c r="C172" t="s">
        <v>1268</v>
      </c>
      <c r="D172">
        <v>3</v>
      </c>
      <c r="E172" s="273">
        <v>3</v>
      </c>
      <c r="F172" s="273" t="s">
        <v>7</v>
      </c>
      <c r="G172" s="273" t="s">
        <v>11</v>
      </c>
      <c r="H172" s="273" t="s">
        <v>11</v>
      </c>
    </row>
    <row r="173" spans="1:8" x14ac:dyDescent="0.25">
      <c r="A173" t="s">
        <v>13</v>
      </c>
      <c r="B173" t="s">
        <v>104</v>
      </c>
      <c r="C173" t="s">
        <v>1269</v>
      </c>
      <c r="D173">
        <v>3</v>
      </c>
      <c r="E173" s="273">
        <v>3</v>
      </c>
      <c r="F173" s="273" t="s">
        <v>7</v>
      </c>
      <c r="G173" s="273" t="s">
        <v>11</v>
      </c>
      <c r="H173" s="273" t="s">
        <v>11</v>
      </c>
    </row>
    <row r="174" spans="1:8" x14ac:dyDescent="0.25">
      <c r="A174" t="s">
        <v>13</v>
      </c>
      <c r="B174" t="s">
        <v>104</v>
      </c>
      <c r="C174" t="s">
        <v>1169</v>
      </c>
      <c r="D174">
        <v>2</v>
      </c>
      <c r="E174" s="273">
        <v>3</v>
      </c>
      <c r="F174" s="273" t="s">
        <v>7</v>
      </c>
      <c r="G174" s="273" t="s">
        <v>11</v>
      </c>
      <c r="H174" s="273" t="s">
        <v>11</v>
      </c>
    </row>
    <row r="175" spans="1:8" x14ac:dyDescent="0.25">
      <c r="A175" t="s">
        <v>13</v>
      </c>
      <c r="B175" t="s">
        <v>104</v>
      </c>
      <c r="C175" t="s">
        <v>1270</v>
      </c>
      <c r="D175">
        <v>3</v>
      </c>
      <c r="E175" s="273">
        <v>3</v>
      </c>
      <c r="F175" s="273" t="s">
        <v>7</v>
      </c>
      <c r="G175" s="273" t="s">
        <v>11</v>
      </c>
      <c r="H175" s="273" t="s">
        <v>11</v>
      </c>
    </row>
    <row r="176" spans="1:8" x14ac:dyDescent="0.25">
      <c r="A176" t="s">
        <v>13</v>
      </c>
      <c r="B176" t="s">
        <v>104</v>
      </c>
      <c r="C176" t="s">
        <v>1271</v>
      </c>
      <c r="D176">
        <v>3</v>
      </c>
      <c r="E176" s="273">
        <v>3</v>
      </c>
      <c r="F176" s="273" t="s">
        <v>7</v>
      </c>
      <c r="G176" s="273" t="s">
        <v>11</v>
      </c>
      <c r="H176" s="273" t="s">
        <v>11</v>
      </c>
    </row>
    <row r="177" spans="1:8" x14ac:dyDescent="0.25">
      <c r="A177" t="s">
        <v>13</v>
      </c>
      <c r="B177" t="s">
        <v>104</v>
      </c>
      <c r="C177" t="s">
        <v>1272</v>
      </c>
      <c r="D177">
        <v>3</v>
      </c>
      <c r="E177" s="273">
        <v>3</v>
      </c>
      <c r="F177" s="273" t="s">
        <v>7</v>
      </c>
      <c r="G177" s="273" t="s">
        <v>11</v>
      </c>
      <c r="H177" s="273" t="s">
        <v>11</v>
      </c>
    </row>
    <row r="178" spans="1:8" x14ac:dyDescent="0.25">
      <c r="A178" t="s">
        <v>13</v>
      </c>
      <c r="B178" t="s">
        <v>104</v>
      </c>
      <c r="C178" t="s">
        <v>1273</v>
      </c>
      <c r="D178">
        <v>2</v>
      </c>
      <c r="E178" s="273">
        <v>4</v>
      </c>
      <c r="F178" s="273" t="s">
        <v>7</v>
      </c>
      <c r="G178" s="273" t="s">
        <v>11</v>
      </c>
      <c r="H178" s="273" t="s">
        <v>11</v>
      </c>
    </row>
    <row r="179" spans="1:8" x14ac:dyDescent="0.25">
      <c r="A179" t="s">
        <v>13</v>
      </c>
      <c r="B179" t="s">
        <v>104</v>
      </c>
      <c r="C179" t="s">
        <v>1274</v>
      </c>
      <c r="D179">
        <v>3</v>
      </c>
      <c r="E179" s="273">
        <v>3</v>
      </c>
      <c r="F179" s="273" t="s">
        <v>7</v>
      </c>
      <c r="G179" s="273" t="s">
        <v>11</v>
      </c>
      <c r="H179" s="273" t="s">
        <v>11</v>
      </c>
    </row>
    <row r="180" spans="1:8" x14ac:dyDescent="0.25">
      <c r="A180" t="s">
        <v>13</v>
      </c>
      <c r="B180" t="s">
        <v>104</v>
      </c>
      <c r="C180" t="s">
        <v>1275</v>
      </c>
      <c r="D180">
        <v>3</v>
      </c>
      <c r="E180" s="273">
        <v>3</v>
      </c>
      <c r="F180" s="273" t="s">
        <v>7</v>
      </c>
      <c r="G180" s="273" t="s">
        <v>115</v>
      </c>
      <c r="H180" s="273" t="s">
        <v>11</v>
      </c>
    </row>
    <row r="181" spans="1:8" x14ac:dyDescent="0.25">
      <c r="A181" t="s">
        <v>13</v>
      </c>
      <c r="B181" t="s">
        <v>104</v>
      </c>
      <c r="C181" t="s">
        <v>1276</v>
      </c>
      <c r="D181">
        <v>2</v>
      </c>
      <c r="E181" s="273">
        <v>3</v>
      </c>
      <c r="F181" s="273" t="s">
        <v>7</v>
      </c>
      <c r="G181" s="273" t="s">
        <v>11</v>
      </c>
      <c r="H181" s="273" t="s">
        <v>11</v>
      </c>
    </row>
    <row r="182" spans="1:8" x14ac:dyDescent="0.25">
      <c r="A182" t="s">
        <v>13</v>
      </c>
      <c r="B182" t="s">
        <v>104</v>
      </c>
      <c r="C182" t="s">
        <v>1277</v>
      </c>
      <c r="D182">
        <v>2</v>
      </c>
      <c r="E182" s="273">
        <v>4</v>
      </c>
      <c r="F182" s="273" t="s">
        <v>7</v>
      </c>
      <c r="G182" s="273" t="s">
        <v>11</v>
      </c>
      <c r="H182" s="273" t="s">
        <v>11</v>
      </c>
    </row>
    <row r="183" spans="1:8" x14ac:dyDescent="0.25">
      <c r="A183" t="s">
        <v>13</v>
      </c>
      <c r="B183" t="s">
        <v>104</v>
      </c>
      <c r="C183" t="s">
        <v>1278</v>
      </c>
      <c r="D183">
        <v>3</v>
      </c>
      <c r="E183" s="273">
        <v>3</v>
      </c>
      <c r="F183" s="273" t="s">
        <v>7</v>
      </c>
      <c r="G183" s="273" t="s">
        <v>115</v>
      </c>
      <c r="H183" s="273" t="s">
        <v>11</v>
      </c>
    </row>
    <row r="184" spans="1:8" x14ac:dyDescent="0.25">
      <c r="A184" t="s">
        <v>13</v>
      </c>
      <c r="B184" t="s">
        <v>104</v>
      </c>
      <c r="C184" t="s">
        <v>1279</v>
      </c>
      <c r="D184">
        <v>3</v>
      </c>
      <c r="E184" s="273">
        <v>3</v>
      </c>
      <c r="F184" s="273" t="s">
        <v>7</v>
      </c>
      <c r="G184" s="273" t="s">
        <v>11</v>
      </c>
      <c r="H184" s="273" t="s">
        <v>11</v>
      </c>
    </row>
    <row r="185" spans="1:8" x14ac:dyDescent="0.25">
      <c r="A185" t="s">
        <v>13</v>
      </c>
      <c r="B185" t="s">
        <v>104</v>
      </c>
      <c r="C185" t="s">
        <v>1178</v>
      </c>
      <c r="D185">
        <v>3</v>
      </c>
      <c r="E185" s="273">
        <v>4</v>
      </c>
      <c r="F185" s="273" t="s">
        <v>7</v>
      </c>
      <c r="G185" s="273" t="s">
        <v>11</v>
      </c>
      <c r="H185" s="273" t="s">
        <v>11</v>
      </c>
    </row>
    <row r="186" spans="1:8" x14ac:dyDescent="0.25">
      <c r="A186" t="s">
        <v>13</v>
      </c>
      <c r="B186" t="s">
        <v>104</v>
      </c>
      <c r="C186" t="s">
        <v>1280</v>
      </c>
      <c r="D186">
        <v>3</v>
      </c>
      <c r="E186" s="273">
        <v>3</v>
      </c>
      <c r="F186" s="273" t="s">
        <v>7</v>
      </c>
      <c r="G186" s="273" t="s">
        <v>11</v>
      </c>
      <c r="H186" s="273" t="s">
        <v>11</v>
      </c>
    </row>
    <row r="187" spans="1:8" x14ac:dyDescent="0.25">
      <c r="A187" t="s">
        <v>13</v>
      </c>
      <c r="B187" t="s">
        <v>104</v>
      </c>
      <c r="C187" t="s">
        <v>1281</v>
      </c>
      <c r="D187">
        <v>3</v>
      </c>
      <c r="E187" s="273">
        <v>3</v>
      </c>
      <c r="F187" s="273" t="s">
        <v>7</v>
      </c>
      <c r="G187" s="273" t="s">
        <v>11</v>
      </c>
      <c r="H187" s="273" t="s">
        <v>11</v>
      </c>
    </row>
    <row r="188" spans="1:8" x14ac:dyDescent="0.25">
      <c r="A188" t="s">
        <v>13</v>
      </c>
      <c r="B188" t="s">
        <v>104</v>
      </c>
      <c r="C188" t="s">
        <v>1282</v>
      </c>
      <c r="D188">
        <v>3</v>
      </c>
      <c r="E188" s="273">
        <v>3</v>
      </c>
      <c r="F188" s="273" t="s">
        <v>7</v>
      </c>
      <c r="G188" s="273" t="s">
        <v>11</v>
      </c>
      <c r="H188" s="273" t="s">
        <v>11</v>
      </c>
    </row>
    <row r="189" spans="1:8" x14ac:dyDescent="0.25">
      <c r="A189" t="s">
        <v>15</v>
      </c>
      <c r="B189" t="s">
        <v>74</v>
      </c>
      <c r="C189" t="s">
        <v>1283</v>
      </c>
      <c r="D189">
        <v>2</v>
      </c>
      <c r="E189" s="273">
        <v>3</v>
      </c>
      <c r="F189" s="273" t="s">
        <v>105</v>
      </c>
      <c r="G189" s="273" t="s">
        <v>11</v>
      </c>
      <c r="H189" s="273" t="s">
        <v>11</v>
      </c>
    </row>
    <row r="190" spans="1:8" x14ac:dyDescent="0.25">
      <c r="A190" t="s">
        <v>15</v>
      </c>
      <c r="B190" t="s">
        <v>74</v>
      </c>
      <c r="C190" t="s">
        <v>1284</v>
      </c>
      <c r="D190">
        <v>2</v>
      </c>
      <c r="E190" s="273">
        <v>6</v>
      </c>
      <c r="F190" s="273" t="s">
        <v>75</v>
      </c>
      <c r="G190" s="273" t="s">
        <v>11</v>
      </c>
      <c r="H190" s="273" t="s">
        <v>11</v>
      </c>
    </row>
    <row r="191" spans="1:8" x14ac:dyDescent="0.25">
      <c r="A191" t="s">
        <v>15</v>
      </c>
      <c r="B191" t="s">
        <v>74</v>
      </c>
      <c r="C191" t="s">
        <v>1285</v>
      </c>
      <c r="D191">
        <v>2</v>
      </c>
      <c r="E191" s="273">
        <v>4</v>
      </c>
      <c r="F191" s="273" t="s">
        <v>75</v>
      </c>
      <c r="G191" s="273" t="s">
        <v>11</v>
      </c>
      <c r="H191" s="273" t="s">
        <v>11</v>
      </c>
    </row>
    <row r="192" spans="1:8" x14ac:dyDescent="0.25">
      <c r="A192" t="s">
        <v>15</v>
      </c>
      <c r="B192" t="s">
        <v>74</v>
      </c>
      <c r="C192" t="s">
        <v>1286</v>
      </c>
      <c r="D192">
        <v>3</v>
      </c>
      <c r="E192" s="273">
        <v>3</v>
      </c>
      <c r="F192" s="273" t="s">
        <v>75</v>
      </c>
      <c r="G192" s="273" t="s">
        <v>11</v>
      </c>
      <c r="H192" s="273" t="s">
        <v>11</v>
      </c>
    </row>
    <row r="193" spans="1:8" x14ac:dyDescent="0.25">
      <c r="A193" t="s">
        <v>15</v>
      </c>
      <c r="B193" t="s">
        <v>74</v>
      </c>
      <c r="C193" t="s">
        <v>1287</v>
      </c>
      <c r="D193">
        <v>2</v>
      </c>
      <c r="E193" s="273">
        <v>4</v>
      </c>
      <c r="F193" s="273" t="s">
        <v>75</v>
      </c>
      <c r="G193" s="273" t="s">
        <v>11</v>
      </c>
      <c r="H193" s="273" t="s">
        <v>11</v>
      </c>
    </row>
    <row r="194" spans="1:8" x14ac:dyDescent="0.25">
      <c r="A194" t="s">
        <v>15</v>
      </c>
      <c r="B194" t="s">
        <v>74</v>
      </c>
      <c r="C194" t="s">
        <v>1288</v>
      </c>
      <c r="D194">
        <v>3</v>
      </c>
      <c r="E194" s="273">
        <v>3</v>
      </c>
      <c r="F194" s="273" t="s">
        <v>75</v>
      </c>
      <c r="G194" s="273" t="s">
        <v>11</v>
      </c>
      <c r="H194" s="273" t="s">
        <v>11</v>
      </c>
    </row>
    <row r="195" spans="1:8" x14ac:dyDescent="0.25">
      <c r="A195" t="s">
        <v>15</v>
      </c>
      <c r="B195" t="s">
        <v>74</v>
      </c>
      <c r="C195" t="s">
        <v>1289</v>
      </c>
      <c r="D195">
        <v>2</v>
      </c>
      <c r="E195" s="273">
        <v>3</v>
      </c>
      <c r="F195" s="273" t="s">
        <v>75</v>
      </c>
      <c r="G195" s="273" t="s">
        <v>11</v>
      </c>
      <c r="H195" s="273" t="s">
        <v>11</v>
      </c>
    </row>
    <row r="196" spans="1:8" x14ac:dyDescent="0.25">
      <c r="A196" t="s">
        <v>15</v>
      </c>
      <c r="B196" t="s">
        <v>74</v>
      </c>
      <c r="C196" t="s">
        <v>1290</v>
      </c>
      <c r="D196">
        <v>3</v>
      </c>
      <c r="E196" s="273">
        <v>4</v>
      </c>
      <c r="F196" s="273" t="s">
        <v>105</v>
      </c>
      <c r="G196" s="273" t="s">
        <v>11</v>
      </c>
      <c r="H196" s="273" t="s">
        <v>11</v>
      </c>
    </row>
    <row r="197" spans="1:8" x14ac:dyDescent="0.25">
      <c r="A197" t="s">
        <v>15</v>
      </c>
      <c r="B197" t="s">
        <v>74</v>
      </c>
      <c r="C197" t="s">
        <v>1291</v>
      </c>
      <c r="D197">
        <v>2</v>
      </c>
      <c r="E197" s="273">
        <v>4</v>
      </c>
      <c r="F197" s="273" t="s">
        <v>75</v>
      </c>
      <c r="G197" s="273" t="s">
        <v>11</v>
      </c>
      <c r="H197" s="273" t="s">
        <v>11</v>
      </c>
    </row>
    <row r="198" spans="1:8" x14ac:dyDescent="0.25">
      <c r="A198" t="s">
        <v>15</v>
      </c>
      <c r="B198" t="s">
        <v>74</v>
      </c>
      <c r="C198" t="s">
        <v>1292</v>
      </c>
      <c r="D198">
        <v>2</v>
      </c>
      <c r="E198" s="273">
        <v>3</v>
      </c>
      <c r="F198" s="273" t="s">
        <v>75</v>
      </c>
      <c r="G198" s="273" t="s">
        <v>11</v>
      </c>
      <c r="H198" s="273" t="s">
        <v>11</v>
      </c>
    </row>
    <row r="199" spans="1:8" x14ac:dyDescent="0.25">
      <c r="A199" t="s">
        <v>15</v>
      </c>
      <c r="B199" t="s">
        <v>74</v>
      </c>
      <c r="C199" t="s">
        <v>1293</v>
      </c>
      <c r="D199">
        <v>3</v>
      </c>
      <c r="E199" s="273">
        <v>3</v>
      </c>
      <c r="F199" s="273" t="s">
        <v>75</v>
      </c>
      <c r="G199" s="273" t="s">
        <v>11</v>
      </c>
      <c r="H199" s="273" t="s">
        <v>11</v>
      </c>
    </row>
    <row r="200" spans="1:8" x14ac:dyDescent="0.25">
      <c r="A200" t="s">
        <v>15</v>
      </c>
      <c r="B200" t="s">
        <v>74</v>
      </c>
      <c r="C200" t="s">
        <v>1294</v>
      </c>
      <c r="D200">
        <v>3</v>
      </c>
      <c r="E200" s="273">
        <v>4</v>
      </c>
      <c r="F200" s="273" t="s">
        <v>105</v>
      </c>
      <c r="G200" s="273" t="s">
        <v>11</v>
      </c>
      <c r="H200" s="273" t="s">
        <v>11</v>
      </c>
    </row>
    <row r="201" spans="1:8" x14ac:dyDescent="0.25">
      <c r="A201" t="s">
        <v>15</v>
      </c>
      <c r="B201" t="s">
        <v>74</v>
      </c>
      <c r="C201" t="s">
        <v>1295</v>
      </c>
      <c r="D201">
        <v>3</v>
      </c>
      <c r="E201" s="273">
        <v>2</v>
      </c>
      <c r="F201" s="273" t="s">
        <v>75</v>
      </c>
      <c r="G201" s="273" t="s">
        <v>11</v>
      </c>
      <c r="H201" s="273" t="s">
        <v>11</v>
      </c>
    </row>
    <row r="202" spans="1:8" x14ac:dyDescent="0.25">
      <c r="A202" t="s">
        <v>15</v>
      </c>
      <c r="B202" t="s">
        <v>74</v>
      </c>
      <c r="C202" t="s">
        <v>1296</v>
      </c>
      <c r="D202">
        <v>2</v>
      </c>
      <c r="E202" s="273">
        <v>4</v>
      </c>
      <c r="F202" s="273" t="s">
        <v>75</v>
      </c>
      <c r="G202" s="273" t="s">
        <v>11</v>
      </c>
      <c r="H202" s="273" t="s">
        <v>11</v>
      </c>
    </row>
    <row r="203" spans="1:8" x14ac:dyDescent="0.25">
      <c r="A203" t="s">
        <v>15</v>
      </c>
      <c r="B203" t="s">
        <v>74</v>
      </c>
      <c r="C203" t="s">
        <v>1297</v>
      </c>
      <c r="D203">
        <v>2</v>
      </c>
      <c r="E203" s="273">
        <v>3</v>
      </c>
      <c r="F203" s="273" t="s">
        <v>75</v>
      </c>
      <c r="G203" s="273" t="s">
        <v>11</v>
      </c>
      <c r="H203" s="273" t="s">
        <v>11</v>
      </c>
    </row>
    <row r="204" spans="1:8" x14ac:dyDescent="0.25">
      <c r="A204" t="s">
        <v>15</v>
      </c>
      <c r="B204" t="s">
        <v>74</v>
      </c>
      <c r="C204" t="s">
        <v>1298</v>
      </c>
      <c r="D204">
        <v>3</v>
      </c>
      <c r="E204" s="273">
        <v>3</v>
      </c>
      <c r="F204" s="273" t="s">
        <v>75</v>
      </c>
      <c r="G204" s="273" t="s">
        <v>11</v>
      </c>
      <c r="H204" s="273" t="s">
        <v>11</v>
      </c>
    </row>
    <row r="205" spans="1:8" x14ac:dyDescent="0.25">
      <c r="A205" t="s">
        <v>15</v>
      </c>
      <c r="B205" t="s">
        <v>74</v>
      </c>
      <c r="C205" t="s">
        <v>1299</v>
      </c>
      <c r="D205">
        <v>3</v>
      </c>
      <c r="E205" s="273">
        <v>4</v>
      </c>
      <c r="F205" s="273" t="s">
        <v>75</v>
      </c>
      <c r="G205" s="273" t="s">
        <v>11</v>
      </c>
      <c r="H205" s="273" t="s">
        <v>11</v>
      </c>
    </row>
    <row r="206" spans="1:8" x14ac:dyDescent="0.25">
      <c r="A206" t="s">
        <v>15</v>
      </c>
      <c r="B206" t="s">
        <v>74</v>
      </c>
      <c r="C206" t="s">
        <v>1300</v>
      </c>
      <c r="D206">
        <v>3</v>
      </c>
      <c r="E206" s="273">
        <v>5</v>
      </c>
      <c r="F206" s="273" t="s">
        <v>75</v>
      </c>
      <c r="G206" s="273" t="s">
        <v>11</v>
      </c>
      <c r="H206" s="273" t="s">
        <v>11</v>
      </c>
    </row>
    <row r="207" spans="1:8" x14ac:dyDescent="0.25">
      <c r="A207" t="s">
        <v>15</v>
      </c>
      <c r="B207" t="s">
        <v>74</v>
      </c>
      <c r="C207" t="s">
        <v>1301</v>
      </c>
      <c r="D207">
        <v>2</v>
      </c>
      <c r="E207" s="273">
        <v>3</v>
      </c>
      <c r="F207" s="273" t="s">
        <v>75</v>
      </c>
      <c r="G207" s="273" t="s">
        <v>11</v>
      </c>
      <c r="H207" s="273" t="s">
        <v>11</v>
      </c>
    </row>
    <row r="208" spans="1:8" x14ac:dyDescent="0.25">
      <c r="A208" t="s">
        <v>15</v>
      </c>
      <c r="B208" t="s">
        <v>74</v>
      </c>
      <c r="C208" t="s">
        <v>1302</v>
      </c>
      <c r="D208">
        <v>2</v>
      </c>
      <c r="E208" s="273">
        <v>3</v>
      </c>
      <c r="F208" s="273" t="s">
        <v>75</v>
      </c>
      <c r="G208" s="273" t="s">
        <v>11</v>
      </c>
      <c r="H208" s="273" t="s">
        <v>11</v>
      </c>
    </row>
    <row r="209" spans="1:8" x14ac:dyDescent="0.25">
      <c r="A209" t="s">
        <v>15</v>
      </c>
      <c r="B209" t="s">
        <v>74</v>
      </c>
      <c r="C209" t="s">
        <v>1303</v>
      </c>
      <c r="D209">
        <v>3</v>
      </c>
      <c r="E209" s="273">
        <v>3</v>
      </c>
      <c r="F209" s="273" t="s">
        <v>105</v>
      </c>
      <c r="G209" s="273" t="s">
        <v>11</v>
      </c>
      <c r="H209" s="273" t="s">
        <v>11</v>
      </c>
    </row>
    <row r="210" spans="1:8" x14ac:dyDescent="0.25">
      <c r="A210" t="s">
        <v>15</v>
      </c>
      <c r="B210" t="s">
        <v>74</v>
      </c>
      <c r="C210" t="s">
        <v>1304</v>
      </c>
      <c r="D210">
        <v>2</v>
      </c>
      <c r="E210" s="273">
        <v>4</v>
      </c>
      <c r="F210" s="273" t="s">
        <v>75</v>
      </c>
      <c r="G210" s="273" t="s">
        <v>11</v>
      </c>
      <c r="H210" s="273" t="s">
        <v>11</v>
      </c>
    </row>
    <row r="211" spans="1:8" x14ac:dyDescent="0.25">
      <c r="A211" t="s">
        <v>15</v>
      </c>
      <c r="B211" t="s">
        <v>74</v>
      </c>
      <c r="C211" t="s">
        <v>1305</v>
      </c>
      <c r="D211">
        <v>3</v>
      </c>
      <c r="E211" s="273">
        <v>3</v>
      </c>
      <c r="F211" s="273" t="s">
        <v>105</v>
      </c>
      <c r="G211" s="273" t="s">
        <v>11</v>
      </c>
      <c r="H211" s="273" t="s">
        <v>11</v>
      </c>
    </row>
    <row r="212" spans="1:8" x14ac:dyDescent="0.25">
      <c r="A212" t="s">
        <v>15</v>
      </c>
      <c r="B212" t="s">
        <v>74</v>
      </c>
      <c r="C212" t="s">
        <v>1306</v>
      </c>
      <c r="D212">
        <v>3</v>
      </c>
      <c r="E212" s="273">
        <v>3</v>
      </c>
      <c r="F212" s="273" t="s">
        <v>75</v>
      </c>
      <c r="G212" s="273" t="s">
        <v>11</v>
      </c>
      <c r="H212" s="273" t="s">
        <v>11</v>
      </c>
    </row>
    <row r="213" spans="1:8" x14ac:dyDescent="0.25">
      <c r="A213" t="s">
        <v>15</v>
      </c>
      <c r="B213" t="s">
        <v>74</v>
      </c>
      <c r="C213" t="s">
        <v>1307</v>
      </c>
      <c r="D213">
        <v>3</v>
      </c>
      <c r="E213" s="273">
        <v>5</v>
      </c>
      <c r="F213" s="273" t="s">
        <v>75</v>
      </c>
      <c r="G213" s="273" t="s">
        <v>11</v>
      </c>
      <c r="H213" s="273" t="s">
        <v>11</v>
      </c>
    </row>
    <row r="214" spans="1:8" x14ac:dyDescent="0.25">
      <c r="A214" t="s">
        <v>15</v>
      </c>
      <c r="B214" t="s">
        <v>74</v>
      </c>
      <c r="C214" t="s">
        <v>1308</v>
      </c>
      <c r="D214">
        <v>2</v>
      </c>
      <c r="E214" s="273">
        <v>6</v>
      </c>
      <c r="F214" s="273" t="s">
        <v>75</v>
      </c>
      <c r="G214" s="273" t="s">
        <v>11</v>
      </c>
      <c r="H214" s="273" t="s">
        <v>11</v>
      </c>
    </row>
    <row r="215" spans="1:8" x14ac:dyDescent="0.25">
      <c r="A215" t="s">
        <v>15</v>
      </c>
      <c r="B215" t="s">
        <v>74</v>
      </c>
      <c r="C215" t="s">
        <v>1309</v>
      </c>
      <c r="D215">
        <v>2</v>
      </c>
      <c r="E215" s="273">
        <v>3</v>
      </c>
      <c r="F215" s="273" t="s">
        <v>105</v>
      </c>
      <c r="G215" s="273" t="s">
        <v>11</v>
      </c>
      <c r="H215" s="273" t="s">
        <v>11</v>
      </c>
    </row>
    <row r="216" spans="1:8" x14ac:dyDescent="0.25">
      <c r="A216" t="s">
        <v>15</v>
      </c>
      <c r="B216" t="s">
        <v>74</v>
      </c>
      <c r="C216" t="s">
        <v>1310</v>
      </c>
      <c r="D216">
        <v>3</v>
      </c>
      <c r="E216" s="273">
        <v>3</v>
      </c>
      <c r="F216" s="273" t="s">
        <v>105</v>
      </c>
      <c r="G216" s="273" t="s">
        <v>11</v>
      </c>
      <c r="H216" s="273" t="s">
        <v>11</v>
      </c>
    </row>
    <row r="217" spans="1:8" x14ac:dyDescent="0.25">
      <c r="A217" t="s">
        <v>15</v>
      </c>
      <c r="B217" t="s">
        <v>74</v>
      </c>
      <c r="C217" t="s">
        <v>1261</v>
      </c>
      <c r="D217">
        <v>2</v>
      </c>
      <c r="E217" s="273">
        <v>5</v>
      </c>
      <c r="F217" s="273" t="s">
        <v>75</v>
      </c>
      <c r="G217" s="273" t="s">
        <v>11</v>
      </c>
      <c r="H217" s="273" t="s">
        <v>11</v>
      </c>
    </row>
    <row r="218" spans="1:8" x14ac:dyDescent="0.25">
      <c r="A218" t="s">
        <v>15</v>
      </c>
      <c r="B218" t="s">
        <v>74</v>
      </c>
      <c r="C218" t="s">
        <v>1311</v>
      </c>
      <c r="D218">
        <v>3</v>
      </c>
      <c r="E218" s="273">
        <v>3</v>
      </c>
      <c r="F218" s="273" t="s">
        <v>75</v>
      </c>
      <c r="G218" s="273" t="s">
        <v>11</v>
      </c>
      <c r="H218" s="273" t="s">
        <v>11</v>
      </c>
    </row>
    <row r="219" spans="1:8" x14ac:dyDescent="0.25">
      <c r="A219" t="s">
        <v>15</v>
      </c>
      <c r="B219" t="s">
        <v>74</v>
      </c>
      <c r="C219" t="s">
        <v>1312</v>
      </c>
      <c r="D219">
        <v>2</v>
      </c>
      <c r="E219" s="273">
        <v>3</v>
      </c>
      <c r="F219" s="273" t="s">
        <v>75</v>
      </c>
      <c r="G219" s="273" t="s">
        <v>11</v>
      </c>
      <c r="H219" s="273" t="s">
        <v>11</v>
      </c>
    </row>
    <row r="220" spans="1:8" x14ac:dyDescent="0.25">
      <c r="A220" t="s">
        <v>15</v>
      </c>
      <c r="B220" t="s">
        <v>74</v>
      </c>
      <c r="C220" t="s">
        <v>1313</v>
      </c>
      <c r="D220">
        <v>2</v>
      </c>
      <c r="E220" s="273">
        <v>5</v>
      </c>
      <c r="F220" s="273" t="s">
        <v>75</v>
      </c>
      <c r="G220" s="273" t="s">
        <v>11</v>
      </c>
      <c r="H220" s="273" t="s">
        <v>11</v>
      </c>
    </row>
    <row r="221" spans="1:8" x14ac:dyDescent="0.25">
      <c r="A221" t="s">
        <v>15</v>
      </c>
      <c r="B221" t="s">
        <v>74</v>
      </c>
      <c r="C221" t="s">
        <v>1314</v>
      </c>
      <c r="D221">
        <v>2</v>
      </c>
      <c r="E221" s="273">
        <v>3</v>
      </c>
      <c r="F221" s="273" t="s">
        <v>75</v>
      </c>
      <c r="G221" s="273" t="s">
        <v>11</v>
      </c>
      <c r="H221" s="273" t="s">
        <v>11</v>
      </c>
    </row>
    <row r="222" spans="1:8" x14ac:dyDescent="0.25">
      <c r="A222" t="s">
        <v>15</v>
      </c>
      <c r="B222" t="s">
        <v>74</v>
      </c>
      <c r="C222" t="s">
        <v>1315</v>
      </c>
      <c r="D222">
        <v>3</v>
      </c>
      <c r="E222" s="273">
        <v>3</v>
      </c>
      <c r="F222" s="273" t="s">
        <v>75</v>
      </c>
      <c r="G222" s="273" t="s">
        <v>11</v>
      </c>
      <c r="H222" s="273" t="s">
        <v>11</v>
      </c>
    </row>
    <row r="223" spans="1:8" x14ac:dyDescent="0.25">
      <c r="A223" t="s">
        <v>15</v>
      </c>
      <c r="B223" t="s">
        <v>74</v>
      </c>
      <c r="C223" t="s">
        <v>1316</v>
      </c>
      <c r="D223">
        <v>2</v>
      </c>
      <c r="E223" s="273">
        <v>3</v>
      </c>
      <c r="F223" s="273" t="s">
        <v>105</v>
      </c>
      <c r="G223" s="273" t="s">
        <v>11</v>
      </c>
      <c r="H223" s="273" t="s">
        <v>11</v>
      </c>
    </row>
    <row r="224" spans="1:8" x14ac:dyDescent="0.25">
      <c r="A224" t="s">
        <v>15</v>
      </c>
      <c r="B224" t="s">
        <v>74</v>
      </c>
      <c r="C224" t="s">
        <v>1317</v>
      </c>
      <c r="D224">
        <v>2</v>
      </c>
      <c r="E224" s="273">
        <v>3</v>
      </c>
      <c r="F224" s="273" t="s">
        <v>75</v>
      </c>
      <c r="G224" s="273" t="s">
        <v>11</v>
      </c>
      <c r="H224" s="273" t="s">
        <v>11</v>
      </c>
    </row>
    <row r="225" spans="1:8" x14ac:dyDescent="0.25">
      <c r="A225" t="s">
        <v>15</v>
      </c>
      <c r="B225" t="s">
        <v>74</v>
      </c>
      <c r="C225" t="s">
        <v>1318</v>
      </c>
      <c r="D225">
        <v>3</v>
      </c>
      <c r="E225" s="273">
        <v>3</v>
      </c>
      <c r="F225" s="273" t="s">
        <v>75</v>
      </c>
      <c r="G225" s="273" t="s">
        <v>11</v>
      </c>
      <c r="H225" s="273" t="s">
        <v>11</v>
      </c>
    </row>
    <row r="226" spans="1:8" x14ac:dyDescent="0.25">
      <c r="A226" t="s">
        <v>15</v>
      </c>
      <c r="B226" t="s">
        <v>74</v>
      </c>
      <c r="C226" t="s">
        <v>1319</v>
      </c>
      <c r="D226">
        <v>2</v>
      </c>
      <c r="E226" s="273">
        <v>3</v>
      </c>
      <c r="F226" s="273" t="s">
        <v>105</v>
      </c>
      <c r="G226" s="273" t="s">
        <v>11</v>
      </c>
      <c r="H226" s="273" t="s">
        <v>11</v>
      </c>
    </row>
    <row r="227" spans="1:8" x14ac:dyDescent="0.25">
      <c r="A227" t="s">
        <v>15</v>
      </c>
      <c r="B227" t="s">
        <v>74</v>
      </c>
      <c r="C227" t="s">
        <v>1320</v>
      </c>
      <c r="D227">
        <v>3</v>
      </c>
      <c r="E227" s="273">
        <v>3</v>
      </c>
      <c r="F227" s="273" t="s">
        <v>75</v>
      </c>
      <c r="G227" s="273" t="s">
        <v>11</v>
      </c>
      <c r="H227" s="273" t="s">
        <v>11</v>
      </c>
    </row>
    <row r="228" spans="1:8" x14ac:dyDescent="0.25">
      <c r="A228" t="s">
        <v>15</v>
      </c>
      <c r="B228" t="s">
        <v>74</v>
      </c>
      <c r="C228" t="s">
        <v>1321</v>
      </c>
      <c r="D228">
        <v>2</v>
      </c>
      <c r="E228" s="273">
        <v>3</v>
      </c>
      <c r="F228" s="273" t="s">
        <v>105</v>
      </c>
      <c r="G228" s="273" t="s">
        <v>11</v>
      </c>
      <c r="H228" s="273" t="s">
        <v>11</v>
      </c>
    </row>
    <row r="229" spans="1:8" x14ac:dyDescent="0.25">
      <c r="A229" t="s">
        <v>15</v>
      </c>
      <c r="B229" t="s">
        <v>74</v>
      </c>
      <c r="C229" t="s">
        <v>1322</v>
      </c>
      <c r="D229">
        <v>2</v>
      </c>
      <c r="E229" s="273">
        <v>3</v>
      </c>
      <c r="F229" s="273" t="s">
        <v>105</v>
      </c>
      <c r="G229" s="273" t="s">
        <v>11</v>
      </c>
      <c r="H229" s="273" t="s">
        <v>11</v>
      </c>
    </row>
    <row r="230" spans="1:8" x14ac:dyDescent="0.25">
      <c r="A230" t="s">
        <v>15</v>
      </c>
      <c r="B230" t="s">
        <v>74</v>
      </c>
      <c r="C230" t="s">
        <v>1323</v>
      </c>
      <c r="D230">
        <v>1</v>
      </c>
      <c r="E230" s="273">
        <v>3</v>
      </c>
      <c r="F230" s="273" t="s">
        <v>105</v>
      </c>
      <c r="G230" s="273" t="s">
        <v>11</v>
      </c>
      <c r="H230" s="273" t="s">
        <v>11</v>
      </c>
    </row>
    <row r="231" spans="1:8" x14ac:dyDescent="0.25">
      <c r="A231" t="s">
        <v>15</v>
      </c>
      <c r="B231" t="s">
        <v>74</v>
      </c>
      <c r="C231" t="s">
        <v>1324</v>
      </c>
      <c r="D231">
        <v>2</v>
      </c>
      <c r="E231" s="273">
        <v>3</v>
      </c>
      <c r="F231" s="273" t="s">
        <v>105</v>
      </c>
      <c r="G231" s="273" t="s">
        <v>11</v>
      </c>
      <c r="H231" s="273" t="s">
        <v>11</v>
      </c>
    </row>
    <row r="232" spans="1:8" x14ac:dyDescent="0.25">
      <c r="A232" t="s">
        <v>15</v>
      </c>
      <c r="B232" t="s">
        <v>74</v>
      </c>
      <c r="C232" t="s">
        <v>1223</v>
      </c>
      <c r="D232">
        <v>2</v>
      </c>
      <c r="E232" s="273">
        <v>3</v>
      </c>
      <c r="F232" s="273" t="s">
        <v>105</v>
      </c>
      <c r="G232" s="273" t="s">
        <v>11</v>
      </c>
      <c r="H232" s="273" t="s">
        <v>11</v>
      </c>
    </row>
    <row r="233" spans="1:8" x14ac:dyDescent="0.25">
      <c r="A233" t="s">
        <v>15</v>
      </c>
      <c r="B233" t="s">
        <v>74</v>
      </c>
      <c r="C233" t="s">
        <v>1325</v>
      </c>
      <c r="D233">
        <v>3</v>
      </c>
      <c r="E233" s="273">
        <v>3</v>
      </c>
      <c r="F233" s="273" t="s">
        <v>75</v>
      </c>
      <c r="G233" s="273" t="s">
        <v>11</v>
      </c>
      <c r="H233" s="273" t="s">
        <v>11</v>
      </c>
    </row>
    <row r="234" spans="1:8" x14ac:dyDescent="0.25">
      <c r="A234" t="s">
        <v>15</v>
      </c>
      <c r="B234" t="s">
        <v>74</v>
      </c>
      <c r="C234" t="s">
        <v>1326</v>
      </c>
      <c r="D234">
        <v>2</v>
      </c>
      <c r="E234" s="273">
        <v>5</v>
      </c>
      <c r="F234" s="273" t="s">
        <v>75</v>
      </c>
      <c r="G234" s="273" t="s">
        <v>11</v>
      </c>
      <c r="H234" s="273" t="s">
        <v>11</v>
      </c>
    </row>
    <row r="235" spans="1:8" x14ac:dyDescent="0.25">
      <c r="A235" t="s">
        <v>15</v>
      </c>
      <c r="B235" t="s">
        <v>74</v>
      </c>
      <c r="C235" t="s">
        <v>1327</v>
      </c>
      <c r="D235">
        <v>3</v>
      </c>
      <c r="E235" s="273">
        <v>5</v>
      </c>
      <c r="F235" s="273" t="s">
        <v>75</v>
      </c>
      <c r="G235" s="273" t="s">
        <v>11</v>
      </c>
      <c r="H235" s="273" t="s">
        <v>11</v>
      </c>
    </row>
    <row r="236" spans="1:8" x14ac:dyDescent="0.25">
      <c r="A236" t="s">
        <v>15</v>
      </c>
      <c r="B236" t="s">
        <v>74</v>
      </c>
      <c r="C236" t="s">
        <v>1328</v>
      </c>
      <c r="D236">
        <v>3</v>
      </c>
      <c r="E236" s="273">
        <v>3</v>
      </c>
      <c r="F236" s="273" t="s">
        <v>75</v>
      </c>
      <c r="G236" s="273" t="s">
        <v>11</v>
      </c>
      <c r="H236" s="273" t="s">
        <v>11</v>
      </c>
    </row>
    <row r="237" spans="1:8" x14ac:dyDescent="0.25">
      <c r="A237" t="s">
        <v>15</v>
      </c>
      <c r="B237" t="s">
        <v>74</v>
      </c>
      <c r="C237" t="s">
        <v>1329</v>
      </c>
      <c r="D237">
        <v>3</v>
      </c>
      <c r="E237" s="273">
        <v>3</v>
      </c>
      <c r="F237" s="273" t="s">
        <v>105</v>
      </c>
      <c r="G237" s="273" t="s">
        <v>11</v>
      </c>
      <c r="H237" s="273" t="s">
        <v>11</v>
      </c>
    </row>
    <row r="238" spans="1:8" x14ac:dyDescent="0.25">
      <c r="A238" t="s">
        <v>15</v>
      </c>
      <c r="B238" t="s">
        <v>74</v>
      </c>
      <c r="C238" t="s">
        <v>1330</v>
      </c>
      <c r="D238">
        <v>3</v>
      </c>
      <c r="E238" s="273">
        <v>3</v>
      </c>
      <c r="F238" s="273" t="s">
        <v>75</v>
      </c>
      <c r="G238" s="273" t="s">
        <v>11</v>
      </c>
      <c r="H238" s="273" t="s">
        <v>11</v>
      </c>
    </row>
    <row r="239" spans="1:8" x14ac:dyDescent="0.25">
      <c r="A239" t="s">
        <v>15</v>
      </c>
      <c r="B239" t="s">
        <v>74</v>
      </c>
      <c r="C239" t="s">
        <v>1331</v>
      </c>
      <c r="D239">
        <v>3</v>
      </c>
      <c r="E239" s="273">
        <v>3</v>
      </c>
      <c r="F239" s="273" t="s">
        <v>75</v>
      </c>
      <c r="G239" s="273" t="s">
        <v>11</v>
      </c>
      <c r="H239" s="273" t="s">
        <v>11</v>
      </c>
    </row>
    <row r="240" spans="1:8" x14ac:dyDescent="0.25">
      <c r="A240" t="s">
        <v>15</v>
      </c>
      <c r="B240" t="s">
        <v>74</v>
      </c>
      <c r="C240" t="s">
        <v>1332</v>
      </c>
      <c r="D240">
        <v>3</v>
      </c>
      <c r="E240" s="273">
        <v>3</v>
      </c>
      <c r="F240" s="273" t="s">
        <v>75</v>
      </c>
      <c r="G240" s="273" t="s">
        <v>11</v>
      </c>
      <c r="H240" s="273" t="s">
        <v>11</v>
      </c>
    </row>
    <row r="241" spans="1:8" x14ac:dyDescent="0.25">
      <c r="A241" t="s">
        <v>15</v>
      </c>
      <c r="B241" t="s">
        <v>74</v>
      </c>
      <c r="C241" t="s">
        <v>1333</v>
      </c>
      <c r="D241">
        <v>3</v>
      </c>
      <c r="E241" s="273">
        <v>4</v>
      </c>
      <c r="F241" s="273" t="s">
        <v>75</v>
      </c>
      <c r="G241" s="273" t="s">
        <v>11</v>
      </c>
      <c r="H241" s="273" t="s">
        <v>11</v>
      </c>
    </row>
    <row r="242" spans="1:8" x14ac:dyDescent="0.25">
      <c r="A242" t="s">
        <v>15</v>
      </c>
      <c r="B242" t="s">
        <v>74</v>
      </c>
      <c r="C242" t="s">
        <v>1334</v>
      </c>
      <c r="D242">
        <v>2</v>
      </c>
      <c r="E242" s="273">
        <v>3</v>
      </c>
      <c r="F242" s="273" t="s">
        <v>75</v>
      </c>
      <c r="G242" s="273" t="s">
        <v>11</v>
      </c>
      <c r="H242" s="273" t="s">
        <v>11</v>
      </c>
    </row>
    <row r="243" spans="1:8" x14ac:dyDescent="0.25">
      <c r="A243" t="s">
        <v>15</v>
      </c>
      <c r="B243" t="s">
        <v>74</v>
      </c>
      <c r="C243" t="s">
        <v>1335</v>
      </c>
      <c r="D243">
        <v>2</v>
      </c>
      <c r="E243" s="273">
        <v>4</v>
      </c>
      <c r="F243" s="273" t="s">
        <v>75</v>
      </c>
      <c r="G243" s="273" t="s">
        <v>11</v>
      </c>
      <c r="H243" s="273" t="s">
        <v>11</v>
      </c>
    </row>
    <row r="244" spans="1:8" x14ac:dyDescent="0.25">
      <c r="A244" t="s">
        <v>15</v>
      </c>
      <c r="B244" t="s">
        <v>74</v>
      </c>
      <c r="C244" t="s">
        <v>1336</v>
      </c>
      <c r="D244">
        <v>1</v>
      </c>
      <c r="E244" s="273">
        <v>3</v>
      </c>
      <c r="F244" s="273" t="s">
        <v>105</v>
      </c>
      <c r="G244" s="273" t="s">
        <v>11</v>
      </c>
      <c r="H244" s="273" t="s">
        <v>11</v>
      </c>
    </row>
    <row r="245" spans="1:8" x14ac:dyDescent="0.25">
      <c r="A245" t="s">
        <v>15</v>
      </c>
      <c r="B245" t="s">
        <v>74</v>
      </c>
      <c r="C245" t="s">
        <v>1337</v>
      </c>
      <c r="D245">
        <v>3</v>
      </c>
      <c r="E245" s="273">
        <v>3</v>
      </c>
      <c r="F245" s="273" t="s">
        <v>75</v>
      </c>
      <c r="G245" s="273" t="s">
        <v>11</v>
      </c>
      <c r="H245" s="273" t="s">
        <v>11</v>
      </c>
    </row>
    <row r="246" spans="1:8" x14ac:dyDescent="0.25">
      <c r="A246" t="s">
        <v>15</v>
      </c>
      <c r="B246" t="s">
        <v>74</v>
      </c>
      <c r="C246" t="s">
        <v>1338</v>
      </c>
      <c r="D246">
        <v>2</v>
      </c>
      <c r="E246" s="273">
        <v>3</v>
      </c>
      <c r="F246" s="273" t="s">
        <v>75</v>
      </c>
      <c r="G246" s="273" t="s">
        <v>11</v>
      </c>
      <c r="H246" s="273" t="s">
        <v>11</v>
      </c>
    </row>
    <row r="247" spans="1:8" x14ac:dyDescent="0.25">
      <c r="A247" t="s">
        <v>16</v>
      </c>
      <c r="B247" t="s">
        <v>40</v>
      </c>
      <c r="C247" t="s">
        <v>1339</v>
      </c>
      <c r="D247">
        <v>1</v>
      </c>
      <c r="E247" s="273">
        <v>5</v>
      </c>
      <c r="F247" s="273" t="s">
        <v>75</v>
      </c>
      <c r="G247" s="273" t="s">
        <v>11</v>
      </c>
      <c r="H247" s="273" t="s">
        <v>11</v>
      </c>
    </row>
    <row r="248" spans="1:8" x14ac:dyDescent="0.25">
      <c r="A248" t="s">
        <v>16</v>
      </c>
      <c r="B248" t="s">
        <v>40</v>
      </c>
      <c r="C248" t="s">
        <v>1340</v>
      </c>
      <c r="D248">
        <v>2</v>
      </c>
      <c r="E248" s="273">
        <v>6</v>
      </c>
      <c r="F248" s="273" t="s">
        <v>75</v>
      </c>
      <c r="G248" s="273" t="s">
        <v>11</v>
      </c>
      <c r="H248" s="273" t="s">
        <v>11</v>
      </c>
    </row>
    <row r="249" spans="1:8" x14ac:dyDescent="0.25">
      <c r="A249" t="s">
        <v>16</v>
      </c>
      <c r="B249" t="s">
        <v>40</v>
      </c>
      <c r="C249" t="s">
        <v>1341</v>
      </c>
      <c r="D249">
        <v>1</v>
      </c>
      <c r="E249" s="273">
        <v>5</v>
      </c>
      <c r="F249" s="273" t="s">
        <v>75</v>
      </c>
      <c r="G249" s="273" t="s">
        <v>11</v>
      </c>
      <c r="H249" s="273" t="s">
        <v>11</v>
      </c>
    </row>
    <row r="250" spans="1:8" x14ac:dyDescent="0.25">
      <c r="A250" t="s">
        <v>16</v>
      </c>
      <c r="B250" t="s">
        <v>40</v>
      </c>
      <c r="C250" t="s">
        <v>1342</v>
      </c>
      <c r="D250">
        <v>2</v>
      </c>
      <c r="E250" s="273">
        <v>6</v>
      </c>
      <c r="F250" s="273" t="s">
        <v>75</v>
      </c>
      <c r="G250" s="273" t="s">
        <v>11</v>
      </c>
      <c r="H250" s="273" t="s">
        <v>11</v>
      </c>
    </row>
    <row r="251" spans="1:8" x14ac:dyDescent="0.25">
      <c r="A251" t="s">
        <v>16</v>
      </c>
      <c r="B251" t="s">
        <v>40</v>
      </c>
      <c r="C251" t="s">
        <v>1343</v>
      </c>
      <c r="D251">
        <v>1</v>
      </c>
      <c r="E251" s="273">
        <v>4</v>
      </c>
      <c r="F251" s="273" t="s">
        <v>75</v>
      </c>
      <c r="G251" s="273" t="s">
        <v>11</v>
      </c>
      <c r="H251" s="273" t="s">
        <v>11</v>
      </c>
    </row>
    <row r="252" spans="1:8" x14ac:dyDescent="0.25">
      <c r="A252" t="s">
        <v>16</v>
      </c>
      <c r="B252" t="s">
        <v>40</v>
      </c>
      <c r="C252" t="s">
        <v>1344</v>
      </c>
      <c r="D252">
        <v>1</v>
      </c>
      <c r="E252" s="273">
        <v>5</v>
      </c>
      <c r="F252" s="273" t="s">
        <v>75</v>
      </c>
      <c r="G252" s="273" t="s">
        <v>11</v>
      </c>
      <c r="H252" s="273" t="s">
        <v>11</v>
      </c>
    </row>
    <row r="253" spans="1:8" x14ac:dyDescent="0.25">
      <c r="A253" t="s">
        <v>16</v>
      </c>
      <c r="B253" t="s">
        <v>40</v>
      </c>
      <c r="C253" t="s">
        <v>1345</v>
      </c>
      <c r="D253">
        <v>1</v>
      </c>
      <c r="E253" s="273">
        <v>5</v>
      </c>
      <c r="F253" s="273" t="s">
        <v>75</v>
      </c>
      <c r="G253" s="273" t="s">
        <v>11</v>
      </c>
      <c r="H253" s="273" t="s">
        <v>11</v>
      </c>
    </row>
    <row r="254" spans="1:8" x14ac:dyDescent="0.25">
      <c r="A254" t="s">
        <v>16</v>
      </c>
      <c r="B254" t="s">
        <v>40</v>
      </c>
      <c r="C254" t="s">
        <v>1346</v>
      </c>
      <c r="D254">
        <v>1</v>
      </c>
      <c r="E254" s="273">
        <v>5</v>
      </c>
      <c r="F254" s="273" t="s">
        <v>75</v>
      </c>
      <c r="G254" s="273" t="s">
        <v>11</v>
      </c>
      <c r="H254" s="273" t="s">
        <v>11</v>
      </c>
    </row>
    <row r="255" spans="1:8" x14ac:dyDescent="0.25">
      <c r="A255" t="s">
        <v>16</v>
      </c>
      <c r="B255" t="s">
        <v>40</v>
      </c>
      <c r="C255" t="s">
        <v>1347</v>
      </c>
      <c r="D255">
        <v>1</v>
      </c>
      <c r="E255" s="273">
        <v>6</v>
      </c>
      <c r="F255" s="273" t="s">
        <v>75</v>
      </c>
      <c r="G255" s="273" t="s">
        <v>11</v>
      </c>
      <c r="H255" s="273" t="s">
        <v>11</v>
      </c>
    </row>
    <row r="256" spans="1:8" x14ac:dyDescent="0.25">
      <c r="A256" t="s">
        <v>16</v>
      </c>
      <c r="B256" t="s">
        <v>40</v>
      </c>
      <c r="C256" t="s">
        <v>1348</v>
      </c>
      <c r="D256">
        <v>1</v>
      </c>
      <c r="E256" s="273">
        <v>5</v>
      </c>
      <c r="F256" s="273" t="s">
        <v>75</v>
      </c>
      <c r="G256" s="273" t="s">
        <v>11</v>
      </c>
      <c r="H256" s="273" t="s">
        <v>11</v>
      </c>
    </row>
    <row r="257" spans="1:8" x14ac:dyDescent="0.25">
      <c r="A257" t="s">
        <v>16</v>
      </c>
      <c r="B257" t="s">
        <v>40</v>
      </c>
      <c r="C257" t="s">
        <v>1349</v>
      </c>
      <c r="D257">
        <v>1</v>
      </c>
      <c r="E257" s="273">
        <v>7</v>
      </c>
      <c r="F257" s="273" t="s">
        <v>11</v>
      </c>
      <c r="G257" s="273" t="s">
        <v>11</v>
      </c>
      <c r="H257" s="273" t="s">
        <v>11</v>
      </c>
    </row>
    <row r="258" spans="1:8" x14ac:dyDescent="0.25">
      <c r="A258" t="s">
        <v>16</v>
      </c>
      <c r="B258" t="s">
        <v>40</v>
      </c>
      <c r="C258" t="s">
        <v>1350</v>
      </c>
      <c r="D258">
        <v>2</v>
      </c>
      <c r="E258" s="273">
        <v>6</v>
      </c>
      <c r="F258" s="273" t="s">
        <v>75</v>
      </c>
      <c r="G258" s="273" t="s">
        <v>11</v>
      </c>
      <c r="H258" s="273" t="s">
        <v>11</v>
      </c>
    </row>
    <row r="259" spans="1:8" x14ac:dyDescent="0.25">
      <c r="A259" t="s">
        <v>16</v>
      </c>
      <c r="B259" t="s">
        <v>40</v>
      </c>
      <c r="C259" t="s">
        <v>1351</v>
      </c>
      <c r="D259">
        <v>2</v>
      </c>
      <c r="E259" s="273">
        <v>6</v>
      </c>
      <c r="F259" s="273" t="s">
        <v>75</v>
      </c>
      <c r="G259" s="273" t="s">
        <v>11</v>
      </c>
      <c r="H259" s="273" t="s">
        <v>11</v>
      </c>
    </row>
    <row r="260" spans="1:8" x14ac:dyDescent="0.25">
      <c r="A260" t="s">
        <v>16</v>
      </c>
      <c r="B260" t="s">
        <v>40</v>
      </c>
      <c r="C260" t="s">
        <v>1352</v>
      </c>
      <c r="D260">
        <v>1</v>
      </c>
      <c r="E260" s="273">
        <v>5</v>
      </c>
      <c r="F260" s="273" t="s">
        <v>75</v>
      </c>
      <c r="G260" s="273" t="s">
        <v>11</v>
      </c>
      <c r="H260" s="273" t="s">
        <v>11</v>
      </c>
    </row>
    <row r="261" spans="1:8" x14ac:dyDescent="0.25">
      <c r="A261" t="s">
        <v>16</v>
      </c>
      <c r="B261" t="s">
        <v>40</v>
      </c>
      <c r="C261" t="s">
        <v>1353</v>
      </c>
      <c r="D261">
        <v>1</v>
      </c>
      <c r="E261" s="273">
        <v>6</v>
      </c>
      <c r="F261" s="273" t="s">
        <v>75</v>
      </c>
      <c r="G261" s="273" t="s">
        <v>11</v>
      </c>
      <c r="H261" s="273" t="s">
        <v>11</v>
      </c>
    </row>
    <row r="262" spans="1:8" x14ac:dyDescent="0.25">
      <c r="A262" t="s">
        <v>16</v>
      </c>
      <c r="B262" t="s">
        <v>40</v>
      </c>
      <c r="C262" t="s">
        <v>1354</v>
      </c>
      <c r="D262">
        <v>1</v>
      </c>
      <c r="E262" s="273">
        <v>5</v>
      </c>
      <c r="F262" s="273" t="s">
        <v>75</v>
      </c>
      <c r="G262" s="273" t="s">
        <v>11</v>
      </c>
      <c r="H262" s="273" t="s">
        <v>11</v>
      </c>
    </row>
    <row r="263" spans="1:8" x14ac:dyDescent="0.25">
      <c r="A263" t="s">
        <v>16</v>
      </c>
      <c r="B263" t="s">
        <v>40</v>
      </c>
      <c r="C263" t="s">
        <v>1355</v>
      </c>
      <c r="D263">
        <v>1</v>
      </c>
      <c r="E263" s="273">
        <v>5</v>
      </c>
      <c r="F263" s="273" t="s">
        <v>75</v>
      </c>
      <c r="G263" s="273" t="s">
        <v>11</v>
      </c>
      <c r="H263" s="273" t="s">
        <v>11</v>
      </c>
    </row>
    <row r="264" spans="1:8" x14ac:dyDescent="0.25">
      <c r="A264" t="s">
        <v>16</v>
      </c>
      <c r="B264" t="s">
        <v>40</v>
      </c>
      <c r="C264" t="s">
        <v>1356</v>
      </c>
      <c r="D264">
        <v>1</v>
      </c>
      <c r="E264" s="273">
        <v>6</v>
      </c>
      <c r="F264" s="273" t="s">
        <v>75</v>
      </c>
      <c r="G264" s="273" t="s">
        <v>11</v>
      </c>
      <c r="H264" s="273" t="s">
        <v>11</v>
      </c>
    </row>
    <row r="265" spans="1:8" x14ac:dyDescent="0.25">
      <c r="A265" t="s">
        <v>16</v>
      </c>
      <c r="B265" t="s">
        <v>40</v>
      </c>
      <c r="C265" t="s">
        <v>1357</v>
      </c>
      <c r="D265">
        <v>1</v>
      </c>
      <c r="E265" s="273">
        <v>5</v>
      </c>
      <c r="F265" s="273" t="s">
        <v>75</v>
      </c>
      <c r="G265" s="273" t="s">
        <v>11</v>
      </c>
      <c r="H265" s="273" t="s">
        <v>11</v>
      </c>
    </row>
    <row r="266" spans="1:8" x14ac:dyDescent="0.25">
      <c r="A266" t="s">
        <v>16</v>
      </c>
      <c r="B266" t="s">
        <v>40</v>
      </c>
      <c r="C266" t="s">
        <v>1358</v>
      </c>
      <c r="D266">
        <v>2</v>
      </c>
      <c r="E266" s="273">
        <v>6</v>
      </c>
      <c r="F266" s="273" t="s">
        <v>75</v>
      </c>
      <c r="G266" s="273" t="s">
        <v>11</v>
      </c>
      <c r="H266" s="273" t="s">
        <v>11</v>
      </c>
    </row>
    <row r="267" spans="1:8" x14ac:dyDescent="0.25">
      <c r="A267" t="s">
        <v>16</v>
      </c>
      <c r="B267" t="s">
        <v>40</v>
      </c>
      <c r="C267" t="s">
        <v>1359</v>
      </c>
      <c r="D267">
        <v>1</v>
      </c>
      <c r="E267" s="273">
        <v>5</v>
      </c>
      <c r="F267" s="273" t="s">
        <v>75</v>
      </c>
      <c r="G267" s="273" t="s">
        <v>11</v>
      </c>
      <c r="H267" s="273" t="s">
        <v>11</v>
      </c>
    </row>
    <row r="268" spans="1:8" x14ac:dyDescent="0.25">
      <c r="A268" t="s">
        <v>16</v>
      </c>
      <c r="B268" t="s">
        <v>40</v>
      </c>
      <c r="C268" t="s">
        <v>1360</v>
      </c>
      <c r="D268">
        <v>1</v>
      </c>
      <c r="E268" s="273">
        <v>5</v>
      </c>
      <c r="F268" s="273" t="s">
        <v>75</v>
      </c>
      <c r="G268" s="273" t="s">
        <v>11</v>
      </c>
      <c r="H268" s="273" t="s">
        <v>11</v>
      </c>
    </row>
    <row r="269" spans="1:8" x14ac:dyDescent="0.25">
      <c r="A269" t="s">
        <v>16</v>
      </c>
      <c r="B269" t="s">
        <v>40</v>
      </c>
      <c r="C269" t="s">
        <v>1361</v>
      </c>
      <c r="D269">
        <v>1</v>
      </c>
      <c r="E269" s="273">
        <v>5</v>
      </c>
      <c r="F269" s="273" t="s">
        <v>75</v>
      </c>
      <c r="G269" s="273" t="s">
        <v>11</v>
      </c>
      <c r="H269" s="273" t="s">
        <v>11</v>
      </c>
    </row>
    <row r="270" spans="1:8" x14ac:dyDescent="0.25">
      <c r="A270" t="s">
        <v>16</v>
      </c>
      <c r="B270" t="s">
        <v>40</v>
      </c>
      <c r="C270" t="s">
        <v>1362</v>
      </c>
      <c r="D270">
        <v>1</v>
      </c>
      <c r="E270" s="273">
        <v>5</v>
      </c>
      <c r="F270" s="273" t="s">
        <v>75</v>
      </c>
      <c r="G270" s="273" t="s">
        <v>11</v>
      </c>
      <c r="H270" s="273" t="s">
        <v>11</v>
      </c>
    </row>
    <row r="271" spans="1:8" x14ac:dyDescent="0.25">
      <c r="A271" t="s">
        <v>16</v>
      </c>
      <c r="B271" t="s">
        <v>40</v>
      </c>
      <c r="C271" t="s">
        <v>1363</v>
      </c>
      <c r="D271">
        <v>1</v>
      </c>
      <c r="E271" s="273">
        <v>5</v>
      </c>
      <c r="F271" s="273" t="s">
        <v>75</v>
      </c>
      <c r="G271" s="273" t="s">
        <v>11</v>
      </c>
      <c r="H271" s="273" t="s">
        <v>11</v>
      </c>
    </row>
    <row r="272" spans="1:8" x14ac:dyDescent="0.25">
      <c r="A272" t="s">
        <v>16</v>
      </c>
      <c r="B272" t="s">
        <v>40</v>
      </c>
      <c r="C272" t="s">
        <v>1364</v>
      </c>
      <c r="D272">
        <v>1</v>
      </c>
      <c r="E272" s="273">
        <v>7</v>
      </c>
      <c r="F272" s="273" t="s">
        <v>11</v>
      </c>
      <c r="G272" s="273" t="s">
        <v>11</v>
      </c>
      <c r="H272" s="273" t="s">
        <v>11</v>
      </c>
    </row>
    <row r="273" spans="1:8" x14ac:dyDescent="0.25">
      <c r="A273" t="s">
        <v>16</v>
      </c>
      <c r="B273" t="s">
        <v>40</v>
      </c>
      <c r="C273" t="s">
        <v>1365</v>
      </c>
      <c r="D273">
        <v>1</v>
      </c>
      <c r="E273" s="273">
        <v>7</v>
      </c>
      <c r="F273" s="273" t="s">
        <v>11</v>
      </c>
      <c r="G273" s="273" t="s">
        <v>11</v>
      </c>
      <c r="H273" s="273" t="s">
        <v>11</v>
      </c>
    </row>
    <row r="274" spans="1:8" x14ac:dyDescent="0.25">
      <c r="A274" t="s">
        <v>16</v>
      </c>
      <c r="B274" t="s">
        <v>40</v>
      </c>
      <c r="C274" t="s">
        <v>1366</v>
      </c>
      <c r="D274">
        <v>2</v>
      </c>
      <c r="E274" s="273">
        <v>7</v>
      </c>
      <c r="F274" s="273" t="s">
        <v>11</v>
      </c>
      <c r="G274" s="273" t="s">
        <v>11</v>
      </c>
      <c r="H274" s="273" t="s">
        <v>11</v>
      </c>
    </row>
    <row r="275" spans="1:8" x14ac:dyDescent="0.25">
      <c r="A275" t="s">
        <v>16</v>
      </c>
      <c r="B275" t="s">
        <v>40</v>
      </c>
      <c r="C275" t="s">
        <v>1367</v>
      </c>
      <c r="D275">
        <v>1</v>
      </c>
      <c r="E275" s="273">
        <v>5</v>
      </c>
      <c r="F275" s="273" t="s">
        <v>75</v>
      </c>
      <c r="G275" s="273" t="s">
        <v>11</v>
      </c>
      <c r="H275" s="273" t="s">
        <v>11</v>
      </c>
    </row>
    <row r="276" spans="1:8" x14ac:dyDescent="0.25">
      <c r="A276" t="s">
        <v>16</v>
      </c>
      <c r="B276" t="s">
        <v>40</v>
      </c>
      <c r="C276" t="s">
        <v>1149</v>
      </c>
      <c r="D276">
        <v>1</v>
      </c>
      <c r="E276" s="273">
        <v>7</v>
      </c>
      <c r="F276" s="273" t="s">
        <v>11</v>
      </c>
      <c r="G276" s="273" t="s">
        <v>11</v>
      </c>
      <c r="H276" s="273" t="s">
        <v>11</v>
      </c>
    </row>
    <row r="277" spans="1:8" x14ac:dyDescent="0.25">
      <c r="A277" t="s">
        <v>16</v>
      </c>
      <c r="B277" t="s">
        <v>40</v>
      </c>
      <c r="C277" t="s">
        <v>1150</v>
      </c>
      <c r="D277">
        <v>1</v>
      </c>
      <c r="E277" s="273">
        <v>5</v>
      </c>
      <c r="F277" s="273" t="s">
        <v>75</v>
      </c>
      <c r="G277" s="273" t="s">
        <v>11</v>
      </c>
      <c r="H277" s="273" t="s">
        <v>11</v>
      </c>
    </row>
    <row r="278" spans="1:8" x14ac:dyDescent="0.25">
      <c r="A278" t="s">
        <v>16</v>
      </c>
      <c r="B278" t="s">
        <v>40</v>
      </c>
      <c r="C278" t="s">
        <v>1368</v>
      </c>
      <c r="D278">
        <v>1</v>
      </c>
      <c r="E278" s="273">
        <v>5</v>
      </c>
      <c r="F278" s="273" t="s">
        <v>75</v>
      </c>
      <c r="G278" s="273" t="s">
        <v>11</v>
      </c>
      <c r="H278" s="273" t="s">
        <v>11</v>
      </c>
    </row>
    <row r="279" spans="1:8" x14ac:dyDescent="0.25">
      <c r="A279" t="s">
        <v>16</v>
      </c>
      <c r="B279" t="s">
        <v>40</v>
      </c>
      <c r="C279" t="s">
        <v>1369</v>
      </c>
      <c r="D279">
        <v>1</v>
      </c>
      <c r="E279" s="273">
        <v>5</v>
      </c>
      <c r="F279" s="273" t="s">
        <v>75</v>
      </c>
      <c r="G279" s="273" t="s">
        <v>11</v>
      </c>
      <c r="H279" s="273" t="s">
        <v>11</v>
      </c>
    </row>
    <row r="280" spans="1:8" x14ac:dyDescent="0.25">
      <c r="A280" t="s">
        <v>16</v>
      </c>
      <c r="B280" t="s">
        <v>40</v>
      </c>
      <c r="C280" t="s">
        <v>1370</v>
      </c>
      <c r="D280">
        <v>2</v>
      </c>
      <c r="E280" s="273">
        <v>5</v>
      </c>
      <c r="F280" s="273" t="s">
        <v>75</v>
      </c>
      <c r="G280" s="273" t="s">
        <v>11</v>
      </c>
      <c r="H280" s="273" t="s">
        <v>11</v>
      </c>
    </row>
    <row r="281" spans="1:8" x14ac:dyDescent="0.25">
      <c r="A281" t="s">
        <v>16</v>
      </c>
      <c r="B281" t="s">
        <v>40</v>
      </c>
      <c r="C281" t="s">
        <v>1299</v>
      </c>
      <c r="D281">
        <v>1</v>
      </c>
      <c r="E281" s="273">
        <v>7</v>
      </c>
      <c r="F281" s="273" t="s">
        <v>11</v>
      </c>
      <c r="G281" s="273" t="s">
        <v>11</v>
      </c>
      <c r="H281" s="273" t="s">
        <v>11</v>
      </c>
    </row>
    <row r="282" spans="1:8" x14ac:dyDescent="0.25">
      <c r="A282" t="s">
        <v>16</v>
      </c>
      <c r="B282" t="s">
        <v>40</v>
      </c>
      <c r="C282" t="s">
        <v>1371</v>
      </c>
      <c r="D282">
        <v>1</v>
      </c>
      <c r="E282" s="273">
        <v>5</v>
      </c>
      <c r="F282" s="273" t="s">
        <v>75</v>
      </c>
      <c r="G282" s="273" t="s">
        <v>11</v>
      </c>
      <c r="H282" s="273" t="s">
        <v>11</v>
      </c>
    </row>
    <row r="283" spans="1:8" x14ac:dyDescent="0.25">
      <c r="A283" t="s">
        <v>16</v>
      </c>
      <c r="B283" t="s">
        <v>40</v>
      </c>
      <c r="C283" t="s">
        <v>1372</v>
      </c>
      <c r="D283">
        <v>1</v>
      </c>
      <c r="E283" s="273">
        <v>4</v>
      </c>
      <c r="F283" s="273" t="s">
        <v>75</v>
      </c>
      <c r="G283" s="273" t="s">
        <v>11</v>
      </c>
      <c r="H283" s="273" t="s">
        <v>11</v>
      </c>
    </row>
    <row r="284" spans="1:8" x14ac:dyDescent="0.25">
      <c r="A284" t="s">
        <v>16</v>
      </c>
      <c r="B284" t="s">
        <v>40</v>
      </c>
      <c r="C284" t="s">
        <v>1255</v>
      </c>
      <c r="D284">
        <v>1</v>
      </c>
      <c r="E284" s="273">
        <v>5</v>
      </c>
      <c r="F284" s="273" t="s">
        <v>75</v>
      </c>
      <c r="G284" s="273" t="s">
        <v>11</v>
      </c>
      <c r="H284" s="273" t="s">
        <v>11</v>
      </c>
    </row>
    <row r="285" spans="1:8" x14ac:dyDescent="0.25">
      <c r="A285" t="s">
        <v>16</v>
      </c>
      <c r="B285" t="s">
        <v>40</v>
      </c>
      <c r="C285" t="s">
        <v>1257</v>
      </c>
      <c r="D285">
        <v>1</v>
      </c>
      <c r="E285" s="273">
        <v>5</v>
      </c>
      <c r="F285" s="273" t="s">
        <v>75</v>
      </c>
      <c r="G285" s="273" t="s">
        <v>11</v>
      </c>
      <c r="H285" s="273" t="s">
        <v>11</v>
      </c>
    </row>
    <row r="286" spans="1:8" x14ac:dyDescent="0.25">
      <c r="A286" t="s">
        <v>16</v>
      </c>
      <c r="B286" t="s">
        <v>40</v>
      </c>
      <c r="C286" t="s">
        <v>1373</v>
      </c>
      <c r="D286">
        <v>1</v>
      </c>
      <c r="E286" s="273">
        <v>5</v>
      </c>
      <c r="F286" s="273" t="s">
        <v>75</v>
      </c>
      <c r="G286" s="273" t="s">
        <v>11</v>
      </c>
      <c r="H286" s="273" t="s">
        <v>11</v>
      </c>
    </row>
    <row r="287" spans="1:8" x14ac:dyDescent="0.25">
      <c r="A287" t="s">
        <v>16</v>
      </c>
      <c r="B287" t="s">
        <v>40</v>
      </c>
      <c r="C287" t="s">
        <v>1374</v>
      </c>
      <c r="D287">
        <v>2</v>
      </c>
      <c r="E287" s="273">
        <v>7</v>
      </c>
      <c r="F287" s="273" t="s">
        <v>11</v>
      </c>
      <c r="G287" s="273" t="s">
        <v>11</v>
      </c>
      <c r="H287" s="273" t="s">
        <v>11</v>
      </c>
    </row>
    <row r="288" spans="1:8" x14ac:dyDescent="0.25">
      <c r="A288" t="s">
        <v>16</v>
      </c>
      <c r="B288" t="s">
        <v>40</v>
      </c>
      <c r="C288" t="s">
        <v>1375</v>
      </c>
      <c r="D288">
        <v>1</v>
      </c>
      <c r="E288" s="273">
        <v>6</v>
      </c>
      <c r="F288" s="273" t="s">
        <v>75</v>
      </c>
      <c r="G288" s="273" t="s">
        <v>11</v>
      </c>
      <c r="H288" s="273" t="s">
        <v>11</v>
      </c>
    </row>
    <row r="289" spans="1:8" x14ac:dyDescent="0.25">
      <c r="A289" t="s">
        <v>16</v>
      </c>
      <c r="B289" t="s">
        <v>40</v>
      </c>
      <c r="C289" t="s">
        <v>1376</v>
      </c>
      <c r="D289">
        <v>1</v>
      </c>
      <c r="E289" s="273">
        <v>5</v>
      </c>
      <c r="F289" s="273" t="s">
        <v>75</v>
      </c>
      <c r="G289" s="273" t="s">
        <v>11</v>
      </c>
      <c r="H289" s="273" t="s">
        <v>11</v>
      </c>
    </row>
    <row r="290" spans="1:8" x14ac:dyDescent="0.25">
      <c r="A290" t="s">
        <v>16</v>
      </c>
      <c r="B290" t="s">
        <v>40</v>
      </c>
      <c r="C290" t="s">
        <v>1377</v>
      </c>
      <c r="D290">
        <v>1</v>
      </c>
      <c r="E290" s="273">
        <v>5</v>
      </c>
      <c r="F290" s="273" t="s">
        <v>75</v>
      </c>
      <c r="G290" s="273" t="s">
        <v>11</v>
      </c>
      <c r="H290" s="273" t="s">
        <v>11</v>
      </c>
    </row>
    <row r="291" spans="1:8" x14ac:dyDescent="0.25">
      <c r="A291" t="s">
        <v>16</v>
      </c>
      <c r="B291" t="s">
        <v>40</v>
      </c>
      <c r="C291" t="s">
        <v>1165</v>
      </c>
      <c r="D291">
        <v>1</v>
      </c>
      <c r="E291" s="273">
        <v>5</v>
      </c>
      <c r="F291" s="273" t="s">
        <v>75</v>
      </c>
      <c r="G291" s="273" t="s">
        <v>11</v>
      </c>
      <c r="H291" s="273" t="s">
        <v>11</v>
      </c>
    </row>
    <row r="292" spans="1:8" x14ac:dyDescent="0.25">
      <c r="A292" t="s">
        <v>16</v>
      </c>
      <c r="B292" t="s">
        <v>40</v>
      </c>
      <c r="C292" t="s">
        <v>1378</v>
      </c>
      <c r="D292">
        <v>1</v>
      </c>
      <c r="E292" s="273">
        <v>4</v>
      </c>
      <c r="F292" s="273" t="s">
        <v>75</v>
      </c>
      <c r="G292" s="273" t="s">
        <v>11</v>
      </c>
      <c r="H292" s="273" t="s">
        <v>11</v>
      </c>
    </row>
    <row r="293" spans="1:8" x14ac:dyDescent="0.25">
      <c r="A293" t="s">
        <v>16</v>
      </c>
      <c r="B293" t="s">
        <v>40</v>
      </c>
      <c r="C293" t="s">
        <v>1379</v>
      </c>
      <c r="D293">
        <v>1</v>
      </c>
      <c r="E293" s="273">
        <v>6</v>
      </c>
      <c r="F293" s="273" t="s">
        <v>75</v>
      </c>
      <c r="G293" s="273" t="s">
        <v>11</v>
      </c>
      <c r="H293" s="273" t="s">
        <v>11</v>
      </c>
    </row>
    <row r="294" spans="1:8" x14ac:dyDescent="0.25">
      <c r="A294" t="s">
        <v>16</v>
      </c>
      <c r="B294" t="s">
        <v>40</v>
      </c>
      <c r="C294" t="s">
        <v>1380</v>
      </c>
      <c r="D294">
        <v>1</v>
      </c>
      <c r="E294" s="273">
        <v>7</v>
      </c>
      <c r="F294" s="273" t="s">
        <v>11</v>
      </c>
      <c r="G294" s="273" t="s">
        <v>11</v>
      </c>
      <c r="H294" s="273" t="s">
        <v>11</v>
      </c>
    </row>
    <row r="295" spans="1:8" x14ac:dyDescent="0.25">
      <c r="A295" t="s">
        <v>16</v>
      </c>
      <c r="B295" t="s">
        <v>40</v>
      </c>
      <c r="C295" t="s">
        <v>1264</v>
      </c>
      <c r="D295">
        <v>1</v>
      </c>
      <c r="E295" s="273">
        <v>5</v>
      </c>
      <c r="F295" s="273" t="s">
        <v>75</v>
      </c>
      <c r="G295" s="273" t="s">
        <v>11</v>
      </c>
      <c r="H295" s="273" t="s">
        <v>11</v>
      </c>
    </row>
    <row r="296" spans="1:8" x14ac:dyDescent="0.25">
      <c r="A296" t="s">
        <v>16</v>
      </c>
      <c r="B296" t="s">
        <v>40</v>
      </c>
      <c r="C296" t="s">
        <v>1381</v>
      </c>
      <c r="D296">
        <v>1</v>
      </c>
      <c r="E296" s="273">
        <v>7</v>
      </c>
      <c r="F296" s="273" t="s">
        <v>11</v>
      </c>
      <c r="G296" s="273" t="s">
        <v>11</v>
      </c>
      <c r="H296" s="273" t="s">
        <v>11</v>
      </c>
    </row>
    <row r="297" spans="1:8" x14ac:dyDescent="0.25">
      <c r="A297" t="s">
        <v>16</v>
      </c>
      <c r="B297" t="s">
        <v>40</v>
      </c>
      <c r="C297" t="s">
        <v>1382</v>
      </c>
      <c r="D297">
        <v>1</v>
      </c>
      <c r="E297" s="273">
        <v>5</v>
      </c>
      <c r="F297" s="273" t="s">
        <v>75</v>
      </c>
      <c r="G297" s="273" t="s">
        <v>11</v>
      </c>
      <c r="H297" s="273" t="s">
        <v>11</v>
      </c>
    </row>
    <row r="298" spans="1:8" x14ac:dyDescent="0.25">
      <c r="A298" t="s">
        <v>16</v>
      </c>
      <c r="B298" t="s">
        <v>40</v>
      </c>
      <c r="C298" t="s">
        <v>1383</v>
      </c>
      <c r="D298">
        <v>1</v>
      </c>
      <c r="E298" s="273">
        <v>5</v>
      </c>
      <c r="F298" s="273" t="s">
        <v>75</v>
      </c>
      <c r="G298" s="273" t="s">
        <v>11</v>
      </c>
      <c r="H298" s="273" t="s">
        <v>11</v>
      </c>
    </row>
    <row r="299" spans="1:8" x14ac:dyDescent="0.25">
      <c r="A299" t="s">
        <v>16</v>
      </c>
      <c r="B299" t="s">
        <v>40</v>
      </c>
      <c r="C299" t="s">
        <v>1384</v>
      </c>
      <c r="D299">
        <v>1</v>
      </c>
      <c r="E299" s="273">
        <v>6</v>
      </c>
      <c r="F299" s="273" t="s">
        <v>75</v>
      </c>
      <c r="G299" s="273" t="s">
        <v>11</v>
      </c>
      <c r="H299" s="273" t="s">
        <v>11</v>
      </c>
    </row>
    <row r="300" spans="1:8" x14ac:dyDescent="0.25">
      <c r="A300" t="s">
        <v>16</v>
      </c>
      <c r="B300" t="s">
        <v>40</v>
      </c>
      <c r="C300" t="s">
        <v>1385</v>
      </c>
      <c r="D300">
        <v>2</v>
      </c>
      <c r="E300" s="273">
        <v>7</v>
      </c>
      <c r="F300" s="273" t="s">
        <v>11</v>
      </c>
      <c r="G300" s="273" t="s">
        <v>11</v>
      </c>
      <c r="H300" s="273" t="s">
        <v>11</v>
      </c>
    </row>
    <row r="301" spans="1:8" x14ac:dyDescent="0.25">
      <c r="A301" t="s">
        <v>16</v>
      </c>
      <c r="B301" t="s">
        <v>40</v>
      </c>
      <c r="C301" t="s">
        <v>1386</v>
      </c>
      <c r="D301">
        <v>2</v>
      </c>
      <c r="E301" s="273">
        <v>7</v>
      </c>
      <c r="F301" s="273" t="s">
        <v>11</v>
      </c>
      <c r="G301" s="273" t="s">
        <v>11</v>
      </c>
      <c r="H301" s="273" t="s">
        <v>11</v>
      </c>
    </row>
    <row r="302" spans="1:8" x14ac:dyDescent="0.25">
      <c r="A302" t="s">
        <v>16</v>
      </c>
      <c r="B302" t="s">
        <v>40</v>
      </c>
      <c r="C302" t="s">
        <v>1387</v>
      </c>
      <c r="D302">
        <v>2</v>
      </c>
      <c r="E302" s="273">
        <v>6</v>
      </c>
      <c r="F302" s="273" t="s">
        <v>75</v>
      </c>
      <c r="G302" s="273" t="s">
        <v>11</v>
      </c>
      <c r="H302" s="273" t="s">
        <v>11</v>
      </c>
    </row>
    <row r="303" spans="1:8" x14ac:dyDescent="0.25">
      <c r="A303" t="s">
        <v>16</v>
      </c>
      <c r="B303" t="s">
        <v>40</v>
      </c>
      <c r="C303" t="s">
        <v>1388</v>
      </c>
      <c r="D303">
        <v>2</v>
      </c>
      <c r="E303" s="273">
        <v>7</v>
      </c>
      <c r="F303" s="273" t="s">
        <v>11</v>
      </c>
      <c r="G303" s="273" t="s">
        <v>11</v>
      </c>
      <c r="H303" s="273" t="s">
        <v>11</v>
      </c>
    </row>
    <row r="304" spans="1:8" x14ac:dyDescent="0.25">
      <c r="A304" t="s">
        <v>16</v>
      </c>
      <c r="B304" t="s">
        <v>40</v>
      </c>
      <c r="C304" t="s">
        <v>1389</v>
      </c>
      <c r="D304">
        <v>1</v>
      </c>
      <c r="E304" s="273">
        <v>6</v>
      </c>
      <c r="F304" s="273" t="s">
        <v>75</v>
      </c>
      <c r="G304" s="273" t="s">
        <v>11</v>
      </c>
      <c r="H304" s="273" t="s">
        <v>11</v>
      </c>
    </row>
    <row r="305" spans="1:8" x14ac:dyDescent="0.25">
      <c r="A305" t="s">
        <v>16</v>
      </c>
      <c r="B305" t="s">
        <v>40</v>
      </c>
      <c r="C305" t="s">
        <v>1390</v>
      </c>
      <c r="D305">
        <v>1</v>
      </c>
      <c r="E305" s="273">
        <v>5</v>
      </c>
      <c r="F305" s="273" t="s">
        <v>75</v>
      </c>
      <c r="G305" s="273" t="s">
        <v>11</v>
      </c>
      <c r="H305" s="273" t="s">
        <v>11</v>
      </c>
    </row>
    <row r="306" spans="1:8" x14ac:dyDescent="0.25">
      <c r="A306" t="s">
        <v>16</v>
      </c>
      <c r="B306" t="s">
        <v>40</v>
      </c>
      <c r="C306" t="s">
        <v>1391</v>
      </c>
      <c r="D306">
        <v>1</v>
      </c>
      <c r="E306" s="273">
        <v>7</v>
      </c>
      <c r="F306" s="273" t="s">
        <v>11</v>
      </c>
      <c r="G306" s="273" t="s">
        <v>11</v>
      </c>
      <c r="H306" s="273" t="s">
        <v>11</v>
      </c>
    </row>
    <row r="307" spans="1:8" x14ac:dyDescent="0.25">
      <c r="A307" t="s">
        <v>16</v>
      </c>
      <c r="B307" t="s">
        <v>40</v>
      </c>
      <c r="C307" t="s">
        <v>1392</v>
      </c>
      <c r="D307">
        <v>1</v>
      </c>
      <c r="E307" s="273">
        <v>5</v>
      </c>
      <c r="F307" s="273" t="s">
        <v>75</v>
      </c>
      <c r="G307" s="273" t="s">
        <v>11</v>
      </c>
      <c r="H307" s="273" t="s">
        <v>11</v>
      </c>
    </row>
    <row r="308" spans="1:8" x14ac:dyDescent="0.25">
      <c r="A308" t="s">
        <v>16</v>
      </c>
      <c r="B308" t="s">
        <v>40</v>
      </c>
      <c r="C308" t="s">
        <v>1178</v>
      </c>
      <c r="D308">
        <v>1</v>
      </c>
      <c r="E308" s="273">
        <v>5</v>
      </c>
      <c r="F308" s="273" t="s">
        <v>75</v>
      </c>
      <c r="G308" s="273" t="s">
        <v>11</v>
      </c>
      <c r="H308" s="273" t="s">
        <v>11</v>
      </c>
    </row>
    <row r="309" spans="1:8" x14ac:dyDescent="0.25">
      <c r="A309" t="s">
        <v>16</v>
      </c>
      <c r="B309" t="s">
        <v>40</v>
      </c>
      <c r="C309" t="s">
        <v>1393</v>
      </c>
      <c r="D309">
        <v>1</v>
      </c>
      <c r="E309" s="273">
        <v>5</v>
      </c>
      <c r="F309" s="273" t="s">
        <v>75</v>
      </c>
      <c r="G309" s="273" t="s">
        <v>11</v>
      </c>
      <c r="H309" s="273" t="s">
        <v>11</v>
      </c>
    </row>
    <row r="310" spans="1:8" x14ac:dyDescent="0.25">
      <c r="A310" t="s">
        <v>16</v>
      </c>
      <c r="B310" t="s">
        <v>40</v>
      </c>
      <c r="C310" t="s">
        <v>1225</v>
      </c>
      <c r="D310">
        <v>1</v>
      </c>
      <c r="E310" s="273">
        <v>5</v>
      </c>
      <c r="F310" s="273" t="s">
        <v>75</v>
      </c>
      <c r="G310" s="273" t="s">
        <v>11</v>
      </c>
      <c r="H310" s="273" t="s">
        <v>11</v>
      </c>
    </row>
    <row r="311" spans="1:8" x14ac:dyDescent="0.25">
      <c r="A311" t="s">
        <v>17</v>
      </c>
      <c r="B311" t="s">
        <v>87</v>
      </c>
      <c r="C311" t="s">
        <v>1394</v>
      </c>
      <c r="D311">
        <v>1</v>
      </c>
      <c r="E311" s="273">
        <v>5</v>
      </c>
      <c r="F311" s="273" t="s">
        <v>7</v>
      </c>
      <c r="G311" s="273" t="s">
        <v>11</v>
      </c>
      <c r="H311" s="273" t="s">
        <v>11</v>
      </c>
    </row>
    <row r="312" spans="1:8" x14ac:dyDescent="0.25">
      <c r="A312" t="s">
        <v>17</v>
      </c>
      <c r="B312" t="s">
        <v>87</v>
      </c>
      <c r="C312" t="s">
        <v>1395</v>
      </c>
      <c r="D312">
        <v>3</v>
      </c>
      <c r="E312" s="273">
        <v>5</v>
      </c>
      <c r="F312" s="273" t="s">
        <v>7</v>
      </c>
      <c r="G312" s="273" t="s">
        <v>11</v>
      </c>
      <c r="H312" s="273" t="s">
        <v>11</v>
      </c>
    </row>
    <row r="313" spans="1:8" x14ac:dyDescent="0.25">
      <c r="A313" t="s">
        <v>17</v>
      </c>
      <c r="B313" t="s">
        <v>87</v>
      </c>
      <c r="C313" t="s">
        <v>1396</v>
      </c>
      <c r="D313">
        <v>2</v>
      </c>
      <c r="E313" s="273">
        <v>5</v>
      </c>
      <c r="F313" s="273" t="s">
        <v>7</v>
      </c>
      <c r="G313" s="273" t="s">
        <v>11</v>
      </c>
      <c r="H313" s="273" t="s">
        <v>11</v>
      </c>
    </row>
    <row r="314" spans="1:8" x14ac:dyDescent="0.25">
      <c r="A314" t="s">
        <v>17</v>
      </c>
      <c r="B314" t="s">
        <v>87</v>
      </c>
      <c r="C314" t="s">
        <v>1397</v>
      </c>
      <c r="D314">
        <v>1</v>
      </c>
      <c r="E314" s="273">
        <v>5</v>
      </c>
      <c r="F314" s="273" t="s">
        <v>7</v>
      </c>
      <c r="G314" s="273" t="s">
        <v>11</v>
      </c>
      <c r="H314" s="273" t="s">
        <v>11</v>
      </c>
    </row>
    <row r="315" spans="1:8" x14ac:dyDescent="0.25">
      <c r="A315" t="s">
        <v>17</v>
      </c>
      <c r="B315" t="s">
        <v>87</v>
      </c>
      <c r="C315" t="s">
        <v>1398</v>
      </c>
      <c r="D315">
        <v>1</v>
      </c>
      <c r="E315" s="273">
        <v>5</v>
      </c>
      <c r="F315" s="273" t="s">
        <v>7</v>
      </c>
      <c r="G315" s="273" t="s">
        <v>11</v>
      </c>
      <c r="H315" s="273" t="s">
        <v>11</v>
      </c>
    </row>
    <row r="316" spans="1:8" x14ac:dyDescent="0.25">
      <c r="A316" t="s">
        <v>17</v>
      </c>
      <c r="B316" t="s">
        <v>87</v>
      </c>
      <c r="C316" t="s">
        <v>1399</v>
      </c>
      <c r="D316">
        <v>1</v>
      </c>
      <c r="E316" s="273">
        <v>5</v>
      </c>
      <c r="F316" s="273" t="s">
        <v>7</v>
      </c>
      <c r="G316" s="273" t="s">
        <v>11</v>
      </c>
      <c r="H316" s="273" t="s">
        <v>11</v>
      </c>
    </row>
    <row r="317" spans="1:8" x14ac:dyDescent="0.25">
      <c r="A317" t="s">
        <v>17</v>
      </c>
      <c r="B317" t="s">
        <v>87</v>
      </c>
      <c r="C317" t="s">
        <v>1400</v>
      </c>
      <c r="D317">
        <v>2</v>
      </c>
      <c r="E317" s="273">
        <v>5</v>
      </c>
      <c r="F317" s="273" t="s">
        <v>7</v>
      </c>
      <c r="G317" s="273" t="s">
        <v>11</v>
      </c>
      <c r="H317" s="273" t="s">
        <v>11</v>
      </c>
    </row>
    <row r="318" spans="1:8" x14ac:dyDescent="0.25">
      <c r="A318" t="s">
        <v>17</v>
      </c>
      <c r="B318" t="s">
        <v>87</v>
      </c>
      <c r="C318" t="s">
        <v>1401</v>
      </c>
      <c r="D318">
        <v>2</v>
      </c>
      <c r="E318" s="273">
        <v>5</v>
      </c>
      <c r="F318" s="273" t="s">
        <v>7</v>
      </c>
      <c r="G318" s="273" t="s">
        <v>11</v>
      </c>
      <c r="H318" s="273" t="s">
        <v>11</v>
      </c>
    </row>
    <row r="319" spans="1:8" x14ac:dyDescent="0.25">
      <c r="A319" t="s">
        <v>19</v>
      </c>
      <c r="B319" t="s">
        <v>106</v>
      </c>
      <c r="C319" t="s">
        <v>1402</v>
      </c>
      <c r="D319">
        <v>3</v>
      </c>
      <c r="E319" s="273">
        <v>4</v>
      </c>
      <c r="F319" s="273" t="s">
        <v>7</v>
      </c>
      <c r="G319" s="273" t="s">
        <v>11</v>
      </c>
      <c r="H319" s="273" t="s">
        <v>11</v>
      </c>
    </row>
    <row r="320" spans="1:8" x14ac:dyDescent="0.25">
      <c r="A320" t="s">
        <v>19</v>
      </c>
      <c r="B320" t="s">
        <v>106</v>
      </c>
      <c r="C320" t="s">
        <v>1403</v>
      </c>
      <c r="D320">
        <v>2</v>
      </c>
      <c r="E320" s="273">
        <v>4</v>
      </c>
      <c r="F320" s="273" t="s">
        <v>7</v>
      </c>
      <c r="G320" s="273" t="s">
        <v>11</v>
      </c>
      <c r="H320" s="273" t="s">
        <v>11</v>
      </c>
    </row>
    <row r="321" spans="1:10" x14ac:dyDescent="0.25">
      <c r="A321" t="s">
        <v>19</v>
      </c>
      <c r="B321" t="s">
        <v>106</v>
      </c>
      <c r="C321" t="s">
        <v>1404</v>
      </c>
      <c r="D321">
        <v>3</v>
      </c>
      <c r="E321" s="273">
        <v>4</v>
      </c>
      <c r="F321" s="273" t="s">
        <v>7</v>
      </c>
      <c r="G321" s="273" t="s">
        <v>11</v>
      </c>
      <c r="H321" s="273" t="s">
        <v>11</v>
      </c>
    </row>
    <row r="322" spans="1:10" x14ac:dyDescent="0.25">
      <c r="A322" t="s">
        <v>18</v>
      </c>
      <c r="B322" t="s">
        <v>107</v>
      </c>
      <c r="C322" t="s">
        <v>1405</v>
      </c>
      <c r="D322">
        <v>3</v>
      </c>
      <c r="E322" s="273">
        <v>4</v>
      </c>
      <c r="F322" s="273" t="s">
        <v>7</v>
      </c>
      <c r="G322" s="273" t="s">
        <v>11</v>
      </c>
      <c r="H322" s="273" t="s">
        <v>11</v>
      </c>
    </row>
    <row r="323" spans="1:10" s="1689" customFormat="1" x14ac:dyDescent="0.25">
      <c r="A323" s="1689" t="s">
        <v>5821</v>
      </c>
      <c r="B323" s="1689" t="s">
        <v>5822</v>
      </c>
      <c r="C323" s="1689" t="s">
        <v>5823</v>
      </c>
      <c r="D323" s="1689">
        <v>2</v>
      </c>
      <c r="E323" s="1689">
        <v>1</v>
      </c>
      <c r="F323" s="1689" t="s">
        <v>7</v>
      </c>
      <c r="G323" s="1689" t="s">
        <v>115</v>
      </c>
      <c r="H323" s="1689" t="s">
        <v>3456</v>
      </c>
      <c r="J323"/>
    </row>
    <row r="324" spans="1:10" s="1689" customFormat="1" x14ac:dyDescent="0.25">
      <c r="A324" s="1689" t="s">
        <v>5821</v>
      </c>
      <c r="B324" s="1689" t="s">
        <v>5822</v>
      </c>
      <c r="C324" s="1689" t="s">
        <v>5824</v>
      </c>
      <c r="D324" s="1689">
        <v>2</v>
      </c>
      <c r="E324" s="1689">
        <v>1</v>
      </c>
      <c r="F324" s="1689" t="s">
        <v>7</v>
      </c>
      <c r="G324" s="1689" t="s">
        <v>115</v>
      </c>
      <c r="H324" s="1689" t="s">
        <v>3456</v>
      </c>
    </row>
    <row r="325" spans="1:10" s="1689" customFormat="1" x14ac:dyDescent="0.25">
      <c r="A325" s="1689" t="s">
        <v>5821</v>
      </c>
      <c r="B325" s="1689" t="s">
        <v>5822</v>
      </c>
      <c r="C325" s="1689" t="s">
        <v>5825</v>
      </c>
      <c r="D325" s="1689">
        <v>2</v>
      </c>
      <c r="E325" s="1689">
        <v>1</v>
      </c>
      <c r="F325" s="1689" t="s">
        <v>7</v>
      </c>
      <c r="G325" s="1689" t="s">
        <v>115</v>
      </c>
      <c r="H325" s="1689" t="s">
        <v>3456</v>
      </c>
    </row>
    <row r="326" spans="1:10" s="1689" customFormat="1" x14ac:dyDescent="0.25">
      <c r="A326" s="1689" t="s">
        <v>5821</v>
      </c>
      <c r="B326" s="1689" t="s">
        <v>5822</v>
      </c>
      <c r="C326" s="1689" t="s">
        <v>5826</v>
      </c>
      <c r="D326" s="1689">
        <v>2</v>
      </c>
      <c r="E326" s="1689">
        <v>1</v>
      </c>
      <c r="F326" s="1689" t="s">
        <v>7</v>
      </c>
      <c r="G326" s="1689" t="s">
        <v>115</v>
      </c>
      <c r="H326" s="1689" t="s">
        <v>3456</v>
      </c>
    </row>
    <row r="327" spans="1:10" s="1689" customFormat="1" x14ac:dyDescent="0.25">
      <c r="A327" s="1689" t="s">
        <v>5821</v>
      </c>
      <c r="B327" s="1689" t="s">
        <v>5822</v>
      </c>
      <c r="C327" s="1689" t="s">
        <v>5827</v>
      </c>
      <c r="D327" s="1689">
        <v>2</v>
      </c>
      <c r="E327" s="1689">
        <v>1</v>
      </c>
      <c r="F327" s="1689" t="s">
        <v>7</v>
      </c>
      <c r="G327" s="1689" t="s">
        <v>115</v>
      </c>
      <c r="H327" s="1689" t="s">
        <v>3456</v>
      </c>
    </row>
    <row r="328" spans="1:10" s="1689" customFormat="1" x14ac:dyDescent="0.25">
      <c r="A328" s="1689" t="s">
        <v>5821</v>
      </c>
      <c r="B328" s="1689" t="s">
        <v>5822</v>
      </c>
      <c r="C328" s="1689" t="s">
        <v>5828</v>
      </c>
      <c r="D328" s="1689">
        <v>2</v>
      </c>
      <c r="E328" s="1689">
        <v>1</v>
      </c>
      <c r="F328" s="1689" t="s">
        <v>7</v>
      </c>
      <c r="G328" s="1689" t="s">
        <v>115</v>
      </c>
      <c r="H328" s="1689" t="s">
        <v>3456</v>
      </c>
    </row>
    <row r="329" spans="1:10" s="1689" customFormat="1" x14ac:dyDescent="0.25">
      <c r="A329" s="1689" t="s">
        <v>5821</v>
      </c>
      <c r="B329" s="1689" t="s">
        <v>5822</v>
      </c>
      <c r="C329" s="1689" t="s">
        <v>5829</v>
      </c>
      <c r="D329" s="1689">
        <v>2</v>
      </c>
      <c r="E329" s="1689">
        <v>1</v>
      </c>
      <c r="F329" s="1689" t="s">
        <v>7</v>
      </c>
      <c r="G329" s="1689" t="s">
        <v>115</v>
      </c>
      <c r="H329" s="1689" t="s">
        <v>3456</v>
      </c>
    </row>
    <row r="330" spans="1:10" s="1689" customFormat="1" x14ac:dyDescent="0.25">
      <c r="A330" s="1689" t="s">
        <v>5821</v>
      </c>
      <c r="B330" s="1689" t="s">
        <v>5822</v>
      </c>
      <c r="C330" s="1689" t="s">
        <v>5830</v>
      </c>
      <c r="D330" s="1689">
        <v>2</v>
      </c>
      <c r="E330" s="1689">
        <v>1</v>
      </c>
      <c r="F330" s="1689" t="s">
        <v>7</v>
      </c>
      <c r="G330" s="1689" t="s">
        <v>115</v>
      </c>
      <c r="H330" s="1689" t="s">
        <v>3456</v>
      </c>
    </row>
    <row r="331" spans="1:10" s="1689" customFormat="1" x14ac:dyDescent="0.25">
      <c r="A331" s="1689" t="s">
        <v>5821</v>
      </c>
      <c r="B331" s="1689" t="s">
        <v>5822</v>
      </c>
      <c r="C331" s="1689" t="s">
        <v>5831</v>
      </c>
      <c r="D331" s="1689">
        <v>2</v>
      </c>
      <c r="E331" s="1689">
        <v>1</v>
      </c>
      <c r="F331" s="1689" t="s">
        <v>7</v>
      </c>
      <c r="G331" s="1689" t="s">
        <v>115</v>
      </c>
      <c r="H331" s="1689" t="s">
        <v>3456</v>
      </c>
    </row>
    <row r="332" spans="1:10" s="1689" customFormat="1" x14ac:dyDescent="0.25">
      <c r="A332" s="1689" t="s">
        <v>5821</v>
      </c>
      <c r="B332" s="1689" t="s">
        <v>5822</v>
      </c>
      <c r="C332" s="1689" t="s">
        <v>5832</v>
      </c>
      <c r="D332" s="1689">
        <v>2</v>
      </c>
      <c r="E332" s="1689">
        <v>1</v>
      </c>
      <c r="F332" s="1689" t="s">
        <v>7</v>
      </c>
      <c r="G332" s="1689" t="s">
        <v>115</v>
      </c>
      <c r="H332" s="1689" t="s">
        <v>3456</v>
      </c>
    </row>
    <row r="333" spans="1:10" s="1689" customFormat="1" x14ac:dyDescent="0.25">
      <c r="A333" s="1689" t="s">
        <v>5821</v>
      </c>
      <c r="B333" s="1689" t="s">
        <v>5822</v>
      </c>
      <c r="C333" s="1689" t="s">
        <v>5833</v>
      </c>
      <c r="D333" s="1689">
        <v>2</v>
      </c>
      <c r="E333" s="1689">
        <v>1</v>
      </c>
      <c r="F333" s="1689" t="s">
        <v>7</v>
      </c>
      <c r="G333" s="1689" t="s">
        <v>115</v>
      </c>
      <c r="H333" s="1689" t="s">
        <v>3456</v>
      </c>
    </row>
    <row r="334" spans="1:10" s="1689" customFormat="1" x14ac:dyDescent="0.25">
      <c r="A334" s="1689" t="s">
        <v>5821</v>
      </c>
      <c r="B334" s="1689" t="s">
        <v>5822</v>
      </c>
      <c r="C334" s="1689" t="s">
        <v>5834</v>
      </c>
      <c r="D334" s="1689">
        <v>2</v>
      </c>
      <c r="E334" s="1689">
        <v>1</v>
      </c>
      <c r="F334" s="1689" t="s">
        <v>7</v>
      </c>
      <c r="G334" s="1689" t="s">
        <v>115</v>
      </c>
      <c r="H334" s="1689" t="s">
        <v>3456</v>
      </c>
    </row>
    <row r="335" spans="1:10" s="1689" customFormat="1" x14ac:dyDescent="0.25">
      <c r="A335" s="1689" t="s">
        <v>5821</v>
      </c>
      <c r="B335" s="1689" t="s">
        <v>5822</v>
      </c>
      <c r="C335" s="1689" t="s">
        <v>5835</v>
      </c>
      <c r="D335" s="1689">
        <v>2</v>
      </c>
      <c r="E335" s="1689">
        <v>1</v>
      </c>
      <c r="F335" s="1689" t="s">
        <v>7</v>
      </c>
      <c r="G335" s="1689" t="s">
        <v>115</v>
      </c>
      <c r="H335" s="1689" t="s">
        <v>3456</v>
      </c>
    </row>
    <row r="336" spans="1:10" s="1689" customFormat="1" x14ac:dyDescent="0.25">
      <c r="A336" s="1689" t="s">
        <v>5821</v>
      </c>
      <c r="B336" s="1689" t="s">
        <v>5822</v>
      </c>
      <c r="C336" s="1689" t="s">
        <v>5836</v>
      </c>
      <c r="D336" s="1689">
        <v>2</v>
      </c>
      <c r="E336" s="1689">
        <v>1</v>
      </c>
      <c r="F336" s="1689" t="s">
        <v>7</v>
      </c>
      <c r="G336" s="1689" t="s">
        <v>115</v>
      </c>
      <c r="H336" s="1689" t="s">
        <v>3456</v>
      </c>
    </row>
    <row r="337" spans="1:8" s="1689" customFormat="1" x14ac:dyDescent="0.25">
      <c r="A337" s="1689" t="s">
        <v>5821</v>
      </c>
      <c r="B337" s="1689" t="s">
        <v>5822</v>
      </c>
      <c r="C337" s="1689" t="s">
        <v>5837</v>
      </c>
      <c r="D337" s="1689">
        <v>2</v>
      </c>
      <c r="E337" s="1689">
        <v>1</v>
      </c>
      <c r="F337" s="1689" t="s">
        <v>7</v>
      </c>
      <c r="G337" s="1689" t="s">
        <v>115</v>
      </c>
      <c r="H337" s="1689" t="s">
        <v>3456</v>
      </c>
    </row>
    <row r="338" spans="1:8" s="1689" customFormat="1" x14ac:dyDescent="0.25">
      <c r="A338" s="1689" t="s">
        <v>5821</v>
      </c>
      <c r="B338" s="1689" t="s">
        <v>5822</v>
      </c>
      <c r="C338" s="1689" t="s">
        <v>5838</v>
      </c>
      <c r="D338" s="1689">
        <v>2</v>
      </c>
      <c r="E338" s="1689">
        <v>1</v>
      </c>
      <c r="F338" s="1689" t="s">
        <v>7</v>
      </c>
      <c r="G338" s="1689" t="s">
        <v>115</v>
      </c>
      <c r="H338" s="1689" t="s">
        <v>3456</v>
      </c>
    </row>
    <row r="339" spans="1:8" s="1689" customFormat="1" x14ac:dyDescent="0.25">
      <c r="A339" s="1689" t="s">
        <v>5821</v>
      </c>
      <c r="B339" s="1689" t="s">
        <v>5822</v>
      </c>
      <c r="C339" s="1689" t="s">
        <v>5839</v>
      </c>
      <c r="D339" s="1689">
        <v>2</v>
      </c>
      <c r="E339" s="1689">
        <v>1</v>
      </c>
      <c r="F339" s="1689" t="s">
        <v>7</v>
      </c>
      <c r="G339" s="1689" t="s">
        <v>115</v>
      </c>
      <c r="H339" s="1689" t="s">
        <v>3456</v>
      </c>
    </row>
    <row r="340" spans="1:8" s="1689" customFormat="1" x14ac:dyDescent="0.25">
      <c r="A340" s="1689" t="s">
        <v>5821</v>
      </c>
      <c r="B340" s="1689" t="s">
        <v>5822</v>
      </c>
      <c r="C340" s="1689" t="s">
        <v>5840</v>
      </c>
      <c r="D340" s="1689">
        <v>2</v>
      </c>
      <c r="E340" s="1689">
        <v>1</v>
      </c>
      <c r="F340" s="1689" t="s">
        <v>7</v>
      </c>
      <c r="G340" s="1689" t="s">
        <v>115</v>
      </c>
      <c r="H340" s="1689" t="s">
        <v>3456</v>
      </c>
    </row>
    <row r="341" spans="1:8" s="1689" customFormat="1" x14ac:dyDescent="0.25">
      <c r="A341" s="1689" t="s">
        <v>5821</v>
      </c>
      <c r="B341" s="1689" t="s">
        <v>5822</v>
      </c>
      <c r="C341" s="1689" t="s">
        <v>5841</v>
      </c>
      <c r="D341" s="1689">
        <v>2</v>
      </c>
      <c r="E341" s="1689">
        <v>1</v>
      </c>
      <c r="F341" s="1689" t="s">
        <v>7</v>
      </c>
      <c r="G341" s="1689" t="s">
        <v>115</v>
      </c>
      <c r="H341" s="1689" t="s">
        <v>3456</v>
      </c>
    </row>
    <row r="342" spans="1:8" s="1689" customFormat="1" x14ac:dyDescent="0.25">
      <c r="A342" s="1689" t="s">
        <v>5821</v>
      </c>
      <c r="B342" s="1689" t="s">
        <v>5822</v>
      </c>
      <c r="C342" s="1689" t="s">
        <v>5842</v>
      </c>
      <c r="D342" s="1689">
        <v>2</v>
      </c>
      <c r="E342" s="1689">
        <v>1</v>
      </c>
      <c r="F342" s="1689" t="s">
        <v>7</v>
      </c>
      <c r="G342" s="1689" t="s">
        <v>115</v>
      </c>
      <c r="H342" s="1689" t="s">
        <v>3456</v>
      </c>
    </row>
    <row r="343" spans="1:8" s="1689" customFormat="1" x14ac:dyDescent="0.25">
      <c r="A343" s="1689" t="s">
        <v>5821</v>
      </c>
      <c r="B343" s="1689" t="s">
        <v>5822</v>
      </c>
      <c r="C343" s="1689" t="s">
        <v>5843</v>
      </c>
      <c r="D343" s="1689">
        <v>2</v>
      </c>
      <c r="E343" s="1689">
        <v>1</v>
      </c>
      <c r="F343" s="1689" t="s">
        <v>7</v>
      </c>
      <c r="G343" s="1689" t="s">
        <v>115</v>
      </c>
      <c r="H343" s="1689" t="s">
        <v>3456</v>
      </c>
    </row>
    <row r="344" spans="1:8" s="1689" customFormat="1" x14ac:dyDescent="0.25">
      <c r="A344" s="1689" t="s">
        <v>5821</v>
      </c>
      <c r="B344" s="1689" t="s">
        <v>5822</v>
      </c>
      <c r="C344" s="1689" t="s">
        <v>5844</v>
      </c>
      <c r="D344" s="1689">
        <v>2</v>
      </c>
      <c r="E344" s="1689">
        <v>1</v>
      </c>
      <c r="F344" s="1689" t="s">
        <v>7</v>
      </c>
      <c r="G344" s="1689" t="s">
        <v>115</v>
      </c>
      <c r="H344" s="1689" t="s">
        <v>3456</v>
      </c>
    </row>
    <row r="345" spans="1:8" s="1689" customFormat="1" x14ac:dyDescent="0.25">
      <c r="A345" s="1689" t="s">
        <v>5821</v>
      </c>
      <c r="B345" s="1689" t="s">
        <v>5822</v>
      </c>
      <c r="C345" s="1689" t="s">
        <v>5845</v>
      </c>
      <c r="D345" s="1689">
        <v>2</v>
      </c>
      <c r="E345" s="1689">
        <v>1</v>
      </c>
      <c r="F345" s="1689" t="s">
        <v>7</v>
      </c>
      <c r="G345" s="1689" t="s">
        <v>115</v>
      </c>
      <c r="H345" s="1689" t="s">
        <v>3456</v>
      </c>
    </row>
    <row r="346" spans="1:8" s="1689" customFormat="1" x14ac:dyDescent="0.25">
      <c r="A346" s="1689" t="s">
        <v>5821</v>
      </c>
      <c r="B346" s="1689" t="s">
        <v>5822</v>
      </c>
      <c r="C346" s="1689" t="s">
        <v>5846</v>
      </c>
      <c r="D346" s="1689">
        <v>2</v>
      </c>
      <c r="E346" s="1689">
        <v>1</v>
      </c>
      <c r="F346" s="1689" t="s">
        <v>7</v>
      </c>
      <c r="G346" s="1689" t="s">
        <v>115</v>
      </c>
      <c r="H346" s="1689" t="s">
        <v>3456</v>
      </c>
    </row>
    <row r="347" spans="1:8" s="1689" customFormat="1" x14ac:dyDescent="0.25">
      <c r="A347" s="1689" t="s">
        <v>5821</v>
      </c>
      <c r="B347" s="1689" t="s">
        <v>5822</v>
      </c>
      <c r="C347" s="1689" t="s">
        <v>5847</v>
      </c>
      <c r="D347" s="1689">
        <v>2</v>
      </c>
      <c r="E347" s="1689">
        <v>1</v>
      </c>
      <c r="F347" s="1689" t="s">
        <v>7</v>
      </c>
      <c r="G347" s="1689" t="s">
        <v>115</v>
      </c>
      <c r="H347" s="1689" t="s">
        <v>3456</v>
      </c>
    </row>
    <row r="348" spans="1:8" s="1689" customFormat="1" x14ac:dyDescent="0.25">
      <c r="A348" s="1689" t="s">
        <v>5821</v>
      </c>
      <c r="B348" s="1689" t="s">
        <v>5822</v>
      </c>
      <c r="C348" s="1689" t="s">
        <v>5848</v>
      </c>
      <c r="D348" s="1689">
        <v>2</v>
      </c>
      <c r="E348" s="1689">
        <v>1</v>
      </c>
      <c r="F348" s="1689" t="s">
        <v>7</v>
      </c>
      <c r="G348" s="1689" t="s">
        <v>115</v>
      </c>
      <c r="H348" s="1689" t="s">
        <v>3456</v>
      </c>
    </row>
    <row r="349" spans="1:8" s="1689" customFormat="1" x14ac:dyDescent="0.25">
      <c r="A349" s="1689" t="s">
        <v>5821</v>
      </c>
      <c r="B349" s="1689" t="s">
        <v>5822</v>
      </c>
      <c r="C349" s="1689" t="s">
        <v>5222</v>
      </c>
      <c r="D349" s="1689">
        <v>2</v>
      </c>
      <c r="E349" s="1689">
        <v>1</v>
      </c>
      <c r="F349" s="1689" t="s">
        <v>7</v>
      </c>
      <c r="G349" s="1689" t="s">
        <v>115</v>
      </c>
      <c r="H349" s="1689" t="s">
        <v>3456</v>
      </c>
    </row>
    <row r="350" spans="1:8" s="1689" customFormat="1" x14ac:dyDescent="0.25">
      <c r="A350" s="1689" t="s">
        <v>5821</v>
      </c>
      <c r="B350" s="1689" t="s">
        <v>5822</v>
      </c>
      <c r="C350" s="1689" t="s">
        <v>5849</v>
      </c>
      <c r="D350" s="1689">
        <v>2</v>
      </c>
      <c r="E350" s="1689">
        <v>1</v>
      </c>
      <c r="F350" s="1689" t="s">
        <v>7</v>
      </c>
      <c r="G350" s="1689" t="s">
        <v>115</v>
      </c>
      <c r="H350" s="1689" t="s">
        <v>3456</v>
      </c>
    </row>
    <row r="351" spans="1:8" s="1689" customFormat="1" x14ac:dyDescent="0.25">
      <c r="A351" s="1689" t="s">
        <v>5821</v>
      </c>
      <c r="B351" s="1689" t="s">
        <v>5822</v>
      </c>
      <c r="C351" s="1689" t="s">
        <v>5850</v>
      </c>
      <c r="D351" s="1689">
        <v>2</v>
      </c>
      <c r="E351" s="1689">
        <v>1</v>
      </c>
      <c r="F351" s="1689" t="s">
        <v>7</v>
      </c>
      <c r="G351" s="1689" t="s">
        <v>115</v>
      </c>
      <c r="H351" s="1689" t="s">
        <v>3456</v>
      </c>
    </row>
    <row r="352" spans="1:8" s="1689" customFormat="1" x14ac:dyDescent="0.25">
      <c r="A352" s="1689" t="s">
        <v>5821</v>
      </c>
      <c r="B352" s="1689" t="s">
        <v>5822</v>
      </c>
      <c r="C352" s="1689" t="s">
        <v>5851</v>
      </c>
      <c r="D352" s="1689">
        <v>2</v>
      </c>
      <c r="E352" s="1689">
        <v>1</v>
      </c>
      <c r="F352" s="1689" t="s">
        <v>7</v>
      </c>
      <c r="G352" s="1689" t="s">
        <v>115</v>
      </c>
      <c r="H352" s="1689" t="s">
        <v>3456</v>
      </c>
    </row>
    <row r="353" spans="1:10" s="1689" customFormat="1" x14ac:dyDescent="0.25">
      <c r="A353" s="1689" t="s">
        <v>5821</v>
      </c>
      <c r="B353" s="1689" t="s">
        <v>5822</v>
      </c>
      <c r="C353" s="1689" t="s">
        <v>5852</v>
      </c>
      <c r="D353" s="1689">
        <v>2</v>
      </c>
      <c r="E353" s="1689">
        <v>1</v>
      </c>
      <c r="F353" s="1689" t="s">
        <v>7</v>
      </c>
      <c r="G353" s="1689" t="s">
        <v>115</v>
      </c>
      <c r="H353" s="1689" t="s">
        <v>3456</v>
      </c>
    </row>
    <row r="354" spans="1:10" s="1689" customFormat="1" x14ac:dyDescent="0.25">
      <c r="A354" s="1689" t="s">
        <v>5821</v>
      </c>
      <c r="B354" s="1689" t="s">
        <v>5822</v>
      </c>
      <c r="C354" s="1689" t="s">
        <v>5853</v>
      </c>
      <c r="D354" s="1689">
        <v>2</v>
      </c>
      <c r="E354" s="1689">
        <v>1</v>
      </c>
      <c r="F354" s="1689" t="s">
        <v>7</v>
      </c>
      <c r="G354" s="1689" t="s">
        <v>115</v>
      </c>
      <c r="H354" s="1689" t="s">
        <v>3456</v>
      </c>
    </row>
    <row r="355" spans="1:10" x14ac:dyDescent="0.25">
      <c r="A355" t="s">
        <v>20</v>
      </c>
      <c r="B355" t="s">
        <v>119</v>
      </c>
      <c r="C355" t="s">
        <v>1406</v>
      </c>
      <c r="D355">
        <v>2</v>
      </c>
      <c r="E355" s="273">
        <v>2</v>
      </c>
      <c r="F355" s="273" t="s">
        <v>7</v>
      </c>
      <c r="G355" s="273" t="s">
        <v>115</v>
      </c>
      <c r="H355" s="273" t="s">
        <v>11</v>
      </c>
      <c r="J355" s="1689"/>
    </row>
    <row r="356" spans="1:10" x14ac:dyDescent="0.25">
      <c r="A356" t="s">
        <v>20</v>
      </c>
      <c r="B356" t="s">
        <v>119</v>
      </c>
      <c r="C356" t="s">
        <v>1407</v>
      </c>
      <c r="D356">
        <v>3</v>
      </c>
      <c r="E356" s="273">
        <v>2</v>
      </c>
      <c r="F356" s="273" t="s">
        <v>7</v>
      </c>
      <c r="G356" s="273" t="s">
        <v>115</v>
      </c>
      <c r="H356" s="273" t="s">
        <v>11</v>
      </c>
    </row>
    <row r="357" spans="1:10" x14ac:dyDescent="0.25">
      <c r="A357" t="s">
        <v>20</v>
      </c>
      <c r="B357" t="s">
        <v>119</v>
      </c>
      <c r="C357" t="s">
        <v>1408</v>
      </c>
      <c r="D357">
        <v>3</v>
      </c>
      <c r="E357" s="273">
        <v>2</v>
      </c>
      <c r="F357" s="273" t="s">
        <v>7</v>
      </c>
      <c r="G357" s="273" t="s">
        <v>115</v>
      </c>
      <c r="H357" s="273" t="s">
        <v>11</v>
      </c>
    </row>
    <row r="358" spans="1:10" x14ac:dyDescent="0.25">
      <c r="A358" t="s">
        <v>20</v>
      </c>
      <c r="B358" t="s">
        <v>119</v>
      </c>
      <c r="C358" t="s">
        <v>1409</v>
      </c>
      <c r="D358">
        <v>3</v>
      </c>
      <c r="E358" s="273">
        <v>2</v>
      </c>
      <c r="F358" s="273" t="s">
        <v>7</v>
      </c>
      <c r="G358" s="273" t="s">
        <v>115</v>
      </c>
      <c r="H358" s="273" t="s">
        <v>11</v>
      </c>
    </row>
    <row r="359" spans="1:10" x14ac:dyDescent="0.25">
      <c r="A359" t="s">
        <v>20</v>
      </c>
      <c r="B359" t="s">
        <v>119</v>
      </c>
      <c r="C359" t="s">
        <v>1410</v>
      </c>
      <c r="D359">
        <v>3</v>
      </c>
      <c r="E359" s="273">
        <v>2</v>
      </c>
      <c r="F359" s="273" t="s">
        <v>7</v>
      </c>
      <c r="G359" s="273" t="s">
        <v>115</v>
      </c>
      <c r="H359" s="273" t="s">
        <v>11</v>
      </c>
    </row>
    <row r="360" spans="1:10" x14ac:dyDescent="0.25">
      <c r="A360" t="s">
        <v>20</v>
      </c>
      <c r="B360" t="s">
        <v>119</v>
      </c>
      <c r="C360" t="s">
        <v>1411</v>
      </c>
      <c r="D360">
        <v>3</v>
      </c>
      <c r="E360" s="273">
        <v>1</v>
      </c>
      <c r="F360" s="273" t="s">
        <v>7</v>
      </c>
      <c r="G360" s="273" t="s">
        <v>115</v>
      </c>
      <c r="H360" s="273" t="s">
        <v>11</v>
      </c>
    </row>
    <row r="361" spans="1:10" x14ac:dyDescent="0.25">
      <c r="A361" t="s">
        <v>20</v>
      </c>
      <c r="B361" t="s">
        <v>119</v>
      </c>
      <c r="C361" t="s">
        <v>1121</v>
      </c>
      <c r="D361">
        <v>3</v>
      </c>
      <c r="E361" s="273">
        <v>2</v>
      </c>
      <c r="F361" s="273" t="s">
        <v>7</v>
      </c>
      <c r="G361" s="273" t="s">
        <v>115</v>
      </c>
      <c r="H361" s="273" t="s">
        <v>11</v>
      </c>
    </row>
    <row r="362" spans="1:10" x14ac:dyDescent="0.25">
      <c r="A362" t="s">
        <v>20</v>
      </c>
      <c r="B362" t="s">
        <v>119</v>
      </c>
      <c r="C362" t="s">
        <v>1412</v>
      </c>
      <c r="D362">
        <v>3</v>
      </c>
      <c r="E362" s="273">
        <v>2</v>
      </c>
      <c r="F362" s="273" t="s">
        <v>7</v>
      </c>
      <c r="G362" s="273" t="s">
        <v>115</v>
      </c>
      <c r="H362" s="273" t="s">
        <v>11</v>
      </c>
    </row>
    <row r="363" spans="1:10" x14ac:dyDescent="0.25">
      <c r="A363" t="s">
        <v>20</v>
      </c>
      <c r="B363" t="s">
        <v>119</v>
      </c>
      <c r="C363" t="s">
        <v>1413</v>
      </c>
      <c r="D363">
        <v>2</v>
      </c>
      <c r="E363" s="273">
        <v>2</v>
      </c>
      <c r="F363" s="273" t="s">
        <v>7</v>
      </c>
      <c r="G363" s="273" t="s">
        <v>115</v>
      </c>
      <c r="H363" s="273" t="s">
        <v>11</v>
      </c>
    </row>
    <row r="364" spans="1:10" x14ac:dyDescent="0.25">
      <c r="A364" t="s">
        <v>20</v>
      </c>
      <c r="B364" t="s">
        <v>119</v>
      </c>
      <c r="C364" t="s">
        <v>1127</v>
      </c>
      <c r="D364">
        <v>3</v>
      </c>
      <c r="E364" s="273">
        <v>2</v>
      </c>
      <c r="F364" s="273" t="s">
        <v>7</v>
      </c>
      <c r="G364" s="273" t="s">
        <v>115</v>
      </c>
      <c r="H364" s="273" t="s">
        <v>11</v>
      </c>
    </row>
    <row r="365" spans="1:10" x14ac:dyDescent="0.25">
      <c r="A365" t="s">
        <v>20</v>
      </c>
      <c r="B365" t="s">
        <v>119</v>
      </c>
      <c r="C365" t="s">
        <v>1414</v>
      </c>
      <c r="D365">
        <v>3</v>
      </c>
      <c r="E365" s="273">
        <v>2</v>
      </c>
      <c r="F365" s="273" t="s">
        <v>7</v>
      </c>
      <c r="G365" s="273" t="s">
        <v>115</v>
      </c>
      <c r="H365" s="273" t="s">
        <v>11</v>
      </c>
    </row>
    <row r="366" spans="1:10" x14ac:dyDescent="0.25">
      <c r="A366" t="s">
        <v>20</v>
      </c>
      <c r="B366" t="s">
        <v>119</v>
      </c>
      <c r="C366" t="s">
        <v>1236</v>
      </c>
      <c r="D366">
        <v>2</v>
      </c>
      <c r="E366" s="273">
        <v>2</v>
      </c>
      <c r="F366" s="273" t="s">
        <v>7</v>
      </c>
      <c r="G366" s="273" t="s">
        <v>115</v>
      </c>
      <c r="H366" s="273" t="s">
        <v>11</v>
      </c>
    </row>
    <row r="367" spans="1:10" x14ac:dyDescent="0.25">
      <c r="A367" t="s">
        <v>20</v>
      </c>
      <c r="B367" t="s">
        <v>119</v>
      </c>
      <c r="C367" t="s">
        <v>1415</v>
      </c>
      <c r="D367">
        <v>3</v>
      </c>
      <c r="E367" s="273">
        <v>2</v>
      </c>
      <c r="F367" s="273" t="s">
        <v>7</v>
      </c>
      <c r="G367" s="273" t="s">
        <v>115</v>
      </c>
      <c r="H367" s="273" t="s">
        <v>11</v>
      </c>
    </row>
    <row r="368" spans="1:10" x14ac:dyDescent="0.25">
      <c r="A368" t="s">
        <v>20</v>
      </c>
      <c r="B368" t="s">
        <v>119</v>
      </c>
      <c r="C368" t="s">
        <v>1416</v>
      </c>
      <c r="D368">
        <v>3</v>
      </c>
      <c r="E368" s="273">
        <v>2</v>
      </c>
      <c r="F368" s="273" t="s">
        <v>7</v>
      </c>
      <c r="G368" s="273" t="s">
        <v>115</v>
      </c>
      <c r="H368" s="273" t="s">
        <v>11</v>
      </c>
    </row>
    <row r="369" spans="1:8" x14ac:dyDescent="0.25">
      <c r="A369" t="s">
        <v>20</v>
      </c>
      <c r="B369" t="s">
        <v>119</v>
      </c>
      <c r="C369" t="s">
        <v>1417</v>
      </c>
      <c r="D369">
        <v>3</v>
      </c>
      <c r="E369" s="273">
        <v>2</v>
      </c>
      <c r="F369" s="273" t="s">
        <v>7</v>
      </c>
      <c r="G369" s="273" t="s">
        <v>115</v>
      </c>
      <c r="H369" s="273" t="s">
        <v>11</v>
      </c>
    </row>
    <row r="370" spans="1:8" x14ac:dyDescent="0.25">
      <c r="A370" t="s">
        <v>20</v>
      </c>
      <c r="B370" t="s">
        <v>119</v>
      </c>
      <c r="C370" t="s">
        <v>1140</v>
      </c>
      <c r="D370">
        <v>3</v>
      </c>
      <c r="E370" s="273">
        <v>2</v>
      </c>
      <c r="F370" s="273" t="s">
        <v>7</v>
      </c>
      <c r="G370" s="273" t="s">
        <v>115</v>
      </c>
      <c r="H370" s="273" t="s">
        <v>11</v>
      </c>
    </row>
    <row r="371" spans="1:8" x14ac:dyDescent="0.25">
      <c r="A371" t="s">
        <v>20</v>
      </c>
      <c r="B371" t="s">
        <v>119</v>
      </c>
      <c r="C371" t="s">
        <v>1418</v>
      </c>
      <c r="D371">
        <v>3</v>
      </c>
      <c r="E371" s="273">
        <v>2</v>
      </c>
      <c r="F371" s="273" t="s">
        <v>7</v>
      </c>
      <c r="G371" s="273" t="s">
        <v>115</v>
      </c>
      <c r="H371" s="273" t="s">
        <v>11</v>
      </c>
    </row>
    <row r="372" spans="1:8" x14ac:dyDescent="0.25">
      <c r="A372" t="s">
        <v>20</v>
      </c>
      <c r="B372" t="s">
        <v>119</v>
      </c>
      <c r="C372" t="s">
        <v>1143</v>
      </c>
      <c r="D372">
        <v>3</v>
      </c>
      <c r="E372" s="273">
        <v>2</v>
      </c>
      <c r="F372" s="273" t="s">
        <v>7</v>
      </c>
      <c r="G372" s="273" t="s">
        <v>115</v>
      </c>
      <c r="H372" s="273" t="s">
        <v>11</v>
      </c>
    </row>
    <row r="373" spans="1:8" x14ac:dyDescent="0.25">
      <c r="A373" t="s">
        <v>20</v>
      </c>
      <c r="B373" t="s">
        <v>119</v>
      </c>
      <c r="C373" t="s">
        <v>1419</v>
      </c>
      <c r="D373">
        <v>3</v>
      </c>
      <c r="E373" s="273">
        <v>2</v>
      </c>
      <c r="F373" s="273" t="s">
        <v>7</v>
      </c>
      <c r="G373" s="273" t="s">
        <v>115</v>
      </c>
      <c r="H373" s="273" t="s">
        <v>11</v>
      </c>
    </row>
    <row r="374" spans="1:8" x14ac:dyDescent="0.25">
      <c r="A374" t="s">
        <v>20</v>
      </c>
      <c r="B374" t="s">
        <v>119</v>
      </c>
      <c r="C374" t="s">
        <v>1420</v>
      </c>
      <c r="D374">
        <v>3</v>
      </c>
      <c r="E374" s="273">
        <v>2</v>
      </c>
      <c r="F374" s="273" t="s">
        <v>7</v>
      </c>
      <c r="G374" s="273" t="s">
        <v>115</v>
      </c>
      <c r="H374" s="273" t="s">
        <v>11</v>
      </c>
    </row>
    <row r="375" spans="1:8" x14ac:dyDescent="0.25">
      <c r="A375" t="s">
        <v>20</v>
      </c>
      <c r="B375" t="s">
        <v>119</v>
      </c>
      <c r="C375" t="s">
        <v>1421</v>
      </c>
      <c r="D375">
        <v>3</v>
      </c>
      <c r="E375" s="273">
        <v>2</v>
      </c>
      <c r="F375" s="273" t="s">
        <v>7</v>
      </c>
      <c r="G375" s="273" t="s">
        <v>115</v>
      </c>
      <c r="H375" s="273" t="s">
        <v>11</v>
      </c>
    </row>
    <row r="376" spans="1:8" x14ac:dyDescent="0.25">
      <c r="A376" t="s">
        <v>20</v>
      </c>
      <c r="B376" t="s">
        <v>119</v>
      </c>
      <c r="C376" t="s">
        <v>1422</v>
      </c>
      <c r="D376">
        <v>3</v>
      </c>
      <c r="E376" s="273">
        <v>2</v>
      </c>
      <c r="F376" s="273" t="s">
        <v>7</v>
      </c>
      <c r="G376" s="273" t="s">
        <v>115</v>
      </c>
      <c r="H376" s="273" t="s">
        <v>11</v>
      </c>
    </row>
    <row r="377" spans="1:8" x14ac:dyDescent="0.25">
      <c r="A377" t="s">
        <v>20</v>
      </c>
      <c r="B377" t="s">
        <v>119</v>
      </c>
      <c r="C377" t="s">
        <v>1423</v>
      </c>
      <c r="D377">
        <v>3</v>
      </c>
      <c r="E377" s="273">
        <v>2</v>
      </c>
      <c r="F377" s="273" t="s">
        <v>7</v>
      </c>
      <c r="G377" s="273" t="s">
        <v>115</v>
      </c>
      <c r="H377" s="273" t="s">
        <v>11</v>
      </c>
    </row>
    <row r="378" spans="1:8" x14ac:dyDescent="0.25">
      <c r="A378" t="s">
        <v>20</v>
      </c>
      <c r="B378" t="s">
        <v>119</v>
      </c>
      <c r="C378" t="s">
        <v>1424</v>
      </c>
      <c r="D378">
        <v>3</v>
      </c>
      <c r="E378" s="273">
        <v>2</v>
      </c>
      <c r="F378" s="273" t="s">
        <v>7</v>
      </c>
      <c r="G378" s="273" t="s">
        <v>115</v>
      </c>
      <c r="H378" s="273" t="s">
        <v>11</v>
      </c>
    </row>
    <row r="379" spans="1:8" x14ac:dyDescent="0.25">
      <c r="A379" t="s">
        <v>20</v>
      </c>
      <c r="B379" t="s">
        <v>119</v>
      </c>
      <c r="C379" t="s">
        <v>1425</v>
      </c>
      <c r="D379">
        <v>3</v>
      </c>
      <c r="E379" s="273">
        <v>2</v>
      </c>
      <c r="F379" s="273" t="s">
        <v>7</v>
      </c>
      <c r="G379" s="273" t="s">
        <v>115</v>
      </c>
      <c r="H379" s="273" t="s">
        <v>11</v>
      </c>
    </row>
    <row r="380" spans="1:8" x14ac:dyDescent="0.25">
      <c r="A380" t="s">
        <v>20</v>
      </c>
      <c r="B380" t="s">
        <v>119</v>
      </c>
      <c r="C380" t="s">
        <v>1426</v>
      </c>
      <c r="D380">
        <v>3</v>
      </c>
      <c r="E380" s="273">
        <v>2</v>
      </c>
      <c r="F380" s="273" t="s">
        <v>7</v>
      </c>
      <c r="G380" s="273" t="s">
        <v>115</v>
      </c>
      <c r="H380" s="273" t="s">
        <v>11</v>
      </c>
    </row>
    <row r="381" spans="1:8" x14ac:dyDescent="0.25">
      <c r="A381" t="s">
        <v>20</v>
      </c>
      <c r="B381" t="s">
        <v>119</v>
      </c>
      <c r="C381" t="s">
        <v>1427</v>
      </c>
      <c r="D381">
        <v>3</v>
      </c>
      <c r="E381" s="273">
        <v>2</v>
      </c>
      <c r="F381" s="273" t="s">
        <v>7</v>
      </c>
      <c r="G381" s="273" t="s">
        <v>115</v>
      </c>
      <c r="H381" s="273" t="s">
        <v>11</v>
      </c>
    </row>
    <row r="382" spans="1:8" x14ac:dyDescent="0.25">
      <c r="A382" t="s">
        <v>20</v>
      </c>
      <c r="B382" t="s">
        <v>119</v>
      </c>
      <c r="C382" t="s">
        <v>1428</v>
      </c>
      <c r="D382">
        <v>2</v>
      </c>
      <c r="E382" s="273">
        <v>2</v>
      </c>
      <c r="F382" s="273" t="s">
        <v>7</v>
      </c>
      <c r="G382" s="273" t="s">
        <v>115</v>
      </c>
      <c r="H382" s="273" t="s">
        <v>11</v>
      </c>
    </row>
    <row r="383" spans="1:8" x14ac:dyDescent="0.25">
      <c r="A383" t="s">
        <v>20</v>
      </c>
      <c r="B383" t="s">
        <v>119</v>
      </c>
      <c r="C383" t="s">
        <v>1429</v>
      </c>
      <c r="D383">
        <v>3</v>
      </c>
      <c r="E383" s="273">
        <v>2</v>
      </c>
      <c r="F383" s="273" t="s">
        <v>7</v>
      </c>
      <c r="G383" s="273" t="s">
        <v>115</v>
      </c>
      <c r="H383" s="273" t="s">
        <v>11</v>
      </c>
    </row>
    <row r="384" spans="1:8" x14ac:dyDescent="0.25">
      <c r="A384" t="s">
        <v>20</v>
      </c>
      <c r="B384" t="s">
        <v>119</v>
      </c>
      <c r="C384" t="s">
        <v>1430</v>
      </c>
      <c r="D384">
        <v>3</v>
      </c>
      <c r="E384" s="273">
        <v>2</v>
      </c>
      <c r="F384" s="273" t="s">
        <v>7</v>
      </c>
      <c r="G384" s="273" t="s">
        <v>115</v>
      </c>
      <c r="H384" s="273" t="s">
        <v>11</v>
      </c>
    </row>
    <row r="385" spans="1:8" x14ac:dyDescent="0.25">
      <c r="A385" t="s">
        <v>20</v>
      </c>
      <c r="B385" t="s">
        <v>119</v>
      </c>
      <c r="C385" t="s">
        <v>1149</v>
      </c>
      <c r="D385">
        <v>3</v>
      </c>
      <c r="E385" s="273">
        <v>2</v>
      </c>
      <c r="F385" s="273" t="s">
        <v>7</v>
      </c>
      <c r="G385" s="273" t="s">
        <v>115</v>
      </c>
      <c r="H385" s="273" t="s">
        <v>11</v>
      </c>
    </row>
    <row r="386" spans="1:8" x14ac:dyDescent="0.25">
      <c r="A386" t="s">
        <v>20</v>
      </c>
      <c r="B386" t="s">
        <v>119</v>
      </c>
      <c r="C386" t="s">
        <v>1150</v>
      </c>
      <c r="D386">
        <v>3</v>
      </c>
      <c r="E386" s="273">
        <v>2</v>
      </c>
      <c r="F386" s="273" t="s">
        <v>7</v>
      </c>
      <c r="G386" s="273" t="s">
        <v>115</v>
      </c>
      <c r="H386" s="273" t="s">
        <v>11</v>
      </c>
    </row>
    <row r="387" spans="1:8" x14ac:dyDescent="0.25">
      <c r="A387" t="s">
        <v>20</v>
      </c>
      <c r="B387" t="s">
        <v>119</v>
      </c>
      <c r="C387" t="s">
        <v>1254</v>
      </c>
      <c r="D387">
        <v>3</v>
      </c>
      <c r="E387" s="273">
        <v>2</v>
      </c>
      <c r="F387" s="273" t="s">
        <v>7</v>
      </c>
      <c r="G387" s="273" t="s">
        <v>115</v>
      </c>
      <c r="H387" s="273" t="s">
        <v>11</v>
      </c>
    </row>
    <row r="388" spans="1:8" x14ac:dyDescent="0.25">
      <c r="A388" t="s">
        <v>20</v>
      </c>
      <c r="B388" t="s">
        <v>119</v>
      </c>
      <c r="C388" t="s">
        <v>1299</v>
      </c>
      <c r="D388">
        <v>3</v>
      </c>
      <c r="E388" s="273">
        <v>2</v>
      </c>
      <c r="F388" s="273" t="s">
        <v>7</v>
      </c>
      <c r="G388" s="273" t="s">
        <v>115</v>
      </c>
      <c r="H388" s="273" t="s">
        <v>11</v>
      </c>
    </row>
    <row r="389" spans="1:8" x14ac:dyDescent="0.25">
      <c r="A389" t="s">
        <v>20</v>
      </c>
      <c r="B389" t="s">
        <v>119</v>
      </c>
      <c r="C389" t="s">
        <v>1154</v>
      </c>
      <c r="D389">
        <v>3</v>
      </c>
      <c r="E389" s="273">
        <v>2</v>
      </c>
      <c r="F389" s="273" t="s">
        <v>7</v>
      </c>
      <c r="G389" s="273" t="s">
        <v>115</v>
      </c>
      <c r="H389" s="273" t="s">
        <v>11</v>
      </c>
    </row>
    <row r="390" spans="1:8" x14ac:dyDescent="0.25">
      <c r="A390" t="s">
        <v>20</v>
      </c>
      <c r="B390" t="s">
        <v>119</v>
      </c>
      <c r="C390" t="s">
        <v>1431</v>
      </c>
      <c r="D390">
        <v>2</v>
      </c>
      <c r="E390" s="273">
        <v>2</v>
      </c>
      <c r="F390" s="273" t="s">
        <v>7</v>
      </c>
      <c r="G390" s="273" t="s">
        <v>115</v>
      </c>
      <c r="H390" s="273" t="s">
        <v>11</v>
      </c>
    </row>
    <row r="391" spans="1:8" x14ac:dyDescent="0.25">
      <c r="A391" t="s">
        <v>20</v>
      </c>
      <c r="B391" t="s">
        <v>119</v>
      </c>
      <c r="C391" t="s">
        <v>1432</v>
      </c>
      <c r="D391">
        <v>3</v>
      </c>
      <c r="E391" s="273">
        <v>2</v>
      </c>
      <c r="F391" s="273" t="s">
        <v>7</v>
      </c>
      <c r="G391" s="273" t="s">
        <v>115</v>
      </c>
      <c r="H391" s="273" t="s">
        <v>11</v>
      </c>
    </row>
    <row r="392" spans="1:8" x14ac:dyDescent="0.25">
      <c r="A392" t="s">
        <v>20</v>
      </c>
      <c r="B392" t="s">
        <v>119</v>
      </c>
      <c r="C392" t="s">
        <v>1433</v>
      </c>
      <c r="D392">
        <v>3</v>
      </c>
      <c r="E392" s="273">
        <v>2</v>
      </c>
      <c r="F392" s="273" t="s">
        <v>7</v>
      </c>
      <c r="G392" s="273" t="s">
        <v>115</v>
      </c>
      <c r="H392" s="273" t="s">
        <v>11</v>
      </c>
    </row>
    <row r="393" spans="1:8" x14ac:dyDescent="0.25">
      <c r="A393" t="s">
        <v>20</v>
      </c>
      <c r="B393" t="s">
        <v>119</v>
      </c>
      <c r="C393" t="s">
        <v>1158</v>
      </c>
      <c r="D393">
        <v>3</v>
      </c>
      <c r="E393" s="273">
        <v>2</v>
      </c>
      <c r="F393" s="273" t="s">
        <v>7</v>
      </c>
      <c r="G393" s="273" t="s">
        <v>115</v>
      </c>
      <c r="H393" s="273" t="s">
        <v>11</v>
      </c>
    </row>
    <row r="394" spans="1:8" x14ac:dyDescent="0.25">
      <c r="A394" t="s">
        <v>20</v>
      </c>
      <c r="B394" t="s">
        <v>119</v>
      </c>
      <c r="C394" t="s">
        <v>1434</v>
      </c>
      <c r="D394">
        <v>3</v>
      </c>
      <c r="E394" s="273">
        <v>2</v>
      </c>
      <c r="F394" s="273" t="s">
        <v>7</v>
      </c>
      <c r="G394" s="273" t="s">
        <v>115</v>
      </c>
      <c r="H394" s="273" t="s">
        <v>11</v>
      </c>
    </row>
    <row r="395" spans="1:8" x14ac:dyDescent="0.25">
      <c r="A395" t="s">
        <v>20</v>
      </c>
      <c r="B395" t="s">
        <v>119</v>
      </c>
      <c r="C395" t="s">
        <v>1160</v>
      </c>
      <c r="D395">
        <v>2</v>
      </c>
      <c r="E395" s="273">
        <v>2</v>
      </c>
      <c r="F395" s="273" t="s">
        <v>7</v>
      </c>
      <c r="G395" s="273" t="s">
        <v>115</v>
      </c>
      <c r="H395" s="273" t="s">
        <v>11</v>
      </c>
    </row>
    <row r="396" spans="1:8" x14ac:dyDescent="0.25">
      <c r="A396" t="s">
        <v>20</v>
      </c>
      <c r="B396" t="s">
        <v>119</v>
      </c>
      <c r="C396" t="s">
        <v>1435</v>
      </c>
      <c r="D396">
        <v>3</v>
      </c>
      <c r="E396" s="273">
        <v>2</v>
      </c>
      <c r="F396" s="273" t="s">
        <v>7</v>
      </c>
      <c r="G396" s="273" t="s">
        <v>115</v>
      </c>
      <c r="H396" s="273" t="s">
        <v>11</v>
      </c>
    </row>
    <row r="397" spans="1:8" x14ac:dyDescent="0.25">
      <c r="A397" t="s">
        <v>20</v>
      </c>
      <c r="B397" t="s">
        <v>119</v>
      </c>
      <c r="C397" t="s">
        <v>1436</v>
      </c>
      <c r="D397">
        <v>2</v>
      </c>
      <c r="E397" s="273">
        <v>1</v>
      </c>
      <c r="F397" s="273" t="s">
        <v>7</v>
      </c>
      <c r="G397" s="273" t="s">
        <v>115</v>
      </c>
      <c r="H397" s="273" t="s">
        <v>11</v>
      </c>
    </row>
    <row r="398" spans="1:8" x14ac:dyDescent="0.25">
      <c r="A398" t="s">
        <v>20</v>
      </c>
      <c r="B398" t="s">
        <v>119</v>
      </c>
      <c r="C398" t="s">
        <v>1163</v>
      </c>
      <c r="D398">
        <v>3</v>
      </c>
      <c r="E398" s="273">
        <v>1</v>
      </c>
      <c r="F398" s="273" t="s">
        <v>7</v>
      </c>
      <c r="G398" s="273" t="s">
        <v>115</v>
      </c>
      <c r="H398" s="273" t="s">
        <v>11</v>
      </c>
    </row>
    <row r="399" spans="1:8" x14ac:dyDescent="0.25">
      <c r="A399" t="s">
        <v>20</v>
      </c>
      <c r="B399" t="s">
        <v>119</v>
      </c>
      <c r="C399" t="s">
        <v>1437</v>
      </c>
      <c r="D399">
        <v>3</v>
      </c>
      <c r="E399" s="273">
        <v>2</v>
      </c>
      <c r="F399" s="273" t="s">
        <v>7</v>
      </c>
      <c r="G399" s="273" t="s">
        <v>115</v>
      </c>
      <c r="H399" s="273" t="s">
        <v>11</v>
      </c>
    </row>
    <row r="400" spans="1:8" x14ac:dyDescent="0.25">
      <c r="A400" t="s">
        <v>20</v>
      </c>
      <c r="B400" t="s">
        <v>119</v>
      </c>
      <c r="C400" t="s">
        <v>1438</v>
      </c>
      <c r="D400">
        <v>3</v>
      </c>
      <c r="E400" s="273">
        <v>2</v>
      </c>
      <c r="F400" s="273" t="s">
        <v>7</v>
      </c>
      <c r="G400" s="273" t="s">
        <v>115</v>
      </c>
      <c r="H400" s="273" t="s">
        <v>11</v>
      </c>
    </row>
    <row r="401" spans="1:8" x14ac:dyDescent="0.25">
      <c r="A401" t="s">
        <v>20</v>
      </c>
      <c r="B401" t="s">
        <v>119</v>
      </c>
      <c r="C401" t="s">
        <v>1439</v>
      </c>
      <c r="D401">
        <v>3</v>
      </c>
      <c r="E401" s="273">
        <v>2</v>
      </c>
      <c r="F401" s="273" t="s">
        <v>7</v>
      </c>
      <c r="G401" s="273" t="s">
        <v>115</v>
      </c>
      <c r="H401" s="273" t="s">
        <v>11</v>
      </c>
    </row>
    <row r="402" spans="1:8" x14ac:dyDescent="0.25">
      <c r="A402" t="s">
        <v>20</v>
      </c>
      <c r="B402" t="s">
        <v>119</v>
      </c>
      <c r="C402" t="s">
        <v>1311</v>
      </c>
      <c r="D402">
        <v>3</v>
      </c>
      <c r="E402" s="273">
        <v>2</v>
      </c>
      <c r="F402" s="273" t="s">
        <v>7</v>
      </c>
      <c r="G402" s="273" t="s">
        <v>115</v>
      </c>
      <c r="H402" s="273" t="s">
        <v>11</v>
      </c>
    </row>
    <row r="403" spans="1:8" x14ac:dyDescent="0.25">
      <c r="A403" t="s">
        <v>20</v>
      </c>
      <c r="B403" t="s">
        <v>119</v>
      </c>
      <c r="C403" t="s">
        <v>1440</v>
      </c>
      <c r="D403">
        <v>3</v>
      </c>
      <c r="E403" s="273">
        <v>2</v>
      </c>
      <c r="F403" s="273" t="s">
        <v>7</v>
      </c>
      <c r="G403" s="273" t="s">
        <v>115</v>
      </c>
      <c r="H403" s="273" t="s">
        <v>11</v>
      </c>
    </row>
    <row r="404" spans="1:8" x14ac:dyDescent="0.25">
      <c r="A404" t="s">
        <v>20</v>
      </c>
      <c r="B404" t="s">
        <v>119</v>
      </c>
      <c r="C404" t="s">
        <v>1441</v>
      </c>
      <c r="D404">
        <v>3</v>
      </c>
      <c r="E404" s="273">
        <v>2</v>
      </c>
      <c r="F404" s="273" t="s">
        <v>7</v>
      </c>
      <c r="G404" s="273" t="s">
        <v>115</v>
      </c>
      <c r="H404" s="273" t="s">
        <v>11</v>
      </c>
    </row>
    <row r="405" spans="1:8" x14ac:dyDescent="0.25">
      <c r="A405" t="s">
        <v>20</v>
      </c>
      <c r="B405" t="s">
        <v>119</v>
      </c>
      <c r="C405" t="s">
        <v>1442</v>
      </c>
      <c r="D405">
        <v>3</v>
      </c>
      <c r="E405" s="273">
        <v>2</v>
      </c>
      <c r="F405" s="273" t="s">
        <v>7</v>
      </c>
      <c r="G405" s="273" t="s">
        <v>115</v>
      </c>
      <c r="H405" s="273" t="s">
        <v>11</v>
      </c>
    </row>
    <row r="406" spans="1:8" x14ac:dyDescent="0.25">
      <c r="A406" t="s">
        <v>20</v>
      </c>
      <c r="B406" t="s">
        <v>119</v>
      </c>
      <c r="C406" t="s">
        <v>1443</v>
      </c>
      <c r="D406">
        <v>2</v>
      </c>
      <c r="E406" s="273">
        <v>2</v>
      </c>
      <c r="F406" s="273" t="s">
        <v>7</v>
      </c>
      <c r="G406" s="273" t="s">
        <v>115</v>
      </c>
      <c r="H406" s="273" t="s">
        <v>11</v>
      </c>
    </row>
    <row r="407" spans="1:8" x14ac:dyDescent="0.25">
      <c r="A407" t="s">
        <v>20</v>
      </c>
      <c r="B407" t="s">
        <v>119</v>
      </c>
      <c r="C407" t="s">
        <v>1266</v>
      </c>
      <c r="D407">
        <v>2</v>
      </c>
      <c r="E407" s="273">
        <v>2</v>
      </c>
      <c r="F407" s="273" t="s">
        <v>7</v>
      </c>
      <c r="G407" s="273" t="s">
        <v>115</v>
      </c>
      <c r="H407" s="273" t="s">
        <v>11</v>
      </c>
    </row>
    <row r="408" spans="1:8" x14ac:dyDescent="0.25">
      <c r="A408" t="s">
        <v>20</v>
      </c>
      <c r="B408" t="s">
        <v>119</v>
      </c>
      <c r="C408" t="s">
        <v>1444</v>
      </c>
      <c r="D408">
        <v>3</v>
      </c>
      <c r="E408" s="273">
        <v>2</v>
      </c>
      <c r="F408" s="273" t="s">
        <v>7</v>
      </c>
      <c r="G408" s="273" t="s">
        <v>115</v>
      </c>
      <c r="H408" s="273" t="s">
        <v>11</v>
      </c>
    </row>
    <row r="409" spans="1:8" x14ac:dyDescent="0.25">
      <c r="A409" t="s">
        <v>20</v>
      </c>
      <c r="B409" t="s">
        <v>119</v>
      </c>
      <c r="C409" t="s">
        <v>1445</v>
      </c>
      <c r="D409">
        <v>3</v>
      </c>
      <c r="E409" s="273">
        <v>2</v>
      </c>
      <c r="F409" s="273" t="s">
        <v>7</v>
      </c>
      <c r="G409" s="273" t="s">
        <v>115</v>
      </c>
      <c r="H409" s="273" t="s">
        <v>11</v>
      </c>
    </row>
    <row r="410" spans="1:8" x14ac:dyDescent="0.25">
      <c r="A410" t="s">
        <v>20</v>
      </c>
      <c r="B410" t="s">
        <v>119</v>
      </c>
      <c r="C410" t="s">
        <v>1446</v>
      </c>
      <c r="D410">
        <v>3</v>
      </c>
      <c r="E410" s="273">
        <v>2</v>
      </c>
      <c r="F410" s="273" t="s">
        <v>7</v>
      </c>
      <c r="G410" s="273" t="s">
        <v>115</v>
      </c>
      <c r="H410" s="273" t="s">
        <v>11</v>
      </c>
    </row>
    <row r="411" spans="1:8" x14ac:dyDescent="0.25">
      <c r="A411" t="s">
        <v>20</v>
      </c>
      <c r="B411" t="s">
        <v>119</v>
      </c>
      <c r="C411" t="s">
        <v>1447</v>
      </c>
      <c r="D411">
        <v>3</v>
      </c>
      <c r="E411" s="273">
        <v>2</v>
      </c>
      <c r="F411" s="273" t="s">
        <v>7</v>
      </c>
      <c r="G411" s="273" t="s">
        <v>115</v>
      </c>
      <c r="H411" s="273" t="s">
        <v>11</v>
      </c>
    </row>
    <row r="412" spans="1:8" x14ac:dyDescent="0.25">
      <c r="A412" t="s">
        <v>20</v>
      </c>
      <c r="B412" t="s">
        <v>119</v>
      </c>
      <c r="C412" t="s">
        <v>1448</v>
      </c>
      <c r="D412">
        <v>3</v>
      </c>
      <c r="E412" s="273">
        <v>2</v>
      </c>
      <c r="F412" s="273" t="s">
        <v>7</v>
      </c>
      <c r="G412" s="273" t="s">
        <v>115</v>
      </c>
      <c r="H412" s="273" t="s">
        <v>11</v>
      </c>
    </row>
    <row r="413" spans="1:8" x14ac:dyDescent="0.25">
      <c r="A413" t="s">
        <v>20</v>
      </c>
      <c r="B413" t="s">
        <v>119</v>
      </c>
      <c r="C413" t="s">
        <v>1449</v>
      </c>
      <c r="D413">
        <v>3</v>
      </c>
      <c r="E413" s="273">
        <v>2</v>
      </c>
      <c r="F413" s="273" t="s">
        <v>7</v>
      </c>
      <c r="G413" s="273" t="s">
        <v>115</v>
      </c>
      <c r="H413" s="273" t="s">
        <v>11</v>
      </c>
    </row>
    <row r="414" spans="1:8" x14ac:dyDescent="0.25">
      <c r="A414" t="s">
        <v>20</v>
      </c>
      <c r="B414" t="s">
        <v>119</v>
      </c>
      <c r="C414" t="s">
        <v>1173</v>
      </c>
      <c r="D414">
        <v>3</v>
      </c>
      <c r="E414" s="273">
        <v>2</v>
      </c>
      <c r="F414" s="273" t="s">
        <v>7</v>
      </c>
      <c r="G414" s="273" t="s">
        <v>115</v>
      </c>
      <c r="H414" s="273" t="s">
        <v>11</v>
      </c>
    </row>
    <row r="415" spans="1:8" x14ac:dyDescent="0.25">
      <c r="A415" t="s">
        <v>20</v>
      </c>
      <c r="B415" t="s">
        <v>119</v>
      </c>
      <c r="C415" t="s">
        <v>1450</v>
      </c>
      <c r="D415">
        <v>3</v>
      </c>
      <c r="E415" s="273">
        <v>2</v>
      </c>
      <c r="F415" s="273" t="s">
        <v>7</v>
      </c>
      <c r="G415" s="273" t="s">
        <v>115</v>
      </c>
      <c r="H415" s="273" t="s">
        <v>11</v>
      </c>
    </row>
    <row r="416" spans="1:8" x14ac:dyDescent="0.25">
      <c r="A416" t="s">
        <v>20</v>
      </c>
      <c r="B416" t="s">
        <v>119</v>
      </c>
      <c r="C416" t="s">
        <v>1451</v>
      </c>
      <c r="D416">
        <v>3</v>
      </c>
      <c r="E416" s="273">
        <v>2</v>
      </c>
      <c r="F416" s="273" t="s">
        <v>7</v>
      </c>
      <c r="G416" s="273" t="s">
        <v>115</v>
      </c>
      <c r="H416" s="273" t="s">
        <v>11</v>
      </c>
    </row>
    <row r="417" spans="1:8" x14ac:dyDescent="0.25">
      <c r="A417" t="s">
        <v>20</v>
      </c>
      <c r="B417" t="s">
        <v>119</v>
      </c>
      <c r="C417" t="s">
        <v>1278</v>
      </c>
      <c r="D417">
        <v>2</v>
      </c>
      <c r="E417" s="273">
        <v>2</v>
      </c>
      <c r="F417" s="273" t="s">
        <v>7</v>
      </c>
      <c r="G417" s="273" t="s">
        <v>115</v>
      </c>
      <c r="H417" s="273" t="s">
        <v>11</v>
      </c>
    </row>
    <row r="418" spans="1:8" x14ac:dyDescent="0.25">
      <c r="A418" t="s">
        <v>20</v>
      </c>
      <c r="B418" t="s">
        <v>119</v>
      </c>
      <c r="C418" t="s">
        <v>1452</v>
      </c>
      <c r="D418">
        <v>3</v>
      </c>
      <c r="E418" s="273">
        <v>2</v>
      </c>
      <c r="F418" s="273" t="s">
        <v>7</v>
      </c>
      <c r="G418" s="273" t="s">
        <v>115</v>
      </c>
      <c r="H418" s="273" t="s">
        <v>11</v>
      </c>
    </row>
    <row r="419" spans="1:8" x14ac:dyDescent="0.25">
      <c r="A419" t="s">
        <v>20</v>
      </c>
      <c r="B419" t="s">
        <v>119</v>
      </c>
      <c r="C419" t="s">
        <v>1453</v>
      </c>
      <c r="D419">
        <v>3</v>
      </c>
      <c r="E419" s="273">
        <v>2</v>
      </c>
      <c r="F419" s="273" t="s">
        <v>7</v>
      </c>
      <c r="G419" s="273" t="s">
        <v>115</v>
      </c>
      <c r="H419" s="273" t="s">
        <v>11</v>
      </c>
    </row>
    <row r="420" spans="1:8" x14ac:dyDescent="0.25">
      <c r="A420" t="s">
        <v>20</v>
      </c>
      <c r="B420" t="s">
        <v>119</v>
      </c>
      <c r="C420" t="s">
        <v>1454</v>
      </c>
      <c r="D420">
        <v>3</v>
      </c>
      <c r="E420" s="273">
        <v>2</v>
      </c>
      <c r="F420" s="273" t="s">
        <v>7</v>
      </c>
      <c r="G420" s="273" t="s">
        <v>115</v>
      </c>
      <c r="H420" s="273" t="s">
        <v>11</v>
      </c>
    </row>
    <row r="421" spans="1:8" x14ac:dyDescent="0.25">
      <c r="A421" t="s">
        <v>20</v>
      </c>
      <c r="B421" t="s">
        <v>119</v>
      </c>
      <c r="C421" t="s">
        <v>1178</v>
      </c>
      <c r="D421">
        <v>3</v>
      </c>
      <c r="E421" s="273">
        <v>2</v>
      </c>
      <c r="F421" s="273" t="s">
        <v>7</v>
      </c>
      <c r="G421" s="273" t="s">
        <v>115</v>
      </c>
      <c r="H421" s="273" t="s">
        <v>11</v>
      </c>
    </row>
    <row r="422" spans="1:8" x14ac:dyDescent="0.25">
      <c r="A422" t="s">
        <v>21</v>
      </c>
      <c r="B422" t="s">
        <v>108</v>
      </c>
      <c r="C422" t="s">
        <v>1455</v>
      </c>
      <c r="D422">
        <v>3</v>
      </c>
      <c r="E422" s="273">
        <v>2</v>
      </c>
      <c r="F422" s="273" t="s">
        <v>7</v>
      </c>
      <c r="G422" s="273" t="s">
        <v>115</v>
      </c>
      <c r="H422" s="273" t="s">
        <v>11</v>
      </c>
    </row>
    <row r="423" spans="1:8" x14ac:dyDescent="0.25">
      <c r="A423" t="s">
        <v>21</v>
      </c>
      <c r="B423" t="s">
        <v>108</v>
      </c>
      <c r="C423" t="s">
        <v>1456</v>
      </c>
      <c r="D423">
        <v>3</v>
      </c>
      <c r="E423" s="273">
        <v>2</v>
      </c>
      <c r="F423" s="273" t="s">
        <v>7</v>
      </c>
      <c r="G423" s="273" t="s">
        <v>115</v>
      </c>
      <c r="H423" s="273" t="s">
        <v>11</v>
      </c>
    </row>
    <row r="424" spans="1:8" x14ac:dyDescent="0.25">
      <c r="A424" t="s">
        <v>21</v>
      </c>
      <c r="B424" t="s">
        <v>108</v>
      </c>
      <c r="C424" t="s">
        <v>1457</v>
      </c>
      <c r="D424">
        <v>3</v>
      </c>
      <c r="E424" s="273">
        <v>2</v>
      </c>
      <c r="F424" s="273" t="s">
        <v>7</v>
      </c>
      <c r="G424" s="273" t="s">
        <v>115</v>
      </c>
      <c r="H424" s="273" t="s">
        <v>11</v>
      </c>
    </row>
    <row r="425" spans="1:8" x14ac:dyDescent="0.25">
      <c r="A425" t="s">
        <v>21</v>
      </c>
      <c r="B425" t="s">
        <v>108</v>
      </c>
      <c r="C425" t="s">
        <v>1407</v>
      </c>
      <c r="D425">
        <v>3</v>
      </c>
      <c r="E425" s="273">
        <v>2</v>
      </c>
      <c r="F425" s="273" t="s">
        <v>7</v>
      </c>
      <c r="G425" s="273" t="s">
        <v>115</v>
      </c>
      <c r="H425" s="273" t="s">
        <v>11</v>
      </c>
    </row>
    <row r="426" spans="1:8" x14ac:dyDescent="0.25">
      <c r="A426" t="s">
        <v>21</v>
      </c>
      <c r="B426" t="s">
        <v>108</v>
      </c>
      <c r="C426" t="s">
        <v>1115</v>
      </c>
      <c r="D426">
        <v>3</v>
      </c>
      <c r="E426" s="273">
        <v>3</v>
      </c>
      <c r="F426" s="273" t="s">
        <v>7</v>
      </c>
      <c r="G426" s="273" t="s">
        <v>11</v>
      </c>
      <c r="H426" s="273" t="s">
        <v>11</v>
      </c>
    </row>
    <row r="427" spans="1:8" x14ac:dyDescent="0.25">
      <c r="A427" t="s">
        <v>21</v>
      </c>
      <c r="B427" t="s">
        <v>108</v>
      </c>
      <c r="C427" t="s">
        <v>1458</v>
      </c>
      <c r="D427">
        <v>2</v>
      </c>
      <c r="E427" s="273">
        <v>4</v>
      </c>
      <c r="F427" s="273" t="s">
        <v>7</v>
      </c>
      <c r="G427" s="273" t="s">
        <v>11</v>
      </c>
      <c r="H427" s="273" t="s">
        <v>11</v>
      </c>
    </row>
    <row r="428" spans="1:8" x14ac:dyDescent="0.25">
      <c r="A428" t="s">
        <v>21</v>
      </c>
      <c r="B428" t="s">
        <v>108</v>
      </c>
      <c r="C428" t="s">
        <v>1459</v>
      </c>
      <c r="D428">
        <v>2</v>
      </c>
      <c r="E428" s="273">
        <v>3</v>
      </c>
      <c r="F428" s="273" t="s">
        <v>7</v>
      </c>
      <c r="G428" s="273" t="s">
        <v>11</v>
      </c>
      <c r="H428" s="273" t="s">
        <v>11</v>
      </c>
    </row>
    <row r="429" spans="1:8" x14ac:dyDescent="0.25">
      <c r="A429" t="s">
        <v>21</v>
      </c>
      <c r="B429" t="s">
        <v>108</v>
      </c>
      <c r="C429" t="s">
        <v>1460</v>
      </c>
      <c r="D429">
        <v>2</v>
      </c>
      <c r="E429" s="273">
        <v>3</v>
      </c>
      <c r="F429" s="273" t="s">
        <v>7</v>
      </c>
      <c r="G429" s="273" t="s">
        <v>11</v>
      </c>
      <c r="H429" s="273" t="s">
        <v>11</v>
      </c>
    </row>
    <row r="430" spans="1:8" x14ac:dyDescent="0.25">
      <c r="A430" t="s">
        <v>21</v>
      </c>
      <c r="B430" t="s">
        <v>108</v>
      </c>
      <c r="C430" t="s">
        <v>1461</v>
      </c>
      <c r="D430">
        <v>3</v>
      </c>
      <c r="E430" s="273">
        <v>3</v>
      </c>
      <c r="F430" s="273" t="s">
        <v>7</v>
      </c>
      <c r="G430" s="273" t="s">
        <v>115</v>
      </c>
      <c r="H430" s="273" t="s">
        <v>11</v>
      </c>
    </row>
    <row r="431" spans="1:8" x14ac:dyDescent="0.25">
      <c r="A431" t="s">
        <v>21</v>
      </c>
      <c r="B431" t="s">
        <v>108</v>
      </c>
      <c r="C431" t="s">
        <v>1462</v>
      </c>
      <c r="D431">
        <v>3</v>
      </c>
      <c r="E431" s="273">
        <v>2</v>
      </c>
      <c r="F431" s="273" t="s">
        <v>7</v>
      </c>
      <c r="G431" s="273" t="s">
        <v>115</v>
      </c>
      <c r="H431" s="273" t="s">
        <v>11</v>
      </c>
    </row>
    <row r="432" spans="1:8" x14ac:dyDescent="0.25">
      <c r="A432" t="s">
        <v>21</v>
      </c>
      <c r="B432" t="s">
        <v>108</v>
      </c>
      <c r="C432" t="s">
        <v>1117</v>
      </c>
      <c r="D432">
        <v>3</v>
      </c>
      <c r="E432" s="273">
        <v>3</v>
      </c>
      <c r="F432" s="273" t="s">
        <v>7</v>
      </c>
      <c r="G432" s="273" t="s">
        <v>11</v>
      </c>
      <c r="H432" s="273" t="s">
        <v>11</v>
      </c>
    </row>
    <row r="433" spans="1:8" x14ac:dyDescent="0.25">
      <c r="A433" t="s">
        <v>21</v>
      </c>
      <c r="B433" t="s">
        <v>108</v>
      </c>
      <c r="C433" t="s">
        <v>1463</v>
      </c>
      <c r="D433">
        <v>3</v>
      </c>
      <c r="E433" s="273">
        <v>3</v>
      </c>
      <c r="F433" s="273" t="s">
        <v>7</v>
      </c>
      <c r="G433" s="273" t="s">
        <v>115</v>
      </c>
      <c r="H433" s="273" t="s">
        <v>11</v>
      </c>
    </row>
    <row r="434" spans="1:8" x14ac:dyDescent="0.25">
      <c r="A434" t="s">
        <v>21</v>
      </c>
      <c r="B434" t="s">
        <v>108</v>
      </c>
      <c r="C434" t="s">
        <v>1464</v>
      </c>
      <c r="D434">
        <v>3</v>
      </c>
      <c r="E434" s="273">
        <v>2</v>
      </c>
      <c r="F434" s="273" t="s">
        <v>7</v>
      </c>
      <c r="G434" s="273" t="s">
        <v>115</v>
      </c>
      <c r="H434" s="273" t="s">
        <v>11</v>
      </c>
    </row>
    <row r="435" spans="1:8" x14ac:dyDescent="0.25">
      <c r="A435" t="s">
        <v>21</v>
      </c>
      <c r="B435" t="s">
        <v>108</v>
      </c>
      <c r="C435" t="s">
        <v>1465</v>
      </c>
      <c r="D435">
        <v>3</v>
      </c>
      <c r="E435" s="273">
        <v>2</v>
      </c>
      <c r="F435" s="273" t="s">
        <v>7</v>
      </c>
      <c r="G435" s="273" t="s">
        <v>115</v>
      </c>
      <c r="H435" s="273" t="s">
        <v>11</v>
      </c>
    </row>
    <row r="436" spans="1:8" x14ac:dyDescent="0.25">
      <c r="A436" t="s">
        <v>21</v>
      </c>
      <c r="B436" t="s">
        <v>108</v>
      </c>
      <c r="C436" t="s">
        <v>1466</v>
      </c>
      <c r="D436">
        <v>3</v>
      </c>
      <c r="E436" s="273">
        <v>2</v>
      </c>
      <c r="F436" s="273" t="s">
        <v>7</v>
      </c>
      <c r="G436" s="273" t="s">
        <v>115</v>
      </c>
      <c r="H436" s="273" t="s">
        <v>11</v>
      </c>
    </row>
    <row r="437" spans="1:8" x14ac:dyDescent="0.25">
      <c r="A437" t="s">
        <v>21</v>
      </c>
      <c r="B437" t="s">
        <v>108</v>
      </c>
      <c r="C437" t="s">
        <v>1467</v>
      </c>
      <c r="D437">
        <v>3</v>
      </c>
      <c r="E437" s="273">
        <v>3</v>
      </c>
      <c r="F437" s="273" t="s">
        <v>7</v>
      </c>
      <c r="G437" s="273" t="s">
        <v>115</v>
      </c>
      <c r="H437" s="273" t="s">
        <v>11</v>
      </c>
    </row>
    <row r="438" spans="1:8" x14ac:dyDescent="0.25">
      <c r="A438" t="s">
        <v>21</v>
      </c>
      <c r="B438" t="s">
        <v>108</v>
      </c>
      <c r="C438" t="s">
        <v>1468</v>
      </c>
      <c r="D438">
        <v>3</v>
      </c>
      <c r="E438" s="273">
        <v>3</v>
      </c>
      <c r="F438" s="273" t="s">
        <v>7</v>
      </c>
      <c r="G438" s="273" t="s">
        <v>11</v>
      </c>
      <c r="H438" s="273" t="s">
        <v>11</v>
      </c>
    </row>
    <row r="439" spans="1:8" x14ac:dyDescent="0.25">
      <c r="A439" t="s">
        <v>21</v>
      </c>
      <c r="B439" t="s">
        <v>108</v>
      </c>
      <c r="C439" t="s">
        <v>1469</v>
      </c>
      <c r="D439">
        <v>2</v>
      </c>
      <c r="E439" s="273">
        <v>3</v>
      </c>
      <c r="F439" s="273" t="s">
        <v>7</v>
      </c>
      <c r="G439" s="273" t="s">
        <v>11</v>
      </c>
      <c r="H439" s="273" t="s">
        <v>11</v>
      </c>
    </row>
    <row r="440" spans="1:8" x14ac:dyDescent="0.25">
      <c r="A440" t="s">
        <v>21</v>
      </c>
      <c r="B440" t="s">
        <v>108</v>
      </c>
      <c r="C440" t="s">
        <v>1121</v>
      </c>
      <c r="D440">
        <v>3</v>
      </c>
      <c r="E440" s="273">
        <v>3</v>
      </c>
      <c r="F440" s="273" t="s">
        <v>7</v>
      </c>
      <c r="G440" s="273" t="s">
        <v>115</v>
      </c>
      <c r="H440" s="273" t="s">
        <v>11</v>
      </c>
    </row>
    <row r="441" spans="1:8" x14ac:dyDescent="0.25">
      <c r="A441" t="s">
        <v>21</v>
      </c>
      <c r="B441" t="s">
        <v>108</v>
      </c>
      <c r="C441" t="s">
        <v>1470</v>
      </c>
      <c r="D441">
        <v>3</v>
      </c>
      <c r="E441" s="273">
        <v>2</v>
      </c>
      <c r="F441" s="273" t="s">
        <v>7</v>
      </c>
      <c r="G441" s="273" t="s">
        <v>115</v>
      </c>
      <c r="H441" s="273" t="s">
        <v>11</v>
      </c>
    </row>
    <row r="442" spans="1:8" x14ac:dyDescent="0.25">
      <c r="A442" t="s">
        <v>21</v>
      </c>
      <c r="B442" t="s">
        <v>108</v>
      </c>
      <c r="C442" t="s">
        <v>1471</v>
      </c>
      <c r="D442">
        <v>3</v>
      </c>
      <c r="E442" s="273">
        <v>3</v>
      </c>
      <c r="F442" s="273" t="s">
        <v>7</v>
      </c>
      <c r="G442" s="273" t="s">
        <v>115</v>
      </c>
      <c r="H442" s="273" t="s">
        <v>11</v>
      </c>
    </row>
    <row r="443" spans="1:8" x14ac:dyDescent="0.25">
      <c r="A443" t="s">
        <v>21</v>
      </c>
      <c r="B443" t="s">
        <v>108</v>
      </c>
      <c r="C443" t="s">
        <v>1232</v>
      </c>
      <c r="D443">
        <v>2</v>
      </c>
      <c r="E443" s="273">
        <v>3</v>
      </c>
      <c r="F443" s="273" t="s">
        <v>7</v>
      </c>
      <c r="G443" s="273" t="s">
        <v>11</v>
      </c>
      <c r="H443" s="273" t="s">
        <v>11</v>
      </c>
    </row>
    <row r="444" spans="1:8" x14ac:dyDescent="0.25">
      <c r="A444" t="s">
        <v>21</v>
      </c>
      <c r="B444" t="s">
        <v>108</v>
      </c>
      <c r="C444" t="s">
        <v>1472</v>
      </c>
      <c r="D444">
        <v>2</v>
      </c>
      <c r="E444" s="273">
        <v>4</v>
      </c>
      <c r="F444" s="273" t="s">
        <v>7</v>
      </c>
      <c r="G444" s="273" t="s">
        <v>11</v>
      </c>
      <c r="H444" s="273" t="s">
        <v>11</v>
      </c>
    </row>
    <row r="445" spans="1:8" x14ac:dyDescent="0.25">
      <c r="A445" t="s">
        <v>21</v>
      </c>
      <c r="B445" t="s">
        <v>108</v>
      </c>
      <c r="C445" t="s">
        <v>1473</v>
      </c>
      <c r="D445">
        <v>3</v>
      </c>
      <c r="E445" s="273">
        <v>2</v>
      </c>
      <c r="F445" s="273" t="s">
        <v>7</v>
      </c>
      <c r="G445" s="273" t="s">
        <v>115</v>
      </c>
      <c r="H445" s="273" t="s">
        <v>11</v>
      </c>
    </row>
    <row r="446" spans="1:8" x14ac:dyDescent="0.25">
      <c r="A446" t="s">
        <v>21</v>
      </c>
      <c r="B446" t="s">
        <v>108</v>
      </c>
      <c r="C446" t="s">
        <v>1474</v>
      </c>
      <c r="D446">
        <v>3</v>
      </c>
      <c r="E446" s="273">
        <v>2</v>
      </c>
      <c r="F446" s="273" t="s">
        <v>7</v>
      </c>
      <c r="G446" s="273" t="s">
        <v>115</v>
      </c>
      <c r="H446" s="273" t="s">
        <v>11</v>
      </c>
    </row>
    <row r="447" spans="1:8" x14ac:dyDescent="0.25">
      <c r="A447" t="s">
        <v>21</v>
      </c>
      <c r="B447" t="s">
        <v>108</v>
      </c>
      <c r="C447" t="s">
        <v>1475</v>
      </c>
      <c r="D447">
        <v>3</v>
      </c>
      <c r="E447" s="273">
        <v>3</v>
      </c>
      <c r="F447" s="273" t="s">
        <v>7</v>
      </c>
      <c r="G447" s="273" t="s">
        <v>115</v>
      </c>
      <c r="H447" s="273" t="s">
        <v>11</v>
      </c>
    </row>
    <row r="448" spans="1:8" x14ac:dyDescent="0.25">
      <c r="A448" t="s">
        <v>21</v>
      </c>
      <c r="B448" t="s">
        <v>108</v>
      </c>
      <c r="C448" t="s">
        <v>1476</v>
      </c>
      <c r="D448">
        <v>3</v>
      </c>
      <c r="E448" s="273">
        <v>4</v>
      </c>
      <c r="F448" s="273" t="s">
        <v>7</v>
      </c>
      <c r="G448" s="273" t="s">
        <v>11</v>
      </c>
      <c r="H448" s="273" t="s">
        <v>11</v>
      </c>
    </row>
    <row r="449" spans="1:8" x14ac:dyDescent="0.25">
      <c r="A449" t="s">
        <v>21</v>
      </c>
      <c r="B449" t="s">
        <v>108</v>
      </c>
      <c r="C449" t="s">
        <v>1123</v>
      </c>
      <c r="D449">
        <v>2</v>
      </c>
      <c r="E449" s="273">
        <v>3</v>
      </c>
      <c r="F449" s="273" t="s">
        <v>7</v>
      </c>
      <c r="G449" s="273" t="s">
        <v>11</v>
      </c>
      <c r="H449" s="273" t="s">
        <v>11</v>
      </c>
    </row>
    <row r="450" spans="1:8" x14ac:dyDescent="0.25">
      <c r="A450" t="s">
        <v>21</v>
      </c>
      <c r="B450" t="s">
        <v>108</v>
      </c>
      <c r="C450" t="s">
        <v>1126</v>
      </c>
      <c r="D450">
        <v>2</v>
      </c>
      <c r="E450" s="273">
        <v>3</v>
      </c>
      <c r="F450" s="273" t="s">
        <v>7</v>
      </c>
      <c r="G450" s="273" t="s">
        <v>11</v>
      </c>
      <c r="H450" s="273" t="s">
        <v>11</v>
      </c>
    </row>
    <row r="451" spans="1:8" x14ac:dyDescent="0.25">
      <c r="A451" t="s">
        <v>21</v>
      </c>
      <c r="B451" t="s">
        <v>108</v>
      </c>
      <c r="C451" t="s">
        <v>1127</v>
      </c>
      <c r="D451">
        <v>3</v>
      </c>
      <c r="E451" s="273">
        <v>3</v>
      </c>
      <c r="F451" s="273" t="s">
        <v>7</v>
      </c>
      <c r="G451" s="273" t="s">
        <v>115</v>
      </c>
      <c r="H451" s="273" t="s">
        <v>11</v>
      </c>
    </row>
    <row r="452" spans="1:8" x14ac:dyDescent="0.25">
      <c r="A452" t="s">
        <v>21</v>
      </c>
      <c r="B452" t="s">
        <v>108</v>
      </c>
      <c r="C452" t="s">
        <v>1477</v>
      </c>
      <c r="D452">
        <v>2</v>
      </c>
      <c r="E452" s="273">
        <v>3</v>
      </c>
      <c r="F452" s="273" t="s">
        <v>7</v>
      </c>
      <c r="G452" s="273" t="s">
        <v>11</v>
      </c>
      <c r="H452" s="273" t="s">
        <v>11</v>
      </c>
    </row>
    <row r="453" spans="1:8" x14ac:dyDescent="0.25">
      <c r="A453" t="s">
        <v>21</v>
      </c>
      <c r="B453" t="s">
        <v>108</v>
      </c>
      <c r="C453" t="s">
        <v>1478</v>
      </c>
      <c r="D453">
        <v>3</v>
      </c>
      <c r="E453" s="273">
        <v>2</v>
      </c>
      <c r="F453" s="273" t="s">
        <v>7</v>
      </c>
      <c r="G453" s="273" t="s">
        <v>115</v>
      </c>
      <c r="H453" s="273" t="s">
        <v>11</v>
      </c>
    </row>
    <row r="454" spans="1:8" x14ac:dyDescent="0.25">
      <c r="A454" t="s">
        <v>21</v>
      </c>
      <c r="B454" t="s">
        <v>108</v>
      </c>
      <c r="C454" t="s">
        <v>1479</v>
      </c>
      <c r="D454">
        <v>1</v>
      </c>
      <c r="E454" s="273">
        <v>3</v>
      </c>
      <c r="F454" s="273" t="s">
        <v>7</v>
      </c>
      <c r="G454" s="273" t="s">
        <v>11</v>
      </c>
      <c r="H454" s="273" t="s">
        <v>11</v>
      </c>
    </row>
    <row r="455" spans="1:8" x14ac:dyDescent="0.25">
      <c r="A455" t="s">
        <v>21</v>
      </c>
      <c r="B455" t="s">
        <v>108</v>
      </c>
      <c r="C455" t="s">
        <v>1129</v>
      </c>
      <c r="D455">
        <v>3</v>
      </c>
      <c r="E455" s="273">
        <v>3</v>
      </c>
      <c r="F455" s="273" t="s">
        <v>7</v>
      </c>
      <c r="G455" s="273" t="s">
        <v>115</v>
      </c>
      <c r="H455" s="273" t="s">
        <v>11</v>
      </c>
    </row>
    <row r="456" spans="1:8" x14ac:dyDescent="0.25">
      <c r="A456" t="s">
        <v>21</v>
      </c>
      <c r="B456" t="s">
        <v>108</v>
      </c>
      <c r="C456" t="s">
        <v>1480</v>
      </c>
      <c r="D456">
        <v>3</v>
      </c>
      <c r="E456" s="273">
        <v>2</v>
      </c>
      <c r="F456" s="273" t="s">
        <v>7</v>
      </c>
      <c r="G456" s="273" t="s">
        <v>115</v>
      </c>
      <c r="H456" s="273" t="s">
        <v>11</v>
      </c>
    </row>
    <row r="457" spans="1:8" x14ac:dyDescent="0.25">
      <c r="A457" t="s">
        <v>21</v>
      </c>
      <c r="B457" t="s">
        <v>108</v>
      </c>
      <c r="C457" t="s">
        <v>1236</v>
      </c>
      <c r="D457">
        <v>3</v>
      </c>
      <c r="E457" s="273">
        <v>3</v>
      </c>
      <c r="F457" s="273" t="s">
        <v>7</v>
      </c>
      <c r="G457" s="273" t="s">
        <v>11</v>
      </c>
      <c r="H457" s="273" t="s">
        <v>11</v>
      </c>
    </row>
    <row r="458" spans="1:8" x14ac:dyDescent="0.25">
      <c r="A458" t="s">
        <v>21</v>
      </c>
      <c r="B458" t="s">
        <v>108</v>
      </c>
      <c r="C458" t="s">
        <v>1481</v>
      </c>
      <c r="D458">
        <v>3</v>
      </c>
      <c r="E458" s="273">
        <v>2</v>
      </c>
      <c r="F458" s="273" t="s">
        <v>7</v>
      </c>
      <c r="G458" s="273" t="s">
        <v>115</v>
      </c>
      <c r="H458" s="273" t="s">
        <v>11</v>
      </c>
    </row>
    <row r="459" spans="1:8" x14ac:dyDescent="0.25">
      <c r="A459" t="s">
        <v>21</v>
      </c>
      <c r="B459" t="s">
        <v>108</v>
      </c>
      <c r="C459" t="s">
        <v>1482</v>
      </c>
      <c r="D459">
        <v>2</v>
      </c>
      <c r="E459" s="273">
        <v>3</v>
      </c>
      <c r="F459" s="273" t="s">
        <v>7</v>
      </c>
      <c r="G459" s="273" t="s">
        <v>11</v>
      </c>
      <c r="H459" s="273" t="s">
        <v>11</v>
      </c>
    </row>
    <row r="460" spans="1:8" x14ac:dyDescent="0.25">
      <c r="A460" t="s">
        <v>21</v>
      </c>
      <c r="B460" t="s">
        <v>108</v>
      </c>
      <c r="C460" t="s">
        <v>1239</v>
      </c>
      <c r="D460">
        <v>3</v>
      </c>
      <c r="E460" s="273">
        <v>3</v>
      </c>
      <c r="F460" s="273" t="s">
        <v>7</v>
      </c>
      <c r="G460" s="273" t="s">
        <v>11</v>
      </c>
      <c r="H460" s="273" t="s">
        <v>11</v>
      </c>
    </row>
    <row r="461" spans="1:8" x14ac:dyDescent="0.25">
      <c r="A461" t="s">
        <v>21</v>
      </c>
      <c r="B461" t="s">
        <v>108</v>
      </c>
      <c r="C461" t="s">
        <v>1483</v>
      </c>
      <c r="D461">
        <v>3</v>
      </c>
      <c r="E461" s="273">
        <v>3</v>
      </c>
      <c r="F461" s="273" t="s">
        <v>7</v>
      </c>
      <c r="G461" s="273" t="s">
        <v>115</v>
      </c>
      <c r="H461" s="273" t="s">
        <v>11</v>
      </c>
    </row>
    <row r="462" spans="1:8" x14ac:dyDescent="0.25">
      <c r="A462" t="s">
        <v>21</v>
      </c>
      <c r="B462" t="s">
        <v>108</v>
      </c>
      <c r="C462" t="s">
        <v>1484</v>
      </c>
      <c r="D462">
        <v>3</v>
      </c>
      <c r="E462" s="273">
        <v>4</v>
      </c>
      <c r="F462" s="273" t="s">
        <v>7</v>
      </c>
      <c r="G462" s="273" t="s">
        <v>11</v>
      </c>
      <c r="H462" s="273" t="s">
        <v>11</v>
      </c>
    </row>
    <row r="463" spans="1:8" x14ac:dyDescent="0.25">
      <c r="A463" t="s">
        <v>21</v>
      </c>
      <c r="B463" t="s">
        <v>108</v>
      </c>
      <c r="C463" t="s">
        <v>1485</v>
      </c>
      <c r="D463">
        <v>2</v>
      </c>
      <c r="E463" s="273">
        <v>4</v>
      </c>
      <c r="F463" s="273" t="s">
        <v>7</v>
      </c>
      <c r="G463" s="273" t="s">
        <v>11</v>
      </c>
      <c r="H463" s="273" t="s">
        <v>11</v>
      </c>
    </row>
    <row r="464" spans="1:8" x14ac:dyDescent="0.25">
      <c r="A464" t="s">
        <v>21</v>
      </c>
      <c r="B464" t="s">
        <v>108</v>
      </c>
      <c r="C464" t="s">
        <v>1486</v>
      </c>
      <c r="D464">
        <v>3</v>
      </c>
      <c r="E464" s="273">
        <v>2</v>
      </c>
      <c r="F464" s="273" t="s">
        <v>7</v>
      </c>
      <c r="G464" s="273" t="s">
        <v>115</v>
      </c>
      <c r="H464" s="273" t="s">
        <v>11</v>
      </c>
    </row>
    <row r="465" spans="1:8" x14ac:dyDescent="0.25">
      <c r="A465" t="s">
        <v>21</v>
      </c>
      <c r="B465" t="s">
        <v>108</v>
      </c>
      <c r="C465" t="s">
        <v>1487</v>
      </c>
      <c r="D465">
        <v>1</v>
      </c>
      <c r="E465" s="273">
        <v>3</v>
      </c>
      <c r="F465" s="273" t="s">
        <v>7</v>
      </c>
      <c r="G465" s="273" t="s">
        <v>11</v>
      </c>
      <c r="H465" s="273" t="s">
        <v>11</v>
      </c>
    </row>
    <row r="466" spans="1:8" x14ac:dyDescent="0.25">
      <c r="A466" t="s">
        <v>21</v>
      </c>
      <c r="B466" t="s">
        <v>108</v>
      </c>
      <c r="C466" t="s">
        <v>1488</v>
      </c>
      <c r="D466">
        <v>3</v>
      </c>
      <c r="E466" s="273">
        <v>3</v>
      </c>
      <c r="F466" s="273" t="s">
        <v>7</v>
      </c>
      <c r="G466" s="273" t="s">
        <v>115</v>
      </c>
      <c r="H466" s="273" t="s">
        <v>11</v>
      </c>
    </row>
    <row r="467" spans="1:8" x14ac:dyDescent="0.25">
      <c r="A467" t="s">
        <v>21</v>
      </c>
      <c r="B467" t="s">
        <v>108</v>
      </c>
      <c r="C467" t="s">
        <v>1489</v>
      </c>
      <c r="D467">
        <v>3</v>
      </c>
      <c r="E467" s="273">
        <v>3</v>
      </c>
      <c r="F467" s="273" t="s">
        <v>7</v>
      </c>
      <c r="G467" s="273" t="s">
        <v>115</v>
      </c>
      <c r="H467" s="273" t="s">
        <v>11</v>
      </c>
    </row>
    <row r="468" spans="1:8" x14ac:dyDescent="0.25">
      <c r="A468" t="s">
        <v>21</v>
      </c>
      <c r="B468" t="s">
        <v>108</v>
      </c>
      <c r="C468" t="s">
        <v>1490</v>
      </c>
      <c r="D468">
        <v>3</v>
      </c>
      <c r="E468" s="273">
        <v>3</v>
      </c>
      <c r="F468" s="273" t="s">
        <v>7</v>
      </c>
      <c r="G468" s="273" t="s">
        <v>115</v>
      </c>
      <c r="H468" s="273" t="s">
        <v>11</v>
      </c>
    </row>
    <row r="469" spans="1:8" x14ac:dyDescent="0.25">
      <c r="A469" t="s">
        <v>21</v>
      </c>
      <c r="B469" t="s">
        <v>108</v>
      </c>
      <c r="C469" t="s">
        <v>1357</v>
      </c>
      <c r="D469">
        <v>2</v>
      </c>
      <c r="E469" s="273">
        <v>3</v>
      </c>
      <c r="F469" s="273" t="s">
        <v>7</v>
      </c>
      <c r="G469" s="273" t="s">
        <v>11</v>
      </c>
      <c r="H469" s="273" t="s">
        <v>11</v>
      </c>
    </row>
    <row r="470" spans="1:8" x14ac:dyDescent="0.25">
      <c r="A470" t="s">
        <v>21</v>
      </c>
      <c r="B470" t="s">
        <v>108</v>
      </c>
      <c r="C470" t="s">
        <v>1491</v>
      </c>
      <c r="D470">
        <v>3</v>
      </c>
      <c r="E470" s="273">
        <v>3</v>
      </c>
      <c r="F470" s="273" t="s">
        <v>7</v>
      </c>
      <c r="G470" s="273" t="s">
        <v>115</v>
      </c>
      <c r="H470" s="273" t="s">
        <v>11</v>
      </c>
    </row>
    <row r="471" spans="1:8" x14ac:dyDescent="0.25">
      <c r="A471" t="s">
        <v>21</v>
      </c>
      <c r="B471" t="s">
        <v>108</v>
      </c>
      <c r="C471" t="s">
        <v>1492</v>
      </c>
      <c r="D471">
        <v>3</v>
      </c>
      <c r="E471" s="273">
        <v>2</v>
      </c>
      <c r="F471" s="273" t="s">
        <v>7</v>
      </c>
      <c r="G471" s="273" t="s">
        <v>115</v>
      </c>
      <c r="H471" s="273" t="s">
        <v>11</v>
      </c>
    </row>
    <row r="472" spans="1:8" x14ac:dyDescent="0.25">
      <c r="A472" t="s">
        <v>21</v>
      </c>
      <c r="B472" t="s">
        <v>108</v>
      </c>
      <c r="C472" t="s">
        <v>1493</v>
      </c>
      <c r="D472">
        <v>3</v>
      </c>
      <c r="E472" s="273">
        <v>2</v>
      </c>
      <c r="F472" s="273" t="s">
        <v>7</v>
      </c>
      <c r="G472" s="273" t="s">
        <v>115</v>
      </c>
      <c r="H472" s="273" t="s">
        <v>11</v>
      </c>
    </row>
    <row r="473" spans="1:8" x14ac:dyDescent="0.25">
      <c r="A473" t="s">
        <v>21</v>
      </c>
      <c r="B473" t="s">
        <v>108</v>
      </c>
      <c r="C473" t="s">
        <v>1360</v>
      </c>
      <c r="D473">
        <v>2</v>
      </c>
      <c r="E473" s="273">
        <v>3</v>
      </c>
      <c r="F473" s="273" t="s">
        <v>7</v>
      </c>
      <c r="G473" s="273" t="s">
        <v>11</v>
      </c>
      <c r="H473" s="273" t="s">
        <v>11</v>
      </c>
    </row>
    <row r="474" spans="1:8" x14ac:dyDescent="0.25">
      <c r="A474" t="s">
        <v>21</v>
      </c>
      <c r="B474" t="s">
        <v>108</v>
      </c>
      <c r="C474" t="s">
        <v>1494</v>
      </c>
      <c r="D474">
        <v>3</v>
      </c>
      <c r="E474" s="273">
        <v>3</v>
      </c>
      <c r="F474" s="273" t="s">
        <v>7</v>
      </c>
      <c r="G474" s="273" t="s">
        <v>115</v>
      </c>
      <c r="H474" s="273" t="s">
        <v>11</v>
      </c>
    </row>
    <row r="475" spans="1:8" x14ac:dyDescent="0.25">
      <c r="A475" t="s">
        <v>21</v>
      </c>
      <c r="B475" t="s">
        <v>108</v>
      </c>
      <c r="C475" t="s">
        <v>1495</v>
      </c>
      <c r="D475">
        <v>3</v>
      </c>
      <c r="E475" s="273">
        <v>2</v>
      </c>
      <c r="F475" s="273" t="s">
        <v>7</v>
      </c>
      <c r="G475" s="273" t="s">
        <v>115</v>
      </c>
      <c r="H475" s="273" t="s">
        <v>11</v>
      </c>
    </row>
    <row r="476" spans="1:8" x14ac:dyDescent="0.25">
      <c r="A476" t="s">
        <v>21</v>
      </c>
      <c r="B476" t="s">
        <v>108</v>
      </c>
      <c r="C476" t="s">
        <v>1496</v>
      </c>
      <c r="D476">
        <v>2</v>
      </c>
      <c r="E476" s="273">
        <v>4</v>
      </c>
      <c r="F476" s="273" t="s">
        <v>7</v>
      </c>
      <c r="G476" s="273" t="s">
        <v>11</v>
      </c>
      <c r="H476" s="273" t="s">
        <v>11</v>
      </c>
    </row>
    <row r="477" spans="1:8" x14ac:dyDescent="0.25">
      <c r="A477" t="s">
        <v>21</v>
      </c>
      <c r="B477" t="s">
        <v>108</v>
      </c>
      <c r="C477" t="s">
        <v>1142</v>
      </c>
      <c r="D477">
        <v>2</v>
      </c>
      <c r="E477" s="273">
        <v>3</v>
      </c>
      <c r="F477" s="273" t="s">
        <v>7</v>
      </c>
      <c r="G477" s="273" t="s">
        <v>11</v>
      </c>
      <c r="H477" s="273" t="s">
        <v>11</v>
      </c>
    </row>
    <row r="478" spans="1:8" x14ac:dyDescent="0.25">
      <c r="A478" t="s">
        <v>21</v>
      </c>
      <c r="B478" t="s">
        <v>108</v>
      </c>
      <c r="C478" t="s">
        <v>1497</v>
      </c>
      <c r="D478">
        <v>2</v>
      </c>
      <c r="E478" s="273">
        <v>4</v>
      </c>
      <c r="F478" s="273" t="s">
        <v>7</v>
      </c>
      <c r="G478" s="273" t="s">
        <v>11</v>
      </c>
      <c r="H478" s="273" t="s">
        <v>11</v>
      </c>
    </row>
    <row r="479" spans="1:8" x14ac:dyDescent="0.25">
      <c r="A479" t="s">
        <v>21</v>
      </c>
      <c r="B479" t="s">
        <v>108</v>
      </c>
      <c r="C479" t="s">
        <v>1498</v>
      </c>
      <c r="D479">
        <v>2</v>
      </c>
      <c r="E479" s="273">
        <v>3</v>
      </c>
      <c r="F479" s="273" t="s">
        <v>7</v>
      </c>
      <c r="G479" s="273" t="s">
        <v>11</v>
      </c>
      <c r="H479" s="273" t="s">
        <v>11</v>
      </c>
    </row>
    <row r="480" spans="1:8" x14ac:dyDescent="0.25">
      <c r="A480" t="s">
        <v>21</v>
      </c>
      <c r="B480" t="s">
        <v>108</v>
      </c>
      <c r="C480" t="s">
        <v>1143</v>
      </c>
      <c r="D480">
        <v>2</v>
      </c>
      <c r="E480" s="273">
        <v>4</v>
      </c>
      <c r="F480" s="273" t="s">
        <v>7</v>
      </c>
      <c r="G480" s="273" t="s">
        <v>11</v>
      </c>
      <c r="H480" s="273" t="s">
        <v>11</v>
      </c>
    </row>
    <row r="481" spans="1:8" x14ac:dyDescent="0.25">
      <c r="A481" t="s">
        <v>21</v>
      </c>
      <c r="B481" t="s">
        <v>108</v>
      </c>
      <c r="C481" t="s">
        <v>1245</v>
      </c>
      <c r="D481">
        <v>1</v>
      </c>
      <c r="E481" s="273">
        <v>3</v>
      </c>
      <c r="F481" s="273" t="s">
        <v>7</v>
      </c>
      <c r="G481" s="273" t="s">
        <v>11</v>
      </c>
      <c r="H481" s="273" t="s">
        <v>11</v>
      </c>
    </row>
    <row r="482" spans="1:8" x14ac:dyDescent="0.25">
      <c r="A482" t="s">
        <v>21</v>
      </c>
      <c r="B482" t="s">
        <v>108</v>
      </c>
      <c r="C482" t="s">
        <v>1499</v>
      </c>
      <c r="D482">
        <v>2</v>
      </c>
      <c r="E482" s="273">
        <v>4</v>
      </c>
      <c r="F482" s="273" t="s">
        <v>7</v>
      </c>
      <c r="G482" s="273" t="s">
        <v>11</v>
      </c>
      <c r="H482" s="273" t="s">
        <v>11</v>
      </c>
    </row>
    <row r="483" spans="1:8" x14ac:dyDescent="0.25">
      <c r="A483" t="s">
        <v>21</v>
      </c>
      <c r="B483" t="s">
        <v>108</v>
      </c>
      <c r="C483" t="s">
        <v>1500</v>
      </c>
      <c r="D483">
        <v>3</v>
      </c>
      <c r="E483" s="273">
        <v>3</v>
      </c>
      <c r="F483" s="273" t="s">
        <v>7</v>
      </c>
      <c r="G483" s="273" t="s">
        <v>11</v>
      </c>
      <c r="H483" s="273" t="s">
        <v>11</v>
      </c>
    </row>
    <row r="484" spans="1:8" x14ac:dyDescent="0.25">
      <c r="A484" t="s">
        <v>21</v>
      </c>
      <c r="B484" t="s">
        <v>108</v>
      </c>
      <c r="C484" t="s">
        <v>1501</v>
      </c>
      <c r="D484">
        <v>3</v>
      </c>
      <c r="E484" s="273">
        <v>2</v>
      </c>
      <c r="F484" s="273" t="s">
        <v>7</v>
      </c>
      <c r="G484" s="273" t="s">
        <v>115</v>
      </c>
      <c r="H484" s="273" t="s">
        <v>11</v>
      </c>
    </row>
    <row r="485" spans="1:8" x14ac:dyDescent="0.25">
      <c r="A485" t="s">
        <v>21</v>
      </c>
      <c r="B485" t="s">
        <v>108</v>
      </c>
      <c r="C485" t="s">
        <v>1502</v>
      </c>
      <c r="D485">
        <v>3</v>
      </c>
      <c r="E485" s="273">
        <v>4</v>
      </c>
      <c r="F485" s="273" t="s">
        <v>7</v>
      </c>
      <c r="G485" s="273" t="s">
        <v>11</v>
      </c>
      <c r="H485" s="273" t="s">
        <v>11</v>
      </c>
    </row>
    <row r="486" spans="1:8" x14ac:dyDescent="0.25">
      <c r="A486" t="s">
        <v>21</v>
      </c>
      <c r="B486" t="s">
        <v>108</v>
      </c>
      <c r="C486" t="s">
        <v>1503</v>
      </c>
      <c r="D486">
        <v>3</v>
      </c>
      <c r="E486" s="273">
        <v>2</v>
      </c>
      <c r="F486" s="273" t="s">
        <v>7</v>
      </c>
      <c r="G486" s="273" t="s">
        <v>115</v>
      </c>
      <c r="H486" s="273" t="s">
        <v>11</v>
      </c>
    </row>
    <row r="487" spans="1:8" x14ac:dyDescent="0.25">
      <c r="A487" t="s">
        <v>21</v>
      </c>
      <c r="B487" t="s">
        <v>108</v>
      </c>
      <c r="C487" t="s">
        <v>1145</v>
      </c>
      <c r="D487">
        <v>2</v>
      </c>
      <c r="E487" s="273">
        <v>3</v>
      </c>
      <c r="F487" s="273" t="s">
        <v>7</v>
      </c>
      <c r="G487" s="273" t="s">
        <v>11</v>
      </c>
      <c r="H487" s="273" t="s">
        <v>11</v>
      </c>
    </row>
    <row r="488" spans="1:8" x14ac:dyDescent="0.25">
      <c r="A488" t="s">
        <v>21</v>
      </c>
      <c r="B488" t="s">
        <v>108</v>
      </c>
      <c r="C488" t="s">
        <v>1504</v>
      </c>
      <c r="D488">
        <v>1</v>
      </c>
      <c r="E488" s="273">
        <v>3</v>
      </c>
      <c r="F488" s="273" t="s">
        <v>7</v>
      </c>
      <c r="G488" s="273" t="s">
        <v>11</v>
      </c>
      <c r="H488" s="273" t="s">
        <v>11</v>
      </c>
    </row>
    <row r="489" spans="1:8" x14ac:dyDescent="0.25">
      <c r="A489" t="s">
        <v>21</v>
      </c>
      <c r="B489" t="s">
        <v>108</v>
      </c>
      <c r="C489" t="s">
        <v>1505</v>
      </c>
      <c r="D489">
        <v>2</v>
      </c>
      <c r="E489" s="273">
        <v>4</v>
      </c>
      <c r="F489" s="273" t="s">
        <v>7</v>
      </c>
      <c r="G489" s="273" t="s">
        <v>11</v>
      </c>
      <c r="H489" s="273" t="s">
        <v>11</v>
      </c>
    </row>
    <row r="490" spans="1:8" x14ac:dyDescent="0.25">
      <c r="A490" t="s">
        <v>21</v>
      </c>
      <c r="B490" t="s">
        <v>108</v>
      </c>
      <c r="C490" t="s">
        <v>1506</v>
      </c>
      <c r="D490">
        <v>2</v>
      </c>
      <c r="E490" s="273">
        <v>4</v>
      </c>
      <c r="F490" s="273" t="s">
        <v>7</v>
      </c>
      <c r="G490" s="273" t="s">
        <v>11</v>
      </c>
      <c r="H490" s="273" t="s">
        <v>11</v>
      </c>
    </row>
    <row r="491" spans="1:8" x14ac:dyDescent="0.25">
      <c r="A491" t="s">
        <v>21</v>
      </c>
      <c r="B491" t="s">
        <v>108</v>
      </c>
      <c r="C491" t="s">
        <v>1507</v>
      </c>
      <c r="D491">
        <v>3</v>
      </c>
      <c r="E491" s="273">
        <v>3</v>
      </c>
      <c r="F491" s="273" t="s">
        <v>7</v>
      </c>
      <c r="G491" s="273" t="s">
        <v>11</v>
      </c>
      <c r="H491" s="273" t="s">
        <v>11</v>
      </c>
    </row>
    <row r="492" spans="1:8" x14ac:dyDescent="0.25">
      <c r="A492" t="s">
        <v>21</v>
      </c>
      <c r="B492" t="s">
        <v>108</v>
      </c>
      <c r="C492" t="s">
        <v>1508</v>
      </c>
      <c r="D492">
        <v>2</v>
      </c>
      <c r="E492" s="273">
        <v>3</v>
      </c>
      <c r="F492" s="273" t="s">
        <v>7</v>
      </c>
      <c r="G492" s="273" t="s">
        <v>11</v>
      </c>
      <c r="H492" s="273" t="s">
        <v>11</v>
      </c>
    </row>
    <row r="493" spans="1:8" x14ac:dyDescent="0.25">
      <c r="A493" t="s">
        <v>21</v>
      </c>
      <c r="B493" t="s">
        <v>108</v>
      </c>
      <c r="C493" t="s">
        <v>1509</v>
      </c>
      <c r="D493">
        <v>2</v>
      </c>
      <c r="E493" s="273">
        <v>3</v>
      </c>
      <c r="F493" s="273" t="s">
        <v>7</v>
      </c>
      <c r="G493" s="273" t="s">
        <v>11</v>
      </c>
      <c r="H493" s="273" t="s">
        <v>11</v>
      </c>
    </row>
    <row r="494" spans="1:8" x14ac:dyDescent="0.25">
      <c r="A494" t="s">
        <v>21</v>
      </c>
      <c r="B494" t="s">
        <v>108</v>
      </c>
      <c r="C494" t="s">
        <v>1510</v>
      </c>
      <c r="D494">
        <v>2</v>
      </c>
      <c r="E494" s="273">
        <v>3</v>
      </c>
      <c r="F494" s="273" t="s">
        <v>7</v>
      </c>
      <c r="G494" s="273" t="s">
        <v>11</v>
      </c>
      <c r="H494" s="273" t="s">
        <v>11</v>
      </c>
    </row>
    <row r="495" spans="1:8" x14ac:dyDescent="0.25">
      <c r="A495" t="s">
        <v>21</v>
      </c>
      <c r="B495" t="s">
        <v>108</v>
      </c>
      <c r="C495" t="s">
        <v>1511</v>
      </c>
      <c r="D495">
        <v>2</v>
      </c>
      <c r="E495" s="273">
        <v>3</v>
      </c>
      <c r="F495" s="273" t="s">
        <v>7</v>
      </c>
      <c r="G495" s="273" t="s">
        <v>11</v>
      </c>
      <c r="H495" s="273" t="s">
        <v>11</v>
      </c>
    </row>
    <row r="496" spans="1:8" x14ac:dyDescent="0.25">
      <c r="A496" t="s">
        <v>21</v>
      </c>
      <c r="B496" t="s">
        <v>108</v>
      </c>
      <c r="C496" t="s">
        <v>1147</v>
      </c>
      <c r="D496">
        <v>2</v>
      </c>
      <c r="E496" s="273">
        <v>3</v>
      </c>
      <c r="F496" s="273" t="s">
        <v>7</v>
      </c>
      <c r="G496" s="273" t="s">
        <v>11</v>
      </c>
      <c r="H496" s="273" t="s">
        <v>11</v>
      </c>
    </row>
    <row r="497" spans="1:8" x14ac:dyDescent="0.25">
      <c r="A497" t="s">
        <v>21</v>
      </c>
      <c r="B497" t="s">
        <v>108</v>
      </c>
      <c r="C497" t="s">
        <v>1148</v>
      </c>
      <c r="D497">
        <v>3</v>
      </c>
      <c r="E497" s="273">
        <v>3</v>
      </c>
      <c r="F497" s="273" t="s">
        <v>7</v>
      </c>
      <c r="G497" s="273" t="s">
        <v>115</v>
      </c>
      <c r="H497" s="273" t="s">
        <v>11</v>
      </c>
    </row>
    <row r="498" spans="1:8" x14ac:dyDescent="0.25">
      <c r="A498" t="s">
        <v>21</v>
      </c>
      <c r="B498" t="s">
        <v>108</v>
      </c>
      <c r="C498" t="s">
        <v>1512</v>
      </c>
      <c r="D498">
        <v>3</v>
      </c>
      <c r="E498" s="273">
        <v>3</v>
      </c>
      <c r="F498" s="273" t="s">
        <v>7</v>
      </c>
      <c r="G498" s="273" t="s">
        <v>115</v>
      </c>
      <c r="H498" s="273" t="s">
        <v>11</v>
      </c>
    </row>
    <row r="499" spans="1:8" x14ac:dyDescent="0.25">
      <c r="A499" t="s">
        <v>21</v>
      </c>
      <c r="B499" t="s">
        <v>108</v>
      </c>
      <c r="C499" t="s">
        <v>1149</v>
      </c>
      <c r="D499">
        <v>2</v>
      </c>
      <c r="E499" s="273">
        <v>3</v>
      </c>
      <c r="F499" s="273" t="s">
        <v>7</v>
      </c>
      <c r="G499" s="273" t="s">
        <v>11</v>
      </c>
      <c r="H499" s="273" t="s">
        <v>11</v>
      </c>
    </row>
    <row r="500" spans="1:8" x14ac:dyDescent="0.25">
      <c r="A500" t="s">
        <v>21</v>
      </c>
      <c r="B500" t="s">
        <v>108</v>
      </c>
      <c r="C500" t="s">
        <v>1513</v>
      </c>
      <c r="D500">
        <v>2</v>
      </c>
      <c r="E500" s="273">
        <v>3</v>
      </c>
      <c r="F500" s="273" t="s">
        <v>7</v>
      </c>
      <c r="G500" s="273" t="s">
        <v>11</v>
      </c>
      <c r="H500" s="273" t="s">
        <v>11</v>
      </c>
    </row>
    <row r="501" spans="1:8" x14ac:dyDescent="0.25">
      <c r="A501" t="s">
        <v>21</v>
      </c>
      <c r="B501" t="s">
        <v>108</v>
      </c>
      <c r="C501" t="s">
        <v>1514</v>
      </c>
      <c r="D501">
        <v>3</v>
      </c>
      <c r="E501" s="273">
        <v>2</v>
      </c>
      <c r="F501" s="273" t="s">
        <v>7</v>
      </c>
      <c r="G501" s="273" t="s">
        <v>115</v>
      </c>
      <c r="H501" s="273" t="s">
        <v>11</v>
      </c>
    </row>
    <row r="502" spans="1:8" x14ac:dyDescent="0.25">
      <c r="A502" t="s">
        <v>21</v>
      </c>
      <c r="B502" t="s">
        <v>108</v>
      </c>
      <c r="C502" t="s">
        <v>1150</v>
      </c>
      <c r="D502">
        <v>3</v>
      </c>
      <c r="E502" s="273">
        <v>3</v>
      </c>
      <c r="F502" s="273" t="s">
        <v>7</v>
      </c>
      <c r="G502" s="273" t="s">
        <v>11</v>
      </c>
      <c r="H502" s="273" t="s">
        <v>11</v>
      </c>
    </row>
    <row r="503" spans="1:8" x14ac:dyDescent="0.25">
      <c r="A503" t="s">
        <v>21</v>
      </c>
      <c r="B503" t="s">
        <v>108</v>
      </c>
      <c r="C503" t="s">
        <v>1515</v>
      </c>
      <c r="D503">
        <v>3</v>
      </c>
      <c r="E503" s="273">
        <v>3</v>
      </c>
      <c r="F503" s="273" t="s">
        <v>7</v>
      </c>
      <c r="G503" s="273" t="s">
        <v>115</v>
      </c>
      <c r="H503" s="273" t="s">
        <v>11</v>
      </c>
    </row>
    <row r="504" spans="1:8" x14ac:dyDescent="0.25">
      <c r="A504" t="s">
        <v>21</v>
      </c>
      <c r="B504" t="s">
        <v>108</v>
      </c>
      <c r="C504" t="s">
        <v>1253</v>
      </c>
      <c r="D504">
        <v>3</v>
      </c>
      <c r="E504" s="273">
        <v>3</v>
      </c>
      <c r="F504" s="273" t="s">
        <v>7</v>
      </c>
      <c r="G504" s="273" t="s">
        <v>115</v>
      </c>
      <c r="H504" s="273" t="s">
        <v>11</v>
      </c>
    </row>
    <row r="505" spans="1:8" x14ac:dyDescent="0.25">
      <c r="A505" t="s">
        <v>21</v>
      </c>
      <c r="B505" t="s">
        <v>108</v>
      </c>
      <c r="C505" t="s">
        <v>1516</v>
      </c>
      <c r="D505">
        <v>3</v>
      </c>
      <c r="E505" s="273">
        <v>3</v>
      </c>
      <c r="F505" s="273" t="s">
        <v>7</v>
      </c>
      <c r="G505" s="273" t="s">
        <v>11</v>
      </c>
      <c r="H505" s="273" t="s">
        <v>11</v>
      </c>
    </row>
    <row r="506" spans="1:8" x14ac:dyDescent="0.25">
      <c r="A506" t="s">
        <v>21</v>
      </c>
      <c r="B506" t="s">
        <v>108</v>
      </c>
      <c r="C506" t="s">
        <v>1151</v>
      </c>
      <c r="D506">
        <v>2</v>
      </c>
      <c r="E506" s="273">
        <v>3</v>
      </c>
      <c r="F506" s="273" t="s">
        <v>7</v>
      </c>
      <c r="G506" s="273" t="s">
        <v>11</v>
      </c>
      <c r="H506" s="273" t="s">
        <v>11</v>
      </c>
    </row>
    <row r="507" spans="1:8" x14ac:dyDescent="0.25">
      <c r="A507" t="s">
        <v>21</v>
      </c>
      <c r="B507" t="s">
        <v>108</v>
      </c>
      <c r="C507" t="s">
        <v>1517</v>
      </c>
      <c r="D507">
        <v>3</v>
      </c>
      <c r="E507" s="273">
        <v>2</v>
      </c>
      <c r="F507" s="273" t="s">
        <v>7</v>
      </c>
      <c r="G507" s="273" t="s">
        <v>115</v>
      </c>
      <c r="H507" s="273" t="s">
        <v>11</v>
      </c>
    </row>
    <row r="508" spans="1:8" x14ac:dyDescent="0.25">
      <c r="A508" t="s">
        <v>21</v>
      </c>
      <c r="B508" t="s">
        <v>108</v>
      </c>
      <c r="C508" t="s">
        <v>1518</v>
      </c>
      <c r="D508">
        <v>3</v>
      </c>
      <c r="E508" s="273">
        <v>3</v>
      </c>
      <c r="F508" s="273" t="s">
        <v>7</v>
      </c>
      <c r="G508" s="273" t="s">
        <v>115</v>
      </c>
      <c r="H508" s="273" t="s">
        <v>11</v>
      </c>
    </row>
    <row r="509" spans="1:8" x14ac:dyDescent="0.25">
      <c r="A509" t="s">
        <v>21</v>
      </c>
      <c r="B509" t="s">
        <v>108</v>
      </c>
      <c r="C509" t="s">
        <v>1154</v>
      </c>
      <c r="D509">
        <v>3</v>
      </c>
      <c r="E509" s="273">
        <v>3</v>
      </c>
      <c r="F509" s="273" t="s">
        <v>7</v>
      </c>
      <c r="G509" s="273" t="s">
        <v>115</v>
      </c>
      <c r="H509" s="273" t="s">
        <v>11</v>
      </c>
    </row>
    <row r="510" spans="1:8" x14ac:dyDescent="0.25">
      <c r="A510" t="s">
        <v>21</v>
      </c>
      <c r="B510" t="s">
        <v>108</v>
      </c>
      <c r="C510" t="s">
        <v>1433</v>
      </c>
      <c r="D510">
        <v>3</v>
      </c>
      <c r="E510" s="273">
        <v>2</v>
      </c>
      <c r="F510" s="273" t="s">
        <v>7</v>
      </c>
      <c r="G510" s="273" t="s">
        <v>115</v>
      </c>
      <c r="H510" s="273" t="s">
        <v>11</v>
      </c>
    </row>
    <row r="511" spans="1:8" x14ac:dyDescent="0.25">
      <c r="A511" t="s">
        <v>21</v>
      </c>
      <c r="B511" t="s">
        <v>108</v>
      </c>
      <c r="C511" t="s">
        <v>1255</v>
      </c>
      <c r="D511">
        <v>3</v>
      </c>
      <c r="E511" s="273">
        <v>3</v>
      </c>
      <c r="F511" s="273" t="s">
        <v>7</v>
      </c>
      <c r="G511" s="273" t="s">
        <v>11</v>
      </c>
      <c r="H511" s="273" t="s">
        <v>11</v>
      </c>
    </row>
    <row r="512" spans="1:8" x14ac:dyDescent="0.25">
      <c r="A512" t="s">
        <v>21</v>
      </c>
      <c r="B512" t="s">
        <v>108</v>
      </c>
      <c r="C512" t="s">
        <v>1519</v>
      </c>
      <c r="D512">
        <v>3</v>
      </c>
      <c r="E512" s="273">
        <v>2</v>
      </c>
      <c r="F512" s="273" t="s">
        <v>7</v>
      </c>
      <c r="G512" s="273" t="s">
        <v>115</v>
      </c>
      <c r="H512" s="273" t="s">
        <v>11</v>
      </c>
    </row>
    <row r="513" spans="1:8" x14ac:dyDescent="0.25">
      <c r="A513" t="s">
        <v>21</v>
      </c>
      <c r="B513" t="s">
        <v>108</v>
      </c>
      <c r="C513" t="s">
        <v>1156</v>
      </c>
      <c r="D513">
        <v>3</v>
      </c>
      <c r="E513" s="273">
        <v>2</v>
      </c>
      <c r="F513" s="273" t="s">
        <v>7</v>
      </c>
      <c r="G513" s="273" t="s">
        <v>115</v>
      </c>
      <c r="H513" s="273" t="s">
        <v>11</v>
      </c>
    </row>
    <row r="514" spans="1:8" x14ac:dyDescent="0.25">
      <c r="A514" t="s">
        <v>21</v>
      </c>
      <c r="B514" t="s">
        <v>108</v>
      </c>
      <c r="C514" t="s">
        <v>1520</v>
      </c>
      <c r="D514">
        <v>2</v>
      </c>
      <c r="E514" s="273">
        <v>4</v>
      </c>
      <c r="F514" s="273" t="s">
        <v>7</v>
      </c>
      <c r="G514" s="273" t="s">
        <v>11</v>
      </c>
      <c r="H514" s="273" t="s">
        <v>11</v>
      </c>
    </row>
    <row r="515" spans="1:8" x14ac:dyDescent="0.25">
      <c r="A515" t="s">
        <v>21</v>
      </c>
      <c r="B515" t="s">
        <v>108</v>
      </c>
      <c r="C515" t="s">
        <v>1157</v>
      </c>
      <c r="D515">
        <v>3</v>
      </c>
      <c r="E515" s="273">
        <v>3</v>
      </c>
      <c r="F515" s="273" t="s">
        <v>7</v>
      </c>
      <c r="G515" s="273" t="s">
        <v>115</v>
      </c>
      <c r="H515" s="273" t="s">
        <v>11</v>
      </c>
    </row>
    <row r="516" spans="1:8" x14ac:dyDescent="0.25">
      <c r="A516" t="s">
        <v>21</v>
      </c>
      <c r="B516" t="s">
        <v>108</v>
      </c>
      <c r="C516" t="s">
        <v>1158</v>
      </c>
      <c r="D516">
        <v>2</v>
      </c>
      <c r="E516" s="273">
        <v>3</v>
      </c>
      <c r="F516" s="273" t="s">
        <v>7</v>
      </c>
      <c r="G516" s="273" t="s">
        <v>11</v>
      </c>
      <c r="H516" s="273" t="s">
        <v>11</v>
      </c>
    </row>
    <row r="517" spans="1:8" x14ac:dyDescent="0.25">
      <c r="A517" t="s">
        <v>21</v>
      </c>
      <c r="B517" t="s">
        <v>108</v>
      </c>
      <c r="C517" t="s">
        <v>1160</v>
      </c>
      <c r="D517">
        <v>3</v>
      </c>
      <c r="E517" s="273">
        <v>3</v>
      </c>
      <c r="F517" s="273" t="s">
        <v>7</v>
      </c>
      <c r="G517" s="273" t="s">
        <v>115</v>
      </c>
      <c r="H517" s="273" t="s">
        <v>11</v>
      </c>
    </row>
    <row r="518" spans="1:8" x14ac:dyDescent="0.25">
      <c r="A518" t="s">
        <v>21</v>
      </c>
      <c r="B518" t="s">
        <v>108</v>
      </c>
      <c r="C518" t="s">
        <v>1521</v>
      </c>
      <c r="D518">
        <v>3</v>
      </c>
      <c r="E518" s="273">
        <v>3</v>
      </c>
      <c r="F518" s="273" t="s">
        <v>7</v>
      </c>
      <c r="G518" s="273" t="s">
        <v>11</v>
      </c>
      <c r="H518" s="273" t="s">
        <v>11</v>
      </c>
    </row>
    <row r="519" spans="1:8" x14ac:dyDescent="0.25">
      <c r="A519" t="s">
        <v>21</v>
      </c>
      <c r="B519" t="s">
        <v>108</v>
      </c>
      <c r="C519" t="s">
        <v>1522</v>
      </c>
      <c r="D519">
        <v>3</v>
      </c>
      <c r="E519" s="273">
        <v>2</v>
      </c>
      <c r="F519" s="273" t="s">
        <v>7</v>
      </c>
      <c r="G519" s="273" t="s">
        <v>115</v>
      </c>
      <c r="H519" s="273" t="s">
        <v>11</v>
      </c>
    </row>
    <row r="520" spans="1:8" x14ac:dyDescent="0.25">
      <c r="A520" t="s">
        <v>21</v>
      </c>
      <c r="B520" t="s">
        <v>108</v>
      </c>
      <c r="C520" t="s">
        <v>1523</v>
      </c>
      <c r="D520">
        <v>2</v>
      </c>
      <c r="E520" s="273">
        <v>3</v>
      </c>
      <c r="F520" s="273" t="s">
        <v>7</v>
      </c>
      <c r="G520" s="273" t="s">
        <v>11</v>
      </c>
      <c r="H520" s="273" t="s">
        <v>11</v>
      </c>
    </row>
    <row r="521" spans="1:8" x14ac:dyDescent="0.25">
      <c r="A521" t="s">
        <v>21</v>
      </c>
      <c r="B521" t="s">
        <v>108</v>
      </c>
      <c r="C521" t="s">
        <v>1259</v>
      </c>
      <c r="D521">
        <v>3</v>
      </c>
      <c r="E521" s="273">
        <v>2</v>
      </c>
      <c r="F521" s="273" t="s">
        <v>7</v>
      </c>
      <c r="G521" s="273" t="s">
        <v>115</v>
      </c>
      <c r="H521" s="273" t="s">
        <v>11</v>
      </c>
    </row>
    <row r="522" spans="1:8" x14ac:dyDescent="0.25">
      <c r="A522" t="s">
        <v>21</v>
      </c>
      <c r="B522" t="s">
        <v>108</v>
      </c>
      <c r="C522" t="s">
        <v>1524</v>
      </c>
      <c r="D522">
        <v>3</v>
      </c>
      <c r="E522" s="273">
        <v>2</v>
      </c>
      <c r="F522" s="273" t="s">
        <v>7</v>
      </c>
      <c r="G522" s="273" t="s">
        <v>115</v>
      </c>
      <c r="H522" s="273" t="s">
        <v>11</v>
      </c>
    </row>
    <row r="523" spans="1:8" x14ac:dyDescent="0.25">
      <c r="A523" t="s">
        <v>21</v>
      </c>
      <c r="B523" t="s">
        <v>108</v>
      </c>
      <c r="C523" t="s">
        <v>1163</v>
      </c>
      <c r="D523">
        <v>2</v>
      </c>
      <c r="E523" s="273">
        <v>3</v>
      </c>
      <c r="F523" s="273" t="s">
        <v>7</v>
      </c>
      <c r="G523" s="273" t="s">
        <v>11</v>
      </c>
      <c r="H523" s="273" t="s">
        <v>11</v>
      </c>
    </row>
    <row r="524" spans="1:8" x14ac:dyDescent="0.25">
      <c r="A524" t="s">
        <v>21</v>
      </c>
      <c r="B524" t="s">
        <v>108</v>
      </c>
      <c r="C524" t="s">
        <v>1164</v>
      </c>
      <c r="D524">
        <v>3</v>
      </c>
      <c r="E524" s="273">
        <v>3</v>
      </c>
      <c r="F524" s="273" t="s">
        <v>7</v>
      </c>
      <c r="G524" s="273" t="s">
        <v>115</v>
      </c>
      <c r="H524" s="273" t="s">
        <v>11</v>
      </c>
    </row>
    <row r="525" spans="1:8" x14ac:dyDescent="0.25">
      <c r="A525" t="s">
        <v>21</v>
      </c>
      <c r="B525" t="s">
        <v>108</v>
      </c>
      <c r="C525" t="s">
        <v>1165</v>
      </c>
      <c r="D525">
        <v>2</v>
      </c>
      <c r="E525" s="273">
        <v>3</v>
      </c>
      <c r="F525" s="273" t="s">
        <v>7</v>
      </c>
      <c r="G525" s="273" t="s">
        <v>11</v>
      </c>
      <c r="H525" s="273" t="s">
        <v>11</v>
      </c>
    </row>
    <row r="526" spans="1:8" x14ac:dyDescent="0.25">
      <c r="A526" t="s">
        <v>21</v>
      </c>
      <c r="B526" t="s">
        <v>108</v>
      </c>
      <c r="C526" t="s">
        <v>1525</v>
      </c>
      <c r="D526">
        <v>3</v>
      </c>
      <c r="E526" s="273">
        <v>4</v>
      </c>
      <c r="F526" s="273" t="s">
        <v>7</v>
      </c>
      <c r="G526" s="273" t="s">
        <v>11</v>
      </c>
      <c r="H526" s="273" t="s">
        <v>11</v>
      </c>
    </row>
    <row r="527" spans="1:8" x14ac:dyDescent="0.25">
      <c r="A527" t="s">
        <v>21</v>
      </c>
      <c r="B527" t="s">
        <v>108</v>
      </c>
      <c r="C527" t="s">
        <v>1526</v>
      </c>
      <c r="D527">
        <v>3</v>
      </c>
      <c r="E527" s="273">
        <v>3</v>
      </c>
      <c r="F527" s="273" t="s">
        <v>7</v>
      </c>
      <c r="G527" s="273" t="s">
        <v>11</v>
      </c>
      <c r="H527" s="273" t="s">
        <v>11</v>
      </c>
    </row>
    <row r="528" spans="1:8" x14ac:dyDescent="0.25">
      <c r="A528" t="s">
        <v>21</v>
      </c>
      <c r="B528" t="s">
        <v>108</v>
      </c>
      <c r="C528" t="s">
        <v>1262</v>
      </c>
      <c r="D528">
        <v>2</v>
      </c>
      <c r="E528" s="273">
        <v>3</v>
      </c>
      <c r="F528" s="273" t="s">
        <v>7</v>
      </c>
      <c r="G528" s="273" t="s">
        <v>11</v>
      </c>
      <c r="H528" s="273" t="s">
        <v>11</v>
      </c>
    </row>
    <row r="529" spans="1:8" x14ac:dyDescent="0.25">
      <c r="A529" t="s">
        <v>21</v>
      </c>
      <c r="B529" t="s">
        <v>108</v>
      </c>
      <c r="C529" t="s">
        <v>1527</v>
      </c>
      <c r="D529">
        <v>2</v>
      </c>
      <c r="E529" s="273">
        <v>3</v>
      </c>
      <c r="F529" s="273" t="s">
        <v>7</v>
      </c>
      <c r="G529" s="273" t="s">
        <v>11</v>
      </c>
      <c r="H529" s="273" t="s">
        <v>11</v>
      </c>
    </row>
    <row r="530" spans="1:8" x14ac:dyDescent="0.25">
      <c r="A530" t="s">
        <v>21</v>
      </c>
      <c r="B530" t="s">
        <v>108</v>
      </c>
      <c r="C530" t="s">
        <v>1528</v>
      </c>
      <c r="D530">
        <v>2</v>
      </c>
      <c r="E530" s="273">
        <v>3</v>
      </c>
      <c r="F530" s="273" t="s">
        <v>7</v>
      </c>
      <c r="G530" s="273" t="s">
        <v>11</v>
      </c>
      <c r="H530" s="273" t="s">
        <v>11</v>
      </c>
    </row>
    <row r="531" spans="1:8" x14ac:dyDescent="0.25">
      <c r="A531" t="s">
        <v>21</v>
      </c>
      <c r="B531" t="s">
        <v>108</v>
      </c>
      <c r="C531" t="s">
        <v>1529</v>
      </c>
      <c r="D531">
        <v>2</v>
      </c>
      <c r="E531" s="273">
        <v>3</v>
      </c>
      <c r="F531" s="273" t="s">
        <v>7</v>
      </c>
      <c r="G531" s="273" t="s">
        <v>11</v>
      </c>
      <c r="H531" s="273" t="s">
        <v>11</v>
      </c>
    </row>
    <row r="532" spans="1:8" x14ac:dyDescent="0.25">
      <c r="A532" t="s">
        <v>21</v>
      </c>
      <c r="B532" t="s">
        <v>108</v>
      </c>
      <c r="C532" t="s">
        <v>1530</v>
      </c>
      <c r="D532">
        <v>3</v>
      </c>
      <c r="E532" s="273">
        <v>3</v>
      </c>
      <c r="F532" s="273" t="s">
        <v>7</v>
      </c>
      <c r="G532" s="273" t="s">
        <v>115</v>
      </c>
      <c r="H532" s="273" t="s">
        <v>11</v>
      </c>
    </row>
    <row r="533" spans="1:8" x14ac:dyDescent="0.25">
      <c r="A533" t="s">
        <v>21</v>
      </c>
      <c r="B533" t="s">
        <v>108</v>
      </c>
      <c r="C533" t="s">
        <v>1167</v>
      </c>
      <c r="D533">
        <v>2</v>
      </c>
      <c r="E533" s="273">
        <v>4</v>
      </c>
      <c r="F533" s="273" t="s">
        <v>7</v>
      </c>
      <c r="G533" s="273" t="s">
        <v>11</v>
      </c>
      <c r="H533" s="273" t="s">
        <v>11</v>
      </c>
    </row>
    <row r="534" spans="1:8" x14ac:dyDescent="0.25">
      <c r="A534" t="s">
        <v>21</v>
      </c>
      <c r="B534" t="s">
        <v>108</v>
      </c>
      <c r="C534" t="s">
        <v>1531</v>
      </c>
      <c r="D534">
        <v>3</v>
      </c>
      <c r="E534" s="273">
        <v>2</v>
      </c>
      <c r="F534" s="273" t="s">
        <v>7</v>
      </c>
      <c r="G534" s="273" t="s">
        <v>115</v>
      </c>
      <c r="H534" s="273" t="s">
        <v>11</v>
      </c>
    </row>
    <row r="535" spans="1:8" x14ac:dyDescent="0.25">
      <c r="A535" t="s">
        <v>21</v>
      </c>
      <c r="B535" t="s">
        <v>108</v>
      </c>
      <c r="C535" t="s">
        <v>1168</v>
      </c>
      <c r="D535">
        <v>2</v>
      </c>
      <c r="E535" s="273">
        <v>3</v>
      </c>
      <c r="F535" s="273" t="s">
        <v>7</v>
      </c>
      <c r="G535" s="273" t="s">
        <v>11</v>
      </c>
      <c r="H535" s="273" t="s">
        <v>11</v>
      </c>
    </row>
    <row r="536" spans="1:8" x14ac:dyDescent="0.25">
      <c r="A536" t="s">
        <v>21</v>
      </c>
      <c r="B536" t="s">
        <v>108</v>
      </c>
      <c r="C536" t="s">
        <v>1266</v>
      </c>
      <c r="D536">
        <v>3</v>
      </c>
      <c r="E536" s="273">
        <v>3</v>
      </c>
      <c r="F536" s="273" t="s">
        <v>7</v>
      </c>
      <c r="G536" s="273" t="s">
        <v>11</v>
      </c>
      <c r="H536" s="273" t="s">
        <v>11</v>
      </c>
    </row>
    <row r="537" spans="1:8" x14ac:dyDescent="0.25">
      <c r="A537" t="s">
        <v>21</v>
      </c>
      <c r="B537" t="s">
        <v>108</v>
      </c>
      <c r="C537" t="s">
        <v>1269</v>
      </c>
      <c r="D537">
        <v>3</v>
      </c>
      <c r="E537" s="273">
        <v>3</v>
      </c>
      <c r="F537" s="273" t="s">
        <v>7</v>
      </c>
      <c r="G537" s="273" t="s">
        <v>115</v>
      </c>
      <c r="H537" s="273" t="s">
        <v>11</v>
      </c>
    </row>
    <row r="538" spans="1:8" x14ac:dyDescent="0.25">
      <c r="A538" t="s">
        <v>21</v>
      </c>
      <c r="B538" t="s">
        <v>108</v>
      </c>
      <c r="C538" t="s">
        <v>1444</v>
      </c>
      <c r="D538">
        <v>3</v>
      </c>
      <c r="E538" s="273">
        <v>3</v>
      </c>
      <c r="F538" s="273" t="s">
        <v>7</v>
      </c>
      <c r="G538" s="273" t="s">
        <v>11</v>
      </c>
      <c r="H538" s="273" t="s">
        <v>11</v>
      </c>
    </row>
    <row r="539" spans="1:8" x14ac:dyDescent="0.25">
      <c r="A539" t="s">
        <v>21</v>
      </c>
      <c r="B539" t="s">
        <v>108</v>
      </c>
      <c r="C539" t="s">
        <v>1532</v>
      </c>
      <c r="D539">
        <v>3</v>
      </c>
      <c r="E539" s="273">
        <v>3</v>
      </c>
      <c r="F539" s="273" t="s">
        <v>7</v>
      </c>
      <c r="G539" s="273" t="s">
        <v>115</v>
      </c>
      <c r="H539" s="273" t="s">
        <v>11</v>
      </c>
    </row>
    <row r="540" spans="1:8" x14ac:dyDescent="0.25">
      <c r="A540" t="s">
        <v>21</v>
      </c>
      <c r="B540" t="s">
        <v>108</v>
      </c>
      <c r="C540" t="s">
        <v>1533</v>
      </c>
      <c r="D540">
        <v>2</v>
      </c>
      <c r="E540" s="273">
        <v>4</v>
      </c>
      <c r="F540" s="273" t="s">
        <v>7</v>
      </c>
      <c r="G540" s="273" t="s">
        <v>11</v>
      </c>
      <c r="H540" s="273" t="s">
        <v>11</v>
      </c>
    </row>
    <row r="541" spans="1:8" x14ac:dyDescent="0.25">
      <c r="A541" t="s">
        <v>21</v>
      </c>
      <c r="B541" t="s">
        <v>108</v>
      </c>
      <c r="C541" t="s">
        <v>1169</v>
      </c>
      <c r="D541">
        <v>3</v>
      </c>
      <c r="E541" s="273">
        <v>3</v>
      </c>
      <c r="F541" s="273" t="s">
        <v>7</v>
      </c>
      <c r="G541" s="273" t="s">
        <v>115</v>
      </c>
      <c r="H541" s="273" t="s">
        <v>11</v>
      </c>
    </row>
    <row r="542" spans="1:8" x14ac:dyDescent="0.25">
      <c r="A542" t="s">
        <v>21</v>
      </c>
      <c r="B542" t="s">
        <v>108</v>
      </c>
      <c r="C542" t="s">
        <v>1534</v>
      </c>
      <c r="D542">
        <v>2</v>
      </c>
      <c r="E542" s="273">
        <v>3</v>
      </c>
      <c r="F542" s="273" t="s">
        <v>7</v>
      </c>
      <c r="G542" s="273" t="s">
        <v>11</v>
      </c>
      <c r="H542" s="273" t="s">
        <v>11</v>
      </c>
    </row>
    <row r="543" spans="1:8" x14ac:dyDescent="0.25">
      <c r="A543" t="s">
        <v>21</v>
      </c>
      <c r="B543" t="s">
        <v>108</v>
      </c>
      <c r="C543" t="s">
        <v>1535</v>
      </c>
      <c r="D543">
        <v>2</v>
      </c>
      <c r="E543" s="273">
        <v>3</v>
      </c>
      <c r="F543" s="273" t="s">
        <v>7</v>
      </c>
      <c r="G543" s="273" t="s">
        <v>11</v>
      </c>
      <c r="H543" s="273" t="s">
        <v>11</v>
      </c>
    </row>
    <row r="544" spans="1:8" x14ac:dyDescent="0.25">
      <c r="A544" t="s">
        <v>21</v>
      </c>
      <c r="B544" t="s">
        <v>108</v>
      </c>
      <c r="C544" t="s">
        <v>1536</v>
      </c>
      <c r="D544">
        <v>3</v>
      </c>
      <c r="E544" s="273">
        <v>3</v>
      </c>
      <c r="F544" s="273" t="s">
        <v>7</v>
      </c>
      <c r="G544" s="273" t="s">
        <v>115</v>
      </c>
      <c r="H544" s="273" t="s">
        <v>11</v>
      </c>
    </row>
    <row r="545" spans="1:8" x14ac:dyDescent="0.25">
      <c r="A545" t="s">
        <v>21</v>
      </c>
      <c r="B545" t="s">
        <v>108</v>
      </c>
      <c r="C545" t="s">
        <v>1537</v>
      </c>
      <c r="D545">
        <v>3</v>
      </c>
      <c r="E545" s="273">
        <v>3</v>
      </c>
      <c r="F545" s="273" t="s">
        <v>7</v>
      </c>
      <c r="G545" s="273" t="s">
        <v>115</v>
      </c>
      <c r="H545" s="273" t="s">
        <v>11</v>
      </c>
    </row>
    <row r="546" spans="1:8" x14ac:dyDescent="0.25">
      <c r="A546" t="s">
        <v>21</v>
      </c>
      <c r="B546" t="s">
        <v>108</v>
      </c>
      <c r="C546" t="s">
        <v>1449</v>
      </c>
      <c r="D546">
        <v>3</v>
      </c>
      <c r="E546" s="273">
        <v>2</v>
      </c>
      <c r="F546" s="273" t="s">
        <v>7</v>
      </c>
      <c r="G546" s="273" t="s">
        <v>115</v>
      </c>
      <c r="H546" s="273" t="s">
        <v>11</v>
      </c>
    </row>
    <row r="547" spans="1:8" x14ac:dyDescent="0.25">
      <c r="A547" t="s">
        <v>21</v>
      </c>
      <c r="B547" t="s">
        <v>108</v>
      </c>
      <c r="C547" t="s">
        <v>1538</v>
      </c>
      <c r="D547">
        <v>2</v>
      </c>
      <c r="E547" s="273">
        <v>3</v>
      </c>
      <c r="F547" s="273" t="s">
        <v>7</v>
      </c>
      <c r="G547" s="273" t="s">
        <v>11</v>
      </c>
      <c r="H547" s="273" t="s">
        <v>11</v>
      </c>
    </row>
    <row r="548" spans="1:8" x14ac:dyDescent="0.25">
      <c r="A548" t="s">
        <v>21</v>
      </c>
      <c r="B548" t="s">
        <v>108</v>
      </c>
      <c r="C548" t="s">
        <v>1539</v>
      </c>
      <c r="D548">
        <v>2</v>
      </c>
      <c r="E548" s="273">
        <v>4</v>
      </c>
      <c r="F548" s="273" t="s">
        <v>7</v>
      </c>
      <c r="G548" s="273" t="s">
        <v>11</v>
      </c>
      <c r="H548" s="273" t="s">
        <v>11</v>
      </c>
    </row>
    <row r="549" spans="1:8" x14ac:dyDescent="0.25">
      <c r="A549" t="s">
        <v>21</v>
      </c>
      <c r="B549" t="s">
        <v>108</v>
      </c>
      <c r="C549" t="s">
        <v>1540</v>
      </c>
      <c r="D549">
        <v>3</v>
      </c>
      <c r="E549" s="273">
        <v>3</v>
      </c>
      <c r="F549" s="273" t="s">
        <v>7</v>
      </c>
      <c r="G549" s="273" t="s">
        <v>115</v>
      </c>
      <c r="H549" s="273" t="s">
        <v>11</v>
      </c>
    </row>
    <row r="550" spans="1:8" x14ac:dyDescent="0.25">
      <c r="A550" t="s">
        <v>21</v>
      </c>
      <c r="B550" t="s">
        <v>108</v>
      </c>
      <c r="C550" t="s">
        <v>1173</v>
      </c>
      <c r="D550">
        <v>3</v>
      </c>
      <c r="E550" s="273">
        <v>3</v>
      </c>
      <c r="F550" s="273" t="s">
        <v>7</v>
      </c>
      <c r="G550" s="273" t="s">
        <v>115</v>
      </c>
      <c r="H550" s="273" t="s">
        <v>11</v>
      </c>
    </row>
    <row r="551" spans="1:8" x14ac:dyDescent="0.25">
      <c r="A551" t="s">
        <v>21</v>
      </c>
      <c r="B551" t="s">
        <v>108</v>
      </c>
      <c r="C551" t="s">
        <v>1541</v>
      </c>
      <c r="D551">
        <v>2</v>
      </c>
      <c r="E551" s="273">
        <v>3</v>
      </c>
      <c r="F551" s="273" t="s">
        <v>7</v>
      </c>
      <c r="G551" s="273" t="s">
        <v>11</v>
      </c>
      <c r="H551" s="273" t="s">
        <v>11</v>
      </c>
    </row>
    <row r="552" spans="1:8" x14ac:dyDescent="0.25">
      <c r="A552" t="s">
        <v>21</v>
      </c>
      <c r="B552" t="s">
        <v>108</v>
      </c>
      <c r="C552" t="s">
        <v>1542</v>
      </c>
      <c r="D552">
        <v>3</v>
      </c>
      <c r="E552" s="273">
        <v>3</v>
      </c>
      <c r="F552" s="273" t="s">
        <v>7</v>
      </c>
      <c r="G552" s="273" t="s">
        <v>11</v>
      </c>
      <c r="H552" s="273" t="s">
        <v>11</v>
      </c>
    </row>
    <row r="553" spans="1:8" x14ac:dyDescent="0.25">
      <c r="A553" t="s">
        <v>21</v>
      </c>
      <c r="B553" t="s">
        <v>108</v>
      </c>
      <c r="C553" t="s">
        <v>1543</v>
      </c>
      <c r="D553">
        <v>3</v>
      </c>
      <c r="E553" s="273">
        <v>2</v>
      </c>
      <c r="F553" s="273" t="s">
        <v>7</v>
      </c>
      <c r="G553" s="273" t="s">
        <v>115</v>
      </c>
      <c r="H553" s="273" t="s">
        <v>11</v>
      </c>
    </row>
    <row r="554" spans="1:8" x14ac:dyDescent="0.25">
      <c r="A554" t="s">
        <v>21</v>
      </c>
      <c r="B554" t="s">
        <v>108</v>
      </c>
      <c r="C554" t="s">
        <v>1451</v>
      </c>
      <c r="D554">
        <v>3</v>
      </c>
      <c r="E554" s="273">
        <v>3</v>
      </c>
      <c r="F554" s="273" t="s">
        <v>7</v>
      </c>
      <c r="G554" s="273" t="s">
        <v>115</v>
      </c>
      <c r="H554" s="273" t="s">
        <v>11</v>
      </c>
    </row>
    <row r="555" spans="1:8" x14ac:dyDescent="0.25">
      <c r="A555" t="s">
        <v>21</v>
      </c>
      <c r="B555" t="s">
        <v>108</v>
      </c>
      <c r="C555" t="s">
        <v>1544</v>
      </c>
      <c r="D555">
        <v>3</v>
      </c>
      <c r="E555" s="273">
        <v>3</v>
      </c>
      <c r="F555" s="273" t="s">
        <v>7</v>
      </c>
      <c r="G555" s="273" t="s">
        <v>115</v>
      </c>
      <c r="H555" s="273" t="s">
        <v>11</v>
      </c>
    </row>
    <row r="556" spans="1:8" x14ac:dyDescent="0.25">
      <c r="A556" t="s">
        <v>21</v>
      </c>
      <c r="B556" t="s">
        <v>108</v>
      </c>
      <c r="C556" t="s">
        <v>1545</v>
      </c>
      <c r="D556">
        <v>3</v>
      </c>
      <c r="E556" s="273">
        <v>3</v>
      </c>
      <c r="F556" s="273" t="s">
        <v>7</v>
      </c>
      <c r="G556" s="273" t="s">
        <v>115</v>
      </c>
      <c r="H556" s="273" t="s">
        <v>11</v>
      </c>
    </row>
    <row r="557" spans="1:8" x14ac:dyDescent="0.25">
      <c r="A557" t="s">
        <v>21</v>
      </c>
      <c r="B557" t="s">
        <v>108</v>
      </c>
      <c r="C557" t="s">
        <v>1546</v>
      </c>
      <c r="D557">
        <v>3</v>
      </c>
      <c r="E557" s="273">
        <v>2</v>
      </c>
      <c r="F557" s="273" t="s">
        <v>7</v>
      </c>
      <c r="G557" s="273" t="s">
        <v>115</v>
      </c>
      <c r="H557" s="273" t="s">
        <v>11</v>
      </c>
    </row>
    <row r="558" spans="1:8" x14ac:dyDescent="0.25">
      <c r="A558" t="s">
        <v>21</v>
      </c>
      <c r="B558" t="s">
        <v>108</v>
      </c>
      <c r="C558" t="s">
        <v>1547</v>
      </c>
      <c r="D558">
        <v>3</v>
      </c>
      <c r="E558" s="273">
        <v>3</v>
      </c>
      <c r="F558" s="273" t="s">
        <v>7</v>
      </c>
      <c r="G558" s="273" t="s">
        <v>115</v>
      </c>
      <c r="H558" s="273" t="s">
        <v>11</v>
      </c>
    </row>
    <row r="559" spans="1:8" x14ac:dyDescent="0.25">
      <c r="A559" t="s">
        <v>21</v>
      </c>
      <c r="B559" t="s">
        <v>108</v>
      </c>
      <c r="C559" t="s">
        <v>1548</v>
      </c>
      <c r="D559">
        <v>3</v>
      </c>
      <c r="E559" s="273">
        <v>2</v>
      </c>
      <c r="F559" s="273" t="s">
        <v>7</v>
      </c>
      <c r="G559" s="273" t="s">
        <v>115</v>
      </c>
      <c r="H559" s="273" t="s">
        <v>11</v>
      </c>
    </row>
    <row r="560" spans="1:8" x14ac:dyDescent="0.25">
      <c r="A560" t="s">
        <v>21</v>
      </c>
      <c r="B560" t="s">
        <v>108</v>
      </c>
      <c r="C560" t="s">
        <v>1549</v>
      </c>
      <c r="D560">
        <v>2</v>
      </c>
      <c r="E560" s="273">
        <v>4</v>
      </c>
      <c r="F560" s="273" t="s">
        <v>7</v>
      </c>
      <c r="G560" s="273" t="s">
        <v>11</v>
      </c>
      <c r="H560" s="273" t="s">
        <v>11</v>
      </c>
    </row>
    <row r="561" spans="1:8" x14ac:dyDescent="0.25">
      <c r="A561" t="s">
        <v>21</v>
      </c>
      <c r="B561" t="s">
        <v>108</v>
      </c>
      <c r="C561" t="s">
        <v>1550</v>
      </c>
      <c r="D561">
        <v>3</v>
      </c>
      <c r="E561" s="273">
        <v>3</v>
      </c>
      <c r="F561" s="273" t="s">
        <v>7</v>
      </c>
      <c r="G561" s="273" t="s">
        <v>115</v>
      </c>
      <c r="H561" s="273" t="s">
        <v>11</v>
      </c>
    </row>
    <row r="562" spans="1:8" x14ac:dyDescent="0.25">
      <c r="A562" t="s">
        <v>21</v>
      </c>
      <c r="B562" t="s">
        <v>108</v>
      </c>
      <c r="C562" t="s">
        <v>1551</v>
      </c>
      <c r="D562">
        <v>2</v>
      </c>
      <c r="E562" s="273">
        <v>3</v>
      </c>
      <c r="F562" s="273" t="s">
        <v>7</v>
      </c>
      <c r="G562" s="273" t="s">
        <v>11</v>
      </c>
      <c r="H562" s="273" t="s">
        <v>11</v>
      </c>
    </row>
    <row r="563" spans="1:8" x14ac:dyDescent="0.25">
      <c r="A563" t="s">
        <v>21</v>
      </c>
      <c r="B563" t="s">
        <v>108</v>
      </c>
      <c r="C563" t="s">
        <v>1552</v>
      </c>
      <c r="D563">
        <v>3</v>
      </c>
      <c r="E563" s="273">
        <v>3</v>
      </c>
      <c r="F563" s="273" t="s">
        <v>7</v>
      </c>
      <c r="G563" s="273" t="s">
        <v>115</v>
      </c>
      <c r="H563" s="273" t="s">
        <v>11</v>
      </c>
    </row>
    <row r="564" spans="1:8" x14ac:dyDescent="0.25">
      <c r="A564" t="s">
        <v>21</v>
      </c>
      <c r="B564" t="s">
        <v>108</v>
      </c>
      <c r="C564" t="s">
        <v>1553</v>
      </c>
      <c r="D564">
        <v>3</v>
      </c>
      <c r="E564" s="273">
        <v>3</v>
      </c>
      <c r="F564" s="273" t="s">
        <v>7</v>
      </c>
      <c r="G564" s="273" t="s">
        <v>115</v>
      </c>
      <c r="H564" s="273" t="s">
        <v>11</v>
      </c>
    </row>
    <row r="565" spans="1:8" x14ac:dyDescent="0.25">
      <c r="A565" t="s">
        <v>21</v>
      </c>
      <c r="B565" t="s">
        <v>108</v>
      </c>
      <c r="C565" t="s">
        <v>1278</v>
      </c>
      <c r="D565">
        <v>2</v>
      </c>
      <c r="E565" s="273">
        <v>4</v>
      </c>
      <c r="F565" s="273" t="s">
        <v>7</v>
      </c>
      <c r="G565" s="273" t="s">
        <v>11</v>
      </c>
      <c r="H565" s="273" t="s">
        <v>11</v>
      </c>
    </row>
    <row r="566" spans="1:8" x14ac:dyDescent="0.25">
      <c r="A566" t="s">
        <v>21</v>
      </c>
      <c r="B566" t="s">
        <v>108</v>
      </c>
      <c r="C566" t="s">
        <v>1554</v>
      </c>
      <c r="D566">
        <v>2</v>
      </c>
      <c r="E566" s="273">
        <v>3</v>
      </c>
      <c r="F566" s="273" t="s">
        <v>7</v>
      </c>
      <c r="G566" s="273" t="s">
        <v>11</v>
      </c>
      <c r="H566" s="273" t="s">
        <v>11</v>
      </c>
    </row>
    <row r="567" spans="1:8" x14ac:dyDescent="0.25">
      <c r="A567" t="s">
        <v>21</v>
      </c>
      <c r="B567" t="s">
        <v>108</v>
      </c>
      <c r="C567" t="s">
        <v>1177</v>
      </c>
      <c r="D567">
        <v>2</v>
      </c>
      <c r="E567" s="273">
        <v>4</v>
      </c>
      <c r="F567" s="273" t="s">
        <v>7</v>
      </c>
      <c r="G567" s="273" t="s">
        <v>11</v>
      </c>
      <c r="H567" s="273" t="s">
        <v>11</v>
      </c>
    </row>
    <row r="568" spans="1:8" x14ac:dyDescent="0.25">
      <c r="A568" t="s">
        <v>21</v>
      </c>
      <c r="B568" t="s">
        <v>108</v>
      </c>
      <c r="C568" t="s">
        <v>1454</v>
      </c>
      <c r="D568">
        <v>2</v>
      </c>
      <c r="E568" s="273">
        <v>3</v>
      </c>
      <c r="F568" s="273" t="s">
        <v>7</v>
      </c>
      <c r="G568" s="273" t="s">
        <v>11</v>
      </c>
      <c r="H568" s="273" t="s">
        <v>11</v>
      </c>
    </row>
    <row r="569" spans="1:8" x14ac:dyDescent="0.25">
      <c r="A569" t="s">
        <v>21</v>
      </c>
      <c r="B569" t="s">
        <v>108</v>
      </c>
      <c r="C569" t="s">
        <v>1555</v>
      </c>
      <c r="D569">
        <v>3</v>
      </c>
      <c r="E569" s="273">
        <v>2</v>
      </c>
      <c r="F569" s="273" t="s">
        <v>7</v>
      </c>
      <c r="G569" s="273" t="s">
        <v>115</v>
      </c>
      <c r="H569" s="273" t="s">
        <v>11</v>
      </c>
    </row>
    <row r="570" spans="1:8" x14ac:dyDescent="0.25">
      <c r="A570" t="s">
        <v>21</v>
      </c>
      <c r="B570" t="s">
        <v>108</v>
      </c>
      <c r="C570" t="s">
        <v>1556</v>
      </c>
      <c r="D570">
        <v>3</v>
      </c>
      <c r="E570" s="273">
        <v>3</v>
      </c>
      <c r="F570" s="273" t="s">
        <v>7</v>
      </c>
      <c r="G570" s="273" t="s">
        <v>11</v>
      </c>
      <c r="H570" s="273" t="s">
        <v>11</v>
      </c>
    </row>
    <row r="571" spans="1:8" x14ac:dyDescent="0.25">
      <c r="A571" t="s">
        <v>21</v>
      </c>
      <c r="B571" t="s">
        <v>108</v>
      </c>
      <c r="C571" t="s">
        <v>1178</v>
      </c>
      <c r="D571">
        <v>3</v>
      </c>
      <c r="E571" s="273">
        <v>3</v>
      </c>
      <c r="F571" s="273" t="s">
        <v>7</v>
      </c>
      <c r="G571" s="273" t="s">
        <v>11</v>
      </c>
      <c r="H571" s="273" t="s">
        <v>11</v>
      </c>
    </row>
    <row r="572" spans="1:8" x14ac:dyDescent="0.25">
      <c r="A572" t="s">
        <v>21</v>
      </c>
      <c r="B572" t="s">
        <v>108</v>
      </c>
      <c r="C572" t="s">
        <v>1557</v>
      </c>
      <c r="D572">
        <v>3</v>
      </c>
      <c r="E572" s="273">
        <v>2</v>
      </c>
      <c r="F572" s="273" t="s">
        <v>7</v>
      </c>
      <c r="G572" s="273" t="s">
        <v>115</v>
      </c>
      <c r="H572" s="273" t="s">
        <v>11</v>
      </c>
    </row>
    <row r="573" spans="1:8" x14ac:dyDescent="0.25">
      <c r="A573" t="s">
        <v>21</v>
      </c>
      <c r="B573" t="s">
        <v>108</v>
      </c>
      <c r="C573" t="s">
        <v>1558</v>
      </c>
      <c r="D573">
        <v>3</v>
      </c>
      <c r="E573" s="273">
        <v>3</v>
      </c>
      <c r="F573" s="273" t="s">
        <v>7</v>
      </c>
      <c r="G573" s="273" t="s">
        <v>115</v>
      </c>
      <c r="H573" s="273" t="s">
        <v>11</v>
      </c>
    </row>
    <row r="574" spans="1:8" x14ac:dyDescent="0.25">
      <c r="A574" t="s">
        <v>21</v>
      </c>
      <c r="B574" t="s">
        <v>108</v>
      </c>
      <c r="C574" t="s">
        <v>1559</v>
      </c>
      <c r="D574">
        <v>3</v>
      </c>
      <c r="E574" s="273">
        <v>3</v>
      </c>
      <c r="F574" s="273" t="s">
        <v>7</v>
      </c>
      <c r="G574" s="273" t="s">
        <v>115</v>
      </c>
      <c r="H574" s="273" t="s">
        <v>11</v>
      </c>
    </row>
    <row r="575" spans="1:8" x14ac:dyDescent="0.25">
      <c r="A575" t="s">
        <v>21</v>
      </c>
      <c r="B575" t="s">
        <v>108</v>
      </c>
      <c r="C575" t="s">
        <v>1280</v>
      </c>
      <c r="D575">
        <v>2</v>
      </c>
      <c r="E575" s="273">
        <v>4</v>
      </c>
      <c r="F575" s="273" t="s">
        <v>7</v>
      </c>
      <c r="G575" s="273" t="s">
        <v>11</v>
      </c>
      <c r="H575" s="273" t="s">
        <v>11</v>
      </c>
    </row>
    <row r="576" spans="1:8" x14ac:dyDescent="0.25">
      <c r="A576" t="s">
        <v>21</v>
      </c>
      <c r="B576" t="s">
        <v>108</v>
      </c>
      <c r="C576" t="s">
        <v>1560</v>
      </c>
      <c r="D576">
        <v>2</v>
      </c>
      <c r="E576" s="273">
        <v>4</v>
      </c>
      <c r="F576" s="273" t="s">
        <v>7</v>
      </c>
      <c r="G576" s="273" t="s">
        <v>11</v>
      </c>
      <c r="H576" s="273" t="s">
        <v>11</v>
      </c>
    </row>
    <row r="577" spans="1:8" x14ac:dyDescent="0.25">
      <c r="A577" t="s">
        <v>21</v>
      </c>
      <c r="B577" t="s">
        <v>108</v>
      </c>
      <c r="C577" t="s">
        <v>1179</v>
      </c>
      <c r="D577">
        <v>3</v>
      </c>
      <c r="E577" s="273">
        <v>3</v>
      </c>
      <c r="F577" s="273" t="s">
        <v>7</v>
      </c>
      <c r="G577" s="273" t="s">
        <v>115</v>
      </c>
      <c r="H577" s="273" t="s">
        <v>11</v>
      </c>
    </row>
    <row r="578" spans="1:8" x14ac:dyDescent="0.25">
      <c r="A578" t="s">
        <v>21</v>
      </c>
      <c r="B578" t="s">
        <v>108</v>
      </c>
      <c r="C578" t="s">
        <v>1561</v>
      </c>
      <c r="D578">
        <v>3</v>
      </c>
      <c r="E578" s="273">
        <v>3</v>
      </c>
      <c r="F578" s="273" t="s">
        <v>7</v>
      </c>
      <c r="G578" s="273" t="s">
        <v>11</v>
      </c>
      <c r="H578" s="273" t="s">
        <v>11</v>
      </c>
    </row>
    <row r="579" spans="1:8" x14ac:dyDescent="0.25">
      <c r="A579" t="s">
        <v>21</v>
      </c>
      <c r="B579" t="s">
        <v>108</v>
      </c>
      <c r="C579" t="s">
        <v>1562</v>
      </c>
      <c r="D579">
        <v>3</v>
      </c>
      <c r="E579" s="273">
        <v>3</v>
      </c>
      <c r="F579" s="273" t="s">
        <v>7</v>
      </c>
      <c r="G579" s="273" t="s">
        <v>11</v>
      </c>
      <c r="H579" s="273" t="s">
        <v>11</v>
      </c>
    </row>
    <row r="580" spans="1:8" x14ac:dyDescent="0.25">
      <c r="A580" t="s">
        <v>21</v>
      </c>
      <c r="B580" t="s">
        <v>108</v>
      </c>
      <c r="C580" t="s">
        <v>1563</v>
      </c>
      <c r="D580">
        <v>3</v>
      </c>
      <c r="E580" s="273">
        <v>3</v>
      </c>
      <c r="F580" s="273" t="s">
        <v>7</v>
      </c>
      <c r="G580" s="273" t="s">
        <v>115</v>
      </c>
      <c r="H580" s="273" t="s">
        <v>11</v>
      </c>
    </row>
    <row r="581" spans="1:8" x14ac:dyDescent="0.25">
      <c r="A581" t="s">
        <v>66</v>
      </c>
      <c r="C581" t="s">
        <v>1564</v>
      </c>
      <c r="D581" t="s">
        <v>11</v>
      </c>
      <c r="E581" s="273">
        <v>1</v>
      </c>
      <c r="F581" s="273" t="s">
        <v>7</v>
      </c>
      <c r="G581" s="273" t="s">
        <v>115</v>
      </c>
      <c r="H581" s="273" t="s">
        <v>3456</v>
      </c>
    </row>
    <row r="582" spans="1:8" x14ac:dyDescent="0.25">
      <c r="A582" t="s">
        <v>22</v>
      </c>
      <c r="B582" t="s">
        <v>120</v>
      </c>
      <c r="C582" t="s">
        <v>1565</v>
      </c>
      <c r="D582">
        <v>3</v>
      </c>
      <c r="E582" s="273">
        <v>1</v>
      </c>
      <c r="F582" s="273" t="s">
        <v>7</v>
      </c>
      <c r="G582" s="273" t="s">
        <v>115</v>
      </c>
      <c r="H582" s="273" t="s">
        <v>3456</v>
      </c>
    </row>
    <row r="583" spans="1:8" x14ac:dyDescent="0.25">
      <c r="A583" t="s">
        <v>22</v>
      </c>
      <c r="B583" t="s">
        <v>120</v>
      </c>
      <c r="C583" t="s">
        <v>1566</v>
      </c>
      <c r="D583">
        <v>3</v>
      </c>
      <c r="E583" s="273">
        <v>1</v>
      </c>
      <c r="F583" s="273" t="s">
        <v>7</v>
      </c>
      <c r="G583" s="273" t="s">
        <v>115</v>
      </c>
      <c r="H583" s="273" t="s">
        <v>3456</v>
      </c>
    </row>
    <row r="584" spans="1:8" x14ac:dyDescent="0.25">
      <c r="A584" t="s">
        <v>22</v>
      </c>
      <c r="B584" t="s">
        <v>120</v>
      </c>
      <c r="C584" t="s">
        <v>1567</v>
      </c>
      <c r="D584">
        <v>3</v>
      </c>
      <c r="E584" s="273">
        <v>1</v>
      </c>
      <c r="F584" s="273" t="s">
        <v>7</v>
      </c>
      <c r="G584" s="273" t="s">
        <v>115</v>
      </c>
      <c r="H584" s="273" t="s">
        <v>3456</v>
      </c>
    </row>
    <row r="585" spans="1:8" x14ac:dyDescent="0.25">
      <c r="A585" t="s">
        <v>22</v>
      </c>
      <c r="B585" t="s">
        <v>120</v>
      </c>
      <c r="C585" t="s">
        <v>1568</v>
      </c>
      <c r="D585">
        <v>3</v>
      </c>
      <c r="E585" s="273">
        <v>1</v>
      </c>
      <c r="F585" s="273" t="s">
        <v>7</v>
      </c>
      <c r="G585" s="273" t="s">
        <v>115</v>
      </c>
      <c r="H585" s="273" t="s">
        <v>3456</v>
      </c>
    </row>
    <row r="586" spans="1:8" x14ac:dyDescent="0.25">
      <c r="A586" t="s">
        <v>24</v>
      </c>
      <c r="B586" t="s">
        <v>76</v>
      </c>
      <c r="C586" t="s">
        <v>1569</v>
      </c>
      <c r="D586">
        <v>2</v>
      </c>
      <c r="E586" s="273">
        <v>5</v>
      </c>
      <c r="F586" s="273" t="s">
        <v>75</v>
      </c>
      <c r="G586" s="273" t="s">
        <v>11</v>
      </c>
      <c r="H586" s="273" t="s">
        <v>11</v>
      </c>
    </row>
    <row r="587" spans="1:8" x14ac:dyDescent="0.25">
      <c r="A587" t="s">
        <v>24</v>
      </c>
      <c r="B587" t="s">
        <v>76</v>
      </c>
      <c r="C587" t="s">
        <v>1339</v>
      </c>
      <c r="D587">
        <v>3</v>
      </c>
      <c r="E587" s="273">
        <v>6</v>
      </c>
      <c r="F587" s="273" t="s">
        <v>75</v>
      </c>
      <c r="G587" s="273" t="s">
        <v>11</v>
      </c>
      <c r="H587" s="273" t="s">
        <v>11</v>
      </c>
    </row>
    <row r="588" spans="1:8" x14ac:dyDescent="0.25">
      <c r="A588" t="s">
        <v>24</v>
      </c>
      <c r="B588" t="s">
        <v>76</v>
      </c>
      <c r="C588" t="s">
        <v>1570</v>
      </c>
      <c r="D588">
        <v>2</v>
      </c>
      <c r="E588" s="273">
        <v>6</v>
      </c>
      <c r="F588" s="273" t="s">
        <v>75</v>
      </c>
      <c r="G588" s="273" t="s">
        <v>11</v>
      </c>
      <c r="H588" s="273" t="s">
        <v>11</v>
      </c>
    </row>
    <row r="589" spans="1:8" x14ac:dyDescent="0.25">
      <c r="A589" t="s">
        <v>24</v>
      </c>
      <c r="B589" t="s">
        <v>76</v>
      </c>
      <c r="C589" t="s">
        <v>1571</v>
      </c>
      <c r="D589">
        <v>2</v>
      </c>
      <c r="E589" s="273">
        <v>6</v>
      </c>
      <c r="F589" s="273" t="s">
        <v>75</v>
      </c>
      <c r="G589" s="273" t="s">
        <v>11</v>
      </c>
      <c r="H589" s="273" t="s">
        <v>11</v>
      </c>
    </row>
    <row r="590" spans="1:8" x14ac:dyDescent="0.25">
      <c r="A590" t="s">
        <v>24</v>
      </c>
      <c r="B590" t="s">
        <v>76</v>
      </c>
      <c r="C590" t="s">
        <v>1572</v>
      </c>
      <c r="D590">
        <v>1</v>
      </c>
      <c r="E590" s="273">
        <v>5</v>
      </c>
      <c r="F590" s="273" t="s">
        <v>75</v>
      </c>
      <c r="G590" s="273" t="s">
        <v>11</v>
      </c>
      <c r="H590" s="273" t="s">
        <v>11</v>
      </c>
    </row>
    <row r="591" spans="1:8" x14ac:dyDescent="0.25">
      <c r="A591" t="s">
        <v>24</v>
      </c>
      <c r="B591" t="s">
        <v>76</v>
      </c>
      <c r="C591" t="s">
        <v>1573</v>
      </c>
      <c r="D591">
        <v>2</v>
      </c>
      <c r="E591" s="273">
        <v>6</v>
      </c>
      <c r="F591" s="273" t="s">
        <v>75</v>
      </c>
      <c r="G591" s="273" t="s">
        <v>11</v>
      </c>
      <c r="H591" s="273" t="s">
        <v>11</v>
      </c>
    </row>
    <row r="592" spans="1:8" x14ac:dyDescent="0.25">
      <c r="A592" t="s">
        <v>24</v>
      </c>
      <c r="B592" t="s">
        <v>76</v>
      </c>
      <c r="C592" t="s">
        <v>1574</v>
      </c>
      <c r="D592">
        <v>1</v>
      </c>
      <c r="E592" s="273">
        <v>6</v>
      </c>
      <c r="F592" s="273" t="s">
        <v>75</v>
      </c>
      <c r="G592" s="273" t="s">
        <v>11</v>
      </c>
      <c r="H592" s="273" t="s">
        <v>11</v>
      </c>
    </row>
    <row r="593" spans="1:8" x14ac:dyDescent="0.25">
      <c r="A593" t="s">
        <v>24</v>
      </c>
      <c r="B593" t="s">
        <v>76</v>
      </c>
      <c r="C593" t="s">
        <v>1575</v>
      </c>
      <c r="D593">
        <v>1</v>
      </c>
      <c r="E593" s="273">
        <v>6</v>
      </c>
      <c r="F593" s="273" t="s">
        <v>75</v>
      </c>
      <c r="G593" s="273" t="s">
        <v>11</v>
      </c>
      <c r="H593" s="273" t="s">
        <v>11</v>
      </c>
    </row>
    <row r="594" spans="1:8" x14ac:dyDescent="0.25">
      <c r="A594" t="s">
        <v>24</v>
      </c>
      <c r="B594" t="s">
        <v>76</v>
      </c>
      <c r="C594" t="s">
        <v>1576</v>
      </c>
      <c r="D594">
        <v>1</v>
      </c>
      <c r="E594" s="273">
        <v>6</v>
      </c>
      <c r="F594" s="273" t="s">
        <v>75</v>
      </c>
      <c r="G594" s="273" t="s">
        <v>11</v>
      </c>
      <c r="H594" s="273" t="s">
        <v>11</v>
      </c>
    </row>
    <row r="595" spans="1:8" x14ac:dyDescent="0.25">
      <c r="A595" t="s">
        <v>24</v>
      </c>
      <c r="B595" t="s">
        <v>76</v>
      </c>
      <c r="C595" t="s">
        <v>1577</v>
      </c>
      <c r="D595">
        <v>2</v>
      </c>
      <c r="E595" s="273">
        <v>6</v>
      </c>
      <c r="F595" s="273" t="s">
        <v>75</v>
      </c>
      <c r="G595" s="273" t="s">
        <v>11</v>
      </c>
      <c r="H595" s="273" t="s">
        <v>11</v>
      </c>
    </row>
    <row r="596" spans="1:8" x14ac:dyDescent="0.25">
      <c r="A596" t="s">
        <v>24</v>
      </c>
      <c r="B596" t="s">
        <v>76</v>
      </c>
      <c r="C596" t="s">
        <v>1578</v>
      </c>
      <c r="D596">
        <v>1</v>
      </c>
      <c r="E596" s="273">
        <v>6</v>
      </c>
      <c r="F596" s="273" t="s">
        <v>75</v>
      </c>
      <c r="G596" s="273" t="s">
        <v>11</v>
      </c>
      <c r="H596" s="273" t="s">
        <v>11</v>
      </c>
    </row>
    <row r="597" spans="1:8" x14ac:dyDescent="0.25">
      <c r="A597" t="s">
        <v>24</v>
      </c>
      <c r="B597" t="s">
        <v>76</v>
      </c>
      <c r="C597" t="s">
        <v>1286</v>
      </c>
      <c r="D597">
        <v>1</v>
      </c>
      <c r="E597" s="273">
        <v>6</v>
      </c>
      <c r="F597" s="273" t="s">
        <v>75</v>
      </c>
      <c r="G597" s="273" t="s">
        <v>11</v>
      </c>
      <c r="H597" s="273" t="s">
        <v>11</v>
      </c>
    </row>
    <row r="598" spans="1:8" x14ac:dyDescent="0.25">
      <c r="A598" t="s">
        <v>24</v>
      </c>
      <c r="B598" t="s">
        <v>76</v>
      </c>
      <c r="C598" t="s">
        <v>1579</v>
      </c>
      <c r="D598">
        <v>1</v>
      </c>
      <c r="E598" s="273">
        <v>6</v>
      </c>
      <c r="F598" s="273" t="s">
        <v>75</v>
      </c>
      <c r="G598" s="273" t="s">
        <v>11</v>
      </c>
      <c r="H598" s="273" t="s">
        <v>11</v>
      </c>
    </row>
    <row r="599" spans="1:8" x14ac:dyDescent="0.25">
      <c r="A599" t="s">
        <v>24</v>
      </c>
      <c r="B599" t="s">
        <v>76</v>
      </c>
      <c r="C599" t="s">
        <v>1580</v>
      </c>
      <c r="D599">
        <v>2</v>
      </c>
      <c r="E599" s="273">
        <v>5</v>
      </c>
      <c r="F599" s="273" t="s">
        <v>75</v>
      </c>
      <c r="G599" s="273" t="s">
        <v>11</v>
      </c>
      <c r="H599" s="273" t="s">
        <v>11</v>
      </c>
    </row>
    <row r="600" spans="1:8" x14ac:dyDescent="0.25">
      <c r="A600" t="s">
        <v>24</v>
      </c>
      <c r="B600" t="s">
        <v>76</v>
      </c>
      <c r="C600" t="s">
        <v>1581</v>
      </c>
      <c r="D600">
        <v>2</v>
      </c>
      <c r="E600" s="273">
        <v>6</v>
      </c>
      <c r="F600" s="273" t="s">
        <v>75</v>
      </c>
      <c r="G600" s="273" t="s">
        <v>11</v>
      </c>
      <c r="H600" s="273" t="s">
        <v>11</v>
      </c>
    </row>
    <row r="601" spans="1:8" x14ac:dyDescent="0.25">
      <c r="A601" t="s">
        <v>24</v>
      </c>
      <c r="B601" t="s">
        <v>76</v>
      </c>
      <c r="C601" t="s">
        <v>1582</v>
      </c>
      <c r="D601">
        <v>2</v>
      </c>
      <c r="E601" s="273">
        <v>5</v>
      </c>
      <c r="F601" s="273" t="s">
        <v>75</v>
      </c>
      <c r="G601" s="273" t="s">
        <v>11</v>
      </c>
      <c r="H601" s="273" t="s">
        <v>11</v>
      </c>
    </row>
    <row r="602" spans="1:8" x14ac:dyDescent="0.25">
      <c r="A602" t="s">
        <v>24</v>
      </c>
      <c r="B602" t="s">
        <v>76</v>
      </c>
      <c r="C602" t="s">
        <v>1234</v>
      </c>
      <c r="D602">
        <v>1</v>
      </c>
      <c r="E602" s="273">
        <v>6</v>
      </c>
      <c r="F602" s="273" t="s">
        <v>75</v>
      </c>
      <c r="G602" s="273" t="s">
        <v>11</v>
      </c>
      <c r="H602" s="273" t="s">
        <v>11</v>
      </c>
    </row>
    <row r="603" spans="1:8" x14ac:dyDescent="0.25">
      <c r="A603" t="s">
        <v>24</v>
      </c>
      <c r="B603" t="s">
        <v>76</v>
      </c>
      <c r="C603" t="s">
        <v>1583</v>
      </c>
      <c r="D603">
        <v>1</v>
      </c>
      <c r="E603" s="273">
        <v>5</v>
      </c>
      <c r="F603" s="273" t="s">
        <v>75</v>
      </c>
      <c r="G603" s="273" t="s">
        <v>11</v>
      </c>
      <c r="H603" s="273" t="s">
        <v>11</v>
      </c>
    </row>
    <row r="604" spans="1:8" x14ac:dyDescent="0.25">
      <c r="A604" t="s">
        <v>24</v>
      </c>
      <c r="B604" t="s">
        <v>76</v>
      </c>
      <c r="C604" t="s">
        <v>1353</v>
      </c>
      <c r="D604">
        <v>1</v>
      </c>
      <c r="E604" s="273">
        <v>6</v>
      </c>
      <c r="F604" s="273" t="s">
        <v>75</v>
      </c>
      <c r="G604" s="273" t="s">
        <v>11</v>
      </c>
      <c r="H604" s="273" t="s">
        <v>11</v>
      </c>
    </row>
    <row r="605" spans="1:8" x14ac:dyDescent="0.25">
      <c r="A605" t="s">
        <v>24</v>
      </c>
      <c r="B605" t="s">
        <v>76</v>
      </c>
      <c r="C605" t="s">
        <v>1139</v>
      </c>
      <c r="D605">
        <v>1</v>
      </c>
      <c r="E605" s="273">
        <v>5</v>
      </c>
      <c r="F605" s="273" t="s">
        <v>75</v>
      </c>
      <c r="G605" s="273" t="s">
        <v>11</v>
      </c>
      <c r="H605" s="273" t="s">
        <v>11</v>
      </c>
    </row>
    <row r="606" spans="1:8" x14ac:dyDescent="0.25">
      <c r="A606" t="s">
        <v>24</v>
      </c>
      <c r="B606" t="s">
        <v>76</v>
      </c>
      <c r="C606" t="s">
        <v>1143</v>
      </c>
      <c r="D606">
        <v>2</v>
      </c>
      <c r="E606" s="273">
        <v>6</v>
      </c>
      <c r="F606" s="273" t="s">
        <v>75</v>
      </c>
      <c r="G606" s="273" t="s">
        <v>11</v>
      </c>
      <c r="H606" s="273" t="s">
        <v>11</v>
      </c>
    </row>
    <row r="607" spans="1:8" x14ac:dyDescent="0.25">
      <c r="A607" t="s">
        <v>24</v>
      </c>
      <c r="B607" t="s">
        <v>76</v>
      </c>
      <c r="C607" t="s">
        <v>1361</v>
      </c>
      <c r="D607">
        <v>1</v>
      </c>
      <c r="E607" s="273">
        <v>6</v>
      </c>
      <c r="F607" s="273" t="s">
        <v>75</v>
      </c>
      <c r="G607" s="273" t="s">
        <v>11</v>
      </c>
      <c r="H607" s="273" t="s">
        <v>11</v>
      </c>
    </row>
    <row r="608" spans="1:8" x14ac:dyDescent="0.25">
      <c r="A608" t="s">
        <v>24</v>
      </c>
      <c r="B608" t="s">
        <v>76</v>
      </c>
      <c r="C608" t="s">
        <v>1584</v>
      </c>
      <c r="D608">
        <v>3</v>
      </c>
      <c r="E608" s="273">
        <v>5</v>
      </c>
      <c r="F608" s="273" t="s">
        <v>75</v>
      </c>
      <c r="G608" s="273" t="s">
        <v>11</v>
      </c>
      <c r="H608" s="273" t="s">
        <v>11</v>
      </c>
    </row>
    <row r="609" spans="1:8" x14ac:dyDescent="0.25">
      <c r="A609" t="s">
        <v>24</v>
      </c>
      <c r="B609" t="s">
        <v>76</v>
      </c>
      <c r="C609" t="s">
        <v>1585</v>
      </c>
      <c r="D609">
        <v>1</v>
      </c>
      <c r="E609" s="273">
        <v>5</v>
      </c>
      <c r="F609" s="273" t="s">
        <v>75</v>
      </c>
      <c r="G609" s="273" t="s">
        <v>11</v>
      </c>
      <c r="H609" s="273" t="s">
        <v>11</v>
      </c>
    </row>
    <row r="610" spans="1:8" x14ac:dyDescent="0.25">
      <c r="A610" t="s">
        <v>24</v>
      </c>
      <c r="B610" t="s">
        <v>76</v>
      </c>
      <c r="C610" t="s">
        <v>1586</v>
      </c>
      <c r="D610">
        <v>1</v>
      </c>
      <c r="E610" s="273">
        <v>5</v>
      </c>
      <c r="F610" s="273" t="s">
        <v>75</v>
      </c>
      <c r="G610" s="273" t="s">
        <v>11</v>
      </c>
      <c r="H610" s="273" t="s">
        <v>11</v>
      </c>
    </row>
    <row r="611" spans="1:8" x14ac:dyDescent="0.25">
      <c r="A611" t="s">
        <v>24</v>
      </c>
      <c r="B611" t="s">
        <v>76</v>
      </c>
      <c r="C611" t="s">
        <v>1150</v>
      </c>
      <c r="D611">
        <v>2</v>
      </c>
      <c r="E611" s="273">
        <v>6</v>
      </c>
      <c r="F611" s="273" t="s">
        <v>75</v>
      </c>
      <c r="G611" s="273" t="s">
        <v>11</v>
      </c>
      <c r="H611" s="273" t="s">
        <v>11</v>
      </c>
    </row>
    <row r="612" spans="1:8" x14ac:dyDescent="0.25">
      <c r="A612" t="s">
        <v>24</v>
      </c>
      <c r="B612" t="s">
        <v>76</v>
      </c>
      <c r="C612" t="s">
        <v>1587</v>
      </c>
      <c r="D612">
        <v>2</v>
      </c>
      <c r="E612" s="273">
        <v>5</v>
      </c>
      <c r="F612" s="273" t="s">
        <v>75</v>
      </c>
      <c r="G612" s="273" t="s">
        <v>11</v>
      </c>
      <c r="H612" s="273" t="s">
        <v>11</v>
      </c>
    </row>
    <row r="613" spans="1:8" x14ac:dyDescent="0.25">
      <c r="A613" t="s">
        <v>24</v>
      </c>
      <c r="B613" t="s">
        <v>76</v>
      </c>
      <c r="C613" t="s">
        <v>1588</v>
      </c>
      <c r="D613">
        <v>1</v>
      </c>
      <c r="E613" s="273">
        <v>5</v>
      </c>
      <c r="F613" s="273" t="s">
        <v>75</v>
      </c>
      <c r="G613" s="273" t="s">
        <v>11</v>
      </c>
      <c r="H613" s="273" t="s">
        <v>11</v>
      </c>
    </row>
    <row r="614" spans="1:8" x14ac:dyDescent="0.25">
      <c r="A614" t="s">
        <v>24</v>
      </c>
      <c r="B614" t="s">
        <v>76</v>
      </c>
      <c r="C614" t="s">
        <v>1589</v>
      </c>
      <c r="D614">
        <v>1</v>
      </c>
      <c r="E614" s="273">
        <v>5</v>
      </c>
      <c r="F614" s="273" t="s">
        <v>75</v>
      </c>
      <c r="G614" s="273" t="s">
        <v>11</v>
      </c>
      <c r="H614" s="273" t="s">
        <v>11</v>
      </c>
    </row>
    <row r="615" spans="1:8" x14ac:dyDescent="0.25">
      <c r="A615" t="s">
        <v>24</v>
      </c>
      <c r="B615" t="s">
        <v>76</v>
      </c>
      <c r="C615" t="s">
        <v>1590</v>
      </c>
      <c r="D615">
        <v>1</v>
      </c>
      <c r="E615" s="273">
        <v>6</v>
      </c>
      <c r="F615" s="273" t="s">
        <v>75</v>
      </c>
      <c r="G615" s="273" t="s">
        <v>11</v>
      </c>
      <c r="H615" s="273" t="s">
        <v>11</v>
      </c>
    </row>
    <row r="616" spans="1:8" x14ac:dyDescent="0.25">
      <c r="A616" t="s">
        <v>24</v>
      </c>
      <c r="B616" t="s">
        <v>76</v>
      </c>
      <c r="C616" t="s">
        <v>1591</v>
      </c>
      <c r="D616">
        <v>3</v>
      </c>
      <c r="E616" s="273">
        <v>5</v>
      </c>
      <c r="F616" s="273" t="s">
        <v>75</v>
      </c>
      <c r="G616" s="273" t="s">
        <v>11</v>
      </c>
      <c r="H616" s="273" t="s">
        <v>11</v>
      </c>
    </row>
    <row r="617" spans="1:8" x14ac:dyDescent="0.25">
      <c r="A617" t="s">
        <v>24</v>
      </c>
      <c r="B617" t="s">
        <v>76</v>
      </c>
      <c r="C617" t="s">
        <v>1255</v>
      </c>
      <c r="D617">
        <v>2</v>
      </c>
      <c r="E617" s="273">
        <v>5</v>
      </c>
      <c r="F617" s="273" t="s">
        <v>75</v>
      </c>
      <c r="G617" s="273" t="s">
        <v>11</v>
      </c>
      <c r="H617" s="273" t="s">
        <v>11</v>
      </c>
    </row>
    <row r="618" spans="1:8" x14ac:dyDescent="0.25">
      <c r="A618" t="s">
        <v>24</v>
      </c>
      <c r="B618" t="s">
        <v>76</v>
      </c>
      <c r="C618" t="s">
        <v>1158</v>
      </c>
      <c r="D618">
        <v>2</v>
      </c>
      <c r="E618" s="273">
        <v>6</v>
      </c>
      <c r="F618" s="273" t="s">
        <v>75</v>
      </c>
      <c r="G618" s="273" t="s">
        <v>11</v>
      </c>
      <c r="H618" s="273" t="s">
        <v>11</v>
      </c>
    </row>
    <row r="619" spans="1:8" x14ac:dyDescent="0.25">
      <c r="A619" t="s">
        <v>24</v>
      </c>
      <c r="B619" t="s">
        <v>76</v>
      </c>
      <c r="C619" t="s">
        <v>1592</v>
      </c>
      <c r="D619">
        <v>2</v>
      </c>
      <c r="E619" s="273">
        <v>5</v>
      </c>
      <c r="F619" s="273" t="s">
        <v>75</v>
      </c>
      <c r="G619" s="273" t="s">
        <v>11</v>
      </c>
      <c r="H619" s="273" t="s">
        <v>11</v>
      </c>
    </row>
    <row r="620" spans="1:8" x14ac:dyDescent="0.25">
      <c r="A620" t="s">
        <v>24</v>
      </c>
      <c r="B620" t="s">
        <v>76</v>
      </c>
      <c r="C620" t="s">
        <v>1593</v>
      </c>
      <c r="D620">
        <v>3</v>
      </c>
      <c r="E620" s="273">
        <v>5</v>
      </c>
      <c r="F620" s="273" t="s">
        <v>75</v>
      </c>
      <c r="G620" s="273" t="s">
        <v>11</v>
      </c>
      <c r="H620" s="273" t="s">
        <v>11</v>
      </c>
    </row>
    <row r="621" spans="1:8" x14ac:dyDescent="0.25">
      <c r="A621" t="s">
        <v>24</v>
      </c>
      <c r="B621" t="s">
        <v>76</v>
      </c>
      <c r="C621" t="s">
        <v>1594</v>
      </c>
      <c r="D621">
        <v>2</v>
      </c>
      <c r="E621" s="273">
        <v>6</v>
      </c>
      <c r="F621" s="273" t="s">
        <v>75</v>
      </c>
      <c r="G621" s="273" t="s">
        <v>11</v>
      </c>
      <c r="H621" s="273" t="s">
        <v>11</v>
      </c>
    </row>
    <row r="622" spans="1:8" x14ac:dyDescent="0.25">
      <c r="A622" t="s">
        <v>24</v>
      </c>
      <c r="B622" t="s">
        <v>76</v>
      </c>
      <c r="C622" t="s">
        <v>1595</v>
      </c>
      <c r="D622">
        <v>2</v>
      </c>
      <c r="E622" s="273">
        <v>5</v>
      </c>
      <c r="F622" s="273" t="s">
        <v>75</v>
      </c>
      <c r="G622" s="273" t="s">
        <v>11</v>
      </c>
      <c r="H622" s="273" t="s">
        <v>11</v>
      </c>
    </row>
    <row r="623" spans="1:8" x14ac:dyDescent="0.25">
      <c r="A623" t="s">
        <v>24</v>
      </c>
      <c r="B623" t="s">
        <v>76</v>
      </c>
      <c r="C623" t="s">
        <v>1596</v>
      </c>
      <c r="D623">
        <v>2</v>
      </c>
      <c r="E623" s="273">
        <v>5</v>
      </c>
      <c r="F623" s="273" t="s">
        <v>75</v>
      </c>
      <c r="G623" s="273" t="s">
        <v>11</v>
      </c>
      <c r="H623" s="273" t="s">
        <v>11</v>
      </c>
    </row>
    <row r="624" spans="1:8" x14ac:dyDescent="0.25">
      <c r="A624" t="s">
        <v>24</v>
      </c>
      <c r="B624" t="s">
        <v>76</v>
      </c>
      <c r="C624" t="s">
        <v>1597</v>
      </c>
      <c r="D624">
        <v>2</v>
      </c>
      <c r="E624" s="273">
        <v>5</v>
      </c>
      <c r="F624" s="273" t="s">
        <v>75</v>
      </c>
      <c r="G624" s="273" t="s">
        <v>11</v>
      </c>
      <c r="H624" s="273" t="s">
        <v>11</v>
      </c>
    </row>
    <row r="625" spans="1:8" x14ac:dyDescent="0.25">
      <c r="A625" t="s">
        <v>24</v>
      </c>
      <c r="B625" t="s">
        <v>76</v>
      </c>
      <c r="C625" t="s">
        <v>1598</v>
      </c>
      <c r="D625">
        <v>1</v>
      </c>
      <c r="E625" s="273">
        <v>5</v>
      </c>
      <c r="F625" s="273" t="s">
        <v>75</v>
      </c>
      <c r="G625" s="273" t="s">
        <v>11</v>
      </c>
      <c r="H625" s="273" t="s">
        <v>11</v>
      </c>
    </row>
    <row r="626" spans="1:8" x14ac:dyDescent="0.25">
      <c r="A626" t="s">
        <v>24</v>
      </c>
      <c r="B626" t="s">
        <v>76</v>
      </c>
      <c r="C626" t="s">
        <v>1599</v>
      </c>
      <c r="D626">
        <v>2</v>
      </c>
      <c r="E626" s="273">
        <v>6</v>
      </c>
      <c r="F626" s="273" t="s">
        <v>75</v>
      </c>
      <c r="G626" s="273" t="s">
        <v>11</v>
      </c>
      <c r="H626" s="273" t="s">
        <v>11</v>
      </c>
    </row>
    <row r="627" spans="1:8" x14ac:dyDescent="0.25">
      <c r="A627" t="s">
        <v>24</v>
      </c>
      <c r="B627" t="s">
        <v>76</v>
      </c>
      <c r="C627" t="s">
        <v>1600</v>
      </c>
      <c r="D627">
        <v>2</v>
      </c>
      <c r="E627" s="273">
        <v>5</v>
      </c>
      <c r="F627" s="273" t="s">
        <v>75</v>
      </c>
      <c r="G627" s="273" t="s">
        <v>11</v>
      </c>
      <c r="H627" s="273" t="s">
        <v>11</v>
      </c>
    </row>
    <row r="628" spans="1:8" x14ac:dyDescent="0.25">
      <c r="A628" t="s">
        <v>24</v>
      </c>
      <c r="B628" t="s">
        <v>76</v>
      </c>
      <c r="C628" t="s">
        <v>1601</v>
      </c>
      <c r="D628">
        <v>1</v>
      </c>
      <c r="E628" s="273">
        <v>6</v>
      </c>
      <c r="F628" s="273" t="s">
        <v>75</v>
      </c>
      <c r="G628" s="273" t="s">
        <v>11</v>
      </c>
      <c r="H628" s="273" t="s">
        <v>11</v>
      </c>
    </row>
    <row r="629" spans="1:8" x14ac:dyDescent="0.25">
      <c r="A629" t="s">
        <v>24</v>
      </c>
      <c r="B629" t="s">
        <v>76</v>
      </c>
      <c r="C629" t="s">
        <v>1178</v>
      </c>
      <c r="D629">
        <v>3</v>
      </c>
      <c r="E629" s="273">
        <v>5</v>
      </c>
      <c r="F629" s="273" t="s">
        <v>75</v>
      </c>
      <c r="G629" s="273" t="s">
        <v>11</v>
      </c>
      <c r="H629" s="273" t="s">
        <v>11</v>
      </c>
    </row>
    <row r="630" spans="1:8" x14ac:dyDescent="0.25">
      <c r="A630" t="s">
        <v>25</v>
      </c>
      <c r="B630" t="s">
        <v>88</v>
      </c>
      <c r="C630" t="s">
        <v>1339</v>
      </c>
      <c r="D630">
        <v>1</v>
      </c>
      <c r="E630" s="273">
        <v>5</v>
      </c>
      <c r="F630" s="273" t="s">
        <v>7</v>
      </c>
      <c r="G630" s="273" t="s">
        <v>11</v>
      </c>
      <c r="H630" s="273" t="s">
        <v>11</v>
      </c>
    </row>
    <row r="631" spans="1:8" x14ac:dyDescent="0.25">
      <c r="A631" t="s">
        <v>25</v>
      </c>
      <c r="B631" t="s">
        <v>88</v>
      </c>
      <c r="C631" t="s">
        <v>1602</v>
      </c>
      <c r="D631">
        <v>3</v>
      </c>
      <c r="E631" s="273">
        <v>4</v>
      </c>
      <c r="F631" s="273" t="s">
        <v>7</v>
      </c>
      <c r="G631" s="273" t="s">
        <v>11</v>
      </c>
      <c r="H631" s="273" t="s">
        <v>11</v>
      </c>
    </row>
    <row r="632" spans="1:8" x14ac:dyDescent="0.25">
      <c r="A632" t="s">
        <v>25</v>
      </c>
      <c r="B632" t="s">
        <v>88</v>
      </c>
      <c r="C632" t="s">
        <v>1603</v>
      </c>
      <c r="D632">
        <v>2</v>
      </c>
      <c r="E632" s="273">
        <v>4</v>
      </c>
      <c r="F632" s="273" t="s">
        <v>7</v>
      </c>
      <c r="G632" s="273" t="s">
        <v>11</v>
      </c>
      <c r="H632" s="273" t="s">
        <v>11</v>
      </c>
    </row>
    <row r="633" spans="1:8" x14ac:dyDescent="0.25">
      <c r="A633" t="s">
        <v>25</v>
      </c>
      <c r="B633" t="s">
        <v>88</v>
      </c>
      <c r="C633" t="s">
        <v>1230</v>
      </c>
      <c r="D633">
        <v>1</v>
      </c>
      <c r="E633" s="273">
        <v>5</v>
      </c>
      <c r="F633" s="273" t="s">
        <v>7</v>
      </c>
      <c r="G633" s="273" t="s">
        <v>11</v>
      </c>
      <c r="H633" s="273" t="s">
        <v>11</v>
      </c>
    </row>
    <row r="634" spans="1:8" x14ac:dyDescent="0.25">
      <c r="A634" t="s">
        <v>25</v>
      </c>
      <c r="B634" t="s">
        <v>88</v>
      </c>
      <c r="C634" t="s">
        <v>1604</v>
      </c>
      <c r="D634">
        <v>1</v>
      </c>
      <c r="E634" s="273">
        <v>5</v>
      </c>
      <c r="F634" s="273" t="s">
        <v>7</v>
      </c>
      <c r="G634" s="273" t="s">
        <v>11</v>
      </c>
      <c r="H634" s="273" t="s">
        <v>11</v>
      </c>
    </row>
    <row r="635" spans="1:8" x14ac:dyDescent="0.25">
      <c r="A635" t="s">
        <v>25</v>
      </c>
      <c r="B635" t="s">
        <v>88</v>
      </c>
      <c r="C635" t="s">
        <v>1605</v>
      </c>
      <c r="D635">
        <v>1</v>
      </c>
      <c r="E635" s="273">
        <v>5</v>
      </c>
      <c r="F635" s="273" t="s">
        <v>7</v>
      </c>
      <c r="G635" s="273" t="s">
        <v>11</v>
      </c>
      <c r="H635" s="273" t="s">
        <v>11</v>
      </c>
    </row>
    <row r="636" spans="1:8" x14ac:dyDescent="0.25">
      <c r="A636" t="s">
        <v>25</v>
      </c>
      <c r="B636" t="s">
        <v>88</v>
      </c>
      <c r="C636" t="s">
        <v>1121</v>
      </c>
      <c r="D636">
        <v>1</v>
      </c>
      <c r="E636" s="273">
        <v>5</v>
      </c>
      <c r="F636" s="273" t="s">
        <v>7</v>
      </c>
      <c r="G636" s="273" t="s">
        <v>11</v>
      </c>
      <c r="H636" s="273" t="s">
        <v>11</v>
      </c>
    </row>
    <row r="637" spans="1:8" x14ac:dyDescent="0.25">
      <c r="A637" t="s">
        <v>25</v>
      </c>
      <c r="B637" t="s">
        <v>88</v>
      </c>
      <c r="C637" t="s">
        <v>1232</v>
      </c>
      <c r="D637">
        <v>1</v>
      </c>
      <c r="E637" s="273">
        <v>5</v>
      </c>
      <c r="F637" s="273" t="s">
        <v>7</v>
      </c>
      <c r="G637" s="273" t="s">
        <v>11</v>
      </c>
      <c r="H637" s="273" t="s">
        <v>11</v>
      </c>
    </row>
    <row r="638" spans="1:8" x14ac:dyDescent="0.25">
      <c r="A638" t="s">
        <v>25</v>
      </c>
      <c r="B638" t="s">
        <v>88</v>
      </c>
      <c r="C638" t="s">
        <v>1606</v>
      </c>
      <c r="D638">
        <v>1</v>
      </c>
      <c r="E638" s="273">
        <v>5</v>
      </c>
      <c r="F638" s="273" t="s">
        <v>7</v>
      </c>
      <c r="G638" s="273" t="s">
        <v>11</v>
      </c>
      <c r="H638" s="273" t="s">
        <v>11</v>
      </c>
    </row>
    <row r="639" spans="1:8" x14ac:dyDescent="0.25">
      <c r="A639" t="s">
        <v>25</v>
      </c>
      <c r="B639" t="s">
        <v>88</v>
      </c>
      <c r="C639" t="s">
        <v>1607</v>
      </c>
      <c r="D639">
        <v>1</v>
      </c>
      <c r="E639" s="273">
        <v>5</v>
      </c>
      <c r="F639" s="273" t="s">
        <v>7</v>
      </c>
      <c r="G639" s="273" t="s">
        <v>11</v>
      </c>
      <c r="H639" s="273" t="s">
        <v>11</v>
      </c>
    </row>
    <row r="640" spans="1:8" x14ac:dyDescent="0.25">
      <c r="A640" t="s">
        <v>25</v>
      </c>
      <c r="B640" t="s">
        <v>88</v>
      </c>
      <c r="C640" t="s">
        <v>1608</v>
      </c>
      <c r="D640">
        <v>2</v>
      </c>
      <c r="E640" s="273">
        <v>4</v>
      </c>
      <c r="F640" s="273" t="s">
        <v>7</v>
      </c>
      <c r="G640" s="273" t="s">
        <v>11</v>
      </c>
      <c r="H640" s="273" t="s">
        <v>11</v>
      </c>
    </row>
    <row r="641" spans="1:8" x14ac:dyDescent="0.25">
      <c r="A641" t="s">
        <v>25</v>
      </c>
      <c r="B641" t="s">
        <v>88</v>
      </c>
      <c r="C641" t="s">
        <v>1234</v>
      </c>
      <c r="D641">
        <v>2</v>
      </c>
      <c r="E641" s="273">
        <v>5</v>
      </c>
      <c r="F641" s="273" t="s">
        <v>7</v>
      </c>
      <c r="G641" s="273" t="s">
        <v>11</v>
      </c>
      <c r="H641" s="273" t="s">
        <v>11</v>
      </c>
    </row>
    <row r="642" spans="1:8" x14ac:dyDescent="0.25">
      <c r="A642" t="s">
        <v>25</v>
      </c>
      <c r="B642" t="s">
        <v>88</v>
      </c>
      <c r="C642" t="s">
        <v>1127</v>
      </c>
      <c r="D642">
        <v>2</v>
      </c>
      <c r="E642" s="273">
        <v>4</v>
      </c>
      <c r="F642" s="273" t="s">
        <v>7</v>
      </c>
      <c r="G642" s="273" t="s">
        <v>11</v>
      </c>
      <c r="H642" s="273" t="s">
        <v>11</v>
      </c>
    </row>
    <row r="643" spans="1:8" x14ac:dyDescent="0.25">
      <c r="A643" t="s">
        <v>25</v>
      </c>
      <c r="B643" t="s">
        <v>88</v>
      </c>
      <c r="C643" t="s">
        <v>1609</v>
      </c>
      <c r="D643">
        <v>2</v>
      </c>
      <c r="E643" s="273">
        <v>4</v>
      </c>
      <c r="F643" s="273" t="s">
        <v>7</v>
      </c>
      <c r="G643" s="273" t="s">
        <v>11</v>
      </c>
      <c r="H643" s="273" t="s">
        <v>11</v>
      </c>
    </row>
    <row r="644" spans="1:8" x14ac:dyDescent="0.25">
      <c r="A644" t="s">
        <v>25</v>
      </c>
      <c r="B644" t="s">
        <v>88</v>
      </c>
      <c r="C644" t="s">
        <v>1610</v>
      </c>
      <c r="D644">
        <v>1</v>
      </c>
      <c r="E644" s="273">
        <v>5</v>
      </c>
      <c r="F644" s="273" t="s">
        <v>7</v>
      </c>
      <c r="G644" s="273" t="s">
        <v>11</v>
      </c>
      <c r="H644" s="273" t="s">
        <v>11</v>
      </c>
    </row>
    <row r="645" spans="1:8" x14ac:dyDescent="0.25">
      <c r="A645" t="s">
        <v>25</v>
      </c>
      <c r="B645" t="s">
        <v>88</v>
      </c>
      <c r="C645" t="s">
        <v>1481</v>
      </c>
      <c r="D645">
        <v>2</v>
      </c>
      <c r="E645" s="273">
        <v>5</v>
      </c>
      <c r="F645" s="273" t="s">
        <v>7</v>
      </c>
      <c r="G645" s="273" t="s">
        <v>11</v>
      </c>
      <c r="H645" s="273" t="s">
        <v>11</v>
      </c>
    </row>
    <row r="646" spans="1:8" x14ac:dyDescent="0.25">
      <c r="A646" t="s">
        <v>25</v>
      </c>
      <c r="B646" t="s">
        <v>88</v>
      </c>
      <c r="C646" t="s">
        <v>1239</v>
      </c>
      <c r="D646">
        <v>2</v>
      </c>
      <c r="E646" s="273">
        <v>4</v>
      </c>
      <c r="F646" s="273" t="s">
        <v>7</v>
      </c>
      <c r="G646" s="273" t="s">
        <v>11</v>
      </c>
      <c r="H646" s="273" t="s">
        <v>11</v>
      </c>
    </row>
    <row r="647" spans="1:8" x14ac:dyDescent="0.25">
      <c r="A647" t="s">
        <v>25</v>
      </c>
      <c r="B647" t="s">
        <v>88</v>
      </c>
      <c r="C647" t="s">
        <v>1611</v>
      </c>
      <c r="D647">
        <v>2</v>
      </c>
      <c r="E647" s="273">
        <v>5</v>
      </c>
      <c r="F647" s="273" t="s">
        <v>7</v>
      </c>
      <c r="G647" s="273" t="s">
        <v>11</v>
      </c>
      <c r="H647" s="273" t="s">
        <v>11</v>
      </c>
    </row>
    <row r="648" spans="1:8" x14ac:dyDescent="0.25">
      <c r="A648" t="s">
        <v>25</v>
      </c>
      <c r="B648" t="s">
        <v>88</v>
      </c>
      <c r="C648" t="s">
        <v>1487</v>
      </c>
      <c r="D648">
        <v>1</v>
      </c>
      <c r="E648" s="273">
        <v>5</v>
      </c>
      <c r="F648" s="273" t="s">
        <v>7</v>
      </c>
      <c r="G648" s="273" t="s">
        <v>11</v>
      </c>
      <c r="H648" s="273" t="s">
        <v>11</v>
      </c>
    </row>
    <row r="649" spans="1:8" x14ac:dyDescent="0.25">
      <c r="A649" t="s">
        <v>25</v>
      </c>
      <c r="B649" t="s">
        <v>88</v>
      </c>
      <c r="C649" t="s">
        <v>1612</v>
      </c>
      <c r="D649">
        <v>1</v>
      </c>
      <c r="E649" s="273">
        <v>5</v>
      </c>
      <c r="F649" s="273" t="s">
        <v>7</v>
      </c>
      <c r="G649" s="273" t="s">
        <v>11</v>
      </c>
      <c r="H649" s="273" t="s">
        <v>11</v>
      </c>
    </row>
    <row r="650" spans="1:8" x14ac:dyDescent="0.25">
      <c r="A650" t="s">
        <v>25</v>
      </c>
      <c r="B650" t="s">
        <v>88</v>
      </c>
      <c r="C650" t="s">
        <v>1357</v>
      </c>
      <c r="D650">
        <v>1</v>
      </c>
      <c r="E650" s="273">
        <v>5</v>
      </c>
      <c r="F650" s="273" t="s">
        <v>7</v>
      </c>
      <c r="G650" s="273" t="s">
        <v>11</v>
      </c>
      <c r="H650" s="273" t="s">
        <v>11</v>
      </c>
    </row>
    <row r="651" spans="1:8" x14ac:dyDescent="0.25">
      <c r="A651" t="s">
        <v>25</v>
      </c>
      <c r="B651" t="s">
        <v>88</v>
      </c>
      <c r="C651" t="s">
        <v>1613</v>
      </c>
      <c r="D651">
        <v>2</v>
      </c>
      <c r="E651" s="273">
        <v>5</v>
      </c>
      <c r="F651" s="273" t="s">
        <v>7</v>
      </c>
      <c r="G651" s="273" t="s">
        <v>11</v>
      </c>
      <c r="H651" s="273" t="s">
        <v>11</v>
      </c>
    </row>
    <row r="652" spans="1:8" x14ac:dyDescent="0.25">
      <c r="A652" t="s">
        <v>25</v>
      </c>
      <c r="B652" t="s">
        <v>88</v>
      </c>
      <c r="C652" t="s">
        <v>1614</v>
      </c>
      <c r="D652">
        <v>1</v>
      </c>
      <c r="E652" s="273">
        <v>5</v>
      </c>
      <c r="F652" s="273" t="s">
        <v>7</v>
      </c>
      <c r="G652" s="273" t="s">
        <v>11</v>
      </c>
      <c r="H652" s="273" t="s">
        <v>11</v>
      </c>
    </row>
    <row r="653" spans="1:8" x14ac:dyDescent="0.25">
      <c r="A653" t="s">
        <v>25</v>
      </c>
      <c r="B653" t="s">
        <v>88</v>
      </c>
      <c r="C653" t="s">
        <v>1615</v>
      </c>
      <c r="D653">
        <v>2</v>
      </c>
      <c r="E653" s="273">
        <v>4</v>
      </c>
      <c r="F653" s="273" t="s">
        <v>7</v>
      </c>
      <c r="G653" s="273" t="s">
        <v>11</v>
      </c>
      <c r="H653" s="273" t="s">
        <v>11</v>
      </c>
    </row>
    <row r="654" spans="1:8" x14ac:dyDescent="0.25">
      <c r="A654" t="s">
        <v>25</v>
      </c>
      <c r="B654" t="s">
        <v>88</v>
      </c>
      <c r="C654" t="s">
        <v>1493</v>
      </c>
      <c r="D654">
        <v>2</v>
      </c>
      <c r="E654" s="273">
        <v>4</v>
      </c>
      <c r="F654" s="273" t="s">
        <v>7</v>
      </c>
      <c r="G654" s="273" t="s">
        <v>11</v>
      </c>
      <c r="H654" s="273" t="s">
        <v>11</v>
      </c>
    </row>
    <row r="655" spans="1:8" x14ac:dyDescent="0.25">
      <c r="A655" t="s">
        <v>25</v>
      </c>
      <c r="B655" t="s">
        <v>88</v>
      </c>
      <c r="C655" t="s">
        <v>1142</v>
      </c>
      <c r="D655">
        <v>2</v>
      </c>
      <c r="E655" s="273">
        <v>4</v>
      </c>
      <c r="F655" s="273" t="s">
        <v>7</v>
      </c>
      <c r="G655" s="273" t="s">
        <v>11</v>
      </c>
      <c r="H655" s="273" t="s">
        <v>11</v>
      </c>
    </row>
    <row r="656" spans="1:8" x14ac:dyDescent="0.25">
      <c r="A656" t="s">
        <v>25</v>
      </c>
      <c r="B656" t="s">
        <v>88</v>
      </c>
      <c r="C656" t="s">
        <v>1616</v>
      </c>
      <c r="D656">
        <v>1</v>
      </c>
      <c r="E656" s="273">
        <v>5</v>
      </c>
      <c r="F656" s="273" t="s">
        <v>7</v>
      </c>
      <c r="G656" s="273" t="s">
        <v>11</v>
      </c>
      <c r="H656" s="273" t="s">
        <v>11</v>
      </c>
    </row>
    <row r="657" spans="1:8" x14ac:dyDescent="0.25">
      <c r="A657" t="s">
        <v>25</v>
      </c>
      <c r="B657" t="s">
        <v>88</v>
      </c>
      <c r="C657" t="s">
        <v>1143</v>
      </c>
      <c r="D657">
        <v>2</v>
      </c>
      <c r="E657" s="273">
        <v>4</v>
      </c>
      <c r="F657" s="273" t="s">
        <v>7</v>
      </c>
      <c r="G657" s="273" t="s">
        <v>11</v>
      </c>
      <c r="H657" s="273" t="s">
        <v>11</v>
      </c>
    </row>
    <row r="658" spans="1:8" x14ac:dyDescent="0.25">
      <c r="A658" t="s">
        <v>25</v>
      </c>
      <c r="B658" t="s">
        <v>88</v>
      </c>
      <c r="C658" t="s">
        <v>1245</v>
      </c>
      <c r="D658">
        <v>1</v>
      </c>
      <c r="E658" s="273">
        <v>5</v>
      </c>
      <c r="F658" s="273" t="s">
        <v>7</v>
      </c>
      <c r="G658" s="273" t="s">
        <v>11</v>
      </c>
      <c r="H658" s="273" t="s">
        <v>11</v>
      </c>
    </row>
    <row r="659" spans="1:8" x14ac:dyDescent="0.25">
      <c r="A659" t="s">
        <v>25</v>
      </c>
      <c r="B659" t="s">
        <v>88</v>
      </c>
      <c r="C659" t="s">
        <v>1617</v>
      </c>
      <c r="D659">
        <v>2</v>
      </c>
      <c r="E659" s="273">
        <v>4</v>
      </c>
      <c r="F659" s="273" t="s">
        <v>7</v>
      </c>
      <c r="G659" s="273" t="s">
        <v>11</v>
      </c>
      <c r="H659" s="273" t="s">
        <v>11</v>
      </c>
    </row>
    <row r="660" spans="1:8" x14ac:dyDescent="0.25">
      <c r="A660" t="s">
        <v>25</v>
      </c>
      <c r="B660" t="s">
        <v>88</v>
      </c>
      <c r="C660" t="s">
        <v>1145</v>
      </c>
      <c r="D660">
        <v>1</v>
      </c>
      <c r="E660" s="273">
        <v>5</v>
      </c>
      <c r="F660" s="273" t="s">
        <v>7</v>
      </c>
      <c r="G660" s="273" t="s">
        <v>11</v>
      </c>
      <c r="H660" s="273" t="s">
        <v>11</v>
      </c>
    </row>
    <row r="661" spans="1:8" x14ac:dyDescent="0.25">
      <c r="A661" t="s">
        <v>25</v>
      </c>
      <c r="B661" t="s">
        <v>88</v>
      </c>
      <c r="C661" t="s">
        <v>1618</v>
      </c>
      <c r="D661">
        <v>1</v>
      </c>
      <c r="E661" s="273">
        <v>5</v>
      </c>
      <c r="F661" s="273" t="s">
        <v>7</v>
      </c>
      <c r="G661" s="273" t="s">
        <v>11</v>
      </c>
      <c r="H661" s="273" t="s">
        <v>11</v>
      </c>
    </row>
    <row r="662" spans="1:8" x14ac:dyDescent="0.25">
      <c r="A662" t="s">
        <v>25</v>
      </c>
      <c r="B662" t="s">
        <v>88</v>
      </c>
      <c r="C662" t="s">
        <v>1423</v>
      </c>
      <c r="D662">
        <v>2</v>
      </c>
      <c r="E662" s="273">
        <v>4</v>
      </c>
      <c r="F662" s="273" t="s">
        <v>7</v>
      </c>
      <c r="G662" s="273" t="s">
        <v>11</v>
      </c>
      <c r="H662" s="273" t="s">
        <v>11</v>
      </c>
    </row>
    <row r="663" spans="1:8" x14ac:dyDescent="0.25">
      <c r="A663" t="s">
        <v>25</v>
      </c>
      <c r="B663" t="s">
        <v>88</v>
      </c>
      <c r="C663" t="s">
        <v>1507</v>
      </c>
      <c r="D663">
        <v>1</v>
      </c>
      <c r="E663" s="273">
        <v>5</v>
      </c>
      <c r="F663" s="273" t="s">
        <v>7</v>
      </c>
      <c r="G663" s="273" t="s">
        <v>11</v>
      </c>
      <c r="H663" s="273" t="s">
        <v>11</v>
      </c>
    </row>
    <row r="664" spans="1:8" x14ac:dyDescent="0.25">
      <c r="A664" t="s">
        <v>25</v>
      </c>
      <c r="B664" t="s">
        <v>88</v>
      </c>
      <c r="C664" t="s">
        <v>1619</v>
      </c>
      <c r="D664">
        <v>2</v>
      </c>
      <c r="E664" s="273">
        <v>4</v>
      </c>
      <c r="F664" s="273" t="s">
        <v>7</v>
      </c>
      <c r="G664" s="273" t="s">
        <v>11</v>
      </c>
      <c r="H664" s="273" t="s">
        <v>11</v>
      </c>
    </row>
    <row r="665" spans="1:8" x14ac:dyDescent="0.25">
      <c r="A665" t="s">
        <v>25</v>
      </c>
      <c r="B665" t="s">
        <v>88</v>
      </c>
      <c r="C665" t="s">
        <v>1620</v>
      </c>
      <c r="D665">
        <v>1</v>
      </c>
      <c r="E665" s="273">
        <v>5</v>
      </c>
      <c r="F665" s="273" t="s">
        <v>7</v>
      </c>
      <c r="G665" s="273" t="s">
        <v>11</v>
      </c>
      <c r="H665" s="273" t="s">
        <v>11</v>
      </c>
    </row>
    <row r="666" spans="1:8" x14ac:dyDescent="0.25">
      <c r="A666" t="s">
        <v>25</v>
      </c>
      <c r="B666" t="s">
        <v>88</v>
      </c>
      <c r="C666" t="s">
        <v>1147</v>
      </c>
      <c r="D666">
        <v>1</v>
      </c>
      <c r="E666" s="273">
        <v>5</v>
      </c>
      <c r="F666" s="273" t="s">
        <v>7</v>
      </c>
      <c r="G666" s="273" t="s">
        <v>11</v>
      </c>
      <c r="H666" s="273" t="s">
        <v>11</v>
      </c>
    </row>
    <row r="667" spans="1:8" x14ac:dyDescent="0.25">
      <c r="A667" t="s">
        <v>25</v>
      </c>
      <c r="B667" t="s">
        <v>88</v>
      </c>
      <c r="C667" t="s">
        <v>1621</v>
      </c>
      <c r="D667">
        <v>1</v>
      </c>
      <c r="E667" s="273">
        <v>5</v>
      </c>
      <c r="F667" s="273" t="s">
        <v>7</v>
      </c>
      <c r="G667" s="273" t="s">
        <v>11</v>
      </c>
      <c r="H667" s="273" t="s">
        <v>11</v>
      </c>
    </row>
    <row r="668" spans="1:8" x14ac:dyDescent="0.25">
      <c r="A668" t="s">
        <v>25</v>
      </c>
      <c r="B668" t="s">
        <v>88</v>
      </c>
      <c r="C668" t="s">
        <v>1149</v>
      </c>
      <c r="D668">
        <v>2</v>
      </c>
      <c r="E668" s="273">
        <v>4</v>
      </c>
      <c r="F668" s="273" t="s">
        <v>7</v>
      </c>
      <c r="G668" s="273" t="s">
        <v>11</v>
      </c>
      <c r="H668" s="273" t="s">
        <v>11</v>
      </c>
    </row>
    <row r="669" spans="1:8" x14ac:dyDescent="0.25">
      <c r="A669" t="s">
        <v>25</v>
      </c>
      <c r="B669" t="s">
        <v>88</v>
      </c>
      <c r="C669" t="s">
        <v>1513</v>
      </c>
      <c r="D669">
        <v>2</v>
      </c>
      <c r="E669" s="273">
        <v>4</v>
      </c>
      <c r="F669" s="273" t="s">
        <v>7</v>
      </c>
      <c r="G669" s="273" t="s">
        <v>11</v>
      </c>
      <c r="H669" s="273" t="s">
        <v>11</v>
      </c>
    </row>
    <row r="670" spans="1:8" x14ac:dyDescent="0.25">
      <c r="A670" t="s">
        <v>25</v>
      </c>
      <c r="B670" t="s">
        <v>88</v>
      </c>
      <c r="C670" t="s">
        <v>1150</v>
      </c>
      <c r="D670">
        <v>2</v>
      </c>
      <c r="E670" s="273">
        <v>4</v>
      </c>
      <c r="F670" s="273" t="s">
        <v>7</v>
      </c>
      <c r="G670" s="273" t="s">
        <v>11</v>
      </c>
      <c r="H670" s="273" t="s">
        <v>11</v>
      </c>
    </row>
    <row r="671" spans="1:8" x14ac:dyDescent="0.25">
      <c r="A671" t="s">
        <v>25</v>
      </c>
      <c r="B671" t="s">
        <v>88</v>
      </c>
      <c r="C671" t="s">
        <v>1622</v>
      </c>
      <c r="D671">
        <v>1</v>
      </c>
      <c r="E671" s="273">
        <v>5</v>
      </c>
      <c r="F671" s="273" t="s">
        <v>7</v>
      </c>
      <c r="G671" s="273" t="s">
        <v>11</v>
      </c>
      <c r="H671" s="273" t="s">
        <v>11</v>
      </c>
    </row>
    <row r="672" spans="1:8" x14ac:dyDescent="0.25">
      <c r="A672" t="s">
        <v>25</v>
      </c>
      <c r="B672" t="s">
        <v>88</v>
      </c>
      <c r="C672" t="s">
        <v>1623</v>
      </c>
      <c r="D672">
        <v>1</v>
      </c>
      <c r="E672" s="273">
        <v>5</v>
      </c>
      <c r="F672" s="273" t="s">
        <v>7</v>
      </c>
      <c r="G672" s="273" t="s">
        <v>11</v>
      </c>
      <c r="H672" s="273" t="s">
        <v>11</v>
      </c>
    </row>
    <row r="673" spans="1:8" x14ac:dyDescent="0.25">
      <c r="A673" t="s">
        <v>25</v>
      </c>
      <c r="B673" t="s">
        <v>88</v>
      </c>
      <c r="C673" t="s">
        <v>1253</v>
      </c>
      <c r="D673">
        <v>2</v>
      </c>
      <c r="E673" s="273">
        <v>4</v>
      </c>
      <c r="F673" s="273" t="s">
        <v>7</v>
      </c>
      <c r="G673" s="273" t="s">
        <v>11</v>
      </c>
      <c r="H673" s="273" t="s">
        <v>11</v>
      </c>
    </row>
    <row r="674" spans="1:8" x14ac:dyDescent="0.25">
      <c r="A674" t="s">
        <v>25</v>
      </c>
      <c r="B674" t="s">
        <v>88</v>
      </c>
      <c r="C674" t="s">
        <v>1624</v>
      </c>
      <c r="D674">
        <v>1</v>
      </c>
      <c r="E674" s="273">
        <v>5</v>
      </c>
      <c r="F674" s="273" t="s">
        <v>7</v>
      </c>
      <c r="G674" s="273" t="s">
        <v>11</v>
      </c>
      <c r="H674" s="273" t="s">
        <v>11</v>
      </c>
    </row>
    <row r="675" spans="1:8" x14ac:dyDescent="0.25">
      <c r="A675" t="s">
        <v>25</v>
      </c>
      <c r="B675" t="s">
        <v>88</v>
      </c>
      <c r="C675" t="s">
        <v>1625</v>
      </c>
      <c r="D675">
        <v>2</v>
      </c>
      <c r="E675" s="273">
        <v>5</v>
      </c>
      <c r="F675" s="273" t="s">
        <v>7</v>
      </c>
      <c r="G675" s="273" t="s">
        <v>11</v>
      </c>
      <c r="H675" s="273" t="s">
        <v>11</v>
      </c>
    </row>
    <row r="676" spans="1:8" x14ac:dyDescent="0.25">
      <c r="A676" t="s">
        <v>25</v>
      </c>
      <c r="B676" t="s">
        <v>88</v>
      </c>
      <c r="C676" t="s">
        <v>1626</v>
      </c>
      <c r="D676">
        <v>1</v>
      </c>
      <c r="E676" s="273">
        <v>5</v>
      </c>
      <c r="F676" s="273" t="s">
        <v>7</v>
      </c>
      <c r="G676" s="273" t="s">
        <v>11</v>
      </c>
      <c r="H676" s="273" t="s">
        <v>11</v>
      </c>
    </row>
    <row r="677" spans="1:8" x14ac:dyDescent="0.25">
      <c r="A677" t="s">
        <v>25</v>
      </c>
      <c r="B677" t="s">
        <v>88</v>
      </c>
      <c r="C677" t="s">
        <v>1627</v>
      </c>
      <c r="D677">
        <v>1</v>
      </c>
      <c r="E677" s="273">
        <v>5</v>
      </c>
      <c r="F677" s="273" t="s">
        <v>7</v>
      </c>
      <c r="G677" s="273" t="s">
        <v>11</v>
      </c>
      <c r="H677" s="273" t="s">
        <v>11</v>
      </c>
    </row>
    <row r="678" spans="1:8" x14ac:dyDescent="0.25">
      <c r="A678" t="s">
        <v>25</v>
      </c>
      <c r="B678" t="s">
        <v>88</v>
      </c>
      <c r="C678" t="s">
        <v>1628</v>
      </c>
      <c r="D678">
        <v>1</v>
      </c>
      <c r="E678" s="273">
        <v>5</v>
      </c>
      <c r="F678" s="273" t="s">
        <v>7</v>
      </c>
      <c r="G678" s="273" t="s">
        <v>11</v>
      </c>
      <c r="H678" s="273" t="s">
        <v>11</v>
      </c>
    </row>
    <row r="679" spans="1:8" x14ac:dyDescent="0.25">
      <c r="A679" t="s">
        <v>25</v>
      </c>
      <c r="B679" t="s">
        <v>88</v>
      </c>
      <c r="C679" t="s">
        <v>1299</v>
      </c>
      <c r="D679">
        <v>2</v>
      </c>
      <c r="E679" s="273">
        <v>5</v>
      </c>
      <c r="F679" s="273" t="s">
        <v>7</v>
      </c>
      <c r="G679" s="273" t="s">
        <v>11</v>
      </c>
      <c r="H679" s="273" t="s">
        <v>11</v>
      </c>
    </row>
    <row r="680" spans="1:8" x14ac:dyDescent="0.25">
      <c r="A680" t="s">
        <v>25</v>
      </c>
      <c r="B680" t="s">
        <v>88</v>
      </c>
      <c r="C680" t="s">
        <v>1153</v>
      </c>
      <c r="D680">
        <v>2</v>
      </c>
      <c r="E680" s="273">
        <v>4</v>
      </c>
      <c r="F680" s="273" t="s">
        <v>7</v>
      </c>
      <c r="G680" s="273" t="s">
        <v>11</v>
      </c>
      <c r="H680" s="273" t="s">
        <v>11</v>
      </c>
    </row>
    <row r="681" spans="1:8" x14ac:dyDescent="0.25">
      <c r="A681" t="s">
        <v>25</v>
      </c>
      <c r="B681" t="s">
        <v>88</v>
      </c>
      <c r="C681" t="s">
        <v>1154</v>
      </c>
      <c r="D681">
        <v>1</v>
      </c>
      <c r="E681" s="273">
        <v>5</v>
      </c>
      <c r="F681" s="273" t="s">
        <v>7</v>
      </c>
      <c r="G681" s="273" t="s">
        <v>11</v>
      </c>
      <c r="H681" s="273" t="s">
        <v>11</v>
      </c>
    </row>
    <row r="682" spans="1:8" x14ac:dyDescent="0.25">
      <c r="A682" t="s">
        <v>25</v>
      </c>
      <c r="B682" t="s">
        <v>88</v>
      </c>
      <c r="C682" t="s">
        <v>1629</v>
      </c>
      <c r="D682">
        <v>1</v>
      </c>
      <c r="E682" s="273">
        <v>5</v>
      </c>
      <c r="F682" s="273" t="s">
        <v>7</v>
      </c>
      <c r="G682" s="273" t="s">
        <v>11</v>
      </c>
      <c r="H682" s="273" t="s">
        <v>11</v>
      </c>
    </row>
    <row r="683" spans="1:8" x14ac:dyDescent="0.25">
      <c r="A683" t="s">
        <v>25</v>
      </c>
      <c r="B683" t="s">
        <v>88</v>
      </c>
      <c r="C683" t="s">
        <v>1257</v>
      </c>
      <c r="D683">
        <v>1</v>
      </c>
      <c r="E683" s="273">
        <v>5</v>
      </c>
      <c r="F683" s="273" t="s">
        <v>7</v>
      </c>
      <c r="G683" s="273" t="s">
        <v>11</v>
      </c>
      <c r="H683" s="273" t="s">
        <v>11</v>
      </c>
    </row>
    <row r="684" spans="1:8" x14ac:dyDescent="0.25">
      <c r="A684" t="s">
        <v>25</v>
      </c>
      <c r="B684" t="s">
        <v>88</v>
      </c>
      <c r="C684" t="s">
        <v>1157</v>
      </c>
      <c r="D684">
        <v>1</v>
      </c>
      <c r="E684" s="273">
        <v>5</v>
      </c>
      <c r="F684" s="273" t="s">
        <v>7</v>
      </c>
      <c r="G684" s="273" t="s">
        <v>11</v>
      </c>
      <c r="H684" s="273" t="s">
        <v>11</v>
      </c>
    </row>
    <row r="685" spans="1:8" x14ac:dyDescent="0.25">
      <c r="A685" t="s">
        <v>25</v>
      </c>
      <c r="B685" t="s">
        <v>88</v>
      </c>
      <c r="C685" t="s">
        <v>1630</v>
      </c>
      <c r="D685">
        <v>2</v>
      </c>
      <c r="E685" s="273">
        <v>4</v>
      </c>
      <c r="F685" s="273" t="s">
        <v>7</v>
      </c>
      <c r="G685" s="273" t="s">
        <v>11</v>
      </c>
      <c r="H685" s="273" t="s">
        <v>11</v>
      </c>
    </row>
    <row r="686" spans="1:8" x14ac:dyDescent="0.25">
      <c r="A686" t="s">
        <v>25</v>
      </c>
      <c r="B686" t="s">
        <v>88</v>
      </c>
      <c r="C686" t="s">
        <v>1158</v>
      </c>
      <c r="D686">
        <v>2</v>
      </c>
      <c r="E686" s="273">
        <v>4</v>
      </c>
      <c r="F686" s="273" t="s">
        <v>7</v>
      </c>
      <c r="G686" s="273" t="s">
        <v>11</v>
      </c>
      <c r="H686" s="273" t="s">
        <v>11</v>
      </c>
    </row>
    <row r="687" spans="1:8" x14ac:dyDescent="0.25">
      <c r="A687" t="s">
        <v>25</v>
      </c>
      <c r="B687" t="s">
        <v>88</v>
      </c>
      <c r="C687" t="s">
        <v>1160</v>
      </c>
      <c r="D687">
        <v>2</v>
      </c>
      <c r="E687" s="273">
        <v>4</v>
      </c>
      <c r="F687" s="273" t="s">
        <v>7</v>
      </c>
      <c r="G687" s="273" t="s">
        <v>11</v>
      </c>
      <c r="H687" s="273" t="s">
        <v>11</v>
      </c>
    </row>
    <row r="688" spans="1:8" x14ac:dyDescent="0.25">
      <c r="A688" t="s">
        <v>25</v>
      </c>
      <c r="B688" t="s">
        <v>88</v>
      </c>
      <c r="C688" t="s">
        <v>1161</v>
      </c>
      <c r="D688">
        <v>1</v>
      </c>
      <c r="E688" s="273">
        <v>5</v>
      </c>
      <c r="F688" s="273" t="s">
        <v>7</v>
      </c>
      <c r="G688" s="273" t="s">
        <v>11</v>
      </c>
      <c r="H688" s="273" t="s">
        <v>11</v>
      </c>
    </row>
    <row r="689" spans="1:8" x14ac:dyDescent="0.25">
      <c r="A689" t="s">
        <v>25</v>
      </c>
      <c r="B689" t="s">
        <v>88</v>
      </c>
      <c r="C689" t="s">
        <v>1631</v>
      </c>
      <c r="D689">
        <v>1</v>
      </c>
      <c r="E689" s="273">
        <v>5</v>
      </c>
      <c r="F689" s="273" t="s">
        <v>7</v>
      </c>
      <c r="G689" s="273" t="s">
        <v>11</v>
      </c>
      <c r="H689" s="273" t="s">
        <v>11</v>
      </c>
    </row>
    <row r="690" spans="1:8" x14ac:dyDescent="0.25">
      <c r="A690" t="s">
        <v>25</v>
      </c>
      <c r="B690" t="s">
        <v>88</v>
      </c>
      <c r="C690" t="s">
        <v>1632</v>
      </c>
      <c r="D690">
        <v>3</v>
      </c>
      <c r="E690" s="273">
        <v>4</v>
      </c>
      <c r="F690" s="273" t="s">
        <v>7</v>
      </c>
      <c r="G690" s="273" t="s">
        <v>11</v>
      </c>
      <c r="H690" s="273" t="s">
        <v>11</v>
      </c>
    </row>
    <row r="691" spans="1:8" x14ac:dyDescent="0.25">
      <c r="A691" t="s">
        <v>25</v>
      </c>
      <c r="B691" t="s">
        <v>88</v>
      </c>
      <c r="C691" t="s">
        <v>1633</v>
      </c>
      <c r="D691">
        <v>1</v>
      </c>
      <c r="E691" s="273">
        <v>5</v>
      </c>
      <c r="F691" s="273" t="s">
        <v>7</v>
      </c>
      <c r="G691" s="273" t="s">
        <v>11</v>
      </c>
      <c r="H691" s="273" t="s">
        <v>11</v>
      </c>
    </row>
    <row r="692" spans="1:8" x14ac:dyDescent="0.25">
      <c r="A692" t="s">
        <v>25</v>
      </c>
      <c r="B692" t="s">
        <v>88</v>
      </c>
      <c r="C692" t="s">
        <v>1634</v>
      </c>
      <c r="D692">
        <v>2</v>
      </c>
      <c r="E692" s="273">
        <v>5</v>
      </c>
      <c r="F692" s="273" t="s">
        <v>7</v>
      </c>
      <c r="G692" s="273" t="s">
        <v>11</v>
      </c>
      <c r="H692" s="273" t="s">
        <v>11</v>
      </c>
    </row>
    <row r="693" spans="1:8" x14ac:dyDescent="0.25">
      <c r="A693" t="s">
        <v>25</v>
      </c>
      <c r="B693" t="s">
        <v>88</v>
      </c>
      <c r="C693" t="s">
        <v>1635</v>
      </c>
      <c r="D693">
        <v>1</v>
      </c>
      <c r="E693" s="273">
        <v>5</v>
      </c>
      <c r="F693" s="273" t="s">
        <v>7</v>
      </c>
      <c r="G693" s="273" t="s">
        <v>11</v>
      </c>
      <c r="H693" s="273" t="s">
        <v>11</v>
      </c>
    </row>
    <row r="694" spans="1:8" x14ac:dyDescent="0.25">
      <c r="A694" t="s">
        <v>25</v>
      </c>
      <c r="B694" t="s">
        <v>88</v>
      </c>
      <c r="C694" t="s">
        <v>1636</v>
      </c>
      <c r="D694">
        <v>1</v>
      </c>
      <c r="E694" s="273">
        <v>5</v>
      </c>
      <c r="F694" s="273" t="s">
        <v>7</v>
      </c>
      <c r="G694" s="273" t="s">
        <v>11</v>
      </c>
      <c r="H694" s="273" t="s">
        <v>11</v>
      </c>
    </row>
    <row r="695" spans="1:8" x14ac:dyDescent="0.25">
      <c r="A695" t="s">
        <v>25</v>
      </c>
      <c r="B695" t="s">
        <v>88</v>
      </c>
      <c r="C695" t="s">
        <v>1637</v>
      </c>
      <c r="D695">
        <v>1</v>
      </c>
      <c r="E695" s="273">
        <v>5</v>
      </c>
      <c r="F695" s="273" t="s">
        <v>7</v>
      </c>
      <c r="G695" s="273" t="s">
        <v>11</v>
      </c>
      <c r="H695" s="273" t="s">
        <v>11</v>
      </c>
    </row>
    <row r="696" spans="1:8" x14ac:dyDescent="0.25">
      <c r="A696" t="s">
        <v>25</v>
      </c>
      <c r="B696" t="s">
        <v>88</v>
      </c>
      <c r="C696" t="s">
        <v>1163</v>
      </c>
      <c r="D696">
        <v>2</v>
      </c>
      <c r="E696" s="273">
        <v>4</v>
      </c>
      <c r="F696" s="273" t="s">
        <v>7</v>
      </c>
      <c r="G696" s="273" t="s">
        <v>11</v>
      </c>
      <c r="H696" s="273" t="s">
        <v>11</v>
      </c>
    </row>
    <row r="697" spans="1:8" x14ac:dyDescent="0.25">
      <c r="A697" t="s">
        <v>25</v>
      </c>
      <c r="B697" t="s">
        <v>88</v>
      </c>
      <c r="C697" t="s">
        <v>1164</v>
      </c>
      <c r="D697">
        <v>2</v>
      </c>
      <c r="E697" s="273">
        <v>4</v>
      </c>
      <c r="F697" s="273" t="s">
        <v>7</v>
      </c>
      <c r="G697" s="273" t="s">
        <v>11</v>
      </c>
      <c r="H697" s="273" t="s">
        <v>11</v>
      </c>
    </row>
    <row r="698" spans="1:8" x14ac:dyDescent="0.25">
      <c r="A698" t="s">
        <v>25</v>
      </c>
      <c r="B698" t="s">
        <v>88</v>
      </c>
      <c r="C698" t="s">
        <v>1165</v>
      </c>
      <c r="D698">
        <v>1</v>
      </c>
      <c r="E698" s="273">
        <v>5</v>
      </c>
      <c r="F698" s="273" t="s">
        <v>7</v>
      </c>
      <c r="G698" s="273" t="s">
        <v>11</v>
      </c>
      <c r="H698" s="273" t="s">
        <v>11</v>
      </c>
    </row>
    <row r="699" spans="1:8" x14ac:dyDescent="0.25">
      <c r="A699" t="s">
        <v>25</v>
      </c>
      <c r="B699" t="s">
        <v>88</v>
      </c>
      <c r="C699" t="s">
        <v>1638</v>
      </c>
      <c r="D699">
        <v>1</v>
      </c>
      <c r="E699" s="273">
        <v>5</v>
      </c>
      <c r="F699" s="273" t="s">
        <v>7</v>
      </c>
      <c r="G699" s="273" t="s">
        <v>11</v>
      </c>
      <c r="H699" s="273" t="s">
        <v>11</v>
      </c>
    </row>
    <row r="700" spans="1:8" x14ac:dyDescent="0.25">
      <c r="A700" t="s">
        <v>25</v>
      </c>
      <c r="B700" t="s">
        <v>88</v>
      </c>
      <c r="C700" t="s">
        <v>1639</v>
      </c>
      <c r="D700">
        <v>1</v>
      </c>
      <c r="E700" s="273">
        <v>5</v>
      </c>
      <c r="F700" s="273" t="s">
        <v>7</v>
      </c>
      <c r="G700" s="273" t="s">
        <v>11</v>
      </c>
      <c r="H700" s="273" t="s">
        <v>11</v>
      </c>
    </row>
    <row r="701" spans="1:8" x14ac:dyDescent="0.25">
      <c r="A701" t="s">
        <v>25</v>
      </c>
      <c r="B701" t="s">
        <v>88</v>
      </c>
      <c r="C701" t="s">
        <v>1640</v>
      </c>
      <c r="D701">
        <v>1</v>
      </c>
      <c r="E701" s="273">
        <v>5</v>
      </c>
      <c r="F701" s="273" t="s">
        <v>7</v>
      </c>
      <c r="G701" s="273" t="s">
        <v>11</v>
      </c>
      <c r="H701" s="273" t="s">
        <v>11</v>
      </c>
    </row>
    <row r="702" spans="1:8" x14ac:dyDescent="0.25">
      <c r="A702" t="s">
        <v>25</v>
      </c>
      <c r="B702" t="s">
        <v>88</v>
      </c>
      <c r="C702" t="s">
        <v>1166</v>
      </c>
      <c r="D702">
        <v>2</v>
      </c>
      <c r="E702" s="273">
        <v>4</v>
      </c>
      <c r="F702" s="273" t="s">
        <v>7</v>
      </c>
      <c r="G702" s="273" t="s">
        <v>11</v>
      </c>
      <c r="H702" s="273" t="s">
        <v>11</v>
      </c>
    </row>
    <row r="703" spans="1:8" x14ac:dyDescent="0.25">
      <c r="A703" t="s">
        <v>25</v>
      </c>
      <c r="B703" t="s">
        <v>88</v>
      </c>
      <c r="C703" t="s">
        <v>1641</v>
      </c>
      <c r="D703">
        <v>1</v>
      </c>
      <c r="E703" s="273">
        <v>5</v>
      </c>
      <c r="F703" s="273" t="s">
        <v>7</v>
      </c>
      <c r="G703" s="273" t="s">
        <v>11</v>
      </c>
      <c r="H703" s="273" t="s">
        <v>11</v>
      </c>
    </row>
    <row r="704" spans="1:8" x14ac:dyDescent="0.25">
      <c r="A704" t="s">
        <v>25</v>
      </c>
      <c r="B704" t="s">
        <v>88</v>
      </c>
      <c r="C704" t="s">
        <v>1168</v>
      </c>
      <c r="D704">
        <v>1</v>
      </c>
      <c r="E704" s="273">
        <v>5</v>
      </c>
      <c r="F704" s="273" t="s">
        <v>7</v>
      </c>
      <c r="G704" s="273" t="s">
        <v>11</v>
      </c>
      <c r="H704" s="273" t="s">
        <v>11</v>
      </c>
    </row>
    <row r="705" spans="1:8" x14ac:dyDescent="0.25">
      <c r="A705" t="s">
        <v>25</v>
      </c>
      <c r="B705" t="s">
        <v>88</v>
      </c>
      <c r="C705" t="s">
        <v>1267</v>
      </c>
      <c r="D705">
        <v>2</v>
      </c>
      <c r="E705" s="273">
        <v>4</v>
      </c>
      <c r="F705" s="273" t="s">
        <v>7</v>
      </c>
      <c r="G705" s="273" t="s">
        <v>11</v>
      </c>
      <c r="H705" s="273" t="s">
        <v>11</v>
      </c>
    </row>
    <row r="706" spans="1:8" x14ac:dyDescent="0.25">
      <c r="A706" t="s">
        <v>25</v>
      </c>
      <c r="B706" t="s">
        <v>88</v>
      </c>
      <c r="C706" t="s">
        <v>1269</v>
      </c>
      <c r="D706">
        <v>3</v>
      </c>
      <c r="E706" s="273">
        <v>4</v>
      </c>
      <c r="F706" s="273" t="s">
        <v>7</v>
      </c>
      <c r="G706" s="273" t="s">
        <v>11</v>
      </c>
      <c r="H706" s="273" t="s">
        <v>11</v>
      </c>
    </row>
    <row r="707" spans="1:8" x14ac:dyDescent="0.25">
      <c r="A707" t="s">
        <v>25</v>
      </c>
      <c r="B707" t="s">
        <v>88</v>
      </c>
      <c r="C707" t="s">
        <v>1444</v>
      </c>
      <c r="D707">
        <v>1</v>
      </c>
      <c r="E707" s="273">
        <v>5</v>
      </c>
      <c r="F707" s="273" t="s">
        <v>7</v>
      </c>
      <c r="G707" s="273" t="s">
        <v>11</v>
      </c>
      <c r="H707" s="273" t="s">
        <v>11</v>
      </c>
    </row>
    <row r="708" spans="1:8" x14ac:dyDescent="0.25">
      <c r="A708" t="s">
        <v>25</v>
      </c>
      <c r="B708" t="s">
        <v>88</v>
      </c>
      <c r="C708" t="s">
        <v>1169</v>
      </c>
      <c r="D708">
        <v>2</v>
      </c>
      <c r="E708" s="273">
        <v>4</v>
      </c>
      <c r="F708" s="273" t="s">
        <v>7</v>
      </c>
      <c r="G708" s="273" t="s">
        <v>11</v>
      </c>
      <c r="H708" s="273" t="s">
        <v>11</v>
      </c>
    </row>
    <row r="709" spans="1:8" x14ac:dyDescent="0.25">
      <c r="A709" t="s">
        <v>25</v>
      </c>
      <c r="B709" t="s">
        <v>88</v>
      </c>
      <c r="C709" t="s">
        <v>1642</v>
      </c>
      <c r="D709">
        <v>2</v>
      </c>
      <c r="E709" s="273">
        <v>4</v>
      </c>
      <c r="F709" s="273" t="s">
        <v>7</v>
      </c>
      <c r="G709" s="273" t="s">
        <v>11</v>
      </c>
      <c r="H709" s="273" t="s">
        <v>11</v>
      </c>
    </row>
    <row r="710" spans="1:8" x14ac:dyDescent="0.25">
      <c r="A710" t="s">
        <v>25</v>
      </c>
      <c r="B710" t="s">
        <v>88</v>
      </c>
      <c r="C710" t="s">
        <v>1643</v>
      </c>
      <c r="D710">
        <v>1</v>
      </c>
      <c r="E710" s="273">
        <v>5</v>
      </c>
      <c r="F710" s="273" t="s">
        <v>7</v>
      </c>
      <c r="G710" s="273" t="s">
        <v>11</v>
      </c>
      <c r="H710" s="273" t="s">
        <v>11</v>
      </c>
    </row>
    <row r="711" spans="1:8" x14ac:dyDescent="0.25">
      <c r="A711" t="s">
        <v>25</v>
      </c>
      <c r="B711" t="s">
        <v>88</v>
      </c>
      <c r="C711" t="s">
        <v>1171</v>
      </c>
      <c r="D711">
        <v>2</v>
      </c>
      <c r="E711" s="273">
        <v>4</v>
      </c>
      <c r="F711" s="273" t="s">
        <v>7</v>
      </c>
      <c r="G711" s="273" t="s">
        <v>11</v>
      </c>
      <c r="H711" s="273" t="s">
        <v>11</v>
      </c>
    </row>
    <row r="712" spans="1:8" x14ac:dyDescent="0.25">
      <c r="A712" t="s">
        <v>25</v>
      </c>
      <c r="B712" t="s">
        <v>88</v>
      </c>
      <c r="C712" t="s">
        <v>1271</v>
      </c>
      <c r="D712">
        <v>2</v>
      </c>
      <c r="E712" s="273">
        <v>4</v>
      </c>
      <c r="F712" s="273" t="s">
        <v>7</v>
      </c>
      <c r="G712" s="273" t="s">
        <v>11</v>
      </c>
      <c r="H712" s="273" t="s">
        <v>11</v>
      </c>
    </row>
    <row r="713" spans="1:8" x14ac:dyDescent="0.25">
      <c r="A713" t="s">
        <v>25</v>
      </c>
      <c r="B713" t="s">
        <v>88</v>
      </c>
      <c r="C713" t="s">
        <v>1644</v>
      </c>
      <c r="D713">
        <v>1</v>
      </c>
      <c r="E713" s="273">
        <v>5</v>
      </c>
      <c r="F713" s="273" t="s">
        <v>7</v>
      </c>
      <c r="G713" s="273" t="s">
        <v>11</v>
      </c>
      <c r="H713" s="273" t="s">
        <v>11</v>
      </c>
    </row>
    <row r="714" spans="1:8" x14ac:dyDescent="0.25">
      <c r="A714" t="s">
        <v>25</v>
      </c>
      <c r="B714" t="s">
        <v>88</v>
      </c>
      <c r="C714" t="s">
        <v>1645</v>
      </c>
      <c r="D714">
        <v>1</v>
      </c>
      <c r="E714" s="273">
        <v>5</v>
      </c>
      <c r="F714" s="273" t="s">
        <v>7</v>
      </c>
      <c r="G714" s="273" t="s">
        <v>11</v>
      </c>
      <c r="H714" s="273" t="s">
        <v>11</v>
      </c>
    </row>
    <row r="715" spans="1:8" x14ac:dyDescent="0.25">
      <c r="A715" t="s">
        <v>25</v>
      </c>
      <c r="B715" t="s">
        <v>88</v>
      </c>
      <c r="C715" t="s">
        <v>1272</v>
      </c>
      <c r="D715">
        <v>1</v>
      </c>
      <c r="E715" s="273">
        <v>5</v>
      </c>
      <c r="F715" s="273" t="s">
        <v>7</v>
      </c>
      <c r="G715" s="273" t="s">
        <v>11</v>
      </c>
      <c r="H715" s="273" t="s">
        <v>11</v>
      </c>
    </row>
    <row r="716" spans="1:8" x14ac:dyDescent="0.25">
      <c r="A716" t="s">
        <v>25</v>
      </c>
      <c r="B716" t="s">
        <v>88</v>
      </c>
      <c r="C716" t="s">
        <v>1172</v>
      </c>
      <c r="D716">
        <v>2</v>
      </c>
      <c r="E716" s="273">
        <v>4</v>
      </c>
      <c r="F716" s="273" t="s">
        <v>7</v>
      </c>
      <c r="G716" s="273" t="s">
        <v>11</v>
      </c>
      <c r="H716" s="273" t="s">
        <v>11</v>
      </c>
    </row>
    <row r="717" spans="1:8" x14ac:dyDescent="0.25">
      <c r="A717" t="s">
        <v>25</v>
      </c>
      <c r="B717" t="s">
        <v>88</v>
      </c>
      <c r="C717" t="s">
        <v>1646</v>
      </c>
      <c r="D717">
        <v>1</v>
      </c>
      <c r="E717" s="273">
        <v>5</v>
      </c>
      <c r="F717" s="273" t="s">
        <v>7</v>
      </c>
      <c r="G717" s="273" t="s">
        <v>11</v>
      </c>
      <c r="H717" s="273" t="s">
        <v>11</v>
      </c>
    </row>
    <row r="718" spans="1:8" x14ac:dyDescent="0.25">
      <c r="A718" t="s">
        <v>25</v>
      </c>
      <c r="B718" t="s">
        <v>88</v>
      </c>
      <c r="C718" t="s">
        <v>1647</v>
      </c>
      <c r="D718">
        <v>1</v>
      </c>
      <c r="E718" s="273">
        <v>5</v>
      </c>
      <c r="F718" s="273" t="s">
        <v>7</v>
      </c>
      <c r="G718" s="273" t="s">
        <v>11</v>
      </c>
      <c r="H718" s="273" t="s">
        <v>11</v>
      </c>
    </row>
    <row r="719" spans="1:8" x14ac:dyDescent="0.25">
      <c r="A719" t="s">
        <v>25</v>
      </c>
      <c r="B719" t="s">
        <v>88</v>
      </c>
      <c r="C719" t="s">
        <v>1648</v>
      </c>
      <c r="D719">
        <v>1</v>
      </c>
      <c r="E719" s="273">
        <v>5</v>
      </c>
      <c r="F719" s="273" t="s">
        <v>7</v>
      </c>
      <c r="G719" s="273" t="s">
        <v>11</v>
      </c>
      <c r="H719" s="273" t="s">
        <v>11</v>
      </c>
    </row>
    <row r="720" spans="1:8" x14ac:dyDescent="0.25">
      <c r="A720" t="s">
        <v>25</v>
      </c>
      <c r="B720" t="s">
        <v>88</v>
      </c>
      <c r="C720" t="s">
        <v>1278</v>
      </c>
      <c r="D720">
        <v>2</v>
      </c>
      <c r="E720" s="273">
        <v>4</v>
      </c>
      <c r="F720" s="273" t="s">
        <v>7</v>
      </c>
      <c r="G720" s="273" t="s">
        <v>11</v>
      </c>
      <c r="H720" s="273" t="s">
        <v>11</v>
      </c>
    </row>
    <row r="721" spans="1:8" x14ac:dyDescent="0.25">
      <c r="A721" t="s">
        <v>25</v>
      </c>
      <c r="B721" t="s">
        <v>88</v>
      </c>
      <c r="C721" t="s">
        <v>1649</v>
      </c>
      <c r="D721">
        <v>1</v>
      </c>
      <c r="E721" s="273">
        <v>5</v>
      </c>
      <c r="F721" s="273" t="s">
        <v>7</v>
      </c>
      <c r="G721" s="273" t="s">
        <v>11</v>
      </c>
      <c r="H721" s="273" t="s">
        <v>11</v>
      </c>
    </row>
    <row r="722" spans="1:8" x14ac:dyDescent="0.25">
      <c r="A722" t="s">
        <v>25</v>
      </c>
      <c r="B722" t="s">
        <v>88</v>
      </c>
      <c r="C722" t="s">
        <v>1650</v>
      </c>
      <c r="D722">
        <v>2</v>
      </c>
      <c r="E722" s="273">
        <v>4</v>
      </c>
      <c r="F722" s="273" t="s">
        <v>7</v>
      </c>
      <c r="G722" s="273" t="s">
        <v>11</v>
      </c>
      <c r="H722" s="273" t="s">
        <v>11</v>
      </c>
    </row>
    <row r="723" spans="1:8" x14ac:dyDescent="0.25">
      <c r="A723" t="s">
        <v>25</v>
      </c>
      <c r="B723" t="s">
        <v>88</v>
      </c>
      <c r="C723" t="s">
        <v>1556</v>
      </c>
      <c r="D723">
        <v>1</v>
      </c>
      <c r="E723" s="273">
        <v>5</v>
      </c>
      <c r="F723" s="273" t="s">
        <v>7</v>
      </c>
      <c r="G723" s="273" t="s">
        <v>11</v>
      </c>
      <c r="H723" s="273" t="s">
        <v>11</v>
      </c>
    </row>
    <row r="724" spans="1:8" x14ac:dyDescent="0.25">
      <c r="A724" t="s">
        <v>25</v>
      </c>
      <c r="B724" t="s">
        <v>88</v>
      </c>
      <c r="C724" t="s">
        <v>1178</v>
      </c>
      <c r="D724">
        <v>2</v>
      </c>
      <c r="E724" s="273">
        <v>4</v>
      </c>
      <c r="F724" s="273" t="s">
        <v>7</v>
      </c>
      <c r="G724" s="273" t="s">
        <v>11</v>
      </c>
      <c r="H724" s="273" t="s">
        <v>11</v>
      </c>
    </row>
    <row r="725" spans="1:8" x14ac:dyDescent="0.25">
      <c r="A725" t="s">
        <v>25</v>
      </c>
      <c r="B725" t="s">
        <v>88</v>
      </c>
      <c r="C725" t="s">
        <v>1557</v>
      </c>
      <c r="D725">
        <v>2</v>
      </c>
      <c r="E725" s="273">
        <v>4</v>
      </c>
      <c r="F725" s="273" t="s">
        <v>7</v>
      </c>
      <c r="G725" s="273" t="s">
        <v>11</v>
      </c>
      <c r="H725" s="273" t="s">
        <v>11</v>
      </c>
    </row>
    <row r="726" spans="1:8" x14ac:dyDescent="0.25">
      <c r="A726" t="s">
        <v>25</v>
      </c>
      <c r="B726" t="s">
        <v>88</v>
      </c>
      <c r="C726" t="s">
        <v>1280</v>
      </c>
      <c r="D726">
        <v>2</v>
      </c>
      <c r="E726" s="273">
        <v>4</v>
      </c>
      <c r="F726" s="273" t="s">
        <v>7</v>
      </c>
      <c r="G726" s="273" t="s">
        <v>11</v>
      </c>
      <c r="H726" s="273" t="s">
        <v>11</v>
      </c>
    </row>
    <row r="727" spans="1:8" x14ac:dyDescent="0.25">
      <c r="A727" t="s">
        <v>25</v>
      </c>
      <c r="B727" t="s">
        <v>88</v>
      </c>
      <c r="C727" t="s">
        <v>1651</v>
      </c>
      <c r="D727">
        <v>1</v>
      </c>
      <c r="E727" s="273">
        <v>5</v>
      </c>
      <c r="F727" s="273" t="s">
        <v>7</v>
      </c>
      <c r="G727" s="273" t="s">
        <v>11</v>
      </c>
      <c r="H727" s="273" t="s">
        <v>11</v>
      </c>
    </row>
    <row r="728" spans="1:8" x14ac:dyDescent="0.25">
      <c r="A728" t="s">
        <v>25</v>
      </c>
      <c r="B728" t="s">
        <v>88</v>
      </c>
      <c r="C728" t="s">
        <v>1652</v>
      </c>
      <c r="D728">
        <v>2</v>
      </c>
      <c r="E728" s="273">
        <v>5</v>
      </c>
      <c r="F728" s="273" t="s">
        <v>7</v>
      </c>
      <c r="G728" s="273" t="s">
        <v>11</v>
      </c>
      <c r="H728" s="273" t="s">
        <v>11</v>
      </c>
    </row>
    <row r="729" spans="1:8" x14ac:dyDescent="0.25">
      <c r="A729" t="s">
        <v>25</v>
      </c>
      <c r="B729" t="s">
        <v>88</v>
      </c>
      <c r="C729" t="s">
        <v>1653</v>
      </c>
      <c r="D729">
        <v>2</v>
      </c>
      <c r="E729" s="273">
        <v>4</v>
      </c>
      <c r="F729" s="273" t="s">
        <v>7</v>
      </c>
      <c r="G729" s="273" t="s">
        <v>11</v>
      </c>
      <c r="H729" s="273" t="s">
        <v>11</v>
      </c>
    </row>
    <row r="730" spans="1:8" x14ac:dyDescent="0.25">
      <c r="A730" t="s">
        <v>25</v>
      </c>
      <c r="B730" t="s">
        <v>88</v>
      </c>
      <c r="C730" t="s">
        <v>1654</v>
      </c>
      <c r="D730">
        <v>1</v>
      </c>
      <c r="E730" s="273">
        <v>5</v>
      </c>
      <c r="F730" s="273" t="s">
        <v>7</v>
      </c>
      <c r="G730" s="273" t="s">
        <v>11</v>
      </c>
      <c r="H730" s="273" t="s">
        <v>11</v>
      </c>
    </row>
    <row r="731" spans="1:8" x14ac:dyDescent="0.25">
      <c r="A731" t="s">
        <v>25</v>
      </c>
      <c r="B731" t="s">
        <v>88</v>
      </c>
      <c r="C731" t="s">
        <v>1655</v>
      </c>
      <c r="D731">
        <v>1</v>
      </c>
      <c r="E731" s="273">
        <v>5</v>
      </c>
      <c r="F731" s="273" t="s">
        <v>7</v>
      </c>
      <c r="G731" s="273" t="s">
        <v>11</v>
      </c>
      <c r="H731" s="273" t="s">
        <v>11</v>
      </c>
    </row>
    <row r="732" spans="1:8" x14ac:dyDescent="0.25">
      <c r="A732" t="s">
        <v>26</v>
      </c>
      <c r="B732" t="s">
        <v>89</v>
      </c>
      <c r="C732" t="s">
        <v>1339</v>
      </c>
      <c r="D732">
        <v>1</v>
      </c>
      <c r="E732" s="273">
        <v>5</v>
      </c>
      <c r="F732" s="273" t="s">
        <v>7</v>
      </c>
      <c r="G732" s="273" t="s">
        <v>11</v>
      </c>
      <c r="H732" s="273" t="s">
        <v>11</v>
      </c>
    </row>
    <row r="733" spans="1:8" x14ac:dyDescent="0.25">
      <c r="A733" t="s">
        <v>26</v>
      </c>
      <c r="B733" t="s">
        <v>89</v>
      </c>
      <c r="C733" t="s">
        <v>1656</v>
      </c>
      <c r="D733">
        <v>1</v>
      </c>
      <c r="E733" s="273">
        <v>5</v>
      </c>
      <c r="F733" s="273" t="s">
        <v>7</v>
      </c>
      <c r="G733" s="273" t="s">
        <v>11</v>
      </c>
      <c r="H733" s="273" t="s">
        <v>11</v>
      </c>
    </row>
    <row r="734" spans="1:8" x14ac:dyDescent="0.25">
      <c r="A734" t="s">
        <v>26</v>
      </c>
      <c r="B734" t="s">
        <v>89</v>
      </c>
      <c r="C734" t="s">
        <v>1657</v>
      </c>
      <c r="D734">
        <v>1</v>
      </c>
      <c r="E734" s="273">
        <v>5</v>
      </c>
      <c r="F734" s="273" t="s">
        <v>7</v>
      </c>
      <c r="G734" s="273" t="s">
        <v>11</v>
      </c>
      <c r="H734" s="273" t="s">
        <v>11</v>
      </c>
    </row>
    <row r="735" spans="1:8" x14ac:dyDescent="0.25">
      <c r="A735" t="s">
        <v>26</v>
      </c>
      <c r="B735" t="s">
        <v>89</v>
      </c>
      <c r="C735" t="s">
        <v>1229</v>
      </c>
      <c r="D735">
        <v>1</v>
      </c>
      <c r="E735" s="273">
        <v>5</v>
      </c>
      <c r="F735" s="273" t="s">
        <v>7</v>
      </c>
      <c r="G735" s="273" t="s">
        <v>11</v>
      </c>
      <c r="H735" s="273" t="s">
        <v>11</v>
      </c>
    </row>
    <row r="736" spans="1:8" x14ac:dyDescent="0.25">
      <c r="A736" t="s">
        <v>26</v>
      </c>
      <c r="B736" t="s">
        <v>89</v>
      </c>
      <c r="C736" t="s">
        <v>1658</v>
      </c>
      <c r="D736">
        <v>1</v>
      </c>
      <c r="E736" s="273">
        <v>5</v>
      </c>
      <c r="F736" s="273" t="s">
        <v>7</v>
      </c>
      <c r="G736" s="273" t="s">
        <v>11</v>
      </c>
      <c r="H736" s="273" t="s">
        <v>11</v>
      </c>
    </row>
    <row r="737" spans="1:8" x14ac:dyDescent="0.25">
      <c r="A737" t="s">
        <v>26</v>
      </c>
      <c r="B737" t="s">
        <v>89</v>
      </c>
      <c r="C737" t="s">
        <v>1230</v>
      </c>
      <c r="D737">
        <v>1</v>
      </c>
      <c r="E737" s="273">
        <v>5</v>
      </c>
      <c r="F737" s="273" t="s">
        <v>7</v>
      </c>
      <c r="G737" s="273" t="s">
        <v>11</v>
      </c>
      <c r="H737" s="273" t="s">
        <v>11</v>
      </c>
    </row>
    <row r="738" spans="1:8" x14ac:dyDescent="0.25">
      <c r="A738" t="s">
        <v>26</v>
      </c>
      <c r="B738" t="s">
        <v>89</v>
      </c>
      <c r="C738" t="s">
        <v>1604</v>
      </c>
      <c r="D738">
        <v>2</v>
      </c>
      <c r="E738" s="273">
        <v>4</v>
      </c>
      <c r="F738" s="273" t="s">
        <v>7</v>
      </c>
      <c r="G738" s="273" t="s">
        <v>11</v>
      </c>
      <c r="H738" s="273" t="s">
        <v>11</v>
      </c>
    </row>
    <row r="739" spans="1:8" x14ac:dyDescent="0.25">
      <c r="A739" t="s">
        <v>26</v>
      </c>
      <c r="B739" t="s">
        <v>89</v>
      </c>
      <c r="C739" t="s">
        <v>1232</v>
      </c>
      <c r="D739">
        <v>1</v>
      </c>
      <c r="E739" s="273">
        <v>5</v>
      </c>
      <c r="F739" s="273" t="s">
        <v>7</v>
      </c>
      <c r="G739" s="273" t="s">
        <v>11</v>
      </c>
      <c r="H739" s="273" t="s">
        <v>11</v>
      </c>
    </row>
    <row r="740" spans="1:8" x14ac:dyDescent="0.25">
      <c r="A740" t="s">
        <v>26</v>
      </c>
      <c r="B740" t="s">
        <v>89</v>
      </c>
      <c r="C740" t="s">
        <v>1606</v>
      </c>
      <c r="D740">
        <v>1</v>
      </c>
      <c r="E740" s="273">
        <v>5</v>
      </c>
      <c r="F740" s="273" t="s">
        <v>7</v>
      </c>
      <c r="G740" s="273" t="s">
        <v>11</v>
      </c>
      <c r="H740" s="273" t="s">
        <v>11</v>
      </c>
    </row>
    <row r="741" spans="1:8" x14ac:dyDescent="0.25">
      <c r="A741" t="s">
        <v>26</v>
      </c>
      <c r="B741" t="s">
        <v>89</v>
      </c>
      <c r="C741" t="s">
        <v>1234</v>
      </c>
      <c r="D741">
        <v>1</v>
      </c>
      <c r="E741" s="273">
        <v>4</v>
      </c>
      <c r="F741" s="273" t="s">
        <v>7</v>
      </c>
      <c r="G741" s="273" t="s">
        <v>11</v>
      </c>
      <c r="H741" s="273" t="s">
        <v>11</v>
      </c>
    </row>
    <row r="742" spans="1:8" x14ac:dyDescent="0.25">
      <c r="A742" t="s">
        <v>26</v>
      </c>
      <c r="B742" t="s">
        <v>89</v>
      </c>
      <c r="C742" t="s">
        <v>1127</v>
      </c>
      <c r="D742">
        <v>2</v>
      </c>
      <c r="E742" s="273">
        <v>5</v>
      </c>
      <c r="F742" s="273" t="s">
        <v>7</v>
      </c>
      <c r="G742" s="273" t="s">
        <v>11</v>
      </c>
      <c r="H742" s="273" t="s">
        <v>11</v>
      </c>
    </row>
    <row r="743" spans="1:8" x14ac:dyDescent="0.25">
      <c r="A743" t="s">
        <v>26</v>
      </c>
      <c r="B743" t="s">
        <v>89</v>
      </c>
      <c r="C743" t="s">
        <v>1609</v>
      </c>
      <c r="D743">
        <v>1</v>
      </c>
      <c r="E743" s="273">
        <v>5</v>
      </c>
      <c r="F743" s="273" t="s">
        <v>7</v>
      </c>
      <c r="G743" s="273" t="s">
        <v>11</v>
      </c>
      <c r="H743" s="273" t="s">
        <v>11</v>
      </c>
    </row>
    <row r="744" spans="1:8" x14ac:dyDescent="0.25">
      <c r="A744" t="s">
        <v>26</v>
      </c>
      <c r="B744" t="s">
        <v>89</v>
      </c>
      <c r="C744" t="s">
        <v>1239</v>
      </c>
      <c r="D744">
        <v>2</v>
      </c>
      <c r="E744" s="273">
        <v>4</v>
      </c>
      <c r="F744" s="273" t="s">
        <v>7</v>
      </c>
      <c r="G744" s="273" t="s">
        <v>11</v>
      </c>
      <c r="H744" s="273" t="s">
        <v>11</v>
      </c>
    </row>
    <row r="745" spans="1:8" x14ac:dyDescent="0.25">
      <c r="A745" t="s">
        <v>26</v>
      </c>
      <c r="B745" t="s">
        <v>89</v>
      </c>
      <c r="C745" t="s">
        <v>1659</v>
      </c>
      <c r="D745">
        <v>2</v>
      </c>
      <c r="E745" s="273">
        <v>4</v>
      </c>
      <c r="F745" s="273" t="s">
        <v>7</v>
      </c>
      <c r="G745" s="273" t="s">
        <v>11</v>
      </c>
      <c r="H745" s="273" t="s">
        <v>11</v>
      </c>
    </row>
    <row r="746" spans="1:8" x14ac:dyDescent="0.25">
      <c r="A746" t="s">
        <v>26</v>
      </c>
      <c r="B746" t="s">
        <v>89</v>
      </c>
      <c r="C746" t="s">
        <v>1138</v>
      </c>
      <c r="D746">
        <v>1</v>
      </c>
      <c r="E746" s="273">
        <v>5</v>
      </c>
      <c r="F746" s="273" t="s">
        <v>7</v>
      </c>
      <c r="G746" s="273" t="s">
        <v>11</v>
      </c>
      <c r="H746" s="273" t="s">
        <v>11</v>
      </c>
    </row>
    <row r="747" spans="1:8" x14ac:dyDescent="0.25">
      <c r="A747" t="s">
        <v>26</v>
      </c>
      <c r="B747" t="s">
        <v>89</v>
      </c>
      <c r="C747" t="s">
        <v>1660</v>
      </c>
      <c r="D747">
        <v>2</v>
      </c>
      <c r="E747" s="273">
        <v>4</v>
      </c>
      <c r="F747" s="273" t="s">
        <v>7</v>
      </c>
      <c r="G747" s="273" t="s">
        <v>11</v>
      </c>
      <c r="H747" s="273" t="s">
        <v>11</v>
      </c>
    </row>
    <row r="748" spans="1:8" x14ac:dyDescent="0.25">
      <c r="A748" t="s">
        <v>26</v>
      </c>
      <c r="B748" t="s">
        <v>89</v>
      </c>
      <c r="C748" t="s">
        <v>1486</v>
      </c>
      <c r="D748">
        <v>1</v>
      </c>
      <c r="E748" s="273">
        <v>5</v>
      </c>
      <c r="F748" s="273" t="s">
        <v>7</v>
      </c>
      <c r="G748" s="273" t="s">
        <v>11</v>
      </c>
      <c r="H748" s="273" t="s">
        <v>11</v>
      </c>
    </row>
    <row r="749" spans="1:8" x14ac:dyDescent="0.25">
      <c r="A749" t="s">
        <v>26</v>
      </c>
      <c r="B749" t="s">
        <v>89</v>
      </c>
      <c r="C749" t="s">
        <v>1661</v>
      </c>
      <c r="D749">
        <v>1</v>
      </c>
      <c r="E749" s="273">
        <v>5</v>
      </c>
      <c r="F749" s="273" t="s">
        <v>7</v>
      </c>
      <c r="G749" s="273" t="s">
        <v>11</v>
      </c>
      <c r="H749" s="273" t="s">
        <v>11</v>
      </c>
    </row>
    <row r="750" spans="1:8" x14ac:dyDescent="0.25">
      <c r="A750" t="s">
        <v>26</v>
      </c>
      <c r="B750" t="s">
        <v>89</v>
      </c>
      <c r="C750" t="s">
        <v>1662</v>
      </c>
      <c r="D750">
        <v>2</v>
      </c>
      <c r="E750" s="273">
        <v>4</v>
      </c>
      <c r="F750" s="273" t="s">
        <v>7</v>
      </c>
      <c r="G750" s="273" t="s">
        <v>11</v>
      </c>
      <c r="H750" s="273" t="s">
        <v>11</v>
      </c>
    </row>
    <row r="751" spans="1:8" x14ac:dyDescent="0.25">
      <c r="A751" t="s">
        <v>26</v>
      </c>
      <c r="B751" t="s">
        <v>89</v>
      </c>
      <c r="C751" t="s">
        <v>1663</v>
      </c>
      <c r="D751">
        <v>1</v>
      </c>
      <c r="E751" s="273">
        <v>5</v>
      </c>
      <c r="F751" s="273" t="s">
        <v>7</v>
      </c>
      <c r="G751" s="273" t="s">
        <v>11</v>
      </c>
      <c r="H751" s="273" t="s">
        <v>11</v>
      </c>
    </row>
    <row r="752" spans="1:8" x14ac:dyDescent="0.25">
      <c r="A752" t="s">
        <v>26</v>
      </c>
      <c r="B752" t="s">
        <v>89</v>
      </c>
      <c r="C752" t="s">
        <v>1142</v>
      </c>
      <c r="D752">
        <v>1</v>
      </c>
      <c r="E752" s="273">
        <v>5</v>
      </c>
      <c r="F752" s="273" t="s">
        <v>7</v>
      </c>
      <c r="G752" s="273" t="s">
        <v>11</v>
      </c>
      <c r="H752" s="273" t="s">
        <v>11</v>
      </c>
    </row>
    <row r="753" spans="1:8" x14ac:dyDescent="0.25">
      <c r="A753" t="s">
        <v>26</v>
      </c>
      <c r="B753" t="s">
        <v>89</v>
      </c>
      <c r="C753" t="s">
        <v>1497</v>
      </c>
      <c r="D753">
        <v>2</v>
      </c>
      <c r="E753" s="273">
        <v>4</v>
      </c>
      <c r="F753" s="273" t="s">
        <v>7</v>
      </c>
      <c r="G753" s="273" t="s">
        <v>11</v>
      </c>
      <c r="H753" s="273" t="s">
        <v>11</v>
      </c>
    </row>
    <row r="754" spans="1:8" x14ac:dyDescent="0.25">
      <c r="A754" t="s">
        <v>26</v>
      </c>
      <c r="B754" t="s">
        <v>89</v>
      </c>
      <c r="C754" t="s">
        <v>1664</v>
      </c>
      <c r="D754">
        <v>1</v>
      </c>
      <c r="E754" s="273">
        <v>5</v>
      </c>
      <c r="F754" s="273" t="s">
        <v>7</v>
      </c>
      <c r="G754" s="273" t="s">
        <v>11</v>
      </c>
      <c r="H754" s="273" t="s">
        <v>11</v>
      </c>
    </row>
    <row r="755" spans="1:8" x14ac:dyDescent="0.25">
      <c r="A755" t="s">
        <v>26</v>
      </c>
      <c r="B755" t="s">
        <v>89</v>
      </c>
      <c r="C755" t="s">
        <v>1143</v>
      </c>
      <c r="D755">
        <v>2</v>
      </c>
      <c r="E755" s="273">
        <v>5</v>
      </c>
      <c r="F755" s="273" t="s">
        <v>7</v>
      </c>
      <c r="G755" s="273" t="s">
        <v>11</v>
      </c>
      <c r="H755" s="273" t="s">
        <v>11</v>
      </c>
    </row>
    <row r="756" spans="1:8" x14ac:dyDescent="0.25">
      <c r="A756" t="s">
        <v>26</v>
      </c>
      <c r="B756" t="s">
        <v>89</v>
      </c>
      <c r="C756" t="s">
        <v>1245</v>
      </c>
      <c r="D756">
        <v>1</v>
      </c>
      <c r="E756" s="273">
        <v>5</v>
      </c>
      <c r="F756" s="273" t="s">
        <v>7</v>
      </c>
      <c r="G756" s="273" t="s">
        <v>11</v>
      </c>
      <c r="H756" s="273" t="s">
        <v>11</v>
      </c>
    </row>
    <row r="757" spans="1:8" x14ac:dyDescent="0.25">
      <c r="A757" t="s">
        <v>26</v>
      </c>
      <c r="B757" t="s">
        <v>89</v>
      </c>
      <c r="C757" t="s">
        <v>1665</v>
      </c>
      <c r="D757">
        <v>2</v>
      </c>
      <c r="E757" s="273">
        <v>4</v>
      </c>
      <c r="F757" s="273" t="s">
        <v>7</v>
      </c>
      <c r="G757" s="273" t="s">
        <v>11</v>
      </c>
      <c r="H757" s="273" t="s">
        <v>11</v>
      </c>
    </row>
    <row r="758" spans="1:8" x14ac:dyDescent="0.25">
      <c r="A758" t="s">
        <v>26</v>
      </c>
      <c r="B758" t="s">
        <v>89</v>
      </c>
      <c r="C758" t="s">
        <v>1247</v>
      </c>
      <c r="D758">
        <v>1</v>
      </c>
      <c r="E758" s="273">
        <v>5</v>
      </c>
      <c r="F758" s="273" t="s">
        <v>7</v>
      </c>
      <c r="G758" s="273" t="s">
        <v>11</v>
      </c>
      <c r="H758" s="273" t="s">
        <v>11</v>
      </c>
    </row>
    <row r="759" spans="1:8" x14ac:dyDescent="0.25">
      <c r="A759" t="s">
        <v>26</v>
      </c>
      <c r="B759" t="s">
        <v>89</v>
      </c>
      <c r="C759" t="s">
        <v>1145</v>
      </c>
      <c r="D759">
        <v>2</v>
      </c>
      <c r="E759" s="273">
        <v>4</v>
      </c>
      <c r="F759" s="273" t="s">
        <v>7</v>
      </c>
      <c r="G759" s="273" t="s">
        <v>11</v>
      </c>
      <c r="H759" s="273" t="s">
        <v>11</v>
      </c>
    </row>
    <row r="760" spans="1:8" x14ac:dyDescent="0.25">
      <c r="A760" t="s">
        <v>26</v>
      </c>
      <c r="B760" t="s">
        <v>89</v>
      </c>
      <c r="C760" t="s">
        <v>1423</v>
      </c>
      <c r="D760">
        <v>1</v>
      </c>
      <c r="E760" s="273">
        <v>5</v>
      </c>
      <c r="F760" s="273" t="s">
        <v>7</v>
      </c>
      <c r="G760" s="273" t="s">
        <v>11</v>
      </c>
      <c r="H760" s="273" t="s">
        <v>11</v>
      </c>
    </row>
    <row r="761" spans="1:8" x14ac:dyDescent="0.25">
      <c r="A761" t="s">
        <v>26</v>
      </c>
      <c r="B761" t="s">
        <v>89</v>
      </c>
      <c r="C761" t="s">
        <v>1507</v>
      </c>
      <c r="D761">
        <v>1</v>
      </c>
      <c r="E761" s="273">
        <v>5</v>
      </c>
      <c r="F761" s="273" t="s">
        <v>7</v>
      </c>
      <c r="G761" s="273" t="s">
        <v>11</v>
      </c>
      <c r="H761" s="273" t="s">
        <v>11</v>
      </c>
    </row>
    <row r="762" spans="1:8" x14ac:dyDescent="0.25">
      <c r="A762" t="s">
        <v>26</v>
      </c>
      <c r="B762" t="s">
        <v>89</v>
      </c>
      <c r="C762" t="s">
        <v>1666</v>
      </c>
      <c r="D762">
        <v>1</v>
      </c>
      <c r="E762" s="273">
        <v>4</v>
      </c>
      <c r="F762" s="273" t="s">
        <v>7</v>
      </c>
      <c r="G762" s="273" t="s">
        <v>11</v>
      </c>
      <c r="H762" s="273" t="s">
        <v>11</v>
      </c>
    </row>
    <row r="763" spans="1:8" x14ac:dyDescent="0.25">
      <c r="A763" t="s">
        <v>26</v>
      </c>
      <c r="B763" t="s">
        <v>89</v>
      </c>
      <c r="C763" t="s">
        <v>1667</v>
      </c>
      <c r="D763">
        <v>1</v>
      </c>
      <c r="E763" s="273">
        <v>5</v>
      </c>
      <c r="F763" s="273" t="s">
        <v>7</v>
      </c>
      <c r="G763" s="273" t="s">
        <v>11</v>
      </c>
      <c r="H763" s="273" t="s">
        <v>11</v>
      </c>
    </row>
    <row r="764" spans="1:8" x14ac:dyDescent="0.25">
      <c r="A764" t="s">
        <v>26</v>
      </c>
      <c r="B764" t="s">
        <v>89</v>
      </c>
      <c r="C764" t="s">
        <v>1147</v>
      </c>
      <c r="D764">
        <v>1</v>
      </c>
      <c r="E764" s="273">
        <v>5</v>
      </c>
      <c r="F764" s="273" t="s">
        <v>7</v>
      </c>
      <c r="G764" s="273" t="s">
        <v>11</v>
      </c>
      <c r="H764" s="273" t="s">
        <v>11</v>
      </c>
    </row>
    <row r="765" spans="1:8" x14ac:dyDescent="0.25">
      <c r="A765" t="s">
        <v>26</v>
      </c>
      <c r="B765" t="s">
        <v>89</v>
      </c>
      <c r="C765" t="s">
        <v>1250</v>
      </c>
      <c r="D765">
        <v>1</v>
      </c>
      <c r="E765" s="273">
        <v>5</v>
      </c>
      <c r="F765" s="273" t="s">
        <v>7</v>
      </c>
      <c r="G765" s="273" t="s">
        <v>11</v>
      </c>
      <c r="H765" s="273" t="s">
        <v>11</v>
      </c>
    </row>
    <row r="766" spans="1:8" x14ac:dyDescent="0.25">
      <c r="A766" t="s">
        <v>26</v>
      </c>
      <c r="B766" t="s">
        <v>89</v>
      </c>
      <c r="C766" t="s">
        <v>1668</v>
      </c>
      <c r="D766">
        <v>1</v>
      </c>
      <c r="E766" s="273">
        <v>5</v>
      </c>
      <c r="F766" s="273" t="s">
        <v>7</v>
      </c>
      <c r="G766" s="273" t="s">
        <v>11</v>
      </c>
      <c r="H766" s="273" t="s">
        <v>11</v>
      </c>
    </row>
    <row r="767" spans="1:8" x14ac:dyDescent="0.25">
      <c r="A767" t="s">
        <v>26</v>
      </c>
      <c r="B767" t="s">
        <v>89</v>
      </c>
      <c r="C767" t="s">
        <v>1149</v>
      </c>
      <c r="D767">
        <v>2</v>
      </c>
      <c r="E767" s="273">
        <v>4</v>
      </c>
      <c r="F767" s="273" t="s">
        <v>7</v>
      </c>
      <c r="G767" s="273" t="s">
        <v>11</v>
      </c>
      <c r="H767" s="273" t="s">
        <v>11</v>
      </c>
    </row>
    <row r="768" spans="1:8" x14ac:dyDescent="0.25">
      <c r="A768" t="s">
        <v>26</v>
      </c>
      <c r="B768" t="s">
        <v>89</v>
      </c>
      <c r="C768" t="s">
        <v>1513</v>
      </c>
      <c r="D768">
        <v>2</v>
      </c>
      <c r="E768" s="273">
        <v>5</v>
      </c>
      <c r="F768" s="273" t="s">
        <v>7</v>
      </c>
      <c r="G768" s="273" t="s">
        <v>11</v>
      </c>
      <c r="H768" s="273" t="s">
        <v>11</v>
      </c>
    </row>
    <row r="769" spans="1:8" x14ac:dyDescent="0.25">
      <c r="A769" t="s">
        <v>26</v>
      </c>
      <c r="B769" t="s">
        <v>89</v>
      </c>
      <c r="C769" t="s">
        <v>1669</v>
      </c>
      <c r="D769">
        <v>1</v>
      </c>
      <c r="E769" s="273">
        <v>5</v>
      </c>
      <c r="F769" s="273" t="s">
        <v>7</v>
      </c>
      <c r="G769" s="273" t="s">
        <v>11</v>
      </c>
      <c r="H769" s="273" t="s">
        <v>11</v>
      </c>
    </row>
    <row r="770" spans="1:8" x14ac:dyDescent="0.25">
      <c r="A770" t="s">
        <v>26</v>
      </c>
      <c r="B770" t="s">
        <v>89</v>
      </c>
      <c r="C770" t="s">
        <v>1150</v>
      </c>
      <c r="D770">
        <v>2</v>
      </c>
      <c r="E770" s="273">
        <v>4</v>
      </c>
      <c r="F770" s="273" t="s">
        <v>7</v>
      </c>
      <c r="G770" s="273" t="s">
        <v>11</v>
      </c>
      <c r="H770" s="273" t="s">
        <v>11</v>
      </c>
    </row>
    <row r="771" spans="1:8" x14ac:dyDescent="0.25">
      <c r="A771" t="s">
        <v>26</v>
      </c>
      <c r="B771" t="s">
        <v>89</v>
      </c>
      <c r="C771" t="s">
        <v>1670</v>
      </c>
      <c r="D771">
        <v>1</v>
      </c>
      <c r="E771" s="273">
        <v>4</v>
      </c>
      <c r="F771" s="273" t="s">
        <v>7</v>
      </c>
      <c r="G771" s="273" t="s">
        <v>11</v>
      </c>
      <c r="H771" s="273" t="s">
        <v>11</v>
      </c>
    </row>
    <row r="772" spans="1:8" x14ac:dyDescent="0.25">
      <c r="A772" t="s">
        <v>26</v>
      </c>
      <c r="B772" t="s">
        <v>89</v>
      </c>
      <c r="C772" t="s">
        <v>1253</v>
      </c>
      <c r="D772">
        <v>1</v>
      </c>
      <c r="E772" s="273">
        <v>5</v>
      </c>
      <c r="F772" s="273" t="s">
        <v>7</v>
      </c>
      <c r="G772" s="273" t="s">
        <v>11</v>
      </c>
      <c r="H772" s="273" t="s">
        <v>11</v>
      </c>
    </row>
    <row r="773" spans="1:8" x14ac:dyDescent="0.25">
      <c r="A773" t="s">
        <v>26</v>
      </c>
      <c r="B773" t="s">
        <v>89</v>
      </c>
      <c r="C773" t="s">
        <v>1627</v>
      </c>
      <c r="D773">
        <v>2</v>
      </c>
      <c r="E773" s="273">
        <v>4</v>
      </c>
      <c r="F773" s="273" t="s">
        <v>7</v>
      </c>
      <c r="G773" s="273" t="s">
        <v>11</v>
      </c>
      <c r="H773" s="273" t="s">
        <v>11</v>
      </c>
    </row>
    <row r="774" spans="1:8" x14ac:dyDescent="0.25">
      <c r="A774" t="s">
        <v>26</v>
      </c>
      <c r="B774" t="s">
        <v>89</v>
      </c>
      <c r="C774" t="s">
        <v>1671</v>
      </c>
      <c r="D774">
        <v>1</v>
      </c>
      <c r="E774" s="273">
        <v>5</v>
      </c>
      <c r="F774" s="273" t="s">
        <v>7</v>
      </c>
      <c r="G774" s="273" t="s">
        <v>11</v>
      </c>
      <c r="H774" s="273" t="s">
        <v>11</v>
      </c>
    </row>
    <row r="775" spans="1:8" x14ac:dyDescent="0.25">
      <c r="A775" t="s">
        <v>26</v>
      </c>
      <c r="B775" t="s">
        <v>89</v>
      </c>
      <c r="C775" t="s">
        <v>1672</v>
      </c>
      <c r="D775">
        <v>2</v>
      </c>
      <c r="E775" s="273">
        <v>5</v>
      </c>
      <c r="F775" s="273" t="s">
        <v>7</v>
      </c>
      <c r="G775" s="273" t="s">
        <v>11</v>
      </c>
      <c r="H775" s="273" t="s">
        <v>11</v>
      </c>
    </row>
    <row r="776" spans="1:8" x14ac:dyDescent="0.25">
      <c r="A776" t="s">
        <v>26</v>
      </c>
      <c r="B776" t="s">
        <v>89</v>
      </c>
      <c r="C776" t="s">
        <v>1673</v>
      </c>
      <c r="D776">
        <v>1</v>
      </c>
      <c r="E776" s="273">
        <v>5</v>
      </c>
      <c r="F776" s="273" t="s">
        <v>7</v>
      </c>
      <c r="G776" s="273" t="s">
        <v>11</v>
      </c>
      <c r="H776" s="273" t="s">
        <v>11</v>
      </c>
    </row>
    <row r="777" spans="1:8" x14ac:dyDescent="0.25">
      <c r="A777" t="s">
        <v>26</v>
      </c>
      <c r="B777" t="s">
        <v>89</v>
      </c>
      <c r="C777" t="s">
        <v>1299</v>
      </c>
      <c r="D777">
        <v>2</v>
      </c>
      <c r="E777" s="273">
        <v>5</v>
      </c>
      <c r="F777" s="273" t="s">
        <v>7</v>
      </c>
      <c r="G777" s="273" t="s">
        <v>11</v>
      </c>
      <c r="H777" s="273" t="s">
        <v>11</v>
      </c>
    </row>
    <row r="778" spans="1:8" x14ac:dyDescent="0.25">
      <c r="A778" t="s">
        <v>26</v>
      </c>
      <c r="B778" t="s">
        <v>89</v>
      </c>
      <c r="C778" t="s">
        <v>1153</v>
      </c>
      <c r="D778">
        <v>1</v>
      </c>
      <c r="E778" s="273">
        <v>4</v>
      </c>
      <c r="F778" s="273" t="s">
        <v>7</v>
      </c>
      <c r="G778" s="273" t="s">
        <v>11</v>
      </c>
      <c r="H778" s="273" t="s">
        <v>11</v>
      </c>
    </row>
    <row r="779" spans="1:8" x14ac:dyDescent="0.25">
      <c r="A779" t="s">
        <v>26</v>
      </c>
      <c r="B779" t="s">
        <v>89</v>
      </c>
      <c r="C779" t="s">
        <v>1158</v>
      </c>
      <c r="D779">
        <v>1</v>
      </c>
      <c r="E779" s="273">
        <v>5</v>
      </c>
      <c r="F779" s="273" t="s">
        <v>7</v>
      </c>
      <c r="G779" s="273" t="s">
        <v>11</v>
      </c>
      <c r="H779" s="273" t="s">
        <v>11</v>
      </c>
    </row>
    <row r="780" spans="1:8" x14ac:dyDescent="0.25">
      <c r="A780" t="s">
        <v>26</v>
      </c>
      <c r="B780" t="s">
        <v>89</v>
      </c>
      <c r="C780" t="s">
        <v>1160</v>
      </c>
      <c r="D780">
        <v>1</v>
      </c>
      <c r="E780" s="273">
        <v>5</v>
      </c>
      <c r="F780" s="273" t="s">
        <v>7</v>
      </c>
      <c r="G780" s="273" t="s">
        <v>11</v>
      </c>
      <c r="H780" s="273" t="s">
        <v>11</v>
      </c>
    </row>
    <row r="781" spans="1:8" x14ac:dyDescent="0.25">
      <c r="A781" t="s">
        <v>26</v>
      </c>
      <c r="B781" t="s">
        <v>89</v>
      </c>
      <c r="C781" t="s">
        <v>1161</v>
      </c>
      <c r="D781">
        <v>1</v>
      </c>
      <c r="E781" s="273">
        <v>5</v>
      </c>
      <c r="F781" s="273" t="s">
        <v>7</v>
      </c>
      <c r="G781" s="273" t="s">
        <v>11</v>
      </c>
      <c r="H781" s="273" t="s">
        <v>11</v>
      </c>
    </row>
    <row r="782" spans="1:8" x14ac:dyDescent="0.25">
      <c r="A782" t="s">
        <v>26</v>
      </c>
      <c r="B782" t="s">
        <v>89</v>
      </c>
      <c r="C782" t="s">
        <v>1435</v>
      </c>
      <c r="D782">
        <v>2</v>
      </c>
      <c r="E782" s="273">
        <v>4</v>
      </c>
      <c r="F782" s="273" t="s">
        <v>7</v>
      </c>
      <c r="G782" s="273" t="s">
        <v>11</v>
      </c>
      <c r="H782" s="273" t="s">
        <v>11</v>
      </c>
    </row>
    <row r="783" spans="1:8" x14ac:dyDescent="0.25">
      <c r="A783" t="s">
        <v>26</v>
      </c>
      <c r="B783" t="s">
        <v>89</v>
      </c>
      <c r="C783" t="s">
        <v>1674</v>
      </c>
      <c r="D783">
        <v>1</v>
      </c>
      <c r="E783" s="273">
        <v>5</v>
      </c>
      <c r="F783" s="273" t="s">
        <v>7</v>
      </c>
      <c r="G783" s="273" t="s">
        <v>11</v>
      </c>
      <c r="H783" s="273" t="s">
        <v>11</v>
      </c>
    </row>
    <row r="784" spans="1:8" x14ac:dyDescent="0.25">
      <c r="A784" t="s">
        <v>26</v>
      </c>
      <c r="B784" t="s">
        <v>89</v>
      </c>
      <c r="C784" t="s">
        <v>1163</v>
      </c>
      <c r="D784">
        <v>1</v>
      </c>
      <c r="E784" s="273">
        <v>4</v>
      </c>
      <c r="F784" s="273" t="s">
        <v>7</v>
      </c>
      <c r="G784" s="273" t="s">
        <v>11</v>
      </c>
      <c r="H784" s="273" t="s">
        <v>11</v>
      </c>
    </row>
    <row r="785" spans="1:8" x14ac:dyDescent="0.25">
      <c r="A785" t="s">
        <v>26</v>
      </c>
      <c r="B785" t="s">
        <v>89</v>
      </c>
      <c r="C785" t="s">
        <v>1164</v>
      </c>
      <c r="D785">
        <v>1</v>
      </c>
      <c r="E785" s="273">
        <v>5</v>
      </c>
      <c r="F785" s="273" t="s">
        <v>7</v>
      </c>
      <c r="G785" s="273" t="s">
        <v>11</v>
      </c>
      <c r="H785" s="273" t="s">
        <v>11</v>
      </c>
    </row>
    <row r="786" spans="1:8" x14ac:dyDescent="0.25">
      <c r="A786" t="s">
        <v>26</v>
      </c>
      <c r="B786" t="s">
        <v>89</v>
      </c>
      <c r="C786" t="s">
        <v>1165</v>
      </c>
      <c r="D786">
        <v>2</v>
      </c>
      <c r="E786" s="273">
        <v>5</v>
      </c>
      <c r="F786" s="273" t="s">
        <v>7</v>
      </c>
      <c r="G786" s="273" t="s">
        <v>11</v>
      </c>
      <c r="H786" s="273" t="s">
        <v>11</v>
      </c>
    </row>
    <row r="787" spans="1:8" x14ac:dyDescent="0.25">
      <c r="A787" t="s">
        <v>26</v>
      </c>
      <c r="B787" t="s">
        <v>89</v>
      </c>
      <c r="C787" t="s">
        <v>1262</v>
      </c>
      <c r="D787">
        <v>2</v>
      </c>
      <c r="E787" s="273">
        <v>5</v>
      </c>
      <c r="F787" s="273" t="s">
        <v>7</v>
      </c>
      <c r="G787" s="273" t="s">
        <v>11</v>
      </c>
      <c r="H787" s="273" t="s">
        <v>11</v>
      </c>
    </row>
    <row r="788" spans="1:8" x14ac:dyDescent="0.25">
      <c r="A788" t="s">
        <v>26</v>
      </c>
      <c r="B788" t="s">
        <v>89</v>
      </c>
      <c r="C788" t="s">
        <v>1675</v>
      </c>
      <c r="D788">
        <v>1</v>
      </c>
      <c r="E788" s="273">
        <v>5</v>
      </c>
      <c r="F788" s="273" t="s">
        <v>7</v>
      </c>
      <c r="G788" s="273" t="s">
        <v>11</v>
      </c>
      <c r="H788" s="273" t="s">
        <v>11</v>
      </c>
    </row>
    <row r="789" spans="1:8" x14ac:dyDescent="0.25">
      <c r="A789" t="s">
        <v>26</v>
      </c>
      <c r="B789" t="s">
        <v>89</v>
      </c>
      <c r="C789" t="s">
        <v>1676</v>
      </c>
      <c r="D789">
        <v>2</v>
      </c>
      <c r="E789" s="273">
        <v>4</v>
      </c>
      <c r="F789" s="273" t="s">
        <v>7</v>
      </c>
      <c r="G789" s="273" t="s">
        <v>11</v>
      </c>
      <c r="H789" s="273" t="s">
        <v>11</v>
      </c>
    </row>
    <row r="790" spans="1:8" x14ac:dyDescent="0.25">
      <c r="A790" t="s">
        <v>26</v>
      </c>
      <c r="B790" t="s">
        <v>89</v>
      </c>
      <c r="C790" t="s">
        <v>1311</v>
      </c>
      <c r="D790">
        <v>1</v>
      </c>
      <c r="E790" s="273">
        <v>4</v>
      </c>
      <c r="F790" s="273" t="s">
        <v>7</v>
      </c>
      <c r="G790" s="273" t="s">
        <v>11</v>
      </c>
      <c r="H790" s="273" t="s">
        <v>11</v>
      </c>
    </row>
    <row r="791" spans="1:8" x14ac:dyDescent="0.25">
      <c r="A791" t="s">
        <v>26</v>
      </c>
      <c r="B791" t="s">
        <v>89</v>
      </c>
      <c r="C791" t="s">
        <v>1677</v>
      </c>
      <c r="D791">
        <v>2</v>
      </c>
      <c r="E791" s="273">
        <v>5</v>
      </c>
      <c r="F791" s="273" t="s">
        <v>7</v>
      </c>
      <c r="G791" s="273" t="s">
        <v>11</v>
      </c>
      <c r="H791" s="273" t="s">
        <v>11</v>
      </c>
    </row>
    <row r="792" spans="1:8" x14ac:dyDescent="0.25">
      <c r="A792" t="s">
        <v>26</v>
      </c>
      <c r="B792" t="s">
        <v>89</v>
      </c>
      <c r="C792" t="s">
        <v>1678</v>
      </c>
      <c r="D792">
        <v>2</v>
      </c>
      <c r="E792" s="273">
        <v>5</v>
      </c>
      <c r="F792" s="273" t="s">
        <v>7</v>
      </c>
      <c r="G792" s="273" t="s">
        <v>11</v>
      </c>
      <c r="H792" s="273" t="s">
        <v>11</v>
      </c>
    </row>
    <row r="793" spans="1:8" x14ac:dyDescent="0.25">
      <c r="A793" t="s">
        <v>26</v>
      </c>
      <c r="B793" t="s">
        <v>89</v>
      </c>
      <c r="C793" t="s">
        <v>1166</v>
      </c>
      <c r="D793">
        <v>2</v>
      </c>
      <c r="E793" s="273">
        <v>4</v>
      </c>
      <c r="F793" s="273" t="s">
        <v>7</v>
      </c>
      <c r="G793" s="273" t="s">
        <v>11</v>
      </c>
      <c r="H793" s="273" t="s">
        <v>11</v>
      </c>
    </row>
    <row r="794" spans="1:8" x14ac:dyDescent="0.25">
      <c r="A794" t="s">
        <v>26</v>
      </c>
      <c r="B794" t="s">
        <v>89</v>
      </c>
      <c r="C794" t="s">
        <v>1168</v>
      </c>
      <c r="D794">
        <v>2</v>
      </c>
      <c r="E794" s="273">
        <v>4</v>
      </c>
      <c r="F794" s="273" t="s">
        <v>7</v>
      </c>
      <c r="G794" s="273" t="s">
        <v>11</v>
      </c>
      <c r="H794" s="273" t="s">
        <v>11</v>
      </c>
    </row>
    <row r="795" spans="1:8" x14ac:dyDescent="0.25">
      <c r="A795" t="s">
        <v>26</v>
      </c>
      <c r="B795" t="s">
        <v>89</v>
      </c>
      <c r="C795" t="s">
        <v>1679</v>
      </c>
      <c r="D795">
        <v>2</v>
      </c>
      <c r="E795" s="273">
        <v>5</v>
      </c>
      <c r="F795" s="273" t="s">
        <v>7</v>
      </c>
      <c r="G795" s="273" t="s">
        <v>11</v>
      </c>
      <c r="H795" s="273" t="s">
        <v>11</v>
      </c>
    </row>
    <row r="796" spans="1:8" x14ac:dyDescent="0.25">
      <c r="A796" t="s">
        <v>26</v>
      </c>
      <c r="B796" t="s">
        <v>89</v>
      </c>
      <c r="C796" t="s">
        <v>1680</v>
      </c>
      <c r="D796">
        <v>2</v>
      </c>
      <c r="E796" s="273">
        <v>4</v>
      </c>
      <c r="F796" s="273" t="s">
        <v>7</v>
      </c>
      <c r="G796" s="273" t="s">
        <v>11</v>
      </c>
      <c r="H796" s="273" t="s">
        <v>11</v>
      </c>
    </row>
    <row r="797" spans="1:8" x14ac:dyDescent="0.25">
      <c r="A797" t="s">
        <v>26</v>
      </c>
      <c r="B797" t="s">
        <v>89</v>
      </c>
      <c r="C797" t="s">
        <v>1269</v>
      </c>
      <c r="D797">
        <v>2</v>
      </c>
      <c r="E797" s="273">
        <v>5</v>
      </c>
      <c r="F797" s="273" t="s">
        <v>7</v>
      </c>
      <c r="G797" s="273" t="s">
        <v>11</v>
      </c>
      <c r="H797" s="273" t="s">
        <v>11</v>
      </c>
    </row>
    <row r="798" spans="1:8" x14ac:dyDescent="0.25">
      <c r="A798" t="s">
        <v>26</v>
      </c>
      <c r="B798" t="s">
        <v>89</v>
      </c>
      <c r="C798" t="s">
        <v>1444</v>
      </c>
      <c r="D798">
        <v>1</v>
      </c>
      <c r="E798" s="273">
        <v>5</v>
      </c>
      <c r="F798" s="273" t="s">
        <v>7</v>
      </c>
      <c r="G798" s="273" t="s">
        <v>11</v>
      </c>
      <c r="H798" s="273" t="s">
        <v>11</v>
      </c>
    </row>
    <row r="799" spans="1:8" x14ac:dyDescent="0.25">
      <c r="A799" t="s">
        <v>26</v>
      </c>
      <c r="B799" t="s">
        <v>89</v>
      </c>
      <c r="C799" t="s">
        <v>1169</v>
      </c>
      <c r="D799">
        <v>1</v>
      </c>
      <c r="E799" s="273">
        <v>5</v>
      </c>
      <c r="F799" s="273" t="s">
        <v>7</v>
      </c>
      <c r="G799" s="273" t="s">
        <v>11</v>
      </c>
      <c r="H799" s="273" t="s">
        <v>11</v>
      </c>
    </row>
    <row r="800" spans="1:8" x14ac:dyDescent="0.25">
      <c r="A800" t="s">
        <v>26</v>
      </c>
      <c r="B800" t="s">
        <v>89</v>
      </c>
      <c r="C800" t="s">
        <v>1681</v>
      </c>
      <c r="D800">
        <v>2</v>
      </c>
      <c r="E800" s="273">
        <v>4</v>
      </c>
      <c r="F800" s="273" t="s">
        <v>7</v>
      </c>
      <c r="G800" s="273" t="s">
        <v>11</v>
      </c>
      <c r="H800" s="273" t="s">
        <v>11</v>
      </c>
    </row>
    <row r="801" spans="1:8" x14ac:dyDescent="0.25">
      <c r="A801" t="s">
        <v>26</v>
      </c>
      <c r="B801" t="s">
        <v>89</v>
      </c>
      <c r="C801" t="s">
        <v>1682</v>
      </c>
      <c r="D801">
        <v>1</v>
      </c>
      <c r="E801" s="273">
        <v>5</v>
      </c>
      <c r="F801" s="273" t="s">
        <v>7</v>
      </c>
      <c r="G801" s="273" t="s">
        <v>11</v>
      </c>
      <c r="H801" s="273" t="s">
        <v>11</v>
      </c>
    </row>
    <row r="802" spans="1:8" x14ac:dyDescent="0.25">
      <c r="A802" t="s">
        <v>26</v>
      </c>
      <c r="B802" t="s">
        <v>89</v>
      </c>
      <c r="C802" t="s">
        <v>1272</v>
      </c>
      <c r="D802">
        <v>1</v>
      </c>
      <c r="E802" s="273">
        <v>4</v>
      </c>
      <c r="F802" s="273" t="s">
        <v>7</v>
      </c>
      <c r="G802" s="273" t="s">
        <v>11</v>
      </c>
      <c r="H802" s="273" t="s">
        <v>11</v>
      </c>
    </row>
    <row r="803" spans="1:8" x14ac:dyDescent="0.25">
      <c r="A803" t="s">
        <v>26</v>
      </c>
      <c r="B803" t="s">
        <v>89</v>
      </c>
      <c r="C803" t="s">
        <v>1172</v>
      </c>
      <c r="D803">
        <v>1</v>
      </c>
      <c r="E803" s="273">
        <v>5</v>
      </c>
      <c r="F803" s="273" t="s">
        <v>7</v>
      </c>
      <c r="G803" s="273" t="s">
        <v>11</v>
      </c>
      <c r="H803" s="273" t="s">
        <v>11</v>
      </c>
    </row>
    <row r="804" spans="1:8" x14ac:dyDescent="0.25">
      <c r="A804" t="s">
        <v>26</v>
      </c>
      <c r="B804" t="s">
        <v>89</v>
      </c>
      <c r="C804" t="s">
        <v>1683</v>
      </c>
      <c r="D804">
        <v>2</v>
      </c>
      <c r="E804" s="273">
        <v>4</v>
      </c>
      <c r="F804" s="273" t="s">
        <v>7</v>
      </c>
      <c r="G804" s="273" t="s">
        <v>11</v>
      </c>
      <c r="H804" s="273" t="s">
        <v>11</v>
      </c>
    </row>
    <row r="805" spans="1:8" x14ac:dyDescent="0.25">
      <c r="A805" t="s">
        <v>26</v>
      </c>
      <c r="B805" t="s">
        <v>89</v>
      </c>
      <c r="C805" t="s">
        <v>1684</v>
      </c>
      <c r="D805">
        <v>1</v>
      </c>
      <c r="E805" s="273">
        <v>5</v>
      </c>
      <c r="F805" s="273" t="s">
        <v>7</v>
      </c>
      <c r="G805" s="273" t="s">
        <v>11</v>
      </c>
      <c r="H805" s="273" t="s">
        <v>11</v>
      </c>
    </row>
    <row r="806" spans="1:8" x14ac:dyDescent="0.25">
      <c r="A806" t="s">
        <v>26</v>
      </c>
      <c r="B806" t="s">
        <v>89</v>
      </c>
      <c r="C806" t="s">
        <v>1685</v>
      </c>
      <c r="D806">
        <v>2</v>
      </c>
      <c r="E806" s="273">
        <v>5</v>
      </c>
      <c r="F806" s="273" t="s">
        <v>7</v>
      </c>
      <c r="G806" s="273" t="s">
        <v>11</v>
      </c>
      <c r="H806" s="273" t="s">
        <v>11</v>
      </c>
    </row>
    <row r="807" spans="1:8" x14ac:dyDescent="0.25">
      <c r="A807" t="s">
        <v>26</v>
      </c>
      <c r="B807" t="s">
        <v>89</v>
      </c>
      <c r="C807" t="s">
        <v>1686</v>
      </c>
      <c r="D807">
        <v>1</v>
      </c>
      <c r="E807" s="273">
        <v>5</v>
      </c>
      <c r="F807" s="273" t="s">
        <v>7</v>
      </c>
      <c r="G807" s="273" t="s">
        <v>11</v>
      </c>
      <c r="H807" s="273" t="s">
        <v>11</v>
      </c>
    </row>
    <row r="808" spans="1:8" x14ac:dyDescent="0.25">
      <c r="A808" t="s">
        <v>26</v>
      </c>
      <c r="B808" t="s">
        <v>89</v>
      </c>
      <c r="C808" t="s">
        <v>1687</v>
      </c>
      <c r="D808">
        <v>2</v>
      </c>
      <c r="E808" s="273">
        <v>4</v>
      </c>
      <c r="F808" s="273" t="s">
        <v>7</v>
      </c>
      <c r="G808" s="273" t="s">
        <v>11</v>
      </c>
      <c r="H808" s="273" t="s">
        <v>11</v>
      </c>
    </row>
    <row r="809" spans="1:8" x14ac:dyDescent="0.25">
      <c r="A809" t="s">
        <v>26</v>
      </c>
      <c r="B809" t="s">
        <v>89</v>
      </c>
      <c r="C809" t="s">
        <v>1688</v>
      </c>
      <c r="D809">
        <v>2</v>
      </c>
      <c r="E809" s="273">
        <v>4</v>
      </c>
      <c r="F809" s="273" t="s">
        <v>7</v>
      </c>
      <c r="G809" s="273" t="s">
        <v>11</v>
      </c>
      <c r="H809" s="273" t="s">
        <v>11</v>
      </c>
    </row>
    <row r="810" spans="1:8" x14ac:dyDescent="0.25">
      <c r="A810" t="s">
        <v>26</v>
      </c>
      <c r="B810" t="s">
        <v>89</v>
      </c>
      <c r="C810" t="s">
        <v>1689</v>
      </c>
      <c r="D810">
        <v>1</v>
      </c>
      <c r="E810" s="273">
        <v>5</v>
      </c>
      <c r="F810" s="273" t="s">
        <v>7</v>
      </c>
      <c r="G810" s="273" t="s">
        <v>11</v>
      </c>
      <c r="H810" s="273" t="s">
        <v>11</v>
      </c>
    </row>
    <row r="811" spans="1:8" x14ac:dyDescent="0.25">
      <c r="A811" t="s">
        <v>26</v>
      </c>
      <c r="B811" t="s">
        <v>89</v>
      </c>
      <c r="C811" t="s">
        <v>1690</v>
      </c>
      <c r="D811">
        <v>1</v>
      </c>
      <c r="E811" s="273">
        <v>5</v>
      </c>
      <c r="F811" s="273" t="s">
        <v>7</v>
      </c>
      <c r="G811" s="273" t="s">
        <v>11</v>
      </c>
      <c r="H811" s="273" t="s">
        <v>11</v>
      </c>
    </row>
    <row r="812" spans="1:8" x14ac:dyDescent="0.25">
      <c r="A812" t="s">
        <v>26</v>
      </c>
      <c r="B812" t="s">
        <v>89</v>
      </c>
      <c r="C812" t="s">
        <v>1278</v>
      </c>
      <c r="D812">
        <v>1</v>
      </c>
      <c r="E812" s="273">
        <v>5</v>
      </c>
      <c r="F812" s="273" t="s">
        <v>7</v>
      </c>
      <c r="G812" s="273" t="s">
        <v>11</v>
      </c>
      <c r="H812" s="273" t="s">
        <v>11</v>
      </c>
    </row>
    <row r="813" spans="1:8" x14ac:dyDescent="0.25">
      <c r="A813" t="s">
        <v>26</v>
      </c>
      <c r="B813" t="s">
        <v>89</v>
      </c>
      <c r="C813" t="s">
        <v>1691</v>
      </c>
      <c r="D813">
        <v>2</v>
      </c>
      <c r="E813" s="273">
        <v>4</v>
      </c>
      <c r="F813" s="273" t="s">
        <v>7</v>
      </c>
      <c r="G813" s="273" t="s">
        <v>11</v>
      </c>
      <c r="H813" s="273" t="s">
        <v>11</v>
      </c>
    </row>
    <row r="814" spans="1:8" x14ac:dyDescent="0.25">
      <c r="A814" t="s">
        <v>26</v>
      </c>
      <c r="B814" t="s">
        <v>89</v>
      </c>
      <c r="C814" t="s">
        <v>1692</v>
      </c>
      <c r="D814">
        <v>1</v>
      </c>
      <c r="E814" s="273">
        <v>5</v>
      </c>
      <c r="F814" s="273" t="s">
        <v>7</v>
      </c>
      <c r="G814" s="273" t="s">
        <v>11</v>
      </c>
      <c r="H814" s="273" t="s">
        <v>11</v>
      </c>
    </row>
    <row r="815" spans="1:8" x14ac:dyDescent="0.25">
      <c r="A815" t="s">
        <v>26</v>
      </c>
      <c r="B815" t="s">
        <v>89</v>
      </c>
      <c r="C815" t="s">
        <v>1693</v>
      </c>
      <c r="D815">
        <v>2</v>
      </c>
      <c r="E815" s="273">
        <v>5</v>
      </c>
      <c r="F815" s="273" t="s">
        <v>7</v>
      </c>
      <c r="G815" s="273" t="s">
        <v>11</v>
      </c>
      <c r="H815" s="273" t="s">
        <v>11</v>
      </c>
    </row>
    <row r="816" spans="1:8" x14ac:dyDescent="0.25">
      <c r="A816" t="s">
        <v>26</v>
      </c>
      <c r="B816" t="s">
        <v>89</v>
      </c>
      <c r="C816" t="s">
        <v>1650</v>
      </c>
      <c r="D816">
        <v>1</v>
      </c>
      <c r="E816" s="273">
        <v>5</v>
      </c>
      <c r="F816" s="273" t="s">
        <v>7</v>
      </c>
      <c r="G816" s="273" t="s">
        <v>11</v>
      </c>
      <c r="H816" s="273" t="s">
        <v>11</v>
      </c>
    </row>
    <row r="817" spans="1:8" x14ac:dyDescent="0.25">
      <c r="A817" t="s">
        <v>26</v>
      </c>
      <c r="B817" t="s">
        <v>89</v>
      </c>
      <c r="C817" t="s">
        <v>1556</v>
      </c>
      <c r="D817">
        <v>1</v>
      </c>
      <c r="E817" s="273">
        <v>5</v>
      </c>
      <c r="F817" s="273" t="s">
        <v>7</v>
      </c>
      <c r="G817" s="273" t="s">
        <v>11</v>
      </c>
      <c r="H817" s="273" t="s">
        <v>11</v>
      </c>
    </row>
    <row r="818" spans="1:8" x14ac:dyDescent="0.25">
      <c r="A818" t="s">
        <v>26</v>
      </c>
      <c r="B818" t="s">
        <v>89</v>
      </c>
      <c r="C818" t="s">
        <v>1694</v>
      </c>
      <c r="D818">
        <v>2</v>
      </c>
      <c r="E818" s="273">
        <v>4</v>
      </c>
      <c r="F818" s="273" t="s">
        <v>7</v>
      </c>
      <c r="G818" s="273" t="s">
        <v>11</v>
      </c>
      <c r="H818" s="273" t="s">
        <v>11</v>
      </c>
    </row>
    <row r="819" spans="1:8" x14ac:dyDescent="0.25">
      <c r="A819" t="s">
        <v>26</v>
      </c>
      <c r="B819" t="s">
        <v>89</v>
      </c>
      <c r="C819" t="s">
        <v>1178</v>
      </c>
      <c r="D819">
        <v>1</v>
      </c>
      <c r="E819" s="273">
        <v>4</v>
      </c>
      <c r="F819" s="273" t="s">
        <v>7</v>
      </c>
      <c r="G819" s="273" t="s">
        <v>11</v>
      </c>
      <c r="H819" s="273" t="s">
        <v>11</v>
      </c>
    </row>
    <row r="820" spans="1:8" x14ac:dyDescent="0.25">
      <c r="A820" t="s">
        <v>26</v>
      </c>
      <c r="B820" t="s">
        <v>89</v>
      </c>
      <c r="C820" t="s">
        <v>1557</v>
      </c>
      <c r="D820">
        <v>1</v>
      </c>
      <c r="E820" s="273">
        <v>5</v>
      </c>
      <c r="F820" s="273" t="s">
        <v>7</v>
      </c>
      <c r="G820" s="273" t="s">
        <v>11</v>
      </c>
      <c r="H820" s="273" t="s">
        <v>11</v>
      </c>
    </row>
    <row r="821" spans="1:8" x14ac:dyDescent="0.25">
      <c r="A821" t="s">
        <v>26</v>
      </c>
      <c r="B821" t="s">
        <v>89</v>
      </c>
      <c r="C821" t="s">
        <v>1695</v>
      </c>
      <c r="D821">
        <v>1</v>
      </c>
      <c r="E821" s="273">
        <v>5</v>
      </c>
      <c r="F821" s="273" t="s">
        <v>7</v>
      </c>
      <c r="G821" s="273" t="s">
        <v>11</v>
      </c>
      <c r="H821" s="273" t="s">
        <v>11</v>
      </c>
    </row>
    <row r="822" spans="1:8" x14ac:dyDescent="0.25">
      <c r="A822" t="s">
        <v>26</v>
      </c>
      <c r="B822" t="s">
        <v>89</v>
      </c>
      <c r="C822" t="s">
        <v>1280</v>
      </c>
      <c r="D822">
        <v>1</v>
      </c>
      <c r="E822" s="273">
        <v>5</v>
      </c>
      <c r="F822" s="273" t="s">
        <v>7</v>
      </c>
      <c r="G822" s="273" t="s">
        <v>11</v>
      </c>
      <c r="H822" s="273" t="s">
        <v>11</v>
      </c>
    </row>
    <row r="823" spans="1:8" x14ac:dyDescent="0.25">
      <c r="A823" t="s">
        <v>26</v>
      </c>
      <c r="B823" t="s">
        <v>89</v>
      </c>
      <c r="C823" t="s">
        <v>1696</v>
      </c>
      <c r="D823">
        <v>1</v>
      </c>
      <c r="E823" s="273">
        <v>5</v>
      </c>
      <c r="F823" s="273" t="s">
        <v>7</v>
      </c>
      <c r="G823" s="273" t="s">
        <v>11</v>
      </c>
      <c r="H823" s="273" t="s">
        <v>11</v>
      </c>
    </row>
    <row r="824" spans="1:8" x14ac:dyDescent="0.25">
      <c r="A824" t="s">
        <v>23</v>
      </c>
      <c r="B824" t="s">
        <v>77</v>
      </c>
      <c r="C824" t="s">
        <v>1697</v>
      </c>
      <c r="D824">
        <v>1</v>
      </c>
      <c r="E824" s="273">
        <v>5</v>
      </c>
      <c r="F824" s="273" t="s">
        <v>7</v>
      </c>
      <c r="G824" s="273" t="s">
        <v>11</v>
      </c>
      <c r="H824" s="273" t="s">
        <v>11</v>
      </c>
    </row>
    <row r="825" spans="1:8" x14ac:dyDescent="0.25">
      <c r="A825" t="s">
        <v>23</v>
      </c>
      <c r="B825" t="s">
        <v>77</v>
      </c>
      <c r="C825" t="s">
        <v>1339</v>
      </c>
      <c r="D825">
        <v>1</v>
      </c>
      <c r="E825" s="273">
        <v>5</v>
      </c>
      <c r="F825" s="273" t="s">
        <v>7</v>
      </c>
      <c r="G825" s="273" t="s">
        <v>11</v>
      </c>
      <c r="H825" s="273" t="s">
        <v>11</v>
      </c>
    </row>
    <row r="826" spans="1:8" x14ac:dyDescent="0.25">
      <c r="A826" t="s">
        <v>23</v>
      </c>
      <c r="B826" t="s">
        <v>77</v>
      </c>
      <c r="C826" t="s">
        <v>1698</v>
      </c>
      <c r="D826">
        <v>1</v>
      </c>
      <c r="E826" s="273">
        <v>6</v>
      </c>
      <c r="F826" s="273" t="s">
        <v>7</v>
      </c>
      <c r="G826" s="273" t="s">
        <v>11</v>
      </c>
      <c r="H826" s="273" t="s">
        <v>11</v>
      </c>
    </row>
    <row r="827" spans="1:8" x14ac:dyDescent="0.25">
      <c r="A827" t="s">
        <v>23</v>
      </c>
      <c r="B827" t="s">
        <v>77</v>
      </c>
      <c r="C827" t="s">
        <v>1699</v>
      </c>
      <c r="D827">
        <v>1</v>
      </c>
      <c r="E827" s="273">
        <v>5</v>
      </c>
      <c r="F827" s="273" t="s">
        <v>7</v>
      </c>
      <c r="G827" s="273" t="s">
        <v>11</v>
      </c>
      <c r="H827" s="273" t="s">
        <v>11</v>
      </c>
    </row>
    <row r="828" spans="1:8" x14ac:dyDescent="0.25">
      <c r="A828" t="s">
        <v>23</v>
      </c>
      <c r="B828" t="s">
        <v>77</v>
      </c>
      <c r="C828" t="s">
        <v>1700</v>
      </c>
      <c r="D828">
        <v>1</v>
      </c>
      <c r="E828" s="273">
        <v>5</v>
      </c>
      <c r="F828" s="273" t="s">
        <v>7</v>
      </c>
      <c r="G828" s="273" t="s">
        <v>11</v>
      </c>
      <c r="H828" s="273" t="s">
        <v>11</v>
      </c>
    </row>
    <row r="829" spans="1:8" x14ac:dyDescent="0.25">
      <c r="A829" t="s">
        <v>23</v>
      </c>
      <c r="B829" t="s">
        <v>77</v>
      </c>
      <c r="C829" t="s">
        <v>1229</v>
      </c>
      <c r="D829">
        <v>1</v>
      </c>
      <c r="E829" s="273">
        <v>5</v>
      </c>
      <c r="F829" s="273" t="s">
        <v>7</v>
      </c>
      <c r="G829" s="273" t="s">
        <v>11</v>
      </c>
      <c r="H829" s="273" t="s">
        <v>11</v>
      </c>
    </row>
    <row r="830" spans="1:8" x14ac:dyDescent="0.25">
      <c r="A830" t="s">
        <v>23</v>
      </c>
      <c r="B830" t="s">
        <v>77</v>
      </c>
      <c r="C830" t="s">
        <v>1701</v>
      </c>
      <c r="D830">
        <v>1</v>
      </c>
      <c r="E830" s="273">
        <v>6</v>
      </c>
      <c r="F830" s="273" t="s">
        <v>7</v>
      </c>
      <c r="G830" s="273" t="s">
        <v>11</v>
      </c>
      <c r="H830" s="273" t="s">
        <v>11</v>
      </c>
    </row>
    <row r="831" spans="1:8" x14ac:dyDescent="0.25">
      <c r="A831" t="s">
        <v>23</v>
      </c>
      <c r="B831" t="s">
        <v>77</v>
      </c>
      <c r="C831" t="s">
        <v>1230</v>
      </c>
      <c r="D831">
        <v>1</v>
      </c>
      <c r="E831" s="273">
        <v>5</v>
      </c>
      <c r="F831" s="273" t="s">
        <v>7</v>
      </c>
      <c r="G831" s="273" t="s">
        <v>11</v>
      </c>
      <c r="H831" s="273" t="s">
        <v>11</v>
      </c>
    </row>
    <row r="832" spans="1:8" x14ac:dyDescent="0.25">
      <c r="A832" t="s">
        <v>23</v>
      </c>
      <c r="B832" t="s">
        <v>77</v>
      </c>
      <c r="C832" t="s">
        <v>1702</v>
      </c>
      <c r="D832">
        <v>1</v>
      </c>
      <c r="E832" s="273">
        <v>6</v>
      </c>
      <c r="F832" s="273" t="s">
        <v>7</v>
      </c>
      <c r="G832" s="273" t="s">
        <v>11</v>
      </c>
      <c r="H832" s="273" t="s">
        <v>11</v>
      </c>
    </row>
    <row r="833" spans="1:8" x14ac:dyDescent="0.25">
      <c r="A833" t="s">
        <v>23</v>
      </c>
      <c r="B833" t="s">
        <v>77</v>
      </c>
      <c r="C833" t="s">
        <v>1703</v>
      </c>
      <c r="D833">
        <v>1</v>
      </c>
      <c r="E833" s="273">
        <v>6</v>
      </c>
      <c r="F833" s="273" t="s">
        <v>7</v>
      </c>
      <c r="G833" s="273" t="s">
        <v>11</v>
      </c>
      <c r="H833" s="273" t="s">
        <v>11</v>
      </c>
    </row>
    <row r="834" spans="1:8" x14ac:dyDescent="0.25">
      <c r="A834" t="s">
        <v>23</v>
      </c>
      <c r="B834" t="s">
        <v>77</v>
      </c>
      <c r="C834" t="s">
        <v>1704</v>
      </c>
      <c r="D834">
        <v>1</v>
      </c>
      <c r="E834" s="273">
        <v>6</v>
      </c>
      <c r="F834" s="273" t="s">
        <v>7</v>
      </c>
      <c r="G834" s="273" t="s">
        <v>11</v>
      </c>
      <c r="H834" s="273" t="s">
        <v>11</v>
      </c>
    </row>
    <row r="835" spans="1:8" x14ac:dyDescent="0.25">
      <c r="A835" t="s">
        <v>23</v>
      </c>
      <c r="B835" t="s">
        <v>77</v>
      </c>
      <c r="C835" t="s">
        <v>1120</v>
      </c>
      <c r="D835">
        <v>1</v>
      </c>
      <c r="E835" s="273">
        <v>6</v>
      </c>
      <c r="F835" s="273" t="s">
        <v>7</v>
      </c>
      <c r="G835" s="273" t="s">
        <v>11</v>
      </c>
      <c r="H835" s="273" t="s">
        <v>11</v>
      </c>
    </row>
    <row r="836" spans="1:8" x14ac:dyDescent="0.25">
      <c r="A836" t="s">
        <v>23</v>
      </c>
      <c r="B836" t="s">
        <v>77</v>
      </c>
      <c r="C836" t="s">
        <v>1121</v>
      </c>
      <c r="D836">
        <v>1</v>
      </c>
      <c r="E836" s="273">
        <v>6</v>
      </c>
      <c r="F836" s="273" t="s">
        <v>7</v>
      </c>
      <c r="G836" s="273" t="s">
        <v>11</v>
      </c>
      <c r="H836" s="273" t="s">
        <v>11</v>
      </c>
    </row>
    <row r="837" spans="1:8" x14ac:dyDescent="0.25">
      <c r="A837" t="s">
        <v>23</v>
      </c>
      <c r="B837" t="s">
        <v>77</v>
      </c>
      <c r="C837" t="s">
        <v>1232</v>
      </c>
      <c r="D837">
        <v>1</v>
      </c>
      <c r="E837" s="273">
        <v>5</v>
      </c>
      <c r="F837" s="273" t="s">
        <v>7</v>
      </c>
      <c r="G837" s="273" t="s">
        <v>11</v>
      </c>
      <c r="H837" s="273" t="s">
        <v>11</v>
      </c>
    </row>
    <row r="838" spans="1:8" x14ac:dyDescent="0.25">
      <c r="A838" t="s">
        <v>23</v>
      </c>
      <c r="B838" t="s">
        <v>77</v>
      </c>
      <c r="C838" t="s">
        <v>1606</v>
      </c>
      <c r="D838">
        <v>1</v>
      </c>
      <c r="E838" s="273">
        <v>5</v>
      </c>
      <c r="F838" s="273" t="s">
        <v>7</v>
      </c>
      <c r="G838" s="273" t="s">
        <v>11</v>
      </c>
      <c r="H838" s="273" t="s">
        <v>11</v>
      </c>
    </row>
    <row r="839" spans="1:8" x14ac:dyDescent="0.25">
      <c r="A839" t="s">
        <v>23</v>
      </c>
      <c r="B839" t="s">
        <v>77</v>
      </c>
      <c r="C839" t="s">
        <v>1705</v>
      </c>
      <c r="D839">
        <v>1</v>
      </c>
      <c r="E839" s="273">
        <v>5</v>
      </c>
      <c r="F839" s="273" t="s">
        <v>7</v>
      </c>
      <c r="G839" s="273" t="s">
        <v>11</v>
      </c>
      <c r="H839" s="273" t="s">
        <v>11</v>
      </c>
    </row>
    <row r="840" spans="1:8" x14ac:dyDescent="0.25">
      <c r="A840" t="s">
        <v>23</v>
      </c>
      <c r="B840" t="s">
        <v>77</v>
      </c>
      <c r="C840" t="s">
        <v>1706</v>
      </c>
      <c r="D840">
        <v>1</v>
      </c>
      <c r="E840" s="273">
        <v>6</v>
      </c>
      <c r="F840" s="273" t="s">
        <v>7</v>
      </c>
      <c r="G840" s="273" t="s">
        <v>11</v>
      </c>
      <c r="H840" s="273" t="s">
        <v>11</v>
      </c>
    </row>
    <row r="841" spans="1:8" x14ac:dyDescent="0.25">
      <c r="A841" t="s">
        <v>23</v>
      </c>
      <c r="B841" t="s">
        <v>77</v>
      </c>
      <c r="C841" t="s">
        <v>1123</v>
      </c>
      <c r="D841">
        <v>1</v>
      </c>
      <c r="E841" s="273">
        <v>6</v>
      </c>
      <c r="F841" s="273" t="s">
        <v>7</v>
      </c>
      <c r="G841" s="273" t="s">
        <v>11</v>
      </c>
      <c r="H841" s="273" t="s">
        <v>11</v>
      </c>
    </row>
    <row r="842" spans="1:8" x14ac:dyDescent="0.25">
      <c r="A842" t="s">
        <v>23</v>
      </c>
      <c r="B842" t="s">
        <v>77</v>
      </c>
      <c r="C842" t="s">
        <v>1707</v>
      </c>
      <c r="D842">
        <v>1</v>
      </c>
      <c r="E842" s="273">
        <v>6</v>
      </c>
      <c r="F842" s="273" t="s">
        <v>7</v>
      </c>
      <c r="G842" s="273" t="s">
        <v>11</v>
      </c>
      <c r="H842" s="273" t="s">
        <v>11</v>
      </c>
    </row>
    <row r="843" spans="1:8" x14ac:dyDescent="0.25">
      <c r="A843" t="s">
        <v>23</v>
      </c>
      <c r="B843" t="s">
        <v>77</v>
      </c>
      <c r="C843" t="s">
        <v>1126</v>
      </c>
      <c r="D843">
        <v>1</v>
      </c>
      <c r="E843" s="273">
        <v>5</v>
      </c>
      <c r="F843" s="273" t="s">
        <v>7</v>
      </c>
      <c r="G843" s="273" t="s">
        <v>11</v>
      </c>
      <c r="H843" s="273" t="s">
        <v>11</v>
      </c>
    </row>
    <row r="844" spans="1:8" x14ac:dyDescent="0.25">
      <c r="A844" t="s">
        <v>23</v>
      </c>
      <c r="B844" t="s">
        <v>77</v>
      </c>
      <c r="C844" t="s">
        <v>1127</v>
      </c>
      <c r="D844">
        <v>1</v>
      </c>
      <c r="E844" s="273">
        <v>6</v>
      </c>
      <c r="F844" s="273" t="s">
        <v>7</v>
      </c>
      <c r="G844" s="273" t="s">
        <v>11</v>
      </c>
      <c r="H844" s="273" t="s">
        <v>11</v>
      </c>
    </row>
    <row r="845" spans="1:8" x14ac:dyDescent="0.25">
      <c r="A845" t="s">
        <v>23</v>
      </c>
      <c r="B845" t="s">
        <v>77</v>
      </c>
      <c r="C845" t="s">
        <v>1477</v>
      </c>
      <c r="D845">
        <v>1</v>
      </c>
      <c r="E845" s="273">
        <v>6</v>
      </c>
      <c r="F845" s="273" t="s">
        <v>7</v>
      </c>
      <c r="G845" s="273" t="s">
        <v>11</v>
      </c>
      <c r="H845" s="273" t="s">
        <v>11</v>
      </c>
    </row>
    <row r="846" spans="1:8" x14ac:dyDescent="0.25">
      <c r="A846" t="s">
        <v>23</v>
      </c>
      <c r="B846" t="s">
        <v>77</v>
      </c>
      <c r="C846" t="s">
        <v>1609</v>
      </c>
      <c r="D846">
        <v>1</v>
      </c>
      <c r="E846" s="273">
        <v>5</v>
      </c>
      <c r="F846" s="273" t="s">
        <v>7</v>
      </c>
      <c r="G846" s="273" t="s">
        <v>11</v>
      </c>
      <c r="H846" s="273" t="s">
        <v>11</v>
      </c>
    </row>
    <row r="847" spans="1:8" x14ac:dyDescent="0.25">
      <c r="A847" t="s">
        <v>23</v>
      </c>
      <c r="B847" t="s">
        <v>77</v>
      </c>
      <c r="C847" t="s">
        <v>1239</v>
      </c>
      <c r="D847">
        <v>1</v>
      </c>
      <c r="E847" s="273">
        <v>5</v>
      </c>
      <c r="F847" s="273" t="s">
        <v>7</v>
      </c>
      <c r="G847" s="273" t="s">
        <v>11</v>
      </c>
      <c r="H847" s="273" t="s">
        <v>11</v>
      </c>
    </row>
    <row r="848" spans="1:8" x14ac:dyDescent="0.25">
      <c r="A848" t="s">
        <v>23</v>
      </c>
      <c r="B848" t="s">
        <v>77</v>
      </c>
      <c r="C848" t="s">
        <v>1137</v>
      </c>
      <c r="D848">
        <v>1</v>
      </c>
      <c r="E848" s="273">
        <v>5</v>
      </c>
      <c r="F848" s="273" t="s">
        <v>7</v>
      </c>
      <c r="G848" s="273" t="s">
        <v>11</v>
      </c>
      <c r="H848" s="273" t="s">
        <v>11</v>
      </c>
    </row>
    <row r="849" spans="1:8" x14ac:dyDescent="0.25">
      <c r="A849" t="s">
        <v>23</v>
      </c>
      <c r="B849" t="s">
        <v>77</v>
      </c>
      <c r="C849" t="s">
        <v>1708</v>
      </c>
      <c r="D849">
        <v>1</v>
      </c>
      <c r="E849" s="273">
        <v>5</v>
      </c>
      <c r="F849" s="273" t="s">
        <v>7</v>
      </c>
      <c r="G849" s="273" t="s">
        <v>11</v>
      </c>
      <c r="H849" s="273" t="s">
        <v>11</v>
      </c>
    </row>
    <row r="850" spans="1:8" x14ac:dyDescent="0.25">
      <c r="A850" t="s">
        <v>23</v>
      </c>
      <c r="B850" t="s">
        <v>77</v>
      </c>
      <c r="C850" t="s">
        <v>1486</v>
      </c>
      <c r="D850">
        <v>1</v>
      </c>
      <c r="E850" s="273">
        <v>5</v>
      </c>
      <c r="F850" s="273" t="s">
        <v>7</v>
      </c>
      <c r="G850" s="273" t="s">
        <v>11</v>
      </c>
      <c r="H850" s="273" t="s">
        <v>11</v>
      </c>
    </row>
    <row r="851" spans="1:8" x14ac:dyDescent="0.25">
      <c r="A851" t="s">
        <v>23</v>
      </c>
      <c r="B851" t="s">
        <v>77</v>
      </c>
      <c r="C851" t="s">
        <v>1661</v>
      </c>
      <c r="D851">
        <v>1</v>
      </c>
      <c r="E851" s="273">
        <v>6</v>
      </c>
      <c r="F851" s="273" t="s">
        <v>7</v>
      </c>
      <c r="G851" s="273" t="s">
        <v>11</v>
      </c>
      <c r="H851" s="273" t="s">
        <v>11</v>
      </c>
    </row>
    <row r="852" spans="1:8" x14ac:dyDescent="0.25">
      <c r="A852" t="s">
        <v>23</v>
      </c>
      <c r="B852" t="s">
        <v>77</v>
      </c>
      <c r="C852" t="s">
        <v>1709</v>
      </c>
      <c r="D852">
        <v>1</v>
      </c>
      <c r="E852" s="273">
        <v>5</v>
      </c>
      <c r="F852" s="273" t="s">
        <v>7</v>
      </c>
      <c r="G852" s="273" t="s">
        <v>11</v>
      </c>
      <c r="H852" s="273" t="s">
        <v>11</v>
      </c>
    </row>
    <row r="853" spans="1:8" x14ac:dyDescent="0.25">
      <c r="A853" t="s">
        <v>23</v>
      </c>
      <c r="B853" t="s">
        <v>77</v>
      </c>
      <c r="C853" t="s">
        <v>1710</v>
      </c>
      <c r="D853">
        <v>1</v>
      </c>
      <c r="E853" s="273">
        <v>6</v>
      </c>
      <c r="F853" s="273" t="s">
        <v>7</v>
      </c>
      <c r="G853" s="273" t="s">
        <v>11</v>
      </c>
      <c r="H853" s="273" t="s">
        <v>11</v>
      </c>
    </row>
    <row r="854" spans="1:8" x14ac:dyDescent="0.25">
      <c r="A854" t="s">
        <v>23</v>
      </c>
      <c r="B854" t="s">
        <v>77</v>
      </c>
      <c r="C854" t="s">
        <v>1711</v>
      </c>
      <c r="D854">
        <v>1</v>
      </c>
      <c r="E854" s="273">
        <v>5</v>
      </c>
      <c r="F854" s="273" t="s">
        <v>7</v>
      </c>
      <c r="G854" s="273" t="s">
        <v>11</v>
      </c>
      <c r="H854" s="273" t="s">
        <v>11</v>
      </c>
    </row>
    <row r="855" spans="1:8" x14ac:dyDescent="0.25">
      <c r="A855" t="s">
        <v>23</v>
      </c>
      <c r="B855" t="s">
        <v>77</v>
      </c>
      <c r="C855" t="s">
        <v>1712</v>
      </c>
      <c r="D855">
        <v>1</v>
      </c>
      <c r="E855" s="273">
        <v>6</v>
      </c>
      <c r="F855" s="273" t="s">
        <v>7</v>
      </c>
      <c r="G855" s="273" t="s">
        <v>11</v>
      </c>
      <c r="H855" s="273" t="s">
        <v>11</v>
      </c>
    </row>
    <row r="856" spans="1:8" x14ac:dyDescent="0.25">
      <c r="A856" t="s">
        <v>23</v>
      </c>
      <c r="B856" t="s">
        <v>77</v>
      </c>
      <c r="C856" t="s">
        <v>1142</v>
      </c>
      <c r="D856">
        <v>1</v>
      </c>
      <c r="E856" s="273">
        <v>6</v>
      </c>
      <c r="F856" s="273" t="s">
        <v>7</v>
      </c>
      <c r="G856" s="273" t="s">
        <v>11</v>
      </c>
      <c r="H856" s="273" t="s">
        <v>11</v>
      </c>
    </row>
    <row r="857" spans="1:8" x14ac:dyDescent="0.25">
      <c r="A857" t="s">
        <v>23</v>
      </c>
      <c r="B857" t="s">
        <v>77</v>
      </c>
      <c r="C857" t="s">
        <v>1497</v>
      </c>
      <c r="D857">
        <v>1</v>
      </c>
      <c r="E857" s="273">
        <v>6</v>
      </c>
      <c r="F857" s="273" t="s">
        <v>7</v>
      </c>
      <c r="G857" s="273" t="s">
        <v>11</v>
      </c>
      <c r="H857" s="273" t="s">
        <v>11</v>
      </c>
    </row>
    <row r="858" spans="1:8" x14ac:dyDescent="0.25">
      <c r="A858" t="s">
        <v>23</v>
      </c>
      <c r="B858" t="s">
        <v>77</v>
      </c>
      <c r="C858" t="s">
        <v>1143</v>
      </c>
      <c r="D858">
        <v>1</v>
      </c>
      <c r="E858" s="273">
        <v>6</v>
      </c>
      <c r="F858" s="273" t="s">
        <v>7</v>
      </c>
      <c r="G858" s="273" t="s">
        <v>11</v>
      </c>
      <c r="H858" s="273" t="s">
        <v>11</v>
      </c>
    </row>
    <row r="859" spans="1:8" x14ac:dyDescent="0.25">
      <c r="A859" t="s">
        <v>23</v>
      </c>
      <c r="B859" t="s">
        <v>77</v>
      </c>
      <c r="C859" t="s">
        <v>1361</v>
      </c>
      <c r="D859">
        <v>1</v>
      </c>
      <c r="E859" s="273">
        <v>5</v>
      </c>
      <c r="F859" s="273" t="s">
        <v>7</v>
      </c>
      <c r="G859" s="273" t="s">
        <v>11</v>
      </c>
      <c r="H859" s="273" t="s">
        <v>11</v>
      </c>
    </row>
    <row r="860" spans="1:8" x14ac:dyDescent="0.25">
      <c r="A860" t="s">
        <v>23</v>
      </c>
      <c r="B860" t="s">
        <v>77</v>
      </c>
      <c r="C860" t="s">
        <v>1145</v>
      </c>
      <c r="D860">
        <v>1</v>
      </c>
      <c r="E860" s="273">
        <v>5</v>
      </c>
      <c r="F860" s="273" t="s">
        <v>7</v>
      </c>
      <c r="G860" s="273" t="s">
        <v>11</v>
      </c>
      <c r="H860" s="273" t="s">
        <v>11</v>
      </c>
    </row>
    <row r="861" spans="1:8" x14ac:dyDescent="0.25">
      <c r="A861" t="s">
        <v>23</v>
      </c>
      <c r="B861" t="s">
        <v>77</v>
      </c>
      <c r="C861" t="s">
        <v>1618</v>
      </c>
      <c r="D861">
        <v>1</v>
      </c>
      <c r="E861" s="273">
        <v>6</v>
      </c>
      <c r="F861" s="273" t="s">
        <v>7</v>
      </c>
      <c r="G861" s="273" t="s">
        <v>11</v>
      </c>
      <c r="H861" s="273" t="s">
        <v>11</v>
      </c>
    </row>
    <row r="862" spans="1:8" x14ac:dyDescent="0.25">
      <c r="A862" t="s">
        <v>23</v>
      </c>
      <c r="B862" t="s">
        <v>77</v>
      </c>
      <c r="C862" t="s">
        <v>1713</v>
      </c>
      <c r="D862">
        <v>1</v>
      </c>
      <c r="E862" s="273">
        <v>5</v>
      </c>
      <c r="F862" s="273" t="s">
        <v>7</v>
      </c>
      <c r="G862" s="273" t="s">
        <v>11</v>
      </c>
      <c r="H862" s="273" t="s">
        <v>11</v>
      </c>
    </row>
    <row r="863" spans="1:8" x14ac:dyDescent="0.25">
      <c r="A863" t="s">
        <v>23</v>
      </c>
      <c r="B863" t="s">
        <v>77</v>
      </c>
      <c r="C863" t="s">
        <v>1423</v>
      </c>
      <c r="D863">
        <v>1</v>
      </c>
      <c r="E863" s="273">
        <v>6</v>
      </c>
      <c r="F863" s="273" t="s">
        <v>7</v>
      </c>
      <c r="G863" s="273" t="s">
        <v>11</v>
      </c>
      <c r="H863" s="273" t="s">
        <v>11</v>
      </c>
    </row>
    <row r="864" spans="1:8" x14ac:dyDescent="0.25">
      <c r="A864" t="s">
        <v>23</v>
      </c>
      <c r="B864" t="s">
        <v>77</v>
      </c>
      <c r="C864" t="s">
        <v>1507</v>
      </c>
      <c r="D864">
        <v>1</v>
      </c>
      <c r="E864" s="273">
        <v>6</v>
      </c>
      <c r="F864" s="273" t="s">
        <v>7</v>
      </c>
      <c r="G864" s="273" t="s">
        <v>11</v>
      </c>
      <c r="H864" s="273" t="s">
        <v>11</v>
      </c>
    </row>
    <row r="865" spans="1:8" x14ac:dyDescent="0.25">
      <c r="A865" t="s">
        <v>23</v>
      </c>
      <c r="B865" t="s">
        <v>77</v>
      </c>
      <c r="C865" t="s">
        <v>1619</v>
      </c>
      <c r="D865">
        <v>1</v>
      </c>
      <c r="E865" s="273">
        <v>6</v>
      </c>
      <c r="F865" s="273" t="s">
        <v>7</v>
      </c>
      <c r="G865" s="273" t="s">
        <v>11</v>
      </c>
      <c r="H865" s="273" t="s">
        <v>11</v>
      </c>
    </row>
    <row r="866" spans="1:8" x14ac:dyDescent="0.25">
      <c r="A866" t="s">
        <v>23</v>
      </c>
      <c r="B866" t="s">
        <v>77</v>
      </c>
      <c r="C866" t="s">
        <v>1666</v>
      </c>
      <c r="D866">
        <v>1</v>
      </c>
      <c r="E866" s="273">
        <v>5</v>
      </c>
      <c r="F866" s="273" t="s">
        <v>7</v>
      </c>
      <c r="G866" s="273" t="s">
        <v>11</v>
      </c>
      <c r="H866" s="273" t="s">
        <v>11</v>
      </c>
    </row>
    <row r="867" spans="1:8" x14ac:dyDescent="0.25">
      <c r="A867" t="s">
        <v>23</v>
      </c>
      <c r="B867" t="s">
        <v>77</v>
      </c>
      <c r="C867" t="s">
        <v>1147</v>
      </c>
      <c r="D867">
        <v>1</v>
      </c>
      <c r="E867" s="273">
        <v>5</v>
      </c>
      <c r="F867" s="273" t="s">
        <v>7</v>
      </c>
      <c r="G867" s="273" t="s">
        <v>11</v>
      </c>
      <c r="H867" s="273" t="s">
        <v>11</v>
      </c>
    </row>
    <row r="868" spans="1:8" x14ac:dyDescent="0.25">
      <c r="A868" t="s">
        <v>23</v>
      </c>
      <c r="B868" t="s">
        <v>77</v>
      </c>
      <c r="C868" t="s">
        <v>1250</v>
      </c>
      <c r="D868">
        <v>1</v>
      </c>
      <c r="E868" s="273">
        <v>6</v>
      </c>
      <c r="F868" s="273" t="s">
        <v>7</v>
      </c>
      <c r="G868" s="273" t="s">
        <v>11</v>
      </c>
      <c r="H868" s="273" t="s">
        <v>11</v>
      </c>
    </row>
    <row r="869" spans="1:8" x14ac:dyDescent="0.25">
      <c r="A869" t="s">
        <v>23</v>
      </c>
      <c r="B869" t="s">
        <v>77</v>
      </c>
      <c r="C869" t="s">
        <v>1294</v>
      </c>
      <c r="D869">
        <v>1</v>
      </c>
      <c r="E869" s="273">
        <v>6</v>
      </c>
      <c r="F869" s="273" t="s">
        <v>7</v>
      </c>
      <c r="G869" s="273" t="s">
        <v>11</v>
      </c>
      <c r="H869" s="273" t="s">
        <v>11</v>
      </c>
    </row>
    <row r="870" spans="1:8" x14ac:dyDescent="0.25">
      <c r="A870" t="s">
        <v>23</v>
      </c>
      <c r="B870" t="s">
        <v>77</v>
      </c>
      <c r="C870" t="s">
        <v>1714</v>
      </c>
      <c r="D870">
        <v>1</v>
      </c>
      <c r="E870" s="273">
        <v>6</v>
      </c>
      <c r="F870" s="273" t="s">
        <v>7</v>
      </c>
      <c r="G870" s="273" t="s">
        <v>11</v>
      </c>
      <c r="H870" s="273" t="s">
        <v>11</v>
      </c>
    </row>
    <row r="871" spans="1:8" x14ac:dyDescent="0.25">
      <c r="A871" t="s">
        <v>23</v>
      </c>
      <c r="B871" t="s">
        <v>77</v>
      </c>
      <c r="C871" t="s">
        <v>1715</v>
      </c>
      <c r="D871">
        <v>1</v>
      </c>
      <c r="E871" s="273">
        <v>5</v>
      </c>
      <c r="F871" s="273" t="s">
        <v>7</v>
      </c>
      <c r="G871" s="273" t="s">
        <v>11</v>
      </c>
      <c r="H871" s="273" t="s">
        <v>11</v>
      </c>
    </row>
    <row r="872" spans="1:8" x14ac:dyDescent="0.25">
      <c r="A872" t="s">
        <v>23</v>
      </c>
      <c r="B872" t="s">
        <v>77</v>
      </c>
      <c r="C872" t="s">
        <v>1149</v>
      </c>
      <c r="D872">
        <v>1</v>
      </c>
      <c r="E872" s="273">
        <v>5</v>
      </c>
      <c r="F872" s="273" t="s">
        <v>7</v>
      </c>
      <c r="G872" s="273" t="s">
        <v>11</v>
      </c>
      <c r="H872" s="273" t="s">
        <v>11</v>
      </c>
    </row>
    <row r="873" spans="1:8" x14ac:dyDescent="0.25">
      <c r="A873" t="s">
        <v>23</v>
      </c>
      <c r="B873" t="s">
        <v>77</v>
      </c>
      <c r="C873" t="s">
        <v>1513</v>
      </c>
      <c r="D873">
        <v>1</v>
      </c>
      <c r="E873" s="273">
        <v>5</v>
      </c>
      <c r="F873" s="273" t="s">
        <v>7</v>
      </c>
      <c r="G873" s="273" t="s">
        <v>11</v>
      </c>
      <c r="H873" s="273" t="s">
        <v>11</v>
      </c>
    </row>
    <row r="874" spans="1:8" x14ac:dyDescent="0.25">
      <c r="A874" t="s">
        <v>23</v>
      </c>
      <c r="B874" t="s">
        <v>77</v>
      </c>
      <c r="C874" t="s">
        <v>1150</v>
      </c>
      <c r="D874">
        <v>1</v>
      </c>
      <c r="E874" s="273">
        <v>5</v>
      </c>
      <c r="F874" s="273" t="s">
        <v>7</v>
      </c>
      <c r="G874" s="273" t="s">
        <v>11</v>
      </c>
      <c r="H874" s="273" t="s">
        <v>11</v>
      </c>
    </row>
    <row r="875" spans="1:8" x14ac:dyDescent="0.25">
      <c r="A875" t="s">
        <v>23</v>
      </c>
      <c r="B875" t="s">
        <v>77</v>
      </c>
      <c r="C875" t="s">
        <v>1253</v>
      </c>
      <c r="D875">
        <v>1</v>
      </c>
      <c r="E875" s="273">
        <v>5</v>
      </c>
      <c r="F875" s="273" t="s">
        <v>7</v>
      </c>
      <c r="G875" s="273" t="s">
        <v>11</v>
      </c>
      <c r="H875" s="273" t="s">
        <v>11</v>
      </c>
    </row>
    <row r="876" spans="1:8" x14ac:dyDescent="0.25">
      <c r="A876" t="s">
        <v>23</v>
      </c>
      <c r="B876" t="s">
        <v>77</v>
      </c>
      <c r="C876" t="s">
        <v>1516</v>
      </c>
      <c r="D876">
        <v>1</v>
      </c>
      <c r="E876" s="273">
        <v>5</v>
      </c>
      <c r="F876" s="273" t="s">
        <v>7</v>
      </c>
      <c r="G876" s="273" t="s">
        <v>11</v>
      </c>
      <c r="H876" s="273" t="s">
        <v>11</v>
      </c>
    </row>
    <row r="877" spans="1:8" x14ac:dyDescent="0.25">
      <c r="A877" t="s">
        <v>23</v>
      </c>
      <c r="B877" t="s">
        <v>77</v>
      </c>
      <c r="C877" t="s">
        <v>1716</v>
      </c>
      <c r="D877">
        <v>1</v>
      </c>
      <c r="E877" s="273">
        <v>5</v>
      </c>
      <c r="F877" s="273" t="s">
        <v>7</v>
      </c>
      <c r="G877" s="273" t="s">
        <v>11</v>
      </c>
      <c r="H877" s="273" t="s">
        <v>11</v>
      </c>
    </row>
    <row r="878" spans="1:8" x14ac:dyDescent="0.25">
      <c r="A878" t="s">
        <v>23</v>
      </c>
      <c r="B878" t="s">
        <v>77</v>
      </c>
      <c r="C878" t="s">
        <v>1717</v>
      </c>
      <c r="D878">
        <v>1</v>
      </c>
      <c r="E878" s="273">
        <v>6</v>
      </c>
      <c r="F878" s="273" t="s">
        <v>7</v>
      </c>
      <c r="G878" s="273" t="s">
        <v>11</v>
      </c>
      <c r="H878" s="273" t="s">
        <v>11</v>
      </c>
    </row>
    <row r="879" spans="1:8" x14ac:dyDescent="0.25">
      <c r="A879" t="s">
        <v>23</v>
      </c>
      <c r="B879" t="s">
        <v>77</v>
      </c>
      <c r="C879" t="s">
        <v>1154</v>
      </c>
      <c r="D879">
        <v>1</v>
      </c>
      <c r="E879" s="273">
        <v>5</v>
      </c>
      <c r="F879" s="273" t="s">
        <v>7</v>
      </c>
      <c r="G879" s="273" t="s">
        <v>11</v>
      </c>
      <c r="H879" s="273" t="s">
        <v>11</v>
      </c>
    </row>
    <row r="880" spans="1:8" x14ac:dyDescent="0.25">
      <c r="A880" t="s">
        <v>23</v>
      </c>
      <c r="B880" t="s">
        <v>77</v>
      </c>
      <c r="C880" t="s">
        <v>1718</v>
      </c>
      <c r="D880">
        <v>1</v>
      </c>
      <c r="E880" s="273">
        <v>5</v>
      </c>
      <c r="F880" s="273" t="s">
        <v>7</v>
      </c>
      <c r="G880" s="273" t="s">
        <v>11</v>
      </c>
      <c r="H880" s="273" t="s">
        <v>11</v>
      </c>
    </row>
    <row r="881" spans="1:8" x14ac:dyDescent="0.25">
      <c r="A881" t="s">
        <v>23</v>
      </c>
      <c r="B881" t="s">
        <v>77</v>
      </c>
      <c r="C881" t="s">
        <v>1719</v>
      </c>
      <c r="D881">
        <v>1</v>
      </c>
      <c r="E881" s="273">
        <v>5</v>
      </c>
      <c r="F881" s="273" t="s">
        <v>7</v>
      </c>
      <c r="G881" s="273" t="s">
        <v>11</v>
      </c>
      <c r="H881" s="273" t="s">
        <v>11</v>
      </c>
    </row>
    <row r="882" spans="1:8" x14ac:dyDescent="0.25">
      <c r="A882" t="s">
        <v>23</v>
      </c>
      <c r="B882" t="s">
        <v>77</v>
      </c>
      <c r="C882" t="s">
        <v>1720</v>
      </c>
      <c r="D882">
        <v>1</v>
      </c>
      <c r="E882" s="273">
        <v>5</v>
      </c>
      <c r="F882" s="273" t="s">
        <v>7</v>
      </c>
      <c r="G882" s="273" t="s">
        <v>11</v>
      </c>
      <c r="H882" s="273" t="s">
        <v>11</v>
      </c>
    </row>
    <row r="883" spans="1:8" x14ac:dyDescent="0.25">
      <c r="A883" t="s">
        <v>23</v>
      </c>
      <c r="B883" t="s">
        <v>77</v>
      </c>
      <c r="C883" t="s">
        <v>1721</v>
      </c>
      <c r="D883">
        <v>1</v>
      </c>
      <c r="E883" s="273">
        <v>6</v>
      </c>
      <c r="F883" s="273" t="s">
        <v>7</v>
      </c>
      <c r="G883" s="273" t="s">
        <v>11</v>
      </c>
      <c r="H883" s="273" t="s">
        <v>11</v>
      </c>
    </row>
    <row r="884" spans="1:8" x14ac:dyDescent="0.25">
      <c r="A884" t="s">
        <v>23</v>
      </c>
      <c r="B884" t="s">
        <v>77</v>
      </c>
      <c r="C884" t="s">
        <v>1158</v>
      </c>
      <c r="D884">
        <v>1</v>
      </c>
      <c r="E884" s="273">
        <v>5</v>
      </c>
      <c r="F884" s="273" t="s">
        <v>7</v>
      </c>
      <c r="G884" s="273" t="s">
        <v>11</v>
      </c>
      <c r="H884" s="273" t="s">
        <v>11</v>
      </c>
    </row>
    <row r="885" spans="1:8" x14ac:dyDescent="0.25">
      <c r="A885" t="s">
        <v>23</v>
      </c>
      <c r="B885" t="s">
        <v>77</v>
      </c>
      <c r="C885" t="s">
        <v>1722</v>
      </c>
      <c r="D885">
        <v>1</v>
      </c>
      <c r="E885" s="273">
        <v>5</v>
      </c>
      <c r="F885" s="273" t="s">
        <v>7</v>
      </c>
      <c r="G885" s="273" t="s">
        <v>11</v>
      </c>
      <c r="H885" s="273" t="s">
        <v>11</v>
      </c>
    </row>
    <row r="886" spans="1:8" x14ac:dyDescent="0.25">
      <c r="A886" t="s">
        <v>23</v>
      </c>
      <c r="B886" t="s">
        <v>77</v>
      </c>
      <c r="C886" t="s">
        <v>1160</v>
      </c>
      <c r="D886">
        <v>1</v>
      </c>
      <c r="E886" s="273">
        <v>5</v>
      </c>
      <c r="F886" s="273" t="s">
        <v>7</v>
      </c>
      <c r="G886" s="273" t="s">
        <v>11</v>
      </c>
      <c r="H886" s="273" t="s">
        <v>11</v>
      </c>
    </row>
    <row r="887" spans="1:8" x14ac:dyDescent="0.25">
      <c r="A887" t="s">
        <v>23</v>
      </c>
      <c r="B887" t="s">
        <v>77</v>
      </c>
      <c r="C887" t="s">
        <v>1161</v>
      </c>
      <c r="D887">
        <v>1</v>
      </c>
      <c r="E887" s="273">
        <v>5</v>
      </c>
      <c r="F887" s="273" t="s">
        <v>7</v>
      </c>
      <c r="G887" s="273" t="s">
        <v>11</v>
      </c>
      <c r="H887" s="273" t="s">
        <v>11</v>
      </c>
    </row>
    <row r="888" spans="1:8" x14ac:dyDescent="0.25">
      <c r="A888" t="s">
        <v>23</v>
      </c>
      <c r="B888" t="s">
        <v>77</v>
      </c>
      <c r="C888" t="s">
        <v>1723</v>
      </c>
      <c r="D888">
        <v>1</v>
      </c>
      <c r="E888" s="273">
        <v>5</v>
      </c>
      <c r="F888" s="273" t="s">
        <v>7</v>
      </c>
      <c r="G888" s="273" t="s">
        <v>11</v>
      </c>
      <c r="H888" s="273" t="s">
        <v>11</v>
      </c>
    </row>
    <row r="889" spans="1:8" x14ac:dyDescent="0.25">
      <c r="A889" t="s">
        <v>23</v>
      </c>
      <c r="B889" t="s">
        <v>77</v>
      </c>
      <c r="C889" t="s">
        <v>1524</v>
      </c>
      <c r="D889">
        <v>1</v>
      </c>
      <c r="E889" s="273">
        <v>6</v>
      </c>
      <c r="F889" s="273" t="s">
        <v>7</v>
      </c>
      <c r="G889" s="273" t="s">
        <v>11</v>
      </c>
      <c r="H889" s="273" t="s">
        <v>11</v>
      </c>
    </row>
    <row r="890" spans="1:8" x14ac:dyDescent="0.25">
      <c r="A890" t="s">
        <v>23</v>
      </c>
      <c r="B890" t="s">
        <v>77</v>
      </c>
      <c r="C890" t="s">
        <v>1724</v>
      </c>
      <c r="D890">
        <v>1</v>
      </c>
      <c r="E890" s="273">
        <v>5</v>
      </c>
      <c r="F890" s="273" t="s">
        <v>7</v>
      </c>
      <c r="G890" s="273" t="s">
        <v>11</v>
      </c>
      <c r="H890" s="273" t="s">
        <v>11</v>
      </c>
    </row>
    <row r="891" spans="1:8" x14ac:dyDescent="0.25">
      <c r="A891" t="s">
        <v>23</v>
      </c>
      <c r="B891" t="s">
        <v>77</v>
      </c>
      <c r="C891" t="s">
        <v>1163</v>
      </c>
      <c r="D891">
        <v>1</v>
      </c>
      <c r="E891" s="273">
        <v>5</v>
      </c>
      <c r="F891" s="273" t="s">
        <v>7</v>
      </c>
      <c r="G891" s="273" t="s">
        <v>11</v>
      </c>
      <c r="H891" s="273" t="s">
        <v>11</v>
      </c>
    </row>
    <row r="892" spans="1:8" x14ac:dyDescent="0.25">
      <c r="A892" t="s">
        <v>23</v>
      </c>
      <c r="B892" t="s">
        <v>77</v>
      </c>
      <c r="C892" t="s">
        <v>1164</v>
      </c>
      <c r="D892">
        <v>1</v>
      </c>
      <c r="E892" s="273">
        <v>5</v>
      </c>
      <c r="F892" s="273" t="s">
        <v>7</v>
      </c>
      <c r="G892" s="273" t="s">
        <v>11</v>
      </c>
      <c r="H892" s="273" t="s">
        <v>11</v>
      </c>
    </row>
    <row r="893" spans="1:8" x14ac:dyDescent="0.25">
      <c r="A893" t="s">
        <v>23</v>
      </c>
      <c r="B893" t="s">
        <v>77</v>
      </c>
      <c r="C893" t="s">
        <v>1725</v>
      </c>
      <c r="D893">
        <v>1</v>
      </c>
      <c r="E893" s="273">
        <v>5</v>
      </c>
      <c r="F893" s="273" t="s">
        <v>7</v>
      </c>
      <c r="G893" s="273" t="s">
        <v>11</v>
      </c>
      <c r="H893" s="273" t="s">
        <v>11</v>
      </c>
    </row>
    <row r="894" spans="1:8" x14ac:dyDescent="0.25">
      <c r="A894" t="s">
        <v>23</v>
      </c>
      <c r="B894" t="s">
        <v>77</v>
      </c>
      <c r="C894" t="s">
        <v>1726</v>
      </c>
      <c r="D894">
        <v>1</v>
      </c>
      <c r="E894" s="273">
        <v>6</v>
      </c>
      <c r="F894" s="273" t="s">
        <v>7</v>
      </c>
      <c r="G894" s="273" t="s">
        <v>11</v>
      </c>
      <c r="H894" s="273" t="s">
        <v>11</v>
      </c>
    </row>
    <row r="895" spans="1:8" x14ac:dyDescent="0.25">
      <c r="A895" t="s">
        <v>23</v>
      </c>
      <c r="B895" t="s">
        <v>77</v>
      </c>
      <c r="C895" t="s">
        <v>1440</v>
      </c>
      <c r="D895">
        <v>1</v>
      </c>
      <c r="E895" s="273">
        <v>6</v>
      </c>
      <c r="F895" s="273" t="s">
        <v>7</v>
      </c>
      <c r="G895" s="273" t="s">
        <v>11</v>
      </c>
      <c r="H895" s="273" t="s">
        <v>11</v>
      </c>
    </row>
    <row r="896" spans="1:8" x14ac:dyDescent="0.25">
      <c r="A896" t="s">
        <v>23</v>
      </c>
      <c r="B896" t="s">
        <v>77</v>
      </c>
      <c r="C896" t="s">
        <v>1727</v>
      </c>
      <c r="D896">
        <v>1</v>
      </c>
      <c r="E896" s="273">
        <v>5</v>
      </c>
      <c r="F896" s="273" t="s">
        <v>7</v>
      </c>
      <c r="G896" s="273" t="s">
        <v>11</v>
      </c>
      <c r="H896" s="273" t="s">
        <v>11</v>
      </c>
    </row>
    <row r="897" spans="1:8" x14ac:dyDescent="0.25">
      <c r="A897" t="s">
        <v>23</v>
      </c>
      <c r="B897" t="s">
        <v>77</v>
      </c>
      <c r="C897" t="s">
        <v>1728</v>
      </c>
      <c r="D897">
        <v>1</v>
      </c>
      <c r="E897" s="273">
        <v>6</v>
      </c>
      <c r="F897" s="273" t="s">
        <v>7</v>
      </c>
      <c r="G897" s="273" t="s">
        <v>11</v>
      </c>
      <c r="H897" s="273" t="s">
        <v>11</v>
      </c>
    </row>
    <row r="898" spans="1:8" x14ac:dyDescent="0.25">
      <c r="A898" t="s">
        <v>23</v>
      </c>
      <c r="B898" t="s">
        <v>77</v>
      </c>
      <c r="C898" t="s">
        <v>1729</v>
      </c>
      <c r="D898">
        <v>1</v>
      </c>
      <c r="E898" s="273">
        <v>6</v>
      </c>
      <c r="F898" s="273" t="s">
        <v>7</v>
      </c>
      <c r="G898" s="273" t="s">
        <v>11</v>
      </c>
      <c r="H898" s="273" t="s">
        <v>11</v>
      </c>
    </row>
    <row r="899" spans="1:8" x14ac:dyDescent="0.25">
      <c r="A899" t="s">
        <v>23</v>
      </c>
      <c r="B899" t="s">
        <v>77</v>
      </c>
      <c r="C899" t="s">
        <v>1730</v>
      </c>
      <c r="D899">
        <v>1</v>
      </c>
      <c r="E899" s="273">
        <v>6</v>
      </c>
      <c r="F899" s="273" t="s">
        <v>7</v>
      </c>
      <c r="G899" s="273" t="s">
        <v>11</v>
      </c>
      <c r="H899" s="273" t="s">
        <v>11</v>
      </c>
    </row>
    <row r="900" spans="1:8" x14ac:dyDescent="0.25">
      <c r="A900" t="s">
        <v>23</v>
      </c>
      <c r="B900" t="s">
        <v>77</v>
      </c>
      <c r="C900" t="s">
        <v>1266</v>
      </c>
      <c r="D900">
        <v>1</v>
      </c>
      <c r="E900" s="273">
        <v>5</v>
      </c>
      <c r="F900" s="273" t="s">
        <v>7</v>
      </c>
      <c r="G900" s="273" t="s">
        <v>11</v>
      </c>
      <c r="H900" s="273" t="s">
        <v>11</v>
      </c>
    </row>
    <row r="901" spans="1:8" x14ac:dyDescent="0.25">
      <c r="A901" t="s">
        <v>23</v>
      </c>
      <c r="B901" t="s">
        <v>77</v>
      </c>
      <c r="C901" t="s">
        <v>1731</v>
      </c>
      <c r="D901">
        <v>1</v>
      </c>
      <c r="E901" s="273">
        <v>5</v>
      </c>
      <c r="F901" s="273" t="s">
        <v>7</v>
      </c>
      <c r="G901" s="273" t="s">
        <v>11</v>
      </c>
      <c r="H901" s="273" t="s">
        <v>11</v>
      </c>
    </row>
    <row r="902" spans="1:8" x14ac:dyDescent="0.25">
      <c r="A902" t="s">
        <v>23</v>
      </c>
      <c r="B902" t="s">
        <v>77</v>
      </c>
      <c r="C902" t="s">
        <v>1732</v>
      </c>
      <c r="D902">
        <v>1</v>
      </c>
      <c r="E902" s="273">
        <v>5</v>
      </c>
      <c r="F902" s="273" t="s">
        <v>7</v>
      </c>
      <c r="G902" s="273" t="s">
        <v>11</v>
      </c>
      <c r="H902" s="273" t="s">
        <v>11</v>
      </c>
    </row>
    <row r="903" spans="1:8" x14ac:dyDescent="0.25">
      <c r="A903" t="s">
        <v>23</v>
      </c>
      <c r="B903" t="s">
        <v>77</v>
      </c>
      <c r="C903" t="s">
        <v>1733</v>
      </c>
      <c r="D903">
        <v>1</v>
      </c>
      <c r="E903" s="273">
        <v>5</v>
      </c>
      <c r="F903" s="273" t="s">
        <v>7</v>
      </c>
      <c r="G903" s="273" t="s">
        <v>11</v>
      </c>
      <c r="H903" s="273" t="s">
        <v>11</v>
      </c>
    </row>
    <row r="904" spans="1:8" x14ac:dyDescent="0.25">
      <c r="A904" t="s">
        <v>23</v>
      </c>
      <c r="B904" t="s">
        <v>77</v>
      </c>
      <c r="C904" t="s">
        <v>1734</v>
      </c>
      <c r="D904">
        <v>1</v>
      </c>
      <c r="E904" s="273">
        <v>6</v>
      </c>
      <c r="F904" s="273" t="s">
        <v>7</v>
      </c>
      <c r="G904" s="273" t="s">
        <v>11</v>
      </c>
      <c r="H904" s="273" t="s">
        <v>11</v>
      </c>
    </row>
    <row r="905" spans="1:8" x14ac:dyDescent="0.25">
      <c r="A905" t="s">
        <v>23</v>
      </c>
      <c r="B905" t="s">
        <v>77</v>
      </c>
      <c r="C905" t="s">
        <v>1272</v>
      </c>
      <c r="D905">
        <v>1</v>
      </c>
      <c r="E905" s="273">
        <v>5</v>
      </c>
      <c r="F905" s="273" t="s">
        <v>7</v>
      </c>
      <c r="G905" s="273" t="s">
        <v>11</v>
      </c>
      <c r="H905" s="273" t="s">
        <v>11</v>
      </c>
    </row>
    <row r="906" spans="1:8" x14ac:dyDescent="0.25">
      <c r="A906" t="s">
        <v>23</v>
      </c>
      <c r="B906" t="s">
        <v>77</v>
      </c>
      <c r="C906" t="s">
        <v>1172</v>
      </c>
      <c r="D906">
        <v>1</v>
      </c>
      <c r="E906" s="273">
        <v>5</v>
      </c>
      <c r="F906" s="273" t="s">
        <v>7</v>
      </c>
      <c r="G906" s="273" t="s">
        <v>11</v>
      </c>
      <c r="H906" s="273" t="s">
        <v>11</v>
      </c>
    </row>
    <row r="907" spans="1:8" x14ac:dyDescent="0.25">
      <c r="A907" t="s">
        <v>23</v>
      </c>
      <c r="B907" t="s">
        <v>77</v>
      </c>
      <c r="C907" t="s">
        <v>1735</v>
      </c>
      <c r="D907">
        <v>1</v>
      </c>
      <c r="E907" s="273">
        <v>6</v>
      </c>
      <c r="F907" s="273" t="s">
        <v>7</v>
      </c>
      <c r="G907" s="273" t="s">
        <v>11</v>
      </c>
      <c r="H907" s="273" t="s">
        <v>11</v>
      </c>
    </row>
    <row r="908" spans="1:8" x14ac:dyDescent="0.25">
      <c r="A908" t="s">
        <v>23</v>
      </c>
      <c r="B908" t="s">
        <v>77</v>
      </c>
      <c r="C908" t="s">
        <v>1736</v>
      </c>
      <c r="D908">
        <v>1</v>
      </c>
      <c r="E908" s="273">
        <v>5</v>
      </c>
      <c r="F908" s="273" t="s">
        <v>7</v>
      </c>
      <c r="G908" s="273" t="s">
        <v>11</v>
      </c>
      <c r="H908" s="273" t="s">
        <v>11</v>
      </c>
    </row>
    <row r="909" spans="1:8" x14ac:dyDescent="0.25">
      <c r="A909" t="s">
        <v>23</v>
      </c>
      <c r="B909" t="s">
        <v>77</v>
      </c>
      <c r="C909" t="s">
        <v>1737</v>
      </c>
      <c r="D909">
        <v>1</v>
      </c>
      <c r="E909" s="273">
        <v>5</v>
      </c>
      <c r="F909" s="273" t="s">
        <v>7</v>
      </c>
      <c r="G909" s="273" t="s">
        <v>11</v>
      </c>
      <c r="H909" s="273" t="s">
        <v>11</v>
      </c>
    </row>
    <row r="910" spans="1:8" x14ac:dyDescent="0.25">
      <c r="A910" t="s">
        <v>23</v>
      </c>
      <c r="B910" t="s">
        <v>77</v>
      </c>
      <c r="C910" t="s">
        <v>1451</v>
      </c>
      <c r="D910">
        <v>1</v>
      </c>
      <c r="E910" s="273">
        <v>5</v>
      </c>
      <c r="F910" s="273" t="s">
        <v>7</v>
      </c>
      <c r="G910" s="273" t="s">
        <v>11</v>
      </c>
      <c r="H910" s="273" t="s">
        <v>11</v>
      </c>
    </row>
    <row r="911" spans="1:8" x14ac:dyDescent="0.25">
      <c r="A911" t="s">
        <v>23</v>
      </c>
      <c r="B911" t="s">
        <v>77</v>
      </c>
      <c r="C911" t="s">
        <v>1278</v>
      </c>
      <c r="D911">
        <v>1</v>
      </c>
      <c r="E911" s="273">
        <v>5</v>
      </c>
      <c r="F911" s="273" t="s">
        <v>7</v>
      </c>
      <c r="G911" s="273" t="s">
        <v>11</v>
      </c>
      <c r="H911" s="273" t="s">
        <v>11</v>
      </c>
    </row>
    <row r="912" spans="1:8" x14ac:dyDescent="0.25">
      <c r="A912" t="s">
        <v>23</v>
      </c>
      <c r="B912" t="s">
        <v>77</v>
      </c>
      <c r="C912" t="s">
        <v>1279</v>
      </c>
      <c r="D912">
        <v>1</v>
      </c>
      <c r="E912" s="273">
        <v>5</v>
      </c>
      <c r="F912" s="273" t="s">
        <v>7</v>
      </c>
      <c r="G912" s="273" t="s">
        <v>11</v>
      </c>
      <c r="H912" s="273" t="s">
        <v>11</v>
      </c>
    </row>
    <row r="913" spans="1:8" x14ac:dyDescent="0.25">
      <c r="A913" t="s">
        <v>23</v>
      </c>
      <c r="B913" t="s">
        <v>77</v>
      </c>
      <c r="C913" t="s">
        <v>1738</v>
      </c>
      <c r="D913">
        <v>1</v>
      </c>
      <c r="E913" s="273">
        <v>5</v>
      </c>
      <c r="F913" s="273" t="s">
        <v>7</v>
      </c>
      <c r="G913" s="273" t="s">
        <v>11</v>
      </c>
      <c r="H913" s="273" t="s">
        <v>11</v>
      </c>
    </row>
    <row r="914" spans="1:8" x14ac:dyDescent="0.25">
      <c r="A914" t="s">
        <v>23</v>
      </c>
      <c r="B914" t="s">
        <v>77</v>
      </c>
      <c r="C914" t="s">
        <v>1556</v>
      </c>
      <c r="D914">
        <v>1</v>
      </c>
      <c r="E914" s="273">
        <v>5</v>
      </c>
      <c r="F914" s="273" t="s">
        <v>7</v>
      </c>
      <c r="G914" s="273" t="s">
        <v>11</v>
      </c>
      <c r="H914" s="273" t="s">
        <v>11</v>
      </c>
    </row>
    <row r="915" spans="1:8" x14ac:dyDescent="0.25">
      <c r="A915" t="s">
        <v>23</v>
      </c>
      <c r="B915" t="s">
        <v>77</v>
      </c>
      <c r="C915" t="s">
        <v>1178</v>
      </c>
      <c r="D915">
        <v>1</v>
      </c>
      <c r="E915" s="273">
        <v>5</v>
      </c>
      <c r="F915" s="273" t="s">
        <v>7</v>
      </c>
      <c r="G915" s="273" t="s">
        <v>11</v>
      </c>
      <c r="H915" s="273" t="s">
        <v>11</v>
      </c>
    </row>
    <row r="916" spans="1:8" x14ac:dyDescent="0.25">
      <c r="A916" t="s">
        <v>23</v>
      </c>
      <c r="B916" t="s">
        <v>77</v>
      </c>
      <c r="C916" t="s">
        <v>1557</v>
      </c>
      <c r="D916">
        <v>1</v>
      </c>
      <c r="E916" s="273">
        <v>5</v>
      </c>
      <c r="F916" s="273" t="s">
        <v>7</v>
      </c>
      <c r="G916" s="273" t="s">
        <v>11</v>
      </c>
      <c r="H916" s="273" t="s">
        <v>11</v>
      </c>
    </row>
    <row r="917" spans="1:8" x14ac:dyDescent="0.25">
      <c r="A917" t="s">
        <v>23</v>
      </c>
      <c r="B917" t="s">
        <v>77</v>
      </c>
      <c r="C917" t="s">
        <v>1558</v>
      </c>
      <c r="D917">
        <v>1</v>
      </c>
      <c r="E917" s="273">
        <v>6</v>
      </c>
      <c r="F917" s="273" t="s">
        <v>7</v>
      </c>
      <c r="G917" s="273" t="s">
        <v>11</v>
      </c>
      <c r="H917" s="273" t="s">
        <v>11</v>
      </c>
    </row>
    <row r="918" spans="1:8" x14ac:dyDescent="0.25">
      <c r="A918" t="s">
        <v>23</v>
      </c>
      <c r="B918" t="s">
        <v>77</v>
      </c>
      <c r="C918" t="s">
        <v>1654</v>
      </c>
      <c r="D918">
        <v>1</v>
      </c>
      <c r="E918" s="273">
        <v>6</v>
      </c>
      <c r="F918" s="273" t="s">
        <v>7</v>
      </c>
      <c r="G918" s="273" t="s">
        <v>11</v>
      </c>
      <c r="H918" s="273" t="s">
        <v>11</v>
      </c>
    </row>
    <row r="919" spans="1:8" x14ac:dyDescent="0.25">
      <c r="A919" t="s">
        <v>23</v>
      </c>
      <c r="B919" t="s">
        <v>77</v>
      </c>
      <c r="C919" t="s">
        <v>1739</v>
      </c>
      <c r="D919">
        <v>1</v>
      </c>
      <c r="E919" s="273">
        <v>6</v>
      </c>
      <c r="F919" s="273" t="s">
        <v>7</v>
      </c>
      <c r="G919" s="273" t="s">
        <v>11</v>
      </c>
      <c r="H919" s="273" t="s">
        <v>11</v>
      </c>
    </row>
    <row r="920" spans="1:8" x14ac:dyDescent="0.25">
      <c r="A920" t="s">
        <v>23</v>
      </c>
      <c r="B920" t="s">
        <v>77</v>
      </c>
      <c r="C920" t="s">
        <v>1740</v>
      </c>
      <c r="D920">
        <v>1</v>
      </c>
      <c r="E920" s="273">
        <v>5</v>
      </c>
      <c r="F920" s="273" t="s">
        <v>7</v>
      </c>
      <c r="G920" s="273" t="s">
        <v>11</v>
      </c>
      <c r="H920" s="273" t="s">
        <v>11</v>
      </c>
    </row>
    <row r="921" spans="1:8" x14ac:dyDescent="0.25">
      <c r="A921" t="s">
        <v>23</v>
      </c>
      <c r="B921" t="s">
        <v>77</v>
      </c>
      <c r="C921" t="s">
        <v>1563</v>
      </c>
      <c r="D921">
        <v>1</v>
      </c>
      <c r="E921" s="273">
        <v>6</v>
      </c>
      <c r="F921" s="273" t="s">
        <v>7</v>
      </c>
      <c r="G921" s="273" t="s">
        <v>11</v>
      </c>
      <c r="H921" s="273" t="s">
        <v>11</v>
      </c>
    </row>
    <row r="922" spans="1:8" x14ac:dyDescent="0.25">
      <c r="A922" t="s">
        <v>23</v>
      </c>
      <c r="B922" t="s">
        <v>77</v>
      </c>
      <c r="C922" t="s">
        <v>1741</v>
      </c>
      <c r="D922">
        <v>1</v>
      </c>
      <c r="E922" s="273">
        <v>6</v>
      </c>
      <c r="F922" s="273" t="s">
        <v>7</v>
      </c>
      <c r="G922" s="273" t="s">
        <v>11</v>
      </c>
      <c r="H922" s="273" t="s">
        <v>11</v>
      </c>
    </row>
    <row r="923" spans="1:8" x14ac:dyDescent="0.25">
      <c r="A923" t="s">
        <v>27</v>
      </c>
      <c r="B923" t="s">
        <v>91</v>
      </c>
      <c r="C923" t="s">
        <v>1656</v>
      </c>
      <c r="D923">
        <v>2</v>
      </c>
      <c r="E923" s="273">
        <v>4</v>
      </c>
      <c r="F923" s="273" t="s">
        <v>7</v>
      </c>
      <c r="G923" s="273" t="s">
        <v>11</v>
      </c>
      <c r="H923" s="273" t="s">
        <v>11</v>
      </c>
    </row>
    <row r="924" spans="1:8" x14ac:dyDescent="0.25">
      <c r="A924" t="s">
        <v>27</v>
      </c>
      <c r="B924" t="s">
        <v>91</v>
      </c>
      <c r="C924" t="s">
        <v>1742</v>
      </c>
      <c r="D924">
        <v>2</v>
      </c>
      <c r="E924" s="273">
        <v>4</v>
      </c>
      <c r="F924" s="273" t="s">
        <v>7</v>
      </c>
      <c r="G924" s="273" t="s">
        <v>11</v>
      </c>
      <c r="H924" s="273" t="s">
        <v>11</v>
      </c>
    </row>
    <row r="925" spans="1:8" x14ac:dyDescent="0.25">
      <c r="A925" t="s">
        <v>27</v>
      </c>
      <c r="B925" t="s">
        <v>91</v>
      </c>
      <c r="C925" t="s">
        <v>1743</v>
      </c>
      <c r="D925">
        <v>1</v>
      </c>
      <c r="E925" s="273">
        <v>4</v>
      </c>
      <c r="F925" s="273" t="s">
        <v>7</v>
      </c>
      <c r="G925" s="273" t="s">
        <v>11</v>
      </c>
      <c r="H925" s="273" t="s">
        <v>11</v>
      </c>
    </row>
    <row r="926" spans="1:8" x14ac:dyDescent="0.25">
      <c r="A926" t="s">
        <v>27</v>
      </c>
      <c r="B926" t="s">
        <v>91</v>
      </c>
      <c r="C926" t="s">
        <v>1744</v>
      </c>
      <c r="D926">
        <v>2</v>
      </c>
      <c r="E926" s="273">
        <v>4</v>
      </c>
      <c r="F926" s="273" t="s">
        <v>7</v>
      </c>
      <c r="G926" s="273" t="s">
        <v>11</v>
      </c>
      <c r="H926" s="273" t="s">
        <v>11</v>
      </c>
    </row>
    <row r="927" spans="1:8" x14ac:dyDescent="0.25">
      <c r="A927" t="s">
        <v>27</v>
      </c>
      <c r="B927" t="s">
        <v>91</v>
      </c>
      <c r="C927" t="s">
        <v>1745</v>
      </c>
      <c r="D927">
        <v>1</v>
      </c>
      <c r="E927" s="273">
        <v>4</v>
      </c>
      <c r="F927" s="273" t="s">
        <v>7</v>
      </c>
      <c r="G927" s="273" t="s">
        <v>11</v>
      </c>
      <c r="H927" s="273" t="s">
        <v>11</v>
      </c>
    </row>
    <row r="928" spans="1:8" x14ac:dyDescent="0.25">
      <c r="A928" t="s">
        <v>27</v>
      </c>
      <c r="B928" t="s">
        <v>91</v>
      </c>
      <c r="C928" t="s">
        <v>1746</v>
      </c>
      <c r="D928">
        <v>2</v>
      </c>
      <c r="E928" s="273">
        <v>4</v>
      </c>
      <c r="F928" s="273" t="s">
        <v>7</v>
      </c>
      <c r="G928" s="273" t="s">
        <v>11</v>
      </c>
      <c r="H928" s="273" t="s">
        <v>11</v>
      </c>
    </row>
    <row r="929" spans="1:8" x14ac:dyDescent="0.25">
      <c r="A929" t="s">
        <v>27</v>
      </c>
      <c r="B929" t="s">
        <v>91</v>
      </c>
      <c r="C929" t="s">
        <v>1604</v>
      </c>
      <c r="D929">
        <v>1</v>
      </c>
      <c r="E929" s="273">
        <v>4</v>
      </c>
      <c r="F929" s="273" t="s">
        <v>7</v>
      </c>
      <c r="G929" s="273" t="s">
        <v>11</v>
      </c>
      <c r="H929" s="273" t="s">
        <v>11</v>
      </c>
    </row>
    <row r="930" spans="1:8" x14ac:dyDescent="0.25">
      <c r="A930" t="s">
        <v>27</v>
      </c>
      <c r="B930" t="s">
        <v>91</v>
      </c>
      <c r="C930" t="s">
        <v>1120</v>
      </c>
      <c r="D930">
        <v>2</v>
      </c>
      <c r="E930" s="273">
        <v>4</v>
      </c>
      <c r="F930" s="273" t="s">
        <v>7</v>
      </c>
      <c r="G930" s="273" t="s">
        <v>11</v>
      </c>
      <c r="H930" s="273" t="s">
        <v>11</v>
      </c>
    </row>
    <row r="931" spans="1:8" x14ac:dyDescent="0.25">
      <c r="A931" t="s">
        <v>27</v>
      </c>
      <c r="B931" t="s">
        <v>91</v>
      </c>
      <c r="C931" t="s">
        <v>1747</v>
      </c>
      <c r="D931">
        <v>2</v>
      </c>
      <c r="E931" s="273">
        <v>4</v>
      </c>
      <c r="F931" s="273" t="s">
        <v>7</v>
      </c>
      <c r="G931" s="273" t="s">
        <v>11</v>
      </c>
      <c r="H931" s="273" t="s">
        <v>11</v>
      </c>
    </row>
    <row r="932" spans="1:8" x14ac:dyDescent="0.25">
      <c r="A932" t="s">
        <v>27</v>
      </c>
      <c r="B932" t="s">
        <v>91</v>
      </c>
      <c r="C932" t="s">
        <v>1748</v>
      </c>
      <c r="D932">
        <v>2</v>
      </c>
      <c r="E932" s="273">
        <v>4</v>
      </c>
      <c r="F932" s="273" t="s">
        <v>7</v>
      </c>
      <c r="G932" s="273" t="s">
        <v>11</v>
      </c>
      <c r="H932" s="273" t="s">
        <v>11</v>
      </c>
    </row>
    <row r="933" spans="1:8" x14ac:dyDescent="0.25">
      <c r="A933" t="s">
        <v>27</v>
      </c>
      <c r="B933" t="s">
        <v>91</v>
      </c>
      <c r="C933" t="s">
        <v>1123</v>
      </c>
      <c r="D933">
        <v>2</v>
      </c>
      <c r="E933" s="273">
        <v>4</v>
      </c>
      <c r="F933" s="273" t="s">
        <v>7</v>
      </c>
      <c r="G933" s="273" t="s">
        <v>11</v>
      </c>
      <c r="H933" s="273" t="s">
        <v>11</v>
      </c>
    </row>
    <row r="934" spans="1:8" x14ac:dyDescent="0.25">
      <c r="A934" t="s">
        <v>27</v>
      </c>
      <c r="B934" t="s">
        <v>91</v>
      </c>
      <c r="C934" t="s">
        <v>1348</v>
      </c>
      <c r="D934">
        <v>1</v>
      </c>
      <c r="E934" s="273">
        <v>5</v>
      </c>
      <c r="F934" s="273" t="s">
        <v>7</v>
      </c>
      <c r="G934" s="273" t="s">
        <v>11</v>
      </c>
      <c r="H934" s="273" t="s">
        <v>11</v>
      </c>
    </row>
    <row r="935" spans="1:8" x14ac:dyDescent="0.25">
      <c r="A935" t="s">
        <v>27</v>
      </c>
      <c r="B935" t="s">
        <v>91</v>
      </c>
      <c r="C935" t="s">
        <v>1234</v>
      </c>
      <c r="D935">
        <v>2</v>
      </c>
      <c r="E935" s="273">
        <v>4</v>
      </c>
      <c r="F935" s="273" t="s">
        <v>7</v>
      </c>
      <c r="G935" s="273" t="s">
        <v>11</v>
      </c>
      <c r="H935" s="273" t="s">
        <v>11</v>
      </c>
    </row>
    <row r="936" spans="1:8" x14ac:dyDescent="0.25">
      <c r="A936" t="s">
        <v>27</v>
      </c>
      <c r="B936" t="s">
        <v>91</v>
      </c>
      <c r="C936" t="s">
        <v>1127</v>
      </c>
      <c r="D936">
        <v>1</v>
      </c>
      <c r="E936" s="273">
        <v>4</v>
      </c>
      <c r="F936" s="273" t="s">
        <v>7</v>
      </c>
      <c r="G936" s="273" t="s">
        <v>11</v>
      </c>
      <c r="H936" s="273" t="s">
        <v>11</v>
      </c>
    </row>
    <row r="937" spans="1:8" x14ac:dyDescent="0.25">
      <c r="A937" t="s">
        <v>27</v>
      </c>
      <c r="B937" t="s">
        <v>91</v>
      </c>
      <c r="C937" t="s">
        <v>1749</v>
      </c>
      <c r="D937">
        <v>1</v>
      </c>
      <c r="E937" s="273">
        <v>5</v>
      </c>
      <c r="F937" s="273" t="s">
        <v>7</v>
      </c>
      <c r="G937" s="273" t="s">
        <v>11</v>
      </c>
      <c r="H937" s="273" t="s">
        <v>11</v>
      </c>
    </row>
    <row r="938" spans="1:8" x14ac:dyDescent="0.25">
      <c r="A938" t="s">
        <v>27</v>
      </c>
      <c r="B938" t="s">
        <v>91</v>
      </c>
      <c r="C938" t="s">
        <v>1750</v>
      </c>
      <c r="D938">
        <v>2</v>
      </c>
      <c r="E938" s="273">
        <v>4</v>
      </c>
      <c r="F938" s="273" t="s">
        <v>7</v>
      </c>
      <c r="G938" s="273" t="s">
        <v>11</v>
      </c>
      <c r="H938" s="273" t="s">
        <v>11</v>
      </c>
    </row>
    <row r="939" spans="1:8" x14ac:dyDescent="0.25">
      <c r="A939" t="s">
        <v>27</v>
      </c>
      <c r="B939" t="s">
        <v>91</v>
      </c>
      <c r="C939" t="s">
        <v>1751</v>
      </c>
      <c r="D939">
        <v>2</v>
      </c>
      <c r="E939" s="273">
        <v>4</v>
      </c>
      <c r="F939" s="273" t="s">
        <v>7</v>
      </c>
      <c r="G939" s="273" t="s">
        <v>11</v>
      </c>
      <c r="H939" s="273" t="s">
        <v>11</v>
      </c>
    </row>
    <row r="940" spans="1:8" x14ac:dyDescent="0.25">
      <c r="A940" t="s">
        <v>27</v>
      </c>
      <c r="B940" t="s">
        <v>91</v>
      </c>
      <c r="C940" t="s">
        <v>1752</v>
      </c>
      <c r="D940">
        <v>2</v>
      </c>
      <c r="E940" s="273">
        <v>4</v>
      </c>
      <c r="F940" s="273" t="s">
        <v>7</v>
      </c>
      <c r="G940" s="273" t="s">
        <v>11</v>
      </c>
      <c r="H940" s="273" t="s">
        <v>11</v>
      </c>
    </row>
    <row r="941" spans="1:8" x14ac:dyDescent="0.25">
      <c r="A941" t="s">
        <v>27</v>
      </c>
      <c r="B941" t="s">
        <v>91</v>
      </c>
      <c r="C941" t="s">
        <v>1239</v>
      </c>
      <c r="D941">
        <v>2</v>
      </c>
      <c r="E941" s="273">
        <v>4</v>
      </c>
      <c r="F941" s="273" t="s">
        <v>7</v>
      </c>
      <c r="G941" s="273" t="s">
        <v>11</v>
      </c>
      <c r="H941" s="273" t="s">
        <v>11</v>
      </c>
    </row>
    <row r="942" spans="1:8" x14ac:dyDescent="0.25">
      <c r="A942" t="s">
        <v>27</v>
      </c>
      <c r="B942" t="s">
        <v>91</v>
      </c>
      <c r="C942" t="s">
        <v>1486</v>
      </c>
      <c r="D942">
        <v>1</v>
      </c>
      <c r="E942" s="273">
        <v>5</v>
      </c>
      <c r="F942" s="273" t="s">
        <v>7</v>
      </c>
      <c r="G942" s="273" t="s">
        <v>11</v>
      </c>
      <c r="H942" s="273" t="s">
        <v>11</v>
      </c>
    </row>
    <row r="943" spans="1:8" x14ac:dyDescent="0.25">
      <c r="A943" t="s">
        <v>27</v>
      </c>
      <c r="B943" t="s">
        <v>91</v>
      </c>
      <c r="C943" t="s">
        <v>1710</v>
      </c>
      <c r="D943">
        <v>1</v>
      </c>
      <c r="E943" s="273">
        <v>4</v>
      </c>
      <c r="F943" s="273" t="s">
        <v>7</v>
      </c>
      <c r="G943" s="273" t="s">
        <v>11</v>
      </c>
      <c r="H943" s="273" t="s">
        <v>11</v>
      </c>
    </row>
    <row r="944" spans="1:8" x14ac:dyDescent="0.25">
      <c r="A944" t="s">
        <v>27</v>
      </c>
      <c r="B944" t="s">
        <v>91</v>
      </c>
      <c r="C944" t="s">
        <v>1753</v>
      </c>
      <c r="D944">
        <v>2</v>
      </c>
      <c r="E944" s="273">
        <v>4</v>
      </c>
      <c r="F944" s="273" t="s">
        <v>7</v>
      </c>
      <c r="G944" s="273" t="s">
        <v>11</v>
      </c>
      <c r="H944" s="273" t="s">
        <v>11</v>
      </c>
    </row>
    <row r="945" spans="1:8" x14ac:dyDescent="0.25">
      <c r="A945" t="s">
        <v>27</v>
      </c>
      <c r="B945" t="s">
        <v>91</v>
      </c>
      <c r="C945" t="s">
        <v>1357</v>
      </c>
      <c r="D945">
        <v>1</v>
      </c>
      <c r="E945" s="273">
        <v>4</v>
      </c>
      <c r="F945" s="273" t="s">
        <v>7</v>
      </c>
      <c r="G945" s="273" t="s">
        <v>11</v>
      </c>
      <c r="H945" s="273" t="s">
        <v>11</v>
      </c>
    </row>
    <row r="946" spans="1:8" x14ac:dyDescent="0.25">
      <c r="A946" t="s">
        <v>27</v>
      </c>
      <c r="B946" t="s">
        <v>91</v>
      </c>
      <c r="C946" t="s">
        <v>1615</v>
      </c>
      <c r="D946">
        <v>2</v>
      </c>
      <c r="E946" s="273">
        <v>4</v>
      </c>
      <c r="F946" s="273" t="s">
        <v>7</v>
      </c>
      <c r="G946" s="273" t="s">
        <v>11</v>
      </c>
      <c r="H946" s="273" t="s">
        <v>11</v>
      </c>
    </row>
    <row r="947" spans="1:8" x14ac:dyDescent="0.25">
      <c r="A947" t="s">
        <v>27</v>
      </c>
      <c r="B947" t="s">
        <v>91</v>
      </c>
      <c r="C947" t="s">
        <v>1754</v>
      </c>
      <c r="D947">
        <v>2</v>
      </c>
      <c r="E947" s="273">
        <v>4</v>
      </c>
      <c r="F947" s="273" t="s">
        <v>7</v>
      </c>
      <c r="G947" s="273" t="s">
        <v>11</v>
      </c>
      <c r="H947" s="273" t="s">
        <v>11</v>
      </c>
    </row>
    <row r="948" spans="1:8" x14ac:dyDescent="0.25">
      <c r="A948" t="s">
        <v>27</v>
      </c>
      <c r="B948" t="s">
        <v>91</v>
      </c>
      <c r="C948" t="s">
        <v>1755</v>
      </c>
      <c r="D948">
        <v>1</v>
      </c>
      <c r="E948" s="273">
        <v>5</v>
      </c>
      <c r="F948" s="273" t="s">
        <v>7</v>
      </c>
      <c r="G948" s="273" t="s">
        <v>11</v>
      </c>
      <c r="H948" s="273" t="s">
        <v>11</v>
      </c>
    </row>
    <row r="949" spans="1:8" x14ac:dyDescent="0.25">
      <c r="A949" t="s">
        <v>27</v>
      </c>
      <c r="B949" t="s">
        <v>91</v>
      </c>
      <c r="C949" t="s">
        <v>1756</v>
      </c>
      <c r="D949">
        <v>1</v>
      </c>
      <c r="E949" s="273">
        <v>4</v>
      </c>
      <c r="F949" s="273" t="s">
        <v>7</v>
      </c>
      <c r="G949" s="273" t="s">
        <v>11</v>
      </c>
      <c r="H949" s="273" t="s">
        <v>11</v>
      </c>
    </row>
    <row r="950" spans="1:8" x14ac:dyDescent="0.25">
      <c r="A950" t="s">
        <v>27</v>
      </c>
      <c r="B950" t="s">
        <v>91</v>
      </c>
      <c r="C950" t="s">
        <v>1757</v>
      </c>
      <c r="D950">
        <v>1</v>
      </c>
      <c r="E950" s="273">
        <v>4</v>
      </c>
      <c r="F950" s="273" t="s">
        <v>7</v>
      </c>
      <c r="G950" s="273" t="s">
        <v>11</v>
      </c>
      <c r="H950" s="273" t="s">
        <v>11</v>
      </c>
    </row>
    <row r="951" spans="1:8" x14ac:dyDescent="0.25">
      <c r="A951" t="s">
        <v>27</v>
      </c>
      <c r="B951" t="s">
        <v>91</v>
      </c>
      <c r="C951" t="s">
        <v>1616</v>
      </c>
      <c r="D951">
        <v>1</v>
      </c>
      <c r="E951" s="273">
        <v>4</v>
      </c>
      <c r="F951" s="273" t="s">
        <v>7</v>
      </c>
      <c r="G951" s="273" t="s">
        <v>11</v>
      </c>
      <c r="H951" s="273" t="s">
        <v>11</v>
      </c>
    </row>
    <row r="952" spans="1:8" x14ac:dyDescent="0.25">
      <c r="A952" t="s">
        <v>27</v>
      </c>
      <c r="B952" t="s">
        <v>91</v>
      </c>
      <c r="C952" t="s">
        <v>1143</v>
      </c>
      <c r="D952">
        <v>2</v>
      </c>
      <c r="E952" s="273">
        <v>4</v>
      </c>
      <c r="F952" s="273" t="s">
        <v>7</v>
      </c>
      <c r="G952" s="273" t="s">
        <v>11</v>
      </c>
      <c r="H952" s="273" t="s">
        <v>11</v>
      </c>
    </row>
    <row r="953" spans="1:8" x14ac:dyDescent="0.25">
      <c r="A953" t="s">
        <v>27</v>
      </c>
      <c r="B953" t="s">
        <v>91</v>
      </c>
      <c r="C953" t="s">
        <v>1758</v>
      </c>
      <c r="D953">
        <v>1</v>
      </c>
      <c r="E953" s="273">
        <v>4</v>
      </c>
      <c r="F953" s="273" t="s">
        <v>7</v>
      </c>
      <c r="G953" s="273" t="s">
        <v>11</v>
      </c>
      <c r="H953" s="273" t="s">
        <v>11</v>
      </c>
    </row>
    <row r="954" spans="1:8" x14ac:dyDescent="0.25">
      <c r="A954" t="s">
        <v>27</v>
      </c>
      <c r="B954" t="s">
        <v>91</v>
      </c>
      <c r="C954" t="s">
        <v>1759</v>
      </c>
      <c r="D954">
        <v>1</v>
      </c>
      <c r="E954" s="273">
        <v>5</v>
      </c>
      <c r="F954" s="273" t="s">
        <v>7</v>
      </c>
      <c r="G954" s="273" t="s">
        <v>11</v>
      </c>
      <c r="H954" s="273" t="s">
        <v>11</v>
      </c>
    </row>
    <row r="955" spans="1:8" x14ac:dyDescent="0.25">
      <c r="A955" t="s">
        <v>27</v>
      </c>
      <c r="B955" t="s">
        <v>91</v>
      </c>
      <c r="C955" t="s">
        <v>1215</v>
      </c>
      <c r="D955">
        <v>1</v>
      </c>
      <c r="E955" s="273">
        <v>5</v>
      </c>
      <c r="F955" s="273" t="s">
        <v>7</v>
      </c>
      <c r="G955" s="273" t="s">
        <v>11</v>
      </c>
      <c r="H955" s="273" t="s">
        <v>11</v>
      </c>
    </row>
    <row r="956" spans="1:8" x14ac:dyDescent="0.25">
      <c r="A956" t="s">
        <v>27</v>
      </c>
      <c r="B956" t="s">
        <v>91</v>
      </c>
      <c r="C956" t="s">
        <v>1247</v>
      </c>
      <c r="D956">
        <v>1</v>
      </c>
      <c r="E956" s="273">
        <v>4</v>
      </c>
      <c r="F956" s="273" t="s">
        <v>7</v>
      </c>
      <c r="G956" s="273" t="s">
        <v>11</v>
      </c>
      <c r="H956" s="273" t="s">
        <v>11</v>
      </c>
    </row>
    <row r="957" spans="1:8" x14ac:dyDescent="0.25">
      <c r="A957" t="s">
        <v>27</v>
      </c>
      <c r="B957" t="s">
        <v>91</v>
      </c>
      <c r="C957" t="s">
        <v>1760</v>
      </c>
      <c r="D957">
        <v>1</v>
      </c>
      <c r="E957" s="273">
        <v>4</v>
      </c>
      <c r="F957" s="273" t="s">
        <v>7</v>
      </c>
      <c r="G957" s="273" t="s">
        <v>11</v>
      </c>
      <c r="H957" s="273" t="s">
        <v>11</v>
      </c>
    </row>
    <row r="958" spans="1:8" x14ac:dyDescent="0.25">
      <c r="A958" t="s">
        <v>27</v>
      </c>
      <c r="B958" t="s">
        <v>91</v>
      </c>
      <c r="C958" t="s">
        <v>1761</v>
      </c>
      <c r="D958">
        <v>1</v>
      </c>
      <c r="E958" s="273">
        <v>5</v>
      </c>
      <c r="F958" s="273" t="s">
        <v>7</v>
      </c>
      <c r="G958" s="273" t="s">
        <v>11</v>
      </c>
      <c r="H958" s="273" t="s">
        <v>11</v>
      </c>
    </row>
    <row r="959" spans="1:8" x14ac:dyDescent="0.25">
      <c r="A959" t="s">
        <v>27</v>
      </c>
      <c r="B959" t="s">
        <v>91</v>
      </c>
      <c r="C959" t="s">
        <v>1762</v>
      </c>
      <c r="D959">
        <v>2</v>
      </c>
      <c r="E959" s="273">
        <v>4</v>
      </c>
      <c r="F959" s="273" t="s">
        <v>7</v>
      </c>
      <c r="G959" s="273" t="s">
        <v>11</v>
      </c>
      <c r="H959" s="273" t="s">
        <v>11</v>
      </c>
    </row>
    <row r="960" spans="1:8" x14ac:dyDescent="0.25">
      <c r="A960" t="s">
        <v>27</v>
      </c>
      <c r="B960" t="s">
        <v>91</v>
      </c>
      <c r="C960" t="s">
        <v>1423</v>
      </c>
      <c r="D960">
        <v>1</v>
      </c>
      <c r="E960" s="273">
        <v>5</v>
      </c>
      <c r="F960" s="273" t="s">
        <v>7</v>
      </c>
      <c r="G960" s="273" t="s">
        <v>11</v>
      </c>
      <c r="H960" s="273" t="s">
        <v>11</v>
      </c>
    </row>
    <row r="961" spans="1:8" x14ac:dyDescent="0.25">
      <c r="A961" t="s">
        <v>27</v>
      </c>
      <c r="B961" t="s">
        <v>91</v>
      </c>
      <c r="C961" t="s">
        <v>1763</v>
      </c>
      <c r="D961">
        <v>2</v>
      </c>
      <c r="E961" s="273">
        <v>4</v>
      </c>
      <c r="F961" s="273" t="s">
        <v>7</v>
      </c>
      <c r="G961" s="273" t="s">
        <v>11</v>
      </c>
      <c r="H961" s="273" t="s">
        <v>11</v>
      </c>
    </row>
    <row r="962" spans="1:8" x14ac:dyDescent="0.25">
      <c r="A962" t="s">
        <v>27</v>
      </c>
      <c r="B962" t="s">
        <v>91</v>
      </c>
      <c r="C962" t="s">
        <v>1764</v>
      </c>
      <c r="D962">
        <v>2</v>
      </c>
      <c r="E962" s="273">
        <v>4</v>
      </c>
      <c r="F962" s="273" t="s">
        <v>7</v>
      </c>
      <c r="G962" s="273" t="s">
        <v>11</v>
      </c>
      <c r="H962" s="273" t="s">
        <v>11</v>
      </c>
    </row>
    <row r="963" spans="1:8" x14ac:dyDescent="0.25">
      <c r="A963" t="s">
        <v>27</v>
      </c>
      <c r="B963" t="s">
        <v>91</v>
      </c>
      <c r="C963" t="s">
        <v>1765</v>
      </c>
      <c r="D963">
        <v>1</v>
      </c>
      <c r="E963" s="273">
        <v>4</v>
      </c>
      <c r="F963" s="273" t="s">
        <v>7</v>
      </c>
      <c r="G963" s="273" t="s">
        <v>11</v>
      </c>
      <c r="H963" s="273" t="s">
        <v>11</v>
      </c>
    </row>
    <row r="964" spans="1:8" x14ac:dyDescent="0.25">
      <c r="A964" t="s">
        <v>27</v>
      </c>
      <c r="B964" t="s">
        <v>91</v>
      </c>
      <c r="C964" t="s">
        <v>1766</v>
      </c>
      <c r="D964">
        <v>1</v>
      </c>
      <c r="E964" s="273">
        <v>4</v>
      </c>
      <c r="F964" s="273" t="s">
        <v>7</v>
      </c>
      <c r="G964" s="273" t="s">
        <v>11</v>
      </c>
      <c r="H964" s="273" t="s">
        <v>11</v>
      </c>
    </row>
    <row r="965" spans="1:8" x14ac:dyDescent="0.25">
      <c r="A965" t="s">
        <v>27</v>
      </c>
      <c r="B965" t="s">
        <v>91</v>
      </c>
      <c r="C965" t="s">
        <v>1149</v>
      </c>
      <c r="D965">
        <v>1</v>
      </c>
      <c r="E965" s="273">
        <v>4</v>
      </c>
      <c r="F965" s="273" t="s">
        <v>7</v>
      </c>
      <c r="G965" s="273" t="s">
        <v>11</v>
      </c>
      <c r="H965" s="273" t="s">
        <v>11</v>
      </c>
    </row>
    <row r="966" spans="1:8" x14ac:dyDescent="0.25">
      <c r="A966" t="s">
        <v>27</v>
      </c>
      <c r="B966" t="s">
        <v>91</v>
      </c>
      <c r="C966" t="s">
        <v>1150</v>
      </c>
      <c r="D966">
        <v>2</v>
      </c>
      <c r="E966" s="273">
        <v>4</v>
      </c>
      <c r="F966" s="273" t="s">
        <v>7</v>
      </c>
      <c r="G966" s="273" t="s">
        <v>11</v>
      </c>
      <c r="H966" s="273" t="s">
        <v>11</v>
      </c>
    </row>
    <row r="967" spans="1:8" x14ac:dyDescent="0.25">
      <c r="A967" t="s">
        <v>27</v>
      </c>
      <c r="B967" t="s">
        <v>91</v>
      </c>
      <c r="C967" t="s">
        <v>1767</v>
      </c>
      <c r="D967">
        <v>1</v>
      </c>
      <c r="E967" s="273">
        <v>5</v>
      </c>
      <c r="F967" s="273" t="s">
        <v>7</v>
      </c>
      <c r="G967" s="273" t="s">
        <v>11</v>
      </c>
      <c r="H967" s="273" t="s">
        <v>11</v>
      </c>
    </row>
    <row r="968" spans="1:8" x14ac:dyDescent="0.25">
      <c r="A968" t="s">
        <v>27</v>
      </c>
      <c r="B968" t="s">
        <v>91</v>
      </c>
      <c r="C968" t="s">
        <v>1253</v>
      </c>
      <c r="D968">
        <v>1</v>
      </c>
      <c r="E968" s="273">
        <v>4</v>
      </c>
      <c r="F968" s="273" t="s">
        <v>7</v>
      </c>
      <c r="G968" s="273" t="s">
        <v>11</v>
      </c>
      <c r="H968" s="273" t="s">
        <v>11</v>
      </c>
    </row>
    <row r="969" spans="1:8" x14ac:dyDescent="0.25">
      <c r="A969" t="s">
        <v>27</v>
      </c>
      <c r="B969" t="s">
        <v>91</v>
      </c>
      <c r="C969" t="s">
        <v>1768</v>
      </c>
      <c r="D969">
        <v>1</v>
      </c>
      <c r="E969" s="273">
        <v>4</v>
      </c>
      <c r="F969" s="273" t="s">
        <v>7</v>
      </c>
      <c r="G969" s="273" t="s">
        <v>11</v>
      </c>
      <c r="H969" s="273" t="s">
        <v>11</v>
      </c>
    </row>
    <row r="970" spans="1:8" x14ac:dyDescent="0.25">
      <c r="A970" t="s">
        <v>27</v>
      </c>
      <c r="B970" t="s">
        <v>91</v>
      </c>
      <c r="C970" t="s">
        <v>1769</v>
      </c>
      <c r="D970">
        <v>1</v>
      </c>
      <c r="E970" s="273">
        <v>4</v>
      </c>
      <c r="F970" s="273" t="s">
        <v>7</v>
      </c>
      <c r="G970" s="273" t="s">
        <v>11</v>
      </c>
      <c r="H970" s="273" t="s">
        <v>11</v>
      </c>
    </row>
    <row r="971" spans="1:8" x14ac:dyDescent="0.25">
      <c r="A971" t="s">
        <v>27</v>
      </c>
      <c r="B971" t="s">
        <v>91</v>
      </c>
      <c r="C971" t="s">
        <v>1368</v>
      </c>
      <c r="D971">
        <v>1</v>
      </c>
      <c r="E971" s="273">
        <v>4</v>
      </c>
      <c r="F971" s="273" t="s">
        <v>7</v>
      </c>
      <c r="G971" s="273" t="s">
        <v>11</v>
      </c>
      <c r="H971" s="273" t="s">
        <v>11</v>
      </c>
    </row>
    <row r="972" spans="1:8" x14ac:dyDescent="0.25">
      <c r="A972" t="s">
        <v>27</v>
      </c>
      <c r="B972" t="s">
        <v>91</v>
      </c>
      <c r="C972" t="s">
        <v>1770</v>
      </c>
      <c r="D972">
        <v>2</v>
      </c>
      <c r="E972" s="273">
        <v>4</v>
      </c>
      <c r="F972" s="273" t="s">
        <v>7</v>
      </c>
      <c r="G972" s="273" t="s">
        <v>11</v>
      </c>
      <c r="H972" s="273" t="s">
        <v>11</v>
      </c>
    </row>
    <row r="973" spans="1:8" x14ac:dyDescent="0.25">
      <c r="A973" t="s">
        <v>27</v>
      </c>
      <c r="B973" t="s">
        <v>91</v>
      </c>
      <c r="C973" t="s">
        <v>1771</v>
      </c>
      <c r="D973">
        <v>1</v>
      </c>
      <c r="E973" s="273">
        <v>5</v>
      </c>
      <c r="F973" s="273" t="s">
        <v>7</v>
      </c>
      <c r="G973" s="273" t="s">
        <v>11</v>
      </c>
      <c r="H973" s="273" t="s">
        <v>11</v>
      </c>
    </row>
    <row r="974" spans="1:8" x14ac:dyDescent="0.25">
      <c r="A974" t="s">
        <v>27</v>
      </c>
      <c r="B974" t="s">
        <v>91</v>
      </c>
      <c r="C974" t="s">
        <v>1772</v>
      </c>
      <c r="D974">
        <v>1</v>
      </c>
      <c r="E974" s="273">
        <v>4</v>
      </c>
      <c r="F974" s="273" t="s">
        <v>7</v>
      </c>
      <c r="G974" s="273" t="s">
        <v>11</v>
      </c>
      <c r="H974" s="273" t="s">
        <v>11</v>
      </c>
    </row>
    <row r="975" spans="1:8" x14ac:dyDescent="0.25">
      <c r="A975" t="s">
        <v>27</v>
      </c>
      <c r="B975" t="s">
        <v>91</v>
      </c>
      <c r="C975" t="s">
        <v>1255</v>
      </c>
      <c r="D975">
        <v>1</v>
      </c>
      <c r="E975" s="273">
        <v>4</v>
      </c>
      <c r="F975" s="273" t="s">
        <v>7</v>
      </c>
      <c r="G975" s="273" t="s">
        <v>11</v>
      </c>
      <c r="H975" s="273" t="s">
        <v>11</v>
      </c>
    </row>
    <row r="976" spans="1:8" x14ac:dyDescent="0.25">
      <c r="A976" t="s">
        <v>27</v>
      </c>
      <c r="B976" t="s">
        <v>91</v>
      </c>
      <c r="C976" t="s">
        <v>1718</v>
      </c>
      <c r="D976">
        <v>2</v>
      </c>
      <c r="E976" s="273">
        <v>4</v>
      </c>
      <c r="F976" s="273" t="s">
        <v>7</v>
      </c>
      <c r="G976" s="273" t="s">
        <v>11</v>
      </c>
      <c r="H976" s="273" t="s">
        <v>11</v>
      </c>
    </row>
    <row r="977" spans="1:8" x14ac:dyDescent="0.25">
      <c r="A977" t="s">
        <v>27</v>
      </c>
      <c r="B977" t="s">
        <v>91</v>
      </c>
      <c r="C977" t="s">
        <v>1257</v>
      </c>
      <c r="D977">
        <v>1</v>
      </c>
      <c r="E977" s="273">
        <v>5</v>
      </c>
      <c r="F977" s="273" t="s">
        <v>7</v>
      </c>
      <c r="G977" s="273" t="s">
        <v>11</v>
      </c>
      <c r="H977" s="273" t="s">
        <v>11</v>
      </c>
    </row>
    <row r="978" spans="1:8" x14ac:dyDescent="0.25">
      <c r="A978" t="s">
        <v>27</v>
      </c>
      <c r="B978" t="s">
        <v>91</v>
      </c>
      <c r="C978" t="s">
        <v>1721</v>
      </c>
      <c r="D978">
        <v>2</v>
      </c>
      <c r="E978" s="273">
        <v>4</v>
      </c>
      <c r="F978" s="273" t="s">
        <v>7</v>
      </c>
      <c r="G978" s="273" t="s">
        <v>11</v>
      </c>
      <c r="H978" s="273" t="s">
        <v>11</v>
      </c>
    </row>
    <row r="979" spans="1:8" x14ac:dyDescent="0.25">
      <c r="A979" t="s">
        <v>27</v>
      </c>
      <c r="B979" t="s">
        <v>91</v>
      </c>
      <c r="C979" t="s">
        <v>1160</v>
      </c>
      <c r="D979">
        <v>1</v>
      </c>
      <c r="E979" s="273">
        <v>4</v>
      </c>
      <c r="F979" s="273" t="s">
        <v>7</v>
      </c>
      <c r="G979" s="273" t="s">
        <v>11</v>
      </c>
      <c r="H979" s="273" t="s">
        <v>11</v>
      </c>
    </row>
    <row r="980" spans="1:8" x14ac:dyDescent="0.25">
      <c r="A980" t="s">
        <v>27</v>
      </c>
      <c r="B980" t="s">
        <v>91</v>
      </c>
      <c r="C980" t="s">
        <v>1161</v>
      </c>
      <c r="D980">
        <v>1</v>
      </c>
      <c r="E980" s="273">
        <v>4</v>
      </c>
      <c r="F980" s="273" t="s">
        <v>7</v>
      </c>
      <c r="G980" s="273" t="s">
        <v>11</v>
      </c>
      <c r="H980" s="273" t="s">
        <v>11</v>
      </c>
    </row>
    <row r="981" spans="1:8" x14ac:dyDescent="0.25">
      <c r="A981" t="s">
        <v>27</v>
      </c>
      <c r="B981" t="s">
        <v>91</v>
      </c>
      <c r="C981" t="s">
        <v>1773</v>
      </c>
      <c r="D981">
        <v>1</v>
      </c>
      <c r="E981" s="273">
        <v>4</v>
      </c>
      <c r="F981" s="273" t="s">
        <v>7</v>
      </c>
      <c r="G981" s="273" t="s">
        <v>11</v>
      </c>
      <c r="H981" s="273" t="s">
        <v>11</v>
      </c>
    </row>
    <row r="982" spans="1:8" x14ac:dyDescent="0.25">
      <c r="A982" t="s">
        <v>27</v>
      </c>
      <c r="B982" t="s">
        <v>91</v>
      </c>
      <c r="C982" t="s">
        <v>1774</v>
      </c>
      <c r="D982">
        <v>1</v>
      </c>
      <c r="E982" s="273">
        <v>4</v>
      </c>
      <c r="F982" s="273" t="s">
        <v>7</v>
      </c>
      <c r="G982" s="273" t="s">
        <v>11</v>
      </c>
      <c r="H982" s="273" t="s">
        <v>11</v>
      </c>
    </row>
    <row r="983" spans="1:8" x14ac:dyDescent="0.25">
      <c r="A983" t="s">
        <v>27</v>
      </c>
      <c r="B983" t="s">
        <v>91</v>
      </c>
      <c r="C983" t="s">
        <v>1674</v>
      </c>
      <c r="D983">
        <v>2</v>
      </c>
      <c r="E983" s="273">
        <v>4</v>
      </c>
      <c r="F983" s="273" t="s">
        <v>7</v>
      </c>
      <c r="G983" s="273" t="s">
        <v>11</v>
      </c>
      <c r="H983" s="273" t="s">
        <v>11</v>
      </c>
    </row>
    <row r="984" spans="1:8" x14ac:dyDescent="0.25">
      <c r="A984" t="s">
        <v>27</v>
      </c>
      <c r="B984" t="s">
        <v>91</v>
      </c>
      <c r="C984" t="s">
        <v>1524</v>
      </c>
      <c r="D984">
        <v>1</v>
      </c>
      <c r="E984" s="273">
        <v>5</v>
      </c>
      <c r="F984" s="273" t="s">
        <v>7</v>
      </c>
      <c r="G984" s="273" t="s">
        <v>11</v>
      </c>
      <c r="H984" s="273" t="s">
        <v>11</v>
      </c>
    </row>
    <row r="985" spans="1:8" x14ac:dyDescent="0.25">
      <c r="A985" t="s">
        <v>27</v>
      </c>
      <c r="B985" t="s">
        <v>91</v>
      </c>
      <c r="C985" t="s">
        <v>1164</v>
      </c>
      <c r="D985">
        <v>2</v>
      </c>
      <c r="E985" s="273">
        <v>4</v>
      </c>
      <c r="F985" s="273" t="s">
        <v>7</v>
      </c>
      <c r="G985" s="273" t="s">
        <v>11</v>
      </c>
      <c r="H985" s="273" t="s">
        <v>11</v>
      </c>
    </row>
    <row r="986" spans="1:8" x14ac:dyDescent="0.25">
      <c r="A986" t="s">
        <v>27</v>
      </c>
      <c r="B986" t="s">
        <v>91</v>
      </c>
      <c r="C986" t="s">
        <v>1775</v>
      </c>
      <c r="D986">
        <v>2</v>
      </c>
      <c r="E986" s="273">
        <v>4</v>
      </c>
      <c r="F986" s="273" t="s">
        <v>7</v>
      </c>
      <c r="G986" s="273" t="s">
        <v>11</v>
      </c>
      <c r="H986" s="273" t="s">
        <v>11</v>
      </c>
    </row>
    <row r="987" spans="1:8" x14ac:dyDescent="0.25">
      <c r="A987" t="s">
        <v>27</v>
      </c>
      <c r="B987" t="s">
        <v>91</v>
      </c>
      <c r="C987" t="s">
        <v>1776</v>
      </c>
      <c r="D987">
        <v>2</v>
      </c>
      <c r="E987" s="273">
        <v>4</v>
      </c>
      <c r="F987" s="273" t="s">
        <v>7</v>
      </c>
      <c r="G987" s="273" t="s">
        <v>11</v>
      </c>
      <c r="H987" s="273" t="s">
        <v>11</v>
      </c>
    </row>
    <row r="988" spans="1:8" x14ac:dyDescent="0.25">
      <c r="A988" t="s">
        <v>27</v>
      </c>
      <c r="B988" t="s">
        <v>91</v>
      </c>
      <c r="C988" t="s">
        <v>1777</v>
      </c>
      <c r="D988">
        <v>1</v>
      </c>
      <c r="E988" s="273">
        <v>4</v>
      </c>
      <c r="F988" s="273" t="s">
        <v>7</v>
      </c>
      <c r="G988" s="273" t="s">
        <v>11</v>
      </c>
      <c r="H988" s="273" t="s">
        <v>11</v>
      </c>
    </row>
    <row r="989" spans="1:8" x14ac:dyDescent="0.25">
      <c r="A989" t="s">
        <v>27</v>
      </c>
      <c r="B989" t="s">
        <v>91</v>
      </c>
      <c r="C989" t="s">
        <v>1778</v>
      </c>
      <c r="D989">
        <v>2</v>
      </c>
      <c r="E989" s="273">
        <v>4</v>
      </c>
      <c r="F989" s="273" t="s">
        <v>7</v>
      </c>
      <c r="G989" s="273" t="s">
        <v>11</v>
      </c>
      <c r="H989" s="273" t="s">
        <v>11</v>
      </c>
    </row>
    <row r="990" spans="1:8" x14ac:dyDescent="0.25">
      <c r="A990" t="s">
        <v>27</v>
      </c>
      <c r="B990" t="s">
        <v>91</v>
      </c>
      <c r="C990" t="s">
        <v>1779</v>
      </c>
      <c r="D990">
        <v>1</v>
      </c>
      <c r="E990" s="273">
        <v>5</v>
      </c>
      <c r="F990" s="273" t="s">
        <v>7</v>
      </c>
      <c r="G990" s="273" t="s">
        <v>11</v>
      </c>
      <c r="H990" s="273" t="s">
        <v>11</v>
      </c>
    </row>
    <row r="991" spans="1:8" x14ac:dyDescent="0.25">
      <c r="A991" t="s">
        <v>27</v>
      </c>
      <c r="B991" t="s">
        <v>91</v>
      </c>
      <c r="C991" t="s">
        <v>1780</v>
      </c>
      <c r="D991">
        <v>1</v>
      </c>
      <c r="E991" s="273">
        <v>5</v>
      </c>
      <c r="F991" s="273" t="s">
        <v>7</v>
      </c>
      <c r="G991" s="273" t="s">
        <v>11</v>
      </c>
      <c r="H991" s="273" t="s">
        <v>11</v>
      </c>
    </row>
    <row r="992" spans="1:8" x14ac:dyDescent="0.25">
      <c r="A992" t="s">
        <v>27</v>
      </c>
      <c r="B992" t="s">
        <v>91</v>
      </c>
      <c r="C992" t="s">
        <v>1781</v>
      </c>
      <c r="D992">
        <v>2</v>
      </c>
      <c r="E992" s="273">
        <v>4</v>
      </c>
      <c r="F992" s="273" t="s">
        <v>7</v>
      </c>
      <c r="G992" s="273" t="s">
        <v>11</v>
      </c>
      <c r="H992" s="273" t="s">
        <v>11</v>
      </c>
    </row>
    <row r="993" spans="1:8" x14ac:dyDescent="0.25">
      <c r="A993" t="s">
        <v>27</v>
      </c>
      <c r="B993" t="s">
        <v>91</v>
      </c>
      <c r="C993" t="s">
        <v>1782</v>
      </c>
      <c r="D993">
        <v>1</v>
      </c>
      <c r="E993" s="273">
        <v>5</v>
      </c>
      <c r="F993" s="273" t="s">
        <v>7</v>
      </c>
      <c r="G993" s="273" t="s">
        <v>11</v>
      </c>
      <c r="H993" s="273" t="s">
        <v>11</v>
      </c>
    </row>
    <row r="994" spans="1:8" x14ac:dyDescent="0.25">
      <c r="A994" t="s">
        <v>27</v>
      </c>
      <c r="B994" t="s">
        <v>91</v>
      </c>
      <c r="C994" t="s">
        <v>1783</v>
      </c>
      <c r="D994">
        <v>1</v>
      </c>
      <c r="E994" s="273">
        <v>4</v>
      </c>
      <c r="F994" s="273" t="s">
        <v>7</v>
      </c>
      <c r="G994" s="273" t="s">
        <v>11</v>
      </c>
      <c r="H994" s="273" t="s">
        <v>11</v>
      </c>
    </row>
    <row r="995" spans="1:8" x14ac:dyDescent="0.25">
      <c r="A995" t="s">
        <v>27</v>
      </c>
      <c r="B995" t="s">
        <v>91</v>
      </c>
      <c r="C995" t="s">
        <v>1784</v>
      </c>
      <c r="D995">
        <v>1</v>
      </c>
      <c r="E995" s="273">
        <v>4</v>
      </c>
      <c r="F995" s="273" t="s">
        <v>7</v>
      </c>
      <c r="G995" s="273" t="s">
        <v>11</v>
      </c>
      <c r="H995" s="273" t="s">
        <v>11</v>
      </c>
    </row>
    <row r="996" spans="1:8" x14ac:dyDescent="0.25">
      <c r="A996" t="s">
        <v>27</v>
      </c>
      <c r="B996" t="s">
        <v>91</v>
      </c>
      <c r="C996" t="s">
        <v>1264</v>
      </c>
      <c r="D996">
        <v>1</v>
      </c>
      <c r="E996" s="273">
        <v>5</v>
      </c>
      <c r="F996" s="273" t="s">
        <v>7</v>
      </c>
      <c r="G996" s="273" t="s">
        <v>11</v>
      </c>
      <c r="H996" s="273" t="s">
        <v>11</v>
      </c>
    </row>
    <row r="997" spans="1:8" x14ac:dyDescent="0.25">
      <c r="A997" t="s">
        <v>27</v>
      </c>
      <c r="B997" t="s">
        <v>91</v>
      </c>
      <c r="C997" t="s">
        <v>1785</v>
      </c>
      <c r="D997">
        <v>1</v>
      </c>
      <c r="E997" s="273">
        <v>4</v>
      </c>
      <c r="F997" s="273" t="s">
        <v>7</v>
      </c>
      <c r="G997" s="273" t="s">
        <v>11</v>
      </c>
      <c r="H997" s="273" t="s">
        <v>11</v>
      </c>
    </row>
    <row r="998" spans="1:8" x14ac:dyDescent="0.25">
      <c r="A998" t="s">
        <v>27</v>
      </c>
      <c r="B998" t="s">
        <v>91</v>
      </c>
      <c r="C998" t="s">
        <v>1786</v>
      </c>
      <c r="D998">
        <v>1</v>
      </c>
      <c r="E998" s="273">
        <v>4</v>
      </c>
      <c r="F998" s="273" t="s">
        <v>7</v>
      </c>
      <c r="G998" s="273" t="s">
        <v>11</v>
      </c>
      <c r="H998" s="273" t="s">
        <v>11</v>
      </c>
    </row>
    <row r="999" spans="1:8" x14ac:dyDescent="0.25">
      <c r="A999" t="s">
        <v>27</v>
      </c>
      <c r="B999" t="s">
        <v>91</v>
      </c>
      <c r="C999" t="s">
        <v>1787</v>
      </c>
      <c r="D999">
        <v>1</v>
      </c>
      <c r="E999" s="273">
        <v>5</v>
      </c>
      <c r="F999" s="273" t="s">
        <v>7</v>
      </c>
      <c r="G999" s="273" t="s">
        <v>11</v>
      </c>
      <c r="H999" s="273" t="s">
        <v>11</v>
      </c>
    </row>
    <row r="1000" spans="1:8" x14ac:dyDescent="0.25">
      <c r="A1000" t="s">
        <v>27</v>
      </c>
      <c r="B1000" t="s">
        <v>91</v>
      </c>
      <c r="C1000" t="s">
        <v>1788</v>
      </c>
      <c r="D1000">
        <v>2</v>
      </c>
      <c r="E1000" s="273">
        <v>4</v>
      </c>
      <c r="F1000" s="273" t="s">
        <v>7</v>
      </c>
      <c r="G1000" s="273" t="s">
        <v>11</v>
      </c>
      <c r="H1000" s="273" t="s">
        <v>11</v>
      </c>
    </row>
    <row r="1001" spans="1:8" x14ac:dyDescent="0.25">
      <c r="A1001" t="s">
        <v>27</v>
      </c>
      <c r="B1001" t="s">
        <v>91</v>
      </c>
      <c r="C1001" t="s">
        <v>1789</v>
      </c>
      <c r="D1001">
        <v>1</v>
      </c>
      <c r="E1001" s="273">
        <v>5</v>
      </c>
      <c r="F1001" s="273" t="s">
        <v>7</v>
      </c>
      <c r="G1001" s="273" t="s">
        <v>11</v>
      </c>
      <c r="H1001" s="273" t="s">
        <v>11</v>
      </c>
    </row>
    <row r="1002" spans="1:8" x14ac:dyDescent="0.25">
      <c r="A1002" t="s">
        <v>27</v>
      </c>
      <c r="B1002" t="s">
        <v>91</v>
      </c>
      <c r="C1002" t="s">
        <v>1790</v>
      </c>
      <c r="D1002">
        <v>1</v>
      </c>
      <c r="E1002" s="273">
        <v>4</v>
      </c>
      <c r="F1002" s="273" t="s">
        <v>7</v>
      </c>
      <c r="G1002" s="273" t="s">
        <v>11</v>
      </c>
      <c r="H1002" s="273" t="s">
        <v>11</v>
      </c>
    </row>
    <row r="1003" spans="1:8" x14ac:dyDescent="0.25">
      <c r="A1003" t="s">
        <v>27</v>
      </c>
      <c r="B1003" t="s">
        <v>91</v>
      </c>
      <c r="C1003" t="s">
        <v>1791</v>
      </c>
      <c r="D1003">
        <v>1</v>
      </c>
      <c r="E1003" s="273">
        <v>4</v>
      </c>
      <c r="F1003" s="273" t="s">
        <v>7</v>
      </c>
      <c r="G1003" s="273" t="s">
        <v>11</v>
      </c>
      <c r="H1003" s="273" t="s">
        <v>11</v>
      </c>
    </row>
    <row r="1004" spans="1:8" x14ac:dyDescent="0.25">
      <c r="A1004" t="s">
        <v>27</v>
      </c>
      <c r="B1004" t="s">
        <v>91</v>
      </c>
      <c r="C1004" t="s">
        <v>1792</v>
      </c>
      <c r="D1004">
        <v>1</v>
      </c>
      <c r="E1004" s="273">
        <v>5</v>
      </c>
      <c r="F1004" s="273" t="s">
        <v>7</v>
      </c>
      <c r="G1004" s="273" t="s">
        <v>11</v>
      </c>
      <c r="H1004" s="273" t="s">
        <v>11</v>
      </c>
    </row>
    <row r="1005" spans="1:8" x14ac:dyDescent="0.25">
      <c r="A1005" t="s">
        <v>27</v>
      </c>
      <c r="B1005" t="s">
        <v>91</v>
      </c>
      <c r="C1005" t="s">
        <v>1682</v>
      </c>
      <c r="D1005">
        <v>1</v>
      </c>
      <c r="E1005" s="273">
        <v>4</v>
      </c>
      <c r="F1005" s="273" t="s">
        <v>7</v>
      </c>
      <c r="G1005" s="273" t="s">
        <v>11</v>
      </c>
      <c r="H1005" s="273" t="s">
        <v>11</v>
      </c>
    </row>
    <row r="1006" spans="1:8" x14ac:dyDescent="0.25">
      <c r="A1006" t="s">
        <v>27</v>
      </c>
      <c r="B1006" t="s">
        <v>91</v>
      </c>
      <c r="C1006" t="s">
        <v>1170</v>
      </c>
      <c r="D1006">
        <v>1</v>
      </c>
      <c r="E1006" s="273">
        <v>4</v>
      </c>
      <c r="F1006" s="273" t="s">
        <v>7</v>
      </c>
      <c r="G1006" s="273" t="s">
        <v>11</v>
      </c>
      <c r="H1006" s="273" t="s">
        <v>11</v>
      </c>
    </row>
    <row r="1007" spans="1:8" x14ac:dyDescent="0.25">
      <c r="A1007" t="s">
        <v>27</v>
      </c>
      <c r="B1007" t="s">
        <v>91</v>
      </c>
      <c r="C1007" t="s">
        <v>1271</v>
      </c>
      <c r="D1007">
        <v>1</v>
      </c>
      <c r="E1007" s="273">
        <v>4</v>
      </c>
      <c r="F1007" s="273" t="s">
        <v>7</v>
      </c>
      <c r="G1007" s="273" t="s">
        <v>11</v>
      </c>
      <c r="H1007" s="273" t="s">
        <v>11</v>
      </c>
    </row>
    <row r="1008" spans="1:8" x14ac:dyDescent="0.25">
      <c r="A1008" t="s">
        <v>27</v>
      </c>
      <c r="B1008" t="s">
        <v>91</v>
      </c>
      <c r="C1008" t="s">
        <v>1272</v>
      </c>
      <c r="D1008">
        <v>1</v>
      </c>
      <c r="E1008" s="273">
        <v>5</v>
      </c>
      <c r="F1008" s="273" t="s">
        <v>7</v>
      </c>
      <c r="G1008" s="273" t="s">
        <v>11</v>
      </c>
      <c r="H1008" s="273" t="s">
        <v>11</v>
      </c>
    </row>
    <row r="1009" spans="1:8" x14ac:dyDescent="0.25">
      <c r="A1009" t="s">
        <v>27</v>
      </c>
      <c r="B1009" t="s">
        <v>91</v>
      </c>
      <c r="C1009" t="s">
        <v>1390</v>
      </c>
      <c r="D1009">
        <v>2</v>
      </c>
      <c r="E1009" s="273">
        <v>4</v>
      </c>
      <c r="F1009" s="273" t="s">
        <v>7</v>
      </c>
      <c r="G1009" s="273" t="s">
        <v>11</v>
      </c>
      <c r="H1009" s="273" t="s">
        <v>11</v>
      </c>
    </row>
    <row r="1010" spans="1:8" x14ac:dyDescent="0.25">
      <c r="A1010" t="s">
        <v>27</v>
      </c>
      <c r="B1010" t="s">
        <v>91</v>
      </c>
      <c r="C1010" t="s">
        <v>1793</v>
      </c>
      <c r="D1010">
        <v>2</v>
      </c>
      <c r="E1010" s="273">
        <v>4</v>
      </c>
      <c r="F1010" s="273" t="s">
        <v>7</v>
      </c>
      <c r="G1010" s="273" t="s">
        <v>11</v>
      </c>
      <c r="H1010" s="273" t="s">
        <v>11</v>
      </c>
    </row>
    <row r="1011" spans="1:8" x14ac:dyDescent="0.25">
      <c r="A1011" t="s">
        <v>27</v>
      </c>
      <c r="B1011" t="s">
        <v>91</v>
      </c>
      <c r="C1011" t="s">
        <v>1794</v>
      </c>
      <c r="D1011">
        <v>2</v>
      </c>
      <c r="E1011" s="273">
        <v>4</v>
      </c>
      <c r="F1011" s="273" t="s">
        <v>7</v>
      </c>
      <c r="G1011" s="273" t="s">
        <v>11</v>
      </c>
      <c r="H1011" s="273" t="s">
        <v>11</v>
      </c>
    </row>
    <row r="1012" spans="1:8" x14ac:dyDescent="0.25">
      <c r="A1012" t="s">
        <v>27</v>
      </c>
      <c r="B1012" t="s">
        <v>91</v>
      </c>
      <c r="C1012" t="s">
        <v>1795</v>
      </c>
      <c r="D1012">
        <v>1</v>
      </c>
      <c r="E1012" s="273">
        <v>5</v>
      </c>
      <c r="F1012" s="273" t="s">
        <v>7</v>
      </c>
      <c r="G1012" s="273" t="s">
        <v>11</v>
      </c>
      <c r="H1012" s="273" t="s">
        <v>11</v>
      </c>
    </row>
    <row r="1013" spans="1:8" x14ac:dyDescent="0.25">
      <c r="A1013" t="s">
        <v>27</v>
      </c>
      <c r="B1013" t="s">
        <v>91</v>
      </c>
      <c r="C1013" t="s">
        <v>1796</v>
      </c>
      <c r="D1013">
        <v>1</v>
      </c>
      <c r="E1013" s="273">
        <v>5</v>
      </c>
      <c r="F1013" s="273" t="s">
        <v>7</v>
      </c>
      <c r="G1013" s="273" t="s">
        <v>11</v>
      </c>
      <c r="H1013" s="273" t="s">
        <v>11</v>
      </c>
    </row>
    <row r="1014" spans="1:8" x14ac:dyDescent="0.25">
      <c r="A1014" t="s">
        <v>27</v>
      </c>
      <c r="B1014" t="s">
        <v>91</v>
      </c>
      <c r="C1014" t="s">
        <v>1797</v>
      </c>
      <c r="D1014">
        <v>1</v>
      </c>
      <c r="E1014" s="273">
        <v>5</v>
      </c>
      <c r="F1014" s="273" t="s">
        <v>7</v>
      </c>
      <c r="G1014" s="273" t="s">
        <v>11</v>
      </c>
      <c r="H1014" s="273" t="s">
        <v>11</v>
      </c>
    </row>
    <row r="1015" spans="1:8" x14ac:dyDescent="0.25">
      <c r="A1015" t="s">
        <v>27</v>
      </c>
      <c r="B1015" t="s">
        <v>91</v>
      </c>
      <c r="C1015" t="s">
        <v>1798</v>
      </c>
      <c r="D1015">
        <v>2</v>
      </c>
      <c r="E1015" s="273">
        <v>4</v>
      </c>
      <c r="F1015" s="273" t="s">
        <v>7</v>
      </c>
      <c r="G1015" s="273" t="s">
        <v>11</v>
      </c>
      <c r="H1015" s="273" t="s">
        <v>11</v>
      </c>
    </row>
    <row r="1016" spans="1:8" x14ac:dyDescent="0.25">
      <c r="A1016" t="s">
        <v>27</v>
      </c>
      <c r="B1016" t="s">
        <v>91</v>
      </c>
      <c r="C1016" t="s">
        <v>1799</v>
      </c>
      <c r="D1016">
        <v>1</v>
      </c>
      <c r="E1016" s="273">
        <v>4</v>
      </c>
      <c r="F1016" s="273" t="s">
        <v>7</v>
      </c>
      <c r="G1016" s="273" t="s">
        <v>11</v>
      </c>
      <c r="H1016" s="273" t="s">
        <v>11</v>
      </c>
    </row>
    <row r="1017" spans="1:8" x14ac:dyDescent="0.25">
      <c r="A1017" t="s">
        <v>27</v>
      </c>
      <c r="B1017" t="s">
        <v>91</v>
      </c>
      <c r="C1017" t="s">
        <v>1800</v>
      </c>
      <c r="D1017">
        <v>2</v>
      </c>
      <c r="E1017" s="273">
        <v>4</v>
      </c>
      <c r="F1017" s="273" t="s">
        <v>7</v>
      </c>
      <c r="G1017" s="273" t="s">
        <v>11</v>
      </c>
      <c r="H1017" s="273" t="s">
        <v>11</v>
      </c>
    </row>
    <row r="1018" spans="1:8" x14ac:dyDescent="0.25">
      <c r="A1018" t="s">
        <v>27</v>
      </c>
      <c r="B1018" t="s">
        <v>91</v>
      </c>
      <c r="C1018" t="s">
        <v>1801</v>
      </c>
      <c r="D1018">
        <v>2</v>
      </c>
      <c r="E1018" s="273">
        <v>4</v>
      </c>
      <c r="F1018" s="273" t="s">
        <v>7</v>
      </c>
      <c r="G1018" s="273" t="s">
        <v>11</v>
      </c>
      <c r="H1018" s="273" t="s">
        <v>11</v>
      </c>
    </row>
    <row r="1019" spans="1:8" x14ac:dyDescent="0.25">
      <c r="A1019" t="s">
        <v>27</v>
      </c>
      <c r="B1019" t="s">
        <v>91</v>
      </c>
      <c r="C1019" t="s">
        <v>1546</v>
      </c>
      <c r="D1019">
        <v>1</v>
      </c>
      <c r="E1019" s="273">
        <v>5</v>
      </c>
      <c r="F1019" s="273" t="s">
        <v>7</v>
      </c>
      <c r="G1019" s="273" t="s">
        <v>11</v>
      </c>
      <c r="H1019" s="273" t="s">
        <v>11</v>
      </c>
    </row>
    <row r="1020" spans="1:8" x14ac:dyDescent="0.25">
      <c r="A1020" t="s">
        <v>27</v>
      </c>
      <c r="B1020" t="s">
        <v>91</v>
      </c>
      <c r="C1020" t="s">
        <v>1802</v>
      </c>
      <c r="D1020">
        <v>1</v>
      </c>
      <c r="E1020" s="273">
        <v>5</v>
      </c>
      <c r="F1020" s="273" t="s">
        <v>7</v>
      </c>
      <c r="G1020" s="273" t="s">
        <v>11</v>
      </c>
      <c r="H1020" s="273" t="s">
        <v>11</v>
      </c>
    </row>
    <row r="1021" spans="1:8" x14ac:dyDescent="0.25">
      <c r="A1021" t="s">
        <v>27</v>
      </c>
      <c r="B1021" t="s">
        <v>91</v>
      </c>
      <c r="C1021" t="s">
        <v>1803</v>
      </c>
      <c r="D1021">
        <v>2</v>
      </c>
      <c r="E1021" s="273">
        <v>4</v>
      </c>
      <c r="F1021" s="273" t="s">
        <v>7</v>
      </c>
      <c r="G1021" s="273" t="s">
        <v>11</v>
      </c>
      <c r="H1021" s="273" t="s">
        <v>11</v>
      </c>
    </row>
    <row r="1022" spans="1:8" x14ac:dyDescent="0.25">
      <c r="A1022" t="s">
        <v>27</v>
      </c>
      <c r="B1022" t="s">
        <v>91</v>
      </c>
      <c r="C1022" t="s">
        <v>1804</v>
      </c>
      <c r="D1022">
        <v>1</v>
      </c>
      <c r="E1022" s="273">
        <v>5</v>
      </c>
      <c r="F1022" s="273" t="s">
        <v>7</v>
      </c>
      <c r="G1022" s="273" t="s">
        <v>11</v>
      </c>
      <c r="H1022" s="273" t="s">
        <v>11</v>
      </c>
    </row>
    <row r="1023" spans="1:8" x14ac:dyDescent="0.25">
      <c r="A1023" t="s">
        <v>27</v>
      </c>
      <c r="B1023" t="s">
        <v>91</v>
      </c>
      <c r="C1023" t="s">
        <v>1178</v>
      </c>
      <c r="D1023">
        <v>1</v>
      </c>
      <c r="E1023" s="273">
        <v>4</v>
      </c>
      <c r="F1023" s="273" t="s">
        <v>7</v>
      </c>
      <c r="G1023" s="273" t="s">
        <v>11</v>
      </c>
      <c r="H1023" s="273" t="s">
        <v>11</v>
      </c>
    </row>
    <row r="1024" spans="1:8" x14ac:dyDescent="0.25">
      <c r="A1024" t="s">
        <v>27</v>
      </c>
      <c r="B1024" t="s">
        <v>91</v>
      </c>
      <c r="C1024" t="s">
        <v>1805</v>
      </c>
      <c r="D1024">
        <v>1</v>
      </c>
      <c r="E1024" s="273">
        <v>5</v>
      </c>
      <c r="F1024" s="273" t="s">
        <v>7</v>
      </c>
      <c r="G1024" s="273" t="s">
        <v>11</v>
      </c>
      <c r="H1024" s="273" t="s">
        <v>11</v>
      </c>
    </row>
    <row r="1025" spans="1:8" x14ac:dyDescent="0.25">
      <c r="A1025" t="s">
        <v>27</v>
      </c>
      <c r="B1025" t="s">
        <v>91</v>
      </c>
      <c r="C1025" t="s">
        <v>1806</v>
      </c>
      <c r="D1025">
        <v>2</v>
      </c>
      <c r="E1025" s="273">
        <v>4</v>
      </c>
      <c r="F1025" s="273" t="s">
        <v>7</v>
      </c>
      <c r="G1025" s="273" t="s">
        <v>11</v>
      </c>
      <c r="H1025" s="273" t="s">
        <v>11</v>
      </c>
    </row>
    <row r="1026" spans="1:8" x14ac:dyDescent="0.25">
      <c r="A1026" t="s">
        <v>27</v>
      </c>
      <c r="B1026" t="s">
        <v>91</v>
      </c>
      <c r="C1026" t="s">
        <v>1807</v>
      </c>
      <c r="D1026">
        <v>2</v>
      </c>
      <c r="E1026" s="273">
        <v>4</v>
      </c>
      <c r="F1026" s="273" t="s">
        <v>7</v>
      </c>
      <c r="G1026" s="273" t="s">
        <v>11</v>
      </c>
      <c r="H1026" s="273" t="s">
        <v>11</v>
      </c>
    </row>
    <row r="1027" spans="1:8" x14ac:dyDescent="0.25">
      <c r="A1027" t="s">
        <v>27</v>
      </c>
      <c r="B1027" t="s">
        <v>91</v>
      </c>
      <c r="C1027" t="s">
        <v>1808</v>
      </c>
      <c r="D1027">
        <v>1</v>
      </c>
      <c r="E1027" s="273">
        <v>4</v>
      </c>
      <c r="F1027" s="273" t="s">
        <v>7</v>
      </c>
      <c r="G1027" s="273" t="s">
        <v>11</v>
      </c>
      <c r="H1027" s="273" t="s">
        <v>11</v>
      </c>
    </row>
    <row r="1028" spans="1:8" x14ac:dyDescent="0.25">
      <c r="A1028" t="s">
        <v>28</v>
      </c>
      <c r="B1028" t="s">
        <v>109</v>
      </c>
      <c r="C1028" t="s">
        <v>1697</v>
      </c>
      <c r="D1028">
        <v>1</v>
      </c>
      <c r="E1028" s="273">
        <v>4</v>
      </c>
      <c r="F1028" s="273" t="s">
        <v>7</v>
      </c>
      <c r="G1028" s="273" t="s">
        <v>11</v>
      </c>
      <c r="H1028" s="273" t="s">
        <v>11</v>
      </c>
    </row>
    <row r="1029" spans="1:8" x14ac:dyDescent="0.25">
      <c r="A1029" t="s">
        <v>28</v>
      </c>
      <c r="B1029" t="s">
        <v>109</v>
      </c>
      <c r="C1029" t="s">
        <v>1656</v>
      </c>
      <c r="D1029">
        <v>1</v>
      </c>
      <c r="E1029" s="273">
        <v>4</v>
      </c>
      <c r="F1029" s="273" t="s">
        <v>7</v>
      </c>
      <c r="G1029" s="273" t="s">
        <v>11</v>
      </c>
      <c r="H1029" s="273" t="s">
        <v>11</v>
      </c>
    </row>
    <row r="1030" spans="1:8" x14ac:dyDescent="0.25">
      <c r="A1030" t="s">
        <v>28</v>
      </c>
      <c r="B1030" t="s">
        <v>109</v>
      </c>
      <c r="C1030" t="s">
        <v>1742</v>
      </c>
      <c r="D1030">
        <v>2</v>
      </c>
      <c r="E1030" s="273">
        <v>4</v>
      </c>
      <c r="F1030" s="273" t="s">
        <v>7</v>
      </c>
      <c r="G1030" s="273" t="s">
        <v>11</v>
      </c>
      <c r="H1030" s="273" t="s">
        <v>11</v>
      </c>
    </row>
    <row r="1031" spans="1:8" x14ac:dyDescent="0.25">
      <c r="A1031" t="s">
        <v>28</v>
      </c>
      <c r="B1031" t="s">
        <v>109</v>
      </c>
      <c r="C1031" t="s">
        <v>1809</v>
      </c>
      <c r="D1031">
        <v>3</v>
      </c>
      <c r="E1031" s="273">
        <v>4</v>
      </c>
      <c r="F1031" s="273" t="s">
        <v>7</v>
      </c>
      <c r="G1031" s="273" t="s">
        <v>11</v>
      </c>
      <c r="H1031" s="273" t="s">
        <v>11</v>
      </c>
    </row>
    <row r="1032" spans="1:8" x14ac:dyDescent="0.25">
      <c r="A1032" t="s">
        <v>28</v>
      </c>
      <c r="B1032" t="s">
        <v>109</v>
      </c>
      <c r="C1032" t="s">
        <v>1810</v>
      </c>
      <c r="D1032">
        <v>1</v>
      </c>
      <c r="E1032" s="273">
        <v>4</v>
      </c>
      <c r="F1032" s="273" t="s">
        <v>7</v>
      </c>
      <c r="G1032" s="273" t="s">
        <v>11</v>
      </c>
      <c r="H1032" s="273" t="s">
        <v>11</v>
      </c>
    </row>
    <row r="1033" spans="1:8" x14ac:dyDescent="0.25">
      <c r="A1033" t="s">
        <v>28</v>
      </c>
      <c r="B1033" t="s">
        <v>109</v>
      </c>
      <c r="C1033" t="s">
        <v>1811</v>
      </c>
      <c r="D1033">
        <v>2</v>
      </c>
      <c r="E1033" s="273">
        <v>4</v>
      </c>
      <c r="F1033" s="273" t="s">
        <v>7</v>
      </c>
      <c r="G1033" s="273" t="s">
        <v>11</v>
      </c>
      <c r="H1033" s="273" t="s">
        <v>11</v>
      </c>
    </row>
    <row r="1034" spans="1:8" x14ac:dyDescent="0.25">
      <c r="A1034" t="s">
        <v>28</v>
      </c>
      <c r="B1034" t="s">
        <v>109</v>
      </c>
      <c r="C1034" t="s">
        <v>1812</v>
      </c>
      <c r="D1034">
        <v>2</v>
      </c>
      <c r="E1034" s="273">
        <v>4</v>
      </c>
      <c r="F1034" s="273" t="s">
        <v>7</v>
      </c>
      <c r="G1034" s="273" t="s">
        <v>11</v>
      </c>
      <c r="H1034" s="273" t="s">
        <v>11</v>
      </c>
    </row>
    <row r="1035" spans="1:8" x14ac:dyDescent="0.25">
      <c r="A1035" t="s">
        <v>28</v>
      </c>
      <c r="B1035" t="s">
        <v>109</v>
      </c>
      <c r="C1035" t="s">
        <v>1230</v>
      </c>
      <c r="D1035">
        <v>2</v>
      </c>
      <c r="E1035" s="273">
        <v>4</v>
      </c>
      <c r="F1035" s="273" t="s">
        <v>7</v>
      </c>
      <c r="G1035" s="273" t="s">
        <v>11</v>
      </c>
      <c r="H1035" s="273" t="s">
        <v>11</v>
      </c>
    </row>
    <row r="1036" spans="1:8" x14ac:dyDescent="0.25">
      <c r="A1036" t="s">
        <v>28</v>
      </c>
      <c r="B1036" t="s">
        <v>109</v>
      </c>
      <c r="C1036" t="s">
        <v>1746</v>
      </c>
      <c r="D1036">
        <v>1</v>
      </c>
      <c r="E1036" s="273">
        <v>4</v>
      </c>
      <c r="F1036" s="273" t="s">
        <v>7</v>
      </c>
      <c r="G1036" s="273" t="s">
        <v>11</v>
      </c>
      <c r="H1036" s="273" t="s">
        <v>11</v>
      </c>
    </row>
    <row r="1037" spans="1:8" x14ac:dyDescent="0.25">
      <c r="A1037" t="s">
        <v>28</v>
      </c>
      <c r="B1037" t="s">
        <v>109</v>
      </c>
      <c r="C1037" t="s">
        <v>1813</v>
      </c>
      <c r="D1037">
        <v>2</v>
      </c>
      <c r="E1037" s="273">
        <v>4</v>
      </c>
      <c r="F1037" s="273" t="s">
        <v>7</v>
      </c>
      <c r="G1037" s="273" t="s">
        <v>11</v>
      </c>
      <c r="H1037" s="273" t="s">
        <v>11</v>
      </c>
    </row>
    <row r="1038" spans="1:8" x14ac:dyDescent="0.25">
      <c r="A1038" t="s">
        <v>28</v>
      </c>
      <c r="B1038" t="s">
        <v>109</v>
      </c>
      <c r="C1038" t="s">
        <v>1814</v>
      </c>
      <c r="D1038">
        <v>1</v>
      </c>
      <c r="E1038" s="273">
        <v>4</v>
      </c>
      <c r="F1038" s="273" t="s">
        <v>7</v>
      </c>
      <c r="G1038" s="273" t="s">
        <v>11</v>
      </c>
      <c r="H1038" s="273" t="s">
        <v>11</v>
      </c>
    </row>
    <row r="1039" spans="1:8" x14ac:dyDescent="0.25">
      <c r="A1039" t="s">
        <v>28</v>
      </c>
      <c r="B1039" t="s">
        <v>109</v>
      </c>
      <c r="C1039" t="s">
        <v>1815</v>
      </c>
      <c r="D1039">
        <v>2</v>
      </c>
      <c r="E1039" s="273">
        <v>4</v>
      </c>
      <c r="F1039" s="273" t="s">
        <v>7</v>
      </c>
      <c r="G1039" s="273" t="s">
        <v>11</v>
      </c>
      <c r="H1039" s="273" t="s">
        <v>11</v>
      </c>
    </row>
    <row r="1040" spans="1:8" x14ac:dyDescent="0.25">
      <c r="A1040" t="s">
        <v>28</v>
      </c>
      <c r="B1040" t="s">
        <v>109</v>
      </c>
      <c r="C1040" t="s">
        <v>1816</v>
      </c>
      <c r="D1040">
        <v>2</v>
      </c>
      <c r="E1040" s="273">
        <v>4</v>
      </c>
      <c r="F1040" s="273" t="s">
        <v>7</v>
      </c>
      <c r="G1040" s="273" t="s">
        <v>11</v>
      </c>
      <c r="H1040" s="273" t="s">
        <v>11</v>
      </c>
    </row>
    <row r="1041" spans="1:8" x14ac:dyDescent="0.25">
      <c r="A1041" t="s">
        <v>28</v>
      </c>
      <c r="B1041" t="s">
        <v>109</v>
      </c>
      <c r="C1041" t="s">
        <v>1817</v>
      </c>
      <c r="D1041">
        <v>2</v>
      </c>
      <c r="E1041" s="273">
        <v>4</v>
      </c>
      <c r="F1041" s="273" t="s">
        <v>7</v>
      </c>
      <c r="G1041" s="273" t="s">
        <v>11</v>
      </c>
      <c r="H1041" s="273" t="s">
        <v>11</v>
      </c>
    </row>
    <row r="1042" spans="1:8" x14ac:dyDescent="0.25">
      <c r="A1042" t="s">
        <v>28</v>
      </c>
      <c r="B1042" t="s">
        <v>109</v>
      </c>
      <c r="C1042" t="s">
        <v>1818</v>
      </c>
      <c r="D1042">
        <v>1</v>
      </c>
      <c r="E1042" s="273">
        <v>4</v>
      </c>
      <c r="F1042" s="273" t="s">
        <v>7</v>
      </c>
      <c r="G1042" s="273" t="s">
        <v>11</v>
      </c>
      <c r="H1042" s="273" t="s">
        <v>11</v>
      </c>
    </row>
    <row r="1043" spans="1:8" x14ac:dyDescent="0.25">
      <c r="A1043" t="s">
        <v>28</v>
      </c>
      <c r="B1043" t="s">
        <v>109</v>
      </c>
      <c r="C1043" t="s">
        <v>1120</v>
      </c>
      <c r="D1043">
        <v>2</v>
      </c>
      <c r="E1043" s="273">
        <v>4</v>
      </c>
      <c r="F1043" s="273" t="s">
        <v>7</v>
      </c>
      <c r="G1043" s="273" t="s">
        <v>11</v>
      </c>
      <c r="H1043" s="273" t="s">
        <v>11</v>
      </c>
    </row>
    <row r="1044" spans="1:8" x14ac:dyDescent="0.25">
      <c r="A1044" t="s">
        <v>28</v>
      </c>
      <c r="B1044" t="s">
        <v>109</v>
      </c>
      <c r="C1044" t="s">
        <v>1819</v>
      </c>
      <c r="D1044">
        <v>2</v>
      </c>
      <c r="E1044" s="273">
        <v>4</v>
      </c>
      <c r="F1044" s="273" t="s">
        <v>7</v>
      </c>
      <c r="G1044" s="273" t="s">
        <v>11</v>
      </c>
      <c r="H1044" s="273" t="s">
        <v>11</v>
      </c>
    </row>
    <row r="1045" spans="1:8" x14ac:dyDescent="0.25">
      <c r="A1045" t="s">
        <v>28</v>
      </c>
      <c r="B1045" t="s">
        <v>109</v>
      </c>
      <c r="C1045" t="s">
        <v>1820</v>
      </c>
      <c r="D1045">
        <v>3</v>
      </c>
      <c r="E1045" s="273">
        <v>4</v>
      </c>
      <c r="F1045" s="273" t="s">
        <v>7</v>
      </c>
      <c r="G1045" s="273" t="s">
        <v>11</v>
      </c>
      <c r="H1045" s="273" t="s">
        <v>11</v>
      </c>
    </row>
    <row r="1046" spans="1:8" x14ac:dyDescent="0.25">
      <c r="A1046" t="s">
        <v>28</v>
      </c>
      <c r="B1046" t="s">
        <v>109</v>
      </c>
      <c r="C1046" t="s">
        <v>1821</v>
      </c>
      <c r="D1046">
        <v>2</v>
      </c>
      <c r="E1046" s="273">
        <v>4</v>
      </c>
      <c r="F1046" s="273" t="s">
        <v>7</v>
      </c>
      <c r="G1046" s="273" t="s">
        <v>11</v>
      </c>
      <c r="H1046" s="273" t="s">
        <v>11</v>
      </c>
    </row>
    <row r="1047" spans="1:8" x14ac:dyDescent="0.25">
      <c r="A1047" t="s">
        <v>28</v>
      </c>
      <c r="B1047" t="s">
        <v>109</v>
      </c>
      <c r="C1047" t="s">
        <v>1822</v>
      </c>
      <c r="D1047">
        <v>3</v>
      </c>
      <c r="E1047" s="273">
        <v>4</v>
      </c>
      <c r="F1047" s="273" t="s">
        <v>7</v>
      </c>
      <c r="G1047" s="273" t="s">
        <v>11</v>
      </c>
      <c r="H1047" s="273" t="s">
        <v>11</v>
      </c>
    </row>
    <row r="1048" spans="1:8" x14ac:dyDescent="0.25">
      <c r="A1048" t="s">
        <v>28</v>
      </c>
      <c r="B1048" t="s">
        <v>109</v>
      </c>
      <c r="C1048" t="s">
        <v>1232</v>
      </c>
      <c r="D1048">
        <v>2</v>
      </c>
      <c r="E1048" s="273">
        <v>4</v>
      </c>
      <c r="F1048" s="273" t="s">
        <v>7</v>
      </c>
      <c r="G1048" s="273" t="s">
        <v>11</v>
      </c>
      <c r="H1048" s="273" t="s">
        <v>11</v>
      </c>
    </row>
    <row r="1049" spans="1:8" x14ac:dyDescent="0.25">
      <c r="A1049" t="s">
        <v>28</v>
      </c>
      <c r="B1049" t="s">
        <v>109</v>
      </c>
      <c r="C1049" t="s">
        <v>1823</v>
      </c>
      <c r="D1049">
        <v>2</v>
      </c>
      <c r="E1049" s="273">
        <v>4</v>
      </c>
      <c r="F1049" s="273" t="s">
        <v>7</v>
      </c>
      <c r="G1049" s="273" t="s">
        <v>11</v>
      </c>
      <c r="H1049" s="273" t="s">
        <v>11</v>
      </c>
    </row>
    <row r="1050" spans="1:8" x14ac:dyDescent="0.25">
      <c r="A1050" t="s">
        <v>28</v>
      </c>
      <c r="B1050" t="s">
        <v>109</v>
      </c>
      <c r="C1050" t="s">
        <v>1824</v>
      </c>
      <c r="D1050">
        <v>1</v>
      </c>
      <c r="E1050" s="273">
        <v>4</v>
      </c>
      <c r="F1050" s="273" t="s">
        <v>7</v>
      </c>
      <c r="G1050" s="273" t="s">
        <v>11</v>
      </c>
      <c r="H1050" s="273" t="s">
        <v>11</v>
      </c>
    </row>
    <row r="1051" spans="1:8" x14ac:dyDescent="0.25">
      <c r="A1051" t="s">
        <v>28</v>
      </c>
      <c r="B1051" t="s">
        <v>109</v>
      </c>
      <c r="C1051" t="s">
        <v>1608</v>
      </c>
      <c r="D1051">
        <v>2</v>
      </c>
      <c r="E1051" s="273">
        <v>4</v>
      </c>
      <c r="F1051" s="273" t="s">
        <v>7</v>
      </c>
      <c r="G1051" s="273" t="s">
        <v>11</v>
      </c>
      <c r="H1051" s="273" t="s">
        <v>11</v>
      </c>
    </row>
    <row r="1052" spans="1:8" x14ac:dyDescent="0.25">
      <c r="A1052" t="s">
        <v>28</v>
      </c>
      <c r="B1052" t="s">
        <v>109</v>
      </c>
      <c r="C1052" t="s">
        <v>1234</v>
      </c>
      <c r="D1052">
        <v>1</v>
      </c>
      <c r="E1052" s="273">
        <v>4</v>
      </c>
      <c r="F1052" s="273" t="s">
        <v>7</v>
      </c>
      <c r="G1052" s="273" t="s">
        <v>11</v>
      </c>
      <c r="H1052" s="273" t="s">
        <v>11</v>
      </c>
    </row>
    <row r="1053" spans="1:8" x14ac:dyDescent="0.25">
      <c r="A1053" t="s">
        <v>28</v>
      </c>
      <c r="B1053" t="s">
        <v>109</v>
      </c>
      <c r="C1053" t="s">
        <v>1127</v>
      </c>
      <c r="D1053">
        <v>2</v>
      </c>
      <c r="E1053" s="273">
        <v>4</v>
      </c>
      <c r="F1053" s="273" t="s">
        <v>7</v>
      </c>
      <c r="G1053" s="273" t="s">
        <v>11</v>
      </c>
      <c r="H1053" s="273" t="s">
        <v>11</v>
      </c>
    </row>
    <row r="1054" spans="1:8" x14ac:dyDescent="0.25">
      <c r="A1054" t="s">
        <v>28</v>
      </c>
      <c r="B1054" t="s">
        <v>109</v>
      </c>
      <c r="C1054" t="s">
        <v>1609</v>
      </c>
      <c r="D1054">
        <v>2</v>
      </c>
      <c r="E1054" s="273">
        <v>4</v>
      </c>
      <c r="F1054" s="273" t="s">
        <v>7</v>
      </c>
      <c r="G1054" s="273" t="s">
        <v>11</v>
      </c>
      <c r="H1054" s="273" t="s">
        <v>11</v>
      </c>
    </row>
    <row r="1055" spans="1:8" x14ac:dyDescent="0.25">
      <c r="A1055" t="s">
        <v>28</v>
      </c>
      <c r="B1055" t="s">
        <v>109</v>
      </c>
      <c r="C1055" t="s">
        <v>1240</v>
      </c>
      <c r="D1055">
        <v>2</v>
      </c>
      <c r="E1055" s="273">
        <v>4</v>
      </c>
      <c r="F1055" s="273" t="s">
        <v>7</v>
      </c>
      <c r="G1055" s="273" t="s">
        <v>11</v>
      </c>
      <c r="H1055" s="273" t="s">
        <v>11</v>
      </c>
    </row>
    <row r="1056" spans="1:8" x14ac:dyDescent="0.25">
      <c r="A1056" t="s">
        <v>28</v>
      </c>
      <c r="B1056" t="s">
        <v>109</v>
      </c>
      <c r="C1056" t="s">
        <v>1611</v>
      </c>
      <c r="D1056">
        <v>1</v>
      </c>
      <c r="E1056" s="273">
        <v>4</v>
      </c>
      <c r="F1056" s="273" t="s">
        <v>7</v>
      </c>
      <c r="G1056" s="273" t="s">
        <v>11</v>
      </c>
      <c r="H1056" s="273" t="s">
        <v>11</v>
      </c>
    </row>
    <row r="1057" spans="1:8" x14ac:dyDescent="0.25">
      <c r="A1057" t="s">
        <v>28</v>
      </c>
      <c r="B1057" t="s">
        <v>109</v>
      </c>
      <c r="C1057" t="s">
        <v>1659</v>
      </c>
      <c r="D1057">
        <v>2</v>
      </c>
      <c r="E1057" s="273">
        <v>4</v>
      </c>
      <c r="F1057" s="273" t="s">
        <v>7</v>
      </c>
      <c r="G1057" s="273" t="s">
        <v>11</v>
      </c>
      <c r="H1057" s="273" t="s">
        <v>11</v>
      </c>
    </row>
    <row r="1058" spans="1:8" x14ac:dyDescent="0.25">
      <c r="A1058" t="s">
        <v>28</v>
      </c>
      <c r="B1058" t="s">
        <v>109</v>
      </c>
      <c r="C1058" t="s">
        <v>1825</v>
      </c>
      <c r="D1058">
        <v>2</v>
      </c>
      <c r="E1058" s="273">
        <v>4</v>
      </c>
      <c r="F1058" s="273" t="s">
        <v>7</v>
      </c>
      <c r="G1058" s="273" t="s">
        <v>11</v>
      </c>
      <c r="H1058" s="273" t="s">
        <v>11</v>
      </c>
    </row>
    <row r="1059" spans="1:8" x14ac:dyDescent="0.25">
      <c r="A1059" t="s">
        <v>28</v>
      </c>
      <c r="B1059" t="s">
        <v>109</v>
      </c>
      <c r="C1059" t="s">
        <v>1826</v>
      </c>
      <c r="D1059">
        <v>2</v>
      </c>
      <c r="E1059" s="273">
        <v>4</v>
      </c>
      <c r="F1059" s="273" t="s">
        <v>7</v>
      </c>
      <c r="G1059" s="273" t="s">
        <v>11</v>
      </c>
      <c r="H1059" s="273" t="s">
        <v>11</v>
      </c>
    </row>
    <row r="1060" spans="1:8" x14ac:dyDescent="0.25">
      <c r="A1060" t="s">
        <v>28</v>
      </c>
      <c r="B1060" t="s">
        <v>109</v>
      </c>
      <c r="C1060" t="s">
        <v>1827</v>
      </c>
      <c r="D1060">
        <v>2</v>
      </c>
      <c r="E1060" s="273">
        <v>4</v>
      </c>
      <c r="F1060" s="273" t="s">
        <v>7</v>
      </c>
      <c r="G1060" s="273" t="s">
        <v>11</v>
      </c>
      <c r="H1060" s="273" t="s">
        <v>11</v>
      </c>
    </row>
    <row r="1061" spans="1:8" x14ac:dyDescent="0.25">
      <c r="A1061" t="s">
        <v>28</v>
      </c>
      <c r="B1061" t="s">
        <v>109</v>
      </c>
      <c r="C1061" t="s">
        <v>1142</v>
      </c>
      <c r="D1061">
        <v>1</v>
      </c>
      <c r="E1061" s="273">
        <v>4</v>
      </c>
      <c r="F1061" s="273" t="s">
        <v>7</v>
      </c>
      <c r="G1061" s="273" t="s">
        <v>11</v>
      </c>
      <c r="H1061" s="273" t="s">
        <v>11</v>
      </c>
    </row>
    <row r="1062" spans="1:8" x14ac:dyDescent="0.25">
      <c r="A1062" t="s">
        <v>28</v>
      </c>
      <c r="B1062" t="s">
        <v>109</v>
      </c>
      <c r="C1062" t="s">
        <v>1828</v>
      </c>
      <c r="D1062">
        <v>2</v>
      </c>
      <c r="E1062" s="273">
        <v>4</v>
      </c>
      <c r="F1062" s="273" t="s">
        <v>7</v>
      </c>
      <c r="G1062" s="273" t="s">
        <v>11</v>
      </c>
      <c r="H1062" s="273" t="s">
        <v>11</v>
      </c>
    </row>
    <row r="1063" spans="1:8" x14ac:dyDescent="0.25">
      <c r="A1063" t="s">
        <v>28</v>
      </c>
      <c r="B1063" t="s">
        <v>109</v>
      </c>
      <c r="C1063" t="s">
        <v>1497</v>
      </c>
      <c r="D1063">
        <v>2</v>
      </c>
      <c r="E1063" s="273">
        <v>4</v>
      </c>
      <c r="F1063" s="273" t="s">
        <v>7</v>
      </c>
      <c r="G1063" s="273" t="s">
        <v>11</v>
      </c>
      <c r="H1063" s="273" t="s">
        <v>11</v>
      </c>
    </row>
    <row r="1064" spans="1:8" x14ac:dyDescent="0.25">
      <c r="A1064" t="s">
        <v>28</v>
      </c>
      <c r="B1064" t="s">
        <v>109</v>
      </c>
      <c r="C1064" t="s">
        <v>1143</v>
      </c>
      <c r="D1064">
        <v>1</v>
      </c>
      <c r="E1064" s="273">
        <v>4</v>
      </c>
      <c r="F1064" s="273" t="s">
        <v>7</v>
      </c>
      <c r="G1064" s="273" t="s">
        <v>11</v>
      </c>
      <c r="H1064" s="273" t="s">
        <v>11</v>
      </c>
    </row>
    <row r="1065" spans="1:8" x14ac:dyDescent="0.25">
      <c r="A1065" t="s">
        <v>28</v>
      </c>
      <c r="B1065" t="s">
        <v>109</v>
      </c>
      <c r="C1065" t="s">
        <v>1245</v>
      </c>
      <c r="D1065">
        <v>3</v>
      </c>
      <c r="E1065" s="273">
        <v>4</v>
      </c>
      <c r="F1065" s="273" t="s">
        <v>7</v>
      </c>
      <c r="G1065" s="273" t="s">
        <v>11</v>
      </c>
      <c r="H1065" s="273" t="s">
        <v>11</v>
      </c>
    </row>
    <row r="1066" spans="1:8" x14ac:dyDescent="0.25">
      <c r="A1066" t="s">
        <v>28</v>
      </c>
      <c r="B1066" t="s">
        <v>109</v>
      </c>
      <c r="C1066" t="s">
        <v>1617</v>
      </c>
      <c r="D1066">
        <v>2</v>
      </c>
      <c r="E1066" s="273">
        <v>4</v>
      </c>
      <c r="F1066" s="273" t="s">
        <v>7</v>
      </c>
      <c r="G1066" s="273" t="s">
        <v>11</v>
      </c>
      <c r="H1066" s="273" t="s">
        <v>11</v>
      </c>
    </row>
    <row r="1067" spans="1:8" x14ac:dyDescent="0.25">
      <c r="A1067" t="s">
        <v>28</v>
      </c>
      <c r="B1067" t="s">
        <v>109</v>
      </c>
      <c r="C1067" t="s">
        <v>1829</v>
      </c>
      <c r="D1067">
        <v>2</v>
      </c>
      <c r="E1067" s="273">
        <v>4</v>
      </c>
      <c r="F1067" s="273" t="s">
        <v>7</v>
      </c>
      <c r="G1067" s="273" t="s">
        <v>11</v>
      </c>
      <c r="H1067" s="273" t="s">
        <v>11</v>
      </c>
    </row>
    <row r="1068" spans="1:8" x14ac:dyDescent="0.25">
      <c r="A1068" t="s">
        <v>28</v>
      </c>
      <c r="B1068" t="s">
        <v>109</v>
      </c>
      <c r="C1068" t="s">
        <v>1247</v>
      </c>
      <c r="D1068">
        <v>2</v>
      </c>
      <c r="E1068" s="273">
        <v>4</v>
      </c>
      <c r="F1068" s="273" t="s">
        <v>7</v>
      </c>
      <c r="G1068" s="273" t="s">
        <v>11</v>
      </c>
      <c r="H1068" s="273" t="s">
        <v>11</v>
      </c>
    </row>
    <row r="1069" spans="1:8" x14ac:dyDescent="0.25">
      <c r="A1069" t="s">
        <v>28</v>
      </c>
      <c r="B1069" t="s">
        <v>109</v>
      </c>
      <c r="C1069" t="s">
        <v>1830</v>
      </c>
      <c r="D1069">
        <v>3</v>
      </c>
      <c r="E1069" s="273">
        <v>4</v>
      </c>
      <c r="F1069" s="273" t="s">
        <v>7</v>
      </c>
      <c r="G1069" s="273" t="s">
        <v>11</v>
      </c>
      <c r="H1069" s="273" t="s">
        <v>11</v>
      </c>
    </row>
    <row r="1070" spans="1:8" x14ac:dyDescent="0.25">
      <c r="A1070" t="s">
        <v>28</v>
      </c>
      <c r="B1070" t="s">
        <v>109</v>
      </c>
      <c r="C1070" t="s">
        <v>1831</v>
      </c>
      <c r="D1070">
        <v>2</v>
      </c>
      <c r="E1070" s="273">
        <v>4</v>
      </c>
      <c r="F1070" s="273" t="s">
        <v>7</v>
      </c>
      <c r="G1070" s="273" t="s">
        <v>11</v>
      </c>
      <c r="H1070" s="273" t="s">
        <v>11</v>
      </c>
    </row>
    <row r="1071" spans="1:8" x14ac:dyDescent="0.25">
      <c r="A1071" t="s">
        <v>28</v>
      </c>
      <c r="B1071" t="s">
        <v>109</v>
      </c>
      <c r="C1071" t="s">
        <v>1832</v>
      </c>
      <c r="D1071">
        <v>1</v>
      </c>
      <c r="E1071" s="273">
        <v>4</v>
      </c>
      <c r="F1071" s="273" t="s">
        <v>7</v>
      </c>
      <c r="G1071" s="273" t="s">
        <v>11</v>
      </c>
      <c r="H1071" s="273" t="s">
        <v>11</v>
      </c>
    </row>
    <row r="1072" spans="1:8" x14ac:dyDescent="0.25">
      <c r="A1072" t="s">
        <v>28</v>
      </c>
      <c r="B1072" t="s">
        <v>109</v>
      </c>
      <c r="C1072" t="s">
        <v>1833</v>
      </c>
      <c r="D1072">
        <v>2</v>
      </c>
      <c r="E1072" s="273">
        <v>4</v>
      </c>
      <c r="F1072" s="273" t="s">
        <v>7</v>
      </c>
      <c r="G1072" s="273" t="s">
        <v>11</v>
      </c>
      <c r="H1072" s="273" t="s">
        <v>11</v>
      </c>
    </row>
    <row r="1073" spans="1:8" x14ac:dyDescent="0.25">
      <c r="A1073" t="s">
        <v>28</v>
      </c>
      <c r="B1073" t="s">
        <v>109</v>
      </c>
      <c r="C1073" t="s">
        <v>1507</v>
      </c>
      <c r="D1073">
        <v>2</v>
      </c>
      <c r="E1073" s="273">
        <v>4</v>
      </c>
      <c r="F1073" s="273" t="s">
        <v>7</v>
      </c>
      <c r="G1073" s="273" t="s">
        <v>11</v>
      </c>
      <c r="H1073" s="273" t="s">
        <v>11</v>
      </c>
    </row>
    <row r="1074" spans="1:8" x14ac:dyDescent="0.25">
      <c r="A1074" t="s">
        <v>28</v>
      </c>
      <c r="B1074" t="s">
        <v>109</v>
      </c>
      <c r="C1074" t="s">
        <v>1619</v>
      </c>
      <c r="D1074">
        <v>2</v>
      </c>
      <c r="E1074" s="273">
        <v>4</v>
      </c>
      <c r="F1074" s="273" t="s">
        <v>7</v>
      </c>
      <c r="G1074" s="273" t="s">
        <v>11</v>
      </c>
      <c r="H1074" s="273" t="s">
        <v>11</v>
      </c>
    </row>
    <row r="1075" spans="1:8" x14ac:dyDescent="0.25">
      <c r="A1075" t="s">
        <v>28</v>
      </c>
      <c r="B1075" t="s">
        <v>109</v>
      </c>
      <c r="C1075" t="s">
        <v>1834</v>
      </c>
      <c r="D1075">
        <v>2</v>
      </c>
      <c r="E1075" s="273">
        <v>4</v>
      </c>
      <c r="F1075" s="273" t="s">
        <v>7</v>
      </c>
      <c r="G1075" s="273" t="s">
        <v>11</v>
      </c>
      <c r="H1075" s="273" t="s">
        <v>11</v>
      </c>
    </row>
    <row r="1076" spans="1:8" x14ac:dyDescent="0.25">
      <c r="A1076" t="s">
        <v>28</v>
      </c>
      <c r="B1076" t="s">
        <v>109</v>
      </c>
      <c r="C1076" t="s">
        <v>1666</v>
      </c>
      <c r="D1076">
        <v>1</v>
      </c>
      <c r="E1076" s="273">
        <v>4</v>
      </c>
      <c r="F1076" s="273" t="s">
        <v>7</v>
      </c>
      <c r="G1076" s="273" t="s">
        <v>11</v>
      </c>
      <c r="H1076" s="273" t="s">
        <v>11</v>
      </c>
    </row>
    <row r="1077" spans="1:8" x14ac:dyDescent="0.25">
      <c r="A1077" t="s">
        <v>28</v>
      </c>
      <c r="B1077" t="s">
        <v>109</v>
      </c>
      <c r="C1077" t="s">
        <v>1510</v>
      </c>
      <c r="D1077">
        <v>1</v>
      </c>
      <c r="E1077" s="273">
        <v>4</v>
      </c>
      <c r="F1077" s="273" t="s">
        <v>7</v>
      </c>
      <c r="G1077" s="273" t="s">
        <v>11</v>
      </c>
      <c r="H1077" s="273" t="s">
        <v>11</v>
      </c>
    </row>
    <row r="1078" spans="1:8" x14ac:dyDescent="0.25">
      <c r="A1078" t="s">
        <v>28</v>
      </c>
      <c r="B1078" t="s">
        <v>109</v>
      </c>
      <c r="C1078" t="s">
        <v>1620</v>
      </c>
      <c r="D1078">
        <v>2</v>
      </c>
      <c r="E1078" s="273">
        <v>4</v>
      </c>
      <c r="F1078" s="273" t="s">
        <v>7</v>
      </c>
      <c r="G1078" s="273" t="s">
        <v>11</v>
      </c>
      <c r="H1078" s="273" t="s">
        <v>11</v>
      </c>
    </row>
    <row r="1079" spans="1:8" x14ac:dyDescent="0.25">
      <c r="A1079" t="s">
        <v>28</v>
      </c>
      <c r="B1079" t="s">
        <v>109</v>
      </c>
      <c r="C1079" t="s">
        <v>1147</v>
      </c>
      <c r="D1079">
        <v>2</v>
      </c>
      <c r="E1079" s="273">
        <v>4</v>
      </c>
      <c r="F1079" s="273" t="s">
        <v>7</v>
      </c>
      <c r="G1079" s="273" t="s">
        <v>11</v>
      </c>
      <c r="H1079" s="273" t="s">
        <v>11</v>
      </c>
    </row>
    <row r="1080" spans="1:8" x14ac:dyDescent="0.25">
      <c r="A1080" t="s">
        <v>28</v>
      </c>
      <c r="B1080" t="s">
        <v>109</v>
      </c>
      <c r="C1080" t="s">
        <v>1835</v>
      </c>
      <c r="D1080">
        <v>3</v>
      </c>
      <c r="E1080" s="273">
        <v>4</v>
      </c>
      <c r="F1080" s="273" t="s">
        <v>7</v>
      </c>
      <c r="G1080" s="273" t="s">
        <v>11</v>
      </c>
      <c r="H1080" s="273" t="s">
        <v>11</v>
      </c>
    </row>
    <row r="1081" spans="1:8" x14ac:dyDescent="0.25">
      <c r="A1081" t="s">
        <v>28</v>
      </c>
      <c r="B1081" t="s">
        <v>109</v>
      </c>
      <c r="C1081" t="s">
        <v>1836</v>
      </c>
      <c r="D1081">
        <v>2</v>
      </c>
      <c r="E1081" s="273">
        <v>4</v>
      </c>
      <c r="F1081" s="273" t="s">
        <v>7</v>
      </c>
      <c r="G1081" s="273" t="s">
        <v>11</v>
      </c>
      <c r="H1081" s="273" t="s">
        <v>11</v>
      </c>
    </row>
    <row r="1082" spans="1:8" x14ac:dyDescent="0.25">
      <c r="A1082" t="s">
        <v>28</v>
      </c>
      <c r="B1082" t="s">
        <v>109</v>
      </c>
      <c r="C1082" t="s">
        <v>1149</v>
      </c>
      <c r="D1082">
        <v>2</v>
      </c>
      <c r="E1082" s="273">
        <v>4</v>
      </c>
      <c r="F1082" s="273" t="s">
        <v>7</v>
      </c>
      <c r="G1082" s="273" t="s">
        <v>11</v>
      </c>
      <c r="H1082" s="273" t="s">
        <v>11</v>
      </c>
    </row>
    <row r="1083" spans="1:8" x14ac:dyDescent="0.25">
      <c r="A1083" t="s">
        <v>28</v>
      </c>
      <c r="B1083" t="s">
        <v>109</v>
      </c>
      <c r="C1083" t="s">
        <v>1150</v>
      </c>
      <c r="D1083">
        <v>1</v>
      </c>
      <c r="E1083" s="273">
        <v>4</v>
      </c>
      <c r="F1083" s="273" t="s">
        <v>7</v>
      </c>
      <c r="G1083" s="273" t="s">
        <v>11</v>
      </c>
      <c r="H1083" s="273" t="s">
        <v>11</v>
      </c>
    </row>
    <row r="1084" spans="1:8" x14ac:dyDescent="0.25">
      <c r="A1084" t="s">
        <v>28</v>
      </c>
      <c r="B1084" t="s">
        <v>109</v>
      </c>
      <c r="C1084" t="s">
        <v>1837</v>
      </c>
      <c r="D1084">
        <v>1</v>
      </c>
      <c r="E1084" s="273">
        <v>4</v>
      </c>
      <c r="F1084" s="273" t="s">
        <v>7</v>
      </c>
      <c r="G1084" s="273" t="s">
        <v>11</v>
      </c>
      <c r="H1084" s="273" t="s">
        <v>11</v>
      </c>
    </row>
    <row r="1085" spans="1:8" x14ac:dyDescent="0.25">
      <c r="A1085" t="s">
        <v>28</v>
      </c>
      <c r="B1085" t="s">
        <v>109</v>
      </c>
      <c r="C1085" t="s">
        <v>1253</v>
      </c>
      <c r="D1085">
        <v>2</v>
      </c>
      <c r="E1085" s="273">
        <v>4</v>
      </c>
      <c r="F1085" s="273" t="s">
        <v>7</v>
      </c>
      <c r="G1085" s="273" t="s">
        <v>11</v>
      </c>
      <c r="H1085" s="273" t="s">
        <v>11</v>
      </c>
    </row>
    <row r="1086" spans="1:8" x14ac:dyDescent="0.25">
      <c r="A1086" t="s">
        <v>28</v>
      </c>
      <c r="B1086" t="s">
        <v>109</v>
      </c>
      <c r="C1086" t="s">
        <v>1838</v>
      </c>
      <c r="D1086">
        <v>2</v>
      </c>
      <c r="E1086" s="273">
        <v>4</v>
      </c>
      <c r="F1086" s="273" t="s">
        <v>7</v>
      </c>
      <c r="G1086" s="273" t="s">
        <v>11</v>
      </c>
      <c r="H1086" s="273" t="s">
        <v>11</v>
      </c>
    </row>
    <row r="1087" spans="1:8" x14ac:dyDescent="0.25">
      <c r="A1087" t="s">
        <v>28</v>
      </c>
      <c r="B1087" t="s">
        <v>109</v>
      </c>
      <c r="C1087" t="s">
        <v>1839</v>
      </c>
      <c r="D1087">
        <v>2</v>
      </c>
      <c r="E1087" s="273">
        <v>4</v>
      </c>
      <c r="F1087" s="273" t="s">
        <v>7</v>
      </c>
      <c r="G1087" s="273" t="s">
        <v>11</v>
      </c>
      <c r="H1087" s="273" t="s">
        <v>11</v>
      </c>
    </row>
    <row r="1088" spans="1:8" x14ac:dyDescent="0.25">
      <c r="A1088" t="s">
        <v>28</v>
      </c>
      <c r="B1088" t="s">
        <v>109</v>
      </c>
      <c r="C1088" t="s">
        <v>1627</v>
      </c>
      <c r="D1088">
        <v>2</v>
      </c>
      <c r="E1088" s="273">
        <v>4</v>
      </c>
      <c r="F1088" s="273" t="s">
        <v>7</v>
      </c>
      <c r="G1088" s="273" t="s">
        <v>11</v>
      </c>
      <c r="H1088" s="273" t="s">
        <v>11</v>
      </c>
    </row>
    <row r="1089" spans="1:8" x14ac:dyDescent="0.25">
      <c r="A1089" t="s">
        <v>28</v>
      </c>
      <c r="B1089" t="s">
        <v>109</v>
      </c>
      <c r="C1089" t="s">
        <v>1840</v>
      </c>
      <c r="D1089">
        <v>2</v>
      </c>
      <c r="E1089" s="273">
        <v>4</v>
      </c>
      <c r="F1089" s="273" t="s">
        <v>7</v>
      </c>
      <c r="G1089" s="273" t="s">
        <v>11</v>
      </c>
      <c r="H1089" s="273" t="s">
        <v>11</v>
      </c>
    </row>
    <row r="1090" spans="1:8" x14ac:dyDescent="0.25">
      <c r="A1090" t="s">
        <v>28</v>
      </c>
      <c r="B1090" t="s">
        <v>109</v>
      </c>
      <c r="C1090" t="s">
        <v>1841</v>
      </c>
      <c r="D1090">
        <v>2</v>
      </c>
      <c r="E1090" s="273">
        <v>4</v>
      </c>
      <c r="F1090" s="273" t="s">
        <v>7</v>
      </c>
      <c r="G1090" s="273" t="s">
        <v>11</v>
      </c>
      <c r="H1090" s="273" t="s">
        <v>11</v>
      </c>
    </row>
    <row r="1091" spans="1:8" x14ac:dyDescent="0.25">
      <c r="A1091" t="s">
        <v>28</v>
      </c>
      <c r="B1091" t="s">
        <v>109</v>
      </c>
      <c r="C1091" t="s">
        <v>1153</v>
      </c>
      <c r="D1091">
        <v>2</v>
      </c>
      <c r="E1091" s="273">
        <v>4</v>
      </c>
      <c r="F1091" s="273" t="s">
        <v>7</v>
      </c>
      <c r="G1091" s="273" t="s">
        <v>11</v>
      </c>
      <c r="H1091" s="273" t="s">
        <v>11</v>
      </c>
    </row>
    <row r="1092" spans="1:8" x14ac:dyDescent="0.25">
      <c r="A1092" t="s">
        <v>28</v>
      </c>
      <c r="B1092" t="s">
        <v>109</v>
      </c>
      <c r="C1092" t="s">
        <v>1154</v>
      </c>
      <c r="D1092">
        <v>2</v>
      </c>
      <c r="E1092" s="273">
        <v>4</v>
      </c>
      <c r="F1092" s="273" t="s">
        <v>7</v>
      </c>
      <c r="G1092" s="273" t="s">
        <v>11</v>
      </c>
      <c r="H1092" s="273" t="s">
        <v>11</v>
      </c>
    </row>
    <row r="1093" spans="1:8" x14ac:dyDescent="0.25">
      <c r="A1093" t="s">
        <v>28</v>
      </c>
      <c r="B1093" t="s">
        <v>109</v>
      </c>
      <c r="C1093" t="s">
        <v>1842</v>
      </c>
      <c r="D1093">
        <v>2</v>
      </c>
      <c r="E1093" s="273">
        <v>4</v>
      </c>
      <c r="F1093" s="273" t="s">
        <v>7</v>
      </c>
      <c r="G1093" s="273" t="s">
        <v>11</v>
      </c>
      <c r="H1093" s="273" t="s">
        <v>11</v>
      </c>
    </row>
    <row r="1094" spans="1:8" x14ac:dyDescent="0.25">
      <c r="A1094" t="s">
        <v>28</v>
      </c>
      <c r="B1094" t="s">
        <v>109</v>
      </c>
      <c r="C1094" t="s">
        <v>1843</v>
      </c>
      <c r="D1094">
        <v>2</v>
      </c>
      <c r="E1094" s="273">
        <v>4</v>
      </c>
      <c r="F1094" s="273" t="s">
        <v>7</v>
      </c>
      <c r="G1094" s="273" t="s">
        <v>11</v>
      </c>
      <c r="H1094" s="273" t="s">
        <v>11</v>
      </c>
    </row>
    <row r="1095" spans="1:8" x14ac:dyDescent="0.25">
      <c r="A1095" t="s">
        <v>28</v>
      </c>
      <c r="B1095" t="s">
        <v>109</v>
      </c>
      <c r="C1095" t="s">
        <v>1591</v>
      </c>
      <c r="D1095">
        <v>2</v>
      </c>
      <c r="E1095" s="273">
        <v>4</v>
      </c>
      <c r="F1095" s="273" t="s">
        <v>7</v>
      </c>
      <c r="G1095" s="273" t="s">
        <v>11</v>
      </c>
      <c r="H1095" s="273" t="s">
        <v>11</v>
      </c>
    </row>
    <row r="1096" spans="1:8" x14ac:dyDescent="0.25">
      <c r="A1096" t="s">
        <v>28</v>
      </c>
      <c r="B1096" t="s">
        <v>109</v>
      </c>
      <c r="C1096" t="s">
        <v>1255</v>
      </c>
      <c r="D1096">
        <v>1</v>
      </c>
      <c r="E1096" s="273">
        <v>4</v>
      </c>
      <c r="F1096" s="273" t="s">
        <v>7</v>
      </c>
      <c r="G1096" s="273" t="s">
        <v>11</v>
      </c>
      <c r="H1096" s="273" t="s">
        <v>11</v>
      </c>
    </row>
    <row r="1097" spans="1:8" x14ac:dyDescent="0.25">
      <c r="A1097" t="s">
        <v>28</v>
      </c>
      <c r="B1097" t="s">
        <v>109</v>
      </c>
      <c r="C1097" t="s">
        <v>1629</v>
      </c>
      <c r="D1097">
        <v>2</v>
      </c>
      <c r="E1097" s="273">
        <v>4</v>
      </c>
      <c r="F1097" s="273" t="s">
        <v>7</v>
      </c>
      <c r="G1097" s="273" t="s">
        <v>11</v>
      </c>
      <c r="H1097" s="273" t="s">
        <v>11</v>
      </c>
    </row>
    <row r="1098" spans="1:8" x14ac:dyDescent="0.25">
      <c r="A1098" t="s">
        <v>28</v>
      </c>
      <c r="B1098" t="s">
        <v>109</v>
      </c>
      <c r="C1098" t="s">
        <v>1257</v>
      </c>
      <c r="D1098">
        <v>2</v>
      </c>
      <c r="E1098" s="273">
        <v>4</v>
      </c>
      <c r="F1098" s="273" t="s">
        <v>7</v>
      </c>
      <c r="G1098" s="273" t="s">
        <v>11</v>
      </c>
      <c r="H1098" s="273" t="s">
        <v>11</v>
      </c>
    </row>
    <row r="1099" spans="1:8" x14ac:dyDescent="0.25">
      <c r="A1099" t="s">
        <v>28</v>
      </c>
      <c r="B1099" t="s">
        <v>109</v>
      </c>
      <c r="C1099" t="s">
        <v>1721</v>
      </c>
      <c r="D1099">
        <v>2</v>
      </c>
      <c r="E1099" s="273">
        <v>4</v>
      </c>
      <c r="F1099" s="273" t="s">
        <v>7</v>
      </c>
      <c r="G1099" s="273" t="s">
        <v>11</v>
      </c>
      <c r="H1099" s="273" t="s">
        <v>11</v>
      </c>
    </row>
    <row r="1100" spans="1:8" x14ac:dyDescent="0.25">
      <c r="A1100" t="s">
        <v>28</v>
      </c>
      <c r="B1100" t="s">
        <v>109</v>
      </c>
      <c r="C1100" t="s">
        <v>1158</v>
      </c>
      <c r="D1100">
        <v>2</v>
      </c>
      <c r="E1100" s="273">
        <v>4</v>
      </c>
      <c r="F1100" s="273" t="s">
        <v>7</v>
      </c>
      <c r="G1100" s="273" t="s">
        <v>11</v>
      </c>
      <c r="H1100" s="273" t="s">
        <v>11</v>
      </c>
    </row>
    <row r="1101" spans="1:8" x14ac:dyDescent="0.25">
      <c r="A1101" t="s">
        <v>28</v>
      </c>
      <c r="B1101" t="s">
        <v>109</v>
      </c>
      <c r="C1101" t="s">
        <v>1844</v>
      </c>
      <c r="D1101">
        <v>2</v>
      </c>
      <c r="E1101" s="273">
        <v>4</v>
      </c>
      <c r="F1101" s="273" t="s">
        <v>7</v>
      </c>
      <c r="G1101" s="273" t="s">
        <v>11</v>
      </c>
      <c r="H1101" s="273" t="s">
        <v>11</v>
      </c>
    </row>
    <row r="1102" spans="1:8" x14ac:dyDescent="0.25">
      <c r="A1102" t="s">
        <v>28</v>
      </c>
      <c r="B1102" t="s">
        <v>109</v>
      </c>
      <c r="C1102" t="s">
        <v>1160</v>
      </c>
      <c r="D1102">
        <v>1</v>
      </c>
      <c r="E1102" s="273">
        <v>4</v>
      </c>
      <c r="F1102" s="273" t="s">
        <v>7</v>
      </c>
      <c r="G1102" s="273" t="s">
        <v>11</v>
      </c>
      <c r="H1102" s="273" t="s">
        <v>11</v>
      </c>
    </row>
    <row r="1103" spans="1:8" x14ac:dyDescent="0.25">
      <c r="A1103" t="s">
        <v>28</v>
      </c>
      <c r="B1103" t="s">
        <v>109</v>
      </c>
      <c r="C1103" t="s">
        <v>1161</v>
      </c>
      <c r="D1103">
        <v>3</v>
      </c>
      <c r="E1103" s="273">
        <v>4</v>
      </c>
      <c r="F1103" s="273" t="s">
        <v>7</v>
      </c>
      <c r="G1103" s="273" t="s">
        <v>11</v>
      </c>
      <c r="H1103" s="273" t="s">
        <v>11</v>
      </c>
    </row>
    <row r="1104" spans="1:8" x14ac:dyDescent="0.25">
      <c r="A1104" t="s">
        <v>28</v>
      </c>
      <c r="B1104" t="s">
        <v>109</v>
      </c>
      <c r="C1104" t="s">
        <v>1435</v>
      </c>
      <c r="D1104">
        <v>2</v>
      </c>
      <c r="E1104" s="273">
        <v>4</v>
      </c>
      <c r="F1104" s="273" t="s">
        <v>7</v>
      </c>
      <c r="G1104" s="273" t="s">
        <v>11</v>
      </c>
      <c r="H1104" s="273" t="s">
        <v>11</v>
      </c>
    </row>
    <row r="1105" spans="1:8" x14ac:dyDescent="0.25">
      <c r="A1105" t="s">
        <v>28</v>
      </c>
      <c r="B1105" t="s">
        <v>109</v>
      </c>
      <c r="C1105" t="s">
        <v>1631</v>
      </c>
      <c r="D1105">
        <v>2</v>
      </c>
      <c r="E1105" s="273">
        <v>4</v>
      </c>
      <c r="F1105" s="273" t="s">
        <v>7</v>
      </c>
      <c r="G1105" s="273" t="s">
        <v>11</v>
      </c>
      <c r="H1105" s="273" t="s">
        <v>11</v>
      </c>
    </row>
    <row r="1106" spans="1:8" x14ac:dyDescent="0.25">
      <c r="A1106" t="s">
        <v>28</v>
      </c>
      <c r="B1106" t="s">
        <v>109</v>
      </c>
      <c r="C1106" t="s">
        <v>1845</v>
      </c>
      <c r="D1106">
        <v>3</v>
      </c>
      <c r="E1106" s="273">
        <v>4</v>
      </c>
      <c r="F1106" s="273" t="s">
        <v>7</v>
      </c>
      <c r="G1106" s="273" t="s">
        <v>11</v>
      </c>
      <c r="H1106" s="273" t="s">
        <v>11</v>
      </c>
    </row>
    <row r="1107" spans="1:8" x14ac:dyDescent="0.25">
      <c r="A1107" t="s">
        <v>28</v>
      </c>
      <c r="B1107" t="s">
        <v>109</v>
      </c>
      <c r="C1107" t="s">
        <v>1846</v>
      </c>
      <c r="D1107">
        <v>2</v>
      </c>
      <c r="E1107" s="273">
        <v>4</v>
      </c>
      <c r="F1107" s="273" t="s">
        <v>7</v>
      </c>
      <c r="G1107" s="273" t="s">
        <v>11</v>
      </c>
      <c r="H1107" s="273" t="s">
        <v>11</v>
      </c>
    </row>
    <row r="1108" spans="1:8" x14ac:dyDescent="0.25">
      <c r="A1108" t="s">
        <v>28</v>
      </c>
      <c r="B1108" t="s">
        <v>109</v>
      </c>
      <c r="C1108" t="s">
        <v>1635</v>
      </c>
      <c r="D1108">
        <v>2</v>
      </c>
      <c r="E1108" s="273">
        <v>4</v>
      </c>
      <c r="F1108" s="273" t="s">
        <v>7</v>
      </c>
      <c r="G1108" s="273" t="s">
        <v>11</v>
      </c>
      <c r="H1108" s="273" t="s">
        <v>11</v>
      </c>
    </row>
    <row r="1109" spans="1:8" x14ac:dyDescent="0.25">
      <c r="A1109" t="s">
        <v>28</v>
      </c>
      <c r="B1109" t="s">
        <v>109</v>
      </c>
      <c r="C1109" t="s">
        <v>1774</v>
      </c>
      <c r="D1109">
        <v>2</v>
      </c>
      <c r="E1109" s="273">
        <v>4</v>
      </c>
      <c r="F1109" s="273" t="s">
        <v>7</v>
      </c>
      <c r="G1109" s="273" t="s">
        <v>11</v>
      </c>
      <c r="H1109" s="273" t="s">
        <v>11</v>
      </c>
    </row>
    <row r="1110" spans="1:8" x14ac:dyDescent="0.25">
      <c r="A1110" t="s">
        <v>28</v>
      </c>
      <c r="B1110" t="s">
        <v>109</v>
      </c>
      <c r="C1110" t="s">
        <v>1847</v>
      </c>
      <c r="D1110">
        <v>2</v>
      </c>
      <c r="E1110" s="273">
        <v>4</v>
      </c>
      <c r="F1110" s="273" t="s">
        <v>7</v>
      </c>
      <c r="G1110" s="273" t="s">
        <v>11</v>
      </c>
      <c r="H1110" s="273" t="s">
        <v>11</v>
      </c>
    </row>
    <row r="1111" spans="1:8" x14ac:dyDescent="0.25">
      <c r="A1111" t="s">
        <v>28</v>
      </c>
      <c r="B1111" t="s">
        <v>109</v>
      </c>
      <c r="C1111" t="s">
        <v>1637</v>
      </c>
      <c r="D1111">
        <v>1</v>
      </c>
      <c r="E1111" s="273">
        <v>4</v>
      </c>
      <c r="F1111" s="273" t="s">
        <v>7</v>
      </c>
      <c r="G1111" s="273" t="s">
        <v>11</v>
      </c>
      <c r="H1111" s="273" t="s">
        <v>11</v>
      </c>
    </row>
    <row r="1112" spans="1:8" x14ac:dyDescent="0.25">
      <c r="A1112" t="s">
        <v>28</v>
      </c>
      <c r="B1112" t="s">
        <v>109</v>
      </c>
      <c r="C1112" t="s">
        <v>1848</v>
      </c>
      <c r="D1112">
        <v>1</v>
      </c>
      <c r="E1112" s="273">
        <v>4</v>
      </c>
      <c r="F1112" s="273" t="s">
        <v>7</v>
      </c>
      <c r="G1112" s="273" t="s">
        <v>11</v>
      </c>
      <c r="H1112" s="273" t="s">
        <v>11</v>
      </c>
    </row>
    <row r="1113" spans="1:8" x14ac:dyDescent="0.25">
      <c r="A1113" t="s">
        <v>28</v>
      </c>
      <c r="B1113" t="s">
        <v>109</v>
      </c>
      <c r="C1113" t="s">
        <v>1163</v>
      </c>
      <c r="D1113">
        <v>1</v>
      </c>
      <c r="E1113" s="273">
        <v>4</v>
      </c>
      <c r="F1113" s="273" t="s">
        <v>7</v>
      </c>
      <c r="G1113" s="273" t="s">
        <v>11</v>
      </c>
      <c r="H1113" s="273" t="s">
        <v>11</v>
      </c>
    </row>
    <row r="1114" spans="1:8" x14ac:dyDescent="0.25">
      <c r="A1114" t="s">
        <v>28</v>
      </c>
      <c r="B1114" t="s">
        <v>109</v>
      </c>
      <c r="C1114" t="s">
        <v>1164</v>
      </c>
      <c r="D1114">
        <v>2</v>
      </c>
      <c r="E1114" s="273">
        <v>4</v>
      </c>
      <c r="F1114" s="273" t="s">
        <v>7</v>
      </c>
      <c r="G1114" s="273" t="s">
        <v>11</v>
      </c>
      <c r="H1114" s="273" t="s">
        <v>11</v>
      </c>
    </row>
    <row r="1115" spans="1:8" x14ac:dyDescent="0.25">
      <c r="A1115" t="s">
        <v>28</v>
      </c>
      <c r="B1115" t="s">
        <v>109</v>
      </c>
      <c r="C1115" t="s">
        <v>1165</v>
      </c>
      <c r="D1115">
        <v>2</v>
      </c>
      <c r="E1115" s="273">
        <v>4</v>
      </c>
      <c r="F1115" s="273" t="s">
        <v>7</v>
      </c>
      <c r="G1115" s="273" t="s">
        <v>11</v>
      </c>
      <c r="H1115" s="273" t="s">
        <v>11</v>
      </c>
    </row>
    <row r="1116" spans="1:8" x14ac:dyDescent="0.25">
      <c r="A1116" t="s">
        <v>28</v>
      </c>
      <c r="B1116" t="s">
        <v>109</v>
      </c>
      <c r="C1116" t="s">
        <v>1849</v>
      </c>
      <c r="D1116">
        <v>2</v>
      </c>
      <c r="E1116" s="273">
        <v>4</v>
      </c>
      <c r="F1116" s="273" t="s">
        <v>7</v>
      </c>
      <c r="G1116" s="273" t="s">
        <v>11</v>
      </c>
      <c r="H1116" s="273" t="s">
        <v>11</v>
      </c>
    </row>
    <row r="1117" spans="1:8" x14ac:dyDescent="0.25">
      <c r="A1117" t="s">
        <v>28</v>
      </c>
      <c r="B1117" t="s">
        <v>109</v>
      </c>
      <c r="C1117" t="s">
        <v>1850</v>
      </c>
      <c r="D1117">
        <v>1</v>
      </c>
      <c r="E1117" s="273">
        <v>4</v>
      </c>
      <c r="F1117" s="273" t="s">
        <v>7</v>
      </c>
      <c r="G1117" s="273" t="s">
        <v>11</v>
      </c>
      <c r="H1117" s="273" t="s">
        <v>11</v>
      </c>
    </row>
    <row r="1118" spans="1:8" x14ac:dyDescent="0.25">
      <c r="A1118" t="s">
        <v>28</v>
      </c>
      <c r="B1118" t="s">
        <v>109</v>
      </c>
      <c r="C1118" t="s">
        <v>1851</v>
      </c>
      <c r="D1118">
        <v>2</v>
      </c>
      <c r="E1118" s="273">
        <v>4</v>
      </c>
      <c r="F1118" s="273" t="s">
        <v>7</v>
      </c>
      <c r="G1118" s="273" t="s">
        <v>11</v>
      </c>
      <c r="H1118" s="273" t="s">
        <v>11</v>
      </c>
    </row>
    <row r="1119" spans="1:8" x14ac:dyDescent="0.25">
      <c r="A1119" t="s">
        <v>28</v>
      </c>
      <c r="B1119" t="s">
        <v>109</v>
      </c>
      <c r="C1119" t="s">
        <v>1676</v>
      </c>
      <c r="D1119">
        <v>2</v>
      </c>
      <c r="E1119" s="273">
        <v>4</v>
      </c>
      <c r="F1119" s="273" t="s">
        <v>7</v>
      </c>
      <c r="G1119" s="273" t="s">
        <v>11</v>
      </c>
      <c r="H1119" s="273" t="s">
        <v>11</v>
      </c>
    </row>
    <row r="1120" spans="1:8" x14ac:dyDescent="0.25">
      <c r="A1120" t="s">
        <v>28</v>
      </c>
      <c r="B1120" t="s">
        <v>109</v>
      </c>
      <c r="C1120" t="s">
        <v>1852</v>
      </c>
      <c r="D1120">
        <v>2</v>
      </c>
      <c r="E1120" s="273">
        <v>4</v>
      </c>
      <c r="F1120" s="273" t="s">
        <v>7</v>
      </c>
      <c r="G1120" s="273" t="s">
        <v>11</v>
      </c>
      <c r="H1120" s="273" t="s">
        <v>11</v>
      </c>
    </row>
    <row r="1121" spans="1:8" x14ac:dyDescent="0.25">
      <c r="A1121" t="s">
        <v>28</v>
      </c>
      <c r="B1121" t="s">
        <v>109</v>
      </c>
      <c r="C1121" t="s">
        <v>1677</v>
      </c>
      <c r="D1121">
        <v>2</v>
      </c>
      <c r="E1121" s="273">
        <v>4</v>
      </c>
      <c r="F1121" s="273" t="s">
        <v>7</v>
      </c>
      <c r="G1121" s="273" t="s">
        <v>11</v>
      </c>
      <c r="H1121" s="273" t="s">
        <v>11</v>
      </c>
    </row>
    <row r="1122" spans="1:8" x14ac:dyDescent="0.25">
      <c r="A1122" t="s">
        <v>28</v>
      </c>
      <c r="B1122" t="s">
        <v>109</v>
      </c>
      <c r="C1122" t="s">
        <v>1853</v>
      </c>
      <c r="D1122">
        <v>2</v>
      </c>
      <c r="E1122" s="273">
        <v>4</v>
      </c>
      <c r="F1122" s="273" t="s">
        <v>7</v>
      </c>
      <c r="G1122" s="273" t="s">
        <v>11</v>
      </c>
      <c r="H1122" s="273" t="s">
        <v>11</v>
      </c>
    </row>
    <row r="1123" spans="1:8" x14ac:dyDescent="0.25">
      <c r="A1123" t="s">
        <v>28</v>
      </c>
      <c r="B1123" t="s">
        <v>109</v>
      </c>
      <c r="C1123" t="s">
        <v>1854</v>
      </c>
      <c r="D1123">
        <v>1</v>
      </c>
      <c r="E1123" s="273">
        <v>4</v>
      </c>
      <c r="F1123" s="273" t="s">
        <v>7</v>
      </c>
      <c r="G1123" s="273" t="s">
        <v>11</v>
      </c>
      <c r="H1123" s="273" t="s">
        <v>11</v>
      </c>
    </row>
    <row r="1124" spans="1:8" x14ac:dyDescent="0.25">
      <c r="A1124" t="s">
        <v>28</v>
      </c>
      <c r="B1124" t="s">
        <v>109</v>
      </c>
      <c r="C1124" t="s">
        <v>1166</v>
      </c>
      <c r="D1124">
        <v>2</v>
      </c>
      <c r="E1124" s="273">
        <v>4</v>
      </c>
      <c r="F1124" s="273" t="s">
        <v>7</v>
      </c>
      <c r="G1124" s="273" t="s">
        <v>11</v>
      </c>
      <c r="H1124" s="273" t="s">
        <v>11</v>
      </c>
    </row>
    <row r="1125" spans="1:8" x14ac:dyDescent="0.25">
      <c r="A1125" t="s">
        <v>28</v>
      </c>
      <c r="B1125" t="s">
        <v>109</v>
      </c>
      <c r="C1125" t="s">
        <v>1168</v>
      </c>
      <c r="D1125">
        <v>2</v>
      </c>
      <c r="E1125" s="273">
        <v>4</v>
      </c>
      <c r="F1125" s="273" t="s">
        <v>7</v>
      </c>
      <c r="G1125" s="273" t="s">
        <v>11</v>
      </c>
      <c r="H1125" s="273" t="s">
        <v>11</v>
      </c>
    </row>
    <row r="1126" spans="1:8" x14ac:dyDescent="0.25">
      <c r="A1126" t="s">
        <v>28</v>
      </c>
      <c r="B1126" t="s">
        <v>109</v>
      </c>
      <c r="C1126" t="s">
        <v>1855</v>
      </c>
      <c r="D1126">
        <v>2</v>
      </c>
      <c r="E1126" s="273">
        <v>4</v>
      </c>
      <c r="F1126" s="273" t="s">
        <v>7</v>
      </c>
      <c r="G1126" s="273" t="s">
        <v>11</v>
      </c>
      <c r="H1126" s="273" t="s">
        <v>11</v>
      </c>
    </row>
    <row r="1127" spans="1:8" x14ac:dyDescent="0.25">
      <c r="A1127" t="s">
        <v>28</v>
      </c>
      <c r="B1127" t="s">
        <v>109</v>
      </c>
      <c r="C1127" t="s">
        <v>1269</v>
      </c>
      <c r="D1127">
        <v>1</v>
      </c>
      <c r="E1127" s="273">
        <v>4</v>
      </c>
      <c r="F1127" s="273" t="s">
        <v>7</v>
      </c>
      <c r="G1127" s="273" t="s">
        <v>11</v>
      </c>
      <c r="H1127" s="273" t="s">
        <v>11</v>
      </c>
    </row>
    <row r="1128" spans="1:8" x14ac:dyDescent="0.25">
      <c r="A1128" t="s">
        <v>28</v>
      </c>
      <c r="B1128" t="s">
        <v>109</v>
      </c>
      <c r="C1128" t="s">
        <v>1856</v>
      </c>
      <c r="D1128">
        <v>1</v>
      </c>
      <c r="E1128" s="273">
        <v>4</v>
      </c>
      <c r="F1128" s="273" t="s">
        <v>7</v>
      </c>
      <c r="G1128" s="273" t="s">
        <v>11</v>
      </c>
      <c r="H1128" s="273" t="s">
        <v>11</v>
      </c>
    </row>
    <row r="1129" spans="1:8" x14ac:dyDescent="0.25">
      <c r="A1129" t="s">
        <v>28</v>
      </c>
      <c r="B1129" t="s">
        <v>109</v>
      </c>
      <c r="C1129" t="s">
        <v>1857</v>
      </c>
      <c r="D1129">
        <v>2</v>
      </c>
      <c r="E1129" s="273">
        <v>4</v>
      </c>
      <c r="F1129" s="273" t="s">
        <v>7</v>
      </c>
      <c r="G1129" s="273" t="s">
        <v>11</v>
      </c>
      <c r="H1129" s="273" t="s">
        <v>11</v>
      </c>
    </row>
    <row r="1130" spans="1:8" x14ac:dyDescent="0.25">
      <c r="A1130" t="s">
        <v>28</v>
      </c>
      <c r="B1130" t="s">
        <v>109</v>
      </c>
      <c r="C1130" t="s">
        <v>1858</v>
      </c>
      <c r="D1130">
        <v>2</v>
      </c>
      <c r="E1130" s="273">
        <v>4</v>
      </c>
      <c r="F1130" s="273" t="s">
        <v>7</v>
      </c>
      <c r="G1130" s="273" t="s">
        <v>11</v>
      </c>
      <c r="H1130" s="273" t="s">
        <v>11</v>
      </c>
    </row>
    <row r="1131" spans="1:8" x14ac:dyDescent="0.25">
      <c r="A1131" t="s">
        <v>28</v>
      </c>
      <c r="B1131" t="s">
        <v>109</v>
      </c>
      <c r="C1131" t="s">
        <v>1170</v>
      </c>
      <c r="D1131">
        <v>1</v>
      </c>
      <c r="E1131" s="273">
        <v>4</v>
      </c>
      <c r="F1131" s="273" t="s">
        <v>7</v>
      </c>
      <c r="G1131" s="273" t="s">
        <v>11</v>
      </c>
      <c r="H1131" s="273" t="s">
        <v>11</v>
      </c>
    </row>
    <row r="1132" spans="1:8" x14ac:dyDescent="0.25">
      <c r="A1132" t="s">
        <v>28</v>
      </c>
      <c r="B1132" t="s">
        <v>109</v>
      </c>
      <c r="C1132" t="s">
        <v>1272</v>
      </c>
      <c r="D1132">
        <v>1</v>
      </c>
      <c r="E1132" s="273">
        <v>4</v>
      </c>
      <c r="F1132" s="273" t="s">
        <v>7</v>
      </c>
      <c r="G1132" s="273" t="s">
        <v>11</v>
      </c>
      <c r="H1132" s="273" t="s">
        <v>11</v>
      </c>
    </row>
    <row r="1133" spans="1:8" x14ac:dyDescent="0.25">
      <c r="A1133" t="s">
        <v>28</v>
      </c>
      <c r="B1133" t="s">
        <v>109</v>
      </c>
      <c r="C1133" t="s">
        <v>1172</v>
      </c>
      <c r="D1133">
        <v>2</v>
      </c>
      <c r="E1133" s="273">
        <v>4</v>
      </c>
      <c r="F1133" s="273" t="s">
        <v>7</v>
      </c>
      <c r="G1133" s="273" t="s">
        <v>11</v>
      </c>
      <c r="H1133" s="273" t="s">
        <v>11</v>
      </c>
    </row>
    <row r="1134" spans="1:8" x14ac:dyDescent="0.25">
      <c r="A1134" t="s">
        <v>28</v>
      </c>
      <c r="B1134" t="s">
        <v>109</v>
      </c>
      <c r="C1134" t="s">
        <v>1859</v>
      </c>
      <c r="D1134">
        <v>2</v>
      </c>
      <c r="E1134" s="273">
        <v>4</v>
      </c>
      <c r="F1134" s="273" t="s">
        <v>7</v>
      </c>
      <c r="G1134" s="273" t="s">
        <v>11</v>
      </c>
      <c r="H1134" s="273" t="s">
        <v>11</v>
      </c>
    </row>
    <row r="1135" spans="1:8" x14ac:dyDescent="0.25">
      <c r="A1135" t="s">
        <v>28</v>
      </c>
      <c r="B1135" t="s">
        <v>109</v>
      </c>
      <c r="C1135" t="s">
        <v>1683</v>
      </c>
      <c r="D1135">
        <v>2</v>
      </c>
      <c r="E1135" s="273">
        <v>4</v>
      </c>
      <c r="F1135" s="273" t="s">
        <v>7</v>
      </c>
      <c r="G1135" s="273" t="s">
        <v>11</v>
      </c>
      <c r="H1135" s="273" t="s">
        <v>11</v>
      </c>
    </row>
    <row r="1136" spans="1:8" x14ac:dyDescent="0.25">
      <c r="A1136" t="s">
        <v>28</v>
      </c>
      <c r="B1136" t="s">
        <v>109</v>
      </c>
      <c r="C1136" t="s">
        <v>1451</v>
      </c>
      <c r="D1136">
        <v>1</v>
      </c>
      <c r="E1136" s="273">
        <v>4</v>
      </c>
      <c r="F1136" s="273" t="s">
        <v>7</v>
      </c>
      <c r="G1136" s="273" t="s">
        <v>11</v>
      </c>
      <c r="H1136" s="273" t="s">
        <v>11</v>
      </c>
    </row>
    <row r="1137" spans="1:8" x14ac:dyDescent="0.25">
      <c r="A1137" t="s">
        <v>28</v>
      </c>
      <c r="B1137" t="s">
        <v>109</v>
      </c>
      <c r="C1137" t="s">
        <v>1860</v>
      </c>
      <c r="D1137">
        <v>2</v>
      </c>
      <c r="E1137" s="273">
        <v>4</v>
      </c>
      <c r="F1137" s="273" t="s">
        <v>7</v>
      </c>
      <c r="G1137" s="273" t="s">
        <v>11</v>
      </c>
      <c r="H1137" s="273" t="s">
        <v>11</v>
      </c>
    </row>
    <row r="1138" spans="1:8" x14ac:dyDescent="0.25">
      <c r="A1138" t="s">
        <v>28</v>
      </c>
      <c r="B1138" t="s">
        <v>109</v>
      </c>
      <c r="C1138" t="s">
        <v>1861</v>
      </c>
      <c r="D1138">
        <v>2</v>
      </c>
      <c r="E1138" s="273">
        <v>4</v>
      </c>
      <c r="F1138" s="273" t="s">
        <v>7</v>
      </c>
      <c r="G1138" s="273" t="s">
        <v>11</v>
      </c>
      <c r="H1138" s="273" t="s">
        <v>11</v>
      </c>
    </row>
    <row r="1139" spans="1:8" x14ac:dyDescent="0.25">
      <c r="A1139" t="s">
        <v>28</v>
      </c>
      <c r="B1139" t="s">
        <v>109</v>
      </c>
      <c r="C1139" t="s">
        <v>1862</v>
      </c>
      <c r="D1139">
        <v>2</v>
      </c>
      <c r="E1139" s="273">
        <v>4</v>
      </c>
      <c r="F1139" s="273" t="s">
        <v>7</v>
      </c>
      <c r="G1139" s="273" t="s">
        <v>11</v>
      </c>
      <c r="H1139" s="273" t="s">
        <v>11</v>
      </c>
    </row>
    <row r="1140" spans="1:8" x14ac:dyDescent="0.25">
      <c r="A1140" t="s">
        <v>28</v>
      </c>
      <c r="B1140" t="s">
        <v>109</v>
      </c>
      <c r="C1140" t="s">
        <v>1278</v>
      </c>
      <c r="D1140">
        <v>2</v>
      </c>
      <c r="E1140" s="273">
        <v>4</v>
      </c>
      <c r="F1140" s="273" t="s">
        <v>7</v>
      </c>
      <c r="G1140" s="273" t="s">
        <v>11</v>
      </c>
      <c r="H1140" s="273" t="s">
        <v>11</v>
      </c>
    </row>
    <row r="1141" spans="1:8" x14ac:dyDescent="0.25">
      <c r="A1141" t="s">
        <v>28</v>
      </c>
      <c r="B1141" t="s">
        <v>109</v>
      </c>
      <c r="C1141" t="s">
        <v>1556</v>
      </c>
      <c r="D1141">
        <v>1</v>
      </c>
      <c r="E1141" s="273">
        <v>4</v>
      </c>
      <c r="F1141" s="273" t="s">
        <v>7</v>
      </c>
      <c r="G1141" s="273" t="s">
        <v>11</v>
      </c>
      <c r="H1141" s="273" t="s">
        <v>11</v>
      </c>
    </row>
    <row r="1142" spans="1:8" x14ac:dyDescent="0.25">
      <c r="A1142" t="s">
        <v>28</v>
      </c>
      <c r="B1142" t="s">
        <v>109</v>
      </c>
      <c r="C1142" t="s">
        <v>1178</v>
      </c>
      <c r="D1142">
        <v>2</v>
      </c>
      <c r="E1142" s="273">
        <v>4</v>
      </c>
      <c r="F1142" s="273" t="s">
        <v>7</v>
      </c>
      <c r="G1142" s="273" t="s">
        <v>11</v>
      </c>
      <c r="H1142" s="273" t="s">
        <v>11</v>
      </c>
    </row>
    <row r="1143" spans="1:8" x14ac:dyDescent="0.25">
      <c r="A1143" t="s">
        <v>28</v>
      </c>
      <c r="B1143" t="s">
        <v>109</v>
      </c>
      <c r="C1143" t="s">
        <v>1557</v>
      </c>
      <c r="D1143">
        <v>2</v>
      </c>
      <c r="E1143" s="273">
        <v>4</v>
      </c>
      <c r="F1143" s="273" t="s">
        <v>7</v>
      </c>
      <c r="G1143" s="273" t="s">
        <v>11</v>
      </c>
      <c r="H1143" s="273" t="s">
        <v>11</v>
      </c>
    </row>
    <row r="1144" spans="1:8" x14ac:dyDescent="0.25">
      <c r="A1144" t="s">
        <v>28</v>
      </c>
      <c r="B1144" t="s">
        <v>109</v>
      </c>
      <c r="C1144" t="s">
        <v>1558</v>
      </c>
      <c r="D1144">
        <v>2</v>
      </c>
      <c r="E1144" s="273">
        <v>4</v>
      </c>
      <c r="F1144" s="273" t="s">
        <v>7</v>
      </c>
      <c r="G1144" s="273" t="s">
        <v>11</v>
      </c>
      <c r="H1144" s="273" t="s">
        <v>11</v>
      </c>
    </row>
    <row r="1145" spans="1:8" x14ac:dyDescent="0.25">
      <c r="A1145" t="s">
        <v>28</v>
      </c>
      <c r="B1145" t="s">
        <v>109</v>
      </c>
      <c r="C1145" t="s">
        <v>1696</v>
      </c>
      <c r="D1145">
        <v>2</v>
      </c>
      <c r="E1145" s="273">
        <v>4</v>
      </c>
      <c r="F1145" s="273" t="s">
        <v>7</v>
      </c>
      <c r="G1145" s="273" t="s">
        <v>11</v>
      </c>
      <c r="H1145" s="273" t="s">
        <v>11</v>
      </c>
    </row>
    <row r="1146" spans="1:8" x14ac:dyDescent="0.25">
      <c r="A1146" t="s">
        <v>28</v>
      </c>
      <c r="B1146" t="s">
        <v>109</v>
      </c>
      <c r="C1146" t="s">
        <v>1863</v>
      </c>
      <c r="D1146">
        <v>2</v>
      </c>
      <c r="E1146" s="273">
        <v>4</v>
      </c>
      <c r="F1146" s="273" t="s">
        <v>7</v>
      </c>
      <c r="G1146" s="273" t="s">
        <v>11</v>
      </c>
      <c r="H1146" s="273" t="s">
        <v>11</v>
      </c>
    </row>
    <row r="1147" spans="1:8" x14ac:dyDescent="0.25">
      <c r="A1147" t="s">
        <v>28</v>
      </c>
      <c r="B1147" t="s">
        <v>109</v>
      </c>
      <c r="C1147" t="s">
        <v>1655</v>
      </c>
      <c r="D1147">
        <v>1</v>
      </c>
      <c r="E1147" s="273">
        <v>4</v>
      </c>
      <c r="F1147" s="273" t="s">
        <v>7</v>
      </c>
      <c r="G1147" s="273" t="s">
        <v>11</v>
      </c>
      <c r="H1147" s="273" t="s">
        <v>11</v>
      </c>
    </row>
    <row r="1148" spans="1:8" x14ac:dyDescent="0.25">
      <c r="A1148" t="s">
        <v>29</v>
      </c>
      <c r="B1148" t="s">
        <v>116</v>
      </c>
      <c r="C1148" t="s">
        <v>1864</v>
      </c>
      <c r="D1148">
        <v>3</v>
      </c>
      <c r="E1148" s="273">
        <v>2</v>
      </c>
      <c r="F1148" s="273" t="s">
        <v>7</v>
      </c>
      <c r="G1148" s="273" t="s">
        <v>115</v>
      </c>
      <c r="H1148" s="273" t="s">
        <v>11</v>
      </c>
    </row>
    <row r="1149" spans="1:8" x14ac:dyDescent="0.25">
      <c r="A1149" t="s">
        <v>29</v>
      </c>
      <c r="B1149" t="s">
        <v>116</v>
      </c>
      <c r="C1149" t="s">
        <v>1656</v>
      </c>
      <c r="D1149">
        <v>3</v>
      </c>
      <c r="E1149" s="273">
        <v>2</v>
      </c>
      <c r="F1149" s="273" t="s">
        <v>7</v>
      </c>
      <c r="G1149" s="273" t="s">
        <v>115</v>
      </c>
      <c r="H1149" s="273" t="s">
        <v>11</v>
      </c>
    </row>
    <row r="1150" spans="1:8" x14ac:dyDescent="0.25">
      <c r="A1150" t="s">
        <v>29</v>
      </c>
      <c r="B1150" t="s">
        <v>116</v>
      </c>
      <c r="C1150" t="s">
        <v>1865</v>
      </c>
      <c r="D1150">
        <v>3</v>
      </c>
      <c r="E1150" s="273">
        <v>2</v>
      </c>
      <c r="F1150" s="273" t="s">
        <v>7</v>
      </c>
      <c r="G1150" s="273" t="s">
        <v>115</v>
      </c>
      <c r="H1150" s="273" t="s">
        <v>11</v>
      </c>
    </row>
    <row r="1151" spans="1:8" x14ac:dyDescent="0.25">
      <c r="A1151" t="s">
        <v>29</v>
      </c>
      <c r="B1151" t="s">
        <v>116</v>
      </c>
      <c r="C1151" t="s">
        <v>1866</v>
      </c>
      <c r="D1151">
        <v>3</v>
      </c>
      <c r="E1151" s="273">
        <v>2</v>
      </c>
      <c r="F1151" s="273" t="s">
        <v>7</v>
      </c>
      <c r="G1151" s="273" t="s">
        <v>115</v>
      </c>
      <c r="H1151" s="273" t="s">
        <v>11</v>
      </c>
    </row>
    <row r="1152" spans="1:8" x14ac:dyDescent="0.25">
      <c r="A1152" t="s">
        <v>29</v>
      </c>
      <c r="B1152" t="s">
        <v>116</v>
      </c>
      <c r="C1152" t="s">
        <v>1867</v>
      </c>
      <c r="D1152">
        <v>3</v>
      </c>
      <c r="E1152" s="273">
        <v>2</v>
      </c>
      <c r="F1152" s="273" t="s">
        <v>7</v>
      </c>
      <c r="G1152" s="273" t="s">
        <v>115</v>
      </c>
      <c r="H1152" s="273" t="s">
        <v>11</v>
      </c>
    </row>
    <row r="1153" spans="1:8" x14ac:dyDescent="0.25">
      <c r="A1153" t="s">
        <v>29</v>
      </c>
      <c r="B1153" t="s">
        <v>116</v>
      </c>
      <c r="C1153" t="s">
        <v>1868</v>
      </c>
      <c r="D1153">
        <v>3</v>
      </c>
      <c r="E1153" s="273">
        <v>2</v>
      </c>
      <c r="F1153" s="273" t="s">
        <v>7</v>
      </c>
      <c r="G1153" s="273" t="s">
        <v>115</v>
      </c>
      <c r="H1153" s="273" t="s">
        <v>11</v>
      </c>
    </row>
    <row r="1154" spans="1:8" x14ac:dyDescent="0.25">
      <c r="A1154" t="s">
        <v>29</v>
      </c>
      <c r="B1154" t="s">
        <v>116</v>
      </c>
      <c r="C1154" t="s">
        <v>1869</v>
      </c>
      <c r="D1154">
        <v>3</v>
      </c>
      <c r="E1154" s="273">
        <v>3</v>
      </c>
      <c r="F1154" s="273" t="s">
        <v>7</v>
      </c>
      <c r="G1154" s="273" t="s">
        <v>115</v>
      </c>
      <c r="H1154" s="273" t="s">
        <v>11</v>
      </c>
    </row>
    <row r="1155" spans="1:8" x14ac:dyDescent="0.25">
      <c r="A1155" t="s">
        <v>29</v>
      </c>
      <c r="B1155" t="s">
        <v>116</v>
      </c>
      <c r="C1155" t="s">
        <v>1870</v>
      </c>
      <c r="D1155">
        <v>3</v>
      </c>
      <c r="E1155" s="273">
        <v>3</v>
      </c>
      <c r="F1155" s="273" t="s">
        <v>7</v>
      </c>
      <c r="G1155" s="273" t="s">
        <v>115</v>
      </c>
      <c r="H1155" s="273" t="s">
        <v>11</v>
      </c>
    </row>
    <row r="1156" spans="1:8" x14ac:dyDescent="0.25">
      <c r="A1156" t="s">
        <v>29</v>
      </c>
      <c r="B1156" t="s">
        <v>116</v>
      </c>
      <c r="C1156" t="s">
        <v>1871</v>
      </c>
      <c r="D1156">
        <v>3</v>
      </c>
      <c r="E1156" s="273">
        <v>3</v>
      </c>
      <c r="F1156" s="273" t="s">
        <v>7</v>
      </c>
      <c r="G1156" s="273" t="s">
        <v>115</v>
      </c>
      <c r="H1156" s="273" t="s">
        <v>11</v>
      </c>
    </row>
    <row r="1157" spans="1:8" x14ac:dyDescent="0.25">
      <c r="A1157" t="s">
        <v>29</v>
      </c>
      <c r="B1157" t="s">
        <v>116</v>
      </c>
      <c r="C1157" t="s">
        <v>1872</v>
      </c>
      <c r="D1157">
        <v>3</v>
      </c>
      <c r="E1157" s="273">
        <v>2</v>
      </c>
      <c r="F1157" s="273" t="s">
        <v>7</v>
      </c>
      <c r="G1157" s="273" t="s">
        <v>115</v>
      </c>
      <c r="H1157" s="273" t="s">
        <v>11</v>
      </c>
    </row>
    <row r="1158" spans="1:8" x14ac:dyDescent="0.25">
      <c r="A1158" t="s">
        <v>29</v>
      </c>
      <c r="B1158" t="s">
        <v>116</v>
      </c>
      <c r="C1158" t="s">
        <v>1819</v>
      </c>
      <c r="D1158">
        <v>3</v>
      </c>
      <c r="E1158" s="273">
        <v>3</v>
      </c>
      <c r="F1158" s="273" t="s">
        <v>7</v>
      </c>
      <c r="G1158" s="273" t="s">
        <v>115</v>
      </c>
      <c r="H1158" s="273" t="s">
        <v>11</v>
      </c>
    </row>
    <row r="1159" spans="1:8" x14ac:dyDescent="0.25">
      <c r="A1159" t="s">
        <v>29</v>
      </c>
      <c r="B1159" t="s">
        <v>116</v>
      </c>
      <c r="C1159" t="s">
        <v>1873</v>
      </c>
      <c r="D1159">
        <v>3</v>
      </c>
      <c r="E1159" s="273">
        <v>2</v>
      </c>
      <c r="F1159" s="273" t="s">
        <v>7</v>
      </c>
      <c r="G1159" s="273" t="s">
        <v>115</v>
      </c>
      <c r="H1159" s="273" t="s">
        <v>11</v>
      </c>
    </row>
    <row r="1160" spans="1:8" x14ac:dyDescent="0.25">
      <c r="A1160" t="s">
        <v>29</v>
      </c>
      <c r="B1160" t="s">
        <v>116</v>
      </c>
      <c r="C1160" t="s">
        <v>1874</v>
      </c>
      <c r="D1160">
        <v>3</v>
      </c>
      <c r="E1160" s="273">
        <v>3</v>
      </c>
      <c r="F1160" s="273" t="s">
        <v>7</v>
      </c>
      <c r="G1160" s="273" t="s">
        <v>115</v>
      </c>
      <c r="H1160" s="273" t="s">
        <v>11</v>
      </c>
    </row>
    <row r="1161" spans="1:8" x14ac:dyDescent="0.25">
      <c r="A1161" t="s">
        <v>29</v>
      </c>
      <c r="B1161" t="s">
        <v>116</v>
      </c>
      <c r="C1161" t="s">
        <v>1875</v>
      </c>
      <c r="D1161">
        <v>3</v>
      </c>
      <c r="E1161" s="273">
        <v>3</v>
      </c>
      <c r="F1161" s="273" t="s">
        <v>7</v>
      </c>
      <c r="G1161" s="273" t="s">
        <v>115</v>
      </c>
      <c r="H1161" s="273" t="s">
        <v>11</v>
      </c>
    </row>
    <row r="1162" spans="1:8" x14ac:dyDescent="0.25">
      <c r="A1162" t="s">
        <v>29</v>
      </c>
      <c r="B1162" t="s">
        <v>116</v>
      </c>
      <c r="C1162" t="s">
        <v>1876</v>
      </c>
      <c r="D1162">
        <v>3</v>
      </c>
      <c r="E1162" s="273">
        <v>3</v>
      </c>
      <c r="F1162" s="273" t="s">
        <v>7</v>
      </c>
      <c r="G1162" s="273" t="s">
        <v>115</v>
      </c>
      <c r="H1162" s="273" t="s">
        <v>11</v>
      </c>
    </row>
    <row r="1163" spans="1:8" x14ac:dyDescent="0.25">
      <c r="A1163" t="s">
        <v>29</v>
      </c>
      <c r="B1163" t="s">
        <v>116</v>
      </c>
      <c r="C1163" t="s">
        <v>1415</v>
      </c>
      <c r="D1163">
        <v>3</v>
      </c>
      <c r="E1163" s="273">
        <v>3</v>
      </c>
      <c r="F1163" s="273" t="s">
        <v>7</v>
      </c>
      <c r="G1163" s="273" t="s">
        <v>115</v>
      </c>
      <c r="H1163" s="273" t="s">
        <v>11</v>
      </c>
    </row>
    <row r="1164" spans="1:8" x14ac:dyDescent="0.25">
      <c r="A1164" t="s">
        <v>29</v>
      </c>
      <c r="B1164" t="s">
        <v>116</v>
      </c>
      <c r="C1164" t="s">
        <v>1877</v>
      </c>
      <c r="D1164">
        <v>3</v>
      </c>
      <c r="E1164" s="273">
        <v>2</v>
      </c>
      <c r="F1164" s="273" t="s">
        <v>7</v>
      </c>
      <c r="G1164" s="273" t="s">
        <v>115</v>
      </c>
      <c r="H1164" s="273" t="s">
        <v>11</v>
      </c>
    </row>
    <row r="1165" spans="1:8" x14ac:dyDescent="0.25">
      <c r="A1165" t="s">
        <v>29</v>
      </c>
      <c r="B1165" t="s">
        <v>116</v>
      </c>
      <c r="C1165" t="s">
        <v>1878</v>
      </c>
      <c r="D1165">
        <v>3</v>
      </c>
      <c r="E1165" s="273">
        <v>3</v>
      </c>
      <c r="F1165" s="273" t="s">
        <v>7</v>
      </c>
      <c r="G1165" s="273" t="s">
        <v>11</v>
      </c>
      <c r="H1165" s="273" t="s">
        <v>11</v>
      </c>
    </row>
    <row r="1166" spans="1:8" x14ac:dyDescent="0.25">
      <c r="A1166" t="s">
        <v>29</v>
      </c>
      <c r="B1166" t="s">
        <v>116</v>
      </c>
      <c r="C1166" t="s">
        <v>1879</v>
      </c>
      <c r="D1166">
        <v>3</v>
      </c>
      <c r="E1166" s="273">
        <v>2</v>
      </c>
      <c r="F1166" s="273" t="s">
        <v>7</v>
      </c>
      <c r="G1166" s="273" t="s">
        <v>115</v>
      </c>
      <c r="H1166" s="273" t="s">
        <v>11</v>
      </c>
    </row>
    <row r="1167" spans="1:8" x14ac:dyDescent="0.25">
      <c r="A1167" t="s">
        <v>29</v>
      </c>
      <c r="B1167" t="s">
        <v>116</v>
      </c>
      <c r="C1167" t="s">
        <v>1880</v>
      </c>
      <c r="D1167">
        <v>3</v>
      </c>
      <c r="E1167" s="273">
        <v>2</v>
      </c>
      <c r="F1167" s="273" t="s">
        <v>7</v>
      </c>
      <c r="G1167" s="273" t="s">
        <v>115</v>
      </c>
      <c r="H1167" s="273" t="s">
        <v>11</v>
      </c>
    </row>
    <row r="1168" spans="1:8" x14ac:dyDescent="0.25">
      <c r="A1168" t="s">
        <v>29</v>
      </c>
      <c r="B1168" t="s">
        <v>116</v>
      </c>
      <c r="C1168" t="s">
        <v>1143</v>
      </c>
      <c r="D1168">
        <v>3</v>
      </c>
      <c r="E1168" s="273">
        <v>3</v>
      </c>
      <c r="F1168" s="273" t="s">
        <v>7</v>
      </c>
      <c r="G1168" s="273" t="s">
        <v>115</v>
      </c>
      <c r="H1168" s="273" t="s">
        <v>11</v>
      </c>
    </row>
    <row r="1169" spans="1:8" x14ac:dyDescent="0.25">
      <c r="A1169" t="s">
        <v>29</v>
      </c>
      <c r="B1169" t="s">
        <v>116</v>
      </c>
      <c r="C1169" t="s">
        <v>1247</v>
      </c>
      <c r="D1169">
        <v>3</v>
      </c>
      <c r="E1169" s="273">
        <v>3</v>
      </c>
      <c r="F1169" s="273" t="s">
        <v>7</v>
      </c>
      <c r="G1169" s="273" t="s">
        <v>115</v>
      </c>
      <c r="H1169" s="273" t="s">
        <v>11</v>
      </c>
    </row>
    <row r="1170" spans="1:8" x14ac:dyDescent="0.25">
      <c r="A1170" t="s">
        <v>29</v>
      </c>
      <c r="B1170" t="s">
        <v>116</v>
      </c>
      <c r="C1170" t="s">
        <v>1881</v>
      </c>
      <c r="D1170">
        <v>3</v>
      </c>
      <c r="E1170" s="273">
        <v>2</v>
      </c>
      <c r="F1170" s="273" t="s">
        <v>7</v>
      </c>
      <c r="G1170" s="273" t="s">
        <v>115</v>
      </c>
      <c r="H1170" s="273" t="s">
        <v>11</v>
      </c>
    </row>
    <row r="1171" spans="1:8" x14ac:dyDescent="0.25">
      <c r="A1171" t="s">
        <v>29</v>
      </c>
      <c r="B1171" t="s">
        <v>116</v>
      </c>
      <c r="C1171" t="s">
        <v>1882</v>
      </c>
      <c r="D1171">
        <v>3</v>
      </c>
      <c r="E1171" s="273">
        <v>2</v>
      </c>
      <c r="F1171" s="273" t="s">
        <v>7</v>
      </c>
      <c r="G1171" s="273" t="s">
        <v>115</v>
      </c>
      <c r="H1171" s="273" t="s">
        <v>11</v>
      </c>
    </row>
    <row r="1172" spans="1:8" x14ac:dyDescent="0.25">
      <c r="A1172" t="s">
        <v>29</v>
      </c>
      <c r="B1172" t="s">
        <v>116</v>
      </c>
      <c r="C1172" t="s">
        <v>1149</v>
      </c>
      <c r="D1172">
        <v>3</v>
      </c>
      <c r="E1172" s="273">
        <v>3</v>
      </c>
      <c r="F1172" s="273" t="s">
        <v>7</v>
      </c>
      <c r="G1172" s="273" t="s">
        <v>115</v>
      </c>
      <c r="H1172" s="273" t="s">
        <v>11</v>
      </c>
    </row>
    <row r="1173" spans="1:8" x14ac:dyDescent="0.25">
      <c r="A1173" t="s">
        <v>29</v>
      </c>
      <c r="B1173" t="s">
        <v>116</v>
      </c>
      <c r="C1173" t="s">
        <v>1150</v>
      </c>
      <c r="D1173">
        <v>3</v>
      </c>
      <c r="E1173" s="273">
        <v>2</v>
      </c>
      <c r="F1173" s="273" t="s">
        <v>7</v>
      </c>
      <c r="G1173" s="273" t="s">
        <v>115</v>
      </c>
      <c r="H1173" s="273" t="s">
        <v>11</v>
      </c>
    </row>
    <row r="1174" spans="1:8" x14ac:dyDescent="0.25">
      <c r="A1174" t="s">
        <v>29</v>
      </c>
      <c r="B1174" t="s">
        <v>116</v>
      </c>
      <c r="C1174" t="s">
        <v>1883</v>
      </c>
      <c r="D1174">
        <v>3</v>
      </c>
      <c r="E1174" s="273">
        <v>2</v>
      </c>
      <c r="F1174" s="273" t="s">
        <v>7</v>
      </c>
      <c r="G1174" s="273" t="s">
        <v>115</v>
      </c>
      <c r="H1174" s="273" t="s">
        <v>11</v>
      </c>
    </row>
    <row r="1175" spans="1:8" x14ac:dyDescent="0.25">
      <c r="A1175" t="s">
        <v>29</v>
      </c>
      <c r="B1175" t="s">
        <v>116</v>
      </c>
      <c r="C1175" t="s">
        <v>1628</v>
      </c>
      <c r="D1175">
        <v>3</v>
      </c>
      <c r="E1175" s="273">
        <v>3</v>
      </c>
      <c r="F1175" s="273" t="s">
        <v>7</v>
      </c>
      <c r="G1175" s="273" t="s">
        <v>115</v>
      </c>
      <c r="H1175" s="273" t="s">
        <v>11</v>
      </c>
    </row>
    <row r="1176" spans="1:8" x14ac:dyDescent="0.25">
      <c r="A1176" t="s">
        <v>29</v>
      </c>
      <c r="B1176" t="s">
        <v>116</v>
      </c>
      <c r="C1176" t="s">
        <v>1254</v>
      </c>
      <c r="D1176">
        <v>3</v>
      </c>
      <c r="E1176" s="273">
        <v>2</v>
      </c>
      <c r="F1176" s="273" t="s">
        <v>7</v>
      </c>
      <c r="G1176" s="273" t="s">
        <v>115</v>
      </c>
      <c r="H1176" s="273" t="s">
        <v>11</v>
      </c>
    </row>
    <row r="1177" spans="1:8" x14ac:dyDescent="0.25">
      <c r="A1177" t="s">
        <v>29</v>
      </c>
      <c r="B1177" t="s">
        <v>116</v>
      </c>
      <c r="C1177" t="s">
        <v>1884</v>
      </c>
      <c r="D1177">
        <v>3</v>
      </c>
      <c r="E1177" s="273">
        <v>2</v>
      </c>
      <c r="F1177" s="273" t="s">
        <v>7</v>
      </c>
      <c r="G1177" s="273" t="s">
        <v>115</v>
      </c>
      <c r="H1177" s="273" t="s">
        <v>11</v>
      </c>
    </row>
    <row r="1178" spans="1:8" x14ac:dyDescent="0.25">
      <c r="A1178" t="s">
        <v>29</v>
      </c>
      <c r="B1178" t="s">
        <v>116</v>
      </c>
      <c r="C1178" t="s">
        <v>1255</v>
      </c>
      <c r="D1178">
        <v>3</v>
      </c>
      <c r="E1178" s="273">
        <v>3</v>
      </c>
      <c r="F1178" s="273" t="s">
        <v>7</v>
      </c>
      <c r="G1178" s="273" t="s">
        <v>115</v>
      </c>
      <c r="H1178" s="273" t="s">
        <v>11</v>
      </c>
    </row>
    <row r="1179" spans="1:8" x14ac:dyDescent="0.25">
      <c r="A1179" t="s">
        <v>29</v>
      </c>
      <c r="B1179" t="s">
        <v>116</v>
      </c>
      <c r="C1179" t="s">
        <v>1629</v>
      </c>
      <c r="D1179">
        <v>3</v>
      </c>
      <c r="E1179" s="273">
        <v>2</v>
      </c>
      <c r="F1179" s="273" t="s">
        <v>7</v>
      </c>
      <c r="G1179" s="273" t="s">
        <v>115</v>
      </c>
      <c r="H1179" s="273" t="s">
        <v>11</v>
      </c>
    </row>
    <row r="1180" spans="1:8" x14ac:dyDescent="0.25">
      <c r="A1180" t="s">
        <v>29</v>
      </c>
      <c r="B1180" t="s">
        <v>116</v>
      </c>
      <c r="C1180" t="s">
        <v>1158</v>
      </c>
      <c r="D1180">
        <v>3</v>
      </c>
      <c r="E1180" s="273">
        <v>3</v>
      </c>
      <c r="F1180" s="273" t="s">
        <v>7</v>
      </c>
      <c r="G1180" s="273" t="s">
        <v>115</v>
      </c>
      <c r="H1180" s="273" t="s">
        <v>11</v>
      </c>
    </row>
    <row r="1181" spans="1:8" x14ac:dyDescent="0.25">
      <c r="A1181" t="s">
        <v>29</v>
      </c>
      <c r="B1181" t="s">
        <v>116</v>
      </c>
      <c r="C1181" t="s">
        <v>1885</v>
      </c>
      <c r="D1181">
        <v>3</v>
      </c>
      <c r="E1181" s="273">
        <v>3</v>
      </c>
      <c r="F1181" s="273" t="s">
        <v>7</v>
      </c>
      <c r="G1181" s="273" t="s">
        <v>11</v>
      </c>
      <c r="H1181" s="273" t="s">
        <v>11</v>
      </c>
    </row>
    <row r="1182" spans="1:8" x14ac:dyDescent="0.25">
      <c r="A1182" t="s">
        <v>29</v>
      </c>
      <c r="B1182" t="s">
        <v>116</v>
      </c>
      <c r="C1182" t="s">
        <v>1886</v>
      </c>
      <c r="D1182">
        <v>3</v>
      </c>
      <c r="E1182" s="273">
        <v>3</v>
      </c>
      <c r="F1182" s="273" t="s">
        <v>7</v>
      </c>
      <c r="G1182" s="273" t="s">
        <v>115</v>
      </c>
      <c r="H1182" s="273" t="s">
        <v>11</v>
      </c>
    </row>
    <row r="1183" spans="1:8" x14ac:dyDescent="0.25">
      <c r="A1183" t="s">
        <v>29</v>
      </c>
      <c r="B1183" t="s">
        <v>116</v>
      </c>
      <c r="C1183" t="s">
        <v>1887</v>
      </c>
      <c r="D1183">
        <v>3</v>
      </c>
      <c r="E1183" s="273">
        <v>2</v>
      </c>
      <c r="F1183" s="273" t="s">
        <v>7</v>
      </c>
      <c r="G1183" s="273" t="s">
        <v>115</v>
      </c>
      <c r="H1183" s="273" t="s">
        <v>11</v>
      </c>
    </row>
    <row r="1184" spans="1:8" x14ac:dyDescent="0.25">
      <c r="A1184" t="s">
        <v>29</v>
      </c>
      <c r="B1184" t="s">
        <v>116</v>
      </c>
      <c r="C1184" t="s">
        <v>1263</v>
      </c>
      <c r="D1184">
        <v>3</v>
      </c>
      <c r="E1184" s="273">
        <v>3</v>
      </c>
      <c r="F1184" s="273" t="s">
        <v>7</v>
      </c>
      <c r="G1184" s="273" t="s">
        <v>115</v>
      </c>
      <c r="H1184" s="273" t="s">
        <v>11</v>
      </c>
    </row>
    <row r="1185" spans="1:8" x14ac:dyDescent="0.25">
      <c r="A1185" t="s">
        <v>29</v>
      </c>
      <c r="B1185" t="s">
        <v>116</v>
      </c>
      <c r="C1185" t="s">
        <v>1888</v>
      </c>
      <c r="D1185">
        <v>3</v>
      </c>
      <c r="E1185" s="273">
        <v>2</v>
      </c>
      <c r="F1185" s="273" t="s">
        <v>7</v>
      </c>
      <c r="G1185" s="273" t="s">
        <v>115</v>
      </c>
      <c r="H1185" s="273" t="s">
        <v>11</v>
      </c>
    </row>
    <row r="1186" spans="1:8" x14ac:dyDescent="0.25">
      <c r="A1186" t="s">
        <v>29</v>
      </c>
      <c r="B1186" t="s">
        <v>116</v>
      </c>
      <c r="C1186" t="s">
        <v>1889</v>
      </c>
      <c r="D1186">
        <v>3</v>
      </c>
      <c r="E1186" s="273">
        <v>2</v>
      </c>
      <c r="F1186" s="273" t="s">
        <v>7</v>
      </c>
      <c r="G1186" s="273" t="s">
        <v>115</v>
      </c>
      <c r="H1186" s="273" t="s">
        <v>11</v>
      </c>
    </row>
    <row r="1187" spans="1:8" x14ac:dyDescent="0.25">
      <c r="A1187" t="s">
        <v>29</v>
      </c>
      <c r="B1187" t="s">
        <v>116</v>
      </c>
      <c r="C1187" t="s">
        <v>1890</v>
      </c>
      <c r="D1187">
        <v>3</v>
      </c>
      <c r="E1187" s="273">
        <v>2</v>
      </c>
      <c r="F1187" s="273" t="s">
        <v>7</v>
      </c>
      <c r="G1187" s="273" t="s">
        <v>115</v>
      </c>
      <c r="H1187" s="273" t="s">
        <v>11</v>
      </c>
    </row>
    <row r="1188" spans="1:8" x14ac:dyDescent="0.25">
      <c r="A1188" t="s">
        <v>29</v>
      </c>
      <c r="B1188" t="s">
        <v>116</v>
      </c>
      <c r="C1188" t="s">
        <v>1891</v>
      </c>
      <c r="D1188">
        <v>3</v>
      </c>
      <c r="E1188" s="273">
        <v>3</v>
      </c>
      <c r="F1188" s="273" t="s">
        <v>7</v>
      </c>
      <c r="G1188" s="273" t="s">
        <v>115</v>
      </c>
      <c r="H1188" s="273" t="s">
        <v>11</v>
      </c>
    </row>
    <row r="1189" spans="1:8" x14ac:dyDescent="0.25">
      <c r="A1189" t="s">
        <v>29</v>
      </c>
      <c r="B1189" t="s">
        <v>116</v>
      </c>
      <c r="C1189" t="s">
        <v>1642</v>
      </c>
      <c r="D1189">
        <v>3</v>
      </c>
      <c r="E1189" s="273">
        <v>3</v>
      </c>
      <c r="F1189" s="273" t="s">
        <v>7</v>
      </c>
      <c r="G1189" s="273" t="s">
        <v>115</v>
      </c>
      <c r="H1189" s="273" t="s">
        <v>11</v>
      </c>
    </row>
    <row r="1190" spans="1:8" x14ac:dyDescent="0.25">
      <c r="A1190" t="s">
        <v>29</v>
      </c>
      <c r="B1190" t="s">
        <v>116</v>
      </c>
      <c r="C1190" t="s">
        <v>1892</v>
      </c>
      <c r="D1190">
        <v>3</v>
      </c>
      <c r="E1190" s="273">
        <v>3</v>
      </c>
      <c r="F1190" s="273" t="s">
        <v>7</v>
      </c>
      <c r="G1190" s="273" t="s">
        <v>115</v>
      </c>
      <c r="H1190" s="273" t="s">
        <v>11</v>
      </c>
    </row>
    <row r="1191" spans="1:8" x14ac:dyDescent="0.25">
      <c r="A1191" t="s">
        <v>29</v>
      </c>
      <c r="B1191" t="s">
        <v>116</v>
      </c>
      <c r="C1191" t="s">
        <v>1893</v>
      </c>
      <c r="D1191">
        <v>3</v>
      </c>
      <c r="E1191" s="273">
        <v>2</v>
      </c>
      <c r="F1191" s="273" t="s">
        <v>7</v>
      </c>
      <c r="G1191" s="273" t="s">
        <v>115</v>
      </c>
      <c r="H1191" s="273" t="s">
        <v>11</v>
      </c>
    </row>
    <row r="1192" spans="1:8" x14ac:dyDescent="0.25">
      <c r="A1192" t="s">
        <v>29</v>
      </c>
      <c r="B1192" t="s">
        <v>116</v>
      </c>
      <c r="C1192" t="s">
        <v>1894</v>
      </c>
      <c r="D1192">
        <v>3</v>
      </c>
      <c r="E1192" s="273">
        <v>2</v>
      </c>
      <c r="F1192" s="273" t="s">
        <v>7</v>
      </c>
      <c r="G1192" s="273" t="s">
        <v>115</v>
      </c>
      <c r="H1192" s="273" t="s">
        <v>11</v>
      </c>
    </row>
    <row r="1193" spans="1:8" x14ac:dyDescent="0.25">
      <c r="A1193" t="s">
        <v>29</v>
      </c>
      <c r="B1193" t="s">
        <v>116</v>
      </c>
      <c r="C1193" t="s">
        <v>1895</v>
      </c>
      <c r="D1193">
        <v>3</v>
      </c>
      <c r="E1193" s="273">
        <v>2</v>
      </c>
      <c r="F1193" s="273" t="s">
        <v>7</v>
      </c>
      <c r="G1193" s="273" t="s">
        <v>115</v>
      </c>
      <c r="H1193" s="273" t="s">
        <v>11</v>
      </c>
    </row>
    <row r="1194" spans="1:8" x14ac:dyDescent="0.25">
      <c r="A1194" t="s">
        <v>29</v>
      </c>
      <c r="B1194" t="s">
        <v>116</v>
      </c>
      <c r="C1194" t="s">
        <v>1896</v>
      </c>
      <c r="D1194">
        <v>3</v>
      </c>
      <c r="E1194" s="273">
        <v>2</v>
      </c>
      <c r="F1194" s="273" t="s">
        <v>7</v>
      </c>
      <c r="G1194" s="273" t="s">
        <v>115</v>
      </c>
      <c r="H1194" s="273" t="s">
        <v>11</v>
      </c>
    </row>
    <row r="1195" spans="1:8" x14ac:dyDescent="0.25">
      <c r="A1195" t="s">
        <v>29</v>
      </c>
      <c r="B1195" t="s">
        <v>116</v>
      </c>
      <c r="C1195" t="s">
        <v>1897</v>
      </c>
      <c r="D1195">
        <v>3</v>
      </c>
      <c r="E1195" s="273">
        <v>2</v>
      </c>
      <c r="F1195" s="273" t="s">
        <v>7</v>
      </c>
      <c r="G1195" s="273" t="s">
        <v>115</v>
      </c>
      <c r="H1195" s="273" t="s">
        <v>11</v>
      </c>
    </row>
    <row r="1196" spans="1:8" x14ac:dyDescent="0.25">
      <c r="A1196" t="s">
        <v>29</v>
      </c>
      <c r="B1196" t="s">
        <v>116</v>
      </c>
      <c r="C1196" t="s">
        <v>1898</v>
      </c>
      <c r="D1196">
        <v>3</v>
      </c>
      <c r="E1196" s="273">
        <v>2</v>
      </c>
      <c r="F1196" s="273" t="s">
        <v>7</v>
      </c>
      <c r="G1196" s="273" t="s">
        <v>115</v>
      </c>
      <c r="H1196" s="273" t="s">
        <v>11</v>
      </c>
    </row>
    <row r="1197" spans="1:8" x14ac:dyDescent="0.25">
      <c r="A1197" t="s">
        <v>29</v>
      </c>
      <c r="B1197" t="s">
        <v>116</v>
      </c>
      <c r="C1197" t="s">
        <v>1899</v>
      </c>
      <c r="D1197">
        <v>3</v>
      </c>
      <c r="E1197" s="273">
        <v>2</v>
      </c>
      <c r="F1197" s="273" t="s">
        <v>7</v>
      </c>
      <c r="G1197" s="273" t="s">
        <v>115</v>
      </c>
      <c r="H1197" s="273" t="s">
        <v>11</v>
      </c>
    </row>
    <row r="1198" spans="1:8" x14ac:dyDescent="0.25">
      <c r="A1198" t="s">
        <v>29</v>
      </c>
      <c r="B1198" t="s">
        <v>116</v>
      </c>
      <c r="C1198" t="s">
        <v>1900</v>
      </c>
      <c r="D1198">
        <v>3</v>
      </c>
      <c r="E1198" s="273">
        <v>2</v>
      </c>
      <c r="F1198" s="273" t="s">
        <v>7</v>
      </c>
      <c r="G1198" s="273" t="s">
        <v>115</v>
      </c>
      <c r="H1198" s="273" t="s">
        <v>11</v>
      </c>
    </row>
    <row r="1199" spans="1:8" x14ac:dyDescent="0.25">
      <c r="A1199" t="s">
        <v>29</v>
      </c>
      <c r="B1199" t="s">
        <v>116</v>
      </c>
      <c r="C1199" t="s">
        <v>1901</v>
      </c>
      <c r="D1199">
        <v>3</v>
      </c>
      <c r="E1199" s="273">
        <v>2</v>
      </c>
      <c r="F1199" s="273" t="s">
        <v>7</v>
      </c>
      <c r="G1199" s="273" t="s">
        <v>115</v>
      </c>
      <c r="H1199" s="273" t="s">
        <v>11</v>
      </c>
    </row>
    <row r="1200" spans="1:8" x14ac:dyDescent="0.25">
      <c r="A1200" t="s">
        <v>29</v>
      </c>
      <c r="B1200" t="s">
        <v>116</v>
      </c>
      <c r="C1200" t="s">
        <v>1902</v>
      </c>
      <c r="D1200">
        <v>3</v>
      </c>
      <c r="E1200" s="273">
        <v>2</v>
      </c>
      <c r="F1200" s="273" t="s">
        <v>7</v>
      </c>
      <c r="G1200" s="273" t="s">
        <v>115</v>
      </c>
      <c r="H1200" s="273" t="s">
        <v>11</v>
      </c>
    </row>
    <row r="1201" spans="1:8" x14ac:dyDescent="0.25">
      <c r="A1201" t="s">
        <v>29</v>
      </c>
      <c r="B1201" t="s">
        <v>116</v>
      </c>
      <c r="C1201" t="s">
        <v>1903</v>
      </c>
      <c r="D1201">
        <v>3</v>
      </c>
      <c r="E1201" s="273">
        <v>3</v>
      </c>
      <c r="F1201" s="273" t="s">
        <v>7</v>
      </c>
      <c r="G1201" s="273" t="s">
        <v>115</v>
      </c>
      <c r="H1201" s="273" t="s">
        <v>11</v>
      </c>
    </row>
    <row r="1202" spans="1:8" x14ac:dyDescent="0.25">
      <c r="A1202" t="s">
        <v>29</v>
      </c>
      <c r="B1202" t="s">
        <v>116</v>
      </c>
      <c r="C1202" t="s">
        <v>1904</v>
      </c>
      <c r="D1202">
        <v>3</v>
      </c>
      <c r="E1202" s="273">
        <v>2</v>
      </c>
      <c r="F1202" s="273" t="s">
        <v>7</v>
      </c>
      <c r="G1202" s="273" t="s">
        <v>115</v>
      </c>
      <c r="H1202" s="273" t="s">
        <v>11</v>
      </c>
    </row>
    <row r="1203" spans="1:8" x14ac:dyDescent="0.25">
      <c r="A1203" t="s">
        <v>29</v>
      </c>
      <c r="B1203" t="s">
        <v>116</v>
      </c>
      <c r="C1203" t="s">
        <v>1278</v>
      </c>
      <c r="D1203">
        <v>3</v>
      </c>
      <c r="E1203" s="273">
        <v>3</v>
      </c>
      <c r="F1203" s="273" t="s">
        <v>7</v>
      </c>
      <c r="G1203" s="273" t="s">
        <v>115</v>
      </c>
      <c r="H1203" s="273" t="s">
        <v>11</v>
      </c>
    </row>
    <row r="1204" spans="1:8" x14ac:dyDescent="0.25">
      <c r="A1204" t="s">
        <v>29</v>
      </c>
      <c r="B1204" t="s">
        <v>116</v>
      </c>
      <c r="C1204" t="s">
        <v>1649</v>
      </c>
      <c r="D1204">
        <v>3</v>
      </c>
      <c r="E1204" s="273">
        <v>2</v>
      </c>
      <c r="F1204" s="273" t="s">
        <v>7</v>
      </c>
      <c r="G1204" s="273" t="s">
        <v>115</v>
      </c>
      <c r="H1204" s="273" t="s">
        <v>11</v>
      </c>
    </row>
    <row r="1205" spans="1:8" x14ac:dyDescent="0.25">
      <c r="A1205" t="s">
        <v>29</v>
      </c>
      <c r="B1205" t="s">
        <v>116</v>
      </c>
      <c r="C1205" t="s">
        <v>1905</v>
      </c>
      <c r="D1205">
        <v>3</v>
      </c>
      <c r="E1205" s="273">
        <v>3</v>
      </c>
      <c r="F1205" s="273" t="s">
        <v>7</v>
      </c>
      <c r="G1205" s="273" t="s">
        <v>115</v>
      </c>
      <c r="H1205" s="273" t="s">
        <v>11</v>
      </c>
    </row>
    <row r="1206" spans="1:8" x14ac:dyDescent="0.25">
      <c r="A1206" t="s">
        <v>29</v>
      </c>
      <c r="B1206" t="s">
        <v>116</v>
      </c>
      <c r="C1206" t="s">
        <v>1178</v>
      </c>
      <c r="D1206">
        <v>3</v>
      </c>
      <c r="E1206" s="273">
        <v>2</v>
      </c>
      <c r="F1206" s="273" t="s">
        <v>7</v>
      </c>
      <c r="G1206" s="273" t="s">
        <v>115</v>
      </c>
      <c r="H1206" s="273" t="s">
        <v>11</v>
      </c>
    </row>
    <row r="1207" spans="1:8" x14ac:dyDescent="0.25">
      <c r="A1207" t="s">
        <v>29</v>
      </c>
      <c r="B1207" t="s">
        <v>116</v>
      </c>
      <c r="C1207" t="s">
        <v>1558</v>
      </c>
      <c r="D1207">
        <v>3</v>
      </c>
      <c r="E1207" s="273">
        <v>3</v>
      </c>
      <c r="F1207" s="273" t="s">
        <v>7</v>
      </c>
      <c r="G1207" s="273" t="s">
        <v>115</v>
      </c>
      <c r="H1207" s="273" t="s">
        <v>11</v>
      </c>
    </row>
    <row r="1208" spans="1:8" x14ac:dyDescent="0.25">
      <c r="A1208" t="s">
        <v>29</v>
      </c>
      <c r="B1208" t="s">
        <v>116</v>
      </c>
      <c r="C1208" t="s">
        <v>1906</v>
      </c>
      <c r="D1208">
        <v>3</v>
      </c>
      <c r="E1208" s="273">
        <v>2</v>
      </c>
      <c r="F1208" s="273" t="s">
        <v>7</v>
      </c>
      <c r="G1208" s="273" t="s">
        <v>115</v>
      </c>
      <c r="H1208" s="273" t="s">
        <v>11</v>
      </c>
    </row>
    <row r="1209" spans="1:8" x14ac:dyDescent="0.25">
      <c r="A1209" t="s">
        <v>29</v>
      </c>
      <c r="B1209" t="s">
        <v>116</v>
      </c>
      <c r="C1209" t="s">
        <v>1907</v>
      </c>
      <c r="D1209">
        <v>3</v>
      </c>
      <c r="E1209" s="273">
        <v>3</v>
      </c>
      <c r="F1209" s="273" t="s">
        <v>7</v>
      </c>
      <c r="G1209" s="273" t="s">
        <v>11</v>
      </c>
      <c r="H1209" s="273" t="s">
        <v>11</v>
      </c>
    </row>
    <row r="1210" spans="1:8" x14ac:dyDescent="0.25">
      <c r="A1210" t="s">
        <v>29</v>
      </c>
      <c r="B1210" t="s">
        <v>116</v>
      </c>
      <c r="C1210" t="s">
        <v>1908</v>
      </c>
      <c r="D1210">
        <v>3</v>
      </c>
      <c r="E1210" s="273">
        <v>2</v>
      </c>
      <c r="F1210" s="273" t="s">
        <v>7</v>
      </c>
      <c r="G1210" s="273" t="s">
        <v>115</v>
      </c>
      <c r="H1210" s="273" t="s">
        <v>11</v>
      </c>
    </row>
    <row r="1211" spans="1:8" x14ac:dyDescent="0.25">
      <c r="A1211" t="s">
        <v>29</v>
      </c>
      <c r="B1211" t="s">
        <v>116</v>
      </c>
      <c r="C1211" t="s">
        <v>1909</v>
      </c>
      <c r="D1211">
        <v>3</v>
      </c>
      <c r="E1211" s="273">
        <v>3</v>
      </c>
      <c r="F1211" s="273" t="s">
        <v>7</v>
      </c>
      <c r="G1211" s="273" t="s">
        <v>115</v>
      </c>
      <c r="H1211" s="273" t="s">
        <v>11</v>
      </c>
    </row>
    <row r="1212" spans="1:8" x14ac:dyDescent="0.25">
      <c r="A1212" t="s">
        <v>32</v>
      </c>
      <c r="B1212" t="s">
        <v>54</v>
      </c>
      <c r="C1212" t="s">
        <v>1910</v>
      </c>
      <c r="D1212">
        <v>1</v>
      </c>
      <c r="E1212" s="273">
        <v>6</v>
      </c>
      <c r="F1212" s="273" t="s">
        <v>7</v>
      </c>
      <c r="G1212" s="273" t="s">
        <v>11</v>
      </c>
      <c r="H1212" s="273" t="s">
        <v>11</v>
      </c>
    </row>
    <row r="1213" spans="1:8" x14ac:dyDescent="0.25">
      <c r="A1213" t="s">
        <v>32</v>
      </c>
      <c r="B1213" t="s">
        <v>54</v>
      </c>
      <c r="C1213" t="s">
        <v>1911</v>
      </c>
      <c r="D1213">
        <v>1</v>
      </c>
      <c r="E1213" s="273">
        <v>7</v>
      </c>
      <c r="F1213" s="273" t="s">
        <v>11</v>
      </c>
      <c r="G1213" s="273" t="s">
        <v>11</v>
      </c>
      <c r="H1213" s="273" t="s">
        <v>11</v>
      </c>
    </row>
    <row r="1214" spans="1:8" x14ac:dyDescent="0.25">
      <c r="A1214" t="s">
        <v>32</v>
      </c>
      <c r="B1214" t="s">
        <v>54</v>
      </c>
      <c r="C1214" t="s">
        <v>1611</v>
      </c>
      <c r="D1214">
        <v>1</v>
      </c>
      <c r="E1214" s="273">
        <v>6</v>
      </c>
      <c r="F1214" s="273" t="s">
        <v>7</v>
      </c>
      <c r="G1214" s="273" t="s">
        <v>11</v>
      </c>
      <c r="H1214" s="273" t="s">
        <v>11</v>
      </c>
    </row>
    <row r="1215" spans="1:8" x14ac:dyDescent="0.25">
      <c r="A1215" t="s">
        <v>32</v>
      </c>
      <c r="B1215" t="s">
        <v>54</v>
      </c>
      <c r="C1215" t="s">
        <v>1143</v>
      </c>
      <c r="D1215">
        <v>1</v>
      </c>
      <c r="E1215" s="273">
        <v>6</v>
      </c>
      <c r="F1215" s="273" t="s">
        <v>7</v>
      </c>
      <c r="G1215" s="273" t="s">
        <v>11</v>
      </c>
      <c r="H1215" s="273" t="s">
        <v>11</v>
      </c>
    </row>
    <row r="1216" spans="1:8" x14ac:dyDescent="0.25">
      <c r="A1216" t="s">
        <v>32</v>
      </c>
      <c r="B1216" t="s">
        <v>54</v>
      </c>
      <c r="C1216" t="s">
        <v>1507</v>
      </c>
      <c r="D1216">
        <v>1</v>
      </c>
      <c r="E1216" s="273">
        <v>6</v>
      </c>
      <c r="F1216" s="273" t="s">
        <v>7</v>
      </c>
      <c r="G1216" s="273" t="s">
        <v>11</v>
      </c>
      <c r="H1216" s="273" t="s">
        <v>11</v>
      </c>
    </row>
    <row r="1217" spans="1:8" x14ac:dyDescent="0.25">
      <c r="A1217" t="s">
        <v>32</v>
      </c>
      <c r="B1217" t="s">
        <v>54</v>
      </c>
      <c r="C1217" t="s">
        <v>1912</v>
      </c>
      <c r="D1217">
        <v>1</v>
      </c>
      <c r="E1217" s="273">
        <v>6</v>
      </c>
      <c r="F1217" s="273" t="s">
        <v>7</v>
      </c>
      <c r="G1217" s="273" t="s">
        <v>11</v>
      </c>
      <c r="H1217" s="273" t="s">
        <v>11</v>
      </c>
    </row>
    <row r="1218" spans="1:8" x14ac:dyDescent="0.25">
      <c r="A1218" t="s">
        <v>32</v>
      </c>
      <c r="B1218" t="s">
        <v>54</v>
      </c>
      <c r="C1218" t="s">
        <v>1627</v>
      </c>
      <c r="D1218">
        <v>2</v>
      </c>
      <c r="E1218" s="273">
        <v>6</v>
      </c>
      <c r="F1218" s="273" t="s">
        <v>7</v>
      </c>
      <c r="G1218" s="273" t="s">
        <v>11</v>
      </c>
      <c r="H1218" s="273" t="s">
        <v>11</v>
      </c>
    </row>
    <row r="1219" spans="1:8" x14ac:dyDescent="0.25">
      <c r="A1219" t="s">
        <v>32</v>
      </c>
      <c r="B1219" t="s">
        <v>54</v>
      </c>
      <c r="C1219" t="s">
        <v>1255</v>
      </c>
      <c r="D1219">
        <v>1</v>
      </c>
      <c r="E1219" s="273">
        <v>6</v>
      </c>
      <c r="F1219" s="273" t="s">
        <v>7</v>
      </c>
      <c r="G1219" s="273" t="s">
        <v>11</v>
      </c>
      <c r="H1219" s="273" t="s">
        <v>11</v>
      </c>
    </row>
    <row r="1220" spans="1:8" x14ac:dyDescent="0.25">
      <c r="A1220" t="s">
        <v>32</v>
      </c>
      <c r="B1220" t="s">
        <v>54</v>
      </c>
      <c r="C1220" t="s">
        <v>1913</v>
      </c>
      <c r="D1220">
        <v>1</v>
      </c>
      <c r="E1220" s="273">
        <v>6</v>
      </c>
      <c r="F1220" s="273" t="s">
        <v>7</v>
      </c>
      <c r="G1220" s="273" t="s">
        <v>11</v>
      </c>
      <c r="H1220" s="273" t="s">
        <v>11</v>
      </c>
    </row>
    <row r="1221" spans="1:8" x14ac:dyDescent="0.25">
      <c r="A1221" t="s">
        <v>32</v>
      </c>
      <c r="B1221" t="s">
        <v>54</v>
      </c>
      <c r="C1221" t="s">
        <v>1914</v>
      </c>
      <c r="D1221">
        <v>1</v>
      </c>
      <c r="E1221" s="273">
        <v>6</v>
      </c>
      <c r="F1221" s="273" t="s">
        <v>7</v>
      </c>
      <c r="G1221" s="273" t="s">
        <v>11</v>
      </c>
      <c r="H1221" s="273" t="s">
        <v>11</v>
      </c>
    </row>
    <row r="1222" spans="1:8" x14ac:dyDescent="0.25">
      <c r="A1222" t="s">
        <v>32</v>
      </c>
      <c r="B1222" t="s">
        <v>54</v>
      </c>
      <c r="C1222" t="s">
        <v>1915</v>
      </c>
      <c r="D1222">
        <v>1</v>
      </c>
      <c r="E1222" s="273">
        <v>6</v>
      </c>
      <c r="F1222" s="273" t="s">
        <v>7</v>
      </c>
      <c r="G1222" s="273" t="s">
        <v>11</v>
      </c>
      <c r="H1222" s="273" t="s">
        <v>11</v>
      </c>
    </row>
    <row r="1223" spans="1:8" x14ac:dyDescent="0.25">
      <c r="A1223" t="s">
        <v>32</v>
      </c>
      <c r="B1223" t="s">
        <v>54</v>
      </c>
      <c r="C1223" t="s">
        <v>1916</v>
      </c>
      <c r="D1223">
        <v>2</v>
      </c>
      <c r="E1223" s="273">
        <v>6</v>
      </c>
      <c r="F1223" s="273" t="s">
        <v>7</v>
      </c>
      <c r="G1223" s="273" t="s">
        <v>11</v>
      </c>
      <c r="H1223" s="273" t="s">
        <v>11</v>
      </c>
    </row>
    <row r="1224" spans="1:8" x14ac:dyDescent="0.25">
      <c r="A1224" t="s">
        <v>32</v>
      </c>
      <c r="B1224" t="s">
        <v>54</v>
      </c>
      <c r="C1224" t="s">
        <v>1917</v>
      </c>
      <c r="D1224">
        <v>1</v>
      </c>
      <c r="E1224" s="273">
        <v>6</v>
      </c>
      <c r="F1224" s="273" t="s">
        <v>7</v>
      </c>
      <c r="G1224" s="273" t="s">
        <v>11</v>
      </c>
      <c r="H1224" s="273" t="s">
        <v>11</v>
      </c>
    </row>
    <row r="1225" spans="1:8" x14ac:dyDescent="0.25">
      <c r="A1225" t="s">
        <v>32</v>
      </c>
      <c r="B1225" t="s">
        <v>54</v>
      </c>
      <c r="C1225" t="s">
        <v>1918</v>
      </c>
      <c r="D1225">
        <v>2</v>
      </c>
      <c r="E1225" s="273">
        <v>6</v>
      </c>
      <c r="F1225" s="273" t="s">
        <v>7</v>
      </c>
      <c r="G1225" s="273" t="s">
        <v>11</v>
      </c>
      <c r="H1225" s="273" t="s">
        <v>11</v>
      </c>
    </row>
    <row r="1226" spans="1:8" x14ac:dyDescent="0.25">
      <c r="A1226" t="s">
        <v>32</v>
      </c>
      <c r="B1226" t="s">
        <v>54</v>
      </c>
      <c r="C1226" t="s">
        <v>1178</v>
      </c>
      <c r="D1226">
        <v>2</v>
      </c>
      <c r="E1226" s="273">
        <v>6</v>
      </c>
      <c r="F1226" s="273" t="s">
        <v>7</v>
      </c>
      <c r="G1226" s="273" t="s">
        <v>11</v>
      </c>
      <c r="H1226" s="273" t="s">
        <v>11</v>
      </c>
    </row>
    <row r="1227" spans="1:8" x14ac:dyDescent="0.25">
      <c r="A1227" t="s">
        <v>32</v>
      </c>
      <c r="B1227" t="s">
        <v>54</v>
      </c>
      <c r="C1227" t="s">
        <v>1919</v>
      </c>
      <c r="D1227">
        <v>1</v>
      </c>
      <c r="E1227" s="273">
        <v>6</v>
      </c>
      <c r="F1227" s="273" t="s">
        <v>7</v>
      </c>
      <c r="G1227" s="273" t="s">
        <v>11</v>
      </c>
      <c r="H1227" s="273" t="s">
        <v>11</v>
      </c>
    </row>
    <row r="1228" spans="1:8" x14ac:dyDescent="0.25">
      <c r="A1228" t="s">
        <v>31</v>
      </c>
      <c r="B1228" t="s">
        <v>92</v>
      </c>
      <c r="C1228" t="s">
        <v>1920</v>
      </c>
      <c r="D1228">
        <v>2</v>
      </c>
      <c r="E1228" s="273">
        <v>4</v>
      </c>
      <c r="F1228" s="273" t="s">
        <v>7</v>
      </c>
      <c r="G1228" s="273" t="s">
        <v>11</v>
      </c>
      <c r="H1228" s="273" t="s">
        <v>11</v>
      </c>
    </row>
    <row r="1229" spans="1:8" x14ac:dyDescent="0.25">
      <c r="A1229" t="s">
        <v>31</v>
      </c>
      <c r="B1229" t="s">
        <v>92</v>
      </c>
      <c r="C1229" t="s">
        <v>1921</v>
      </c>
      <c r="D1229">
        <v>2</v>
      </c>
      <c r="E1229" s="273">
        <v>4</v>
      </c>
      <c r="F1229" s="273" t="s">
        <v>7</v>
      </c>
      <c r="G1229" s="273" t="s">
        <v>11</v>
      </c>
      <c r="H1229" s="273" t="s">
        <v>11</v>
      </c>
    </row>
    <row r="1230" spans="1:8" x14ac:dyDescent="0.25">
      <c r="A1230" t="s">
        <v>31</v>
      </c>
      <c r="B1230" t="s">
        <v>92</v>
      </c>
      <c r="C1230" t="s">
        <v>1922</v>
      </c>
      <c r="D1230">
        <v>1</v>
      </c>
      <c r="E1230" s="273">
        <v>4</v>
      </c>
      <c r="F1230" s="273" t="s">
        <v>7</v>
      </c>
      <c r="G1230" s="273" t="s">
        <v>11</v>
      </c>
      <c r="H1230" s="273" t="s">
        <v>11</v>
      </c>
    </row>
    <row r="1231" spans="1:8" x14ac:dyDescent="0.25">
      <c r="A1231" t="s">
        <v>31</v>
      </c>
      <c r="B1231" t="s">
        <v>92</v>
      </c>
      <c r="C1231" t="s">
        <v>1923</v>
      </c>
      <c r="D1231">
        <v>2</v>
      </c>
      <c r="E1231" s="273">
        <v>4</v>
      </c>
      <c r="F1231" s="273" t="s">
        <v>7</v>
      </c>
      <c r="G1231" s="273" t="s">
        <v>11</v>
      </c>
      <c r="H1231" s="273" t="s">
        <v>11</v>
      </c>
    </row>
    <row r="1232" spans="1:8" x14ac:dyDescent="0.25">
      <c r="A1232" t="s">
        <v>31</v>
      </c>
      <c r="B1232" t="s">
        <v>92</v>
      </c>
      <c r="C1232" t="s">
        <v>1924</v>
      </c>
      <c r="D1232">
        <v>1</v>
      </c>
      <c r="E1232" s="273">
        <v>4</v>
      </c>
      <c r="F1232" s="273" t="s">
        <v>7</v>
      </c>
      <c r="G1232" s="273" t="s">
        <v>11</v>
      </c>
      <c r="H1232" s="273" t="s">
        <v>11</v>
      </c>
    </row>
    <row r="1233" spans="1:8" x14ac:dyDescent="0.25">
      <c r="A1233" t="s">
        <v>31</v>
      </c>
      <c r="B1233" t="s">
        <v>92</v>
      </c>
      <c r="C1233" t="s">
        <v>1925</v>
      </c>
      <c r="D1233">
        <v>3</v>
      </c>
      <c r="E1233" s="273">
        <v>4</v>
      </c>
      <c r="F1233" s="273" t="s">
        <v>7</v>
      </c>
      <c r="G1233" s="273" t="s">
        <v>11</v>
      </c>
      <c r="H1233" s="273" t="s">
        <v>11</v>
      </c>
    </row>
    <row r="1234" spans="1:8" x14ac:dyDescent="0.25">
      <c r="A1234" t="s">
        <v>31</v>
      </c>
      <c r="B1234" t="s">
        <v>92</v>
      </c>
      <c r="C1234" t="s">
        <v>1232</v>
      </c>
      <c r="D1234">
        <v>1</v>
      </c>
      <c r="E1234" s="273">
        <v>4</v>
      </c>
      <c r="F1234" s="273" t="s">
        <v>7</v>
      </c>
      <c r="G1234" s="273" t="s">
        <v>11</v>
      </c>
      <c r="H1234" s="273" t="s">
        <v>11</v>
      </c>
    </row>
    <row r="1235" spans="1:8" x14ac:dyDescent="0.25">
      <c r="A1235" t="s">
        <v>31</v>
      </c>
      <c r="B1235" t="s">
        <v>92</v>
      </c>
      <c r="C1235" t="s">
        <v>1926</v>
      </c>
      <c r="D1235">
        <v>2</v>
      </c>
      <c r="E1235" s="273">
        <v>4</v>
      </c>
      <c r="F1235" s="273" t="s">
        <v>7</v>
      </c>
      <c r="G1235" s="273" t="s">
        <v>11</v>
      </c>
      <c r="H1235" s="273" t="s">
        <v>11</v>
      </c>
    </row>
    <row r="1236" spans="1:8" x14ac:dyDescent="0.25">
      <c r="A1236" t="s">
        <v>31</v>
      </c>
      <c r="B1236" t="s">
        <v>92</v>
      </c>
      <c r="C1236" t="s">
        <v>1927</v>
      </c>
      <c r="D1236">
        <v>2</v>
      </c>
      <c r="E1236" s="273">
        <v>4</v>
      </c>
      <c r="F1236" s="273" t="s">
        <v>7</v>
      </c>
      <c r="G1236" s="273" t="s">
        <v>11</v>
      </c>
      <c r="H1236" s="273" t="s">
        <v>11</v>
      </c>
    </row>
    <row r="1237" spans="1:8" x14ac:dyDescent="0.25">
      <c r="A1237" t="s">
        <v>31</v>
      </c>
      <c r="B1237" t="s">
        <v>92</v>
      </c>
      <c r="C1237" t="s">
        <v>1928</v>
      </c>
      <c r="D1237">
        <v>3</v>
      </c>
      <c r="E1237" s="273">
        <v>4</v>
      </c>
      <c r="F1237" s="273" t="s">
        <v>7</v>
      </c>
      <c r="G1237" s="273" t="s">
        <v>11</v>
      </c>
      <c r="H1237" s="273" t="s">
        <v>11</v>
      </c>
    </row>
    <row r="1238" spans="1:8" x14ac:dyDescent="0.25">
      <c r="A1238" t="s">
        <v>31</v>
      </c>
      <c r="B1238" t="s">
        <v>92</v>
      </c>
      <c r="C1238" t="s">
        <v>1929</v>
      </c>
      <c r="D1238">
        <v>1</v>
      </c>
      <c r="E1238" s="273">
        <v>4</v>
      </c>
      <c r="F1238" s="273" t="s">
        <v>7</v>
      </c>
      <c r="G1238" s="273" t="s">
        <v>11</v>
      </c>
      <c r="H1238" s="273" t="s">
        <v>11</v>
      </c>
    </row>
    <row r="1239" spans="1:8" x14ac:dyDescent="0.25">
      <c r="A1239" t="s">
        <v>31</v>
      </c>
      <c r="B1239" t="s">
        <v>92</v>
      </c>
      <c r="C1239" t="s">
        <v>1930</v>
      </c>
      <c r="D1239">
        <v>2</v>
      </c>
      <c r="E1239" s="273">
        <v>5</v>
      </c>
      <c r="F1239" s="273" t="s">
        <v>7</v>
      </c>
      <c r="G1239" s="273" t="s">
        <v>11</v>
      </c>
      <c r="H1239" s="273" t="s">
        <v>11</v>
      </c>
    </row>
    <row r="1240" spans="1:8" x14ac:dyDescent="0.25">
      <c r="A1240" t="s">
        <v>31</v>
      </c>
      <c r="B1240" t="s">
        <v>92</v>
      </c>
      <c r="C1240" t="s">
        <v>1931</v>
      </c>
      <c r="D1240">
        <v>1</v>
      </c>
      <c r="E1240" s="273">
        <v>4</v>
      </c>
      <c r="F1240" s="273" t="s">
        <v>7</v>
      </c>
      <c r="G1240" s="273" t="s">
        <v>11</v>
      </c>
      <c r="H1240" s="273" t="s">
        <v>11</v>
      </c>
    </row>
    <row r="1241" spans="1:8" x14ac:dyDescent="0.25">
      <c r="A1241" t="s">
        <v>31</v>
      </c>
      <c r="B1241" t="s">
        <v>92</v>
      </c>
      <c r="C1241" t="s">
        <v>1250</v>
      </c>
      <c r="D1241">
        <v>1</v>
      </c>
      <c r="E1241" s="273">
        <v>4</v>
      </c>
      <c r="F1241" s="273" t="s">
        <v>7</v>
      </c>
      <c r="G1241" s="273" t="s">
        <v>11</v>
      </c>
      <c r="H1241" s="273" t="s">
        <v>11</v>
      </c>
    </row>
    <row r="1242" spans="1:8" x14ac:dyDescent="0.25">
      <c r="A1242" t="s">
        <v>31</v>
      </c>
      <c r="B1242" t="s">
        <v>92</v>
      </c>
      <c r="C1242" t="s">
        <v>1402</v>
      </c>
      <c r="D1242">
        <v>3</v>
      </c>
      <c r="E1242" s="273">
        <v>4</v>
      </c>
      <c r="F1242" s="273" t="s">
        <v>7</v>
      </c>
      <c r="G1242" s="273" t="s">
        <v>11</v>
      </c>
      <c r="H1242" s="273" t="s">
        <v>11</v>
      </c>
    </row>
    <row r="1243" spans="1:8" x14ac:dyDescent="0.25">
      <c r="A1243" t="s">
        <v>31</v>
      </c>
      <c r="B1243" t="s">
        <v>92</v>
      </c>
      <c r="C1243" t="s">
        <v>1164</v>
      </c>
      <c r="D1243">
        <v>1</v>
      </c>
      <c r="E1243" s="273">
        <v>4</v>
      </c>
      <c r="F1243" s="273" t="s">
        <v>7</v>
      </c>
      <c r="G1243" s="273" t="s">
        <v>11</v>
      </c>
      <c r="H1243" s="273" t="s">
        <v>11</v>
      </c>
    </row>
    <row r="1244" spans="1:8" x14ac:dyDescent="0.25">
      <c r="A1244" t="s">
        <v>31</v>
      </c>
      <c r="B1244" t="s">
        <v>92</v>
      </c>
      <c r="C1244" t="s">
        <v>1932</v>
      </c>
      <c r="D1244">
        <v>2</v>
      </c>
      <c r="E1244" s="273">
        <v>4</v>
      </c>
      <c r="F1244" s="273" t="s">
        <v>7</v>
      </c>
      <c r="G1244" s="273" t="s">
        <v>11</v>
      </c>
      <c r="H1244" s="273" t="s">
        <v>11</v>
      </c>
    </row>
    <row r="1245" spans="1:8" x14ac:dyDescent="0.25">
      <c r="A1245" t="s">
        <v>31</v>
      </c>
      <c r="B1245" t="s">
        <v>92</v>
      </c>
      <c r="C1245" t="s">
        <v>1933</v>
      </c>
      <c r="D1245">
        <v>3</v>
      </c>
      <c r="E1245" s="273">
        <v>4</v>
      </c>
      <c r="F1245" s="273" t="s">
        <v>7</v>
      </c>
      <c r="G1245" s="273" t="s">
        <v>11</v>
      </c>
      <c r="H1245" s="273" t="s">
        <v>11</v>
      </c>
    </row>
    <row r="1246" spans="1:8" x14ac:dyDescent="0.25">
      <c r="A1246" t="s">
        <v>31</v>
      </c>
      <c r="B1246" t="s">
        <v>92</v>
      </c>
      <c r="C1246" t="s">
        <v>1934</v>
      </c>
      <c r="D1246">
        <v>2</v>
      </c>
      <c r="E1246" s="273">
        <v>4</v>
      </c>
      <c r="F1246" s="273" t="s">
        <v>7</v>
      </c>
      <c r="G1246" s="273" t="s">
        <v>11</v>
      </c>
      <c r="H1246" s="273" t="s">
        <v>11</v>
      </c>
    </row>
    <row r="1247" spans="1:8" x14ac:dyDescent="0.25">
      <c r="A1247" t="s">
        <v>31</v>
      </c>
      <c r="B1247" t="s">
        <v>92</v>
      </c>
      <c r="C1247" t="s">
        <v>1917</v>
      </c>
      <c r="D1247">
        <v>3</v>
      </c>
      <c r="E1247" s="273">
        <v>4</v>
      </c>
      <c r="F1247" s="273" t="s">
        <v>7</v>
      </c>
      <c r="G1247" s="273" t="s">
        <v>11</v>
      </c>
      <c r="H1247" s="273" t="s">
        <v>11</v>
      </c>
    </row>
    <row r="1248" spans="1:8" x14ac:dyDescent="0.25">
      <c r="A1248" t="s">
        <v>31</v>
      </c>
      <c r="B1248" t="s">
        <v>92</v>
      </c>
      <c r="C1248" t="s">
        <v>1541</v>
      </c>
      <c r="D1248">
        <v>3</v>
      </c>
      <c r="E1248" s="273">
        <v>4</v>
      </c>
      <c r="F1248" s="273" t="s">
        <v>7</v>
      </c>
      <c r="G1248" s="273" t="s">
        <v>11</v>
      </c>
      <c r="H1248" s="273" t="s">
        <v>11</v>
      </c>
    </row>
    <row r="1249" spans="1:8" x14ac:dyDescent="0.25">
      <c r="A1249" t="s">
        <v>31</v>
      </c>
      <c r="B1249" t="s">
        <v>92</v>
      </c>
      <c r="C1249" t="s">
        <v>1178</v>
      </c>
      <c r="D1249">
        <v>1</v>
      </c>
      <c r="E1249" s="273">
        <v>4</v>
      </c>
      <c r="F1249" s="273" t="s">
        <v>7</v>
      </c>
      <c r="G1249" s="273" t="s">
        <v>11</v>
      </c>
      <c r="H1249" s="273" t="s">
        <v>11</v>
      </c>
    </row>
    <row r="1250" spans="1:8" x14ac:dyDescent="0.25">
      <c r="A1250" t="s">
        <v>31</v>
      </c>
      <c r="B1250" t="s">
        <v>92</v>
      </c>
      <c r="C1250" t="s">
        <v>1935</v>
      </c>
      <c r="D1250">
        <v>3</v>
      </c>
      <c r="E1250" s="273">
        <v>4</v>
      </c>
      <c r="F1250" s="273" t="s">
        <v>7</v>
      </c>
      <c r="G1250" s="273" t="s">
        <v>11</v>
      </c>
      <c r="H1250" s="273" t="s">
        <v>11</v>
      </c>
    </row>
    <row r="1251" spans="1:8" x14ac:dyDescent="0.25">
      <c r="A1251" t="s">
        <v>31</v>
      </c>
      <c r="B1251" t="s">
        <v>92</v>
      </c>
      <c r="C1251" t="s">
        <v>1936</v>
      </c>
      <c r="D1251">
        <v>3</v>
      </c>
      <c r="E1251" s="273">
        <v>4</v>
      </c>
      <c r="F1251" s="273" t="s">
        <v>7</v>
      </c>
      <c r="G1251" s="273" t="s">
        <v>11</v>
      </c>
      <c r="H1251" s="273" t="s">
        <v>11</v>
      </c>
    </row>
    <row r="1252" spans="1:8" x14ac:dyDescent="0.25">
      <c r="A1252" t="s">
        <v>30</v>
      </c>
      <c r="B1252" t="s">
        <v>93</v>
      </c>
      <c r="C1252" t="s">
        <v>1937</v>
      </c>
      <c r="D1252">
        <v>2</v>
      </c>
      <c r="E1252" s="273">
        <v>5</v>
      </c>
      <c r="F1252" s="273" t="s">
        <v>7</v>
      </c>
      <c r="G1252" s="273" t="s">
        <v>11</v>
      </c>
      <c r="H1252" s="273" t="s">
        <v>11</v>
      </c>
    </row>
    <row r="1253" spans="1:8" x14ac:dyDescent="0.25">
      <c r="A1253" t="s">
        <v>30</v>
      </c>
      <c r="B1253" t="s">
        <v>93</v>
      </c>
      <c r="C1253" t="s">
        <v>1938</v>
      </c>
      <c r="D1253">
        <v>2</v>
      </c>
      <c r="E1253" s="273">
        <v>5</v>
      </c>
      <c r="F1253" s="273" t="s">
        <v>7</v>
      </c>
      <c r="G1253" s="273" t="s">
        <v>11</v>
      </c>
      <c r="H1253" s="273" t="s">
        <v>11</v>
      </c>
    </row>
    <row r="1254" spans="1:8" x14ac:dyDescent="0.25">
      <c r="A1254" t="s">
        <v>30</v>
      </c>
      <c r="B1254" t="s">
        <v>93</v>
      </c>
      <c r="C1254" t="s">
        <v>1939</v>
      </c>
      <c r="D1254">
        <v>2</v>
      </c>
      <c r="E1254" s="273">
        <v>5</v>
      </c>
      <c r="F1254" s="273" t="s">
        <v>7</v>
      </c>
      <c r="G1254" s="273" t="s">
        <v>11</v>
      </c>
      <c r="H1254" s="273" t="s">
        <v>11</v>
      </c>
    </row>
    <row r="1255" spans="1:8" x14ac:dyDescent="0.25">
      <c r="A1255" t="s">
        <v>30</v>
      </c>
      <c r="B1255" t="s">
        <v>93</v>
      </c>
      <c r="C1255" t="s">
        <v>1940</v>
      </c>
      <c r="D1255">
        <v>2</v>
      </c>
      <c r="E1255" s="273">
        <v>5</v>
      </c>
      <c r="F1255" s="273" t="s">
        <v>7</v>
      </c>
      <c r="G1255" s="273" t="s">
        <v>11</v>
      </c>
      <c r="H1255" s="273" t="s">
        <v>11</v>
      </c>
    </row>
    <row r="1256" spans="1:8" x14ac:dyDescent="0.25">
      <c r="A1256" t="s">
        <v>30</v>
      </c>
      <c r="B1256" t="s">
        <v>93</v>
      </c>
      <c r="C1256" t="s">
        <v>1941</v>
      </c>
      <c r="D1256">
        <v>1</v>
      </c>
      <c r="E1256" s="273">
        <v>5</v>
      </c>
      <c r="F1256" s="273" t="s">
        <v>7</v>
      </c>
      <c r="G1256" s="273" t="s">
        <v>11</v>
      </c>
      <c r="H1256" s="273" t="s">
        <v>11</v>
      </c>
    </row>
    <row r="1257" spans="1:8" x14ac:dyDescent="0.25">
      <c r="A1257" t="s">
        <v>30</v>
      </c>
      <c r="B1257" t="s">
        <v>93</v>
      </c>
      <c r="C1257" t="s">
        <v>1143</v>
      </c>
      <c r="D1257">
        <v>2</v>
      </c>
      <c r="E1257" s="273">
        <v>5</v>
      </c>
      <c r="F1257" s="273" t="s">
        <v>7</v>
      </c>
      <c r="G1257" s="273" t="s">
        <v>11</v>
      </c>
      <c r="H1257" s="273" t="s">
        <v>11</v>
      </c>
    </row>
    <row r="1258" spans="1:8" x14ac:dyDescent="0.25">
      <c r="A1258" t="s">
        <v>30</v>
      </c>
      <c r="B1258" t="s">
        <v>93</v>
      </c>
      <c r="C1258" t="s">
        <v>1942</v>
      </c>
      <c r="D1258">
        <v>2</v>
      </c>
      <c r="E1258" s="273">
        <v>5</v>
      </c>
      <c r="F1258" s="273" t="s">
        <v>7</v>
      </c>
      <c r="G1258" s="273" t="s">
        <v>11</v>
      </c>
      <c r="H1258" s="273" t="s">
        <v>11</v>
      </c>
    </row>
    <row r="1259" spans="1:8" x14ac:dyDescent="0.25">
      <c r="A1259" t="s">
        <v>30</v>
      </c>
      <c r="B1259" t="s">
        <v>93</v>
      </c>
      <c r="C1259" t="s">
        <v>1943</v>
      </c>
      <c r="D1259">
        <v>2</v>
      </c>
      <c r="E1259" s="273">
        <v>5</v>
      </c>
      <c r="F1259" s="273" t="s">
        <v>7</v>
      </c>
      <c r="G1259" s="273" t="s">
        <v>11</v>
      </c>
      <c r="H1259" s="273" t="s">
        <v>11</v>
      </c>
    </row>
    <row r="1260" spans="1:8" x14ac:dyDescent="0.25">
      <c r="A1260" t="s">
        <v>30</v>
      </c>
      <c r="B1260" t="s">
        <v>93</v>
      </c>
      <c r="C1260" t="s">
        <v>1397</v>
      </c>
      <c r="D1260">
        <v>1</v>
      </c>
      <c r="E1260" s="273">
        <v>5</v>
      </c>
      <c r="F1260" s="273" t="s">
        <v>7</v>
      </c>
      <c r="G1260" s="273" t="s">
        <v>11</v>
      </c>
      <c r="H1260" s="273" t="s">
        <v>11</v>
      </c>
    </row>
    <row r="1261" spans="1:8" x14ac:dyDescent="0.25">
      <c r="A1261" t="s">
        <v>30</v>
      </c>
      <c r="B1261" t="s">
        <v>93</v>
      </c>
      <c r="C1261" t="s">
        <v>1944</v>
      </c>
      <c r="D1261">
        <v>2</v>
      </c>
      <c r="E1261" s="273">
        <v>5</v>
      </c>
      <c r="F1261" s="273" t="s">
        <v>7</v>
      </c>
      <c r="G1261" s="273" t="s">
        <v>11</v>
      </c>
      <c r="H1261" s="273" t="s">
        <v>11</v>
      </c>
    </row>
    <row r="1262" spans="1:8" x14ac:dyDescent="0.25">
      <c r="A1262" t="s">
        <v>30</v>
      </c>
      <c r="B1262" t="s">
        <v>93</v>
      </c>
      <c r="C1262" t="s">
        <v>1945</v>
      </c>
      <c r="D1262">
        <v>2</v>
      </c>
      <c r="E1262" s="273">
        <v>5</v>
      </c>
      <c r="F1262" s="273" t="s">
        <v>7</v>
      </c>
      <c r="G1262" s="273" t="s">
        <v>11</v>
      </c>
      <c r="H1262" s="273" t="s">
        <v>11</v>
      </c>
    </row>
    <row r="1263" spans="1:8" x14ac:dyDescent="0.25">
      <c r="A1263" t="s">
        <v>30</v>
      </c>
      <c r="B1263" t="s">
        <v>93</v>
      </c>
      <c r="C1263" t="s">
        <v>1729</v>
      </c>
      <c r="D1263">
        <v>2</v>
      </c>
      <c r="E1263" s="273">
        <v>5</v>
      </c>
      <c r="F1263" s="273" t="s">
        <v>7</v>
      </c>
      <c r="G1263" s="273" t="s">
        <v>11</v>
      </c>
      <c r="H1263" s="273" t="s">
        <v>11</v>
      </c>
    </row>
    <row r="1264" spans="1:8" x14ac:dyDescent="0.25">
      <c r="A1264" t="s">
        <v>30</v>
      </c>
      <c r="B1264" t="s">
        <v>93</v>
      </c>
      <c r="C1264" t="s">
        <v>1946</v>
      </c>
      <c r="D1264">
        <v>3</v>
      </c>
      <c r="E1264" s="273">
        <v>5</v>
      </c>
      <c r="F1264" s="273" t="s">
        <v>7</v>
      </c>
      <c r="G1264" s="273" t="s">
        <v>11</v>
      </c>
      <c r="H1264" s="273" t="s">
        <v>11</v>
      </c>
    </row>
    <row r="1265" spans="1:8" x14ac:dyDescent="0.25">
      <c r="A1265" t="s">
        <v>30</v>
      </c>
      <c r="B1265" t="s">
        <v>93</v>
      </c>
      <c r="C1265" t="s">
        <v>1936</v>
      </c>
      <c r="D1265">
        <v>1</v>
      </c>
      <c r="E1265" s="273">
        <v>5</v>
      </c>
      <c r="F1265" s="273" t="s">
        <v>7</v>
      </c>
      <c r="G1265" s="273" t="s">
        <v>11</v>
      </c>
      <c r="H1265" s="273" t="s">
        <v>11</v>
      </c>
    </row>
    <row r="1266" spans="1:8" x14ac:dyDescent="0.25">
      <c r="A1266" t="s">
        <v>33</v>
      </c>
      <c r="B1266" t="s">
        <v>56</v>
      </c>
      <c r="C1266" t="s">
        <v>1947</v>
      </c>
      <c r="D1266">
        <v>2</v>
      </c>
      <c r="E1266" s="273">
        <v>6</v>
      </c>
      <c r="F1266" s="273" t="s">
        <v>7</v>
      </c>
      <c r="G1266" s="273" t="s">
        <v>11</v>
      </c>
      <c r="H1266" s="273" t="s">
        <v>11</v>
      </c>
    </row>
    <row r="1267" spans="1:8" x14ac:dyDescent="0.25">
      <c r="A1267" t="s">
        <v>33</v>
      </c>
      <c r="B1267" t="s">
        <v>56</v>
      </c>
      <c r="C1267" t="s">
        <v>1948</v>
      </c>
      <c r="D1267">
        <v>2</v>
      </c>
      <c r="E1267" s="273">
        <v>6</v>
      </c>
      <c r="F1267" s="273" t="s">
        <v>7</v>
      </c>
      <c r="G1267" s="273" t="s">
        <v>11</v>
      </c>
      <c r="H1267" s="273" t="s">
        <v>11</v>
      </c>
    </row>
    <row r="1268" spans="1:8" x14ac:dyDescent="0.25">
      <c r="A1268" t="s">
        <v>33</v>
      </c>
      <c r="B1268" t="s">
        <v>56</v>
      </c>
      <c r="C1268" t="s">
        <v>1949</v>
      </c>
      <c r="D1268">
        <v>3</v>
      </c>
      <c r="E1268" s="273">
        <v>5</v>
      </c>
      <c r="F1268" s="273" t="s">
        <v>7</v>
      </c>
      <c r="G1268" s="273" t="s">
        <v>11</v>
      </c>
      <c r="H1268" s="273" t="s">
        <v>11</v>
      </c>
    </row>
    <row r="1269" spans="1:8" x14ac:dyDescent="0.25">
      <c r="A1269" t="s">
        <v>33</v>
      </c>
      <c r="B1269" t="s">
        <v>56</v>
      </c>
      <c r="C1269" t="s">
        <v>1950</v>
      </c>
      <c r="D1269">
        <v>2</v>
      </c>
      <c r="E1269" s="273">
        <v>6</v>
      </c>
      <c r="F1269" s="273" t="s">
        <v>7</v>
      </c>
      <c r="G1269" s="273" t="s">
        <v>11</v>
      </c>
      <c r="H1269" s="273" t="s">
        <v>11</v>
      </c>
    </row>
    <row r="1270" spans="1:8" x14ac:dyDescent="0.25">
      <c r="A1270" t="s">
        <v>33</v>
      </c>
      <c r="B1270" t="s">
        <v>56</v>
      </c>
      <c r="C1270" t="s">
        <v>1951</v>
      </c>
      <c r="D1270">
        <v>2</v>
      </c>
      <c r="E1270" s="273">
        <v>6</v>
      </c>
      <c r="F1270" s="273" t="s">
        <v>7</v>
      </c>
      <c r="G1270" s="273" t="s">
        <v>11</v>
      </c>
      <c r="H1270" s="273" t="s">
        <v>11</v>
      </c>
    </row>
    <row r="1271" spans="1:8" x14ac:dyDescent="0.25">
      <c r="A1271" t="s">
        <v>33</v>
      </c>
      <c r="B1271" t="s">
        <v>56</v>
      </c>
      <c r="C1271" t="s">
        <v>1952</v>
      </c>
      <c r="D1271">
        <v>3</v>
      </c>
      <c r="E1271" s="273">
        <v>6</v>
      </c>
      <c r="F1271" s="273" t="s">
        <v>7</v>
      </c>
      <c r="G1271" s="273" t="s">
        <v>11</v>
      </c>
      <c r="H1271" s="273" t="s">
        <v>11</v>
      </c>
    </row>
    <row r="1272" spans="1:8" x14ac:dyDescent="0.25">
      <c r="A1272" t="s">
        <v>33</v>
      </c>
      <c r="B1272" t="s">
        <v>56</v>
      </c>
      <c r="C1272" t="s">
        <v>1953</v>
      </c>
      <c r="D1272">
        <v>2</v>
      </c>
      <c r="E1272" s="273">
        <v>7</v>
      </c>
      <c r="F1272" s="273" t="s">
        <v>11</v>
      </c>
      <c r="G1272" s="273" t="s">
        <v>11</v>
      </c>
      <c r="H1272" s="273" t="s">
        <v>11</v>
      </c>
    </row>
    <row r="1273" spans="1:8" x14ac:dyDescent="0.25">
      <c r="A1273" t="s">
        <v>33</v>
      </c>
      <c r="B1273" t="s">
        <v>56</v>
      </c>
      <c r="C1273" t="s">
        <v>1954</v>
      </c>
      <c r="D1273">
        <v>2</v>
      </c>
      <c r="E1273" s="273">
        <v>5</v>
      </c>
      <c r="F1273" s="273" t="s">
        <v>7</v>
      </c>
      <c r="G1273" s="273" t="s">
        <v>11</v>
      </c>
      <c r="H1273" s="273" t="s">
        <v>11</v>
      </c>
    </row>
    <row r="1274" spans="1:8" x14ac:dyDescent="0.25">
      <c r="A1274" t="s">
        <v>33</v>
      </c>
      <c r="B1274" t="s">
        <v>56</v>
      </c>
      <c r="C1274" t="s">
        <v>1408</v>
      </c>
      <c r="D1274">
        <v>3</v>
      </c>
      <c r="E1274" s="273">
        <v>5</v>
      </c>
      <c r="F1274" s="273" t="s">
        <v>7</v>
      </c>
      <c r="G1274" s="273" t="s">
        <v>11</v>
      </c>
      <c r="H1274" s="273" t="s">
        <v>11</v>
      </c>
    </row>
    <row r="1275" spans="1:8" x14ac:dyDescent="0.25">
      <c r="A1275" t="s">
        <v>33</v>
      </c>
      <c r="B1275" t="s">
        <v>56</v>
      </c>
      <c r="C1275" t="s">
        <v>1955</v>
      </c>
      <c r="D1275">
        <v>3</v>
      </c>
      <c r="E1275" s="273">
        <v>6</v>
      </c>
      <c r="F1275" s="273" t="s">
        <v>7</v>
      </c>
      <c r="G1275" s="273" t="s">
        <v>11</v>
      </c>
      <c r="H1275" s="273" t="s">
        <v>11</v>
      </c>
    </row>
    <row r="1276" spans="1:8" x14ac:dyDescent="0.25">
      <c r="A1276" t="s">
        <v>33</v>
      </c>
      <c r="B1276" t="s">
        <v>56</v>
      </c>
      <c r="C1276" t="s">
        <v>1462</v>
      </c>
      <c r="D1276">
        <v>3</v>
      </c>
      <c r="E1276" s="273">
        <v>5</v>
      </c>
      <c r="F1276" s="273" t="s">
        <v>7</v>
      </c>
      <c r="G1276" s="273" t="s">
        <v>11</v>
      </c>
      <c r="H1276" s="273" t="s">
        <v>11</v>
      </c>
    </row>
    <row r="1277" spans="1:8" x14ac:dyDescent="0.25">
      <c r="A1277" t="s">
        <v>33</v>
      </c>
      <c r="B1277" t="s">
        <v>56</v>
      </c>
      <c r="C1277" t="s">
        <v>1956</v>
      </c>
      <c r="D1277">
        <v>1</v>
      </c>
      <c r="E1277" s="273">
        <v>5</v>
      </c>
      <c r="F1277" s="273" t="s">
        <v>7</v>
      </c>
      <c r="G1277" s="273" t="s">
        <v>11</v>
      </c>
      <c r="H1277" s="273" t="s">
        <v>11</v>
      </c>
    </row>
    <row r="1278" spans="1:8" x14ac:dyDescent="0.25">
      <c r="A1278" t="s">
        <v>33</v>
      </c>
      <c r="B1278" t="s">
        <v>56</v>
      </c>
      <c r="C1278" t="s">
        <v>1121</v>
      </c>
      <c r="D1278">
        <v>1</v>
      </c>
      <c r="E1278" s="273">
        <v>5</v>
      </c>
      <c r="F1278" s="273" t="s">
        <v>7</v>
      </c>
      <c r="G1278" s="273" t="s">
        <v>11</v>
      </c>
      <c r="H1278" s="273" t="s">
        <v>11</v>
      </c>
    </row>
    <row r="1279" spans="1:8" x14ac:dyDescent="0.25">
      <c r="A1279" t="s">
        <v>33</v>
      </c>
      <c r="B1279" t="s">
        <v>56</v>
      </c>
      <c r="C1279" t="s">
        <v>1606</v>
      </c>
      <c r="D1279">
        <v>1</v>
      </c>
      <c r="E1279" s="273">
        <v>5</v>
      </c>
      <c r="F1279" s="273" t="s">
        <v>7</v>
      </c>
      <c r="G1279" s="273" t="s">
        <v>11</v>
      </c>
      <c r="H1279" s="273" t="s">
        <v>11</v>
      </c>
    </row>
    <row r="1280" spans="1:8" x14ac:dyDescent="0.25">
      <c r="A1280" t="s">
        <v>33</v>
      </c>
      <c r="B1280" t="s">
        <v>56</v>
      </c>
      <c r="C1280" t="s">
        <v>1957</v>
      </c>
      <c r="D1280">
        <v>2</v>
      </c>
      <c r="E1280" s="273">
        <v>6</v>
      </c>
      <c r="F1280" s="273" t="s">
        <v>7</v>
      </c>
      <c r="G1280" s="273" t="s">
        <v>11</v>
      </c>
      <c r="H1280" s="273" t="s">
        <v>11</v>
      </c>
    </row>
    <row r="1281" spans="1:8" x14ac:dyDescent="0.25">
      <c r="A1281" t="s">
        <v>33</v>
      </c>
      <c r="B1281" t="s">
        <v>56</v>
      </c>
      <c r="C1281" t="s">
        <v>1958</v>
      </c>
      <c r="D1281">
        <v>3</v>
      </c>
      <c r="E1281" s="273">
        <v>6</v>
      </c>
      <c r="F1281" s="273" t="s">
        <v>7</v>
      </c>
      <c r="G1281" s="273" t="s">
        <v>11</v>
      </c>
      <c r="H1281" s="273" t="s">
        <v>11</v>
      </c>
    </row>
    <row r="1282" spans="1:8" x14ac:dyDescent="0.25">
      <c r="A1282" t="s">
        <v>33</v>
      </c>
      <c r="B1282" t="s">
        <v>56</v>
      </c>
      <c r="C1282" t="s">
        <v>1959</v>
      </c>
      <c r="D1282">
        <v>3</v>
      </c>
      <c r="E1282" s="273">
        <v>7</v>
      </c>
      <c r="F1282" s="273" t="s">
        <v>11</v>
      </c>
      <c r="G1282" s="273" t="s">
        <v>11</v>
      </c>
      <c r="H1282" s="273" t="s">
        <v>11</v>
      </c>
    </row>
    <row r="1283" spans="1:8" x14ac:dyDescent="0.25">
      <c r="A1283" t="s">
        <v>33</v>
      </c>
      <c r="B1283" t="s">
        <v>56</v>
      </c>
      <c r="C1283" t="s">
        <v>1960</v>
      </c>
      <c r="D1283">
        <v>3</v>
      </c>
      <c r="E1283" s="273">
        <v>6</v>
      </c>
      <c r="F1283" s="273" t="s">
        <v>7</v>
      </c>
      <c r="G1283" s="273" t="s">
        <v>11</v>
      </c>
      <c r="H1283" s="273" t="s">
        <v>11</v>
      </c>
    </row>
    <row r="1284" spans="1:8" x14ac:dyDescent="0.25">
      <c r="A1284" t="s">
        <v>33</v>
      </c>
      <c r="B1284" t="s">
        <v>56</v>
      </c>
      <c r="C1284" t="s">
        <v>1609</v>
      </c>
      <c r="D1284">
        <v>2</v>
      </c>
      <c r="E1284" s="273">
        <v>5</v>
      </c>
      <c r="F1284" s="273" t="s">
        <v>7</v>
      </c>
      <c r="G1284" s="273" t="s">
        <v>11</v>
      </c>
      <c r="H1284" s="273" t="s">
        <v>11</v>
      </c>
    </row>
    <row r="1285" spans="1:8" x14ac:dyDescent="0.25">
      <c r="A1285" t="s">
        <v>33</v>
      </c>
      <c r="B1285" t="s">
        <v>56</v>
      </c>
      <c r="C1285" t="s">
        <v>1239</v>
      </c>
      <c r="D1285">
        <v>3</v>
      </c>
      <c r="E1285" s="273">
        <v>6</v>
      </c>
      <c r="F1285" s="273" t="s">
        <v>7</v>
      </c>
      <c r="G1285" s="273" t="s">
        <v>11</v>
      </c>
      <c r="H1285" s="273" t="s">
        <v>11</v>
      </c>
    </row>
    <row r="1286" spans="1:8" x14ac:dyDescent="0.25">
      <c r="A1286" t="s">
        <v>33</v>
      </c>
      <c r="B1286" t="s">
        <v>56</v>
      </c>
      <c r="C1286" t="s">
        <v>1354</v>
      </c>
      <c r="D1286">
        <v>3</v>
      </c>
      <c r="E1286" s="273">
        <v>6</v>
      </c>
      <c r="F1286" s="273" t="s">
        <v>7</v>
      </c>
      <c r="G1286" s="273" t="s">
        <v>11</v>
      </c>
      <c r="H1286" s="273" t="s">
        <v>11</v>
      </c>
    </row>
    <row r="1287" spans="1:8" x14ac:dyDescent="0.25">
      <c r="A1287" t="s">
        <v>33</v>
      </c>
      <c r="B1287" t="s">
        <v>56</v>
      </c>
      <c r="C1287" t="s">
        <v>1710</v>
      </c>
      <c r="D1287">
        <v>2</v>
      </c>
      <c r="E1287" s="273">
        <v>6</v>
      </c>
      <c r="F1287" s="273" t="s">
        <v>7</v>
      </c>
      <c r="G1287" s="273" t="s">
        <v>11</v>
      </c>
      <c r="H1287" s="273" t="s">
        <v>11</v>
      </c>
    </row>
    <row r="1288" spans="1:8" x14ac:dyDescent="0.25">
      <c r="A1288" t="s">
        <v>33</v>
      </c>
      <c r="B1288" t="s">
        <v>56</v>
      </c>
      <c r="C1288" t="s">
        <v>1961</v>
      </c>
      <c r="D1288">
        <v>2</v>
      </c>
      <c r="E1288" s="273">
        <v>5</v>
      </c>
      <c r="F1288" s="273" t="s">
        <v>7</v>
      </c>
      <c r="G1288" s="273" t="s">
        <v>11</v>
      </c>
      <c r="H1288" s="273" t="s">
        <v>11</v>
      </c>
    </row>
    <row r="1289" spans="1:8" x14ac:dyDescent="0.25">
      <c r="A1289" t="s">
        <v>33</v>
      </c>
      <c r="B1289" t="s">
        <v>56</v>
      </c>
      <c r="C1289" t="s">
        <v>1712</v>
      </c>
      <c r="D1289">
        <v>2</v>
      </c>
      <c r="E1289" s="273">
        <v>6</v>
      </c>
      <c r="F1289" s="273" t="s">
        <v>7</v>
      </c>
      <c r="G1289" s="273" t="s">
        <v>11</v>
      </c>
      <c r="H1289" s="273" t="s">
        <v>11</v>
      </c>
    </row>
    <row r="1290" spans="1:8" x14ac:dyDescent="0.25">
      <c r="A1290" t="s">
        <v>33</v>
      </c>
      <c r="B1290" t="s">
        <v>56</v>
      </c>
      <c r="C1290" t="s">
        <v>1962</v>
      </c>
      <c r="D1290">
        <v>2</v>
      </c>
      <c r="E1290" s="273">
        <v>5</v>
      </c>
      <c r="F1290" s="273" t="s">
        <v>7</v>
      </c>
      <c r="G1290" s="273" t="s">
        <v>11</v>
      </c>
      <c r="H1290" s="273" t="s">
        <v>11</v>
      </c>
    </row>
    <row r="1291" spans="1:8" x14ac:dyDescent="0.25">
      <c r="A1291" t="s">
        <v>33</v>
      </c>
      <c r="B1291" t="s">
        <v>56</v>
      </c>
      <c r="C1291" t="s">
        <v>1963</v>
      </c>
      <c r="D1291">
        <v>3</v>
      </c>
      <c r="E1291" s="273">
        <v>6</v>
      </c>
      <c r="F1291" s="273" t="s">
        <v>7</v>
      </c>
      <c r="G1291" s="273" t="s">
        <v>11</v>
      </c>
      <c r="H1291" s="273" t="s">
        <v>11</v>
      </c>
    </row>
    <row r="1292" spans="1:8" x14ac:dyDescent="0.25">
      <c r="A1292" t="s">
        <v>33</v>
      </c>
      <c r="B1292" t="s">
        <v>56</v>
      </c>
      <c r="C1292" t="s">
        <v>1964</v>
      </c>
      <c r="D1292">
        <v>2</v>
      </c>
      <c r="E1292" s="273">
        <v>7</v>
      </c>
      <c r="F1292" s="273" t="s">
        <v>11</v>
      </c>
      <c r="G1292" s="273" t="s">
        <v>11</v>
      </c>
      <c r="H1292" s="273" t="s">
        <v>11</v>
      </c>
    </row>
    <row r="1293" spans="1:8" x14ac:dyDescent="0.25">
      <c r="A1293" t="s">
        <v>33</v>
      </c>
      <c r="B1293" t="s">
        <v>56</v>
      </c>
      <c r="C1293" t="s">
        <v>1965</v>
      </c>
      <c r="D1293">
        <v>3</v>
      </c>
      <c r="E1293" s="273">
        <v>6</v>
      </c>
      <c r="F1293" s="273" t="s">
        <v>7</v>
      </c>
      <c r="G1293" s="273" t="s">
        <v>11</v>
      </c>
      <c r="H1293" s="273" t="s">
        <v>11</v>
      </c>
    </row>
    <row r="1294" spans="1:8" x14ac:dyDescent="0.25">
      <c r="A1294" t="s">
        <v>33</v>
      </c>
      <c r="B1294" t="s">
        <v>56</v>
      </c>
      <c r="C1294" t="s">
        <v>1966</v>
      </c>
      <c r="D1294">
        <v>3</v>
      </c>
      <c r="E1294" s="273">
        <v>5</v>
      </c>
      <c r="F1294" s="273" t="s">
        <v>7</v>
      </c>
      <c r="G1294" s="273" t="s">
        <v>11</v>
      </c>
      <c r="H1294" s="273" t="s">
        <v>11</v>
      </c>
    </row>
    <row r="1295" spans="1:8" x14ac:dyDescent="0.25">
      <c r="A1295" t="s">
        <v>33</v>
      </c>
      <c r="B1295" t="s">
        <v>56</v>
      </c>
      <c r="C1295" t="s">
        <v>1967</v>
      </c>
      <c r="D1295">
        <v>1</v>
      </c>
      <c r="E1295" s="273">
        <v>5</v>
      </c>
      <c r="F1295" s="273" t="s">
        <v>7</v>
      </c>
      <c r="G1295" s="273" t="s">
        <v>11</v>
      </c>
      <c r="H1295" s="273" t="s">
        <v>11</v>
      </c>
    </row>
    <row r="1296" spans="1:8" x14ac:dyDescent="0.25">
      <c r="A1296" t="s">
        <v>33</v>
      </c>
      <c r="B1296" t="s">
        <v>56</v>
      </c>
      <c r="C1296" t="s">
        <v>1968</v>
      </c>
      <c r="D1296">
        <v>2</v>
      </c>
      <c r="E1296" s="273">
        <v>7</v>
      </c>
      <c r="F1296" s="273" t="s">
        <v>11</v>
      </c>
      <c r="G1296" s="273" t="s">
        <v>11</v>
      </c>
      <c r="H1296" s="273" t="s">
        <v>11</v>
      </c>
    </row>
    <row r="1297" spans="1:8" x14ac:dyDescent="0.25">
      <c r="A1297" t="s">
        <v>33</v>
      </c>
      <c r="B1297" t="s">
        <v>56</v>
      </c>
      <c r="C1297" t="s">
        <v>1969</v>
      </c>
      <c r="D1297">
        <v>3</v>
      </c>
      <c r="E1297" s="273">
        <v>6</v>
      </c>
      <c r="F1297" s="273" t="s">
        <v>7</v>
      </c>
      <c r="G1297" s="273" t="s">
        <v>11</v>
      </c>
      <c r="H1297" s="273" t="s">
        <v>11</v>
      </c>
    </row>
    <row r="1298" spans="1:8" x14ac:dyDescent="0.25">
      <c r="A1298" t="s">
        <v>33</v>
      </c>
      <c r="B1298" t="s">
        <v>56</v>
      </c>
      <c r="C1298" t="s">
        <v>1970</v>
      </c>
      <c r="D1298">
        <v>2</v>
      </c>
      <c r="E1298" s="273">
        <v>5</v>
      </c>
      <c r="F1298" s="273" t="s">
        <v>7</v>
      </c>
      <c r="G1298" s="273" t="s">
        <v>11</v>
      </c>
      <c r="H1298" s="273" t="s">
        <v>11</v>
      </c>
    </row>
    <row r="1299" spans="1:8" x14ac:dyDescent="0.25">
      <c r="A1299" t="s">
        <v>33</v>
      </c>
      <c r="B1299" t="s">
        <v>56</v>
      </c>
      <c r="C1299" t="s">
        <v>1971</v>
      </c>
      <c r="D1299">
        <v>2</v>
      </c>
      <c r="E1299" s="273">
        <v>5</v>
      </c>
      <c r="F1299" s="273" t="s">
        <v>7</v>
      </c>
      <c r="G1299" s="273" t="s">
        <v>11</v>
      </c>
      <c r="H1299" s="273" t="s">
        <v>11</v>
      </c>
    </row>
    <row r="1300" spans="1:8" x14ac:dyDescent="0.25">
      <c r="A1300" t="s">
        <v>33</v>
      </c>
      <c r="B1300" t="s">
        <v>56</v>
      </c>
      <c r="C1300" t="s">
        <v>1972</v>
      </c>
      <c r="D1300">
        <v>3</v>
      </c>
      <c r="E1300" s="273">
        <v>6</v>
      </c>
      <c r="F1300" s="273" t="s">
        <v>7</v>
      </c>
      <c r="G1300" s="273" t="s">
        <v>11</v>
      </c>
      <c r="H1300" s="273" t="s">
        <v>11</v>
      </c>
    </row>
    <row r="1301" spans="1:8" x14ac:dyDescent="0.25">
      <c r="A1301" t="s">
        <v>33</v>
      </c>
      <c r="B1301" t="s">
        <v>56</v>
      </c>
      <c r="C1301" t="s">
        <v>1973</v>
      </c>
      <c r="D1301">
        <v>2</v>
      </c>
      <c r="E1301" s="273">
        <v>7</v>
      </c>
      <c r="F1301" s="273" t="s">
        <v>11</v>
      </c>
      <c r="G1301" s="273" t="s">
        <v>11</v>
      </c>
      <c r="H1301" s="273" t="s">
        <v>11</v>
      </c>
    </row>
    <row r="1302" spans="1:8" x14ac:dyDescent="0.25">
      <c r="A1302" t="s">
        <v>33</v>
      </c>
      <c r="B1302" t="s">
        <v>56</v>
      </c>
      <c r="C1302" t="s">
        <v>1974</v>
      </c>
      <c r="D1302">
        <v>3</v>
      </c>
      <c r="E1302" s="273">
        <v>6</v>
      </c>
      <c r="F1302" s="273" t="s">
        <v>7</v>
      </c>
      <c r="G1302" s="273" t="s">
        <v>11</v>
      </c>
      <c r="H1302" s="273" t="s">
        <v>11</v>
      </c>
    </row>
    <row r="1303" spans="1:8" x14ac:dyDescent="0.25">
      <c r="A1303" t="s">
        <v>33</v>
      </c>
      <c r="B1303" t="s">
        <v>56</v>
      </c>
      <c r="C1303" t="s">
        <v>1149</v>
      </c>
      <c r="D1303">
        <v>1</v>
      </c>
      <c r="E1303" s="273">
        <v>5</v>
      </c>
      <c r="F1303" s="273" t="s">
        <v>7</v>
      </c>
      <c r="G1303" s="273" t="s">
        <v>11</v>
      </c>
      <c r="H1303" s="273" t="s">
        <v>11</v>
      </c>
    </row>
    <row r="1304" spans="1:8" x14ac:dyDescent="0.25">
      <c r="A1304" t="s">
        <v>33</v>
      </c>
      <c r="B1304" t="s">
        <v>56</v>
      </c>
      <c r="C1304" t="s">
        <v>1975</v>
      </c>
      <c r="D1304">
        <v>1</v>
      </c>
      <c r="E1304" s="273">
        <v>5</v>
      </c>
      <c r="F1304" s="273" t="s">
        <v>7</v>
      </c>
      <c r="G1304" s="273" t="s">
        <v>11</v>
      </c>
      <c r="H1304" s="273" t="s">
        <v>11</v>
      </c>
    </row>
    <row r="1305" spans="1:8" x14ac:dyDescent="0.25">
      <c r="A1305" t="s">
        <v>33</v>
      </c>
      <c r="B1305" t="s">
        <v>56</v>
      </c>
      <c r="C1305" t="s">
        <v>1976</v>
      </c>
      <c r="D1305">
        <v>3</v>
      </c>
      <c r="E1305" s="273">
        <v>6</v>
      </c>
      <c r="F1305" s="273" t="s">
        <v>7</v>
      </c>
      <c r="G1305" s="273" t="s">
        <v>11</v>
      </c>
      <c r="H1305" s="273" t="s">
        <v>11</v>
      </c>
    </row>
    <row r="1306" spans="1:8" x14ac:dyDescent="0.25">
      <c r="A1306" t="s">
        <v>33</v>
      </c>
      <c r="B1306" t="s">
        <v>56</v>
      </c>
      <c r="C1306" t="s">
        <v>1402</v>
      </c>
      <c r="D1306">
        <v>2</v>
      </c>
      <c r="E1306" s="273">
        <v>5</v>
      </c>
      <c r="F1306" s="273" t="s">
        <v>7</v>
      </c>
      <c r="G1306" s="273" t="s">
        <v>11</v>
      </c>
      <c r="H1306" s="273" t="s">
        <v>11</v>
      </c>
    </row>
    <row r="1307" spans="1:8" x14ac:dyDescent="0.25">
      <c r="A1307" t="s">
        <v>33</v>
      </c>
      <c r="B1307" t="s">
        <v>56</v>
      </c>
      <c r="C1307" t="s">
        <v>1977</v>
      </c>
      <c r="D1307">
        <v>2</v>
      </c>
      <c r="E1307" s="273">
        <v>7</v>
      </c>
      <c r="F1307" s="273" t="s">
        <v>11</v>
      </c>
      <c r="G1307" s="273" t="s">
        <v>11</v>
      </c>
      <c r="H1307" s="273" t="s">
        <v>11</v>
      </c>
    </row>
    <row r="1308" spans="1:8" x14ac:dyDescent="0.25">
      <c r="A1308" t="s">
        <v>33</v>
      </c>
      <c r="B1308" t="s">
        <v>56</v>
      </c>
      <c r="C1308" t="s">
        <v>1299</v>
      </c>
      <c r="D1308">
        <v>3</v>
      </c>
      <c r="E1308" s="273">
        <v>6</v>
      </c>
      <c r="F1308" s="273" t="s">
        <v>7</v>
      </c>
      <c r="G1308" s="273" t="s">
        <v>11</v>
      </c>
      <c r="H1308" s="273" t="s">
        <v>11</v>
      </c>
    </row>
    <row r="1309" spans="1:8" x14ac:dyDescent="0.25">
      <c r="A1309" t="s">
        <v>33</v>
      </c>
      <c r="B1309" t="s">
        <v>56</v>
      </c>
      <c r="C1309" t="s">
        <v>1978</v>
      </c>
      <c r="D1309">
        <v>2</v>
      </c>
      <c r="E1309" s="273">
        <v>5</v>
      </c>
      <c r="F1309" s="273" t="s">
        <v>7</v>
      </c>
      <c r="G1309" s="273" t="s">
        <v>11</v>
      </c>
      <c r="H1309" s="273" t="s">
        <v>11</v>
      </c>
    </row>
    <row r="1310" spans="1:8" x14ac:dyDescent="0.25">
      <c r="A1310" t="s">
        <v>33</v>
      </c>
      <c r="B1310" t="s">
        <v>56</v>
      </c>
      <c r="C1310" t="s">
        <v>1979</v>
      </c>
      <c r="D1310">
        <v>2</v>
      </c>
      <c r="E1310" s="273">
        <v>6</v>
      </c>
      <c r="F1310" s="273" t="s">
        <v>7</v>
      </c>
      <c r="G1310" s="273" t="s">
        <v>11</v>
      </c>
      <c r="H1310" s="273" t="s">
        <v>11</v>
      </c>
    </row>
    <row r="1311" spans="1:8" x14ac:dyDescent="0.25">
      <c r="A1311" t="s">
        <v>33</v>
      </c>
      <c r="B1311" t="s">
        <v>56</v>
      </c>
      <c r="C1311" t="s">
        <v>1980</v>
      </c>
      <c r="D1311">
        <v>1</v>
      </c>
      <c r="E1311" s="273">
        <v>5</v>
      </c>
      <c r="F1311" s="273" t="s">
        <v>7</v>
      </c>
      <c r="G1311" s="273" t="s">
        <v>11</v>
      </c>
      <c r="H1311" s="273" t="s">
        <v>11</v>
      </c>
    </row>
    <row r="1312" spans="1:8" x14ac:dyDescent="0.25">
      <c r="A1312" t="s">
        <v>33</v>
      </c>
      <c r="B1312" t="s">
        <v>56</v>
      </c>
      <c r="C1312" t="s">
        <v>1629</v>
      </c>
      <c r="D1312">
        <v>2</v>
      </c>
      <c r="E1312" s="273">
        <v>5</v>
      </c>
      <c r="F1312" s="273" t="s">
        <v>7</v>
      </c>
      <c r="G1312" s="273" t="s">
        <v>11</v>
      </c>
      <c r="H1312" s="273" t="s">
        <v>11</v>
      </c>
    </row>
    <row r="1313" spans="1:8" x14ac:dyDescent="0.25">
      <c r="A1313" t="s">
        <v>33</v>
      </c>
      <c r="B1313" t="s">
        <v>56</v>
      </c>
      <c r="C1313" t="s">
        <v>1981</v>
      </c>
      <c r="D1313">
        <v>3</v>
      </c>
      <c r="E1313" s="273">
        <v>7</v>
      </c>
      <c r="F1313" s="273" t="s">
        <v>11</v>
      </c>
      <c r="G1313" s="273" t="s">
        <v>11</v>
      </c>
      <c r="H1313" s="273" t="s">
        <v>11</v>
      </c>
    </row>
    <row r="1314" spans="1:8" x14ac:dyDescent="0.25">
      <c r="A1314" t="s">
        <v>33</v>
      </c>
      <c r="B1314" t="s">
        <v>56</v>
      </c>
      <c r="C1314" t="s">
        <v>1982</v>
      </c>
      <c r="D1314">
        <v>3</v>
      </c>
      <c r="E1314" s="273">
        <v>7</v>
      </c>
      <c r="F1314" s="273" t="s">
        <v>11</v>
      </c>
      <c r="G1314" s="273" t="s">
        <v>11</v>
      </c>
      <c r="H1314" s="273" t="s">
        <v>11</v>
      </c>
    </row>
    <row r="1315" spans="1:8" x14ac:dyDescent="0.25">
      <c r="A1315" t="s">
        <v>33</v>
      </c>
      <c r="B1315" t="s">
        <v>56</v>
      </c>
      <c r="C1315" t="s">
        <v>1983</v>
      </c>
      <c r="D1315">
        <v>3</v>
      </c>
      <c r="E1315" s="273">
        <v>5</v>
      </c>
      <c r="F1315" s="273" t="s">
        <v>7</v>
      </c>
      <c r="G1315" s="273" t="s">
        <v>11</v>
      </c>
      <c r="H1315" s="273" t="s">
        <v>11</v>
      </c>
    </row>
    <row r="1316" spans="1:8" x14ac:dyDescent="0.25">
      <c r="A1316" t="s">
        <v>33</v>
      </c>
      <c r="B1316" t="s">
        <v>56</v>
      </c>
      <c r="C1316" t="s">
        <v>1984</v>
      </c>
      <c r="D1316">
        <v>3</v>
      </c>
      <c r="E1316" s="273">
        <v>6</v>
      </c>
      <c r="F1316" s="273" t="s">
        <v>7</v>
      </c>
      <c r="G1316" s="273" t="s">
        <v>11</v>
      </c>
      <c r="H1316" s="273" t="s">
        <v>11</v>
      </c>
    </row>
    <row r="1317" spans="1:8" x14ac:dyDescent="0.25">
      <c r="A1317" t="s">
        <v>33</v>
      </c>
      <c r="B1317" t="s">
        <v>56</v>
      </c>
      <c r="C1317" t="s">
        <v>1985</v>
      </c>
      <c r="D1317">
        <v>2</v>
      </c>
      <c r="E1317" s="273">
        <v>6</v>
      </c>
      <c r="F1317" s="273" t="s">
        <v>7</v>
      </c>
      <c r="G1317" s="273" t="s">
        <v>11</v>
      </c>
      <c r="H1317" s="273" t="s">
        <v>11</v>
      </c>
    </row>
    <row r="1318" spans="1:8" x14ac:dyDescent="0.25">
      <c r="A1318" t="s">
        <v>33</v>
      </c>
      <c r="B1318" t="s">
        <v>56</v>
      </c>
      <c r="C1318" t="s">
        <v>1631</v>
      </c>
      <c r="D1318">
        <v>3</v>
      </c>
      <c r="E1318" s="273">
        <v>6</v>
      </c>
      <c r="F1318" s="273" t="s">
        <v>7</v>
      </c>
      <c r="G1318" s="273" t="s">
        <v>11</v>
      </c>
      <c r="H1318" s="273" t="s">
        <v>11</v>
      </c>
    </row>
    <row r="1319" spans="1:8" x14ac:dyDescent="0.25">
      <c r="A1319" t="s">
        <v>33</v>
      </c>
      <c r="B1319" t="s">
        <v>56</v>
      </c>
      <c r="C1319" t="s">
        <v>1986</v>
      </c>
      <c r="D1319">
        <v>3</v>
      </c>
      <c r="E1319" s="273">
        <v>6</v>
      </c>
      <c r="F1319" s="273" t="s">
        <v>7</v>
      </c>
      <c r="G1319" s="273" t="s">
        <v>11</v>
      </c>
      <c r="H1319" s="273" t="s">
        <v>11</v>
      </c>
    </row>
    <row r="1320" spans="1:8" x14ac:dyDescent="0.25">
      <c r="A1320" t="s">
        <v>33</v>
      </c>
      <c r="B1320" t="s">
        <v>56</v>
      </c>
      <c r="C1320" t="s">
        <v>1987</v>
      </c>
      <c r="D1320">
        <v>2</v>
      </c>
      <c r="E1320" s="273">
        <v>6</v>
      </c>
      <c r="F1320" s="273" t="s">
        <v>7</v>
      </c>
      <c r="G1320" s="273" t="s">
        <v>11</v>
      </c>
      <c r="H1320" s="273" t="s">
        <v>11</v>
      </c>
    </row>
    <row r="1321" spans="1:8" x14ac:dyDescent="0.25">
      <c r="A1321" t="s">
        <v>33</v>
      </c>
      <c r="B1321" t="s">
        <v>56</v>
      </c>
      <c r="C1321" t="s">
        <v>1988</v>
      </c>
      <c r="D1321">
        <v>3</v>
      </c>
      <c r="E1321" s="273">
        <v>5</v>
      </c>
      <c r="F1321" s="273" t="s">
        <v>7</v>
      </c>
      <c r="G1321" s="273" t="s">
        <v>11</v>
      </c>
      <c r="H1321" s="273" t="s">
        <v>11</v>
      </c>
    </row>
    <row r="1322" spans="1:8" x14ac:dyDescent="0.25">
      <c r="A1322" t="s">
        <v>33</v>
      </c>
      <c r="B1322" t="s">
        <v>56</v>
      </c>
      <c r="C1322" t="s">
        <v>1989</v>
      </c>
      <c r="D1322">
        <v>3</v>
      </c>
      <c r="E1322" s="273">
        <v>6</v>
      </c>
      <c r="F1322" s="273" t="s">
        <v>7</v>
      </c>
      <c r="G1322" s="273" t="s">
        <v>11</v>
      </c>
      <c r="H1322" s="273" t="s">
        <v>11</v>
      </c>
    </row>
    <row r="1323" spans="1:8" x14ac:dyDescent="0.25">
      <c r="A1323" t="s">
        <v>33</v>
      </c>
      <c r="B1323" t="s">
        <v>56</v>
      </c>
      <c r="C1323" t="s">
        <v>1163</v>
      </c>
      <c r="D1323">
        <v>2</v>
      </c>
      <c r="E1323" s="273">
        <v>5</v>
      </c>
      <c r="F1323" s="273" t="s">
        <v>7</v>
      </c>
      <c r="G1323" s="273" t="s">
        <v>11</v>
      </c>
      <c r="H1323" s="273" t="s">
        <v>11</v>
      </c>
    </row>
    <row r="1324" spans="1:8" x14ac:dyDescent="0.25">
      <c r="A1324" t="s">
        <v>33</v>
      </c>
      <c r="B1324" t="s">
        <v>56</v>
      </c>
      <c r="C1324" t="s">
        <v>1990</v>
      </c>
      <c r="D1324">
        <v>2</v>
      </c>
      <c r="E1324" s="273">
        <v>5</v>
      </c>
      <c r="F1324" s="273" t="s">
        <v>7</v>
      </c>
      <c r="G1324" s="273" t="s">
        <v>11</v>
      </c>
      <c r="H1324" s="273" t="s">
        <v>11</v>
      </c>
    </row>
    <row r="1325" spans="1:8" x14ac:dyDescent="0.25">
      <c r="A1325" t="s">
        <v>33</v>
      </c>
      <c r="B1325" t="s">
        <v>56</v>
      </c>
      <c r="C1325" t="s">
        <v>1991</v>
      </c>
      <c r="D1325">
        <v>2</v>
      </c>
      <c r="E1325" s="273">
        <v>6</v>
      </c>
      <c r="F1325" s="273" t="s">
        <v>7</v>
      </c>
      <c r="G1325" s="273" t="s">
        <v>11</v>
      </c>
      <c r="H1325" s="273" t="s">
        <v>11</v>
      </c>
    </row>
    <row r="1326" spans="1:8" x14ac:dyDescent="0.25">
      <c r="A1326" t="s">
        <v>33</v>
      </c>
      <c r="B1326" t="s">
        <v>56</v>
      </c>
      <c r="C1326" t="s">
        <v>1992</v>
      </c>
      <c r="D1326">
        <v>3</v>
      </c>
      <c r="E1326" s="273">
        <v>5</v>
      </c>
      <c r="F1326" s="273" t="s">
        <v>7</v>
      </c>
      <c r="G1326" s="273" t="s">
        <v>11</v>
      </c>
      <c r="H1326" s="273" t="s">
        <v>11</v>
      </c>
    </row>
    <row r="1327" spans="1:8" x14ac:dyDescent="0.25">
      <c r="A1327" t="s">
        <v>33</v>
      </c>
      <c r="B1327" t="s">
        <v>56</v>
      </c>
      <c r="C1327" t="s">
        <v>1993</v>
      </c>
      <c r="D1327">
        <v>3</v>
      </c>
      <c r="E1327" s="273">
        <v>6</v>
      </c>
      <c r="F1327" s="273" t="s">
        <v>7</v>
      </c>
      <c r="G1327" s="273" t="s">
        <v>11</v>
      </c>
      <c r="H1327" s="273" t="s">
        <v>11</v>
      </c>
    </row>
    <row r="1328" spans="1:8" x14ac:dyDescent="0.25">
      <c r="A1328" t="s">
        <v>33</v>
      </c>
      <c r="B1328" t="s">
        <v>56</v>
      </c>
      <c r="C1328" t="s">
        <v>1994</v>
      </c>
      <c r="D1328">
        <v>2</v>
      </c>
      <c r="E1328" s="273">
        <v>5</v>
      </c>
      <c r="F1328" s="273" t="s">
        <v>7</v>
      </c>
      <c r="G1328" s="273" t="s">
        <v>11</v>
      </c>
      <c r="H1328" s="273" t="s">
        <v>11</v>
      </c>
    </row>
    <row r="1329" spans="1:8" x14ac:dyDescent="0.25">
      <c r="A1329" t="s">
        <v>33</v>
      </c>
      <c r="B1329" t="s">
        <v>56</v>
      </c>
      <c r="C1329" t="s">
        <v>1995</v>
      </c>
      <c r="D1329">
        <v>3</v>
      </c>
      <c r="E1329" s="273">
        <v>6</v>
      </c>
      <c r="F1329" s="273" t="s">
        <v>7</v>
      </c>
      <c r="G1329" s="273" t="s">
        <v>11</v>
      </c>
      <c r="H1329" s="273" t="s">
        <v>11</v>
      </c>
    </row>
    <row r="1330" spans="1:8" x14ac:dyDescent="0.25">
      <c r="A1330" t="s">
        <v>33</v>
      </c>
      <c r="B1330" t="s">
        <v>56</v>
      </c>
      <c r="C1330" t="s">
        <v>1996</v>
      </c>
      <c r="D1330">
        <v>3</v>
      </c>
      <c r="E1330" s="273">
        <v>6</v>
      </c>
      <c r="F1330" s="273" t="s">
        <v>7</v>
      </c>
      <c r="G1330" s="273" t="s">
        <v>11</v>
      </c>
      <c r="H1330" s="273" t="s">
        <v>11</v>
      </c>
    </row>
    <row r="1331" spans="1:8" x14ac:dyDescent="0.25">
      <c r="A1331" t="s">
        <v>33</v>
      </c>
      <c r="B1331" t="s">
        <v>56</v>
      </c>
      <c r="C1331" t="s">
        <v>1997</v>
      </c>
      <c r="D1331">
        <v>3</v>
      </c>
      <c r="E1331" s="273">
        <v>7</v>
      </c>
      <c r="F1331" s="273" t="s">
        <v>11</v>
      </c>
      <c r="G1331" s="273" t="s">
        <v>11</v>
      </c>
      <c r="H1331" s="273" t="s">
        <v>11</v>
      </c>
    </row>
    <row r="1332" spans="1:8" x14ac:dyDescent="0.25">
      <c r="A1332" t="s">
        <v>33</v>
      </c>
      <c r="B1332" t="s">
        <v>56</v>
      </c>
      <c r="C1332" t="s">
        <v>1440</v>
      </c>
      <c r="D1332">
        <v>3</v>
      </c>
      <c r="E1332" s="273">
        <v>6</v>
      </c>
      <c r="F1332" s="273" t="s">
        <v>7</v>
      </c>
      <c r="G1332" s="273" t="s">
        <v>11</v>
      </c>
      <c r="H1332" s="273" t="s">
        <v>11</v>
      </c>
    </row>
    <row r="1333" spans="1:8" x14ac:dyDescent="0.25">
      <c r="A1333" t="s">
        <v>33</v>
      </c>
      <c r="B1333" t="s">
        <v>56</v>
      </c>
      <c r="C1333" t="s">
        <v>1998</v>
      </c>
      <c r="D1333">
        <v>3</v>
      </c>
      <c r="E1333" s="273">
        <v>6</v>
      </c>
      <c r="F1333" s="273" t="s">
        <v>7</v>
      </c>
      <c r="G1333" s="273" t="s">
        <v>11</v>
      </c>
      <c r="H1333" s="273" t="s">
        <v>11</v>
      </c>
    </row>
    <row r="1334" spans="1:8" x14ac:dyDescent="0.25">
      <c r="A1334" t="s">
        <v>33</v>
      </c>
      <c r="B1334" t="s">
        <v>56</v>
      </c>
      <c r="C1334" t="s">
        <v>1999</v>
      </c>
      <c r="D1334">
        <v>2</v>
      </c>
      <c r="E1334" s="273">
        <v>6</v>
      </c>
      <c r="F1334" s="273" t="s">
        <v>7</v>
      </c>
      <c r="G1334" s="273" t="s">
        <v>11</v>
      </c>
      <c r="H1334" s="273" t="s">
        <v>11</v>
      </c>
    </row>
    <row r="1335" spans="1:8" x14ac:dyDescent="0.25">
      <c r="A1335" t="s">
        <v>33</v>
      </c>
      <c r="B1335" t="s">
        <v>56</v>
      </c>
      <c r="C1335" t="s">
        <v>1783</v>
      </c>
      <c r="D1335">
        <v>3</v>
      </c>
      <c r="E1335" s="273">
        <v>5</v>
      </c>
      <c r="F1335" s="273" t="s">
        <v>7</v>
      </c>
      <c r="G1335" s="273" t="s">
        <v>11</v>
      </c>
      <c r="H1335" s="273" t="s">
        <v>11</v>
      </c>
    </row>
    <row r="1336" spans="1:8" x14ac:dyDescent="0.25">
      <c r="A1336" t="s">
        <v>33</v>
      </c>
      <c r="B1336" t="s">
        <v>56</v>
      </c>
      <c r="C1336" t="s">
        <v>2000</v>
      </c>
      <c r="D1336">
        <v>2</v>
      </c>
      <c r="E1336" s="273">
        <v>6</v>
      </c>
      <c r="F1336" s="273" t="s">
        <v>7</v>
      </c>
      <c r="G1336" s="273" t="s">
        <v>11</v>
      </c>
      <c r="H1336" s="273" t="s">
        <v>11</v>
      </c>
    </row>
    <row r="1337" spans="1:8" x14ac:dyDescent="0.25">
      <c r="A1337" t="s">
        <v>33</v>
      </c>
      <c r="B1337" t="s">
        <v>56</v>
      </c>
      <c r="C1337" t="s">
        <v>2001</v>
      </c>
      <c r="D1337">
        <v>3</v>
      </c>
      <c r="E1337" s="273">
        <v>6</v>
      </c>
      <c r="F1337" s="273" t="s">
        <v>7</v>
      </c>
      <c r="G1337" s="273" t="s">
        <v>11</v>
      </c>
      <c r="H1337" s="273" t="s">
        <v>11</v>
      </c>
    </row>
    <row r="1338" spans="1:8" x14ac:dyDescent="0.25">
      <c r="A1338" t="s">
        <v>33</v>
      </c>
      <c r="B1338" t="s">
        <v>56</v>
      </c>
      <c r="C1338" t="s">
        <v>2002</v>
      </c>
      <c r="D1338">
        <v>3</v>
      </c>
      <c r="E1338" s="273">
        <v>5</v>
      </c>
      <c r="F1338" s="273" t="s">
        <v>7</v>
      </c>
      <c r="G1338" s="273" t="s">
        <v>11</v>
      </c>
      <c r="H1338" s="273" t="s">
        <v>11</v>
      </c>
    </row>
    <row r="1339" spans="1:8" x14ac:dyDescent="0.25">
      <c r="A1339" t="s">
        <v>33</v>
      </c>
      <c r="B1339" t="s">
        <v>56</v>
      </c>
      <c r="C1339" t="s">
        <v>1171</v>
      </c>
      <c r="D1339">
        <v>3</v>
      </c>
      <c r="E1339" s="273">
        <v>5</v>
      </c>
      <c r="F1339" s="273" t="s">
        <v>7</v>
      </c>
      <c r="G1339" s="273" t="s">
        <v>11</v>
      </c>
      <c r="H1339" s="273" t="s">
        <v>11</v>
      </c>
    </row>
    <row r="1340" spans="1:8" x14ac:dyDescent="0.25">
      <c r="A1340" t="s">
        <v>33</v>
      </c>
      <c r="B1340" t="s">
        <v>56</v>
      </c>
      <c r="C1340" t="s">
        <v>2003</v>
      </c>
      <c r="D1340">
        <v>1</v>
      </c>
      <c r="E1340" s="273">
        <v>5</v>
      </c>
      <c r="F1340" s="273" t="s">
        <v>7</v>
      </c>
      <c r="G1340" s="273" t="s">
        <v>11</v>
      </c>
      <c r="H1340" s="273" t="s">
        <v>11</v>
      </c>
    </row>
    <row r="1341" spans="1:8" x14ac:dyDescent="0.25">
      <c r="A1341" t="s">
        <v>33</v>
      </c>
      <c r="B1341" t="s">
        <v>56</v>
      </c>
      <c r="C1341" t="s">
        <v>2004</v>
      </c>
      <c r="D1341">
        <v>2</v>
      </c>
      <c r="E1341" s="273">
        <v>6</v>
      </c>
      <c r="F1341" s="273" t="s">
        <v>7</v>
      </c>
      <c r="G1341" s="273" t="s">
        <v>11</v>
      </c>
      <c r="H1341" s="273" t="s">
        <v>11</v>
      </c>
    </row>
    <row r="1342" spans="1:8" x14ac:dyDescent="0.25">
      <c r="A1342" t="s">
        <v>33</v>
      </c>
      <c r="B1342" t="s">
        <v>56</v>
      </c>
      <c r="C1342" t="s">
        <v>2005</v>
      </c>
      <c r="D1342">
        <v>3</v>
      </c>
      <c r="E1342" s="273">
        <v>7</v>
      </c>
      <c r="F1342" s="273" t="s">
        <v>11</v>
      </c>
      <c r="G1342" s="273" t="s">
        <v>11</v>
      </c>
      <c r="H1342" s="273" t="s">
        <v>11</v>
      </c>
    </row>
    <row r="1343" spans="1:8" x14ac:dyDescent="0.25">
      <c r="A1343" t="s">
        <v>33</v>
      </c>
      <c r="B1343" t="s">
        <v>56</v>
      </c>
      <c r="C1343" t="s">
        <v>2006</v>
      </c>
      <c r="D1343">
        <v>2</v>
      </c>
      <c r="E1343" s="273">
        <v>5</v>
      </c>
      <c r="F1343" s="273" t="s">
        <v>7</v>
      </c>
      <c r="G1343" s="273" t="s">
        <v>11</v>
      </c>
      <c r="H1343" s="273" t="s">
        <v>11</v>
      </c>
    </row>
    <row r="1344" spans="1:8" x14ac:dyDescent="0.25">
      <c r="A1344" t="s">
        <v>33</v>
      </c>
      <c r="B1344" t="s">
        <v>56</v>
      </c>
      <c r="C1344" t="s">
        <v>2007</v>
      </c>
      <c r="D1344">
        <v>3</v>
      </c>
      <c r="E1344" s="273">
        <v>5</v>
      </c>
      <c r="F1344" s="273" t="s">
        <v>7</v>
      </c>
      <c r="G1344" s="273" t="s">
        <v>11</v>
      </c>
      <c r="H1344" s="273" t="s">
        <v>11</v>
      </c>
    </row>
    <row r="1345" spans="1:8" x14ac:dyDescent="0.25">
      <c r="A1345" t="s">
        <v>33</v>
      </c>
      <c r="B1345" t="s">
        <v>56</v>
      </c>
      <c r="C1345" t="s">
        <v>1279</v>
      </c>
      <c r="D1345">
        <v>3</v>
      </c>
      <c r="E1345" s="273">
        <v>5</v>
      </c>
      <c r="F1345" s="273" t="s">
        <v>7</v>
      </c>
      <c r="G1345" s="273" t="s">
        <v>11</v>
      </c>
      <c r="H1345" s="273" t="s">
        <v>11</v>
      </c>
    </row>
    <row r="1346" spans="1:8" x14ac:dyDescent="0.25">
      <c r="A1346" t="s">
        <v>33</v>
      </c>
      <c r="B1346" t="s">
        <v>56</v>
      </c>
      <c r="C1346" t="s">
        <v>2008</v>
      </c>
      <c r="D1346">
        <v>1</v>
      </c>
      <c r="E1346" s="273">
        <v>5</v>
      </c>
      <c r="F1346" s="273" t="s">
        <v>7</v>
      </c>
      <c r="G1346" s="273" t="s">
        <v>11</v>
      </c>
      <c r="H1346" s="273" t="s">
        <v>11</v>
      </c>
    </row>
    <row r="1347" spans="1:8" x14ac:dyDescent="0.25">
      <c r="A1347" t="s">
        <v>33</v>
      </c>
      <c r="B1347" t="s">
        <v>56</v>
      </c>
      <c r="C1347" t="s">
        <v>1557</v>
      </c>
      <c r="D1347">
        <v>3</v>
      </c>
      <c r="E1347" s="273">
        <v>5</v>
      </c>
      <c r="F1347" s="273" t="s">
        <v>7</v>
      </c>
      <c r="G1347" s="273" t="s">
        <v>11</v>
      </c>
      <c r="H1347" s="273" t="s">
        <v>11</v>
      </c>
    </row>
    <row r="1348" spans="1:8" x14ac:dyDescent="0.25">
      <c r="A1348" t="s">
        <v>33</v>
      </c>
      <c r="B1348" t="s">
        <v>56</v>
      </c>
      <c r="C1348" t="s">
        <v>2009</v>
      </c>
      <c r="D1348">
        <v>3</v>
      </c>
      <c r="E1348" s="273">
        <v>6</v>
      </c>
      <c r="F1348" s="273" t="s">
        <v>7</v>
      </c>
      <c r="G1348" s="273" t="s">
        <v>11</v>
      </c>
      <c r="H1348" s="273" t="s">
        <v>11</v>
      </c>
    </row>
    <row r="1349" spans="1:8" x14ac:dyDescent="0.25">
      <c r="A1349" t="s">
        <v>34</v>
      </c>
      <c r="B1349" t="s">
        <v>67</v>
      </c>
      <c r="C1349" t="s">
        <v>2010</v>
      </c>
      <c r="D1349">
        <v>2</v>
      </c>
      <c r="E1349" s="273">
        <v>7</v>
      </c>
      <c r="F1349" s="273" t="s">
        <v>11</v>
      </c>
      <c r="G1349" s="273" t="s">
        <v>11</v>
      </c>
      <c r="H1349" s="273" t="s">
        <v>11</v>
      </c>
    </row>
    <row r="1350" spans="1:8" x14ac:dyDescent="0.25">
      <c r="A1350" t="s">
        <v>34</v>
      </c>
      <c r="B1350" t="s">
        <v>67</v>
      </c>
      <c r="C1350" t="s">
        <v>2011</v>
      </c>
      <c r="D1350">
        <v>2</v>
      </c>
      <c r="E1350" s="273">
        <v>6</v>
      </c>
      <c r="F1350" s="273" t="s">
        <v>7</v>
      </c>
      <c r="G1350" s="273" t="s">
        <v>11</v>
      </c>
      <c r="H1350" s="273" t="s">
        <v>11</v>
      </c>
    </row>
    <row r="1351" spans="1:8" x14ac:dyDescent="0.25">
      <c r="A1351" t="s">
        <v>34</v>
      </c>
      <c r="B1351" t="s">
        <v>67</v>
      </c>
      <c r="C1351" t="s">
        <v>2012</v>
      </c>
      <c r="D1351">
        <v>1</v>
      </c>
      <c r="E1351" s="273">
        <v>7</v>
      </c>
      <c r="F1351" s="273" t="s">
        <v>11</v>
      </c>
      <c r="G1351" s="273" t="s">
        <v>11</v>
      </c>
      <c r="H1351" s="273" t="s">
        <v>11</v>
      </c>
    </row>
    <row r="1352" spans="1:8" x14ac:dyDescent="0.25">
      <c r="A1352" t="s">
        <v>34</v>
      </c>
      <c r="B1352" t="s">
        <v>67</v>
      </c>
      <c r="C1352" t="s">
        <v>2013</v>
      </c>
      <c r="D1352">
        <v>2</v>
      </c>
      <c r="E1352" s="273">
        <v>7</v>
      </c>
      <c r="F1352" s="273" t="s">
        <v>11</v>
      </c>
      <c r="G1352" s="273" t="s">
        <v>11</v>
      </c>
      <c r="H1352" s="273" t="s">
        <v>11</v>
      </c>
    </row>
    <row r="1353" spans="1:8" x14ac:dyDescent="0.25">
      <c r="A1353" t="s">
        <v>34</v>
      </c>
      <c r="B1353" t="s">
        <v>67</v>
      </c>
      <c r="C1353" t="s">
        <v>1229</v>
      </c>
      <c r="D1353">
        <v>2</v>
      </c>
      <c r="E1353" s="273">
        <v>6</v>
      </c>
      <c r="F1353" s="273" t="s">
        <v>7</v>
      </c>
      <c r="G1353" s="273" t="s">
        <v>11</v>
      </c>
      <c r="H1353" s="273" t="s">
        <v>11</v>
      </c>
    </row>
    <row r="1354" spans="1:8" x14ac:dyDescent="0.25">
      <c r="A1354" t="s">
        <v>34</v>
      </c>
      <c r="B1354" t="s">
        <v>67</v>
      </c>
      <c r="C1354" t="s">
        <v>2014</v>
      </c>
      <c r="D1354">
        <v>1</v>
      </c>
      <c r="E1354" s="273">
        <v>6</v>
      </c>
      <c r="F1354" s="273" t="s">
        <v>7</v>
      </c>
      <c r="G1354" s="273" t="s">
        <v>11</v>
      </c>
      <c r="H1354" s="273" t="s">
        <v>11</v>
      </c>
    </row>
    <row r="1355" spans="1:8" x14ac:dyDescent="0.25">
      <c r="A1355" t="s">
        <v>34</v>
      </c>
      <c r="B1355" t="s">
        <v>67</v>
      </c>
      <c r="C1355" t="s">
        <v>2015</v>
      </c>
      <c r="D1355">
        <v>1</v>
      </c>
      <c r="E1355" s="273">
        <v>6</v>
      </c>
      <c r="F1355" s="273" t="s">
        <v>7</v>
      </c>
      <c r="G1355" s="273" t="s">
        <v>11</v>
      </c>
      <c r="H1355" s="273" t="s">
        <v>11</v>
      </c>
    </row>
    <row r="1356" spans="1:8" x14ac:dyDescent="0.25">
      <c r="A1356" t="s">
        <v>34</v>
      </c>
      <c r="B1356" t="s">
        <v>67</v>
      </c>
      <c r="C1356" t="s">
        <v>1604</v>
      </c>
      <c r="D1356">
        <v>1</v>
      </c>
      <c r="E1356" s="273">
        <v>6</v>
      </c>
      <c r="F1356" s="273" t="s">
        <v>7</v>
      </c>
      <c r="G1356" s="273" t="s">
        <v>11</v>
      </c>
      <c r="H1356" s="273" t="s">
        <v>11</v>
      </c>
    </row>
    <row r="1357" spans="1:8" x14ac:dyDescent="0.25">
      <c r="A1357" t="s">
        <v>34</v>
      </c>
      <c r="B1357" t="s">
        <v>67</v>
      </c>
      <c r="C1357" t="s">
        <v>2016</v>
      </c>
      <c r="D1357">
        <v>2</v>
      </c>
      <c r="E1357" s="273">
        <v>7</v>
      </c>
      <c r="F1357" s="273" t="s">
        <v>11</v>
      </c>
      <c r="G1357" s="273" t="s">
        <v>11</v>
      </c>
      <c r="H1357" s="273" t="s">
        <v>11</v>
      </c>
    </row>
    <row r="1358" spans="1:8" x14ac:dyDescent="0.25">
      <c r="A1358" t="s">
        <v>34</v>
      </c>
      <c r="B1358" t="s">
        <v>67</v>
      </c>
      <c r="C1358" t="s">
        <v>2017</v>
      </c>
      <c r="D1358">
        <v>1</v>
      </c>
      <c r="E1358" s="273">
        <v>6</v>
      </c>
      <c r="F1358" s="273" t="s">
        <v>7</v>
      </c>
      <c r="G1358" s="273" t="s">
        <v>11</v>
      </c>
      <c r="H1358" s="273" t="s">
        <v>11</v>
      </c>
    </row>
    <row r="1359" spans="1:8" x14ac:dyDescent="0.25">
      <c r="A1359" t="s">
        <v>34</v>
      </c>
      <c r="B1359" t="s">
        <v>67</v>
      </c>
      <c r="C1359" t="s">
        <v>1606</v>
      </c>
      <c r="D1359">
        <v>2</v>
      </c>
      <c r="E1359" s="273">
        <v>7</v>
      </c>
      <c r="F1359" s="273" t="s">
        <v>11</v>
      </c>
      <c r="G1359" s="273" t="s">
        <v>11</v>
      </c>
      <c r="H1359" s="273" t="s">
        <v>11</v>
      </c>
    </row>
    <row r="1360" spans="1:8" x14ac:dyDescent="0.25">
      <c r="A1360" t="s">
        <v>34</v>
      </c>
      <c r="B1360" t="s">
        <v>67</v>
      </c>
      <c r="C1360" t="s">
        <v>1959</v>
      </c>
      <c r="D1360">
        <v>1</v>
      </c>
      <c r="E1360" s="273">
        <v>6</v>
      </c>
      <c r="F1360" s="273" t="s">
        <v>7</v>
      </c>
      <c r="G1360" s="273" t="s">
        <v>11</v>
      </c>
      <c r="H1360" s="273" t="s">
        <v>11</v>
      </c>
    </row>
    <row r="1361" spans="1:8" x14ac:dyDescent="0.25">
      <c r="A1361" t="s">
        <v>34</v>
      </c>
      <c r="B1361" t="s">
        <v>67</v>
      </c>
      <c r="C1361" t="s">
        <v>2018</v>
      </c>
      <c r="D1361">
        <v>2</v>
      </c>
      <c r="E1361" s="273">
        <v>6</v>
      </c>
      <c r="F1361" s="273" t="s">
        <v>7</v>
      </c>
      <c r="G1361" s="273" t="s">
        <v>11</v>
      </c>
      <c r="H1361" s="273" t="s">
        <v>11</v>
      </c>
    </row>
    <row r="1362" spans="1:8" x14ac:dyDescent="0.25">
      <c r="A1362" t="s">
        <v>34</v>
      </c>
      <c r="B1362" t="s">
        <v>67</v>
      </c>
      <c r="C1362" t="s">
        <v>1127</v>
      </c>
      <c r="D1362">
        <v>1</v>
      </c>
      <c r="E1362" s="273">
        <v>7</v>
      </c>
      <c r="F1362" s="273" t="s">
        <v>11</v>
      </c>
      <c r="G1362" s="273" t="s">
        <v>11</v>
      </c>
      <c r="H1362" s="273" t="s">
        <v>11</v>
      </c>
    </row>
    <row r="1363" spans="1:8" x14ac:dyDescent="0.25">
      <c r="A1363" t="s">
        <v>34</v>
      </c>
      <c r="B1363" t="s">
        <v>67</v>
      </c>
      <c r="C1363" t="s">
        <v>1583</v>
      </c>
      <c r="D1363">
        <v>2</v>
      </c>
      <c r="E1363" s="273">
        <v>7</v>
      </c>
      <c r="F1363" s="273" t="s">
        <v>11</v>
      </c>
      <c r="G1363" s="273" t="s">
        <v>11</v>
      </c>
      <c r="H1363" s="273" t="s">
        <v>11</v>
      </c>
    </row>
    <row r="1364" spans="1:8" x14ac:dyDescent="0.25">
      <c r="A1364" t="s">
        <v>34</v>
      </c>
      <c r="B1364" t="s">
        <v>67</v>
      </c>
      <c r="C1364" t="s">
        <v>1481</v>
      </c>
      <c r="D1364">
        <v>2</v>
      </c>
      <c r="E1364" s="273">
        <v>7</v>
      </c>
      <c r="F1364" s="273" t="s">
        <v>11</v>
      </c>
      <c r="G1364" s="273" t="s">
        <v>11</v>
      </c>
      <c r="H1364" s="273" t="s">
        <v>11</v>
      </c>
    </row>
    <row r="1365" spans="1:8" x14ac:dyDescent="0.25">
      <c r="A1365" t="s">
        <v>34</v>
      </c>
      <c r="B1365" t="s">
        <v>67</v>
      </c>
      <c r="C1365" t="s">
        <v>2019</v>
      </c>
      <c r="D1365">
        <v>1</v>
      </c>
      <c r="E1365" s="273">
        <v>6</v>
      </c>
      <c r="F1365" s="273" t="s">
        <v>7</v>
      </c>
      <c r="G1365" s="273" t="s">
        <v>11</v>
      </c>
      <c r="H1365" s="273" t="s">
        <v>11</v>
      </c>
    </row>
    <row r="1366" spans="1:8" x14ac:dyDescent="0.25">
      <c r="A1366" t="s">
        <v>34</v>
      </c>
      <c r="B1366" t="s">
        <v>67</v>
      </c>
      <c r="C1366" t="s">
        <v>2020</v>
      </c>
      <c r="D1366">
        <v>2</v>
      </c>
      <c r="E1366" s="273">
        <v>7</v>
      </c>
      <c r="F1366" s="273" t="s">
        <v>11</v>
      </c>
      <c r="G1366" s="273" t="s">
        <v>11</v>
      </c>
      <c r="H1366" s="273" t="s">
        <v>11</v>
      </c>
    </row>
    <row r="1367" spans="1:8" x14ac:dyDescent="0.25">
      <c r="A1367" t="s">
        <v>34</v>
      </c>
      <c r="B1367" t="s">
        <v>67</v>
      </c>
      <c r="C1367" t="s">
        <v>2021</v>
      </c>
      <c r="D1367">
        <v>1</v>
      </c>
      <c r="E1367" s="273">
        <v>6</v>
      </c>
      <c r="F1367" s="273" t="s">
        <v>7</v>
      </c>
      <c r="G1367" s="273" t="s">
        <v>11</v>
      </c>
      <c r="H1367" s="273" t="s">
        <v>11</v>
      </c>
    </row>
    <row r="1368" spans="1:8" x14ac:dyDescent="0.25">
      <c r="A1368" t="s">
        <v>34</v>
      </c>
      <c r="B1368" t="s">
        <v>67</v>
      </c>
      <c r="C1368" t="s">
        <v>1488</v>
      </c>
      <c r="D1368">
        <v>1</v>
      </c>
      <c r="E1368" s="273">
        <v>6</v>
      </c>
      <c r="F1368" s="273" t="s">
        <v>7</v>
      </c>
      <c r="G1368" s="273" t="s">
        <v>11</v>
      </c>
      <c r="H1368" s="273" t="s">
        <v>11</v>
      </c>
    </row>
    <row r="1369" spans="1:8" x14ac:dyDescent="0.25">
      <c r="A1369" t="s">
        <v>34</v>
      </c>
      <c r="B1369" t="s">
        <v>67</v>
      </c>
      <c r="C1369" t="s">
        <v>1357</v>
      </c>
      <c r="D1369">
        <v>1</v>
      </c>
      <c r="E1369" s="273">
        <v>6</v>
      </c>
      <c r="F1369" s="273" t="s">
        <v>7</v>
      </c>
      <c r="G1369" s="273" t="s">
        <v>11</v>
      </c>
      <c r="H1369" s="273" t="s">
        <v>11</v>
      </c>
    </row>
    <row r="1370" spans="1:8" x14ac:dyDescent="0.25">
      <c r="A1370" t="s">
        <v>34</v>
      </c>
      <c r="B1370" t="s">
        <v>67</v>
      </c>
      <c r="C1370" t="s">
        <v>2022</v>
      </c>
      <c r="D1370">
        <v>1</v>
      </c>
      <c r="E1370" s="273">
        <v>6</v>
      </c>
      <c r="F1370" s="273" t="s">
        <v>7</v>
      </c>
      <c r="G1370" s="273" t="s">
        <v>11</v>
      </c>
      <c r="H1370" s="273" t="s">
        <v>11</v>
      </c>
    </row>
    <row r="1371" spans="1:8" x14ac:dyDescent="0.25">
      <c r="A1371" t="s">
        <v>34</v>
      </c>
      <c r="B1371" t="s">
        <v>67</v>
      </c>
      <c r="C1371" t="s">
        <v>2023</v>
      </c>
      <c r="D1371">
        <v>1</v>
      </c>
      <c r="E1371" s="273">
        <v>6</v>
      </c>
      <c r="F1371" s="273" t="s">
        <v>7</v>
      </c>
      <c r="G1371" s="273" t="s">
        <v>11</v>
      </c>
      <c r="H1371" s="273" t="s">
        <v>11</v>
      </c>
    </row>
    <row r="1372" spans="1:8" x14ac:dyDescent="0.25">
      <c r="A1372" t="s">
        <v>34</v>
      </c>
      <c r="B1372" t="s">
        <v>67</v>
      </c>
      <c r="C1372" t="s">
        <v>2024</v>
      </c>
      <c r="D1372">
        <v>1</v>
      </c>
      <c r="E1372" s="273">
        <v>6</v>
      </c>
      <c r="F1372" s="273" t="s">
        <v>7</v>
      </c>
      <c r="G1372" s="273" t="s">
        <v>11</v>
      </c>
      <c r="H1372" s="273" t="s">
        <v>11</v>
      </c>
    </row>
    <row r="1373" spans="1:8" x14ac:dyDescent="0.25">
      <c r="A1373" t="s">
        <v>34</v>
      </c>
      <c r="B1373" t="s">
        <v>67</v>
      </c>
      <c r="C1373" t="s">
        <v>2025</v>
      </c>
      <c r="D1373">
        <v>1</v>
      </c>
      <c r="E1373" s="273">
        <v>6</v>
      </c>
      <c r="F1373" s="273" t="s">
        <v>7</v>
      </c>
      <c r="G1373" s="273" t="s">
        <v>11</v>
      </c>
      <c r="H1373" s="273" t="s">
        <v>11</v>
      </c>
    </row>
    <row r="1374" spans="1:8" x14ac:dyDescent="0.25">
      <c r="A1374" t="s">
        <v>34</v>
      </c>
      <c r="B1374" t="s">
        <v>67</v>
      </c>
      <c r="C1374" t="s">
        <v>1247</v>
      </c>
      <c r="D1374">
        <v>1</v>
      </c>
      <c r="E1374" s="273">
        <v>7</v>
      </c>
      <c r="F1374" s="273" t="s">
        <v>11</v>
      </c>
      <c r="G1374" s="273" t="s">
        <v>11</v>
      </c>
      <c r="H1374" s="273" t="s">
        <v>11</v>
      </c>
    </row>
    <row r="1375" spans="1:8" x14ac:dyDescent="0.25">
      <c r="A1375" t="s">
        <v>34</v>
      </c>
      <c r="B1375" t="s">
        <v>67</v>
      </c>
      <c r="C1375" t="s">
        <v>2026</v>
      </c>
      <c r="D1375">
        <v>1</v>
      </c>
      <c r="E1375" s="273">
        <v>6</v>
      </c>
      <c r="F1375" s="273" t="s">
        <v>7</v>
      </c>
      <c r="G1375" s="273" t="s">
        <v>11</v>
      </c>
      <c r="H1375" s="273" t="s">
        <v>11</v>
      </c>
    </row>
    <row r="1376" spans="1:8" x14ac:dyDescent="0.25">
      <c r="A1376" t="s">
        <v>34</v>
      </c>
      <c r="B1376" t="s">
        <v>67</v>
      </c>
      <c r="C1376" t="s">
        <v>1148</v>
      </c>
      <c r="D1376">
        <v>1</v>
      </c>
      <c r="E1376" s="273">
        <v>6</v>
      </c>
      <c r="F1376" s="273" t="s">
        <v>7</v>
      </c>
      <c r="G1376" s="273" t="s">
        <v>11</v>
      </c>
      <c r="H1376" s="273" t="s">
        <v>11</v>
      </c>
    </row>
    <row r="1377" spans="1:8" x14ac:dyDescent="0.25">
      <c r="A1377" t="s">
        <v>34</v>
      </c>
      <c r="B1377" t="s">
        <v>67</v>
      </c>
      <c r="C1377" t="s">
        <v>2027</v>
      </c>
      <c r="D1377">
        <v>1</v>
      </c>
      <c r="E1377" s="273">
        <v>7</v>
      </c>
      <c r="F1377" s="273" t="s">
        <v>11</v>
      </c>
      <c r="G1377" s="273" t="s">
        <v>11</v>
      </c>
      <c r="H1377" s="273" t="s">
        <v>11</v>
      </c>
    </row>
    <row r="1378" spans="1:8" x14ac:dyDescent="0.25">
      <c r="A1378" t="s">
        <v>34</v>
      </c>
      <c r="B1378" t="s">
        <v>67</v>
      </c>
      <c r="C1378" t="s">
        <v>2028</v>
      </c>
      <c r="D1378">
        <v>2</v>
      </c>
      <c r="E1378" s="273">
        <v>6</v>
      </c>
      <c r="F1378" s="273" t="s">
        <v>7</v>
      </c>
      <c r="G1378" s="273" t="s">
        <v>11</v>
      </c>
      <c r="H1378" s="273" t="s">
        <v>11</v>
      </c>
    </row>
    <row r="1379" spans="1:8" x14ac:dyDescent="0.25">
      <c r="A1379" t="s">
        <v>34</v>
      </c>
      <c r="B1379" t="s">
        <v>67</v>
      </c>
      <c r="C1379" t="s">
        <v>2029</v>
      </c>
      <c r="D1379">
        <v>2</v>
      </c>
      <c r="E1379" s="273">
        <v>7</v>
      </c>
      <c r="F1379" s="273" t="s">
        <v>11</v>
      </c>
      <c r="G1379" s="273" t="s">
        <v>11</v>
      </c>
      <c r="H1379" s="273" t="s">
        <v>11</v>
      </c>
    </row>
    <row r="1380" spans="1:8" x14ac:dyDescent="0.25">
      <c r="A1380" t="s">
        <v>34</v>
      </c>
      <c r="B1380" t="s">
        <v>67</v>
      </c>
      <c r="C1380" t="s">
        <v>1149</v>
      </c>
      <c r="D1380">
        <v>1</v>
      </c>
      <c r="E1380" s="273">
        <v>6</v>
      </c>
      <c r="F1380" s="273" t="s">
        <v>7</v>
      </c>
      <c r="G1380" s="273" t="s">
        <v>11</v>
      </c>
      <c r="H1380" s="273" t="s">
        <v>11</v>
      </c>
    </row>
    <row r="1381" spans="1:8" x14ac:dyDescent="0.25">
      <c r="A1381" t="s">
        <v>34</v>
      </c>
      <c r="B1381" t="s">
        <v>67</v>
      </c>
      <c r="C1381" t="s">
        <v>2030</v>
      </c>
      <c r="D1381">
        <v>1</v>
      </c>
      <c r="E1381" s="273">
        <v>7</v>
      </c>
      <c r="F1381" s="273" t="s">
        <v>11</v>
      </c>
      <c r="G1381" s="273" t="s">
        <v>11</v>
      </c>
      <c r="H1381" s="273" t="s">
        <v>11</v>
      </c>
    </row>
    <row r="1382" spans="1:8" x14ac:dyDescent="0.25">
      <c r="A1382" t="s">
        <v>34</v>
      </c>
      <c r="B1382" t="s">
        <v>67</v>
      </c>
      <c r="C1382" t="s">
        <v>2031</v>
      </c>
      <c r="D1382">
        <v>1</v>
      </c>
      <c r="E1382" s="273">
        <v>6</v>
      </c>
      <c r="F1382" s="273" t="s">
        <v>7</v>
      </c>
      <c r="G1382" s="273" t="s">
        <v>11</v>
      </c>
      <c r="H1382" s="273" t="s">
        <v>11</v>
      </c>
    </row>
    <row r="1383" spans="1:8" x14ac:dyDescent="0.25">
      <c r="A1383" t="s">
        <v>34</v>
      </c>
      <c r="B1383" t="s">
        <v>67</v>
      </c>
      <c r="C1383" t="s">
        <v>2032</v>
      </c>
      <c r="D1383">
        <v>1</v>
      </c>
      <c r="E1383" s="273">
        <v>7</v>
      </c>
      <c r="F1383" s="273" t="s">
        <v>11</v>
      </c>
      <c r="G1383" s="273" t="s">
        <v>11</v>
      </c>
      <c r="H1383" s="273" t="s">
        <v>11</v>
      </c>
    </row>
    <row r="1384" spans="1:8" x14ac:dyDescent="0.25">
      <c r="A1384" t="s">
        <v>34</v>
      </c>
      <c r="B1384" t="s">
        <v>67</v>
      </c>
      <c r="C1384" t="s">
        <v>2033</v>
      </c>
      <c r="D1384">
        <v>2</v>
      </c>
      <c r="E1384" s="273">
        <v>7</v>
      </c>
      <c r="F1384" s="273" t="s">
        <v>11</v>
      </c>
      <c r="G1384" s="273" t="s">
        <v>11</v>
      </c>
      <c r="H1384" s="273" t="s">
        <v>11</v>
      </c>
    </row>
    <row r="1385" spans="1:8" x14ac:dyDescent="0.25">
      <c r="A1385" t="s">
        <v>34</v>
      </c>
      <c r="B1385" t="s">
        <v>67</v>
      </c>
      <c r="C1385" t="s">
        <v>2034</v>
      </c>
      <c r="D1385">
        <v>1</v>
      </c>
      <c r="E1385" s="273">
        <v>6</v>
      </c>
      <c r="F1385" s="273" t="s">
        <v>7</v>
      </c>
      <c r="G1385" s="273" t="s">
        <v>11</v>
      </c>
      <c r="H1385" s="273" t="s">
        <v>11</v>
      </c>
    </row>
    <row r="1386" spans="1:8" x14ac:dyDescent="0.25">
      <c r="A1386" t="s">
        <v>34</v>
      </c>
      <c r="B1386" t="s">
        <v>67</v>
      </c>
      <c r="C1386" t="s">
        <v>1299</v>
      </c>
      <c r="D1386">
        <v>2</v>
      </c>
      <c r="E1386" s="273">
        <v>7</v>
      </c>
      <c r="F1386" s="273" t="s">
        <v>11</v>
      </c>
      <c r="G1386" s="273" t="s">
        <v>11</v>
      </c>
      <c r="H1386" s="273" t="s">
        <v>11</v>
      </c>
    </row>
    <row r="1387" spans="1:8" x14ac:dyDescent="0.25">
      <c r="A1387" t="s">
        <v>34</v>
      </c>
      <c r="B1387" t="s">
        <v>67</v>
      </c>
      <c r="C1387" t="s">
        <v>2035</v>
      </c>
      <c r="D1387">
        <v>2</v>
      </c>
      <c r="E1387" s="273">
        <v>7</v>
      </c>
      <c r="F1387" s="273" t="s">
        <v>11</v>
      </c>
      <c r="G1387" s="273" t="s">
        <v>11</v>
      </c>
      <c r="H1387" s="273" t="s">
        <v>11</v>
      </c>
    </row>
    <row r="1388" spans="1:8" x14ac:dyDescent="0.25">
      <c r="A1388" t="s">
        <v>34</v>
      </c>
      <c r="B1388" t="s">
        <v>67</v>
      </c>
      <c r="C1388" t="s">
        <v>2036</v>
      </c>
      <c r="D1388">
        <v>1</v>
      </c>
      <c r="E1388" s="273">
        <v>6</v>
      </c>
      <c r="F1388" s="273" t="s">
        <v>7</v>
      </c>
      <c r="G1388" s="273" t="s">
        <v>11</v>
      </c>
      <c r="H1388" s="273" t="s">
        <v>11</v>
      </c>
    </row>
    <row r="1389" spans="1:8" x14ac:dyDescent="0.25">
      <c r="A1389" t="s">
        <v>34</v>
      </c>
      <c r="B1389" t="s">
        <v>67</v>
      </c>
      <c r="C1389" t="s">
        <v>1255</v>
      </c>
      <c r="D1389">
        <v>1</v>
      </c>
      <c r="E1389" s="273">
        <v>6</v>
      </c>
      <c r="F1389" s="273" t="s">
        <v>7</v>
      </c>
      <c r="G1389" s="273" t="s">
        <v>11</v>
      </c>
      <c r="H1389" s="273" t="s">
        <v>11</v>
      </c>
    </row>
    <row r="1390" spans="1:8" x14ac:dyDescent="0.25">
      <c r="A1390" t="s">
        <v>34</v>
      </c>
      <c r="B1390" t="s">
        <v>67</v>
      </c>
      <c r="C1390" t="s">
        <v>1721</v>
      </c>
      <c r="D1390">
        <v>1</v>
      </c>
      <c r="E1390" s="273">
        <v>6</v>
      </c>
      <c r="F1390" s="273" t="s">
        <v>7</v>
      </c>
      <c r="G1390" s="273" t="s">
        <v>11</v>
      </c>
      <c r="H1390" s="273" t="s">
        <v>11</v>
      </c>
    </row>
    <row r="1391" spans="1:8" x14ac:dyDescent="0.25">
      <c r="A1391" t="s">
        <v>34</v>
      </c>
      <c r="B1391" t="s">
        <v>67</v>
      </c>
      <c r="C1391" t="s">
        <v>2037</v>
      </c>
      <c r="D1391">
        <v>1</v>
      </c>
      <c r="E1391" s="273">
        <v>7</v>
      </c>
      <c r="F1391" s="273" t="s">
        <v>11</v>
      </c>
      <c r="G1391" s="273" t="s">
        <v>11</v>
      </c>
      <c r="H1391" s="273" t="s">
        <v>11</v>
      </c>
    </row>
    <row r="1392" spans="1:8" x14ac:dyDescent="0.25">
      <c r="A1392" t="s">
        <v>34</v>
      </c>
      <c r="B1392" t="s">
        <v>67</v>
      </c>
      <c r="C1392" t="s">
        <v>1161</v>
      </c>
      <c r="D1392">
        <v>1</v>
      </c>
      <c r="E1392" s="273">
        <v>7</v>
      </c>
      <c r="F1392" s="273" t="s">
        <v>11</v>
      </c>
      <c r="G1392" s="273" t="s">
        <v>11</v>
      </c>
      <c r="H1392" s="273" t="s">
        <v>11</v>
      </c>
    </row>
    <row r="1393" spans="1:8" x14ac:dyDescent="0.25">
      <c r="A1393" t="s">
        <v>34</v>
      </c>
      <c r="B1393" t="s">
        <v>67</v>
      </c>
      <c r="C1393" t="s">
        <v>1435</v>
      </c>
      <c r="D1393">
        <v>1</v>
      </c>
      <c r="E1393" s="273">
        <v>6</v>
      </c>
      <c r="F1393" s="273" t="s">
        <v>7</v>
      </c>
      <c r="G1393" s="273" t="s">
        <v>11</v>
      </c>
      <c r="H1393" s="273" t="s">
        <v>11</v>
      </c>
    </row>
    <row r="1394" spans="1:8" x14ac:dyDescent="0.25">
      <c r="A1394" t="s">
        <v>34</v>
      </c>
      <c r="B1394" t="s">
        <v>67</v>
      </c>
      <c r="C1394" t="s">
        <v>2038</v>
      </c>
      <c r="D1394">
        <v>1</v>
      </c>
      <c r="E1394" s="273">
        <v>6</v>
      </c>
      <c r="F1394" s="273" t="s">
        <v>7</v>
      </c>
      <c r="G1394" s="273" t="s">
        <v>11</v>
      </c>
      <c r="H1394" s="273" t="s">
        <v>11</v>
      </c>
    </row>
    <row r="1395" spans="1:8" x14ac:dyDescent="0.25">
      <c r="A1395" t="s">
        <v>34</v>
      </c>
      <c r="B1395" t="s">
        <v>67</v>
      </c>
      <c r="C1395" t="s">
        <v>2039</v>
      </c>
      <c r="D1395">
        <v>1</v>
      </c>
      <c r="E1395" s="273">
        <v>6</v>
      </c>
      <c r="F1395" s="273" t="s">
        <v>7</v>
      </c>
      <c r="G1395" s="273" t="s">
        <v>11</v>
      </c>
      <c r="H1395" s="273" t="s">
        <v>11</v>
      </c>
    </row>
    <row r="1396" spans="1:8" x14ac:dyDescent="0.25">
      <c r="A1396" t="s">
        <v>34</v>
      </c>
      <c r="B1396" t="s">
        <v>67</v>
      </c>
      <c r="C1396" t="s">
        <v>2040</v>
      </c>
      <c r="D1396">
        <v>2</v>
      </c>
      <c r="E1396" s="273">
        <v>7</v>
      </c>
      <c r="F1396" s="273" t="s">
        <v>11</v>
      </c>
      <c r="G1396" s="273" t="s">
        <v>11</v>
      </c>
      <c r="H1396" s="273" t="s">
        <v>11</v>
      </c>
    </row>
    <row r="1397" spans="1:8" x14ac:dyDescent="0.25">
      <c r="A1397" t="s">
        <v>34</v>
      </c>
      <c r="B1397" t="s">
        <v>67</v>
      </c>
      <c r="C1397" t="s">
        <v>2041</v>
      </c>
      <c r="D1397">
        <v>2</v>
      </c>
      <c r="E1397" s="273">
        <v>6</v>
      </c>
      <c r="F1397" s="273" t="s">
        <v>7</v>
      </c>
      <c r="G1397" s="273" t="s">
        <v>11</v>
      </c>
      <c r="H1397" s="273" t="s">
        <v>11</v>
      </c>
    </row>
    <row r="1398" spans="1:8" x14ac:dyDescent="0.25">
      <c r="A1398" t="s">
        <v>34</v>
      </c>
      <c r="B1398" t="s">
        <v>67</v>
      </c>
      <c r="C1398" t="s">
        <v>2042</v>
      </c>
      <c r="D1398">
        <v>1</v>
      </c>
      <c r="E1398" s="273">
        <v>6</v>
      </c>
      <c r="F1398" s="273" t="s">
        <v>7</v>
      </c>
      <c r="G1398" s="273" t="s">
        <v>11</v>
      </c>
      <c r="H1398" s="273" t="s">
        <v>11</v>
      </c>
    </row>
    <row r="1399" spans="1:8" x14ac:dyDescent="0.25">
      <c r="A1399" t="s">
        <v>34</v>
      </c>
      <c r="B1399" t="s">
        <v>67</v>
      </c>
      <c r="C1399" t="s">
        <v>1525</v>
      </c>
      <c r="D1399">
        <v>1</v>
      </c>
      <c r="E1399" s="273">
        <v>6</v>
      </c>
      <c r="F1399" s="273" t="s">
        <v>7</v>
      </c>
      <c r="G1399" s="273" t="s">
        <v>11</v>
      </c>
      <c r="H1399" s="273" t="s">
        <v>11</v>
      </c>
    </row>
    <row r="1400" spans="1:8" x14ac:dyDescent="0.25">
      <c r="A1400" t="s">
        <v>34</v>
      </c>
      <c r="B1400" t="s">
        <v>67</v>
      </c>
      <c r="C1400" t="s">
        <v>2043</v>
      </c>
      <c r="D1400">
        <v>1</v>
      </c>
      <c r="E1400" s="273">
        <v>6</v>
      </c>
      <c r="F1400" s="273" t="s">
        <v>7</v>
      </c>
      <c r="G1400" s="273" t="s">
        <v>11</v>
      </c>
      <c r="H1400" s="273" t="s">
        <v>11</v>
      </c>
    </row>
    <row r="1401" spans="1:8" x14ac:dyDescent="0.25">
      <c r="A1401" t="s">
        <v>34</v>
      </c>
      <c r="B1401" t="s">
        <v>67</v>
      </c>
      <c r="C1401" t="s">
        <v>2044</v>
      </c>
      <c r="D1401">
        <v>1</v>
      </c>
      <c r="E1401" s="273">
        <v>6</v>
      </c>
      <c r="F1401" s="273" t="s">
        <v>7</v>
      </c>
      <c r="G1401" s="273" t="s">
        <v>11</v>
      </c>
      <c r="H1401" s="273" t="s">
        <v>11</v>
      </c>
    </row>
    <row r="1402" spans="1:8" x14ac:dyDescent="0.25">
      <c r="A1402" t="s">
        <v>34</v>
      </c>
      <c r="B1402" t="s">
        <v>67</v>
      </c>
      <c r="C1402" t="s">
        <v>2045</v>
      </c>
      <c r="D1402">
        <v>1</v>
      </c>
      <c r="E1402" s="273">
        <v>7</v>
      </c>
      <c r="F1402" s="273" t="s">
        <v>11</v>
      </c>
      <c r="G1402" s="273" t="s">
        <v>11</v>
      </c>
      <c r="H1402" s="273" t="s">
        <v>11</v>
      </c>
    </row>
    <row r="1403" spans="1:8" x14ac:dyDescent="0.25">
      <c r="A1403" t="s">
        <v>34</v>
      </c>
      <c r="B1403" t="s">
        <v>67</v>
      </c>
      <c r="C1403" t="s">
        <v>2046</v>
      </c>
      <c r="D1403">
        <v>1</v>
      </c>
      <c r="E1403" s="273">
        <v>6</v>
      </c>
      <c r="F1403" s="273" t="s">
        <v>7</v>
      </c>
      <c r="G1403" s="273" t="s">
        <v>11</v>
      </c>
      <c r="H1403" s="273" t="s">
        <v>11</v>
      </c>
    </row>
    <row r="1404" spans="1:8" x14ac:dyDescent="0.25">
      <c r="A1404" t="s">
        <v>34</v>
      </c>
      <c r="B1404" t="s">
        <v>67</v>
      </c>
      <c r="C1404" t="s">
        <v>2047</v>
      </c>
      <c r="D1404">
        <v>1</v>
      </c>
      <c r="E1404" s="273">
        <v>7</v>
      </c>
      <c r="F1404" s="273" t="s">
        <v>11</v>
      </c>
      <c r="G1404" s="273" t="s">
        <v>11</v>
      </c>
      <c r="H1404" s="273" t="s">
        <v>11</v>
      </c>
    </row>
    <row r="1405" spans="1:8" x14ac:dyDescent="0.25">
      <c r="A1405" t="s">
        <v>34</v>
      </c>
      <c r="B1405" t="s">
        <v>67</v>
      </c>
      <c r="C1405" t="s">
        <v>2048</v>
      </c>
      <c r="D1405">
        <v>1</v>
      </c>
      <c r="E1405" s="273">
        <v>7</v>
      </c>
      <c r="F1405" s="273" t="s">
        <v>11</v>
      </c>
      <c r="G1405" s="273" t="s">
        <v>11</v>
      </c>
      <c r="H1405" s="273" t="s">
        <v>11</v>
      </c>
    </row>
    <row r="1406" spans="1:8" x14ac:dyDescent="0.25">
      <c r="A1406" t="s">
        <v>34</v>
      </c>
      <c r="B1406" t="s">
        <v>67</v>
      </c>
      <c r="C1406" t="s">
        <v>2049</v>
      </c>
      <c r="D1406">
        <v>2</v>
      </c>
      <c r="E1406" s="273">
        <v>7</v>
      </c>
      <c r="F1406" s="273" t="s">
        <v>11</v>
      </c>
      <c r="G1406" s="273" t="s">
        <v>11</v>
      </c>
      <c r="H1406" s="273" t="s">
        <v>11</v>
      </c>
    </row>
    <row r="1407" spans="1:8" x14ac:dyDescent="0.25">
      <c r="A1407" t="s">
        <v>34</v>
      </c>
      <c r="B1407" t="s">
        <v>67</v>
      </c>
      <c r="C1407" t="s">
        <v>2050</v>
      </c>
      <c r="D1407">
        <v>1</v>
      </c>
      <c r="E1407" s="273">
        <v>6</v>
      </c>
      <c r="F1407" s="273" t="s">
        <v>7</v>
      </c>
      <c r="G1407" s="273" t="s">
        <v>11</v>
      </c>
      <c r="H1407" s="273" t="s">
        <v>11</v>
      </c>
    </row>
    <row r="1408" spans="1:8" x14ac:dyDescent="0.25">
      <c r="A1408" t="s">
        <v>34</v>
      </c>
      <c r="B1408" t="s">
        <v>67</v>
      </c>
      <c r="C1408" t="s">
        <v>1266</v>
      </c>
      <c r="D1408">
        <v>1</v>
      </c>
      <c r="E1408" s="273">
        <v>7</v>
      </c>
      <c r="F1408" s="273" t="s">
        <v>11</v>
      </c>
      <c r="G1408" s="273" t="s">
        <v>11</v>
      </c>
      <c r="H1408" s="273" t="s">
        <v>11</v>
      </c>
    </row>
    <row r="1409" spans="1:8" x14ac:dyDescent="0.25">
      <c r="A1409" t="s">
        <v>34</v>
      </c>
      <c r="B1409" t="s">
        <v>67</v>
      </c>
      <c r="C1409" t="s">
        <v>1267</v>
      </c>
      <c r="D1409">
        <v>1</v>
      </c>
      <c r="E1409" s="273">
        <v>6</v>
      </c>
      <c r="F1409" s="273" t="s">
        <v>7</v>
      </c>
      <c r="G1409" s="273" t="s">
        <v>11</v>
      </c>
      <c r="H1409" s="273" t="s">
        <v>11</v>
      </c>
    </row>
    <row r="1410" spans="1:8" x14ac:dyDescent="0.25">
      <c r="A1410" t="s">
        <v>34</v>
      </c>
      <c r="B1410" t="s">
        <v>67</v>
      </c>
      <c r="C1410" t="s">
        <v>2051</v>
      </c>
      <c r="D1410">
        <v>1</v>
      </c>
      <c r="E1410" s="273">
        <v>6</v>
      </c>
      <c r="F1410" s="273" t="s">
        <v>7</v>
      </c>
      <c r="G1410" s="273" t="s">
        <v>11</v>
      </c>
      <c r="H1410" s="273" t="s">
        <v>11</v>
      </c>
    </row>
    <row r="1411" spans="1:8" x14ac:dyDescent="0.25">
      <c r="A1411" t="s">
        <v>34</v>
      </c>
      <c r="B1411" t="s">
        <v>67</v>
      </c>
      <c r="C1411" t="s">
        <v>2052</v>
      </c>
      <c r="D1411">
        <v>1</v>
      </c>
      <c r="E1411" s="273">
        <v>7</v>
      </c>
      <c r="F1411" s="273" t="s">
        <v>11</v>
      </c>
      <c r="G1411" s="273" t="s">
        <v>11</v>
      </c>
      <c r="H1411" s="273" t="s">
        <v>11</v>
      </c>
    </row>
    <row r="1412" spans="1:8" x14ac:dyDescent="0.25">
      <c r="A1412" t="s">
        <v>34</v>
      </c>
      <c r="B1412" t="s">
        <v>67</v>
      </c>
      <c r="C1412" t="s">
        <v>2053</v>
      </c>
      <c r="D1412">
        <v>1</v>
      </c>
      <c r="E1412" s="273">
        <v>6</v>
      </c>
      <c r="F1412" s="273" t="s">
        <v>7</v>
      </c>
      <c r="G1412" s="273" t="s">
        <v>11</v>
      </c>
      <c r="H1412" s="273" t="s">
        <v>11</v>
      </c>
    </row>
    <row r="1413" spans="1:8" x14ac:dyDescent="0.25">
      <c r="A1413" t="s">
        <v>34</v>
      </c>
      <c r="B1413" t="s">
        <v>67</v>
      </c>
      <c r="C1413" t="s">
        <v>2054</v>
      </c>
      <c r="D1413">
        <v>1</v>
      </c>
      <c r="E1413" s="273">
        <v>6</v>
      </c>
      <c r="F1413" s="273" t="s">
        <v>7</v>
      </c>
      <c r="G1413" s="273" t="s">
        <v>11</v>
      </c>
      <c r="H1413" s="273" t="s">
        <v>11</v>
      </c>
    </row>
    <row r="1414" spans="1:8" x14ac:dyDescent="0.25">
      <c r="A1414" t="s">
        <v>34</v>
      </c>
      <c r="B1414" t="s">
        <v>67</v>
      </c>
      <c r="C1414" t="s">
        <v>1790</v>
      </c>
      <c r="D1414">
        <v>1</v>
      </c>
      <c r="E1414" s="273">
        <v>6</v>
      </c>
      <c r="F1414" s="273" t="s">
        <v>7</v>
      </c>
      <c r="G1414" s="273" t="s">
        <v>11</v>
      </c>
      <c r="H1414" s="273" t="s">
        <v>11</v>
      </c>
    </row>
    <row r="1415" spans="1:8" x14ac:dyDescent="0.25">
      <c r="A1415" t="s">
        <v>34</v>
      </c>
      <c r="B1415" t="s">
        <v>67</v>
      </c>
      <c r="C1415" t="s">
        <v>2055</v>
      </c>
      <c r="D1415">
        <v>1</v>
      </c>
      <c r="E1415" s="273">
        <v>6</v>
      </c>
      <c r="F1415" s="273" t="s">
        <v>7</v>
      </c>
      <c r="G1415" s="273" t="s">
        <v>11</v>
      </c>
      <c r="H1415" s="273" t="s">
        <v>11</v>
      </c>
    </row>
    <row r="1416" spans="1:8" x14ac:dyDescent="0.25">
      <c r="A1416" t="s">
        <v>34</v>
      </c>
      <c r="B1416" t="s">
        <v>67</v>
      </c>
      <c r="C1416" t="s">
        <v>2056</v>
      </c>
      <c r="D1416">
        <v>1</v>
      </c>
      <c r="E1416" s="273">
        <v>7</v>
      </c>
      <c r="F1416" s="273" t="s">
        <v>11</v>
      </c>
      <c r="G1416" s="273" t="s">
        <v>11</v>
      </c>
      <c r="H1416" s="273" t="s">
        <v>11</v>
      </c>
    </row>
    <row r="1417" spans="1:8" x14ac:dyDescent="0.25">
      <c r="A1417" t="s">
        <v>34</v>
      </c>
      <c r="B1417" t="s">
        <v>67</v>
      </c>
      <c r="C1417" t="s">
        <v>2057</v>
      </c>
      <c r="D1417">
        <v>2</v>
      </c>
      <c r="E1417" s="273">
        <v>7</v>
      </c>
      <c r="F1417" s="273" t="s">
        <v>11</v>
      </c>
      <c r="G1417" s="273" t="s">
        <v>11</v>
      </c>
      <c r="H1417" s="273" t="s">
        <v>11</v>
      </c>
    </row>
    <row r="1418" spans="1:8" x14ac:dyDescent="0.25">
      <c r="A1418" t="s">
        <v>34</v>
      </c>
      <c r="B1418" t="s">
        <v>67</v>
      </c>
      <c r="C1418" t="s">
        <v>1272</v>
      </c>
      <c r="D1418">
        <v>1</v>
      </c>
      <c r="E1418" s="273">
        <v>6</v>
      </c>
      <c r="F1418" s="273" t="s">
        <v>7</v>
      </c>
      <c r="G1418" s="273" t="s">
        <v>11</v>
      </c>
      <c r="H1418" s="273" t="s">
        <v>11</v>
      </c>
    </row>
    <row r="1419" spans="1:8" x14ac:dyDescent="0.25">
      <c r="A1419" t="s">
        <v>34</v>
      </c>
      <c r="B1419" t="s">
        <v>67</v>
      </c>
      <c r="C1419" t="s">
        <v>2058</v>
      </c>
      <c r="D1419">
        <v>1</v>
      </c>
      <c r="E1419" s="273">
        <v>6</v>
      </c>
      <c r="F1419" s="273" t="s">
        <v>7</v>
      </c>
      <c r="G1419" s="273" t="s">
        <v>11</v>
      </c>
      <c r="H1419" s="273" t="s">
        <v>11</v>
      </c>
    </row>
    <row r="1420" spans="1:8" x14ac:dyDescent="0.25">
      <c r="A1420" t="s">
        <v>34</v>
      </c>
      <c r="B1420" t="s">
        <v>67</v>
      </c>
      <c r="C1420" t="s">
        <v>2059</v>
      </c>
      <c r="D1420">
        <v>1</v>
      </c>
      <c r="E1420" s="273">
        <v>6</v>
      </c>
      <c r="F1420" s="273" t="s">
        <v>7</v>
      </c>
      <c r="G1420" s="273" t="s">
        <v>11</v>
      </c>
      <c r="H1420" s="273" t="s">
        <v>11</v>
      </c>
    </row>
    <row r="1421" spans="1:8" x14ac:dyDescent="0.25">
      <c r="A1421" t="s">
        <v>34</v>
      </c>
      <c r="B1421" t="s">
        <v>67</v>
      </c>
      <c r="C1421" t="s">
        <v>2060</v>
      </c>
      <c r="D1421">
        <v>1</v>
      </c>
      <c r="E1421" s="273">
        <v>6</v>
      </c>
      <c r="F1421" s="273" t="s">
        <v>7</v>
      </c>
      <c r="G1421" s="273" t="s">
        <v>11</v>
      </c>
      <c r="H1421" s="273" t="s">
        <v>11</v>
      </c>
    </row>
    <row r="1422" spans="1:8" x14ac:dyDescent="0.25">
      <c r="A1422" t="s">
        <v>34</v>
      </c>
      <c r="B1422" t="s">
        <v>67</v>
      </c>
      <c r="C1422" t="s">
        <v>2061</v>
      </c>
      <c r="D1422">
        <v>1</v>
      </c>
      <c r="E1422" s="273">
        <v>6</v>
      </c>
      <c r="F1422" s="273" t="s">
        <v>7</v>
      </c>
      <c r="G1422" s="273" t="s">
        <v>11</v>
      </c>
      <c r="H1422" s="273" t="s">
        <v>11</v>
      </c>
    </row>
    <row r="1423" spans="1:8" x14ac:dyDescent="0.25">
      <c r="A1423" t="s">
        <v>34</v>
      </c>
      <c r="B1423" t="s">
        <v>67</v>
      </c>
      <c r="C1423" t="s">
        <v>1800</v>
      </c>
      <c r="D1423">
        <v>1</v>
      </c>
      <c r="E1423" s="273">
        <v>6</v>
      </c>
      <c r="F1423" s="273" t="s">
        <v>7</v>
      </c>
      <c r="G1423" s="273" t="s">
        <v>11</v>
      </c>
      <c r="H1423" s="273" t="s">
        <v>11</v>
      </c>
    </row>
    <row r="1424" spans="1:8" x14ac:dyDescent="0.25">
      <c r="A1424" t="s">
        <v>34</v>
      </c>
      <c r="B1424" t="s">
        <v>67</v>
      </c>
      <c r="C1424" t="s">
        <v>2062</v>
      </c>
      <c r="D1424">
        <v>1</v>
      </c>
      <c r="E1424" s="273">
        <v>6</v>
      </c>
      <c r="F1424" s="273" t="s">
        <v>7</v>
      </c>
      <c r="G1424" s="273" t="s">
        <v>11</v>
      </c>
      <c r="H1424" s="273" t="s">
        <v>11</v>
      </c>
    </row>
    <row r="1425" spans="1:8" x14ac:dyDescent="0.25">
      <c r="A1425" t="s">
        <v>34</v>
      </c>
      <c r="B1425" t="s">
        <v>67</v>
      </c>
      <c r="C1425" t="s">
        <v>1860</v>
      </c>
      <c r="D1425">
        <v>1</v>
      </c>
      <c r="E1425" s="273">
        <v>6</v>
      </c>
      <c r="F1425" s="273" t="s">
        <v>7</v>
      </c>
      <c r="G1425" s="273" t="s">
        <v>11</v>
      </c>
      <c r="H1425" s="273" t="s">
        <v>11</v>
      </c>
    </row>
    <row r="1426" spans="1:8" x14ac:dyDescent="0.25">
      <c r="A1426" t="s">
        <v>34</v>
      </c>
      <c r="B1426" t="s">
        <v>67</v>
      </c>
      <c r="C1426" t="s">
        <v>2063</v>
      </c>
      <c r="D1426">
        <v>1</v>
      </c>
      <c r="E1426" s="273">
        <v>6</v>
      </c>
      <c r="F1426" s="273" t="s">
        <v>7</v>
      </c>
      <c r="G1426" s="273" t="s">
        <v>11</v>
      </c>
      <c r="H1426" s="273" t="s">
        <v>11</v>
      </c>
    </row>
    <row r="1427" spans="1:8" x14ac:dyDescent="0.25">
      <c r="A1427" t="s">
        <v>34</v>
      </c>
      <c r="B1427" t="s">
        <v>67</v>
      </c>
      <c r="C1427" t="s">
        <v>2064</v>
      </c>
      <c r="D1427">
        <v>1</v>
      </c>
      <c r="E1427" s="273">
        <v>6</v>
      </c>
      <c r="F1427" s="273" t="s">
        <v>7</v>
      </c>
      <c r="G1427" s="273" t="s">
        <v>11</v>
      </c>
      <c r="H1427" s="273" t="s">
        <v>11</v>
      </c>
    </row>
    <row r="1428" spans="1:8" x14ac:dyDescent="0.25">
      <c r="A1428" t="s">
        <v>34</v>
      </c>
      <c r="B1428" t="s">
        <v>67</v>
      </c>
      <c r="C1428" t="s">
        <v>2065</v>
      </c>
      <c r="D1428">
        <v>1</v>
      </c>
      <c r="E1428" s="273">
        <v>7</v>
      </c>
      <c r="F1428" s="273" t="s">
        <v>11</v>
      </c>
      <c r="G1428" s="273" t="s">
        <v>11</v>
      </c>
      <c r="H1428" s="273" t="s">
        <v>11</v>
      </c>
    </row>
    <row r="1429" spans="1:8" x14ac:dyDescent="0.25">
      <c r="A1429" t="s">
        <v>34</v>
      </c>
      <c r="B1429" t="s">
        <v>67</v>
      </c>
      <c r="C1429" t="s">
        <v>2066</v>
      </c>
      <c r="D1429">
        <v>1</v>
      </c>
      <c r="E1429" s="273">
        <v>6</v>
      </c>
      <c r="F1429" s="273" t="s">
        <v>7</v>
      </c>
      <c r="G1429" s="273" t="s">
        <v>11</v>
      </c>
      <c r="H1429" s="273" t="s">
        <v>11</v>
      </c>
    </row>
    <row r="1430" spans="1:8" x14ac:dyDescent="0.25">
      <c r="A1430" t="s">
        <v>34</v>
      </c>
      <c r="B1430" t="s">
        <v>67</v>
      </c>
      <c r="C1430" t="s">
        <v>1178</v>
      </c>
      <c r="D1430">
        <v>1</v>
      </c>
      <c r="E1430" s="273">
        <v>6</v>
      </c>
      <c r="F1430" s="273" t="s">
        <v>7</v>
      </c>
      <c r="G1430" s="273" t="s">
        <v>11</v>
      </c>
      <c r="H1430" s="273" t="s">
        <v>11</v>
      </c>
    </row>
    <row r="1431" spans="1:8" x14ac:dyDescent="0.25">
      <c r="A1431" t="s">
        <v>34</v>
      </c>
      <c r="B1431" t="s">
        <v>67</v>
      </c>
      <c r="C1431" t="s">
        <v>2067</v>
      </c>
      <c r="D1431">
        <v>1</v>
      </c>
      <c r="E1431" s="273">
        <v>6</v>
      </c>
      <c r="F1431" s="273" t="s">
        <v>7</v>
      </c>
      <c r="G1431" s="273" t="s">
        <v>11</v>
      </c>
      <c r="H1431" s="273" t="s">
        <v>11</v>
      </c>
    </row>
    <row r="1432" spans="1:8" x14ac:dyDescent="0.25">
      <c r="A1432" t="s">
        <v>34</v>
      </c>
      <c r="B1432" t="s">
        <v>67</v>
      </c>
      <c r="C1432" t="s">
        <v>2068</v>
      </c>
      <c r="D1432">
        <v>1</v>
      </c>
      <c r="E1432" s="273">
        <v>7</v>
      </c>
      <c r="F1432" s="273" t="s">
        <v>11</v>
      </c>
      <c r="G1432" s="273" t="s">
        <v>11</v>
      </c>
      <c r="H1432" s="273" t="s">
        <v>11</v>
      </c>
    </row>
    <row r="1433" spans="1:8" x14ac:dyDescent="0.25">
      <c r="A1433" t="s">
        <v>34</v>
      </c>
      <c r="B1433" t="s">
        <v>67</v>
      </c>
      <c r="C1433" t="s">
        <v>2069</v>
      </c>
      <c r="D1433">
        <v>1</v>
      </c>
      <c r="E1433" s="273">
        <v>6</v>
      </c>
      <c r="F1433" s="273" t="s">
        <v>7</v>
      </c>
      <c r="G1433" s="273" t="s">
        <v>11</v>
      </c>
      <c r="H1433" s="273" t="s">
        <v>11</v>
      </c>
    </row>
    <row r="1434" spans="1:8" x14ac:dyDescent="0.25">
      <c r="A1434" t="s">
        <v>34</v>
      </c>
      <c r="B1434" t="s">
        <v>67</v>
      </c>
      <c r="C1434" t="s">
        <v>1741</v>
      </c>
      <c r="D1434">
        <v>1</v>
      </c>
      <c r="E1434" s="273">
        <v>6</v>
      </c>
      <c r="F1434" s="273" t="s">
        <v>7</v>
      </c>
      <c r="G1434" s="273" t="s">
        <v>11</v>
      </c>
      <c r="H1434" s="273" t="s">
        <v>11</v>
      </c>
    </row>
    <row r="1435" spans="1:8" x14ac:dyDescent="0.25">
      <c r="A1435" t="s">
        <v>34</v>
      </c>
      <c r="B1435" t="s">
        <v>67</v>
      </c>
      <c r="C1435" t="s">
        <v>2070</v>
      </c>
      <c r="D1435">
        <v>1</v>
      </c>
      <c r="E1435" s="273">
        <v>6</v>
      </c>
      <c r="F1435" s="273" t="s">
        <v>7</v>
      </c>
      <c r="G1435" s="273" t="s">
        <v>11</v>
      </c>
      <c r="H1435" s="273" t="s">
        <v>11</v>
      </c>
    </row>
    <row r="1436" spans="1:8" x14ac:dyDescent="0.25">
      <c r="A1436" t="s">
        <v>36</v>
      </c>
      <c r="B1436" t="s">
        <v>117</v>
      </c>
      <c r="C1436" t="s">
        <v>1339</v>
      </c>
      <c r="D1436">
        <v>3</v>
      </c>
      <c r="E1436" s="273">
        <v>3</v>
      </c>
      <c r="F1436" s="273" t="s">
        <v>7</v>
      </c>
      <c r="G1436" s="273" t="s">
        <v>115</v>
      </c>
      <c r="H1436" s="273" t="s">
        <v>11</v>
      </c>
    </row>
    <row r="1437" spans="1:8" x14ac:dyDescent="0.25">
      <c r="A1437" t="s">
        <v>36</v>
      </c>
      <c r="B1437" t="s">
        <v>117</v>
      </c>
      <c r="C1437" t="s">
        <v>2071</v>
      </c>
      <c r="D1437">
        <v>2</v>
      </c>
      <c r="E1437" s="273">
        <v>3</v>
      </c>
      <c r="F1437" s="273" t="s">
        <v>7</v>
      </c>
      <c r="G1437" s="273" t="s">
        <v>11</v>
      </c>
      <c r="H1437" s="273" t="s">
        <v>11</v>
      </c>
    </row>
    <row r="1438" spans="1:8" x14ac:dyDescent="0.25">
      <c r="A1438" t="s">
        <v>36</v>
      </c>
      <c r="B1438" t="s">
        <v>117</v>
      </c>
      <c r="C1438" t="s">
        <v>2072</v>
      </c>
      <c r="D1438">
        <v>3</v>
      </c>
      <c r="E1438" s="273">
        <v>3</v>
      </c>
      <c r="F1438" s="273" t="s">
        <v>7</v>
      </c>
      <c r="G1438" s="273" t="s">
        <v>115</v>
      </c>
      <c r="H1438" s="273" t="s">
        <v>11</v>
      </c>
    </row>
    <row r="1439" spans="1:8" x14ac:dyDescent="0.25">
      <c r="A1439" t="s">
        <v>36</v>
      </c>
      <c r="B1439" t="s">
        <v>117</v>
      </c>
      <c r="C1439" t="s">
        <v>2073</v>
      </c>
      <c r="D1439">
        <v>3</v>
      </c>
      <c r="E1439" s="273">
        <v>3</v>
      </c>
      <c r="F1439" s="273" t="s">
        <v>7</v>
      </c>
      <c r="G1439" s="273" t="s">
        <v>11</v>
      </c>
      <c r="H1439" s="273" t="s">
        <v>11</v>
      </c>
    </row>
    <row r="1440" spans="1:8" x14ac:dyDescent="0.25">
      <c r="A1440" t="s">
        <v>36</v>
      </c>
      <c r="B1440" t="s">
        <v>117</v>
      </c>
      <c r="C1440" t="s">
        <v>1229</v>
      </c>
      <c r="D1440">
        <v>3</v>
      </c>
      <c r="E1440" s="273">
        <v>3</v>
      </c>
      <c r="F1440" s="273" t="s">
        <v>7</v>
      </c>
      <c r="G1440" s="273" t="s">
        <v>11</v>
      </c>
      <c r="H1440" s="273" t="s">
        <v>11</v>
      </c>
    </row>
    <row r="1441" spans="1:8" x14ac:dyDescent="0.25">
      <c r="A1441" t="s">
        <v>36</v>
      </c>
      <c r="B1441" t="s">
        <v>117</v>
      </c>
      <c r="C1441" t="s">
        <v>2074</v>
      </c>
      <c r="D1441">
        <v>3</v>
      </c>
      <c r="E1441" s="273">
        <v>3</v>
      </c>
      <c r="F1441" s="273" t="s">
        <v>7</v>
      </c>
      <c r="G1441" s="273" t="s">
        <v>11</v>
      </c>
      <c r="H1441" s="273" t="s">
        <v>11</v>
      </c>
    </row>
    <row r="1442" spans="1:8" x14ac:dyDescent="0.25">
      <c r="A1442" t="s">
        <v>36</v>
      </c>
      <c r="B1442" t="s">
        <v>117</v>
      </c>
      <c r="C1442" t="s">
        <v>1121</v>
      </c>
      <c r="D1442">
        <v>3</v>
      </c>
      <c r="E1442" s="273">
        <v>3</v>
      </c>
      <c r="F1442" s="273" t="s">
        <v>7</v>
      </c>
      <c r="G1442" s="273" t="s">
        <v>11</v>
      </c>
      <c r="H1442" s="273" t="s">
        <v>11</v>
      </c>
    </row>
    <row r="1443" spans="1:8" x14ac:dyDescent="0.25">
      <c r="A1443" t="s">
        <v>36</v>
      </c>
      <c r="B1443" t="s">
        <v>117</v>
      </c>
      <c r="C1443" t="s">
        <v>1232</v>
      </c>
      <c r="D1443">
        <v>3</v>
      </c>
      <c r="E1443" s="273">
        <v>3</v>
      </c>
      <c r="F1443" s="273" t="s">
        <v>7</v>
      </c>
      <c r="G1443" s="273" t="s">
        <v>11</v>
      </c>
      <c r="H1443" s="273" t="s">
        <v>11</v>
      </c>
    </row>
    <row r="1444" spans="1:8" x14ac:dyDescent="0.25">
      <c r="A1444" t="s">
        <v>36</v>
      </c>
      <c r="B1444" t="s">
        <v>117</v>
      </c>
      <c r="C1444" t="s">
        <v>1707</v>
      </c>
      <c r="D1444">
        <v>2</v>
      </c>
      <c r="E1444" s="273">
        <v>3</v>
      </c>
      <c r="F1444" s="273" t="s">
        <v>7</v>
      </c>
      <c r="G1444" s="273" t="s">
        <v>11</v>
      </c>
      <c r="H1444" s="273" t="s">
        <v>11</v>
      </c>
    </row>
    <row r="1445" spans="1:8" x14ac:dyDescent="0.25">
      <c r="A1445" t="s">
        <v>36</v>
      </c>
      <c r="B1445" t="s">
        <v>117</v>
      </c>
      <c r="C1445" t="s">
        <v>1125</v>
      </c>
      <c r="D1445">
        <v>3</v>
      </c>
      <c r="E1445" s="273">
        <v>3</v>
      </c>
      <c r="F1445" s="273" t="s">
        <v>7</v>
      </c>
      <c r="G1445" s="273" t="s">
        <v>11</v>
      </c>
      <c r="H1445" s="273" t="s">
        <v>11</v>
      </c>
    </row>
    <row r="1446" spans="1:8" x14ac:dyDescent="0.25">
      <c r="A1446" t="s">
        <v>36</v>
      </c>
      <c r="B1446" t="s">
        <v>117</v>
      </c>
      <c r="C1446" t="s">
        <v>1875</v>
      </c>
      <c r="D1446">
        <v>3</v>
      </c>
      <c r="E1446" s="273">
        <v>3</v>
      </c>
      <c r="F1446" s="273" t="s">
        <v>7</v>
      </c>
      <c r="G1446" s="273" t="s">
        <v>115</v>
      </c>
      <c r="H1446" s="273" t="s">
        <v>11</v>
      </c>
    </row>
    <row r="1447" spans="1:8" x14ac:dyDescent="0.25">
      <c r="A1447" t="s">
        <v>36</v>
      </c>
      <c r="B1447" t="s">
        <v>117</v>
      </c>
      <c r="C1447" t="s">
        <v>1126</v>
      </c>
      <c r="D1447">
        <v>3</v>
      </c>
      <c r="E1447" s="273">
        <v>3</v>
      </c>
      <c r="F1447" s="273" t="s">
        <v>7</v>
      </c>
      <c r="G1447" s="273" t="s">
        <v>11</v>
      </c>
      <c r="H1447" s="273" t="s">
        <v>11</v>
      </c>
    </row>
    <row r="1448" spans="1:8" x14ac:dyDescent="0.25">
      <c r="A1448" t="s">
        <v>36</v>
      </c>
      <c r="B1448" t="s">
        <v>117</v>
      </c>
      <c r="C1448" t="s">
        <v>1127</v>
      </c>
      <c r="D1448">
        <v>2</v>
      </c>
      <c r="E1448" s="273">
        <v>3</v>
      </c>
      <c r="F1448" s="273" t="s">
        <v>7</v>
      </c>
      <c r="G1448" s="273" t="s">
        <v>11</v>
      </c>
      <c r="H1448" s="273" t="s">
        <v>11</v>
      </c>
    </row>
    <row r="1449" spans="1:8" x14ac:dyDescent="0.25">
      <c r="A1449" t="s">
        <v>36</v>
      </c>
      <c r="B1449" t="s">
        <v>117</v>
      </c>
      <c r="C1449" t="s">
        <v>2075</v>
      </c>
      <c r="D1449">
        <v>3</v>
      </c>
      <c r="E1449" s="273">
        <v>3</v>
      </c>
      <c r="F1449" s="273" t="s">
        <v>7</v>
      </c>
      <c r="G1449" s="273" t="s">
        <v>11</v>
      </c>
      <c r="H1449" s="273" t="s">
        <v>11</v>
      </c>
    </row>
    <row r="1450" spans="1:8" x14ac:dyDescent="0.25">
      <c r="A1450" t="s">
        <v>36</v>
      </c>
      <c r="B1450" t="s">
        <v>117</v>
      </c>
      <c r="C1450" t="s">
        <v>2076</v>
      </c>
      <c r="D1450">
        <v>3</v>
      </c>
      <c r="E1450" s="273">
        <v>3</v>
      </c>
      <c r="F1450" s="273" t="s">
        <v>7</v>
      </c>
      <c r="G1450" s="273" t="s">
        <v>115</v>
      </c>
      <c r="H1450" s="273" t="s">
        <v>11</v>
      </c>
    </row>
    <row r="1451" spans="1:8" x14ac:dyDescent="0.25">
      <c r="A1451" t="s">
        <v>36</v>
      </c>
      <c r="B1451" t="s">
        <v>117</v>
      </c>
      <c r="C1451" t="s">
        <v>1133</v>
      </c>
      <c r="D1451">
        <v>3</v>
      </c>
      <c r="E1451" s="273">
        <v>3</v>
      </c>
      <c r="F1451" s="273" t="s">
        <v>7</v>
      </c>
      <c r="G1451" s="273" t="s">
        <v>115</v>
      </c>
      <c r="H1451" s="273" t="s">
        <v>11</v>
      </c>
    </row>
    <row r="1452" spans="1:8" x14ac:dyDescent="0.25">
      <c r="A1452" t="s">
        <v>36</v>
      </c>
      <c r="B1452" t="s">
        <v>117</v>
      </c>
      <c r="C1452" t="s">
        <v>2077</v>
      </c>
      <c r="D1452">
        <v>3</v>
      </c>
      <c r="E1452" s="273">
        <v>3</v>
      </c>
      <c r="F1452" s="273" t="s">
        <v>7</v>
      </c>
      <c r="G1452" s="273" t="s">
        <v>11</v>
      </c>
      <c r="H1452" s="273" t="s">
        <v>11</v>
      </c>
    </row>
    <row r="1453" spans="1:8" x14ac:dyDescent="0.25">
      <c r="A1453" t="s">
        <v>36</v>
      </c>
      <c r="B1453" t="s">
        <v>117</v>
      </c>
      <c r="C1453" t="s">
        <v>2078</v>
      </c>
      <c r="D1453">
        <v>3</v>
      </c>
      <c r="E1453" s="273">
        <v>3</v>
      </c>
      <c r="F1453" s="273" t="s">
        <v>7</v>
      </c>
      <c r="G1453" s="273" t="s">
        <v>115</v>
      </c>
      <c r="H1453" s="273" t="s">
        <v>11</v>
      </c>
    </row>
    <row r="1454" spans="1:8" x14ac:dyDescent="0.25">
      <c r="A1454" t="s">
        <v>36</v>
      </c>
      <c r="B1454" t="s">
        <v>117</v>
      </c>
      <c r="C1454" t="s">
        <v>1143</v>
      </c>
      <c r="D1454">
        <v>3</v>
      </c>
      <c r="E1454" s="273">
        <v>3</v>
      </c>
      <c r="F1454" s="273" t="s">
        <v>7</v>
      </c>
      <c r="G1454" s="273" t="s">
        <v>115</v>
      </c>
      <c r="H1454" s="273" t="s">
        <v>11</v>
      </c>
    </row>
    <row r="1455" spans="1:8" x14ac:dyDescent="0.25">
      <c r="A1455" t="s">
        <v>36</v>
      </c>
      <c r="B1455" t="s">
        <v>117</v>
      </c>
      <c r="C1455" t="s">
        <v>2079</v>
      </c>
      <c r="D1455">
        <v>3</v>
      </c>
      <c r="E1455" s="273">
        <v>3</v>
      </c>
      <c r="F1455" s="273" t="s">
        <v>7</v>
      </c>
      <c r="G1455" s="273" t="s">
        <v>115</v>
      </c>
      <c r="H1455" s="273" t="s">
        <v>11</v>
      </c>
    </row>
    <row r="1456" spans="1:8" x14ac:dyDescent="0.25">
      <c r="A1456" t="s">
        <v>36</v>
      </c>
      <c r="B1456" t="s">
        <v>117</v>
      </c>
      <c r="C1456" t="s">
        <v>1145</v>
      </c>
      <c r="D1456">
        <v>3</v>
      </c>
      <c r="E1456" s="273">
        <v>3</v>
      </c>
      <c r="F1456" s="273" t="s">
        <v>7</v>
      </c>
      <c r="G1456" s="273" t="s">
        <v>115</v>
      </c>
      <c r="H1456" s="273" t="s">
        <v>11</v>
      </c>
    </row>
    <row r="1457" spans="1:8" x14ac:dyDescent="0.25">
      <c r="A1457" t="s">
        <v>36</v>
      </c>
      <c r="B1457" t="s">
        <v>117</v>
      </c>
      <c r="C1457" t="s">
        <v>2080</v>
      </c>
      <c r="D1457">
        <v>3</v>
      </c>
      <c r="E1457" s="273">
        <v>3</v>
      </c>
      <c r="F1457" s="273" t="s">
        <v>7</v>
      </c>
      <c r="G1457" s="273" t="s">
        <v>11</v>
      </c>
      <c r="H1457" s="273" t="s">
        <v>11</v>
      </c>
    </row>
    <row r="1458" spans="1:8" x14ac:dyDescent="0.25">
      <c r="A1458" t="s">
        <v>36</v>
      </c>
      <c r="B1458" t="s">
        <v>117</v>
      </c>
      <c r="C1458" t="s">
        <v>1507</v>
      </c>
      <c r="D1458">
        <v>3</v>
      </c>
      <c r="E1458" s="273">
        <v>2</v>
      </c>
      <c r="F1458" s="273" t="s">
        <v>7</v>
      </c>
      <c r="G1458" s="273" t="s">
        <v>115</v>
      </c>
      <c r="H1458" s="273" t="s">
        <v>11</v>
      </c>
    </row>
    <row r="1459" spans="1:8" x14ac:dyDescent="0.25">
      <c r="A1459" t="s">
        <v>36</v>
      </c>
      <c r="B1459" t="s">
        <v>117</v>
      </c>
      <c r="C1459" t="s">
        <v>1666</v>
      </c>
      <c r="D1459">
        <v>3</v>
      </c>
      <c r="E1459" s="273">
        <v>2</v>
      </c>
      <c r="F1459" s="273" t="s">
        <v>7</v>
      </c>
      <c r="G1459" s="273" t="s">
        <v>115</v>
      </c>
      <c r="H1459" s="273" t="s">
        <v>11</v>
      </c>
    </row>
    <row r="1460" spans="1:8" x14ac:dyDescent="0.25">
      <c r="A1460" t="s">
        <v>36</v>
      </c>
      <c r="B1460" t="s">
        <v>117</v>
      </c>
      <c r="C1460" t="s">
        <v>2081</v>
      </c>
      <c r="D1460">
        <v>3</v>
      </c>
      <c r="E1460" s="273">
        <v>3</v>
      </c>
      <c r="F1460" s="273" t="s">
        <v>7</v>
      </c>
      <c r="G1460" s="273" t="s">
        <v>115</v>
      </c>
      <c r="H1460" s="273" t="s">
        <v>11</v>
      </c>
    </row>
    <row r="1461" spans="1:8" x14ac:dyDescent="0.25">
      <c r="A1461" t="s">
        <v>36</v>
      </c>
      <c r="B1461" t="s">
        <v>117</v>
      </c>
      <c r="C1461" t="s">
        <v>1429</v>
      </c>
      <c r="D1461">
        <v>3</v>
      </c>
      <c r="E1461" s="273">
        <v>3</v>
      </c>
      <c r="F1461" s="273" t="s">
        <v>7</v>
      </c>
      <c r="G1461" s="273" t="s">
        <v>11</v>
      </c>
      <c r="H1461" s="273" t="s">
        <v>11</v>
      </c>
    </row>
    <row r="1462" spans="1:8" x14ac:dyDescent="0.25">
      <c r="A1462" t="s">
        <v>36</v>
      </c>
      <c r="B1462" t="s">
        <v>117</v>
      </c>
      <c r="C1462" t="s">
        <v>2082</v>
      </c>
      <c r="D1462">
        <v>3</v>
      </c>
      <c r="E1462" s="273">
        <v>3</v>
      </c>
      <c r="F1462" s="273" t="s">
        <v>7</v>
      </c>
      <c r="G1462" s="273" t="s">
        <v>11</v>
      </c>
      <c r="H1462" s="273" t="s">
        <v>11</v>
      </c>
    </row>
    <row r="1463" spans="1:8" x14ac:dyDescent="0.25">
      <c r="A1463" t="s">
        <v>36</v>
      </c>
      <c r="B1463" t="s">
        <v>117</v>
      </c>
      <c r="C1463" t="s">
        <v>2083</v>
      </c>
      <c r="D1463">
        <v>3</v>
      </c>
      <c r="E1463" s="273">
        <v>3</v>
      </c>
      <c r="F1463" s="273" t="s">
        <v>7</v>
      </c>
      <c r="G1463" s="273" t="s">
        <v>11</v>
      </c>
      <c r="H1463" s="273" t="s">
        <v>11</v>
      </c>
    </row>
    <row r="1464" spans="1:8" x14ac:dyDescent="0.25">
      <c r="A1464" t="s">
        <v>36</v>
      </c>
      <c r="B1464" t="s">
        <v>117</v>
      </c>
      <c r="C1464" t="s">
        <v>2084</v>
      </c>
      <c r="D1464">
        <v>3</v>
      </c>
      <c r="E1464" s="273">
        <v>3</v>
      </c>
      <c r="F1464" s="273" t="s">
        <v>7</v>
      </c>
      <c r="G1464" s="273" t="s">
        <v>11</v>
      </c>
      <c r="H1464" s="273" t="s">
        <v>11</v>
      </c>
    </row>
    <row r="1465" spans="1:8" x14ac:dyDescent="0.25">
      <c r="A1465" t="s">
        <v>36</v>
      </c>
      <c r="B1465" t="s">
        <v>117</v>
      </c>
      <c r="C1465" t="s">
        <v>1149</v>
      </c>
      <c r="D1465">
        <v>3</v>
      </c>
      <c r="E1465" s="273">
        <v>2</v>
      </c>
      <c r="F1465" s="273" t="s">
        <v>7</v>
      </c>
      <c r="G1465" s="273" t="s">
        <v>115</v>
      </c>
      <c r="H1465" s="273" t="s">
        <v>11</v>
      </c>
    </row>
    <row r="1466" spans="1:8" x14ac:dyDescent="0.25">
      <c r="A1466" t="s">
        <v>36</v>
      </c>
      <c r="B1466" t="s">
        <v>117</v>
      </c>
      <c r="C1466" t="s">
        <v>1513</v>
      </c>
      <c r="D1466">
        <v>3</v>
      </c>
      <c r="E1466" s="273">
        <v>3</v>
      </c>
      <c r="F1466" s="273" t="s">
        <v>7</v>
      </c>
      <c r="G1466" s="273" t="s">
        <v>11</v>
      </c>
      <c r="H1466" s="273" t="s">
        <v>11</v>
      </c>
    </row>
    <row r="1467" spans="1:8" x14ac:dyDescent="0.25">
      <c r="A1467" t="s">
        <v>36</v>
      </c>
      <c r="B1467" t="s">
        <v>117</v>
      </c>
      <c r="C1467" t="s">
        <v>1150</v>
      </c>
      <c r="D1467">
        <v>3</v>
      </c>
      <c r="E1467" s="273">
        <v>3</v>
      </c>
      <c r="F1467" s="273" t="s">
        <v>7</v>
      </c>
      <c r="G1467" s="273" t="s">
        <v>115</v>
      </c>
      <c r="H1467" s="273" t="s">
        <v>11</v>
      </c>
    </row>
    <row r="1468" spans="1:8" x14ac:dyDescent="0.25">
      <c r="A1468" t="s">
        <v>36</v>
      </c>
      <c r="B1468" t="s">
        <v>117</v>
      </c>
      <c r="C1468" t="s">
        <v>1883</v>
      </c>
      <c r="D1468">
        <v>3</v>
      </c>
      <c r="E1468" s="273">
        <v>3</v>
      </c>
      <c r="F1468" s="273" t="s">
        <v>7</v>
      </c>
      <c r="G1468" s="273" t="s">
        <v>115</v>
      </c>
      <c r="H1468" s="273" t="s">
        <v>11</v>
      </c>
    </row>
    <row r="1469" spans="1:8" x14ac:dyDescent="0.25">
      <c r="A1469" t="s">
        <v>36</v>
      </c>
      <c r="B1469" t="s">
        <v>117</v>
      </c>
      <c r="C1469" t="s">
        <v>1516</v>
      </c>
      <c r="D1469">
        <v>3</v>
      </c>
      <c r="E1469" s="273">
        <v>3</v>
      </c>
      <c r="F1469" s="273" t="s">
        <v>7</v>
      </c>
      <c r="G1469" s="273" t="s">
        <v>115</v>
      </c>
      <c r="H1469" s="273" t="s">
        <v>11</v>
      </c>
    </row>
    <row r="1470" spans="1:8" x14ac:dyDescent="0.25">
      <c r="A1470" t="s">
        <v>36</v>
      </c>
      <c r="B1470" t="s">
        <v>117</v>
      </c>
      <c r="C1470" t="s">
        <v>2085</v>
      </c>
      <c r="D1470">
        <v>3</v>
      </c>
      <c r="E1470" s="273">
        <v>3</v>
      </c>
      <c r="F1470" s="273" t="s">
        <v>7</v>
      </c>
      <c r="G1470" s="273" t="s">
        <v>11</v>
      </c>
      <c r="H1470" s="273" t="s">
        <v>11</v>
      </c>
    </row>
    <row r="1471" spans="1:8" x14ac:dyDescent="0.25">
      <c r="A1471" t="s">
        <v>36</v>
      </c>
      <c r="B1471" t="s">
        <v>117</v>
      </c>
      <c r="C1471" t="s">
        <v>1254</v>
      </c>
      <c r="D1471">
        <v>3</v>
      </c>
      <c r="E1471" s="273">
        <v>3</v>
      </c>
      <c r="F1471" s="273" t="s">
        <v>7</v>
      </c>
      <c r="G1471" s="273" t="s">
        <v>11</v>
      </c>
      <c r="H1471" s="273" t="s">
        <v>11</v>
      </c>
    </row>
    <row r="1472" spans="1:8" x14ac:dyDescent="0.25">
      <c r="A1472" t="s">
        <v>36</v>
      </c>
      <c r="B1472" t="s">
        <v>117</v>
      </c>
      <c r="C1472" t="s">
        <v>1151</v>
      </c>
      <c r="D1472">
        <v>3</v>
      </c>
      <c r="E1472" s="273">
        <v>3</v>
      </c>
      <c r="F1472" s="273" t="s">
        <v>7</v>
      </c>
      <c r="G1472" s="273" t="s">
        <v>115</v>
      </c>
      <c r="H1472" s="273" t="s">
        <v>11</v>
      </c>
    </row>
    <row r="1473" spans="1:8" x14ac:dyDescent="0.25">
      <c r="A1473" t="s">
        <v>36</v>
      </c>
      <c r="B1473" t="s">
        <v>117</v>
      </c>
      <c r="C1473" t="s">
        <v>1152</v>
      </c>
      <c r="D1473">
        <v>3</v>
      </c>
      <c r="E1473" s="273">
        <v>3</v>
      </c>
      <c r="F1473" s="273" t="s">
        <v>7</v>
      </c>
      <c r="G1473" s="273" t="s">
        <v>11</v>
      </c>
      <c r="H1473" s="273" t="s">
        <v>11</v>
      </c>
    </row>
    <row r="1474" spans="1:8" x14ac:dyDescent="0.25">
      <c r="A1474" t="s">
        <v>36</v>
      </c>
      <c r="B1474" t="s">
        <v>117</v>
      </c>
      <c r="C1474" t="s">
        <v>1153</v>
      </c>
      <c r="D1474">
        <v>3</v>
      </c>
      <c r="E1474" s="273">
        <v>3</v>
      </c>
      <c r="F1474" s="273" t="s">
        <v>7</v>
      </c>
      <c r="G1474" s="273" t="s">
        <v>115</v>
      </c>
      <c r="H1474" s="273" t="s">
        <v>11</v>
      </c>
    </row>
    <row r="1475" spans="1:8" x14ac:dyDescent="0.25">
      <c r="A1475" t="s">
        <v>36</v>
      </c>
      <c r="B1475" t="s">
        <v>117</v>
      </c>
      <c r="C1475" t="s">
        <v>2086</v>
      </c>
      <c r="D1475">
        <v>3</v>
      </c>
      <c r="E1475" s="273">
        <v>3</v>
      </c>
      <c r="F1475" s="273" t="s">
        <v>7</v>
      </c>
      <c r="G1475" s="273" t="s">
        <v>11</v>
      </c>
      <c r="H1475" s="273" t="s">
        <v>11</v>
      </c>
    </row>
    <row r="1476" spans="1:8" x14ac:dyDescent="0.25">
      <c r="A1476" t="s">
        <v>36</v>
      </c>
      <c r="B1476" t="s">
        <v>117</v>
      </c>
      <c r="C1476" t="s">
        <v>1154</v>
      </c>
      <c r="D1476">
        <v>2</v>
      </c>
      <c r="E1476" s="273">
        <v>3</v>
      </c>
      <c r="F1476" s="273" t="s">
        <v>7</v>
      </c>
      <c r="G1476" s="273" t="s">
        <v>11</v>
      </c>
      <c r="H1476" s="273" t="s">
        <v>11</v>
      </c>
    </row>
    <row r="1477" spans="1:8" x14ac:dyDescent="0.25">
      <c r="A1477" t="s">
        <v>36</v>
      </c>
      <c r="B1477" t="s">
        <v>117</v>
      </c>
      <c r="C1477" t="s">
        <v>2087</v>
      </c>
      <c r="D1477">
        <v>3</v>
      </c>
      <c r="E1477" s="273">
        <v>3</v>
      </c>
      <c r="F1477" s="273" t="s">
        <v>7</v>
      </c>
      <c r="G1477" s="273" t="s">
        <v>11</v>
      </c>
      <c r="H1477" s="273" t="s">
        <v>11</v>
      </c>
    </row>
    <row r="1478" spans="1:8" x14ac:dyDescent="0.25">
      <c r="A1478" t="s">
        <v>36</v>
      </c>
      <c r="B1478" t="s">
        <v>117</v>
      </c>
      <c r="C1478" t="s">
        <v>1255</v>
      </c>
      <c r="D1478">
        <v>3</v>
      </c>
      <c r="E1478" s="273">
        <v>3</v>
      </c>
      <c r="F1478" s="273" t="s">
        <v>7</v>
      </c>
      <c r="G1478" s="273" t="s">
        <v>115</v>
      </c>
      <c r="H1478" s="273" t="s">
        <v>11</v>
      </c>
    </row>
    <row r="1479" spans="1:8" x14ac:dyDescent="0.25">
      <c r="A1479" t="s">
        <v>36</v>
      </c>
      <c r="B1479" t="s">
        <v>117</v>
      </c>
      <c r="C1479" t="s">
        <v>1156</v>
      </c>
      <c r="D1479">
        <v>2</v>
      </c>
      <c r="E1479" s="273">
        <v>3</v>
      </c>
      <c r="F1479" s="273" t="s">
        <v>7</v>
      </c>
      <c r="G1479" s="273" t="s">
        <v>11</v>
      </c>
      <c r="H1479" s="273" t="s">
        <v>11</v>
      </c>
    </row>
    <row r="1480" spans="1:8" x14ac:dyDescent="0.25">
      <c r="A1480" t="s">
        <v>36</v>
      </c>
      <c r="B1480" t="s">
        <v>117</v>
      </c>
      <c r="C1480" t="s">
        <v>1158</v>
      </c>
      <c r="D1480">
        <v>3</v>
      </c>
      <c r="E1480" s="273">
        <v>3</v>
      </c>
      <c r="F1480" s="273" t="s">
        <v>7</v>
      </c>
      <c r="G1480" s="273" t="s">
        <v>11</v>
      </c>
      <c r="H1480" s="273" t="s">
        <v>11</v>
      </c>
    </row>
    <row r="1481" spans="1:8" x14ac:dyDescent="0.25">
      <c r="A1481" t="s">
        <v>36</v>
      </c>
      <c r="B1481" t="s">
        <v>117</v>
      </c>
      <c r="C1481" t="s">
        <v>1160</v>
      </c>
      <c r="D1481">
        <v>3</v>
      </c>
      <c r="E1481" s="273">
        <v>3</v>
      </c>
      <c r="F1481" s="273" t="s">
        <v>7</v>
      </c>
      <c r="G1481" s="273" t="s">
        <v>115</v>
      </c>
      <c r="H1481" s="273" t="s">
        <v>11</v>
      </c>
    </row>
    <row r="1482" spans="1:8" x14ac:dyDescent="0.25">
      <c r="A1482" t="s">
        <v>36</v>
      </c>
      <c r="B1482" t="s">
        <v>117</v>
      </c>
      <c r="C1482" t="s">
        <v>1161</v>
      </c>
      <c r="D1482">
        <v>3</v>
      </c>
      <c r="E1482" s="273">
        <v>3</v>
      </c>
      <c r="F1482" s="273" t="s">
        <v>7</v>
      </c>
      <c r="G1482" s="273" t="s">
        <v>11</v>
      </c>
      <c r="H1482" s="273" t="s">
        <v>11</v>
      </c>
    </row>
    <row r="1483" spans="1:8" x14ac:dyDescent="0.25">
      <c r="A1483" t="s">
        <v>36</v>
      </c>
      <c r="B1483" t="s">
        <v>117</v>
      </c>
      <c r="C1483" t="s">
        <v>1163</v>
      </c>
      <c r="D1483">
        <v>3</v>
      </c>
      <c r="E1483" s="273">
        <v>3</v>
      </c>
      <c r="F1483" s="273" t="s">
        <v>7</v>
      </c>
      <c r="G1483" s="273" t="s">
        <v>11</v>
      </c>
      <c r="H1483" s="273" t="s">
        <v>11</v>
      </c>
    </row>
    <row r="1484" spans="1:8" x14ac:dyDescent="0.25">
      <c r="A1484" t="s">
        <v>36</v>
      </c>
      <c r="B1484" t="s">
        <v>117</v>
      </c>
      <c r="C1484" t="s">
        <v>1164</v>
      </c>
      <c r="D1484">
        <v>3</v>
      </c>
      <c r="E1484" s="273">
        <v>3</v>
      </c>
      <c r="F1484" s="273" t="s">
        <v>7</v>
      </c>
      <c r="G1484" s="273" t="s">
        <v>11</v>
      </c>
      <c r="H1484" s="273" t="s">
        <v>11</v>
      </c>
    </row>
    <row r="1485" spans="1:8" x14ac:dyDescent="0.25">
      <c r="A1485" t="s">
        <v>36</v>
      </c>
      <c r="B1485" t="s">
        <v>117</v>
      </c>
      <c r="C1485" t="s">
        <v>2088</v>
      </c>
      <c r="D1485">
        <v>3</v>
      </c>
      <c r="E1485" s="273">
        <v>3</v>
      </c>
      <c r="F1485" s="273" t="s">
        <v>7</v>
      </c>
      <c r="G1485" s="273" t="s">
        <v>11</v>
      </c>
      <c r="H1485" s="273" t="s">
        <v>11</v>
      </c>
    </row>
    <row r="1486" spans="1:8" x14ac:dyDescent="0.25">
      <c r="A1486" t="s">
        <v>36</v>
      </c>
      <c r="B1486" t="s">
        <v>117</v>
      </c>
      <c r="C1486" t="s">
        <v>1262</v>
      </c>
      <c r="D1486">
        <v>3</v>
      </c>
      <c r="E1486" s="273">
        <v>3</v>
      </c>
      <c r="F1486" s="273" t="s">
        <v>7</v>
      </c>
      <c r="G1486" s="273" t="s">
        <v>11</v>
      </c>
      <c r="H1486" s="273" t="s">
        <v>11</v>
      </c>
    </row>
    <row r="1487" spans="1:8" x14ac:dyDescent="0.25">
      <c r="A1487" t="s">
        <v>36</v>
      </c>
      <c r="B1487" t="s">
        <v>117</v>
      </c>
      <c r="C1487" t="s">
        <v>2089</v>
      </c>
      <c r="D1487">
        <v>2</v>
      </c>
      <c r="E1487" s="273">
        <v>3</v>
      </c>
      <c r="F1487" s="273" t="s">
        <v>7</v>
      </c>
      <c r="G1487" s="273" t="s">
        <v>11</v>
      </c>
      <c r="H1487" s="273" t="s">
        <v>11</v>
      </c>
    </row>
    <row r="1488" spans="1:8" x14ac:dyDescent="0.25">
      <c r="A1488" t="s">
        <v>36</v>
      </c>
      <c r="B1488" t="s">
        <v>117</v>
      </c>
      <c r="C1488" t="s">
        <v>2090</v>
      </c>
      <c r="D1488">
        <v>3</v>
      </c>
      <c r="E1488" s="273">
        <v>3</v>
      </c>
      <c r="F1488" s="273" t="s">
        <v>7</v>
      </c>
      <c r="G1488" s="273" t="s">
        <v>11</v>
      </c>
      <c r="H1488" s="273" t="s">
        <v>11</v>
      </c>
    </row>
    <row r="1489" spans="1:8" x14ac:dyDescent="0.25">
      <c r="A1489" t="s">
        <v>36</v>
      </c>
      <c r="B1489" t="s">
        <v>117</v>
      </c>
      <c r="C1489" t="s">
        <v>2091</v>
      </c>
      <c r="D1489">
        <v>3</v>
      </c>
      <c r="E1489" s="273">
        <v>3</v>
      </c>
      <c r="F1489" s="273" t="s">
        <v>7</v>
      </c>
      <c r="G1489" s="273" t="s">
        <v>11</v>
      </c>
      <c r="H1489" s="273" t="s">
        <v>11</v>
      </c>
    </row>
    <row r="1490" spans="1:8" x14ac:dyDescent="0.25">
      <c r="A1490" t="s">
        <v>36</v>
      </c>
      <c r="B1490" t="s">
        <v>117</v>
      </c>
      <c r="C1490" t="s">
        <v>2092</v>
      </c>
      <c r="D1490">
        <v>3</v>
      </c>
      <c r="E1490" s="273">
        <v>2</v>
      </c>
      <c r="F1490" s="273" t="s">
        <v>7</v>
      </c>
      <c r="G1490" s="273" t="s">
        <v>115</v>
      </c>
      <c r="H1490" s="273" t="s">
        <v>11</v>
      </c>
    </row>
    <row r="1491" spans="1:8" x14ac:dyDescent="0.25">
      <c r="A1491" t="s">
        <v>36</v>
      </c>
      <c r="B1491" t="s">
        <v>117</v>
      </c>
      <c r="C1491" t="s">
        <v>1166</v>
      </c>
      <c r="D1491">
        <v>3</v>
      </c>
      <c r="E1491" s="273">
        <v>3</v>
      </c>
      <c r="F1491" s="273" t="s">
        <v>7</v>
      </c>
      <c r="G1491" s="273" t="s">
        <v>115</v>
      </c>
      <c r="H1491" s="273" t="s">
        <v>11</v>
      </c>
    </row>
    <row r="1492" spans="1:8" x14ac:dyDescent="0.25">
      <c r="A1492" t="s">
        <v>36</v>
      </c>
      <c r="B1492" t="s">
        <v>117</v>
      </c>
      <c r="C1492" t="s">
        <v>1168</v>
      </c>
      <c r="D1492">
        <v>3</v>
      </c>
      <c r="E1492" s="273">
        <v>3</v>
      </c>
      <c r="F1492" s="273" t="s">
        <v>7</v>
      </c>
      <c r="G1492" s="273" t="s">
        <v>115</v>
      </c>
      <c r="H1492" s="273" t="s">
        <v>11</v>
      </c>
    </row>
    <row r="1493" spans="1:8" x14ac:dyDescent="0.25">
      <c r="A1493" t="s">
        <v>36</v>
      </c>
      <c r="B1493" t="s">
        <v>117</v>
      </c>
      <c r="C1493" t="s">
        <v>2093</v>
      </c>
      <c r="D1493">
        <v>3</v>
      </c>
      <c r="E1493" s="273">
        <v>3</v>
      </c>
      <c r="F1493" s="273" t="s">
        <v>7</v>
      </c>
      <c r="G1493" s="273" t="s">
        <v>11</v>
      </c>
      <c r="H1493" s="273" t="s">
        <v>11</v>
      </c>
    </row>
    <row r="1494" spans="1:8" x14ac:dyDescent="0.25">
      <c r="A1494" t="s">
        <v>36</v>
      </c>
      <c r="B1494" t="s">
        <v>117</v>
      </c>
      <c r="C1494" t="s">
        <v>2094</v>
      </c>
      <c r="D1494">
        <v>3</v>
      </c>
      <c r="E1494" s="273">
        <v>3</v>
      </c>
      <c r="F1494" s="273" t="s">
        <v>7</v>
      </c>
      <c r="G1494" s="273" t="s">
        <v>11</v>
      </c>
      <c r="H1494" s="273" t="s">
        <v>11</v>
      </c>
    </row>
    <row r="1495" spans="1:8" x14ac:dyDescent="0.25">
      <c r="A1495" t="s">
        <v>36</v>
      </c>
      <c r="B1495" t="s">
        <v>117</v>
      </c>
      <c r="C1495" t="s">
        <v>1532</v>
      </c>
      <c r="D1495">
        <v>3</v>
      </c>
      <c r="E1495" s="273">
        <v>3</v>
      </c>
      <c r="F1495" s="273" t="s">
        <v>7</v>
      </c>
      <c r="G1495" s="273" t="s">
        <v>11</v>
      </c>
      <c r="H1495" s="273" t="s">
        <v>11</v>
      </c>
    </row>
    <row r="1496" spans="1:8" x14ac:dyDescent="0.25">
      <c r="A1496" t="s">
        <v>36</v>
      </c>
      <c r="B1496" t="s">
        <v>117</v>
      </c>
      <c r="C1496" t="s">
        <v>2095</v>
      </c>
      <c r="D1496">
        <v>3</v>
      </c>
      <c r="E1496" s="273">
        <v>3</v>
      </c>
      <c r="F1496" s="273" t="s">
        <v>7</v>
      </c>
      <c r="G1496" s="273" t="s">
        <v>115</v>
      </c>
      <c r="H1496" s="273" t="s">
        <v>11</v>
      </c>
    </row>
    <row r="1497" spans="1:8" x14ac:dyDescent="0.25">
      <c r="A1497" t="s">
        <v>36</v>
      </c>
      <c r="B1497" t="s">
        <v>117</v>
      </c>
      <c r="C1497" t="s">
        <v>1272</v>
      </c>
      <c r="D1497">
        <v>3</v>
      </c>
      <c r="E1497" s="273">
        <v>3</v>
      </c>
      <c r="F1497" s="273" t="s">
        <v>7</v>
      </c>
      <c r="G1497" s="273" t="s">
        <v>11</v>
      </c>
      <c r="H1497" s="273" t="s">
        <v>11</v>
      </c>
    </row>
    <row r="1498" spans="1:8" x14ac:dyDescent="0.25">
      <c r="A1498" t="s">
        <v>36</v>
      </c>
      <c r="B1498" t="s">
        <v>117</v>
      </c>
      <c r="C1498" t="s">
        <v>2096</v>
      </c>
      <c r="D1498">
        <v>3</v>
      </c>
      <c r="E1498" s="273">
        <v>3</v>
      </c>
      <c r="F1498" s="273" t="s">
        <v>7</v>
      </c>
      <c r="G1498" s="273" t="s">
        <v>11</v>
      </c>
      <c r="H1498" s="273" t="s">
        <v>11</v>
      </c>
    </row>
    <row r="1499" spans="1:8" x14ac:dyDescent="0.25">
      <c r="A1499" t="s">
        <v>36</v>
      </c>
      <c r="B1499" t="s">
        <v>117</v>
      </c>
      <c r="C1499" t="s">
        <v>1859</v>
      </c>
      <c r="D1499">
        <v>3</v>
      </c>
      <c r="E1499" s="273">
        <v>3</v>
      </c>
      <c r="F1499" s="273" t="s">
        <v>7</v>
      </c>
      <c r="G1499" s="273" t="s">
        <v>115</v>
      </c>
      <c r="H1499" s="273" t="s">
        <v>11</v>
      </c>
    </row>
    <row r="1500" spans="1:8" x14ac:dyDescent="0.25">
      <c r="A1500" t="s">
        <v>36</v>
      </c>
      <c r="B1500" t="s">
        <v>117</v>
      </c>
      <c r="C1500" t="s">
        <v>1797</v>
      </c>
      <c r="D1500">
        <v>3</v>
      </c>
      <c r="E1500" s="273">
        <v>3</v>
      </c>
      <c r="F1500" s="273" t="s">
        <v>7</v>
      </c>
      <c r="G1500" s="273" t="s">
        <v>115</v>
      </c>
      <c r="H1500" s="273" t="s">
        <v>11</v>
      </c>
    </row>
    <row r="1501" spans="1:8" x14ac:dyDescent="0.25">
      <c r="A1501" t="s">
        <v>36</v>
      </c>
      <c r="B1501" t="s">
        <v>117</v>
      </c>
      <c r="C1501" t="s">
        <v>1277</v>
      </c>
      <c r="D1501">
        <v>3</v>
      </c>
      <c r="E1501" s="273">
        <v>2</v>
      </c>
      <c r="F1501" s="273" t="s">
        <v>7</v>
      </c>
      <c r="G1501" s="273" t="s">
        <v>115</v>
      </c>
      <c r="H1501" s="273" t="s">
        <v>11</v>
      </c>
    </row>
    <row r="1502" spans="1:8" x14ac:dyDescent="0.25">
      <c r="A1502" t="s">
        <v>36</v>
      </c>
      <c r="B1502" t="s">
        <v>117</v>
      </c>
      <c r="C1502" t="s">
        <v>2097</v>
      </c>
      <c r="D1502">
        <v>3</v>
      </c>
      <c r="E1502" s="273">
        <v>3</v>
      </c>
      <c r="F1502" s="273" t="s">
        <v>7</v>
      </c>
      <c r="G1502" s="273" t="s">
        <v>11</v>
      </c>
      <c r="H1502" s="273" t="s">
        <v>11</v>
      </c>
    </row>
    <row r="1503" spans="1:8" x14ac:dyDescent="0.25">
      <c r="A1503" t="s">
        <v>36</v>
      </c>
      <c r="B1503" t="s">
        <v>117</v>
      </c>
      <c r="C1503" t="s">
        <v>2098</v>
      </c>
      <c r="D1503">
        <v>3</v>
      </c>
      <c r="E1503" s="273">
        <v>3</v>
      </c>
      <c r="F1503" s="273" t="s">
        <v>7</v>
      </c>
      <c r="G1503" s="273" t="s">
        <v>11</v>
      </c>
      <c r="H1503" s="273" t="s">
        <v>11</v>
      </c>
    </row>
    <row r="1504" spans="1:8" x14ac:dyDescent="0.25">
      <c r="A1504" t="s">
        <v>36</v>
      </c>
      <c r="B1504" t="s">
        <v>117</v>
      </c>
      <c r="C1504" t="s">
        <v>2099</v>
      </c>
      <c r="D1504">
        <v>3</v>
      </c>
      <c r="E1504" s="273">
        <v>3</v>
      </c>
      <c r="F1504" s="273" t="s">
        <v>7</v>
      </c>
      <c r="G1504" s="273" t="s">
        <v>11</v>
      </c>
      <c r="H1504" s="273" t="s">
        <v>11</v>
      </c>
    </row>
    <row r="1505" spans="1:8" x14ac:dyDescent="0.25">
      <c r="A1505" t="s">
        <v>36</v>
      </c>
      <c r="B1505" t="s">
        <v>117</v>
      </c>
      <c r="C1505" t="s">
        <v>2100</v>
      </c>
      <c r="D1505">
        <v>3</v>
      </c>
      <c r="E1505" s="273">
        <v>3</v>
      </c>
      <c r="F1505" s="273" t="s">
        <v>7</v>
      </c>
      <c r="G1505" s="273" t="s">
        <v>11</v>
      </c>
      <c r="H1505" s="273" t="s">
        <v>11</v>
      </c>
    </row>
    <row r="1506" spans="1:8" x14ac:dyDescent="0.25">
      <c r="A1506" t="s">
        <v>36</v>
      </c>
      <c r="B1506" t="s">
        <v>117</v>
      </c>
      <c r="C1506" t="s">
        <v>2101</v>
      </c>
      <c r="D1506">
        <v>3</v>
      </c>
      <c r="E1506" s="273">
        <v>3</v>
      </c>
      <c r="F1506" s="273" t="s">
        <v>7</v>
      </c>
      <c r="G1506" s="273" t="s">
        <v>11</v>
      </c>
      <c r="H1506" s="273" t="s">
        <v>11</v>
      </c>
    </row>
    <row r="1507" spans="1:8" x14ac:dyDescent="0.25">
      <c r="A1507" t="s">
        <v>36</v>
      </c>
      <c r="B1507" t="s">
        <v>117</v>
      </c>
      <c r="C1507" t="s">
        <v>2102</v>
      </c>
      <c r="D1507">
        <v>3</v>
      </c>
      <c r="E1507" s="273">
        <v>3</v>
      </c>
      <c r="F1507" s="273" t="s">
        <v>7</v>
      </c>
      <c r="G1507" s="273" t="s">
        <v>11</v>
      </c>
      <c r="H1507" s="273" t="s">
        <v>11</v>
      </c>
    </row>
    <row r="1508" spans="1:8" x14ac:dyDescent="0.25">
      <c r="A1508" t="s">
        <v>36</v>
      </c>
      <c r="B1508" t="s">
        <v>117</v>
      </c>
      <c r="C1508" t="s">
        <v>1278</v>
      </c>
      <c r="D1508">
        <v>3</v>
      </c>
      <c r="E1508" s="273">
        <v>3</v>
      </c>
      <c r="F1508" s="273" t="s">
        <v>7</v>
      </c>
      <c r="G1508" s="273" t="s">
        <v>11</v>
      </c>
      <c r="H1508" s="273" t="s">
        <v>11</v>
      </c>
    </row>
    <row r="1509" spans="1:8" x14ac:dyDescent="0.25">
      <c r="A1509" t="s">
        <v>36</v>
      </c>
      <c r="B1509" t="s">
        <v>117</v>
      </c>
      <c r="C1509" t="s">
        <v>2103</v>
      </c>
      <c r="D1509">
        <v>3</v>
      </c>
      <c r="E1509" s="273">
        <v>3</v>
      </c>
      <c r="F1509" s="273" t="s">
        <v>7</v>
      </c>
      <c r="G1509" s="273" t="s">
        <v>115</v>
      </c>
      <c r="H1509" s="273" t="s">
        <v>11</v>
      </c>
    </row>
    <row r="1510" spans="1:8" x14ac:dyDescent="0.25">
      <c r="A1510" t="s">
        <v>36</v>
      </c>
      <c r="B1510" t="s">
        <v>117</v>
      </c>
      <c r="C1510" t="s">
        <v>1556</v>
      </c>
      <c r="D1510">
        <v>3</v>
      </c>
      <c r="E1510" s="273">
        <v>3</v>
      </c>
      <c r="F1510" s="273" t="s">
        <v>7</v>
      </c>
      <c r="G1510" s="273" t="s">
        <v>115</v>
      </c>
      <c r="H1510" s="273" t="s">
        <v>11</v>
      </c>
    </row>
    <row r="1511" spans="1:8" x14ac:dyDescent="0.25">
      <c r="A1511" t="s">
        <v>36</v>
      </c>
      <c r="B1511" t="s">
        <v>117</v>
      </c>
      <c r="C1511" t="s">
        <v>1178</v>
      </c>
      <c r="D1511">
        <v>3</v>
      </c>
      <c r="E1511" s="273">
        <v>3</v>
      </c>
      <c r="F1511" s="273" t="s">
        <v>7</v>
      </c>
      <c r="G1511" s="273" t="s">
        <v>11</v>
      </c>
      <c r="H1511" s="273" t="s">
        <v>11</v>
      </c>
    </row>
    <row r="1512" spans="1:8" x14ac:dyDescent="0.25">
      <c r="A1512" t="s">
        <v>36</v>
      </c>
      <c r="B1512" t="s">
        <v>117</v>
      </c>
      <c r="C1512" t="s">
        <v>1557</v>
      </c>
      <c r="D1512">
        <v>3</v>
      </c>
      <c r="E1512" s="273">
        <v>3</v>
      </c>
      <c r="F1512" s="273" t="s">
        <v>7</v>
      </c>
      <c r="G1512" s="273" t="s">
        <v>115</v>
      </c>
      <c r="H1512" s="273" t="s">
        <v>11</v>
      </c>
    </row>
    <row r="1513" spans="1:8" x14ac:dyDescent="0.25">
      <c r="A1513" t="s">
        <v>36</v>
      </c>
      <c r="B1513" t="s">
        <v>117</v>
      </c>
      <c r="C1513" t="s">
        <v>1558</v>
      </c>
      <c r="D1513">
        <v>3</v>
      </c>
      <c r="E1513" s="273">
        <v>3</v>
      </c>
      <c r="F1513" s="273" t="s">
        <v>7</v>
      </c>
      <c r="G1513" s="273" t="s">
        <v>11</v>
      </c>
      <c r="H1513" s="273" t="s">
        <v>11</v>
      </c>
    </row>
    <row r="1514" spans="1:8" x14ac:dyDescent="0.25">
      <c r="A1514" t="s">
        <v>36</v>
      </c>
      <c r="B1514" t="s">
        <v>117</v>
      </c>
      <c r="C1514" t="s">
        <v>1562</v>
      </c>
      <c r="D1514">
        <v>3</v>
      </c>
      <c r="E1514" s="273">
        <v>3</v>
      </c>
      <c r="F1514" s="273" t="s">
        <v>7</v>
      </c>
      <c r="G1514" s="273" t="s">
        <v>115</v>
      </c>
      <c r="H1514" s="273" t="s">
        <v>11</v>
      </c>
    </row>
    <row r="1515" spans="1:8" x14ac:dyDescent="0.25">
      <c r="A1515" t="s">
        <v>36</v>
      </c>
      <c r="B1515" t="s">
        <v>117</v>
      </c>
      <c r="C1515" t="s">
        <v>1180</v>
      </c>
      <c r="D1515">
        <v>3</v>
      </c>
      <c r="E1515" s="273">
        <v>3</v>
      </c>
      <c r="F1515" s="273" t="s">
        <v>7</v>
      </c>
      <c r="G1515" s="273" t="s">
        <v>11</v>
      </c>
      <c r="H1515" s="273" t="s">
        <v>11</v>
      </c>
    </row>
    <row r="1516" spans="1:8" x14ac:dyDescent="0.25">
      <c r="A1516" t="s">
        <v>36</v>
      </c>
      <c r="B1516" t="s">
        <v>117</v>
      </c>
      <c r="C1516" t="s">
        <v>2104</v>
      </c>
      <c r="D1516">
        <v>3</v>
      </c>
      <c r="E1516" s="273">
        <v>3</v>
      </c>
      <c r="F1516" s="273" t="s">
        <v>7</v>
      </c>
      <c r="G1516" s="273" t="s">
        <v>11</v>
      </c>
      <c r="H1516" s="273" t="s">
        <v>11</v>
      </c>
    </row>
    <row r="1517" spans="1:8" x14ac:dyDescent="0.25">
      <c r="A1517" t="s">
        <v>36</v>
      </c>
      <c r="B1517" t="s">
        <v>117</v>
      </c>
      <c r="C1517" t="s">
        <v>2105</v>
      </c>
      <c r="D1517">
        <v>3</v>
      </c>
      <c r="E1517" s="273">
        <v>3</v>
      </c>
      <c r="F1517" s="273" t="s">
        <v>7</v>
      </c>
      <c r="G1517" s="273" t="s">
        <v>11</v>
      </c>
      <c r="H1517" s="273" t="s">
        <v>11</v>
      </c>
    </row>
    <row r="1518" spans="1:8" x14ac:dyDescent="0.25">
      <c r="A1518" t="s">
        <v>35</v>
      </c>
      <c r="B1518" t="s">
        <v>94</v>
      </c>
      <c r="C1518" t="s">
        <v>1697</v>
      </c>
      <c r="D1518">
        <v>2</v>
      </c>
      <c r="E1518" s="273">
        <v>5</v>
      </c>
      <c r="F1518" s="273" t="s">
        <v>7</v>
      </c>
      <c r="G1518" s="273" t="s">
        <v>11</v>
      </c>
      <c r="H1518" s="273" t="s">
        <v>11</v>
      </c>
    </row>
    <row r="1519" spans="1:8" x14ac:dyDescent="0.25">
      <c r="A1519" t="s">
        <v>35</v>
      </c>
      <c r="B1519" t="s">
        <v>94</v>
      </c>
      <c r="C1519" t="s">
        <v>2106</v>
      </c>
      <c r="D1519">
        <v>1</v>
      </c>
      <c r="E1519" s="273">
        <v>5</v>
      </c>
      <c r="F1519" s="273" t="s">
        <v>7</v>
      </c>
      <c r="G1519" s="273" t="s">
        <v>11</v>
      </c>
      <c r="H1519" s="273" t="s">
        <v>11</v>
      </c>
    </row>
    <row r="1520" spans="1:8" x14ac:dyDescent="0.25">
      <c r="A1520" t="s">
        <v>35</v>
      </c>
      <c r="B1520" t="s">
        <v>94</v>
      </c>
      <c r="C1520" t="s">
        <v>1743</v>
      </c>
      <c r="D1520">
        <v>1</v>
      </c>
      <c r="E1520" s="273">
        <v>5</v>
      </c>
      <c r="F1520" s="273" t="s">
        <v>7</v>
      </c>
      <c r="G1520" s="273" t="s">
        <v>11</v>
      </c>
      <c r="H1520" s="273" t="s">
        <v>11</v>
      </c>
    </row>
    <row r="1521" spans="1:8" x14ac:dyDescent="0.25">
      <c r="A1521" t="s">
        <v>35</v>
      </c>
      <c r="B1521" t="s">
        <v>94</v>
      </c>
      <c r="C1521" t="s">
        <v>2107</v>
      </c>
      <c r="D1521">
        <v>2</v>
      </c>
      <c r="E1521" s="273">
        <v>4</v>
      </c>
      <c r="F1521" s="273" t="s">
        <v>7</v>
      </c>
      <c r="G1521" s="273" t="s">
        <v>11</v>
      </c>
      <c r="H1521" s="273" t="s">
        <v>11</v>
      </c>
    </row>
    <row r="1522" spans="1:8" x14ac:dyDescent="0.25">
      <c r="A1522" t="s">
        <v>35</v>
      </c>
      <c r="B1522" t="s">
        <v>94</v>
      </c>
      <c r="C1522" t="s">
        <v>1954</v>
      </c>
      <c r="D1522">
        <v>2</v>
      </c>
      <c r="E1522" s="273">
        <v>4</v>
      </c>
      <c r="F1522" s="273" t="s">
        <v>7</v>
      </c>
      <c r="G1522" s="273" t="s">
        <v>11</v>
      </c>
      <c r="H1522" s="273" t="s">
        <v>11</v>
      </c>
    </row>
    <row r="1523" spans="1:8" x14ac:dyDescent="0.25">
      <c r="A1523" t="s">
        <v>35</v>
      </c>
      <c r="B1523" t="s">
        <v>94</v>
      </c>
      <c r="C1523" t="s">
        <v>1745</v>
      </c>
      <c r="D1523">
        <v>2</v>
      </c>
      <c r="E1523" s="273">
        <v>4</v>
      </c>
      <c r="F1523" s="273" t="s">
        <v>7</v>
      </c>
      <c r="G1523" s="273" t="s">
        <v>11</v>
      </c>
      <c r="H1523" s="273" t="s">
        <v>11</v>
      </c>
    </row>
    <row r="1524" spans="1:8" x14ac:dyDescent="0.25">
      <c r="A1524" t="s">
        <v>35</v>
      </c>
      <c r="B1524" t="s">
        <v>94</v>
      </c>
      <c r="C1524" t="s">
        <v>2108</v>
      </c>
      <c r="D1524">
        <v>2</v>
      </c>
      <c r="E1524" s="273">
        <v>4</v>
      </c>
      <c r="F1524" s="273" t="s">
        <v>7</v>
      </c>
      <c r="G1524" s="273" t="s">
        <v>11</v>
      </c>
      <c r="H1524" s="273" t="s">
        <v>11</v>
      </c>
    </row>
    <row r="1525" spans="1:8" x14ac:dyDescent="0.25">
      <c r="A1525" t="s">
        <v>35</v>
      </c>
      <c r="B1525" t="s">
        <v>94</v>
      </c>
      <c r="C1525" t="s">
        <v>1229</v>
      </c>
      <c r="D1525">
        <v>2</v>
      </c>
      <c r="E1525" s="273">
        <v>4</v>
      </c>
      <c r="F1525" s="273" t="s">
        <v>7</v>
      </c>
      <c r="G1525" s="273" t="s">
        <v>11</v>
      </c>
      <c r="H1525" s="273" t="s">
        <v>11</v>
      </c>
    </row>
    <row r="1526" spans="1:8" x14ac:dyDescent="0.25">
      <c r="A1526" t="s">
        <v>35</v>
      </c>
      <c r="B1526" t="s">
        <v>94</v>
      </c>
      <c r="C1526" t="s">
        <v>2109</v>
      </c>
      <c r="D1526">
        <v>2</v>
      </c>
      <c r="E1526" s="273">
        <v>4</v>
      </c>
      <c r="F1526" s="273" t="s">
        <v>7</v>
      </c>
      <c r="G1526" s="273" t="s">
        <v>11</v>
      </c>
      <c r="H1526" s="273" t="s">
        <v>11</v>
      </c>
    </row>
    <row r="1527" spans="1:8" x14ac:dyDescent="0.25">
      <c r="A1527" t="s">
        <v>35</v>
      </c>
      <c r="B1527" t="s">
        <v>94</v>
      </c>
      <c r="C1527" t="s">
        <v>1230</v>
      </c>
      <c r="D1527">
        <v>2</v>
      </c>
      <c r="E1527" s="273">
        <v>4</v>
      </c>
      <c r="F1527" s="273" t="s">
        <v>7</v>
      </c>
      <c r="G1527" s="273" t="s">
        <v>11</v>
      </c>
      <c r="H1527" s="273" t="s">
        <v>11</v>
      </c>
    </row>
    <row r="1528" spans="1:8" x14ac:dyDescent="0.25">
      <c r="A1528" t="s">
        <v>35</v>
      </c>
      <c r="B1528" t="s">
        <v>94</v>
      </c>
      <c r="C1528" t="s">
        <v>1703</v>
      </c>
      <c r="D1528">
        <v>1</v>
      </c>
      <c r="E1528" s="273">
        <v>5</v>
      </c>
      <c r="F1528" s="273" t="s">
        <v>7</v>
      </c>
      <c r="G1528" s="273" t="s">
        <v>11</v>
      </c>
      <c r="H1528" s="273" t="s">
        <v>11</v>
      </c>
    </row>
    <row r="1529" spans="1:8" x14ac:dyDescent="0.25">
      <c r="A1529" t="s">
        <v>35</v>
      </c>
      <c r="B1529" t="s">
        <v>94</v>
      </c>
      <c r="C1529" t="s">
        <v>1120</v>
      </c>
      <c r="D1529">
        <v>3</v>
      </c>
      <c r="E1529" s="273">
        <v>4</v>
      </c>
      <c r="F1529" s="273" t="s">
        <v>7</v>
      </c>
      <c r="G1529" s="273" t="s">
        <v>11</v>
      </c>
      <c r="H1529" s="273" t="s">
        <v>11</v>
      </c>
    </row>
    <row r="1530" spans="1:8" x14ac:dyDescent="0.25">
      <c r="A1530" t="s">
        <v>35</v>
      </c>
      <c r="B1530" t="s">
        <v>94</v>
      </c>
      <c r="C1530" t="s">
        <v>1819</v>
      </c>
      <c r="D1530">
        <v>2</v>
      </c>
      <c r="E1530" s="273">
        <v>5</v>
      </c>
      <c r="F1530" s="273" t="s">
        <v>7</v>
      </c>
      <c r="G1530" s="273" t="s">
        <v>11</v>
      </c>
      <c r="H1530" s="273" t="s">
        <v>11</v>
      </c>
    </row>
    <row r="1531" spans="1:8" x14ac:dyDescent="0.25">
      <c r="A1531" t="s">
        <v>35</v>
      </c>
      <c r="B1531" t="s">
        <v>94</v>
      </c>
      <c r="C1531" t="s">
        <v>2110</v>
      </c>
      <c r="D1531">
        <v>2</v>
      </c>
      <c r="E1531" s="273">
        <v>4</v>
      </c>
      <c r="F1531" s="273" t="s">
        <v>7</v>
      </c>
      <c r="G1531" s="273" t="s">
        <v>11</v>
      </c>
      <c r="H1531" s="273" t="s">
        <v>11</v>
      </c>
    </row>
    <row r="1532" spans="1:8" x14ac:dyDescent="0.25">
      <c r="A1532" t="s">
        <v>35</v>
      </c>
      <c r="B1532" t="s">
        <v>94</v>
      </c>
      <c r="C1532" t="s">
        <v>1470</v>
      </c>
      <c r="D1532">
        <v>2</v>
      </c>
      <c r="E1532" s="273">
        <v>4</v>
      </c>
      <c r="F1532" s="273" t="s">
        <v>7</v>
      </c>
      <c r="G1532" s="273" t="s">
        <v>11</v>
      </c>
      <c r="H1532" s="273" t="s">
        <v>11</v>
      </c>
    </row>
    <row r="1533" spans="1:8" x14ac:dyDescent="0.25">
      <c r="A1533" t="s">
        <v>35</v>
      </c>
      <c r="B1533" t="s">
        <v>94</v>
      </c>
      <c r="C1533" t="s">
        <v>2111</v>
      </c>
      <c r="D1533">
        <v>2</v>
      </c>
      <c r="E1533" s="273">
        <v>4</v>
      </c>
      <c r="F1533" s="273" t="s">
        <v>7</v>
      </c>
      <c r="G1533" s="273" t="s">
        <v>11</v>
      </c>
      <c r="H1533" s="273" t="s">
        <v>11</v>
      </c>
    </row>
    <row r="1534" spans="1:8" x14ac:dyDescent="0.25">
      <c r="A1534" t="s">
        <v>35</v>
      </c>
      <c r="B1534" t="s">
        <v>94</v>
      </c>
      <c r="C1534" t="s">
        <v>1232</v>
      </c>
      <c r="D1534">
        <v>2</v>
      </c>
      <c r="E1534" s="273">
        <v>4</v>
      </c>
      <c r="F1534" s="273" t="s">
        <v>7</v>
      </c>
      <c r="G1534" s="273" t="s">
        <v>11</v>
      </c>
      <c r="H1534" s="273" t="s">
        <v>11</v>
      </c>
    </row>
    <row r="1535" spans="1:8" x14ac:dyDescent="0.25">
      <c r="A1535" t="s">
        <v>35</v>
      </c>
      <c r="B1535" t="s">
        <v>94</v>
      </c>
      <c r="C1535" t="s">
        <v>1823</v>
      </c>
      <c r="D1535">
        <v>2</v>
      </c>
      <c r="E1535" s="273">
        <v>4</v>
      </c>
      <c r="F1535" s="273" t="s">
        <v>7</v>
      </c>
      <c r="G1535" s="273" t="s">
        <v>11</v>
      </c>
      <c r="H1535" s="273" t="s">
        <v>11</v>
      </c>
    </row>
    <row r="1536" spans="1:8" x14ac:dyDescent="0.25">
      <c r="A1536" t="s">
        <v>35</v>
      </c>
      <c r="B1536" t="s">
        <v>94</v>
      </c>
      <c r="C1536" t="s">
        <v>1606</v>
      </c>
      <c r="D1536">
        <v>1</v>
      </c>
      <c r="E1536" s="273">
        <v>4</v>
      </c>
      <c r="F1536" s="273" t="s">
        <v>7</v>
      </c>
      <c r="G1536" s="273" t="s">
        <v>11</v>
      </c>
      <c r="H1536" s="273" t="s">
        <v>11</v>
      </c>
    </row>
    <row r="1537" spans="1:8" x14ac:dyDescent="0.25">
      <c r="A1537" t="s">
        <v>35</v>
      </c>
      <c r="B1537" t="s">
        <v>94</v>
      </c>
      <c r="C1537" t="s">
        <v>1705</v>
      </c>
      <c r="D1537">
        <v>2</v>
      </c>
      <c r="E1537" s="273">
        <v>4</v>
      </c>
      <c r="F1537" s="273" t="s">
        <v>7</v>
      </c>
      <c r="G1537" s="273" t="s">
        <v>11</v>
      </c>
      <c r="H1537" s="273" t="s">
        <v>11</v>
      </c>
    </row>
    <row r="1538" spans="1:8" x14ac:dyDescent="0.25">
      <c r="A1538" t="s">
        <v>35</v>
      </c>
      <c r="B1538" t="s">
        <v>94</v>
      </c>
      <c r="C1538" t="s">
        <v>2112</v>
      </c>
      <c r="D1538">
        <v>2</v>
      </c>
      <c r="E1538" s="273">
        <v>5</v>
      </c>
      <c r="F1538" s="273" t="s">
        <v>7</v>
      </c>
      <c r="G1538" s="273" t="s">
        <v>11</v>
      </c>
      <c r="H1538" s="273" t="s">
        <v>11</v>
      </c>
    </row>
    <row r="1539" spans="1:8" x14ac:dyDescent="0.25">
      <c r="A1539" t="s">
        <v>35</v>
      </c>
      <c r="B1539" t="s">
        <v>94</v>
      </c>
      <c r="C1539" t="s">
        <v>1608</v>
      </c>
      <c r="D1539">
        <v>2</v>
      </c>
      <c r="E1539" s="273">
        <v>4</v>
      </c>
      <c r="F1539" s="273" t="s">
        <v>7</v>
      </c>
      <c r="G1539" s="273" t="s">
        <v>11</v>
      </c>
      <c r="H1539" s="273" t="s">
        <v>11</v>
      </c>
    </row>
    <row r="1540" spans="1:8" x14ac:dyDescent="0.25">
      <c r="A1540" t="s">
        <v>35</v>
      </c>
      <c r="B1540" t="s">
        <v>94</v>
      </c>
      <c r="C1540" t="s">
        <v>1234</v>
      </c>
      <c r="D1540">
        <v>2</v>
      </c>
      <c r="E1540" s="273">
        <v>5</v>
      </c>
      <c r="F1540" s="273" t="s">
        <v>7</v>
      </c>
      <c r="G1540" s="273" t="s">
        <v>11</v>
      </c>
      <c r="H1540" s="273" t="s">
        <v>11</v>
      </c>
    </row>
    <row r="1541" spans="1:8" x14ac:dyDescent="0.25">
      <c r="A1541" t="s">
        <v>35</v>
      </c>
      <c r="B1541" t="s">
        <v>94</v>
      </c>
      <c r="C1541" t="s">
        <v>1127</v>
      </c>
      <c r="D1541">
        <v>1</v>
      </c>
      <c r="E1541" s="273">
        <v>4</v>
      </c>
      <c r="F1541" s="273" t="s">
        <v>7</v>
      </c>
      <c r="G1541" s="273" t="s">
        <v>11</v>
      </c>
      <c r="H1541" s="273" t="s">
        <v>11</v>
      </c>
    </row>
    <row r="1542" spans="1:8" x14ac:dyDescent="0.25">
      <c r="A1542" t="s">
        <v>35</v>
      </c>
      <c r="B1542" t="s">
        <v>94</v>
      </c>
      <c r="C1542" t="s">
        <v>1609</v>
      </c>
      <c r="D1542">
        <v>1</v>
      </c>
      <c r="E1542" s="273">
        <v>5</v>
      </c>
      <c r="F1542" s="273" t="s">
        <v>7</v>
      </c>
      <c r="G1542" s="273" t="s">
        <v>11</v>
      </c>
      <c r="H1542" s="273" t="s">
        <v>11</v>
      </c>
    </row>
    <row r="1543" spans="1:8" x14ac:dyDescent="0.25">
      <c r="A1543" t="s">
        <v>35</v>
      </c>
      <c r="B1543" t="s">
        <v>94</v>
      </c>
      <c r="C1543" t="s">
        <v>2113</v>
      </c>
      <c r="D1543">
        <v>2</v>
      </c>
      <c r="E1543" s="273">
        <v>4</v>
      </c>
      <c r="F1543" s="273" t="s">
        <v>7</v>
      </c>
      <c r="G1543" s="273" t="s">
        <v>11</v>
      </c>
      <c r="H1543" s="273" t="s">
        <v>11</v>
      </c>
    </row>
    <row r="1544" spans="1:8" x14ac:dyDescent="0.25">
      <c r="A1544" t="s">
        <v>35</v>
      </c>
      <c r="B1544" t="s">
        <v>94</v>
      </c>
      <c r="C1544" t="s">
        <v>2114</v>
      </c>
      <c r="D1544">
        <v>2</v>
      </c>
      <c r="E1544" s="273">
        <v>4</v>
      </c>
      <c r="F1544" s="273" t="s">
        <v>7</v>
      </c>
      <c r="G1544" s="273" t="s">
        <v>11</v>
      </c>
      <c r="H1544" s="273" t="s">
        <v>11</v>
      </c>
    </row>
    <row r="1545" spans="1:8" x14ac:dyDescent="0.25">
      <c r="A1545" t="s">
        <v>35</v>
      </c>
      <c r="B1545" t="s">
        <v>94</v>
      </c>
      <c r="C1545" t="s">
        <v>1239</v>
      </c>
      <c r="D1545">
        <v>2</v>
      </c>
      <c r="E1545" s="273">
        <v>4</v>
      </c>
      <c r="F1545" s="273" t="s">
        <v>7</v>
      </c>
      <c r="G1545" s="273" t="s">
        <v>11</v>
      </c>
      <c r="H1545" s="273" t="s">
        <v>11</v>
      </c>
    </row>
    <row r="1546" spans="1:8" x14ac:dyDescent="0.25">
      <c r="A1546" t="s">
        <v>35</v>
      </c>
      <c r="B1546" t="s">
        <v>94</v>
      </c>
      <c r="C1546" t="s">
        <v>1484</v>
      </c>
      <c r="D1546">
        <v>2</v>
      </c>
      <c r="E1546" s="273">
        <v>4</v>
      </c>
      <c r="F1546" s="273" t="s">
        <v>7</v>
      </c>
      <c r="G1546" s="273" t="s">
        <v>11</v>
      </c>
      <c r="H1546" s="273" t="s">
        <v>11</v>
      </c>
    </row>
    <row r="1547" spans="1:8" x14ac:dyDescent="0.25">
      <c r="A1547" t="s">
        <v>35</v>
      </c>
      <c r="B1547" t="s">
        <v>94</v>
      </c>
      <c r="C1547" t="s">
        <v>1137</v>
      </c>
      <c r="D1547">
        <v>2</v>
      </c>
      <c r="E1547" s="273">
        <v>4</v>
      </c>
      <c r="F1547" s="273" t="s">
        <v>7</v>
      </c>
      <c r="G1547" s="273" t="s">
        <v>11</v>
      </c>
      <c r="H1547" s="273" t="s">
        <v>11</v>
      </c>
    </row>
    <row r="1548" spans="1:8" x14ac:dyDescent="0.25">
      <c r="A1548" t="s">
        <v>35</v>
      </c>
      <c r="B1548" t="s">
        <v>94</v>
      </c>
      <c r="C1548" t="s">
        <v>1659</v>
      </c>
      <c r="D1548">
        <v>2</v>
      </c>
      <c r="E1548" s="273">
        <v>5</v>
      </c>
      <c r="F1548" s="273" t="s">
        <v>7</v>
      </c>
      <c r="G1548" s="273" t="s">
        <v>11</v>
      </c>
      <c r="H1548" s="273" t="s">
        <v>11</v>
      </c>
    </row>
    <row r="1549" spans="1:8" x14ac:dyDescent="0.25">
      <c r="A1549" t="s">
        <v>35</v>
      </c>
      <c r="B1549" t="s">
        <v>94</v>
      </c>
      <c r="C1549" t="s">
        <v>1487</v>
      </c>
      <c r="D1549">
        <v>2</v>
      </c>
      <c r="E1549" s="273">
        <v>5</v>
      </c>
      <c r="F1549" s="273" t="s">
        <v>7</v>
      </c>
      <c r="G1549" s="273" t="s">
        <v>11</v>
      </c>
      <c r="H1549" s="273" t="s">
        <v>11</v>
      </c>
    </row>
    <row r="1550" spans="1:8" x14ac:dyDescent="0.25">
      <c r="A1550" t="s">
        <v>35</v>
      </c>
      <c r="B1550" t="s">
        <v>94</v>
      </c>
      <c r="C1550" t="s">
        <v>2115</v>
      </c>
      <c r="D1550">
        <v>2</v>
      </c>
      <c r="E1550" s="273">
        <v>4</v>
      </c>
      <c r="F1550" s="273" t="s">
        <v>7</v>
      </c>
      <c r="G1550" s="273" t="s">
        <v>11</v>
      </c>
      <c r="H1550" s="273" t="s">
        <v>11</v>
      </c>
    </row>
    <row r="1551" spans="1:8" x14ac:dyDescent="0.25">
      <c r="A1551" t="s">
        <v>35</v>
      </c>
      <c r="B1551" t="s">
        <v>94</v>
      </c>
      <c r="C1551" t="s">
        <v>1357</v>
      </c>
      <c r="D1551">
        <v>2</v>
      </c>
      <c r="E1551" s="273">
        <v>4</v>
      </c>
      <c r="F1551" s="273" t="s">
        <v>7</v>
      </c>
      <c r="G1551" s="273" t="s">
        <v>11</v>
      </c>
      <c r="H1551" s="273" t="s">
        <v>11</v>
      </c>
    </row>
    <row r="1552" spans="1:8" x14ac:dyDescent="0.25">
      <c r="A1552" t="s">
        <v>35</v>
      </c>
      <c r="B1552" t="s">
        <v>94</v>
      </c>
      <c r="C1552" t="s">
        <v>2116</v>
      </c>
      <c r="D1552">
        <v>3</v>
      </c>
      <c r="E1552" s="273">
        <v>4</v>
      </c>
      <c r="F1552" s="273" t="s">
        <v>7</v>
      </c>
      <c r="G1552" s="273" t="s">
        <v>11</v>
      </c>
      <c r="H1552" s="273" t="s">
        <v>11</v>
      </c>
    </row>
    <row r="1553" spans="1:8" x14ac:dyDescent="0.25">
      <c r="A1553" t="s">
        <v>35</v>
      </c>
      <c r="B1553" t="s">
        <v>94</v>
      </c>
      <c r="C1553" t="s">
        <v>1143</v>
      </c>
      <c r="D1553">
        <v>2</v>
      </c>
      <c r="E1553" s="273">
        <v>4</v>
      </c>
      <c r="F1553" s="273" t="s">
        <v>7</v>
      </c>
      <c r="G1553" s="273" t="s">
        <v>11</v>
      </c>
      <c r="H1553" s="273" t="s">
        <v>11</v>
      </c>
    </row>
    <row r="1554" spans="1:8" x14ac:dyDescent="0.25">
      <c r="A1554" t="s">
        <v>35</v>
      </c>
      <c r="B1554" t="s">
        <v>94</v>
      </c>
      <c r="C1554" t="s">
        <v>2117</v>
      </c>
      <c r="D1554">
        <v>2</v>
      </c>
      <c r="E1554" s="273">
        <v>4</v>
      </c>
      <c r="F1554" s="273" t="s">
        <v>7</v>
      </c>
      <c r="G1554" s="273" t="s">
        <v>11</v>
      </c>
      <c r="H1554" s="273" t="s">
        <v>11</v>
      </c>
    </row>
    <row r="1555" spans="1:8" x14ac:dyDescent="0.25">
      <c r="A1555" t="s">
        <v>35</v>
      </c>
      <c r="B1555" t="s">
        <v>94</v>
      </c>
      <c r="C1555" t="s">
        <v>2118</v>
      </c>
      <c r="D1555">
        <v>2</v>
      </c>
      <c r="E1555" s="273">
        <v>5</v>
      </c>
      <c r="F1555" s="273" t="s">
        <v>7</v>
      </c>
      <c r="G1555" s="273" t="s">
        <v>11</v>
      </c>
      <c r="H1555" s="273" t="s">
        <v>11</v>
      </c>
    </row>
    <row r="1556" spans="1:8" x14ac:dyDescent="0.25">
      <c r="A1556" t="s">
        <v>35</v>
      </c>
      <c r="B1556" t="s">
        <v>94</v>
      </c>
      <c r="C1556" t="s">
        <v>1145</v>
      </c>
      <c r="D1556">
        <v>2</v>
      </c>
      <c r="E1556" s="273">
        <v>4</v>
      </c>
      <c r="F1556" s="273" t="s">
        <v>7</v>
      </c>
      <c r="G1556" s="273" t="s">
        <v>11</v>
      </c>
      <c r="H1556" s="273" t="s">
        <v>11</v>
      </c>
    </row>
    <row r="1557" spans="1:8" x14ac:dyDescent="0.25">
      <c r="A1557" t="s">
        <v>35</v>
      </c>
      <c r="B1557" t="s">
        <v>94</v>
      </c>
      <c r="C1557" t="s">
        <v>1618</v>
      </c>
      <c r="D1557">
        <v>2</v>
      </c>
      <c r="E1557" s="273">
        <v>5</v>
      </c>
      <c r="F1557" s="273" t="s">
        <v>7</v>
      </c>
      <c r="G1557" s="273" t="s">
        <v>11</v>
      </c>
      <c r="H1557" s="273" t="s">
        <v>11</v>
      </c>
    </row>
    <row r="1558" spans="1:8" x14ac:dyDescent="0.25">
      <c r="A1558" t="s">
        <v>35</v>
      </c>
      <c r="B1558" t="s">
        <v>94</v>
      </c>
      <c r="C1558" t="s">
        <v>1666</v>
      </c>
      <c r="D1558">
        <v>2</v>
      </c>
      <c r="E1558" s="273">
        <v>5</v>
      </c>
      <c r="F1558" s="273" t="s">
        <v>7</v>
      </c>
      <c r="G1558" s="273" t="s">
        <v>11</v>
      </c>
      <c r="H1558" s="273" t="s">
        <v>11</v>
      </c>
    </row>
    <row r="1559" spans="1:8" x14ac:dyDescent="0.25">
      <c r="A1559" t="s">
        <v>35</v>
      </c>
      <c r="B1559" t="s">
        <v>94</v>
      </c>
      <c r="C1559" t="s">
        <v>1147</v>
      </c>
      <c r="D1559">
        <v>2</v>
      </c>
      <c r="E1559" s="273">
        <v>4</v>
      </c>
      <c r="F1559" s="273" t="s">
        <v>7</v>
      </c>
      <c r="G1559" s="273" t="s">
        <v>11</v>
      </c>
      <c r="H1559" s="273" t="s">
        <v>11</v>
      </c>
    </row>
    <row r="1560" spans="1:8" x14ac:dyDescent="0.25">
      <c r="A1560" t="s">
        <v>35</v>
      </c>
      <c r="B1560" t="s">
        <v>94</v>
      </c>
      <c r="C1560" t="s">
        <v>2119</v>
      </c>
      <c r="D1560">
        <v>2</v>
      </c>
      <c r="E1560" s="273">
        <v>4</v>
      </c>
      <c r="F1560" s="273" t="s">
        <v>7</v>
      </c>
      <c r="G1560" s="273" t="s">
        <v>11</v>
      </c>
      <c r="H1560" s="273" t="s">
        <v>11</v>
      </c>
    </row>
    <row r="1561" spans="1:8" x14ac:dyDescent="0.25">
      <c r="A1561" t="s">
        <v>35</v>
      </c>
      <c r="B1561" t="s">
        <v>94</v>
      </c>
      <c r="C1561" t="s">
        <v>2120</v>
      </c>
      <c r="D1561">
        <v>1</v>
      </c>
      <c r="E1561" s="273">
        <v>5</v>
      </c>
      <c r="F1561" s="273" t="s">
        <v>7</v>
      </c>
      <c r="G1561" s="273" t="s">
        <v>11</v>
      </c>
      <c r="H1561" s="273" t="s">
        <v>11</v>
      </c>
    </row>
    <row r="1562" spans="1:8" x14ac:dyDescent="0.25">
      <c r="A1562" t="s">
        <v>35</v>
      </c>
      <c r="B1562" t="s">
        <v>94</v>
      </c>
      <c r="C1562" t="s">
        <v>1250</v>
      </c>
      <c r="D1562">
        <v>2</v>
      </c>
      <c r="E1562" s="273">
        <v>4</v>
      </c>
      <c r="F1562" s="273" t="s">
        <v>7</v>
      </c>
      <c r="G1562" s="273" t="s">
        <v>11</v>
      </c>
      <c r="H1562" s="273" t="s">
        <v>11</v>
      </c>
    </row>
    <row r="1563" spans="1:8" x14ac:dyDescent="0.25">
      <c r="A1563" t="s">
        <v>35</v>
      </c>
      <c r="B1563" t="s">
        <v>94</v>
      </c>
      <c r="C1563" t="s">
        <v>2121</v>
      </c>
      <c r="D1563">
        <v>2</v>
      </c>
      <c r="E1563" s="273">
        <v>4</v>
      </c>
      <c r="F1563" s="273" t="s">
        <v>7</v>
      </c>
      <c r="G1563" s="273" t="s">
        <v>11</v>
      </c>
      <c r="H1563" s="273" t="s">
        <v>11</v>
      </c>
    </row>
    <row r="1564" spans="1:8" x14ac:dyDescent="0.25">
      <c r="A1564" t="s">
        <v>35</v>
      </c>
      <c r="B1564" t="s">
        <v>94</v>
      </c>
      <c r="C1564" t="s">
        <v>1973</v>
      </c>
      <c r="D1564">
        <v>1</v>
      </c>
      <c r="E1564" s="273">
        <v>4</v>
      </c>
      <c r="F1564" s="273" t="s">
        <v>7</v>
      </c>
      <c r="G1564" s="273" t="s">
        <v>11</v>
      </c>
      <c r="H1564" s="273" t="s">
        <v>11</v>
      </c>
    </row>
    <row r="1565" spans="1:8" x14ac:dyDescent="0.25">
      <c r="A1565" t="s">
        <v>35</v>
      </c>
      <c r="B1565" t="s">
        <v>94</v>
      </c>
      <c r="C1565" t="s">
        <v>1149</v>
      </c>
      <c r="D1565">
        <v>1</v>
      </c>
      <c r="E1565" s="273">
        <v>4</v>
      </c>
      <c r="F1565" s="273" t="s">
        <v>7</v>
      </c>
      <c r="G1565" s="273" t="s">
        <v>11</v>
      </c>
      <c r="H1565" s="273" t="s">
        <v>11</v>
      </c>
    </row>
    <row r="1566" spans="1:8" x14ac:dyDescent="0.25">
      <c r="A1566" t="s">
        <v>35</v>
      </c>
      <c r="B1566" t="s">
        <v>94</v>
      </c>
      <c r="C1566" t="s">
        <v>1513</v>
      </c>
      <c r="D1566">
        <v>2</v>
      </c>
      <c r="E1566" s="273">
        <v>4</v>
      </c>
      <c r="F1566" s="273" t="s">
        <v>7</v>
      </c>
      <c r="G1566" s="273" t="s">
        <v>11</v>
      </c>
      <c r="H1566" s="273" t="s">
        <v>11</v>
      </c>
    </row>
    <row r="1567" spans="1:8" x14ac:dyDescent="0.25">
      <c r="A1567" t="s">
        <v>35</v>
      </c>
      <c r="B1567" t="s">
        <v>94</v>
      </c>
      <c r="C1567" t="s">
        <v>1150</v>
      </c>
      <c r="D1567">
        <v>2</v>
      </c>
      <c r="E1567" s="273">
        <v>4</v>
      </c>
      <c r="F1567" s="273" t="s">
        <v>7</v>
      </c>
      <c r="G1567" s="273" t="s">
        <v>11</v>
      </c>
      <c r="H1567" s="273" t="s">
        <v>11</v>
      </c>
    </row>
    <row r="1568" spans="1:8" x14ac:dyDescent="0.25">
      <c r="A1568" t="s">
        <v>35</v>
      </c>
      <c r="B1568" t="s">
        <v>94</v>
      </c>
      <c r="C1568" t="s">
        <v>1253</v>
      </c>
      <c r="D1568">
        <v>2</v>
      </c>
      <c r="E1568" s="273">
        <v>4</v>
      </c>
      <c r="F1568" s="273" t="s">
        <v>7</v>
      </c>
      <c r="G1568" s="273" t="s">
        <v>11</v>
      </c>
      <c r="H1568" s="273" t="s">
        <v>11</v>
      </c>
    </row>
    <row r="1569" spans="1:8" x14ac:dyDescent="0.25">
      <c r="A1569" t="s">
        <v>35</v>
      </c>
      <c r="B1569" t="s">
        <v>94</v>
      </c>
      <c r="C1569" t="s">
        <v>1627</v>
      </c>
      <c r="D1569">
        <v>2</v>
      </c>
      <c r="E1569" s="273">
        <v>5</v>
      </c>
      <c r="F1569" s="273" t="s">
        <v>7</v>
      </c>
      <c r="G1569" s="273" t="s">
        <v>11</v>
      </c>
      <c r="H1569" s="273" t="s">
        <v>11</v>
      </c>
    </row>
    <row r="1570" spans="1:8" x14ac:dyDescent="0.25">
      <c r="A1570" t="s">
        <v>35</v>
      </c>
      <c r="B1570" t="s">
        <v>94</v>
      </c>
      <c r="C1570" t="s">
        <v>2122</v>
      </c>
      <c r="D1570">
        <v>2</v>
      </c>
      <c r="E1570" s="273">
        <v>4</v>
      </c>
      <c r="F1570" s="273" t="s">
        <v>7</v>
      </c>
      <c r="G1570" s="273" t="s">
        <v>11</v>
      </c>
      <c r="H1570" s="273" t="s">
        <v>11</v>
      </c>
    </row>
    <row r="1571" spans="1:8" x14ac:dyDescent="0.25">
      <c r="A1571" t="s">
        <v>35</v>
      </c>
      <c r="B1571" t="s">
        <v>94</v>
      </c>
      <c r="C1571" t="s">
        <v>1254</v>
      </c>
      <c r="D1571">
        <v>2</v>
      </c>
      <c r="E1571" s="273">
        <v>4</v>
      </c>
      <c r="F1571" s="273" t="s">
        <v>7</v>
      </c>
      <c r="G1571" s="273" t="s">
        <v>11</v>
      </c>
      <c r="H1571" s="273" t="s">
        <v>11</v>
      </c>
    </row>
    <row r="1572" spans="1:8" x14ac:dyDescent="0.25">
      <c r="A1572" t="s">
        <v>35</v>
      </c>
      <c r="B1572" t="s">
        <v>94</v>
      </c>
      <c r="C1572" t="s">
        <v>1153</v>
      </c>
      <c r="D1572">
        <v>2</v>
      </c>
      <c r="E1572" s="273">
        <v>4</v>
      </c>
      <c r="F1572" s="273" t="s">
        <v>7</v>
      </c>
      <c r="G1572" s="273" t="s">
        <v>11</v>
      </c>
      <c r="H1572" s="273" t="s">
        <v>11</v>
      </c>
    </row>
    <row r="1573" spans="1:8" x14ac:dyDescent="0.25">
      <c r="A1573" t="s">
        <v>35</v>
      </c>
      <c r="B1573" t="s">
        <v>94</v>
      </c>
      <c r="C1573" t="s">
        <v>1591</v>
      </c>
      <c r="D1573">
        <v>2</v>
      </c>
      <c r="E1573" s="273">
        <v>5</v>
      </c>
      <c r="F1573" s="273" t="s">
        <v>7</v>
      </c>
      <c r="G1573" s="273" t="s">
        <v>11</v>
      </c>
      <c r="H1573" s="273" t="s">
        <v>11</v>
      </c>
    </row>
    <row r="1574" spans="1:8" x14ac:dyDescent="0.25">
      <c r="A1574" t="s">
        <v>35</v>
      </c>
      <c r="B1574" t="s">
        <v>94</v>
      </c>
      <c r="C1574" t="s">
        <v>1255</v>
      </c>
      <c r="D1574">
        <v>2</v>
      </c>
      <c r="E1574" s="273">
        <v>4</v>
      </c>
      <c r="F1574" s="273" t="s">
        <v>7</v>
      </c>
      <c r="G1574" s="273" t="s">
        <v>11</v>
      </c>
      <c r="H1574" s="273" t="s">
        <v>11</v>
      </c>
    </row>
    <row r="1575" spans="1:8" x14ac:dyDescent="0.25">
      <c r="A1575" t="s">
        <v>35</v>
      </c>
      <c r="B1575" t="s">
        <v>94</v>
      </c>
      <c r="C1575" t="s">
        <v>1718</v>
      </c>
      <c r="D1575">
        <v>2</v>
      </c>
      <c r="E1575" s="273">
        <v>5</v>
      </c>
      <c r="F1575" s="273" t="s">
        <v>7</v>
      </c>
      <c r="G1575" s="273" t="s">
        <v>11</v>
      </c>
      <c r="H1575" s="273" t="s">
        <v>11</v>
      </c>
    </row>
    <row r="1576" spans="1:8" x14ac:dyDescent="0.25">
      <c r="A1576" t="s">
        <v>35</v>
      </c>
      <c r="B1576" t="s">
        <v>94</v>
      </c>
      <c r="C1576" t="s">
        <v>1629</v>
      </c>
      <c r="D1576">
        <v>2</v>
      </c>
      <c r="E1576" s="273">
        <v>5</v>
      </c>
      <c r="F1576" s="273" t="s">
        <v>7</v>
      </c>
      <c r="G1576" s="273" t="s">
        <v>11</v>
      </c>
      <c r="H1576" s="273" t="s">
        <v>11</v>
      </c>
    </row>
    <row r="1577" spans="1:8" x14ac:dyDescent="0.25">
      <c r="A1577" t="s">
        <v>35</v>
      </c>
      <c r="B1577" t="s">
        <v>94</v>
      </c>
      <c r="C1577" t="s">
        <v>1157</v>
      </c>
      <c r="D1577">
        <v>2</v>
      </c>
      <c r="E1577" s="273">
        <v>5</v>
      </c>
      <c r="F1577" s="273" t="s">
        <v>7</v>
      </c>
      <c r="G1577" s="273" t="s">
        <v>11</v>
      </c>
      <c r="H1577" s="273" t="s">
        <v>11</v>
      </c>
    </row>
    <row r="1578" spans="1:8" x14ac:dyDescent="0.25">
      <c r="A1578" t="s">
        <v>35</v>
      </c>
      <c r="B1578" t="s">
        <v>94</v>
      </c>
      <c r="C1578" t="s">
        <v>1158</v>
      </c>
      <c r="D1578">
        <v>2</v>
      </c>
      <c r="E1578" s="273">
        <v>4</v>
      </c>
      <c r="F1578" s="273" t="s">
        <v>7</v>
      </c>
      <c r="G1578" s="273" t="s">
        <v>11</v>
      </c>
      <c r="H1578" s="273" t="s">
        <v>11</v>
      </c>
    </row>
    <row r="1579" spans="1:8" x14ac:dyDescent="0.25">
      <c r="A1579" t="s">
        <v>35</v>
      </c>
      <c r="B1579" t="s">
        <v>94</v>
      </c>
      <c r="C1579" t="s">
        <v>2123</v>
      </c>
      <c r="D1579">
        <v>2</v>
      </c>
      <c r="E1579" s="273">
        <v>4</v>
      </c>
      <c r="F1579" s="273" t="s">
        <v>7</v>
      </c>
      <c r="G1579" s="273" t="s">
        <v>11</v>
      </c>
      <c r="H1579" s="273" t="s">
        <v>11</v>
      </c>
    </row>
    <row r="1580" spans="1:8" x14ac:dyDescent="0.25">
      <c r="A1580" t="s">
        <v>35</v>
      </c>
      <c r="B1580" t="s">
        <v>94</v>
      </c>
      <c r="C1580" t="s">
        <v>1160</v>
      </c>
      <c r="D1580">
        <v>2</v>
      </c>
      <c r="E1580" s="273">
        <v>5</v>
      </c>
      <c r="F1580" s="273" t="s">
        <v>7</v>
      </c>
      <c r="G1580" s="273" t="s">
        <v>11</v>
      </c>
      <c r="H1580" s="273" t="s">
        <v>11</v>
      </c>
    </row>
    <row r="1581" spans="1:8" x14ac:dyDescent="0.25">
      <c r="A1581" t="s">
        <v>35</v>
      </c>
      <c r="B1581" t="s">
        <v>94</v>
      </c>
      <c r="C1581" t="s">
        <v>2124</v>
      </c>
      <c r="D1581">
        <v>2</v>
      </c>
      <c r="E1581" s="273">
        <v>4</v>
      </c>
      <c r="F1581" s="273" t="s">
        <v>7</v>
      </c>
      <c r="G1581" s="273" t="s">
        <v>11</v>
      </c>
      <c r="H1581" s="273" t="s">
        <v>11</v>
      </c>
    </row>
    <row r="1582" spans="1:8" x14ac:dyDescent="0.25">
      <c r="A1582" t="s">
        <v>35</v>
      </c>
      <c r="B1582" t="s">
        <v>94</v>
      </c>
      <c r="C1582" t="s">
        <v>1637</v>
      </c>
      <c r="D1582">
        <v>2</v>
      </c>
      <c r="E1582" s="273">
        <v>5</v>
      </c>
      <c r="F1582" s="273" t="s">
        <v>7</v>
      </c>
      <c r="G1582" s="273" t="s">
        <v>11</v>
      </c>
      <c r="H1582" s="273" t="s">
        <v>11</v>
      </c>
    </row>
    <row r="1583" spans="1:8" x14ac:dyDescent="0.25">
      <c r="A1583" t="s">
        <v>35</v>
      </c>
      <c r="B1583" t="s">
        <v>94</v>
      </c>
      <c r="C1583" t="s">
        <v>1259</v>
      </c>
      <c r="D1583">
        <v>2</v>
      </c>
      <c r="E1583" s="273">
        <v>4</v>
      </c>
      <c r="F1583" s="273" t="s">
        <v>7</v>
      </c>
      <c r="G1583" s="273" t="s">
        <v>11</v>
      </c>
      <c r="H1583" s="273" t="s">
        <v>11</v>
      </c>
    </row>
    <row r="1584" spans="1:8" x14ac:dyDescent="0.25">
      <c r="A1584" t="s">
        <v>35</v>
      </c>
      <c r="B1584" t="s">
        <v>94</v>
      </c>
      <c r="C1584" t="s">
        <v>1260</v>
      </c>
      <c r="D1584">
        <v>3</v>
      </c>
      <c r="E1584" s="273">
        <v>4</v>
      </c>
      <c r="F1584" s="273" t="s">
        <v>7</v>
      </c>
      <c r="G1584" s="273" t="s">
        <v>11</v>
      </c>
      <c r="H1584" s="273" t="s">
        <v>11</v>
      </c>
    </row>
    <row r="1585" spans="1:8" x14ac:dyDescent="0.25">
      <c r="A1585" t="s">
        <v>35</v>
      </c>
      <c r="B1585" t="s">
        <v>94</v>
      </c>
      <c r="C1585" t="s">
        <v>2125</v>
      </c>
      <c r="D1585">
        <v>2</v>
      </c>
      <c r="E1585" s="273">
        <v>4</v>
      </c>
      <c r="F1585" s="273" t="s">
        <v>7</v>
      </c>
      <c r="G1585" s="273" t="s">
        <v>11</v>
      </c>
      <c r="H1585" s="273" t="s">
        <v>11</v>
      </c>
    </row>
    <row r="1586" spans="1:8" x14ac:dyDescent="0.25">
      <c r="A1586" t="s">
        <v>35</v>
      </c>
      <c r="B1586" t="s">
        <v>94</v>
      </c>
      <c r="C1586" t="s">
        <v>1163</v>
      </c>
      <c r="D1586">
        <v>2</v>
      </c>
      <c r="E1586" s="273">
        <v>4</v>
      </c>
      <c r="F1586" s="273" t="s">
        <v>7</v>
      </c>
      <c r="G1586" s="273" t="s">
        <v>11</v>
      </c>
      <c r="H1586" s="273" t="s">
        <v>11</v>
      </c>
    </row>
    <row r="1587" spans="1:8" x14ac:dyDescent="0.25">
      <c r="A1587" t="s">
        <v>35</v>
      </c>
      <c r="B1587" t="s">
        <v>94</v>
      </c>
      <c r="C1587" t="s">
        <v>1164</v>
      </c>
      <c r="D1587">
        <v>2</v>
      </c>
      <c r="E1587" s="273">
        <v>4</v>
      </c>
      <c r="F1587" s="273" t="s">
        <v>7</v>
      </c>
      <c r="G1587" s="273" t="s">
        <v>11</v>
      </c>
      <c r="H1587" s="273" t="s">
        <v>11</v>
      </c>
    </row>
    <row r="1588" spans="1:8" x14ac:dyDescent="0.25">
      <c r="A1588" t="s">
        <v>35</v>
      </c>
      <c r="B1588" t="s">
        <v>94</v>
      </c>
      <c r="C1588" t="s">
        <v>1165</v>
      </c>
      <c r="D1588">
        <v>2</v>
      </c>
      <c r="E1588" s="273">
        <v>4</v>
      </c>
      <c r="F1588" s="273" t="s">
        <v>7</v>
      </c>
      <c r="G1588" s="273" t="s">
        <v>11</v>
      </c>
      <c r="H1588" s="273" t="s">
        <v>11</v>
      </c>
    </row>
    <row r="1589" spans="1:8" x14ac:dyDescent="0.25">
      <c r="A1589" t="s">
        <v>35</v>
      </c>
      <c r="B1589" t="s">
        <v>94</v>
      </c>
      <c r="C1589" t="s">
        <v>2126</v>
      </c>
      <c r="D1589">
        <v>3</v>
      </c>
      <c r="E1589" s="273">
        <v>4</v>
      </c>
      <c r="F1589" s="273" t="s">
        <v>7</v>
      </c>
      <c r="G1589" s="273" t="s">
        <v>11</v>
      </c>
      <c r="H1589" s="273" t="s">
        <v>11</v>
      </c>
    </row>
    <row r="1590" spans="1:8" x14ac:dyDescent="0.25">
      <c r="A1590" t="s">
        <v>35</v>
      </c>
      <c r="B1590" t="s">
        <v>94</v>
      </c>
      <c r="C1590" t="s">
        <v>1262</v>
      </c>
      <c r="D1590">
        <v>2</v>
      </c>
      <c r="E1590" s="273">
        <v>4</v>
      </c>
      <c r="F1590" s="273" t="s">
        <v>7</v>
      </c>
      <c r="G1590" s="273" t="s">
        <v>11</v>
      </c>
      <c r="H1590" s="273" t="s">
        <v>11</v>
      </c>
    </row>
    <row r="1591" spans="1:8" x14ac:dyDescent="0.25">
      <c r="A1591" t="s">
        <v>35</v>
      </c>
      <c r="B1591" t="s">
        <v>94</v>
      </c>
      <c r="C1591" t="s">
        <v>2127</v>
      </c>
      <c r="D1591">
        <v>1</v>
      </c>
      <c r="E1591" s="273">
        <v>5</v>
      </c>
      <c r="F1591" s="273" t="s">
        <v>7</v>
      </c>
      <c r="G1591" s="273" t="s">
        <v>11</v>
      </c>
      <c r="H1591" s="273" t="s">
        <v>11</v>
      </c>
    </row>
    <row r="1592" spans="1:8" x14ac:dyDescent="0.25">
      <c r="A1592" t="s">
        <v>35</v>
      </c>
      <c r="B1592" t="s">
        <v>94</v>
      </c>
      <c r="C1592" t="s">
        <v>2128</v>
      </c>
      <c r="D1592">
        <v>2</v>
      </c>
      <c r="E1592" s="273">
        <v>4</v>
      </c>
      <c r="F1592" s="273" t="s">
        <v>7</v>
      </c>
      <c r="G1592" s="273" t="s">
        <v>11</v>
      </c>
      <c r="H1592" s="273" t="s">
        <v>11</v>
      </c>
    </row>
    <row r="1593" spans="1:8" x14ac:dyDescent="0.25">
      <c r="A1593" t="s">
        <v>35</v>
      </c>
      <c r="B1593" t="s">
        <v>94</v>
      </c>
      <c r="C1593" t="s">
        <v>1781</v>
      </c>
      <c r="D1593">
        <v>2</v>
      </c>
      <c r="E1593" s="273">
        <v>4</v>
      </c>
      <c r="F1593" s="273" t="s">
        <v>7</v>
      </c>
      <c r="G1593" s="273" t="s">
        <v>11</v>
      </c>
      <c r="H1593" s="273" t="s">
        <v>11</v>
      </c>
    </row>
    <row r="1594" spans="1:8" x14ac:dyDescent="0.25">
      <c r="A1594" t="s">
        <v>35</v>
      </c>
      <c r="B1594" t="s">
        <v>94</v>
      </c>
      <c r="C1594" t="s">
        <v>2129</v>
      </c>
      <c r="D1594">
        <v>2</v>
      </c>
      <c r="E1594" s="273">
        <v>4</v>
      </c>
      <c r="F1594" s="273" t="s">
        <v>7</v>
      </c>
      <c r="G1594" s="273" t="s">
        <v>11</v>
      </c>
      <c r="H1594" s="273" t="s">
        <v>11</v>
      </c>
    </row>
    <row r="1595" spans="1:8" x14ac:dyDescent="0.25">
      <c r="A1595" t="s">
        <v>35</v>
      </c>
      <c r="B1595" t="s">
        <v>94</v>
      </c>
      <c r="C1595" t="s">
        <v>2130</v>
      </c>
      <c r="D1595">
        <v>3</v>
      </c>
      <c r="E1595" s="273">
        <v>4</v>
      </c>
      <c r="F1595" s="273" t="s">
        <v>7</v>
      </c>
      <c r="G1595" s="273" t="s">
        <v>11</v>
      </c>
      <c r="H1595" s="273" t="s">
        <v>11</v>
      </c>
    </row>
    <row r="1596" spans="1:8" x14ac:dyDescent="0.25">
      <c r="A1596" t="s">
        <v>35</v>
      </c>
      <c r="B1596" t="s">
        <v>94</v>
      </c>
      <c r="C1596" t="s">
        <v>1166</v>
      </c>
      <c r="D1596">
        <v>2</v>
      </c>
      <c r="E1596" s="273">
        <v>4</v>
      </c>
      <c r="F1596" s="273" t="s">
        <v>7</v>
      </c>
      <c r="G1596" s="273" t="s">
        <v>11</v>
      </c>
      <c r="H1596" s="273" t="s">
        <v>11</v>
      </c>
    </row>
    <row r="1597" spans="1:8" x14ac:dyDescent="0.25">
      <c r="A1597" t="s">
        <v>35</v>
      </c>
      <c r="B1597" t="s">
        <v>94</v>
      </c>
      <c r="C1597" t="s">
        <v>2131</v>
      </c>
      <c r="D1597">
        <v>2</v>
      </c>
      <c r="E1597" s="273">
        <v>4</v>
      </c>
      <c r="F1597" s="273" t="s">
        <v>7</v>
      </c>
      <c r="G1597" s="273" t="s">
        <v>11</v>
      </c>
      <c r="H1597" s="273" t="s">
        <v>11</v>
      </c>
    </row>
    <row r="1598" spans="1:8" x14ac:dyDescent="0.25">
      <c r="A1598" t="s">
        <v>35</v>
      </c>
      <c r="B1598" t="s">
        <v>94</v>
      </c>
      <c r="C1598" t="s">
        <v>2132</v>
      </c>
      <c r="D1598">
        <v>2</v>
      </c>
      <c r="E1598" s="273">
        <v>4</v>
      </c>
      <c r="F1598" s="273" t="s">
        <v>7</v>
      </c>
      <c r="G1598" s="273" t="s">
        <v>11</v>
      </c>
      <c r="H1598" s="273" t="s">
        <v>11</v>
      </c>
    </row>
    <row r="1599" spans="1:8" x14ac:dyDescent="0.25">
      <c r="A1599" t="s">
        <v>35</v>
      </c>
      <c r="B1599" t="s">
        <v>94</v>
      </c>
      <c r="C1599" t="s">
        <v>1168</v>
      </c>
      <c r="D1599">
        <v>2</v>
      </c>
      <c r="E1599" s="273">
        <v>5</v>
      </c>
      <c r="F1599" s="273" t="s">
        <v>7</v>
      </c>
      <c r="G1599" s="273" t="s">
        <v>11</v>
      </c>
      <c r="H1599" s="273" t="s">
        <v>11</v>
      </c>
    </row>
    <row r="1600" spans="1:8" x14ac:dyDescent="0.25">
      <c r="A1600" t="s">
        <v>35</v>
      </c>
      <c r="B1600" t="s">
        <v>94</v>
      </c>
      <c r="C1600" t="s">
        <v>2133</v>
      </c>
      <c r="D1600">
        <v>1</v>
      </c>
      <c r="E1600" s="273">
        <v>4</v>
      </c>
      <c r="F1600" s="273" t="s">
        <v>7</v>
      </c>
      <c r="G1600" s="273" t="s">
        <v>11</v>
      </c>
      <c r="H1600" s="273" t="s">
        <v>11</v>
      </c>
    </row>
    <row r="1601" spans="1:8" x14ac:dyDescent="0.25">
      <c r="A1601" t="s">
        <v>35</v>
      </c>
      <c r="B1601" t="s">
        <v>94</v>
      </c>
      <c r="C1601" t="s">
        <v>1266</v>
      </c>
      <c r="D1601">
        <v>2</v>
      </c>
      <c r="E1601" s="273">
        <v>4</v>
      </c>
      <c r="F1601" s="273" t="s">
        <v>7</v>
      </c>
      <c r="G1601" s="273" t="s">
        <v>11</v>
      </c>
      <c r="H1601" s="273" t="s">
        <v>11</v>
      </c>
    </row>
    <row r="1602" spans="1:8" x14ac:dyDescent="0.25">
      <c r="A1602" t="s">
        <v>35</v>
      </c>
      <c r="B1602" t="s">
        <v>94</v>
      </c>
      <c r="C1602" t="s">
        <v>1269</v>
      </c>
      <c r="D1602">
        <v>2</v>
      </c>
      <c r="E1602" s="273">
        <v>4</v>
      </c>
      <c r="F1602" s="273" t="s">
        <v>7</v>
      </c>
      <c r="G1602" s="273" t="s">
        <v>11</v>
      </c>
      <c r="H1602" s="273" t="s">
        <v>11</v>
      </c>
    </row>
    <row r="1603" spans="1:8" x14ac:dyDescent="0.25">
      <c r="A1603" t="s">
        <v>35</v>
      </c>
      <c r="B1603" t="s">
        <v>94</v>
      </c>
      <c r="C1603" t="s">
        <v>1444</v>
      </c>
      <c r="D1603">
        <v>2</v>
      </c>
      <c r="E1603" s="273">
        <v>5</v>
      </c>
      <c r="F1603" s="273" t="s">
        <v>7</v>
      </c>
      <c r="G1603" s="273" t="s">
        <v>11</v>
      </c>
      <c r="H1603" s="273" t="s">
        <v>11</v>
      </c>
    </row>
    <row r="1604" spans="1:8" x14ac:dyDescent="0.25">
      <c r="A1604" t="s">
        <v>35</v>
      </c>
      <c r="B1604" t="s">
        <v>94</v>
      </c>
      <c r="C1604" t="s">
        <v>2134</v>
      </c>
      <c r="D1604">
        <v>2</v>
      </c>
      <c r="E1604" s="273">
        <v>5</v>
      </c>
      <c r="F1604" s="273" t="s">
        <v>7</v>
      </c>
      <c r="G1604" s="273" t="s">
        <v>11</v>
      </c>
      <c r="H1604" s="273" t="s">
        <v>11</v>
      </c>
    </row>
    <row r="1605" spans="1:8" x14ac:dyDescent="0.25">
      <c r="A1605" t="s">
        <v>35</v>
      </c>
      <c r="B1605" t="s">
        <v>94</v>
      </c>
      <c r="C1605" t="s">
        <v>1169</v>
      </c>
      <c r="D1605">
        <v>2</v>
      </c>
      <c r="E1605" s="273">
        <v>4</v>
      </c>
      <c r="F1605" s="273" t="s">
        <v>7</v>
      </c>
      <c r="G1605" s="273" t="s">
        <v>11</v>
      </c>
      <c r="H1605" s="273" t="s">
        <v>11</v>
      </c>
    </row>
    <row r="1606" spans="1:8" x14ac:dyDescent="0.25">
      <c r="A1606" t="s">
        <v>35</v>
      </c>
      <c r="B1606" t="s">
        <v>94</v>
      </c>
      <c r="C1606" t="s">
        <v>2135</v>
      </c>
      <c r="D1606">
        <v>2</v>
      </c>
      <c r="E1606" s="273">
        <v>4</v>
      </c>
      <c r="F1606" s="273" t="s">
        <v>7</v>
      </c>
      <c r="G1606" s="273" t="s">
        <v>11</v>
      </c>
      <c r="H1606" s="273" t="s">
        <v>11</v>
      </c>
    </row>
    <row r="1607" spans="1:8" x14ac:dyDescent="0.25">
      <c r="A1607" t="s">
        <v>35</v>
      </c>
      <c r="B1607" t="s">
        <v>94</v>
      </c>
      <c r="C1607" t="s">
        <v>2136</v>
      </c>
      <c r="D1607">
        <v>2</v>
      </c>
      <c r="E1607" s="273">
        <v>4</v>
      </c>
      <c r="F1607" s="273" t="s">
        <v>7</v>
      </c>
      <c r="G1607" s="273" t="s">
        <v>11</v>
      </c>
      <c r="H1607" s="273" t="s">
        <v>11</v>
      </c>
    </row>
    <row r="1608" spans="1:8" x14ac:dyDescent="0.25">
      <c r="A1608" t="s">
        <v>35</v>
      </c>
      <c r="B1608" t="s">
        <v>94</v>
      </c>
      <c r="C1608" t="s">
        <v>1681</v>
      </c>
      <c r="D1608">
        <v>2</v>
      </c>
      <c r="E1608" s="273">
        <v>4</v>
      </c>
      <c r="F1608" s="273" t="s">
        <v>7</v>
      </c>
      <c r="G1608" s="273" t="s">
        <v>11</v>
      </c>
      <c r="H1608" s="273" t="s">
        <v>11</v>
      </c>
    </row>
    <row r="1609" spans="1:8" x14ac:dyDescent="0.25">
      <c r="A1609" t="s">
        <v>35</v>
      </c>
      <c r="B1609" t="s">
        <v>94</v>
      </c>
      <c r="C1609" t="s">
        <v>1894</v>
      </c>
      <c r="D1609">
        <v>2</v>
      </c>
      <c r="E1609" s="273">
        <v>4</v>
      </c>
      <c r="F1609" s="273" t="s">
        <v>7</v>
      </c>
      <c r="G1609" s="273" t="s">
        <v>11</v>
      </c>
      <c r="H1609" s="273" t="s">
        <v>11</v>
      </c>
    </row>
    <row r="1610" spans="1:8" x14ac:dyDescent="0.25">
      <c r="A1610" t="s">
        <v>35</v>
      </c>
      <c r="B1610" t="s">
        <v>94</v>
      </c>
      <c r="C1610" t="s">
        <v>1171</v>
      </c>
      <c r="D1610">
        <v>2</v>
      </c>
      <c r="E1610" s="273">
        <v>4</v>
      </c>
      <c r="F1610" s="273" t="s">
        <v>7</v>
      </c>
      <c r="G1610" s="273" t="s">
        <v>11</v>
      </c>
      <c r="H1610" s="273" t="s">
        <v>11</v>
      </c>
    </row>
    <row r="1611" spans="1:8" x14ac:dyDescent="0.25">
      <c r="A1611" t="s">
        <v>35</v>
      </c>
      <c r="B1611" t="s">
        <v>94</v>
      </c>
      <c r="C1611" t="s">
        <v>2137</v>
      </c>
      <c r="D1611">
        <v>2</v>
      </c>
      <c r="E1611" s="273">
        <v>4</v>
      </c>
      <c r="F1611" s="273" t="s">
        <v>7</v>
      </c>
      <c r="G1611" s="273" t="s">
        <v>11</v>
      </c>
      <c r="H1611" s="273" t="s">
        <v>11</v>
      </c>
    </row>
    <row r="1612" spans="1:8" x14ac:dyDescent="0.25">
      <c r="A1612" t="s">
        <v>35</v>
      </c>
      <c r="B1612" t="s">
        <v>94</v>
      </c>
      <c r="C1612" t="s">
        <v>2057</v>
      </c>
      <c r="D1612">
        <v>2</v>
      </c>
      <c r="E1612" s="273">
        <v>4</v>
      </c>
      <c r="F1612" s="273" t="s">
        <v>7</v>
      </c>
      <c r="G1612" s="273" t="s">
        <v>11</v>
      </c>
      <c r="H1612" s="273" t="s">
        <v>11</v>
      </c>
    </row>
    <row r="1613" spans="1:8" x14ac:dyDescent="0.25">
      <c r="A1613" t="s">
        <v>35</v>
      </c>
      <c r="B1613" t="s">
        <v>94</v>
      </c>
      <c r="C1613" t="s">
        <v>2138</v>
      </c>
      <c r="D1613">
        <v>2</v>
      </c>
      <c r="E1613" s="273">
        <v>4</v>
      </c>
      <c r="F1613" s="273" t="s">
        <v>7</v>
      </c>
      <c r="G1613" s="273" t="s">
        <v>11</v>
      </c>
      <c r="H1613" s="273" t="s">
        <v>11</v>
      </c>
    </row>
    <row r="1614" spans="1:8" x14ac:dyDescent="0.25">
      <c r="A1614" t="s">
        <v>35</v>
      </c>
      <c r="B1614" t="s">
        <v>94</v>
      </c>
      <c r="C1614" t="s">
        <v>2139</v>
      </c>
      <c r="D1614">
        <v>2</v>
      </c>
      <c r="E1614" s="273">
        <v>4</v>
      </c>
      <c r="F1614" s="273" t="s">
        <v>7</v>
      </c>
      <c r="G1614" s="273" t="s">
        <v>11</v>
      </c>
      <c r="H1614" s="273" t="s">
        <v>11</v>
      </c>
    </row>
    <row r="1615" spans="1:8" x14ac:dyDescent="0.25">
      <c r="A1615" t="s">
        <v>35</v>
      </c>
      <c r="B1615" t="s">
        <v>94</v>
      </c>
      <c r="C1615" t="s">
        <v>1271</v>
      </c>
      <c r="D1615">
        <v>2</v>
      </c>
      <c r="E1615" s="273">
        <v>4</v>
      </c>
      <c r="F1615" s="273" t="s">
        <v>7</v>
      </c>
      <c r="G1615" s="273" t="s">
        <v>11</v>
      </c>
      <c r="H1615" s="273" t="s">
        <v>11</v>
      </c>
    </row>
    <row r="1616" spans="1:8" x14ac:dyDescent="0.25">
      <c r="A1616" t="s">
        <v>35</v>
      </c>
      <c r="B1616" t="s">
        <v>94</v>
      </c>
      <c r="C1616" t="s">
        <v>1645</v>
      </c>
      <c r="D1616">
        <v>2</v>
      </c>
      <c r="E1616" s="273">
        <v>5</v>
      </c>
      <c r="F1616" s="273" t="s">
        <v>7</v>
      </c>
      <c r="G1616" s="273" t="s">
        <v>11</v>
      </c>
      <c r="H1616" s="273" t="s">
        <v>11</v>
      </c>
    </row>
    <row r="1617" spans="1:8" x14ac:dyDescent="0.25">
      <c r="A1617" t="s">
        <v>35</v>
      </c>
      <c r="B1617" t="s">
        <v>94</v>
      </c>
      <c r="C1617" t="s">
        <v>2140</v>
      </c>
      <c r="D1617">
        <v>2</v>
      </c>
      <c r="E1617" s="273">
        <v>5</v>
      </c>
      <c r="F1617" s="273" t="s">
        <v>7</v>
      </c>
      <c r="G1617" s="273" t="s">
        <v>11</v>
      </c>
      <c r="H1617" s="273" t="s">
        <v>11</v>
      </c>
    </row>
    <row r="1618" spans="1:8" x14ac:dyDescent="0.25">
      <c r="A1618" t="s">
        <v>35</v>
      </c>
      <c r="B1618" t="s">
        <v>94</v>
      </c>
      <c r="C1618" t="s">
        <v>1272</v>
      </c>
      <c r="D1618">
        <v>3</v>
      </c>
      <c r="E1618" s="273">
        <v>4</v>
      </c>
      <c r="F1618" s="273" t="s">
        <v>7</v>
      </c>
      <c r="G1618" s="273" t="s">
        <v>11</v>
      </c>
      <c r="H1618" s="273" t="s">
        <v>11</v>
      </c>
    </row>
    <row r="1619" spans="1:8" x14ac:dyDescent="0.25">
      <c r="A1619" t="s">
        <v>35</v>
      </c>
      <c r="B1619" t="s">
        <v>94</v>
      </c>
      <c r="C1619" t="s">
        <v>2141</v>
      </c>
      <c r="D1619">
        <v>2</v>
      </c>
      <c r="E1619" s="273">
        <v>4</v>
      </c>
      <c r="F1619" s="273" t="s">
        <v>7</v>
      </c>
      <c r="G1619" s="273" t="s">
        <v>11</v>
      </c>
      <c r="H1619" s="273" t="s">
        <v>11</v>
      </c>
    </row>
    <row r="1620" spans="1:8" x14ac:dyDescent="0.25">
      <c r="A1620" t="s">
        <v>35</v>
      </c>
      <c r="B1620" t="s">
        <v>94</v>
      </c>
      <c r="C1620" t="s">
        <v>1172</v>
      </c>
      <c r="D1620">
        <v>2</v>
      </c>
      <c r="E1620" s="273">
        <v>5</v>
      </c>
      <c r="F1620" s="273" t="s">
        <v>7</v>
      </c>
      <c r="G1620" s="273" t="s">
        <v>11</v>
      </c>
      <c r="H1620" s="273" t="s">
        <v>11</v>
      </c>
    </row>
    <row r="1621" spans="1:8" x14ac:dyDescent="0.25">
      <c r="A1621" t="s">
        <v>35</v>
      </c>
      <c r="B1621" t="s">
        <v>94</v>
      </c>
      <c r="C1621" t="s">
        <v>2142</v>
      </c>
      <c r="D1621">
        <v>3</v>
      </c>
      <c r="E1621" s="273">
        <v>4</v>
      </c>
      <c r="F1621" s="273" t="s">
        <v>7</v>
      </c>
      <c r="G1621" s="273" t="s">
        <v>11</v>
      </c>
      <c r="H1621" s="273" t="s">
        <v>11</v>
      </c>
    </row>
    <row r="1622" spans="1:8" x14ac:dyDescent="0.25">
      <c r="A1622" t="s">
        <v>35</v>
      </c>
      <c r="B1622" t="s">
        <v>94</v>
      </c>
      <c r="C1622" t="s">
        <v>1277</v>
      </c>
      <c r="D1622">
        <v>2</v>
      </c>
      <c r="E1622" s="273">
        <v>4</v>
      </c>
      <c r="F1622" s="273" t="s">
        <v>7</v>
      </c>
      <c r="G1622" s="273" t="s">
        <v>11</v>
      </c>
      <c r="H1622" s="273" t="s">
        <v>11</v>
      </c>
    </row>
    <row r="1623" spans="1:8" x14ac:dyDescent="0.25">
      <c r="A1623" t="s">
        <v>35</v>
      </c>
      <c r="B1623" t="s">
        <v>94</v>
      </c>
      <c r="C1623" t="s">
        <v>1687</v>
      </c>
      <c r="D1623">
        <v>2</v>
      </c>
      <c r="E1623" s="273">
        <v>5</v>
      </c>
      <c r="F1623" s="273" t="s">
        <v>7</v>
      </c>
      <c r="G1623" s="273" t="s">
        <v>11</v>
      </c>
      <c r="H1623" s="273" t="s">
        <v>11</v>
      </c>
    </row>
    <row r="1624" spans="1:8" x14ac:dyDescent="0.25">
      <c r="A1624" t="s">
        <v>35</v>
      </c>
      <c r="B1624" t="s">
        <v>94</v>
      </c>
      <c r="C1624" t="s">
        <v>2143</v>
      </c>
      <c r="D1624">
        <v>2</v>
      </c>
      <c r="E1624" s="273">
        <v>4</v>
      </c>
      <c r="F1624" s="273" t="s">
        <v>7</v>
      </c>
      <c r="G1624" s="273" t="s">
        <v>11</v>
      </c>
      <c r="H1624" s="273" t="s">
        <v>11</v>
      </c>
    </row>
    <row r="1625" spans="1:8" x14ac:dyDescent="0.25">
      <c r="A1625" t="s">
        <v>35</v>
      </c>
      <c r="B1625" t="s">
        <v>94</v>
      </c>
      <c r="C1625" t="s">
        <v>2144</v>
      </c>
      <c r="D1625">
        <v>2</v>
      </c>
      <c r="E1625" s="273">
        <v>4</v>
      </c>
      <c r="F1625" s="273" t="s">
        <v>7</v>
      </c>
      <c r="G1625" s="273" t="s">
        <v>11</v>
      </c>
      <c r="H1625" s="273" t="s">
        <v>11</v>
      </c>
    </row>
    <row r="1626" spans="1:8" x14ac:dyDescent="0.25">
      <c r="A1626" t="s">
        <v>35</v>
      </c>
      <c r="B1626" t="s">
        <v>94</v>
      </c>
      <c r="C1626" t="s">
        <v>1905</v>
      </c>
      <c r="D1626">
        <v>2</v>
      </c>
      <c r="E1626" s="273">
        <v>4</v>
      </c>
      <c r="F1626" s="273" t="s">
        <v>7</v>
      </c>
      <c r="G1626" s="273" t="s">
        <v>11</v>
      </c>
      <c r="H1626" s="273" t="s">
        <v>11</v>
      </c>
    </row>
    <row r="1627" spans="1:8" x14ac:dyDescent="0.25">
      <c r="A1627" t="s">
        <v>35</v>
      </c>
      <c r="B1627" t="s">
        <v>94</v>
      </c>
      <c r="C1627" t="s">
        <v>1556</v>
      </c>
      <c r="D1627">
        <v>2</v>
      </c>
      <c r="E1627" s="273">
        <v>4</v>
      </c>
      <c r="F1627" s="273" t="s">
        <v>7</v>
      </c>
      <c r="G1627" s="273" t="s">
        <v>11</v>
      </c>
      <c r="H1627" s="273" t="s">
        <v>11</v>
      </c>
    </row>
    <row r="1628" spans="1:8" x14ac:dyDescent="0.25">
      <c r="A1628" t="s">
        <v>35</v>
      </c>
      <c r="B1628" t="s">
        <v>94</v>
      </c>
      <c r="C1628" t="s">
        <v>1178</v>
      </c>
      <c r="D1628">
        <v>2</v>
      </c>
      <c r="E1628" s="273">
        <v>4</v>
      </c>
      <c r="F1628" s="273" t="s">
        <v>7</v>
      </c>
      <c r="G1628" s="273" t="s">
        <v>11</v>
      </c>
      <c r="H1628" s="273" t="s">
        <v>11</v>
      </c>
    </row>
    <row r="1629" spans="1:8" x14ac:dyDescent="0.25">
      <c r="A1629" t="s">
        <v>35</v>
      </c>
      <c r="B1629" t="s">
        <v>94</v>
      </c>
      <c r="C1629" t="s">
        <v>1557</v>
      </c>
      <c r="D1629">
        <v>2</v>
      </c>
      <c r="E1629" s="273">
        <v>4</v>
      </c>
      <c r="F1629" s="273" t="s">
        <v>7</v>
      </c>
      <c r="G1629" s="273" t="s">
        <v>11</v>
      </c>
      <c r="H1629" s="273" t="s">
        <v>11</v>
      </c>
    </row>
    <row r="1630" spans="1:8" x14ac:dyDescent="0.25">
      <c r="A1630" t="s">
        <v>35</v>
      </c>
      <c r="B1630" t="s">
        <v>94</v>
      </c>
      <c r="C1630" t="s">
        <v>1558</v>
      </c>
      <c r="D1630">
        <v>2</v>
      </c>
      <c r="E1630" s="273">
        <v>4</v>
      </c>
      <c r="F1630" s="273" t="s">
        <v>7</v>
      </c>
      <c r="G1630" s="273" t="s">
        <v>11</v>
      </c>
      <c r="H1630" s="273" t="s">
        <v>11</v>
      </c>
    </row>
    <row r="1631" spans="1:8" x14ac:dyDescent="0.25">
      <c r="A1631" t="s">
        <v>35</v>
      </c>
      <c r="B1631" t="s">
        <v>94</v>
      </c>
      <c r="C1631" t="s">
        <v>1563</v>
      </c>
      <c r="D1631">
        <v>2</v>
      </c>
      <c r="E1631" s="273">
        <v>5</v>
      </c>
      <c r="F1631" s="273" t="s">
        <v>7</v>
      </c>
      <c r="G1631" s="273" t="s">
        <v>11</v>
      </c>
      <c r="H1631" s="273" t="s">
        <v>11</v>
      </c>
    </row>
    <row r="1632" spans="1:8" x14ac:dyDescent="0.25">
      <c r="A1632" t="s">
        <v>35</v>
      </c>
      <c r="B1632" t="s">
        <v>94</v>
      </c>
      <c r="C1632" t="s">
        <v>1741</v>
      </c>
      <c r="D1632">
        <v>2</v>
      </c>
      <c r="E1632" s="273">
        <v>4</v>
      </c>
      <c r="F1632" s="273" t="s">
        <v>7</v>
      </c>
      <c r="G1632" s="273" t="s">
        <v>11</v>
      </c>
      <c r="H1632" s="273" t="s">
        <v>11</v>
      </c>
    </row>
    <row r="1633" spans="1:8" x14ac:dyDescent="0.25">
      <c r="A1633" t="s">
        <v>37</v>
      </c>
      <c r="B1633" t="s">
        <v>78</v>
      </c>
      <c r="C1633" t="s">
        <v>2145</v>
      </c>
      <c r="D1633">
        <v>1</v>
      </c>
      <c r="E1633" s="273">
        <v>6</v>
      </c>
      <c r="F1633" s="273" t="s">
        <v>75</v>
      </c>
      <c r="G1633" s="273" t="s">
        <v>11</v>
      </c>
      <c r="H1633" s="273" t="s">
        <v>11</v>
      </c>
    </row>
    <row r="1634" spans="1:8" x14ac:dyDescent="0.25">
      <c r="A1634" t="s">
        <v>37</v>
      </c>
      <c r="B1634" t="s">
        <v>78</v>
      </c>
      <c r="C1634" t="s">
        <v>2146</v>
      </c>
      <c r="D1634">
        <v>1</v>
      </c>
      <c r="E1634" s="273">
        <v>6</v>
      </c>
      <c r="F1634" s="273" t="s">
        <v>75</v>
      </c>
      <c r="G1634" s="273" t="s">
        <v>11</v>
      </c>
      <c r="H1634" s="273" t="s">
        <v>11</v>
      </c>
    </row>
    <row r="1635" spans="1:8" x14ac:dyDescent="0.25">
      <c r="A1635" t="s">
        <v>37</v>
      </c>
      <c r="B1635" t="s">
        <v>78</v>
      </c>
      <c r="C1635" t="s">
        <v>1574</v>
      </c>
      <c r="D1635">
        <v>1</v>
      </c>
      <c r="E1635" s="273">
        <v>6</v>
      </c>
      <c r="F1635" s="273" t="s">
        <v>75</v>
      </c>
      <c r="G1635" s="273" t="s">
        <v>11</v>
      </c>
      <c r="H1635" s="273" t="s">
        <v>11</v>
      </c>
    </row>
    <row r="1636" spans="1:8" x14ac:dyDescent="0.25">
      <c r="A1636" t="s">
        <v>37</v>
      </c>
      <c r="B1636" t="s">
        <v>78</v>
      </c>
      <c r="C1636" t="s">
        <v>2147</v>
      </c>
      <c r="D1636">
        <v>1</v>
      </c>
      <c r="E1636" s="273">
        <v>6</v>
      </c>
      <c r="F1636" s="273" t="s">
        <v>75</v>
      </c>
      <c r="G1636" s="273" t="s">
        <v>11</v>
      </c>
      <c r="H1636" s="273" t="s">
        <v>11</v>
      </c>
    </row>
    <row r="1637" spans="1:8" x14ac:dyDescent="0.25">
      <c r="A1637" t="s">
        <v>37</v>
      </c>
      <c r="B1637" t="s">
        <v>78</v>
      </c>
      <c r="C1637" t="s">
        <v>2148</v>
      </c>
      <c r="D1637">
        <v>1</v>
      </c>
      <c r="E1637" s="273">
        <v>6</v>
      </c>
      <c r="F1637" s="273" t="s">
        <v>75</v>
      </c>
      <c r="G1637" s="273" t="s">
        <v>11</v>
      </c>
      <c r="H1637" s="273" t="s">
        <v>11</v>
      </c>
    </row>
    <row r="1638" spans="1:8" x14ac:dyDescent="0.25">
      <c r="A1638" t="s">
        <v>37</v>
      </c>
      <c r="B1638" t="s">
        <v>78</v>
      </c>
      <c r="C1638" t="s">
        <v>1823</v>
      </c>
      <c r="D1638">
        <v>1</v>
      </c>
      <c r="E1638" s="273">
        <v>6</v>
      </c>
      <c r="F1638" s="273" t="s">
        <v>75</v>
      </c>
      <c r="G1638" s="273" t="s">
        <v>11</v>
      </c>
      <c r="H1638" s="273" t="s">
        <v>11</v>
      </c>
    </row>
    <row r="1639" spans="1:8" x14ac:dyDescent="0.25">
      <c r="A1639" t="s">
        <v>37</v>
      </c>
      <c r="B1639" t="s">
        <v>78</v>
      </c>
      <c r="C1639" t="s">
        <v>2149</v>
      </c>
      <c r="D1639">
        <v>1</v>
      </c>
      <c r="E1639" s="273">
        <v>6</v>
      </c>
      <c r="F1639" s="273" t="s">
        <v>75</v>
      </c>
      <c r="G1639" s="273" t="s">
        <v>11</v>
      </c>
      <c r="H1639" s="273" t="s">
        <v>11</v>
      </c>
    </row>
    <row r="1640" spans="1:8" x14ac:dyDescent="0.25">
      <c r="A1640" t="s">
        <v>37</v>
      </c>
      <c r="B1640" t="s">
        <v>78</v>
      </c>
      <c r="C1640" t="s">
        <v>2150</v>
      </c>
      <c r="D1640">
        <v>1</v>
      </c>
      <c r="E1640" s="273">
        <v>6</v>
      </c>
      <c r="F1640" s="273" t="s">
        <v>75</v>
      </c>
      <c r="G1640" s="273" t="s">
        <v>11</v>
      </c>
      <c r="H1640" s="273" t="s">
        <v>11</v>
      </c>
    </row>
    <row r="1641" spans="1:8" x14ac:dyDescent="0.25">
      <c r="A1641" t="s">
        <v>37</v>
      </c>
      <c r="B1641" t="s">
        <v>78</v>
      </c>
      <c r="C1641" t="s">
        <v>1353</v>
      </c>
      <c r="D1641">
        <v>1</v>
      </c>
      <c r="E1641" s="273">
        <v>6</v>
      </c>
      <c r="F1641" s="273" t="s">
        <v>75</v>
      </c>
      <c r="G1641" s="273" t="s">
        <v>11</v>
      </c>
      <c r="H1641" s="273" t="s">
        <v>11</v>
      </c>
    </row>
    <row r="1642" spans="1:8" x14ac:dyDescent="0.25">
      <c r="A1642" t="s">
        <v>37</v>
      </c>
      <c r="B1642" t="s">
        <v>78</v>
      </c>
      <c r="C1642" t="s">
        <v>2151</v>
      </c>
      <c r="D1642">
        <v>1</v>
      </c>
      <c r="E1642" s="273">
        <v>6</v>
      </c>
      <c r="F1642" s="273" t="s">
        <v>75</v>
      </c>
      <c r="G1642" s="273" t="s">
        <v>11</v>
      </c>
      <c r="H1642" s="273" t="s">
        <v>11</v>
      </c>
    </row>
    <row r="1643" spans="1:8" x14ac:dyDescent="0.25">
      <c r="A1643" t="s">
        <v>37</v>
      </c>
      <c r="B1643" t="s">
        <v>78</v>
      </c>
      <c r="C1643" t="s">
        <v>1485</v>
      </c>
      <c r="D1643">
        <v>1</v>
      </c>
      <c r="E1643" s="273">
        <v>6</v>
      </c>
      <c r="F1643" s="273" t="s">
        <v>75</v>
      </c>
      <c r="G1643" s="273" t="s">
        <v>11</v>
      </c>
      <c r="H1643" s="273" t="s">
        <v>11</v>
      </c>
    </row>
    <row r="1644" spans="1:8" x14ac:dyDescent="0.25">
      <c r="A1644" t="s">
        <v>37</v>
      </c>
      <c r="B1644" t="s">
        <v>78</v>
      </c>
      <c r="C1644" t="s">
        <v>2152</v>
      </c>
      <c r="D1644">
        <v>1</v>
      </c>
      <c r="E1644" s="273">
        <v>6</v>
      </c>
      <c r="F1644" s="273" t="s">
        <v>75</v>
      </c>
      <c r="G1644" s="273" t="s">
        <v>11</v>
      </c>
      <c r="H1644" s="273" t="s">
        <v>11</v>
      </c>
    </row>
    <row r="1645" spans="1:8" x14ac:dyDescent="0.25">
      <c r="A1645" t="s">
        <v>37</v>
      </c>
      <c r="B1645" t="s">
        <v>78</v>
      </c>
      <c r="C1645" t="s">
        <v>2153</v>
      </c>
      <c r="D1645">
        <v>1</v>
      </c>
      <c r="E1645" s="273">
        <v>6</v>
      </c>
      <c r="F1645" s="273" t="s">
        <v>75</v>
      </c>
      <c r="G1645" s="273" t="s">
        <v>11</v>
      </c>
      <c r="H1645" s="273" t="s">
        <v>11</v>
      </c>
    </row>
    <row r="1646" spans="1:8" x14ac:dyDescent="0.25">
      <c r="A1646" t="s">
        <v>37</v>
      </c>
      <c r="B1646" t="s">
        <v>78</v>
      </c>
      <c r="C1646" t="s">
        <v>2154</v>
      </c>
      <c r="D1646">
        <v>1</v>
      </c>
      <c r="E1646" s="273">
        <v>6</v>
      </c>
      <c r="F1646" s="273" t="s">
        <v>75</v>
      </c>
      <c r="G1646" s="273" t="s">
        <v>11</v>
      </c>
      <c r="H1646" s="273" t="s">
        <v>11</v>
      </c>
    </row>
    <row r="1647" spans="1:8" x14ac:dyDescent="0.25">
      <c r="A1647" t="s">
        <v>37</v>
      </c>
      <c r="B1647" t="s">
        <v>78</v>
      </c>
      <c r="C1647" t="s">
        <v>2155</v>
      </c>
      <c r="D1647">
        <v>1</v>
      </c>
      <c r="E1647" s="273">
        <v>6</v>
      </c>
      <c r="F1647" s="273" t="s">
        <v>75</v>
      </c>
      <c r="G1647" s="273" t="s">
        <v>11</v>
      </c>
      <c r="H1647" s="273" t="s">
        <v>11</v>
      </c>
    </row>
    <row r="1648" spans="1:8" x14ac:dyDescent="0.25">
      <c r="A1648" t="s">
        <v>37</v>
      </c>
      <c r="B1648" t="s">
        <v>78</v>
      </c>
      <c r="C1648" t="s">
        <v>1617</v>
      </c>
      <c r="D1648">
        <v>1</v>
      </c>
      <c r="E1648" s="273">
        <v>6</v>
      </c>
      <c r="F1648" s="273" t="s">
        <v>75</v>
      </c>
      <c r="G1648" s="273" t="s">
        <v>11</v>
      </c>
      <c r="H1648" s="273" t="s">
        <v>11</v>
      </c>
    </row>
    <row r="1649" spans="1:8" x14ac:dyDescent="0.25">
      <c r="A1649" t="s">
        <v>37</v>
      </c>
      <c r="B1649" t="s">
        <v>78</v>
      </c>
      <c r="C1649" t="s">
        <v>1362</v>
      </c>
      <c r="D1649">
        <v>1</v>
      </c>
      <c r="E1649" s="273">
        <v>6</v>
      </c>
      <c r="F1649" s="273" t="s">
        <v>75</v>
      </c>
      <c r="G1649" s="273" t="s">
        <v>11</v>
      </c>
      <c r="H1649" s="273" t="s">
        <v>11</v>
      </c>
    </row>
    <row r="1650" spans="1:8" x14ac:dyDescent="0.25">
      <c r="A1650" t="s">
        <v>37</v>
      </c>
      <c r="B1650" t="s">
        <v>78</v>
      </c>
      <c r="C1650" t="s">
        <v>2156</v>
      </c>
      <c r="D1650">
        <v>1</v>
      </c>
      <c r="E1650" s="273">
        <v>6</v>
      </c>
      <c r="F1650" s="273" t="s">
        <v>75</v>
      </c>
      <c r="G1650" s="273" t="s">
        <v>11</v>
      </c>
      <c r="H1650" s="273" t="s">
        <v>11</v>
      </c>
    </row>
    <row r="1651" spans="1:8" x14ac:dyDescent="0.25">
      <c r="A1651" t="s">
        <v>37</v>
      </c>
      <c r="B1651" t="s">
        <v>78</v>
      </c>
      <c r="C1651" t="s">
        <v>2157</v>
      </c>
      <c r="D1651">
        <v>2</v>
      </c>
      <c r="E1651" s="273">
        <v>6</v>
      </c>
      <c r="F1651" s="273" t="s">
        <v>75</v>
      </c>
      <c r="G1651" s="273" t="s">
        <v>11</v>
      </c>
      <c r="H1651" s="273" t="s">
        <v>11</v>
      </c>
    </row>
    <row r="1652" spans="1:8" x14ac:dyDescent="0.25">
      <c r="A1652" t="s">
        <v>37</v>
      </c>
      <c r="B1652" t="s">
        <v>78</v>
      </c>
      <c r="C1652" t="s">
        <v>2158</v>
      </c>
      <c r="D1652">
        <v>1</v>
      </c>
      <c r="E1652" s="273">
        <v>6</v>
      </c>
      <c r="F1652" s="273" t="s">
        <v>75</v>
      </c>
      <c r="G1652" s="273" t="s">
        <v>11</v>
      </c>
      <c r="H1652" s="273" t="s">
        <v>11</v>
      </c>
    </row>
    <row r="1653" spans="1:8" x14ac:dyDescent="0.25">
      <c r="A1653" t="s">
        <v>37</v>
      </c>
      <c r="B1653" t="s">
        <v>78</v>
      </c>
      <c r="C1653" t="s">
        <v>2159</v>
      </c>
      <c r="D1653">
        <v>1</v>
      </c>
      <c r="E1653" s="273">
        <v>6</v>
      </c>
      <c r="F1653" s="273" t="s">
        <v>75</v>
      </c>
      <c r="G1653" s="273" t="s">
        <v>11</v>
      </c>
      <c r="H1653" s="273" t="s">
        <v>11</v>
      </c>
    </row>
    <row r="1654" spans="1:8" x14ac:dyDescent="0.25">
      <c r="A1654" t="s">
        <v>37</v>
      </c>
      <c r="B1654" t="s">
        <v>78</v>
      </c>
      <c r="C1654" t="s">
        <v>1150</v>
      </c>
      <c r="D1654">
        <v>1</v>
      </c>
      <c r="E1654" s="273">
        <v>6</v>
      </c>
      <c r="F1654" s="273" t="s">
        <v>75</v>
      </c>
      <c r="G1654" s="273" t="s">
        <v>11</v>
      </c>
      <c r="H1654" s="273" t="s">
        <v>11</v>
      </c>
    </row>
    <row r="1655" spans="1:8" x14ac:dyDescent="0.25">
      <c r="A1655" t="s">
        <v>37</v>
      </c>
      <c r="B1655" t="s">
        <v>78</v>
      </c>
      <c r="C1655" t="s">
        <v>2160</v>
      </c>
      <c r="D1655">
        <v>1</v>
      </c>
      <c r="E1655" s="273">
        <v>6</v>
      </c>
      <c r="F1655" s="273" t="s">
        <v>75</v>
      </c>
      <c r="G1655" s="273" t="s">
        <v>11</v>
      </c>
      <c r="H1655" s="273" t="s">
        <v>11</v>
      </c>
    </row>
    <row r="1656" spans="1:8" x14ac:dyDescent="0.25">
      <c r="A1656" t="s">
        <v>37</v>
      </c>
      <c r="B1656" t="s">
        <v>78</v>
      </c>
      <c r="C1656" t="s">
        <v>1299</v>
      </c>
      <c r="D1656">
        <v>1</v>
      </c>
      <c r="E1656" s="273">
        <v>6</v>
      </c>
      <c r="F1656" s="273" t="s">
        <v>75</v>
      </c>
      <c r="G1656" s="273" t="s">
        <v>11</v>
      </c>
      <c r="H1656" s="273" t="s">
        <v>11</v>
      </c>
    </row>
    <row r="1657" spans="1:8" x14ac:dyDescent="0.25">
      <c r="A1657" t="s">
        <v>37</v>
      </c>
      <c r="B1657" t="s">
        <v>78</v>
      </c>
      <c r="C1657" t="s">
        <v>2161</v>
      </c>
      <c r="D1657">
        <v>1</v>
      </c>
      <c r="E1657" s="273">
        <v>6</v>
      </c>
      <c r="F1657" s="273" t="s">
        <v>75</v>
      </c>
      <c r="G1657" s="273" t="s">
        <v>11</v>
      </c>
      <c r="H1657" s="273" t="s">
        <v>11</v>
      </c>
    </row>
    <row r="1658" spans="1:8" x14ac:dyDescent="0.25">
      <c r="A1658" t="s">
        <v>37</v>
      </c>
      <c r="B1658" t="s">
        <v>78</v>
      </c>
      <c r="C1658" t="s">
        <v>1433</v>
      </c>
      <c r="D1658">
        <v>1</v>
      </c>
      <c r="E1658" s="273">
        <v>6</v>
      </c>
      <c r="F1658" s="273" t="s">
        <v>75</v>
      </c>
      <c r="G1658" s="273" t="s">
        <v>11</v>
      </c>
      <c r="H1658" s="273" t="s">
        <v>11</v>
      </c>
    </row>
    <row r="1659" spans="1:8" x14ac:dyDescent="0.25">
      <c r="A1659" t="s">
        <v>37</v>
      </c>
      <c r="B1659" t="s">
        <v>78</v>
      </c>
      <c r="C1659" t="s">
        <v>1255</v>
      </c>
      <c r="D1659">
        <v>1</v>
      </c>
      <c r="E1659" s="273">
        <v>6</v>
      </c>
      <c r="F1659" s="273" t="s">
        <v>75</v>
      </c>
      <c r="G1659" s="273" t="s">
        <v>11</v>
      </c>
      <c r="H1659" s="273" t="s">
        <v>11</v>
      </c>
    </row>
    <row r="1660" spans="1:8" x14ac:dyDescent="0.25">
      <c r="A1660" t="s">
        <v>37</v>
      </c>
      <c r="B1660" t="s">
        <v>78</v>
      </c>
      <c r="C1660" t="s">
        <v>1158</v>
      </c>
      <c r="D1660">
        <v>1</v>
      </c>
      <c r="E1660" s="273">
        <v>6</v>
      </c>
      <c r="F1660" s="273" t="s">
        <v>75</v>
      </c>
      <c r="G1660" s="273" t="s">
        <v>11</v>
      </c>
      <c r="H1660" s="273" t="s">
        <v>11</v>
      </c>
    </row>
    <row r="1661" spans="1:8" x14ac:dyDescent="0.25">
      <c r="A1661" t="s">
        <v>37</v>
      </c>
      <c r="B1661" t="s">
        <v>78</v>
      </c>
      <c r="C1661" t="s">
        <v>2162</v>
      </c>
      <c r="D1661">
        <v>1</v>
      </c>
      <c r="E1661" s="273">
        <v>6</v>
      </c>
      <c r="F1661" s="273" t="s">
        <v>75</v>
      </c>
      <c r="G1661" s="273" t="s">
        <v>11</v>
      </c>
      <c r="H1661" s="273" t="s">
        <v>11</v>
      </c>
    </row>
    <row r="1662" spans="1:8" x14ac:dyDescent="0.25">
      <c r="A1662" t="s">
        <v>37</v>
      </c>
      <c r="B1662" t="s">
        <v>78</v>
      </c>
      <c r="C1662" t="s">
        <v>2163</v>
      </c>
      <c r="D1662">
        <v>1</v>
      </c>
      <c r="E1662" s="273">
        <v>6</v>
      </c>
      <c r="F1662" s="273" t="s">
        <v>75</v>
      </c>
      <c r="G1662" s="273" t="s">
        <v>11</v>
      </c>
      <c r="H1662" s="273" t="s">
        <v>11</v>
      </c>
    </row>
    <row r="1663" spans="1:8" x14ac:dyDescent="0.25">
      <c r="A1663" t="s">
        <v>37</v>
      </c>
      <c r="B1663" t="s">
        <v>78</v>
      </c>
      <c r="C1663" t="s">
        <v>1374</v>
      </c>
      <c r="D1663">
        <v>1</v>
      </c>
      <c r="E1663" s="273">
        <v>6</v>
      </c>
      <c r="F1663" s="273" t="s">
        <v>75</v>
      </c>
      <c r="G1663" s="273" t="s">
        <v>11</v>
      </c>
      <c r="H1663" s="273" t="s">
        <v>11</v>
      </c>
    </row>
    <row r="1664" spans="1:8" x14ac:dyDescent="0.25">
      <c r="A1664" t="s">
        <v>37</v>
      </c>
      <c r="B1664" t="s">
        <v>78</v>
      </c>
      <c r="C1664" t="s">
        <v>2164</v>
      </c>
      <c r="D1664">
        <v>1</v>
      </c>
      <c r="E1664" s="273">
        <v>6</v>
      </c>
      <c r="F1664" s="273" t="s">
        <v>75</v>
      </c>
      <c r="G1664" s="273" t="s">
        <v>11</v>
      </c>
      <c r="H1664" s="273" t="s">
        <v>11</v>
      </c>
    </row>
    <row r="1665" spans="1:8" x14ac:dyDescent="0.25">
      <c r="A1665" t="s">
        <v>37</v>
      </c>
      <c r="B1665" t="s">
        <v>78</v>
      </c>
      <c r="C1665" t="s">
        <v>2165</v>
      </c>
      <c r="D1665">
        <v>2</v>
      </c>
      <c r="E1665" s="273">
        <v>6</v>
      </c>
      <c r="F1665" s="273" t="s">
        <v>75</v>
      </c>
      <c r="G1665" s="273" t="s">
        <v>11</v>
      </c>
      <c r="H1665" s="273" t="s">
        <v>11</v>
      </c>
    </row>
    <row r="1666" spans="1:8" x14ac:dyDescent="0.25">
      <c r="A1666" t="s">
        <v>37</v>
      </c>
      <c r="B1666" t="s">
        <v>78</v>
      </c>
      <c r="C1666" t="s">
        <v>1380</v>
      </c>
      <c r="D1666">
        <v>1</v>
      </c>
      <c r="E1666" s="273">
        <v>6</v>
      </c>
      <c r="F1666" s="273" t="s">
        <v>75</v>
      </c>
      <c r="G1666" s="273" t="s">
        <v>11</v>
      </c>
      <c r="H1666" s="273" t="s">
        <v>11</v>
      </c>
    </row>
    <row r="1667" spans="1:8" x14ac:dyDescent="0.25">
      <c r="A1667" t="s">
        <v>37</v>
      </c>
      <c r="B1667" t="s">
        <v>78</v>
      </c>
      <c r="C1667" t="s">
        <v>2166</v>
      </c>
      <c r="D1667">
        <v>2</v>
      </c>
      <c r="E1667" s="273">
        <v>6</v>
      </c>
      <c r="F1667" s="273" t="s">
        <v>75</v>
      </c>
      <c r="G1667" s="273" t="s">
        <v>11</v>
      </c>
      <c r="H1667" s="273" t="s">
        <v>11</v>
      </c>
    </row>
    <row r="1668" spans="1:8" x14ac:dyDescent="0.25">
      <c r="A1668" t="s">
        <v>37</v>
      </c>
      <c r="B1668" t="s">
        <v>78</v>
      </c>
      <c r="C1668" t="s">
        <v>1264</v>
      </c>
      <c r="D1668">
        <v>1</v>
      </c>
      <c r="E1668" s="273">
        <v>6</v>
      </c>
      <c r="F1668" s="273" t="s">
        <v>75</v>
      </c>
      <c r="G1668" s="273" t="s">
        <v>11</v>
      </c>
      <c r="H1668" s="273" t="s">
        <v>11</v>
      </c>
    </row>
    <row r="1669" spans="1:8" x14ac:dyDescent="0.25">
      <c r="A1669" t="s">
        <v>37</v>
      </c>
      <c r="B1669" t="s">
        <v>78</v>
      </c>
      <c r="C1669" t="s">
        <v>2167</v>
      </c>
      <c r="D1669">
        <v>1</v>
      </c>
      <c r="E1669" s="273">
        <v>6</v>
      </c>
      <c r="F1669" s="273" t="s">
        <v>75</v>
      </c>
      <c r="G1669" s="273" t="s">
        <v>11</v>
      </c>
      <c r="H1669" s="273" t="s">
        <v>11</v>
      </c>
    </row>
    <row r="1670" spans="1:8" x14ac:dyDescent="0.25">
      <c r="A1670" t="s">
        <v>37</v>
      </c>
      <c r="B1670" t="s">
        <v>78</v>
      </c>
      <c r="C1670" t="s">
        <v>2168</v>
      </c>
      <c r="D1670">
        <v>1</v>
      </c>
      <c r="E1670" s="273">
        <v>6</v>
      </c>
      <c r="F1670" s="273" t="s">
        <v>75</v>
      </c>
      <c r="G1670" s="273" t="s">
        <v>11</v>
      </c>
      <c r="H1670" s="273" t="s">
        <v>11</v>
      </c>
    </row>
    <row r="1671" spans="1:8" x14ac:dyDescent="0.25">
      <c r="A1671" t="s">
        <v>37</v>
      </c>
      <c r="B1671" t="s">
        <v>78</v>
      </c>
      <c r="C1671" t="s">
        <v>1855</v>
      </c>
      <c r="D1671">
        <v>1</v>
      </c>
      <c r="E1671" s="273">
        <v>6</v>
      </c>
      <c r="F1671" s="273" t="s">
        <v>75</v>
      </c>
      <c r="G1671" s="273" t="s">
        <v>11</v>
      </c>
      <c r="H1671" s="273" t="s">
        <v>11</v>
      </c>
    </row>
    <row r="1672" spans="1:8" x14ac:dyDescent="0.25">
      <c r="A1672" t="s">
        <v>37</v>
      </c>
      <c r="B1672" t="s">
        <v>78</v>
      </c>
      <c r="C1672" t="s">
        <v>1268</v>
      </c>
      <c r="D1672">
        <v>1</v>
      </c>
      <c r="E1672" s="273">
        <v>6</v>
      </c>
      <c r="F1672" s="273" t="s">
        <v>75</v>
      </c>
      <c r="G1672" s="273" t="s">
        <v>11</v>
      </c>
      <c r="H1672" s="273" t="s">
        <v>11</v>
      </c>
    </row>
    <row r="1673" spans="1:8" x14ac:dyDescent="0.25">
      <c r="A1673" t="s">
        <v>37</v>
      </c>
      <c r="B1673" t="s">
        <v>78</v>
      </c>
      <c r="C1673" t="s">
        <v>2169</v>
      </c>
      <c r="D1673">
        <v>1</v>
      </c>
      <c r="E1673" s="273">
        <v>6</v>
      </c>
      <c r="F1673" s="273" t="s">
        <v>75</v>
      </c>
      <c r="G1673" s="273" t="s">
        <v>11</v>
      </c>
      <c r="H1673" s="273" t="s">
        <v>11</v>
      </c>
    </row>
    <row r="1674" spans="1:8" x14ac:dyDescent="0.25">
      <c r="A1674" t="s">
        <v>37</v>
      </c>
      <c r="B1674" t="s">
        <v>78</v>
      </c>
      <c r="C1674" t="s">
        <v>1642</v>
      </c>
      <c r="D1674">
        <v>1</v>
      </c>
      <c r="E1674" s="273">
        <v>6</v>
      </c>
      <c r="F1674" s="273" t="s">
        <v>75</v>
      </c>
      <c r="G1674" s="273" t="s">
        <v>11</v>
      </c>
      <c r="H1674" s="273" t="s">
        <v>11</v>
      </c>
    </row>
    <row r="1675" spans="1:8" x14ac:dyDescent="0.25">
      <c r="A1675" t="s">
        <v>37</v>
      </c>
      <c r="B1675" t="s">
        <v>78</v>
      </c>
      <c r="C1675" t="s">
        <v>2170</v>
      </c>
      <c r="D1675">
        <v>1</v>
      </c>
      <c r="E1675" s="273">
        <v>6</v>
      </c>
      <c r="F1675" s="273" t="s">
        <v>75</v>
      </c>
      <c r="G1675" s="273" t="s">
        <v>11</v>
      </c>
      <c r="H1675" s="273" t="s">
        <v>11</v>
      </c>
    </row>
    <row r="1676" spans="1:8" x14ac:dyDescent="0.25">
      <c r="A1676" t="s">
        <v>37</v>
      </c>
      <c r="B1676" t="s">
        <v>78</v>
      </c>
      <c r="C1676" t="s">
        <v>2171</v>
      </c>
      <c r="D1676">
        <v>1</v>
      </c>
      <c r="E1676" s="273">
        <v>6</v>
      </c>
      <c r="F1676" s="273" t="s">
        <v>75</v>
      </c>
      <c r="G1676" s="273" t="s">
        <v>11</v>
      </c>
      <c r="H1676" s="273" t="s">
        <v>11</v>
      </c>
    </row>
    <row r="1677" spans="1:8" x14ac:dyDescent="0.25">
      <c r="A1677" t="s">
        <v>37</v>
      </c>
      <c r="B1677" t="s">
        <v>78</v>
      </c>
      <c r="C1677" t="s">
        <v>2172</v>
      </c>
      <c r="D1677">
        <v>1</v>
      </c>
      <c r="E1677" s="273">
        <v>6</v>
      </c>
      <c r="F1677" s="273" t="s">
        <v>75</v>
      </c>
      <c r="G1677" s="273" t="s">
        <v>11</v>
      </c>
      <c r="H1677" s="273" t="s">
        <v>11</v>
      </c>
    </row>
    <row r="1678" spans="1:8" x14ac:dyDescent="0.25">
      <c r="A1678" t="s">
        <v>37</v>
      </c>
      <c r="B1678" t="s">
        <v>78</v>
      </c>
      <c r="C1678" t="s">
        <v>1795</v>
      </c>
      <c r="D1678">
        <v>1</v>
      </c>
      <c r="E1678" s="273">
        <v>6</v>
      </c>
      <c r="F1678" s="273" t="s">
        <v>75</v>
      </c>
      <c r="G1678" s="273" t="s">
        <v>11</v>
      </c>
      <c r="H1678" s="273" t="s">
        <v>11</v>
      </c>
    </row>
    <row r="1679" spans="1:8" x14ac:dyDescent="0.25">
      <c r="A1679" t="s">
        <v>37</v>
      </c>
      <c r="B1679" t="s">
        <v>78</v>
      </c>
      <c r="C1679" t="s">
        <v>2173</v>
      </c>
      <c r="D1679">
        <v>1</v>
      </c>
      <c r="E1679" s="273">
        <v>6</v>
      </c>
      <c r="F1679" s="273" t="s">
        <v>75</v>
      </c>
      <c r="G1679" s="273" t="s">
        <v>11</v>
      </c>
      <c r="H1679" s="273" t="s">
        <v>11</v>
      </c>
    </row>
    <row r="1680" spans="1:8" x14ac:dyDescent="0.25">
      <c r="A1680" t="s">
        <v>37</v>
      </c>
      <c r="B1680" t="s">
        <v>78</v>
      </c>
      <c r="C1680" t="s">
        <v>2174</v>
      </c>
      <c r="D1680">
        <v>1</v>
      </c>
      <c r="E1680" s="273">
        <v>6</v>
      </c>
      <c r="F1680" s="273" t="s">
        <v>75</v>
      </c>
      <c r="G1680" s="273" t="s">
        <v>11</v>
      </c>
      <c r="H1680" s="273" t="s">
        <v>11</v>
      </c>
    </row>
    <row r="1681" spans="1:8" x14ac:dyDescent="0.25">
      <c r="A1681" t="s">
        <v>37</v>
      </c>
      <c r="B1681" t="s">
        <v>78</v>
      </c>
      <c r="C1681" t="s">
        <v>2175</v>
      </c>
      <c r="D1681">
        <v>2</v>
      </c>
      <c r="E1681" s="273">
        <v>6</v>
      </c>
      <c r="F1681" s="273" t="s">
        <v>75</v>
      </c>
      <c r="G1681" s="273" t="s">
        <v>11</v>
      </c>
      <c r="H1681" s="273" t="s">
        <v>11</v>
      </c>
    </row>
    <row r="1682" spans="1:8" x14ac:dyDescent="0.25">
      <c r="A1682" t="s">
        <v>37</v>
      </c>
      <c r="B1682" t="s">
        <v>78</v>
      </c>
      <c r="C1682" t="s">
        <v>1599</v>
      </c>
      <c r="D1682">
        <v>1</v>
      </c>
      <c r="E1682" s="273">
        <v>6</v>
      </c>
      <c r="F1682" s="273" t="s">
        <v>75</v>
      </c>
      <c r="G1682" s="273" t="s">
        <v>11</v>
      </c>
      <c r="H1682" s="273" t="s">
        <v>11</v>
      </c>
    </row>
    <row r="1683" spans="1:8" x14ac:dyDescent="0.25">
      <c r="A1683" t="s">
        <v>37</v>
      </c>
      <c r="B1683" t="s">
        <v>78</v>
      </c>
      <c r="C1683" t="s">
        <v>2176</v>
      </c>
      <c r="D1683">
        <v>1</v>
      </c>
      <c r="E1683" s="273">
        <v>6</v>
      </c>
      <c r="F1683" s="273" t="s">
        <v>75</v>
      </c>
      <c r="G1683" s="273" t="s">
        <v>11</v>
      </c>
      <c r="H1683" s="273" t="s">
        <v>11</v>
      </c>
    </row>
    <row r="1684" spans="1:8" x14ac:dyDescent="0.25">
      <c r="A1684" t="s">
        <v>37</v>
      </c>
      <c r="B1684" t="s">
        <v>78</v>
      </c>
      <c r="C1684" t="s">
        <v>2177</v>
      </c>
      <c r="D1684">
        <v>2</v>
      </c>
      <c r="E1684" s="273">
        <v>6</v>
      </c>
      <c r="F1684" s="273" t="s">
        <v>75</v>
      </c>
      <c r="G1684" s="273" t="s">
        <v>11</v>
      </c>
      <c r="H1684" s="273" t="s">
        <v>11</v>
      </c>
    </row>
    <row r="1685" spans="1:8" x14ac:dyDescent="0.25">
      <c r="A1685" t="s">
        <v>37</v>
      </c>
      <c r="B1685" t="s">
        <v>78</v>
      </c>
      <c r="C1685" t="s">
        <v>1601</v>
      </c>
      <c r="D1685">
        <v>1</v>
      </c>
      <c r="E1685" s="273">
        <v>6</v>
      </c>
      <c r="F1685" s="273" t="s">
        <v>75</v>
      </c>
      <c r="G1685" s="273" t="s">
        <v>11</v>
      </c>
      <c r="H1685" s="273" t="s">
        <v>11</v>
      </c>
    </row>
    <row r="1686" spans="1:8" x14ac:dyDescent="0.25">
      <c r="A1686" t="s">
        <v>37</v>
      </c>
      <c r="B1686" t="s">
        <v>78</v>
      </c>
      <c r="C1686" t="s">
        <v>2178</v>
      </c>
      <c r="D1686">
        <v>2</v>
      </c>
      <c r="E1686" s="273">
        <v>6</v>
      </c>
      <c r="F1686" s="273" t="s">
        <v>75</v>
      </c>
      <c r="G1686" s="273" t="s">
        <v>11</v>
      </c>
      <c r="H1686" s="273" t="s">
        <v>11</v>
      </c>
    </row>
    <row r="1687" spans="1:8" x14ac:dyDescent="0.25">
      <c r="A1687" t="s">
        <v>37</v>
      </c>
      <c r="B1687" t="s">
        <v>78</v>
      </c>
      <c r="C1687" t="s">
        <v>2179</v>
      </c>
      <c r="D1687">
        <v>1</v>
      </c>
      <c r="E1687" s="273">
        <v>6</v>
      </c>
      <c r="F1687" s="273" t="s">
        <v>75</v>
      </c>
      <c r="G1687" s="273" t="s">
        <v>11</v>
      </c>
      <c r="H1687" s="273" t="s">
        <v>11</v>
      </c>
    </row>
    <row r="1688" spans="1:8" x14ac:dyDescent="0.25">
      <c r="A1688" t="s">
        <v>37</v>
      </c>
      <c r="B1688" t="s">
        <v>78</v>
      </c>
      <c r="C1688" t="s">
        <v>2180</v>
      </c>
      <c r="D1688">
        <v>2</v>
      </c>
      <c r="E1688" s="273">
        <v>6</v>
      </c>
      <c r="F1688" s="273" t="s">
        <v>75</v>
      </c>
      <c r="G1688" s="273" t="s">
        <v>11</v>
      </c>
      <c r="H1688" s="273" t="s">
        <v>11</v>
      </c>
    </row>
    <row r="1689" spans="1:8" x14ac:dyDescent="0.25">
      <c r="A1689" t="s">
        <v>41</v>
      </c>
      <c r="B1689" t="s">
        <v>95</v>
      </c>
      <c r="C1689" t="s">
        <v>1339</v>
      </c>
      <c r="D1689">
        <v>1</v>
      </c>
      <c r="E1689" s="273">
        <v>5</v>
      </c>
      <c r="F1689" s="273" t="s">
        <v>7</v>
      </c>
      <c r="G1689" s="273" t="s">
        <v>11</v>
      </c>
      <c r="H1689" s="273" t="s">
        <v>11</v>
      </c>
    </row>
    <row r="1690" spans="1:8" x14ac:dyDescent="0.25">
      <c r="A1690" t="s">
        <v>41</v>
      </c>
      <c r="B1690" t="s">
        <v>95</v>
      </c>
      <c r="C1690" t="s">
        <v>2181</v>
      </c>
      <c r="D1690">
        <v>2</v>
      </c>
      <c r="E1690" s="273">
        <v>5</v>
      </c>
      <c r="F1690" s="273" t="s">
        <v>7</v>
      </c>
      <c r="G1690" s="273" t="s">
        <v>11</v>
      </c>
      <c r="H1690" s="273" t="s">
        <v>11</v>
      </c>
    </row>
    <row r="1691" spans="1:8" x14ac:dyDescent="0.25">
      <c r="A1691" t="s">
        <v>41</v>
      </c>
      <c r="B1691" t="s">
        <v>95</v>
      </c>
      <c r="C1691" t="s">
        <v>2182</v>
      </c>
      <c r="D1691">
        <v>3</v>
      </c>
      <c r="E1691" s="273">
        <v>5</v>
      </c>
      <c r="F1691" s="273" t="s">
        <v>7</v>
      </c>
      <c r="G1691" s="273" t="s">
        <v>11</v>
      </c>
      <c r="H1691" s="273" t="s">
        <v>11</v>
      </c>
    </row>
    <row r="1692" spans="1:8" x14ac:dyDescent="0.25">
      <c r="A1692" t="s">
        <v>41</v>
      </c>
      <c r="B1692" t="s">
        <v>95</v>
      </c>
      <c r="C1692" t="s">
        <v>2183</v>
      </c>
      <c r="D1692">
        <v>2</v>
      </c>
      <c r="E1692" s="273">
        <v>5</v>
      </c>
      <c r="F1692" s="273" t="s">
        <v>7</v>
      </c>
      <c r="G1692" s="273" t="s">
        <v>11</v>
      </c>
      <c r="H1692" s="273" t="s">
        <v>11</v>
      </c>
    </row>
    <row r="1693" spans="1:8" x14ac:dyDescent="0.25">
      <c r="A1693" t="s">
        <v>41</v>
      </c>
      <c r="B1693" t="s">
        <v>95</v>
      </c>
      <c r="C1693" t="s">
        <v>1574</v>
      </c>
      <c r="D1693">
        <v>3</v>
      </c>
      <c r="E1693" s="273">
        <v>5</v>
      </c>
      <c r="F1693" s="273" t="s">
        <v>7</v>
      </c>
      <c r="G1693" s="273" t="s">
        <v>11</v>
      </c>
      <c r="H1693" s="273" t="s">
        <v>11</v>
      </c>
    </row>
    <row r="1694" spans="1:8" x14ac:dyDescent="0.25">
      <c r="A1694" t="s">
        <v>41</v>
      </c>
      <c r="B1694" t="s">
        <v>95</v>
      </c>
      <c r="C1694" t="s">
        <v>1230</v>
      </c>
      <c r="D1694">
        <v>1</v>
      </c>
      <c r="E1694" s="273">
        <v>5</v>
      </c>
      <c r="F1694" s="273" t="s">
        <v>7</v>
      </c>
      <c r="G1694" s="273" t="s">
        <v>11</v>
      </c>
      <c r="H1694" s="273" t="s">
        <v>11</v>
      </c>
    </row>
    <row r="1695" spans="1:8" x14ac:dyDescent="0.25">
      <c r="A1695" t="s">
        <v>41</v>
      </c>
      <c r="B1695" t="s">
        <v>95</v>
      </c>
      <c r="C1695" t="s">
        <v>2184</v>
      </c>
      <c r="D1695">
        <v>2</v>
      </c>
      <c r="E1695" s="273">
        <v>5</v>
      </c>
      <c r="F1695" s="273" t="s">
        <v>7</v>
      </c>
      <c r="G1695" s="273" t="s">
        <v>11</v>
      </c>
      <c r="H1695" s="273" t="s">
        <v>11</v>
      </c>
    </row>
    <row r="1696" spans="1:8" x14ac:dyDescent="0.25">
      <c r="A1696" t="s">
        <v>41</v>
      </c>
      <c r="B1696" t="s">
        <v>95</v>
      </c>
      <c r="C1696" t="s">
        <v>1813</v>
      </c>
      <c r="D1696">
        <v>1</v>
      </c>
      <c r="E1696" s="273">
        <v>5</v>
      </c>
      <c r="F1696" s="273" t="s">
        <v>7</v>
      </c>
      <c r="G1696" s="273" t="s">
        <v>11</v>
      </c>
      <c r="H1696" s="273" t="s">
        <v>11</v>
      </c>
    </row>
    <row r="1697" spans="1:8" x14ac:dyDescent="0.25">
      <c r="A1697" t="s">
        <v>41</v>
      </c>
      <c r="B1697" t="s">
        <v>95</v>
      </c>
      <c r="C1697" t="s">
        <v>1604</v>
      </c>
      <c r="D1697">
        <v>3</v>
      </c>
      <c r="E1697" s="273">
        <v>5</v>
      </c>
      <c r="F1697" s="273" t="s">
        <v>7</v>
      </c>
      <c r="G1697" s="273" t="s">
        <v>11</v>
      </c>
      <c r="H1697" s="273" t="s">
        <v>11</v>
      </c>
    </row>
    <row r="1698" spans="1:8" x14ac:dyDescent="0.25">
      <c r="A1698" t="s">
        <v>41</v>
      </c>
      <c r="B1698" t="s">
        <v>95</v>
      </c>
      <c r="C1698" t="s">
        <v>2185</v>
      </c>
      <c r="D1698">
        <v>2</v>
      </c>
      <c r="E1698" s="273">
        <v>5</v>
      </c>
      <c r="F1698" s="273" t="s">
        <v>7</v>
      </c>
      <c r="G1698" s="273" t="s">
        <v>11</v>
      </c>
      <c r="H1698" s="273" t="s">
        <v>11</v>
      </c>
    </row>
    <row r="1699" spans="1:8" x14ac:dyDescent="0.25">
      <c r="A1699" t="s">
        <v>41</v>
      </c>
      <c r="B1699" t="s">
        <v>95</v>
      </c>
      <c r="C1699" t="s">
        <v>2186</v>
      </c>
      <c r="D1699">
        <v>1</v>
      </c>
      <c r="E1699" s="273">
        <v>5</v>
      </c>
      <c r="F1699" s="273" t="s">
        <v>7</v>
      </c>
      <c r="G1699" s="273" t="s">
        <v>11</v>
      </c>
      <c r="H1699" s="273" t="s">
        <v>11</v>
      </c>
    </row>
    <row r="1700" spans="1:8" x14ac:dyDescent="0.25">
      <c r="A1700" t="s">
        <v>41</v>
      </c>
      <c r="B1700" t="s">
        <v>95</v>
      </c>
      <c r="C1700" t="s">
        <v>1120</v>
      </c>
      <c r="D1700">
        <v>1</v>
      </c>
      <c r="E1700" s="273">
        <v>5</v>
      </c>
      <c r="F1700" s="273" t="s">
        <v>7</v>
      </c>
      <c r="G1700" s="273" t="s">
        <v>11</v>
      </c>
      <c r="H1700" s="273" t="s">
        <v>11</v>
      </c>
    </row>
    <row r="1701" spans="1:8" x14ac:dyDescent="0.25">
      <c r="A1701" t="s">
        <v>41</v>
      </c>
      <c r="B1701" t="s">
        <v>95</v>
      </c>
      <c r="C1701" t="s">
        <v>1606</v>
      </c>
      <c r="D1701">
        <v>1</v>
      </c>
      <c r="E1701" s="273">
        <v>5</v>
      </c>
      <c r="F1701" s="273" t="s">
        <v>7</v>
      </c>
      <c r="G1701" s="273" t="s">
        <v>11</v>
      </c>
      <c r="H1701" s="273" t="s">
        <v>11</v>
      </c>
    </row>
    <row r="1702" spans="1:8" x14ac:dyDescent="0.25">
      <c r="A1702" t="s">
        <v>41</v>
      </c>
      <c r="B1702" t="s">
        <v>95</v>
      </c>
      <c r="C1702" t="s">
        <v>1705</v>
      </c>
      <c r="D1702">
        <v>1</v>
      </c>
      <c r="E1702" s="273">
        <v>5</v>
      </c>
      <c r="F1702" s="273" t="s">
        <v>7</v>
      </c>
      <c r="G1702" s="273" t="s">
        <v>11</v>
      </c>
      <c r="H1702" s="273" t="s">
        <v>11</v>
      </c>
    </row>
    <row r="1703" spans="1:8" x14ac:dyDescent="0.25">
      <c r="A1703" t="s">
        <v>41</v>
      </c>
      <c r="B1703" t="s">
        <v>95</v>
      </c>
      <c r="C1703" t="s">
        <v>1747</v>
      </c>
      <c r="D1703">
        <v>2</v>
      </c>
      <c r="E1703" s="273">
        <v>5</v>
      </c>
      <c r="F1703" s="273" t="s">
        <v>7</v>
      </c>
      <c r="G1703" s="273" t="s">
        <v>11</v>
      </c>
      <c r="H1703" s="273" t="s">
        <v>11</v>
      </c>
    </row>
    <row r="1704" spans="1:8" x14ac:dyDescent="0.25">
      <c r="A1704" t="s">
        <v>41</v>
      </c>
      <c r="B1704" t="s">
        <v>95</v>
      </c>
      <c r="C1704" t="s">
        <v>2187</v>
      </c>
      <c r="D1704">
        <v>3</v>
      </c>
      <c r="E1704" s="273">
        <v>5</v>
      </c>
      <c r="F1704" s="273" t="s">
        <v>7</v>
      </c>
      <c r="G1704" s="273" t="s">
        <v>11</v>
      </c>
      <c r="H1704" s="273" t="s">
        <v>11</v>
      </c>
    </row>
    <row r="1705" spans="1:8" x14ac:dyDescent="0.25">
      <c r="A1705" t="s">
        <v>41</v>
      </c>
      <c r="B1705" t="s">
        <v>95</v>
      </c>
      <c r="C1705" t="s">
        <v>1348</v>
      </c>
      <c r="D1705">
        <v>2</v>
      </c>
      <c r="E1705" s="273">
        <v>5</v>
      </c>
      <c r="F1705" s="273" t="s">
        <v>7</v>
      </c>
      <c r="G1705" s="273" t="s">
        <v>11</v>
      </c>
      <c r="H1705" s="273" t="s">
        <v>11</v>
      </c>
    </row>
    <row r="1706" spans="1:8" x14ac:dyDescent="0.25">
      <c r="A1706" t="s">
        <v>41</v>
      </c>
      <c r="B1706" t="s">
        <v>95</v>
      </c>
      <c r="C1706" t="s">
        <v>1127</v>
      </c>
      <c r="D1706">
        <v>1</v>
      </c>
      <c r="E1706" s="273">
        <v>5</v>
      </c>
      <c r="F1706" s="273" t="s">
        <v>7</v>
      </c>
      <c r="G1706" s="273" t="s">
        <v>11</v>
      </c>
      <c r="H1706" s="273" t="s">
        <v>11</v>
      </c>
    </row>
    <row r="1707" spans="1:8" x14ac:dyDescent="0.25">
      <c r="A1707" t="s">
        <v>41</v>
      </c>
      <c r="B1707" t="s">
        <v>95</v>
      </c>
      <c r="C1707" t="s">
        <v>2188</v>
      </c>
      <c r="D1707">
        <v>1</v>
      </c>
      <c r="E1707" s="273">
        <v>5</v>
      </c>
      <c r="F1707" s="273" t="s">
        <v>7</v>
      </c>
      <c r="G1707" s="273" t="s">
        <v>11</v>
      </c>
      <c r="H1707" s="273" t="s">
        <v>11</v>
      </c>
    </row>
    <row r="1708" spans="1:8" x14ac:dyDescent="0.25">
      <c r="A1708" t="s">
        <v>41</v>
      </c>
      <c r="B1708" t="s">
        <v>95</v>
      </c>
      <c r="C1708" t="s">
        <v>2189</v>
      </c>
      <c r="D1708">
        <v>1</v>
      </c>
      <c r="E1708" s="273">
        <v>5</v>
      </c>
      <c r="F1708" s="273" t="s">
        <v>7</v>
      </c>
      <c r="G1708" s="273" t="s">
        <v>11</v>
      </c>
      <c r="H1708" s="273" t="s">
        <v>11</v>
      </c>
    </row>
    <row r="1709" spans="1:8" x14ac:dyDescent="0.25">
      <c r="A1709" t="s">
        <v>41</v>
      </c>
      <c r="B1709" t="s">
        <v>95</v>
      </c>
      <c r="C1709" t="s">
        <v>1353</v>
      </c>
      <c r="D1709">
        <v>2</v>
      </c>
      <c r="E1709" s="273">
        <v>5</v>
      </c>
      <c r="F1709" s="273" t="s">
        <v>7</v>
      </c>
      <c r="G1709" s="273" t="s">
        <v>11</v>
      </c>
      <c r="H1709" s="273" t="s">
        <v>11</v>
      </c>
    </row>
    <row r="1710" spans="1:8" x14ac:dyDescent="0.25">
      <c r="A1710" t="s">
        <v>41</v>
      </c>
      <c r="B1710" t="s">
        <v>95</v>
      </c>
      <c r="C1710" t="s">
        <v>2021</v>
      </c>
      <c r="D1710">
        <v>1</v>
      </c>
      <c r="E1710" s="273">
        <v>5</v>
      </c>
      <c r="F1710" s="273" t="s">
        <v>7</v>
      </c>
      <c r="G1710" s="273" t="s">
        <v>11</v>
      </c>
      <c r="H1710" s="273" t="s">
        <v>11</v>
      </c>
    </row>
    <row r="1711" spans="1:8" x14ac:dyDescent="0.25">
      <c r="A1711" t="s">
        <v>41</v>
      </c>
      <c r="B1711" t="s">
        <v>95</v>
      </c>
      <c r="C1711" t="s">
        <v>2190</v>
      </c>
      <c r="D1711">
        <v>2</v>
      </c>
      <c r="E1711" s="273">
        <v>5</v>
      </c>
      <c r="F1711" s="273" t="s">
        <v>7</v>
      </c>
      <c r="G1711" s="273" t="s">
        <v>11</v>
      </c>
      <c r="H1711" s="273" t="s">
        <v>11</v>
      </c>
    </row>
    <row r="1712" spans="1:8" x14ac:dyDescent="0.25">
      <c r="A1712" t="s">
        <v>41</v>
      </c>
      <c r="B1712" t="s">
        <v>95</v>
      </c>
      <c r="C1712" t="s">
        <v>1485</v>
      </c>
      <c r="D1712">
        <v>2</v>
      </c>
      <c r="E1712" s="273">
        <v>5</v>
      </c>
      <c r="F1712" s="273" t="s">
        <v>7</v>
      </c>
      <c r="G1712" s="273" t="s">
        <v>11</v>
      </c>
      <c r="H1712" s="273" t="s">
        <v>11</v>
      </c>
    </row>
    <row r="1713" spans="1:8" x14ac:dyDescent="0.25">
      <c r="A1713" t="s">
        <v>41</v>
      </c>
      <c r="B1713" t="s">
        <v>95</v>
      </c>
      <c r="C1713" t="s">
        <v>2191</v>
      </c>
      <c r="D1713">
        <v>2</v>
      </c>
      <c r="E1713" s="273">
        <v>5</v>
      </c>
      <c r="F1713" s="273" t="s">
        <v>7</v>
      </c>
      <c r="G1713" s="273" t="s">
        <v>11</v>
      </c>
      <c r="H1713" s="273" t="s">
        <v>11</v>
      </c>
    </row>
    <row r="1714" spans="1:8" x14ac:dyDescent="0.25">
      <c r="A1714" t="s">
        <v>41</v>
      </c>
      <c r="B1714" t="s">
        <v>95</v>
      </c>
      <c r="C1714" t="s">
        <v>2192</v>
      </c>
      <c r="D1714">
        <v>1</v>
      </c>
      <c r="E1714" s="273">
        <v>5</v>
      </c>
      <c r="F1714" s="273" t="s">
        <v>7</v>
      </c>
      <c r="G1714" s="273" t="s">
        <v>11</v>
      </c>
      <c r="H1714" s="273" t="s">
        <v>11</v>
      </c>
    </row>
    <row r="1715" spans="1:8" x14ac:dyDescent="0.25">
      <c r="A1715" t="s">
        <v>41</v>
      </c>
      <c r="B1715" t="s">
        <v>95</v>
      </c>
      <c r="C1715" t="s">
        <v>1488</v>
      </c>
      <c r="D1715">
        <v>1</v>
      </c>
      <c r="E1715" s="273">
        <v>5</v>
      </c>
      <c r="F1715" s="273" t="s">
        <v>7</v>
      </c>
      <c r="G1715" s="273" t="s">
        <v>11</v>
      </c>
      <c r="H1715" s="273" t="s">
        <v>11</v>
      </c>
    </row>
    <row r="1716" spans="1:8" x14ac:dyDescent="0.25">
      <c r="A1716" t="s">
        <v>41</v>
      </c>
      <c r="B1716" t="s">
        <v>95</v>
      </c>
      <c r="C1716" t="s">
        <v>1357</v>
      </c>
      <c r="D1716">
        <v>1</v>
      </c>
      <c r="E1716" s="273">
        <v>5</v>
      </c>
      <c r="F1716" s="273" t="s">
        <v>7</v>
      </c>
      <c r="G1716" s="273" t="s">
        <v>11</v>
      </c>
      <c r="H1716" s="273" t="s">
        <v>11</v>
      </c>
    </row>
    <row r="1717" spans="1:8" x14ac:dyDescent="0.25">
      <c r="A1717" t="s">
        <v>41</v>
      </c>
      <c r="B1717" t="s">
        <v>95</v>
      </c>
      <c r="C1717" t="s">
        <v>2193</v>
      </c>
      <c r="D1717">
        <v>2</v>
      </c>
      <c r="E1717" s="273">
        <v>5</v>
      </c>
      <c r="F1717" s="273" t="s">
        <v>7</v>
      </c>
      <c r="G1717" s="273" t="s">
        <v>11</v>
      </c>
      <c r="H1717" s="273" t="s">
        <v>11</v>
      </c>
    </row>
    <row r="1718" spans="1:8" x14ac:dyDescent="0.25">
      <c r="A1718" t="s">
        <v>41</v>
      </c>
      <c r="B1718" t="s">
        <v>95</v>
      </c>
      <c r="C1718" t="s">
        <v>2023</v>
      </c>
      <c r="D1718">
        <v>1</v>
      </c>
      <c r="E1718" s="273">
        <v>5</v>
      </c>
      <c r="F1718" s="273" t="s">
        <v>7</v>
      </c>
      <c r="G1718" s="273" t="s">
        <v>11</v>
      </c>
      <c r="H1718" s="273" t="s">
        <v>11</v>
      </c>
    </row>
    <row r="1719" spans="1:8" x14ac:dyDescent="0.25">
      <c r="A1719" t="s">
        <v>41</v>
      </c>
      <c r="B1719" t="s">
        <v>95</v>
      </c>
      <c r="C1719" t="s">
        <v>1143</v>
      </c>
      <c r="D1719">
        <v>1</v>
      </c>
      <c r="E1719" s="273">
        <v>5</v>
      </c>
      <c r="F1719" s="273" t="s">
        <v>7</v>
      </c>
      <c r="G1719" s="273" t="s">
        <v>11</v>
      </c>
      <c r="H1719" s="273" t="s">
        <v>11</v>
      </c>
    </row>
    <row r="1720" spans="1:8" x14ac:dyDescent="0.25">
      <c r="A1720" t="s">
        <v>41</v>
      </c>
      <c r="B1720" t="s">
        <v>95</v>
      </c>
      <c r="C1720" t="s">
        <v>2194</v>
      </c>
      <c r="D1720">
        <v>1</v>
      </c>
      <c r="E1720" s="273">
        <v>5</v>
      </c>
      <c r="F1720" s="273" t="s">
        <v>7</v>
      </c>
      <c r="G1720" s="273" t="s">
        <v>11</v>
      </c>
      <c r="H1720" s="273" t="s">
        <v>11</v>
      </c>
    </row>
    <row r="1721" spans="1:8" x14ac:dyDescent="0.25">
      <c r="A1721" t="s">
        <v>41</v>
      </c>
      <c r="B1721" t="s">
        <v>95</v>
      </c>
      <c r="C1721" t="s">
        <v>2195</v>
      </c>
      <c r="D1721">
        <v>1</v>
      </c>
      <c r="E1721" s="273">
        <v>5</v>
      </c>
      <c r="F1721" s="273" t="s">
        <v>7</v>
      </c>
      <c r="G1721" s="273" t="s">
        <v>11</v>
      </c>
      <c r="H1721" s="273" t="s">
        <v>11</v>
      </c>
    </row>
    <row r="1722" spans="1:8" x14ac:dyDescent="0.25">
      <c r="A1722" t="s">
        <v>41</v>
      </c>
      <c r="B1722" t="s">
        <v>95</v>
      </c>
      <c r="C1722" t="s">
        <v>2196</v>
      </c>
      <c r="D1722">
        <v>1</v>
      </c>
      <c r="E1722" s="273">
        <v>5</v>
      </c>
      <c r="F1722" s="273" t="s">
        <v>7</v>
      </c>
      <c r="G1722" s="273" t="s">
        <v>11</v>
      </c>
      <c r="H1722" s="273" t="s">
        <v>11</v>
      </c>
    </row>
    <row r="1723" spans="1:8" x14ac:dyDescent="0.25">
      <c r="A1723" t="s">
        <v>41</v>
      </c>
      <c r="B1723" t="s">
        <v>95</v>
      </c>
      <c r="C1723" t="s">
        <v>2197</v>
      </c>
      <c r="D1723">
        <v>3</v>
      </c>
      <c r="E1723" s="273">
        <v>5</v>
      </c>
      <c r="F1723" s="273" t="s">
        <v>7</v>
      </c>
      <c r="G1723" s="273" t="s">
        <v>11</v>
      </c>
      <c r="H1723" s="273" t="s">
        <v>11</v>
      </c>
    </row>
    <row r="1724" spans="1:8" x14ac:dyDescent="0.25">
      <c r="A1724" t="s">
        <v>41</v>
      </c>
      <c r="B1724" t="s">
        <v>95</v>
      </c>
      <c r="C1724" t="s">
        <v>1362</v>
      </c>
      <c r="D1724">
        <v>3</v>
      </c>
      <c r="E1724" s="273">
        <v>5</v>
      </c>
      <c r="F1724" s="273" t="s">
        <v>7</v>
      </c>
      <c r="G1724" s="273" t="s">
        <v>11</v>
      </c>
      <c r="H1724" s="273" t="s">
        <v>11</v>
      </c>
    </row>
    <row r="1725" spans="1:8" x14ac:dyDescent="0.25">
      <c r="A1725" t="s">
        <v>41</v>
      </c>
      <c r="B1725" t="s">
        <v>95</v>
      </c>
      <c r="C1725" t="s">
        <v>2198</v>
      </c>
      <c r="D1725">
        <v>1</v>
      </c>
      <c r="E1725" s="273">
        <v>5</v>
      </c>
      <c r="F1725" s="273" t="s">
        <v>7</v>
      </c>
      <c r="G1725" s="273" t="s">
        <v>11</v>
      </c>
      <c r="H1725" s="273" t="s">
        <v>11</v>
      </c>
    </row>
    <row r="1726" spans="1:8" x14ac:dyDescent="0.25">
      <c r="A1726" t="s">
        <v>41</v>
      </c>
      <c r="B1726" t="s">
        <v>95</v>
      </c>
      <c r="C1726" t="s">
        <v>1247</v>
      </c>
      <c r="D1726">
        <v>3</v>
      </c>
      <c r="E1726" s="273">
        <v>5</v>
      </c>
      <c r="F1726" s="273" t="s">
        <v>7</v>
      </c>
      <c r="G1726" s="273" t="s">
        <v>11</v>
      </c>
      <c r="H1726" s="273" t="s">
        <v>11</v>
      </c>
    </row>
    <row r="1727" spans="1:8" x14ac:dyDescent="0.25">
      <c r="A1727" t="s">
        <v>41</v>
      </c>
      <c r="B1727" t="s">
        <v>95</v>
      </c>
      <c r="C1727" t="s">
        <v>1761</v>
      </c>
      <c r="D1727">
        <v>1</v>
      </c>
      <c r="E1727" s="273">
        <v>5</v>
      </c>
      <c r="F1727" s="273" t="s">
        <v>7</v>
      </c>
      <c r="G1727" s="273" t="s">
        <v>11</v>
      </c>
      <c r="H1727" s="273" t="s">
        <v>11</v>
      </c>
    </row>
    <row r="1728" spans="1:8" x14ac:dyDescent="0.25">
      <c r="A1728" t="s">
        <v>41</v>
      </c>
      <c r="B1728" t="s">
        <v>95</v>
      </c>
      <c r="C1728" t="s">
        <v>1506</v>
      </c>
      <c r="D1728">
        <v>2</v>
      </c>
      <c r="E1728" s="273">
        <v>5</v>
      </c>
      <c r="F1728" s="273" t="s">
        <v>7</v>
      </c>
      <c r="G1728" s="273" t="s">
        <v>11</v>
      </c>
      <c r="H1728" s="273" t="s">
        <v>11</v>
      </c>
    </row>
    <row r="1729" spans="1:8" x14ac:dyDescent="0.25">
      <c r="A1729" t="s">
        <v>41</v>
      </c>
      <c r="B1729" t="s">
        <v>95</v>
      </c>
      <c r="C1729" t="s">
        <v>1423</v>
      </c>
      <c r="D1729">
        <v>1</v>
      </c>
      <c r="E1729" s="273">
        <v>5</v>
      </c>
      <c r="F1729" s="273" t="s">
        <v>7</v>
      </c>
      <c r="G1729" s="273" t="s">
        <v>11</v>
      </c>
      <c r="H1729" s="273" t="s">
        <v>11</v>
      </c>
    </row>
    <row r="1730" spans="1:8" x14ac:dyDescent="0.25">
      <c r="A1730" t="s">
        <v>41</v>
      </c>
      <c r="B1730" t="s">
        <v>95</v>
      </c>
      <c r="C1730" t="s">
        <v>1834</v>
      </c>
      <c r="D1730">
        <v>1</v>
      </c>
      <c r="E1730" s="273">
        <v>5</v>
      </c>
      <c r="F1730" s="273" t="s">
        <v>7</v>
      </c>
      <c r="G1730" s="273" t="s">
        <v>11</v>
      </c>
      <c r="H1730" s="273" t="s">
        <v>11</v>
      </c>
    </row>
    <row r="1731" spans="1:8" x14ac:dyDescent="0.25">
      <c r="A1731" t="s">
        <v>41</v>
      </c>
      <c r="B1731" t="s">
        <v>95</v>
      </c>
      <c r="C1731" t="s">
        <v>2199</v>
      </c>
      <c r="D1731">
        <v>1</v>
      </c>
      <c r="E1731" s="273">
        <v>5</v>
      </c>
      <c r="F1731" s="273" t="s">
        <v>7</v>
      </c>
      <c r="G1731" s="273" t="s">
        <v>11</v>
      </c>
      <c r="H1731" s="273" t="s">
        <v>11</v>
      </c>
    </row>
    <row r="1732" spans="1:8" x14ac:dyDescent="0.25">
      <c r="A1732" t="s">
        <v>41</v>
      </c>
      <c r="B1732" t="s">
        <v>95</v>
      </c>
      <c r="C1732" t="s">
        <v>2200</v>
      </c>
      <c r="D1732">
        <v>1</v>
      </c>
      <c r="E1732" s="273">
        <v>5</v>
      </c>
      <c r="F1732" s="273" t="s">
        <v>7</v>
      </c>
      <c r="G1732" s="273" t="s">
        <v>11</v>
      </c>
      <c r="H1732" s="273" t="s">
        <v>11</v>
      </c>
    </row>
    <row r="1733" spans="1:8" x14ac:dyDescent="0.25">
      <c r="A1733" t="s">
        <v>41</v>
      </c>
      <c r="B1733" t="s">
        <v>95</v>
      </c>
      <c r="C1733" t="s">
        <v>2120</v>
      </c>
      <c r="D1733">
        <v>3</v>
      </c>
      <c r="E1733" s="273">
        <v>5</v>
      </c>
      <c r="F1733" s="273" t="s">
        <v>7</v>
      </c>
      <c r="G1733" s="273" t="s">
        <v>11</v>
      </c>
      <c r="H1733" s="273" t="s">
        <v>11</v>
      </c>
    </row>
    <row r="1734" spans="1:8" x14ac:dyDescent="0.25">
      <c r="A1734" t="s">
        <v>41</v>
      </c>
      <c r="B1734" t="s">
        <v>95</v>
      </c>
      <c r="C1734" t="s">
        <v>2201</v>
      </c>
      <c r="D1734">
        <v>3</v>
      </c>
      <c r="E1734" s="273">
        <v>5</v>
      </c>
      <c r="F1734" s="273" t="s">
        <v>7</v>
      </c>
      <c r="G1734" s="273" t="s">
        <v>11</v>
      </c>
      <c r="H1734" s="273" t="s">
        <v>11</v>
      </c>
    </row>
    <row r="1735" spans="1:8" x14ac:dyDescent="0.25">
      <c r="A1735" t="s">
        <v>41</v>
      </c>
      <c r="B1735" t="s">
        <v>95</v>
      </c>
      <c r="C1735" t="s">
        <v>1250</v>
      </c>
      <c r="D1735">
        <v>2</v>
      </c>
      <c r="E1735" s="273">
        <v>5</v>
      </c>
      <c r="F1735" s="273" t="s">
        <v>7</v>
      </c>
      <c r="G1735" s="273" t="s">
        <v>11</v>
      </c>
      <c r="H1735" s="273" t="s">
        <v>11</v>
      </c>
    </row>
    <row r="1736" spans="1:8" x14ac:dyDescent="0.25">
      <c r="A1736" t="s">
        <v>41</v>
      </c>
      <c r="B1736" t="s">
        <v>95</v>
      </c>
      <c r="C1736" t="s">
        <v>1150</v>
      </c>
      <c r="D1736">
        <v>1</v>
      </c>
      <c r="E1736" s="273">
        <v>5</v>
      </c>
      <c r="F1736" s="273" t="s">
        <v>7</v>
      </c>
      <c r="G1736" s="273" t="s">
        <v>11</v>
      </c>
      <c r="H1736" s="273" t="s">
        <v>11</v>
      </c>
    </row>
    <row r="1737" spans="1:8" x14ac:dyDescent="0.25">
      <c r="A1737" t="s">
        <v>41</v>
      </c>
      <c r="B1737" t="s">
        <v>95</v>
      </c>
      <c r="C1737" t="s">
        <v>1253</v>
      </c>
      <c r="D1737">
        <v>1</v>
      </c>
      <c r="E1737" s="273">
        <v>5</v>
      </c>
      <c r="F1737" s="273" t="s">
        <v>7</v>
      </c>
      <c r="G1737" s="273" t="s">
        <v>11</v>
      </c>
      <c r="H1737" s="273" t="s">
        <v>11</v>
      </c>
    </row>
    <row r="1738" spans="1:8" x14ac:dyDescent="0.25">
      <c r="A1738" t="s">
        <v>41</v>
      </c>
      <c r="B1738" t="s">
        <v>95</v>
      </c>
      <c r="C1738" t="s">
        <v>2202</v>
      </c>
      <c r="D1738">
        <v>1</v>
      </c>
      <c r="E1738" s="273">
        <v>5</v>
      </c>
      <c r="F1738" s="273" t="s">
        <v>7</v>
      </c>
      <c r="G1738" s="273" t="s">
        <v>11</v>
      </c>
      <c r="H1738" s="273" t="s">
        <v>11</v>
      </c>
    </row>
    <row r="1739" spans="1:8" x14ac:dyDescent="0.25">
      <c r="A1739" t="s">
        <v>41</v>
      </c>
      <c r="B1739" t="s">
        <v>95</v>
      </c>
      <c r="C1739" t="s">
        <v>2203</v>
      </c>
      <c r="D1739">
        <v>2</v>
      </c>
      <c r="E1739" s="273">
        <v>5</v>
      </c>
      <c r="F1739" s="273" t="s">
        <v>7</v>
      </c>
      <c r="G1739" s="273" t="s">
        <v>11</v>
      </c>
      <c r="H1739" s="273" t="s">
        <v>11</v>
      </c>
    </row>
    <row r="1740" spans="1:8" x14ac:dyDescent="0.25">
      <c r="A1740" t="s">
        <v>41</v>
      </c>
      <c r="B1740" t="s">
        <v>95</v>
      </c>
      <c r="C1740" t="s">
        <v>2204</v>
      </c>
      <c r="D1740">
        <v>2</v>
      </c>
      <c r="E1740" s="273">
        <v>5</v>
      </c>
      <c r="F1740" s="273" t="s">
        <v>7</v>
      </c>
      <c r="G1740" s="273" t="s">
        <v>11</v>
      </c>
      <c r="H1740" s="273" t="s">
        <v>11</v>
      </c>
    </row>
    <row r="1741" spans="1:8" x14ac:dyDescent="0.25">
      <c r="A1741" t="s">
        <v>41</v>
      </c>
      <c r="B1741" t="s">
        <v>95</v>
      </c>
      <c r="C1741" t="s">
        <v>2205</v>
      </c>
      <c r="D1741">
        <v>2</v>
      </c>
      <c r="E1741" s="273">
        <v>5</v>
      </c>
      <c r="F1741" s="273" t="s">
        <v>7</v>
      </c>
      <c r="G1741" s="273" t="s">
        <v>11</v>
      </c>
      <c r="H1741" s="273" t="s">
        <v>11</v>
      </c>
    </row>
    <row r="1742" spans="1:8" x14ac:dyDescent="0.25">
      <c r="A1742" t="s">
        <v>41</v>
      </c>
      <c r="B1742" t="s">
        <v>95</v>
      </c>
      <c r="C1742" t="s">
        <v>1627</v>
      </c>
      <c r="D1742">
        <v>1</v>
      </c>
      <c r="E1742" s="273">
        <v>5</v>
      </c>
      <c r="F1742" s="273" t="s">
        <v>7</v>
      </c>
      <c r="G1742" s="273" t="s">
        <v>11</v>
      </c>
      <c r="H1742" s="273" t="s">
        <v>11</v>
      </c>
    </row>
    <row r="1743" spans="1:8" x14ac:dyDescent="0.25">
      <c r="A1743" t="s">
        <v>41</v>
      </c>
      <c r="B1743" t="s">
        <v>95</v>
      </c>
      <c r="C1743" t="s">
        <v>2206</v>
      </c>
      <c r="D1743">
        <v>1</v>
      </c>
      <c r="E1743" s="273">
        <v>5</v>
      </c>
      <c r="F1743" s="273" t="s">
        <v>7</v>
      </c>
      <c r="G1743" s="273" t="s">
        <v>11</v>
      </c>
      <c r="H1743" s="273" t="s">
        <v>11</v>
      </c>
    </row>
    <row r="1744" spans="1:8" x14ac:dyDescent="0.25">
      <c r="A1744" t="s">
        <v>41</v>
      </c>
      <c r="B1744" t="s">
        <v>95</v>
      </c>
      <c r="C1744" t="s">
        <v>1255</v>
      </c>
      <c r="D1744">
        <v>3</v>
      </c>
      <c r="E1744" s="273">
        <v>5</v>
      </c>
      <c r="F1744" s="273" t="s">
        <v>7</v>
      </c>
      <c r="G1744" s="273" t="s">
        <v>11</v>
      </c>
      <c r="H1744" s="273" t="s">
        <v>11</v>
      </c>
    </row>
    <row r="1745" spans="1:8" x14ac:dyDescent="0.25">
      <c r="A1745" t="s">
        <v>41</v>
      </c>
      <c r="B1745" t="s">
        <v>95</v>
      </c>
      <c r="C1745" t="s">
        <v>1257</v>
      </c>
      <c r="D1745">
        <v>3</v>
      </c>
      <c r="E1745" s="273">
        <v>5</v>
      </c>
      <c r="F1745" s="273" t="s">
        <v>7</v>
      </c>
      <c r="G1745" s="273" t="s">
        <v>11</v>
      </c>
      <c r="H1745" s="273" t="s">
        <v>11</v>
      </c>
    </row>
    <row r="1746" spans="1:8" x14ac:dyDescent="0.25">
      <c r="A1746" t="s">
        <v>41</v>
      </c>
      <c r="B1746" t="s">
        <v>95</v>
      </c>
      <c r="C1746" t="s">
        <v>2207</v>
      </c>
      <c r="D1746">
        <v>3</v>
      </c>
      <c r="E1746" s="273">
        <v>5</v>
      </c>
      <c r="F1746" s="273" t="s">
        <v>7</v>
      </c>
      <c r="G1746" s="273" t="s">
        <v>11</v>
      </c>
      <c r="H1746" s="273" t="s">
        <v>11</v>
      </c>
    </row>
    <row r="1747" spans="1:8" x14ac:dyDescent="0.25">
      <c r="A1747" t="s">
        <v>41</v>
      </c>
      <c r="B1747" t="s">
        <v>95</v>
      </c>
      <c r="C1747" t="s">
        <v>1158</v>
      </c>
      <c r="D1747">
        <v>1</v>
      </c>
      <c r="E1747" s="273">
        <v>5</v>
      </c>
      <c r="F1747" s="273" t="s">
        <v>7</v>
      </c>
      <c r="G1747" s="273" t="s">
        <v>11</v>
      </c>
      <c r="H1747" s="273" t="s">
        <v>11</v>
      </c>
    </row>
    <row r="1748" spans="1:8" x14ac:dyDescent="0.25">
      <c r="A1748" t="s">
        <v>41</v>
      </c>
      <c r="B1748" t="s">
        <v>95</v>
      </c>
      <c r="C1748" t="s">
        <v>1773</v>
      </c>
      <c r="D1748">
        <v>3</v>
      </c>
      <c r="E1748" s="273">
        <v>5</v>
      </c>
      <c r="F1748" s="273" t="s">
        <v>7</v>
      </c>
      <c r="G1748" s="273" t="s">
        <v>11</v>
      </c>
      <c r="H1748" s="273" t="s">
        <v>11</v>
      </c>
    </row>
    <row r="1749" spans="1:8" x14ac:dyDescent="0.25">
      <c r="A1749" t="s">
        <v>41</v>
      </c>
      <c r="B1749" t="s">
        <v>95</v>
      </c>
      <c r="C1749" t="s">
        <v>2208</v>
      </c>
      <c r="D1749">
        <v>2</v>
      </c>
      <c r="E1749" s="273">
        <v>5</v>
      </c>
      <c r="F1749" s="273" t="s">
        <v>7</v>
      </c>
      <c r="G1749" s="273" t="s">
        <v>11</v>
      </c>
      <c r="H1749" s="273" t="s">
        <v>11</v>
      </c>
    </row>
    <row r="1750" spans="1:8" x14ac:dyDescent="0.25">
      <c r="A1750" t="s">
        <v>41</v>
      </c>
      <c r="B1750" t="s">
        <v>95</v>
      </c>
      <c r="C1750" t="s">
        <v>2209</v>
      </c>
      <c r="D1750">
        <v>2</v>
      </c>
      <c r="E1750" s="273">
        <v>5</v>
      </c>
      <c r="F1750" s="273" t="s">
        <v>7</v>
      </c>
      <c r="G1750" s="273" t="s">
        <v>11</v>
      </c>
      <c r="H1750" s="273" t="s">
        <v>11</v>
      </c>
    </row>
    <row r="1751" spans="1:8" x14ac:dyDescent="0.25">
      <c r="A1751" t="s">
        <v>41</v>
      </c>
      <c r="B1751" t="s">
        <v>95</v>
      </c>
      <c r="C1751" t="s">
        <v>2210</v>
      </c>
      <c r="D1751">
        <v>1</v>
      </c>
      <c r="E1751" s="273">
        <v>5</v>
      </c>
      <c r="F1751" s="273" t="s">
        <v>7</v>
      </c>
      <c r="G1751" s="273" t="s">
        <v>11</v>
      </c>
      <c r="H1751" s="273" t="s">
        <v>11</v>
      </c>
    </row>
    <row r="1752" spans="1:8" x14ac:dyDescent="0.25">
      <c r="A1752" t="s">
        <v>41</v>
      </c>
      <c r="B1752" t="s">
        <v>95</v>
      </c>
      <c r="C1752" t="s">
        <v>1777</v>
      </c>
      <c r="D1752">
        <v>1</v>
      </c>
      <c r="E1752" s="273">
        <v>5</v>
      </c>
      <c r="F1752" s="273" t="s">
        <v>7</v>
      </c>
      <c r="G1752" s="273" t="s">
        <v>11</v>
      </c>
      <c r="H1752" s="273" t="s">
        <v>11</v>
      </c>
    </row>
    <row r="1753" spans="1:8" x14ac:dyDescent="0.25">
      <c r="A1753" t="s">
        <v>41</v>
      </c>
      <c r="B1753" t="s">
        <v>95</v>
      </c>
      <c r="C1753" t="s">
        <v>2211</v>
      </c>
      <c r="D1753">
        <v>1</v>
      </c>
      <c r="E1753" s="273">
        <v>5</v>
      </c>
      <c r="F1753" s="273" t="s">
        <v>7</v>
      </c>
      <c r="G1753" s="273" t="s">
        <v>11</v>
      </c>
      <c r="H1753" s="273" t="s">
        <v>11</v>
      </c>
    </row>
    <row r="1754" spans="1:8" x14ac:dyDescent="0.25">
      <c r="A1754" t="s">
        <v>41</v>
      </c>
      <c r="B1754" t="s">
        <v>95</v>
      </c>
      <c r="C1754" t="s">
        <v>2212</v>
      </c>
      <c r="D1754">
        <v>1</v>
      </c>
      <c r="E1754" s="273">
        <v>5</v>
      </c>
      <c r="F1754" s="273" t="s">
        <v>7</v>
      </c>
      <c r="G1754" s="273" t="s">
        <v>11</v>
      </c>
      <c r="H1754" s="273" t="s">
        <v>11</v>
      </c>
    </row>
    <row r="1755" spans="1:8" x14ac:dyDescent="0.25">
      <c r="A1755" t="s">
        <v>41</v>
      </c>
      <c r="B1755" t="s">
        <v>95</v>
      </c>
      <c r="C1755" t="s">
        <v>1784</v>
      </c>
      <c r="D1755">
        <v>1</v>
      </c>
      <c r="E1755" s="273">
        <v>5</v>
      </c>
      <c r="F1755" s="273" t="s">
        <v>7</v>
      </c>
      <c r="G1755" s="273" t="s">
        <v>11</v>
      </c>
      <c r="H1755" s="273" t="s">
        <v>11</v>
      </c>
    </row>
    <row r="1756" spans="1:8" x14ac:dyDescent="0.25">
      <c r="A1756" t="s">
        <v>41</v>
      </c>
      <c r="B1756" t="s">
        <v>95</v>
      </c>
      <c r="C1756" t="s">
        <v>2213</v>
      </c>
      <c r="D1756">
        <v>2</v>
      </c>
      <c r="E1756" s="273">
        <v>5</v>
      </c>
      <c r="F1756" s="273" t="s">
        <v>7</v>
      </c>
      <c r="G1756" s="273" t="s">
        <v>11</v>
      </c>
      <c r="H1756" s="273" t="s">
        <v>11</v>
      </c>
    </row>
    <row r="1757" spans="1:8" x14ac:dyDescent="0.25">
      <c r="A1757" t="s">
        <v>41</v>
      </c>
      <c r="B1757" t="s">
        <v>95</v>
      </c>
      <c r="C1757" t="s">
        <v>2132</v>
      </c>
      <c r="D1757">
        <v>1</v>
      </c>
      <c r="E1757" s="273">
        <v>5</v>
      </c>
      <c r="F1757" s="273" t="s">
        <v>7</v>
      </c>
      <c r="G1757" s="273" t="s">
        <v>11</v>
      </c>
      <c r="H1757" s="273" t="s">
        <v>11</v>
      </c>
    </row>
    <row r="1758" spans="1:8" x14ac:dyDescent="0.25">
      <c r="A1758" t="s">
        <v>41</v>
      </c>
      <c r="B1758" t="s">
        <v>95</v>
      </c>
      <c r="C1758" t="s">
        <v>1531</v>
      </c>
      <c r="D1758">
        <v>1</v>
      </c>
      <c r="E1758" s="273">
        <v>5</v>
      </c>
      <c r="F1758" s="273" t="s">
        <v>7</v>
      </c>
      <c r="G1758" s="273" t="s">
        <v>11</v>
      </c>
      <c r="H1758" s="273" t="s">
        <v>11</v>
      </c>
    </row>
    <row r="1759" spans="1:8" x14ac:dyDescent="0.25">
      <c r="A1759" t="s">
        <v>41</v>
      </c>
      <c r="B1759" t="s">
        <v>95</v>
      </c>
      <c r="C1759" t="s">
        <v>2133</v>
      </c>
      <c r="D1759">
        <v>1</v>
      </c>
      <c r="E1759" s="273">
        <v>5</v>
      </c>
      <c r="F1759" s="273" t="s">
        <v>7</v>
      </c>
      <c r="G1759" s="273" t="s">
        <v>11</v>
      </c>
      <c r="H1759" s="273" t="s">
        <v>11</v>
      </c>
    </row>
    <row r="1760" spans="1:8" x14ac:dyDescent="0.25">
      <c r="A1760" t="s">
        <v>41</v>
      </c>
      <c r="B1760" t="s">
        <v>95</v>
      </c>
      <c r="C1760" t="s">
        <v>1266</v>
      </c>
      <c r="D1760">
        <v>1</v>
      </c>
      <c r="E1760" s="273">
        <v>5</v>
      </c>
      <c r="F1760" s="273" t="s">
        <v>7</v>
      </c>
      <c r="G1760" s="273" t="s">
        <v>11</v>
      </c>
      <c r="H1760" s="273" t="s">
        <v>11</v>
      </c>
    </row>
    <row r="1761" spans="1:8" x14ac:dyDescent="0.25">
      <c r="A1761" t="s">
        <v>41</v>
      </c>
      <c r="B1761" t="s">
        <v>95</v>
      </c>
      <c r="C1761" t="s">
        <v>2214</v>
      </c>
      <c r="D1761">
        <v>1</v>
      </c>
      <c r="E1761" s="273">
        <v>5</v>
      </c>
      <c r="F1761" s="273" t="s">
        <v>7</v>
      </c>
      <c r="G1761" s="273" t="s">
        <v>11</v>
      </c>
      <c r="H1761" s="273" t="s">
        <v>11</v>
      </c>
    </row>
    <row r="1762" spans="1:8" x14ac:dyDescent="0.25">
      <c r="A1762" t="s">
        <v>41</v>
      </c>
      <c r="B1762" t="s">
        <v>95</v>
      </c>
      <c r="C1762" t="s">
        <v>2215</v>
      </c>
      <c r="D1762">
        <v>1</v>
      </c>
      <c r="E1762" s="273">
        <v>5</v>
      </c>
      <c r="F1762" s="273" t="s">
        <v>7</v>
      </c>
      <c r="G1762" s="273" t="s">
        <v>11</v>
      </c>
      <c r="H1762" s="273" t="s">
        <v>11</v>
      </c>
    </row>
    <row r="1763" spans="1:8" x14ac:dyDescent="0.25">
      <c r="A1763" t="s">
        <v>41</v>
      </c>
      <c r="B1763" t="s">
        <v>95</v>
      </c>
      <c r="C1763" t="s">
        <v>2055</v>
      </c>
      <c r="D1763">
        <v>3</v>
      </c>
      <c r="E1763" s="273">
        <v>5</v>
      </c>
      <c r="F1763" s="273" t="s">
        <v>7</v>
      </c>
      <c r="G1763" s="273" t="s">
        <v>11</v>
      </c>
      <c r="H1763" s="273" t="s">
        <v>11</v>
      </c>
    </row>
    <row r="1764" spans="1:8" x14ac:dyDescent="0.25">
      <c r="A1764" t="s">
        <v>41</v>
      </c>
      <c r="B1764" t="s">
        <v>95</v>
      </c>
      <c r="C1764" t="s">
        <v>1271</v>
      </c>
      <c r="D1764">
        <v>1</v>
      </c>
      <c r="E1764" s="273">
        <v>5</v>
      </c>
      <c r="F1764" s="273" t="s">
        <v>7</v>
      </c>
      <c r="G1764" s="273" t="s">
        <v>11</v>
      </c>
      <c r="H1764" s="273" t="s">
        <v>11</v>
      </c>
    </row>
    <row r="1765" spans="1:8" x14ac:dyDescent="0.25">
      <c r="A1765" t="s">
        <v>41</v>
      </c>
      <c r="B1765" t="s">
        <v>95</v>
      </c>
      <c r="C1765" t="s">
        <v>2216</v>
      </c>
      <c r="D1765">
        <v>1</v>
      </c>
      <c r="E1765" s="273">
        <v>5</v>
      </c>
      <c r="F1765" s="273" t="s">
        <v>7</v>
      </c>
      <c r="G1765" s="273" t="s">
        <v>11</v>
      </c>
      <c r="H1765" s="273" t="s">
        <v>11</v>
      </c>
    </row>
    <row r="1766" spans="1:8" x14ac:dyDescent="0.25">
      <c r="A1766" t="s">
        <v>41</v>
      </c>
      <c r="B1766" t="s">
        <v>95</v>
      </c>
      <c r="C1766" t="s">
        <v>2217</v>
      </c>
      <c r="D1766">
        <v>1</v>
      </c>
      <c r="E1766" s="273">
        <v>5</v>
      </c>
      <c r="F1766" s="273" t="s">
        <v>7</v>
      </c>
      <c r="G1766" s="273" t="s">
        <v>11</v>
      </c>
      <c r="H1766" s="273" t="s">
        <v>11</v>
      </c>
    </row>
    <row r="1767" spans="1:8" x14ac:dyDescent="0.25">
      <c r="A1767" t="s">
        <v>41</v>
      </c>
      <c r="B1767" t="s">
        <v>95</v>
      </c>
      <c r="C1767" t="s">
        <v>2218</v>
      </c>
      <c r="D1767">
        <v>2</v>
      </c>
      <c r="E1767" s="273">
        <v>5</v>
      </c>
      <c r="F1767" s="273" t="s">
        <v>7</v>
      </c>
      <c r="G1767" s="273" t="s">
        <v>11</v>
      </c>
      <c r="H1767" s="273" t="s">
        <v>11</v>
      </c>
    </row>
    <row r="1768" spans="1:8" x14ac:dyDescent="0.25">
      <c r="A1768" t="s">
        <v>41</v>
      </c>
      <c r="B1768" t="s">
        <v>95</v>
      </c>
      <c r="C1768" t="s">
        <v>1793</v>
      </c>
      <c r="D1768">
        <v>1</v>
      </c>
      <c r="E1768" s="273">
        <v>5</v>
      </c>
      <c r="F1768" s="273" t="s">
        <v>7</v>
      </c>
      <c r="G1768" s="273" t="s">
        <v>11</v>
      </c>
      <c r="H1768" s="273" t="s">
        <v>11</v>
      </c>
    </row>
    <row r="1769" spans="1:8" x14ac:dyDescent="0.25">
      <c r="A1769" t="s">
        <v>41</v>
      </c>
      <c r="B1769" t="s">
        <v>95</v>
      </c>
      <c r="C1769" t="s">
        <v>1795</v>
      </c>
      <c r="D1769">
        <v>2</v>
      </c>
      <c r="E1769" s="273">
        <v>5</v>
      </c>
      <c r="F1769" s="273" t="s">
        <v>7</v>
      </c>
      <c r="G1769" s="273" t="s">
        <v>11</v>
      </c>
      <c r="H1769" s="273" t="s">
        <v>11</v>
      </c>
    </row>
    <row r="1770" spans="1:8" x14ac:dyDescent="0.25">
      <c r="A1770" t="s">
        <v>41</v>
      </c>
      <c r="B1770" t="s">
        <v>95</v>
      </c>
      <c r="C1770" t="s">
        <v>1796</v>
      </c>
      <c r="D1770">
        <v>2</v>
      </c>
      <c r="E1770" s="273">
        <v>5</v>
      </c>
      <c r="F1770" s="273" t="s">
        <v>7</v>
      </c>
      <c r="G1770" s="273" t="s">
        <v>11</v>
      </c>
      <c r="H1770" s="273" t="s">
        <v>11</v>
      </c>
    </row>
    <row r="1771" spans="1:8" x14ac:dyDescent="0.25">
      <c r="A1771" t="s">
        <v>41</v>
      </c>
      <c r="B1771" t="s">
        <v>95</v>
      </c>
      <c r="C1771" t="s">
        <v>1735</v>
      </c>
      <c r="D1771">
        <v>2</v>
      </c>
      <c r="E1771" s="273">
        <v>5</v>
      </c>
      <c r="F1771" s="273" t="s">
        <v>7</v>
      </c>
      <c r="G1771" s="273" t="s">
        <v>11</v>
      </c>
      <c r="H1771" s="273" t="s">
        <v>11</v>
      </c>
    </row>
    <row r="1772" spans="1:8" x14ac:dyDescent="0.25">
      <c r="A1772" t="s">
        <v>41</v>
      </c>
      <c r="B1772" t="s">
        <v>95</v>
      </c>
      <c r="C1772" t="s">
        <v>1799</v>
      </c>
      <c r="D1772">
        <v>1</v>
      </c>
      <c r="E1772" s="273">
        <v>5</v>
      </c>
      <c r="F1772" s="273" t="s">
        <v>7</v>
      </c>
      <c r="G1772" s="273" t="s">
        <v>11</v>
      </c>
      <c r="H1772" s="273" t="s">
        <v>11</v>
      </c>
    </row>
    <row r="1773" spans="1:8" x14ac:dyDescent="0.25">
      <c r="A1773" t="s">
        <v>41</v>
      </c>
      <c r="B1773" t="s">
        <v>95</v>
      </c>
      <c r="C1773" t="s">
        <v>2219</v>
      </c>
      <c r="D1773">
        <v>1</v>
      </c>
      <c r="E1773" s="273">
        <v>5</v>
      </c>
      <c r="F1773" s="273" t="s">
        <v>7</v>
      </c>
      <c r="G1773" s="273" t="s">
        <v>11</v>
      </c>
      <c r="H1773" s="273" t="s">
        <v>11</v>
      </c>
    </row>
    <row r="1774" spans="1:8" x14ac:dyDescent="0.25">
      <c r="A1774" t="s">
        <v>41</v>
      </c>
      <c r="B1774" t="s">
        <v>95</v>
      </c>
      <c r="C1774" t="s">
        <v>1546</v>
      </c>
      <c r="D1774">
        <v>3</v>
      </c>
      <c r="E1774" s="273">
        <v>5</v>
      </c>
      <c r="F1774" s="273" t="s">
        <v>7</v>
      </c>
      <c r="G1774" s="273" t="s">
        <v>11</v>
      </c>
      <c r="H1774" s="273" t="s">
        <v>11</v>
      </c>
    </row>
    <row r="1775" spans="1:8" x14ac:dyDescent="0.25">
      <c r="A1775" t="s">
        <v>41</v>
      </c>
      <c r="B1775" t="s">
        <v>95</v>
      </c>
      <c r="C1775" t="s">
        <v>2220</v>
      </c>
      <c r="D1775">
        <v>1</v>
      </c>
      <c r="E1775" s="273">
        <v>5</v>
      </c>
      <c r="F1775" s="273" t="s">
        <v>7</v>
      </c>
      <c r="G1775" s="273" t="s">
        <v>11</v>
      </c>
      <c r="H1775" s="273" t="s">
        <v>11</v>
      </c>
    </row>
    <row r="1776" spans="1:8" x14ac:dyDescent="0.25">
      <c r="A1776" t="s">
        <v>41</v>
      </c>
      <c r="B1776" t="s">
        <v>95</v>
      </c>
      <c r="C1776" t="s">
        <v>1601</v>
      </c>
      <c r="D1776">
        <v>2</v>
      </c>
      <c r="E1776" s="273">
        <v>5</v>
      </c>
      <c r="F1776" s="273" t="s">
        <v>7</v>
      </c>
      <c r="G1776" s="273" t="s">
        <v>11</v>
      </c>
      <c r="H1776" s="273" t="s">
        <v>11</v>
      </c>
    </row>
    <row r="1777" spans="1:8" x14ac:dyDescent="0.25">
      <c r="A1777" t="s">
        <v>41</v>
      </c>
      <c r="B1777" t="s">
        <v>95</v>
      </c>
      <c r="C1777" t="s">
        <v>1178</v>
      </c>
      <c r="D1777">
        <v>1</v>
      </c>
      <c r="E1777" s="273">
        <v>5</v>
      </c>
      <c r="F1777" s="273" t="s">
        <v>7</v>
      </c>
      <c r="G1777" s="273" t="s">
        <v>11</v>
      </c>
      <c r="H1777" s="273" t="s">
        <v>11</v>
      </c>
    </row>
    <row r="1778" spans="1:8" x14ac:dyDescent="0.25">
      <c r="A1778" t="s">
        <v>41</v>
      </c>
      <c r="B1778" t="s">
        <v>95</v>
      </c>
      <c r="C1778" t="s">
        <v>1557</v>
      </c>
      <c r="D1778">
        <v>1</v>
      </c>
      <c r="E1778" s="273">
        <v>5</v>
      </c>
      <c r="F1778" s="273" t="s">
        <v>7</v>
      </c>
      <c r="G1778" s="273" t="s">
        <v>11</v>
      </c>
      <c r="H1778" s="273" t="s">
        <v>11</v>
      </c>
    </row>
    <row r="1779" spans="1:8" x14ac:dyDescent="0.25">
      <c r="A1779" t="s">
        <v>41</v>
      </c>
      <c r="B1779" t="s">
        <v>95</v>
      </c>
      <c r="C1779" t="s">
        <v>1558</v>
      </c>
      <c r="D1779">
        <v>1</v>
      </c>
      <c r="E1779" s="273">
        <v>5</v>
      </c>
      <c r="F1779" s="273" t="s">
        <v>7</v>
      </c>
      <c r="G1779" s="273" t="s">
        <v>11</v>
      </c>
      <c r="H1779" s="273" t="s">
        <v>11</v>
      </c>
    </row>
    <row r="1780" spans="1:8" x14ac:dyDescent="0.25">
      <c r="A1780" t="s">
        <v>41</v>
      </c>
      <c r="B1780" t="s">
        <v>95</v>
      </c>
      <c r="C1780" t="s">
        <v>1559</v>
      </c>
      <c r="D1780">
        <v>3</v>
      </c>
      <c r="E1780" s="273">
        <v>5</v>
      </c>
      <c r="F1780" s="273" t="s">
        <v>7</v>
      </c>
      <c r="G1780" s="273" t="s">
        <v>11</v>
      </c>
      <c r="H1780" s="273" t="s">
        <v>11</v>
      </c>
    </row>
    <row r="1781" spans="1:8" x14ac:dyDescent="0.25">
      <c r="A1781" t="s">
        <v>41</v>
      </c>
      <c r="B1781" t="s">
        <v>95</v>
      </c>
      <c r="C1781" t="s">
        <v>1919</v>
      </c>
      <c r="D1781">
        <v>1</v>
      </c>
      <c r="E1781" s="273">
        <v>5</v>
      </c>
      <c r="F1781" s="273" t="s">
        <v>7</v>
      </c>
      <c r="G1781" s="273" t="s">
        <v>11</v>
      </c>
      <c r="H1781" s="273" t="s">
        <v>11</v>
      </c>
    </row>
    <row r="1782" spans="1:8" x14ac:dyDescent="0.25">
      <c r="A1782" t="s">
        <v>45</v>
      </c>
      <c r="B1782" t="s">
        <v>96</v>
      </c>
      <c r="C1782" t="s">
        <v>2221</v>
      </c>
      <c r="D1782">
        <v>1</v>
      </c>
      <c r="E1782" s="273">
        <v>5</v>
      </c>
      <c r="F1782" s="273" t="s">
        <v>75</v>
      </c>
      <c r="G1782" s="273" t="s">
        <v>11</v>
      </c>
      <c r="H1782" s="273" t="s">
        <v>11</v>
      </c>
    </row>
    <row r="1783" spans="1:8" x14ac:dyDescent="0.25">
      <c r="A1783" t="s">
        <v>45</v>
      </c>
      <c r="B1783" t="s">
        <v>96</v>
      </c>
      <c r="C1783" t="s">
        <v>2222</v>
      </c>
      <c r="D1783">
        <v>2</v>
      </c>
      <c r="E1783" s="273">
        <v>5</v>
      </c>
      <c r="F1783" s="273" t="s">
        <v>75</v>
      </c>
      <c r="G1783" s="273" t="s">
        <v>11</v>
      </c>
      <c r="H1783" s="273" t="s">
        <v>11</v>
      </c>
    </row>
    <row r="1784" spans="1:8" x14ac:dyDescent="0.25">
      <c r="A1784" t="s">
        <v>45</v>
      </c>
      <c r="B1784" t="s">
        <v>96</v>
      </c>
      <c r="C1784" t="s">
        <v>1234</v>
      </c>
      <c r="D1784">
        <v>3</v>
      </c>
      <c r="E1784" s="273">
        <v>3</v>
      </c>
      <c r="F1784" s="273" t="s">
        <v>75</v>
      </c>
      <c r="G1784" s="273" t="s">
        <v>11</v>
      </c>
      <c r="H1784" s="273" t="s">
        <v>11</v>
      </c>
    </row>
    <row r="1785" spans="1:8" x14ac:dyDescent="0.25">
      <c r="A1785" t="s">
        <v>45</v>
      </c>
      <c r="B1785" t="s">
        <v>96</v>
      </c>
      <c r="C1785" t="s">
        <v>1357</v>
      </c>
      <c r="D1785">
        <v>1</v>
      </c>
      <c r="E1785" s="273">
        <v>5</v>
      </c>
      <c r="F1785" s="273" t="s">
        <v>75</v>
      </c>
      <c r="G1785" s="273" t="s">
        <v>11</v>
      </c>
      <c r="H1785" s="273" t="s">
        <v>11</v>
      </c>
    </row>
    <row r="1786" spans="1:8" x14ac:dyDescent="0.25">
      <c r="A1786" t="s">
        <v>45</v>
      </c>
      <c r="B1786" t="s">
        <v>96</v>
      </c>
      <c r="C1786" t="s">
        <v>2223</v>
      </c>
      <c r="D1786">
        <v>2</v>
      </c>
      <c r="E1786" s="273">
        <v>5</v>
      </c>
      <c r="F1786" s="273" t="s">
        <v>75</v>
      </c>
      <c r="G1786" s="273" t="s">
        <v>11</v>
      </c>
      <c r="H1786" s="273" t="s">
        <v>11</v>
      </c>
    </row>
    <row r="1787" spans="1:8" x14ac:dyDescent="0.25">
      <c r="A1787" t="s">
        <v>45</v>
      </c>
      <c r="B1787" t="s">
        <v>96</v>
      </c>
      <c r="C1787" t="s">
        <v>2224</v>
      </c>
      <c r="D1787">
        <v>2</v>
      </c>
      <c r="E1787" s="273">
        <v>5</v>
      </c>
      <c r="F1787" s="273" t="s">
        <v>75</v>
      </c>
      <c r="G1787" s="273" t="s">
        <v>11</v>
      </c>
      <c r="H1787" s="273" t="s">
        <v>11</v>
      </c>
    </row>
    <row r="1788" spans="1:8" x14ac:dyDescent="0.25">
      <c r="A1788" t="s">
        <v>45</v>
      </c>
      <c r="B1788" t="s">
        <v>96</v>
      </c>
      <c r="C1788" t="s">
        <v>2225</v>
      </c>
      <c r="D1788">
        <v>1</v>
      </c>
      <c r="E1788" s="273">
        <v>5</v>
      </c>
      <c r="F1788" s="273" t="s">
        <v>75</v>
      </c>
      <c r="G1788" s="273" t="s">
        <v>11</v>
      </c>
      <c r="H1788" s="273" t="s">
        <v>11</v>
      </c>
    </row>
    <row r="1789" spans="1:8" x14ac:dyDescent="0.25">
      <c r="A1789" t="s">
        <v>45</v>
      </c>
      <c r="B1789" t="s">
        <v>96</v>
      </c>
      <c r="C1789" t="s">
        <v>1294</v>
      </c>
      <c r="D1789">
        <v>2</v>
      </c>
      <c r="E1789" s="273">
        <v>5</v>
      </c>
      <c r="F1789" s="273" t="s">
        <v>75</v>
      </c>
      <c r="G1789" s="273" t="s">
        <v>11</v>
      </c>
      <c r="H1789" s="273" t="s">
        <v>11</v>
      </c>
    </row>
    <row r="1790" spans="1:8" x14ac:dyDescent="0.25">
      <c r="A1790" t="s">
        <v>45</v>
      </c>
      <c r="B1790" t="s">
        <v>96</v>
      </c>
      <c r="C1790" t="s">
        <v>2226</v>
      </c>
      <c r="D1790">
        <v>1</v>
      </c>
      <c r="E1790" s="273">
        <v>5</v>
      </c>
      <c r="F1790" s="273" t="s">
        <v>75</v>
      </c>
      <c r="G1790" s="273" t="s">
        <v>11</v>
      </c>
      <c r="H1790" s="273" t="s">
        <v>11</v>
      </c>
    </row>
    <row r="1791" spans="1:8" x14ac:dyDescent="0.25">
      <c r="A1791" t="s">
        <v>45</v>
      </c>
      <c r="B1791" t="s">
        <v>96</v>
      </c>
      <c r="C1791" t="s">
        <v>1255</v>
      </c>
      <c r="D1791">
        <v>1</v>
      </c>
      <c r="E1791" s="273">
        <v>5</v>
      </c>
      <c r="F1791" s="273" t="s">
        <v>75</v>
      </c>
      <c r="G1791" s="273" t="s">
        <v>11</v>
      </c>
      <c r="H1791" s="273" t="s">
        <v>11</v>
      </c>
    </row>
    <row r="1792" spans="1:8" x14ac:dyDescent="0.25">
      <c r="A1792" t="s">
        <v>45</v>
      </c>
      <c r="B1792" t="s">
        <v>96</v>
      </c>
      <c r="C1792" t="s">
        <v>1721</v>
      </c>
      <c r="D1792">
        <v>1</v>
      </c>
      <c r="E1792" s="273">
        <v>5</v>
      </c>
      <c r="F1792" s="273" t="s">
        <v>75</v>
      </c>
      <c r="G1792" s="273" t="s">
        <v>11</v>
      </c>
      <c r="H1792" s="273" t="s">
        <v>11</v>
      </c>
    </row>
    <row r="1793" spans="1:8" x14ac:dyDescent="0.25">
      <c r="A1793" t="s">
        <v>45</v>
      </c>
      <c r="B1793" t="s">
        <v>96</v>
      </c>
      <c r="C1793" t="s">
        <v>1374</v>
      </c>
      <c r="D1793">
        <v>1</v>
      </c>
      <c r="E1793" s="273">
        <v>5</v>
      </c>
      <c r="F1793" s="273" t="s">
        <v>75</v>
      </c>
      <c r="G1793" s="273" t="s">
        <v>11</v>
      </c>
      <c r="H1793" s="273" t="s">
        <v>11</v>
      </c>
    </row>
    <row r="1794" spans="1:8" x14ac:dyDescent="0.25">
      <c r="A1794" t="s">
        <v>45</v>
      </c>
      <c r="B1794" t="s">
        <v>96</v>
      </c>
      <c r="C1794" t="s">
        <v>2227</v>
      </c>
      <c r="D1794">
        <v>2</v>
      </c>
      <c r="E1794" s="273">
        <v>5</v>
      </c>
      <c r="F1794" s="273" t="s">
        <v>75</v>
      </c>
      <c r="G1794" s="273" t="s">
        <v>11</v>
      </c>
      <c r="H1794" s="273" t="s">
        <v>11</v>
      </c>
    </row>
    <row r="1795" spans="1:8" x14ac:dyDescent="0.25">
      <c r="A1795" t="s">
        <v>45</v>
      </c>
      <c r="B1795" t="s">
        <v>96</v>
      </c>
      <c r="C1795" t="s">
        <v>2228</v>
      </c>
      <c r="D1795">
        <v>1</v>
      </c>
      <c r="E1795" s="273">
        <v>5</v>
      </c>
      <c r="F1795" s="273" t="s">
        <v>75</v>
      </c>
      <c r="G1795" s="273" t="s">
        <v>11</v>
      </c>
      <c r="H1795" s="273" t="s">
        <v>11</v>
      </c>
    </row>
    <row r="1796" spans="1:8" x14ac:dyDescent="0.25">
      <c r="A1796" t="s">
        <v>45</v>
      </c>
      <c r="B1796" t="s">
        <v>96</v>
      </c>
      <c r="C1796" t="s">
        <v>2229</v>
      </c>
      <c r="D1796">
        <v>2</v>
      </c>
      <c r="E1796" s="273">
        <v>5</v>
      </c>
      <c r="F1796" s="273" t="s">
        <v>75</v>
      </c>
      <c r="G1796" s="273" t="s">
        <v>11</v>
      </c>
      <c r="H1796" s="273" t="s">
        <v>11</v>
      </c>
    </row>
    <row r="1797" spans="1:8" x14ac:dyDescent="0.25">
      <c r="A1797" t="s">
        <v>45</v>
      </c>
      <c r="B1797" t="s">
        <v>96</v>
      </c>
      <c r="C1797" t="s">
        <v>2230</v>
      </c>
      <c r="D1797">
        <v>2</v>
      </c>
      <c r="E1797" s="273">
        <v>5</v>
      </c>
      <c r="F1797" s="273" t="s">
        <v>75</v>
      </c>
      <c r="G1797" s="273" t="s">
        <v>11</v>
      </c>
      <c r="H1797" s="273" t="s">
        <v>11</v>
      </c>
    </row>
    <row r="1798" spans="1:8" x14ac:dyDescent="0.25">
      <c r="A1798" t="s">
        <v>45</v>
      </c>
      <c r="B1798" t="s">
        <v>96</v>
      </c>
      <c r="C1798" t="s">
        <v>2231</v>
      </c>
      <c r="D1798">
        <v>1</v>
      </c>
      <c r="E1798" s="273">
        <v>5</v>
      </c>
      <c r="F1798" s="273" t="s">
        <v>75</v>
      </c>
      <c r="G1798" s="273" t="s">
        <v>11</v>
      </c>
      <c r="H1798" s="273" t="s">
        <v>11</v>
      </c>
    </row>
    <row r="1799" spans="1:8" x14ac:dyDescent="0.25">
      <c r="A1799" t="s">
        <v>42</v>
      </c>
      <c r="B1799" t="s">
        <v>79</v>
      </c>
      <c r="C1799" t="s">
        <v>2232</v>
      </c>
      <c r="D1799">
        <v>2</v>
      </c>
      <c r="E1799" s="273">
        <v>6</v>
      </c>
      <c r="F1799" s="273" t="s">
        <v>7</v>
      </c>
      <c r="G1799" s="273" t="s">
        <v>11</v>
      </c>
      <c r="H1799" s="273" t="s">
        <v>11</v>
      </c>
    </row>
    <row r="1800" spans="1:8" x14ac:dyDescent="0.25">
      <c r="A1800" t="s">
        <v>42</v>
      </c>
      <c r="B1800" t="s">
        <v>79</v>
      </c>
      <c r="C1800" t="s">
        <v>1232</v>
      </c>
      <c r="D1800">
        <v>1</v>
      </c>
      <c r="E1800" s="273">
        <v>6</v>
      </c>
      <c r="F1800" s="273" t="s">
        <v>7</v>
      </c>
      <c r="G1800" s="273" t="s">
        <v>11</v>
      </c>
      <c r="H1800" s="273" t="s">
        <v>11</v>
      </c>
    </row>
    <row r="1801" spans="1:8" x14ac:dyDescent="0.25">
      <c r="A1801" t="s">
        <v>42</v>
      </c>
      <c r="B1801" t="s">
        <v>79</v>
      </c>
      <c r="C1801" t="s">
        <v>2233</v>
      </c>
      <c r="D1801">
        <v>2</v>
      </c>
      <c r="E1801" s="273">
        <v>5</v>
      </c>
      <c r="F1801" s="273" t="s">
        <v>7</v>
      </c>
      <c r="G1801" s="273" t="s">
        <v>11</v>
      </c>
      <c r="H1801" s="273" t="s">
        <v>11</v>
      </c>
    </row>
    <row r="1802" spans="1:8" x14ac:dyDescent="0.25">
      <c r="A1802" t="s">
        <v>42</v>
      </c>
      <c r="B1802" t="s">
        <v>79</v>
      </c>
      <c r="C1802" t="s">
        <v>2234</v>
      </c>
      <c r="D1802">
        <v>2</v>
      </c>
      <c r="E1802" s="273">
        <v>6</v>
      </c>
      <c r="F1802" s="273" t="s">
        <v>7</v>
      </c>
      <c r="G1802" s="273" t="s">
        <v>11</v>
      </c>
      <c r="H1802" s="273" t="s">
        <v>11</v>
      </c>
    </row>
    <row r="1803" spans="1:8" x14ac:dyDescent="0.25">
      <c r="A1803" t="s">
        <v>42</v>
      </c>
      <c r="B1803" t="s">
        <v>79</v>
      </c>
      <c r="C1803" t="s">
        <v>2235</v>
      </c>
      <c r="D1803">
        <v>2</v>
      </c>
      <c r="E1803" s="273">
        <v>6</v>
      </c>
      <c r="F1803" s="273" t="s">
        <v>7</v>
      </c>
      <c r="G1803" s="273" t="s">
        <v>11</v>
      </c>
      <c r="H1803" s="273" t="s">
        <v>11</v>
      </c>
    </row>
    <row r="1804" spans="1:8" x14ac:dyDescent="0.25">
      <c r="A1804" t="s">
        <v>42</v>
      </c>
      <c r="B1804" t="s">
        <v>79</v>
      </c>
      <c r="C1804" t="s">
        <v>1428</v>
      </c>
      <c r="D1804">
        <v>2</v>
      </c>
      <c r="E1804" s="273">
        <v>5</v>
      </c>
      <c r="F1804" s="273" t="s">
        <v>7</v>
      </c>
      <c r="G1804" s="273" t="s">
        <v>11</v>
      </c>
      <c r="H1804" s="273" t="s">
        <v>11</v>
      </c>
    </row>
    <row r="1805" spans="1:8" x14ac:dyDescent="0.25">
      <c r="A1805" t="s">
        <v>42</v>
      </c>
      <c r="B1805" t="s">
        <v>79</v>
      </c>
      <c r="C1805" t="s">
        <v>2236</v>
      </c>
      <c r="D1805">
        <v>2</v>
      </c>
      <c r="E1805" s="273">
        <v>6</v>
      </c>
      <c r="F1805" s="273" t="s">
        <v>7</v>
      </c>
      <c r="G1805" s="273" t="s">
        <v>11</v>
      </c>
      <c r="H1805" s="273" t="s">
        <v>11</v>
      </c>
    </row>
    <row r="1806" spans="1:8" x14ac:dyDescent="0.25">
      <c r="A1806" t="s">
        <v>42</v>
      </c>
      <c r="B1806" t="s">
        <v>79</v>
      </c>
      <c r="C1806" t="s">
        <v>2237</v>
      </c>
      <c r="D1806">
        <v>2</v>
      </c>
      <c r="E1806" s="273">
        <v>5</v>
      </c>
      <c r="F1806" s="273" t="s">
        <v>7</v>
      </c>
      <c r="G1806" s="273" t="s">
        <v>11</v>
      </c>
      <c r="H1806" s="273" t="s">
        <v>11</v>
      </c>
    </row>
    <row r="1807" spans="1:8" x14ac:dyDescent="0.25">
      <c r="A1807" t="s">
        <v>42</v>
      </c>
      <c r="B1807" t="s">
        <v>79</v>
      </c>
      <c r="C1807" t="s">
        <v>2238</v>
      </c>
      <c r="D1807">
        <v>2</v>
      </c>
      <c r="E1807" s="273">
        <v>5</v>
      </c>
      <c r="F1807" s="273" t="s">
        <v>7</v>
      </c>
      <c r="G1807" s="273" t="s">
        <v>11</v>
      </c>
      <c r="H1807" s="273" t="s">
        <v>11</v>
      </c>
    </row>
    <row r="1808" spans="1:8" x14ac:dyDescent="0.25">
      <c r="A1808" t="s">
        <v>42</v>
      </c>
      <c r="B1808" t="s">
        <v>79</v>
      </c>
      <c r="C1808" t="s">
        <v>1687</v>
      </c>
      <c r="D1808">
        <v>2</v>
      </c>
      <c r="E1808" s="273">
        <v>6</v>
      </c>
      <c r="F1808" s="273" t="s">
        <v>7</v>
      </c>
      <c r="G1808" s="273" t="s">
        <v>11</v>
      </c>
      <c r="H1808" s="273" t="s">
        <v>11</v>
      </c>
    </row>
    <row r="1809" spans="1:8" x14ac:dyDescent="0.25">
      <c r="A1809" t="s">
        <v>43</v>
      </c>
      <c r="B1809" t="s">
        <v>97</v>
      </c>
      <c r="C1809" t="s">
        <v>2239</v>
      </c>
      <c r="D1809">
        <v>3</v>
      </c>
      <c r="E1809" s="273">
        <v>4</v>
      </c>
      <c r="F1809" s="273" t="s">
        <v>7</v>
      </c>
      <c r="G1809" s="273" t="s">
        <v>11</v>
      </c>
      <c r="H1809" s="273" t="s">
        <v>11</v>
      </c>
    </row>
    <row r="1810" spans="1:8" x14ac:dyDescent="0.25">
      <c r="A1810" t="s">
        <v>43</v>
      </c>
      <c r="B1810" t="s">
        <v>97</v>
      </c>
      <c r="C1810" t="s">
        <v>2240</v>
      </c>
      <c r="D1810">
        <v>2</v>
      </c>
      <c r="E1810" s="273">
        <v>5</v>
      </c>
      <c r="F1810" s="273" t="s">
        <v>7</v>
      </c>
      <c r="G1810" s="273" t="s">
        <v>11</v>
      </c>
      <c r="H1810" s="273" t="s">
        <v>11</v>
      </c>
    </row>
    <row r="1811" spans="1:8" x14ac:dyDescent="0.25">
      <c r="A1811" t="s">
        <v>43</v>
      </c>
      <c r="B1811" t="s">
        <v>97</v>
      </c>
      <c r="C1811" t="s">
        <v>2241</v>
      </c>
      <c r="D1811">
        <v>2</v>
      </c>
      <c r="E1811" s="273">
        <v>4</v>
      </c>
      <c r="F1811" s="273" t="s">
        <v>7</v>
      </c>
      <c r="G1811" s="273" t="s">
        <v>11</v>
      </c>
      <c r="H1811" s="273" t="s">
        <v>11</v>
      </c>
    </row>
    <row r="1812" spans="1:8" x14ac:dyDescent="0.25">
      <c r="A1812" t="s">
        <v>43</v>
      </c>
      <c r="B1812" t="s">
        <v>97</v>
      </c>
      <c r="C1812" t="s">
        <v>1470</v>
      </c>
      <c r="D1812">
        <v>2</v>
      </c>
      <c r="E1812" s="273">
        <v>4</v>
      </c>
      <c r="F1812" s="273" t="s">
        <v>7</v>
      </c>
      <c r="G1812" s="273" t="s">
        <v>11</v>
      </c>
      <c r="H1812" s="273" t="s">
        <v>11</v>
      </c>
    </row>
    <row r="1813" spans="1:8" x14ac:dyDescent="0.25">
      <c r="A1813" t="s">
        <v>43</v>
      </c>
      <c r="B1813" t="s">
        <v>97</v>
      </c>
      <c r="C1813" t="s">
        <v>2242</v>
      </c>
      <c r="D1813">
        <v>3</v>
      </c>
      <c r="E1813" s="273">
        <v>4</v>
      </c>
      <c r="F1813" s="273" t="s">
        <v>7</v>
      </c>
      <c r="G1813" s="273" t="s">
        <v>11</v>
      </c>
      <c r="H1813" s="273" t="s">
        <v>11</v>
      </c>
    </row>
    <row r="1814" spans="1:8" x14ac:dyDescent="0.25">
      <c r="A1814" t="s">
        <v>43</v>
      </c>
      <c r="B1814" t="s">
        <v>97</v>
      </c>
      <c r="C1814" t="s">
        <v>1611</v>
      </c>
      <c r="D1814">
        <v>2</v>
      </c>
      <c r="E1814" s="273">
        <v>4</v>
      </c>
      <c r="F1814" s="273" t="s">
        <v>7</v>
      </c>
      <c r="G1814" s="273" t="s">
        <v>11</v>
      </c>
      <c r="H1814" s="273" t="s">
        <v>11</v>
      </c>
    </row>
    <row r="1815" spans="1:8" x14ac:dyDescent="0.25">
      <c r="A1815" t="s">
        <v>43</v>
      </c>
      <c r="B1815" t="s">
        <v>97</v>
      </c>
      <c r="C1815" t="s">
        <v>1941</v>
      </c>
      <c r="D1815">
        <v>2</v>
      </c>
      <c r="E1815" s="273">
        <v>4</v>
      </c>
      <c r="F1815" s="273" t="s">
        <v>7</v>
      </c>
      <c r="G1815" s="273" t="s">
        <v>11</v>
      </c>
      <c r="H1815" s="273" t="s">
        <v>11</v>
      </c>
    </row>
    <row r="1816" spans="1:8" x14ac:dyDescent="0.25">
      <c r="A1816" t="s">
        <v>43</v>
      </c>
      <c r="B1816" t="s">
        <v>97</v>
      </c>
      <c r="C1816" t="s">
        <v>2243</v>
      </c>
      <c r="D1816">
        <v>2</v>
      </c>
      <c r="E1816" s="273">
        <v>4</v>
      </c>
      <c r="F1816" s="273" t="s">
        <v>7</v>
      </c>
      <c r="G1816" s="273" t="s">
        <v>11</v>
      </c>
      <c r="H1816" s="273" t="s">
        <v>11</v>
      </c>
    </row>
    <row r="1817" spans="1:8" x14ac:dyDescent="0.25">
      <c r="A1817" t="s">
        <v>43</v>
      </c>
      <c r="B1817" t="s">
        <v>97</v>
      </c>
      <c r="C1817" t="s">
        <v>2244</v>
      </c>
      <c r="D1817">
        <v>2</v>
      </c>
      <c r="E1817" s="273">
        <v>4</v>
      </c>
      <c r="F1817" s="273" t="s">
        <v>7</v>
      </c>
      <c r="G1817" s="273" t="s">
        <v>11</v>
      </c>
      <c r="H1817" s="273" t="s">
        <v>11</v>
      </c>
    </row>
    <row r="1818" spans="1:8" x14ac:dyDescent="0.25">
      <c r="A1818" t="s">
        <v>43</v>
      </c>
      <c r="B1818" t="s">
        <v>97</v>
      </c>
      <c r="C1818" t="s">
        <v>2245</v>
      </c>
      <c r="D1818">
        <v>1</v>
      </c>
      <c r="E1818" s="273">
        <v>5</v>
      </c>
      <c r="F1818" s="273" t="s">
        <v>7</v>
      </c>
      <c r="G1818" s="273" t="s">
        <v>11</v>
      </c>
      <c r="H1818" s="273" t="s">
        <v>11</v>
      </c>
    </row>
    <row r="1819" spans="1:8" x14ac:dyDescent="0.25">
      <c r="A1819" t="s">
        <v>43</v>
      </c>
      <c r="B1819" t="s">
        <v>97</v>
      </c>
      <c r="C1819" t="s">
        <v>1637</v>
      </c>
      <c r="D1819">
        <v>1</v>
      </c>
      <c r="E1819" s="273">
        <v>5</v>
      </c>
      <c r="F1819" s="273" t="s">
        <v>7</v>
      </c>
      <c r="G1819" s="273" t="s">
        <v>11</v>
      </c>
      <c r="H1819" s="273" t="s">
        <v>11</v>
      </c>
    </row>
    <row r="1820" spans="1:8" x14ac:dyDescent="0.25">
      <c r="A1820" t="s">
        <v>43</v>
      </c>
      <c r="B1820" t="s">
        <v>97</v>
      </c>
      <c r="C1820" t="s">
        <v>1397</v>
      </c>
      <c r="D1820">
        <v>2</v>
      </c>
      <c r="E1820" s="273">
        <v>4</v>
      </c>
      <c r="F1820" s="273" t="s">
        <v>7</v>
      </c>
      <c r="G1820" s="273" t="s">
        <v>11</v>
      </c>
      <c r="H1820" s="273" t="s">
        <v>11</v>
      </c>
    </row>
    <row r="1821" spans="1:8" x14ac:dyDescent="0.25">
      <c r="A1821" t="s">
        <v>43</v>
      </c>
      <c r="B1821" t="s">
        <v>97</v>
      </c>
      <c r="C1821" t="s">
        <v>2246</v>
      </c>
      <c r="D1821">
        <v>1</v>
      </c>
      <c r="E1821" s="273">
        <v>4</v>
      </c>
      <c r="F1821" s="273" t="s">
        <v>7</v>
      </c>
      <c r="G1821" s="273" t="s">
        <v>11</v>
      </c>
      <c r="H1821" s="273" t="s">
        <v>11</v>
      </c>
    </row>
    <row r="1822" spans="1:8" x14ac:dyDescent="0.25">
      <c r="A1822" t="s">
        <v>43</v>
      </c>
      <c r="B1822" t="s">
        <v>97</v>
      </c>
      <c r="C1822" t="s">
        <v>1775</v>
      </c>
      <c r="D1822">
        <v>1</v>
      </c>
      <c r="E1822" s="273">
        <v>5</v>
      </c>
      <c r="F1822" s="273" t="s">
        <v>7</v>
      </c>
      <c r="G1822" s="273" t="s">
        <v>11</v>
      </c>
      <c r="H1822" s="273" t="s">
        <v>11</v>
      </c>
    </row>
    <row r="1823" spans="1:8" x14ac:dyDescent="0.25">
      <c r="A1823" t="s">
        <v>43</v>
      </c>
      <c r="B1823" t="s">
        <v>97</v>
      </c>
      <c r="C1823" t="s">
        <v>2247</v>
      </c>
      <c r="D1823">
        <v>3</v>
      </c>
      <c r="E1823" s="273">
        <v>4</v>
      </c>
      <c r="F1823" s="273" t="s">
        <v>7</v>
      </c>
      <c r="G1823" s="273" t="s">
        <v>11</v>
      </c>
      <c r="H1823" s="273" t="s">
        <v>11</v>
      </c>
    </row>
    <row r="1824" spans="1:8" x14ac:dyDescent="0.25">
      <c r="A1824" t="s">
        <v>43</v>
      </c>
      <c r="B1824" t="s">
        <v>97</v>
      </c>
      <c r="C1824" t="s">
        <v>2248</v>
      </c>
      <c r="D1824">
        <v>2</v>
      </c>
      <c r="E1824" s="273">
        <v>5</v>
      </c>
      <c r="F1824" s="273" t="s">
        <v>7</v>
      </c>
      <c r="G1824" s="273" t="s">
        <v>11</v>
      </c>
      <c r="H1824" s="273" t="s">
        <v>11</v>
      </c>
    </row>
    <row r="1825" spans="1:8" x14ac:dyDescent="0.25">
      <c r="A1825" t="s">
        <v>43</v>
      </c>
      <c r="B1825" t="s">
        <v>97</v>
      </c>
      <c r="C1825" t="s">
        <v>2249</v>
      </c>
      <c r="D1825">
        <v>2</v>
      </c>
      <c r="E1825" s="273">
        <v>4</v>
      </c>
      <c r="F1825" s="273" t="s">
        <v>7</v>
      </c>
      <c r="G1825" s="273" t="s">
        <v>11</v>
      </c>
      <c r="H1825" s="273" t="s">
        <v>11</v>
      </c>
    </row>
    <row r="1826" spans="1:8" x14ac:dyDescent="0.25">
      <c r="A1826" t="s">
        <v>43</v>
      </c>
      <c r="B1826" t="s">
        <v>97</v>
      </c>
      <c r="C1826" t="s">
        <v>1917</v>
      </c>
      <c r="D1826">
        <v>1</v>
      </c>
      <c r="E1826" s="273">
        <v>5</v>
      </c>
      <c r="F1826" s="273" t="s">
        <v>7</v>
      </c>
      <c r="G1826" s="273" t="s">
        <v>11</v>
      </c>
      <c r="H1826" s="273" t="s">
        <v>11</v>
      </c>
    </row>
    <row r="1827" spans="1:8" x14ac:dyDescent="0.25">
      <c r="A1827" t="s">
        <v>43</v>
      </c>
      <c r="B1827" t="s">
        <v>97</v>
      </c>
      <c r="C1827" t="s">
        <v>1404</v>
      </c>
      <c r="D1827">
        <v>1</v>
      </c>
      <c r="E1827" s="273">
        <v>5</v>
      </c>
      <c r="F1827" s="273" t="s">
        <v>7</v>
      </c>
      <c r="G1827" s="273" t="s">
        <v>11</v>
      </c>
      <c r="H1827" s="273" t="s">
        <v>11</v>
      </c>
    </row>
    <row r="1828" spans="1:8" x14ac:dyDescent="0.25">
      <c r="A1828" t="s">
        <v>43</v>
      </c>
      <c r="B1828" t="s">
        <v>97</v>
      </c>
      <c r="C1828" t="s">
        <v>1278</v>
      </c>
      <c r="D1828">
        <v>2</v>
      </c>
      <c r="E1828" s="273">
        <v>4</v>
      </c>
      <c r="F1828" s="273" t="s">
        <v>7</v>
      </c>
      <c r="G1828" s="273" t="s">
        <v>11</v>
      </c>
      <c r="H1828" s="273" t="s">
        <v>11</v>
      </c>
    </row>
    <row r="1829" spans="1:8" x14ac:dyDescent="0.25">
      <c r="A1829" t="s">
        <v>43</v>
      </c>
      <c r="B1829" t="s">
        <v>97</v>
      </c>
      <c r="C1829" t="s">
        <v>1556</v>
      </c>
      <c r="D1829">
        <v>1</v>
      </c>
      <c r="E1829" s="273">
        <v>5</v>
      </c>
      <c r="F1829" s="273" t="s">
        <v>7</v>
      </c>
      <c r="G1829" s="273" t="s">
        <v>11</v>
      </c>
      <c r="H1829" s="273" t="s">
        <v>11</v>
      </c>
    </row>
    <row r="1830" spans="1:8" x14ac:dyDescent="0.25">
      <c r="A1830" t="s">
        <v>44</v>
      </c>
      <c r="B1830" t="s">
        <v>98</v>
      </c>
      <c r="C1830" t="s">
        <v>2250</v>
      </c>
      <c r="D1830">
        <v>1</v>
      </c>
      <c r="E1830" s="273">
        <v>4</v>
      </c>
      <c r="F1830" s="273" t="s">
        <v>75</v>
      </c>
      <c r="G1830" s="273" t="s">
        <v>11</v>
      </c>
      <c r="H1830" s="273" t="s">
        <v>11</v>
      </c>
    </row>
    <row r="1831" spans="1:8" x14ac:dyDescent="0.25">
      <c r="A1831" t="s">
        <v>44</v>
      </c>
      <c r="B1831" t="s">
        <v>98</v>
      </c>
      <c r="C1831" t="s">
        <v>2251</v>
      </c>
      <c r="D1831">
        <v>2</v>
      </c>
      <c r="E1831" s="273">
        <v>5</v>
      </c>
      <c r="F1831" s="273" t="s">
        <v>75</v>
      </c>
      <c r="G1831" s="273" t="s">
        <v>11</v>
      </c>
      <c r="H1831" s="273" t="s">
        <v>11</v>
      </c>
    </row>
    <row r="1832" spans="1:8" x14ac:dyDescent="0.25">
      <c r="A1832" t="s">
        <v>44</v>
      </c>
      <c r="B1832" t="s">
        <v>98</v>
      </c>
      <c r="C1832" t="s">
        <v>2252</v>
      </c>
      <c r="D1832">
        <v>2</v>
      </c>
      <c r="E1832" s="273">
        <v>3</v>
      </c>
      <c r="F1832" s="273" t="s">
        <v>75</v>
      </c>
      <c r="G1832" s="273" t="s">
        <v>11</v>
      </c>
      <c r="H1832" s="273" t="s">
        <v>11</v>
      </c>
    </row>
    <row r="1833" spans="1:8" x14ac:dyDescent="0.25">
      <c r="A1833" t="s">
        <v>44</v>
      </c>
      <c r="B1833" t="s">
        <v>98</v>
      </c>
      <c r="C1833" t="s">
        <v>2253</v>
      </c>
      <c r="D1833">
        <v>2</v>
      </c>
      <c r="E1833" s="273">
        <v>4</v>
      </c>
      <c r="F1833" s="273" t="s">
        <v>75</v>
      </c>
      <c r="G1833" s="273" t="s">
        <v>11</v>
      </c>
      <c r="H1833" s="273" t="s">
        <v>11</v>
      </c>
    </row>
    <row r="1834" spans="1:8" x14ac:dyDescent="0.25">
      <c r="A1834" t="s">
        <v>44</v>
      </c>
      <c r="B1834" t="s">
        <v>98</v>
      </c>
      <c r="C1834" t="s">
        <v>2188</v>
      </c>
      <c r="D1834">
        <v>1</v>
      </c>
      <c r="E1834" s="273">
        <v>5</v>
      </c>
      <c r="F1834" s="273" t="s">
        <v>75</v>
      </c>
      <c r="G1834" s="273" t="s">
        <v>11</v>
      </c>
      <c r="H1834" s="273" t="s">
        <v>11</v>
      </c>
    </row>
    <row r="1835" spans="1:8" x14ac:dyDescent="0.25">
      <c r="A1835" t="s">
        <v>44</v>
      </c>
      <c r="B1835" t="s">
        <v>98</v>
      </c>
      <c r="C1835" t="s">
        <v>2254</v>
      </c>
      <c r="D1835">
        <v>2</v>
      </c>
      <c r="E1835" s="273">
        <v>4</v>
      </c>
      <c r="F1835" s="273" t="s">
        <v>75</v>
      </c>
      <c r="G1835" s="273" t="s">
        <v>11</v>
      </c>
      <c r="H1835" s="273" t="s">
        <v>11</v>
      </c>
    </row>
    <row r="1836" spans="1:8" x14ac:dyDescent="0.25">
      <c r="A1836" t="s">
        <v>44</v>
      </c>
      <c r="B1836" t="s">
        <v>98</v>
      </c>
      <c r="C1836" t="s">
        <v>2255</v>
      </c>
      <c r="D1836">
        <v>2</v>
      </c>
      <c r="E1836" s="273">
        <v>4</v>
      </c>
      <c r="F1836" s="273" t="s">
        <v>75</v>
      </c>
      <c r="G1836" s="273" t="s">
        <v>11</v>
      </c>
      <c r="H1836" s="273" t="s">
        <v>11</v>
      </c>
    </row>
    <row r="1837" spans="1:8" x14ac:dyDescent="0.25">
      <c r="A1837" t="s">
        <v>44</v>
      </c>
      <c r="B1837" t="s">
        <v>98</v>
      </c>
      <c r="C1837" t="s">
        <v>2256</v>
      </c>
      <c r="D1837">
        <v>2</v>
      </c>
      <c r="E1837" s="273">
        <v>3</v>
      </c>
      <c r="F1837" s="273" t="s">
        <v>75</v>
      </c>
      <c r="G1837" s="273" t="s">
        <v>11</v>
      </c>
      <c r="H1837" s="273" t="s">
        <v>11</v>
      </c>
    </row>
    <row r="1838" spans="1:8" x14ac:dyDescent="0.25">
      <c r="A1838" t="s">
        <v>44</v>
      </c>
      <c r="B1838" t="s">
        <v>98</v>
      </c>
      <c r="C1838" t="s">
        <v>2257</v>
      </c>
      <c r="D1838">
        <v>2</v>
      </c>
      <c r="E1838" s="273">
        <v>3</v>
      </c>
      <c r="F1838" s="273" t="s">
        <v>75</v>
      </c>
      <c r="G1838" s="273" t="s">
        <v>11</v>
      </c>
      <c r="H1838" s="273" t="s">
        <v>11</v>
      </c>
    </row>
    <row r="1839" spans="1:8" x14ac:dyDescent="0.25">
      <c r="A1839" t="s">
        <v>44</v>
      </c>
      <c r="B1839" t="s">
        <v>98</v>
      </c>
      <c r="C1839" t="s">
        <v>1247</v>
      </c>
      <c r="D1839">
        <v>2</v>
      </c>
      <c r="E1839" s="273">
        <v>4</v>
      </c>
      <c r="F1839" s="273" t="s">
        <v>75</v>
      </c>
      <c r="G1839" s="273" t="s">
        <v>11</v>
      </c>
      <c r="H1839" s="273" t="s">
        <v>11</v>
      </c>
    </row>
    <row r="1840" spans="1:8" x14ac:dyDescent="0.25">
      <c r="A1840" t="s">
        <v>44</v>
      </c>
      <c r="B1840" t="s">
        <v>98</v>
      </c>
      <c r="C1840" t="s">
        <v>2258</v>
      </c>
      <c r="D1840">
        <v>2</v>
      </c>
      <c r="E1840" s="273">
        <v>4</v>
      </c>
      <c r="F1840" s="273" t="s">
        <v>75</v>
      </c>
      <c r="G1840" s="273" t="s">
        <v>11</v>
      </c>
      <c r="H1840" s="273" t="s">
        <v>11</v>
      </c>
    </row>
    <row r="1841" spans="1:8" x14ac:dyDescent="0.25">
      <c r="A1841" t="s">
        <v>44</v>
      </c>
      <c r="B1841" t="s">
        <v>98</v>
      </c>
      <c r="C1841" t="s">
        <v>2259</v>
      </c>
      <c r="D1841">
        <v>2</v>
      </c>
      <c r="E1841" s="273">
        <v>5</v>
      </c>
      <c r="F1841" s="273" t="s">
        <v>75</v>
      </c>
      <c r="G1841" s="273" t="s">
        <v>11</v>
      </c>
      <c r="H1841" s="273" t="s">
        <v>11</v>
      </c>
    </row>
    <row r="1842" spans="1:8" x14ac:dyDescent="0.25">
      <c r="A1842" t="s">
        <v>44</v>
      </c>
      <c r="B1842" t="s">
        <v>98</v>
      </c>
      <c r="C1842" t="s">
        <v>2260</v>
      </c>
      <c r="D1842">
        <v>2</v>
      </c>
      <c r="E1842" s="273">
        <v>3</v>
      </c>
      <c r="F1842" s="273" t="s">
        <v>75</v>
      </c>
      <c r="G1842" s="273" t="s">
        <v>11</v>
      </c>
      <c r="H1842" s="273" t="s">
        <v>11</v>
      </c>
    </row>
    <row r="1843" spans="1:8" x14ac:dyDescent="0.25">
      <c r="A1843" t="s">
        <v>44</v>
      </c>
      <c r="B1843" t="s">
        <v>98</v>
      </c>
      <c r="C1843" t="s">
        <v>2261</v>
      </c>
      <c r="D1843">
        <v>2</v>
      </c>
      <c r="E1843" s="273">
        <v>3</v>
      </c>
      <c r="F1843" s="273" t="s">
        <v>75</v>
      </c>
      <c r="G1843" s="273" t="s">
        <v>11</v>
      </c>
      <c r="H1843" s="273" t="s">
        <v>11</v>
      </c>
    </row>
    <row r="1844" spans="1:8" x14ac:dyDescent="0.25">
      <c r="A1844" t="s">
        <v>44</v>
      </c>
      <c r="B1844" t="s">
        <v>98</v>
      </c>
      <c r="C1844" t="s">
        <v>1255</v>
      </c>
      <c r="D1844">
        <v>2</v>
      </c>
      <c r="E1844" s="273">
        <v>4</v>
      </c>
      <c r="F1844" s="273" t="s">
        <v>75</v>
      </c>
      <c r="G1844" s="273" t="s">
        <v>11</v>
      </c>
      <c r="H1844" s="273" t="s">
        <v>11</v>
      </c>
    </row>
    <row r="1845" spans="1:8" x14ac:dyDescent="0.25">
      <c r="A1845" t="s">
        <v>44</v>
      </c>
      <c r="B1845" t="s">
        <v>98</v>
      </c>
      <c r="C1845" t="s">
        <v>2262</v>
      </c>
      <c r="D1845">
        <v>2</v>
      </c>
      <c r="E1845" s="273">
        <v>5</v>
      </c>
      <c r="F1845" s="273" t="s">
        <v>75</v>
      </c>
      <c r="G1845" s="273" t="s">
        <v>11</v>
      </c>
      <c r="H1845" s="273" t="s">
        <v>11</v>
      </c>
    </row>
    <row r="1846" spans="1:8" x14ac:dyDescent="0.25">
      <c r="A1846" t="s">
        <v>44</v>
      </c>
      <c r="B1846" t="s">
        <v>98</v>
      </c>
      <c r="C1846" t="s">
        <v>2263</v>
      </c>
      <c r="D1846">
        <v>2</v>
      </c>
      <c r="E1846" s="273">
        <v>3</v>
      </c>
      <c r="F1846" s="273" t="s">
        <v>75</v>
      </c>
      <c r="G1846" s="273" t="s">
        <v>11</v>
      </c>
      <c r="H1846" s="273" t="s">
        <v>11</v>
      </c>
    </row>
    <row r="1847" spans="1:8" x14ac:dyDescent="0.25">
      <c r="A1847" t="s">
        <v>44</v>
      </c>
      <c r="B1847" t="s">
        <v>98</v>
      </c>
      <c r="C1847" t="s">
        <v>2264</v>
      </c>
      <c r="D1847">
        <v>2</v>
      </c>
      <c r="E1847" s="273">
        <v>5</v>
      </c>
      <c r="F1847" s="273" t="s">
        <v>75</v>
      </c>
      <c r="G1847" s="273" t="s">
        <v>11</v>
      </c>
      <c r="H1847" s="273" t="s">
        <v>11</v>
      </c>
    </row>
    <row r="1848" spans="1:8" x14ac:dyDescent="0.25">
      <c r="A1848" t="s">
        <v>44</v>
      </c>
      <c r="B1848" t="s">
        <v>98</v>
      </c>
      <c r="C1848" t="s">
        <v>2265</v>
      </c>
      <c r="D1848">
        <v>1</v>
      </c>
      <c r="E1848" s="273">
        <v>5</v>
      </c>
      <c r="F1848" s="273" t="s">
        <v>75</v>
      </c>
      <c r="G1848" s="273" t="s">
        <v>11</v>
      </c>
      <c r="H1848" s="273" t="s">
        <v>11</v>
      </c>
    </row>
    <row r="1849" spans="1:8" x14ac:dyDescent="0.25">
      <c r="A1849" t="s">
        <v>44</v>
      </c>
      <c r="B1849" t="s">
        <v>98</v>
      </c>
      <c r="C1849" t="s">
        <v>1378</v>
      </c>
      <c r="D1849">
        <v>2</v>
      </c>
      <c r="E1849" s="273">
        <v>3</v>
      </c>
      <c r="F1849" s="273" t="s">
        <v>75</v>
      </c>
      <c r="G1849" s="273" t="s">
        <v>11</v>
      </c>
      <c r="H1849" s="273" t="s">
        <v>11</v>
      </c>
    </row>
    <row r="1850" spans="1:8" x14ac:dyDescent="0.25">
      <c r="A1850" t="s">
        <v>44</v>
      </c>
      <c r="B1850" t="s">
        <v>98</v>
      </c>
      <c r="C1850" t="s">
        <v>2266</v>
      </c>
      <c r="D1850">
        <v>2</v>
      </c>
      <c r="E1850" s="273">
        <v>4</v>
      </c>
      <c r="F1850" s="273" t="s">
        <v>75</v>
      </c>
      <c r="G1850" s="273" t="s">
        <v>11</v>
      </c>
      <c r="H1850" s="273" t="s">
        <v>11</v>
      </c>
    </row>
    <row r="1851" spans="1:8" x14ac:dyDescent="0.25">
      <c r="A1851" t="s">
        <v>44</v>
      </c>
      <c r="B1851" t="s">
        <v>98</v>
      </c>
      <c r="C1851" t="s">
        <v>2267</v>
      </c>
      <c r="D1851">
        <v>1</v>
      </c>
      <c r="E1851" s="273">
        <v>5</v>
      </c>
      <c r="F1851" s="273" t="s">
        <v>75</v>
      </c>
      <c r="G1851" s="273" t="s">
        <v>11</v>
      </c>
      <c r="H1851" s="273" t="s">
        <v>11</v>
      </c>
    </row>
    <row r="1852" spans="1:8" x14ac:dyDescent="0.25">
      <c r="A1852" t="s">
        <v>44</v>
      </c>
      <c r="B1852" t="s">
        <v>98</v>
      </c>
      <c r="C1852" t="s">
        <v>2170</v>
      </c>
      <c r="D1852">
        <v>2</v>
      </c>
      <c r="E1852" s="273">
        <v>4</v>
      </c>
      <c r="F1852" s="273" t="s">
        <v>75</v>
      </c>
      <c r="G1852" s="273" t="s">
        <v>11</v>
      </c>
      <c r="H1852" s="273" t="s">
        <v>11</v>
      </c>
    </row>
    <row r="1853" spans="1:8" x14ac:dyDescent="0.25">
      <c r="A1853" t="s">
        <v>44</v>
      </c>
      <c r="B1853" t="s">
        <v>98</v>
      </c>
      <c r="C1853" t="s">
        <v>1388</v>
      </c>
      <c r="D1853">
        <v>2</v>
      </c>
      <c r="E1853" s="273">
        <v>5</v>
      </c>
      <c r="F1853" s="273" t="s">
        <v>75</v>
      </c>
      <c r="G1853" s="273" t="s">
        <v>11</v>
      </c>
      <c r="H1853" s="273" t="s">
        <v>11</v>
      </c>
    </row>
    <row r="1854" spans="1:8" x14ac:dyDescent="0.25">
      <c r="A1854" t="s">
        <v>44</v>
      </c>
      <c r="B1854" t="s">
        <v>98</v>
      </c>
      <c r="C1854" t="s">
        <v>1389</v>
      </c>
      <c r="D1854">
        <v>1</v>
      </c>
      <c r="E1854" s="273">
        <v>5</v>
      </c>
      <c r="F1854" s="273" t="s">
        <v>75</v>
      </c>
      <c r="G1854" s="273" t="s">
        <v>11</v>
      </c>
      <c r="H1854" s="273" t="s">
        <v>11</v>
      </c>
    </row>
    <row r="1855" spans="1:8" x14ac:dyDescent="0.25">
      <c r="A1855" t="s">
        <v>44</v>
      </c>
      <c r="B1855" t="s">
        <v>98</v>
      </c>
      <c r="C1855" t="s">
        <v>2268</v>
      </c>
      <c r="D1855">
        <v>2</v>
      </c>
      <c r="E1855" s="273">
        <v>5</v>
      </c>
      <c r="F1855" s="273" t="s">
        <v>75</v>
      </c>
      <c r="G1855" s="273" t="s">
        <v>11</v>
      </c>
      <c r="H1855" s="273" t="s">
        <v>11</v>
      </c>
    </row>
    <row r="1856" spans="1:8" x14ac:dyDescent="0.25">
      <c r="A1856" t="s">
        <v>44</v>
      </c>
      <c r="B1856" t="s">
        <v>98</v>
      </c>
      <c r="C1856" t="s">
        <v>2269</v>
      </c>
      <c r="D1856">
        <v>1</v>
      </c>
      <c r="E1856" s="273">
        <v>5</v>
      </c>
      <c r="F1856" s="273" t="s">
        <v>75</v>
      </c>
      <c r="G1856" s="273" t="s">
        <v>11</v>
      </c>
      <c r="H1856" s="273" t="s">
        <v>11</v>
      </c>
    </row>
    <row r="1857" spans="1:8" x14ac:dyDescent="0.25">
      <c r="A1857" t="s">
        <v>44</v>
      </c>
      <c r="B1857" t="s">
        <v>98</v>
      </c>
      <c r="C1857" t="s">
        <v>1326</v>
      </c>
      <c r="D1857">
        <v>2</v>
      </c>
      <c r="E1857" s="273">
        <v>4</v>
      </c>
      <c r="F1857" s="273" t="s">
        <v>75</v>
      </c>
      <c r="G1857" s="273" t="s">
        <v>11</v>
      </c>
      <c r="H1857" s="273" t="s">
        <v>11</v>
      </c>
    </row>
    <row r="1858" spans="1:8" x14ac:dyDescent="0.25">
      <c r="A1858" t="s">
        <v>44</v>
      </c>
      <c r="B1858" t="s">
        <v>98</v>
      </c>
      <c r="C1858" t="s">
        <v>2270</v>
      </c>
      <c r="D1858">
        <v>2</v>
      </c>
      <c r="E1858" s="273">
        <v>4</v>
      </c>
      <c r="F1858" s="273" t="s">
        <v>75</v>
      </c>
      <c r="G1858" s="273" t="s">
        <v>11</v>
      </c>
      <c r="H1858" s="273" t="s">
        <v>11</v>
      </c>
    </row>
    <row r="1859" spans="1:8" x14ac:dyDescent="0.25">
      <c r="A1859" t="s">
        <v>44</v>
      </c>
      <c r="B1859" t="s">
        <v>98</v>
      </c>
      <c r="C1859" t="s">
        <v>2271</v>
      </c>
      <c r="D1859">
        <v>1</v>
      </c>
      <c r="E1859" s="273">
        <v>5</v>
      </c>
      <c r="F1859" s="273" t="s">
        <v>75</v>
      </c>
      <c r="G1859" s="273" t="s">
        <v>11</v>
      </c>
      <c r="H1859" s="273" t="s">
        <v>11</v>
      </c>
    </row>
    <row r="1860" spans="1:8" x14ac:dyDescent="0.25">
      <c r="A1860" t="s">
        <v>44</v>
      </c>
      <c r="B1860" t="s">
        <v>98</v>
      </c>
      <c r="C1860" t="s">
        <v>2272</v>
      </c>
      <c r="D1860">
        <v>2</v>
      </c>
      <c r="E1860" s="273">
        <v>5</v>
      </c>
      <c r="F1860" s="273" t="s">
        <v>75</v>
      </c>
      <c r="G1860" s="273" t="s">
        <v>11</v>
      </c>
      <c r="H1860" s="273" t="s">
        <v>11</v>
      </c>
    </row>
    <row r="1861" spans="1:8" x14ac:dyDescent="0.25">
      <c r="A1861" t="s">
        <v>44</v>
      </c>
      <c r="B1861" t="s">
        <v>98</v>
      </c>
      <c r="C1861" t="s">
        <v>1278</v>
      </c>
      <c r="D1861">
        <v>2</v>
      </c>
      <c r="E1861" s="273">
        <v>4</v>
      </c>
      <c r="F1861" s="273" t="s">
        <v>75</v>
      </c>
      <c r="G1861" s="273" t="s">
        <v>11</v>
      </c>
      <c r="H1861" s="273" t="s">
        <v>11</v>
      </c>
    </row>
    <row r="1862" spans="1:8" x14ac:dyDescent="0.25">
      <c r="A1862" t="s">
        <v>44</v>
      </c>
      <c r="B1862" t="s">
        <v>98</v>
      </c>
      <c r="C1862" t="s">
        <v>2273</v>
      </c>
      <c r="D1862">
        <v>2</v>
      </c>
      <c r="E1862" s="273">
        <v>4</v>
      </c>
      <c r="F1862" s="273" t="s">
        <v>75</v>
      </c>
      <c r="G1862" s="273" t="s">
        <v>11</v>
      </c>
      <c r="H1862" s="273" t="s">
        <v>11</v>
      </c>
    </row>
    <row r="1863" spans="1:8" x14ac:dyDescent="0.25">
      <c r="A1863" t="s">
        <v>46</v>
      </c>
      <c r="B1863" t="s">
        <v>80</v>
      </c>
      <c r="C1863" t="s">
        <v>2274</v>
      </c>
      <c r="D1863">
        <v>1</v>
      </c>
      <c r="E1863" s="273">
        <v>5</v>
      </c>
      <c r="F1863" s="273" t="s">
        <v>7</v>
      </c>
      <c r="G1863" s="273" t="s">
        <v>11</v>
      </c>
      <c r="H1863" s="273" t="s">
        <v>11</v>
      </c>
    </row>
    <row r="1864" spans="1:8" x14ac:dyDescent="0.25">
      <c r="A1864" t="s">
        <v>46</v>
      </c>
      <c r="B1864" t="s">
        <v>80</v>
      </c>
      <c r="C1864" t="s">
        <v>1920</v>
      </c>
      <c r="D1864">
        <v>1</v>
      </c>
      <c r="E1864" s="273">
        <v>6</v>
      </c>
      <c r="F1864" s="273" t="s">
        <v>7</v>
      </c>
      <c r="G1864" s="273" t="s">
        <v>11</v>
      </c>
      <c r="H1864" s="273" t="s">
        <v>11</v>
      </c>
    </row>
    <row r="1865" spans="1:8" x14ac:dyDescent="0.25">
      <c r="A1865" t="s">
        <v>46</v>
      </c>
      <c r="B1865" t="s">
        <v>80</v>
      </c>
      <c r="C1865" t="s">
        <v>2275</v>
      </c>
      <c r="D1865">
        <v>3</v>
      </c>
      <c r="E1865" s="273">
        <v>4</v>
      </c>
      <c r="F1865" s="273" t="s">
        <v>7</v>
      </c>
      <c r="G1865" s="273" t="s">
        <v>11</v>
      </c>
      <c r="H1865" s="273" t="s">
        <v>11</v>
      </c>
    </row>
    <row r="1866" spans="1:8" x14ac:dyDescent="0.25">
      <c r="A1866" t="s">
        <v>46</v>
      </c>
      <c r="B1866" t="s">
        <v>80</v>
      </c>
      <c r="C1866" t="s">
        <v>2276</v>
      </c>
      <c r="D1866">
        <v>1</v>
      </c>
      <c r="E1866" s="273">
        <v>6</v>
      </c>
      <c r="F1866" s="273" t="s">
        <v>7</v>
      </c>
      <c r="G1866" s="273" t="s">
        <v>11</v>
      </c>
      <c r="H1866" s="273" t="s">
        <v>11</v>
      </c>
    </row>
    <row r="1867" spans="1:8" x14ac:dyDescent="0.25">
      <c r="A1867" t="s">
        <v>46</v>
      </c>
      <c r="B1867" t="s">
        <v>80</v>
      </c>
      <c r="C1867" t="s">
        <v>2277</v>
      </c>
      <c r="D1867">
        <v>1</v>
      </c>
      <c r="E1867" s="273">
        <v>6</v>
      </c>
      <c r="F1867" s="273" t="s">
        <v>7</v>
      </c>
      <c r="G1867" s="273" t="s">
        <v>11</v>
      </c>
      <c r="H1867" s="273" t="s">
        <v>11</v>
      </c>
    </row>
    <row r="1868" spans="1:8" x14ac:dyDescent="0.25">
      <c r="A1868" t="s">
        <v>46</v>
      </c>
      <c r="B1868" t="s">
        <v>80</v>
      </c>
      <c r="C1868" t="s">
        <v>2278</v>
      </c>
      <c r="D1868">
        <v>1</v>
      </c>
      <c r="E1868" s="273">
        <v>5</v>
      </c>
      <c r="F1868" s="273" t="s">
        <v>7</v>
      </c>
      <c r="G1868" s="273" t="s">
        <v>11</v>
      </c>
      <c r="H1868" s="273" t="s">
        <v>11</v>
      </c>
    </row>
    <row r="1869" spans="1:8" x14ac:dyDescent="0.25">
      <c r="A1869" t="s">
        <v>46</v>
      </c>
      <c r="B1869" t="s">
        <v>80</v>
      </c>
      <c r="C1869" t="s">
        <v>1748</v>
      </c>
      <c r="D1869">
        <v>1</v>
      </c>
      <c r="E1869" s="273">
        <v>5</v>
      </c>
      <c r="F1869" s="273" t="s">
        <v>7</v>
      </c>
      <c r="G1869" s="273" t="s">
        <v>11</v>
      </c>
      <c r="H1869" s="273" t="s">
        <v>11</v>
      </c>
    </row>
    <row r="1870" spans="1:8" x14ac:dyDescent="0.25">
      <c r="A1870" t="s">
        <v>46</v>
      </c>
      <c r="B1870" t="s">
        <v>80</v>
      </c>
      <c r="C1870" t="s">
        <v>2279</v>
      </c>
      <c r="D1870">
        <v>1</v>
      </c>
      <c r="E1870" s="273">
        <v>5</v>
      </c>
      <c r="F1870" s="273" t="s">
        <v>7</v>
      </c>
      <c r="G1870" s="273" t="s">
        <v>11</v>
      </c>
      <c r="H1870" s="273" t="s">
        <v>11</v>
      </c>
    </row>
    <row r="1871" spans="1:8" x14ac:dyDescent="0.25">
      <c r="A1871" t="s">
        <v>46</v>
      </c>
      <c r="B1871" t="s">
        <v>80</v>
      </c>
      <c r="C1871" t="s">
        <v>2280</v>
      </c>
      <c r="D1871">
        <v>1</v>
      </c>
      <c r="E1871" s="273">
        <v>6</v>
      </c>
      <c r="F1871" s="273" t="s">
        <v>7</v>
      </c>
      <c r="G1871" s="273" t="s">
        <v>11</v>
      </c>
      <c r="H1871" s="273" t="s">
        <v>11</v>
      </c>
    </row>
    <row r="1872" spans="1:8" x14ac:dyDescent="0.25">
      <c r="A1872" t="s">
        <v>46</v>
      </c>
      <c r="B1872" t="s">
        <v>80</v>
      </c>
      <c r="C1872" t="s">
        <v>1609</v>
      </c>
      <c r="D1872">
        <v>2</v>
      </c>
      <c r="E1872" s="273">
        <v>6</v>
      </c>
      <c r="F1872" s="273" t="s">
        <v>7</v>
      </c>
      <c r="G1872" s="273" t="s">
        <v>11</v>
      </c>
      <c r="H1872" s="273" t="s">
        <v>11</v>
      </c>
    </row>
    <row r="1873" spans="1:8" x14ac:dyDescent="0.25">
      <c r="A1873" t="s">
        <v>46</v>
      </c>
      <c r="B1873" t="s">
        <v>80</v>
      </c>
      <c r="C1873" t="s">
        <v>1236</v>
      </c>
      <c r="D1873">
        <v>1</v>
      </c>
      <c r="E1873" s="273">
        <v>5</v>
      </c>
      <c r="F1873" s="273" t="s">
        <v>7</v>
      </c>
      <c r="G1873" s="273" t="s">
        <v>11</v>
      </c>
      <c r="H1873" s="273" t="s">
        <v>11</v>
      </c>
    </row>
    <row r="1874" spans="1:8" x14ac:dyDescent="0.25">
      <c r="A1874" t="s">
        <v>46</v>
      </c>
      <c r="B1874" t="s">
        <v>80</v>
      </c>
      <c r="C1874" t="s">
        <v>2281</v>
      </c>
      <c r="D1874">
        <v>1</v>
      </c>
      <c r="E1874" s="273">
        <v>5</v>
      </c>
      <c r="F1874" s="273" t="s">
        <v>7</v>
      </c>
      <c r="G1874" s="273" t="s">
        <v>11</v>
      </c>
      <c r="H1874" s="273" t="s">
        <v>11</v>
      </c>
    </row>
    <row r="1875" spans="1:8" x14ac:dyDescent="0.25">
      <c r="A1875" t="s">
        <v>46</v>
      </c>
      <c r="B1875" t="s">
        <v>80</v>
      </c>
      <c r="C1875" t="s">
        <v>1661</v>
      </c>
      <c r="D1875">
        <v>1</v>
      </c>
      <c r="E1875" s="273">
        <v>6</v>
      </c>
      <c r="F1875" s="273" t="s">
        <v>7</v>
      </c>
      <c r="G1875" s="273" t="s">
        <v>11</v>
      </c>
      <c r="H1875" s="273" t="s">
        <v>11</v>
      </c>
    </row>
    <row r="1876" spans="1:8" x14ac:dyDescent="0.25">
      <c r="A1876" t="s">
        <v>46</v>
      </c>
      <c r="B1876" t="s">
        <v>80</v>
      </c>
      <c r="C1876" t="s">
        <v>2282</v>
      </c>
      <c r="D1876">
        <v>1</v>
      </c>
      <c r="E1876" s="273">
        <v>5</v>
      </c>
      <c r="F1876" s="273" t="s">
        <v>7</v>
      </c>
      <c r="G1876" s="273" t="s">
        <v>11</v>
      </c>
      <c r="H1876" s="273" t="s">
        <v>11</v>
      </c>
    </row>
    <row r="1877" spans="1:8" x14ac:dyDescent="0.25">
      <c r="A1877" t="s">
        <v>46</v>
      </c>
      <c r="B1877" t="s">
        <v>80</v>
      </c>
      <c r="C1877" t="s">
        <v>2283</v>
      </c>
      <c r="D1877">
        <v>1</v>
      </c>
      <c r="E1877" s="273">
        <v>5</v>
      </c>
      <c r="F1877" s="273" t="s">
        <v>7</v>
      </c>
      <c r="G1877" s="273" t="s">
        <v>11</v>
      </c>
      <c r="H1877" s="273" t="s">
        <v>11</v>
      </c>
    </row>
    <row r="1878" spans="1:8" x14ac:dyDescent="0.25">
      <c r="A1878" t="s">
        <v>46</v>
      </c>
      <c r="B1878" t="s">
        <v>80</v>
      </c>
      <c r="C1878" t="s">
        <v>1941</v>
      </c>
      <c r="D1878">
        <v>3</v>
      </c>
      <c r="E1878" s="273">
        <v>6</v>
      </c>
      <c r="F1878" s="273" t="s">
        <v>7</v>
      </c>
      <c r="G1878" s="273" t="s">
        <v>11</v>
      </c>
      <c r="H1878" s="273" t="s">
        <v>11</v>
      </c>
    </row>
    <row r="1879" spans="1:8" x14ac:dyDescent="0.25">
      <c r="A1879" t="s">
        <v>46</v>
      </c>
      <c r="B1879" t="s">
        <v>80</v>
      </c>
      <c r="C1879" t="s">
        <v>1143</v>
      </c>
      <c r="D1879">
        <v>3</v>
      </c>
      <c r="E1879" s="273">
        <v>6</v>
      </c>
      <c r="F1879" s="273" t="s">
        <v>7</v>
      </c>
      <c r="G1879" s="273" t="s">
        <v>11</v>
      </c>
      <c r="H1879" s="273" t="s">
        <v>11</v>
      </c>
    </row>
    <row r="1880" spans="1:8" x14ac:dyDescent="0.25">
      <c r="A1880" t="s">
        <v>46</v>
      </c>
      <c r="B1880" t="s">
        <v>80</v>
      </c>
      <c r="C1880" t="s">
        <v>1245</v>
      </c>
      <c r="D1880">
        <v>3</v>
      </c>
      <c r="E1880" s="273">
        <v>6</v>
      </c>
      <c r="F1880" s="273" t="s">
        <v>7</v>
      </c>
      <c r="G1880" s="273" t="s">
        <v>11</v>
      </c>
      <c r="H1880" s="273" t="s">
        <v>11</v>
      </c>
    </row>
    <row r="1881" spans="1:8" x14ac:dyDescent="0.25">
      <c r="A1881" t="s">
        <v>46</v>
      </c>
      <c r="B1881" t="s">
        <v>80</v>
      </c>
      <c r="C1881" t="s">
        <v>1962</v>
      </c>
      <c r="D1881">
        <v>1</v>
      </c>
      <c r="E1881" s="273">
        <v>5</v>
      </c>
      <c r="F1881" s="273" t="s">
        <v>7</v>
      </c>
      <c r="G1881" s="273" t="s">
        <v>11</v>
      </c>
      <c r="H1881" s="273" t="s">
        <v>11</v>
      </c>
    </row>
    <row r="1882" spans="1:8" x14ac:dyDescent="0.25">
      <c r="A1882" t="s">
        <v>46</v>
      </c>
      <c r="B1882" t="s">
        <v>80</v>
      </c>
      <c r="C1882" t="s">
        <v>1145</v>
      </c>
      <c r="D1882">
        <v>1</v>
      </c>
      <c r="E1882" s="273">
        <v>5</v>
      </c>
      <c r="F1882" s="273" t="s">
        <v>7</v>
      </c>
      <c r="G1882" s="273" t="s">
        <v>11</v>
      </c>
      <c r="H1882" s="273" t="s">
        <v>11</v>
      </c>
    </row>
    <row r="1883" spans="1:8" x14ac:dyDescent="0.25">
      <c r="A1883" t="s">
        <v>46</v>
      </c>
      <c r="B1883" t="s">
        <v>80</v>
      </c>
      <c r="C1883" t="s">
        <v>1423</v>
      </c>
      <c r="D1883">
        <v>3</v>
      </c>
      <c r="E1883" s="273">
        <v>6</v>
      </c>
      <c r="F1883" s="273" t="s">
        <v>7</v>
      </c>
      <c r="G1883" s="273" t="s">
        <v>11</v>
      </c>
      <c r="H1883" s="273" t="s">
        <v>11</v>
      </c>
    </row>
    <row r="1884" spans="1:8" x14ac:dyDescent="0.25">
      <c r="A1884" t="s">
        <v>46</v>
      </c>
      <c r="B1884" t="s">
        <v>80</v>
      </c>
      <c r="C1884" t="s">
        <v>2284</v>
      </c>
      <c r="D1884">
        <v>3</v>
      </c>
      <c r="E1884" s="273">
        <v>6</v>
      </c>
      <c r="F1884" s="273" t="s">
        <v>7</v>
      </c>
      <c r="G1884" s="273" t="s">
        <v>11</v>
      </c>
      <c r="H1884" s="273" t="s">
        <v>11</v>
      </c>
    </row>
    <row r="1885" spans="1:8" x14ac:dyDescent="0.25">
      <c r="A1885" t="s">
        <v>46</v>
      </c>
      <c r="B1885" t="s">
        <v>80</v>
      </c>
      <c r="C1885" t="s">
        <v>1150</v>
      </c>
      <c r="D1885">
        <v>2</v>
      </c>
      <c r="E1885" s="273">
        <v>6</v>
      </c>
      <c r="F1885" s="273" t="s">
        <v>7</v>
      </c>
      <c r="G1885" s="273" t="s">
        <v>11</v>
      </c>
      <c r="H1885" s="273" t="s">
        <v>11</v>
      </c>
    </row>
    <row r="1886" spans="1:8" x14ac:dyDescent="0.25">
      <c r="A1886" t="s">
        <v>46</v>
      </c>
      <c r="B1886" t="s">
        <v>80</v>
      </c>
      <c r="C1886" t="s">
        <v>1298</v>
      </c>
      <c r="D1886">
        <v>3</v>
      </c>
      <c r="E1886" s="273">
        <v>4</v>
      </c>
      <c r="F1886" s="273" t="s">
        <v>7</v>
      </c>
      <c r="G1886" s="273" t="s">
        <v>11</v>
      </c>
      <c r="H1886" s="273" t="s">
        <v>11</v>
      </c>
    </row>
    <row r="1887" spans="1:8" x14ac:dyDescent="0.25">
      <c r="A1887" t="s">
        <v>46</v>
      </c>
      <c r="B1887" t="s">
        <v>80</v>
      </c>
      <c r="C1887" t="s">
        <v>1591</v>
      </c>
      <c r="D1887">
        <v>2</v>
      </c>
      <c r="E1887" s="273">
        <v>6</v>
      </c>
      <c r="F1887" s="273" t="s">
        <v>7</v>
      </c>
      <c r="G1887" s="273" t="s">
        <v>11</v>
      </c>
      <c r="H1887" s="273" t="s">
        <v>11</v>
      </c>
    </row>
    <row r="1888" spans="1:8" x14ac:dyDescent="0.25">
      <c r="A1888" t="s">
        <v>46</v>
      </c>
      <c r="B1888" t="s">
        <v>80</v>
      </c>
      <c r="C1888" t="s">
        <v>1629</v>
      </c>
      <c r="D1888">
        <v>1</v>
      </c>
      <c r="E1888" s="273">
        <v>5</v>
      </c>
      <c r="F1888" s="273" t="s">
        <v>7</v>
      </c>
      <c r="G1888" s="273" t="s">
        <v>11</v>
      </c>
      <c r="H1888" s="273" t="s">
        <v>11</v>
      </c>
    </row>
    <row r="1889" spans="1:8" x14ac:dyDescent="0.25">
      <c r="A1889" t="s">
        <v>46</v>
      </c>
      <c r="B1889" t="s">
        <v>80</v>
      </c>
      <c r="C1889" t="s">
        <v>1158</v>
      </c>
      <c r="D1889">
        <v>1</v>
      </c>
      <c r="E1889" s="273">
        <v>6</v>
      </c>
      <c r="F1889" s="273" t="s">
        <v>7</v>
      </c>
      <c r="G1889" s="273" t="s">
        <v>11</v>
      </c>
      <c r="H1889" s="273" t="s">
        <v>11</v>
      </c>
    </row>
    <row r="1890" spans="1:8" x14ac:dyDescent="0.25">
      <c r="A1890" t="s">
        <v>46</v>
      </c>
      <c r="B1890" t="s">
        <v>80</v>
      </c>
      <c r="C1890" t="s">
        <v>1163</v>
      </c>
      <c r="D1890">
        <v>2</v>
      </c>
      <c r="E1890" s="273">
        <v>5</v>
      </c>
      <c r="F1890" s="273" t="s">
        <v>7</v>
      </c>
      <c r="G1890" s="273" t="s">
        <v>11</v>
      </c>
      <c r="H1890" s="273" t="s">
        <v>11</v>
      </c>
    </row>
    <row r="1891" spans="1:8" x14ac:dyDescent="0.25">
      <c r="A1891" t="s">
        <v>46</v>
      </c>
      <c r="B1891" t="s">
        <v>80</v>
      </c>
      <c r="C1891" t="s">
        <v>1164</v>
      </c>
      <c r="D1891">
        <v>2</v>
      </c>
      <c r="E1891" s="273">
        <v>6</v>
      </c>
      <c r="F1891" s="273" t="s">
        <v>7</v>
      </c>
      <c r="G1891" s="273" t="s">
        <v>11</v>
      </c>
      <c r="H1891" s="273" t="s">
        <v>11</v>
      </c>
    </row>
    <row r="1892" spans="1:8" x14ac:dyDescent="0.25">
      <c r="A1892" t="s">
        <v>46</v>
      </c>
      <c r="B1892" t="s">
        <v>80</v>
      </c>
      <c r="C1892" t="s">
        <v>1437</v>
      </c>
      <c r="D1892">
        <v>3</v>
      </c>
      <c r="E1892" s="273">
        <v>4</v>
      </c>
      <c r="F1892" s="273" t="s">
        <v>7</v>
      </c>
      <c r="G1892" s="273" t="s">
        <v>11</v>
      </c>
      <c r="H1892" s="273" t="s">
        <v>11</v>
      </c>
    </row>
    <row r="1893" spans="1:8" x14ac:dyDescent="0.25">
      <c r="A1893" t="s">
        <v>46</v>
      </c>
      <c r="B1893" t="s">
        <v>80</v>
      </c>
      <c r="C1893" t="s">
        <v>2285</v>
      </c>
      <c r="D1893">
        <v>3</v>
      </c>
      <c r="E1893" s="273">
        <v>4</v>
      </c>
      <c r="F1893" s="273" t="s">
        <v>7</v>
      </c>
      <c r="G1893" s="273" t="s">
        <v>11</v>
      </c>
      <c r="H1893" s="273" t="s">
        <v>11</v>
      </c>
    </row>
    <row r="1894" spans="1:8" x14ac:dyDescent="0.25">
      <c r="A1894" t="s">
        <v>46</v>
      </c>
      <c r="B1894" t="s">
        <v>80</v>
      </c>
      <c r="C1894" t="s">
        <v>2286</v>
      </c>
      <c r="D1894">
        <v>2</v>
      </c>
      <c r="E1894" s="273">
        <v>5</v>
      </c>
      <c r="F1894" s="273" t="s">
        <v>7</v>
      </c>
      <c r="G1894" s="273" t="s">
        <v>11</v>
      </c>
      <c r="H1894" s="273" t="s">
        <v>11</v>
      </c>
    </row>
    <row r="1895" spans="1:8" x14ac:dyDescent="0.25">
      <c r="A1895" t="s">
        <v>46</v>
      </c>
      <c r="B1895" t="s">
        <v>80</v>
      </c>
      <c r="C1895" t="s">
        <v>1594</v>
      </c>
      <c r="D1895">
        <v>2</v>
      </c>
      <c r="E1895" s="273">
        <v>6</v>
      </c>
      <c r="F1895" s="273" t="s">
        <v>7</v>
      </c>
      <c r="G1895" s="273" t="s">
        <v>11</v>
      </c>
      <c r="H1895" s="273" t="s">
        <v>11</v>
      </c>
    </row>
    <row r="1896" spans="1:8" x14ac:dyDescent="0.25">
      <c r="A1896" t="s">
        <v>46</v>
      </c>
      <c r="B1896" t="s">
        <v>80</v>
      </c>
      <c r="C1896" t="s">
        <v>2287</v>
      </c>
      <c r="D1896">
        <v>1</v>
      </c>
      <c r="E1896" s="273">
        <v>5</v>
      </c>
      <c r="F1896" s="273" t="s">
        <v>7</v>
      </c>
      <c r="G1896" s="273" t="s">
        <v>11</v>
      </c>
      <c r="H1896" s="273" t="s">
        <v>11</v>
      </c>
    </row>
    <row r="1897" spans="1:8" x14ac:dyDescent="0.25">
      <c r="A1897" t="s">
        <v>46</v>
      </c>
      <c r="B1897" t="s">
        <v>80</v>
      </c>
      <c r="C1897" t="s">
        <v>2288</v>
      </c>
      <c r="D1897">
        <v>1</v>
      </c>
      <c r="E1897" s="273">
        <v>5</v>
      </c>
      <c r="F1897" s="273" t="s">
        <v>7</v>
      </c>
      <c r="G1897" s="273" t="s">
        <v>11</v>
      </c>
      <c r="H1897" s="273" t="s">
        <v>11</v>
      </c>
    </row>
    <row r="1898" spans="1:8" x14ac:dyDescent="0.25">
      <c r="A1898" t="s">
        <v>46</v>
      </c>
      <c r="B1898" t="s">
        <v>80</v>
      </c>
      <c r="C1898" t="s">
        <v>1311</v>
      </c>
      <c r="D1898">
        <v>1</v>
      </c>
      <c r="E1898" s="273">
        <v>5</v>
      </c>
      <c r="F1898" s="273" t="s">
        <v>7</v>
      </c>
      <c r="G1898" s="273" t="s">
        <v>11</v>
      </c>
      <c r="H1898" s="273" t="s">
        <v>11</v>
      </c>
    </row>
    <row r="1899" spans="1:8" x14ac:dyDescent="0.25">
      <c r="A1899" t="s">
        <v>46</v>
      </c>
      <c r="B1899" t="s">
        <v>80</v>
      </c>
      <c r="C1899" t="s">
        <v>1887</v>
      </c>
      <c r="D1899">
        <v>2</v>
      </c>
      <c r="E1899" s="273">
        <v>5</v>
      </c>
      <c r="F1899" s="273" t="s">
        <v>7</v>
      </c>
      <c r="G1899" s="273" t="s">
        <v>11</v>
      </c>
      <c r="H1899" s="273" t="s">
        <v>11</v>
      </c>
    </row>
    <row r="1900" spans="1:8" x14ac:dyDescent="0.25">
      <c r="A1900" t="s">
        <v>46</v>
      </c>
      <c r="B1900" t="s">
        <v>80</v>
      </c>
      <c r="C1900" t="s">
        <v>2289</v>
      </c>
      <c r="D1900">
        <v>2</v>
      </c>
      <c r="E1900" s="273">
        <v>5</v>
      </c>
      <c r="F1900" s="273" t="s">
        <v>7</v>
      </c>
      <c r="G1900" s="273" t="s">
        <v>11</v>
      </c>
      <c r="H1900" s="273" t="s">
        <v>11</v>
      </c>
    </row>
    <row r="1901" spans="1:8" x14ac:dyDescent="0.25">
      <c r="A1901" t="s">
        <v>46</v>
      </c>
      <c r="B1901" t="s">
        <v>80</v>
      </c>
      <c r="C1901" t="s">
        <v>1999</v>
      </c>
      <c r="D1901">
        <v>1</v>
      </c>
      <c r="E1901" s="273">
        <v>6</v>
      </c>
      <c r="F1901" s="273" t="s">
        <v>7</v>
      </c>
      <c r="G1901" s="273" t="s">
        <v>11</v>
      </c>
      <c r="H1901" s="273" t="s">
        <v>11</v>
      </c>
    </row>
    <row r="1902" spans="1:8" x14ac:dyDescent="0.25">
      <c r="A1902" t="s">
        <v>46</v>
      </c>
      <c r="B1902" t="s">
        <v>80</v>
      </c>
      <c r="C1902" t="s">
        <v>1444</v>
      </c>
      <c r="D1902">
        <v>1</v>
      </c>
      <c r="E1902" s="273">
        <v>5</v>
      </c>
      <c r="F1902" s="273" t="s">
        <v>7</v>
      </c>
      <c r="G1902" s="273" t="s">
        <v>11</v>
      </c>
      <c r="H1902" s="273" t="s">
        <v>11</v>
      </c>
    </row>
    <row r="1903" spans="1:8" x14ac:dyDescent="0.25">
      <c r="A1903" t="s">
        <v>46</v>
      </c>
      <c r="B1903" t="s">
        <v>80</v>
      </c>
      <c r="C1903" t="s">
        <v>2290</v>
      </c>
      <c r="D1903">
        <v>3</v>
      </c>
      <c r="E1903" s="273">
        <v>4</v>
      </c>
      <c r="F1903" s="273" t="s">
        <v>7</v>
      </c>
      <c r="G1903" s="273" t="s">
        <v>11</v>
      </c>
      <c r="H1903" s="273" t="s">
        <v>11</v>
      </c>
    </row>
    <row r="1904" spans="1:8" x14ac:dyDescent="0.25">
      <c r="A1904" t="s">
        <v>46</v>
      </c>
      <c r="B1904" t="s">
        <v>80</v>
      </c>
      <c r="C1904" t="s">
        <v>2291</v>
      </c>
      <c r="D1904">
        <v>1</v>
      </c>
      <c r="E1904" s="273">
        <v>5</v>
      </c>
      <c r="F1904" s="273" t="s">
        <v>7</v>
      </c>
      <c r="G1904" s="273" t="s">
        <v>11</v>
      </c>
      <c r="H1904" s="273" t="s">
        <v>11</v>
      </c>
    </row>
    <row r="1905" spans="1:8" x14ac:dyDescent="0.25">
      <c r="A1905" t="s">
        <v>46</v>
      </c>
      <c r="B1905" t="s">
        <v>80</v>
      </c>
      <c r="C1905" t="s">
        <v>1534</v>
      </c>
      <c r="D1905">
        <v>3</v>
      </c>
      <c r="E1905" s="273">
        <v>4</v>
      </c>
      <c r="F1905" s="273" t="s">
        <v>7</v>
      </c>
      <c r="G1905" s="273" t="s">
        <v>11</v>
      </c>
      <c r="H1905" s="273" t="s">
        <v>11</v>
      </c>
    </row>
    <row r="1906" spans="1:8" x14ac:dyDescent="0.25">
      <c r="A1906" t="s">
        <v>46</v>
      </c>
      <c r="B1906" t="s">
        <v>80</v>
      </c>
      <c r="C1906" t="s">
        <v>2292</v>
      </c>
      <c r="D1906">
        <v>3</v>
      </c>
      <c r="E1906" s="273">
        <v>5</v>
      </c>
      <c r="F1906" s="273" t="s">
        <v>7</v>
      </c>
      <c r="G1906" s="273" t="s">
        <v>11</v>
      </c>
      <c r="H1906" s="273" t="s">
        <v>11</v>
      </c>
    </row>
    <row r="1907" spans="1:8" x14ac:dyDescent="0.25">
      <c r="A1907" t="s">
        <v>46</v>
      </c>
      <c r="B1907" t="s">
        <v>80</v>
      </c>
      <c r="C1907" t="s">
        <v>2293</v>
      </c>
      <c r="D1907">
        <v>2</v>
      </c>
      <c r="E1907" s="273">
        <v>6</v>
      </c>
      <c r="F1907" s="273" t="s">
        <v>7</v>
      </c>
      <c r="G1907" s="273" t="s">
        <v>11</v>
      </c>
      <c r="H1907" s="273" t="s">
        <v>11</v>
      </c>
    </row>
    <row r="1908" spans="1:8" x14ac:dyDescent="0.25">
      <c r="A1908" t="s">
        <v>46</v>
      </c>
      <c r="B1908" t="s">
        <v>80</v>
      </c>
      <c r="C1908" t="s">
        <v>2294</v>
      </c>
      <c r="D1908">
        <v>2</v>
      </c>
      <c r="E1908" s="273">
        <v>5</v>
      </c>
      <c r="F1908" s="273" t="s">
        <v>7</v>
      </c>
      <c r="G1908" s="273" t="s">
        <v>11</v>
      </c>
      <c r="H1908" s="273" t="s">
        <v>11</v>
      </c>
    </row>
    <row r="1909" spans="1:8" x14ac:dyDescent="0.25">
      <c r="A1909" t="s">
        <v>46</v>
      </c>
      <c r="B1909" t="s">
        <v>80</v>
      </c>
      <c r="C1909" t="s">
        <v>2295</v>
      </c>
      <c r="D1909">
        <v>2</v>
      </c>
      <c r="E1909" s="273">
        <v>5</v>
      </c>
      <c r="F1909" s="273" t="s">
        <v>7</v>
      </c>
      <c r="G1909" s="273" t="s">
        <v>11</v>
      </c>
      <c r="H1909" s="273" t="s">
        <v>11</v>
      </c>
    </row>
    <row r="1910" spans="1:8" x14ac:dyDescent="0.25">
      <c r="A1910" t="s">
        <v>46</v>
      </c>
      <c r="B1910" t="s">
        <v>80</v>
      </c>
      <c r="C1910" t="s">
        <v>2296</v>
      </c>
      <c r="D1910">
        <v>1</v>
      </c>
      <c r="E1910" s="273">
        <v>6</v>
      </c>
      <c r="F1910" s="273" t="s">
        <v>7</v>
      </c>
      <c r="G1910" s="273" t="s">
        <v>11</v>
      </c>
      <c r="H1910" s="273" t="s">
        <v>11</v>
      </c>
    </row>
    <row r="1911" spans="1:8" x14ac:dyDescent="0.25">
      <c r="A1911" t="s">
        <v>46</v>
      </c>
      <c r="B1911" t="s">
        <v>80</v>
      </c>
      <c r="C1911" t="s">
        <v>1645</v>
      </c>
      <c r="D1911">
        <v>1</v>
      </c>
      <c r="E1911" s="273">
        <v>6</v>
      </c>
      <c r="F1911" s="273" t="s">
        <v>7</v>
      </c>
      <c r="G1911" s="273" t="s">
        <v>11</v>
      </c>
      <c r="H1911" s="273" t="s">
        <v>11</v>
      </c>
    </row>
    <row r="1912" spans="1:8" x14ac:dyDescent="0.25">
      <c r="A1912" t="s">
        <v>46</v>
      </c>
      <c r="B1912" t="s">
        <v>80</v>
      </c>
      <c r="C1912" t="s">
        <v>2297</v>
      </c>
      <c r="D1912">
        <v>1</v>
      </c>
      <c r="E1912" s="273">
        <v>5</v>
      </c>
      <c r="F1912" s="273" t="s">
        <v>7</v>
      </c>
      <c r="G1912" s="273" t="s">
        <v>11</v>
      </c>
      <c r="H1912" s="273" t="s">
        <v>11</v>
      </c>
    </row>
    <row r="1913" spans="1:8" x14ac:dyDescent="0.25">
      <c r="A1913" t="s">
        <v>46</v>
      </c>
      <c r="B1913" t="s">
        <v>80</v>
      </c>
      <c r="C1913" t="s">
        <v>1686</v>
      </c>
      <c r="D1913">
        <v>1</v>
      </c>
      <c r="E1913" s="273">
        <v>6</v>
      </c>
      <c r="F1913" s="273" t="s">
        <v>7</v>
      </c>
      <c r="G1913" s="273" t="s">
        <v>11</v>
      </c>
      <c r="H1913" s="273" t="s">
        <v>11</v>
      </c>
    </row>
    <row r="1914" spans="1:8" x14ac:dyDescent="0.25">
      <c r="A1914" t="s">
        <v>46</v>
      </c>
      <c r="B1914" t="s">
        <v>80</v>
      </c>
      <c r="C1914" t="s">
        <v>1946</v>
      </c>
      <c r="D1914">
        <v>3</v>
      </c>
      <c r="E1914" s="273">
        <v>4</v>
      </c>
      <c r="F1914" s="273" t="s">
        <v>7</v>
      </c>
      <c r="G1914" s="273" t="s">
        <v>11</v>
      </c>
      <c r="H1914" s="273" t="s">
        <v>11</v>
      </c>
    </row>
    <row r="1915" spans="1:8" x14ac:dyDescent="0.25">
      <c r="A1915" t="s">
        <v>46</v>
      </c>
      <c r="B1915" t="s">
        <v>80</v>
      </c>
      <c r="C1915" t="s">
        <v>1687</v>
      </c>
      <c r="D1915">
        <v>1</v>
      </c>
      <c r="E1915" s="273">
        <v>6</v>
      </c>
      <c r="F1915" s="273" t="s">
        <v>7</v>
      </c>
      <c r="G1915" s="273" t="s">
        <v>11</v>
      </c>
      <c r="H1915" s="273" t="s">
        <v>11</v>
      </c>
    </row>
    <row r="1916" spans="1:8" x14ac:dyDescent="0.25">
      <c r="A1916" t="s">
        <v>46</v>
      </c>
      <c r="B1916" t="s">
        <v>80</v>
      </c>
      <c r="C1916" t="s">
        <v>2298</v>
      </c>
      <c r="D1916">
        <v>1</v>
      </c>
      <c r="E1916" s="273">
        <v>5</v>
      </c>
      <c r="F1916" s="273" t="s">
        <v>7</v>
      </c>
      <c r="G1916" s="273" t="s">
        <v>11</v>
      </c>
      <c r="H1916" s="273" t="s">
        <v>11</v>
      </c>
    </row>
    <row r="1917" spans="1:8" x14ac:dyDescent="0.25">
      <c r="A1917" t="s">
        <v>46</v>
      </c>
      <c r="B1917" t="s">
        <v>80</v>
      </c>
      <c r="C1917" t="s">
        <v>2299</v>
      </c>
      <c r="D1917">
        <v>1</v>
      </c>
      <c r="E1917" s="273">
        <v>6</v>
      </c>
      <c r="F1917" s="273" t="s">
        <v>7</v>
      </c>
      <c r="G1917" s="273" t="s">
        <v>11</v>
      </c>
      <c r="H1917" s="273" t="s">
        <v>11</v>
      </c>
    </row>
    <row r="1918" spans="1:8" x14ac:dyDescent="0.25">
      <c r="A1918" t="s">
        <v>46</v>
      </c>
      <c r="B1918" t="s">
        <v>80</v>
      </c>
      <c r="C1918" t="s">
        <v>2300</v>
      </c>
      <c r="D1918">
        <v>1</v>
      </c>
      <c r="E1918" s="273">
        <v>6</v>
      </c>
      <c r="F1918" s="273" t="s">
        <v>7</v>
      </c>
      <c r="G1918" s="273" t="s">
        <v>11</v>
      </c>
      <c r="H1918" s="273" t="s">
        <v>11</v>
      </c>
    </row>
    <row r="1919" spans="1:8" x14ac:dyDescent="0.25">
      <c r="A1919" t="s">
        <v>46</v>
      </c>
      <c r="B1919" t="s">
        <v>80</v>
      </c>
      <c r="C1919" t="s">
        <v>1556</v>
      </c>
      <c r="D1919">
        <v>3</v>
      </c>
      <c r="E1919" s="273">
        <v>6</v>
      </c>
      <c r="F1919" s="273" t="s">
        <v>7</v>
      </c>
      <c r="G1919" s="273" t="s">
        <v>11</v>
      </c>
      <c r="H1919" s="273" t="s">
        <v>11</v>
      </c>
    </row>
    <row r="1920" spans="1:8" x14ac:dyDescent="0.25">
      <c r="A1920" t="s">
        <v>46</v>
      </c>
      <c r="B1920" t="s">
        <v>80</v>
      </c>
      <c r="C1920" t="s">
        <v>1178</v>
      </c>
      <c r="D1920">
        <v>1</v>
      </c>
      <c r="E1920" s="273">
        <v>5</v>
      </c>
      <c r="F1920" s="273" t="s">
        <v>7</v>
      </c>
      <c r="G1920" s="273" t="s">
        <v>11</v>
      </c>
      <c r="H1920" s="273" t="s">
        <v>11</v>
      </c>
    </row>
    <row r="1921" spans="1:8" x14ac:dyDescent="0.25">
      <c r="A1921" t="s">
        <v>46</v>
      </c>
      <c r="B1921" t="s">
        <v>80</v>
      </c>
      <c r="C1921" t="s">
        <v>1557</v>
      </c>
      <c r="D1921">
        <v>2</v>
      </c>
      <c r="E1921" s="273">
        <v>5</v>
      </c>
      <c r="F1921" s="273" t="s">
        <v>7</v>
      </c>
      <c r="G1921" s="273" t="s">
        <v>11</v>
      </c>
      <c r="H1921" s="273" t="s">
        <v>11</v>
      </c>
    </row>
    <row r="1922" spans="1:8" x14ac:dyDescent="0.25">
      <c r="A1922" t="s">
        <v>46</v>
      </c>
      <c r="B1922" t="s">
        <v>80</v>
      </c>
      <c r="C1922" t="s">
        <v>2301</v>
      </c>
      <c r="D1922">
        <v>3</v>
      </c>
      <c r="E1922" s="273">
        <v>4</v>
      </c>
      <c r="F1922" s="273" t="s">
        <v>7</v>
      </c>
      <c r="G1922" s="273" t="s">
        <v>11</v>
      </c>
      <c r="H1922" s="273" t="s">
        <v>11</v>
      </c>
    </row>
    <row r="1923" spans="1:8" x14ac:dyDescent="0.25">
      <c r="A1923" t="s">
        <v>46</v>
      </c>
      <c r="B1923" t="s">
        <v>80</v>
      </c>
      <c r="C1923" t="s">
        <v>2302</v>
      </c>
      <c r="D1923">
        <v>1</v>
      </c>
      <c r="E1923" s="273">
        <v>6</v>
      </c>
      <c r="F1923" s="273" t="s">
        <v>7</v>
      </c>
      <c r="G1923" s="273" t="s">
        <v>11</v>
      </c>
      <c r="H1923" s="273" t="s">
        <v>11</v>
      </c>
    </row>
    <row r="1924" spans="1:8" x14ac:dyDescent="0.25">
      <c r="A1924" t="s">
        <v>46</v>
      </c>
      <c r="B1924" t="s">
        <v>80</v>
      </c>
      <c r="C1924" t="s">
        <v>2303</v>
      </c>
      <c r="D1924">
        <v>1</v>
      </c>
      <c r="E1924" s="273">
        <v>5</v>
      </c>
      <c r="F1924" s="273" t="s">
        <v>7</v>
      </c>
      <c r="G1924" s="273" t="s">
        <v>11</v>
      </c>
      <c r="H1924" s="273" t="s">
        <v>11</v>
      </c>
    </row>
    <row r="1925" spans="1:8" x14ac:dyDescent="0.25">
      <c r="A1925" t="s">
        <v>38</v>
      </c>
      <c r="B1925" t="s">
        <v>99</v>
      </c>
      <c r="C1925" t="s">
        <v>2304</v>
      </c>
      <c r="D1925">
        <v>3</v>
      </c>
      <c r="E1925" s="273">
        <v>4</v>
      </c>
      <c r="F1925" s="273" t="s">
        <v>7</v>
      </c>
      <c r="G1925" s="273" t="s">
        <v>11</v>
      </c>
      <c r="H1925" s="273" t="s">
        <v>11</v>
      </c>
    </row>
    <row r="1926" spans="1:8" x14ac:dyDescent="0.25">
      <c r="A1926" t="s">
        <v>38</v>
      </c>
      <c r="B1926" t="s">
        <v>99</v>
      </c>
      <c r="C1926" t="s">
        <v>1602</v>
      </c>
      <c r="D1926">
        <v>2</v>
      </c>
      <c r="E1926" s="273">
        <v>4</v>
      </c>
      <c r="F1926" s="273" t="s">
        <v>7</v>
      </c>
      <c r="G1926" s="273" t="s">
        <v>11</v>
      </c>
      <c r="H1926" s="273" t="s">
        <v>11</v>
      </c>
    </row>
    <row r="1927" spans="1:8" x14ac:dyDescent="0.25">
      <c r="A1927" t="s">
        <v>38</v>
      </c>
      <c r="B1927" t="s">
        <v>99</v>
      </c>
      <c r="C1927" t="s">
        <v>2305</v>
      </c>
      <c r="D1927">
        <v>1</v>
      </c>
      <c r="E1927" s="273">
        <v>5</v>
      </c>
      <c r="F1927" s="273" t="s">
        <v>7</v>
      </c>
      <c r="G1927" s="273" t="s">
        <v>11</v>
      </c>
      <c r="H1927" s="273" t="s">
        <v>11</v>
      </c>
    </row>
    <row r="1928" spans="1:8" x14ac:dyDescent="0.25">
      <c r="A1928" t="s">
        <v>38</v>
      </c>
      <c r="B1928" t="s">
        <v>99</v>
      </c>
      <c r="C1928" t="s">
        <v>2306</v>
      </c>
      <c r="D1928">
        <v>3</v>
      </c>
      <c r="E1928" s="273">
        <v>3</v>
      </c>
      <c r="F1928" s="273" t="s">
        <v>7</v>
      </c>
      <c r="G1928" s="273" t="s">
        <v>11</v>
      </c>
      <c r="H1928" s="273" t="s">
        <v>11</v>
      </c>
    </row>
    <row r="1929" spans="1:8" x14ac:dyDescent="0.25">
      <c r="A1929" t="s">
        <v>38</v>
      </c>
      <c r="B1929" t="s">
        <v>99</v>
      </c>
      <c r="C1929" t="s">
        <v>2307</v>
      </c>
      <c r="D1929">
        <v>2</v>
      </c>
      <c r="E1929" s="273">
        <v>5</v>
      </c>
      <c r="F1929" s="273" t="s">
        <v>7</v>
      </c>
      <c r="G1929" s="273" t="s">
        <v>11</v>
      </c>
      <c r="H1929" s="273" t="s">
        <v>11</v>
      </c>
    </row>
    <row r="1930" spans="1:8" x14ac:dyDescent="0.25">
      <c r="A1930" t="s">
        <v>38</v>
      </c>
      <c r="B1930" t="s">
        <v>99</v>
      </c>
      <c r="C1930" t="s">
        <v>2308</v>
      </c>
      <c r="D1930">
        <v>2</v>
      </c>
      <c r="E1930" s="273">
        <v>5</v>
      </c>
      <c r="F1930" s="273" t="s">
        <v>7</v>
      </c>
      <c r="G1930" s="273" t="s">
        <v>11</v>
      </c>
      <c r="H1930" s="273" t="s">
        <v>11</v>
      </c>
    </row>
    <row r="1931" spans="1:8" x14ac:dyDescent="0.25">
      <c r="A1931" t="s">
        <v>38</v>
      </c>
      <c r="B1931" t="s">
        <v>99</v>
      </c>
      <c r="C1931" t="s">
        <v>2309</v>
      </c>
      <c r="D1931">
        <v>3</v>
      </c>
      <c r="E1931" s="273">
        <v>3</v>
      </c>
      <c r="F1931" s="273" t="s">
        <v>7</v>
      </c>
      <c r="G1931" s="273" t="s">
        <v>11</v>
      </c>
      <c r="H1931" s="273" t="s">
        <v>11</v>
      </c>
    </row>
    <row r="1932" spans="1:8" x14ac:dyDescent="0.25">
      <c r="A1932" t="s">
        <v>38</v>
      </c>
      <c r="B1932" t="s">
        <v>99</v>
      </c>
      <c r="C1932" t="s">
        <v>2310</v>
      </c>
      <c r="D1932">
        <v>3</v>
      </c>
      <c r="E1932" s="273">
        <v>4</v>
      </c>
      <c r="F1932" s="273" t="s">
        <v>7</v>
      </c>
      <c r="G1932" s="273" t="s">
        <v>11</v>
      </c>
      <c r="H1932" s="273" t="s">
        <v>11</v>
      </c>
    </row>
    <row r="1933" spans="1:8" x14ac:dyDescent="0.25">
      <c r="A1933" t="s">
        <v>38</v>
      </c>
      <c r="B1933" t="s">
        <v>99</v>
      </c>
      <c r="C1933" t="s">
        <v>2311</v>
      </c>
      <c r="D1933">
        <v>3</v>
      </c>
      <c r="E1933" s="273">
        <v>3</v>
      </c>
      <c r="F1933" s="273" t="s">
        <v>7</v>
      </c>
      <c r="G1933" s="273" t="s">
        <v>11</v>
      </c>
      <c r="H1933" s="273" t="s">
        <v>11</v>
      </c>
    </row>
    <row r="1934" spans="1:8" x14ac:dyDescent="0.25">
      <c r="A1934" t="s">
        <v>38</v>
      </c>
      <c r="B1934" t="s">
        <v>99</v>
      </c>
      <c r="C1934" t="s">
        <v>2312</v>
      </c>
      <c r="D1934">
        <v>3</v>
      </c>
      <c r="E1934" s="273">
        <v>3</v>
      </c>
      <c r="F1934" s="273" t="s">
        <v>7</v>
      </c>
      <c r="G1934" s="273" t="s">
        <v>115</v>
      </c>
      <c r="H1934" s="273" t="s">
        <v>11</v>
      </c>
    </row>
    <row r="1935" spans="1:8" x14ac:dyDescent="0.25">
      <c r="A1935" t="s">
        <v>38</v>
      </c>
      <c r="B1935" t="s">
        <v>99</v>
      </c>
      <c r="C1935" t="s">
        <v>2313</v>
      </c>
      <c r="D1935">
        <v>1</v>
      </c>
      <c r="E1935" s="273">
        <v>4</v>
      </c>
      <c r="F1935" s="273" t="s">
        <v>7</v>
      </c>
      <c r="G1935" s="273" t="s">
        <v>11</v>
      </c>
      <c r="H1935" s="273" t="s">
        <v>11</v>
      </c>
    </row>
    <row r="1936" spans="1:8" x14ac:dyDescent="0.25">
      <c r="A1936" t="s">
        <v>38</v>
      </c>
      <c r="B1936" t="s">
        <v>99</v>
      </c>
      <c r="C1936" t="s">
        <v>1468</v>
      </c>
      <c r="D1936">
        <v>2</v>
      </c>
      <c r="E1936" s="273">
        <v>4</v>
      </c>
      <c r="F1936" s="273" t="s">
        <v>7</v>
      </c>
      <c r="G1936" s="273" t="s">
        <v>11</v>
      </c>
      <c r="H1936" s="273" t="s">
        <v>11</v>
      </c>
    </row>
    <row r="1937" spans="1:8" x14ac:dyDescent="0.25">
      <c r="A1937" t="s">
        <v>38</v>
      </c>
      <c r="B1937" t="s">
        <v>99</v>
      </c>
      <c r="C1937" t="s">
        <v>2314</v>
      </c>
      <c r="D1937">
        <v>3</v>
      </c>
      <c r="E1937" s="273">
        <v>3</v>
      </c>
      <c r="F1937" s="273" t="s">
        <v>7</v>
      </c>
      <c r="G1937" s="273" t="s">
        <v>11</v>
      </c>
      <c r="H1937" s="273" t="s">
        <v>11</v>
      </c>
    </row>
    <row r="1938" spans="1:8" x14ac:dyDescent="0.25">
      <c r="A1938" t="s">
        <v>38</v>
      </c>
      <c r="B1938" t="s">
        <v>99</v>
      </c>
      <c r="C1938" t="s">
        <v>1819</v>
      </c>
      <c r="D1938">
        <v>2</v>
      </c>
      <c r="E1938" s="273">
        <v>4</v>
      </c>
      <c r="F1938" s="273" t="s">
        <v>7</v>
      </c>
      <c r="G1938" s="273" t="s">
        <v>11</v>
      </c>
      <c r="H1938" s="273" t="s">
        <v>11</v>
      </c>
    </row>
    <row r="1939" spans="1:8" x14ac:dyDescent="0.25">
      <c r="A1939" t="s">
        <v>38</v>
      </c>
      <c r="B1939" t="s">
        <v>99</v>
      </c>
      <c r="C1939" t="s">
        <v>1470</v>
      </c>
      <c r="D1939">
        <v>3</v>
      </c>
      <c r="E1939" s="273">
        <v>3</v>
      </c>
      <c r="F1939" s="273" t="s">
        <v>7</v>
      </c>
      <c r="G1939" s="273" t="s">
        <v>11</v>
      </c>
      <c r="H1939" s="273" t="s">
        <v>11</v>
      </c>
    </row>
    <row r="1940" spans="1:8" x14ac:dyDescent="0.25">
      <c r="A1940" t="s">
        <v>38</v>
      </c>
      <c r="B1940" t="s">
        <v>99</v>
      </c>
      <c r="C1940" t="s">
        <v>2315</v>
      </c>
      <c r="D1940">
        <v>3</v>
      </c>
      <c r="E1940" s="273">
        <v>3</v>
      </c>
      <c r="F1940" s="273" t="s">
        <v>7</v>
      </c>
      <c r="G1940" s="273" t="s">
        <v>115</v>
      </c>
      <c r="H1940" s="273" t="s">
        <v>11</v>
      </c>
    </row>
    <row r="1941" spans="1:8" x14ac:dyDescent="0.25">
      <c r="A1941" t="s">
        <v>38</v>
      </c>
      <c r="B1941" t="s">
        <v>99</v>
      </c>
      <c r="C1941" t="s">
        <v>2316</v>
      </c>
      <c r="D1941">
        <v>2</v>
      </c>
      <c r="E1941" s="273">
        <v>4</v>
      </c>
      <c r="F1941" s="273" t="s">
        <v>7</v>
      </c>
      <c r="G1941" s="273" t="s">
        <v>11</v>
      </c>
      <c r="H1941" s="273" t="s">
        <v>11</v>
      </c>
    </row>
    <row r="1942" spans="1:8" x14ac:dyDescent="0.25">
      <c r="A1942" t="s">
        <v>38</v>
      </c>
      <c r="B1942" t="s">
        <v>99</v>
      </c>
      <c r="C1942" t="s">
        <v>2317</v>
      </c>
      <c r="D1942">
        <v>2</v>
      </c>
      <c r="E1942" s="273">
        <v>4</v>
      </c>
      <c r="F1942" s="273" t="s">
        <v>7</v>
      </c>
      <c r="G1942" s="273" t="s">
        <v>11</v>
      </c>
      <c r="H1942" s="273" t="s">
        <v>11</v>
      </c>
    </row>
    <row r="1943" spans="1:8" x14ac:dyDescent="0.25">
      <c r="A1943" t="s">
        <v>38</v>
      </c>
      <c r="B1943" t="s">
        <v>99</v>
      </c>
      <c r="C1943" t="s">
        <v>1474</v>
      </c>
      <c r="D1943">
        <v>3</v>
      </c>
      <c r="E1943" s="273">
        <v>4</v>
      </c>
      <c r="F1943" s="273" t="s">
        <v>7</v>
      </c>
      <c r="G1943" s="273" t="s">
        <v>11</v>
      </c>
      <c r="H1943" s="273" t="s">
        <v>11</v>
      </c>
    </row>
    <row r="1944" spans="1:8" x14ac:dyDescent="0.25">
      <c r="A1944" t="s">
        <v>38</v>
      </c>
      <c r="B1944" t="s">
        <v>99</v>
      </c>
      <c r="C1944" t="s">
        <v>1123</v>
      </c>
      <c r="D1944">
        <v>1</v>
      </c>
      <c r="E1944" s="273">
        <v>4</v>
      </c>
      <c r="F1944" s="273" t="s">
        <v>7</v>
      </c>
      <c r="G1944" s="273" t="s">
        <v>11</v>
      </c>
      <c r="H1944" s="273" t="s">
        <v>11</v>
      </c>
    </row>
    <row r="1945" spans="1:8" x14ac:dyDescent="0.25">
      <c r="A1945" t="s">
        <v>38</v>
      </c>
      <c r="B1945" t="s">
        <v>99</v>
      </c>
      <c r="C1945" t="s">
        <v>2318</v>
      </c>
      <c r="D1945">
        <v>3</v>
      </c>
      <c r="E1945" s="273">
        <v>3</v>
      </c>
      <c r="F1945" s="273" t="s">
        <v>7</v>
      </c>
      <c r="G1945" s="273" t="s">
        <v>11</v>
      </c>
      <c r="H1945" s="273" t="s">
        <v>11</v>
      </c>
    </row>
    <row r="1946" spans="1:8" x14ac:dyDescent="0.25">
      <c r="A1946" t="s">
        <v>38</v>
      </c>
      <c r="B1946" t="s">
        <v>99</v>
      </c>
      <c r="C1946" t="s">
        <v>1127</v>
      </c>
      <c r="D1946">
        <v>2</v>
      </c>
      <c r="E1946" s="273">
        <v>4</v>
      </c>
      <c r="F1946" s="273" t="s">
        <v>7</v>
      </c>
      <c r="G1946" s="273" t="s">
        <v>11</v>
      </c>
      <c r="H1946" s="273" t="s">
        <v>11</v>
      </c>
    </row>
    <row r="1947" spans="1:8" x14ac:dyDescent="0.25">
      <c r="A1947" t="s">
        <v>38</v>
      </c>
      <c r="B1947" t="s">
        <v>99</v>
      </c>
      <c r="C1947" t="s">
        <v>1235</v>
      </c>
      <c r="D1947">
        <v>2</v>
      </c>
      <c r="E1947" s="273">
        <v>4</v>
      </c>
      <c r="F1947" s="273" t="s">
        <v>7</v>
      </c>
      <c r="G1947" s="273" t="s">
        <v>11</v>
      </c>
      <c r="H1947" s="273" t="s">
        <v>11</v>
      </c>
    </row>
    <row r="1948" spans="1:8" x14ac:dyDescent="0.25">
      <c r="A1948" t="s">
        <v>38</v>
      </c>
      <c r="B1948" t="s">
        <v>99</v>
      </c>
      <c r="C1948" t="s">
        <v>2319</v>
      </c>
      <c r="D1948">
        <v>3</v>
      </c>
      <c r="E1948" s="273">
        <v>3</v>
      </c>
      <c r="F1948" s="273" t="s">
        <v>7</v>
      </c>
      <c r="G1948" s="273" t="s">
        <v>115</v>
      </c>
      <c r="H1948" s="273" t="s">
        <v>11</v>
      </c>
    </row>
    <row r="1949" spans="1:8" x14ac:dyDescent="0.25">
      <c r="A1949" t="s">
        <v>38</v>
      </c>
      <c r="B1949" t="s">
        <v>99</v>
      </c>
      <c r="C1949" t="s">
        <v>2320</v>
      </c>
      <c r="D1949">
        <v>3</v>
      </c>
      <c r="E1949" s="273">
        <v>3</v>
      </c>
      <c r="F1949" s="273" t="s">
        <v>7</v>
      </c>
      <c r="G1949" s="273" t="s">
        <v>11</v>
      </c>
      <c r="H1949" s="273" t="s">
        <v>11</v>
      </c>
    </row>
    <row r="1950" spans="1:8" x14ac:dyDescent="0.25">
      <c r="A1950" t="s">
        <v>38</v>
      </c>
      <c r="B1950" t="s">
        <v>99</v>
      </c>
      <c r="C1950" t="s">
        <v>1611</v>
      </c>
      <c r="D1950">
        <v>3</v>
      </c>
      <c r="E1950" s="273">
        <v>3</v>
      </c>
      <c r="F1950" s="273" t="s">
        <v>7</v>
      </c>
      <c r="G1950" s="273" t="s">
        <v>11</v>
      </c>
      <c r="H1950" s="273" t="s">
        <v>11</v>
      </c>
    </row>
    <row r="1951" spans="1:8" x14ac:dyDescent="0.25">
      <c r="A1951" t="s">
        <v>38</v>
      </c>
      <c r="B1951" t="s">
        <v>99</v>
      </c>
      <c r="C1951" t="s">
        <v>2321</v>
      </c>
      <c r="D1951">
        <v>3</v>
      </c>
      <c r="E1951" s="273">
        <v>3</v>
      </c>
      <c r="F1951" s="273" t="s">
        <v>7</v>
      </c>
      <c r="G1951" s="273" t="s">
        <v>11</v>
      </c>
      <c r="H1951" s="273" t="s">
        <v>11</v>
      </c>
    </row>
    <row r="1952" spans="1:8" x14ac:dyDescent="0.25">
      <c r="A1952" t="s">
        <v>38</v>
      </c>
      <c r="B1952" t="s">
        <v>99</v>
      </c>
      <c r="C1952" t="s">
        <v>2322</v>
      </c>
      <c r="D1952">
        <v>3</v>
      </c>
      <c r="E1952" s="273">
        <v>3</v>
      </c>
      <c r="F1952" s="273" t="s">
        <v>7</v>
      </c>
      <c r="G1952" s="273" t="s">
        <v>11</v>
      </c>
      <c r="H1952" s="273" t="s">
        <v>11</v>
      </c>
    </row>
    <row r="1953" spans="1:8" x14ac:dyDescent="0.25">
      <c r="A1953" t="s">
        <v>38</v>
      </c>
      <c r="B1953" t="s">
        <v>99</v>
      </c>
      <c r="C1953" t="s">
        <v>2323</v>
      </c>
      <c r="D1953">
        <v>3</v>
      </c>
      <c r="E1953" s="273">
        <v>3</v>
      </c>
      <c r="F1953" s="273" t="s">
        <v>7</v>
      </c>
      <c r="G1953" s="273" t="s">
        <v>11</v>
      </c>
      <c r="H1953" s="273" t="s">
        <v>11</v>
      </c>
    </row>
    <row r="1954" spans="1:8" x14ac:dyDescent="0.25">
      <c r="A1954" t="s">
        <v>38</v>
      </c>
      <c r="B1954" t="s">
        <v>99</v>
      </c>
      <c r="C1954" t="s">
        <v>2324</v>
      </c>
      <c r="D1954">
        <v>3</v>
      </c>
      <c r="E1954" s="273">
        <v>4</v>
      </c>
      <c r="F1954" s="273" t="s">
        <v>7</v>
      </c>
      <c r="G1954" s="273" t="s">
        <v>11</v>
      </c>
      <c r="H1954" s="273" t="s">
        <v>11</v>
      </c>
    </row>
    <row r="1955" spans="1:8" x14ac:dyDescent="0.25">
      <c r="A1955" t="s">
        <v>38</v>
      </c>
      <c r="B1955" t="s">
        <v>99</v>
      </c>
      <c r="C1955" t="s">
        <v>2325</v>
      </c>
      <c r="D1955">
        <v>3</v>
      </c>
      <c r="E1955" s="273">
        <v>3</v>
      </c>
      <c r="F1955" s="273" t="s">
        <v>7</v>
      </c>
      <c r="G1955" s="273" t="s">
        <v>11</v>
      </c>
      <c r="H1955" s="273" t="s">
        <v>11</v>
      </c>
    </row>
    <row r="1956" spans="1:8" x14ac:dyDescent="0.25">
      <c r="A1956" t="s">
        <v>38</v>
      </c>
      <c r="B1956" t="s">
        <v>99</v>
      </c>
      <c r="C1956" t="s">
        <v>2326</v>
      </c>
      <c r="D1956">
        <v>3</v>
      </c>
      <c r="E1956" s="273">
        <v>4</v>
      </c>
      <c r="F1956" s="273" t="s">
        <v>7</v>
      </c>
      <c r="G1956" s="273" t="s">
        <v>11</v>
      </c>
      <c r="H1956" s="273" t="s">
        <v>11</v>
      </c>
    </row>
    <row r="1957" spans="1:8" x14ac:dyDescent="0.25">
      <c r="A1957" t="s">
        <v>38</v>
      </c>
      <c r="B1957" t="s">
        <v>99</v>
      </c>
      <c r="C1957" t="s">
        <v>2327</v>
      </c>
      <c r="D1957">
        <v>3</v>
      </c>
      <c r="E1957" s="273">
        <v>3</v>
      </c>
      <c r="F1957" s="273" t="s">
        <v>7</v>
      </c>
      <c r="G1957" s="273" t="s">
        <v>11</v>
      </c>
      <c r="H1957" s="273" t="s">
        <v>11</v>
      </c>
    </row>
    <row r="1958" spans="1:8" x14ac:dyDescent="0.25">
      <c r="A1958" t="s">
        <v>38</v>
      </c>
      <c r="B1958" t="s">
        <v>99</v>
      </c>
      <c r="C1958" t="s">
        <v>1498</v>
      </c>
      <c r="D1958">
        <v>2</v>
      </c>
      <c r="E1958" s="273">
        <v>4</v>
      </c>
      <c r="F1958" s="273" t="s">
        <v>7</v>
      </c>
      <c r="G1958" s="273" t="s">
        <v>11</v>
      </c>
      <c r="H1958" s="273" t="s">
        <v>11</v>
      </c>
    </row>
    <row r="1959" spans="1:8" x14ac:dyDescent="0.25">
      <c r="A1959" t="s">
        <v>38</v>
      </c>
      <c r="B1959" t="s">
        <v>99</v>
      </c>
      <c r="C1959" t="s">
        <v>1143</v>
      </c>
      <c r="D1959">
        <v>2</v>
      </c>
      <c r="E1959" s="273">
        <v>4</v>
      </c>
      <c r="F1959" s="273" t="s">
        <v>7</v>
      </c>
      <c r="G1959" s="273" t="s">
        <v>11</v>
      </c>
      <c r="H1959" s="273" t="s">
        <v>11</v>
      </c>
    </row>
    <row r="1960" spans="1:8" x14ac:dyDescent="0.25">
      <c r="A1960" t="s">
        <v>38</v>
      </c>
      <c r="B1960" t="s">
        <v>99</v>
      </c>
      <c r="C1960" t="s">
        <v>2328</v>
      </c>
      <c r="D1960">
        <v>2</v>
      </c>
      <c r="E1960" s="273">
        <v>3</v>
      </c>
      <c r="F1960" s="273" t="s">
        <v>7</v>
      </c>
      <c r="G1960" s="273" t="s">
        <v>11</v>
      </c>
      <c r="H1960" s="273" t="s">
        <v>11</v>
      </c>
    </row>
    <row r="1961" spans="1:8" x14ac:dyDescent="0.25">
      <c r="A1961" t="s">
        <v>38</v>
      </c>
      <c r="B1961" t="s">
        <v>99</v>
      </c>
      <c r="C1961" t="s">
        <v>2329</v>
      </c>
      <c r="D1961">
        <v>3</v>
      </c>
      <c r="E1961" s="273">
        <v>4</v>
      </c>
      <c r="F1961" s="273" t="s">
        <v>7</v>
      </c>
      <c r="G1961" s="273" t="s">
        <v>11</v>
      </c>
      <c r="H1961" s="273" t="s">
        <v>11</v>
      </c>
    </row>
    <row r="1962" spans="1:8" x14ac:dyDescent="0.25">
      <c r="A1962" t="s">
        <v>38</v>
      </c>
      <c r="B1962" t="s">
        <v>99</v>
      </c>
      <c r="C1962" t="s">
        <v>1215</v>
      </c>
      <c r="D1962">
        <v>2</v>
      </c>
      <c r="E1962" s="273">
        <v>4</v>
      </c>
      <c r="F1962" s="273" t="s">
        <v>7</v>
      </c>
      <c r="G1962" s="273" t="s">
        <v>11</v>
      </c>
      <c r="H1962" s="273" t="s">
        <v>11</v>
      </c>
    </row>
    <row r="1963" spans="1:8" x14ac:dyDescent="0.25">
      <c r="A1963" t="s">
        <v>38</v>
      </c>
      <c r="B1963" t="s">
        <v>99</v>
      </c>
      <c r="C1963" t="s">
        <v>2330</v>
      </c>
      <c r="D1963">
        <v>3</v>
      </c>
      <c r="E1963" s="273">
        <v>4</v>
      </c>
      <c r="F1963" s="273" t="s">
        <v>7</v>
      </c>
      <c r="G1963" s="273" t="s">
        <v>11</v>
      </c>
      <c r="H1963" s="273" t="s">
        <v>11</v>
      </c>
    </row>
    <row r="1964" spans="1:8" x14ac:dyDescent="0.25">
      <c r="A1964" t="s">
        <v>38</v>
      </c>
      <c r="B1964" t="s">
        <v>99</v>
      </c>
      <c r="C1964" t="s">
        <v>1145</v>
      </c>
      <c r="D1964">
        <v>3</v>
      </c>
      <c r="E1964" s="273">
        <v>3</v>
      </c>
      <c r="F1964" s="273" t="s">
        <v>7</v>
      </c>
      <c r="G1964" s="273" t="s">
        <v>11</v>
      </c>
      <c r="H1964" s="273" t="s">
        <v>11</v>
      </c>
    </row>
    <row r="1965" spans="1:8" x14ac:dyDescent="0.25">
      <c r="A1965" t="s">
        <v>38</v>
      </c>
      <c r="B1965" t="s">
        <v>99</v>
      </c>
      <c r="C1965" t="s">
        <v>2331</v>
      </c>
      <c r="D1965">
        <v>3</v>
      </c>
      <c r="E1965" s="273">
        <v>4</v>
      </c>
      <c r="F1965" s="273" t="s">
        <v>7</v>
      </c>
      <c r="G1965" s="273" t="s">
        <v>11</v>
      </c>
      <c r="H1965" s="273" t="s">
        <v>11</v>
      </c>
    </row>
    <row r="1966" spans="1:8" x14ac:dyDescent="0.25">
      <c r="A1966" t="s">
        <v>38</v>
      </c>
      <c r="B1966" t="s">
        <v>99</v>
      </c>
      <c r="C1966" t="s">
        <v>2332</v>
      </c>
      <c r="D1966">
        <v>3</v>
      </c>
      <c r="E1966" s="273">
        <v>4</v>
      </c>
      <c r="F1966" s="273" t="s">
        <v>7</v>
      </c>
      <c r="G1966" s="273" t="s">
        <v>11</v>
      </c>
      <c r="H1966" s="273" t="s">
        <v>11</v>
      </c>
    </row>
    <row r="1967" spans="1:8" x14ac:dyDescent="0.25">
      <c r="A1967" t="s">
        <v>38</v>
      </c>
      <c r="B1967" t="s">
        <v>99</v>
      </c>
      <c r="C1967" t="s">
        <v>2333</v>
      </c>
      <c r="D1967">
        <v>3</v>
      </c>
      <c r="E1967" s="273">
        <v>4</v>
      </c>
      <c r="F1967" s="273" t="s">
        <v>7</v>
      </c>
      <c r="G1967" s="273" t="s">
        <v>11</v>
      </c>
      <c r="H1967" s="273" t="s">
        <v>11</v>
      </c>
    </row>
    <row r="1968" spans="1:8" x14ac:dyDescent="0.25">
      <c r="A1968" t="s">
        <v>38</v>
      </c>
      <c r="B1968" t="s">
        <v>99</v>
      </c>
      <c r="C1968" t="s">
        <v>2334</v>
      </c>
      <c r="D1968">
        <v>2</v>
      </c>
      <c r="E1968" s="273">
        <v>4</v>
      </c>
      <c r="F1968" s="273" t="s">
        <v>7</v>
      </c>
      <c r="G1968" s="273" t="s">
        <v>11</v>
      </c>
      <c r="H1968" s="273" t="s">
        <v>11</v>
      </c>
    </row>
    <row r="1969" spans="1:8" x14ac:dyDescent="0.25">
      <c r="A1969" t="s">
        <v>38</v>
      </c>
      <c r="B1969" t="s">
        <v>99</v>
      </c>
      <c r="C1969" t="s">
        <v>1620</v>
      </c>
      <c r="D1969">
        <v>1</v>
      </c>
      <c r="E1969" s="273">
        <v>4</v>
      </c>
      <c r="F1969" s="273" t="s">
        <v>7</v>
      </c>
      <c r="G1969" s="273" t="s">
        <v>11</v>
      </c>
      <c r="H1969" s="273" t="s">
        <v>11</v>
      </c>
    </row>
    <row r="1970" spans="1:8" x14ac:dyDescent="0.25">
      <c r="A1970" t="s">
        <v>38</v>
      </c>
      <c r="B1970" t="s">
        <v>99</v>
      </c>
      <c r="C1970" t="s">
        <v>2335</v>
      </c>
      <c r="D1970">
        <v>3</v>
      </c>
      <c r="E1970" s="273">
        <v>4</v>
      </c>
      <c r="F1970" s="273" t="s">
        <v>7</v>
      </c>
      <c r="G1970" s="273" t="s">
        <v>11</v>
      </c>
      <c r="H1970" s="273" t="s">
        <v>11</v>
      </c>
    </row>
    <row r="1971" spans="1:8" x14ac:dyDescent="0.25">
      <c r="A1971" t="s">
        <v>38</v>
      </c>
      <c r="B1971" t="s">
        <v>99</v>
      </c>
      <c r="C1971" t="s">
        <v>2336</v>
      </c>
      <c r="D1971">
        <v>3</v>
      </c>
      <c r="E1971" s="273">
        <v>3</v>
      </c>
      <c r="F1971" s="273" t="s">
        <v>7</v>
      </c>
      <c r="G1971" s="273" t="s">
        <v>11</v>
      </c>
      <c r="H1971" s="273" t="s">
        <v>11</v>
      </c>
    </row>
    <row r="1972" spans="1:8" x14ac:dyDescent="0.25">
      <c r="A1972" t="s">
        <v>38</v>
      </c>
      <c r="B1972" t="s">
        <v>99</v>
      </c>
      <c r="C1972" t="s">
        <v>2337</v>
      </c>
      <c r="D1972">
        <v>3</v>
      </c>
      <c r="E1972" s="273">
        <v>3</v>
      </c>
      <c r="F1972" s="273" t="s">
        <v>7</v>
      </c>
      <c r="G1972" s="273" t="s">
        <v>11</v>
      </c>
      <c r="H1972" s="273" t="s">
        <v>11</v>
      </c>
    </row>
    <row r="1973" spans="1:8" x14ac:dyDescent="0.25">
      <c r="A1973" t="s">
        <v>38</v>
      </c>
      <c r="B1973" t="s">
        <v>99</v>
      </c>
      <c r="C1973" t="s">
        <v>2338</v>
      </c>
      <c r="D1973">
        <v>2</v>
      </c>
      <c r="E1973" s="273">
        <v>4</v>
      </c>
      <c r="F1973" s="273" t="s">
        <v>7</v>
      </c>
      <c r="G1973" s="273" t="s">
        <v>11</v>
      </c>
      <c r="H1973" s="273" t="s">
        <v>11</v>
      </c>
    </row>
    <row r="1974" spans="1:8" x14ac:dyDescent="0.25">
      <c r="A1974" t="s">
        <v>38</v>
      </c>
      <c r="B1974" t="s">
        <v>99</v>
      </c>
      <c r="C1974" t="s">
        <v>1149</v>
      </c>
      <c r="D1974">
        <v>2</v>
      </c>
      <c r="E1974" s="273">
        <v>4</v>
      </c>
      <c r="F1974" s="273" t="s">
        <v>7</v>
      </c>
      <c r="G1974" s="273" t="s">
        <v>11</v>
      </c>
      <c r="H1974" s="273" t="s">
        <v>11</v>
      </c>
    </row>
    <row r="1975" spans="1:8" x14ac:dyDescent="0.25">
      <c r="A1975" t="s">
        <v>38</v>
      </c>
      <c r="B1975" t="s">
        <v>99</v>
      </c>
      <c r="C1975" t="s">
        <v>2339</v>
      </c>
      <c r="D1975">
        <v>3</v>
      </c>
      <c r="E1975" s="273">
        <v>3</v>
      </c>
      <c r="F1975" s="273" t="s">
        <v>7</v>
      </c>
      <c r="G1975" s="273" t="s">
        <v>11</v>
      </c>
      <c r="H1975" s="273" t="s">
        <v>11</v>
      </c>
    </row>
    <row r="1976" spans="1:8" x14ac:dyDescent="0.25">
      <c r="A1976" t="s">
        <v>38</v>
      </c>
      <c r="B1976" t="s">
        <v>99</v>
      </c>
      <c r="C1976" t="s">
        <v>1516</v>
      </c>
      <c r="D1976">
        <v>3</v>
      </c>
      <c r="E1976" s="273">
        <v>3</v>
      </c>
      <c r="F1976" s="273" t="s">
        <v>7</v>
      </c>
      <c r="G1976" s="273" t="s">
        <v>11</v>
      </c>
      <c r="H1976" s="273" t="s">
        <v>11</v>
      </c>
    </row>
    <row r="1977" spans="1:8" x14ac:dyDescent="0.25">
      <c r="A1977" t="s">
        <v>38</v>
      </c>
      <c r="B1977" t="s">
        <v>99</v>
      </c>
      <c r="C1977" t="s">
        <v>1154</v>
      </c>
      <c r="D1977">
        <v>3</v>
      </c>
      <c r="E1977" s="273">
        <v>4</v>
      </c>
      <c r="F1977" s="273" t="s">
        <v>7</v>
      </c>
      <c r="G1977" s="273" t="s">
        <v>11</v>
      </c>
      <c r="H1977" s="273" t="s">
        <v>11</v>
      </c>
    </row>
    <row r="1978" spans="1:8" x14ac:dyDescent="0.25">
      <c r="A1978" t="s">
        <v>38</v>
      </c>
      <c r="B1978" t="s">
        <v>99</v>
      </c>
      <c r="C1978" t="s">
        <v>2340</v>
      </c>
      <c r="D1978">
        <v>3</v>
      </c>
      <c r="E1978" s="273">
        <v>3</v>
      </c>
      <c r="F1978" s="273" t="s">
        <v>7</v>
      </c>
      <c r="G1978" s="273" t="s">
        <v>11</v>
      </c>
      <c r="H1978" s="273" t="s">
        <v>11</v>
      </c>
    </row>
    <row r="1979" spans="1:8" x14ac:dyDescent="0.25">
      <c r="A1979" t="s">
        <v>38</v>
      </c>
      <c r="B1979" t="s">
        <v>99</v>
      </c>
      <c r="C1979" t="s">
        <v>1255</v>
      </c>
      <c r="D1979">
        <v>2</v>
      </c>
      <c r="E1979" s="273">
        <v>4</v>
      </c>
      <c r="F1979" s="273" t="s">
        <v>7</v>
      </c>
      <c r="G1979" s="273" t="s">
        <v>11</v>
      </c>
      <c r="H1979" s="273" t="s">
        <v>11</v>
      </c>
    </row>
    <row r="1980" spans="1:8" x14ac:dyDescent="0.25">
      <c r="A1980" t="s">
        <v>38</v>
      </c>
      <c r="B1980" t="s">
        <v>99</v>
      </c>
      <c r="C1980" t="s">
        <v>1157</v>
      </c>
      <c r="D1980">
        <v>2</v>
      </c>
      <c r="E1980" s="273">
        <v>4</v>
      </c>
      <c r="F1980" s="273" t="s">
        <v>7</v>
      </c>
      <c r="G1980" s="273" t="s">
        <v>11</v>
      </c>
      <c r="H1980" s="273" t="s">
        <v>11</v>
      </c>
    </row>
    <row r="1981" spans="1:8" x14ac:dyDescent="0.25">
      <c r="A1981" t="s">
        <v>38</v>
      </c>
      <c r="B1981" t="s">
        <v>99</v>
      </c>
      <c r="C1981" t="s">
        <v>1158</v>
      </c>
      <c r="D1981">
        <v>2</v>
      </c>
      <c r="E1981" s="273">
        <v>4</v>
      </c>
      <c r="F1981" s="273" t="s">
        <v>7</v>
      </c>
      <c r="G1981" s="273" t="s">
        <v>11</v>
      </c>
      <c r="H1981" s="273" t="s">
        <v>11</v>
      </c>
    </row>
    <row r="1982" spans="1:8" x14ac:dyDescent="0.25">
      <c r="A1982" t="s">
        <v>38</v>
      </c>
      <c r="B1982" t="s">
        <v>99</v>
      </c>
      <c r="C1982" t="s">
        <v>1435</v>
      </c>
      <c r="D1982">
        <v>3</v>
      </c>
      <c r="E1982" s="273">
        <v>3</v>
      </c>
      <c r="F1982" s="273" t="s">
        <v>7</v>
      </c>
      <c r="G1982" s="273" t="s">
        <v>11</v>
      </c>
      <c r="H1982" s="273" t="s">
        <v>11</v>
      </c>
    </row>
    <row r="1983" spans="1:8" x14ac:dyDescent="0.25">
      <c r="A1983" t="s">
        <v>38</v>
      </c>
      <c r="B1983" t="s">
        <v>99</v>
      </c>
      <c r="C1983" t="s">
        <v>2341</v>
      </c>
      <c r="D1983">
        <v>2</v>
      </c>
      <c r="E1983" s="273">
        <v>4</v>
      </c>
      <c r="F1983" s="273" t="s">
        <v>7</v>
      </c>
      <c r="G1983" s="273" t="s">
        <v>11</v>
      </c>
      <c r="H1983" s="273" t="s">
        <v>11</v>
      </c>
    </row>
    <row r="1984" spans="1:8" x14ac:dyDescent="0.25">
      <c r="A1984" t="s">
        <v>38</v>
      </c>
      <c r="B1984" t="s">
        <v>99</v>
      </c>
      <c r="C1984" t="s">
        <v>2342</v>
      </c>
      <c r="D1984">
        <v>3</v>
      </c>
      <c r="E1984" s="273">
        <v>3</v>
      </c>
      <c r="F1984" s="273" t="s">
        <v>7</v>
      </c>
      <c r="G1984" s="273" t="s">
        <v>11</v>
      </c>
      <c r="H1984" s="273" t="s">
        <v>11</v>
      </c>
    </row>
    <row r="1985" spans="1:8" x14ac:dyDescent="0.25">
      <c r="A1985" t="s">
        <v>38</v>
      </c>
      <c r="B1985" t="s">
        <v>99</v>
      </c>
      <c r="C1985" t="s">
        <v>1524</v>
      </c>
      <c r="D1985">
        <v>1</v>
      </c>
      <c r="E1985" s="273">
        <v>5</v>
      </c>
      <c r="F1985" s="273" t="s">
        <v>7</v>
      </c>
      <c r="G1985" s="273" t="s">
        <v>11</v>
      </c>
      <c r="H1985" s="273" t="s">
        <v>11</v>
      </c>
    </row>
    <row r="1986" spans="1:8" x14ac:dyDescent="0.25">
      <c r="A1986" t="s">
        <v>38</v>
      </c>
      <c r="B1986" t="s">
        <v>99</v>
      </c>
      <c r="C1986" t="s">
        <v>1164</v>
      </c>
      <c r="D1986">
        <v>3</v>
      </c>
      <c r="E1986" s="273">
        <v>3</v>
      </c>
      <c r="F1986" s="273" t="s">
        <v>7</v>
      </c>
      <c r="G1986" s="273" t="s">
        <v>11</v>
      </c>
      <c r="H1986" s="273" t="s">
        <v>11</v>
      </c>
    </row>
    <row r="1987" spans="1:8" x14ac:dyDescent="0.25">
      <c r="A1987" t="s">
        <v>38</v>
      </c>
      <c r="B1987" t="s">
        <v>99</v>
      </c>
      <c r="C1987" t="s">
        <v>2343</v>
      </c>
      <c r="D1987">
        <v>3</v>
      </c>
      <c r="E1987" s="273">
        <v>3</v>
      </c>
      <c r="F1987" s="273" t="s">
        <v>7</v>
      </c>
      <c r="G1987" s="273" t="s">
        <v>11</v>
      </c>
      <c r="H1987" s="273" t="s">
        <v>11</v>
      </c>
    </row>
    <row r="1988" spans="1:8" x14ac:dyDescent="0.25">
      <c r="A1988" t="s">
        <v>38</v>
      </c>
      <c r="B1988" t="s">
        <v>99</v>
      </c>
      <c r="C1988" t="s">
        <v>2344</v>
      </c>
      <c r="D1988">
        <v>3</v>
      </c>
      <c r="E1988" s="273">
        <v>4</v>
      </c>
      <c r="F1988" s="273" t="s">
        <v>7</v>
      </c>
      <c r="G1988" s="273" t="s">
        <v>11</v>
      </c>
      <c r="H1988" s="273" t="s">
        <v>11</v>
      </c>
    </row>
    <row r="1989" spans="1:8" x14ac:dyDescent="0.25">
      <c r="A1989" t="s">
        <v>38</v>
      </c>
      <c r="B1989" t="s">
        <v>99</v>
      </c>
      <c r="C1989" t="s">
        <v>2345</v>
      </c>
      <c r="D1989">
        <v>3</v>
      </c>
      <c r="E1989" s="273">
        <v>3</v>
      </c>
      <c r="F1989" s="273" t="s">
        <v>7</v>
      </c>
      <c r="G1989" s="273" t="s">
        <v>115</v>
      </c>
      <c r="H1989" s="273" t="s">
        <v>11</v>
      </c>
    </row>
    <row r="1990" spans="1:8" x14ac:dyDescent="0.25">
      <c r="A1990" t="s">
        <v>38</v>
      </c>
      <c r="B1990" t="s">
        <v>99</v>
      </c>
      <c r="C1990" t="s">
        <v>2346</v>
      </c>
      <c r="D1990">
        <v>3</v>
      </c>
      <c r="E1990" s="273">
        <v>4</v>
      </c>
      <c r="F1990" s="273" t="s">
        <v>7</v>
      </c>
      <c r="G1990" s="273" t="s">
        <v>11</v>
      </c>
      <c r="H1990" s="273" t="s">
        <v>11</v>
      </c>
    </row>
    <row r="1991" spans="1:8" x14ac:dyDescent="0.25">
      <c r="A1991" t="s">
        <v>38</v>
      </c>
      <c r="B1991" t="s">
        <v>99</v>
      </c>
      <c r="C1991" t="s">
        <v>2347</v>
      </c>
      <c r="D1991">
        <v>3</v>
      </c>
      <c r="E1991" s="273">
        <v>3</v>
      </c>
      <c r="F1991" s="273" t="s">
        <v>7</v>
      </c>
      <c r="G1991" s="273" t="s">
        <v>115</v>
      </c>
      <c r="H1991" s="273" t="s">
        <v>11</v>
      </c>
    </row>
    <row r="1992" spans="1:8" x14ac:dyDescent="0.25">
      <c r="A1992" t="s">
        <v>38</v>
      </c>
      <c r="B1992" t="s">
        <v>99</v>
      </c>
      <c r="C1992" t="s">
        <v>1311</v>
      </c>
      <c r="D1992">
        <v>3</v>
      </c>
      <c r="E1992" s="273">
        <v>4</v>
      </c>
      <c r="F1992" s="273" t="s">
        <v>7</v>
      </c>
      <c r="G1992" s="273" t="s">
        <v>11</v>
      </c>
      <c r="H1992" s="273" t="s">
        <v>11</v>
      </c>
    </row>
    <row r="1993" spans="1:8" x14ac:dyDescent="0.25">
      <c r="A1993" t="s">
        <v>38</v>
      </c>
      <c r="B1993" t="s">
        <v>99</v>
      </c>
      <c r="C1993" t="s">
        <v>2348</v>
      </c>
      <c r="D1993">
        <v>3</v>
      </c>
      <c r="E1993" s="273">
        <v>3</v>
      </c>
      <c r="F1993" s="273" t="s">
        <v>7</v>
      </c>
      <c r="G1993" s="273" t="s">
        <v>11</v>
      </c>
      <c r="H1993" s="273" t="s">
        <v>11</v>
      </c>
    </row>
    <row r="1994" spans="1:8" x14ac:dyDescent="0.25">
      <c r="A1994" t="s">
        <v>38</v>
      </c>
      <c r="B1994" t="s">
        <v>99</v>
      </c>
      <c r="C1994" t="s">
        <v>2349</v>
      </c>
      <c r="D1994">
        <v>3</v>
      </c>
      <c r="E1994" s="273">
        <v>3</v>
      </c>
      <c r="F1994" s="273" t="s">
        <v>7</v>
      </c>
      <c r="G1994" s="273" t="s">
        <v>11</v>
      </c>
      <c r="H1994" s="273" t="s">
        <v>11</v>
      </c>
    </row>
    <row r="1995" spans="1:8" x14ac:dyDescent="0.25">
      <c r="A1995" t="s">
        <v>38</v>
      </c>
      <c r="B1995" t="s">
        <v>99</v>
      </c>
      <c r="C1995" t="s">
        <v>2350</v>
      </c>
      <c r="D1995">
        <v>3</v>
      </c>
      <c r="E1995" s="273">
        <v>3</v>
      </c>
      <c r="F1995" s="273" t="s">
        <v>7</v>
      </c>
      <c r="G1995" s="273" t="s">
        <v>115</v>
      </c>
      <c r="H1995" s="273" t="s">
        <v>11</v>
      </c>
    </row>
    <row r="1996" spans="1:8" x14ac:dyDescent="0.25">
      <c r="A1996" t="s">
        <v>38</v>
      </c>
      <c r="B1996" t="s">
        <v>99</v>
      </c>
      <c r="C1996" t="s">
        <v>2351</v>
      </c>
      <c r="D1996">
        <v>3</v>
      </c>
      <c r="E1996" s="273">
        <v>3</v>
      </c>
      <c r="F1996" s="273" t="s">
        <v>7</v>
      </c>
      <c r="G1996" s="273" t="s">
        <v>11</v>
      </c>
      <c r="H1996" s="273" t="s">
        <v>11</v>
      </c>
    </row>
    <row r="1997" spans="1:8" x14ac:dyDescent="0.25">
      <c r="A1997" t="s">
        <v>38</v>
      </c>
      <c r="B1997" t="s">
        <v>99</v>
      </c>
      <c r="C1997" t="s">
        <v>2352</v>
      </c>
      <c r="D1997">
        <v>3</v>
      </c>
      <c r="E1997" s="273">
        <v>4</v>
      </c>
      <c r="F1997" s="273" t="s">
        <v>7</v>
      </c>
      <c r="G1997" s="273" t="s">
        <v>11</v>
      </c>
      <c r="H1997" s="273" t="s">
        <v>11</v>
      </c>
    </row>
    <row r="1998" spans="1:8" x14ac:dyDescent="0.25">
      <c r="A1998" t="s">
        <v>38</v>
      </c>
      <c r="B1998" t="s">
        <v>99</v>
      </c>
      <c r="C1998" t="s">
        <v>2353</v>
      </c>
      <c r="D1998">
        <v>3</v>
      </c>
      <c r="E1998" s="273">
        <v>3</v>
      </c>
      <c r="F1998" s="273" t="s">
        <v>7</v>
      </c>
      <c r="G1998" s="273" t="s">
        <v>11</v>
      </c>
      <c r="H1998" s="273" t="s">
        <v>11</v>
      </c>
    </row>
    <row r="1999" spans="1:8" x14ac:dyDescent="0.25">
      <c r="A1999" t="s">
        <v>38</v>
      </c>
      <c r="B1999" t="s">
        <v>99</v>
      </c>
      <c r="C1999" t="s">
        <v>1266</v>
      </c>
      <c r="D1999">
        <v>2</v>
      </c>
      <c r="E1999" s="273">
        <v>4</v>
      </c>
      <c r="F1999" s="273" t="s">
        <v>7</v>
      </c>
      <c r="G1999" s="273" t="s">
        <v>11</v>
      </c>
      <c r="H1999" s="273" t="s">
        <v>11</v>
      </c>
    </row>
    <row r="2000" spans="1:8" x14ac:dyDescent="0.25">
      <c r="A2000" t="s">
        <v>38</v>
      </c>
      <c r="B2000" t="s">
        <v>99</v>
      </c>
      <c r="C2000" t="s">
        <v>1169</v>
      </c>
      <c r="D2000">
        <v>3</v>
      </c>
      <c r="E2000" s="273">
        <v>3</v>
      </c>
      <c r="F2000" s="273" t="s">
        <v>7</v>
      </c>
      <c r="G2000" s="273" t="s">
        <v>11</v>
      </c>
      <c r="H2000" s="273" t="s">
        <v>11</v>
      </c>
    </row>
    <row r="2001" spans="1:8" x14ac:dyDescent="0.25">
      <c r="A2001" t="s">
        <v>38</v>
      </c>
      <c r="B2001" t="s">
        <v>99</v>
      </c>
      <c r="C2001" t="s">
        <v>1534</v>
      </c>
      <c r="D2001">
        <v>3</v>
      </c>
      <c r="E2001" s="273">
        <v>3</v>
      </c>
      <c r="F2001" s="273" t="s">
        <v>7</v>
      </c>
      <c r="G2001" s="273" t="s">
        <v>11</v>
      </c>
      <c r="H2001" s="273" t="s">
        <v>11</v>
      </c>
    </row>
    <row r="2002" spans="1:8" x14ac:dyDescent="0.25">
      <c r="A2002" t="s">
        <v>38</v>
      </c>
      <c r="B2002" t="s">
        <v>99</v>
      </c>
      <c r="C2002" t="s">
        <v>2354</v>
      </c>
      <c r="D2002">
        <v>3</v>
      </c>
      <c r="E2002" s="273">
        <v>3</v>
      </c>
      <c r="F2002" s="273" t="s">
        <v>7</v>
      </c>
      <c r="G2002" s="273" t="s">
        <v>11</v>
      </c>
      <c r="H2002" s="273" t="s">
        <v>11</v>
      </c>
    </row>
    <row r="2003" spans="1:8" x14ac:dyDescent="0.25">
      <c r="A2003" t="s">
        <v>38</v>
      </c>
      <c r="B2003" t="s">
        <v>99</v>
      </c>
      <c r="C2003" t="s">
        <v>2237</v>
      </c>
      <c r="D2003">
        <v>1</v>
      </c>
      <c r="E2003" s="273">
        <v>4</v>
      </c>
      <c r="F2003" s="273" t="s">
        <v>7</v>
      </c>
      <c r="G2003" s="273" t="s">
        <v>11</v>
      </c>
      <c r="H2003" s="273" t="s">
        <v>11</v>
      </c>
    </row>
    <row r="2004" spans="1:8" x14ac:dyDescent="0.25">
      <c r="A2004" t="s">
        <v>38</v>
      </c>
      <c r="B2004" t="s">
        <v>99</v>
      </c>
      <c r="C2004" t="s">
        <v>1858</v>
      </c>
      <c r="D2004">
        <v>3</v>
      </c>
      <c r="E2004" s="273">
        <v>3</v>
      </c>
      <c r="F2004" s="273" t="s">
        <v>7</v>
      </c>
      <c r="G2004" s="273" t="s">
        <v>11</v>
      </c>
      <c r="H2004" s="273" t="s">
        <v>11</v>
      </c>
    </row>
    <row r="2005" spans="1:8" x14ac:dyDescent="0.25">
      <c r="A2005" t="s">
        <v>38</v>
      </c>
      <c r="B2005" t="s">
        <v>99</v>
      </c>
      <c r="C2005" t="s">
        <v>2355</v>
      </c>
      <c r="D2005">
        <v>2</v>
      </c>
      <c r="E2005" s="273">
        <v>4</v>
      </c>
      <c r="F2005" s="273" t="s">
        <v>7</v>
      </c>
      <c r="G2005" s="273" t="s">
        <v>11</v>
      </c>
      <c r="H2005" s="273" t="s">
        <v>11</v>
      </c>
    </row>
    <row r="2006" spans="1:8" x14ac:dyDescent="0.25">
      <c r="A2006" t="s">
        <v>38</v>
      </c>
      <c r="B2006" t="s">
        <v>99</v>
      </c>
      <c r="C2006" t="s">
        <v>2356</v>
      </c>
      <c r="D2006">
        <v>3</v>
      </c>
      <c r="E2006" s="273">
        <v>3</v>
      </c>
      <c r="F2006" s="273" t="s">
        <v>7</v>
      </c>
      <c r="G2006" s="273" t="s">
        <v>11</v>
      </c>
      <c r="H2006" s="273" t="s">
        <v>11</v>
      </c>
    </row>
    <row r="2007" spans="1:8" x14ac:dyDescent="0.25">
      <c r="A2007" t="s">
        <v>38</v>
      </c>
      <c r="B2007" t="s">
        <v>99</v>
      </c>
      <c r="C2007" t="s">
        <v>2140</v>
      </c>
      <c r="D2007">
        <v>3</v>
      </c>
      <c r="E2007" s="273">
        <v>3</v>
      </c>
      <c r="F2007" s="273" t="s">
        <v>7</v>
      </c>
      <c r="G2007" s="273" t="s">
        <v>11</v>
      </c>
      <c r="H2007" s="273" t="s">
        <v>11</v>
      </c>
    </row>
    <row r="2008" spans="1:8" x14ac:dyDescent="0.25">
      <c r="A2008" t="s">
        <v>38</v>
      </c>
      <c r="B2008" t="s">
        <v>99</v>
      </c>
      <c r="C2008" t="s">
        <v>2357</v>
      </c>
      <c r="D2008">
        <v>3</v>
      </c>
      <c r="E2008" s="273">
        <v>3</v>
      </c>
      <c r="F2008" s="273" t="s">
        <v>7</v>
      </c>
      <c r="G2008" s="273" t="s">
        <v>11</v>
      </c>
      <c r="H2008" s="273" t="s">
        <v>11</v>
      </c>
    </row>
    <row r="2009" spans="1:8" x14ac:dyDescent="0.25">
      <c r="A2009" t="s">
        <v>38</v>
      </c>
      <c r="B2009" t="s">
        <v>99</v>
      </c>
      <c r="C2009" t="s">
        <v>2358</v>
      </c>
      <c r="D2009">
        <v>2</v>
      </c>
      <c r="E2009" s="273">
        <v>4</v>
      </c>
      <c r="F2009" s="273" t="s">
        <v>7</v>
      </c>
      <c r="G2009" s="273" t="s">
        <v>11</v>
      </c>
      <c r="H2009" s="273" t="s">
        <v>11</v>
      </c>
    </row>
    <row r="2010" spans="1:8" x14ac:dyDescent="0.25">
      <c r="A2010" t="s">
        <v>38</v>
      </c>
      <c r="B2010" t="s">
        <v>99</v>
      </c>
      <c r="C2010" t="s">
        <v>2359</v>
      </c>
      <c r="D2010">
        <v>2</v>
      </c>
      <c r="E2010" s="273">
        <v>4</v>
      </c>
      <c r="F2010" s="273" t="s">
        <v>7</v>
      </c>
      <c r="G2010" s="273" t="s">
        <v>11</v>
      </c>
      <c r="H2010" s="273" t="s">
        <v>11</v>
      </c>
    </row>
    <row r="2011" spans="1:8" x14ac:dyDescent="0.25">
      <c r="A2011" t="s">
        <v>38</v>
      </c>
      <c r="B2011" t="s">
        <v>99</v>
      </c>
      <c r="C2011" t="s">
        <v>2360</v>
      </c>
      <c r="D2011">
        <v>2</v>
      </c>
      <c r="E2011" s="273">
        <v>4</v>
      </c>
      <c r="F2011" s="273" t="s">
        <v>7</v>
      </c>
      <c r="G2011" s="273" t="s">
        <v>11</v>
      </c>
      <c r="H2011" s="273" t="s">
        <v>11</v>
      </c>
    </row>
    <row r="2012" spans="1:8" x14ac:dyDescent="0.25">
      <c r="A2012" t="s">
        <v>38</v>
      </c>
      <c r="B2012" t="s">
        <v>99</v>
      </c>
      <c r="C2012" t="s">
        <v>2361</v>
      </c>
      <c r="D2012">
        <v>1</v>
      </c>
      <c r="E2012" s="273">
        <v>4</v>
      </c>
      <c r="F2012" s="273" t="s">
        <v>7</v>
      </c>
      <c r="G2012" s="273" t="s">
        <v>11</v>
      </c>
      <c r="H2012" s="273" t="s">
        <v>11</v>
      </c>
    </row>
    <row r="2013" spans="1:8" x14ac:dyDescent="0.25">
      <c r="A2013" t="s">
        <v>38</v>
      </c>
      <c r="B2013" t="s">
        <v>99</v>
      </c>
      <c r="C2013" t="s">
        <v>2362</v>
      </c>
      <c r="D2013">
        <v>3</v>
      </c>
      <c r="E2013" s="273">
        <v>3</v>
      </c>
      <c r="F2013" s="273" t="s">
        <v>7</v>
      </c>
      <c r="G2013" s="273" t="s">
        <v>11</v>
      </c>
      <c r="H2013" s="273" t="s">
        <v>11</v>
      </c>
    </row>
    <row r="2014" spans="1:8" x14ac:dyDescent="0.25">
      <c r="A2014" t="s">
        <v>38</v>
      </c>
      <c r="B2014" t="s">
        <v>99</v>
      </c>
      <c r="C2014" t="s">
        <v>1278</v>
      </c>
      <c r="D2014">
        <v>3</v>
      </c>
      <c r="E2014" s="273">
        <v>3</v>
      </c>
      <c r="F2014" s="273" t="s">
        <v>7</v>
      </c>
      <c r="G2014" s="273" t="s">
        <v>11</v>
      </c>
      <c r="H2014" s="273" t="s">
        <v>11</v>
      </c>
    </row>
    <row r="2015" spans="1:8" x14ac:dyDescent="0.25">
      <c r="A2015" t="s">
        <v>38</v>
      </c>
      <c r="B2015" t="s">
        <v>99</v>
      </c>
      <c r="C2015" t="s">
        <v>2363</v>
      </c>
      <c r="D2015">
        <v>2</v>
      </c>
      <c r="E2015" s="273">
        <v>4</v>
      </c>
      <c r="F2015" s="273" t="s">
        <v>7</v>
      </c>
      <c r="G2015" s="273" t="s">
        <v>11</v>
      </c>
      <c r="H2015" s="273" t="s">
        <v>11</v>
      </c>
    </row>
    <row r="2016" spans="1:8" x14ac:dyDescent="0.25">
      <c r="A2016" t="s">
        <v>38</v>
      </c>
      <c r="B2016" t="s">
        <v>99</v>
      </c>
      <c r="C2016" t="s">
        <v>2364</v>
      </c>
      <c r="D2016">
        <v>2</v>
      </c>
      <c r="E2016" s="273">
        <v>4</v>
      </c>
      <c r="F2016" s="273" t="s">
        <v>7</v>
      </c>
      <c r="G2016" s="273" t="s">
        <v>11</v>
      </c>
      <c r="H2016" s="273" t="s">
        <v>11</v>
      </c>
    </row>
    <row r="2017" spans="1:8" x14ac:dyDescent="0.25">
      <c r="A2017" t="s">
        <v>38</v>
      </c>
      <c r="B2017" t="s">
        <v>99</v>
      </c>
      <c r="C2017" t="s">
        <v>1556</v>
      </c>
      <c r="D2017">
        <v>2</v>
      </c>
      <c r="E2017" s="273">
        <v>4</v>
      </c>
      <c r="F2017" s="273" t="s">
        <v>7</v>
      </c>
      <c r="G2017" s="273" t="s">
        <v>11</v>
      </c>
      <c r="H2017" s="273" t="s">
        <v>11</v>
      </c>
    </row>
    <row r="2018" spans="1:8" x14ac:dyDescent="0.25">
      <c r="A2018" t="s">
        <v>38</v>
      </c>
      <c r="B2018" t="s">
        <v>99</v>
      </c>
      <c r="C2018" t="s">
        <v>1178</v>
      </c>
      <c r="D2018">
        <v>3</v>
      </c>
      <c r="E2018" s="273">
        <v>3</v>
      </c>
      <c r="F2018" s="273" t="s">
        <v>7</v>
      </c>
      <c r="G2018" s="273" t="s">
        <v>11</v>
      </c>
      <c r="H2018" s="273" t="s">
        <v>11</v>
      </c>
    </row>
    <row r="2019" spans="1:8" x14ac:dyDescent="0.25">
      <c r="A2019" t="s">
        <v>38</v>
      </c>
      <c r="B2019" t="s">
        <v>99</v>
      </c>
      <c r="C2019" t="s">
        <v>2365</v>
      </c>
      <c r="D2019">
        <v>1</v>
      </c>
      <c r="E2019" s="273">
        <v>5</v>
      </c>
      <c r="F2019" s="273" t="s">
        <v>7</v>
      </c>
      <c r="G2019" s="273" t="s">
        <v>11</v>
      </c>
      <c r="H2019" s="273" t="s">
        <v>11</v>
      </c>
    </row>
    <row r="2020" spans="1:8" x14ac:dyDescent="0.25">
      <c r="A2020" t="s">
        <v>38</v>
      </c>
      <c r="B2020" t="s">
        <v>99</v>
      </c>
      <c r="C2020" t="s">
        <v>1557</v>
      </c>
      <c r="D2020">
        <v>3</v>
      </c>
      <c r="E2020" s="273">
        <v>3</v>
      </c>
      <c r="F2020" s="273" t="s">
        <v>7</v>
      </c>
      <c r="G2020" s="273" t="s">
        <v>11</v>
      </c>
      <c r="H2020" s="273" t="s">
        <v>11</v>
      </c>
    </row>
    <row r="2021" spans="1:8" x14ac:dyDescent="0.25">
      <c r="A2021" t="s">
        <v>38</v>
      </c>
      <c r="B2021" t="s">
        <v>99</v>
      </c>
      <c r="C2021" t="s">
        <v>1561</v>
      </c>
      <c r="D2021">
        <v>2</v>
      </c>
      <c r="E2021" s="273">
        <v>4</v>
      </c>
      <c r="F2021" s="273" t="s">
        <v>7</v>
      </c>
      <c r="G2021" s="273" t="s">
        <v>11</v>
      </c>
      <c r="H2021" s="273" t="s">
        <v>11</v>
      </c>
    </row>
    <row r="2022" spans="1:8" x14ac:dyDescent="0.25">
      <c r="A2022" t="s">
        <v>38</v>
      </c>
      <c r="B2022" t="s">
        <v>99</v>
      </c>
      <c r="C2022" t="s">
        <v>1806</v>
      </c>
      <c r="D2022">
        <v>3</v>
      </c>
      <c r="E2022" s="273">
        <v>3</v>
      </c>
      <c r="F2022" s="273" t="s">
        <v>7</v>
      </c>
      <c r="G2022" s="273" t="s">
        <v>11</v>
      </c>
      <c r="H2022" s="273" t="s">
        <v>11</v>
      </c>
    </row>
    <row r="2023" spans="1:8" x14ac:dyDescent="0.25">
      <c r="A2023" t="s">
        <v>38</v>
      </c>
      <c r="B2023" t="s">
        <v>99</v>
      </c>
      <c r="C2023" t="s">
        <v>2366</v>
      </c>
      <c r="D2023">
        <v>2</v>
      </c>
      <c r="E2023" s="273">
        <v>4</v>
      </c>
      <c r="F2023" s="273" t="s">
        <v>7</v>
      </c>
      <c r="G2023" s="273" t="s">
        <v>11</v>
      </c>
      <c r="H2023" s="273" t="s">
        <v>11</v>
      </c>
    </row>
    <row r="2024" spans="1:8" x14ac:dyDescent="0.25">
      <c r="A2024" t="s">
        <v>38</v>
      </c>
      <c r="B2024" t="s">
        <v>99</v>
      </c>
      <c r="C2024" t="s">
        <v>2367</v>
      </c>
      <c r="D2024">
        <v>2</v>
      </c>
      <c r="E2024" s="273">
        <v>5</v>
      </c>
      <c r="F2024" s="273" t="s">
        <v>7</v>
      </c>
      <c r="G2024" s="273" t="s">
        <v>11</v>
      </c>
      <c r="H2024" s="273" t="s">
        <v>11</v>
      </c>
    </row>
    <row r="2025" spans="1:8" x14ac:dyDescent="0.25">
      <c r="A2025" t="s">
        <v>39</v>
      </c>
      <c r="B2025" t="s">
        <v>71</v>
      </c>
      <c r="C2025" t="s">
        <v>1339</v>
      </c>
      <c r="D2025">
        <v>1</v>
      </c>
      <c r="E2025" s="273">
        <v>6</v>
      </c>
      <c r="F2025" s="273" t="s">
        <v>7</v>
      </c>
      <c r="G2025" s="273" t="s">
        <v>11</v>
      </c>
      <c r="H2025" s="273" t="s">
        <v>11</v>
      </c>
    </row>
    <row r="2026" spans="1:8" x14ac:dyDescent="0.25">
      <c r="A2026" t="s">
        <v>39</v>
      </c>
      <c r="B2026" t="s">
        <v>71</v>
      </c>
      <c r="C2026" t="s">
        <v>2368</v>
      </c>
      <c r="D2026">
        <v>1</v>
      </c>
      <c r="E2026" s="273">
        <v>7</v>
      </c>
      <c r="F2026" s="273" t="s">
        <v>11</v>
      </c>
      <c r="G2026" s="273" t="s">
        <v>11</v>
      </c>
      <c r="H2026" s="273" t="s">
        <v>11</v>
      </c>
    </row>
    <row r="2027" spans="1:8" x14ac:dyDescent="0.25">
      <c r="A2027" t="s">
        <v>39</v>
      </c>
      <c r="B2027" t="s">
        <v>71</v>
      </c>
      <c r="C2027" t="s">
        <v>2369</v>
      </c>
      <c r="D2027">
        <v>1</v>
      </c>
      <c r="E2027" s="273">
        <v>7</v>
      </c>
      <c r="F2027" s="273" t="s">
        <v>11</v>
      </c>
      <c r="G2027" s="273" t="s">
        <v>11</v>
      </c>
      <c r="H2027" s="273" t="s">
        <v>11</v>
      </c>
    </row>
    <row r="2028" spans="1:8" x14ac:dyDescent="0.25">
      <c r="A2028" t="s">
        <v>39</v>
      </c>
      <c r="B2028" t="s">
        <v>71</v>
      </c>
      <c r="C2028" t="s">
        <v>2370</v>
      </c>
      <c r="D2028">
        <v>1</v>
      </c>
      <c r="E2028" s="273">
        <v>6</v>
      </c>
      <c r="F2028" s="273" t="s">
        <v>7</v>
      </c>
      <c r="G2028" s="273" t="s">
        <v>11</v>
      </c>
      <c r="H2028" s="273" t="s">
        <v>11</v>
      </c>
    </row>
    <row r="2029" spans="1:8" x14ac:dyDescent="0.25">
      <c r="A2029" t="s">
        <v>39</v>
      </c>
      <c r="B2029" t="s">
        <v>71</v>
      </c>
      <c r="C2029" t="s">
        <v>2371</v>
      </c>
      <c r="D2029">
        <v>1</v>
      </c>
      <c r="E2029" s="273">
        <v>7</v>
      </c>
      <c r="F2029" s="273" t="s">
        <v>11</v>
      </c>
      <c r="G2029" s="273" t="s">
        <v>11</v>
      </c>
      <c r="H2029" s="273" t="s">
        <v>11</v>
      </c>
    </row>
    <row r="2030" spans="1:8" x14ac:dyDescent="0.25">
      <c r="A2030" t="s">
        <v>39</v>
      </c>
      <c r="B2030" t="s">
        <v>71</v>
      </c>
      <c r="C2030" t="s">
        <v>2372</v>
      </c>
      <c r="D2030">
        <v>1</v>
      </c>
      <c r="E2030" s="273">
        <v>6</v>
      </c>
      <c r="F2030" s="273" t="s">
        <v>7</v>
      </c>
      <c r="G2030" s="273" t="s">
        <v>11</v>
      </c>
      <c r="H2030" s="273" t="s">
        <v>11</v>
      </c>
    </row>
    <row r="2031" spans="1:8" x14ac:dyDescent="0.25">
      <c r="A2031" t="s">
        <v>39</v>
      </c>
      <c r="B2031" t="s">
        <v>71</v>
      </c>
      <c r="C2031" t="s">
        <v>1468</v>
      </c>
      <c r="D2031">
        <v>1</v>
      </c>
      <c r="E2031" s="273">
        <v>7</v>
      </c>
      <c r="F2031" s="273" t="s">
        <v>11</v>
      </c>
      <c r="G2031" s="273" t="s">
        <v>11</v>
      </c>
      <c r="H2031" s="273" t="s">
        <v>11</v>
      </c>
    </row>
    <row r="2032" spans="1:8" x14ac:dyDescent="0.25">
      <c r="A2032" t="s">
        <v>39</v>
      </c>
      <c r="B2032" t="s">
        <v>71</v>
      </c>
      <c r="C2032" t="s">
        <v>2373</v>
      </c>
      <c r="D2032">
        <v>1</v>
      </c>
      <c r="E2032" s="273">
        <v>6</v>
      </c>
      <c r="F2032" s="273" t="s">
        <v>7</v>
      </c>
      <c r="G2032" s="273" t="s">
        <v>11</v>
      </c>
      <c r="H2032" s="273" t="s">
        <v>11</v>
      </c>
    </row>
    <row r="2033" spans="1:8" x14ac:dyDescent="0.25">
      <c r="A2033" t="s">
        <v>39</v>
      </c>
      <c r="B2033" t="s">
        <v>71</v>
      </c>
      <c r="C2033" t="s">
        <v>1606</v>
      </c>
      <c r="D2033">
        <v>1</v>
      </c>
      <c r="E2033" s="273">
        <v>7</v>
      </c>
      <c r="F2033" s="273" t="s">
        <v>11</v>
      </c>
      <c r="G2033" s="273" t="s">
        <v>11</v>
      </c>
      <c r="H2033" s="273" t="s">
        <v>11</v>
      </c>
    </row>
    <row r="2034" spans="1:8" x14ac:dyDescent="0.25">
      <c r="A2034" t="s">
        <v>39</v>
      </c>
      <c r="B2034" t="s">
        <v>71</v>
      </c>
      <c r="C2034" t="s">
        <v>2374</v>
      </c>
      <c r="D2034">
        <v>1</v>
      </c>
      <c r="E2034" s="273">
        <v>7</v>
      </c>
      <c r="F2034" s="273" t="s">
        <v>11</v>
      </c>
      <c r="G2034" s="273" t="s">
        <v>11</v>
      </c>
      <c r="H2034" s="273" t="s">
        <v>11</v>
      </c>
    </row>
    <row r="2035" spans="1:8" x14ac:dyDescent="0.25">
      <c r="A2035" t="s">
        <v>39</v>
      </c>
      <c r="B2035" t="s">
        <v>71</v>
      </c>
      <c r="C2035" t="s">
        <v>2375</v>
      </c>
      <c r="D2035">
        <v>1</v>
      </c>
      <c r="E2035" s="273">
        <v>6</v>
      </c>
      <c r="F2035" s="273" t="s">
        <v>7</v>
      </c>
      <c r="G2035" s="273" t="s">
        <v>11</v>
      </c>
      <c r="H2035" s="273" t="s">
        <v>11</v>
      </c>
    </row>
    <row r="2036" spans="1:8" x14ac:dyDescent="0.25">
      <c r="A2036" t="s">
        <v>39</v>
      </c>
      <c r="B2036" t="s">
        <v>71</v>
      </c>
      <c r="C2036" t="s">
        <v>2376</v>
      </c>
      <c r="D2036">
        <v>1</v>
      </c>
      <c r="E2036" s="273">
        <v>7</v>
      </c>
      <c r="F2036" s="273" t="s">
        <v>11</v>
      </c>
      <c r="G2036" s="273" t="s">
        <v>11</v>
      </c>
      <c r="H2036" s="273" t="s">
        <v>11</v>
      </c>
    </row>
    <row r="2037" spans="1:8" x14ac:dyDescent="0.25">
      <c r="A2037" t="s">
        <v>39</v>
      </c>
      <c r="B2037" t="s">
        <v>71</v>
      </c>
      <c r="C2037" t="s">
        <v>2377</v>
      </c>
      <c r="D2037">
        <v>1</v>
      </c>
      <c r="E2037" s="273">
        <v>6</v>
      </c>
      <c r="F2037" s="273" t="s">
        <v>7</v>
      </c>
      <c r="G2037" s="273" t="s">
        <v>11</v>
      </c>
      <c r="H2037" s="273" t="s">
        <v>11</v>
      </c>
    </row>
    <row r="2038" spans="1:8" x14ac:dyDescent="0.25">
      <c r="A2038" t="s">
        <v>39</v>
      </c>
      <c r="B2038" t="s">
        <v>71</v>
      </c>
      <c r="C2038" t="s">
        <v>2257</v>
      </c>
      <c r="D2038">
        <v>1</v>
      </c>
      <c r="E2038" s="273">
        <v>7</v>
      </c>
      <c r="F2038" s="273" t="s">
        <v>11</v>
      </c>
      <c r="G2038" s="273" t="s">
        <v>11</v>
      </c>
      <c r="H2038" s="273" t="s">
        <v>11</v>
      </c>
    </row>
    <row r="2039" spans="1:8" x14ac:dyDescent="0.25">
      <c r="A2039" t="s">
        <v>39</v>
      </c>
      <c r="B2039" t="s">
        <v>71</v>
      </c>
      <c r="C2039" t="s">
        <v>2378</v>
      </c>
      <c r="D2039">
        <v>1</v>
      </c>
      <c r="E2039" s="273">
        <v>6</v>
      </c>
      <c r="F2039" s="273" t="s">
        <v>7</v>
      </c>
      <c r="G2039" s="273" t="s">
        <v>11</v>
      </c>
      <c r="H2039" s="273" t="s">
        <v>11</v>
      </c>
    </row>
    <row r="2040" spans="1:8" x14ac:dyDescent="0.25">
      <c r="A2040" t="s">
        <v>39</v>
      </c>
      <c r="B2040" t="s">
        <v>71</v>
      </c>
      <c r="C2040" t="s">
        <v>2379</v>
      </c>
      <c r="D2040">
        <v>1</v>
      </c>
      <c r="E2040" s="273">
        <v>7</v>
      </c>
      <c r="F2040" s="273" t="s">
        <v>11</v>
      </c>
      <c r="G2040" s="273" t="s">
        <v>11</v>
      </c>
      <c r="H2040" s="273" t="s">
        <v>11</v>
      </c>
    </row>
    <row r="2041" spans="1:8" x14ac:dyDescent="0.25">
      <c r="A2041" t="s">
        <v>39</v>
      </c>
      <c r="B2041" t="s">
        <v>71</v>
      </c>
      <c r="C2041" t="s">
        <v>2157</v>
      </c>
      <c r="D2041">
        <v>1</v>
      </c>
      <c r="E2041" s="273">
        <v>6</v>
      </c>
      <c r="F2041" s="273" t="s">
        <v>7</v>
      </c>
      <c r="G2041" s="273" t="s">
        <v>11</v>
      </c>
      <c r="H2041" s="273" t="s">
        <v>11</v>
      </c>
    </row>
    <row r="2042" spans="1:8" x14ac:dyDescent="0.25">
      <c r="A2042" t="s">
        <v>39</v>
      </c>
      <c r="B2042" t="s">
        <v>71</v>
      </c>
      <c r="C2042" t="s">
        <v>2380</v>
      </c>
      <c r="D2042">
        <v>1</v>
      </c>
      <c r="E2042" s="273">
        <v>7</v>
      </c>
      <c r="F2042" s="273" t="s">
        <v>11</v>
      </c>
      <c r="G2042" s="273" t="s">
        <v>11</v>
      </c>
      <c r="H2042" s="273" t="s">
        <v>11</v>
      </c>
    </row>
    <row r="2043" spans="1:8" x14ac:dyDescent="0.25">
      <c r="A2043" t="s">
        <v>39</v>
      </c>
      <c r="B2043" t="s">
        <v>71</v>
      </c>
      <c r="C2043" t="s">
        <v>1247</v>
      </c>
      <c r="D2043">
        <v>1</v>
      </c>
      <c r="E2043" s="273">
        <v>6</v>
      </c>
      <c r="F2043" s="273" t="s">
        <v>7</v>
      </c>
      <c r="G2043" s="273" t="s">
        <v>11</v>
      </c>
      <c r="H2043" s="273" t="s">
        <v>11</v>
      </c>
    </row>
    <row r="2044" spans="1:8" x14ac:dyDescent="0.25">
      <c r="A2044" t="s">
        <v>39</v>
      </c>
      <c r="B2044" t="s">
        <v>71</v>
      </c>
      <c r="C2044" t="s">
        <v>2381</v>
      </c>
      <c r="D2044">
        <v>1</v>
      </c>
      <c r="E2044" s="273">
        <v>7</v>
      </c>
      <c r="F2044" s="273" t="s">
        <v>11</v>
      </c>
      <c r="G2044" s="273" t="s">
        <v>11</v>
      </c>
      <c r="H2044" s="273" t="s">
        <v>11</v>
      </c>
    </row>
    <row r="2045" spans="1:8" x14ac:dyDescent="0.25">
      <c r="A2045" t="s">
        <v>39</v>
      </c>
      <c r="B2045" t="s">
        <v>71</v>
      </c>
      <c r="C2045" t="s">
        <v>2382</v>
      </c>
      <c r="D2045">
        <v>1</v>
      </c>
      <c r="E2045" s="273">
        <v>6</v>
      </c>
      <c r="F2045" s="273" t="s">
        <v>7</v>
      </c>
      <c r="G2045" s="273" t="s">
        <v>11</v>
      </c>
      <c r="H2045" s="273" t="s">
        <v>11</v>
      </c>
    </row>
    <row r="2046" spans="1:8" x14ac:dyDescent="0.25">
      <c r="A2046" t="s">
        <v>39</v>
      </c>
      <c r="B2046" t="s">
        <v>71</v>
      </c>
      <c r="C2046" t="s">
        <v>2383</v>
      </c>
      <c r="D2046">
        <v>1</v>
      </c>
      <c r="E2046" s="273">
        <v>7</v>
      </c>
      <c r="F2046" s="273" t="s">
        <v>11</v>
      </c>
      <c r="G2046" s="273" t="s">
        <v>11</v>
      </c>
      <c r="H2046" s="273" t="s">
        <v>11</v>
      </c>
    </row>
    <row r="2047" spans="1:8" x14ac:dyDescent="0.25">
      <c r="A2047" t="s">
        <v>39</v>
      </c>
      <c r="B2047" t="s">
        <v>71</v>
      </c>
      <c r="C2047" t="s">
        <v>2384</v>
      </c>
      <c r="D2047">
        <v>1</v>
      </c>
      <c r="E2047" s="273">
        <v>6</v>
      </c>
      <c r="F2047" s="273" t="s">
        <v>7</v>
      </c>
      <c r="G2047" s="273" t="s">
        <v>11</v>
      </c>
      <c r="H2047" s="273" t="s">
        <v>11</v>
      </c>
    </row>
    <row r="2048" spans="1:8" x14ac:dyDescent="0.25">
      <c r="A2048" t="s">
        <v>39</v>
      </c>
      <c r="B2048" t="s">
        <v>71</v>
      </c>
      <c r="C2048" t="s">
        <v>1257</v>
      </c>
      <c r="D2048">
        <v>1</v>
      </c>
      <c r="E2048" s="273">
        <v>6</v>
      </c>
      <c r="F2048" s="273" t="s">
        <v>7</v>
      </c>
      <c r="G2048" s="273" t="s">
        <v>11</v>
      </c>
      <c r="H2048" s="273" t="s">
        <v>11</v>
      </c>
    </row>
    <row r="2049" spans="1:8" x14ac:dyDescent="0.25">
      <c r="A2049" t="s">
        <v>39</v>
      </c>
      <c r="B2049" t="s">
        <v>71</v>
      </c>
      <c r="C2049" t="s">
        <v>1634</v>
      </c>
      <c r="D2049">
        <v>1</v>
      </c>
      <c r="E2049" s="273">
        <v>7</v>
      </c>
      <c r="F2049" s="273" t="s">
        <v>11</v>
      </c>
      <c r="G2049" s="273" t="s">
        <v>11</v>
      </c>
      <c r="H2049" s="273" t="s">
        <v>11</v>
      </c>
    </row>
    <row r="2050" spans="1:8" x14ac:dyDescent="0.25">
      <c r="A2050" t="s">
        <v>39</v>
      </c>
      <c r="B2050" t="s">
        <v>71</v>
      </c>
      <c r="C2050" t="s">
        <v>1522</v>
      </c>
      <c r="D2050">
        <v>1</v>
      </c>
      <c r="E2050" s="273">
        <v>6</v>
      </c>
      <c r="F2050" s="273" t="s">
        <v>7</v>
      </c>
      <c r="G2050" s="273" t="s">
        <v>11</v>
      </c>
      <c r="H2050" s="273" t="s">
        <v>11</v>
      </c>
    </row>
    <row r="2051" spans="1:8" x14ac:dyDescent="0.25">
      <c r="A2051" t="s">
        <v>39</v>
      </c>
      <c r="B2051" t="s">
        <v>71</v>
      </c>
      <c r="C2051" t="s">
        <v>2385</v>
      </c>
      <c r="D2051">
        <v>1</v>
      </c>
      <c r="E2051" s="273">
        <v>6</v>
      </c>
      <c r="F2051" s="273" t="s">
        <v>7</v>
      </c>
      <c r="G2051" s="273" t="s">
        <v>11</v>
      </c>
      <c r="H2051" s="273" t="s">
        <v>11</v>
      </c>
    </row>
    <row r="2052" spans="1:8" x14ac:dyDescent="0.25">
      <c r="A2052" t="s">
        <v>39</v>
      </c>
      <c r="B2052" t="s">
        <v>71</v>
      </c>
      <c r="C2052" t="s">
        <v>1635</v>
      </c>
      <c r="D2052">
        <v>1</v>
      </c>
      <c r="E2052" s="273">
        <v>7</v>
      </c>
      <c r="F2052" s="273" t="s">
        <v>11</v>
      </c>
      <c r="G2052" s="273" t="s">
        <v>11</v>
      </c>
      <c r="H2052" s="273" t="s">
        <v>11</v>
      </c>
    </row>
    <row r="2053" spans="1:8" x14ac:dyDescent="0.25">
      <c r="A2053" t="s">
        <v>39</v>
      </c>
      <c r="B2053" t="s">
        <v>71</v>
      </c>
      <c r="C2053" t="s">
        <v>1637</v>
      </c>
      <c r="D2053">
        <v>1</v>
      </c>
      <c r="E2053" s="273">
        <v>6</v>
      </c>
      <c r="F2053" s="273" t="s">
        <v>7</v>
      </c>
      <c r="G2053" s="273" t="s">
        <v>11</v>
      </c>
      <c r="H2053" s="273" t="s">
        <v>11</v>
      </c>
    </row>
    <row r="2054" spans="1:8" x14ac:dyDescent="0.25">
      <c r="A2054" t="s">
        <v>39</v>
      </c>
      <c r="B2054" t="s">
        <v>71</v>
      </c>
      <c r="C2054" t="s">
        <v>1776</v>
      </c>
      <c r="D2054">
        <v>1</v>
      </c>
      <c r="E2054" s="273">
        <v>6</v>
      </c>
      <c r="F2054" s="273" t="s">
        <v>7</v>
      </c>
      <c r="G2054" s="273" t="s">
        <v>11</v>
      </c>
      <c r="H2054" s="273" t="s">
        <v>11</v>
      </c>
    </row>
    <row r="2055" spans="1:8" x14ac:dyDescent="0.25">
      <c r="A2055" t="s">
        <v>39</v>
      </c>
      <c r="B2055" t="s">
        <v>71</v>
      </c>
      <c r="C2055" t="s">
        <v>2386</v>
      </c>
      <c r="D2055">
        <v>1</v>
      </c>
      <c r="E2055" s="273">
        <v>7</v>
      </c>
      <c r="F2055" s="273" t="s">
        <v>11</v>
      </c>
      <c r="G2055" s="273" t="s">
        <v>11</v>
      </c>
      <c r="H2055" s="273" t="s">
        <v>11</v>
      </c>
    </row>
    <row r="2056" spans="1:8" x14ac:dyDescent="0.25">
      <c r="A2056" t="s">
        <v>39</v>
      </c>
      <c r="B2056" t="s">
        <v>71</v>
      </c>
      <c r="C2056" t="s">
        <v>1850</v>
      </c>
      <c r="D2056">
        <v>1</v>
      </c>
      <c r="E2056" s="273">
        <v>7</v>
      </c>
      <c r="F2056" s="273" t="s">
        <v>11</v>
      </c>
      <c r="G2056" s="273" t="s">
        <v>11</v>
      </c>
      <c r="H2056" s="273" t="s">
        <v>11</v>
      </c>
    </row>
    <row r="2057" spans="1:8" x14ac:dyDescent="0.25">
      <c r="A2057" t="s">
        <v>39</v>
      </c>
      <c r="B2057" t="s">
        <v>71</v>
      </c>
      <c r="C2057" t="s">
        <v>2387</v>
      </c>
      <c r="D2057">
        <v>1</v>
      </c>
      <c r="E2057" s="273">
        <v>6</v>
      </c>
      <c r="F2057" s="273" t="s">
        <v>7</v>
      </c>
      <c r="G2057" s="273" t="s">
        <v>11</v>
      </c>
      <c r="H2057" s="273" t="s">
        <v>11</v>
      </c>
    </row>
    <row r="2058" spans="1:8" x14ac:dyDescent="0.25">
      <c r="A2058" t="s">
        <v>39</v>
      </c>
      <c r="B2058" t="s">
        <v>71</v>
      </c>
      <c r="C2058" t="s">
        <v>2388</v>
      </c>
      <c r="D2058">
        <v>1</v>
      </c>
      <c r="E2058" s="273">
        <v>7</v>
      </c>
      <c r="F2058" s="273" t="s">
        <v>11</v>
      </c>
      <c r="G2058" s="273" t="s">
        <v>11</v>
      </c>
      <c r="H2058" s="273" t="s">
        <v>11</v>
      </c>
    </row>
    <row r="2059" spans="1:8" x14ac:dyDescent="0.25">
      <c r="A2059" t="s">
        <v>39</v>
      </c>
      <c r="B2059" t="s">
        <v>71</v>
      </c>
      <c r="C2059" t="s">
        <v>1531</v>
      </c>
      <c r="D2059">
        <v>1</v>
      </c>
      <c r="E2059" s="273">
        <v>7</v>
      </c>
      <c r="F2059" s="273" t="s">
        <v>11</v>
      </c>
      <c r="G2059" s="273" t="s">
        <v>11</v>
      </c>
      <c r="H2059" s="273" t="s">
        <v>11</v>
      </c>
    </row>
    <row r="2060" spans="1:8" x14ac:dyDescent="0.25">
      <c r="A2060" t="s">
        <v>39</v>
      </c>
      <c r="B2060" t="s">
        <v>71</v>
      </c>
      <c r="C2060" t="s">
        <v>2051</v>
      </c>
      <c r="D2060">
        <v>1</v>
      </c>
      <c r="E2060" s="273">
        <v>7</v>
      </c>
      <c r="F2060" s="273" t="s">
        <v>11</v>
      </c>
      <c r="G2060" s="273" t="s">
        <v>11</v>
      </c>
      <c r="H2060" s="273" t="s">
        <v>11</v>
      </c>
    </row>
    <row r="2061" spans="1:8" x14ac:dyDescent="0.25">
      <c r="A2061" t="s">
        <v>39</v>
      </c>
      <c r="B2061" t="s">
        <v>71</v>
      </c>
      <c r="C2061" t="s">
        <v>2389</v>
      </c>
      <c r="D2061">
        <v>1</v>
      </c>
      <c r="E2061" s="273">
        <v>6</v>
      </c>
      <c r="F2061" s="273" t="s">
        <v>7</v>
      </c>
      <c r="G2061" s="273" t="s">
        <v>11</v>
      </c>
      <c r="H2061" s="273" t="s">
        <v>11</v>
      </c>
    </row>
    <row r="2062" spans="1:8" x14ac:dyDescent="0.25">
      <c r="A2062" t="s">
        <v>39</v>
      </c>
      <c r="B2062" t="s">
        <v>71</v>
      </c>
      <c r="C2062" t="s">
        <v>2054</v>
      </c>
      <c r="D2062">
        <v>1</v>
      </c>
      <c r="E2062" s="273">
        <v>7</v>
      </c>
      <c r="F2062" s="273" t="s">
        <v>11</v>
      </c>
      <c r="G2062" s="273" t="s">
        <v>11</v>
      </c>
      <c r="H2062" s="273" t="s">
        <v>11</v>
      </c>
    </row>
    <row r="2063" spans="1:8" x14ac:dyDescent="0.25">
      <c r="A2063" t="s">
        <v>39</v>
      </c>
      <c r="B2063" t="s">
        <v>71</v>
      </c>
      <c r="C2063" t="s">
        <v>1642</v>
      </c>
      <c r="D2063">
        <v>1</v>
      </c>
      <c r="E2063" s="273">
        <v>6</v>
      </c>
      <c r="F2063" s="273" t="s">
        <v>7</v>
      </c>
      <c r="G2063" s="273" t="s">
        <v>11</v>
      </c>
      <c r="H2063" s="273" t="s">
        <v>11</v>
      </c>
    </row>
    <row r="2064" spans="1:8" x14ac:dyDescent="0.25">
      <c r="A2064" t="s">
        <v>39</v>
      </c>
      <c r="B2064" t="s">
        <v>71</v>
      </c>
      <c r="C2064" t="s">
        <v>2390</v>
      </c>
      <c r="D2064">
        <v>1</v>
      </c>
      <c r="E2064" s="273">
        <v>7</v>
      </c>
      <c r="F2064" s="273" t="s">
        <v>11</v>
      </c>
      <c r="G2064" s="273" t="s">
        <v>11</v>
      </c>
      <c r="H2064" s="273" t="s">
        <v>11</v>
      </c>
    </row>
    <row r="2065" spans="1:8" x14ac:dyDescent="0.25">
      <c r="A2065" t="s">
        <v>39</v>
      </c>
      <c r="B2065" t="s">
        <v>71</v>
      </c>
      <c r="C2065" t="s">
        <v>2391</v>
      </c>
      <c r="D2065">
        <v>1</v>
      </c>
      <c r="E2065" s="273">
        <v>6</v>
      </c>
      <c r="F2065" s="273" t="s">
        <v>7</v>
      </c>
      <c r="G2065" s="273" t="s">
        <v>11</v>
      </c>
      <c r="H2065" s="273" t="s">
        <v>11</v>
      </c>
    </row>
    <row r="2066" spans="1:8" x14ac:dyDescent="0.25">
      <c r="A2066" t="s">
        <v>39</v>
      </c>
      <c r="B2066" t="s">
        <v>71</v>
      </c>
      <c r="C2066" t="s">
        <v>1795</v>
      </c>
      <c r="D2066">
        <v>1</v>
      </c>
      <c r="E2066" s="273">
        <v>7</v>
      </c>
      <c r="F2066" s="273" t="s">
        <v>11</v>
      </c>
      <c r="G2066" s="273" t="s">
        <v>11</v>
      </c>
      <c r="H2066" s="273" t="s">
        <v>11</v>
      </c>
    </row>
    <row r="2067" spans="1:8" x14ac:dyDescent="0.25">
      <c r="A2067" t="s">
        <v>39</v>
      </c>
      <c r="B2067" t="s">
        <v>71</v>
      </c>
      <c r="C2067" t="s">
        <v>1735</v>
      </c>
      <c r="D2067">
        <v>1</v>
      </c>
      <c r="E2067" s="273">
        <v>6</v>
      </c>
      <c r="F2067" s="273" t="s">
        <v>7</v>
      </c>
      <c r="G2067" s="273" t="s">
        <v>11</v>
      </c>
      <c r="H2067" s="273" t="s">
        <v>11</v>
      </c>
    </row>
    <row r="2068" spans="1:8" x14ac:dyDescent="0.25">
      <c r="A2068" t="s">
        <v>39</v>
      </c>
      <c r="B2068" t="s">
        <v>71</v>
      </c>
      <c r="C2068" t="s">
        <v>2392</v>
      </c>
      <c r="D2068">
        <v>1</v>
      </c>
      <c r="E2068" s="273">
        <v>6</v>
      </c>
      <c r="F2068" s="273" t="s">
        <v>7</v>
      </c>
      <c r="G2068" s="273" t="s">
        <v>11</v>
      </c>
      <c r="H2068" s="273" t="s">
        <v>11</v>
      </c>
    </row>
    <row r="2069" spans="1:8" x14ac:dyDescent="0.25">
      <c r="A2069" t="s">
        <v>39</v>
      </c>
      <c r="B2069" t="s">
        <v>71</v>
      </c>
      <c r="C2069" t="s">
        <v>1646</v>
      </c>
      <c r="D2069">
        <v>1</v>
      </c>
      <c r="E2069" s="273">
        <v>6</v>
      </c>
      <c r="F2069" s="273" t="s">
        <v>7</v>
      </c>
      <c r="G2069" s="273" t="s">
        <v>11</v>
      </c>
      <c r="H2069" s="273" t="s">
        <v>11</v>
      </c>
    </row>
    <row r="2070" spans="1:8" x14ac:dyDescent="0.25">
      <c r="A2070" t="s">
        <v>39</v>
      </c>
      <c r="B2070" t="s">
        <v>71</v>
      </c>
      <c r="C2070" t="s">
        <v>2061</v>
      </c>
      <c r="D2070">
        <v>1</v>
      </c>
      <c r="E2070" s="273">
        <v>7</v>
      </c>
      <c r="F2070" s="273" t="s">
        <v>11</v>
      </c>
      <c r="G2070" s="273" t="s">
        <v>11</v>
      </c>
      <c r="H2070" s="273" t="s">
        <v>11</v>
      </c>
    </row>
    <row r="2071" spans="1:8" x14ac:dyDescent="0.25">
      <c r="A2071" t="s">
        <v>39</v>
      </c>
      <c r="B2071" t="s">
        <v>71</v>
      </c>
      <c r="C2071" t="s">
        <v>2393</v>
      </c>
      <c r="D2071">
        <v>1</v>
      </c>
      <c r="E2071" s="273">
        <v>7</v>
      </c>
      <c r="F2071" s="273" t="s">
        <v>11</v>
      </c>
      <c r="G2071" s="273" t="s">
        <v>11</v>
      </c>
      <c r="H2071" s="273" t="s">
        <v>11</v>
      </c>
    </row>
    <row r="2072" spans="1:8" x14ac:dyDescent="0.25">
      <c r="A2072" t="s">
        <v>39</v>
      </c>
      <c r="B2072" t="s">
        <v>71</v>
      </c>
      <c r="C2072" t="s">
        <v>2394</v>
      </c>
      <c r="D2072">
        <v>1</v>
      </c>
      <c r="E2072" s="273">
        <v>7</v>
      </c>
      <c r="F2072" s="273" t="s">
        <v>11</v>
      </c>
      <c r="G2072" s="273" t="s">
        <v>11</v>
      </c>
      <c r="H2072" s="273" t="s">
        <v>11</v>
      </c>
    </row>
    <row r="2073" spans="1:8" x14ac:dyDescent="0.25">
      <c r="A2073" t="s">
        <v>39</v>
      </c>
      <c r="B2073" t="s">
        <v>71</v>
      </c>
      <c r="C2073" t="s">
        <v>2395</v>
      </c>
      <c r="D2073">
        <v>1</v>
      </c>
      <c r="E2073" s="273">
        <v>7</v>
      </c>
      <c r="F2073" s="273" t="s">
        <v>11</v>
      </c>
      <c r="G2073" s="273" t="s">
        <v>11</v>
      </c>
      <c r="H2073" s="273" t="s">
        <v>11</v>
      </c>
    </row>
    <row r="2074" spans="1:8" x14ac:dyDescent="0.25">
      <c r="A2074" t="s">
        <v>39</v>
      </c>
      <c r="B2074" t="s">
        <v>71</v>
      </c>
      <c r="C2074" t="s">
        <v>2396</v>
      </c>
      <c r="D2074">
        <v>1</v>
      </c>
      <c r="E2074" s="273">
        <v>7</v>
      </c>
      <c r="F2074" s="273" t="s">
        <v>11</v>
      </c>
      <c r="G2074" s="273" t="s">
        <v>11</v>
      </c>
      <c r="H2074" s="273" t="s">
        <v>11</v>
      </c>
    </row>
    <row r="2075" spans="1:8" x14ac:dyDescent="0.25">
      <c r="A2075" t="s">
        <v>39</v>
      </c>
      <c r="B2075" t="s">
        <v>71</v>
      </c>
      <c r="C2075" t="s">
        <v>2397</v>
      </c>
      <c r="D2075">
        <v>1</v>
      </c>
      <c r="E2075" s="273">
        <v>7</v>
      </c>
      <c r="F2075" s="273" t="s">
        <v>11</v>
      </c>
      <c r="G2075" s="273" t="s">
        <v>11</v>
      </c>
      <c r="H2075" s="273" t="s">
        <v>11</v>
      </c>
    </row>
    <row r="2076" spans="1:8" x14ac:dyDescent="0.25">
      <c r="A2076" t="s">
        <v>39</v>
      </c>
      <c r="B2076" t="s">
        <v>71</v>
      </c>
      <c r="C2076" t="s">
        <v>1695</v>
      </c>
      <c r="D2076">
        <v>1</v>
      </c>
      <c r="E2076" s="273">
        <v>7</v>
      </c>
      <c r="F2076" s="273" t="s">
        <v>11</v>
      </c>
      <c r="G2076" s="273" t="s">
        <v>11</v>
      </c>
      <c r="H2076" s="273" t="s">
        <v>11</v>
      </c>
    </row>
    <row r="2077" spans="1:8" x14ac:dyDescent="0.25">
      <c r="A2077" t="s">
        <v>39</v>
      </c>
      <c r="B2077" t="s">
        <v>71</v>
      </c>
      <c r="C2077" t="s">
        <v>2398</v>
      </c>
      <c r="D2077">
        <v>1</v>
      </c>
      <c r="E2077" s="273">
        <v>7</v>
      </c>
      <c r="F2077" s="273" t="s">
        <v>11</v>
      </c>
      <c r="G2077" s="273" t="s">
        <v>11</v>
      </c>
      <c r="H2077" s="273" t="s">
        <v>11</v>
      </c>
    </row>
    <row r="2078" spans="1:8" x14ac:dyDescent="0.25">
      <c r="A2078" t="s">
        <v>68</v>
      </c>
      <c r="C2078" t="s">
        <v>2399</v>
      </c>
      <c r="D2078" t="s">
        <v>11</v>
      </c>
      <c r="E2078" s="273">
        <v>1</v>
      </c>
      <c r="F2078" s="273" t="s">
        <v>7</v>
      </c>
      <c r="G2078" s="273" t="s">
        <v>115</v>
      </c>
      <c r="H2078" s="273" t="s">
        <v>3456</v>
      </c>
    </row>
    <row r="2079" spans="1:8" x14ac:dyDescent="0.25">
      <c r="A2079" t="s">
        <v>47</v>
      </c>
      <c r="B2079" t="s">
        <v>100</v>
      </c>
      <c r="C2079" t="s">
        <v>1339</v>
      </c>
      <c r="D2079">
        <v>1</v>
      </c>
      <c r="E2079" s="273">
        <v>4</v>
      </c>
      <c r="F2079" s="273" t="s">
        <v>7</v>
      </c>
      <c r="G2079" s="273" t="s">
        <v>11</v>
      </c>
      <c r="H2079" s="273" t="s">
        <v>11</v>
      </c>
    </row>
    <row r="2080" spans="1:8" x14ac:dyDescent="0.25">
      <c r="A2080" t="s">
        <v>47</v>
      </c>
      <c r="B2080" t="s">
        <v>100</v>
      </c>
      <c r="C2080" t="s">
        <v>1656</v>
      </c>
      <c r="D2080">
        <v>1</v>
      </c>
      <c r="E2080" s="273">
        <v>5</v>
      </c>
      <c r="F2080" s="273" t="s">
        <v>7</v>
      </c>
      <c r="G2080" s="273" t="s">
        <v>11</v>
      </c>
      <c r="H2080" s="273" t="s">
        <v>11</v>
      </c>
    </row>
    <row r="2081" spans="1:8" x14ac:dyDescent="0.25">
      <c r="A2081" t="s">
        <v>47</v>
      </c>
      <c r="B2081" t="s">
        <v>100</v>
      </c>
      <c r="C2081" t="s">
        <v>2400</v>
      </c>
      <c r="D2081">
        <v>1</v>
      </c>
      <c r="E2081" s="273">
        <v>5</v>
      </c>
      <c r="F2081" s="273" t="s">
        <v>7</v>
      </c>
      <c r="G2081" s="273" t="s">
        <v>11</v>
      </c>
      <c r="H2081" s="273" t="s">
        <v>11</v>
      </c>
    </row>
    <row r="2082" spans="1:8" x14ac:dyDescent="0.25">
      <c r="A2082" t="s">
        <v>47</v>
      </c>
      <c r="B2082" t="s">
        <v>100</v>
      </c>
      <c r="C2082" t="s">
        <v>2401</v>
      </c>
      <c r="D2082">
        <v>2</v>
      </c>
      <c r="E2082" s="273">
        <v>5</v>
      </c>
      <c r="F2082" s="273" t="s">
        <v>7</v>
      </c>
      <c r="G2082" s="273" t="s">
        <v>11</v>
      </c>
      <c r="H2082" s="273" t="s">
        <v>11</v>
      </c>
    </row>
    <row r="2083" spans="1:8" x14ac:dyDescent="0.25">
      <c r="A2083" t="s">
        <v>47</v>
      </c>
      <c r="B2083" t="s">
        <v>100</v>
      </c>
      <c r="C2083" t="s">
        <v>2402</v>
      </c>
      <c r="D2083">
        <v>2</v>
      </c>
      <c r="E2083" s="273">
        <v>5</v>
      </c>
      <c r="F2083" s="273" t="s">
        <v>7</v>
      </c>
      <c r="G2083" s="273" t="s">
        <v>11</v>
      </c>
      <c r="H2083" s="273" t="s">
        <v>11</v>
      </c>
    </row>
    <row r="2084" spans="1:8" x14ac:dyDescent="0.25">
      <c r="A2084" t="s">
        <v>47</v>
      </c>
      <c r="B2084" t="s">
        <v>100</v>
      </c>
      <c r="C2084" t="s">
        <v>2403</v>
      </c>
      <c r="D2084">
        <v>1</v>
      </c>
      <c r="E2084" s="273">
        <v>5</v>
      </c>
      <c r="F2084" s="273" t="s">
        <v>7</v>
      </c>
      <c r="G2084" s="273" t="s">
        <v>11</v>
      </c>
      <c r="H2084" s="273" t="s">
        <v>11</v>
      </c>
    </row>
    <row r="2085" spans="1:8" x14ac:dyDescent="0.25">
      <c r="A2085" t="s">
        <v>47</v>
      </c>
      <c r="B2085" t="s">
        <v>100</v>
      </c>
      <c r="C2085" t="s">
        <v>2404</v>
      </c>
      <c r="D2085">
        <v>1</v>
      </c>
      <c r="E2085" s="273">
        <v>5</v>
      </c>
      <c r="F2085" s="273" t="s">
        <v>7</v>
      </c>
      <c r="G2085" s="273" t="s">
        <v>11</v>
      </c>
      <c r="H2085" s="273" t="s">
        <v>11</v>
      </c>
    </row>
    <row r="2086" spans="1:8" x14ac:dyDescent="0.25">
      <c r="A2086" t="s">
        <v>47</v>
      </c>
      <c r="B2086" t="s">
        <v>100</v>
      </c>
      <c r="C2086" t="s">
        <v>1604</v>
      </c>
      <c r="D2086">
        <v>2</v>
      </c>
      <c r="E2086" s="273">
        <v>4</v>
      </c>
      <c r="F2086" s="273" t="s">
        <v>7</v>
      </c>
      <c r="G2086" s="273" t="s">
        <v>11</v>
      </c>
      <c r="H2086" s="273" t="s">
        <v>11</v>
      </c>
    </row>
    <row r="2087" spans="1:8" x14ac:dyDescent="0.25">
      <c r="A2087" t="s">
        <v>47</v>
      </c>
      <c r="B2087" t="s">
        <v>100</v>
      </c>
      <c r="C2087" t="s">
        <v>1120</v>
      </c>
      <c r="D2087">
        <v>1</v>
      </c>
      <c r="E2087" s="273">
        <v>5</v>
      </c>
      <c r="F2087" s="273" t="s">
        <v>7</v>
      </c>
      <c r="G2087" s="273" t="s">
        <v>11</v>
      </c>
      <c r="H2087" s="273" t="s">
        <v>11</v>
      </c>
    </row>
    <row r="2088" spans="1:8" x14ac:dyDescent="0.25">
      <c r="A2088" t="s">
        <v>47</v>
      </c>
      <c r="B2088" t="s">
        <v>100</v>
      </c>
      <c r="C2088" t="s">
        <v>1232</v>
      </c>
      <c r="D2088">
        <v>1</v>
      </c>
      <c r="E2088" s="273">
        <v>5</v>
      </c>
      <c r="F2088" s="273" t="s">
        <v>7</v>
      </c>
      <c r="G2088" s="273" t="s">
        <v>11</v>
      </c>
      <c r="H2088" s="273" t="s">
        <v>11</v>
      </c>
    </row>
    <row r="2089" spans="1:8" x14ac:dyDescent="0.25">
      <c r="A2089" t="s">
        <v>47</v>
      </c>
      <c r="B2089" t="s">
        <v>100</v>
      </c>
      <c r="C2089" t="s">
        <v>1607</v>
      </c>
      <c r="D2089">
        <v>1</v>
      </c>
      <c r="E2089" s="273">
        <v>5</v>
      </c>
      <c r="F2089" s="273" t="s">
        <v>7</v>
      </c>
      <c r="G2089" s="273" t="s">
        <v>11</v>
      </c>
      <c r="H2089" s="273" t="s">
        <v>11</v>
      </c>
    </row>
    <row r="2090" spans="1:8" x14ac:dyDescent="0.25">
      <c r="A2090" t="s">
        <v>47</v>
      </c>
      <c r="B2090" t="s">
        <v>100</v>
      </c>
      <c r="C2090" t="s">
        <v>1234</v>
      </c>
      <c r="D2090">
        <v>1</v>
      </c>
      <c r="E2090" s="273">
        <v>5</v>
      </c>
      <c r="F2090" s="273" t="s">
        <v>7</v>
      </c>
      <c r="G2090" s="273" t="s">
        <v>11</v>
      </c>
      <c r="H2090" s="273" t="s">
        <v>11</v>
      </c>
    </row>
    <row r="2091" spans="1:8" x14ac:dyDescent="0.25">
      <c r="A2091" t="s">
        <v>47</v>
      </c>
      <c r="B2091" t="s">
        <v>100</v>
      </c>
      <c r="C2091" t="s">
        <v>2405</v>
      </c>
      <c r="D2091">
        <v>2</v>
      </c>
      <c r="E2091" s="273">
        <v>4</v>
      </c>
      <c r="F2091" s="273" t="s">
        <v>7</v>
      </c>
      <c r="G2091" s="273" t="s">
        <v>11</v>
      </c>
      <c r="H2091" s="273" t="s">
        <v>11</v>
      </c>
    </row>
    <row r="2092" spans="1:8" x14ac:dyDescent="0.25">
      <c r="A2092" t="s">
        <v>47</v>
      </c>
      <c r="B2092" t="s">
        <v>100</v>
      </c>
      <c r="C2092" t="s">
        <v>1609</v>
      </c>
      <c r="D2092">
        <v>1</v>
      </c>
      <c r="E2092" s="273">
        <v>5</v>
      </c>
      <c r="F2092" s="273" t="s">
        <v>7</v>
      </c>
      <c r="G2092" s="273" t="s">
        <v>11</v>
      </c>
      <c r="H2092" s="273" t="s">
        <v>11</v>
      </c>
    </row>
    <row r="2093" spans="1:8" x14ac:dyDescent="0.25">
      <c r="A2093" t="s">
        <v>47</v>
      </c>
      <c r="B2093" t="s">
        <v>100</v>
      </c>
      <c r="C2093" t="s">
        <v>2406</v>
      </c>
      <c r="D2093">
        <v>1</v>
      </c>
      <c r="E2093" s="273">
        <v>5</v>
      </c>
      <c r="F2093" s="273" t="s">
        <v>7</v>
      </c>
      <c r="G2093" s="273" t="s">
        <v>11</v>
      </c>
      <c r="H2093" s="273" t="s">
        <v>11</v>
      </c>
    </row>
    <row r="2094" spans="1:8" x14ac:dyDescent="0.25">
      <c r="A2094" t="s">
        <v>47</v>
      </c>
      <c r="B2094" t="s">
        <v>100</v>
      </c>
      <c r="C2094" t="s">
        <v>2407</v>
      </c>
      <c r="D2094">
        <v>1</v>
      </c>
      <c r="E2094" s="273">
        <v>5</v>
      </c>
      <c r="F2094" s="273" t="s">
        <v>7</v>
      </c>
      <c r="G2094" s="273" t="s">
        <v>11</v>
      </c>
      <c r="H2094" s="273" t="s">
        <v>11</v>
      </c>
    </row>
    <row r="2095" spans="1:8" x14ac:dyDescent="0.25">
      <c r="A2095" t="s">
        <v>47</v>
      </c>
      <c r="B2095" t="s">
        <v>100</v>
      </c>
      <c r="C2095" t="s">
        <v>1239</v>
      </c>
      <c r="D2095">
        <v>1</v>
      </c>
      <c r="E2095" s="273">
        <v>5</v>
      </c>
      <c r="F2095" s="273" t="s">
        <v>7</v>
      </c>
      <c r="G2095" s="273" t="s">
        <v>11</v>
      </c>
      <c r="H2095" s="273" t="s">
        <v>11</v>
      </c>
    </row>
    <row r="2096" spans="1:8" x14ac:dyDescent="0.25">
      <c r="A2096" t="s">
        <v>47</v>
      </c>
      <c r="B2096" t="s">
        <v>100</v>
      </c>
      <c r="C2096" t="s">
        <v>2408</v>
      </c>
      <c r="D2096">
        <v>2</v>
      </c>
      <c r="E2096" s="273">
        <v>5</v>
      </c>
      <c r="F2096" s="273" t="s">
        <v>7</v>
      </c>
      <c r="G2096" s="273" t="s">
        <v>11</v>
      </c>
      <c r="H2096" s="273" t="s">
        <v>11</v>
      </c>
    </row>
    <row r="2097" spans="1:8" x14ac:dyDescent="0.25">
      <c r="A2097" t="s">
        <v>47</v>
      </c>
      <c r="B2097" t="s">
        <v>100</v>
      </c>
      <c r="C2097" t="s">
        <v>2409</v>
      </c>
      <c r="D2097">
        <v>1</v>
      </c>
      <c r="E2097" s="273">
        <v>5</v>
      </c>
      <c r="F2097" s="273" t="s">
        <v>7</v>
      </c>
      <c r="G2097" s="273" t="s">
        <v>11</v>
      </c>
      <c r="H2097" s="273" t="s">
        <v>11</v>
      </c>
    </row>
    <row r="2098" spans="1:8" x14ac:dyDescent="0.25">
      <c r="A2098" t="s">
        <v>47</v>
      </c>
      <c r="B2098" t="s">
        <v>100</v>
      </c>
      <c r="C2098" t="s">
        <v>2410</v>
      </c>
      <c r="D2098">
        <v>2</v>
      </c>
      <c r="E2098" s="273">
        <v>5</v>
      </c>
      <c r="F2098" s="273" t="s">
        <v>7</v>
      </c>
      <c r="G2098" s="273" t="s">
        <v>11</v>
      </c>
      <c r="H2098" s="273" t="s">
        <v>11</v>
      </c>
    </row>
    <row r="2099" spans="1:8" x14ac:dyDescent="0.25">
      <c r="A2099" t="s">
        <v>47</v>
      </c>
      <c r="B2099" t="s">
        <v>100</v>
      </c>
      <c r="C2099" t="s">
        <v>1661</v>
      </c>
      <c r="D2099">
        <v>1</v>
      </c>
      <c r="E2099" s="273">
        <v>5</v>
      </c>
      <c r="F2099" s="273" t="s">
        <v>7</v>
      </c>
      <c r="G2099" s="273" t="s">
        <v>11</v>
      </c>
      <c r="H2099" s="273" t="s">
        <v>11</v>
      </c>
    </row>
    <row r="2100" spans="1:8" x14ac:dyDescent="0.25">
      <c r="A2100" t="s">
        <v>47</v>
      </c>
      <c r="B2100" t="s">
        <v>100</v>
      </c>
      <c r="C2100" t="s">
        <v>2283</v>
      </c>
      <c r="D2100">
        <v>2</v>
      </c>
      <c r="E2100" s="273">
        <v>5</v>
      </c>
      <c r="F2100" s="273" t="s">
        <v>7</v>
      </c>
      <c r="G2100" s="273" t="s">
        <v>11</v>
      </c>
      <c r="H2100" s="273" t="s">
        <v>11</v>
      </c>
    </row>
    <row r="2101" spans="1:8" x14ac:dyDescent="0.25">
      <c r="A2101" t="s">
        <v>47</v>
      </c>
      <c r="B2101" t="s">
        <v>100</v>
      </c>
      <c r="C2101" t="s">
        <v>1394</v>
      </c>
      <c r="D2101">
        <v>1</v>
      </c>
      <c r="E2101" s="273">
        <v>5</v>
      </c>
      <c r="F2101" s="273" t="s">
        <v>7</v>
      </c>
      <c r="G2101" s="273" t="s">
        <v>11</v>
      </c>
      <c r="H2101" s="273" t="s">
        <v>11</v>
      </c>
    </row>
    <row r="2102" spans="1:8" x14ac:dyDescent="0.25">
      <c r="A2102" t="s">
        <v>47</v>
      </c>
      <c r="B2102" t="s">
        <v>100</v>
      </c>
      <c r="C2102" t="s">
        <v>1142</v>
      </c>
      <c r="D2102">
        <v>1</v>
      </c>
      <c r="E2102" s="273">
        <v>5</v>
      </c>
      <c r="F2102" s="273" t="s">
        <v>7</v>
      </c>
      <c r="G2102" s="273" t="s">
        <v>11</v>
      </c>
      <c r="H2102" s="273" t="s">
        <v>11</v>
      </c>
    </row>
    <row r="2103" spans="1:8" x14ac:dyDescent="0.25">
      <c r="A2103" t="s">
        <v>47</v>
      </c>
      <c r="B2103" t="s">
        <v>100</v>
      </c>
      <c r="C2103" t="s">
        <v>1143</v>
      </c>
      <c r="D2103">
        <v>1</v>
      </c>
      <c r="E2103" s="273">
        <v>5</v>
      </c>
      <c r="F2103" s="273" t="s">
        <v>7</v>
      </c>
      <c r="G2103" s="273" t="s">
        <v>11</v>
      </c>
      <c r="H2103" s="273" t="s">
        <v>11</v>
      </c>
    </row>
    <row r="2104" spans="1:8" x14ac:dyDescent="0.25">
      <c r="A2104" t="s">
        <v>47</v>
      </c>
      <c r="B2104" t="s">
        <v>100</v>
      </c>
      <c r="C2104" t="s">
        <v>1245</v>
      </c>
      <c r="D2104">
        <v>2</v>
      </c>
      <c r="E2104" s="273">
        <v>5</v>
      </c>
      <c r="F2104" s="273" t="s">
        <v>7</v>
      </c>
      <c r="G2104" s="273" t="s">
        <v>11</v>
      </c>
      <c r="H2104" s="273" t="s">
        <v>11</v>
      </c>
    </row>
    <row r="2105" spans="1:8" x14ac:dyDescent="0.25">
      <c r="A2105" t="s">
        <v>47</v>
      </c>
      <c r="B2105" t="s">
        <v>100</v>
      </c>
      <c r="C2105" t="s">
        <v>2411</v>
      </c>
      <c r="D2105">
        <v>2</v>
      </c>
      <c r="E2105" s="273">
        <v>4</v>
      </c>
      <c r="F2105" s="273" t="s">
        <v>7</v>
      </c>
      <c r="G2105" s="273" t="s">
        <v>11</v>
      </c>
      <c r="H2105" s="273" t="s">
        <v>11</v>
      </c>
    </row>
    <row r="2106" spans="1:8" x14ac:dyDescent="0.25">
      <c r="A2106" t="s">
        <v>47</v>
      </c>
      <c r="B2106" t="s">
        <v>100</v>
      </c>
      <c r="C2106" t="s">
        <v>2412</v>
      </c>
      <c r="D2106">
        <v>2</v>
      </c>
      <c r="E2106" s="273">
        <v>5</v>
      </c>
      <c r="F2106" s="273" t="s">
        <v>7</v>
      </c>
      <c r="G2106" s="273" t="s">
        <v>11</v>
      </c>
      <c r="H2106" s="273" t="s">
        <v>11</v>
      </c>
    </row>
    <row r="2107" spans="1:8" x14ac:dyDescent="0.25">
      <c r="A2107" t="s">
        <v>47</v>
      </c>
      <c r="B2107" t="s">
        <v>100</v>
      </c>
      <c r="C2107" t="s">
        <v>1145</v>
      </c>
      <c r="D2107">
        <v>1</v>
      </c>
      <c r="E2107" s="273">
        <v>5</v>
      </c>
      <c r="F2107" s="273" t="s">
        <v>7</v>
      </c>
      <c r="G2107" s="273" t="s">
        <v>11</v>
      </c>
      <c r="H2107" s="273" t="s">
        <v>11</v>
      </c>
    </row>
    <row r="2108" spans="1:8" x14ac:dyDescent="0.25">
      <c r="A2108" t="s">
        <v>47</v>
      </c>
      <c r="B2108" t="s">
        <v>100</v>
      </c>
      <c r="C2108" t="s">
        <v>2413</v>
      </c>
      <c r="D2108">
        <v>1</v>
      </c>
      <c r="E2108" s="273">
        <v>5</v>
      </c>
      <c r="F2108" s="273" t="s">
        <v>7</v>
      </c>
      <c r="G2108" s="273" t="s">
        <v>11</v>
      </c>
      <c r="H2108" s="273" t="s">
        <v>11</v>
      </c>
    </row>
    <row r="2109" spans="1:8" x14ac:dyDescent="0.25">
      <c r="A2109" t="s">
        <v>47</v>
      </c>
      <c r="B2109" t="s">
        <v>100</v>
      </c>
      <c r="C2109" t="s">
        <v>1423</v>
      </c>
      <c r="D2109">
        <v>1</v>
      </c>
      <c r="E2109" s="273">
        <v>4</v>
      </c>
      <c r="F2109" s="273" t="s">
        <v>7</v>
      </c>
      <c r="G2109" s="273" t="s">
        <v>11</v>
      </c>
      <c r="H2109" s="273" t="s">
        <v>11</v>
      </c>
    </row>
    <row r="2110" spans="1:8" x14ac:dyDescent="0.25">
      <c r="A2110" t="s">
        <v>47</v>
      </c>
      <c r="B2110" t="s">
        <v>100</v>
      </c>
      <c r="C2110" t="s">
        <v>1507</v>
      </c>
      <c r="D2110">
        <v>1</v>
      </c>
      <c r="E2110" s="273">
        <v>5</v>
      </c>
      <c r="F2110" s="273" t="s">
        <v>7</v>
      </c>
      <c r="G2110" s="273" t="s">
        <v>11</v>
      </c>
      <c r="H2110" s="273" t="s">
        <v>11</v>
      </c>
    </row>
    <row r="2111" spans="1:8" x14ac:dyDescent="0.25">
      <c r="A2111" t="s">
        <v>47</v>
      </c>
      <c r="B2111" t="s">
        <v>100</v>
      </c>
      <c r="C2111" t="s">
        <v>1619</v>
      </c>
      <c r="D2111">
        <v>1</v>
      </c>
      <c r="E2111" s="273">
        <v>5</v>
      </c>
      <c r="F2111" s="273" t="s">
        <v>7</v>
      </c>
      <c r="G2111" s="273" t="s">
        <v>11</v>
      </c>
      <c r="H2111" s="273" t="s">
        <v>11</v>
      </c>
    </row>
    <row r="2112" spans="1:8" x14ac:dyDescent="0.25">
      <c r="A2112" t="s">
        <v>47</v>
      </c>
      <c r="B2112" t="s">
        <v>100</v>
      </c>
      <c r="C2112" t="s">
        <v>1666</v>
      </c>
      <c r="D2112">
        <v>1</v>
      </c>
      <c r="E2112" s="273">
        <v>5</v>
      </c>
      <c r="F2112" s="273" t="s">
        <v>7</v>
      </c>
      <c r="G2112" s="273" t="s">
        <v>11</v>
      </c>
      <c r="H2112" s="273" t="s">
        <v>11</v>
      </c>
    </row>
    <row r="2113" spans="1:8" x14ac:dyDescent="0.25">
      <c r="A2113" t="s">
        <v>47</v>
      </c>
      <c r="B2113" t="s">
        <v>100</v>
      </c>
      <c r="C2113" t="s">
        <v>1147</v>
      </c>
      <c r="D2113">
        <v>2</v>
      </c>
      <c r="E2113" s="273">
        <v>5</v>
      </c>
      <c r="F2113" s="273" t="s">
        <v>7</v>
      </c>
      <c r="G2113" s="273" t="s">
        <v>11</v>
      </c>
      <c r="H2113" s="273" t="s">
        <v>11</v>
      </c>
    </row>
    <row r="2114" spans="1:8" x14ac:dyDescent="0.25">
      <c r="A2114" t="s">
        <v>47</v>
      </c>
      <c r="B2114" t="s">
        <v>100</v>
      </c>
      <c r="C2114" t="s">
        <v>2414</v>
      </c>
      <c r="D2114">
        <v>2</v>
      </c>
      <c r="E2114" s="273">
        <v>5</v>
      </c>
      <c r="F2114" s="273" t="s">
        <v>7</v>
      </c>
      <c r="G2114" s="273" t="s">
        <v>11</v>
      </c>
      <c r="H2114" s="273" t="s">
        <v>11</v>
      </c>
    </row>
    <row r="2115" spans="1:8" x14ac:dyDescent="0.25">
      <c r="A2115" t="s">
        <v>47</v>
      </c>
      <c r="B2115" t="s">
        <v>100</v>
      </c>
      <c r="C2115" t="s">
        <v>2415</v>
      </c>
      <c r="D2115">
        <v>2</v>
      </c>
      <c r="E2115" s="273">
        <v>5</v>
      </c>
      <c r="F2115" s="273" t="s">
        <v>7</v>
      </c>
      <c r="G2115" s="273" t="s">
        <v>11</v>
      </c>
      <c r="H2115" s="273" t="s">
        <v>11</v>
      </c>
    </row>
    <row r="2116" spans="1:8" x14ac:dyDescent="0.25">
      <c r="A2116" t="s">
        <v>47</v>
      </c>
      <c r="B2116" t="s">
        <v>100</v>
      </c>
      <c r="C2116" t="s">
        <v>1429</v>
      </c>
      <c r="D2116">
        <v>1</v>
      </c>
      <c r="E2116" s="273">
        <v>5</v>
      </c>
      <c r="F2116" s="273" t="s">
        <v>7</v>
      </c>
      <c r="G2116" s="273" t="s">
        <v>11</v>
      </c>
      <c r="H2116" s="273" t="s">
        <v>11</v>
      </c>
    </row>
    <row r="2117" spans="1:8" x14ac:dyDescent="0.25">
      <c r="A2117" t="s">
        <v>47</v>
      </c>
      <c r="B2117" t="s">
        <v>100</v>
      </c>
      <c r="C2117" t="s">
        <v>1969</v>
      </c>
      <c r="D2117">
        <v>1</v>
      </c>
      <c r="E2117" s="273">
        <v>5</v>
      </c>
      <c r="F2117" s="273" t="s">
        <v>7</v>
      </c>
      <c r="G2117" s="273" t="s">
        <v>11</v>
      </c>
      <c r="H2117" s="273" t="s">
        <v>11</v>
      </c>
    </row>
    <row r="2118" spans="1:8" x14ac:dyDescent="0.25">
      <c r="A2118" t="s">
        <v>47</v>
      </c>
      <c r="B2118" t="s">
        <v>100</v>
      </c>
      <c r="C2118" t="s">
        <v>1149</v>
      </c>
      <c r="D2118">
        <v>2</v>
      </c>
      <c r="E2118" s="273">
        <v>5</v>
      </c>
      <c r="F2118" s="273" t="s">
        <v>7</v>
      </c>
      <c r="G2118" s="273" t="s">
        <v>11</v>
      </c>
      <c r="H2118" s="273" t="s">
        <v>11</v>
      </c>
    </row>
    <row r="2119" spans="1:8" x14ac:dyDescent="0.25">
      <c r="A2119" t="s">
        <v>47</v>
      </c>
      <c r="B2119" t="s">
        <v>100</v>
      </c>
      <c r="C2119" t="s">
        <v>1150</v>
      </c>
      <c r="D2119">
        <v>1</v>
      </c>
      <c r="E2119" s="273">
        <v>5</v>
      </c>
      <c r="F2119" s="273" t="s">
        <v>7</v>
      </c>
      <c r="G2119" s="273" t="s">
        <v>11</v>
      </c>
      <c r="H2119" s="273" t="s">
        <v>11</v>
      </c>
    </row>
    <row r="2120" spans="1:8" x14ac:dyDescent="0.25">
      <c r="A2120" t="s">
        <v>47</v>
      </c>
      <c r="B2120" t="s">
        <v>100</v>
      </c>
      <c r="C2120" t="s">
        <v>1627</v>
      </c>
      <c r="D2120">
        <v>1</v>
      </c>
      <c r="E2120" s="273">
        <v>5</v>
      </c>
      <c r="F2120" s="273" t="s">
        <v>7</v>
      </c>
      <c r="G2120" s="273" t="s">
        <v>11</v>
      </c>
      <c r="H2120" s="273" t="s">
        <v>11</v>
      </c>
    </row>
    <row r="2121" spans="1:8" x14ac:dyDescent="0.25">
      <c r="A2121" t="s">
        <v>47</v>
      </c>
      <c r="B2121" t="s">
        <v>100</v>
      </c>
      <c r="C2121" t="s">
        <v>1299</v>
      </c>
      <c r="D2121">
        <v>2</v>
      </c>
      <c r="E2121" s="273">
        <v>5</v>
      </c>
      <c r="F2121" s="273" t="s">
        <v>7</v>
      </c>
      <c r="G2121" s="273" t="s">
        <v>11</v>
      </c>
      <c r="H2121" s="273" t="s">
        <v>11</v>
      </c>
    </row>
    <row r="2122" spans="1:8" x14ac:dyDescent="0.25">
      <c r="A2122" t="s">
        <v>47</v>
      </c>
      <c r="B2122" t="s">
        <v>100</v>
      </c>
      <c r="C2122" t="s">
        <v>1153</v>
      </c>
      <c r="D2122">
        <v>2</v>
      </c>
      <c r="E2122" s="273">
        <v>4</v>
      </c>
      <c r="F2122" s="273" t="s">
        <v>7</v>
      </c>
      <c r="G2122" s="273" t="s">
        <v>11</v>
      </c>
      <c r="H2122" s="273" t="s">
        <v>11</v>
      </c>
    </row>
    <row r="2123" spans="1:8" x14ac:dyDescent="0.25">
      <c r="A2123" t="s">
        <v>47</v>
      </c>
      <c r="B2123" t="s">
        <v>100</v>
      </c>
      <c r="C2123" t="s">
        <v>2416</v>
      </c>
      <c r="D2123">
        <v>1</v>
      </c>
      <c r="E2123" s="273">
        <v>5</v>
      </c>
      <c r="F2123" s="273" t="s">
        <v>7</v>
      </c>
      <c r="G2123" s="273" t="s">
        <v>11</v>
      </c>
      <c r="H2123" s="273" t="s">
        <v>11</v>
      </c>
    </row>
    <row r="2124" spans="1:8" x14ac:dyDescent="0.25">
      <c r="A2124" t="s">
        <v>47</v>
      </c>
      <c r="B2124" t="s">
        <v>100</v>
      </c>
      <c r="C2124" t="s">
        <v>1257</v>
      </c>
      <c r="D2124">
        <v>1</v>
      </c>
      <c r="E2124" s="273">
        <v>5</v>
      </c>
      <c r="F2124" s="273" t="s">
        <v>7</v>
      </c>
      <c r="G2124" s="273" t="s">
        <v>11</v>
      </c>
      <c r="H2124" s="273" t="s">
        <v>11</v>
      </c>
    </row>
    <row r="2125" spans="1:8" x14ac:dyDescent="0.25">
      <c r="A2125" t="s">
        <v>47</v>
      </c>
      <c r="B2125" t="s">
        <v>100</v>
      </c>
      <c r="C2125" t="s">
        <v>2417</v>
      </c>
      <c r="D2125">
        <v>2</v>
      </c>
      <c r="E2125" s="273">
        <v>5</v>
      </c>
      <c r="F2125" s="273" t="s">
        <v>7</v>
      </c>
      <c r="G2125" s="273" t="s">
        <v>11</v>
      </c>
      <c r="H2125" s="273" t="s">
        <v>11</v>
      </c>
    </row>
    <row r="2126" spans="1:8" x14ac:dyDescent="0.25">
      <c r="A2126" t="s">
        <v>47</v>
      </c>
      <c r="B2126" t="s">
        <v>100</v>
      </c>
      <c r="C2126" t="s">
        <v>1720</v>
      </c>
      <c r="D2126">
        <v>2</v>
      </c>
      <c r="E2126" s="273">
        <v>5</v>
      </c>
      <c r="F2126" s="273" t="s">
        <v>7</v>
      </c>
      <c r="G2126" s="273" t="s">
        <v>11</v>
      </c>
      <c r="H2126" s="273" t="s">
        <v>11</v>
      </c>
    </row>
    <row r="2127" spans="1:8" x14ac:dyDescent="0.25">
      <c r="A2127" t="s">
        <v>47</v>
      </c>
      <c r="B2127" t="s">
        <v>100</v>
      </c>
      <c r="C2127" t="s">
        <v>1158</v>
      </c>
      <c r="D2127">
        <v>1</v>
      </c>
      <c r="E2127" s="273">
        <v>5</v>
      </c>
      <c r="F2127" s="273" t="s">
        <v>7</v>
      </c>
      <c r="G2127" s="273" t="s">
        <v>11</v>
      </c>
      <c r="H2127" s="273" t="s">
        <v>11</v>
      </c>
    </row>
    <row r="2128" spans="1:8" x14ac:dyDescent="0.25">
      <c r="A2128" t="s">
        <v>47</v>
      </c>
      <c r="B2128" t="s">
        <v>100</v>
      </c>
      <c r="C2128" t="s">
        <v>2418</v>
      </c>
      <c r="D2128">
        <v>2</v>
      </c>
      <c r="E2128" s="273">
        <v>5</v>
      </c>
      <c r="F2128" s="273" t="s">
        <v>7</v>
      </c>
      <c r="G2128" s="273" t="s">
        <v>11</v>
      </c>
      <c r="H2128" s="273" t="s">
        <v>11</v>
      </c>
    </row>
    <row r="2129" spans="1:8" x14ac:dyDescent="0.25">
      <c r="A2129" t="s">
        <v>47</v>
      </c>
      <c r="B2129" t="s">
        <v>100</v>
      </c>
      <c r="C2129" t="s">
        <v>1160</v>
      </c>
      <c r="D2129">
        <v>1</v>
      </c>
      <c r="E2129" s="273">
        <v>5</v>
      </c>
      <c r="F2129" s="273" t="s">
        <v>7</v>
      </c>
      <c r="G2129" s="273" t="s">
        <v>11</v>
      </c>
      <c r="H2129" s="273" t="s">
        <v>11</v>
      </c>
    </row>
    <row r="2130" spans="1:8" x14ac:dyDescent="0.25">
      <c r="A2130" t="s">
        <v>47</v>
      </c>
      <c r="B2130" t="s">
        <v>100</v>
      </c>
      <c r="C2130" t="s">
        <v>2419</v>
      </c>
      <c r="D2130">
        <v>2</v>
      </c>
      <c r="E2130" s="273">
        <v>5</v>
      </c>
      <c r="F2130" s="273" t="s">
        <v>7</v>
      </c>
      <c r="G2130" s="273" t="s">
        <v>11</v>
      </c>
      <c r="H2130" s="273" t="s">
        <v>11</v>
      </c>
    </row>
    <row r="2131" spans="1:8" x14ac:dyDescent="0.25">
      <c r="A2131" t="s">
        <v>47</v>
      </c>
      <c r="B2131" t="s">
        <v>100</v>
      </c>
      <c r="C2131" t="s">
        <v>2420</v>
      </c>
      <c r="D2131">
        <v>2</v>
      </c>
      <c r="E2131" s="273">
        <v>5</v>
      </c>
      <c r="F2131" s="273" t="s">
        <v>7</v>
      </c>
      <c r="G2131" s="273" t="s">
        <v>11</v>
      </c>
      <c r="H2131" s="273" t="s">
        <v>11</v>
      </c>
    </row>
    <row r="2132" spans="1:8" x14ac:dyDescent="0.25">
      <c r="A2132" t="s">
        <v>47</v>
      </c>
      <c r="B2132" t="s">
        <v>100</v>
      </c>
      <c r="C2132" t="s">
        <v>1637</v>
      </c>
      <c r="D2132">
        <v>1</v>
      </c>
      <c r="E2132" s="273">
        <v>5</v>
      </c>
      <c r="F2132" s="273" t="s">
        <v>7</v>
      </c>
      <c r="G2132" s="273" t="s">
        <v>11</v>
      </c>
      <c r="H2132" s="273" t="s">
        <v>11</v>
      </c>
    </row>
    <row r="2133" spans="1:8" x14ac:dyDescent="0.25">
      <c r="A2133" t="s">
        <v>47</v>
      </c>
      <c r="B2133" t="s">
        <v>100</v>
      </c>
      <c r="C2133" t="s">
        <v>1674</v>
      </c>
      <c r="D2133">
        <v>1</v>
      </c>
      <c r="E2133" s="273">
        <v>5</v>
      </c>
      <c r="F2133" s="273" t="s">
        <v>7</v>
      </c>
      <c r="G2133" s="273" t="s">
        <v>11</v>
      </c>
      <c r="H2133" s="273" t="s">
        <v>11</v>
      </c>
    </row>
    <row r="2134" spans="1:8" x14ac:dyDescent="0.25">
      <c r="A2134" t="s">
        <v>47</v>
      </c>
      <c r="B2134" t="s">
        <v>100</v>
      </c>
      <c r="C2134" t="s">
        <v>1163</v>
      </c>
      <c r="D2134">
        <v>2</v>
      </c>
      <c r="E2134" s="273">
        <v>5</v>
      </c>
      <c r="F2134" s="273" t="s">
        <v>7</v>
      </c>
      <c r="G2134" s="273" t="s">
        <v>11</v>
      </c>
      <c r="H2134" s="273" t="s">
        <v>11</v>
      </c>
    </row>
    <row r="2135" spans="1:8" x14ac:dyDescent="0.25">
      <c r="A2135" t="s">
        <v>47</v>
      </c>
      <c r="B2135" t="s">
        <v>100</v>
      </c>
      <c r="C2135" t="s">
        <v>1164</v>
      </c>
      <c r="D2135">
        <v>1</v>
      </c>
      <c r="E2135" s="273">
        <v>5</v>
      </c>
      <c r="F2135" s="273" t="s">
        <v>7</v>
      </c>
      <c r="G2135" s="273" t="s">
        <v>11</v>
      </c>
      <c r="H2135" s="273" t="s">
        <v>11</v>
      </c>
    </row>
    <row r="2136" spans="1:8" x14ac:dyDescent="0.25">
      <c r="A2136" t="s">
        <v>47</v>
      </c>
      <c r="B2136" t="s">
        <v>100</v>
      </c>
      <c r="C2136" t="s">
        <v>1165</v>
      </c>
      <c r="D2136">
        <v>2</v>
      </c>
      <c r="E2136" s="273">
        <v>5</v>
      </c>
      <c r="F2136" s="273" t="s">
        <v>7</v>
      </c>
      <c r="G2136" s="273" t="s">
        <v>11</v>
      </c>
      <c r="H2136" s="273" t="s">
        <v>11</v>
      </c>
    </row>
    <row r="2137" spans="1:8" x14ac:dyDescent="0.25">
      <c r="A2137" t="s">
        <v>47</v>
      </c>
      <c r="B2137" t="s">
        <v>100</v>
      </c>
      <c r="C2137" t="s">
        <v>2421</v>
      </c>
      <c r="D2137">
        <v>1</v>
      </c>
      <c r="E2137" s="273">
        <v>5</v>
      </c>
      <c r="F2137" s="273" t="s">
        <v>7</v>
      </c>
      <c r="G2137" s="273" t="s">
        <v>11</v>
      </c>
      <c r="H2137" s="273" t="s">
        <v>11</v>
      </c>
    </row>
    <row r="2138" spans="1:8" x14ac:dyDescent="0.25">
      <c r="A2138" t="s">
        <v>47</v>
      </c>
      <c r="B2138" t="s">
        <v>100</v>
      </c>
      <c r="C2138" t="s">
        <v>2422</v>
      </c>
      <c r="D2138">
        <v>1</v>
      </c>
      <c r="E2138" s="273">
        <v>5</v>
      </c>
      <c r="F2138" s="273" t="s">
        <v>7</v>
      </c>
      <c r="G2138" s="273" t="s">
        <v>11</v>
      </c>
      <c r="H2138" s="273" t="s">
        <v>11</v>
      </c>
    </row>
    <row r="2139" spans="1:8" x14ac:dyDescent="0.25">
      <c r="A2139" t="s">
        <v>47</v>
      </c>
      <c r="B2139" t="s">
        <v>100</v>
      </c>
      <c r="C2139" t="s">
        <v>1675</v>
      </c>
      <c r="D2139">
        <v>2</v>
      </c>
      <c r="E2139" s="273">
        <v>5</v>
      </c>
      <c r="F2139" s="273" t="s">
        <v>7</v>
      </c>
      <c r="G2139" s="273" t="s">
        <v>11</v>
      </c>
      <c r="H2139" s="273" t="s">
        <v>11</v>
      </c>
    </row>
    <row r="2140" spans="1:8" x14ac:dyDescent="0.25">
      <c r="A2140" t="s">
        <v>47</v>
      </c>
      <c r="B2140" t="s">
        <v>100</v>
      </c>
      <c r="C2140" t="s">
        <v>1783</v>
      </c>
      <c r="D2140">
        <v>2</v>
      </c>
      <c r="E2140" s="273">
        <v>5</v>
      </c>
      <c r="F2140" s="273" t="s">
        <v>7</v>
      </c>
      <c r="G2140" s="273" t="s">
        <v>11</v>
      </c>
      <c r="H2140" s="273" t="s">
        <v>11</v>
      </c>
    </row>
    <row r="2141" spans="1:8" x14ac:dyDescent="0.25">
      <c r="A2141" t="s">
        <v>47</v>
      </c>
      <c r="B2141" t="s">
        <v>100</v>
      </c>
      <c r="C2141" t="s">
        <v>1529</v>
      </c>
      <c r="D2141">
        <v>2</v>
      </c>
      <c r="E2141" s="273">
        <v>5</v>
      </c>
      <c r="F2141" s="273" t="s">
        <v>7</v>
      </c>
      <c r="G2141" s="273" t="s">
        <v>11</v>
      </c>
      <c r="H2141" s="273" t="s">
        <v>11</v>
      </c>
    </row>
    <row r="2142" spans="1:8" x14ac:dyDescent="0.25">
      <c r="A2142" t="s">
        <v>47</v>
      </c>
      <c r="B2142" t="s">
        <v>100</v>
      </c>
      <c r="C2142" t="s">
        <v>1166</v>
      </c>
      <c r="D2142">
        <v>1</v>
      </c>
      <c r="E2142" s="273">
        <v>5</v>
      </c>
      <c r="F2142" s="273" t="s">
        <v>7</v>
      </c>
      <c r="G2142" s="273" t="s">
        <v>11</v>
      </c>
      <c r="H2142" s="273" t="s">
        <v>11</v>
      </c>
    </row>
    <row r="2143" spans="1:8" x14ac:dyDescent="0.25">
      <c r="A2143" t="s">
        <v>47</v>
      </c>
      <c r="B2143" t="s">
        <v>100</v>
      </c>
      <c r="C2143" t="s">
        <v>2423</v>
      </c>
      <c r="D2143">
        <v>1</v>
      </c>
      <c r="E2143" s="273">
        <v>5</v>
      </c>
      <c r="F2143" s="273" t="s">
        <v>7</v>
      </c>
      <c r="G2143" s="273" t="s">
        <v>11</v>
      </c>
      <c r="H2143" s="273" t="s">
        <v>11</v>
      </c>
    </row>
    <row r="2144" spans="1:8" x14ac:dyDescent="0.25">
      <c r="A2144" t="s">
        <v>47</v>
      </c>
      <c r="B2144" t="s">
        <v>100</v>
      </c>
      <c r="C2144" t="s">
        <v>1168</v>
      </c>
      <c r="D2144">
        <v>1</v>
      </c>
      <c r="E2144" s="273">
        <v>4</v>
      </c>
      <c r="F2144" s="273" t="s">
        <v>7</v>
      </c>
      <c r="G2144" s="273" t="s">
        <v>11</v>
      </c>
      <c r="H2144" s="273" t="s">
        <v>11</v>
      </c>
    </row>
    <row r="2145" spans="1:8" x14ac:dyDescent="0.25">
      <c r="A2145" t="s">
        <v>47</v>
      </c>
      <c r="B2145" t="s">
        <v>100</v>
      </c>
      <c r="C2145" t="s">
        <v>2424</v>
      </c>
      <c r="D2145">
        <v>2</v>
      </c>
      <c r="E2145" s="273">
        <v>5</v>
      </c>
      <c r="F2145" s="273" t="s">
        <v>7</v>
      </c>
      <c r="G2145" s="273" t="s">
        <v>11</v>
      </c>
      <c r="H2145" s="273" t="s">
        <v>11</v>
      </c>
    </row>
    <row r="2146" spans="1:8" x14ac:dyDescent="0.25">
      <c r="A2146" t="s">
        <v>47</v>
      </c>
      <c r="B2146" t="s">
        <v>100</v>
      </c>
      <c r="C2146" t="s">
        <v>2425</v>
      </c>
      <c r="D2146">
        <v>1</v>
      </c>
      <c r="E2146" s="273">
        <v>5</v>
      </c>
      <c r="F2146" s="273" t="s">
        <v>7</v>
      </c>
      <c r="G2146" s="273" t="s">
        <v>11</v>
      </c>
      <c r="H2146" s="273" t="s">
        <v>11</v>
      </c>
    </row>
    <row r="2147" spans="1:8" x14ac:dyDescent="0.25">
      <c r="A2147" t="s">
        <v>47</v>
      </c>
      <c r="B2147" t="s">
        <v>100</v>
      </c>
      <c r="C2147" t="s">
        <v>1444</v>
      </c>
      <c r="D2147">
        <v>2</v>
      </c>
      <c r="E2147" s="273">
        <v>5</v>
      </c>
      <c r="F2147" s="273" t="s">
        <v>7</v>
      </c>
      <c r="G2147" s="273" t="s">
        <v>11</v>
      </c>
      <c r="H2147" s="273" t="s">
        <v>11</v>
      </c>
    </row>
    <row r="2148" spans="1:8" x14ac:dyDescent="0.25">
      <c r="A2148" t="s">
        <v>47</v>
      </c>
      <c r="B2148" t="s">
        <v>100</v>
      </c>
      <c r="C2148" t="s">
        <v>1642</v>
      </c>
      <c r="D2148">
        <v>1</v>
      </c>
      <c r="E2148" s="273">
        <v>5</v>
      </c>
      <c r="F2148" s="273" t="s">
        <v>7</v>
      </c>
      <c r="G2148" s="273" t="s">
        <v>11</v>
      </c>
      <c r="H2148" s="273" t="s">
        <v>11</v>
      </c>
    </row>
    <row r="2149" spans="1:8" x14ac:dyDescent="0.25">
      <c r="A2149" t="s">
        <v>47</v>
      </c>
      <c r="B2149" t="s">
        <v>100</v>
      </c>
      <c r="C2149" t="s">
        <v>2426</v>
      </c>
      <c r="D2149">
        <v>1</v>
      </c>
      <c r="E2149" s="273">
        <v>5</v>
      </c>
      <c r="F2149" s="273" t="s">
        <v>7</v>
      </c>
      <c r="G2149" s="273" t="s">
        <v>11</v>
      </c>
      <c r="H2149" s="273" t="s">
        <v>11</v>
      </c>
    </row>
    <row r="2150" spans="1:8" x14ac:dyDescent="0.25">
      <c r="A2150" t="s">
        <v>47</v>
      </c>
      <c r="B2150" t="s">
        <v>100</v>
      </c>
      <c r="C2150" t="s">
        <v>2427</v>
      </c>
      <c r="D2150">
        <v>2</v>
      </c>
      <c r="E2150" s="273">
        <v>5</v>
      </c>
      <c r="F2150" s="273" t="s">
        <v>7</v>
      </c>
      <c r="G2150" s="273" t="s">
        <v>11</v>
      </c>
      <c r="H2150" s="273" t="s">
        <v>11</v>
      </c>
    </row>
    <row r="2151" spans="1:8" x14ac:dyDescent="0.25">
      <c r="A2151" t="s">
        <v>47</v>
      </c>
      <c r="B2151" t="s">
        <v>100</v>
      </c>
      <c r="C2151" t="s">
        <v>2428</v>
      </c>
      <c r="D2151">
        <v>2</v>
      </c>
      <c r="E2151" s="273">
        <v>4</v>
      </c>
      <c r="F2151" s="273" t="s">
        <v>7</v>
      </c>
      <c r="G2151" s="273" t="s">
        <v>11</v>
      </c>
      <c r="H2151" s="273" t="s">
        <v>11</v>
      </c>
    </row>
    <row r="2152" spans="1:8" x14ac:dyDescent="0.25">
      <c r="A2152" t="s">
        <v>47</v>
      </c>
      <c r="B2152" t="s">
        <v>100</v>
      </c>
      <c r="C2152" t="s">
        <v>2297</v>
      </c>
      <c r="D2152">
        <v>1</v>
      </c>
      <c r="E2152" s="273">
        <v>5</v>
      </c>
      <c r="F2152" s="273" t="s">
        <v>7</v>
      </c>
      <c r="G2152" s="273" t="s">
        <v>11</v>
      </c>
      <c r="H2152" s="273" t="s">
        <v>11</v>
      </c>
    </row>
    <row r="2153" spans="1:8" x14ac:dyDescent="0.25">
      <c r="A2153" t="s">
        <v>47</v>
      </c>
      <c r="B2153" t="s">
        <v>100</v>
      </c>
      <c r="C2153" t="s">
        <v>1172</v>
      </c>
      <c r="D2153">
        <v>1</v>
      </c>
      <c r="E2153" s="273">
        <v>5</v>
      </c>
      <c r="F2153" s="273" t="s">
        <v>7</v>
      </c>
      <c r="G2153" s="273" t="s">
        <v>11</v>
      </c>
      <c r="H2153" s="273" t="s">
        <v>11</v>
      </c>
    </row>
    <row r="2154" spans="1:8" x14ac:dyDescent="0.25">
      <c r="A2154" t="s">
        <v>47</v>
      </c>
      <c r="B2154" t="s">
        <v>100</v>
      </c>
      <c r="C2154" t="s">
        <v>1646</v>
      </c>
      <c r="D2154">
        <v>1</v>
      </c>
      <c r="E2154" s="273">
        <v>5</v>
      </c>
      <c r="F2154" s="273" t="s">
        <v>7</v>
      </c>
      <c r="G2154" s="273" t="s">
        <v>11</v>
      </c>
      <c r="H2154" s="273" t="s">
        <v>11</v>
      </c>
    </row>
    <row r="2155" spans="1:8" x14ac:dyDescent="0.25">
      <c r="A2155" t="s">
        <v>47</v>
      </c>
      <c r="B2155" t="s">
        <v>100</v>
      </c>
      <c r="C2155" t="s">
        <v>1391</v>
      </c>
      <c r="D2155">
        <v>1</v>
      </c>
      <c r="E2155" s="273">
        <v>5</v>
      </c>
      <c r="F2155" s="273" t="s">
        <v>7</v>
      </c>
      <c r="G2155" s="273" t="s">
        <v>11</v>
      </c>
      <c r="H2155" s="273" t="s">
        <v>11</v>
      </c>
    </row>
    <row r="2156" spans="1:8" x14ac:dyDescent="0.25">
      <c r="A2156" t="s">
        <v>47</v>
      </c>
      <c r="B2156" t="s">
        <v>100</v>
      </c>
      <c r="C2156" t="s">
        <v>2429</v>
      </c>
      <c r="D2156">
        <v>2</v>
      </c>
      <c r="E2156" s="273">
        <v>5</v>
      </c>
      <c r="F2156" s="273" t="s">
        <v>7</v>
      </c>
      <c r="G2156" s="273" t="s">
        <v>11</v>
      </c>
      <c r="H2156" s="273" t="s">
        <v>11</v>
      </c>
    </row>
    <row r="2157" spans="1:8" x14ac:dyDescent="0.25">
      <c r="A2157" t="s">
        <v>47</v>
      </c>
      <c r="B2157" t="s">
        <v>100</v>
      </c>
      <c r="C2157" t="s">
        <v>2430</v>
      </c>
      <c r="D2157">
        <v>1</v>
      </c>
      <c r="E2157" s="273">
        <v>5</v>
      </c>
      <c r="F2157" s="273" t="s">
        <v>7</v>
      </c>
      <c r="G2157" s="273" t="s">
        <v>11</v>
      </c>
      <c r="H2157" s="273" t="s">
        <v>11</v>
      </c>
    </row>
    <row r="2158" spans="1:8" x14ac:dyDescent="0.25">
      <c r="A2158" t="s">
        <v>47</v>
      </c>
      <c r="B2158" t="s">
        <v>100</v>
      </c>
      <c r="C2158" t="s">
        <v>1278</v>
      </c>
      <c r="D2158">
        <v>1</v>
      </c>
      <c r="E2158" s="273">
        <v>5</v>
      </c>
      <c r="F2158" s="273" t="s">
        <v>7</v>
      </c>
      <c r="G2158" s="273" t="s">
        <v>11</v>
      </c>
      <c r="H2158" s="273" t="s">
        <v>11</v>
      </c>
    </row>
    <row r="2159" spans="1:8" x14ac:dyDescent="0.25">
      <c r="A2159" t="s">
        <v>47</v>
      </c>
      <c r="B2159" t="s">
        <v>100</v>
      </c>
      <c r="C2159" t="s">
        <v>2431</v>
      </c>
      <c r="D2159">
        <v>1</v>
      </c>
      <c r="E2159" s="273">
        <v>5</v>
      </c>
      <c r="F2159" s="273" t="s">
        <v>7</v>
      </c>
      <c r="G2159" s="273" t="s">
        <v>11</v>
      </c>
      <c r="H2159" s="273" t="s">
        <v>11</v>
      </c>
    </row>
    <row r="2160" spans="1:8" x14ac:dyDescent="0.25">
      <c r="A2160" t="s">
        <v>47</v>
      </c>
      <c r="B2160" t="s">
        <v>100</v>
      </c>
      <c r="C2160" t="s">
        <v>2432</v>
      </c>
      <c r="D2160">
        <v>2</v>
      </c>
      <c r="E2160" s="273">
        <v>5</v>
      </c>
      <c r="F2160" s="273" t="s">
        <v>7</v>
      </c>
      <c r="G2160" s="273" t="s">
        <v>11</v>
      </c>
      <c r="H2160" s="273" t="s">
        <v>11</v>
      </c>
    </row>
    <row r="2161" spans="1:8" x14ac:dyDescent="0.25">
      <c r="A2161" t="s">
        <v>47</v>
      </c>
      <c r="B2161" t="s">
        <v>100</v>
      </c>
      <c r="C2161" t="s">
        <v>1556</v>
      </c>
      <c r="D2161">
        <v>1</v>
      </c>
      <c r="E2161" s="273">
        <v>5</v>
      </c>
      <c r="F2161" s="273" t="s">
        <v>7</v>
      </c>
      <c r="G2161" s="273" t="s">
        <v>11</v>
      </c>
      <c r="H2161" s="273" t="s">
        <v>11</v>
      </c>
    </row>
    <row r="2162" spans="1:8" x14ac:dyDescent="0.25">
      <c r="A2162" t="s">
        <v>47</v>
      </c>
      <c r="B2162" t="s">
        <v>100</v>
      </c>
      <c r="C2162" t="s">
        <v>1178</v>
      </c>
      <c r="D2162">
        <v>2</v>
      </c>
      <c r="E2162" s="273">
        <v>4</v>
      </c>
      <c r="F2162" s="273" t="s">
        <v>7</v>
      </c>
      <c r="G2162" s="273" t="s">
        <v>11</v>
      </c>
      <c r="H2162" s="273" t="s">
        <v>11</v>
      </c>
    </row>
    <row r="2163" spans="1:8" x14ac:dyDescent="0.25">
      <c r="A2163" t="s">
        <v>47</v>
      </c>
      <c r="B2163" t="s">
        <v>100</v>
      </c>
      <c r="C2163" t="s">
        <v>1557</v>
      </c>
      <c r="D2163">
        <v>1</v>
      </c>
      <c r="E2163" s="273">
        <v>5</v>
      </c>
      <c r="F2163" s="273" t="s">
        <v>7</v>
      </c>
      <c r="G2163" s="273" t="s">
        <v>11</v>
      </c>
      <c r="H2163" s="273" t="s">
        <v>11</v>
      </c>
    </row>
    <row r="2164" spans="1:8" x14ac:dyDescent="0.25">
      <c r="A2164" t="s">
        <v>47</v>
      </c>
      <c r="B2164" t="s">
        <v>100</v>
      </c>
      <c r="C2164" t="s">
        <v>2398</v>
      </c>
      <c r="D2164">
        <v>2</v>
      </c>
      <c r="E2164" s="273">
        <v>5</v>
      </c>
      <c r="F2164" s="273" t="s">
        <v>7</v>
      </c>
      <c r="G2164" s="273" t="s">
        <v>11</v>
      </c>
      <c r="H2164" s="273" t="s">
        <v>11</v>
      </c>
    </row>
    <row r="2165" spans="1:8" x14ac:dyDescent="0.25">
      <c r="A2165" t="s">
        <v>47</v>
      </c>
      <c r="B2165" t="s">
        <v>100</v>
      </c>
      <c r="C2165" t="s">
        <v>2433</v>
      </c>
      <c r="D2165">
        <v>2</v>
      </c>
      <c r="E2165" s="273">
        <v>5</v>
      </c>
      <c r="F2165" s="273" t="s">
        <v>7</v>
      </c>
      <c r="G2165" s="273" t="s">
        <v>11</v>
      </c>
      <c r="H2165" s="273" t="s">
        <v>11</v>
      </c>
    </row>
    <row r="2166" spans="1:8" x14ac:dyDescent="0.25">
      <c r="A2166" t="s">
        <v>47</v>
      </c>
      <c r="B2166" t="s">
        <v>100</v>
      </c>
      <c r="C2166" t="s">
        <v>2434</v>
      </c>
      <c r="D2166">
        <v>1</v>
      </c>
      <c r="E2166" s="273">
        <v>5</v>
      </c>
      <c r="F2166" s="273" t="s">
        <v>7</v>
      </c>
      <c r="G2166" s="273" t="s">
        <v>11</v>
      </c>
      <c r="H2166" s="273" t="s">
        <v>11</v>
      </c>
    </row>
    <row r="2167" spans="1:8" x14ac:dyDescent="0.25">
      <c r="A2167" t="s">
        <v>48</v>
      </c>
      <c r="B2167" t="s">
        <v>110</v>
      </c>
      <c r="C2167" t="s">
        <v>1697</v>
      </c>
      <c r="D2167">
        <v>2</v>
      </c>
      <c r="E2167" s="273">
        <v>3</v>
      </c>
      <c r="F2167" s="273" t="s">
        <v>7</v>
      </c>
      <c r="G2167" s="273" t="s">
        <v>11</v>
      </c>
      <c r="H2167" s="273" t="s">
        <v>11</v>
      </c>
    </row>
    <row r="2168" spans="1:8" x14ac:dyDescent="0.25">
      <c r="A2168" t="s">
        <v>48</v>
      </c>
      <c r="B2168" t="s">
        <v>110</v>
      </c>
      <c r="C2168" t="s">
        <v>2435</v>
      </c>
      <c r="D2168">
        <v>3</v>
      </c>
      <c r="E2168" s="273">
        <v>3</v>
      </c>
      <c r="F2168" s="273" t="s">
        <v>7</v>
      </c>
      <c r="G2168" s="273" t="s">
        <v>11</v>
      </c>
      <c r="H2168" s="273" t="s">
        <v>11</v>
      </c>
    </row>
    <row r="2169" spans="1:8" x14ac:dyDescent="0.25">
      <c r="A2169" t="s">
        <v>48</v>
      </c>
      <c r="B2169" t="s">
        <v>110</v>
      </c>
      <c r="C2169" t="s">
        <v>2436</v>
      </c>
      <c r="D2169">
        <v>3</v>
      </c>
      <c r="E2169" s="273">
        <v>3</v>
      </c>
      <c r="F2169" s="273" t="s">
        <v>7</v>
      </c>
      <c r="G2169" s="273" t="s">
        <v>11</v>
      </c>
      <c r="H2169" s="273" t="s">
        <v>11</v>
      </c>
    </row>
    <row r="2170" spans="1:8" x14ac:dyDescent="0.25">
      <c r="A2170" t="s">
        <v>48</v>
      </c>
      <c r="B2170" t="s">
        <v>110</v>
      </c>
      <c r="C2170" t="s">
        <v>2437</v>
      </c>
      <c r="D2170">
        <v>2</v>
      </c>
      <c r="E2170" s="273">
        <v>4</v>
      </c>
      <c r="F2170" s="273" t="s">
        <v>75</v>
      </c>
      <c r="G2170" s="273" t="s">
        <v>11</v>
      </c>
      <c r="H2170" s="273" t="s">
        <v>11</v>
      </c>
    </row>
    <row r="2171" spans="1:8" x14ac:dyDescent="0.25">
      <c r="A2171" t="s">
        <v>48</v>
      </c>
      <c r="B2171" t="s">
        <v>110</v>
      </c>
      <c r="C2171" t="s">
        <v>2438</v>
      </c>
      <c r="D2171">
        <v>3</v>
      </c>
      <c r="E2171" s="273">
        <v>3</v>
      </c>
      <c r="F2171" s="273" t="s">
        <v>7</v>
      </c>
      <c r="G2171" s="273" t="s">
        <v>11</v>
      </c>
      <c r="H2171" s="273" t="s">
        <v>11</v>
      </c>
    </row>
    <row r="2172" spans="1:8" x14ac:dyDescent="0.25">
      <c r="A2172" t="s">
        <v>48</v>
      </c>
      <c r="B2172" t="s">
        <v>110</v>
      </c>
      <c r="C2172" t="s">
        <v>1574</v>
      </c>
      <c r="D2172">
        <v>3</v>
      </c>
      <c r="E2172" s="273">
        <v>3</v>
      </c>
      <c r="F2172" s="273" t="s">
        <v>7</v>
      </c>
      <c r="G2172" s="273" t="s">
        <v>11</v>
      </c>
      <c r="H2172" s="273" t="s">
        <v>11</v>
      </c>
    </row>
    <row r="2173" spans="1:8" x14ac:dyDescent="0.25">
      <c r="A2173" t="s">
        <v>48</v>
      </c>
      <c r="B2173" t="s">
        <v>110</v>
      </c>
      <c r="C2173" t="s">
        <v>1466</v>
      </c>
      <c r="D2173">
        <v>3</v>
      </c>
      <c r="E2173" s="273">
        <v>3</v>
      </c>
      <c r="F2173" s="273" t="s">
        <v>7</v>
      </c>
      <c r="G2173" s="273" t="s">
        <v>11</v>
      </c>
      <c r="H2173" s="273" t="s">
        <v>11</v>
      </c>
    </row>
    <row r="2174" spans="1:8" x14ac:dyDescent="0.25">
      <c r="A2174" t="s">
        <v>48</v>
      </c>
      <c r="B2174" t="s">
        <v>110</v>
      </c>
      <c r="C2174" t="s">
        <v>1871</v>
      </c>
      <c r="D2174">
        <v>3</v>
      </c>
      <c r="E2174" s="273">
        <v>3</v>
      </c>
      <c r="F2174" s="273" t="s">
        <v>7</v>
      </c>
      <c r="G2174" s="273" t="s">
        <v>11</v>
      </c>
      <c r="H2174" s="273" t="s">
        <v>11</v>
      </c>
    </row>
    <row r="2175" spans="1:8" x14ac:dyDescent="0.25">
      <c r="A2175" t="s">
        <v>48</v>
      </c>
      <c r="B2175" t="s">
        <v>110</v>
      </c>
      <c r="C2175" t="s">
        <v>2439</v>
      </c>
      <c r="D2175">
        <v>3</v>
      </c>
      <c r="E2175" s="273">
        <v>3</v>
      </c>
      <c r="F2175" s="273" t="s">
        <v>7</v>
      </c>
      <c r="G2175" s="273" t="s">
        <v>11</v>
      </c>
      <c r="H2175" s="273" t="s">
        <v>11</v>
      </c>
    </row>
    <row r="2176" spans="1:8" x14ac:dyDescent="0.25">
      <c r="A2176" t="s">
        <v>48</v>
      </c>
      <c r="B2176" t="s">
        <v>110</v>
      </c>
      <c r="C2176" t="s">
        <v>1823</v>
      </c>
      <c r="D2176">
        <v>3</v>
      </c>
      <c r="E2176" s="273">
        <v>3</v>
      </c>
      <c r="F2176" s="273" t="s">
        <v>7</v>
      </c>
      <c r="G2176" s="273" t="s">
        <v>11</v>
      </c>
      <c r="H2176" s="273" t="s">
        <v>11</v>
      </c>
    </row>
    <row r="2177" spans="1:8" x14ac:dyDescent="0.25">
      <c r="A2177" t="s">
        <v>48</v>
      </c>
      <c r="B2177" t="s">
        <v>110</v>
      </c>
      <c r="C2177" t="s">
        <v>1123</v>
      </c>
      <c r="D2177">
        <v>2</v>
      </c>
      <c r="E2177" s="273">
        <v>3</v>
      </c>
      <c r="F2177" s="273" t="s">
        <v>7</v>
      </c>
      <c r="G2177" s="273" t="s">
        <v>11</v>
      </c>
      <c r="H2177" s="273" t="s">
        <v>11</v>
      </c>
    </row>
    <row r="2178" spans="1:8" x14ac:dyDescent="0.25">
      <c r="A2178" t="s">
        <v>48</v>
      </c>
      <c r="B2178" t="s">
        <v>110</v>
      </c>
      <c r="C2178" t="s">
        <v>1125</v>
      </c>
      <c r="D2178">
        <v>3</v>
      </c>
      <c r="E2178" s="273">
        <v>3</v>
      </c>
      <c r="F2178" s="273" t="s">
        <v>7</v>
      </c>
      <c r="G2178" s="273" t="s">
        <v>11</v>
      </c>
      <c r="H2178" s="273" t="s">
        <v>11</v>
      </c>
    </row>
    <row r="2179" spans="1:8" x14ac:dyDescent="0.25">
      <c r="A2179" t="s">
        <v>48</v>
      </c>
      <c r="B2179" t="s">
        <v>110</v>
      </c>
      <c r="C2179" t="s">
        <v>2440</v>
      </c>
      <c r="D2179">
        <v>2</v>
      </c>
      <c r="E2179" s="273">
        <v>4</v>
      </c>
      <c r="F2179" s="273" t="s">
        <v>75</v>
      </c>
      <c r="G2179" s="273" t="s">
        <v>11</v>
      </c>
      <c r="H2179" s="273" t="s">
        <v>11</v>
      </c>
    </row>
    <row r="2180" spans="1:8" x14ac:dyDescent="0.25">
      <c r="A2180" t="s">
        <v>48</v>
      </c>
      <c r="B2180" t="s">
        <v>110</v>
      </c>
      <c r="C2180" t="s">
        <v>1235</v>
      </c>
      <c r="D2180">
        <v>3</v>
      </c>
      <c r="E2180" s="273">
        <v>3</v>
      </c>
      <c r="F2180" s="273" t="s">
        <v>7</v>
      </c>
      <c r="G2180" s="273" t="s">
        <v>11</v>
      </c>
      <c r="H2180" s="273" t="s">
        <v>11</v>
      </c>
    </row>
    <row r="2181" spans="1:8" x14ac:dyDescent="0.25">
      <c r="A2181" t="s">
        <v>48</v>
      </c>
      <c r="B2181" t="s">
        <v>110</v>
      </c>
      <c r="C2181" t="s">
        <v>2441</v>
      </c>
      <c r="D2181">
        <v>3</v>
      </c>
      <c r="E2181" s="273">
        <v>3</v>
      </c>
      <c r="F2181" s="273" t="s">
        <v>7</v>
      </c>
      <c r="G2181" s="273" t="s">
        <v>11</v>
      </c>
      <c r="H2181" s="273" t="s">
        <v>11</v>
      </c>
    </row>
    <row r="2182" spans="1:8" x14ac:dyDescent="0.25">
      <c r="A2182" t="s">
        <v>48</v>
      </c>
      <c r="B2182" t="s">
        <v>110</v>
      </c>
      <c r="C2182" t="s">
        <v>1751</v>
      </c>
      <c r="D2182">
        <v>3</v>
      </c>
      <c r="E2182" s="273">
        <v>3</v>
      </c>
      <c r="F2182" s="273" t="s">
        <v>7</v>
      </c>
      <c r="G2182" s="273" t="s">
        <v>11</v>
      </c>
      <c r="H2182" s="273" t="s">
        <v>11</v>
      </c>
    </row>
    <row r="2183" spans="1:8" x14ac:dyDescent="0.25">
      <c r="A2183" t="s">
        <v>48</v>
      </c>
      <c r="B2183" t="s">
        <v>110</v>
      </c>
      <c r="C2183" t="s">
        <v>2442</v>
      </c>
      <c r="D2183">
        <v>3</v>
      </c>
      <c r="E2183" s="273">
        <v>3</v>
      </c>
      <c r="F2183" s="273" t="s">
        <v>7</v>
      </c>
      <c r="G2183" s="273" t="s">
        <v>11</v>
      </c>
      <c r="H2183" s="273" t="s">
        <v>11</v>
      </c>
    </row>
    <row r="2184" spans="1:8" x14ac:dyDescent="0.25">
      <c r="A2184" t="s">
        <v>48</v>
      </c>
      <c r="B2184" t="s">
        <v>110</v>
      </c>
      <c r="C2184" t="s">
        <v>2443</v>
      </c>
      <c r="D2184">
        <v>3</v>
      </c>
      <c r="E2184" s="273">
        <v>3</v>
      </c>
      <c r="F2184" s="273" t="s">
        <v>7</v>
      </c>
      <c r="G2184" s="273" t="s">
        <v>11</v>
      </c>
      <c r="H2184" s="273" t="s">
        <v>11</v>
      </c>
    </row>
    <row r="2185" spans="1:8" x14ac:dyDescent="0.25">
      <c r="A2185" t="s">
        <v>48</v>
      </c>
      <c r="B2185" t="s">
        <v>110</v>
      </c>
      <c r="C2185" t="s">
        <v>2444</v>
      </c>
      <c r="D2185">
        <v>3</v>
      </c>
      <c r="E2185" s="273">
        <v>3</v>
      </c>
      <c r="F2185" s="273" t="s">
        <v>7</v>
      </c>
      <c r="G2185" s="273" t="s">
        <v>11</v>
      </c>
      <c r="H2185" s="273" t="s">
        <v>11</v>
      </c>
    </row>
    <row r="2186" spans="1:8" x14ac:dyDescent="0.25">
      <c r="A2186" t="s">
        <v>48</v>
      </c>
      <c r="B2186" t="s">
        <v>110</v>
      </c>
      <c r="C2186" t="s">
        <v>1353</v>
      </c>
      <c r="D2186">
        <v>3</v>
      </c>
      <c r="E2186" s="273">
        <v>3</v>
      </c>
      <c r="F2186" s="273" t="s">
        <v>7</v>
      </c>
      <c r="G2186" s="273" t="s">
        <v>11</v>
      </c>
      <c r="H2186" s="273" t="s">
        <v>11</v>
      </c>
    </row>
    <row r="2187" spans="1:8" x14ac:dyDescent="0.25">
      <c r="A2187" t="s">
        <v>48</v>
      </c>
      <c r="B2187" t="s">
        <v>110</v>
      </c>
      <c r="C2187" t="s">
        <v>1661</v>
      </c>
      <c r="D2187">
        <v>2</v>
      </c>
      <c r="E2187" s="273">
        <v>3</v>
      </c>
      <c r="F2187" s="273" t="s">
        <v>7</v>
      </c>
      <c r="G2187" s="273" t="s">
        <v>11</v>
      </c>
      <c r="H2187" s="273" t="s">
        <v>11</v>
      </c>
    </row>
    <row r="2188" spans="1:8" x14ac:dyDescent="0.25">
      <c r="A2188" t="s">
        <v>48</v>
      </c>
      <c r="B2188" t="s">
        <v>110</v>
      </c>
      <c r="C2188" t="s">
        <v>2445</v>
      </c>
      <c r="D2188">
        <v>3</v>
      </c>
      <c r="E2188" s="273">
        <v>3</v>
      </c>
      <c r="F2188" s="273" t="s">
        <v>7</v>
      </c>
      <c r="G2188" s="273" t="s">
        <v>11</v>
      </c>
      <c r="H2188" s="273" t="s">
        <v>11</v>
      </c>
    </row>
    <row r="2189" spans="1:8" x14ac:dyDescent="0.25">
      <c r="A2189" t="s">
        <v>48</v>
      </c>
      <c r="B2189" t="s">
        <v>110</v>
      </c>
      <c r="C2189" t="s">
        <v>1755</v>
      </c>
      <c r="D2189">
        <v>2</v>
      </c>
      <c r="E2189" s="273">
        <v>3</v>
      </c>
      <c r="F2189" s="273" t="s">
        <v>7</v>
      </c>
      <c r="G2189" s="273" t="s">
        <v>11</v>
      </c>
      <c r="H2189" s="273" t="s">
        <v>11</v>
      </c>
    </row>
    <row r="2190" spans="1:8" x14ac:dyDescent="0.25">
      <c r="A2190" t="s">
        <v>48</v>
      </c>
      <c r="B2190" t="s">
        <v>110</v>
      </c>
      <c r="C2190" t="s">
        <v>1362</v>
      </c>
      <c r="D2190">
        <v>3</v>
      </c>
      <c r="E2190" s="273">
        <v>3</v>
      </c>
      <c r="F2190" s="273" t="s">
        <v>7</v>
      </c>
      <c r="G2190" s="273" t="s">
        <v>11</v>
      </c>
      <c r="H2190" s="273" t="s">
        <v>11</v>
      </c>
    </row>
    <row r="2191" spans="1:8" x14ac:dyDescent="0.25">
      <c r="A2191" t="s">
        <v>48</v>
      </c>
      <c r="B2191" t="s">
        <v>110</v>
      </c>
      <c r="C2191" t="s">
        <v>2446</v>
      </c>
      <c r="D2191">
        <v>3</v>
      </c>
      <c r="E2191" s="273">
        <v>3</v>
      </c>
      <c r="F2191" s="273" t="s">
        <v>7</v>
      </c>
      <c r="G2191" s="273" t="s">
        <v>11</v>
      </c>
      <c r="H2191" s="273" t="s">
        <v>11</v>
      </c>
    </row>
    <row r="2192" spans="1:8" x14ac:dyDescent="0.25">
      <c r="A2192" t="s">
        <v>48</v>
      </c>
      <c r="B2192" t="s">
        <v>110</v>
      </c>
      <c r="C2192" t="s">
        <v>1503</v>
      </c>
      <c r="D2192">
        <v>3</v>
      </c>
      <c r="E2192" s="273">
        <v>3</v>
      </c>
      <c r="F2192" s="273" t="s">
        <v>7</v>
      </c>
      <c r="G2192" s="273" t="s">
        <v>11</v>
      </c>
      <c r="H2192" s="273" t="s">
        <v>11</v>
      </c>
    </row>
    <row r="2193" spans="1:8" x14ac:dyDescent="0.25">
      <c r="A2193" t="s">
        <v>48</v>
      </c>
      <c r="B2193" t="s">
        <v>110</v>
      </c>
      <c r="C2193" t="s">
        <v>1247</v>
      </c>
      <c r="D2193">
        <v>3</v>
      </c>
      <c r="E2193" s="273">
        <v>3</v>
      </c>
      <c r="F2193" s="273" t="s">
        <v>7</v>
      </c>
      <c r="G2193" s="273" t="s">
        <v>11</v>
      </c>
      <c r="H2193" s="273" t="s">
        <v>11</v>
      </c>
    </row>
    <row r="2194" spans="1:8" x14ac:dyDescent="0.25">
      <c r="A2194" t="s">
        <v>48</v>
      </c>
      <c r="B2194" t="s">
        <v>110</v>
      </c>
      <c r="C2194" t="s">
        <v>2447</v>
      </c>
      <c r="D2194">
        <v>3</v>
      </c>
      <c r="E2194" s="273">
        <v>3</v>
      </c>
      <c r="F2194" s="273" t="s">
        <v>7</v>
      </c>
      <c r="G2194" s="273" t="s">
        <v>11</v>
      </c>
      <c r="H2194" s="273" t="s">
        <v>11</v>
      </c>
    </row>
    <row r="2195" spans="1:8" x14ac:dyDescent="0.25">
      <c r="A2195" t="s">
        <v>48</v>
      </c>
      <c r="B2195" t="s">
        <v>110</v>
      </c>
      <c r="C2195" t="s">
        <v>2448</v>
      </c>
      <c r="D2195">
        <v>3</v>
      </c>
      <c r="E2195" s="273">
        <v>3</v>
      </c>
      <c r="F2195" s="273" t="s">
        <v>7</v>
      </c>
      <c r="G2195" s="273" t="s">
        <v>11</v>
      </c>
      <c r="H2195" s="273" t="s">
        <v>11</v>
      </c>
    </row>
    <row r="2196" spans="1:8" x14ac:dyDescent="0.25">
      <c r="A2196" t="s">
        <v>48</v>
      </c>
      <c r="B2196" t="s">
        <v>110</v>
      </c>
      <c r="C2196" t="s">
        <v>1763</v>
      </c>
      <c r="D2196">
        <v>3</v>
      </c>
      <c r="E2196" s="273">
        <v>3</v>
      </c>
      <c r="F2196" s="273" t="s">
        <v>7</v>
      </c>
      <c r="G2196" s="273" t="s">
        <v>11</v>
      </c>
      <c r="H2196" s="273" t="s">
        <v>11</v>
      </c>
    </row>
    <row r="2197" spans="1:8" x14ac:dyDescent="0.25">
      <c r="A2197" t="s">
        <v>48</v>
      </c>
      <c r="B2197" t="s">
        <v>110</v>
      </c>
      <c r="C2197" t="s">
        <v>1765</v>
      </c>
      <c r="D2197">
        <v>3</v>
      </c>
      <c r="E2197" s="273">
        <v>3</v>
      </c>
      <c r="F2197" s="273" t="s">
        <v>7</v>
      </c>
      <c r="G2197" s="273" t="s">
        <v>11</v>
      </c>
      <c r="H2197" s="273" t="s">
        <v>11</v>
      </c>
    </row>
    <row r="2198" spans="1:8" x14ac:dyDescent="0.25">
      <c r="A2198" t="s">
        <v>48</v>
      </c>
      <c r="B2198" t="s">
        <v>110</v>
      </c>
      <c r="C2198" t="s">
        <v>2449</v>
      </c>
      <c r="D2198">
        <v>3</v>
      </c>
      <c r="E2198" s="273">
        <v>3</v>
      </c>
      <c r="F2198" s="273" t="s">
        <v>7</v>
      </c>
      <c r="G2198" s="273" t="s">
        <v>11</v>
      </c>
      <c r="H2198" s="273" t="s">
        <v>11</v>
      </c>
    </row>
    <row r="2199" spans="1:8" x14ac:dyDescent="0.25">
      <c r="A2199" t="s">
        <v>48</v>
      </c>
      <c r="B2199" t="s">
        <v>110</v>
      </c>
      <c r="C2199" t="s">
        <v>1149</v>
      </c>
      <c r="D2199">
        <v>3</v>
      </c>
      <c r="E2199" s="273">
        <v>3</v>
      </c>
      <c r="F2199" s="273" t="s">
        <v>7</v>
      </c>
      <c r="G2199" s="273" t="s">
        <v>11</v>
      </c>
      <c r="H2199" s="273" t="s">
        <v>11</v>
      </c>
    </row>
    <row r="2200" spans="1:8" x14ac:dyDescent="0.25">
      <c r="A2200" t="s">
        <v>48</v>
      </c>
      <c r="B2200" t="s">
        <v>110</v>
      </c>
      <c r="C2200" t="s">
        <v>1150</v>
      </c>
      <c r="D2200">
        <v>3</v>
      </c>
      <c r="E2200" s="273">
        <v>3</v>
      </c>
      <c r="F2200" s="273" t="s">
        <v>7</v>
      </c>
      <c r="G2200" s="273" t="s">
        <v>11</v>
      </c>
      <c r="H2200" s="273" t="s">
        <v>11</v>
      </c>
    </row>
    <row r="2201" spans="1:8" x14ac:dyDescent="0.25">
      <c r="A2201" t="s">
        <v>48</v>
      </c>
      <c r="B2201" t="s">
        <v>110</v>
      </c>
      <c r="C2201" t="s">
        <v>2339</v>
      </c>
      <c r="D2201">
        <v>3</v>
      </c>
      <c r="E2201" s="273">
        <v>3</v>
      </c>
      <c r="F2201" s="273" t="s">
        <v>7</v>
      </c>
      <c r="G2201" s="273" t="s">
        <v>11</v>
      </c>
      <c r="H2201" s="273" t="s">
        <v>11</v>
      </c>
    </row>
    <row r="2202" spans="1:8" x14ac:dyDescent="0.25">
      <c r="A2202" t="s">
        <v>48</v>
      </c>
      <c r="B2202" t="s">
        <v>110</v>
      </c>
      <c r="C2202" t="s">
        <v>2450</v>
      </c>
      <c r="D2202">
        <v>3</v>
      </c>
      <c r="E2202" s="273">
        <v>3</v>
      </c>
      <c r="F2202" s="273" t="s">
        <v>7</v>
      </c>
      <c r="G2202" s="273" t="s">
        <v>11</v>
      </c>
      <c r="H2202" s="273" t="s">
        <v>11</v>
      </c>
    </row>
    <row r="2203" spans="1:8" x14ac:dyDescent="0.25">
      <c r="A2203" t="s">
        <v>48</v>
      </c>
      <c r="B2203" t="s">
        <v>110</v>
      </c>
      <c r="C2203" t="s">
        <v>2451</v>
      </c>
      <c r="D2203">
        <v>3</v>
      </c>
      <c r="E2203" s="273">
        <v>3</v>
      </c>
      <c r="F2203" s="273" t="s">
        <v>7</v>
      </c>
      <c r="G2203" s="273" t="s">
        <v>11</v>
      </c>
      <c r="H2203" s="273" t="s">
        <v>11</v>
      </c>
    </row>
    <row r="2204" spans="1:8" x14ac:dyDescent="0.25">
      <c r="A2204" t="s">
        <v>48</v>
      </c>
      <c r="B2204" t="s">
        <v>110</v>
      </c>
      <c r="C2204" t="s">
        <v>1368</v>
      </c>
      <c r="D2204">
        <v>3</v>
      </c>
      <c r="E2204" s="273">
        <v>3</v>
      </c>
      <c r="F2204" s="273" t="s">
        <v>7</v>
      </c>
      <c r="G2204" s="273" t="s">
        <v>11</v>
      </c>
      <c r="H2204" s="273" t="s">
        <v>11</v>
      </c>
    </row>
    <row r="2205" spans="1:8" x14ac:dyDescent="0.25">
      <c r="A2205" t="s">
        <v>48</v>
      </c>
      <c r="B2205" t="s">
        <v>110</v>
      </c>
      <c r="C2205" t="s">
        <v>2452</v>
      </c>
      <c r="D2205">
        <v>3</v>
      </c>
      <c r="E2205" s="273">
        <v>3</v>
      </c>
      <c r="F2205" s="273" t="s">
        <v>7</v>
      </c>
      <c r="G2205" s="273" t="s">
        <v>11</v>
      </c>
      <c r="H2205" s="273" t="s">
        <v>11</v>
      </c>
    </row>
    <row r="2206" spans="1:8" x14ac:dyDescent="0.25">
      <c r="A2206" t="s">
        <v>48</v>
      </c>
      <c r="B2206" t="s">
        <v>110</v>
      </c>
      <c r="C2206" t="s">
        <v>2453</v>
      </c>
      <c r="D2206">
        <v>3</v>
      </c>
      <c r="E2206" s="273">
        <v>3</v>
      </c>
      <c r="F2206" s="273" t="s">
        <v>7</v>
      </c>
      <c r="G2206" s="273" t="s">
        <v>11</v>
      </c>
      <c r="H2206" s="273" t="s">
        <v>11</v>
      </c>
    </row>
    <row r="2207" spans="1:8" x14ac:dyDescent="0.25">
      <c r="A2207" t="s">
        <v>48</v>
      </c>
      <c r="B2207" t="s">
        <v>110</v>
      </c>
      <c r="C2207" t="s">
        <v>1255</v>
      </c>
      <c r="D2207">
        <v>3</v>
      </c>
      <c r="E2207" s="273">
        <v>3</v>
      </c>
      <c r="F2207" s="273" t="s">
        <v>7</v>
      </c>
      <c r="G2207" s="273" t="s">
        <v>11</v>
      </c>
      <c r="H2207" s="273" t="s">
        <v>11</v>
      </c>
    </row>
    <row r="2208" spans="1:8" x14ac:dyDescent="0.25">
      <c r="A2208" t="s">
        <v>48</v>
      </c>
      <c r="B2208" t="s">
        <v>110</v>
      </c>
      <c r="C2208" t="s">
        <v>1257</v>
      </c>
      <c r="D2208">
        <v>3</v>
      </c>
      <c r="E2208" s="273">
        <v>3</v>
      </c>
      <c r="F2208" s="273" t="s">
        <v>7</v>
      </c>
      <c r="G2208" s="273" t="s">
        <v>11</v>
      </c>
      <c r="H2208" s="273" t="s">
        <v>11</v>
      </c>
    </row>
    <row r="2209" spans="1:8" x14ac:dyDescent="0.25">
      <c r="A2209" t="s">
        <v>48</v>
      </c>
      <c r="B2209" t="s">
        <v>110</v>
      </c>
      <c r="C2209" t="s">
        <v>2454</v>
      </c>
      <c r="D2209">
        <v>3</v>
      </c>
      <c r="E2209" s="273">
        <v>3</v>
      </c>
      <c r="F2209" s="273" t="s">
        <v>7</v>
      </c>
      <c r="G2209" s="273" t="s">
        <v>11</v>
      </c>
      <c r="H2209" s="273" t="s">
        <v>11</v>
      </c>
    </row>
    <row r="2210" spans="1:8" x14ac:dyDescent="0.25">
      <c r="A2210" t="s">
        <v>48</v>
      </c>
      <c r="B2210" t="s">
        <v>110</v>
      </c>
      <c r="C2210" t="s">
        <v>2455</v>
      </c>
      <c r="D2210">
        <v>3</v>
      </c>
      <c r="E2210" s="273">
        <v>3</v>
      </c>
      <c r="F2210" s="273" t="s">
        <v>7</v>
      </c>
      <c r="G2210" s="273" t="s">
        <v>11</v>
      </c>
      <c r="H2210" s="273" t="s">
        <v>11</v>
      </c>
    </row>
    <row r="2211" spans="1:8" x14ac:dyDescent="0.25">
      <c r="A2211" t="s">
        <v>48</v>
      </c>
      <c r="B2211" t="s">
        <v>110</v>
      </c>
      <c r="C2211" t="s">
        <v>1161</v>
      </c>
      <c r="D2211">
        <v>3</v>
      </c>
      <c r="E2211" s="273">
        <v>3</v>
      </c>
      <c r="F2211" s="273" t="s">
        <v>7</v>
      </c>
      <c r="G2211" s="273" t="s">
        <v>11</v>
      </c>
      <c r="H2211" s="273" t="s">
        <v>11</v>
      </c>
    </row>
    <row r="2212" spans="1:8" x14ac:dyDescent="0.25">
      <c r="A2212" t="s">
        <v>48</v>
      </c>
      <c r="B2212" t="s">
        <v>110</v>
      </c>
      <c r="C2212" t="s">
        <v>2456</v>
      </c>
      <c r="D2212">
        <v>2</v>
      </c>
      <c r="E2212" s="273">
        <v>3</v>
      </c>
      <c r="F2212" s="273" t="s">
        <v>7</v>
      </c>
      <c r="G2212" s="273" t="s">
        <v>11</v>
      </c>
      <c r="H2212" s="273" t="s">
        <v>11</v>
      </c>
    </row>
    <row r="2213" spans="1:8" x14ac:dyDescent="0.25">
      <c r="A2213" t="s">
        <v>48</v>
      </c>
      <c r="B2213" t="s">
        <v>110</v>
      </c>
      <c r="C2213" t="s">
        <v>2457</v>
      </c>
      <c r="D2213">
        <v>3</v>
      </c>
      <c r="E2213" s="273">
        <v>3</v>
      </c>
      <c r="F2213" s="273" t="s">
        <v>7</v>
      </c>
      <c r="G2213" s="273" t="s">
        <v>11</v>
      </c>
      <c r="H2213" s="273" t="s">
        <v>11</v>
      </c>
    </row>
    <row r="2214" spans="1:8" x14ac:dyDescent="0.25">
      <c r="A2214" t="s">
        <v>48</v>
      </c>
      <c r="B2214" t="s">
        <v>110</v>
      </c>
      <c r="C2214" t="s">
        <v>2458</v>
      </c>
      <c r="D2214">
        <v>3</v>
      </c>
      <c r="E2214" s="273">
        <v>3</v>
      </c>
      <c r="F2214" s="273" t="s">
        <v>7</v>
      </c>
      <c r="G2214" s="273" t="s">
        <v>11</v>
      </c>
      <c r="H2214" s="273" t="s">
        <v>11</v>
      </c>
    </row>
    <row r="2215" spans="1:8" x14ac:dyDescent="0.25">
      <c r="A2215" t="s">
        <v>48</v>
      </c>
      <c r="B2215" t="s">
        <v>110</v>
      </c>
      <c r="C2215" t="s">
        <v>1522</v>
      </c>
      <c r="D2215">
        <v>3</v>
      </c>
      <c r="E2215" s="273">
        <v>3</v>
      </c>
      <c r="F2215" s="273" t="s">
        <v>7</v>
      </c>
      <c r="G2215" s="273" t="s">
        <v>11</v>
      </c>
      <c r="H2215" s="273" t="s">
        <v>11</v>
      </c>
    </row>
    <row r="2216" spans="1:8" x14ac:dyDescent="0.25">
      <c r="A2216" t="s">
        <v>48</v>
      </c>
      <c r="B2216" t="s">
        <v>110</v>
      </c>
      <c r="C2216" t="s">
        <v>1525</v>
      </c>
      <c r="D2216">
        <v>3</v>
      </c>
      <c r="E2216" s="273">
        <v>3</v>
      </c>
      <c r="F2216" s="273" t="s">
        <v>7</v>
      </c>
      <c r="G2216" s="273" t="s">
        <v>11</v>
      </c>
      <c r="H2216" s="273" t="s">
        <v>11</v>
      </c>
    </row>
    <row r="2217" spans="1:8" x14ac:dyDescent="0.25">
      <c r="A2217" t="s">
        <v>48</v>
      </c>
      <c r="B2217" t="s">
        <v>110</v>
      </c>
      <c r="C2217" t="s">
        <v>2459</v>
      </c>
      <c r="D2217">
        <v>3</v>
      </c>
      <c r="E2217" s="273">
        <v>3</v>
      </c>
      <c r="F2217" s="273" t="s">
        <v>7</v>
      </c>
      <c r="G2217" s="273" t="s">
        <v>11</v>
      </c>
      <c r="H2217" s="273" t="s">
        <v>11</v>
      </c>
    </row>
    <row r="2218" spans="1:8" x14ac:dyDescent="0.25">
      <c r="A2218" t="s">
        <v>48</v>
      </c>
      <c r="B2218" t="s">
        <v>110</v>
      </c>
      <c r="C2218" t="s">
        <v>1675</v>
      </c>
      <c r="D2218">
        <v>3</v>
      </c>
      <c r="E2218" s="273">
        <v>3</v>
      </c>
      <c r="F2218" s="273" t="s">
        <v>7</v>
      </c>
      <c r="G2218" s="273" t="s">
        <v>11</v>
      </c>
      <c r="H2218" s="273" t="s">
        <v>11</v>
      </c>
    </row>
    <row r="2219" spans="1:8" x14ac:dyDescent="0.25">
      <c r="A2219" t="s">
        <v>48</v>
      </c>
      <c r="B2219" t="s">
        <v>110</v>
      </c>
      <c r="C2219" t="s">
        <v>2460</v>
      </c>
      <c r="D2219">
        <v>3</v>
      </c>
      <c r="E2219" s="273">
        <v>3</v>
      </c>
      <c r="F2219" s="273" t="s">
        <v>7</v>
      </c>
      <c r="G2219" s="273" t="s">
        <v>11</v>
      </c>
      <c r="H2219" s="273" t="s">
        <v>11</v>
      </c>
    </row>
    <row r="2220" spans="1:8" x14ac:dyDescent="0.25">
      <c r="A2220" t="s">
        <v>48</v>
      </c>
      <c r="B2220" t="s">
        <v>110</v>
      </c>
      <c r="C2220" t="s">
        <v>2461</v>
      </c>
      <c r="D2220">
        <v>3</v>
      </c>
      <c r="E2220" s="273">
        <v>3</v>
      </c>
      <c r="F2220" s="273" t="s">
        <v>7</v>
      </c>
      <c r="G2220" s="273" t="s">
        <v>11</v>
      </c>
      <c r="H2220" s="273" t="s">
        <v>11</v>
      </c>
    </row>
    <row r="2221" spans="1:8" x14ac:dyDescent="0.25">
      <c r="A2221" t="s">
        <v>48</v>
      </c>
      <c r="B2221" t="s">
        <v>110</v>
      </c>
      <c r="C2221" t="s">
        <v>2462</v>
      </c>
      <c r="D2221">
        <v>3</v>
      </c>
      <c r="E2221" s="273">
        <v>3</v>
      </c>
      <c r="F2221" s="273" t="s">
        <v>7</v>
      </c>
      <c r="G2221" s="273" t="s">
        <v>11</v>
      </c>
      <c r="H2221" s="273" t="s">
        <v>11</v>
      </c>
    </row>
    <row r="2222" spans="1:8" x14ac:dyDescent="0.25">
      <c r="A2222" t="s">
        <v>48</v>
      </c>
      <c r="B2222" t="s">
        <v>110</v>
      </c>
      <c r="C2222" t="s">
        <v>2463</v>
      </c>
      <c r="D2222">
        <v>3</v>
      </c>
      <c r="E2222" s="273">
        <v>3</v>
      </c>
      <c r="F2222" s="273" t="s">
        <v>7</v>
      </c>
      <c r="G2222" s="273" t="s">
        <v>11</v>
      </c>
      <c r="H2222" s="273" t="s">
        <v>11</v>
      </c>
    </row>
    <row r="2223" spans="1:8" x14ac:dyDescent="0.25">
      <c r="A2223" t="s">
        <v>48</v>
      </c>
      <c r="B2223" t="s">
        <v>110</v>
      </c>
      <c r="C2223" t="s">
        <v>1781</v>
      </c>
      <c r="D2223">
        <v>3</v>
      </c>
      <c r="E2223" s="273">
        <v>3</v>
      </c>
      <c r="F2223" s="273" t="s">
        <v>7</v>
      </c>
      <c r="G2223" s="273" t="s">
        <v>11</v>
      </c>
      <c r="H2223" s="273" t="s">
        <v>11</v>
      </c>
    </row>
    <row r="2224" spans="1:8" x14ac:dyDescent="0.25">
      <c r="A2224" t="s">
        <v>48</v>
      </c>
      <c r="B2224" t="s">
        <v>110</v>
      </c>
      <c r="C2224" t="s">
        <v>1783</v>
      </c>
      <c r="D2224">
        <v>3</v>
      </c>
      <c r="E2224" s="273">
        <v>3</v>
      </c>
      <c r="F2224" s="273" t="s">
        <v>7</v>
      </c>
      <c r="G2224" s="273" t="s">
        <v>11</v>
      </c>
      <c r="H2224" s="273" t="s">
        <v>11</v>
      </c>
    </row>
    <row r="2225" spans="1:8" x14ac:dyDescent="0.25">
      <c r="A2225" t="s">
        <v>48</v>
      </c>
      <c r="B2225" t="s">
        <v>110</v>
      </c>
      <c r="C2225" t="s">
        <v>1784</v>
      </c>
      <c r="D2225">
        <v>3</v>
      </c>
      <c r="E2225" s="273">
        <v>3</v>
      </c>
      <c r="F2225" s="273" t="s">
        <v>7</v>
      </c>
      <c r="G2225" s="273" t="s">
        <v>11</v>
      </c>
      <c r="H2225" s="273" t="s">
        <v>11</v>
      </c>
    </row>
    <row r="2226" spans="1:8" x14ac:dyDescent="0.25">
      <c r="A2226" t="s">
        <v>48</v>
      </c>
      <c r="B2226" t="s">
        <v>110</v>
      </c>
      <c r="C2226" t="s">
        <v>2464</v>
      </c>
      <c r="D2226">
        <v>3</v>
      </c>
      <c r="E2226" s="273">
        <v>3</v>
      </c>
      <c r="F2226" s="273" t="s">
        <v>7</v>
      </c>
      <c r="G2226" s="273" t="s">
        <v>11</v>
      </c>
      <c r="H2226" s="273" t="s">
        <v>11</v>
      </c>
    </row>
    <row r="2227" spans="1:8" x14ac:dyDescent="0.25">
      <c r="A2227" t="s">
        <v>48</v>
      </c>
      <c r="B2227" t="s">
        <v>110</v>
      </c>
      <c r="C2227" t="s">
        <v>2465</v>
      </c>
      <c r="D2227">
        <v>3</v>
      </c>
      <c r="E2227" s="273">
        <v>3</v>
      </c>
      <c r="F2227" s="273" t="s">
        <v>7</v>
      </c>
      <c r="G2227" s="273" t="s">
        <v>11</v>
      </c>
      <c r="H2227" s="273" t="s">
        <v>11</v>
      </c>
    </row>
    <row r="2228" spans="1:8" x14ac:dyDescent="0.25">
      <c r="A2228" t="s">
        <v>48</v>
      </c>
      <c r="B2228" t="s">
        <v>110</v>
      </c>
      <c r="C2228" t="s">
        <v>2093</v>
      </c>
      <c r="D2228">
        <v>3</v>
      </c>
      <c r="E2228" s="273">
        <v>3</v>
      </c>
      <c r="F2228" s="273" t="s">
        <v>7</v>
      </c>
      <c r="G2228" s="273" t="s">
        <v>11</v>
      </c>
      <c r="H2228" s="273" t="s">
        <v>11</v>
      </c>
    </row>
    <row r="2229" spans="1:8" x14ac:dyDescent="0.25">
      <c r="A2229" t="s">
        <v>48</v>
      </c>
      <c r="B2229" t="s">
        <v>110</v>
      </c>
      <c r="C2229" t="s">
        <v>1785</v>
      </c>
      <c r="D2229">
        <v>3</v>
      </c>
      <c r="E2229" s="273">
        <v>3</v>
      </c>
      <c r="F2229" s="273" t="s">
        <v>7</v>
      </c>
      <c r="G2229" s="273" t="s">
        <v>11</v>
      </c>
      <c r="H2229" s="273" t="s">
        <v>11</v>
      </c>
    </row>
    <row r="2230" spans="1:8" x14ac:dyDescent="0.25">
      <c r="A2230" t="s">
        <v>48</v>
      </c>
      <c r="B2230" t="s">
        <v>110</v>
      </c>
      <c r="C2230" t="s">
        <v>2466</v>
      </c>
      <c r="D2230">
        <v>3</v>
      </c>
      <c r="E2230" s="273">
        <v>3</v>
      </c>
      <c r="F2230" s="273" t="s">
        <v>7</v>
      </c>
      <c r="G2230" s="273" t="s">
        <v>11</v>
      </c>
      <c r="H2230" s="273" t="s">
        <v>11</v>
      </c>
    </row>
    <row r="2231" spans="1:8" x14ac:dyDescent="0.25">
      <c r="A2231" t="s">
        <v>48</v>
      </c>
      <c r="B2231" t="s">
        <v>110</v>
      </c>
      <c r="C2231" t="s">
        <v>2467</v>
      </c>
      <c r="D2231">
        <v>3</v>
      </c>
      <c r="E2231" s="273">
        <v>3</v>
      </c>
      <c r="F2231" s="273" t="s">
        <v>7</v>
      </c>
      <c r="G2231" s="273" t="s">
        <v>11</v>
      </c>
      <c r="H2231" s="273" t="s">
        <v>11</v>
      </c>
    </row>
    <row r="2232" spans="1:8" x14ac:dyDescent="0.25">
      <c r="A2232" t="s">
        <v>48</v>
      </c>
      <c r="B2232" t="s">
        <v>110</v>
      </c>
      <c r="C2232" t="s">
        <v>2468</v>
      </c>
      <c r="D2232">
        <v>3</v>
      </c>
      <c r="E2232" s="273">
        <v>3</v>
      </c>
      <c r="F2232" s="273" t="s">
        <v>7</v>
      </c>
      <c r="G2232" s="273" t="s">
        <v>11</v>
      </c>
      <c r="H2232" s="273" t="s">
        <v>11</v>
      </c>
    </row>
    <row r="2233" spans="1:8" x14ac:dyDescent="0.25">
      <c r="A2233" t="s">
        <v>48</v>
      </c>
      <c r="B2233" t="s">
        <v>110</v>
      </c>
      <c r="C2233" t="s">
        <v>1449</v>
      </c>
      <c r="D2233">
        <v>3</v>
      </c>
      <c r="E2233" s="273">
        <v>3</v>
      </c>
      <c r="F2233" s="273" t="s">
        <v>7</v>
      </c>
      <c r="G2233" s="273" t="s">
        <v>11</v>
      </c>
      <c r="H2233" s="273" t="s">
        <v>11</v>
      </c>
    </row>
    <row r="2234" spans="1:8" x14ac:dyDescent="0.25">
      <c r="A2234" t="s">
        <v>48</v>
      </c>
      <c r="B2234" t="s">
        <v>110</v>
      </c>
      <c r="C2234" t="s">
        <v>2469</v>
      </c>
      <c r="D2234">
        <v>2</v>
      </c>
      <c r="E2234" s="273">
        <v>3</v>
      </c>
      <c r="F2234" s="273" t="s">
        <v>7</v>
      </c>
      <c r="G2234" s="273" t="s">
        <v>11</v>
      </c>
      <c r="H2234" s="273" t="s">
        <v>11</v>
      </c>
    </row>
    <row r="2235" spans="1:8" x14ac:dyDescent="0.25">
      <c r="A2235" t="s">
        <v>48</v>
      </c>
      <c r="B2235" t="s">
        <v>110</v>
      </c>
      <c r="C2235" t="s">
        <v>1539</v>
      </c>
      <c r="D2235">
        <v>3</v>
      </c>
      <c r="E2235" s="273">
        <v>3</v>
      </c>
      <c r="F2235" s="273" t="s">
        <v>7</v>
      </c>
      <c r="G2235" s="273" t="s">
        <v>11</v>
      </c>
      <c r="H2235" s="273" t="s">
        <v>11</v>
      </c>
    </row>
    <row r="2236" spans="1:8" x14ac:dyDescent="0.25">
      <c r="A2236" t="s">
        <v>48</v>
      </c>
      <c r="B2236" t="s">
        <v>110</v>
      </c>
      <c r="C2236" t="s">
        <v>2144</v>
      </c>
      <c r="D2236">
        <v>2</v>
      </c>
      <c r="E2236" s="273">
        <v>4</v>
      </c>
      <c r="F2236" s="273" t="s">
        <v>75</v>
      </c>
      <c r="G2236" s="273" t="s">
        <v>11</v>
      </c>
      <c r="H2236" s="273" t="s">
        <v>11</v>
      </c>
    </row>
    <row r="2237" spans="1:8" x14ac:dyDescent="0.25">
      <c r="A2237" t="s">
        <v>48</v>
      </c>
      <c r="B2237" t="s">
        <v>110</v>
      </c>
      <c r="C2237" t="s">
        <v>2470</v>
      </c>
      <c r="D2237">
        <v>3</v>
      </c>
      <c r="E2237" s="273">
        <v>3</v>
      </c>
      <c r="F2237" s="273" t="s">
        <v>7</v>
      </c>
      <c r="G2237" s="273" t="s">
        <v>11</v>
      </c>
      <c r="H2237" s="273" t="s">
        <v>11</v>
      </c>
    </row>
    <row r="2238" spans="1:8" x14ac:dyDescent="0.25">
      <c r="A2238" t="s">
        <v>48</v>
      </c>
      <c r="B2238" t="s">
        <v>110</v>
      </c>
      <c r="C2238" t="s">
        <v>2471</v>
      </c>
      <c r="D2238">
        <v>3</v>
      </c>
      <c r="E2238" s="273">
        <v>3</v>
      </c>
      <c r="F2238" s="273" t="s">
        <v>7</v>
      </c>
      <c r="G2238" s="273" t="s">
        <v>11</v>
      </c>
      <c r="H2238" s="273" t="s">
        <v>11</v>
      </c>
    </row>
    <row r="2239" spans="1:8" x14ac:dyDescent="0.25">
      <c r="A2239" t="s">
        <v>48</v>
      </c>
      <c r="B2239" t="s">
        <v>110</v>
      </c>
      <c r="C2239" t="s">
        <v>2472</v>
      </c>
      <c r="D2239">
        <v>3</v>
      </c>
      <c r="E2239" s="273">
        <v>3</v>
      </c>
      <c r="F2239" s="273" t="s">
        <v>7</v>
      </c>
      <c r="G2239" s="273" t="s">
        <v>11</v>
      </c>
      <c r="H2239" s="273" t="s">
        <v>11</v>
      </c>
    </row>
    <row r="2240" spans="1:8" x14ac:dyDescent="0.25">
      <c r="A2240" t="s">
        <v>48</v>
      </c>
      <c r="B2240" t="s">
        <v>110</v>
      </c>
      <c r="C2240" t="s">
        <v>1178</v>
      </c>
      <c r="D2240">
        <v>3</v>
      </c>
      <c r="E2240" s="273">
        <v>3</v>
      </c>
      <c r="F2240" s="273" t="s">
        <v>7</v>
      </c>
      <c r="G2240" s="273" t="s">
        <v>11</v>
      </c>
      <c r="H2240" s="273" t="s">
        <v>11</v>
      </c>
    </row>
    <row r="2241" spans="1:8" x14ac:dyDescent="0.25">
      <c r="A2241" t="s">
        <v>48</v>
      </c>
      <c r="B2241" t="s">
        <v>110</v>
      </c>
      <c r="C2241" t="s">
        <v>2473</v>
      </c>
      <c r="D2241">
        <v>3</v>
      </c>
      <c r="E2241" s="273">
        <v>3</v>
      </c>
      <c r="F2241" s="273" t="s">
        <v>7</v>
      </c>
      <c r="G2241" s="273" t="s">
        <v>11</v>
      </c>
      <c r="H2241" s="273" t="s">
        <v>11</v>
      </c>
    </row>
    <row r="2242" spans="1:8" x14ac:dyDescent="0.25">
      <c r="A2242" t="s">
        <v>48</v>
      </c>
      <c r="B2242" t="s">
        <v>110</v>
      </c>
      <c r="C2242" t="s">
        <v>2474</v>
      </c>
      <c r="D2242">
        <v>3</v>
      </c>
      <c r="E2242" s="273">
        <v>3</v>
      </c>
      <c r="F2242" s="273" t="s">
        <v>7</v>
      </c>
      <c r="G2242" s="273" t="s">
        <v>11</v>
      </c>
      <c r="H2242" s="273" t="s">
        <v>11</v>
      </c>
    </row>
    <row r="2243" spans="1:8" x14ac:dyDescent="0.25">
      <c r="A2243" t="s">
        <v>48</v>
      </c>
      <c r="B2243" t="s">
        <v>110</v>
      </c>
      <c r="C2243" t="s">
        <v>2475</v>
      </c>
      <c r="D2243">
        <v>3</v>
      </c>
      <c r="E2243" s="273">
        <v>3</v>
      </c>
      <c r="F2243" s="273" t="s">
        <v>7</v>
      </c>
      <c r="G2243" s="273" t="s">
        <v>11</v>
      </c>
      <c r="H2243" s="273" t="s">
        <v>11</v>
      </c>
    </row>
    <row r="2244" spans="1:8" x14ac:dyDescent="0.25">
      <c r="A2244" t="s">
        <v>49</v>
      </c>
      <c r="B2244" t="s">
        <v>101</v>
      </c>
      <c r="C2244" t="s">
        <v>1407</v>
      </c>
      <c r="D2244">
        <v>2</v>
      </c>
      <c r="E2244" s="273">
        <v>5</v>
      </c>
      <c r="F2244" s="273" t="s">
        <v>75</v>
      </c>
      <c r="G2244" s="273" t="s">
        <v>11</v>
      </c>
      <c r="H2244" s="273" t="s">
        <v>11</v>
      </c>
    </row>
    <row r="2245" spans="1:8" x14ac:dyDescent="0.25">
      <c r="A2245" t="s">
        <v>49</v>
      </c>
      <c r="B2245" t="s">
        <v>101</v>
      </c>
      <c r="C2245" t="s">
        <v>1229</v>
      </c>
      <c r="D2245">
        <v>3</v>
      </c>
      <c r="E2245" s="273">
        <v>4</v>
      </c>
      <c r="F2245" s="273" t="s">
        <v>105</v>
      </c>
      <c r="G2245" s="273" t="s">
        <v>11</v>
      </c>
      <c r="H2245" s="273" t="s">
        <v>11</v>
      </c>
    </row>
    <row r="2246" spans="1:8" x14ac:dyDescent="0.25">
      <c r="A2246" t="s">
        <v>49</v>
      </c>
      <c r="B2246" t="s">
        <v>101</v>
      </c>
      <c r="C2246" t="s">
        <v>2476</v>
      </c>
      <c r="D2246">
        <v>3</v>
      </c>
      <c r="E2246" s="273">
        <v>4</v>
      </c>
      <c r="F2246" s="273" t="s">
        <v>105</v>
      </c>
      <c r="G2246" s="273" t="s">
        <v>11</v>
      </c>
      <c r="H2246" s="273" t="s">
        <v>11</v>
      </c>
    </row>
    <row r="2247" spans="1:8" x14ac:dyDescent="0.25">
      <c r="A2247" t="s">
        <v>49</v>
      </c>
      <c r="B2247" t="s">
        <v>101</v>
      </c>
      <c r="C2247" t="s">
        <v>2477</v>
      </c>
      <c r="D2247">
        <v>2</v>
      </c>
      <c r="E2247" s="273">
        <v>4</v>
      </c>
      <c r="F2247" s="273" t="s">
        <v>105</v>
      </c>
      <c r="G2247" s="273" t="s">
        <v>11</v>
      </c>
      <c r="H2247" s="273" t="s">
        <v>11</v>
      </c>
    </row>
    <row r="2248" spans="1:8" x14ac:dyDescent="0.25">
      <c r="A2248" t="s">
        <v>49</v>
      </c>
      <c r="B2248" t="s">
        <v>101</v>
      </c>
      <c r="C2248" t="s">
        <v>1236</v>
      </c>
      <c r="D2248">
        <v>2</v>
      </c>
      <c r="E2248" s="273">
        <v>4</v>
      </c>
      <c r="F2248" s="273" t="s">
        <v>105</v>
      </c>
      <c r="G2248" s="273" t="s">
        <v>11</v>
      </c>
      <c r="H2248" s="273" t="s">
        <v>11</v>
      </c>
    </row>
    <row r="2249" spans="1:8" x14ac:dyDescent="0.25">
      <c r="A2249" t="s">
        <v>49</v>
      </c>
      <c r="B2249" t="s">
        <v>101</v>
      </c>
      <c r="C2249" t="s">
        <v>2234</v>
      </c>
      <c r="D2249">
        <v>3</v>
      </c>
      <c r="E2249" s="273">
        <v>4</v>
      </c>
      <c r="F2249" s="273" t="s">
        <v>105</v>
      </c>
      <c r="G2249" s="273" t="s">
        <v>11</v>
      </c>
      <c r="H2249" s="273" t="s">
        <v>11</v>
      </c>
    </row>
    <row r="2250" spans="1:8" x14ac:dyDescent="0.25">
      <c r="A2250" t="s">
        <v>49</v>
      </c>
      <c r="B2250" t="s">
        <v>101</v>
      </c>
      <c r="C2250" t="s">
        <v>2478</v>
      </c>
      <c r="D2250">
        <v>2</v>
      </c>
      <c r="E2250" s="273">
        <v>5</v>
      </c>
      <c r="F2250" s="273" t="s">
        <v>75</v>
      </c>
      <c r="G2250" s="273" t="s">
        <v>11</v>
      </c>
      <c r="H2250" s="273" t="s">
        <v>11</v>
      </c>
    </row>
    <row r="2251" spans="1:8" x14ac:dyDescent="0.25">
      <c r="A2251" t="s">
        <v>49</v>
      </c>
      <c r="B2251" t="s">
        <v>101</v>
      </c>
      <c r="C2251" t="s">
        <v>2254</v>
      </c>
      <c r="D2251">
        <v>3</v>
      </c>
      <c r="E2251" s="273">
        <v>4</v>
      </c>
      <c r="F2251" s="273" t="s">
        <v>105</v>
      </c>
      <c r="G2251" s="273" t="s">
        <v>11</v>
      </c>
      <c r="H2251" s="273" t="s">
        <v>11</v>
      </c>
    </row>
    <row r="2252" spans="1:8" x14ac:dyDescent="0.25">
      <c r="A2252" t="s">
        <v>49</v>
      </c>
      <c r="B2252" t="s">
        <v>101</v>
      </c>
      <c r="C2252" t="s">
        <v>2479</v>
      </c>
      <c r="D2252">
        <v>3</v>
      </c>
      <c r="E2252" s="273">
        <v>5</v>
      </c>
      <c r="F2252" s="273" t="s">
        <v>75</v>
      </c>
      <c r="G2252" s="273" t="s">
        <v>11</v>
      </c>
      <c r="H2252" s="273" t="s">
        <v>11</v>
      </c>
    </row>
    <row r="2253" spans="1:8" x14ac:dyDescent="0.25">
      <c r="A2253" t="s">
        <v>49</v>
      </c>
      <c r="B2253" t="s">
        <v>101</v>
      </c>
      <c r="C2253" t="s">
        <v>1357</v>
      </c>
      <c r="D2253">
        <v>3</v>
      </c>
      <c r="E2253" s="273">
        <v>4</v>
      </c>
      <c r="F2253" s="273" t="s">
        <v>105</v>
      </c>
      <c r="G2253" s="273" t="s">
        <v>11</v>
      </c>
      <c r="H2253" s="273" t="s">
        <v>11</v>
      </c>
    </row>
    <row r="2254" spans="1:8" x14ac:dyDescent="0.25">
      <c r="A2254" t="s">
        <v>49</v>
      </c>
      <c r="B2254" t="s">
        <v>101</v>
      </c>
      <c r="C2254" t="s">
        <v>2480</v>
      </c>
      <c r="D2254">
        <v>2</v>
      </c>
      <c r="E2254" s="273">
        <v>5</v>
      </c>
      <c r="F2254" s="273" t="s">
        <v>75</v>
      </c>
      <c r="G2254" s="273" t="s">
        <v>11</v>
      </c>
      <c r="H2254" s="273" t="s">
        <v>11</v>
      </c>
    </row>
    <row r="2255" spans="1:8" x14ac:dyDescent="0.25">
      <c r="A2255" t="s">
        <v>49</v>
      </c>
      <c r="B2255" t="s">
        <v>101</v>
      </c>
      <c r="C2255" t="s">
        <v>1247</v>
      </c>
      <c r="D2255">
        <v>2</v>
      </c>
      <c r="E2255" s="273">
        <v>5</v>
      </c>
      <c r="F2255" s="273" t="s">
        <v>75</v>
      </c>
      <c r="G2255" s="273" t="s">
        <v>11</v>
      </c>
      <c r="H2255" s="273" t="s">
        <v>11</v>
      </c>
    </row>
    <row r="2256" spans="1:8" x14ac:dyDescent="0.25">
      <c r="A2256" t="s">
        <v>49</v>
      </c>
      <c r="B2256" t="s">
        <v>101</v>
      </c>
      <c r="C2256" t="s">
        <v>2481</v>
      </c>
      <c r="D2256">
        <v>2</v>
      </c>
      <c r="E2256" s="273">
        <v>5</v>
      </c>
      <c r="F2256" s="273" t="s">
        <v>75</v>
      </c>
      <c r="G2256" s="273" t="s">
        <v>11</v>
      </c>
      <c r="H2256" s="273" t="s">
        <v>11</v>
      </c>
    </row>
    <row r="2257" spans="1:8" x14ac:dyDescent="0.25">
      <c r="A2257" t="s">
        <v>49</v>
      </c>
      <c r="B2257" t="s">
        <v>101</v>
      </c>
      <c r="C2257" t="s">
        <v>2482</v>
      </c>
      <c r="D2257">
        <v>2</v>
      </c>
      <c r="E2257" s="273">
        <v>5</v>
      </c>
      <c r="F2257" s="273" t="s">
        <v>75</v>
      </c>
      <c r="G2257" s="273" t="s">
        <v>11</v>
      </c>
      <c r="H2257" s="273" t="s">
        <v>11</v>
      </c>
    </row>
    <row r="2258" spans="1:8" x14ac:dyDescent="0.25">
      <c r="A2258" t="s">
        <v>49</v>
      </c>
      <c r="B2258" t="s">
        <v>101</v>
      </c>
      <c r="C2258" t="s">
        <v>1149</v>
      </c>
      <c r="D2258">
        <v>3</v>
      </c>
      <c r="E2258" s="273">
        <v>4</v>
      </c>
      <c r="F2258" s="273" t="s">
        <v>105</v>
      </c>
      <c r="G2258" s="273" t="s">
        <v>11</v>
      </c>
      <c r="H2258" s="273" t="s">
        <v>11</v>
      </c>
    </row>
    <row r="2259" spans="1:8" x14ac:dyDescent="0.25">
      <c r="A2259" t="s">
        <v>49</v>
      </c>
      <c r="B2259" t="s">
        <v>101</v>
      </c>
      <c r="C2259" t="s">
        <v>1150</v>
      </c>
      <c r="D2259">
        <v>2</v>
      </c>
      <c r="E2259" s="273">
        <v>5</v>
      </c>
      <c r="F2259" s="273" t="s">
        <v>75</v>
      </c>
      <c r="G2259" s="273" t="s">
        <v>11</v>
      </c>
      <c r="H2259" s="273" t="s">
        <v>11</v>
      </c>
    </row>
    <row r="2260" spans="1:8" x14ac:dyDescent="0.25">
      <c r="A2260" t="s">
        <v>49</v>
      </c>
      <c r="B2260" t="s">
        <v>101</v>
      </c>
      <c r="C2260" t="s">
        <v>2483</v>
      </c>
      <c r="D2260">
        <v>3</v>
      </c>
      <c r="E2260" s="273">
        <v>4</v>
      </c>
      <c r="F2260" s="273" t="s">
        <v>105</v>
      </c>
      <c r="G2260" s="273" t="s">
        <v>11</v>
      </c>
      <c r="H2260" s="273" t="s">
        <v>11</v>
      </c>
    </row>
    <row r="2261" spans="1:8" x14ac:dyDescent="0.25">
      <c r="A2261" t="s">
        <v>49</v>
      </c>
      <c r="B2261" t="s">
        <v>101</v>
      </c>
      <c r="C2261" t="s">
        <v>2484</v>
      </c>
      <c r="D2261">
        <v>2</v>
      </c>
      <c r="E2261" s="273">
        <v>5</v>
      </c>
      <c r="F2261" s="273" t="s">
        <v>75</v>
      </c>
      <c r="G2261" s="273" t="s">
        <v>11</v>
      </c>
      <c r="H2261" s="273" t="s">
        <v>11</v>
      </c>
    </row>
    <row r="2262" spans="1:8" x14ac:dyDescent="0.25">
      <c r="A2262" t="s">
        <v>49</v>
      </c>
      <c r="B2262" t="s">
        <v>101</v>
      </c>
      <c r="C2262" t="s">
        <v>1299</v>
      </c>
      <c r="D2262">
        <v>2</v>
      </c>
      <c r="E2262" s="273">
        <v>5</v>
      </c>
      <c r="F2262" s="273" t="s">
        <v>75</v>
      </c>
      <c r="G2262" s="273" t="s">
        <v>11</v>
      </c>
      <c r="H2262" s="273" t="s">
        <v>11</v>
      </c>
    </row>
    <row r="2263" spans="1:8" x14ac:dyDescent="0.25">
      <c r="A2263" t="s">
        <v>49</v>
      </c>
      <c r="B2263" t="s">
        <v>101</v>
      </c>
      <c r="C2263" t="s">
        <v>1771</v>
      </c>
      <c r="D2263">
        <v>3</v>
      </c>
      <c r="E2263" s="273">
        <v>4</v>
      </c>
      <c r="F2263" s="273" t="s">
        <v>105</v>
      </c>
      <c r="G2263" s="273" t="s">
        <v>11</v>
      </c>
      <c r="H2263" s="273" t="s">
        <v>11</v>
      </c>
    </row>
    <row r="2264" spans="1:8" x14ac:dyDescent="0.25">
      <c r="A2264" t="s">
        <v>49</v>
      </c>
      <c r="B2264" t="s">
        <v>101</v>
      </c>
      <c r="C2264" t="s">
        <v>1255</v>
      </c>
      <c r="D2264">
        <v>3</v>
      </c>
      <c r="E2264" s="273">
        <v>4</v>
      </c>
      <c r="F2264" s="273" t="s">
        <v>105</v>
      </c>
      <c r="G2264" s="273" t="s">
        <v>11</v>
      </c>
      <c r="H2264" s="273" t="s">
        <v>11</v>
      </c>
    </row>
    <row r="2265" spans="1:8" x14ac:dyDescent="0.25">
      <c r="A2265" t="s">
        <v>49</v>
      </c>
      <c r="B2265" t="s">
        <v>101</v>
      </c>
      <c r="C2265" t="s">
        <v>1718</v>
      </c>
      <c r="D2265">
        <v>3</v>
      </c>
      <c r="E2265" s="273">
        <v>4</v>
      </c>
      <c r="F2265" s="273" t="s">
        <v>105</v>
      </c>
      <c r="G2265" s="273" t="s">
        <v>11</v>
      </c>
      <c r="H2265" s="273" t="s">
        <v>11</v>
      </c>
    </row>
    <row r="2266" spans="1:8" x14ac:dyDescent="0.25">
      <c r="A2266" t="s">
        <v>49</v>
      </c>
      <c r="B2266" t="s">
        <v>101</v>
      </c>
      <c r="C2266" t="s">
        <v>2485</v>
      </c>
      <c r="D2266">
        <v>2</v>
      </c>
      <c r="E2266" s="273">
        <v>5</v>
      </c>
      <c r="F2266" s="273" t="s">
        <v>75</v>
      </c>
      <c r="G2266" s="273" t="s">
        <v>11</v>
      </c>
      <c r="H2266" s="273" t="s">
        <v>11</v>
      </c>
    </row>
    <row r="2267" spans="1:8" x14ac:dyDescent="0.25">
      <c r="A2267" t="s">
        <v>49</v>
      </c>
      <c r="B2267" t="s">
        <v>101</v>
      </c>
      <c r="C2267" t="s">
        <v>1160</v>
      </c>
      <c r="D2267">
        <v>3</v>
      </c>
      <c r="E2267" s="273">
        <v>4</v>
      </c>
      <c r="F2267" s="273" t="s">
        <v>105</v>
      </c>
      <c r="G2267" s="273" t="s">
        <v>11</v>
      </c>
      <c r="H2267" s="273" t="s">
        <v>11</v>
      </c>
    </row>
    <row r="2268" spans="1:8" x14ac:dyDescent="0.25">
      <c r="A2268" t="s">
        <v>49</v>
      </c>
      <c r="B2268" t="s">
        <v>101</v>
      </c>
      <c r="C2268" t="s">
        <v>2421</v>
      </c>
      <c r="D2268">
        <v>2</v>
      </c>
      <c r="E2268" s="273">
        <v>5</v>
      </c>
      <c r="F2268" s="273" t="s">
        <v>75</v>
      </c>
      <c r="G2268" s="273" t="s">
        <v>11</v>
      </c>
      <c r="H2268" s="273" t="s">
        <v>11</v>
      </c>
    </row>
    <row r="2269" spans="1:8" x14ac:dyDescent="0.25">
      <c r="A2269" t="s">
        <v>49</v>
      </c>
      <c r="B2269" t="s">
        <v>101</v>
      </c>
      <c r="C2269" t="s">
        <v>2486</v>
      </c>
      <c r="D2269">
        <v>2</v>
      </c>
      <c r="E2269" s="273">
        <v>4</v>
      </c>
      <c r="F2269" s="273" t="s">
        <v>105</v>
      </c>
      <c r="G2269" s="273" t="s">
        <v>11</v>
      </c>
      <c r="H2269" s="273" t="s">
        <v>11</v>
      </c>
    </row>
    <row r="2270" spans="1:8" x14ac:dyDescent="0.25">
      <c r="A2270" t="s">
        <v>49</v>
      </c>
      <c r="B2270" t="s">
        <v>101</v>
      </c>
      <c r="C2270" t="s">
        <v>1266</v>
      </c>
      <c r="D2270">
        <v>3</v>
      </c>
      <c r="E2270" s="273">
        <v>4</v>
      </c>
      <c r="F2270" s="273" t="s">
        <v>105</v>
      </c>
      <c r="G2270" s="273" t="s">
        <v>11</v>
      </c>
      <c r="H2270" s="273" t="s">
        <v>11</v>
      </c>
    </row>
    <row r="2271" spans="1:8" x14ac:dyDescent="0.25">
      <c r="A2271" t="s">
        <v>49</v>
      </c>
      <c r="B2271" t="s">
        <v>101</v>
      </c>
      <c r="C2271" t="s">
        <v>1796</v>
      </c>
      <c r="D2271">
        <v>2</v>
      </c>
      <c r="E2271" s="273">
        <v>5</v>
      </c>
      <c r="F2271" s="273" t="s">
        <v>75</v>
      </c>
      <c r="G2271" s="273" t="s">
        <v>11</v>
      </c>
      <c r="H2271" s="273" t="s">
        <v>11</v>
      </c>
    </row>
    <row r="2272" spans="1:8" x14ac:dyDescent="0.25">
      <c r="A2272" t="s">
        <v>49</v>
      </c>
      <c r="B2272" t="s">
        <v>101</v>
      </c>
      <c r="C2272" t="s">
        <v>2487</v>
      </c>
      <c r="D2272">
        <v>3</v>
      </c>
      <c r="E2272" s="273">
        <v>4</v>
      </c>
      <c r="F2272" s="273" t="s">
        <v>105</v>
      </c>
      <c r="G2272" s="273" t="s">
        <v>11</v>
      </c>
      <c r="H2272" s="273" t="s">
        <v>11</v>
      </c>
    </row>
    <row r="2273" spans="1:8" x14ac:dyDescent="0.25">
      <c r="A2273" t="s">
        <v>49</v>
      </c>
      <c r="B2273" t="s">
        <v>101</v>
      </c>
      <c r="C2273" t="s">
        <v>2488</v>
      </c>
      <c r="D2273">
        <v>2</v>
      </c>
      <c r="E2273" s="273">
        <v>5</v>
      </c>
      <c r="F2273" s="273" t="s">
        <v>75</v>
      </c>
      <c r="G2273" s="273" t="s">
        <v>11</v>
      </c>
      <c r="H2273" s="273" t="s">
        <v>11</v>
      </c>
    </row>
    <row r="2274" spans="1:8" x14ac:dyDescent="0.25">
      <c r="A2274" t="s">
        <v>49</v>
      </c>
      <c r="B2274" t="s">
        <v>101</v>
      </c>
      <c r="C2274" t="s">
        <v>1278</v>
      </c>
      <c r="D2274">
        <v>2</v>
      </c>
      <c r="E2274" s="273">
        <v>5</v>
      </c>
      <c r="F2274" s="273" t="s">
        <v>75</v>
      </c>
      <c r="G2274" s="273" t="s">
        <v>11</v>
      </c>
      <c r="H2274" s="273" t="s">
        <v>11</v>
      </c>
    </row>
    <row r="2275" spans="1:8" x14ac:dyDescent="0.25">
      <c r="A2275" t="s">
        <v>49</v>
      </c>
      <c r="B2275" t="s">
        <v>101</v>
      </c>
      <c r="C2275" t="s">
        <v>2489</v>
      </c>
      <c r="D2275">
        <v>3</v>
      </c>
      <c r="E2275" s="273">
        <v>5</v>
      </c>
      <c r="F2275" s="273" t="s">
        <v>75</v>
      </c>
      <c r="G2275" s="273" t="s">
        <v>11</v>
      </c>
      <c r="H2275" s="273" t="s">
        <v>11</v>
      </c>
    </row>
    <row r="2276" spans="1:8" x14ac:dyDescent="0.25">
      <c r="A2276" t="s">
        <v>49</v>
      </c>
      <c r="B2276" t="s">
        <v>101</v>
      </c>
      <c r="C2276" t="s">
        <v>2490</v>
      </c>
      <c r="D2276">
        <v>2</v>
      </c>
      <c r="E2276" s="273">
        <v>5</v>
      </c>
      <c r="F2276" s="273" t="s">
        <v>75</v>
      </c>
      <c r="G2276" s="273" t="s">
        <v>11</v>
      </c>
      <c r="H2276" s="273" t="s">
        <v>11</v>
      </c>
    </row>
    <row r="2277" spans="1:8" x14ac:dyDescent="0.25">
      <c r="A2277" t="s">
        <v>49</v>
      </c>
      <c r="B2277" t="s">
        <v>101</v>
      </c>
      <c r="C2277" t="s">
        <v>1178</v>
      </c>
      <c r="D2277">
        <v>2</v>
      </c>
      <c r="E2277" s="273">
        <v>4</v>
      </c>
      <c r="F2277" s="273" t="s">
        <v>105</v>
      </c>
      <c r="G2277" s="273" t="s">
        <v>11</v>
      </c>
      <c r="H2277" s="273" t="s">
        <v>11</v>
      </c>
    </row>
    <row r="2278" spans="1:8" x14ac:dyDescent="0.25">
      <c r="A2278" t="s">
        <v>49</v>
      </c>
      <c r="B2278" t="s">
        <v>101</v>
      </c>
      <c r="C2278" t="s">
        <v>1559</v>
      </c>
      <c r="D2278">
        <v>2</v>
      </c>
      <c r="E2278" s="273">
        <v>5</v>
      </c>
      <c r="F2278" s="273" t="s">
        <v>75</v>
      </c>
      <c r="G2278" s="273" t="s">
        <v>11</v>
      </c>
      <c r="H2278" s="273" t="s">
        <v>11</v>
      </c>
    </row>
    <row r="2279" spans="1:8" x14ac:dyDescent="0.25">
      <c r="A2279" t="s">
        <v>49</v>
      </c>
      <c r="B2279" t="s">
        <v>101</v>
      </c>
      <c r="C2279" t="s">
        <v>2491</v>
      </c>
      <c r="D2279">
        <v>2</v>
      </c>
      <c r="E2279" s="273">
        <v>4</v>
      </c>
      <c r="F2279" s="273" t="s">
        <v>105</v>
      </c>
      <c r="G2279" s="273" t="s">
        <v>11</v>
      </c>
      <c r="H2279" s="273" t="s">
        <v>11</v>
      </c>
    </row>
    <row r="2280" spans="1:8" x14ac:dyDescent="0.25">
      <c r="A2280" t="s">
        <v>50</v>
      </c>
      <c r="B2280" t="s">
        <v>81</v>
      </c>
      <c r="C2280" t="s">
        <v>1339</v>
      </c>
      <c r="D2280">
        <v>1</v>
      </c>
      <c r="E2280" s="273">
        <v>5</v>
      </c>
      <c r="F2280" s="273" t="s">
        <v>7</v>
      </c>
      <c r="G2280" s="273" t="s">
        <v>11</v>
      </c>
      <c r="H2280" s="273" t="s">
        <v>11</v>
      </c>
    </row>
    <row r="2281" spans="1:8" x14ac:dyDescent="0.25">
      <c r="A2281" t="s">
        <v>50</v>
      </c>
      <c r="B2281" t="s">
        <v>81</v>
      </c>
      <c r="C2281" t="s">
        <v>2492</v>
      </c>
      <c r="D2281">
        <v>1</v>
      </c>
      <c r="E2281" s="273">
        <v>5</v>
      </c>
      <c r="F2281" s="273" t="s">
        <v>7</v>
      </c>
      <c r="G2281" s="273" t="s">
        <v>11</v>
      </c>
      <c r="H2281" s="273" t="s">
        <v>11</v>
      </c>
    </row>
    <row r="2282" spans="1:8" x14ac:dyDescent="0.25">
      <c r="A2282" t="s">
        <v>50</v>
      </c>
      <c r="B2282" t="s">
        <v>81</v>
      </c>
      <c r="C2282" t="s">
        <v>2493</v>
      </c>
      <c r="D2282">
        <v>1</v>
      </c>
      <c r="E2282" s="273">
        <v>5</v>
      </c>
      <c r="F2282" s="273" t="s">
        <v>7</v>
      </c>
      <c r="G2282" s="273" t="s">
        <v>11</v>
      </c>
      <c r="H2282" s="273" t="s">
        <v>11</v>
      </c>
    </row>
    <row r="2283" spans="1:8" x14ac:dyDescent="0.25">
      <c r="A2283" t="s">
        <v>50</v>
      </c>
      <c r="B2283" t="s">
        <v>81</v>
      </c>
      <c r="C2283" t="s">
        <v>2437</v>
      </c>
      <c r="D2283">
        <v>1</v>
      </c>
      <c r="E2283" s="273">
        <v>5</v>
      </c>
      <c r="F2283" s="273" t="s">
        <v>7</v>
      </c>
      <c r="G2283" s="273" t="s">
        <v>11</v>
      </c>
      <c r="H2283" s="273" t="s">
        <v>11</v>
      </c>
    </row>
    <row r="2284" spans="1:8" x14ac:dyDescent="0.25">
      <c r="A2284" t="s">
        <v>50</v>
      </c>
      <c r="B2284" t="s">
        <v>81</v>
      </c>
      <c r="C2284" t="s">
        <v>2494</v>
      </c>
      <c r="D2284">
        <v>1</v>
      </c>
      <c r="E2284" s="273">
        <v>5</v>
      </c>
      <c r="F2284" s="273" t="s">
        <v>7</v>
      </c>
      <c r="G2284" s="273" t="s">
        <v>11</v>
      </c>
      <c r="H2284" s="273" t="s">
        <v>11</v>
      </c>
    </row>
    <row r="2285" spans="1:8" x14ac:dyDescent="0.25">
      <c r="A2285" t="s">
        <v>50</v>
      </c>
      <c r="B2285" t="s">
        <v>81</v>
      </c>
      <c r="C2285" t="s">
        <v>2495</v>
      </c>
      <c r="D2285">
        <v>1</v>
      </c>
      <c r="E2285" s="273">
        <v>5</v>
      </c>
      <c r="F2285" s="273" t="s">
        <v>7</v>
      </c>
      <c r="G2285" s="273" t="s">
        <v>11</v>
      </c>
      <c r="H2285" s="273" t="s">
        <v>11</v>
      </c>
    </row>
    <row r="2286" spans="1:8" x14ac:dyDescent="0.25">
      <c r="A2286" t="s">
        <v>50</v>
      </c>
      <c r="B2286" t="s">
        <v>81</v>
      </c>
      <c r="C2286" t="s">
        <v>2496</v>
      </c>
      <c r="D2286">
        <v>1</v>
      </c>
      <c r="E2286" s="273">
        <v>5</v>
      </c>
      <c r="F2286" s="273" t="s">
        <v>7</v>
      </c>
      <c r="G2286" s="273" t="s">
        <v>11</v>
      </c>
      <c r="H2286" s="273" t="s">
        <v>11</v>
      </c>
    </row>
    <row r="2287" spans="1:8" x14ac:dyDescent="0.25">
      <c r="A2287" t="s">
        <v>50</v>
      </c>
      <c r="B2287" t="s">
        <v>81</v>
      </c>
      <c r="C2287" t="s">
        <v>1409</v>
      </c>
      <c r="D2287">
        <v>1</v>
      </c>
      <c r="E2287" s="273">
        <v>5</v>
      </c>
      <c r="F2287" s="273" t="s">
        <v>7</v>
      </c>
      <c r="G2287" s="273" t="s">
        <v>11</v>
      </c>
      <c r="H2287" s="273" t="s">
        <v>11</v>
      </c>
    </row>
    <row r="2288" spans="1:8" x14ac:dyDescent="0.25">
      <c r="A2288" t="s">
        <v>50</v>
      </c>
      <c r="B2288" t="s">
        <v>81</v>
      </c>
      <c r="C2288" t="s">
        <v>2497</v>
      </c>
      <c r="D2288">
        <v>1</v>
      </c>
      <c r="E2288" s="273">
        <v>4</v>
      </c>
      <c r="F2288" s="273" t="s">
        <v>7</v>
      </c>
      <c r="G2288" s="273" t="s">
        <v>11</v>
      </c>
      <c r="H2288" s="273" t="s">
        <v>11</v>
      </c>
    </row>
    <row r="2289" spans="1:8" x14ac:dyDescent="0.25">
      <c r="A2289" t="s">
        <v>50</v>
      </c>
      <c r="B2289" t="s">
        <v>81</v>
      </c>
      <c r="C2289" t="s">
        <v>1120</v>
      </c>
      <c r="D2289">
        <v>1</v>
      </c>
      <c r="E2289" s="273">
        <v>5</v>
      </c>
      <c r="F2289" s="273" t="s">
        <v>7</v>
      </c>
      <c r="G2289" s="273" t="s">
        <v>11</v>
      </c>
      <c r="H2289" s="273" t="s">
        <v>11</v>
      </c>
    </row>
    <row r="2290" spans="1:8" x14ac:dyDescent="0.25">
      <c r="A2290" t="s">
        <v>50</v>
      </c>
      <c r="B2290" t="s">
        <v>81</v>
      </c>
      <c r="C2290" t="s">
        <v>2498</v>
      </c>
      <c r="D2290">
        <v>2</v>
      </c>
      <c r="E2290" s="273">
        <v>5</v>
      </c>
      <c r="F2290" s="273" t="s">
        <v>7</v>
      </c>
      <c r="G2290" s="273" t="s">
        <v>11</v>
      </c>
      <c r="H2290" s="273" t="s">
        <v>11</v>
      </c>
    </row>
    <row r="2291" spans="1:8" x14ac:dyDescent="0.25">
      <c r="A2291" t="s">
        <v>50</v>
      </c>
      <c r="B2291" t="s">
        <v>81</v>
      </c>
      <c r="C2291" t="s">
        <v>1873</v>
      </c>
      <c r="D2291">
        <v>1</v>
      </c>
      <c r="E2291" s="273">
        <v>6</v>
      </c>
      <c r="F2291" s="273" t="s">
        <v>7</v>
      </c>
      <c r="G2291" s="273" t="s">
        <v>11</v>
      </c>
      <c r="H2291" s="273" t="s">
        <v>11</v>
      </c>
    </row>
    <row r="2292" spans="1:8" x14ac:dyDescent="0.25">
      <c r="A2292" t="s">
        <v>50</v>
      </c>
      <c r="B2292" t="s">
        <v>81</v>
      </c>
      <c r="C2292" t="s">
        <v>2148</v>
      </c>
      <c r="D2292">
        <v>1</v>
      </c>
      <c r="E2292" s="273">
        <v>5</v>
      </c>
      <c r="F2292" s="273" t="s">
        <v>7</v>
      </c>
      <c r="G2292" s="273" t="s">
        <v>11</v>
      </c>
      <c r="H2292" s="273" t="s">
        <v>11</v>
      </c>
    </row>
    <row r="2293" spans="1:8" x14ac:dyDescent="0.25">
      <c r="A2293" t="s">
        <v>50</v>
      </c>
      <c r="B2293" t="s">
        <v>81</v>
      </c>
      <c r="C2293" t="s">
        <v>2499</v>
      </c>
      <c r="D2293">
        <v>1</v>
      </c>
      <c r="E2293" s="273">
        <v>5</v>
      </c>
      <c r="F2293" s="273" t="s">
        <v>7</v>
      </c>
      <c r="G2293" s="273" t="s">
        <v>11</v>
      </c>
      <c r="H2293" s="273" t="s">
        <v>11</v>
      </c>
    </row>
    <row r="2294" spans="1:8" x14ac:dyDescent="0.25">
      <c r="A2294" t="s">
        <v>50</v>
      </c>
      <c r="B2294" t="s">
        <v>81</v>
      </c>
      <c r="C2294" t="s">
        <v>2500</v>
      </c>
      <c r="D2294">
        <v>1</v>
      </c>
      <c r="E2294" s="273">
        <v>4</v>
      </c>
      <c r="F2294" s="273" t="s">
        <v>7</v>
      </c>
      <c r="G2294" s="273" t="s">
        <v>11</v>
      </c>
      <c r="H2294" s="273" t="s">
        <v>11</v>
      </c>
    </row>
    <row r="2295" spans="1:8" x14ac:dyDescent="0.25">
      <c r="A2295" t="s">
        <v>50</v>
      </c>
      <c r="B2295" t="s">
        <v>81</v>
      </c>
      <c r="C2295" t="s">
        <v>2501</v>
      </c>
      <c r="D2295">
        <v>1</v>
      </c>
      <c r="E2295" s="273">
        <v>5</v>
      </c>
      <c r="F2295" s="273" t="s">
        <v>7</v>
      </c>
      <c r="G2295" s="273" t="s">
        <v>11</v>
      </c>
      <c r="H2295" s="273" t="s">
        <v>11</v>
      </c>
    </row>
    <row r="2296" spans="1:8" x14ac:dyDescent="0.25">
      <c r="A2296" t="s">
        <v>50</v>
      </c>
      <c r="B2296" t="s">
        <v>81</v>
      </c>
      <c r="C2296" t="s">
        <v>2502</v>
      </c>
      <c r="D2296">
        <v>1</v>
      </c>
      <c r="E2296" s="273">
        <v>6</v>
      </c>
      <c r="F2296" s="273" t="s">
        <v>7</v>
      </c>
      <c r="G2296" s="273" t="s">
        <v>11</v>
      </c>
      <c r="H2296" s="273" t="s">
        <v>11</v>
      </c>
    </row>
    <row r="2297" spans="1:8" x14ac:dyDescent="0.25">
      <c r="A2297" t="s">
        <v>50</v>
      </c>
      <c r="B2297" t="s">
        <v>81</v>
      </c>
      <c r="C2297" t="s">
        <v>1609</v>
      </c>
      <c r="D2297">
        <v>1</v>
      </c>
      <c r="E2297" s="273">
        <v>5</v>
      </c>
      <c r="F2297" s="273" t="s">
        <v>7</v>
      </c>
      <c r="G2297" s="273" t="s">
        <v>11</v>
      </c>
      <c r="H2297" s="273" t="s">
        <v>11</v>
      </c>
    </row>
    <row r="2298" spans="1:8" x14ac:dyDescent="0.25">
      <c r="A2298" t="s">
        <v>50</v>
      </c>
      <c r="B2298" t="s">
        <v>81</v>
      </c>
      <c r="C2298" t="s">
        <v>1236</v>
      </c>
      <c r="D2298">
        <v>1</v>
      </c>
      <c r="E2298" s="273">
        <v>5</v>
      </c>
      <c r="F2298" s="273" t="s">
        <v>7</v>
      </c>
      <c r="G2298" s="273" t="s">
        <v>11</v>
      </c>
      <c r="H2298" s="273" t="s">
        <v>11</v>
      </c>
    </row>
    <row r="2299" spans="1:8" x14ac:dyDescent="0.25">
      <c r="A2299" t="s">
        <v>50</v>
      </c>
      <c r="B2299" t="s">
        <v>81</v>
      </c>
      <c r="C2299" t="s">
        <v>1239</v>
      </c>
      <c r="D2299">
        <v>2</v>
      </c>
      <c r="E2299" s="273">
        <v>5</v>
      </c>
      <c r="F2299" s="273" t="s">
        <v>7</v>
      </c>
      <c r="G2299" s="273" t="s">
        <v>11</v>
      </c>
      <c r="H2299" s="273" t="s">
        <v>11</v>
      </c>
    </row>
    <row r="2300" spans="1:8" x14ac:dyDescent="0.25">
      <c r="A2300" t="s">
        <v>50</v>
      </c>
      <c r="B2300" t="s">
        <v>81</v>
      </c>
      <c r="C2300" t="s">
        <v>1611</v>
      </c>
      <c r="D2300">
        <v>1</v>
      </c>
      <c r="E2300" s="273">
        <v>5</v>
      </c>
      <c r="F2300" s="273" t="s">
        <v>7</v>
      </c>
      <c r="G2300" s="273" t="s">
        <v>11</v>
      </c>
      <c r="H2300" s="273" t="s">
        <v>11</v>
      </c>
    </row>
    <row r="2301" spans="1:8" x14ac:dyDescent="0.25">
      <c r="A2301" t="s">
        <v>50</v>
      </c>
      <c r="B2301" t="s">
        <v>81</v>
      </c>
      <c r="C2301" t="s">
        <v>2503</v>
      </c>
      <c r="D2301">
        <v>1</v>
      </c>
      <c r="E2301" s="273">
        <v>5</v>
      </c>
      <c r="F2301" s="273" t="s">
        <v>7</v>
      </c>
      <c r="G2301" s="273" t="s">
        <v>11</v>
      </c>
      <c r="H2301" s="273" t="s">
        <v>11</v>
      </c>
    </row>
    <row r="2302" spans="1:8" x14ac:dyDescent="0.25">
      <c r="A2302" t="s">
        <v>50</v>
      </c>
      <c r="B2302" t="s">
        <v>81</v>
      </c>
      <c r="C2302" t="s">
        <v>1661</v>
      </c>
      <c r="D2302">
        <v>1</v>
      </c>
      <c r="E2302" s="273">
        <v>4</v>
      </c>
      <c r="F2302" s="273" t="s">
        <v>7</v>
      </c>
      <c r="G2302" s="273" t="s">
        <v>11</v>
      </c>
      <c r="H2302" s="273" t="s">
        <v>11</v>
      </c>
    </row>
    <row r="2303" spans="1:8" x14ac:dyDescent="0.25">
      <c r="A2303" t="s">
        <v>50</v>
      </c>
      <c r="B2303" t="s">
        <v>81</v>
      </c>
      <c r="C2303" t="s">
        <v>1754</v>
      </c>
      <c r="D2303">
        <v>2</v>
      </c>
      <c r="E2303" s="273">
        <v>6</v>
      </c>
      <c r="F2303" s="273" t="s">
        <v>7</v>
      </c>
      <c r="G2303" s="273" t="s">
        <v>11</v>
      </c>
      <c r="H2303" s="273" t="s">
        <v>11</v>
      </c>
    </row>
    <row r="2304" spans="1:8" x14ac:dyDescent="0.25">
      <c r="A2304" t="s">
        <v>50</v>
      </c>
      <c r="B2304" t="s">
        <v>81</v>
      </c>
      <c r="C2304" t="s">
        <v>2283</v>
      </c>
      <c r="D2304">
        <v>2</v>
      </c>
      <c r="E2304" s="273">
        <v>5</v>
      </c>
      <c r="F2304" s="273" t="s">
        <v>7</v>
      </c>
      <c r="G2304" s="273" t="s">
        <v>11</v>
      </c>
      <c r="H2304" s="273" t="s">
        <v>11</v>
      </c>
    </row>
    <row r="2305" spans="1:8" x14ac:dyDescent="0.25">
      <c r="A2305" t="s">
        <v>50</v>
      </c>
      <c r="B2305" t="s">
        <v>81</v>
      </c>
      <c r="C2305" t="s">
        <v>1142</v>
      </c>
      <c r="D2305">
        <v>2</v>
      </c>
      <c r="E2305" s="273">
        <v>5</v>
      </c>
      <c r="F2305" s="273" t="s">
        <v>7</v>
      </c>
      <c r="G2305" s="273" t="s">
        <v>11</v>
      </c>
      <c r="H2305" s="273" t="s">
        <v>11</v>
      </c>
    </row>
    <row r="2306" spans="1:8" x14ac:dyDescent="0.25">
      <c r="A2306" t="s">
        <v>50</v>
      </c>
      <c r="B2306" t="s">
        <v>81</v>
      </c>
      <c r="C2306" t="s">
        <v>2504</v>
      </c>
      <c r="D2306">
        <v>2</v>
      </c>
      <c r="E2306" s="273">
        <v>5</v>
      </c>
      <c r="F2306" s="273" t="s">
        <v>7</v>
      </c>
      <c r="G2306" s="273" t="s">
        <v>11</v>
      </c>
      <c r="H2306" s="273" t="s">
        <v>11</v>
      </c>
    </row>
    <row r="2307" spans="1:8" x14ac:dyDescent="0.25">
      <c r="A2307" t="s">
        <v>50</v>
      </c>
      <c r="B2307" t="s">
        <v>81</v>
      </c>
      <c r="C2307" t="s">
        <v>1143</v>
      </c>
      <c r="D2307">
        <v>1</v>
      </c>
      <c r="E2307" s="273">
        <v>5</v>
      </c>
      <c r="F2307" s="273" t="s">
        <v>7</v>
      </c>
      <c r="G2307" s="273" t="s">
        <v>11</v>
      </c>
      <c r="H2307" s="273" t="s">
        <v>11</v>
      </c>
    </row>
    <row r="2308" spans="1:8" x14ac:dyDescent="0.25">
      <c r="A2308" t="s">
        <v>50</v>
      </c>
      <c r="B2308" t="s">
        <v>81</v>
      </c>
      <c r="C2308" t="s">
        <v>1245</v>
      </c>
      <c r="D2308">
        <v>1</v>
      </c>
      <c r="E2308" s="273">
        <v>5</v>
      </c>
      <c r="F2308" s="273" t="s">
        <v>7</v>
      </c>
      <c r="G2308" s="273" t="s">
        <v>11</v>
      </c>
      <c r="H2308" s="273" t="s">
        <v>11</v>
      </c>
    </row>
    <row r="2309" spans="1:8" x14ac:dyDescent="0.25">
      <c r="A2309" t="s">
        <v>50</v>
      </c>
      <c r="B2309" t="s">
        <v>81</v>
      </c>
      <c r="C2309" t="s">
        <v>1145</v>
      </c>
      <c r="D2309">
        <v>2</v>
      </c>
      <c r="E2309" s="273">
        <v>5</v>
      </c>
      <c r="F2309" s="273" t="s">
        <v>7</v>
      </c>
      <c r="G2309" s="273" t="s">
        <v>11</v>
      </c>
      <c r="H2309" s="273" t="s">
        <v>11</v>
      </c>
    </row>
    <row r="2310" spans="1:8" x14ac:dyDescent="0.25">
      <c r="A2310" t="s">
        <v>50</v>
      </c>
      <c r="B2310" t="s">
        <v>81</v>
      </c>
      <c r="C2310" t="s">
        <v>2505</v>
      </c>
      <c r="D2310">
        <v>1</v>
      </c>
      <c r="E2310" s="273">
        <v>5</v>
      </c>
      <c r="F2310" s="273" t="s">
        <v>7</v>
      </c>
      <c r="G2310" s="273" t="s">
        <v>11</v>
      </c>
      <c r="H2310" s="273" t="s">
        <v>11</v>
      </c>
    </row>
    <row r="2311" spans="1:8" x14ac:dyDescent="0.25">
      <c r="A2311" t="s">
        <v>50</v>
      </c>
      <c r="B2311" t="s">
        <v>81</v>
      </c>
      <c r="C2311" t="s">
        <v>2506</v>
      </c>
      <c r="D2311">
        <v>1</v>
      </c>
      <c r="E2311" s="273">
        <v>5</v>
      </c>
      <c r="F2311" s="273" t="s">
        <v>7</v>
      </c>
      <c r="G2311" s="273" t="s">
        <v>11</v>
      </c>
      <c r="H2311" s="273" t="s">
        <v>11</v>
      </c>
    </row>
    <row r="2312" spans="1:8" x14ac:dyDescent="0.25">
      <c r="A2312" t="s">
        <v>50</v>
      </c>
      <c r="B2312" t="s">
        <v>81</v>
      </c>
      <c r="C2312" t="s">
        <v>1150</v>
      </c>
      <c r="D2312">
        <v>2</v>
      </c>
      <c r="E2312" s="273">
        <v>5</v>
      </c>
      <c r="F2312" s="273" t="s">
        <v>7</v>
      </c>
      <c r="G2312" s="273" t="s">
        <v>11</v>
      </c>
      <c r="H2312" s="273" t="s">
        <v>11</v>
      </c>
    </row>
    <row r="2313" spans="1:8" x14ac:dyDescent="0.25">
      <c r="A2313" t="s">
        <v>50</v>
      </c>
      <c r="B2313" t="s">
        <v>81</v>
      </c>
      <c r="C2313" t="s">
        <v>2507</v>
      </c>
      <c r="D2313">
        <v>1</v>
      </c>
      <c r="E2313" s="273">
        <v>5</v>
      </c>
      <c r="F2313" s="273" t="s">
        <v>7</v>
      </c>
      <c r="G2313" s="273" t="s">
        <v>11</v>
      </c>
      <c r="H2313" s="273" t="s">
        <v>11</v>
      </c>
    </row>
    <row r="2314" spans="1:8" x14ac:dyDescent="0.25">
      <c r="A2314" t="s">
        <v>50</v>
      </c>
      <c r="B2314" t="s">
        <v>81</v>
      </c>
      <c r="C2314" t="s">
        <v>2508</v>
      </c>
      <c r="D2314">
        <v>1</v>
      </c>
      <c r="E2314" s="273">
        <v>5</v>
      </c>
      <c r="F2314" s="273" t="s">
        <v>7</v>
      </c>
      <c r="G2314" s="273" t="s">
        <v>11</v>
      </c>
      <c r="H2314" s="273" t="s">
        <v>11</v>
      </c>
    </row>
    <row r="2315" spans="1:8" x14ac:dyDescent="0.25">
      <c r="A2315" t="s">
        <v>50</v>
      </c>
      <c r="B2315" t="s">
        <v>81</v>
      </c>
      <c r="C2315" t="s">
        <v>2206</v>
      </c>
      <c r="D2315">
        <v>1</v>
      </c>
      <c r="E2315" s="273">
        <v>5</v>
      </c>
      <c r="F2315" s="273" t="s">
        <v>7</v>
      </c>
      <c r="G2315" s="273" t="s">
        <v>11</v>
      </c>
      <c r="H2315" s="273" t="s">
        <v>11</v>
      </c>
    </row>
    <row r="2316" spans="1:8" x14ac:dyDescent="0.25">
      <c r="A2316" t="s">
        <v>50</v>
      </c>
      <c r="B2316" t="s">
        <v>81</v>
      </c>
      <c r="C2316" t="s">
        <v>1153</v>
      </c>
      <c r="D2316">
        <v>2</v>
      </c>
      <c r="E2316" s="273">
        <v>5</v>
      </c>
      <c r="F2316" s="273" t="s">
        <v>7</v>
      </c>
      <c r="G2316" s="273" t="s">
        <v>11</v>
      </c>
      <c r="H2316" s="273" t="s">
        <v>11</v>
      </c>
    </row>
    <row r="2317" spans="1:8" x14ac:dyDescent="0.25">
      <c r="A2317" t="s">
        <v>50</v>
      </c>
      <c r="B2317" t="s">
        <v>81</v>
      </c>
      <c r="C2317" t="s">
        <v>2509</v>
      </c>
      <c r="D2317">
        <v>1</v>
      </c>
      <c r="E2317" s="273">
        <v>5</v>
      </c>
      <c r="F2317" s="273" t="s">
        <v>7</v>
      </c>
      <c r="G2317" s="273" t="s">
        <v>11</v>
      </c>
      <c r="H2317" s="273" t="s">
        <v>11</v>
      </c>
    </row>
    <row r="2318" spans="1:8" x14ac:dyDescent="0.25">
      <c r="A2318" t="s">
        <v>50</v>
      </c>
      <c r="B2318" t="s">
        <v>81</v>
      </c>
      <c r="C2318" t="s">
        <v>2510</v>
      </c>
      <c r="D2318">
        <v>1</v>
      </c>
      <c r="E2318" s="273">
        <v>5</v>
      </c>
      <c r="F2318" s="273" t="s">
        <v>7</v>
      </c>
      <c r="G2318" s="273" t="s">
        <v>11</v>
      </c>
      <c r="H2318" s="273" t="s">
        <v>11</v>
      </c>
    </row>
    <row r="2319" spans="1:8" x14ac:dyDescent="0.25">
      <c r="A2319" t="s">
        <v>50</v>
      </c>
      <c r="B2319" t="s">
        <v>81</v>
      </c>
      <c r="C2319" t="s">
        <v>2511</v>
      </c>
      <c r="D2319">
        <v>1</v>
      </c>
      <c r="E2319" s="273">
        <v>5</v>
      </c>
      <c r="F2319" s="273" t="s">
        <v>7</v>
      </c>
      <c r="G2319" s="273" t="s">
        <v>11</v>
      </c>
      <c r="H2319" s="273" t="s">
        <v>11</v>
      </c>
    </row>
    <row r="2320" spans="1:8" x14ac:dyDescent="0.25">
      <c r="A2320" t="s">
        <v>50</v>
      </c>
      <c r="B2320" t="s">
        <v>81</v>
      </c>
      <c r="C2320" t="s">
        <v>2512</v>
      </c>
      <c r="D2320">
        <v>1</v>
      </c>
      <c r="E2320" s="273">
        <v>5</v>
      </c>
      <c r="F2320" s="273" t="s">
        <v>7</v>
      </c>
      <c r="G2320" s="273" t="s">
        <v>11</v>
      </c>
      <c r="H2320" s="273" t="s">
        <v>11</v>
      </c>
    </row>
    <row r="2321" spans="1:8" x14ac:dyDescent="0.25">
      <c r="A2321" t="s">
        <v>50</v>
      </c>
      <c r="B2321" t="s">
        <v>81</v>
      </c>
      <c r="C2321" t="s">
        <v>2513</v>
      </c>
      <c r="D2321">
        <v>2</v>
      </c>
      <c r="E2321" s="273">
        <v>6</v>
      </c>
      <c r="F2321" s="273" t="s">
        <v>7</v>
      </c>
      <c r="G2321" s="273" t="s">
        <v>11</v>
      </c>
      <c r="H2321" s="273" t="s">
        <v>11</v>
      </c>
    </row>
    <row r="2322" spans="1:8" x14ac:dyDescent="0.25">
      <c r="A2322" t="s">
        <v>50</v>
      </c>
      <c r="B2322" t="s">
        <v>81</v>
      </c>
      <c r="C2322" t="s">
        <v>1637</v>
      </c>
      <c r="D2322">
        <v>2</v>
      </c>
      <c r="E2322" s="273">
        <v>5</v>
      </c>
      <c r="F2322" s="273" t="s">
        <v>7</v>
      </c>
      <c r="G2322" s="273" t="s">
        <v>11</v>
      </c>
      <c r="H2322" s="273" t="s">
        <v>11</v>
      </c>
    </row>
    <row r="2323" spans="1:8" x14ac:dyDescent="0.25">
      <c r="A2323" t="s">
        <v>50</v>
      </c>
      <c r="B2323" t="s">
        <v>81</v>
      </c>
      <c r="C2323" t="s">
        <v>2514</v>
      </c>
      <c r="D2323">
        <v>1</v>
      </c>
      <c r="E2323" s="273">
        <v>5</v>
      </c>
      <c r="F2323" s="273" t="s">
        <v>7</v>
      </c>
      <c r="G2323" s="273" t="s">
        <v>11</v>
      </c>
      <c r="H2323" s="273" t="s">
        <v>11</v>
      </c>
    </row>
    <row r="2324" spans="1:8" x14ac:dyDescent="0.25">
      <c r="A2324" t="s">
        <v>50</v>
      </c>
      <c r="B2324" t="s">
        <v>81</v>
      </c>
      <c r="C2324" t="s">
        <v>1163</v>
      </c>
      <c r="D2324">
        <v>1</v>
      </c>
      <c r="E2324" s="273">
        <v>5</v>
      </c>
      <c r="F2324" s="273" t="s">
        <v>7</v>
      </c>
      <c r="G2324" s="273" t="s">
        <v>11</v>
      </c>
      <c r="H2324" s="273" t="s">
        <v>11</v>
      </c>
    </row>
    <row r="2325" spans="1:8" x14ac:dyDescent="0.25">
      <c r="A2325" t="s">
        <v>50</v>
      </c>
      <c r="B2325" t="s">
        <v>81</v>
      </c>
      <c r="C2325" t="s">
        <v>1164</v>
      </c>
      <c r="D2325">
        <v>1</v>
      </c>
      <c r="E2325" s="273">
        <v>4</v>
      </c>
      <c r="F2325" s="273" t="s">
        <v>7</v>
      </c>
      <c r="G2325" s="273" t="s">
        <v>11</v>
      </c>
      <c r="H2325" s="273" t="s">
        <v>11</v>
      </c>
    </row>
    <row r="2326" spans="1:8" x14ac:dyDescent="0.25">
      <c r="A2326" t="s">
        <v>50</v>
      </c>
      <c r="B2326" t="s">
        <v>81</v>
      </c>
      <c r="C2326" t="s">
        <v>2515</v>
      </c>
      <c r="D2326">
        <v>1</v>
      </c>
      <c r="E2326" s="273">
        <v>5</v>
      </c>
      <c r="F2326" s="273" t="s">
        <v>7</v>
      </c>
      <c r="G2326" s="273" t="s">
        <v>11</v>
      </c>
      <c r="H2326" s="273" t="s">
        <v>11</v>
      </c>
    </row>
    <row r="2327" spans="1:8" x14ac:dyDescent="0.25">
      <c r="A2327" t="s">
        <v>50</v>
      </c>
      <c r="B2327" t="s">
        <v>81</v>
      </c>
      <c r="C2327" t="s">
        <v>2346</v>
      </c>
      <c r="D2327">
        <v>1</v>
      </c>
      <c r="E2327" s="273">
        <v>5</v>
      </c>
      <c r="F2327" s="273" t="s">
        <v>7</v>
      </c>
      <c r="G2327" s="273" t="s">
        <v>11</v>
      </c>
      <c r="H2327" s="273" t="s">
        <v>11</v>
      </c>
    </row>
    <row r="2328" spans="1:8" x14ac:dyDescent="0.25">
      <c r="A2328" t="s">
        <v>50</v>
      </c>
      <c r="B2328" t="s">
        <v>81</v>
      </c>
      <c r="C2328" t="s">
        <v>2516</v>
      </c>
      <c r="D2328">
        <v>1</v>
      </c>
      <c r="E2328" s="273">
        <v>5</v>
      </c>
      <c r="F2328" s="273" t="s">
        <v>7</v>
      </c>
      <c r="G2328" s="273" t="s">
        <v>11</v>
      </c>
      <c r="H2328" s="273" t="s">
        <v>11</v>
      </c>
    </row>
    <row r="2329" spans="1:8" x14ac:dyDescent="0.25">
      <c r="A2329" t="s">
        <v>50</v>
      </c>
      <c r="B2329" t="s">
        <v>81</v>
      </c>
      <c r="C2329" t="s">
        <v>1166</v>
      </c>
      <c r="D2329">
        <v>1</v>
      </c>
      <c r="E2329" s="273">
        <v>5</v>
      </c>
      <c r="F2329" s="273" t="s">
        <v>7</v>
      </c>
      <c r="G2329" s="273" t="s">
        <v>11</v>
      </c>
      <c r="H2329" s="273" t="s">
        <v>11</v>
      </c>
    </row>
    <row r="2330" spans="1:8" x14ac:dyDescent="0.25">
      <c r="A2330" t="s">
        <v>50</v>
      </c>
      <c r="B2330" t="s">
        <v>81</v>
      </c>
      <c r="C2330" t="s">
        <v>2517</v>
      </c>
      <c r="D2330">
        <v>3</v>
      </c>
      <c r="E2330" s="273">
        <v>4</v>
      </c>
      <c r="F2330" s="273" t="s">
        <v>7</v>
      </c>
      <c r="G2330" s="273" t="s">
        <v>11</v>
      </c>
      <c r="H2330" s="273" t="s">
        <v>11</v>
      </c>
    </row>
    <row r="2331" spans="1:8" x14ac:dyDescent="0.25">
      <c r="A2331" t="s">
        <v>50</v>
      </c>
      <c r="B2331" t="s">
        <v>81</v>
      </c>
      <c r="C2331" t="s">
        <v>1168</v>
      </c>
      <c r="D2331">
        <v>2</v>
      </c>
      <c r="E2331" s="273">
        <v>5</v>
      </c>
      <c r="F2331" s="273" t="s">
        <v>7</v>
      </c>
      <c r="G2331" s="273" t="s">
        <v>11</v>
      </c>
      <c r="H2331" s="273" t="s">
        <v>11</v>
      </c>
    </row>
    <row r="2332" spans="1:8" x14ac:dyDescent="0.25">
      <c r="A2332" t="s">
        <v>50</v>
      </c>
      <c r="B2332" t="s">
        <v>81</v>
      </c>
      <c r="C2332" t="s">
        <v>2518</v>
      </c>
      <c r="D2332">
        <v>2</v>
      </c>
      <c r="E2332" s="273">
        <v>6</v>
      </c>
      <c r="F2332" s="273" t="s">
        <v>7</v>
      </c>
      <c r="G2332" s="273" t="s">
        <v>11</v>
      </c>
      <c r="H2332" s="273" t="s">
        <v>11</v>
      </c>
    </row>
    <row r="2333" spans="1:8" x14ac:dyDescent="0.25">
      <c r="A2333" t="s">
        <v>50</v>
      </c>
      <c r="B2333" t="s">
        <v>81</v>
      </c>
      <c r="C2333" t="s">
        <v>2519</v>
      </c>
      <c r="D2333">
        <v>1</v>
      </c>
      <c r="E2333" s="273">
        <v>5</v>
      </c>
      <c r="F2333" s="273" t="s">
        <v>7</v>
      </c>
      <c r="G2333" s="273" t="s">
        <v>11</v>
      </c>
      <c r="H2333" s="273" t="s">
        <v>11</v>
      </c>
    </row>
    <row r="2334" spans="1:8" x14ac:dyDescent="0.25">
      <c r="A2334" t="s">
        <v>50</v>
      </c>
      <c r="B2334" t="s">
        <v>81</v>
      </c>
      <c r="C2334" t="s">
        <v>2520</v>
      </c>
      <c r="D2334">
        <v>1</v>
      </c>
      <c r="E2334" s="273">
        <v>5</v>
      </c>
      <c r="F2334" s="273" t="s">
        <v>7</v>
      </c>
      <c r="G2334" s="273" t="s">
        <v>11</v>
      </c>
      <c r="H2334" s="273" t="s">
        <v>11</v>
      </c>
    </row>
    <row r="2335" spans="1:8" x14ac:dyDescent="0.25">
      <c r="A2335" t="s">
        <v>50</v>
      </c>
      <c r="B2335" t="s">
        <v>81</v>
      </c>
      <c r="C2335" t="s">
        <v>1917</v>
      </c>
      <c r="D2335">
        <v>2</v>
      </c>
      <c r="E2335" s="273">
        <v>5</v>
      </c>
      <c r="F2335" s="273" t="s">
        <v>7</v>
      </c>
      <c r="G2335" s="273" t="s">
        <v>11</v>
      </c>
      <c r="H2335" s="273" t="s">
        <v>11</v>
      </c>
    </row>
    <row r="2336" spans="1:8" x14ac:dyDescent="0.25">
      <c r="A2336" t="s">
        <v>50</v>
      </c>
      <c r="B2336" t="s">
        <v>81</v>
      </c>
      <c r="C2336" t="s">
        <v>1687</v>
      </c>
      <c r="D2336">
        <v>1</v>
      </c>
      <c r="E2336" s="273">
        <v>5</v>
      </c>
      <c r="F2336" s="273" t="s">
        <v>7</v>
      </c>
      <c r="G2336" s="273" t="s">
        <v>11</v>
      </c>
      <c r="H2336" s="273" t="s">
        <v>11</v>
      </c>
    </row>
    <row r="2337" spans="1:8" x14ac:dyDescent="0.25">
      <c r="A2337" t="s">
        <v>50</v>
      </c>
      <c r="B2337" t="s">
        <v>81</v>
      </c>
      <c r="C2337" t="s">
        <v>2521</v>
      </c>
      <c r="D2337">
        <v>1</v>
      </c>
      <c r="E2337" s="273">
        <v>6</v>
      </c>
      <c r="F2337" s="273" t="s">
        <v>7</v>
      </c>
      <c r="G2337" s="273" t="s">
        <v>11</v>
      </c>
      <c r="H2337" s="273" t="s">
        <v>11</v>
      </c>
    </row>
    <row r="2338" spans="1:8" x14ac:dyDescent="0.25">
      <c r="A2338" t="s">
        <v>50</v>
      </c>
      <c r="B2338" t="s">
        <v>81</v>
      </c>
      <c r="C2338" t="s">
        <v>2298</v>
      </c>
      <c r="D2338">
        <v>1</v>
      </c>
      <c r="E2338" s="273">
        <v>6</v>
      </c>
      <c r="F2338" s="273" t="s">
        <v>7</v>
      </c>
      <c r="G2338" s="273" t="s">
        <v>11</v>
      </c>
      <c r="H2338" s="273" t="s">
        <v>11</v>
      </c>
    </row>
    <row r="2339" spans="1:8" x14ac:dyDescent="0.25">
      <c r="A2339" t="s">
        <v>50</v>
      </c>
      <c r="B2339" t="s">
        <v>81</v>
      </c>
      <c r="C2339" t="s">
        <v>1278</v>
      </c>
      <c r="D2339">
        <v>1</v>
      </c>
      <c r="E2339" s="273">
        <v>5</v>
      </c>
      <c r="F2339" s="273" t="s">
        <v>7</v>
      </c>
      <c r="G2339" s="273" t="s">
        <v>11</v>
      </c>
      <c r="H2339" s="273" t="s">
        <v>11</v>
      </c>
    </row>
    <row r="2340" spans="1:8" x14ac:dyDescent="0.25">
      <c r="A2340" t="s">
        <v>50</v>
      </c>
      <c r="B2340" t="s">
        <v>81</v>
      </c>
      <c r="C2340" t="s">
        <v>2522</v>
      </c>
      <c r="D2340">
        <v>1</v>
      </c>
      <c r="E2340" s="273">
        <v>5</v>
      </c>
      <c r="F2340" s="273" t="s">
        <v>7</v>
      </c>
      <c r="G2340" s="273" t="s">
        <v>11</v>
      </c>
      <c r="H2340" s="273" t="s">
        <v>11</v>
      </c>
    </row>
    <row r="2341" spans="1:8" x14ac:dyDescent="0.25">
      <c r="A2341" t="s">
        <v>50</v>
      </c>
      <c r="B2341" t="s">
        <v>81</v>
      </c>
      <c r="C2341" t="s">
        <v>1556</v>
      </c>
      <c r="D2341">
        <v>2</v>
      </c>
      <c r="E2341" s="273">
        <v>5</v>
      </c>
      <c r="F2341" s="273" t="s">
        <v>7</v>
      </c>
      <c r="G2341" s="273" t="s">
        <v>11</v>
      </c>
      <c r="H2341" s="273" t="s">
        <v>11</v>
      </c>
    </row>
    <row r="2342" spans="1:8" x14ac:dyDescent="0.25">
      <c r="A2342" t="s">
        <v>50</v>
      </c>
      <c r="B2342" t="s">
        <v>81</v>
      </c>
      <c r="C2342" t="s">
        <v>1178</v>
      </c>
      <c r="D2342">
        <v>2</v>
      </c>
      <c r="E2342" s="273">
        <v>5</v>
      </c>
      <c r="F2342" s="273" t="s">
        <v>7</v>
      </c>
      <c r="G2342" s="273" t="s">
        <v>11</v>
      </c>
      <c r="H2342" s="273" t="s">
        <v>11</v>
      </c>
    </row>
    <row r="2343" spans="1:8" x14ac:dyDescent="0.25">
      <c r="A2343" t="s">
        <v>50</v>
      </c>
      <c r="B2343" t="s">
        <v>81</v>
      </c>
      <c r="C2343" t="s">
        <v>1557</v>
      </c>
      <c r="D2343">
        <v>2</v>
      </c>
      <c r="E2343" s="273">
        <v>6</v>
      </c>
      <c r="F2343" s="273" t="s">
        <v>7</v>
      </c>
      <c r="G2343" s="273" t="s">
        <v>11</v>
      </c>
      <c r="H2343" s="273" t="s">
        <v>11</v>
      </c>
    </row>
    <row r="2344" spans="1:8" x14ac:dyDescent="0.25">
      <c r="A2344" t="s">
        <v>50</v>
      </c>
      <c r="B2344" t="s">
        <v>81</v>
      </c>
      <c r="C2344" t="s">
        <v>2523</v>
      </c>
      <c r="D2344">
        <v>1</v>
      </c>
      <c r="E2344" s="273">
        <v>5</v>
      </c>
      <c r="F2344" s="273" t="s">
        <v>7</v>
      </c>
      <c r="G2344" s="273" t="s">
        <v>11</v>
      </c>
      <c r="H2344" s="273" t="s">
        <v>11</v>
      </c>
    </row>
    <row r="2345" spans="1:8" x14ac:dyDescent="0.25">
      <c r="A2345" t="s">
        <v>50</v>
      </c>
      <c r="B2345" t="s">
        <v>81</v>
      </c>
      <c r="C2345" t="s">
        <v>2302</v>
      </c>
      <c r="D2345">
        <v>1</v>
      </c>
      <c r="E2345" s="273">
        <v>5</v>
      </c>
      <c r="F2345" s="273" t="s">
        <v>7</v>
      </c>
      <c r="G2345" s="273" t="s">
        <v>11</v>
      </c>
      <c r="H2345" s="273" t="s">
        <v>11</v>
      </c>
    </row>
    <row r="2346" spans="1:8" x14ac:dyDescent="0.25">
      <c r="A2346" t="s">
        <v>50</v>
      </c>
      <c r="B2346" t="s">
        <v>81</v>
      </c>
      <c r="C2346" t="s">
        <v>1919</v>
      </c>
      <c r="D2346">
        <v>1</v>
      </c>
      <c r="E2346" s="273">
        <v>4</v>
      </c>
      <c r="F2346" s="273" t="s">
        <v>7</v>
      </c>
      <c r="G2346" s="273" t="s">
        <v>11</v>
      </c>
      <c r="H2346" s="273" t="s">
        <v>11</v>
      </c>
    </row>
    <row r="2347" spans="1:8" x14ac:dyDescent="0.25">
      <c r="A2347" t="s">
        <v>69</v>
      </c>
      <c r="C2347" t="s">
        <v>5159</v>
      </c>
      <c r="D2347">
        <v>2</v>
      </c>
      <c r="E2347" s="273">
        <v>1</v>
      </c>
      <c r="F2347" s="273" t="s">
        <v>7</v>
      </c>
      <c r="G2347" s="273" t="s">
        <v>115</v>
      </c>
      <c r="H2347" s="273" t="s">
        <v>3456</v>
      </c>
    </row>
    <row r="2348" spans="1:8" x14ac:dyDescent="0.25">
      <c r="A2348" s="1405" t="s">
        <v>69</v>
      </c>
      <c r="B2348" s="1405"/>
      <c r="C2348" s="1405" t="s">
        <v>5160</v>
      </c>
      <c r="D2348" s="1405">
        <v>2</v>
      </c>
      <c r="E2348" s="1405">
        <v>1</v>
      </c>
      <c r="F2348" s="1405" t="s">
        <v>7</v>
      </c>
      <c r="G2348" s="1405" t="s">
        <v>115</v>
      </c>
      <c r="H2348" s="1405" t="s">
        <v>3456</v>
      </c>
    </row>
    <row r="2349" spans="1:8" x14ac:dyDescent="0.25">
      <c r="A2349" s="1405" t="s">
        <v>69</v>
      </c>
      <c r="B2349" s="1405"/>
      <c r="C2349" s="1405" t="s">
        <v>5161</v>
      </c>
      <c r="D2349" s="1405">
        <v>2</v>
      </c>
      <c r="E2349" s="1405">
        <v>1</v>
      </c>
      <c r="F2349" s="1405" t="s">
        <v>7</v>
      </c>
      <c r="G2349" s="1405" t="s">
        <v>115</v>
      </c>
      <c r="H2349" s="1405" t="s">
        <v>3456</v>
      </c>
    </row>
    <row r="2350" spans="1:8" x14ac:dyDescent="0.25">
      <c r="A2350" s="1405" t="s">
        <v>69</v>
      </c>
      <c r="B2350" s="1405"/>
      <c r="C2350" s="1405" t="s">
        <v>5162</v>
      </c>
      <c r="D2350" s="1405">
        <v>2</v>
      </c>
      <c r="E2350" s="1405">
        <v>1</v>
      </c>
      <c r="F2350" s="1405" t="s">
        <v>7</v>
      </c>
      <c r="G2350" s="1405" t="s">
        <v>115</v>
      </c>
      <c r="H2350" s="1405" t="s">
        <v>3456</v>
      </c>
    </row>
    <row r="2351" spans="1:8" x14ac:dyDescent="0.25">
      <c r="A2351" s="1405" t="s">
        <v>69</v>
      </c>
      <c r="B2351" s="1405"/>
      <c r="C2351" s="1405" t="s">
        <v>5163</v>
      </c>
      <c r="D2351" s="1405">
        <v>2</v>
      </c>
      <c r="E2351" s="1405">
        <v>1</v>
      </c>
      <c r="F2351" s="1405" t="s">
        <v>7</v>
      </c>
      <c r="G2351" s="1405" t="s">
        <v>115</v>
      </c>
      <c r="H2351" s="1405" t="s">
        <v>3456</v>
      </c>
    </row>
    <row r="2352" spans="1:8" x14ac:dyDescent="0.25">
      <c r="A2352" s="1405" t="s">
        <v>69</v>
      </c>
      <c r="B2352" s="1405"/>
      <c r="C2352" s="1405" t="s">
        <v>5164</v>
      </c>
      <c r="D2352" s="1405">
        <v>2</v>
      </c>
      <c r="E2352" s="1405">
        <v>1</v>
      </c>
      <c r="F2352" s="1405" t="s">
        <v>7</v>
      </c>
      <c r="G2352" s="1405" t="s">
        <v>115</v>
      </c>
      <c r="H2352" s="1405" t="s">
        <v>3456</v>
      </c>
    </row>
    <row r="2353" spans="1:8" x14ac:dyDescent="0.25">
      <c r="A2353" s="1405" t="s">
        <v>69</v>
      </c>
      <c r="B2353" s="1405"/>
      <c r="C2353" s="1405" t="s">
        <v>5165</v>
      </c>
      <c r="D2353" s="1405">
        <v>2</v>
      </c>
      <c r="E2353" s="1405">
        <v>1</v>
      </c>
      <c r="F2353" s="1405" t="s">
        <v>7</v>
      </c>
      <c r="G2353" s="1405" t="s">
        <v>115</v>
      </c>
      <c r="H2353" s="1405" t="s">
        <v>3456</v>
      </c>
    </row>
    <row r="2354" spans="1:8" x14ac:dyDescent="0.25">
      <c r="A2354" s="1405" t="s">
        <v>69</v>
      </c>
      <c r="B2354" s="1405"/>
      <c r="C2354" s="1405" t="s">
        <v>5166</v>
      </c>
      <c r="D2354" s="1405">
        <v>2</v>
      </c>
      <c r="E2354" s="1405">
        <v>1</v>
      </c>
      <c r="F2354" s="1405" t="s">
        <v>7</v>
      </c>
      <c r="G2354" s="1405" t="s">
        <v>115</v>
      </c>
      <c r="H2354" s="1405" t="s">
        <v>3456</v>
      </c>
    </row>
    <row r="2355" spans="1:8" x14ac:dyDescent="0.25">
      <c r="A2355" s="1405" t="s">
        <v>69</v>
      </c>
      <c r="B2355" s="1405"/>
      <c r="C2355" s="1405" t="s">
        <v>5167</v>
      </c>
      <c r="D2355" s="1405">
        <v>2</v>
      </c>
      <c r="E2355" s="1405">
        <v>1</v>
      </c>
      <c r="F2355" s="1405" t="s">
        <v>7</v>
      </c>
      <c r="G2355" s="1405" t="s">
        <v>115</v>
      </c>
      <c r="H2355" s="1405" t="s">
        <v>3456</v>
      </c>
    </row>
    <row r="2356" spans="1:8" x14ac:dyDescent="0.25">
      <c r="A2356" s="1405" t="s">
        <v>69</v>
      </c>
      <c r="B2356" s="1405"/>
      <c r="C2356" s="1405" t="s">
        <v>5168</v>
      </c>
      <c r="D2356" s="1405">
        <v>2</v>
      </c>
      <c r="E2356" s="1405">
        <v>1</v>
      </c>
      <c r="F2356" s="1405" t="s">
        <v>7</v>
      </c>
      <c r="G2356" s="1405" t="s">
        <v>115</v>
      </c>
      <c r="H2356" s="1405" t="s">
        <v>3456</v>
      </c>
    </row>
    <row r="2357" spans="1:8" x14ac:dyDescent="0.25">
      <c r="A2357" s="1405" t="s">
        <v>69</v>
      </c>
      <c r="B2357" s="1405"/>
      <c r="C2357" s="1405" t="s">
        <v>5169</v>
      </c>
      <c r="D2357" s="1405">
        <v>2</v>
      </c>
      <c r="E2357" s="1405">
        <v>1</v>
      </c>
      <c r="F2357" s="1405" t="s">
        <v>7</v>
      </c>
      <c r="G2357" s="1405" t="s">
        <v>115</v>
      </c>
      <c r="H2357" s="1405" t="s">
        <v>3456</v>
      </c>
    </row>
    <row r="2358" spans="1:8" x14ac:dyDescent="0.25">
      <c r="A2358" s="1405" t="s">
        <v>69</v>
      </c>
      <c r="B2358" s="1405"/>
      <c r="C2358" s="1405" t="s">
        <v>5170</v>
      </c>
      <c r="D2358" s="1405">
        <v>2</v>
      </c>
      <c r="E2358" s="1405">
        <v>1</v>
      </c>
      <c r="F2358" s="1405" t="s">
        <v>7</v>
      </c>
      <c r="G2358" s="1405" t="s">
        <v>115</v>
      </c>
      <c r="H2358" s="1405" t="s">
        <v>3456</v>
      </c>
    </row>
    <row r="2359" spans="1:8" x14ac:dyDescent="0.25">
      <c r="A2359" s="1405" t="s">
        <v>69</v>
      </c>
      <c r="B2359" s="1405"/>
      <c r="C2359" s="1405" t="s">
        <v>5171</v>
      </c>
      <c r="D2359" s="1405">
        <v>2</v>
      </c>
      <c r="E2359" s="1405">
        <v>1</v>
      </c>
      <c r="F2359" s="1405" t="s">
        <v>7</v>
      </c>
      <c r="G2359" s="1405" t="s">
        <v>115</v>
      </c>
      <c r="H2359" s="1405" t="s">
        <v>3456</v>
      </c>
    </row>
    <row r="2360" spans="1:8" x14ac:dyDescent="0.25">
      <c r="A2360" s="1405" t="s">
        <v>69</v>
      </c>
      <c r="B2360" s="1405"/>
      <c r="C2360" s="1405" t="s">
        <v>5172</v>
      </c>
      <c r="D2360" s="1405">
        <v>2</v>
      </c>
      <c r="E2360" s="1405">
        <v>1</v>
      </c>
      <c r="F2360" s="1405" t="s">
        <v>7</v>
      </c>
      <c r="G2360" s="1405" t="s">
        <v>115</v>
      </c>
      <c r="H2360" s="1405" t="s">
        <v>3456</v>
      </c>
    </row>
    <row r="2361" spans="1:8" x14ac:dyDescent="0.25">
      <c r="A2361" s="1405" t="s">
        <v>69</v>
      </c>
      <c r="B2361" s="1405"/>
      <c r="C2361" s="1405" t="s">
        <v>5173</v>
      </c>
      <c r="D2361" s="1405">
        <v>2</v>
      </c>
      <c r="E2361" s="1405">
        <v>1</v>
      </c>
      <c r="F2361" s="1405" t="s">
        <v>7</v>
      </c>
      <c r="G2361" s="1405" t="s">
        <v>115</v>
      </c>
      <c r="H2361" s="1405" t="s">
        <v>3456</v>
      </c>
    </row>
    <row r="2362" spans="1:8" x14ac:dyDescent="0.25">
      <c r="A2362" s="1405" t="s">
        <v>69</v>
      </c>
      <c r="B2362" s="1405"/>
      <c r="C2362" s="1405" t="s">
        <v>5174</v>
      </c>
      <c r="D2362" s="1405">
        <v>2</v>
      </c>
      <c r="E2362" s="1405">
        <v>1</v>
      </c>
      <c r="F2362" s="1405" t="s">
        <v>7</v>
      </c>
      <c r="G2362" s="1405" t="s">
        <v>115</v>
      </c>
      <c r="H2362" s="1405" t="s">
        <v>3456</v>
      </c>
    </row>
    <row r="2363" spans="1:8" x14ac:dyDescent="0.25">
      <c r="A2363" s="1405" t="s">
        <v>69</v>
      </c>
      <c r="B2363" s="1405"/>
      <c r="C2363" s="1405" t="s">
        <v>5175</v>
      </c>
      <c r="D2363" s="1405">
        <v>2</v>
      </c>
      <c r="E2363" s="1405">
        <v>1</v>
      </c>
      <c r="F2363" s="1405" t="s">
        <v>7</v>
      </c>
      <c r="G2363" s="1405" t="s">
        <v>115</v>
      </c>
      <c r="H2363" s="1405" t="s">
        <v>3456</v>
      </c>
    </row>
    <row r="2364" spans="1:8" x14ac:dyDescent="0.25">
      <c r="A2364" s="1405" t="s">
        <v>69</v>
      </c>
      <c r="B2364" s="1405"/>
      <c r="C2364" s="1405" t="s">
        <v>5176</v>
      </c>
      <c r="D2364" s="1405">
        <v>2</v>
      </c>
      <c r="E2364" s="1405">
        <v>1</v>
      </c>
      <c r="F2364" s="1405" t="s">
        <v>7</v>
      </c>
      <c r="G2364" s="1405" t="s">
        <v>115</v>
      </c>
      <c r="H2364" s="1405" t="s">
        <v>3456</v>
      </c>
    </row>
    <row r="2365" spans="1:8" x14ac:dyDescent="0.25">
      <c r="A2365" s="1405" t="s">
        <v>69</v>
      </c>
      <c r="B2365" s="1405"/>
      <c r="C2365" s="1405" t="s">
        <v>5177</v>
      </c>
      <c r="D2365" s="1405">
        <v>2</v>
      </c>
      <c r="E2365" s="1405">
        <v>1</v>
      </c>
      <c r="F2365" s="1405" t="s">
        <v>7</v>
      </c>
      <c r="G2365" s="1405" t="s">
        <v>115</v>
      </c>
      <c r="H2365" s="1405" t="s">
        <v>3456</v>
      </c>
    </row>
    <row r="2366" spans="1:8" x14ac:dyDescent="0.25">
      <c r="A2366" s="1405" t="s">
        <v>69</v>
      </c>
      <c r="B2366" s="1405"/>
      <c r="C2366" s="1405" t="s">
        <v>5178</v>
      </c>
      <c r="D2366" s="1405">
        <v>2</v>
      </c>
      <c r="E2366" s="1405">
        <v>1</v>
      </c>
      <c r="F2366" s="1405" t="s">
        <v>7</v>
      </c>
      <c r="G2366" s="1405" t="s">
        <v>115</v>
      </c>
      <c r="H2366" s="1405" t="s">
        <v>3456</v>
      </c>
    </row>
    <row r="2367" spans="1:8" x14ac:dyDescent="0.25">
      <c r="A2367" s="1405" t="s">
        <v>69</v>
      </c>
      <c r="B2367" s="1405"/>
      <c r="C2367" s="1405" t="s">
        <v>5179</v>
      </c>
      <c r="D2367" s="1405">
        <v>2</v>
      </c>
      <c r="E2367" s="1405">
        <v>1</v>
      </c>
      <c r="F2367" s="1405" t="s">
        <v>7</v>
      </c>
      <c r="G2367" s="1405" t="s">
        <v>115</v>
      </c>
      <c r="H2367" s="1405" t="s">
        <v>3456</v>
      </c>
    </row>
    <row r="2368" spans="1:8" x14ac:dyDescent="0.25">
      <c r="A2368" s="1405" t="s">
        <v>69</v>
      </c>
      <c r="B2368" s="1405"/>
      <c r="C2368" s="1405" t="s">
        <v>5180</v>
      </c>
      <c r="D2368" s="1405">
        <v>2</v>
      </c>
      <c r="E2368" s="1405">
        <v>1</v>
      </c>
      <c r="F2368" s="1405" t="s">
        <v>7</v>
      </c>
      <c r="G2368" s="1405" t="s">
        <v>115</v>
      </c>
      <c r="H2368" s="1405" t="s">
        <v>3456</v>
      </c>
    </row>
    <row r="2369" spans="1:8" x14ac:dyDescent="0.25">
      <c r="A2369" s="1405" t="s">
        <v>69</v>
      </c>
      <c r="B2369" s="1405"/>
      <c r="C2369" s="1405" t="s">
        <v>5181</v>
      </c>
      <c r="D2369" s="1405">
        <v>2</v>
      </c>
      <c r="E2369" s="1405">
        <v>1</v>
      </c>
      <c r="F2369" s="1405" t="s">
        <v>7</v>
      </c>
      <c r="G2369" s="1405" t="s">
        <v>115</v>
      </c>
      <c r="H2369" s="1405" t="s">
        <v>3456</v>
      </c>
    </row>
    <row r="2370" spans="1:8" x14ac:dyDescent="0.25">
      <c r="A2370" s="1405" t="s">
        <v>69</v>
      </c>
      <c r="B2370" s="1405"/>
      <c r="C2370" s="1405" t="s">
        <v>5182</v>
      </c>
      <c r="D2370" s="1405">
        <v>2</v>
      </c>
      <c r="E2370" s="1405">
        <v>1</v>
      </c>
      <c r="F2370" s="1405" t="s">
        <v>7</v>
      </c>
      <c r="G2370" s="1405" t="s">
        <v>115</v>
      </c>
      <c r="H2370" s="1405" t="s">
        <v>3456</v>
      </c>
    </row>
    <row r="2371" spans="1:8" x14ac:dyDescent="0.25">
      <c r="A2371" s="1405" t="s">
        <v>69</v>
      </c>
      <c r="B2371" s="1405"/>
      <c r="C2371" s="1405" t="s">
        <v>5183</v>
      </c>
      <c r="D2371" s="1405">
        <v>2</v>
      </c>
      <c r="E2371" s="1405">
        <v>1</v>
      </c>
      <c r="F2371" s="1405" t="s">
        <v>7</v>
      </c>
      <c r="G2371" s="1405" t="s">
        <v>115</v>
      </c>
      <c r="H2371" s="1405" t="s">
        <v>3456</v>
      </c>
    </row>
    <row r="2372" spans="1:8" x14ac:dyDescent="0.25">
      <c r="A2372" s="1405" t="s">
        <v>69</v>
      </c>
      <c r="B2372" s="1405"/>
      <c r="C2372" s="1405" t="s">
        <v>5184</v>
      </c>
      <c r="D2372" s="1405">
        <v>2</v>
      </c>
      <c r="E2372" s="1405">
        <v>1</v>
      </c>
      <c r="F2372" s="1405" t="s">
        <v>7</v>
      </c>
      <c r="G2372" s="1405" t="s">
        <v>115</v>
      </c>
      <c r="H2372" s="1405" t="s">
        <v>3456</v>
      </c>
    </row>
    <row r="2373" spans="1:8" x14ac:dyDescent="0.25">
      <c r="A2373" s="1405" t="s">
        <v>69</v>
      </c>
      <c r="B2373" s="1405"/>
      <c r="C2373" s="1405" t="s">
        <v>5185</v>
      </c>
      <c r="D2373" s="1405">
        <v>2</v>
      </c>
      <c r="E2373" s="1405">
        <v>1</v>
      </c>
      <c r="F2373" s="1405" t="s">
        <v>7</v>
      </c>
      <c r="G2373" s="1405" t="s">
        <v>115</v>
      </c>
      <c r="H2373" s="1405" t="s">
        <v>3456</v>
      </c>
    </row>
    <row r="2374" spans="1:8" x14ac:dyDescent="0.25">
      <c r="A2374" s="1405" t="s">
        <v>69</v>
      </c>
      <c r="B2374" s="1405"/>
      <c r="C2374" s="1405" t="s">
        <v>20</v>
      </c>
      <c r="D2374" s="1405">
        <v>2</v>
      </c>
      <c r="E2374" s="1405">
        <v>1</v>
      </c>
      <c r="F2374" s="1405" t="s">
        <v>7</v>
      </c>
      <c r="G2374" s="1405" t="s">
        <v>115</v>
      </c>
      <c r="H2374" s="1405" t="s">
        <v>3456</v>
      </c>
    </row>
    <row r="2375" spans="1:8" x14ac:dyDescent="0.25">
      <c r="A2375" s="1405" t="s">
        <v>69</v>
      </c>
      <c r="B2375" s="1405"/>
      <c r="C2375" s="1405" t="s">
        <v>5186</v>
      </c>
      <c r="D2375" s="1405">
        <v>2</v>
      </c>
      <c r="E2375" s="1405">
        <v>1</v>
      </c>
      <c r="F2375" s="1405" t="s">
        <v>7</v>
      </c>
      <c r="G2375" s="1405" t="s">
        <v>115</v>
      </c>
      <c r="H2375" s="1405" t="s">
        <v>3456</v>
      </c>
    </row>
    <row r="2376" spans="1:8" x14ac:dyDescent="0.25">
      <c r="A2376" s="1405" t="s">
        <v>69</v>
      </c>
      <c r="B2376" s="1405"/>
      <c r="C2376" s="1405" t="s">
        <v>5187</v>
      </c>
      <c r="D2376" s="1405">
        <v>2</v>
      </c>
      <c r="E2376" s="1405">
        <v>1</v>
      </c>
      <c r="F2376" s="1405" t="s">
        <v>7</v>
      </c>
      <c r="G2376" s="1405" t="s">
        <v>115</v>
      </c>
      <c r="H2376" s="1405" t="s">
        <v>3456</v>
      </c>
    </row>
    <row r="2377" spans="1:8" x14ac:dyDescent="0.25">
      <c r="A2377" s="1405" t="s">
        <v>69</v>
      </c>
      <c r="B2377" s="1405"/>
      <c r="C2377" s="1405" t="s">
        <v>5188</v>
      </c>
      <c r="D2377" s="1405">
        <v>2</v>
      </c>
      <c r="E2377" s="1405">
        <v>1</v>
      </c>
      <c r="F2377" s="1405" t="s">
        <v>7</v>
      </c>
      <c r="G2377" s="1405" t="s">
        <v>115</v>
      </c>
      <c r="H2377" s="1405" t="s">
        <v>3456</v>
      </c>
    </row>
    <row r="2378" spans="1:8" x14ac:dyDescent="0.25">
      <c r="A2378" s="1405" t="s">
        <v>69</v>
      </c>
      <c r="B2378" s="1405"/>
      <c r="C2378" s="1405" t="s">
        <v>5189</v>
      </c>
      <c r="D2378" s="1405">
        <v>2</v>
      </c>
      <c r="E2378" s="1405">
        <v>1</v>
      </c>
      <c r="F2378" s="1405" t="s">
        <v>7</v>
      </c>
      <c r="G2378" s="1405" t="s">
        <v>115</v>
      </c>
      <c r="H2378" s="1405" t="s">
        <v>3456</v>
      </c>
    </row>
    <row r="2379" spans="1:8" x14ac:dyDescent="0.25">
      <c r="A2379" s="1405" t="s">
        <v>69</v>
      </c>
      <c r="B2379" s="1405"/>
      <c r="C2379" s="1405" t="s">
        <v>5190</v>
      </c>
      <c r="D2379" s="1405">
        <v>2</v>
      </c>
      <c r="E2379" s="1405">
        <v>1</v>
      </c>
      <c r="F2379" s="1405" t="s">
        <v>7</v>
      </c>
      <c r="G2379" s="1405" t="s">
        <v>115</v>
      </c>
      <c r="H2379" s="1405" t="s">
        <v>3456</v>
      </c>
    </row>
    <row r="2380" spans="1:8" x14ac:dyDescent="0.25">
      <c r="A2380" s="1405" t="s">
        <v>69</v>
      </c>
      <c r="B2380" s="1405"/>
      <c r="C2380" s="1405" t="s">
        <v>5191</v>
      </c>
      <c r="D2380" s="1405">
        <v>2</v>
      </c>
      <c r="E2380" s="1405">
        <v>1</v>
      </c>
      <c r="F2380" s="1405" t="s">
        <v>7</v>
      </c>
      <c r="G2380" s="1405" t="s">
        <v>115</v>
      </c>
      <c r="H2380" s="1405" t="s">
        <v>3456</v>
      </c>
    </row>
    <row r="2381" spans="1:8" x14ac:dyDescent="0.25">
      <c r="A2381" s="1405" t="s">
        <v>69</v>
      </c>
      <c r="B2381" s="1405"/>
      <c r="C2381" s="1405" t="s">
        <v>5192</v>
      </c>
      <c r="D2381" s="1405">
        <v>2</v>
      </c>
      <c r="E2381" s="1405">
        <v>1</v>
      </c>
      <c r="F2381" s="1405" t="s">
        <v>7</v>
      </c>
      <c r="G2381" s="1405" t="s">
        <v>115</v>
      </c>
      <c r="H2381" s="1405" t="s">
        <v>3456</v>
      </c>
    </row>
    <row r="2382" spans="1:8" x14ac:dyDescent="0.25">
      <c r="A2382" s="1405" t="s">
        <v>69</v>
      </c>
      <c r="B2382" s="1405"/>
      <c r="C2382" s="1405" t="s">
        <v>5193</v>
      </c>
      <c r="D2382" s="1405">
        <v>2</v>
      </c>
      <c r="E2382" s="1405">
        <v>1</v>
      </c>
      <c r="F2382" s="1405" t="s">
        <v>7</v>
      </c>
      <c r="G2382" s="1405" t="s">
        <v>115</v>
      </c>
      <c r="H2382" s="1405" t="s">
        <v>3456</v>
      </c>
    </row>
    <row r="2383" spans="1:8" x14ac:dyDescent="0.25">
      <c r="A2383" s="1405" t="s">
        <v>69</v>
      </c>
      <c r="B2383" s="1405"/>
      <c r="C2383" s="1405" t="s">
        <v>5194</v>
      </c>
      <c r="D2383" s="1405">
        <v>2</v>
      </c>
      <c r="E2383" s="1405">
        <v>1</v>
      </c>
      <c r="F2383" s="1405" t="s">
        <v>7</v>
      </c>
      <c r="G2383" s="1405" t="s">
        <v>115</v>
      </c>
      <c r="H2383" s="1405" t="s">
        <v>3456</v>
      </c>
    </row>
    <row r="2384" spans="1:8" x14ac:dyDescent="0.25">
      <c r="A2384" s="1405" t="s">
        <v>69</v>
      </c>
      <c r="B2384" s="1405"/>
      <c r="C2384" s="1405" t="s">
        <v>5195</v>
      </c>
      <c r="D2384" s="1405">
        <v>2</v>
      </c>
      <c r="E2384" s="1405">
        <v>1</v>
      </c>
      <c r="F2384" s="1405" t="s">
        <v>7</v>
      </c>
      <c r="G2384" s="1405" t="s">
        <v>115</v>
      </c>
      <c r="H2384" s="1405" t="s">
        <v>3456</v>
      </c>
    </row>
    <row r="2385" spans="1:8" x14ac:dyDescent="0.25">
      <c r="A2385" s="1405" t="s">
        <v>69</v>
      </c>
      <c r="B2385" s="1405"/>
      <c r="C2385" s="1405" t="s">
        <v>5196</v>
      </c>
      <c r="D2385" s="1405">
        <v>2</v>
      </c>
      <c r="E2385" s="1405">
        <v>1</v>
      </c>
      <c r="F2385" s="1405" t="s">
        <v>7</v>
      </c>
      <c r="G2385" s="1405" t="s">
        <v>115</v>
      </c>
      <c r="H2385" s="1405" t="s">
        <v>3456</v>
      </c>
    </row>
    <row r="2386" spans="1:8" x14ac:dyDescent="0.25">
      <c r="A2386" s="1405" t="s">
        <v>69</v>
      </c>
      <c r="B2386" s="1405"/>
      <c r="C2386" s="1405" t="s">
        <v>5197</v>
      </c>
      <c r="D2386" s="1405">
        <v>2</v>
      </c>
      <c r="E2386" s="1405">
        <v>1</v>
      </c>
      <c r="F2386" s="1405" t="s">
        <v>7</v>
      </c>
      <c r="G2386" s="1405" t="s">
        <v>115</v>
      </c>
      <c r="H2386" s="1405" t="s">
        <v>3456</v>
      </c>
    </row>
    <row r="2387" spans="1:8" x14ac:dyDescent="0.25">
      <c r="A2387" s="1405" t="s">
        <v>69</v>
      </c>
      <c r="B2387" s="1405"/>
      <c r="C2387" s="1405" t="s">
        <v>5198</v>
      </c>
      <c r="D2387" s="1405">
        <v>2</v>
      </c>
      <c r="E2387" s="1405">
        <v>1</v>
      </c>
      <c r="F2387" s="1405" t="s">
        <v>7</v>
      </c>
      <c r="G2387" s="1405" t="s">
        <v>115</v>
      </c>
      <c r="H2387" s="1405" t="s">
        <v>3456</v>
      </c>
    </row>
    <row r="2388" spans="1:8" x14ac:dyDescent="0.25">
      <c r="A2388" s="1405" t="s">
        <v>69</v>
      </c>
      <c r="B2388" s="1405"/>
      <c r="C2388" s="1405" t="s">
        <v>5199</v>
      </c>
      <c r="D2388" s="1405">
        <v>2</v>
      </c>
      <c r="E2388" s="1405">
        <v>1</v>
      </c>
      <c r="F2388" s="1405" t="s">
        <v>7</v>
      </c>
      <c r="G2388" s="1405" t="s">
        <v>115</v>
      </c>
      <c r="H2388" s="1405" t="s">
        <v>3456</v>
      </c>
    </row>
    <row r="2389" spans="1:8" x14ac:dyDescent="0.25">
      <c r="A2389" s="1405" t="s">
        <v>69</v>
      </c>
      <c r="B2389" s="1405"/>
      <c r="C2389" s="1405" t="s">
        <v>5200</v>
      </c>
      <c r="D2389" s="1405">
        <v>2</v>
      </c>
      <c r="E2389" s="1405">
        <v>1</v>
      </c>
      <c r="F2389" s="1405" t="s">
        <v>7</v>
      </c>
      <c r="G2389" s="1405" t="s">
        <v>115</v>
      </c>
      <c r="H2389" s="1405" t="s">
        <v>3456</v>
      </c>
    </row>
    <row r="2390" spans="1:8" x14ac:dyDescent="0.25">
      <c r="A2390" s="1405" t="s">
        <v>69</v>
      </c>
      <c r="B2390" s="1405"/>
      <c r="C2390" s="1405" t="s">
        <v>5201</v>
      </c>
      <c r="D2390" s="1405">
        <v>2</v>
      </c>
      <c r="E2390" s="1405">
        <v>1</v>
      </c>
      <c r="F2390" s="1405" t="s">
        <v>7</v>
      </c>
      <c r="G2390" s="1405" t="s">
        <v>115</v>
      </c>
      <c r="H2390" s="1405" t="s">
        <v>3456</v>
      </c>
    </row>
    <row r="2391" spans="1:8" x14ac:dyDescent="0.25">
      <c r="A2391" s="1405" t="s">
        <v>69</v>
      </c>
      <c r="B2391" s="1405"/>
      <c r="C2391" s="1405" t="s">
        <v>5202</v>
      </c>
      <c r="D2391" s="1405">
        <v>2</v>
      </c>
      <c r="E2391" s="1405">
        <v>1</v>
      </c>
      <c r="F2391" s="1405" t="s">
        <v>7</v>
      </c>
      <c r="G2391" s="1405" t="s">
        <v>115</v>
      </c>
      <c r="H2391" s="1405" t="s">
        <v>3456</v>
      </c>
    </row>
    <row r="2392" spans="1:8" x14ac:dyDescent="0.25">
      <c r="A2392" s="1405" t="s">
        <v>69</v>
      </c>
      <c r="B2392" s="1405"/>
      <c r="C2392" s="1405" t="s">
        <v>5203</v>
      </c>
      <c r="D2392" s="1405">
        <v>2</v>
      </c>
      <c r="E2392" s="1405">
        <v>1</v>
      </c>
      <c r="F2392" s="1405" t="s">
        <v>7</v>
      </c>
      <c r="G2392" s="1405" t="s">
        <v>115</v>
      </c>
      <c r="H2392" s="1405" t="s">
        <v>3456</v>
      </c>
    </row>
    <row r="2393" spans="1:8" x14ac:dyDescent="0.25">
      <c r="A2393" s="1405" t="s">
        <v>69</v>
      </c>
      <c r="B2393" s="1405"/>
      <c r="C2393" s="1405" t="s">
        <v>5204</v>
      </c>
      <c r="D2393" s="1405">
        <v>2</v>
      </c>
      <c r="E2393" s="1405">
        <v>1</v>
      </c>
      <c r="F2393" s="1405" t="s">
        <v>7</v>
      </c>
      <c r="G2393" s="1405" t="s">
        <v>115</v>
      </c>
      <c r="H2393" s="1405" t="s">
        <v>3456</v>
      </c>
    </row>
    <row r="2394" spans="1:8" x14ac:dyDescent="0.25">
      <c r="A2394" s="1405" t="s">
        <v>69</v>
      </c>
      <c r="B2394" s="1405"/>
      <c r="C2394" s="1405" t="s">
        <v>5205</v>
      </c>
      <c r="D2394" s="1405">
        <v>2</v>
      </c>
      <c r="E2394" s="1405">
        <v>1</v>
      </c>
      <c r="F2394" s="1405" t="s">
        <v>7</v>
      </c>
      <c r="G2394" s="1405" t="s">
        <v>115</v>
      </c>
      <c r="H2394" s="1405" t="s">
        <v>3456</v>
      </c>
    </row>
    <row r="2395" spans="1:8" x14ac:dyDescent="0.25">
      <c r="A2395" s="1405" t="s">
        <v>69</v>
      </c>
      <c r="B2395" s="1405"/>
      <c r="C2395" s="1405" t="s">
        <v>5206</v>
      </c>
      <c r="D2395" s="1405">
        <v>2</v>
      </c>
      <c r="E2395" s="1405">
        <v>1</v>
      </c>
      <c r="F2395" s="1405" t="s">
        <v>7</v>
      </c>
      <c r="G2395" s="1405" t="s">
        <v>115</v>
      </c>
      <c r="H2395" s="1405" t="s">
        <v>3456</v>
      </c>
    </row>
    <row r="2396" spans="1:8" x14ac:dyDescent="0.25">
      <c r="A2396" s="1405" t="s">
        <v>69</v>
      </c>
      <c r="B2396" s="1405"/>
      <c r="C2396" s="1405" t="s">
        <v>5207</v>
      </c>
      <c r="D2396" s="1405">
        <v>2</v>
      </c>
      <c r="E2396" s="1405">
        <v>1</v>
      </c>
      <c r="F2396" s="1405" t="s">
        <v>7</v>
      </c>
      <c r="G2396" s="1405" t="s">
        <v>115</v>
      </c>
      <c r="H2396" s="1405" t="s">
        <v>3456</v>
      </c>
    </row>
    <row r="2397" spans="1:8" x14ac:dyDescent="0.25">
      <c r="A2397" s="1405" t="s">
        <v>69</v>
      </c>
      <c r="B2397" s="1405"/>
      <c r="C2397" s="1405" t="s">
        <v>5208</v>
      </c>
      <c r="D2397" s="1405">
        <v>2</v>
      </c>
      <c r="E2397" s="1405">
        <v>1</v>
      </c>
      <c r="F2397" s="1405" t="s">
        <v>7</v>
      </c>
      <c r="G2397" s="1405" t="s">
        <v>115</v>
      </c>
      <c r="H2397" s="1405" t="s">
        <v>3456</v>
      </c>
    </row>
    <row r="2398" spans="1:8" x14ac:dyDescent="0.25">
      <c r="A2398" s="1405" t="s">
        <v>69</v>
      </c>
      <c r="B2398" s="1405"/>
      <c r="C2398" s="1405" t="s">
        <v>5209</v>
      </c>
      <c r="D2398" s="1405">
        <v>2</v>
      </c>
      <c r="E2398" s="1405">
        <v>1</v>
      </c>
      <c r="F2398" s="1405" t="s">
        <v>7</v>
      </c>
      <c r="G2398" s="1405" t="s">
        <v>115</v>
      </c>
      <c r="H2398" s="1405" t="s">
        <v>3456</v>
      </c>
    </row>
    <row r="2399" spans="1:8" x14ac:dyDescent="0.25">
      <c r="A2399" s="1405" t="s">
        <v>69</v>
      </c>
      <c r="B2399" s="1405"/>
      <c r="C2399" s="1405" t="s">
        <v>5210</v>
      </c>
      <c r="D2399" s="1405">
        <v>2</v>
      </c>
      <c r="E2399" s="1405">
        <v>1</v>
      </c>
      <c r="F2399" s="1405" t="s">
        <v>7</v>
      </c>
      <c r="G2399" s="1405" t="s">
        <v>115</v>
      </c>
      <c r="H2399" s="1405" t="s">
        <v>3456</v>
      </c>
    </row>
    <row r="2400" spans="1:8" x14ac:dyDescent="0.25">
      <c r="A2400" s="1405" t="s">
        <v>69</v>
      </c>
      <c r="B2400" s="1405"/>
      <c r="C2400" s="1405" t="s">
        <v>5211</v>
      </c>
      <c r="D2400" s="1405">
        <v>2</v>
      </c>
      <c r="E2400" s="1405">
        <v>1</v>
      </c>
      <c r="F2400" s="1405" t="s">
        <v>7</v>
      </c>
      <c r="G2400" s="1405" t="s">
        <v>115</v>
      </c>
      <c r="H2400" s="1405" t="s">
        <v>3456</v>
      </c>
    </row>
    <row r="2401" spans="1:8" x14ac:dyDescent="0.25">
      <c r="A2401" s="1405" t="s">
        <v>69</v>
      </c>
      <c r="B2401" s="1405"/>
      <c r="C2401" s="1405" t="s">
        <v>5212</v>
      </c>
      <c r="D2401" s="1405">
        <v>2</v>
      </c>
      <c r="E2401" s="1405">
        <v>1</v>
      </c>
      <c r="F2401" s="1405" t="s">
        <v>7</v>
      </c>
      <c r="G2401" s="1405" t="s">
        <v>115</v>
      </c>
      <c r="H2401" s="1405" t="s">
        <v>3456</v>
      </c>
    </row>
    <row r="2402" spans="1:8" x14ac:dyDescent="0.25">
      <c r="A2402" s="1405" t="s">
        <v>69</v>
      </c>
      <c r="B2402" s="1405"/>
      <c r="C2402" s="1405" t="s">
        <v>5213</v>
      </c>
      <c r="D2402" s="1405">
        <v>2</v>
      </c>
      <c r="E2402" s="1405">
        <v>1</v>
      </c>
      <c r="F2402" s="1405" t="s">
        <v>7</v>
      </c>
      <c r="G2402" s="1405" t="s">
        <v>115</v>
      </c>
      <c r="H2402" s="1405" t="s">
        <v>3456</v>
      </c>
    </row>
    <row r="2403" spans="1:8" x14ac:dyDescent="0.25">
      <c r="A2403" s="1405" t="s">
        <v>69</v>
      </c>
      <c r="B2403" s="1405"/>
      <c r="C2403" s="1405" t="s">
        <v>5214</v>
      </c>
      <c r="D2403" s="1405">
        <v>2</v>
      </c>
      <c r="E2403" s="1405">
        <v>1</v>
      </c>
      <c r="F2403" s="1405" t="s">
        <v>7</v>
      </c>
      <c r="G2403" s="1405" t="s">
        <v>115</v>
      </c>
      <c r="H2403" s="1405" t="s">
        <v>3456</v>
      </c>
    </row>
    <row r="2404" spans="1:8" x14ac:dyDescent="0.25">
      <c r="A2404" s="1405" t="s">
        <v>69</v>
      </c>
      <c r="B2404" s="1405"/>
      <c r="C2404" s="1405" t="s">
        <v>5215</v>
      </c>
      <c r="D2404" s="1405">
        <v>2</v>
      </c>
      <c r="E2404" s="1405">
        <v>1</v>
      </c>
      <c r="F2404" s="1405" t="s">
        <v>7</v>
      </c>
      <c r="G2404" s="1405" t="s">
        <v>115</v>
      </c>
      <c r="H2404" s="1405" t="s">
        <v>3456</v>
      </c>
    </row>
    <row r="2405" spans="1:8" x14ac:dyDescent="0.25">
      <c r="A2405" s="1405" t="s">
        <v>69</v>
      </c>
      <c r="B2405" s="1405"/>
      <c r="C2405" s="1405" t="s">
        <v>5216</v>
      </c>
      <c r="D2405" s="1405">
        <v>2</v>
      </c>
      <c r="E2405" s="1405">
        <v>1</v>
      </c>
      <c r="F2405" s="1405" t="s">
        <v>7</v>
      </c>
      <c r="G2405" s="1405" t="s">
        <v>115</v>
      </c>
      <c r="H2405" s="1405" t="s">
        <v>3456</v>
      </c>
    </row>
    <row r="2406" spans="1:8" x14ac:dyDescent="0.25">
      <c r="A2406" s="1405" t="s">
        <v>69</v>
      </c>
      <c r="B2406" s="1405"/>
      <c r="C2406" s="1405" t="s">
        <v>5217</v>
      </c>
      <c r="D2406" s="1405">
        <v>2</v>
      </c>
      <c r="E2406" s="1405">
        <v>1</v>
      </c>
      <c r="F2406" s="1405" t="s">
        <v>7</v>
      </c>
      <c r="G2406" s="1405" t="s">
        <v>115</v>
      </c>
      <c r="H2406" s="1405" t="s">
        <v>3456</v>
      </c>
    </row>
    <row r="2407" spans="1:8" x14ac:dyDescent="0.25">
      <c r="A2407" s="1405" t="s">
        <v>69</v>
      </c>
      <c r="B2407" s="1405"/>
      <c r="C2407" s="1405" t="s">
        <v>5218</v>
      </c>
      <c r="D2407" s="1405">
        <v>2</v>
      </c>
      <c r="E2407" s="1405">
        <v>1</v>
      </c>
      <c r="F2407" s="1405" t="s">
        <v>7</v>
      </c>
      <c r="G2407" s="1405" t="s">
        <v>115</v>
      </c>
      <c r="H2407" s="1405" t="s">
        <v>3456</v>
      </c>
    </row>
    <row r="2408" spans="1:8" x14ac:dyDescent="0.25">
      <c r="A2408" s="1405" t="s">
        <v>69</v>
      </c>
      <c r="B2408" s="1405"/>
      <c r="C2408" s="1405" t="s">
        <v>5219</v>
      </c>
      <c r="D2408" s="1405">
        <v>2</v>
      </c>
      <c r="E2408" s="1405">
        <v>1</v>
      </c>
      <c r="F2408" s="1405" t="s">
        <v>7</v>
      </c>
      <c r="G2408" s="1405" t="s">
        <v>115</v>
      </c>
      <c r="H2408" s="1405" t="s">
        <v>3456</v>
      </c>
    </row>
    <row r="2409" spans="1:8" x14ac:dyDescent="0.25">
      <c r="A2409" s="1405" t="s">
        <v>69</v>
      </c>
      <c r="B2409" s="1405"/>
      <c r="C2409" s="1405" t="s">
        <v>5220</v>
      </c>
      <c r="D2409" s="1405">
        <v>2</v>
      </c>
      <c r="E2409" s="1405">
        <v>1</v>
      </c>
      <c r="F2409" s="1405" t="s">
        <v>7</v>
      </c>
      <c r="G2409" s="1405" t="s">
        <v>115</v>
      </c>
      <c r="H2409" s="1405" t="s">
        <v>3456</v>
      </c>
    </row>
    <row r="2410" spans="1:8" x14ac:dyDescent="0.25">
      <c r="A2410" s="1405" t="s">
        <v>69</v>
      </c>
      <c r="B2410" s="1405"/>
      <c r="C2410" s="1405" t="s">
        <v>5221</v>
      </c>
      <c r="D2410" s="1405">
        <v>2</v>
      </c>
      <c r="E2410" s="1405">
        <v>1</v>
      </c>
      <c r="F2410" s="1405" t="s">
        <v>7</v>
      </c>
      <c r="G2410" s="1405" t="s">
        <v>115</v>
      </c>
      <c r="H2410" s="1405" t="s">
        <v>3456</v>
      </c>
    </row>
    <row r="2411" spans="1:8" x14ac:dyDescent="0.25">
      <c r="A2411" s="1405" t="s">
        <v>69</v>
      </c>
      <c r="B2411" s="1405"/>
      <c r="C2411" s="1405" t="s">
        <v>5222</v>
      </c>
      <c r="D2411" s="1405">
        <v>2</v>
      </c>
      <c r="E2411" s="1405">
        <v>1</v>
      </c>
      <c r="F2411" s="1405" t="s">
        <v>7</v>
      </c>
      <c r="G2411" s="1405" t="s">
        <v>115</v>
      </c>
      <c r="H2411" s="1405" t="s">
        <v>3456</v>
      </c>
    </row>
    <row r="2412" spans="1:8" x14ac:dyDescent="0.25">
      <c r="A2412" s="1405" t="s">
        <v>69</v>
      </c>
      <c r="B2412" s="1405"/>
      <c r="C2412" s="1405" t="s">
        <v>5223</v>
      </c>
      <c r="D2412" s="1405">
        <v>2</v>
      </c>
      <c r="E2412" s="1405">
        <v>1</v>
      </c>
      <c r="F2412" s="1405" t="s">
        <v>7</v>
      </c>
      <c r="G2412" s="1405" t="s">
        <v>115</v>
      </c>
      <c r="H2412" s="1405" t="s">
        <v>3456</v>
      </c>
    </row>
    <row r="2413" spans="1:8" x14ac:dyDescent="0.25">
      <c r="A2413" s="1405" t="s">
        <v>69</v>
      </c>
      <c r="B2413" s="1405"/>
      <c r="C2413" s="1405" t="s">
        <v>5224</v>
      </c>
      <c r="D2413" s="1405">
        <v>2</v>
      </c>
      <c r="E2413" s="1405">
        <v>1</v>
      </c>
      <c r="F2413" s="1405" t="s">
        <v>7</v>
      </c>
      <c r="G2413" s="1405" t="s">
        <v>115</v>
      </c>
      <c r="H2413" s="1405" t="s">
        <v>3456</v>
      </c>
    </row>
    <row r="2414" spans="1:8" x14ac:dyDescent="0.25">
      <c r="A2414" s="1405" t="s">
        <v>69</v>
      </c>
      <c r="B2414" s="1405"/>
      <c r="C2414" s="1405" t="s">
        <v>5225</v>
      </c>
      <c r="D2414" s="1405">
        <v>2</v>
      </c>
      <c r="E2414" s="1405">
        <v>1</v>
      </c>
      <c r="F2414" s="1405" t="s">
        <v>7</v>
      </c>
      <c r="G2414" s="1405" t="s">
        <v>115</v>
      </c>
      <c r="H2414" s="1405" t="s">
        <v>3456</v>
      </c>
    </row>
    <row r="2415" spans="1:8" x14ac:dyDescent="0.25">
      <c r="A2415" s="1405" t="s">
        <v>69</v>
      </c>
      <c r="B2415" s="1405"/>
      <c r="C2415" s="1405" t="s">
        <v>5226</v>
      </c>
      <c r="D2415" s="1405">
        <v>2</v>
      </c>
      <c r="E2415" s="1405">
        <v>1</v>
      </c>
      <c r="F2415" s="1405" t="s">
        <v>7</v>
      </c>
      <c r="G2415" s="1405" t="s">
        <v>115</v>
      </c>
      <c r="H2415" s="1405" t="s">
        <v>3456</v>
      </c>
    </row>
    <row r="2416" spans="1:8" x14ac:dyDescent="0.25">
      <c r="A2416" s="1405" t="s">
        <v>69</v>
      </c>
      <c r="B2416" s="1405"/>
      <c r="C2416" s="1405" t="s">
        <v>5227</v>
      </c>
      <c r="D2416" s="1405">
        <v>2</v>
      </c>
      <c r="E2416" s="1405">
        <v>1</v>
      </c>
      <c r="F2416" s="1405" t="s">
        <v>7</v>
      </c>
      <c r="G2416" s="1405" t="s">
        <v>115</v>
      </c>
      <c r="H2416" s="1405" t="s">
        <v>3456</v>
      </c>
    </row>
    <row r="2417" spans="1:8" x14ac:dyDescent="0.25">
      <c r="A2417" s="1405" t="s">
        <v>69</v>
      </c>
      <c r="B2417" s="1405"/>
      <c r="C2417" s="1405" t="s">
        <v>5228</v>
      </c>
      <c r="D2417" s="1405">
        <v>2</v>
      </c>
      <c r="E2417" s="1405">
        <v>1</v>
      </c>
      <c r="F2417" s="1405" t="s">
        <v>7</v>
      </c>
      <c r="G2417" s="1405" t="s">
        <v>115</v>
      </c>
      <c r="H2417" s="1405" t="s">
        <v>3456</v>
      </c>
    </row>
    <row r="2418" spans="1:8" x14ac:dyDescent="0.25">
      <c r="A2418" s="1405" t="s">
        <v>69</v>
      </c>
      <c r="B2418" s="1405"/>
      <c r="C2418" s="1405" t="s">
        <v>5229</v>
      </c>
      <c r="D2418" s="1405">
        <v>2</v>
      </c>
      <c r="E2418" s="1405">
        <v>1</v>
      </c>
      <c r="F2418" s="1405" t="s">
        <v>7</v>
      </c>
      <c r="G2418" s="1405" t="s">
        <v>115</v>
      </c>
      <c r="H2418" s="1405" t="s">
        <v>3456</v>
      </c>
    </row>
    <row r="2419" spans="1:8" x14ac:dyDescent="0.25">
      <c r="A2419" s="1405" t="s">
        <v>69</v>
      </c>
      <c r="B2419" s="1405"/>
      <c r="C2419" s="1405" t="s">
        <v>5230</v>
      </c>
      <c r="D2419" s="1405">
        <v>2</v>
      </c>
      <c r="E2419" s="1405">
        <v>1</v>
      </c>
      <c r="F2419" s="1405" t="s">
        <v>7</v>
      </c>
      <c r="G2419" s="1405" t="s">
        <v>115</v>
      </c>
      <c r="H2419" s="1405" t="s">
        <v>3456</v>
      </c>
    </row>
    <row r="2420" spans="1:8" x14ac:dyDescent="0.25">
      <c r="A2420" s="1405" t="s">
        <v>69</v>
      </c>
      <c r="B2420" s="1405"/>
      <c r="C2420" s="1405" t="s">
        <v>5231</v>
      </c>
      <c r="D2420" s="1405">
        <v>2</v>
      </c>
      <c r="E2420" s="1405">
        <v>1</v>
      </c>
      <c r="F2420" s="1405" t="s">
        <v>7</v>
      </c>
      <c r="G2420" s="1405" t="s">
        <v>115</v>
      </c>
      <c r="H2420" s="1405" t="s">
        <v>3456</v>
      </c>
    </row>
    <row r="2421" spans="1:8" x14ac:dyDescent="0.25">
      <c r="A2421" s="1405" t="s">
        <v>69</v>
      </c>
      <c r="B2421" s="1405"/>
      <c r="C2421" s="1405" t="s">
        <v>5232</v>
      </c>
      <c r="D2421" s="1405">
        <v>2</v>
      </c>
      <c r="E2421" s="1405">
        <v>1</v>
      </c>
      <c r="F2421" s="1405" t="s">
        <v>7</v>
      </c>
      <c r="G2421" s="1405" t="s">
        <v>115</v>
      </c>
      <c r="H2421" s="1405" t="s">
        <v>3456</v>
      </c>
    </row>
    <row r="2422" spans="1:8" x14ac:dyDescent="0.25">
      <c r="A2422" s="1405" t="s">
        <v>69</v>
      </c>
      <c r="B2422" s="1405"/>
      <c r="C2422" s="1405" t="s">
        <v>5233</v>
      </c>
      <c r="D2422" s="1405">
        <v>2</v>
      </c>
      <c r="E2422" s="1405">
        <v>1</v>
      </c>
      <c r="F2422" s="1405" t="s">
        <v>7</v>
      </c>
      <c r="G2422" s="1405" t="s">
        <v>115</v>
      </c>
      <c r="H2422" s="1405" t="s">
        <v>3456</v>
      </c>
    </row>
    <row r="2423" spans="1:8" x14ac:dyDescent="0.25">
      <c r="A2423" s="1405" t="s">
        <v>69</v>
      </c>
      <c r="B2423" s="1405"/>
      <c r="C2423" s="1405" t="s">
        <v>5234</v>
      </c>
      <c r="D2423" s="1405">
        <v>2</v>
      </c>
      <c r="E2423" s="1405">
        <v>1</v>
      </c>
      <c r="F2423" s="1405" t="s">
        <v>7</v>
      </c>
      <c r="G2423" s="1405" t="s">
        <v>115</v>
      </c>
      <c r="H2423" s="1405" t="s">
        <v>3456</v>
      </c>
    </row>
    <row r="2424" spans="1:8" x14ac:dyDescent="0.25">
      <c r="A2424" s="1405" t="s">
        <v>69</v>
      </c>
      <c r="B2424" s="1405"/>
      <c r="C2424" s="1405" t="s">
        <v>5235</v>
      </c>
      <c r="D2424" s="1405">
        <v>2</v>
      </c>
      <c r="E2424" s="1405">
        <v>1</v>
      </c>
      <c r="F2424" s="1405" t="s">
        <v>7</v>
      </c>
      <c r="G2424" s="1405" t="s">
        <v>115</v>
      </c>
      <c r="H2424" s="1405" t="s">
        <v>3456</v>
      </c>
    </row>
    <row r="2425" spans="1:8" x14ac:dyDescent="0.25">
      <c r="A2425" t="s">
        <v>51</v>
      </c>
      <c r="B2425" t="s">
        <v>102</v>
      </c>
      <c r="C2425" t="s">
        <v>1939</v>
      </c>
      <c r="D2425">
        <v>3</v>
      </c>
      <c r="E2425" s="273">
        <v>5</v>
      </c>
      <c r="F2425" s="273" t="s">
        <v>7</v>
      </c>
      <c r="G2425" s="273" t="s">
        <v>11</v>
      </c>
      <c r="H2425" s="273" t="s">
        <v>11</v>
      </c>
    </row>
    <row r="2426" spans="1:8" x14ac:dyDescent="0.25">
      <c r="A2426" t="s">
        <v>51</v>
      </c>
      <c r="B2426" t="s">
        <v>102</v>
      </c>
      <c r="C2426" t="s">
        <v>1402</v>
      </c>
      <c r="D2426">
        <v>1</v>
      </c>
      <c r="E2426" s="273">
        <v>5</v>
      </c>
      <c r="F2426" s="273" t="s">
        <v>7</v>
      </c>
      <c r="G2426" s="273" t="s">
        <v>11</v>
      </c>
      <c r="H2426" s="273" t="s">
        <v>11</v>
      </c>
    </row>
    <row r="2427" spans="1:8" x14ac:dyDescent="0.25">
      <c r="A2427" t="s">
        <v>51</v>
      </c>
      <c r="B2427" t="s">
        <v>102</v>
      </c>
      <c r="C2427" t="s">
        <v>2524</v>
      </c>
      <c r="D2427">
        <v>2</v>
      </c>
      <c r="E2427" s="273">
        <v>5</v>
      </c>
      <c r="F2427" s="273" t="s">
        <v>7</v>
      </c>
      <c r="G2427" s="273" t="s">
        <v>11</v>
      </c>
      <c r="H2427" s="273" t="s">
        <v>11</v>
      </c>
    </row>
    <row r="2428" spans="1:8" x14ac:dyDescent="0.25">
      <c r="A2428" t="s">
        <v>51</v>
      </c>
      <c r="B2428" t="s">
        <v>102</v>
      </c>
      <c r="C2428" t="s">
        <v>2525</v>
      </c>
      <c r="D2428">
        <v>2</v>
      </c>
      <c r="E2428" s="273">
        <v>5</v>
      </c>
      <c r="F2428" s="273" t="s">
        <v>7</v>
      </c>
      <c r="G2428" s="273" t="s">
        <v>11</v>
      </c>
      <c r="H2428" s="273" t="s">
        <v>11</v>
      </c>
    </row>
    <row r="2429" spans="1:8" x14ac:dyDescent="0.25">
      <c r="A2429" t="s">
        <v>51</v>
      </c>
      <c r="B2429" t="s">
        <v>102</v>
      </c>
      <c r="C2429" t="s">
        <v>1178</v>
      </c>
      <c r="D2429">
        <v>1</v>
      </c>
      <c r="E2429" s="273">
        <v>5</v>
      </c>
      <c r="F2429" s="273" t="s">
        <v>7</v>
      </c>
      <c r="G2429" s="273" t="s">
        <v>11</v>
      </c>
      <c r="H2429" s="273" t="s">
        <v>11</v>
      </c>
    </row>
    <row r="2430" spans="1:8" x14ac:dyDescent="0.25">
      <c r="A2430" t="s">
        <v>52</v>
      </c>
      <c r="B2430" t="s">
        <v>118</v>
      </c>
      <c r="C2430" t="s">
        <v>2526</v>
      </c>
      <c r="D2430">
        <v>2</v>
      </c>
      <c r="E2430" s="273">
        <v>3</v>
      </c>
      <c r="F2430" s="273" t="s">
        <v>7</v>
      </c>
      <c r="G2430" s="273" t="s">
        <v>11</v>
      </c>
      <c r="H2430" s="273" t="s">
        <v>11</v>
      </c>
    </row>
    <row r="2431" spans="1:8" x14ac:dyDescent="0.25">
      <c r="A2431" t="s">
        <v>52</v>
      </c>
      <c r="B2431" t="s">
        <v>118</v>
      </c>
      <c r="C2431" t="s">
        <v>2527</v>
      </c>
      <c r="D2431">
        <v>3</v>
      </c>
      <c r="E2431" s="273">
        <v>3</v>
      </c>
      <c r="F2431" s="273" t="s">
        <v>7</v>
      </c>
      <c r="G2431" s="273" t="s">
        <v>11</v>
      </c>
      <c r="H2431" s="273" t="s">
        <v>11</v>
      </c>
    </row>
    <row r="2432" spans="1:8" x14ac:dyDescent="0.25">
      <c r="A2432" t="s">
        <v>52</v>
      </c>
      <c r="B2432" t="s">
        <v>118</v>
      </c>
      <c r="C2432" t="s">
        <v>2528</v>
      </c>
      <c r="D2432">
        <v>3</v>
      </c>
      <c r="E2432" s="273">
        <v>3</v>
      </c>
      <c r="F2432" s="273" t="s">
        <v>7</v>
      </c>
      <c r="G2432" s="273" t="s">
        <v>115</v>
      </c>
      <c r="H2432" s="273" t="s">
        <v>11</v>
      </c>
    </row>
    <row r="2433" spans="1:8" x14ac:dyDescent="0.25">
      <c r="A2433" t="s">
        <v>52</v>
      </c>
      <c r="B2433" t="s">
        <v>118</v>
      </c>
      <c r="C2433" t="s">
        <v>1742</v>
      </c>
      <c r="D2433">
        <v>2</v>
      </c>
      <c r="E2433" s="273">
        <v>3</v>
      </c>
      <c r="F2433" s="273" t="s">
        <v>7</v>
      </c>
      <c r="G2433" s="273" t="s">
        <v>11</v>
      </c>
      <c r="H2433" s="273" t="s">
        <v>11</v>
      </c>
    </row>
    <row r="2434" spans="1:8" x14ac:dyDescent="0.25">
      <c r="A2434" t="s">
        <v>52</v>
      </c>
      <c r="B2434" t="s">
        <v>118</v>
      </c>
      <c r="C2434" t="s">
        <v>2529</v>
      </c>
      <c r="D2434">
        <v>3</v>
      </c>
      <c r="E2434" s="273">
        <v>3</v>
      </c>
      <c r="F2434" s="273" t="s">
        <v>7</v>
      </c>
      <c r="G2434" s="273" t="s">
        <v>115</v>
      </c>
      <c r="H2434" s="273" t="s">
        <v>11</v>
      </c>
    </row>
    <row r="2435" spans="1:8" x14ac:dyDescent="0.25">
      <c r="A2435" t="s">
        <v>52</v>
      </c>
      <c r="B2435" t="s">
        <v>118</v>
      </c>
      <c r="C2435" t="s">
        <v>2530</v>
      </c>
      <c r="D2435">
        <v>3</v>
      </c>
      <c r="E2435" s="273">
        <v>3</v>
      </c>
      <c r="F2435" s="273" t="s">
        <v>7</v>
      </c>
      <c r="G2435" s="273" t="s">
        <v>115</v>
      </c>
      <c r="H2435" s="273" t="s">
        <v>11</v>
      </c>
    </row>
    <row r="2436" spans="1:8" x14ac:dyDescent="0.25">
      <c r="A2436" t="s">
        <v>52</v>
      </c>
      <c r="B2436" t="s">
        <v>118</v>
      </c>
      <c r="C2436" t="s">
        <v>2309</v>
      </c>
      <c r="D2436">
        <v>3</v>
      </c>
      <c r="E2436" s="273">
        <v>3</v>
      </c>
      <c r="F2436" s="273" t="s">
        <v>7</v>
      </c>
      <c r="G2436" s="273" t="s">
        <v>115</v>
      </c>
      <c r="H2436" s="273" t="s">
        <v>11</v>
      </c>
    </row>
    <row r="2437" spans="1:8" x14ac:dyDescent="0.25">
      <c r="A2437" t="s">
        <v>52</v>
      </c>
      <c r="B2437" t="s">
        <v>118</v>
      </c>
      <c r="C2437" t="s">
        <v>2531</v>
      </c>
      <c r="D2437">
        <v>3</v>
      </c>
      <c r="E2437" s="273">
        <v>3</v>
      </c>
      <c r="F2437" s="273" t="s">
        <v>7</v>
      </c>
      <c r="G2437" s="273" t="s">
        <v>115</v>
      </c>
      <c r="H2437" s="273" t="s">
        <v>11</v>
      </c>
    </row>
    <row r="2438" spans="1:8" x14ac:dyDescent="0.25">
      <c r="A2438" t="s">
        <v>52</v>
      </c>
      <c r="B2438" t="s">
        <v>118</v>
      </c>
      <c r="C2438" t="s">
        <v>1121</v>
      </c>
      <c r="D2438">
        <v>3</v>
      </c>
      <c r="E2438" s="273">
        <v>3</v>
      </c>
      <c r="F2438" s="273" t="s">
        <v>7</v>
      </c>
      <c r="G2438" s="273" t="s">
        <v>11</v>
      </c>
      <c r="H2438" s="273" t="s">
        <v>11</v>
      </c>
    </row>
    <row r="2439" spans="1:8" x14ac:dyDescent="0.25">
      <c r="A2439" t="s">
        <v>52</v>
      </c>
      <c r="B2439" t="s">
        <v>118</v>
      </c>
      <c r="C2439" t="s">
        <v>2532</v>
      </c>
      <c r="D2439">
        <v>3</v>
      </c>
      <c r="E2439" s="273">
        <v>3</v>
      </c>
      <c r="F2439" s="273" t="s">
        <v>7</v>
      </c>
      <c r="G2439" s="273" t="s">
        <v>115</v>
      </c>
      <c r="H2439" s="273" t="s">
        <v>11</v>
      </c>
    </row>
    <row r="2440" spans="1:8" x14ac:dyDescent="0.25">
      <c r="A2440" t="s">
        <v>52</v>
      </c>
      <c r="B2440" t="s">
        <v>118</v>
      </c>
      <c r="C2440" t="s">
        <v>1123</v>
      </c>
      <c r="D2440">
        <v>2</v>
      </c>
      <c r="E2440" s="273">
        <v>3</v>
      </c>
      <c r="F2440" s="273" t="s">
        <v>7</v>
      </c>
      <c r="G2440" s="273" t="s">
        <v>11</v>
      </c>
      <c r="H2440" s="273" t="s">
        <v>11</v>
      </c>
    </row>
    <row r="2441" spans="1:8" x14ac:dyDescent="0.25">
      <c r="A2441" t="s">
        <v>52</v>
      </c>
      <c r="B2441" t="s">
        <v>118</v>
      </c>
      <c r="C2441" t="s">
        <v>2500</v>
      </c>
      <c r="D2441">
        <v>3</v>
      </c>
      <c r="E2441" s="273">
        <v>3</v>
      </c>
      <c r="F2441" s="273" t="s">
        <v>7</v>
      </c>
      <c r="G2441" s="273" t="s">
        <v>11</v>
      </c>
      <c r="H2441" s="273" t="s">
        <v>11</v>
      </c>
    </row>
    <row r="2442" spans="1:8" x14ac:dyDescent="0.25">
      <c r="A2442" t="s">
        <v>52</v>
      </c>
      <c r="B2442" t="s">
        <v>118</v>
      </c>
      <c r="C2442" t="s">
        <v>2533</v>
      </c>
      <c r="D2442">
        <v>3</v>
      </c>
      <c r="E2442" s="273">
        <v>3</v>
      </c>
      <c r="F2442" s="273" t="s">
        <v>7</v>
      </c>
      <c r="G2442" s="273" t="s">
        <v>11</v>
      </c>
      <c r="H2442" s="273" t="s">
        <v>11</v>
      </c>
    </row>
    <row r="2443" spans="1:8" x14ac:dyDescent="0.25">
      <c r="A2443" t="s">
        <v>52</v>
      </c>
      <c r="B2443" t="s">
        <v>118</v>
      </c>
      <c r="C2443" t="s">
        <v>2534</v>
      </c>
      <c r="D2443">
        <v>3</v>
      </c>
      <c r="E2443" s="273">
        <v>3</v>
      </c>
      <c r="F2443" s="273" t="s">
        <v>7</v>
      </c>
      <c r="G2443" s="273" t="s">
        <v>11</v>
      </c>
      <c r="H2443" s="273" t="s">
        <v>11</v>
      </c>
    </row>
    <row r="2444" spans="1:8" x14ac:dyDescent="0.25">
      <c r="A2444" t="s">
        <v>52</v>
      </c>
      <c r="B2444" t="s">
        <v>118</v>
      </c>
      <c r="C2444" t="s">
        <v>2535</v>
      </c>
      <c r="D2444">
        <v>3</v>
      </c>
      <c r="E2444" s="273">
        <v>3</v>
      </c>
      <c r="F2444" s="273" t="s">
        <v>7</v>
      </c>
      <c r="G2444" s="273" t="s">
        <v>115</v>
      </c>
      <c r="H2444" s="273" t="s">
        <v>11</v>
      </c>
    </row>
    <row r="2445" spans="1:8" x14ac:dyDescent="0.25">
      <c r="A2445" t="s">
        <v>52</v>
      </c>
      <c r="B2445" t="s">
        <v>118</v>
      </c>
      <c r="C2445" t="s">
        <v>2536</v>
      </c>
      <c r="D2445">
        <v>3</v>
      </c>
      <c r="E2445" s="273">
        <v>3</v>
      </c>
      <c r="F2445" s="273" t="s">
        <v>7</v>
      </c>
      <c r="G2445" s="273" t="s">
        <v>11</v>
      </c>
      <c r="H2445" s="273" t="s">
        <v>11</v>
      </c>
    </row>
    <row r="2446" spans="1:8" x14ac:dyDescent="0.25">
      <c r="A2446" t="s">
        <v>52</v>
      </c>
      <c r="B2446" t="s">
        <v>118</v>
      </c>
      <c r="C2446" t="s">
        <v>2537</v>
      </c>
      <c r="D2446">
        <v>3</v>
      </c>
      <c r="E2446" s="273">
        <v>3</v>
      </c>
      <c r="F2446" s="273" t="s">
        <v>7</v>
      </c>
      <c r="G2446" s="273" t="s">
        <v>11</v>
      </c>
      <c r="H2446" s="273" t="s">
        <v>11</v>
      </c>
    </row>
    <row r="2447" spans="1:8" x14ac:dyDescent="0.25">
      <c r="A2447" t="s">
        <v>52</v>
      </c>
      <c r="B2447" t="s">
        <v>118</v>
      </c>
      <c r="C2447" t="s">
        <v>1928</v>
      </c>
      <c r="D2447">
        <v>3</v>
      </c>
      <c r="E2447" s="273">
        <v>3</v>
      </c>
      <c r="F2447" s="273" t="s">
        <v>7</v>
      </c>
      <c r="G2447" s="273" t="s">
        <v>115</v>
      </c>
      <c r="H2447" s="273" t="s">
        <v>11</v>
      </c>
    </row>
    <row r="2448" spans="1:8" x14ac:dyDescent="0.25">
      <c r="A2448" t="s">
        <v>52</v>
      </c>
      <c r="B2448" t="s">
        <v>118</v>
      </c>
      <c r="C2448" t="s">
        <v>2538</v>
      </c>
      <c r="D2448">
        <v>3</v>
      </c>
      <c r="E2448" s="273">
        <v>3</v>
      </c>
      <c r="F2448" s="273" t="s">
        <v>7</v>
      </c>
      <c r="G2448" s="273" t="s">
        <v>11</v>
      </c>
      <c r="H2448" s="273" t="s">
        <v>11</v>
      </c>
    </row>
    <row r="2449" spans="1:8" x14ac:dyDescent="0.25">
      <c r="A2449" t="s">
        <v>52</v>
      </c>
      <c r="B2449" t="s">
        <v>118</v>
      </c>
      <c r="C2449" t="s">
        <v>1394</v>
      </c>
      <c r="D2449">
        <v>3</v>
      </c>
      <c r="E2449" s="273">
        <v>3</v>
      </c>
      <c r="F2449" s="273" t="s">
        <v>7</v>
      </c>
      <c r="G2449" s="273" t="s">
        <v>11</v>
      </c>
      <c r="H2449" s="273" t="s">
        <v>11</v>
      </c>
    </row>
    <row r="2450" spans="1:8" x14ac:dyDescent="0.25">
      <c r="A2450" t="s">
        <v>52</v>
      </c>
      <c r="B2450" t="s">
        <v>118</v>
      </c>
      <c r="C2450" t="s">
        <v>2539</v>
      </c>
      <c r="D2450">
        <v>3</v>
      </c>
      <c r="E2450" s="273">
        <v>3</v>
      </c>
      <c r="F2450" s="273" t="s">
        <v>7</v>
      </c>
      <c r="G2450" s="273" t="s">
        <v>11</v>
      </c>
      <c r="H2450" s="273" t="s">
        <v>11</v>
      </c>
    </row>
    <row r="2451" spans="1:8" x14ac:dyDescent="0.25">
      <c r="A2451" t="s">
        <v>52</v>
      </c>
      <c r="B2451" t="s">
        <v>118</v>
      </c>
      <c r="C2451" t="s">
        <v>2540</v>
      </c>
      <c r="D2451">
        <v>3</v>
      </c>
      <c r="E2451" s="273">
        <v>3</v>
      </c>
      <c r="F2451" s="273" t="s">
        <v>7</v>
      </c>
      <c r="G2451" s="273" t="s">
        <v>115</v>
      </c>
      <c r="H2451" s="273" t="s">
        <v>11</v>
      </c>
    </row>
    <row r="2452" spans="1:8" x14ac:dyDescent="0.25">
      <c r="A2452" t="s">
        <v>52</v>
      </c>
      <c r="B2452" t="s">
        <v>118</v>
      </c>
      <c r="C2452" t="s">
        <v>2541</v>
      </c>
      <c r="D2452">
        <v>1</v>
      </c>
      <c r="E2452" s="273">
        <v>3</v>
      </c>
      <c r="F2452" s="273" t="s">
        <v>7</v>
      </c>
      <c r="G2452" s="273" t="s">
        <v>11</v>
      </c>
      <c r="H2452" s="273" t="s">
        <v>11</v>
      </c>
    </row>
    <row r="2453" spans="1:8" x14ac:dyDescent="0.25">
      <c r="A2453" t="s">
        <v>52</v>
      </c>
      <c r="B2453" t="s">
        <v>118</v>
      </c>
      <c r="C2453" t="s">
        <v>1762</v>
      </c>
      <c r="D2453">
        <v>3</v>
      </c>
      <c r="E2453" s="273">
        <v>3</v>
      </c>
      <c r="F2453" s="273" t="s">
        <v>7</v>
      </c>
      <c r="G2453" s="273" t="s">
        <v>11</v>
      </c>
      <c r="H2453" s="273" t="s">
        <v>11</v>
      </c>
    </row>
    <row r="2454" spans="1:8" x14ac:dyDescent="0.25">
      <c r="A2454" t="s">
        <v>52</v>
      </c>
      <c r="B2454" t="s">
        <v>118</v>
      </c>
      <c r="C2454" t="s">
        <v>2542</v>
      </c>
      <c r="D2454">
        <v>3</v>
      </c>
      <c r="E2454" s="273">
        <v>3</v>
      </c>
      <c r="F2454" s="273" t="s">
        <v>7</v>
      </c>
      <c r="G2454" s="273" t="s">
        <v>115</v>
      </c>
      <c r="H2454" s="273" t="s">
        <v>11</v>
      </c>
    </row>
    <row r="2455" spans="1:8" x14ac:dyDescent="0.25">
      <c r="A2455" t="s">
        <v>52</v>
      </c>
      <c r="B2455" t="s">
        <v>118</v>
      </c>
      <c r="C2455" t="s">
        <v>2543</v>
      </c>
      <c r="D2455">
        <v>3</v>
      </c>
      <c r="E2455" s="273">
        <v>3</v>
      </c>
      <c r="F2455" s="273" t="s">
        <v>7</v>
      </c>
      <c r="G2455" s="273" t="s">
        <v>115</v>
      </c>
      <c r="H2455" s="273" t="s">
        <v>11</v>
      </c>
    </row>
    <row r="2456" spans="1:8" x14ac:dyDescent="0.25">
      <c r="A2456" t="s">
        <v>52</v>
      </c>
      <c r="B2456" t="s">
        <v>118</v>
      </c>
      <c r="C2456" t="s">
        <v>1513</v>
      </c>
      <c r="D2456">
        <v>3</v>
      </c>
      <c r="E2456" s="273">
        <v>3</v>
      </c>
      <c r="F2456" s="273" t="s">
        <v>7</v>
      </c>
      <c r="G2456" s="273" t="s">
        <v>115</v>
      </c>
      <c r="H2456" s="273" t="s">
        <v>11</v>
      </c>
    </row>
    <row r="2457" spans="1:8" x14ac:dyDescent="0.25">
      <c r="A2457" t="s">
        <v>52</v>
      </c>
      <c r="B2457" t="s">
        <v>118</v>
      </c>
      <c r="C2457" t="s">
        <v>2544</v>
      </c>
      <c r="D2457">
        <v>3</v>
      </c>
      <c r="E2457" s="273">
        <v>3</v>
      </c>
      <c r="F2457" s="273" t="s">
        <v>7</v>
      </c>
      <c r="G2457" s="273" t="s">
        <v>11</v>
      </c>
      <c r="H2457" s="273" t="s">
        <v>11</v>
      </c>
    </row>
    <row r="2458" spans="1:8" x14ac:dyDescent="0.25">
      <c r="A2458" t="s">
        <v>52</v>
      </c>
      <c r="B2458" t="s">
        <v>118</v>
      </c>
      <c r="C2458" t="s">
        <v>2206</v>
      </c>
      <c r="D2458">
        <v>3</v>
      </c>
      <c r="E2458" s="273">
        <v>3</v>
      </c>
      <c r="F2458" s="273" t="s">
        <v>7</v>
      </c>
      <c r="G2458" s="273" t="s">
        <v>11</v>
      </c>
      <c r="H2458" s="273" t="s">
        <v>11</v>
      </c>
    </row>
    <row r="2459" spans="1:8" x14ac:dyDescent="0.25">
      <c r="A2459" t="s">
        <v>52</v>
      </c>
      <c r="B2459" t="s">
        <v>118</v>
      </c>
      <c r="C2459" t="s">
        <v>1518</v>
      </c>
      <c r="D2459">
        <v>2</v>
      </c>
      <c r="E2459" s="273">
        <v>3</v>
      </c>
      <c r="F2459" s="273" t="s">
        <v>7</v>
      </c>
      <c r="G2459" s="273" t="s">
        <v>11</v>
      </c>
      <c r="H2459" s="273" t="s">
        <v>11</v>
      </c>
    </row>
    <row r="2460" spans="1:8" x14ac:dyDescent="0.25">
      <c r="A2460" t="s">
        <v>52</v>
      </c>
      <c r="B2460" t="s">
        <v>118</v>
      </c>
      <c r="C2460" t="s">
        <v>1154</v>
      </c>
      <c r="D2460">
        <v>3</v>
      </c>
      <c r="E2460" s="273">
        <v>3</v>
      </c>
      <c r="F2460" s="273" t="s">
        <v>7</v>
      </c>
      <c r="G2460" s="273" t="s">
        <v>11</v>
      </c>
      <c r="H2460" s="273" t="s">
        <v>11</v>
      </c>
    </row>
    <row r="2461" spans="1:8" x14ac:dyDescent="0.25">
      <c r="A2461" t="s">
        <v>52</v>
      </c>
      <c r="B2461" t="s">
        <v>118</v>
      </c>
      <c r="C2461" t="s">
        <v>2545</v>
      </c>
      <c r="D2461">
        <v>3</v>
      </c>
      <c r="E2461" s="273">
        <v>3</v>
      </c>
      <c r="F2461" s="273" t="s">
        <v>7</v>
      </c>
      <c r="G2461" s="273" t="s">
        <v>11</v>
      </c>
      <c r="H2461" s="273" t="s">
        <v>11</v>
      </c>
    </row>
    <row r="2462" spans="1:8" x14ac:dyDescent="0.25">
      <c r="A2462" t="s">
        <v>52</v>
      </c>
      <c r="B2462" t="s">
        <v>118</v>
      </c>
      <c r="C2462" t="s">
        <v>1160</v>
      </c>
      <c r="D2462">
        <v>3</v>
      </c>
      <c r="E2462" s="273">
        <v>3</v>
      </c>
      <c r="F2462" s="273" t="s">
        <v>7</v>
      </c>
      <c r="G2462" s="273" t="s">
        <v>11</v>
      </c>
      <c r="H2462" s="273" t="s">
        <v>11</v>
      </c>
    </row>
    <row r="2463" spans="1:8" x14ac:dyDescent="0.25">
      <c r="A2463" t="s">
        <v>52</v>
      </c>
      <c r="B2463" t="s">
        <v>118</v>
      </c>
      <c r="C2463" t="s">
        <v>2546</v>
      </c>
      <c r="D2463">
        <v>3</v>
      </c>
      <c r="E2463" s="273">
        <v>3</v>
      </c>
      <c r="F2463" s="273" t="s">
        <v>7</v>
      </c>
      <c r="G2463" s="273" t="s">
        <v>11</v>
      </c>
      <c r="H2463" s="273" t="s">
        <v>11</v>
      </c>
    </row>
    <row r="2464" spans="1:8" x14ac:dyDescent="0.25">
      <c r="A2464" t="s">
        <v>52</v>
      </c>
      <c r="B2464" t="s">
        <v>118</v>
      </c>
      <c r="C2464" t="s">
        <v>2547</v>
      </c>
      <c r="D2464">
        <v>3</v>
      </c>
      <c r="E2464" s="273">
        <v>3</v>
      </c>
      <c r="F2464" s="273" t="s">
        <v>7</v>
      </c>
      <c r="G2464" s="273" t="s">
        <v>11</v>
      </c>
      <c r="H2464" s="273" t="s">
        <v>11</v>
      </c>
    </row>
    <row r="2465" spans="1:8" x14ac:dyDescent="0.25">
      <c r="A2465" t="s">
        <v>52</v>
      </c>
      <c r="B2465" t="s">
        <v>118</v>
      </c>
      <c r="C2465" t="s">
        <v>2548</v>
      </c>
      <c r="D2465">
        <v>3</v>
      </c>
      <c r="E2465" s="273">
        <v>3</v>
      </c>
      <c r="F2465" s="273" t="s">
        <v>7</v>
      </c>
      <c r="G2465" s="273" t="s">
        <v>11</v>
      </c>
      <c r="H2465" s="273" t="s">
        <v>11</v>
      </c>
    </row>
    <row r="2466" spans="1:8" x14ac:dyDescent="0.25">
      <c r="A2466" t="s">
        <v>52</v>
      </c>
      <c r="B2466" t="s">
        <v>118</v>
      </c>
      <c r="C2466" t="s">
        <v>1527</v>
      </c>
      <c r="D2466">
        <v>2</v>
      </c>
      <c r="E2466" s="273">
        <v>3</v>
      </c>
      <c r="F2466" s="273" t="s">
        <v>7</v>
      </c>
      <c r="G2466" s="273" t="s">
        <v>11</v>
      </c>
      <c r="H2466" s="273" t="s">
        <v>11</v>
      </c>
    </row>
    <row r="2467" spans="1:8" x14ac:dyDescent="0.25">
      <c r="A2467" t="s">
        <v>52</v>
      </c>
      <c r="B2467" t="s">
        <v>118</v>
      </c>
      <c r="C2467" t="s">
        <v>2549</v>
      </c>
      <c r="D2467">
        <v>3</v>
      </c>
      <c r="E2467" s="273">
        <v>3</v>
      </c>
      <c r="F2467" s="273" t="s">
        <v>7</v>
      </c>
      <c r="G2467" s="273" t="s">
        <v>11</v>
      </c>
      <c r="H2467" s="273" t="s">
        <v>11</v>
      </c>
    </row>
    <row r="2468" spans="1:8" x14ac:dyDescent="0.25">
      <c r="A2468" t="s">
        <v>52</v>
      </c>
      <c r="B2468" t="s">
        <v>118</v>
      </c>
      <c r="C2468" t="s">
        <v>1167</v>
      </c>
      <c r="D2468">
        <v>2</v>
      </c>
      <c r="E2468" s="273">
        <v>3</v>
      </c>
      <c r="F2468" s="273" t="s">
        <v>7</v>
      </c>
      <c r="G2468" s="273" t="s">
        <v>11</v>
      </c>
      <c r="H2468" s="273" t="s">
        <v>11</v>
      </c>
    </row>
    <row r="2469" spans="1:8" x14ac:dyDescent="0.25">
      <c r="A2469" t="s">
        <v>52</v>
      </c>
      <c r="B2469" t="s">
        <v>118</v>
      </c>
      <c r="C2469" t="s">
        <v>1642</v>
      </c>
      <c r="D2469">
        <v>3</v>
      </c>
      <c r="E2469" s="273">
        <v>3</v>
      </c>
      <c r="F2469" s="273" t="s">
        <v>7</v>
      </c>
      <c r="G2469" s="273" t="s">
        <v>11</v>
      </c>
      <c r="H2469" s="273" t="s">
        <v>11</v>
      </c>
    </row>
    <row r="2470" spans="1:8" x14ac:dyDescent="0.25">
      <c r="A2470" t="s">
        <v>52</v>
      </c>
      <c r="B2470" t="s">
        <v>118</v>
      </c>
      <c r="C2470" t="s">
        <v>2550</v>
      </c>
      <c r="D2470">
        <v>3</v>
      </c>
      <c r="E2470" s="273">
        <v>3</v>
      </c>
      <c r="F2470" s="273" t="s">
        <v>7</v>
      </c>
      <c r="G2470" s="273" t="s">
        <v>11</v>
      </c>
      <c r="H2470" s="273" t="s">
        <v>11</v>
      </c>
    </row>
    <row r="2471" spans="1:8" x14ac:dyDescent="0.25">
      <c r="A2471" t="s">
        <v>52</v>
      </c>
      <c r="B2471" t="s">
        <v>118</v>
      </c>
      <c r="C2471" t="s">
        <v>2551</v>
      </c>
      <c r="D2471">
        <v>2</v>
      </c>
      <c r="E2471" s="273">
        <v>3</v>
      </c>
      <c r="F2471" s="273" t="s">
        <v>7</v>
      </c>
      <c r="G2471" s="273" t="s">
        <v>11</v>
      </c>
      <c r="H2471" s="273" t="s">
        <v>11</v>
      </c>
    </row>
    <row r="2472" spans="1:8" x14ac:dyDescent="0.25">
      <c r="A2472" t="s">
        <v>52</v>
      </c>
      <c r="B2472" t="s">
        <v>118</v>
      </c>
      <c r="C2472" t="s">
        <v>1173</v>
      </c>
      <c r="D2472">
        <v>3</v>
      </c>
      <c r="E2472" s="273">
        <v>3</v>
      </c>
      <c r="F2472" s="273" t="s">
        <v>7</v>
      </c>
      <c r="G2472" s="273" t="s">
        <v>11</v>
      </c>
      <c r="H2472" s="273" t="s">
        <v>11</v>
      </c>
    </row>
    <row r="2473" spans="1:8" x14ac:dyDescent="0.25">
      <c r="A2473" t="s">
        <v>52</v>
      </c>
      <c r="B2473" t="s">
        <v>118</v>
      </c>
      <c r="C2473" t="s">
        <v>1278</v>
      </c>
      <c r="D2473">
        <v>3</v>
      </c>
      <c r="E2473" s="273">
        <v>3</v>
      </c>
      <c r="F2473" s="273" t="s">
        <v>7</v>
      </c>
      <c r="G2473" s="273" t="s">
        <v>11</v>
      </c>
      <c r="H2473" s="273" t="s">
        <v>11</v>
      </c>
    </row>
    <row r="2474" spans="1:8" x14ac:dyDescent="0.25">
      <c r="A2474" t="s">
        <v>52</v>
      </c>
      <c r="B2474" t="s">
        <v>118</v>
      </c>
      <c r="C2474" t="s">
        <v>2552</v>
      </c>
      <c r="D2474">
        <v>3</v>
      </c>
      <c r="E2474" s="273">
        <v>3</v>
      </c>
      <c r="F2474" s="273" t="s">
        <v>7</v>
      </c>
      <c r="G2474" s="273" t="s">
        <v>11</v>
      </c>
      <c r="H2474" s="273" t="s">
        <v>11</v>
      </c>
    </row>
    <row r="2475" spans="1:8" x14ac:dyDescent="0.25">
      <c r="A2475" t="s">
        <v>52</v>
      </c>
      <c r="B2475" t="s">
        <v>118</v>
      </c>
      <c r="C2475" t="s">
        <v>1919</v>
      </c>
      <c r="D2475">
        <v>2</v>
      </c>
      <c r="E2475" s="273">
        <v>3</v>
      </c>
      <c r="F2475" s="273" t="s">
        <v>7</v>
      </c>
      <c r="G2475" s="273" t="s">
        <v>11</v>
      </c>
      <c r="H2475" s="273" t="s">
        <v>11</v>
      </c>
    </row>
    <row r="2476" spans="1:8" x14ac:dyDescent="0.25">
      <c r="A2476" t="s">
        <v>53</v>
      </c>
      <c r="B2476" t="s">
        <v>82</v>
      </c>
      <c r="C2476" t="s">
        <v>2553</v>
      </c>
      <c r="D2476">
        <v>1</v>
      </c>
      <c r="E2476" s="273">
        <v>6</v>
      </c>
      <c r="F2476" s="273" t="s">
        <v>7</v>
      </c>
      <c r="G2476" s="273" t="s">
        <v>11</v>
      </c>
      <c r="H2476" s="273" t="s">
        <v>11</v>
      </c>
    </row>
    <row r="2477" spans="1:8" x14ac:dyDescent="0.25">
      <c r="A2477" t="s">
        <v>53</v>
      </c>
      <c r="B2477" t="s">
        <v>82</v>
      </c>
      <c r="C2477" t="s">
        <v>2554</v>
      </c>
      <c r="D2477">
        <v>1</v>
      </c>
      <c r="E2477" s="273">
        <v>6</v>
      </c>
      <c r="F2477" s="273" t="s">
        <v>7</v>
      </c>
      <c r="G2477" s="273" t="s">
        <v>11</v>
      </c>
      <c r="H2477" s="273" t="s">
        <v>11</v>
      </c>
    </row>
    <row r="2478" spans="1:8" x14ac:dyDescent="0.25">
      <c r="A2478" t="s">
        <v>53</v>
      </c>
      <c r="B2478" t="s">
        <v>82</v>
      </c>
      <c r="C2478" t="s">
        <v>2555</v>
      </c>
      <c r="D2478">
        <v>2</v>
      </c>
      <c r="E2478" s="273">
        <v>5</v>
      </c>
      <c r="F2478" s="273" t="s">
        <v>7</v>
      </c>
      <c r="G2478" s="273" t="s">
        <v>11</v>
      </c>
      <c r="H2478" s="273" t="s">
        <v>11</v>
      </c>
    </row>
    <row r="2479" spans="1:8" x14ac:dyDescent="0.25">
      <c r="A2479" t="s">
        <v>53</v>
      </c>
      <c r="B2479" t="s">
        <v>82</v>
      </c>
      <c r="C2479" t="s">
        <v>2556</v>
      </c>
      <c r="D2479">
        <v>1</v>
      </c>
      <c r="E2479" s="273">
        <v>5</v>
      </c>
      <c r="F2479" s="273" t="s">
        <v>7</v>
      </c>
      <c r="G2479" s="273" t="s">
        <v>11</v>
      </c>
      <c r="H2479" s="273" t="s">
        <v>11</v>
      </c>
    </row>
    <row r="2480" spans="1:8" x14ac:dyDescent="0.25">
      <c r="A2480" t="s">
        <v>53</v>
      </c>
      <c r="B2480" t="s">
        <v>82</v>
      </c>
      <c r="C2480" t="s">
        <v>2557</v>
      </c>
      <c r="D2480">
        <v>1</v>
      </c>
      <c r="E2480" s="273">
        <v>6</v>
      </c>
      <c r="F2480" s="273" t="s">
        <v>7</v>
      </c>
      <c r="G2480" s="273" t="s">
        <v>11</v>
      </c>
      <c r="H2480" s="273" t="s">
        <v>11</v>
      </c>
    </row>
    <row r="2481" spans="1:8" x14ac:dyDescent="0.25">
      <c r="A2481" t="s">
        <v>53</v>
      </c>
      <c r="B2481" t="s">
        <v>82</v>
      </c>
      <c r="C2481" t="s">
        <v>1604</v>
      </c>
      <c r="D2481">
        <v>1</v>
      </c>
      <c r="E2481" s="273">
        <v>6</v>
      </c>
      <c r="F2481" s="273" t="s">
        <v>7</v>
      </c>
      <c r="G2481" s="273" t="s">
        <v>11</v>
      </c>
      <c r="H2481" s="273" t="s">
        <v>11</v>
      </c>
    </row>
    <row r="2482" spans="1:8" x14ac:dyDescent="0.25">
      <c r="A2482" t="s">
        <v>53</v>
      </c>
      <c r="B2482" t="s">
        <v>82</v>
      </c>
      <c r="C2482" t="s">
        <v>2558</v>
      </c>
      <c r="D2482">
        <v>1</v>
      </c>
      <c r="E2482" s="273">
        <v>6</v>
      </c>
      <c r="F2482" s="273" t="s">
        <v>7</v>
      </c>
      <c r="G2482" s="273" t="s">
        <v>11</v>
      </c>
      <c r="H2482" s="273" t="s">
        <v>11</v>
      </c>
    </row>
    <row r="2483" spans="1:8" x14ac:dyDescent="0.25">
      <c r="A2483" t="s">
        <v>53</v>
      </c>
      <c r="B2483" t="s">
        <v>82</v>
      </c>
      <c r="C2483" t="s">
        <v>2185</v>
      </c>
      <c r="D2483">
        <v>1</v>
      </c>
      <c r="E2483" s="273">
        <v>6</v>
      </c>
      <c r="F2483" s="273" t="s">
        <v>7</v>
      </c>
      <c r="G2483" s="273" t="s">
        <v>11</v>
      </c>
      <c r="H2483" s="273" t="s">
        <v>11</v>
      </c>
    </row>
    <row r="2484" spans="1:8" x14ac:dyDescent="0.25">
      <c r="A2484" t="s">
        <v>53</v>
      </c>
      <c r="B2484" t="s">
        <v>82</v>
      </c>
      <c r="C2484" t="s">
        <v>1286</v>
      </c>
      <c r="D2484">
        <v>2</v>
      </c>
      <c r="E2484" s="273">
        <v>6</v>
      </c>
      <c r="F2484" s="273" t="s">
        <v>7</v>
      </c>
      <c r="G2484" s="273" t="s">
        <v>11</v>
      </c>
      <c r="H2484" s="273" t="s">
        <v>11</v>
      </c>
    </row>
    <row r="2485" spans="1:8" x14ac:dyDescent="0.25">
      <c r="A2485" t="s">
        <v>53</v>
      </c>
      <c r="B2485" t="s">
        <v>82</v>
      </c>
      <c r="C2485" t="s">
        <v>1821</v>
      </c>
      <c r="D2485">
        <v>1</v>
      </c>
      <c r="E2485" s="273">
        <v>6</v>
      </c>
      <c r="F2485" s="273" t="s">
        <v>7</v>
      </c>
      <c r="G2485" s="273" t="s">
        <v>11</v>
      </c>
      <c r="H2485" s="273" t="s">
        <v>11</v>
      </c>
    </row>
    <row r="2486" spans="1:8" x14ac:dyDescent="0.25">
      <c r="A2486" t="s">
        <v>53</v>
      </c>
      <c r="B2486" t="s">
        <v>82</v>
      </c>
      <c r="C2486" t="s">
        <v>2559</v>
      </c>
      <c r="D2486">
        <v>1</v>
      </c>
      <c r="E2486" s="273">
        <v>5</v>
      </c>
      <c r="F2486" s="273" t="s">
        <v>7</v>
      </c>
      <c r="G2486" s="273" t="s">
        <v>11</v>
      </c>
      <c r="H2486" s="273" t="s">
        <v>11</v>
      </c>
    </row>
    <row r="2487" spans="1:8" x14ac:dyDescent="0.25">
      <c r="A2487" t="s">
        <v>53</v>
      </c>
      <c r="B2487" t="s">
        <v>82</v>
      </c>
      <c r="C2487" t="s">
        <v>1234</v>
      </c>
      <c r="D2487">
        <v>1</v>
      </c>
      <c r="E2487" s="273">
        <v>6</v>
      </c>
      <c r="F2487" s="273" t="s">
        <v>7</v>
      </c>
      <c r="G2487" s="273" t="s">
        <v>11</v>
      </c>
      <c r="H2487" s="273" t="s">
        <v>11</v>
      </c>
    </row>
    <row r="2488" spans="1:8" x14ac:dyDescent="0.25">
      <c r="A2488" t="s">
        <v>53</v>
      </c>
      <c r="B2488" t="s">
        <v>82</v>
      </c>
      <c r="C2488" t="s">
        <v>1127</v>
      </c>
      <c r="D2488">
        <v>1</v>
      </c>
      <c r="E2488" s="273">
        <v>5</v>
      </c>
      <c r="F2488" s="273" t="s">
        <v>7</v>
      </c>
      <c r="G2488" s="273" t="s">
        <v>11</v>
      </c>
      <c r="H2488" s="273" t="s">
        <v>11</v>
      </c>
    </row>
    <row r="2489" spans="1:8" x14ac:dyDescent="0.25">
      <c r="A2489" t="s">
        <v>53</v>
      </c>
      <c r="B2489" t="s">
        <v>82</v>
      </c>
      <c r="C2489" t="s">
        <v>2560</v>
      </c>
      <c r="D2489">
        <v>1</v>
      </c>
      <c r="E2489" s="273">
        <v>6</v>
      </c>
      <c r="F2489" s="273" t="s">
        <v>7</v>
      </c>
      <c r="G2489" s="273" t="s">
        <v>11</v>
      </c>
      <c r="H2489" s="273" t="s">
        <v>11</v>
      </c>
    </row>
    <row r="2490" spans="1:8" x14ac:dyDescent="0.25">
      <c r="A2490" t="s">
        <v>53</v>
      </c>
      <c r="B2490" t="s">
        <v>82</v>
      </c>
      <c r="C2490" t="s">
        <v>2561</v>
      </c>
      <c r="D2490">
        <v>1</v>
      </c>
      <c r="E2490" s="273">
        <v>6</v>
      </c>
      <c r="F2490" s="273" t="s">
        <v>7</v>
      </c>
      <c r="G2490" s="273" t="s">
        <v>11</v>
      </c>
      <c r="H2490" s="273" t="s">
        <v>11</v>
      </c>
    </row>
    <row r="2491" spans="1:8" x14ac:dyDescent="0.25">
      <c r="A2491" t="s">
        <v>53</v>
      </c>
      <c r="B2491" t="s">
        <v>82</v>
      </c>
      <c r="C2491" t="s">
        <v>1353</v>
      </c>
      <c r="D2491">
        <v>2</v>
      </c>
      <c r="E2491" s="273">
        <v>6</v>
      </c>
      <c r="F2491" s="273" t="s">
        <v>7</v>
      </c>
      <c r="G2491" s="273" t="s">
        <v>11</v>
      </c>
      <c r="H2491" s="273" t="s">
        <v>11</v>
      </c>
    </row>
    <row r="2492" spans="1:8" x14ac:dyDescent="0.25">
      <c r="A2492" t="s">
        <v>53</v>
      </c>
      <c r="B2492" t="s">
        <v>82</v>
      </c>
      <c r="C2492" t="s">
        <v>2562</v>
      </c>
      <c r="D2492">
        <v>1</v>
      </c>
      <c r="E2492" s="273">
        <v>6</v>
      </c>
      <c r="F2492" s="273" t="s">
        <v>7</v>
      </c>
      <c r="G2492" s="273" t="s">
        <v>11</v>
      </c>
      <c r="H2492" s="273" t="s">
        <v>11</v>
      </c>
    </row>
    <row r="2493" spans="1:8" x14ac:dyDescent="0.25">
      <c r="A2493" t="s">
        <v>53</v>
      </c>
      <c r="B2493" t="s">
        <v>82</v>
      </c>
      <c r="C2493" t="s">
        <v>2563</v>
      </c>
      <c r="D2493">
        <v>1</v>
      </c>
      <c r="E2493" s="273">
        <v>6</v>
      </c>
      <c r="F2493" s="273" t="s">
        <v>7</v>
      </c>
      <c r="G2493" s="273" t="s">
        <v>11</v>
      </c>
      <c r="H2493" s="273" t="s">
        <v>11</v>
      </c>
    </row>
    <row r="2494" spans="1:8" x14ac:dyDescent="0.25">
      <c r="A2494" t="s">
        <v>53</v>
      </c>
      <c r="B2494" t="s">
        <v>82</v>
      </c>
      <c r="C2494" t="s">
        <v>2191</v>
      </c>
      <c r="D2494">
        <v>1</v>
      </c>
      <c r="E2494" s="273">
        <v>6</v>
      </c>
      <c r="F2494" s="273" t="s">
        <v>7</v>
      </c>
      <c r="G2494" s="273" t="s">
        <v>11</v>
      </c>
      <c r="H2494" s="273" t="s">
        <v>11</v>
      </c>
    </row>
    <row r="2495" spans="1:8" x14ac:dyDescent="0.25">
      <c r="A2495" t="s">
        <v>53</v>
      </c>
      <c r="B2495" t="s">
        <v>82</v>
      </c>
      <c r="C2495" t="s">
        <v>2445</v>
      </c>
      <c r="D2495">
        <v>2</v>
      </c>
      <c r="E2495" s="273">
        <v>6</v>
      </c>
      <c r="F2495" s="273" t="s">
        <v>7</v>
      </c>
      <c r="G2495" s="273" t="s">
        <v>11</v>
      </c>
      <c r="H2495" s="273" t="s">
        <v>11</v>
      </c>
    </row>
    <row r="2496" spans="1:8" x14ac:dyDescent="0.25">
      <c r="A2496" t="s">
        <v>53</v>
      </c>
      <c r="B2496" t="s">
        <v>82</v>
      </c>
      <c r="C2496" t="s">
        <v>1357</v>
      </c>
      <c r="D2496">
        <v>1</v>
      </c>
      <c r="E2496" s="273">
        <v>5</v>
      </c>
      <c r="F2496" s="273" t="s">
        <v>7</v>
      </c>
      <c r="G2496" s="273" t="s">
        <v>11</v>
      </c>
      <c r="H2496" s="273" t="s">
        <v>11</v>
      </c>
    </row>
    <row r="2497" spans="1:8" x14ac:dyDescent="0.25">
      <c r="A2497" t="s">
        <v>53</v>
      </c>
      <c r="B2497" t="s">
        <v>82</v>
      </c>
      <c r="C2497" t="s">
        <v>2564</v>
      </c>
      <c r="D2497">
        <v>1</v>
      </c>
      <c r="E2497" s="273">
        <v>6</v>
      </c>
      <c r="F2497" s="273" t="s">
        <v>7</v>
      </c>
      <c r="G2497" s="273" t="s">
        <v>11</v>
      </c>
      <c r="H2497" s="273" t="s">
        <v>11</v>
      </c>
    </row>
    <row r="2498" spans="1:8" x14ac:dyDescent="0.25">
      <c r="A2498" t="s">
        <v>53</v>
      </c>
      <c r="B2498" t="s">
        <v>82</v>
      </c>
      <c r="C2498" t="s">
        <v>2565</v>
      </c>
      <c r="D2498">
        <v>2</v>
      </c>
      <c r="E2498" s="273">
        <v>6</v>
      </c>
      <c r="F2498" s="273" t="s">
        <v>7</v>
      </c>
      <c r="G2498" s="273" t="s">
        <v>11</v>
      </c>
      <c r="H2498" s="273" t="s">
        <v>11</v>
      </c>
    </row>
    <row r="2499" spans="1:8" x14ac:dyDescent="0.25">
      <c r="A2499" t="s">
        <v>53</v>
      </c>
      <c r="B2499" t="s">
        <v>82</v>
      </c>
      <c r="C2499" t="s">
        <v>2566</v>
      </c>
      <c r="D2499">
        <v>1</v>
      </c>
      <c r="E2499" s="273">
        <v>6</v>
      </c>
      <c r="F2499" s="273" t="s">
        <v>7</v>
      </c>
      <c r="G2499" s="273" t="s">
        <v>11</v>
      </c>
      <c r="H2499" s="273" t="s">
        <v>11</v>
      </c>
    </row>
    <row r="2500" spans="1:8" x14ac:dyDescent="0.25">
      <c r="A2500" t="s">
        <v>53</v>
      </c>
      <c r="B2500" t="s">
        <v>82</v>
      </c>
      <c r="C2500" t="s">
        <v>1247</v>
      </c>
      <c r="D2500">
        <v>1</v>
      </c>
      <c r="E2500" s="273">
        <v>6</v>
      </c>
      <c r="F2500" s="273" t="s">
        <v>7</v>
      </c>
      <c r="G2500" s="273" t="s">
        <v>11</v>
      </c>
      <c r="H2500" s="273" t="s">
        <v>11</v>
      </c>
    </row>
    <row r="2501" spans="1:8" x14ac:dyDescent="0.25">
      <c r="A2501" t="s">
        <v>53</v>
      </c>
      <c r="B2501" t="s">
        <v>82</v>
      </c>
      <c r="C2501" t="s">
        <v>2567</v>
      </c>
      <c r="D2501">
        <v>2</v>
      </c>
      <c r="E2501" s="273">
        <v>5</v>
      </c>
      <c r="F2501" s="273" t="s">
        <v>7</v>
      </c>
      <c r="G2501" s="273" t="s">
        <v>11</v>
      </c>
      <c r="H2501" s="273" t="s">
        <v>11</v>
      </c>
    </row>
    <row r="2502" spans="1:8" x14ac:dyDescent="0.25">
      <c r="A2502" t="s">
        <v>53</v>
      </c>
      <c r="B2502" t="s">
        <v>82</v>
      </c>
      <c r="C2502" t="s">
        <v>2568</v>
      </c>
      <c r="D2502">
        <v>2</v>
      </c>
      <c r="E2502" s="273">
        <v>6</v>
      </c>
      <c r="F2502" s="273" t="s">
        <v>7</v>
      </c>
      <c r="G2502" s="273" t="s">
        <v>11</v>
      </c>
      <c r="H2502" s="273" t="s">
        <v>11</v>
      </c>
    </row>
    <row r="2503" spans="1:8" x14ac:dyDescent="0.25">
      <c r="A2503" t="s">
        <v>53</v>
      </c>
      <c r="B2503" t="s">
        <v>82</v>
      </c>
      <c r="C2503" t="s">
        <v>2569</v>
      </c>
      <c r="D2503">
        <v>1</v>
      </c>
      <c r="E2503" s="273">
        <v>6</v>
      </c>
      <c r="F2503" s="273" t="s">
        <v>7</v>
      </c>
      <c r="G2503" s="273" t="s">
        <v>11</v>
      </c>
      <c r="H2503" s="273" t="s">
        <v>11</v>
      </c>
    </row>
    <row r="2504" spans="1:8" x14ac:dyDescent="0.25">
      <c r="A2504" t="s">
        <v>53</v>
      </c>
      <c r="B2504" t="s">
        <v>82</v>
      </c>
      <c r="C2504" t="s">
        <v>2570</v>
      </c>
      <c r="D2504">
        <v>1</v>
      </c>
      <c r="E2504" s="273">
        <v>6</v>
      </c>
      <c r="F2504" s="273" t="s">
        <v>7</v>
      </c>
      <c r="G2504" s="273" t="s">
        <v>11</v>
      </c>
      <c r="H2504" s="273" t="s">
        <v>11</v>
      </c>
    </row>
    <row r="2505" spans="1:8" x14ac:dyDescent="0.25">
      <c r="A2505" t="s">
        <v>53</v>
      </c>
      <c r="B2505" t="s">
        <v>82</v>
      </c>
      <c r="C2505" t="s">
        <v>2571</v>
      </c>
      <c r="D2505">
        <v>1</v>
      </c>
      <c r="E2505" s="273">
        <v>6</v>
      </c>
      <c r="F2505" s="273" t="s">
        <v>7</v>
      </c>
      <c r="G2505" s="273" t="s">
        <v>11</v>
      </c>
      <c r="H2505" s="273" t="s">
        <v>11</v>
      </c>
    </row>
    <row r="2506" spans="1:8" x14ac:dyDescent="0.25">
      <c r="A2506" t="s">
        <v>53</v>
      </c>
      <c r="B2506" t="s">
        <v>82</v>
      </c>
      <c r="C2506" t="s">
        <v>2259</v>
      </c>
      <c r="D2506">
        <v>2</v>
      </c>
      <c r="E2506" s="273">
        <v>6</v>
      </c>
      <c r="F2506" s="273" t="s">
        <v>7</v>
      </c>
      <c r="G2506" s="273" t="s">
        <v>11</v>
      </c>
      <c r="H2506" s="273" t="s">
        <v>11</v>
      </c>
    </row>
    <row r="2507" spans="1:8" x14ac:dyDescent="0.25">
      <c r="A2507" t="s">
        <v>53</v>
      </c>
      <c r="B2507" t="s">
        <v>82</v>
      </c>
      <c r="C2507" t="s">
        <v>2449</v>
      </c>
      <c r="D2507">
        <v>1</v>
      </c>
      <c r="E2507" s="273">
        <v>6</v>
      </c>
      <c r="F2507" s="273" t="s">
        <v>7</v>
      </c>
      <c r="G2507" s="273" t="s">
        <v>11</v>
      </c>
      <c r="H2507" s="273" t="s">
        <v>11</v>
      </c>
    </row>
    <row r="2508" spans="1:8" x14ac:dyDescent="0.25">
      <c r="A2508" t="s">
        <v>53</v>
      </c>
      <c r="B2508" t="s">
        <v>82</v>
      </c>
      <c r="C2508" t="s">
        <v>2572</v>
      </c>
      <c r="D2508">
        <v>1</v>
      </c>
      <c r="E2508" s="273">
        <v>5</v>
      </c>
      <c r="F2508" s="273" t="s">
        <v>7</v>
      </c>
      <c r="G2508" s="273" t="s">
        <v>11</v>
      </c>
      <c r="H2508" s="273" t="s">
        <v>11</v>
      </c>
    </row>
    <row r="2509" spans="1:8" x14ac:dyDescent="0.25">
      <c r="A2509" t="s">
        <v>53</v>
      </c>
      <c r="B2509" t="s">
        <v>82</v>
      </c>
      <c r="C2509" t="s">
        <v>2337</v>
      </c>
      <c r="D2509">
        <v>1</v>
      </c>
      <c r="E2509" s="273">
        <v>6</v>
      </c>
      <c r="F2509" s="273" t="s">
        <v>7</v>
      </c>
      <c r="G2509" s="273" t="s">
        <v>11</v>
      </c>
      <c r="H2509" s="273" t="s">
        <v>11</v>
      </c>
    </row>
    <row r="2510" spans="1:8" x14ac:dyDescent="0.25">
      <c r="A2510" t="s">
        <v>53</v>
      </c>
      <c r="B2510" t="s">
        <v>82</v>
      </c>
      <c r="C2510" t="s">
        <v>1149</v>
      </c>
      <c r="D2510">
        <v>2</v>
      </c>
      <c r="E2510" s="273">
        <v>5</v>
      </c>
      <c r="F2510" s="273" t="s">
        <v>7</v>
      </c>
      <c r="G2510" s="273" t="s">
        <v>11</v>
      </c>
      <c r="H2510" s="273" t="s">
        <v>11</v>
      </c>
    </row>
    <row r="2511" spans="1:8" x14ac:dyDescent="0.25">
      <c r="A2511" t="s">
        <v>53</v>
      </c>
      <c r="B2511" t="s">
        <v>82</v>
      </c>
      <c r="C2511" t="s">
        <v>2573</v>
      </c>
      <c r="D2511">
        <v>1</v>
      </c>
      <c r="E2511" s="273">
        <v>6</v>
      </c>
      <c r="F2511" s="273" t="s">
        <v>7</v>
      </c>
      <c r="G2511" s="273" t="s">
        <v>11</v>
      </c>
      <c r="H2511" s="273" t="s">
        <v>11</v>
      </c>
    </row>
    <row r="2512" spans="1:8" x14ac:dyDescent="0.25">
      <c r="A2512" t="s">
        <v>53</v>
      </c>
      <c r="B2512" t="s">
        <v>82</v>
      </c>
      <c r="C2512" t="s">
        <v>1516</v>
      </c>
      <c r="D2512">
        <v>2</v>
      </c>
      <c r="E2512" s="273">
        <v>6</v>
      </c>
      <c r="F2512" s="273" t="s">
        <v>7</v>
      </c>
      <c r="G2512" s="273" t="s">
        <v>11</v>
      </c>
      <c r="H2512" s="273" t="s">
        <v>11</v>
      </c>
    </row>
    <row r="2513" spans="1:8" x14ac:dyDescent="0.25">
      <c r="A2513" t="s">
        <v>53</v>
      </c>
      <c r="B2513" t="s">
        <v>82</v>
      </c>
      <c r="C2513" t="s">
        <v>2574</v>
      </c>
      <c r="D2513">
        <v>1</v>
      </c>
      <c r="E2513" s="273">
        <v>6</v>
      </c>
      <c r="F2513" s="273" t="s">
        <v>7</v>
      </c>
      <c r="G2513" s="273" t="s">
        <v>11</v>
      </c>
      <c r="H2513" s="273" t="s">
        <v>11</v>
      </c>
    </row>
    <row r="2514" spans="1:8" x14ac:dyDescent="0.25">
      <c r="A2514" t="s">
        <v>53</v>
      </c>
      <c r="B2514" t="s">
        <v>82</v>
      </c>
      <c r="C2514" t="s">
        <v>1299</v>
      </c>
      <c r="D2514">
        <v>1</v>
      </c>
      <c r="E2514" s="273">
        <v>6</v>
      </c>
      <c r="F2514" s="273" t="s">
        <v>7</v>
      </c>
      <c r="G2514" s="273" t="s">
        <v>11</v>
      </c>
      <c r="H2514" s="273" t="s">
        <v>11</v>
      </c>
    </row>
    <row r="2515" spans="1:8" x14ac:dyDescent="0.25">
      <c r="A2515" t="s">
        <v>53</v>
      </c>
      <c r="B2515" t="s">
        <v>82</v>
      </c>
      <c r="C2515" t="s">
        <v>1153</v>
      </c>
      <c r="D2515">
        <v>2</v>
      </c>
      <c r="E2515" s="273">
        <v>6</v>
      </c>
      <c r="F2515" s="273" t="s">
        <v>7</v>
      </c>
      <c r="G2515" s="273" t="s">
        <v>11</v>
      </c>
      <c r="H2515" s="273" t="s">
        <v>11</v>
      </c>
    </row>
    <row r="2516" spans="1:8" x14ac:dyDescent="0.25">
      <c r="A2516" t="s">
        <v>53</v>
      </c>
      <c r="B2516" t="s">
        <v>82</v>
      </c>
      <c r="C2516" t="s">
        <v>1255</v>
      </c>
      <c r="D2516">
        <v>1</v>
      </c>
      <c r="E2516" s="273">
        <v>6</v>
      </c>
      <c r="F2516" s="273" t="s">
        <v>7</v>
      </c>
      <c r="G2516" s="273" t="s">
        <v>11</v>
      </c>
      <c r="H2516" s="273" t="s">
        <v>11</v>
      </c>
    </row>
    <row r="2517" spans="1:8" x14ac:dyDescent="0.25">
      <c r="A2517" t="s">
        <v>53</v>
      </c>
      <c r="B2517" t="s">
        <v>82</v>
      </c>
      <c r="C2517" t="s">
        <v>2575</v>
      </c>
      <c r="D2517">
        <v>1</v>
      </c>
      <c r="E2517" s="273">
        <v>6</v>
      </c>
      <c r="F2517" s="273" t="s">
        <v>7</v>
      </c>
      <c r="G2517" s="273" t="s">
        <v>11</v>
      </c>
      <c r="H2517" s="273" t="s">
        <v>11</v>
      </c>
    </row>
    <row r="2518" spans="1:8" x14ac:dyDescent="0.25">
      <c r="A2518" t="s">
        <v>53</v>
      </c>
      <c r="B2518" t="s">
        <v>82</v>
      </c>
      <c r="C2518" t="s">
        <v>1161</v>
      </c>
      <c r="D2518">
        <v>1</v>
      </c>
      <c r="E2518" s="273">
        <v>6</v>
      </c>
      <c r="F2518" s="273" t="s">
        <v>7</v>
      </c>
      <c r="G2518" s="273" t="s">
        <v>11</v>
      </c>
      <c r="H2518" s="273" t="s">
        <v>11</v>
      </c>
    </row>
    <row r="2519" spans="1:8" x14ac:dyDescent="0.25">
      <c r="A2519" t="s">
        <v>53</v>
      </c>
      <c r="B2519" t="s">
        <v>82</v>
      </c>
      <c r="C2519" t="s">
        <v>2576</v>
      </c>
      <c r="D2519">
        <v>1</v>
      </c>
      <c r="E2519" s="273">
        <v>6</v>
      </c>
      <c r="F2519" s="273" t="s">
        <v>7</v>
      </c>
      <c r="G2519" s="273" t="s">
        <v>11</v>
      </c>
      <c r="H2519" s="273" t="s">
        <v>11</v>
      </c>
    </row>
    <row r="2520" spans="1:8" x14ac:dyDescent="0.25">
      <c r="A2520" t="s">
        <v>53</v>
      </c>
      <c r="B2520" t="s">
        <v>82</v>
      </c>
      <c r="C2520" t="s">
        <v>1773</v>
      </c>
      <c r="D2520">
        <v>1</v>
      </c>
      <c r="E2520" s="273">
        <v>6</v>
      </c>
      <c r="F2520" s="273" t="s">
        <v>7</v>
      </c>
      <c r="G2520" s="273" t="s">
        <v>11</v>
      </c>
      <c r="H2520" s="273" t="s">
        <v>11</v>
      </c>
    </row>
    <row r="2521" spans="1:8" x14ac:dyDescent="0.25">
      <c r="A2521" t="s">
        <v>53</v>
      </c>
      <c r="B2521" t="s">
        <v>82</v>
      </c>
      <c r="C2521" t="s">
        <v>1774</v>
      </c>
      <c r="D2521">
        <v>2</v>
      </c>
      <c r="E2521" s="273">
        <v>6</v>
      </c>
      <c r="F2521" s="273" t="s">
        <v>7</v>
      </c>
      <c r="G2521" s="273" t="s">
        <v>11</v>
      </c>
      <c r="H2521" s="273" t="s">
        <v>11</v>
      </c>
    </row>
    <row r="2522" spans="1:8" x14ac:dyDescent="0.25">
      <c r="A2522" t="s">
        <v>53</v>
      </c>
      <c r="B2522" t="s">
        <v>82</v>
      </c>
      <c r="C2522" t="s">
        <v>2577</v>
      </c>
      <c r="D2522">
        <v>2</v>
      </c>
      <c r="E2522" s="273">
        <v>5</v>
      </c>
      <c r="F2522" s="273" t="s">
        <v>7</v>
      </c>
      <c r="G2522" s="273" t="s">
        <v>11</v>
      </c>
      <c r="H2522" s="273" t="s">
        <v>11</v>
      </c>
    </row>
    <row r="2523" spans="1:8" x14ac:dyDescent="0.25">
      <c r="A2523" t="s">
        <v>53</v>
      </c>
      <c r="B2523" t="s">
        <v>82</v>
      </c>
      <c r="C2523" t="s">
        <v>2578</v>
      </c>
      <c r="D2523">
        <v>1</v>
      </c>
      <c r="E2523" s="273">
        <v>6</v>
      </c>
      <c r="F2523" s="273" t="s">
        <v>7</v>
      </c>
      <c r="G2523" s="273" t="s">
        <v>11</v>
      </c>
      <c r="H2523" s="273" t="s">
        <v>11</v>
      </c>
    </row>
    <row r="2524" spans="1:8" x14ac:dyDescent="0.25">
      <c r="A2524" t="s">
        <v>53</v>
      </c>
      <c r="B2524" t="s">
        <v>82</v>
      </c>
      <c r="C2524" t="s">
        <v>2579</v>
      </c>
      <c r="D2524">
        <v>1</v>
      </c>
      <c r="E2524" s="273">
        <v>6</v>
      </c>
      <c r="F2524" s="273" t="s">
        <v>7</v>
      </c>
      <c r="G2524" s="273" t="s">
        <v>11</v>
      </c>
      <c r="H2524" s="273" t="s">
        <v>11</v>
      </c>
    </row>
    <row r="2525" spans="1:8" x14ac:dyDescent="0.25">
      <c r="A2525" t="s">
        <v>53</v>
      </c>
      <c r="B2525" t="s">
        <v>82</v>
      </c>
      <c r="C2525" t="s">
        <v>2580</v>
      </c>
      <c r="D2525">
        <v>1</v>
      </c>
      <c r="E2525" s="273">
        <v>6</v>
      </c>
      <c r="F2525" s="273" t="s">
        <v>7</v>
      </c>
      <c r="G2525" s="273" t="s">
        <v>11</v>
      </c>
      <c r="H2525" s="273" t="s">
        <v>11</v>
      </c>
    </row>
    <row r="2526" spans="1:8" x14ac:dyDescent="0.25">
      <c r="A2526" t="s">
        <v>53</v>
      </c>
      <c r="B2526" t="s">
        <v>82</v>
      </c>
      <c r="C2526" t="s">
        <v>2048</v>
      </c>
      <c r="D2526">
        <v>2</v>
      </c>
      <c r="E2526" s="273">
        <v>6</v>
      </c>
      <c r="F2526" s="273" t="s">
        <v>7</v>
      </c>
      <c r="G2526" s="273" t="s">
        <v>11</v>
      </c>
      <c r="H2526" s="273" t="s">
        <v>11</v>
      </c>
    </row>
    <row r="2527" spans="1:8" x14ac:dyDescent="0.25">
      <c r="A2527" t="s">
        <v>53</v>
      </c>
      <c r="B2527" t="s">
        <v>82</v>
      </c>
      <c r="C2527" t="s">
        <v>2213</v>
      </c>
      <c r="D2527">
        <v>1</v>
      </c>
      <c r="E2527" s="273">
        <v>6</v>
      </c>
      <c r="F2527" s="273" t="s">
        <v>7</v>
      </c>
      <c r="G2527" s="273" t="s">
        <v>11</v>
      </c>
      <c r="H2527" s="273" t="s">
        <v>11</v>
      </c>
    </row>
    <row r="2528" spans="1:8" x14ac:dyDescent="0.25">
      <c r="A2528" t="s">
        <v>53</v>
      </c>
      <c r="B2528" t="s">
        <v>82</v>
      </c>
      <c r="C2528" t="s">
        <v>2518</v>
      </c>
      <c r="D2528">
        <v>1</v>
      </c>
      <c r="E2528" s="273">
        <v>6</v>
      </c>
      <c r="F2528" s="273" t="s">
        <v>7</v>
      </c>
      <c r="G2528" s="273" t="s">
        <v>11</v>
      </c>
      <c r="H2528" s="273" t="s">
        <v>11</v>
      </c>
    </row>
    <row r="2529" spans="1:8" x14ac:dyDescent="0.25">
      <c r="A2529" t="s">
        <v>53</v>
      </c>
      <c r="B2529" t="s">
        <v>82</v>
      </c>
      <c r="C2529" t="s">
        <v>2581</v>
      </c>
      <c r="D2529">
        <v>1</v>
      </c>
      <c r="E2529" s="273">
        <v>6</v>
      </c>
      <c r="F2529" s="273" t="s">
        <v>7</v>
      </c>
      <c r="G2529" s="273" t="s">
        <v>11</v>
      </c>
      <c r="H2529" s="273" t="s">
        <v>11</v>
      </c>
    </row>
    <row r="2530" spans="1:8" x14ac:dyDescent="0.25">
      <c r="A2530" t="s">
        <v>53</v>
      </c>
      <c r="B2530" t="s">
        <v>82</v>
      </c>
      <c r="C2530" t="s">
        <v>2582</v>
      </c>
      <c r="D2530">
        <v>1</v>
      </c>
      <c r="E2530" s="273">
        <v>6</v>
      </c>
      <c r="F2530" s="273" t="s">
        <v>7</v>
      </c>
      <c r="G2530" s="273" t="s">
        <v>11</v>
      </c>
      <c r="H2530" s="273" t="s">
        <v>11</v>
      </c>
    </row>
    <row r="2531" spans="1:8" x14ac:dyDescent="0.25">
      <c r="A2531" t="s">
        <v>53</v>
      </c>
      <c r="B2531" t="s">
        <v>82</v>
      </c>
      <c r="C2531" t="s">
        <v>2141</v>
      </c>
      <c r="D2531">
        <v>2</v>
      </c>
      <c r="E2531" s="273">
        <v>6</v>
      </c>
      <c r="F2531" s="273" t="s">
        <v>7</v>
      </c>
      <c r="G2531" s="273" t="s">
        <v>11</v>
      </c>
      <c r="H2531" s="273" t="s">
        <v>11</v>
      </c>
    </row>
    <row r="2532" spans="1:8" x14ac:dyDescent="0.25">
      <c r="A2532" t="s">
        <v>53</v>
      </c>
      <c r="B2532" t="s">
        <v>82</v>
      </c>
      <c r="C2532" t="s">
        <v>2583</v>
      </c>
      <c r="D2532">
        <v>1</v>
      </c>
      <c r="E2532" s="273">
        <v>6</v>
      </c>
      <c r="F2532" s="273" t="s">
        <v>7</v>
      </c>
      <c r="G2532" s="273" t="s">
        <v>11</v>
      </c>
      <c r="H2532" s="273" t="s">
        <v>11</v>
      </c>
    </row>
    <row r="2533" spans="1:8" x14ac:dyDescent="0.25">
      <c r="A2533" t="s">
        <v>53</v>
      </c>
      <c r="B2533" t="s">
        <v>82</v>
      </c>
      <c r="C2533" t="s">
        <v>2584</v>
      </c>
      <c r="D2533">
        <v>1</v>
      </c>
      <c r="E2533" s="273">
        <v>6</v>
      </c>
      <c r="F2533" s="273" t="s">
        <v>7</v>
      </c>
      <c r="G2533" s="273" t="s">
        <v>11</v>
      </c>
      <c r="H2533" s="273" t="s">
        <v>11</v>
      </c>
    </row>
    <row r="2534" spans="1:8" x14ac:dyDescent="0.25">
      <c r="A2534" t="s">
        <v>53</v>
      </c>
      <c r="B2534" t="s">
        <v>82</v>
      </c>
      <c r="C2534" t="s">
        <v>2585</v>
      </c>
      <c r="D2534">
        <v>1</v>
      </c>
      <c r="E2534" s="273">
        <v>6</v>
      </c>
      <c r="F2534" s="273" t="s">
        <v>7</v>
      </c>
      <c r="G2534" s="273" t="s">
        <v>11</v>
      </c>
      <c r="H2534" s="273" t="s">
        <v>11</v>
      </c>
    </row>
    <row r="2535" spans="1:8" x14ac:dyDescent="0.25">
      <c r="A2535" t="s">
        <v>53</v>
      </c>
      <c r="B2535" t="s">
        <v>82</v>
      </c>
      <c r="C2535" t="s">
        <v>1860</v>
      </c>
      <c r="D2535">
        <v>2</v>
      </c>
      <c r="E2535" s="273">
        <v>5</v>
      </c>
      <c r="F2535" s="273" t="s">
        <v>7</v>
      </c>
      <c r="G2535" s="273" t="s">
        <v>11</v>
      </c>
      <c r="H2535" s="273" t="s">
        <v>11</v>
      </c>
    </row>
    <row r="2536" spans="1:8" x14ac:dyDescent="0.25">
      <c r="A2536" t="s">
        <v>53</v>
      </c>
      <c r="B2536" t="s">
        <v>82</v>
      </c>
      <c r="C2536" t="s">
        <v>2586</v>
      </c>
      <c r="D2536">
        <v>2</v>
      </c>
      <c r="E2536" s="273">
        <v>5</v>
      </c>
      <c r="F2536" s="273" t="s">
        <v>7</v>
      </c>
      <c r="G2536" s="273" t="s">
        <v>11</v>
      </c>
      <c r="H2536" s="273" t="s">
        <v>11</v>
      </c>
    </row>
    <row r="2537" spans="1:8" x14ac:dyDescent="0.25">
      <c r="A2537" t="s">
        <v>53</v>
      </c>
      <c r="B2537" t="s">
        <v>82</v>
      </c>
      <c r="C2537" t="s">
        <v>1552</v>
      </c>
      <c r="D2537">
        <v>1</v>
      </c>
      <c r="E2537" s="273">
        <v>6</v>
      </c>
      <c r="F2537" s="273" t="s">
        <v>7</v>
      </c>
      <c r="G2537" s="273" t="s">
        <v>11</v>
      </c>
      <c r="H2537" s="273" t="s">
        <v>11</v>
      </c>
    </row>
    <row r="2538" spans="1:8" x14ac:dyDescent="0.25">
      <c r="A2538" t="s">
        <v>53</v>
      </c>
      <c r="B2538" t="s">
        <v>82</v>
      </c>
      <c r="C2538" t="s">
        <v>1278</v>
      </c>
      <c r="D2538">
        <v>1</v>
      </c>
      <c r="E2538" s="273">
        <v>5</v>
      </c>
      <c r="F2538" s="273" t="s">
        <v>7</v>
      </c>
      <c r="G2538" s="273" t="s">
        <v>11</v>
      </c>
      <c r="H2538" s="273" t="s">
        <v>11</v>
      </c>
    </row>
    <row r="2539" spans="1:8" x14ac:dyDescent="0.25">
      <c r="A2539" t="s">
        <v>53</v>
      </c>
      <c r="B2539" t="s">
        <v>82</v>
      </c>
      <c r="C2539" t="s">
        <v>2587</v>
      </c>
      <c r="D2539">
        <v>1</v>
      </c>
      <c r="E2539" s="273">
        <v>6</v>
      </c>
      <c r="F2539" s="273" t="s">
        <v>7</v>
      </c>
      <c r="G2539" s="273" t="s">
        <v>11</v>
      </c>
      <c r="H2539" s="273" t="s">
        <v>11</v>
      </c>
    </row>
    <row r="2540" spans="1:8" x14ac:dyDescent="0.25">
      <c r="A2540" t="s">
        <v>53</v>
      </c>
      <c r="B2540" t="s">
        <v>82</v>
      </c>
      <c r="C2540" t="s">
        <v>2588</v>
      </c>
      <c r="D2540">
        <v>1</v>
      </c>
      <c r="E2540" s="273">
        <v>5</v>
      </c>
      <c r="F2540" s="273" t="s">
        <v>7</v>
      </c>
      <c r="G2540" s="273" t="s">
        <v>11</v>
      </c>
      <c r="H2540" s="273" t="s">
        <v>11</v>
      </c>
    </row>
    <row r="2541" spans="1:8" x14ac:dyDescent="0.25">
      <c r="A2541" t="s">
        <v>53</v>
      </c>
      <c r="B2541" t="s">
        <v>82</v>
      </c>
      <c r="C2541" t="s">
        <v>2589</v>
      </c>
      <c r="D2541">
        <v>2</v>
      </c>
      <c r="E2541" s="273">
        <v>6</v>
      </c>
      <c r="F2541" s="273" t="s">
        <v>7</v>
      </c>
      <c r="G2541" s="273" t="s">
        <v>11</v>
      </c>
      <c r="H2541" s="273" t="s">
        <v>11</v>
      </c>
    </row>
    <row r="2542" spans="1:8" x14ac:dyDescent="0.25">
      <c r="A2542" t="s">
        <v>55</v>
      </c>
      <c r="B2542" t="s">
        <v>111</v>
      </c>
      <c r="C2542" t="s">
        <v>1742</v>
      </c>
      <c r="D2542">
        <v>1</v>
      </c>
      <c r="E2542" s="273">
        <v>4</v>
      </c>
      <c r="F2542" s="273" t="s">
        <v>7</v>
      </c>
      <c r="G2542" s="273" t="s">
        <v>11</v>
      </c>
      <c r="H2542" s="273" t="s">
        <v>11</v>
      </c>
    </row>
    <row r="2543" spans="1:8" x14ac:dyDescent="0.25">
      <c r="A2543" t="s">
        <v>55</v>
      </c>
      <c r="B2543" t="s">
        <v>111</v>
      </c>
      <c r="C2543" t="s">
        <v>2494</v>
      </c>
      <c r="D2543">
        <v>1</v>
      </c>
      <c r="E2543" s="273">
        <v>4</v>
      </c>
      <c r="F2543" s="273" t="s">
        <v>7</v>
      </c>
      <c r="G2543" s="273" t="s">
        <v>11</v>
      </c>
      <c r="H2543" s="273" t="s">
        <v>11</v>
      </c>
    </row>
    <row r="2544" spans="1:8" x14ac:dyDescent="0.25">
      <c r="A2544" t="s">
        <v>55</v>
      </c>
      <c r="B2544" t="s">
        <v>111</v>
      </c>
      <c r="C2544" t="s">
        <v>1229</v>
      </c>
      <c r="D2544">
        <v>2</v>
      </c>
      <c r="E2544" s="273">
        <v>4</v>
      </c>
      <c r="F2544" s="273" t="s">
        <v>7</v>
      </c>
      <c r="G2544" s="273" t="s">
        <v>11</v>
      </c>
      <c r="H2544" s="273" t="s">
        <v>11</v>
      </c>
    </row>
    <row r="2545" spans="1:8" x14ac:dyDescent="0.25">
      <c r="A2545" t="s">
        <v>55</v>
      </c>
      <c r="B2545" t="s">
        <v>111</v>
      </c>
      <c r="C2545" t="s">
        <v>2590</v>
      </c>
      <c r="D2545">
        <v>3</v>
      </c>
      <c r="E2545" s="273">
        <v>4</v>
      </c>
      <c r="F2545" s="273" t="s">
        <v>7</v>
      </c>
      <c r="G2545" s="273" t="s">
        <v>11</v>
      </c>
      <c r="H2545" s="273" t="s">
        <v>11</v>
      </c>
    </row>
    <row r="2546" spans="1:8" x14ac:dyDescent="0.25">
      <c r="A2546" t="s">
        <v>55</v>
      </c>
      <c r="B2546" t="s">
        <v>111</v>
      </c>
      <c r="C2546" t="s">
        <v>1118</v>
      </c>
      <c r="D2546">
        <v>1</v>
      </c>
      <c r="E2546" s="273">
        <v>4</v>
      </c>
      <c r="F2546" s="273" t="s">
        <v>7</v>
      </c>
      <c r="G2546" s="273" t="s">
        <v>11</v>
      </c>
      <c r="H2546" s="273" t="s">
        <v>11</v>
      </c>
    </row>
    <row r="2547" spans="1:8" x14ac:dyDescent="0.25">
      <c r="A2547" t="s">
        <v>55</v>
      </c>
      <c r="B2547" t="s">
        <v>111</v>
      </c>
      <c r="C2547" t="s">
        <v>1231</v>
      </c>
      <c r="D2547">
        <v>1</v>
      </c>
      <c r="E2547" s="273">
        <v>4</v>
      </c>
      <c r="F2547" s="273" t="s">
        <v>7</v>
      </c>
      <c r="G2547" s="273" t="s">
        <v>11</v>
      </c>
      <c r="H2547" s="273" t="s">
        <v>11</v>
      </c>
    </row>
    <row r="2548" spans="1:8" x14ac:dyDescent="0.25">
      <c r="A2548" t="s">
        <v>55</v>
      </c>
      <c r="B2548" t="s">
        <v>111</v>
      </c>
      <c r="C2548" t="s">
        <v>1821</v>
      </c>
      <c r="D2548">
        <v>3</v>
      </c>
      <c r="E2548" s="273">
        <v>4</v>
      </c>
      <c r="F2548" s="273" t="s">
        <v>7</v>
      </c>
      <c r="G2548" s="273" t="s">
        <v>11</v>
      </c>
      <c r="H2548" s="273" t="s">
        <v>11</v>
      </c>
    </row>
    <row r="2549" spans="1:8" x14ac:dyDescent="0.25">
      <c r="A2549" t="s">
        <v>55</v>
      </c>
      <c r="B2549" t="s">
        <v>111</v>
      </c>
      <c r="C2549" t="s">
        <v>2591</v>
      </c>
      <c r="D2549">
        <v>2</v>
      </c>
      <c r="E2549" s="273">
        <v>4</v>
      </c>
      <c r="F2549" s="273" t="s">
        <v>7</v>
      </c>
      <c r="G2549" s="273" t="s">
        <v>11</v>
      </c>
      <c r="H2549" s="273" t="s">
        <v>11</v>
      </c>
    </row>
    <row r="2550" spans="1:8" x14ac:dyDescent="0.25">
      <c r="A2550" t="s">
        <v>55</v>
      </c>
      <c r="B2550" t="s">
        <v>111</v>
      </c>
      <c r="C2550" t="s">
        <v>1232</v>
      </c>
      <c r="D2550">
        <v>3</v>
      </c>
      <c r="E2550" s="273">
        <v>4</v>
      </c>
      <c r="F2550" s="273" t="s">
        <v>7</v>
      </c>
      <c r="G2550" s="273" t="s">
        <v>11</v>
      </c>
      <c r="H2550" s="273" t="s">
        <v>11</v>
      </c>
    </row>
    <row r="2551" spans="1:8" x14ac:dyDescent="0.25">
      <c r="A2551" t="s">
        <v>55</v>
      </c>
      <c r="B2551" t="s">
        <v>111</v>
      </c>
      <c r="C2551" t="s">
        <v>1823</v>
      </c>
      <c r="D2551">
        <v>2</v>
      </c>
      <c r="E2551" s="273">
        <v>4</v>
      </c>
      <c r="F2551" s="273" t="s">
        <v>7</v>
      </c>
      <c r="G2551" s="273" t="s">
        <v>11</v>
      </c>
      <c r="H2551" s="273" t="s">
        <v>11</v>
      </c>
    </row>
    <row r="2552" spans="1:8" x14ac:dyDescent="0.25">
      <c r="A2552" t="s">
        <v>55</v>
      </c>
      <c r="B2552" t="s">
        <v>111</v>
      </c>
      <c r="C2552" t="s">
        <v>2592</v>
      </c>
      <c r="D2552">
        <v>2</v>
      </c>
      <c r="E2552" s="273">
        <v>4</v>
      </c>
      <c r="F2552" s="273" t="s">
        <v>7</v>
      </c>
      <c r="G2552" s="273" t="s">
        <v>11</v>
      </c>
      <c r="H2552" s="273" t="s">
        <v>11</v>
      </c>
    </row>
    <row r="2553" spans="1:8" x14ac:dyDescent="0.25">
      <c r="A2553" t="s">
        <v>55</v>
      </c>
      <c r="B2553" t="s">
        <v>111</v>
      </c>
      <c r="C2553" t="s">
        <v>2500</v>
      </c>
      <c r="D2553">
        <v>2</v>
      </c>
      <c r="E2553" s="273">
        <v>3</v>
      </c>
      <c r="F2553" s="273" t="s">
        <v>7</v>
      </c>
      <c r="G2553" s="273" t="s">
        <v>11</v>
      </c>
      <c r="H2553" s="273" t="s">
        <v>11</v>
      </c>
    </row>
    <row r="2554" spans="1:8" x14ac:dyDescent="0.25">
      <c r="A2554" t="s">
        <v>55</v>
      </c>
      <c r="B2554" t="s">
        <v>111</v>
      </c>
      <c r="C2554" t="s">
        <v>1875</v>
      </c>
      <c r="D2554">
        <v>1</v>
      </c>
      <c r="E2554" s="273">
        <v>4</v>
      </c>
      <c r="F2554" s="273" t="s">
        <v>7</v>
      </c>
      <c r="G2554" s="273" t="s">
        <v>11</v>
      </c>
      <c r="H2554" s="273" t="s">
        <v>11</v>
      </c>
    </row>
    <row r="2555" spans="1:8" x14ac:dyDescent="0.25">
      <c r="A2555" t="s">
        <v>55</v>
      </c>
      <c r="B2555" t="s">
        <v>111</v>
      </c>
      <c r="C2555" t="s">
        <v>1127</v>
      </c>
      <c r="D2555">
        <v>2</v>
      </c>
      <c r="E2555" s="273">
        <v>4</v>
      </c>
      <c r="F2555" s="273" t="s">
        <v>7</v>
      </c>
      <c r="G2555" s="273" t="s">
        <v>11</v>
      </c>
      <c r="H2555" s="273" t="s">
        <v>11</v>
      </c>
    </row>
    <row r="2556" spans="1:8" x14ac:dyDescent="0.25">
      <c r="A2556" t="s">
        <v>55</v>
      </c>
      <c r="B2556" t="s">
        <v>111</v>
      </c>
      <c r="C2556" t="s">
        <v>2593</v>
      </c>
      <c r="D2556">
        <v>2</v>
      </c>
      <c r="E2556" s="273">
        <v>4</v>
      </c>
      <c r="F2556" s="273" t="s">
        <v>7</v>
      </c>
      <c r="G2556" s="273" t="s">
        <v>11</v>
      </c>
      <c r="H2556" s="273" t="s">
        <v>11</v>
      </c>
    </row>
    <row r="2557" spans="1:8" x14ac:dyDescent="0.25">
      <c r="A2557" t="s">
        <v>55</v>
      </c>
      <c r="B2557" t="s">
        <v>111</v>
      </c>
      <c r="C2557" t="s">
        <v>1129</v>
      </c>
      <c r="D2557">
        <v>2</v>
      </c>
      <c r="E2557" s="273">
        <v>4</v>
      </c>
      <c r="F2557" s="273" t="s">
        <v>7</v>
      </c>
      <c r="G2557" s="273" t="s">
        <v>11</v>
      </c>
      <c r="H2557" s="273" t="s">
        <v>11</v>
      </c>
    </row>
    <row r="2558" spans="1:8" x14ac:dyDescent="0.25">
      <c r="A2558" t="s">
        <v>55</v>
      </c>
      <c r="B2558" t="s">
        <v>111</v>
      </c>
      <c r="C2558" t="s">
        <v>2594</v>
      </c>
      <c r="D2558">
        <v>3</v>
      </c>
      <c r="E2558" s="273">
        <v>3</v>
      </c>
      <c r="F2558" s="273" t="s">
        <v>7</v>
      </c>
      <c r="G2558" s="273" t="s">
        <v>11</v>
      </c>
      <c r="H2558" s="273" t="s">
        <v>11</v>
      </c>
    </row>
    <row r="2559" spans="1:8" x14ac:dyDescent="0.25">
      <c r="A2559" t="s">
        <v>55</v>
      </c>
      <c r="B2559" t="s">
        <v>111</v>
      </c>
      <c r="C2559" t="s">
        <v>1611</v>
      </c>
      <c r="D2559">
        <v>3</v>
      </c>
      <c r="E2559" s="273">
        <v>4</v>
      </c>
      <c r="F2559" s="273" t="s">
        <v>7</v>
      </c>
      <c r="G2559" s="273" t="s">
        <v>11</v>
      </c>
      <c r="H2559" s="273" t="s">
        <v>11</v>
      </c>
    </row>
    <row r="2560" spans="1:8" x14ac:dyDescent="0.25">
      <c r="A2560" t="s">
        <v>55</v>
      </c>
      <c r="B2560" t="s">
        <v>111</v>
      </c>
      <c r="C2560" t="s">
        <v>2323</v>
      </c>
      <c r="D2560">
        <v>1</v>
      </c>
      <c r="E2560" s="273">
        <v>4</v>
      </c>
      <c r="F2560" s="273" t="s">
        <v>7</v>
      </c>
      <c r="G2560" s="273" t="s">
        <v>11</v>
      </c>
      <c r="H2560" s="273" t="s">
        <v>11</v>
      </c>
    </row>
    <row r="2561" spans="1:8" x14ac:dyDescent="0.25">
      <c r="A2561" t="s">
        <v>55</v>
      </c>
      <c r="B2561" t="s">
        <v>111</v>
      </c>
      <c r="C2561" t="s">
        <v>1486</v>
      </c>
      <c r="D2561">
        <v>2</v>
      </c>
      <c r="E2561" s="273">
        <v>4</v>
      </c>
      <c r="F2561" s="273" t="s">
        <v>7</v>
      </c>
      <c r="G2561" s="273" t="s">
        <v>11</v>
      </c>
      <c r="H2561" s="273" t="s">
        <v>11</v>
      </c>
    </row>
    <row r="2562" spans="1:8" x14ac:dyDescent="0.25">
      <c r="A2562" t="s">
        <v>55</v>
      </c>
      <c r="B2562" t="s">
        <v>111</v>
      </c>
      <c r="C2562" t="s">
        <v>1487</v>
      </c>
      <c r="D2562">
        <v>2</v>
      </c>
      <c r="E2562" s="273">
        <v>4</v>
      </c>
      <c r="F2562" s="273" t="s">
        <v>7</v>
      </c>
      <c r="G2562" s="273" t="s">
        <v>11</v>
      </c>
      <c r="H2562" s="273" t="s">
        <v>11</v>
      </c>
    </row>
    <row r="2563" spans="1:8" x14ac:dyDescent="0.25">
      <c r="A2563" t="s">
        <v>55</v>
      </c>
      <c r="B2563" t="s">
        <v>111</v>
      </c>
      <c r="C2563" t="s">
        <v>2595</v>
      </c>
      <c r="D2563">
        <v>2</v>
      </c>
      <c r="E2563" s="273">
        <v>4</v>
      </c>
      <c r="F2563" s="273" t="s">
        <v>7</v>
      </c>
      <c r="G2563" s="273" t="s">
        <v>11</v>
      </c>
      <c r="H2563" s="273" t="s">
        <v>11</v>
      </c>
    </row>
    <row r="2564" spans="1:8" x14ac:dyDescent="0.25">
      <c r="A2564" t="s">
        <v>55</v>
      </c>
      <c r="B2564" t="s">
        <v>111</v>
      </c>
      <c r="C2564" t="s">
        <v>2596</v>
      </c>
      <c r="D2564">
        <v>3</v>
      </c>
      <c r="E2564" s="273">
        <v>3</v>
      </c>
      <c r="F2564" s="273" t="s">
        <v>7</v>
      </c>
      <c r="G2564" s="273" t="s">
        <v>11</v>
      </c>
      <c r="H2564" s="273" t="s">
        <v>11</v>
      </c>
    </row>
    <row r="2565" spans="1:8" x14ac:dyDescent="0.25">
      <c r="A2565" t="s">
        <v>55</v>
      </c>
      <c r="B2565" t="s">
        <v>111</v>
      </c>
      <c r="C2565" t="s">
        <v>1142</v>
      </c>
      <c r="D2565">
        <v>3</v>
      </c>
      <c r="E2565" s="273">
        <v>3</v>
      </c>
      <c r="F2565" s="273" t="s">
        <v>7</v>
      </c>
      <c r="G2565" s="273" t="s">
        <v>11</v>
      </c>
      <c r="H2565" s="273" t="s">
        <v>11</v>
      </c>
    </row>
    <row r="2566" spans="1:8" x14ac:dyDescent="0.25">
      <c r="A2566" t="s">
        <v>55</v>
      </c>
      <c r="B2566" t="s">
        <v>111</v>
      </c>
      <c r="C2566" t="s">
        <v>2597</v>
      </c>
      <c r="D2566">
        <v>2</v>
      </c>
      <c r="E2566" s="273">
        <v>4</v>
      </c>
      <c r="F2566" s="273" t="s">
        <v>7</v>
      </c>
      <c r="G2566" s="273" t="s">
        <v>11</v>
      </c>
      <c r="H2566" s="273" t="s">
        <v>11</v>
      </c>
    </row>
    <row r="2567" spans="1:8" x14ac:dyDescent="0.25">
      <c r="A2567" t="s">
        <v>55</v>
      </c>
      <c r="B2567" t="s">
        <v>111</v>
      </c>
      <c r="C2567" t="s">
        <v>1143</v>
      </c>
      <c r="D2567">
        <v>3</v>
      </c>
      <c r="E2567" s="273">
        <v>4</v>
      </c>
      <c r="F2567" s="273" t="s">
        <v>7</v>
      </c>
      <c r="G2567" s="273" t="s">
        <v>11</v>
      </c>
      <c r="H2567" s="273" t="s">
        <v>11</v>
      </c>
    </row>
    <row r="2568" spans="1:8" x14ac:dyDescent="0.25">
      <c r="A2568" t="s">
        <v>55</v>
      </c>
      <c r="B2568" t="s">
        <v>111</v>
      </c>
      <c r="C2568" t="s">
        <v>1665</v>
      </c>
      <c r="D2568">
        <v>3</v>
      </c>
      <c r="E2568" s="273">
        <v>4</v>
      </c>
      <c r="F2568" s="273" t="s">
        <v>7</v>
      </c>
      <c r="G2568" s="273" t="s">
        <v>11</v>
      </c>
      <c r="H2568" s="273" t="s">
        <v>11</v>
      </c>
    </row>
    <row r="2569" spans="1:8" x14ac:dyDescent="0.25">
      <c r="A2569" t="s">
        <v>55</v>
      </c>
      <c r="B2569" t="s">
        <v>111</v>
      </c>
      <c r="C2569" t="s">
        <v>2598</v>
      </c>
      <c r="D2569">
        <v>1</v>
      </c>
      <c r="E2569" s="273">
        <v>4</v>
      </c>
      <c r="F2569" s="273" t="s">
        <v>7</v>
      </c>
      <c r="G2569" s="273" t="s">
        <v>11</v>
      </c>
      <c r="H2569" s="273" t="s">
        <v>11</v>
      </c>
    </row>
    <row r="2570" spans="1:8" x14ac:dyDescent="0.25">
      <c r="A2570" t="s">
        <v>55</v>
      </c>
      <c r="B2570" t="s">
        <v>111</v>
      </c>
      <c r="C2570" t="s">
        <v>2599</v>
      </c>
      <c r="D2570">
        <v>1</v>
      </c>
      <c r="E2570" s="273">
        <v>4</v>
      </c>
      <c r="F2570" s="273" t="s">
        <v>7</v>
      </c>
      <c r="G2570" s="273" t="s">
        <v>11</v>
      </c>
      <c r="H2570" s="273" t="s">
        <v>11</v>
      </c>
    </row>
    <row r="2571" spans="1:8" x14ac:dyDescent="0.25">
      <c r="A2571" t="s">
        <v>55</v>
      </c>
      <c r="B2571" t="s">
        <v>111</v>
      </c>
      <c r="C2571" t="s">
        <v>1145</v>
      </c>
      <c r="D2571">
        <v>1</v>
      </c>
      <c r="E2571" s="273">
        <v>4</v>
      </c>
      <c r="F2571" s="273" t="s">
        <v>7</v>
      </c>
      <c r="G2571" s="273" t="s">
        <v>11</v>
      </c>
      <c r="H2571" s="273" t="s">
        <v>11</v>
      </c>
    </row>
    <row r="2572" spans="1:8" x14ac:dyDescent="0.25">
      <c r="A2572" t="s">
        <v>55</v>
      </c>
      <c r="B2572" t="s">
        <v>111</v>
      </c>
      <c r="C2572" t="s">
        <v>1618</v>
      </c>
      <c r="D2572">
        <v>3</v>
      </c>
      <c r="E2572" s="273">
        <v>4</v>
      </c>
      <c r="F2572" s="273" t="s">
        <v>7</v>
      </c>
      <c r="G2572" s="273" t="s">
        <v>11</v>
      </c>
      <c r="H2572" s="273" t="s">
        <v>11</v>
      </c>
    </row>
    <row r="2573" spans="1:8" x14ac:dyDescent="0.25">
      <c r="A2573" t="s">
        <v>55</v>
      </c>
      <c r="B2573" t="s">
        <v>111</v>
      </c>
      <c r="C2573" t="s">
        <v>2600</v>
      </c>
      <c r="D2573">
        <v>1</v>
      </c>
      <c r="E2573" s="273">
        <v>4</v>
      </c>
      <c r="F2573" s="273" t="s">
        <v>7</v>
      </c>
      <c r="G2573" s="273" t="s">
        <v>11</v>
      </c>
      <c r="H2573" s="273" t="s">
        <v>11</v>
      </c>
    </row>
    <row r="2574" spans="1:8" x14ac:dyDescent="0.25">
      <c r="A2574" t="s">
        <v>55</v>
      </c>
      <c r="B2574" t="s">
        <v>111</v>
      </c>
      <c r="C2574" t="s">
        <v>1423</v>
      </c>
      <c r="D2574">
        <v>2</v>
      </c>
      <c r="E2574" s="273">
        <v>4</v>
      </c>
      <c r="F2574" s="273" t="s">
        <v>7</v>
      </c>
      <c r="G2574" s="273" t="s">
        <v>11</v>
      </c>
      <c r="H2574" s="273" t="s">
        <v>11</v>
      </c>
    </row>
    <row r="2575" spans="1:8" x14ac:dyDescent="0.25">
      <c r="A2575" t="s">
        <v>55</v>
      </c>
      <c r="B2575" t="s">
        <v>111</v>
      </c>
      <c r="C2575" t="s">
        <v>1507</v>
      </c>
      <c r="D2575">
        <v>1</v>
      </c>
      <c r="E2575" s="273">
        <v>4</v>
      </c>
      <c r="F2575" s="273" t="s">
        <v>7</v>
      </c>
      <c r="G2575" s="273" t="s">
        <v>11</v>
      </c>
      <c r="H2575" s="273" t="s">
        <v>11</v>
      </c>
    </row>
    <row r="2576" spans="1:8" x14ac:dyDescent="0.25">
      <c r="A2576" t="s">
        <v>55</v>
      </c>
      <c r="B2576" t="s">
        <v>111</v>
      </c>
      <c r="C2576" t="s">
        <v>2601</v>
      </c>
      <c r="D2576">
        <v>3</v>
      </c>
      <c r="E2576" s="273">
        <v>3</v>
      </c>
      <c r="F2576" s="273" t="s">
        <v>7</v>
      </c>
      <c r="G2576" s="273" t="s">
        <v>11</v>
      </c>
      <c r="H2576" s="273" t="s">
        <v>11</v>
      </c>
    </row>
    <row r="2577" spans="1:8" x14ac:dyDescent="0.25">
      <c r="A2577" t="s">
        <v>55</v>
      </c>
      <c r="B2577" t="s">
        <v>111</v>
      </c>
      <c r="C2577" t="s">
        <v>1619</v>
      </c>
      <c r="D2577">
        <v>2</v>
      </c>
      <c r="E2577" s="273">
        <v>3</v>
      </c>
      <c r="F2577" s="273" t="s">
        <v>7</v>
      </c>
      <c r="G2577" s="273" t="s">
        <v>11</v>
      </c>
      <c r="H2577" s="273" t="s">
        <v>11</v>
      </c>
    </row>
    <row r="2578" spans="1:8" x14ac:dyDescent="0.25">
      <c r="A2578" t="s">
        <v>55</v>
      </c>
      <c r="B2578" t="s">
        <v>111</v>
      </c>
      <c r="C2578" t="s">
        <v>2602</v>
      </c>
      <c r="D2578">
        <v>1</v>
      </c>
      <c r="E2578" s="273">
        <v>4</v>
      </c>
      <c r="F2578" s="273" t="s">
        <v>7</v>
      </c>
      <c r="G2578" s="273" t="s">
        <v>11</v>
      </c>
      <c r="H2578" s="273" t="s">
        <v>11</v>
      </c>
    </row>
    <row r="2579" spans="1:8" x14ac:dyDescent="0.25">
      <c r="A2579" t="s">
        <v>55</v>
      </c>
      <c r="B2579" t="s">
        <v>111</v>
      </c>
      <c r="C2579" t="s">
        <v>2334</v>
      </c>
      <c r="D2579">
        <v>3</v>
      </c>
      <c r="E2579" s="273">
        <v>3</v>
      </c>
      <c r="F2579" s="273" t="s">
        <v>7</v>
      </c>
      <c r="G2579" s="273" t="s">
        <v>11</v>
      </c>
      <c r="H2579" s="273" t="s">
        <v>11</v>
      </c>
    </row>
    <row r="2580" spans="1:8" x14ac:dyDescent="0.25">
      <c r="A2580" t="s">
        <v>55</v>
      </c>
      <c r="B2580" t="s">
        <v>111</v>
      </c>
      <c r="C2580" t="s">
        <v>1620</v>
      </c>
      <c r="D2580">
        <v>2</v>
      </c>
      <c r="E2580" s="273">
        <v>3</v>
      </c>
      <c r="F2580" s="273" t="s">
        <v>7</v>
      </c>
      <c r="G2580" s="273" t="s">
        <v>11</v>
      </c>
      <c r="H2580" s="273" t="s">
        <v>11</v>
      </c>
    </row>
    <row r="2581" spans="1:8" x14ac:dyDescent="0.25">
      <c r="A2581" t="s">
        <v>55</v>
      </c>
      <c r="B2581" t="s">
        <v>111</v>
      </c>
      <c r="C2581" t="s">
        <v>1147</v>
      </c>
      <c r="D2581">
        <v>3</v>
      </c>
      <c r="E2581" s="273">
        <v>4</v>
      </c>
      <c r="F2581" s="273" t="s">
        <v>7</v>
      </c>
      <c r="G2581" s="273" t="s">
        <v>11</v>
      </c>
      <c r="H2581" s="273" t="s">
        <v>11</v>
      </c>
    </row>
    <row r="2582" spans="1:8" x14ac:dyDescent="0.25">
      <c r="A2582" t="s">
        <v>55</v>
      </c>
      <c r="B2582" t="s">
        <v>111</v>
      </c>
      <c r="C2582" t="s">
        <v>1835</v>
      </c>
      <c r="D2582">
        <v>1</v>
      </c>
      <c r="E2582" s="273">
        <v>4</v>
      </c>
      <c r="F2582" s="273" t="s">
        <v>7</v>
      </c>
      <c r="G2582" s="273" t="s">
        <v>11</v>
      </c>
      <c r="H2582" s="273" t="s">
        <v>11</v>
      </c>
    </row>
    <row r="2583" spans="1:8" x14ac:dyDescent="0.25">
      <c r="A2583" t="s">
        <v>55</v>
      </c>
      <c r="B2583" t="s">
        <v>111</v>
      </c>
      <c r="C2583" t="s">
        <v>1148</v>
      </c>
      <c r="D2583">
        <v>2</v>
      </c>
      <c r="E2583" s="273">
        <v>4</v>
      </c>
      <c r="F2583" s="273" t="s">
        <v>7</v>
      </c>
      <c r="G2583" s="273" t="s">
        <v>11</v>
      </c>
      <c r="H2583" s="273" t="s">
        <v>11</v>
      </c>
    </row>
    <row r="2584" spans="1:8" x14ac:dyDescent="0.25">
      <c r="A2584" t="s">
        <v>55</v>
      </c>
      <c r="B2584" t="s">
        <v>111</v>
      </c>
      <c r="C2584" t="s">
        <v>2082</v>
      </c>
      <c r="D2584">
        <v>1</v>
      </c>
      <c r="E2584" s="273">
        <v>4</v>
      </c>
      <c r="F2584" s="273" t="s">
        <v>7</v>
      </c>
      <c r="G2584" s="273" t="s">
        <v>11</v>
      </c>
      <c r="H2584" s="273" t="s">
        <v>11</v>
      </c>
    </row>
    <row r="2585" spans="1:8" x14ac:dyDescent="0.25">
      <c r="A2585" t="s">
        <v>55</v>
      </c>
      <c r="B2585" t="s">
        <v>111</v>
      </c>
      <c r="C2585" t="s">
        <v>1149</v>
      </c>
      <c r="D2585">
        <v>1</v>
      </c>
      <c r="E2585" s="273">
        <v>4</v>
      </c>
      <c r="F2585" s="273" t="s">
        <v>7</v>
      </c>
      <c r="G2585" s="273" t="s">
        <v>11</v>
      </c>
      <c r="H2585" s="273" t="s">
        <v>11</v>
      </c>
    </row>
    <row r="2586" spans="1:8" x14ac:dyDescent="0.25">
      <c r="A2586" t="s">
        <v>55</v>
      </c>
      <c r="B2586" t="s">
        <v>111</v>
      </c>
      <c r="C2586" t="s">
        <v>1150</v>
      </c>
      <c r="D2586">
        <v>1</v>
      </c>
      <c r="E2586" s="273">
        <v>4</v>
      </c>
      <c r="F2586" s="273" t="s">
        <v>7</v>
      </c>
      <c r="G2586" s="273" t="s">
        <v>11</v>
      </c>
      <c r="H2586" s="273" t="s">
        <v>11</v>
      </c>
    </row>
    <row r="2587" spans="1:8" x14ac:dyDescent="0.25">
      <c r="A2587" t="s">
        <v>55</v>
      </c>
      <c r="B2587" t="s">
        <v>111</v>
      </c>
      <c r="C2587" t="s">
        <v>1253</v>
      </c>
      <c r="D2587">
        <v>2</v>
      </c>
      <c r="E2587" s="273">
        <v>4</v>
      </c>
      <c r="F2587" s="273" t="s">
        <v>7</v>
      </c>
      <c r="G2587" s="273" t="s">
        <v>11</v>
      </c>
      <c r="H2587" s="273" t="s">
        <v>11</v>
      </c>
    </row>
    <row r="2588" spans="1:8" x14ac:dyDescent="0.25">
      <c r="A2588" t="s">
        <v>55</v>
      </c>
      <c r="B2588" t="s">
        <v>111</v>
      </c>
      <c r="C2588" t="s">
        <v>1627</v>
      </c>
      <c r="D2588">
        <v>1</v>
      </c>
      <c r="E2588" s="273">
        <v>4</v>
      </c>
      <c r="F2588" s="273" t="s">
        <v>7</v>
      </c>
      <c r="G2588" s="273" t="s">
        <v>11</v>
      </c>
      <c r="H2588" s="273" t="s">
        <v>11</v>
      </c>
    </row>
    <row r="2589" spans="1:8" x14ac:dyDescent="0.25">
      <c r="A2589" t="s">
        <v>55</v>
      </c>
      <c r="B2589" t="s">
        <v>111</v>
      </c>
      <c r="C2589" t="s">
        <v>1299</v>
      </c>
      <c r="D2589">
        <v>3</v>
      </c>
      <c r="E2589" s="273">
        <v>3</v>
      </c>
      <c r="F2589" s="273" t="s">
        <v>7</v>
      </c>
      <c r="G2589" s="273" t="s">
        <v>11</v>
      </c>
      <c r="H2589" s="273" t="s">
        <v>11</v>
      </c>
    </row>
    <row r="2590" spans="1:8" x14ac:dyDescent="0.25">
      <c r="A2590" t="s">
        <v>55</v>
      </c>
      <c r="B2590" t="s">
        <v>111</v>
      </c>
      <c r="C2590" t="s">
        <v>1152</v>
      </c>
      <c r="D2590">
        <v>3</v>
      </c>
      <c r="E2590" s="273">
        <v>3</v>
      </c>
      <c r="F2590" s="273" t="s">
        <v>7</v>
      </c>
      <c r="G2590" s="273" t="s">
        <v>11</v>
      </c>
      <c r="H2590" s="273" t="s">
        <v>11</v>
      </c>
    </row>
    <row r="2591" spans="1:8" x14ac:dyDescent="0.25">
      <c r="A2591" t="s">
        <v>55</v>
      </c>
      <c r="B2591" t="s">
        <v>111</v>
      </c>
      <c r="C2591" t="s">
        <v>1153</v>
      </c>
      <c r="D2591">
        <v>1</v>
      </c>
      <c r="E2591" s="273">
        <v>4</v>
      </c>
      <c r="F2591" s="273" t="s">
        <v>7</v>
      </c>
      <c r="G2591" s="273" t="s">
        <v>11</v>
      </c>
      <c r="H2591" s="273" t="s">
        <v>11</v>
      </c>
    </row>
    <row r="2592" spans="1:8" x14ac:dyDescent="0.25">
      <c r="A2592" t="s">
        <v>55</v>
      </c>
      <c r="B2592" t="s">
        <v>111</v>
      </c>
      <c r="C2592" t="s">
        <v>1591</v>
      </c>
      <c r="D2592">
        <v>1</v>
      </c>
      <c r="E2592" s="273">
        <v>4</v>
      </c>
      <c r="F2592" s="273" t="s">
        <v>7</v>
      </c>
      <c r="G2592" s="273" t="s">
        <v>11</v>
      </c>
      <c r="H2592" s="273" t="s">
        <v>11</v>
      </c>
    </row>
    <row r="2593" spans="1:8" x14ac:dyDescent="0.25">
      <c r="A2593" t="s">
        <v>55</v>
      </c>
      <c r="B2593" t="s">
        <v>111</v>
      </c>
      <c r="C2593" t="s">
        <v>1255</v>
      </c>
      <c r="D2593">
        <v>1</v>
      </c>
      <c r="E2593" s="273">
        <v>4</v>
      </c>
      <c r="F2593" s="273" t="s">
        <v>7</v>
      </c>
      <c r="G2593" s="273" t="s">
        <v>11</v>
      </c>
      <c r="H2593" s="273" t="s">
        <v>11</v>
      </c>
    </row>
    <row r="2594" spans="1:8" x14ac:dyDescent="0.25">
      <c r="A2594" t="s">
        <v>55</v>
      </c>
      <c r="B2594" t="s">
        <v>111</v>
      </c>
      <c r="C2594" t="s">
        <v>2603</v>
      </c>
      <c r="D2594">
        <v>1</v>
      </c>
      <c r="E2594" s="273">
        <v>4</v>
      </c>
      <c r="F2594" s="273" t="s">
        <v>7</v>
      </c>
      <c r="G2594" s="273" t="s">
        <v>11</v>
      </c>
      <c r="H2594" s="273" t="s">
        <v>11</v>
      </c>
    </row>
    <row r="2595" spans="1:8" x14ac:dyDescent="0.25">
      <c r="A2595" t="s">
        <v>55</v>
      </c>
      <c r="B2595" t="s">
        <v>111</v>
      </c>
      <c r="C2595" t="s">
        <v>1157</v>
      </c>
      <c r="D2595">
        <v>2</v>
      </c>
      <c r="E2595" s="273">
        <v>4</v>
      </c>
      <c r="F2595" s="273" t="s">
        <v>7</v>
      </c>
      <c r="G2595" s="273" t="s">
        <v>11</v>
      </c>
      <c r="H2595" s="273" t="s">
        <v>11</v>
      </c>
    </row>
    <row r="2596" spans="1:8" x14ac:dyDescent="0.25">
      <c r="A2596" t="s">
        <v>55</v>
      </c>
      <c r="B2596" t="s">
        <v>111</v>
      </c>
      <c r="C2596" t="s">
        <v>1158</v>
      </c>
      <c r="D2596">
        <v>3</v>
      </c>
      <c r="E2596" s="273">
        <v>3</v>
      </c>
      <c r="F2596" s="273" t="s">
        <v>7</v>
      </c>
      <c r="G2596" s="273" t="s">
        <v>11</v>
      </c>
      <c r="H2596" s="273" t="s">
        <v>11</v>
      </c>
    </row>
    <row r="2597" spans="1:8" x14ac:dyDescent="0.25">
      <c r="A2597" t="s">
        <v>55</v>
      </c>
      <c r="B2597" t="s">
        <v>111</v>
      </c>
      <c r="C2597" t="s">
        <v>1160</v>
      </c>
      <c r="D2597">
        <v>3</v>
      </c>
      <c r="E2597" s="273">
        <v>4</v>
      </c>
      <c r="F2597" s="273" t="s">
        <v>7</v>
      </c>
      <c r="G2597" s="273" t="s">
        <v>11</v>
      </c>
      <c r="H2597" s="273" t="s">
        <v>11</v>
      </c>
    </row>
    <row r="2598" spans="1:8" x14ac:dyDescent="0.25">
      <c r="A2598" t="s">
        <v>55</v>
      </c>
      <c r="B2598" t="s">
        <v>111</v>
      </c>
      <c r="C2598" t="s">
        <v>1161</v>
      </c>
      <c r="D2598">
        <v>1</v>
      </c>
      <c r="E2598" s="273">
        <v>4</v>
      </c>
      <c r="F2598" s="273" t="s">
        <v>7</v>
      </c>
      <c r="G2598" s="273" t="s">
        <v>11</v>
      </c>
      <c r="H2598" s="273" t="s">
        <v>11</v>
      </c>
    </row>
    <row r="2599" spans="1:8" x14ac:dyDescent="0.25">
      <c r="A2599" t="s">
        <v>55</v>
      </c>
      <c r="B2599" t="s">
        <v>111</v>
      </c>
      <c r="C2599" t="s">
        <v>2604</v>
      </c>
      <c r="D2599">
        <v>1</v>
      </c>
      <c r="E2599" s="273">
        <v>4</v>
      </c>
      <c r="F2599" s="273" t="s">
        <v>7</v>
      </c>
      <c r="G2599" s="273" t="s">
        <v>11</v>
      </c>
      <c r="H2599" s="273" t="s">
        <v>11</v>
      </c>
    </row>
    <row r="2600" spans="1:8" x14ac:dyDescent="0.25">
      <c r="A2600" t="s">
        <v>55</v>
      </c>
      <c r="B2600" t="s">
        <v>111</v>
      </c>
      <c r="C2600" t="s">
        <v>2605</v>
      </c>
      <c r="D2600">
        <v>1</v>
      </c>
      <c r="E2600" s="273">
        <v>4</v>
      </c>
      <c r="F2600" s="273" t="s">
        <v>7</v>
      </c>
      <c r="G2600" s="273" t="s">
        <v>11</v>
      </c>
      <c r="H2600" s="273" t="s">
        <v>11</v>
      </c>
    </row>
    <row r="2601" spans="1:8" x14ac:dyDescent="0.25">
      <c r="A2601" t="s">
        <v>55</v>
      </c>
      <c r="B2601" t="s">
        <v>111</v>
      </c>
      <c r="C2601" t="s">
        <v>2606</v>
      </c>
      <c r="D2601">
        <v>2</v>
      </c>
      <c r="E2601" s="273">
        <v>3</v>
      </c>
      <c r="F2601" s="273" t="s">
        <v>7</v>
      </c>
      <c r="G2601" s="273" t="s">
        <v>11</v>
      </c>
      <c r="H2601" s="273" t="s">
        <v>11</v>
      </c>
    </row>
    <row r="2602" spans="1:8" x14ac:dyDescent="0.25">
      <c r="A2602" t="s">
        <v>55</v>
      </c>
      <c r="B2602" t="s">
        <v>111</v>
      </c>
      <c r="C2602" t="s">
        <v>2420</v>
      </c>
      <c r="D2602">
        <v>1</v>
      </c>
      <c r="E2602" s="273">
        <v>4</v>
      </c>
      <c r="F2602" s="273" t="s">
        <v>7</v>
      </c>
      <c r="G2602" s="273" t="s">
        <v>11</v>
      </c>
      <c r="H2602" s="273" t="s">
        <v>11</v>
      </c>
    </row>
    <row r="2603" spans="1:8" x14ac:dyDescent="0.25">
      <c r="A2603" t="s">
        <v>55</v>
      </c>
      <c r="B2603" t="s">
        <v>111</v>
      </c>
      <c r="C2603" t="s">
        <v>1163</v>
      </c>
      <c r="D2603">
        <v>1</v>
      </c>
      <c r="E2603" s="273">
        <v>4</v>
      </c>
      <c r="F2603" s="273" t="s">
        <v>7</v>
      </c>
      <c r="G2603" s="273" t="s">
        <v>11</v>
      </c>
      <c r="H2603" s="273" t="s">
        <v>11</v>
      </c>
    </row>
    <row r="2604" spans="1:8" x14ac:dyDescent="0.25">
      <c r="A2604" t="s">
        <v>55</v>
      </c>
      <c r="B2604" t="s">
        <v>111</v>
      </c>
      <c r="C2604" t="s">
        <v>1164</v>
      </c>
      <c r="D2604">
        <v>2</v>
      </c>
      <c r="E2604" s="273">
        <v>4</v>
      </c>
      <c r="F2604" s="273" t="s">
        <v>7</v>
      </c>
      <c r="G2604" s="273" t="s">
        <v>11</v>
      </c>
      <c r="H2604" s="273" t="s">
        <v>11</v>
      </c>
    </row>
    <row r="2605" spans="1:8" x14ac:dyDescent="0.25">
      <c r="A2605" t="s">
        <v>55</v>
      </c>
      <c r="B2605" t="s">
        <v>111</v>
      </c>
      <c r="C2605" t="s">
        <v>2343</v>
      </c>
      <c r="D2605">
        <v>1</v>
      </c>
      <c r="E2605" s="273">
        <v>4</v>
      </c>
      <c r="F2605" s="273" t="s">
        <v>7</v>
      </c>
      <c r="G2605" s="273" t="s">
        <v>11</v>
      </c>
      <c r="H2605" s="273" t="s">
        <v>11</v>
      </c>
    </row>
    <row r="2606" spans="1:8" x14ac:dyDescent="0.25">
      <c r="A2606" t="s">
        <v>55</v>
      </c>
      <c r="B2606" t="s">
        <v>111</v>
      </c>
      <c r="C2606" t="s">
        <v>1165</v>
      </c>
      <c r="D2606">
        <v>3</v>
      </c>
      <c r="E2606" s="273">
        <v>4</v>
      </c>
      <c r="F2606" s="273" t="s">
        <v>7</v>
      </c>
      <c r="G2606" s="273" t="s">
        <v>11</v>
      </c>
      <c r="H2606" s="273" t="s">
        <v>11</v>
      </c>
    </row>
    <row r="2607" spans="1:8" x14ac:dyDescent="0.25">
      <c r="A2607" t="s">
        <v>55</v>
      </c>
      <c r="B2607" t="s">
        <v>111</v>
      </c>
      <c r="C2607" t="s">
        <v>2607</v>
      </c>
      <c r="D2607">
        <v>3</v>
      </c>
      <c r="E2607" s="273">
        <v>4</v>
      </c>
      <c r="F2607" s="273" t="s">
        <v>7</v>
      </c>
      <c r="G2607" s="273" t="s">
        <v>11</v>
      </c>
      <c r="H2607" s="273" t="s">
        <v>11</v>
      </c>
    </row>
    <row r="2608" spans="1:8" x14ac:dyDescent="0.25">
      <c r="A2608" t="s">
        <v>55</v>
      </c>
      <c r="B2608" t="s">
        <v>111</v>
      </c>
      <c r="C2608" t="s">
        <v>2608</v>
      </c>
      <c r="D2608">
        <v>2</v>
      </c>
      <c r="E2608" s="273">
        <v>4</v>
      </c>
      <c r="F2608" s="273" t="s">
        <v>7</v>
      </c>
      <c r="G2608" s="273" t="s">
        <v>11</v>
      </c>
      <c r="H2608" s="273" t="s">
        <v>11</v>
      </c>
    </row>
    <row r="2609" spans="1:8" x14ac:dyDescent="0.25">
      <c r="A2609" t="s">
        <v>55</v>
      </c>
      <c r="B2609" t="s">
        <v>111</v>
      </c>
      <c r="C2609" t="s">
        <v>1166</v>
      </c>
      <c r="D2609">
        <v>1</v>
      </c>
      <c r="E2609" s="273">
        <v>4</v>
      </c>
      <c r="F2609" s="273" t="s">
        <v>7</v>
      </c>
      <c r="G2609" s="273" t="s">
        <v>11</v>
      </c>
      <c r="H2609" s="273" t="s">
        <v>11</v>
      </c>
    </row>
    <row r="2610" spans="1:8" x14ac:dyDescent="0.25">
      <c r="A2610" t="s">
        <v>55</v>
      </c>
      <c r="B2610" t="s">
        <v>111</v>
      </c>
      <c r="C2610" t="s">
        <v>2609</v>
      </c>
      <c r="D2610">
        <v>2</v>
      </c>
      <c r="E2610" s="273">
        <v>4</v>
      </c>
      <c r="F2610" s="273" t="s">
        <v>7</v>
      </c>
      <c r="G2610" s="273" t="s">
        <v>11</v>
      </c>
      <c r="H2610" s="273" t="s">
        <v>11</v>
      </c>
    </row>
    <row r="2611" spans="1:8" x14ac:dyDescent="0.25">
      <c r="A2611" t="s">
        <v>55</v>
      </c>
      <c r="B2611" t="s">
        <v>111</v>
      </c>
      <c r="C2611" t="s">
        <v>1266</v>
      </c>
      <c r="D2611">
        <v>2</v>
      </c>
      <c r="E2611" s="273">
        <v>4</v>
      </c>
      <c r="F2611" s="273" t="s">
        <v>7</v>
      </c>
      <c r="G2611" s="273" t="s">
        <v>11</v>
      </c>
      <c r="H2611" s="273" t="s">
        <v>11</v>
      </c>
    </row>
    <row r="2612" spans="1:8" x14ac:dyDescent="0.25">
      <c r="A2612" t="s">
        <v>55</v>
      </c>
      <c r="B2612" t="s">
        <v>111</v>
      </c>
      <c r="C2612" t="s">
        <v>1444</v>
      </c>
      <c r="D2612">
        <v>2</v>
      </c>
      <c r="E2612" s="273">
        <v>4</v>
      </c>
      <c r="F2612" s="273" t="s">
        <v>7</v>
      </c>
      <c r="G2612" s="273" t="s">
        <v>11</v>
      </c>
      <c r="H2612" s="273" t="s">
        <v>11</v>
      </c>
    </row>
    <row r="2613" spans="1:8" x14ac:dyDescent="0.25">
      <c r="A2613" t="s">
        <v>55</v>
      </c>
      <c r="B2613" t="s">
        <v>111</v>
      </c>
      <c r="C2613" t="s">
        <v>2610</v>
      </c>
      <c r="D2613">
        <v>3</v>
      </c>
      <c r="E2613" s="273">
        <v>4</v>
      </c>
      <c r="F2613" s="273" t="s">
        <v>7</v>
      </c>
      <c r="G2613" s="273" t="s">
        <v>11</v>
      </c>
      <c r="H2613" s="273" t="s">
        <v>11</v>
      </c>
    </row>
    <row r="2614" spans="1:8" x14ac:dyDescent="0.25">
      <c r="A2614" t="s">
        <v>55</v>
      </c>
      <c r="B2614" t="s">
        <v>111</v>
      </c>
      <c r="C2614" t="s">
        <v>2611</v>
      </c>
      <c r="D2614">
        <v>1</v>
      </c>
      <c r="E2614" s="273">
        <v>4</v>
      </c>
      <c r="F2614" s="273" t="s">
        <v>7</v>
      </c>
      <c r="G2614" s="273" t="s">
        <v>11</v>
      </c>
      <c r="H2614" s="273" t="s">
        <v>11</v>
      </c>
    </row>
    <row r="2615" spans="1:8" x14ac:dyDescent="0.25">
      <c r="A2615" t="s">
        <v>55</v>
      </c>
      <c r="B2615" t="s">
        <v>111</v>
      </c>
      <c r="C2615" t="s">
        <v>1856</v>
      </c>
      <c r="D2615">
        <v>2</v>
      </c>
      <c r="E2615" s="273">
        <v>4</v>
      </c>
      <c r="F2615" s="273" t="s">
        <v>7</v>
      </c>
      <c r="G2615" s="273" t="s">
        <v>11</v>
      </c>
      <c r="H2615" s="273" t="s">
        <v>11</v>
      </c>
    </row>
    <row r="2616" spans="1:8" x14ac:dyDescent="0.25">
      <c r="A2616" t="s">
        <v>55</v>
      </c>
      <c r="B2616" t="s">
        <v>111</v>
      </c>
      <c r="C2616" t="s">
        <v>2355</v>
      </c>
      <c r="D2616">
        <v>1</v>
      </c>
      <c r="E2616" s="273">
        <v>4</v>
      </c>
      <c r="F2616" s="273" t="s">
        <v>7</v>
      </c>
      <c r="G2616" s="273" t="s">
        <v>11</v>
      </c>
      <c r="H2616" s="273" t="s">
        <v>11</v>
      </c>
    </row>
    <row r="2617" spans="1:8" x14ac:dyDescent="0.25">
      <c r="A2617" t="s">
        <v>55</v>
      </c>
      <c r="B2617" t="s">
        <v>111</v>
      </c>
      <c r="C2617" t="s">
        <v>1272</v>
      </c>
      <c r="D2617">
        <v>3</v>
      </c>
      <c r="E2617" s="273">
        <v>4</v>
      </c>
      <c r="F2617" s="273" t="s">
        <v>7</v>
      </c>
      <c r="G2617" s="273" t="s">
        <v>11</v>
      </c>
      <c r="H2617" s="273" t="s">
        <v>11</v>
      </c>
    </row>
    <row r="2618" spans="1:8" x14ac:dyDescent="0.25">
      <c r="A2618" t="s">
        <v>55</v>
      </c>
      <c r="B2618" t="s">
        <v>111</v>
      </c>
      <c r="C2618" t="s">
        <v>2612</v>
      </c>
      <c r="D2618">
        <v>3</v>
      </c>
      <c r="E2618" s="273">
        <v>4</v>
      </c>
      <c r="F2618" s="273" t="s">
        <v>7</v>
      </c>
      <c r="G2618" s="273" t="s">
        <v>11</v>
      </c>
      <c r="H2618" s="273" t="s">
        <v>11</v>
      </c>
    </row>
    <row r="2619" spans="1:8" x14ac:dyDescent="0.25">
      <c r="A2619" t="s">
        <v>55</v>
      </c>
      <c r="B2619" t="s">
        <v>111</v>
      </c>
      <c r="C2619" t="s">
        <v>1275</v>
      </c>
      <c r="D2619">
        <v>2</v>
      </c>
      <c r="E2619" s="273">
        <v>4</v>
      </c>
      <c r="F2619" s="273" t="s">
        <v>7</v>
      </c>
      <c r="G2619" s="273" t="s">
        <v>11</v>
      </c>
      <c r="H2619" s="273" t="s">
        <v>11</v>
      </c>
    </row>
    <row r="2620" spans="1:8" x14ac:dyDescent="0.25">
      <c r="A2620" t="s">
        <v>55</v>
      </c>
      <c r="B2620" t="s">
        <v>111</v>
      </c>
      <c r="C2620" t="s">
        <v>1172</v>
      </c>
      <c r="D2620">
        <v>3</v>
      </c>
      <c r="E2620" s="273">
        <v>3</v>
      </c>
      <c r="F2620" s="273" t="s">
        <v>7</v>
      </c>
      <c r="G2620" s="273" t="s">
        <v>11</v>
      </c>
      <c r="H2620" s="273" t="s">
        <v>11</v>
      </c>
    </row>
    <row r="2621" spans="1:8" x14ac:dyDescent="0.25">
      <c r="A2621" t="s">
        <v>55</v>
      </c>
      <c r="B2621" t="s">
        <v>111</v>
      </c>
      <c r="C2621" t="s">
        <v>1797</v>
      </c>
      <c r="D2621">
        <v>1</v>
      </c>
      <c r="E2621" s="273">
        <v>4</v>
      </c>
      <c r="F2621" s="273" t="s">
        <v>7</v>
      </c>
      <c r="G2621" s="273" t="s">
        <v>11</v>
      </c>
      <c r="H2621" s="273" t="s">
        <v>11</v>
      </c>
    </row>
    <row r="2622" spans="1:8" x14ac:dyDescent="0.25">
      <c r="A2622" t="s">
        <v>55</v>
      </c>
      <c r="B2622" t="s">
        <v>111</v>
      </c>
      <c r="C2622" t="s">
        <v>1540</v>
      </c>
      <c r="D2622">
        <v>2</v>
      </c>
      <c r="E2622" s="273">
        <v>4</v>
      </c>
      <c r="F2622" s="273" t="s">
        <v>7</v>
      </c>
      <c r="G2622" s="273" t="s">
        <v>11</v>
      </c>
      <c r="H2622" s="273" t="s">
        <v>11</v>
      </c>
    </row>
    <row r="2623" spans="1:8" x14ac:dyDescent="0.25">
      <c r="A2623" t="s">
        <v>55</v>
      </c>
      <c r="B2623" t="s">
        <v>111</v>
      </c>
      <c r="C2623" t="s">
        <v>1687</v>
      </c>
      <c r="D2623">
        <v>1</v>
      </c>
      <c r="E2623" s="273">
        <v>4</v>
      </c>
      <c r="F2623" s="273" t="s">
        <v>7</v>
      </c>
      <c r="G2623" s="273" t="s">
        <v>11</v>
      </c>
      <c r="H2623" s="273" t="s">
        <v>11</v>
      </c>
    </row>
    <row r="2624" spans="1:8" x14ac:dyDescent="0.25">
      <c r="A2624" t="s">
        <v>55</v>
      </c>
      <c r="B2624" t="s">
        <v>111</v>
      </c>
      <c r="C2624" t="s">
        <v>1801</v>
      </c>
      <c r="D2624">
        <v>2</v>
      </c>
      <c r="E2624" s="273">
        <v>4</v>
      </c>
      <c r="F2624" s="273" t="s">
        <v>7</v>
      </c>
      <c r="G2624" s="273" t="s">
        <v>11</v>
      </c>
      <c r="H2624" s="273" t="s">
        <v>11</v>
      </c>
    </row>
    <row r="2625" spans="1:8" x14ac:dyDescent="0.25">
      <c r="A2625" t="s">
        <v>55</v>
      </c>
      <c r="B2625" t="s">
        <v>111</v>
      </c>
      <c r="C2625" t="s">
        <v>1690</v>
      </c>
      <c r="D2625">
        <v>3</v>
      </c>
      <c r="E2625" s="273">
        <v>3</v>
      </c>
      <c r="F2625" s="273" t="s">
        <v>7</v>
      </c>
      <c r="G2625" s="273" t="s">
        <v>11</v>
      </c>
      <c r="H2625" s="273" t="s">
        <v>11</v>
      </c>
    </row>
    <row r="2626" spans="1:8" x14ac:dyDescent="0.25">
      <c r="A2626" t="s">
        <v>55</v>
      </c>
      <c r="B2626" t="s">
        <v>111</v>
      </c>
      <c r="C2626" t="s">
        <v>2613</v>
      </c>
      <c r="D2626">
        <v>1</v>
      </c>
      <c r="E2626" s="273">
        <v>4</v>
      </c>
      <c r="F2626" s="273" t="s">
        <v>7</v>
      </c>
      <c r="G2626" s="273" t="s">
        <v>11</v>
      </c>
      <c r="H2626" s="273" t="s">
        <v>11</v>
      </c>
    </row>
    <row r="2627" spans="1:8" x14ac:dyDescent="0.25">
      <c r="A2627" t="s">
        <v>55</v>
      </c>
      <c r="B2627" t="s">
        <v>111</v>
      </c>
      <c r="C2627" t="s">
        <v>2614</v>
      </c>
      <c r="D2627">
        <v>2</v>
      </c>
      <c r="E2627" s="273">
        <v>4</v>
      </c>
      <c r="F2627" s="273" t="s">
        <v>7</v>
      </c>
      <c r="G2627" s="273" t="s">
        <v>11</v>
      </c>
      <c r="H2627" s="273" t="s">
        <v>11</v>
      </c>
    </row>
    <row r="2628" spans="1:8" x14ac:dyDescent="0.25">
      <c r="A2628" t="s">
        <v>55</v>
      </c>
      <c r="B2628" t="s">
        <v>111</v>
      </c>
      <c r="C2628" t="s">
        <v>1278</v>
      </c>
      <c r="D2628">
        <v>1</v>
      </c>
      <c r="E2628" s="273">
        <v>4</v>
      </c>
      <c r="F2628" s="273" t="s">
        <v>7</v>
      </c>
      <c r="G2628" s="273" t="s">
        <v>11</v>
      </c>
      <c r="H2628" s="273" t="s">
        <v>11</v>
      </c>
    </row>
    <row r="2629" spans="1:8" x14ac:dyDescent="0.25">
      <c r="A2629" t="s">
        <v>55</v>
      </c>
      <c r="B2629" t="s">
        <v>111</v>
      </c>
      <c r="C2629" t="s">
        <v>1279</v>
      </c>
      <c r="D2629">
        <v>2</v>
      </c>
      <c r="E2629" s="273">
        <v>4</v>
      </c>
      <c r="F2629" s="273" t="s">
        <v>7</v>
      </c>
      <c r="G2629" s="273" t="s">
        <v>11</v>
      </c>
      <c r="H2629" s="273" t="s">
        <v>11</v>
      </c>
    </row>
    <row r="2630" spans="1:8" x14ac:dyDescent="0.25">
      <c r="A2630" t="s">
        <v>55</v>
      </c>
      <c r="B2630" t="s">
        <v>111</v>
      </c>
      <c r="C2630" t="s">
        <v>1556</v>
      </c>
      <c r="D2630">
        <v>2</v>
      </c>
      <c r="E2630" s="273">
        <v>4</v>
      </c>
      <c r="F2630" s="273" t="s">
        <v>7</v>
      </c>
      <c r="G2630" s="273" t="s">
        <v>11</v>
      </c>
      <c r="H2630" s="273" t="s">
        <v>11</v>
      </c>
    </row>
    <row r="2631" spans="1:8" x14ac:dyDescent="0.25">
      <c r="A2631" t="s">
        <v>55</v>
      </c>
      <c r="B2631" t="s">
        <v>111</v>
      </c>
      <c r="C2631" t="s">
        <v>1178</v>
      </c>
      <c r="D2631">
        <v>1</v>
      </c>
      <c r="E2631" s="273">
        <v>4</v>
      </c>
      <c r="F2631" s="273" t="s">
        <v>7</v>
      </c>
      <c r="G2631" s="273" t="s">
        <v>11</v>
      </c>
      <c r="H2631" s="273" t="s">
        <v>11</v>
      </c>
    </row>
    <row r="2632" spans="1:8" x14ac:dyDescent="0.25">
      <c r="A2632" t="s">
        <v>55</v>
      </c>
      <c r="B2632" t="s">
        <v>111</v>
      </c>
      <c r="C2632" t="s">
        <v>1557</v>
      </c>
      <c r="D2632">
        <v>1</v>
      </c>
      <c r="E2632" s="273">
        <v>4</v>
      </c>
      <c r="F2632" s="273" t="s">
        <v>7</v>
      </c>
      <c r="G2632" s="273" t="s">
        <v>11</v>
      </c>
      <c r="H2632" s="273" t="s">
        <v>11</v>
      </c>
    </row>
    <row r="2633" spans="1:8" x14ac:dyDescent="0.25">
      <c r="A2633" t="s">
        <v>55</v>
      </c>
      <c r="B2633" t="s">
        <v>111</v>
      </c>
      <c r="C2633" t="s">
        <v>2615</v>
      </c>
      <c r="D2633">
        <v>3</v>
      </c>
      <c r="E2633" s="273">
        <v>4</v>
      </c>
      <c r="F2633" s="273" t="s">
        <v>7</v>
      </c>
      <c r="G2633" s="273" t="s">
        <v>11</v>
      </c>
      <c r="H2633" s="273" t="s">
        <v>11</v>
      </c>
    </row>
    <row r="2634" spans="1:8" x14ac:dyDescent="0.25">
      <c r="A2634" t="s">
        <v>55</v>
      </c>
      <c r="B2634" t="s">
        <v>111</v>
      </c>
      <c r="C2634" t="s">
        <v>1280</v>
      </c>
      <c r="D2634">
        <v>2</v>
      </c>
      <c r="E2634" s="273">
        <v>4</v>
      </c>
      <c r="F2634" s="273" t="s">
        <v>7</v>
      </c>
      <c r="G2634" s="273" t="s">
        <v>11</v>
      </c>
      <c r="H2634" s="273" t="s">
        <v>11</v>
      </c>
    </row>
    <row r="2635" spans="1:8" x14ac:dyDescent="0.25">
      <c r="A2635" t="s">
        <v>55</v>
      </c>
      <c r="B2635" t="s">
        <v>111</v>
      </c>
      <c r="C2635" t="s">
        <v>1653</v>
      </c>
      <c r="D2635">
        <v>1</v>
      </c>
      <c r="E2635" s="273">
        <v>4</v>
      </c>
      <c r="F2635" s="273" t="s">
        <v>7</v>
      </c>
      <c r="G2635" s="273" t="s">
        <v>11</v>
      </c>
      <c r="H2635" s="273" t="s">
        <v>11</v>
      </c>
    </row>
    <row r="2636" spans="1:8" x14ac:dyDescent="0.25">
      <c r="A2636" t="s">
        <v>55</v>
      </c>
      <c r="B2636" t="s">
        <v>111</v>
      </c>
      <c r="C2636" t="s">
        <v>1806</v>
      </c>
      <c r="D2636">
        <v>1</v>
      </c>
      <c r="E2636" s="273">
        <v>4</v>
      </c>
      <c r="F2636" s="273" t="s">
        <v>7</v>
      </c>
      <c r="G2636" s="273" t="s">
        <v>11</v>
      </c>
      <c r="H2636" s="273" t="s">
        <v>11</v>
      </c>
    </row>
    <row r="2637" spans="1:8" x14ac:dyDescent="0.25">
      <c r="A2637" t="s">
        <v>57</v>
      </c>
      <c r="B2637" t="s">
        <v>112</v>
      </c>
      <c r="C2637" t="s">
        <v>1742</v>
      </c>
      <c r="D2637">
        <v>3</v>
      </c>
      <c r="E2637" s="273">
        <v>2</v>
      </c>
      <c r="F2637" s="273" t="s">
        <v>7</v>
      </c>
      <c r="G2637" s="273" t="s">
        <v>115</v>
      </c>
      <c r="H2637" s="273" t="s">
        <v>11</v>
      </c>
    </row>
    <row r="2638" spans="1:8" x14ac:dyDescent="0.25">
      <c r="A2638" t="s">
        <v>57</v>
      </c>
      <c r="B2638" t="s">
        <v>112</v>
      </c>
      <c r="C2638" t="s">
        <v>2616</v>
      </c>
      <c r="D2638">
        <v>3</v>
      </c>
      <c r="E2638" s="273">
        <v>3</v>
      </c>
      <c r="F2638" s="273" t="s">
        <v>75</v>
      </c>
      <c r="G2638" s="273" t="s">
        <v>11</v>
      </c>
      <c r="H2638" s="273" t="s">
        <v>11</v>
      </c>
    </row>
    <row r="2639" spans="1:8" x14ac:dyDescent="0.25">
      <c r="A2639" t="s">
        <v>57</v>
      </c>
      <c r="B2639" t="s">
        <v>112</v>
      </c>
      <c r="C2639" t="s">
        <v>2617</v>
      </c>
      <c r="D2639">
        <v>3</v>
      </c>
      <c r="E2639" s="273">
        <v>2</v>
      </c>
      <c r="F2639" s="273" t="s">
        <v>7</v>
      </c>
      <c r="G2639" s="273" t="s">
        <v>115</v>
      </c>
      <c r="H2639" s="273" t="s">
        <v>11</v>
      </c>
    </row>
    <row r="2640" spans="1:8" x14ac:dyDescent="0.25">
      <c r="A2640" t="s">
        <v>57</v>
      </c>
      <c r="B2640" t="s">
        <v>112</v>
      </c>
      <c r="C2640" t="s">
        <v>2618</v>
      </c>
      <c r="D2640">
        <v>3</v>
      </c>
      <c r="E2640" s="273">
        <v>2</v>
      </c>
      <c r="F2640" s="273" t="s">
        <v>7</v>
      </c>
      <c r="G2640" s="273" t="s">
        <v>115</v>
      </c>
      <c r="H2640" s="273" t="s">
        <v>11</v>
      </c>
    </row>
    <row r="2641" spans="1:8" x14ac:dyDescent="0.25">
      <c r="A2641" t="s">
        <v>57</v>
      </c>
      <c r="B2641" t="s">
        <v>112</v>
      </c>
      <c r="C2641" t="s">
        <v>2619</v>
      </c>
      <c r="D2641">
        <v>3</v>
      </c>
      <c r="E2641" s="273">
        <v>3</v>
      </c>
      <c r="F2641" s="273" t="s">
        <v>7</v>
      </c>
      <c r="G2641" s="273" t="s">
        <v>11</v>
      </c>
      <c r="H2641" s="273" t="s">
        <v>11</v>
      </c>
    </row>
    <row r="2642" spans="1:8" x14ac:dyDescent="0.25">
      <c r="A2642" t="s">
        <v>57</v>
      </c>
      <c r="B2642" t="s">
        <v>112</v>
      </c>
      <c r="C2642" t="s">
        <v>2493</v>
      </c>
      <c r="D2642">
        <v>2</v>
      </c>
      <c r="E2642" s="273">
        <v>4</v>
      </c>
      <c r="F2642" s="273" t="s">
        <v>75</v>
      </c>
      <c r="G2642" s="273" t="s">
        <v>11</v>
      </c>
      <c r="H2642" s="273" t="s">
        <v>11</v>
      </c>
    </row>
    <row r="2643" spans="1:8" x14ac:dyDescent="0.25">
      <c r="A2643" t="s">
        <v>57</v>
      </c>
      <c r="B2643" t="s">
        <v>112</v>
      </c>
      <c r="C2643" t="s">
        <v>2620</v>
      </c>
      <c r="D2643">
        <v>3</v>
      </c>
      <c r="E2643" s="273">
        <v>2</v>
      </c>
      <c r="F2643" s="273" t="s">
        <v>7</v>
      </c>
      <c r="G2643" s="273" t="s">
        <v>115</v>
      </c>
      <c r="H2643" s="273" t="s">
        <v>11</v>
      </c>
    </row>
    <row r="2644" spans="1:8" x14ac:dyDescent="0.25">
      <c r="A2644" t="s">
        <v>57</v>
      </c>
      <c r="B2644" t="s">
        <v>112</v>
      </c>
      <c r="C2644" t="s">
        <v>2621</v>
      </c>
      <c r="D2644">
        <v>3</v>
      </c>
      <c r="E2644" s="273">
        <v>2</v>
      </c>
      <c r="F2644" s="273" t="s">
        <v>7</v>
      </c>
      <c r="G2644" s="273" t="s">
        <v>115</v>
      </c>
      <c r="H2644" s="273" t="s">
        <v>11</v>
      </c>
    </row>
    <row r="2645" spans="1:8" x14ac:dyDescent="0.25">
      <c r="A2645" t="s">
        <v>57</v>
      </c>
      <c r="B2645" t="s">
        <v>112</v>
      </c>
      <c r="C2645" t="s">
        <v>2622</v>
      </c>
      <c r="D2645">
        <v>2</v>
      </c>
      <c r="E2645" s="273">
        <v>4</v>
      </c>
      <c r="F2645" s="273" t="s">
        <v>75</v>
      </c>
      <c r="G2645" s="273" t="s">
        <v>11</v>
      </c>
      <c r="H2645" s="273" t="s">
        <v>11</v>
      </c>
    </row>
    <row r="2646" spans="1:8" x14ac:dyDescent="0.25">
      <c r="A2646" t="s">
        <v>57</v>
      </c>
      <c r="B2646" t="s">
        <v>112</v>
      </c>
      <c r="C2646" t="s">
        <v>2623</v>
      </c>
      <c r="D2646">
        <v>3</v>
      </c>
      <c r="E2646" s="273">
        <v>2</v>
      </c>
      <c r="F2646" s="273" t="s">
        <v>75</v>
      </c>
      <c r="G2646" s="273" t="s">
        <v>11</v>
      </c>
      <c r="H2646" s="273" t="s">
        <v>11</v>
      </c>
    </row>
    <row r="2647" spans="1:8" x14ac:dyDescent="0.25">
      <c r="A2647" t="s">
        <v>57</v>
      </c>
      <c r="B2647" t="s">
        <v>112</v>
      </c>
      <c r="C2647" t="s">
        <v>2624</v>
      </c>
      <c r="D2647">
        <v>3</v>
      </c>
      <c r="E2647" s="273">
        <v>2</v>
      </c>
      <c r="F2647" s="273" t="s">
        <v>7</v>
      </c>
      <c r="G2647" s="273" t="s">
        <v>115</v>
      </c>
      <c r="H2647" s="273" t="s">
        <v>11</v>
      </c>
    </row>
    <row r="2648" spans="1:8" x14ac:dyDescent="0.25">
      <c r="A2648" t="s">
        <v>57</v>
      </c>
      <c r="B2648" t="s">
        <v>112</v>
      </c>
      <c r="C2648" t="s">
        <v>2625</v>
      </c>
      <c r="D2648">
        <v>3</v>
      </c>
      <c r="E2648" s="273">
        <v>3</v>
      </c>
      <c r="F2648" s="273" t="s">
        <v>75</v>
      </c>
      <c r="G2648" s="273" t="s">
        <v>11</v>
      </c>
      <c r="H2648" s="273" t="s">
        <v>11</v>
      </c>
    </row>
    <row r="2649" spans="1:8" x14ac:dyDescent="0.25">
      <c r="A2649" t="s">
        <v>57</v>
      </c>
      <c r="B2649" t="s">
        <v>112</v>
      </c>
      <c r="C2649" t="s">
        <v>2626</v>
      </c>
      <c r="D2649">
        <v>3</v>
      </c>
      <c r="E2649" s="273">
        <v>2</v>
      </c>
      <c r="F2649" s="273" t="s">
        <v>7</v>
      </c>
      <c r="G2649" s="273" t="s">
        <v>115</v>
      </c>
      <c r="H2649" s="273" t="s">
        <v>11</v>
      </c>
    </row>
    <row r="2650" spans="1:8" x14ac:dyDescent="0.25">
      <c r="A2650" t="s">
        <v>57</v>
      </c>
      <c r="B2650" t="s">
        <v>112</v>
      </c>
      <c r="C2650" t="s">
        <v>1812</v>
      </c>
      <c r="D2650">
        <v>3</v>
      </c>
      <c r="E2650" s="273">
        <v>2</v>
      </c>
      <c r="F2650" s="273" t="s">
        <v>7</v>
      </c>
      <c r="G2650" s="273" t="s">
        <v>115</v>
      </c>
      <c r="H2650" s="273" t="s">
        <v>11</v>
      </c>
    </row>
    <row r="2651" spans="1:8" x14ac:dyDescent="0.25">
      <c r="A2651" t="s">
        <v>57</v>
      </c>
      <c r="B2651" t="s">
        <v>112</v>
      </c>
      <c r="C2651" t="s">
        <v>2627</v>
      </c>
      <c r="D2651">
        <v>3</v>
      </c>
      <c r="E2651" s="273">
        <v>2</v>
      </c>
      <c r="F2651" s="273" t="s">
        <v>7</v>
      </c>
      <c r="G2651" s="273" t="s">
        <v>115</v>
      </c>
      <c r="H2651" s="273" t="s">
        <v>11</v>
      </c>
    </row>
    <row r="2652" spans="1:8" x14ac:dyDescent="0.25">
      <c r="A2652" t="s">
        <v>57</v>
      </c>
      <c r="B2652" t="s">
        <v>112</v>
      </c>
      <c r="C2652" t="s">
        <v>2628</v>
      </c>
      <c r="D2652">
        <v>3</v>
      </c>
      <c r="E2652" s="273">
        <v>3</v>
      </c>
      <c r="F2652" s="273" t="s">
        <v>7</v>
      </c>
      <c r="G2652" s="273" t="s">
        <v>115</v>
      </c>
      <c r="H2652" s="273" t="s">
        <v>11</v>
      </c>
    </row>
    <row r="2653" spans="1:8" x14ac:dyDescent="0.25">
      <c r="A2653" t="s">
        <v>57</v>
      </c>
      <c r="B2653" t="s">
        <v>112</v>
      </c>
      <c r="C2653" t="s">
        <v>2629</v>
      </c>
      <c r="D2653">
        <v>3</v>
      </c>
      <c r="E2653" s="273">
        <v>3</v>
      </c>
      <c r="F2653" s="273" t="s">
        <v>75</v>
      </c>
      <c r="G2653" s="273" t="s">
        <v>11</v>
      </c>
      <c r="H2653" s="273" t="s">
        <v>11</v>
      </c>
    </row>
    <row r="2654" spans="1:8" x14ac:dyDescent="0.25">
      <c r="A2654" t="s">
        <v>57</v>
      </c>
      <c r="B2654" t="s">
        <v>112</v>
      </c>
      <c r="C2654" t="s">
        <v>2630</v>
      </c>
      <c r="D2654">
        <v>3</v>
      </c>
      <c r="E2654" s="273">
        <v>2</v>
      </c>
      <c r="F2654" s="273" t="s">
        <v>7</v>
      </c>
      <c r="G2654" s="273" t="s">
        <v>115</v>
      </c>
      <c r="H2654" s="273" t="s">
        <v>11</v>
      </c>
    </row>
    <row r="2655" spans="1:8" x14ac:dyDescent="0.25">
      <c r="A2655" t="s">
        <v>57</v>
      </c>
      <c r="B2655" t="s">
        <v>112</v>
      </c>
      <c r="C2655" t="s">
        <v>2631</v>
      </c>
      <c r="D2655">
        <v>3</v>
      </c>
      <c r="E2655" s="273">
        <v>3</v>
      </c>
      <c r="F2655" s="273" t="s">
        <v>7</v>
      </c>
      <c r="G2655" s="273" t="s">
        <v>115</v>
      </c>
      <c r="H2655" s="273" t="s">
        <v>11</v>
      </c>
    </row>
    <row r="2656" spans="1:8" x14ac:dyDescent="0.25">
      <c r="A2656" t="s">
        <v>57</v>
      </c>
      <c r="B2656" t="s">
        <v>112</v>
      </c>
      <c r="C2656" t="s">
        <v>2632</v>
      </c>
      <c r="D2656">
        <v>3</v>
      </c>
      <c r="E2656" s="273">
        <v>2</v>
      </c>
      <c r="F2656" s="273" t="s">
        <v>7</v>
      </c>
      <c r="G2656" s="273" t="s">
        <v>115</v>
      </c>
      <c r="H2656" s="273" t="s">
        <v>11</v>
      </c>
    </row>
    <row r="2657" spans="1:8" x14ac:dyDescent="0.25">
      <c r="A2657" t="s">
        <v>57</v>
      </c>
      <c r="B2657" t="s">
        <v>112</v>
      </c>
      <c r="C2657" t="s">
        <v>2633</v>
      </c>
      <c r="D2657">
        <v>3</v>
      </c>
      <c r="E2657" s="273">
        <v>2</v>
      </c>
      <c r="F2657" s="273" t="s">
        <v>7</v>
      </c>
      <c r="G2657" s="273" t="s">
        <v>115</v>
      </c>
      <c r="H2657" s="273" t="s">
        <v>11</v>
      </c>
    </row>
    <row r="2658" spans="1:8" x14ac:dyDescent="0.25">
      <c r="A2658" t="s">
        <v>57</v>
      </c>
      <c r="B2658" t="s">
        <v>112</v>
      </c>
      <c r="C2658" t="s">
        <v>2634</v>
      </c>
      <c r="D2658">
        <v>2</v>
      </c>
      <c r="E2658" s="273">
        <v>3</v>
      </c>
      <c r="F2658" s="273" t="s">
        <v>75</v>
      </c>
      <c r="G2658" s="273" t="s">
        <v>11</v>
      </c>
      <c r="H2658" s="273" t="s">
        <v>11</v>
      </c>
    </row>
    <row r="2659" spans="1:8" x14ac:dyDescent="0.25">
      <c r="A2659" t="s">
        <v>57</v>
      </c>
      <c r="B2659" t="s">
        <v>112</v>
      </c>
      <c r="C2659" t="s">
        <v>2635</v>
      </c>
      <c r="D2659">
        <v>3</v>
      </c>
      <c r="E2659" s="273">
        <v>4</v>
      </c>
      <c r="F2659" s="273" t="s">
        <v>75</v>
      </c>
      <c r="G2659" s="273" t="s">
        <v>11</v>
      </c>
      <c r="H2659" s="273" t="s">
        <v>11</v>
      </c>
    </row>
    <row r="2660" spans="1:8" x14ac:dyDescent="0.25">
      <c r="A2660" t="s">
        <v>57</v>
      </c>
      <c r="B2660" t="s">
        <v>112</v>
      </c>
      <c r="C2660" t="s">
        <v>1465</v>
      </c>
      <c r="D2660">
        <v>3</v>
      </c>
      <c r="E2660" s="273">
        <v>2</v>
      </c>
      <c r="F2660" s="273" t="s">
        <v>7</v>
      </c>
      <c r="G2660" s="273" t="s">
        <v>115</v>
      </c>
      <c r="H2660" s="273" t="s">
        <v>11</v>
      </c>
    </row>
    <row r="2661" spans="1:8" x14ac:dyDescent="0.25">
      <c r="A2661" t="s">
        <v>57</v>
      </c>
      <c r="B2661" t="s">
        <v>112</v>
      </c>
      <c r="C2661" t="s">
        <v>1604</v>
      </c>
      <c r="D2661">
        <v>3</v>
      </c>
      <c r="E2661" s="273">
        <v>3</v>
      </c>
      <c r="F2661" s="273" t="s">
        <v>7</v>
      </c>
      <c r="G2661" s="273" t="s">
        <v>115</v>
      </c>
      <c r="H2661" s="273" t="s">
        <v>11</v>
      </c>
    </row>
    <row r="2662" spans="1:8" x14ac:dyDescent="0.25">
      <c r="A2662" t="s">
        <v>57</v>
      </c>
      <c r="B2662" t="s">
        <v>112</v>
      </c>
      <c r="C2662" t="s">
        <v>2636</v>
      </c>
      <c r="D2662">
        <v>3</v>
      </c>
      <c r="E2662" s="273">
        <v>2</v>
      </c>
      <c r="F2662" s="273" t="s">
        <v>7</v>
      </c>
      <c r="G2662" s="273" t="s">
        <v>115</v>
      </c>
      <c r="H2662" s="273" t="s">
        <v>11</v>
      </c>
    </row>
    <row r="2663" spans="1:8" x14ac:dyDescent="0.25">
      <c r="A2663" t="s">
        <v>57</v>
      </c>
      <c r="B2663" t="s">
        <v>112</v>
      </c>
      <c r="C2663" t="s">
        <v>2637</v>
      </c>
      <c r="D2663">
        <v>3</v>
      </c>
      <c r="E2663" s="273">
        <v>3</v>
      </c>
      <c r="F2663" s="273" t="s">
        <v>7</v>
      </c>
      <c r="G2663" s="273" t="s">
        <v>115</v>
      </c>
      <c r="H2663" s="273" t="s">
        <v>11</v>
      </c>
    </row>
    <row r="2664" spans="1:8" x14ac:dyDescent="0.25">
      <c r="A2664" t="s">
        <v>57</v>
      </c>
      <c r="B2664" t="s">
        <v>112</v>
      </c>
      <c r="C2664" t="s">
        <v>1819</v>
      </c>
      <c r="D2664">
        <v>3</v>
      </c>
      <c r="E2664" s="273">
        <v>2</v>
      </c>
      <c r="F2664" s="273" t="s">
        <v>7</v>
      </c>
      <c r="G2664" s="273" t="s">
        <v>115</v>
      </c>
      <c r="H2664" s="273" t="s">
        <v>11</v>
      </c>
    </row>
    <row r="2665" spans="1:8" x14ac:dyDescent="0.25">
      <c r="A2665" t="s">
        <v>57</v>
      </c>
      <c r="B2665" t="s">
        <v>112</v>
      </c>
      <c r="C2665" t="s">
        <v>1121</v>
      </c>
      <c r="D2665">
        <v>3</v>
      </c>
      <c r="E2665" s="273">
        <v>2</v>
      </c>
      <c r="F2665" s="273" t="s">
        <v>7</v>
      </c>
      <c r="G2665" s="273" t="s">
        <v>115</v>
      </c>
      <c r="H2665" s="273" t="s">
        <v>11</v>
      </c>
    </row>
    <row r="2666" spans="1:8" x14ac:dyDescent="0.25">
      <c r="A2666" t="s">
        <v>57</v>
      </c>
      <c r="B2666" t="s">
        <v>112</v>
      </c>
      <c r="C2666" t="s">
        <v>2638</v>
      </c>
      <c r="D2666">
        <v>3</v>
      </c>
      <c r="E2666" s="273">
        <v>3</v>
      </c>
      <c r="F2666" s="273" t="s">
        <v>75</v>
      </c>
      <c r="G2666" s="273" t="s">
        <v>11</v>
      </c>
      <c r="H2666" s="273" t="s">
        <v>11</v>
      </c>
    </row>
    <row r="2667" spans="1:8" x14ac:dyDescent="0.25">
      <c r="A2667" t="s">
        <v>57</v>
      </c>
      <c r="B2667" t="s">
        <v>112</v>
      </c>
      <c r="C2667" t="s">
        <v>1873</v>
      </c>
      <c r="D2667">
        <v>3</v>
      </c>
      <c r="E2667" s="273">
        <v>2</v>
      </c>
      <c r="F2667" s="273" t="s">
        <v>7</v>
      </c>
      <c r="G2667" s="273" t="s">
        <v>115</v>
      </c>
      <c r="H2667" s="273" t="s">
        <v>11</v>
      </c>
    </row>
    <row r="2668" spans="1:8" x14ac:dyDescent="0.25">
      <c r="A2668" t="s">
        <v>57</v>
      </c>
      <c r="B2668" t="s">
        <v>112</v>
      </c>
      <c r="C2668" t="s">
        <v>2639</v>
      </c>
      <c r="D2668">
        <v>3</v>
      </c>
      <c r="E2668" s="273">
        <v>3</v>
      </c>
      <c r="F2668" s="273" t="s">
        <v>7</v>
      </c>
      <c r="G2668" s="273" t="s">
        <v>115</v>
      </c>
      <c r="H2668" s="273" t="s">
        <v>11</v>
      </c>
    </row>
    <row r="2669" spans="1:8" x14ac:dyDescent="0.25">
      <c r="A2669" t="s">
        <v>57</v>
      </c>
      <c r="B2669" t="s">
        <v>112</v>
      </c>
      <c r="C2669" t="s">
        <v>2640</v>
      </c>
      <c r="D2669">
        <v>2</v>
      </c>
      <c r="E2669" s="273">
        <v>4</v>
      </c>
      <c r="F2669" s="273" t="s">
        <v>75</v>
      </c>
      <c r="G2669" s="273" t="s">
        <v>11</v>
      </c>
      <c r="H2669" s="273" t="s">
        <v>11</v>
      </c>
    </row>
    <row r="2670" spans="1:8" x14ac:dyDescent="0.25">
      <c r="A2670" t="s">
        <v>57</v>
      </c>
      <c r="B2670" t="s">
        <v>112</v>
      </c>
      <c r="C2670" t="s">
        <v>1606</v>
      </c>
      <c r="D2670">
        <v>3</v>
      </c>
      <c r="E2670" s="273">
        <v>3</v>
      </c>
      <c r="F2670" s="273" t="s">
        <v>7</v>
      </c>
      <c r="G2670" s="273" t="s">
        <v>115</v>
      </c>
      <c r="H2670" s="273" t="s">
        <v>11</v>
      </c>
    </row>
    <row r="2671" spans="1:8" x14ac:dyDescent="0.25">
      <c r="A2671" t="s">
        <v>57</v>
      </c>
      <c r="B2671" t="s">
        <v>112</v>
      </c>
      <c r="C2671" t="s">
        <v>2641</v>
      </c>
      <c r="D2671">
        <v>2</v>
      </c>
      <c r="E2671" s="273">
        <v>4</v>
      </c>
      <c r="F2671" s="273" t="s">
        <v>75</v>
      </c>
      <c r="G2671" s="273" t="s">
        <v>11</v>
      </c>
      <c r="H2671" s="273" t="s">
        <v>11</v>
      </c>
    </row>
    <row r="2672" spans="1:8" x14ac:dyDescent="0.25">
      <c r="A2672" t="s">
        <v>57</v>
      </c>
      <c r="B2672" t="s">
        <v>112</v>
      </c>
      <c r="C2672" t="s">
        <v>1122</v>
      </c>
      <c r="D2672">
        <v>3</v>
      </c>
      <c r="E2672" s="273">
        <v>2</v>
      </c>
      <c r="F2672" s="273" t="s">
        <v>7</v>
      </c>
      <c r="G2672" s="273" t="s">
        <v>115</v>
      </c>
      <c r="H2672" s="273" t="s">
        <v>11</v>
      </c>
    </row>
    <row r="2673" spans="1:8" x14ac:dyDescent="0.25">
      <c r="A2673" t="s">
        <v>57</v>
      </c>
      <c r="B2673" t="s">
        <v>112</v>
      </c>
      <c r="C2673" t="s">
        <v>1123</v>
      </c>
      <c r="D2673">
        <v>3</v>
      </c>
      <c r="E2673" s="273">
        <v>2</v>
      </c>
      <c r="F2673" s="273" t="s">
        <v>7</v>
      </c>
      <c r="G2673" s="273" t="s">
        <v>115</v>
      </c>
      <c r="H2673" s="273" t="s">
        <v>11</v>
      </c>
    </row>
    <row r="2674" spans="1:8" x14ac:dyDescent="0.25">
      <c r="A2674" t="s">
        <v>57</v>
      </c>
      <c r="B2674" t="s">
        <v>112</v>
      </c>
      <c r="C2674" t="s">
        <v>2642</v>
      </c>
      <c r="D2674">
        <v>3</v>
      </c>
      <c r="E2674" s="273">
        <v>3</v>
      </c>
      <c r="F2674" s="273" t="s">
        <v>75</v>
      </c>
      <c r="G2674" s="273" t="s">
        <v>11</v>
      </c>
      <c r="H2674" s="273" t="s">
        <v>11</v>
      </c>
    </row>
    <row r="2675" spans="1:8" x14ac:dyDescent="0.25">
      <c r="A2675" t="s">
        <v>57</v>
      </c>
      <c r="B2675" t="s">
        <v>112</v>
      </c>
      <c r="C2675" t="s">
        <v>1127</v>
      </c>
      <c r="D2675">
        <v>3</v>
      </c>
      <c r="E2675" s="273">
        <v>3</v>
      </c>
      <c r="F2675" s="273" t="s">
        <v>7</v>
      </c>
      <c r="G2675" s="273" t="s">
        <v>11</v>
      </c>
      <c r="H2675" s="273" t="s">
        <v>11</v>
      </c>
    </row>
    <row r="2676" spans="1:8" x14ac:dyDescent="0.25">
      <c r="A2676" t="s">
        <v>57</v>
      </c>
      <c r="B2676" t="s">
        <v>112</v>
      </c>
      <c r="C2676" t="s">
        <v>2643</v>
      </c>
      <c r="D2676">
        <v>3</v>
      </c>
      <c r="E2676" s="273">
        <v>4</v>
      </c>
      <c r="F2676" s="273" t="s">
        <v>75</v>
      </c>
      <c r="G2676" s="273" t="s">
        <v>11</v>
      </c>
      <c r="H2676" s="273" t="s">
        <v>11</v>
      </c>
    </row>
    <row r="2677" spans="1:8" x14ac:dyDescent="0.25">
      <c r="A2677" t="s">
        <v>57</v>
      </c>
      <c r="B2677" t="s">
        <v>112</v>
      </c>
      <c r="C2677" t="s">
        <v>2644</v>
      </c>
      <c r="D2677">
        <v>3</v>
      </c>
      <c r="E2677" s="273">
        <v>3</v>
      </c>
      <c r="F2677" s="273" t="s">
        <v>75</v>
      </c>
      <c r="G2677" s="273" t="s">
        <v>11</v>
      </c>
      <c r="H2677" s="273" t="s">
        <v>11</v>
      </c>
    </row>
    <row r="2678" spans="1:8" x14ac:dyDescent="0.25">
      <c r="A2678" t="s">
        <v>57</v>
      </c>
      <c r="B2678" t="s">
        <v>112</v>
      </c>
      <c r="C2678" t="s">
        <v>2645</v>
      </c>
      <c r="D2678">
        <v>3</v>
      </c>
      <c r="E2678" s="273">
        <v>3</v>
      </c>
      <c r="F2678" s="273" t="s">
        <v>75</v>
      </c>
      <c r="G2678" s="273" t="s">
        <v>11</v>
      </c>
      <c r="H2678" s="273" t="s">
        <v>11</v>
      </c>
    </row>
    <row r="2679" spans="1:8" x14ac:dyDescent="0.25">
      <c r="A2679" t="s">
        <v>57</v>
      </c>
      <c r="B2679" t="s">
        <v>112</v>
      </c>
      <c r="C2679" t="s">
        <v>2646</v>
      </c>
      <c r="D2679">
        <v>3</v>
      </c>
      <c r="E2679" s="273">
        <v>3</v>
      </c>
      <c r="F2679" s="273" t="s">
        <v>7</v>
      </c>
      <c r="G2679" s="273" t="s">
        <v>115</v>
      </c>
      <c r="H2679" s="273" t="s">
        <v>11</v>
      </c>
    </row>
    <row r="2680" spans="1:8" x14ac:dyDescent="0.25">
      <c r="A2680" t="s">
        <v>57</v>
      </c>
      <c r="B2680" t="s">
        <v>112</v>
      </c>
      <c r="C2680" t="s">
        <v>2647</v>
      </c>
      <c r="D2680">
        <v>3</v>
      </c>
      <c r="E2680" s="273">
        <v>3</v>
      </c>
      <c r="F2680" s="273" t="s">
        <v>75</v>
      </c>
      <c r="G2680" s="273" t="s">
        <v>11</v>
      </c>
      <c r="H2680" s="273" t="s">
        <v>11</v>
      </c>
    </row>
    <row r="2681" spans="1:8" x14ac:dyDescent="0.25">
      <c r="A2681" t="s">
        <v>57</v>
      </c>
      <c r="B2681" t="s">
        <v>112</v>
      </c>
      <c r="C2681" t="s">
        <v>2648</v>
      </c>
      <c r="D2681">
        <v>3</v>
      </c>
      <c r="E2681" s="273">
        <v>2</v>
      </c>
      <c r="F2681" s="273" t="s">
        <v>7</v>
      </c>
      <c r="G2681" s="273" t="s">
        <v>115</v>
      </c>
      <c r="H2681" s="273" t="s">
        <v>11</v>
      </c>
    </row>
    <row r="2682" spans="1:8" x14ac:dyDescent="0.25">
      <c r="A2682" t="s">
        <v>57</v>
      </c>
      <c r="B2682" t="s">
        <v>112</v>
      </c>
      <c r="C2682" t="s">
        <v>2649</v>
      </c>
      <c r="D2682">
        <v>3</v>
      </c>
      <c r="E2682" s="273">
        <v>2</v>
      </c>
      <c r="F2682" s="273" t="s">
        <v>7</v>
      </c>
      <c r="G2682" s="273" t="s">
        <v>115</v>
      </c>
      <c r="H2682" s="273" t="s">
        <v>11</v>
      </c>
    </row>
    <row r="2683" spans="1:8" x14ac:dyDescent="0.25">
      <c r="A2683" t="s">
        <v>57</v>
      </c>
      <c r="B2683" t="s">
        <v>112</v>
      </c>
      <c r="C2683" t="s">
        <v>1751</v>
      </c>
      <c r="D2683">
        <v>3</v>
      </c>
      <c r="E2683" s="273">
        <v>3</v>
      </c>
      <c r="F2683" s="273" t="s">
        <v>7</v>
      </c>
      <c r="G2683" s="273" t="s">
        <v>115</v>
      </c>
      <c r="H2683" s="273" t="s">
        <v>11</v>
      </c>
    </row>
    <row r="2684" spans="1:8" x14ac:dyDescent="0.25">
      <c r="A2684" t="s">
        <v>57</v>
      </c>
      <c r="B2684" t="s">
        <v>112</v>
      </c>
      <c r="C2684" t="s">
        <v>2650</v>
      </c>
      <c r="D2684">
        <v>3</v>
      </c>
      <c r="E2684" s="273">
        <v>3</v>
      </c>
      <c r="F2684" s="273" t="s">
        <v>75</v>
      </c>
      <c r="G2684" s="273" t="s">
        <v>11</v>
      </c>
      <c r="H2684" s="273" t="s">
        <v>11</v>
      </c>
    </row>
    <row r="2685" spans="1:8" x14ac:dyDescent="0.25">
      <c r="A2685" t="s">
        <v>57</v>
      </c>
      <c r="B2685" t="s">
        <v>112</v>
      </c>
      <c r="C2685" t="s">
        <v>2651</v>
      </c>
      <c r="D2685">
        <v>3</v>
      </c>
      <c r="E2685" s="273">
        <v>3</v>
      </c>
      <c r="F2685" s="273" t="s">
        <v>7</v>
      </c>
      <c r="G2685" s="273" t="s">
        <v>11</v>
      </c>
      <c r="H2685" s="273" t="s">
        <v>11</v>
      </c>
    </row>
    <row r="2686" spans="1:8" x14ac:dyDescent="0.25">
      <c r="A2686" t="s">
        <v>57</v>
      </c>
      <c r="B2686" t="s">
        <v>112</v>
      </c>
      <c r="C2686" t="s">
        <v>2652</v>
      </c>
      <c r="D2686">
        <v>3</v>
      </c>
      <c r="E2686" s="273">
        <v>2</v>
      </c>
      <c r="F2686" s="273" t="s">
        <v>7</v>
      </c>
      <c r="G2686" s="273" t="s">
        <v>115</v>
      </c>
      <c r="H2686" s="273" t="s">
        <v>11</v>
      </c>
    </row>
    <row r="2687" spans="1:8" x14ac:dyDescent="0.25">
      <c r="A2687" t="s">
        <v>57</v>
      </c>
      <c r="B2687" t="s">
        <v>112</v>
      </c>
      <c r="C2687" t="s">
        <v>2653</v>
      </c>
      <c r="D2687">
        <v>3</v>
      </c>
      <c r="E2687" s="273">
        <v>3</v>
      </c>
      <c r="F2687" s="273" t="s">
        <v>75</v>
      </c>
      <c r="G2687" s="273" t="s">
        <v>11</v>
      </c>
      <c r="H2687" s="273" t="s">
        <v>11</v>
      </c>
    </row>
    <row r="2688" spans="1:8" x14ac:dyDescent="0.25">
      <c r="A2688" t="s">
        <v>57</v>
      </c>
      <c r="B2688" t="s">
        <v>112</v>
      </c>
      <c r="C2688" t="s">
        <v>2654</v>
      </c>
      <c r="D2688">
        <v>3</v>
      </c>
      <c r="E2688" s="273">
        <v>3</v>
      </c>
      <c r="F2688" s="273" t="s">
        <v>75</v>
      </c>
      <c r="G2688" s="273" t="s">
        <v>11</v>
      </c>
      <c r="H2688" s="273" t="s">
        <v>11</v>
      </c>
    </row>
    <row r="2689" spans="1:8" x14ac:dyDescent="0.25">
      <c r="A2689" t="s">
        <v>57</v>
      </c>
      <c r="B2689" t="s">
        <v>112</v>
      </c>
      <c r="C2689" t="s">
        <v>2594</v>
      </c>
      <c r="D2689">
        <v>3</v>
      </c>
      <c r="E2689" s="273">
        <v>3</v>
      </c>
      <c r="F2689" s="273" t="s">
        <v>75</v>
      </c>
      <c r="G2689" s="273" t="s">
        <v>11</v>
      </c>
      <c r="H2689" s="273" t="s">
        <v>11</v>
      </c>
    </row>
    <row r="2690" spans="1:8" x14ac:dyDescent="0.25">
      <c r="A2690" t="s">
        <v>57</v>
      </c>
      <c r="B2690" t="s">
        <v>112</v>
      </c>
      <c r="C2690" t="s">
        <v>2655</v>
      </c>
      <c r="D2690">
        <v>2</v>
      </c>
      <c r="E2690" s="273">
        <v>3</v>
      </c>
      <c r="F2690" s="273" t="s">
        <v>75</v>
      </c>
      <c r="G2690" s="273" t="s">
        <v>11</v>
      </c>
      <c r="H2690" s="273" t="s">
        <v>11</v>
      </c>
    </row>
    <row r="2691" spans="1:8" x14ac:dyDescent="0.25">
      <c r="A2691" t="s">
        <v>57</v>
      </c>
      <c r="B2691" t="s">
        <v>112</v>
      </c>
      <c r="C2691" t="s">
        <v>2656</v>
      </c>
      <c r="D2691">
        <v>2</v>
      </c>
      <c r="E2691" s="273">
        <v>3</v>
      </c>
      <c r="F2691" s="273" t="s">
        <v>75</v>
      </c>
      <c r="G2691" s="273" t="s">
        <v>11</v>
      </c>
      <c r="H2691" s="273" t="s">
        <v>11</v>
      </c>
    </row>
    <row r="2692" spans="1:8" x14ac:dyDescent="0.25">
      <c r="A2692" t="s">
        <v>57</v>
      </c>
      <c r="B2692" t="s">
        <v>112</v>
      </c>
      <c r="C2692" t="s">
        <v>2657</v>
      </c>
      <c r="D2692">
        <v>2</v>
      </c>
      <c r="E2692" s="273">
        <v>4</v>
      </c>
      <c r="F2692" s="273" t="s">
        <v>75</v>
      </c>
      <c r="G2692" s="273" t="s">
        <v>11</v>
      </c>
      <c r="H2692" s="273" t="s">
        <v>11</v>
      </c>
    </row>
    <row r="2693" spans="1:8" x14ac:dyDescent="0.25">
      <c r="A2693" t="s">
        <v>57</v>
      </c>
      <c r="B2693" t="s">
        <v>112</v>
      </c>
      <c r="C2693" t="s">
        <v>1137</v>
      </c>
      <c r="D2693">
        <v>3</v>
      </c>
      <c r="E2693" s="273">
        <v>3</v>
      </c>
      <c r="F2693" s="273" t="s">
        <v>7</v>
      </c>
      <c r="G2693" s="273" t="s">
        <v>115</v>
      </c>
      <c r="H2693" s="273" t="s">
        <v>11</v>
      </c>
    </row>
    <row r="2694" spans="1:8" x14ac:dyDescent="0.25">
      <c r="A2694" t="s">
        <v>57</v>
      </c>
      <c r="B2694" t="s">
        <v>112</v>
      </c>
      <c r="C2694" t="s">
        <v>1485</v>
      </c>
      <c r="D2694">
        <v>3</v>
      </c>
      <c r="E2694" s="273">
        <v>3</v>
      </c>
      <c r="F2694" s="273" t="s">
        <v>75</v>
      </c>
      <c r="G2694" s="273" t="s">
        <v>11</v>
      </c>
      <c r="H2694" s="273" t="s">
        <v>11</v>
      </c>
    </row>
    <row r="2695" spans="1:8" x14ac:dyDescent="0.25">
      <c r="A2695" t="s">
        <v>57</v>
      </c>
      <c r="B2695" t="s">
        <v>112</v>
      </c>
      <c r="C2695" t="s">
        <v>2658</v>
      </c>
      <c r="D2695">
        <v>3</v>
      </c>
      <c r="E2695" s="273">
        <v>2</v>
      </c>
      <c r="F2695" s="273" t="s">
        <v>7</v>
      </c>
      <c r="G2695" s="273" t="s">
        <v>115</v>
      </c>
      <c r="H2695" s="273" t="s">
        <v>11</v>
      </c>
    </row>
    <row r="2696" spans="1:8" x14ac:dyDescent="0.25">
      <c r="A2696" t="s">
        <v>57</v>
      </c>
      <c r="B2696" t="s">
        <v>112</v>
      </c>
      <c r="C2696" t="s">
        <v>2659</v>
      </c>
      <c r="D2696">
        <v>2</v>
      </c>
      <c r="E2696" s="273">
        <v>4</v>
      </c>
      <c r="F2696" s="273" t="s">
        <v>75</v>
      </c>
      <c r="G2696" s="273" t="s">
        <v>11</v>
      </c>
      <c r="H2696" s="273" t="s">
        <v>11</v>
      </c>
    </row>
    <row r="2697" spans="1:8" x14ac:dyDescent="0.25">
      <c r="A2697" t="s">
        <v>57</v>
      </c>
      <c r="B2697" t="s">
        <v>112</v>
      </c>
      <c r="C2697" t="s">
        <v>1354</v>
      </c>
      <c r="D2697">
        <v>3</v>
      </c>
      <c r="E2697" s="273">
        <v>3</v>
      </c>
      <c r="F2697" s="273" t="s">
        <v>7</v>
      </c>
      <c r="G2697" s="273" t="s">
        <v>11</v>
      </c>
      <c r="H2697" s="273" t="s">
        <v>11</v>
      </c>
    </row>
    <row r="2698" spans="1:8" x14ac:dyDescent="0.25">
      <c r="A2698" t="s">
        <v>57</v>
      </c>
      <c r="B2698" t="s">
        <v>112</v>
      </c>
      <c r="C2698" t="s">
        <v>2660</v>
      </c>
      <c r="D2698">
        <v>3</v>
      </c>
      <c r="E2698" s="273">
        <v>3</v>
      </c>
      <c r="F2698" s="273" t="s">
        <v>7</v>
      </c>
      <c r="G2698" s="273" t="s">
        <v>115</v>
      </c>
      <c r="H2698" s="273" t="s">
        <v>11</v>
      </c>
    </row>
    <row r="2699" spans="1:8" x14ac:dyDescent="0.25">
      <c r="A2699" t="s">
        <v>57</v>
      </c>
      <c r="B2699" t="s">
        <v>112</v>
      </c>
      <c r="C2699" t="s">
        <v>2661</v>
      </c>
      <c r="D2699">
        <v>3</v>
      </c>
      <c r="E2699" s="273">
        <v>3</v>
      </c>
      <c r="F2699" s="273" t="s">
        <v>75</v>
      </c>
      <c r="G2699" s="273" t="s">
        <v>11</v>
      </c>
      <c r="H2699" s="273" t="s">
        <v>11</v>
      </c>
    </row>
    <row r="2700" spans="1:8" x14ac:dyDescent="0.25">
      <c r="A2700" t="s">
        <v>57</v>
      </c>
      <c r="B2700" t="s">
        <v>112</v>
      </c>
      <c r="C2700" t="s">
        <v>2662</v>
      </c>
      <c r="D2700">
        <v>3</v>
      </c>
      <c r="E2700" s="273">
        <v>2</v>
      </c>
      <c r="F2700" s="273" t="s">
        <v>75</v>
      </c>
      <c r="G2700" s="273" t="s">
        <v>11</v>
      </c>
      <c r="H2700" s="273" t="s">
        <v>11</v>
      </c>
    </row>
    <row r="2701" spans="1:8" x14ac:dyDescent="0.25">
      <c r="A2701" t="s">
        <v>57</v>
      </c>
      <c r="B2701" t="s">
        <v>112</v>
      </c>
      <c r="C2701" t="s">
        <v>2663</v>
      </c>
      <c r="D2701">
        <v>2</v>
      </c>
      <c r="E2701" s="273">
        <v>4</v>
      </c>
      <c r="F2701" s="273" t="s">
        <v>75</v>
      </c>
      <c r="G2701" s="273" t="s">
        <v>11</v>
      </c>
      <c r="H2701" s="273" t="s">
        <v>11</v>
      </c>
    </row>
    <row r="2702" spans="1:8" x14ac:dyDescent="0.25">
      <c r="A2702" t="s">
        <v>57</v>
      </c>
      <c r="B2702" t="s">
        <v>112</v>
      </c>
      <c r="C2702" t="s">
        <v>1417</v>
      </c>
      <c r="D2702">
        <v>3</v>
      </c>
      <c r="E2702" s="273">
        <v>2</v>
      </c>
      <c r="F2702" s="273" t="s">
        <v>7</v>
      </c>
      <c r="G2702" s="273" t="s">
        <v>115</v>
      </c>
      <c r="H2702" s="273" t="s">
        <v>11</v>
      </c>
    </row>
    <row r="2703" spans="1:8" x14ac:dyDescent="0.25">
      <c r="A2703" t="s">
        <v>57</v>
      </c>
      <c r="B2703" t="s">
        <v>112</v>
      </c>
      <c r="C2703" t="s">
        <v>2664</v>
      </c>
      <c r="D2703">
        <v>3</v>
      </c>
      <c r="E2703" s="273">
        <v>3</v>
      </c>
      <c r="F2703" s="273" t="s">
        <v>7</v>
      </c>
      <c r="G2703" s="273" t="s">
        <v>11</v>
      </c>
      <c r="H2703" s="273" t="s">
        <v>11</v>
      </c>
    </row>
    <row r="2704" spans="1:8" x14ac:dyDescent="0.25">
      <c r="A2704" t="s">
        <v>57</v>
      </c>
      <c r="B2704" t="s">
        <v>112</v>
      </c>
      <c r="C2704" t="s">
        <v>2665</v>
      </c>
      <c r="D2704">
        <v>3</v>
      </c>
      <c r="E2704" s="273">
        <v>3</v>
      </c>
      <c r="F2704" s="273" t="s">
        <v>75</v>
      </c>
      <c r="G2704" s="273" t="s">
        <v>11</v>
      </c>
      <c r="H2704" s="273" t="s">
        <v>11</v>
      </c>
    </row>
    <row r="2705" spans="1:8" x14ac:dyDescent="0.25">
      <c r="A2705" t="s">
        <v>57</v>
      </c>
      <c r="B2705" t="s">
        <v>112</v>
      </c>
      <c r="C2705" t="s">
        <v>1615</v>
      </c>
      <c r="D2705">
        <v>3</v>
      </c>
      <c r="E2705" s="273">
        <v>2</v>
      </c>
      <c r="F2705" s="273" t="s">
        <v>75</v>
      </c>
      <c r="G2705" s="273" t="s">
        <v>11</v>
      </c>
      <c r="H2705" s="273" t="s">
        <v>11</v>
      </c>
    </row>
    <row r="2706" spans="1:8" x14ac:dyDescent="0.25">
      <c r="A2706" t="s">
        <v>57</v>
      </c>
      <c r="B2706" t="s">
        <v>112</v>
      </c>
      <c r="C2706" t="s">
        <v>1359</v>
      </c>
      <c r="D2706">
        <v>3</v>
      </c>
      <c r="E2706" s="273">
        <v>3</v>
      </c>
      <c r="F2706" s="273" t="s">
        <v>75</v>
      </c>
      <c r="G2706" s="273" t="s">
        <v>11</v>
      </c>
      <c r="H2706" s="273" t="s">
        <v>11</v>
      </c>
    </row>
    <row r="2707" spans="1:8" x14ac:dyDescent="0.25">
      <c r="A2707" t="s">
        <v>57</v>
      </c>
      <c r="B2707" t="s">
        <v>112</v>
      </c>
      <c r="C2707" t="s">
        <v>1755</v>
      </c>
      <c r="D2707">
        <v>3</v>
      </c>
      <c r="E2707" s="273">
        <v>3</v>
      </c>
      <c r="F2707" s="273" t="s">
        <v>7</v>
      </c>
      <c r="G2707" s="273" t="s">
        <v>115</v>
      </c>
      <c r="H2707" s="273" t="s">
        <v>11</v>
      </c>
    </row>
    <row r="2708" spans="1:8" x14ac:dyDescent="0.25">
      <c r="A2708" t="s">
        <v>57</v>
      </c>
      <c r="B2708" t="s">
        <v>112</v>
      </c>
      <c r="C2708" t="s">
        <v>2666</v>
      </c>
      <c r="D2708">
        <v>3</v>
      </c>
      <c r="E2708" s="273">
        <v>3</v>
      </c>
      <c r="F2708" s="273" t="s">
        <v>7</v>
      </c>
      <c r="G2708" s="273" t="s">
        <v>115</v>
      </c>
      <c r="H2708" s="273" t="s">
        <v>11</v>
      </c>
    </row>
    <row r="2709" spans="1:8" x14ac:dyDescent="0.25">
      <c r="A2709" t="s">
        <v>57</v>
      </c>
      <c r="B2709" t="s">
        <v>112</v>
      </c>
      <c r="C2709" t="s">
        <v>2667</v>
      </c>
      <c r="D2709">
        <v>3</v>
      </c>
      <c r="E2709" s="273">
        <v>2</v>
      </c>
      <c r="F2709" s="273" t="s">
        <v>7</v>
      </c>
      <c r="G2709" s="273" t="s">
        <v>115</v>
      </c>
      <c r="H2709" s="273" t="s">
        <v>11</v>
      </c>
    </row>
    <row r="2710" spans="1:8" x14ac:dyDescent="0.25">
      <c r="A2710" t="s">
        <v>57</v>
      </c>
      <c r="B2710" t="s">
        <v>112</v>
      </c>
      <c r="C2710" t="s">
        <v>1496</v>
      </c>
      <c r="D2710">
        <v>3</v>
      </c>
      <c r="E2710" s="273">
        <v>3</v>
      </c>
      <c r="F2710" s="273" t="s">
        <v>7</v>
      </c>
      <c r="G2710" s="273" t="s">
        <v>11</v>
      </c>
      <c r="H2710" s="273" t="s">
        <v>11</v>
      </c>
    </row>
    <row r="2711" spans="1:8" x14ac:dyDescent="0.25">
      <c r="A2711" t="s">
        <v>57</v>
      </c>
      <c r="B2711" t="s">
        <v>112</v>
      </c>
      <c r="C2711" t="s">
        <v>1142</v>
      </c>
      <c r="D2711">
        <v>3</v>
      </c>
      <c r="E2711" s="273">
        <v>2</v>
      </c>
      <c r="F2711" s="273" t="s">
        <v>7</v>
      </c>
      <c r="G2711" s="273" t="s">
        <v>115</v>
      </c>
      <c r="H2711" s="273" t="s">
        <v>11</v>
      </c>
    </row>
    <row r="2712" spans="1:8" x14ac:dyDescent="0.25">
      <c r="A2712" t="s">
        <v>57</v>
      </c>
      <c r="B2712" t="s">
        <v>112</v>
      </c>
      <c r="C2712" t="s">
        <v>2668</v>
      </c>
      <c r="D2712">
        <v>3</v>
      </c>
      <c r="E2712" s="273">
        <v>3</v>
      </c>
      <c r="F2712" s="273" t="s">
        <v>75</v>
      </c>
      <c r="G2712" s="273" t="s">
        <v>11</v>
      </c>
      <c r="H2712" s="273" t="s">
        <v>11</v>
      </c>
    </row>
    <row r="2713" spans="1:8" x14ac:dyDescent="0.25">
      <c r="A2713" t="s">
        <v>57</v>
      </c>
      <c r="B2713" t="s">
        <v>112</v>
      </c>
      <c r="C2713" t="s">
        <v>1497</v>
      </c>
      <c r="D2713">
        <v>2</v>
      </c>
      <c r="E2713" s="273">
        <v>4</v>
      </c>
      <c r="F2713" s="273" t="s">
        <v>75</v>
      </c>
      <c r="G2713" s="273" t="s">
        <v>11</v>
      </c>
      <c r="H2713" s="273" t="s">
        <v>11</v>
      </c>
    </row>
    <row r="2714" spans="1:8" x14ac:dyDescent="0.25">
      <c r="A2714" t="s">
        <v>57</v>
      </c>
      <c r="B2714" t="s">
        <v>112</v>
      </c>
      <c r="C2714" t="s">
        <v>2669</v>
      </c>
      <c r="D2714">
        <v>3</v>
      </c>
      <c r="E2714" s="273">
        <v>3</v>
      </c>
      <c r="F2714" s="273" t="s">
        <v>75</v>
      </c>
      <c r="G2714" s="273" t="s">
        <v>11</v>
      </c>
      <c r="H2714" s="273" t="s">
        <v>11</v>
      </c>
    </row>
    <row r="2715" spans="1:8" x14ac:dyDescent="0.25">
      <c r="A2715" t="s">
        <v>57</v>
      </c>
      <c r="B2715" t="s">
        <v>112</v>
      </c>
      <c r="C2715" t="s">
        <v>2670</v>
      </c>
      <c r="D2715">
        <v>3</v>
      </c>
      <c r="E2715" s="273">
        <v>2</v>
      </c>
      <c r="F2715" s="273" t="s">
        <v>7</v>
      </c>
      <c r="G2715" s="273" t="s">
        <v>115</v>
      </c>
      <c r="H2715" s="273" t="s">
        <v>11</v>
      </c>
    </row>
    <row r="2716" spans="1:8" x14ac:dyDescent="0.25">
      <c r="A2716" t="s">
        <v>57</v>
      </c>
      <c r="B2716" t="s">
        <v>112</v>
      </c>
      <c r="C2716" t="s">
        <v>1143</v>
      </c>
      <c r="D2716">
        <v>3</v>
      </c>
      <c r="E2716" s="273">
        <v>3</v>
      </c>
      <c r="F2716" s="273" t="s">
        <v>7</v>
      </c>
      <c r="G2716" s="273" t="s">
        <v>115</v>
      </c>
      <c r="H2716" s="273" t="s">
        <v>11</v>
      </c>
    </row>
    <row r="2717" spans="1:8" x14ac:dyDescent="0.25">
      <c r="A2717" t="s">
        <v>57</v>
      </c>
      <c r="B2717" t="s">
        <v>112</v>
      </c>
      <c r="C2717" t="s">
        <v>2671</v>
      </c>
      <c r="D2717">
        <v>3</v>
      </c>
      <c r="E2717" s="273">
        <v>2</v>
      </c>
      <c r="F2717" s="273" t="s">
        <v>7</v>
      </c>
      <c r="G2717" s="273" t="s">
        <v>115</v>
      </c>
      <c r="H2717" s="273" t="s">
        <v>11</v>
      </c>
    </row>
    <row r="2718" spans="1:8" x14ac:dyDescent="0.25">
      <c r="A2718" t="s">
        <v>57</v>
      </c>
      <c r="B2718" t="s">
        <v>112</v>
      </c>
      <c r="C2718" t="s">
        <v>2672</v>
      </c>
      <c r="D2718">
        <v>3</v>
      </c>
      <c r="E2718" s="273">
        <v>2</v>
      </c>
      <c r="F2718" s="273" t="s">
        <v>75</v>
      </c>
      <c r="G2718" s="273" t="s">
        <v>11</v>
      </c>
      <c r="H2718" s="273" t="s">
        <v>11</v>
      </c>
    </row>
    <row r="2719" spans="1:8" x14ac:dyDescent="0.25">
      <c r="A2719" t="s">
        <v>57</v>
      </c>
      <c r="B2719" t="s">
        <v>112</v>
      </c>
      <c r="C2719" t="s">
        <v>2673</v>
      </c>
      <c r="D2719">
        <v>3</v>
      </c>
      <c r="E2719" s="273">
        <v>3</v>
      </c>
      <c r="F2719" s="273" t="s">
        <v>75</v>
      </c>
      <c r="G2719" s="273" t="s">
        <v>11</v>
      </c>
      <c r="H2719" s="273" t="s">
        <v>11</v>
      </c>
    </row>
    <row r="2720" spans="1:8" x14ac:dyDescent="0.25">
      <c r="A2720" t="s">
        <v>57</v>
      </c>
      <c r="B2720" t="s">
        <v>112</v>
      </c>
      <c r="C2720" t="s">
        <v>2674</v>
      </c>
      <c r="D2720">
        <v>3</v>
      </c>
      <c r="E2720" s="273">
        <v>2</v>
      </c>
      <c r="F2720" s="273" t="s">
        <v>7</v>
      </c>
      <c r="G2720" s="273" t="s">
        <v>115</v>
      </c>
      <c r="H2720" s="273" t="s">
        <v>11</v>
      </c>
    </row>
    <row r="2721" spans="1:8" x14ac:dyDescent="0.25">
      <c r="A2721" t="s">
        <v>57</v>
      </c>
      <c r="B2721" t="s">
        <v>112</v>
      </c>
      <c r="C2721" t="s">
        <v>2675</v>
      </c>
      <c r="D2721">
        <v>2</v>
      </c>
      <c r="E2721" s="273">
        <v>3</v>
      </c>
      <c r="F2721" s="273" t="s">
        <v>75</v>
      </c>
      <c r="G2721" s="273" t="s">
        <v>11</v>
      </c>
      <c r="H2721" s="273" t="s">
        <v>11</v>
      </c>
    </row>
    <row r="2722" spans="1:8" x14ac:dyDescent="0.25">
      <c r="A2722" t="s">
        <v>57</v>
      </c>
      <c r="B2722" t="s">
        <v>112</v>
      </c>
      <c r="C2722" t="s">
        <v>2676</v>
      </c>
      <c r="D2722">
        <v>3</v>
      </c>
      <c r="E2722" s="273">
        <v>3</v>
      </c>
      <c r="F2722" s="273" t="s">
        <v>7</v>
      </c>
      <c r="G2722" s="273" t="s">
        <v>115</v>
      </c>
      <c r="H2722" s="273" t="s">
        <v>11</v>
      </c>
    </row>
    <row r="2723" spans="1:8" x14ac:dyDescent="0.25">
      <c r="A2723" t="s">
        <v>57</v>
      </c>
      <c r="B2723" t="s">
        <v>112</v>
      </c>
      <c r="C2723" t="s">
        <v>2677</v>
      </c>
      <c r="D2723">
        <v>3</v>
      </c>
      <c r="E2723" s="273">
        <v>3</v>
      </c>
      <c r="F2723" s="273" t="s">
        <v>75</v>
      </c>
      <c r="G2723" s="273" t="s">
        <v>11</v>
      </c>
      <c r="H2723" s="273" t="s">
        <v>11</v>
      </c>
    </row>
    <row r="2724" spans="1:8" x14ac:dyDescent="0.25">
      <c r="A2724" t="s">
        <v>57</v>
      </c>
      <c r="B2724" t="s">
        <v>112</v>
      </c>
      <c r="C2724" t="s">
        <v>2678</v>
      </c>
      <c r="D2724">
        <v>3</v>
      </c>
      <c r="E2724" s="273">
        <v>2</v>
      </c>
      <c r="F2724" s="273" t="s">
        <v>7</v>
      </c>
      <c r="G2724" s="273" t="s">
        <v>115</v>
      </c>
      <c r="H2724" s="273" t="s">
        <v>11</v>
      </c>
    </row>
    <row r="2725" spans="1:8" x14ac:dyDescent="0.25">
      <c r="A2725" t="s">
        <v>57</v>
      </c>
      <c r="B2725" t="s">
        <v>112</v>
      </c>
      <c r="C2725" t="s">
        <v>2679</v>
      </c>
      <c r="D2725">
        <v>3</v>
      </c>
      <c r="E2725" s="273">
        <v>2</v>
      </c>
      <c r="F2725" s="273" t="s">
        <v>7</v>
      </c>
      <c r="G2725" s="273" t="s">
        <v>115</v>
      </c>
      <c r="H2725" s="273" t="s">
        <v>11</v>
      </c>
    </row>
    <row r="2726" spans="1:8" x14ac:dyDescent="0.25">
      <c r="A2726" t="s">
        <v>57</v>
      </c>
      <c r="B2726" t="s">
        <v>112</v>
      </c>
      <c r="C2726" t="s">
        <v>1760</v>
      </c>
      <c r="D2726">
        <v>2</v>
      </c>
      <c r="E2726" s="273">
        <v>4</v>
      </c>
      <c r="F2726" s="273" t="s">
        <v>75</v>
      </c>
      <c r="G2726" s="273" t="s">
        <v>11</v>
      </c>
      <c r="H2726" s="273" t="s">
        <v>11</v>
      </c>
    </row>
    <row r="2727" spans="1:8" x14ac:dyDescent="0.25">
      <c r="A2727" t="s">
        <v>57</v>
      </c>
      <c r="B2727" t="s">
        <v>112</v>
      </c>
      <c r="C2727" t="s">
        <v>1831</v>
      </c>
      <c r="D2727">
        <v>3</v>
      </c>
      <c r="E2727" s="273">
        <v>3</v>
      </c>
      <c r="F2727" s="273" t="s">
        <v>7</v>
      </c>
      <c r="G2727" s="273" t="s">
        <v>11</v>
      </c>
      <c r="H2727" s="273" t="s">
        <v>11</v>
      </c>
    </row>
    <row r="2728" spans="1:8" x14ac:dyDescent="0.25">
      <c r="A2728" t="s">
        <v>57</v>
      </c>
      <c r="B2728" t="s">
        <v>112</v>
      </c>
      <c r="C2728" t="s">
        <v>2680</v>
      </c>
      <c r="D2728">
        <v>3</v>
      </c>
      <c r="E2728" s="273">
        <v>3</v>
      </c>
      <c r="F2728" s="273" t="s">
        <v>7</v>
      </c>
      <c r="G2728" s="273" t="s">
        <v>115</v>
      </c>
      <c r="H2728" s="273" t="s">
        <v>11</v>
      </c>
    </row>
    <row r="2729" spans="1:8" x14ac:dyDescent="0.25">
      <c r="A2729" t="s">
        <v>57</v>
      </c>
      <c r="B2729" t="s">
        <v>112</v>
      </c>
      <c r="C2729" t="s">
        <v>2681</v>
      </c>
      <c r="D2729">
        <v>3</v>
      </c>
      <c r="E2729" s="273">
        <v>2</v>
      </c>
      <c r="F2729" s="273" t="s">
        <v>7</v>
      </c>
      <c r="G2729" s="273" t="s">
        <v>115</v>
      </c>
      <c r="H2729" s="273" t="s">
        <v>11</v>
      </c>
    </row>
    <row r="2730" spans="1:8" x14ac:dyDescent="0.25">
      <c r="A2730" t="s">
        <v>57</v>
      </c>
      <c r="B2730" t="s">
        <v>112</v>
      </c>
      <c r="C2730" t="s">
        <v>2258</v>
      </c>
      <c r="D2730">
        <v>3</v>
      </c>
      <c r="E2730" s="273">
        <v>2</v>
      </c>
      <c r="F2730" s="273" t="s">
        <v>7</v>
      </c>
      <c r="G2730" s="273" t="s">
        <v>115</v>
      </c>
      <c r="H2730" s="273" t="s">
        <v>11</v>
      </c>
    </row>
    <row r="2731" spans="1:8" x14ac:dyDescent="0.25">
      <c r="A2731" t="s">
        <v>57</v>
      </c>
      <c r="B2731" t="s">
        <v>112</v>
      </c>
      <c r="C2731" t="s">
        <v>1146</v>
      </c>
      <c r="D2731">
        <v>2</v>
      </c>
      <c r="E2731" s="273">
        <v>4</v>
      </c>
      <c r="F2731" s="273" t="s">
        <v>75</v>
      </c>
      <c r="G2731" s="273" t="s">
        <v>11</v>
      </c>
      <c r="H2731" s="273" t="s">
        <v>11</v>
      </c>
    </row>
    <row r="2732" spans="1:8" x14ac:dyDescent="0.25">
      <c r="A2732" t="s">
        <v>57</v>
      </c>
      <c r="B2732" t="s">
        <v>112</v>
      </c>
      <c r="C2732" t="s">
        <v>1506</v>
      </c>
      <c r="D2732">
        <v>3</v>
      </c>
      <c r="E2732" s="273">
        <v>3</v>
      </c>
      <c r="F2732" s="273" t="s">
        <v>75</v>
      </c>
      <c r="G2732" s="273" t="s">
        <v>11</v>
      </c>
      <c r="H2732" s="273" t="s">
        <v>11</v>
      </c>
    </row>
    <row r="2733" spans="1:8" x14ac:dyDescent="0.25">
      <c r="A2733" t="s">
        <v>57</v>
      </c>
      <c r="B2733" t="s">
        <v>112</v>
      </c>
      <c r="C2733" t="s">
        <v>1423</v>
      </c>
      <c r="D2733">
        <v>3</v>
      </c>
      <c r="E2733" s="273">
        <v>3</v>
      </c>
      <c r="F2733" s="273" t="s">
        <v>7</v>
      </c>
      <c r="G2733" s="273" t="s">
        <v>115</v>
      </c>
      <c r="H2733" s="273" t="s">
        <v>11</v>
      </c>
    </row>
    <row r="2734" spans="1:8" x14ac:dyDescent="0.25">
      <c r="A2734" t="s">
        <v>57</v>
      </c>
      <c r="B2734" t="s">
        <v>112</v>
      </c>
      <c r="C2734" t="s">
        <v>2682</v>
      </c>
      <c r="D2734">
        <v>2</v>
      </c>
      <c r="E2734" s="273">
        <v>4</v>
      </c>
      <c r="F2734" s="273" t="s">
        <v>75</v>
      </c>
      <c r="G2734" s="273" t="s">
        <v>11</v>
      </c>
      <c r="H2734" s="273" t="s">
        <v>11</v>
      </c>
    </row>
    <row r="2735" spans="1:8" x14ac:dyDescent="0.25">
      <c r="A2735" t="s">
        <v>57</v>
      </c>
      <c r="B2735" t="s">
        <v>112</v>
      </c>
      <c r="C2735" t="s">
        <v>2601</v>
      </c>
      <c r="D2735">
        <v>3</v>
      </c>
      <c r="E2735" s="273">
        <v>3</v>
      </c>
      <c r="F2735" s="273" t="s">
        <v>75</v>
      </c>
      <c r="G2735" s="273" t="s">
        <v>11</v>
      </c>
      <c r="H2735" s="273" t="s">
        <v>11</v>
      </c>
    </row>
    <row r="2736" spans="1:8" x14ac:dyDescent="0.25">
      <c r="A2736" t="s">
        <v>57</v>
      </c>
      <c r="B2736" t="s">
        <v>112</v>
      </c>
      <c r="C2736" t="s">
        <v>1619</v>
      </c>
      <c r="D2736">
        <v>3</v>
      </c>
      <c r="E2736" s="273">
        <v>2</v>
      </c>
      <c r="F2736" s="273" t="s">
        <v>7</v>
      </c>
      <c r="G2736" s="273" t="s">
        <v>115</v>
      </c>
      <c r="H2736" s="273" t="s">
        <v>11</v>
      </c>
    </row>
    <row r="2737" spans="1:8" x14ac:dyDescent="0.25">
      <c r="A2737" t="s">
        <v>57</v>
      </c>
      <c r="B2737" t="s">
        <v>112</v>
      </c>
      <c r="C2737" t="s">
        <v>1509</v>
      </c>
      <c r="D2737">
        <v>3</v>
      </c>
      <c r="E2737" s="273">
        <v>2</v>
      </c>
      <c r="F2737" s="273" t="s">
        <v>7</v>
      </c>
      <c r="G2737" s="273" t="s">
        <v>115</v>
      </c>
      <c r="H2737" s="273" t="s">
        <v>11</v>
      </c>
    </row>
    <row r="2738" spans="1:8" x14ac:dyDescent="0.25">
      <c r="A2738" t="s">
        <v>57</v>
      </c>
      <c r="B2738" t="s">
        <v>112</v>
      </c>
      <c r="C2738" t="s">
        <v>1666</v>
      </c>
      <c r="D2738">
        <v>3</v>
      </c>
      <c r="E2738" s="273">
        <v>3</v>
      </c>
      <c r="F2738" s="273" t="s">
        <v>7</v>
      </c>
      <c r="G2738" s="273" t="s">
        <v>115</v>
      </c>
      <c r="H2738" s="273" t="s">
        <v>11</v>
      </c>
    </row>
    <row r="2739" spans="1:8" x14ac:dyDescent="0.25">
      <c r="A2739" t="s">
        <v>57</v>
      </c>
      <c r="B2739" t="s">
        <v>112</v>
      </c>
      <c r="C2739" t="s">
        <v>2683</v>
      </c>
      <c r="D2739">
        <v>2</v>
      </c>
      <c r="E2739" s="273">
        <v>4</v>
      </c>
      <c r="F2739" s="273" t="s">
        <v>75</v>
      </c>
      <c r="G2739" s="273" t="s">
        <v>11</v>
      </c>
      <c r="H2739" s="273" t="s">
        <v>11</v>
      </c>
    </row>
    <row r="2740" spans="1:8" x14ac:dyDescent="0.25">
      <c r="A2740" t="s">
        <v>57</v>
      </c>
      <c r="B2740" t="s">
        <v>112</v>
      </c>
      <c r="C2740" t="s">
        <v>1765</v>
      </c>
      <c r="D2740">
        <v>3</v>
      </c>
      <c r="E2740" s="273">
        <v>3</v>
      </c>
      <c r="F2740" s="273" t="s">
        <v>75</v>
      </c>
      <c r="G2740" s="273" t="s">
        <v>11</v>
      </c>
      <c r="H2740" s="273" t="s">
        <v>11</v>
      </c>
    </row>
    <row r="2741" spans="1:8" x14ac:dyDescent="0.25">
      <c r="A2741" t="s">
        <v>57</v>
      </c>
      <c r="B2741" t="s">
        <v>112</v>
      </c>
      <c r="C2741" t="s">
        <v>2684</v>
      </c>
      <c r="D2741">
        <v>3</v>
      </c>
      <c r="E2741" s="273">
        <v>2</v>
      </c>
      <c r="F2741" s="273" t="s">
        <v>7</v>
      </c>
      <c r="G2741" s="273" t="s">
        <v>115</v>
      </c>
      <c r="H2741" s="273" t="s">
        <v>11</v>
      </c>
    </row>
    <row r="2742" spans="1:8" x14ac:dyDescent="0.25">
      <c r="A2742" t="s">
        <v>57</v>
      </c>
      <c r="B2742" t="s">
        <v>112</v>
      </c>
      <c r="C2742" t="s">
        <v>2685</v>
      </c>
      <c r="D2742">
        <v>2</v>
      </c>
      <c r="E2742" s="273">
        <v>3</v>
      </c>
      <c r="F2742" s="273" t="s">
        <v>75</v>
      </c>
      <c r="G2742" s="273" t="s">
        <v>11</v>
      </c>
      <c r="H2742" s="273" t="s">
        <v>11</v>
      </c>
    </row>
    <row r="2743" spans="1:8" x14ac:dyDescent="0.25">
      <c r="A2743" t="s">
        <v>57</v>
      </c>
      <c r="B2743" t="s">
        <v>112</v>
      </c>
      <c r="C2743" t="s">
        <v>1620</v>
      </c>
      <c r="D2743">
        <v>3</v>
      </c>
      <c r="E2743" s="273">
        <v>3</v>
      </c>
      <c r="F2743" s="273" t="s">
        <v>7</v>
      </c>
      <c r="G2743" s="273" t="s">
        <v>115</v>
      </c>
      <c r="H2743" s="273" t="s">
        <v>11</v>
      </c>
    </row>
    <row r="2744" spans="1:8" x14ac:dyDescent="0.25">
      <c r="A2744" t="s">
        <v>57</v>
      </c>
      <c r="B2744" t="s">
        <v>112</v>
      </c>
      <c r="C2744" t="s">
        <v>2260</v>
      </c>
      <c r="D2744">
        <v>3</v>
      </c>
      <c r="E2744" s="273">
        <v>2</v>
      </c>
      <c r="F2744" s="273" t="s">
        <v>7</v>
      </c>
      <c r="G2744" s="273" t="s">
        <v>115</v>
      </c>
      <c r="H2744" s="273" t="s">
        <v>11</v>
      </c>
    </row>
    <row r="2745" spans="1:8" x14ac:dyDescent="0.25">
      <c r="A2745" t="s">
        <v>57</v>
      </c>
      <c r="B2745" t="s">
        <v>112</v>
      </c>
      <c r="C2745" t="s">
        <v>2159</v>
      </c>
      <c r="D2745">
        <v>3</v>
      </c>
      <c r="E2745" s="273">
        <v>2</v>
      </c>
      <c r="F2745" s="273" t="s">
        <v>7</v>
      </c>
      <c r="G2745" s="273" t="s">
        <v>115</v>
      </c>
      <c r="H2745" s="273" t="s">
        <v>11</v>
      </c>
    </row>
    <row r="2746" spans="1:8" x14ac:dyDescent="0.25">
      <c r="A2746" t="s">
        <v>57</v>
      </c>
      <c r="B2746" t="s">
        <v>112</v>
      </c>
      <c r="C2746" t="s">
        <v>2686</v>
      </c>
      <c r="D2746">
        <v>2</v>
      </c>
      <c r="E2746" s="273">
        <v>4</v>
      </c>
      <c r="F2746" s="273" t="s">
        <v>75</v>
      </c>
      <c r="G2746" s="273" t="s">
        <v>11</v>
      </c>
      <c r="H2746" s="273" t="s">
        <v>11</v>
      </c>
    </row>
    <row r="2747" spans="1:8" x14ac:dyDescent="0.25">
      <c r="A2747" t="s">
        <v>57</v>
      </c>
      <c r="B2747" t="s">
        <v>112</v>
      </c>
      <c r="C2747" t="s">
        <v>2687</v>
      </c>
      <c r="D2747">
        <v>3</v>
      </c>
      <c r="E2747" s="273">
        <v>3</v>
      </c>
      <c r="F2747" s="273" t="s">
        <v>7</v>
      </c>
      <c r="G2747" s="273" t="s">
        <v>115</v>
      </c>
      <c r="H2747" s="273" t="s">
        <v>11</v>
      </c>
    </row>
    <row r="2748" spans="1:8" x14ac:dyDescent="0.25">
      <c r="A2748" t="s">
        <v>57</v>
      </c>
      <c r="B2748" t="s">
        <v>112</v>
      </c>
      <c r="C2748" t="s">
        <v>1836</v>
      </c>
      <c r="D2748">
        <v>3</v>
      </c>
      <c r="E2748" s="273">
        <v>3</v>
      </c>
      <c r="F2748" s="273" t="s">
        <v>7</v>
      </c>
      <c r="G2748" s="273" t="s">
        <v>115</v>
      </c>
      <c r="H2748" s="273" t="s">
        <v>11</v>
      </c>
    </row>
    <row r="2749" spans="1:8" x14ac:dyDescent="0.25">
      <c r="A2749" t="s">
        <v>57</v>
      </c>
      <c r="B2749" t="s">
        <v>112</v>
      </c>
      <c r="C2749" t="s">
        <v>1148</v>
      </c>
      <c r="D2749">
        <v>3</v>
      </c>
      <c r="E2749" s="273">
        <v>2</v>
      </c>
      <c r="F2749" s="273" t="s">
        <v>7</v>
      </c>
      <c r="G2749" s="273" t="s">
        <v>115</v>
      </c>
      <c r="H2749" s="273" t="s">
        <v>11</v>
      </c>
    </row>
    <row r="2750" spans="1:8" x14ac:dyDescent="0.25">
      <c r="A2750" t="s">
        <v>57</v>
      </c>
      <c r="B2750" t="s">
        <v>112</v>
      </c>
      <c r="C2750" t="s">
        <v>1250</v>
      </c>
      <c r="D2750">
        <v>3</v>
      </c>
      <c r="E2750" s="273">
        <v>3</v>
      </c>
      <c r="F2750" s="273" t="s">
        <v>75</v>
      </c>
      <c r="G2750" s="273" t="s">
        <v>11</v>
      </c>
      <c r="H2750" s="273" t="s">
        <v>11</v>
      </c>
    </row>
    <row r="2751" spans="1:8" x14ac:dyDescent="0.25">
      <c r="A2751" t="s">
        <v>57</v>
      </c>
      <c r="B2751" t="s">
        <v>112</v>
      </c>
      <c r="C2751" t="s">
        <v>2688</v>
      </c>
      <c r="D2751">
        <v>2</v>
      </c>
      <c r="E2751" s="273">
        <v>3</v>
      </c>
      <c r="F2751" s="273" t="s">
        <v>75</v>
      </c>
      <c r="G2751" s="273" t="s">
        <v>11</v>
      </c>
      <c r="H2751" s="273" t="s">
        <v>11</v>
      </c>
    </row>
    <row r="2752" spans="1:8" x14ac:dyDescent="0.25">
      <c r="A2752" t="s">
        <v>57</v>
      </c>
      <c r="B2752" t="s">
        <v>112</v>
      </c>
      <c r="C2752" t="s">
        <v>2689</v>
      </c>
      <c r="D2752">
        <v>3</v>
      </c>
      <c r="E2752" s="273">
        <v>3</v>
      </c>
      <c r="F2752" s="273" t="s">
        <v>7</v>
      </c>
      <c r="G2752" s="273" t="s">
        <v>115</v>
      </c>
      <c r="H2752" s="273" t="s">
        <v>11</v>
      </c>
    </row>
    <row r="2753" spans="1:8" x14ac:dyDescent="0.25">
      <c r="A2753" t="s">
        <v>57</v>
      </c>
      <c r="B2753" t="s">
        <v>112</v>
      </c>
      <c r="C2753" t="s">
        <v>2572</v>
      </c>
      <c r="D2753">
        <v>2</v>
      </c>
      <c r="E2753" s="273">
        <v>4</v>
      </c>
      <c r="F2753" s="273" t="s">
        <v>75</v>
      </c>
      <c r="G2753" s="273" t="s">
        <v>11</v>
      </c>
      <c r="H2753" s="273" t="s">
        <v>11</v>
      </c>
    </row>
    <row r="2754" spans="1:8" x14ac:dyDescent="0.25">
      <c r="A2754" t="s">
        <v>57</v>
      </c>
      <c r="B2754" t="s">
        <v>112</v>
      </c>
      <c r="C2754" t="s">
        <v>2690</v>
      </c>
      <c r="D2754">
        <v>3</v>
      </c>
      <c r="E2754" s="273">
        <v>3</v>
      </c>
      <c r="F2754" s="273" t="s">
        <v>75</v>
      </c>
      <c r="G2754" s="273" t="s">
        <v>11</v>
      </c>
      <c r="H2754" s="273" t="s">
        <v>11</v>
      </c>
    </row>
    <row r="2755" spans="1:8" x14ac:dyDescent="0.25">
      <c r="A2755" t="s">
        <v>57</v>
      </c>
      <c r="B2755" t="s">
        <v>112</v>
      </c>
      <c r="C2755" t="s">
        <v>2691</v>
      </c>
      <c r="D2755">
        <v>3</v>
      </c>
      <c r="E2755" s="273">
        <v>3</v>
      </c>
      <c r="F2755" s="273" t="s">
        <v>7</v>
      </c>
      <c r="G2755" s="273" t="s">
        <v>11</v>
      </c>
      <c r="H2755" s="273" t="s">
        <v>11</v>
      </c>
    </row>
    <row r="2756" spans="1:8" x14ac:dyDescent="0.25">
      <c r="A2756" t="s">
        <v>57</v>
      </c>
      <c r="B2756" t="s">
        <v>112</v>
      </c>
      <c r="C2756" t="s">
        <v>1149</v>
      </c>
      <c r="D2756">
        <v>3</v>
      </c>
      <c r="E2756" s="273">
        <v>2</v>
      </c>
      <c r="F2756" s="273" t="s">
        <v>7</v>
      </c>
      <c r="G2756" s="273" t="s">
        <v>115</v>
      </c>
      <c r="H2756" s="273" t="s">
        <v>11</v>
      </c>
    </row>
    <row r="2757" spans="1:8" x14ac:dyDescent="0.25">
      <c r="A2757" t="s">
        <v>57</v>
      </c>
      <c r="B2757" t="s">
        <v>112</v>
      </c>
      <c r="C2757" t="s">
        <v>1513</v>
      </c>
      <c r="D2757">
        <v>3</v>
      </c>
      <c r="E2757" s="273">
        <v>2</v>
      </c>
      <c r="F2757" s="273" t="s">
        <v>7</v>
      </c>
      <c r="G2757" s="273" t="s">
        <v>115</v>
      </c>
      <c r="H2757" s="273" t="s">
        <v>11</v>
      </c>
    </row>
    <row r="2758" spans="1:8" x14ac:dyDescent="0.25">
      <c r="A2758" t="s">
        <v>57</v>
      </c>
      <c r="B2758" t="s">
        <v>112</v>
      </c>
      <c r="C2758" t="s">
        <v>1514</v>
      </c>
      <c r="D2758">
        <v>2</v>
      </c>
      <c r="E2758" s="273">
        <v>3</v>
      </c>
      <c r="F2758" s="273" t="s">
        <v>75</v>
      </c>
      <c r="G2758" s="273" t="s">
        <v>11</v>
      </c>
      <c r="H2758" s="273" t="s">
        <v>11</v>
      </c>
    </row>
    <row r="2759" spans="1:8" x14ac:dyDescent="0.25">
      <c r="A2759" t="s">
        <v>57</v>
      </c>
      <c r="B2759" t="s">
        <v>112</v>
      </c>
      <c r="C2759" t="s">
        <v>1150</v>
      </c>
      <c r="D2759">
        <v>3</v>
      </c>
      <c r="E2759" s="273">
        <v>2</v>
      </c>
      <c r="F2759" s="273" t="s">
        <v>7</v>
      </c>
      <c r="G2759" s="273" t="s">
        <v>115</v>
      </c>
      <c r="H2759" s="273" t="s">
        <v>11</v>
      </c>
    </row>
    <row r="2760" spans="1:8" x14ac:dyDescent="0.25">
      <c r="A2760" t="s">
        <v>57</v>
      </c>
      <c r="B2760" t="s">
        <v>112</v>
      </c>
      <c r="C2760" t="s">
        <v>2692</v>
      </c>
      <c r="D2760">
        <v>3</v>
      </c>
      <c r="E2760" s="273">
        <v>2</v>
      </c>
      <c r="F2760" s="273" t="s">
        <v>7</v>
      </c>
      <c r="G2760" s="273" t="s">
        <v>115</v>
      </c>
      <c r="H2760" s="273" t="s">
        <v>11</v>
      </c>
    </row>
    <row r="2761" spans="1:8" x14ac:dyDescent="0.25">
      <c r="A2761" t="s">
        <v>57</v>
      </c>
      <c r="B2761" t="s">
        <v>112</v>
      </c>
      <c r="C2761" t="s">
        <v>2693</v>
      </c>
      <c r="D2761">
        <v>3</v>
      </c>
      <c r="E2761" s="273">
        <v>2</v>
      </c>
      <c r="F2761" s="273" t="s">
        <v>7</v>
      </c>
      <c r="G2761" s="273" t="s">
        <v>115</v>
      </c>
      <c r="H2761" s="273" t="s">
        <v>11</v>
      </c>
    </row>
    <row r="2762" spans="1:8" x14ac:dyDescent="0.25">
      <c r="A2762" t="s">
        <v>57</v>
      </c>
      <c r="B2762" t="s">
        <v>112</v>
      </c>
      <c r="C2762" t="s">
        <v>1253</v>
      </c>
      <c r="D2762">
        <v>3</v>
      </c>
      <c r="E2762" s="273">
        <v>3</v>
      </c>
      <c r="F2762" s="273" t="s">
        <v>7</v>
      </c>
      <c r="G2762" s="273" t="s">
        <v>115</v>
      </c>
      <c r="H2762" s="273" t="s">
        <v>11</v>
      </c>
    </row>
    <row r="2763" spans="1:8" x14ac:dyDescent="0.25">
      <c r="A2763" t="s">
        <v>57</v>
      </c>
      <c r="B2763" t="s">
        <v>112</v>
      </c>
      <c r="C2763" t="s">
        <v>1516</v>
      </c>
      <c r="D2763">
        <v>3</v>
      </c>
      <c r="E2763" s="273">
        <v>3</v>
      </c>
      <c r="F2763" s="273" t="s">
        <v>75</v>
      </c>
      <c r="G2763" s="273" t="s">
        <v>11</v>
      </c>
      <c r="H2763" s="273" t="s">
        <v>11</v>
      </c>
    </row>
    <row r="2764" spans="1:8" x14ac:dyDescent="0.25">
      <c r="A2764" t="s">
        <v>57</v>
      </c>
      <c r="B2764" t="s">
        <v>112</v>
      </c>
      <c r="C2764" t="s">
        <v>2694</v>
      </c>
      <c r="D2764">
        <v>3</v>
      </c>
      <c r="E2764" s="273">
        <v>2</v>
      </c>
      <c r="F2764" s="273" t="s">
        <v>7</v>
      </c>
      <c r="G2764" s="273" t="s">
        <v>115</v>
      </c>
      <c r="H2764" s="273" t="s">
        <v>11</v>
      </c>
    </row>
    <row r="2765" spans="1:8" x14ac:dyDescent="0.25">
      <c r="A2765" t="s">
        <v>57</v>
      </c>
      <c r="B2765" t="s">
        <v>112</v>
      </c>
      <c r="C2765" t="s">
        <v>2695</v>
      </c>
      <c r="D2765">
        <v>3</v>
      </c>
      <c r="E2765" s="273">
        <v>3</v>
      </c>
      <c r="F2765" s="273" t="s">
        <v>7</v>
      </c>
      <c r="G2765" s="273" t="s">
        <v>115</v>
      </c>
      <c r="H2765" s="273" t="s">
        <v>11</v>
      </c>
    </row>
    <row r="2766" spans="1:8" x14ac:dyDescent="0.25">
      <c r="A2766" t="s">
        <v>57</v>
      </c>
      <c r="B2766" t="s">
        <v>112</v>
      </c>
      <c r="C2766" t="s">
        <v>1626</v>
      </c>
      <c r="D2766">
        <v>3</v>
      </c>
      <c r="E2766" s="273">
        <v>3</v>
      </c>
      <c r="F2766" s="273" t="s">
        <v>7</v>
      </c>
      <c r="G2766" s="273" t="s">
        <v>115</v>
      </c>
      <c r="H2766" s="273" t="s">
        <v>11</v>
      </c>
    </row>
    <row r="2767" spans="1:8" x14ac:dyDescent="0.25">
      <c r="A2767" t="s">
        <v>57</v>
      </c>
      <c r="B2767" t="s">
        <v>112</v>
      </c>
      <c r="C2767" t="s">
        <v>2696</v>
      </c>
      <c r="D2767">
        <v>3</v>
      </c>
      <c r="E2767" s="273">
        <v>2</v>
      </c>
      <c r="F2767" s="273" t="s">
        <v>7</v>
      </c>
      <c r="G2767" s="273" t="s">
        <v>115</v>
      </c>
      <c r="H2767" s="273" t="s">
        <v>11</v>
      </c>
    </row>
    <row r="2768" spans="1:8" x14ac:dyDescent="0.25">
      <c r="A2768" t="s">
        <v>57</v>
      </c>
      <c r="B2768" t="s">
        <v>112</v>
      </c>
      <c r="C2768" t="s">
        <v>1402</v>
      </c>
      <c r="D2768">
        <v>3</v>
      </c>
      <c r="E2768" s="273">
        <v>3</v>
      </c>
      <c r="F2768" s="273" t="s">
        <v>75</v>
      </c>
      <c r="G2768" s="273" t="s">
        <v>11</v>
      </c>
      <c r="H2768" s="273" t="s">
        <v>11</v>
      </c>
    </row>
    <row r="2769" spans="1:8" x14ac:dyDescent="0.25">
      <c r="A2769" t="s">
        <v>57</v>
      </c>
      <c r="B2769" t="s">
        <v>112</v>
      </c>
      <c r="C2769" t="s">
        <v>2697</v>
      </c>
      <c r="D2769">
        <v>3</v>
      </c>
      <c r="E2769" s="273">
        <v>3</v>
      </c>
      <c r="F2769" s="273" t="s">
        <v>75</v>
      </c>
      <c r="G2769" s="273" t="s">
        <v>11</v>
      </c>
      <c r="H2769" s="273" t="s">
        <v>11</v>
      </c>
    </row>
    <row r="2770" spans="1:8" x14ac:dyDescent="0.25">
      <c r="A2770" t="s">
        <v>57</v>
      </c>
      <c r="B2770" t="s">
        <v>112</v>
      </c>
      <c r="C2770" t="s">
        <v>2698</v>
      </c>
      <c r="D2770">
        <v>3</v>
      </c>
      <c r="E2770" s="273">
        <v>3</v>
      </c>
      <c r="F2770" s="273" t="s">
        <v>75</v>
      </c>
      <c r="G2770" s="273" t="s">
        <v>11</v>
      </c>
      <c r="H2770" s="273" t="s">
        <v>11</v>
      </c>
    </row>
    <row r="2771" spans="1:8" x14ac:dyDescent="0.25">
      <c r="A2771" t="s">
        <v>57</v>
      </c>
      <c r="B2771" t="s">
        <v>112</v>
      </c>
      <c r="C2771" t="s">
        <v>2699</v>
      </c>
      <c r="D2771">
        <v>3</v>
      </c>
      <c r="E2771" s="273">
        <v>3</v>
      </c>
      <c r="F2771" s="273" t="s">
        <v>75</v>
      </c>
      <c r="G2771" s="273" t="s">
        <v>11</v>
      </c>
      <c r="H2771" s="273" t="s">
        <v>11</v>
      </c>
    </row>
    <row r="2772" spans="1:8" x14ac:dyDescent="0.25">
      <c r="A2772" t="s">
        <v>57</v>
      </c>
      <c r="B2772" t="s">
        <v>112</v>
      </c>
      <c r="C2772" t="s">
        <v>2700</v>
      </c>
      <c r="D2772">
        <v>3</v>
      </c>
      <c r="E2772" s="273">
        <v>2</v>
      </c>
      <c r="F2772" s="273" t="s">
        <v>75</v>
      </c>
      <c r="G2772" s="273" t="s">
        <v>11</v>
      </c>
      <c r="H2772" s="273" t="s">
        <v>11</v>
      </c>
    </row>
    <row r="2773" spans="1:8" x14ac:dyDescent="0.25">
      <c r="A2773" t="s">
        <v>57</v>
      </c>
      <c r="B2773" t="s">
        <v>112</v>
      </c>
      <c r="C2773" t="s">
        <v>2701</v>
      </c>
      <c r="D2773">
        <v>3</v>
      </c>
      <c r="E2773" s="273">
        <v>2</v>
      </c>
      <c r="F2773" s="273" t="s">
        <v>7</v>
      </c>
      <c r="G2773" s="273" t="s">
        <v>115</v>
      </c>
      <c r="H2773" s="273" t="s">
        <v>11</v>
      </c>
    </row>
    <row r="2774" spans="1:8" x14ac:dyDescent="0.25">
      <c r="A2774" t="s">
        <v>57</v>
      </c>
      <c r="B2774" t="s">
        <v>112</v>
      </c>
      <c r="C2774" t="s">
        <v>1627</v>
      </c>
      <c r="D2774">
        <v>3</v>
      </c>
      <c r="E2774" s="273">
        <v>3</v>
      </c>
      <c r="F2774" s="273" t="s">
        <v>75</v>
      </c>
      <c r="G2774" s="273" t="s">
        <v>11</v>
      </c>
      <c r="H2774" s="273" t="s">
        <v>11</v>
      </c>
    </row>
    <row r="2775" spans="1:8" x14ac:dyDescent="0.25">
      <c r="A2775" t="s">
        <v>57</v>
      </c>
      <c r="B2775" t="s">
        <v>112</v>
      </c>
      <c r="C2775" t="s">
        <v>1628</v>
      </c>
      <c r="D2775">
        <v>3</v>
      </c>
      <c r="E2775" s="273">
        <v>2</v>
      </c>
      <c r="F2775" s="273" t="s">
        <v>75</v>
      </c>
      <c r="G2775" s="273" t="s">
        <v>11</v>
      </c>
      <c r="H2775" s="273" t="s">
        <v>11</v>
      </c>
    </row>
    <row r="2776" spans="1:8" x14ac:dyDescent="0.25">
      <c r="A2776" t="s">
        <v>57</v>
      </c>
      <c r="B2776" t="s">
        <v>112</v>
      </c>
      <c r="C2776" t="s">
        <v>1151</v>
      </c>
      <c r="D2776">
        <v>3</v>
      </c>
      <c r="E2776" s="273">
        <v>3</v>
      </c>
      <c r="F2776" s="273" t="s">
        <v>7</v>
      </c>
      <c r="G2776" s="273" t="s">
        <v>115</v>
      </c>
      <c r="H2776" s="273" t="s">
        <v>11</v>
      </c>
    </row>
    <row r="2777" spans="1:8" x14ac:dyDescent="0.25">
      <c r="A2777" t="s">
        <v>57</v>
      </c>
      <c r="B2777" t="s">
        <v>112</v>
      </c>
      <c r="C2777" t="s">
        <v>2702</v>
      </c>
      <c r="D2777">
        <v>2</v>
      </c>
      <c r="E2777" s="273">
        <v>4</v>
      </c>
      <c r="F2777" s="273" t="s">
        <v>75</v>
      </c>
      <c r="G2777" s="273" t="s">
        <v>11</v>
      </c>
      <c r="H2777" s="273" t="s">
        <v>11</v>
      </c>
    </row>
    <row r="2778" spans="1:8" x14ac:dyDescent="0.25">
      <c r="A2778" t="s">
        <v>57</v>
      </c>
      <c r="B2778" t="s">
        <v>112</v>
      </c>
      <c r="C2778" t="s">
        <v>2703</v>
      </c>
      <c r="D2778">
        <v>3</v>
      </c>
      <c r="E2778" s="273">
        <v>3</v>
      </c>
      <c r="F2778" s="273" t="s">
        <v>7</v>
      </c>
      <c r="G2778" s="273" t="s">
        <v>115</v>
      </c>
      <c r="H2778" s="273" t="s">
        <v>11</v>
      </c>
    </row>
    <row r="2779" spans="1:8" x14ac:dyDescent="0.25">
      <c r="A2779" t="s">
        <v>57</v>
      </c>
      <c r="B2779" t="s">
        <v>112</v>
      </c>
      <c r="C2779" t="s">
        <v>2704</v>
      </c>
      <c r="D2779">
        <v>3</v>
      </c>
      <c r="E2779" s="273">
        <v>2</v>
      </c>
      <c r="F2779" s="273" t="s">
        <v>7</v>
      </c>
      <c r="G2779" s="273" t="s">
        <v>115</v>
      </c>
      <c r="H2779" s="273" t="s">
        <v>11</v>
      </c>
    </row>
    <row r="2780" spans="1:8" x14ac:dyDescent="0.25">
      <c r="A2780" t="s">
        <v>57</v>
      </c>
      <c r="B2780" t="s">
        <v>112</v>
      </c>
      <c r="C2780" t="s">
        <v>1154</v>
      </c>
      <c r="D2780">
        <v>3</v>
      </c>
      <c r="E2780" s="273">
        <v>2</v>
      </c>
      <c r="F2780" s="273" t="s">
        <v>7</v>
      </c>
      <c r="G2780" s="273" t="s">
        <v>115</v>
      </c>
      <c r="H2780" s="273" t="s">
        <v>11</v>
      </c>
    </row>
    <row r="2781" spans="1:8" x14ac:dyDescent="0.25">
      <c r="A2781" t="s">
        <v>57</v>
      </c>
      <c r="B2781" t="s">
        <v>112</v>
      </c>
      <c r="C2781" t="s">
        <v>1431</v>
      </c>
      <c r="D2781">
        <v>3</v>
      </c>
      <c r="E2781" s="273">
        <v>2</v>
      </c>
      <c r="F2781" s="273" t="s">
        <v>7</v>
      </c>
      <c r="G2781" s="273" t="s">
        <v>115</v>
      </c>
      <c r="H2781" s="273" t="s">
        <v>11</v>
      </c>
    </row>
    <row r="2782" spans="1:8" x14ac:dyDescent="0.25">
      <c r="A2782" t="s">
        <v>57</v>
      </c>
      <c r="B2782" t="s">
        <v>112</v>
      </c>
      <c r="C2782" t="s">
        <v>1433</v>
      </c>
      <c r="D2782">
        <v>3</v>
      </c>
      <c r="E2782" s="273">
        <v>2</v>
      </c>
      <c r="F2782" s="273" t="s">
        <v>7</v>
      </c>
      <c r="G2782" s="273" t="s">
        <v>115</v>
      </c>
      <c r="H2782" s="273" t="s">
        <v>11</v>
      </c>
    </row>
    <row r="2783" spans="1:8" x14ac:dyDescent="0.25">
      <c r="A2783" t="s">
        <v>57</v>
      </c>
      <c r="B2783" t="s">
        <v>112</v>
      </c>
      <c r="C2783" t="s">
        <v>1155</v>
      </c>
      <c r="D2783">
        <v>3</v>
      </c>
      <c r="E2783" s="273">
        <v>2</v>
      </c>
      <c r="F2783" s="273" t="s">
        <v>7</v>
      </c>
      <c r="G2783" s="273" t="s">
        <v>115</v>
      </c>
      <c r="H2783" s="273" t="s">
        <v>11</v>
      </c>
    </row>
    <row r="2784" spans="1:8" x14ac:dyDescent="0.25">
      <c r="A2784" t="s">
        <v>57</v>
      </c>
      <c r="B2784" t="s">
        <v>112</v>
      </c>
      <c r="C2784" t="s">
        <v>2705</v>
      </c>
      <c r="D2784">
        <v>2</v>
      </c>
      <c r="E2784" s="273">
        <v>4</v>
      </c>
      <c r="F2784" s="273" t="s">
        <v>75</v>
      </c>
      <c r="G2784" s="273" t="s">
        <v>11</v>
      </c>
      <c r="H2784" s="273" t="s">
        <v>11</v>
      </c>
    </row>
    <row r="2785" spans="1:8" x14ac:dyDescent="0.25">
      <c r="A2785" t="s">
        <v>57</v>
      </c>
      <c r="B2785" t="s">
        <v>112</v>
      </c>
      <c r="C2785" t="s">
        <v>2706</v>
      </c>
      <c r="D2785">
        <v>3</v>
      </c>
      <c r="E2785" s="273">
        <v>2</v>
      </c>
      <c r="F2785" s="273" t="s">
        <v>7</v>
      </c>
      <c r="G2785" s="273" t="s">
        <v>115</v>
      </c>
      <c r="H2785" s="273" t="s">
        <v>11</v>
      </c>
    </row>
    <row r="2786" spans="1:8" x14ac:dyDescent="0.25">
      <c r="A2786" t="s">
        <v>57</v>
      </c>
      <c r="B2786" t="s">
        <v>112</v>
      </c>
      <c r="C2786" t="s">
        <v>2707</v>
      </c>
      <c r="D2786">
        <v>2</v>
      </c>
      <c r="E2786" s="273">
        <v>3</v>
      </c>
      <c r="F2786" s="273" t="s">
        <v>7</v>
      </c>
      <c r="G2786" s="273" t="s">
        <v>115</v>
      </c>
      <c r="H2786" s="273" t="s">
        <v>11</v>
      </c>
    </row>
    <row r="2787" spans="1:8" x14ac:dyDescent="0.25">
      <c r="A2787" t="s">
        <v>57</v>
      </c>
      <c r="B2787" t="s">
        <v>112</v>
      </c>
      <c r="C2787" t="s">
        <v>2708</v>
      </c>
      <c r="D2787">
        <v>3</v>
      </c>
      <c r="E2787" s="273">
        <v>3</v>
      </c>
      <c r="F2787" s="273" t="s">
        <v>75</v>
      </c>
      <c r="G2787" s="273" t="s">
        <v>11</v>
      </c>
      <c r="H2787" s="273" t="s">
        <v>11</v>
      </c>
    </row>
    <row r="2788" spans="1:8" x14ac:dyDescent="0.25">
      <c r="A2788" t="s">
        <v>57</v>
      </c>
      <c r="B2788" t="s">
        <v>112</v>
      </c>
      <c r="C2788" t="s">
        <v>2709</v>
      </c>
      <c r="D2788">
        <v>2</v>
      </c>
      <c r="E2788" s="273">
        <v>3</v>
      </c>
      <c r="F2788" s="273" t="s">
        <v>75</v>
      </c>
      <c r="G2788" s="273" t="s">
        <v>11</v>
      </c>
      <c r="H2788" s="273" t="s">
        <v>11</v>
      </c>
    </row>
    <row r="2789" spans="1:8" x14ac:dyDescent="0.25">
      <c r="A2789" t="s">
        <v>57</v>
      </c>
      <c r="B2789" t="s">
        <v>112</v>
      </c>
      <c r="C2789" t="s">
        <v>2710</v>
      </c>
      <c r="D2789">
        <v>2</v>
      </c>
      <c r="E2789" s="273">
        <v>3</v>
      </c>
      <c r="F2789" s="273" t="s">
        <v>75</v>
      </c>
      <c r="G2789" s="273" t="s">
        <v>11</v>
      </c>
      <c r="H2789" s="273" t="s">
        <v>11</v>
      </c>
    </row>
    <row r="2790" spans="1:8" x14ac:dyDescent="0.25">
      <c r="A2790" t="s">
        <v>57</v>
      </c>
      <c r="B2790" t="s">
        <v>112</v>
      </c>
      <c r="C2790" t="s">
        <v>1158</v>
      </c>
      <c r="D2790">
        <v>3</v>
      </c>
      <c r="E2790" s="273">
        <v>2</v>
      </c>
      <c r="F2790" s="273" t="s">
        <v>7</v>
      </c>
      <c r="G2790" s="273" t="s">
        <v>115</v>
      </c>
      <c r="H2790" s="273" t="s">
        <v>11</v>
      </c>
    </row>
    <row r="2791" spans="1:8" x14ac:dyDescent="0.25">
      <c r="A2791" t="s">
        <v>57</v>
      </c>
      <c r="B2791" t="s">
        <v>112</v>
      </c>
      <c r="C2791" t="s">
        <v>1160</v>
      </c>
      <c r="D2791">
        <v>3</v>
      </c>
      <c r="E2791" s="273">
        <v>3</v>
      </c>
      <c r="F2791" s="273" t="s">
        <v>7</v>
      </c>
      <c r="G2791" s="273" t="s">
        <v>115</v>
      </c>
      <c r="H2791" s="273" t="s">
        <v>11</v>
      </c>
    </row>
    <row r="2792" spans="1:8" x14ac:dyDescent="0.25">
      <c r="A2792" t="s">
        <v>57</v>
      </c>
      <c r="B2792" t="s">
        <v>112</v>
      </c>
      <c r="C2792" t="s">
        <v>1435</v>
      </c>
      <c r="D2792">
        <v>3</v>
      </c>
      <c r="E2792" s="273">
        <v>3</v>
      </c>
      <c r="F2792" s="273" t="s">
        <v>75</v>
      </c>
      <c r="G2792" s="273" t="s">
        <v>11</v>
      </c>
      <c r="H2792" s="273" t="s">
        <v>11</v>
      </c>
    </row>
    <row r="2793" spans="1:8" x14ac:dyDescent="0.25">
      <c r="A2793" t="s">
        <v>57</v>
      </c>
      <c r="B2793" t="s">
        <v>112</v>
      </c>
      <c r="C2793" t="s">
        <v>1631</v>
      </c>
      <c r="D2793">
        <v>2</v>
      </c>
      <c r="E2793" s="273">
        <v>3</v>
      </c>
      <c r="F2793" s="273" t="s">
        <v>75</v>
      </c>
      <c r="G2793" s="273" t="s">
        <v>11</v>
      </c>
      <c r="H2793" s="273" t="s">
        <v>11</v>
      </c>
    </row>
    <row r="2794" spans="1:8" x14ac:dyDescent="0.25">
      <c r="A2794" t="s">
        <v>57</v>
      </c>
      <c r="B2794" t="s">
        <v>112</v>
      </c>
      <c r="C2794" t="s">
        <v>2711</v>
      </c>
      <c r="D2794">
        <v>3</v>
      </c>
      <c r="E2794" s="273">
        <v>2</v>
      </c>
      <c r="F2794" s="273" t="s">
        <v>7</v>
      </c>
      <c r="G2794" s="273" t="s">
        <v>115</v>
      </c>
      <c r="H2794" s="273" t="s">
        <v>11</v>
      </c>
    </row>
    <row r="2795" spans="1:8" x14ac:dyDescent="0.25">
      <c r="A2795" t="s">
        <v>57</v>
      </c>
      <c r="B2795" t="s">
        <v>112</v>
      </c>
      <c r="C2795" t="s">
        <v>2712</v>
      </c>
      <c r="D2795">
        <v>3</v>
      </c>
      <c r="E2795" s="273">
        <v>2</v>
      </c>
      <c r="F2795" s="273" t="s">
        <v>75</v>
      </c>
      <c r="G2795" s="273" t="s">
        <v>11</v>
      </c>
      <c r="H2795" s="273" t="s">
        <v>11</v>
      </c>
    </row>
    <row r="2796" spans="1:8" x14ac:dyDescent="0.25">
      <c r="A2796" t="s">
        <v>57</v>
      </c>
      <c r="B2796" t="s">
        <v>112</v>
      </c>
      <c r="C2796" t="s">
        <v>2713</v>
      </c>
      <c r="D2796">
        <v>3</v>
      </c>
      <c r="E2796" s="273">
        <v>3</v>
      </c>
      <c r="F2796" s="273" t="s">
        <v>75</v>
      </c>
      <c r="G2796" s="273" t="s">
        <v>11</v>
      </c>
      <c r="H2796" s="273" t="s">
        <v>11</v>
      </c>
    </row>
    <row r="2797" spans="1:8" x14ac:dyDescent="0.25">
      <c r="A2797" t="s">
        <v>57</v>
      </c>
      <c r="B2797" t="s">
        <v>112</v>
      </c>
      <c r="C2797" t="s">
        <v>2714</v>
      </c>
      <c r="D2797">
        <v>3</v>
      </c>
      <c r="E2797" s="273">
        <v>2</v>
      </c>
      <c r="F2797" s="273" t="s">
        <v>7</v>
      </c>
      <c r="G2797" s="273" t="s">
        <v>115</v>
      </c>
      <c r="H2797" s="273" t="s">
        <v>11</v>
      </c>
    </row>
    <row r="2798" spans="1:8" x14ac:dyDescent="0.25">
      <c r="A2798" t="s">
        <v>57</v>
      </c>
      <c r="B2798" t="s">
        <v>112</v>
      </c>
      <c r="C2798" t="s">
        <v>2715</v>
      </c>
      <c r="D2798">
        <v>3</v>
      </c>
      <c r="E2798" s="273">
        <v>2</v>
      </c>
      <c r="F2798" s="273" t="s">
        <v>7</v>
      </c>
      <c r="G2798" s="273" t="s">
        <v>115</v>
      </c>
      <c r="H2798" s="273" t="s">
        <v>11</v>
      </c>
    </row>
    <row r="2799" spans="1:8" x14ac:dyDescent="0.25">
      <c r="A2799" t="s">
        <v>57</v>
      </c>
      <c r="B2799" t="s">
        <v>112</v>
      </c>
      <c r="C2799" t="s">
        <v>2419</v>
      </c>
      <c r="D2799">
        <v>3</v>
      </c>
      <c r="E2799" s="273">
        <v>2</v>
      </c>
      <c r="F2799" s="273" t="s">
        <v>75</v>
      </c>
      <c r="G2799" s="273" t="s">
        <v>11</v>
      </c>
      <c r="H2799" s="273" t="s">
        <v>11</v>
      </c>
    </row>
    <row r="2800" spans="1:8" x14ac:dyDescent="0.25">
      <c r="A2800" t="s">
        <v>57</v>
      </c>
      <c r="B2800" t="s">
        <v>112</v>
      </c>
      <c r="C2800" t="s">
        <v>1636</v>
      </c>
      <c r="D2800">
        <v>3</v>
      </c>
      <c r="E2800" s="273">
        <v>3</v>
      </c>
      <c r="F2800" s="273" t="s">
        <v>75</v>
      </c>
      <c r="G2800" s="273" t="s">
        <v>11</v>
      </c>
      <c r="H2800" s="273" t="s">
        <v>11</v>
      </c>
    </row>
    <row r="2801" spans="1:8" x14ac:dyDescent="0.25">
      <c r="A2801" t="s">
        <v>57</v>
      </c>
      <c r="B2801" t="s">
        <v>112</v>
      </c>
      <c r="C2801" t="s">
        <v>1988</v>
      </c>
      <c r="D2801">
        <v>3</v>
      </c>
      <c r="E2801" s="273">
        <v>3</v>
      </c>
      <c r="F2801" s="273" t="s">
        <v>75</v>
      </c>
      <c r="G2801" s="273" t="s">
        <v>11</v>
      </c>
      <c r="H2801" s="273" t="s">
        <v>11</v>
      </c>
    </row>
    <row r="2802" spans="1:8" x14ac:dyDescent="0.25">
      <c r="A2802" t="s">
        <v>57</v>
      </c>
      <c r="B2802" t="s">
        <v>112</v>
      </c>
      <c r="C2802" t="s">
        <v>2716</v>
      </c>
      <c r="D2802">
        <v>3</v>
      </c>
      <c r="E2802" s="273">
        <v>2</v>
      </c>
      <c r="F2802" s="273" t="s">
        <v>7</v>
      </c>
      <c r="G2802" s="273" t="s">
        <v>115</v>
      </c>
      <c r="H2802" s="273" t="s">
        <v>11</v>
      </c>
    </row>
    <row r="2803" spans="1:8" x14ac:dyDescent="0.25">
      <c r="A2803" t="s">
        <v>57</v>
      </c>
      <c r="B2803" t="s">
        <v>112</v>
      </c>
      <c r="C2803" t="s">
        <v>1723</v>
      </c>
      <c r="D2803">
        <v>3</v>
      </c>
      <c r="E2803" s="273">
        <v>3</v>
      </c>
      <c r="F2803" s="273" t="s">
        <v>7</v>
      </c>
      <c r="G2803" s="273" t="s">
        <v>115</v>
      </c>
      <c r="H2803" s="273" t="s">
        <v>11</v>
      </c>
    </row>
    <row r="2804" spans="1:8" x14ac:dyDescent="0.25">
      <c r="A2804" t="s">
        <v>57</v>
      </c>
      <c r="B2804" t="s">
        <v>112</v>
      </c>
      <c r="C2804" t="s">
        <v>1524</v>
      </c>
      <c r="D2804">
        <v>3</v>
      </c>
      <c r="E2804" s="273">
        <v>3</v>
      </c>
      <c r="F2804" s="273" t="s">
        <v>75</v>
      </c>
      <c r="G2804" s="273" t="s">
        <v>11</v>
      </c>
      <c r="H2804" s="273" t="s">
        <v>11</v>
      </c>
    </row>
    <row r="2805" spans="1:8" x14ac:dyDescent="0.25">
      <c r="A2805" t="s">
        <v>57</v>
      </c>
      <c r="B2805" t="s">
        <v>112</v>
      </c>
      <c r="C2805" t="s">
        <v>2717</v>
      </c>
      <c r="D2805">
        <v>3</v>
      </c>
      <c r="E2805" s="273">
        <v>3</v>
      </c>
      <c r="F2805" s="273" t="s">
        <v>7</v>
      </c>
      <c r="G2805" s="273" t="s">
        <v>11</v>
      </c>
      <c r="H2805" s="273" t="s">
        <v>11</v>
      </c>
    </row>
    <row r="2806" spans="1:8" x14ac:dyDescent="0.25">
      <c r="A2806" t="s">
        <v>57</v>
      </c>
      <c r="B2806" t="s">
        <v>112</v>
      </c>
      <c r="C2806" t="s">
        <v>1164</v>
      </c>
      <c r="D2806">
        <v>3</v>
      </c>
      <c r="E2806" s="273">
        <v>2</v>
      </c>
      <c r="F2806" s="273" t="s">
        <v>7</v>
      </c>
      <c r="G2806" s="273" t="s">
        <v>115</v>
      </c>
      <c r="H2806" s="273" t="s">
        <v>11</v>
      </c>
    </row>
    <row r="2807" spans="1:8" x14ac:dyDescent="0.25">
      <c r="A2807" t="s">
        <v>57</v>
      </c>
      <c r="B2807" t="s">
        <v>112</v>
      </c>
      <c r="C2807" t="s">
        <v>2343</v>
      </c>
      <c r="D2807">
        <v>2</v>
      </c>
      <c r="E2807" s="273">
        <v>4</v>
      </c>
      <c r="F2807" s="273" t="s">
        <v>75</v>
      </c>
      <c r="G2807" s="273" t="s">
        <v>11</v>
      </c>
      <c r="H2807" s="273" t="s">
        <v>11</v>
      </c>
    </row>
    <row r="2808" spans="1:8" x14ac:dyDescent="0.25">
      <c r="A2808" t="s">
        <v>57</v>
      </c>
      <c r="B2808" t="s">
        <v>112</v>
      </c>
      <c r="C2808" t="s">
        <v>1775</v>
      </c>
      <c r="D2808">
        <v>3</v>
      </c>
      <c r="E2808" s="273">
        <v>3</v>
      </c>
      <c r="F2808" s="273" t="s">
        <v>7</v>
      </c>
      <c r="G2808" s="273" t="s">
        <v>115</v>
      </c>
      <c r="H2808" s="273" t="s">
        <v>11</v>
      </c>
    </row>
    <row r="2809" spans="1:8" x14ac:dyDescent="0.25">
      <c r="A2809" t="s">
        <v>57</v>
      </c>
      <c r="B2809" t="s">
        <v>112</v>
      </c>
      <c r="C2809" t="s">
        <v>2718</v>
      </c>
      <c r="D2809">
        <v>3</v>
      </c>
      <c r="E2809" s="273">
        <v>3</v>
      </c>
      <c r="F2809" s="273" t="s">
        <v>75</v>
      </c>
      <c r="G2809" s="273" t="s">
        <v>11</v>
      </c>
      <c r="H2809" s="273" t="s">
        <v>11</v>
      </c>
    </row>
    <row r="2810" spans="1:8" x14ac:dyDescent="0.25">
      <c r="A2810" t="s">
        <v>57</v>
      </c>
      <c r="B2810" t="s">
        <v>112</v>
      </c>
      <c r="C2810" t="s">
        <v>2719</v>
      </c>
      <c r="D2810">
        <v>3</v>
      </c>
      <c r="E2810" s="273">
        <v>3</v>
      </c>
      <c r="F2810" s="273" t="s">
        <v>7</v>
      </c>
      <c r="G2810" s="273" t="s">
        <v>115</v>
      </c>
      <c r="H2810" s="273" t="s">
        <v>11</v>
      </c>
    </row>
    <row r="2811" spans="1:8" x14ac:dyDescent="0.25">
      <c r="A2811" t="s">
        <v>57</v>
      </c>
      <c r="B2811" t="s">
        <v>112</v>
      </c>
      <c r="C2811" t="s">
        <v>2720</v>
      </c>
      <c r="D2811">
        <v>3</v>
      </c>
      <c r="E2811" s="273">
        <v>3</v>
      </c>
      <c r="F2811" s="273" t="s">
        <v>7</v>
      </c>
      <c r="G2811" s="273" t="s">
        <v>115</v>
      </c>
      <c r="H2811" s="273" t="s">
        <v>11</v>
      </c>
    </row>
    <row r="2812" spans="1:8" x14ac:dyDescent="0.25">
      <c r="A2812" t="s">
        <v>57</v>
      </c>
      <c r="B2812" t="s">
        <v>112</v>
      </c>
      <c r="C2812" t="s">
        <v>1262</v>
      </c>
      <c r="D2812">
        <v>3</v>
      </c>
      <c r="E2812" s="273">
        <v>2</v>
      </c>
      <c r="F2812" s="273" t="s">
        <v>7</v>
      </c>
      <c r="G2812" s="273" t="s">
        <v>115</v>
      </c>
      <c r="H2812" s="273" t="s">
        <v>11</v>
      </c>
    </row>
    <row r="2813" spans="1:8" x14ac:dyDescent="0.25">
      <c r="A2813" t="s">
        <v>57</v>
      </c>
      <c r="B2813" t="s">
        <v>112</v>
      </c>
      <c r="C2813" t="s">
        <v>2721</v>
      </c>
      <c r="D2813">
        <v>3</v>
      </c>
      <c r="E2813" s="273">
        <v>3</v>
      </c>
      <c r="F2813" s="273" t="s">
        <v>75</v>
      </c>
      <c r="G2813" s="273" t="s">
        <v>11</v>
      </c>
      <c r="H2813" s="273" t="s">
        <v>11</v>
      </c>
    </row>
    <row r="2814" spans="1:8" x14ac:dyDescent="0.25">
      <c r="A2814" t="s">
        <v>57</v>
      </c>
      <c r="B2814" t="s">
        <v>112</v>
      </c>
      <c r="C2814" t="s">
        <v>2722</v>
      </c>
      <c r="D2814">
        <v>3</v>
      </c>
      <c r="E2814" s="273">
        <v>2</v>
      </c>
      <c r="F2814" s="273" t="s">
        <v>7</v>
      </c>
      <c r="G2814" s="273" t="s">
        <v>115</v>
      </c>
      <c r="H2814" s="273" t="s">
        <v>11</v>
      </c>
    </row>
    <row r="2815" spans="1:8" x14ac:dyDescent="0.25">
      <c r="A2815" t="s">
        <v>57</v>
      </c>
      <c r="B2815" t="s">
        <v>112</v>
      </c>
      <c r="C2815" t="s">
        <v>2723</v>
      </c>
      <c r="D2815">
        <v>2</v>
      </c>
      <c r="E2815" s="273">
        <v>4</v>
      </c>
      <c r="F2815" s="273" t="s">
        <v>75</v>
      </c>
      <c r="G2815" s="273" t="s">
        <v>11</v>
      </c>
      <c r="H2815" s="273" t="s">
        <v>11</v>
      </c>
    </row>
    <row r="2816" spans="1:8" x14ac:dyDescent="0.25">
      <c r="A2816" t="s">
        <v>57</v>
      </c>
      <c r="B2816" t="s">
        <v>112</v>
      </c>
      <c r="C2816" t="s">
        <v>1852</v>
      </c>
      <c r="D2816">
        <v>2</v>
      </c>
      <c r="E2816" s="273">
        <v>4</v>
      </c>
      <c r="F2816" s="273" t="s">
        <v>75</v>
      </c>
      <c r="G2816" s="273" t="s">
        <v>11</v>
      </c>
      <c r="H2816" s="273" t="s">
        <v>11</v>
      </c>
    </row>
    <row r="2817" spans="1:8" x14ac:dyDescent="0.25">
      <c r="A2817" t="s">
        <v>57</v>
      </c>
      <c r="B2817" t="s">
        <v>112</v>
      </c>
      <c r="C2817" t="s">
        <v>1311</v>
      </c>
      <c r="D2817">
        <v>3</v>
      </c>
      <c r="E2817" s="273">
        <v>2</v>
      </c>
      <c r="F2817" s="273" t="s">
        <v>7</v>
      </c>
      <c r="G2817" s="273" t="s">
        <v>115</v>
      </c>
      <c r="H2817" s="273" t="s">
        <v>11</v>
      </c>
    </row>
    <row r="2818" spans="1:8" x14ac:dyDescent="0.25">
      <c r="A2818" t="s">
        <v>57</v>
      </c>
      <c r="B2818" t="s">
        <v>112</v>
      </c>
      <c r="C2818" t="s">
        <v>2724</v>
      </c>
      <c r="D2818">
        <v>3</v>
      </c>
      <c r="E2818" s="273">
        <v>3</v>
      </c>
      <c r="F2818" s="273" t="s">
        <v>7</v>
      </c>
      <c r="G2818" s="273" t="s">
        <v>115</v>
      </c>
      <c r="H2818" s="273" t="s">
        <v>11</v>
      </c>
    </row>
    <row r="2819" spans="1:8" x14ac:dyDescent="0.25">
      <c r="A2819" t="s">
        <v>57</v>
      </c>
      <c r="B2819" t="s">
        <v>112</v>
      </c>
      <c r="C2819" t="s">
        <v>2091</v>
      </c>
      <c r="D2819">
        <v>3</v>
      </c>
      <c r="E2819" s="273">
        <v>3</v>
      </c>
      <c r="F2819" s="273" t="s">
        <v>7</v>
      </c>
      <c r="G2819" s="273" t="s">
        <v>115</v>
      </c>
      <c r="H2819" s="273" t="s">
        <v>11</v>
      </c>
    </row>
    <row r="2820" spans="1:8" x14ac:dyDescent="0.25">
      <c r="A2820" t="s">
        <v>57</v>
      </c>
      <c r="B2820" t="s">
        <v>112</v>
      </c>
      <c r="C2820" t="s">
        <v>2725</v>
      </c>
      <c r="D2820">
        <v>3</v>
      </c>
      <c r="E2820" s="273">
        <v>3</v>
      </c>
      <c r="F2820" s="273" t="s">
        <v>7</v>
      </c>
      <c r="G2820" s="273" t="s">
        <v>115</v>
      </c>
      <c r="H2820" s="273" t="s">
        <v>11</v>
      </c>
    </row>
    <row r="2821" spans="1:8" x14ac:dyDescent="0.25">
      <c r="A2821" t="s">
        <v>57</v>
      </c>
      <c r="B2821" t="s">
        <v>112</v>
      </c>
      <c r="C2821" t="s">
        <v>2726</v>
      </c>
      <c r="D2821">
        <v>2</v>
      </c>
      <c r="E2821" s="273">
        <v>4</v>
      </c>
      <c r="F2821" s="273" t="s">
        <v>75</v>
      </c>
      <c r="G2821" s="273" t="s">
        <v>11</v>
      </c>
      <c r="H2821" s="273" t="s">
        <v>11</v>
      </c>
    </row>
    <row r="2822" spans="1:8" x14ac:dyDescent="0.25">
      <c r="A2822" t="s">
        <v>57</v>
      </c>
      <c r="B2822" t="s">
        <v>112</v>
      </c>
      <c r="C2822" t="s">
        <v>2727</v>
      </c>
      <c r="D2822">
        <v>3</v>
      </c>
      <c r="E2822" s="273">
        <v>3</v>
      </c>
      <c r="F2822" s="273" t="s">
        <v>75</v>
      </c>
      <c r="G2822" s="273" t="s">
        <v>11</v>
      </c>
      <c r="H2822" s="273" t="s">
        <v>11</v>
      </c>
    </row>
    <row r="2823" spans="1:8" x14ac:dyDescent="0.25">
      <c r="A2823" t="s">
        <v>57</v>
      </c>
      <c r="B2823" t="s">
        <v>112</v>
      </c>
      <c r="C2823" t="s">
        <v>1266</v>
      </c>
      <c r="D2823">
        <v>3</v>
      </c>
      <c r="E2823" s="273">
        <v>2</v>
      </c>
      <c r="F2823" s="273" t="s">
        <v>7</v>
      </c>
      <c r="G2823" s="273" t="s">
        <v>115</v>
      </c>
      <c r="H2823" s="273" t="s">
        <v>11</v>
      </c>
    </row>
    <row r="2824" spans="1:8" x14ac:dyDescent="0.25">
      <c r="A2824" t="s">
        <v>57</v>
      </c>
      <c r="B2824" t="s">
        <v>112</v>
      </c>
      <c r="C2824" t="s">
        <v>2518</v>
      </c>
      <c r="D2824">
        <v>2</v>
      </c>
      <c r="E2824" s="273">
        <v>4</v>
      </c>
      <c r="F2824" s="273" t="s">
        <v>75</v>
      </c>
      <c r="G2824" s="273" t="s">
        <v>11</v>
      </c>
      <c r="H2824" s="273" t="s">
        <v>11</v>
      </c>
    </row>
    <row r="2825" spans="1:8" x14ac:dyDescent="0.25">
      <c r="A2825" t="s">
        <v>57</v>
      </c>
      <c r="B2825" t="s">
        <v>112</v>
      </c>
      <c r="C2825" t="s">
        <v>2728</v>
      </c>
      <c r="D2825">
        <v>2</v>
      </c>
      <c r="E2825" s="273">
        <v>3</v>
      </c>
      <c r="F2825" s="273" t="s">
        <v>75</v>
      </c>
      <c r="G2825" s="273" t="s">
        <v>11</v>
      </c>
      <c r="H2825" s="273" t="s">
        <v>11</v>
      </c>
    </row>
    <row r="2826" spans="1:8" x14ac:dyDescent="0.25">
      <c r="A2826" t="s">
        <v>57</v>
      </c>
      <c r="B2826" t="s">
        <v>112</v>
      </c>
      <c r="C2826" t="s">
        <v>2729</v>
      </c>
      <c r="D2826">
        <v>3</v>
      </c>
      <c r="E2826" s="273">
        <v>3</v>
      </c>
      <c r="F2826" s="273" t="s">
        <v>7</v>
      </c>
      <c r="G2826" s="273" t="s">
        <v>115</v>
      </c>
      <c r="H2826" s="273" t="s">
        <v>11</v>
      </c>
    </row>
    <row r="2827" spans="1:8" x14ac:dyDescent="0.25">
      <c r="A2827" t="s">
        <v>57</v>
      </c>
      <c r="B2827" t="s">
        <v>112</v>
      </c>
      <c r="C2827" t="s">
        <v>2730</v>
      </c>
      <c r="D2827">
        <v>2</v>
      </c>
      <c r="E2827" s="273">
        <v>4</v>
      </c>
      <c r="F2827" s="273" t="s">
        <v>75</v>
      </c>
      <c r="G2827" s="273" t="s">
        <v>11</v>
      </c>
      <c r="H2827" s="273" t="s">
        <v>11</v>
      </c>
    </row>
    <row r="2828" spans="1:8" x14ac:dyDescent="0.25">
      <c r="A2828" t="s">
        <v>57</v>
      </c>
      <c r="B2828" t="s">
        <v>112</v>
      </c>
      <c r="C2828" t="s">
        <v>2731</v>
      </c>
      <c r="D2828">
        <v>3</v>
      </c>
      <c r="E2828" s="273">
        <v>3</v>
      </c>
      <c r="F2828" s="273" t="s">
        <v>75</v>
      </c>
      <c r="G2828" s="273" t="s">
        <v>11</v>
      </c>
      <c r="H2828" s="273" t="s">
        <v>11</v>
      </c>
    </row>
    <row r="2829" spans="1:8" x14ac:dyDescent="0.25">
      <c r="A2829" t="s">
        <v>57</v>
      </c>
      <c r="B2829" t="s">
        <v>112</v>
      </c>
      <c r="C2829" t="s">
        <v>2732</v>
      </c>
      <c r="D2829">
        <v>3</v>
      </c>
      <c r="E2829" s="273">
        <v>2</v>
      </c>
      <c r="F2829" s="273" t="s">
        <v>75</v>
      </c>
      <c r="G2829" s="273" t="s">
        <v>11</v>
      </c>
      <c r="H2829" s="273" t="s">
        <v>11</v>
      </c>
    </row>
    <row r="2830" spans="1:8" x14ac:dyDescent="0.25">
      <c r="A2830" t="s">
        <v>57</v>
      </c>
      <c r="B2830" t="s">
        <v>112</v>
      </c>
      <c r="C2830" t="s">
        <v>1891</v>
      </c>
      <c r="D2830">
        <v>3</v>
      </c>
      <c r="E2830" s="273">
        <v>3</v>
      </c>
      <c r="F2830" s="273" t="s">
        <v>7</v>
      </c>
      <c r="G2830" s="273" t="s">
        <v>115</v>
      </c>
      <c r="H2830" s="273" t="s">
        <v>11</v>
      </c>
    </row>
    <row r="2831" spans="1:8" x14ac:dyDescent="0.25">
      <c r="A2831" t="s">
        <v>57</v>
      </c>
      <c r="B2831" t="s">
        <v>112</v>
      </c>
      <c r="C2831" t="s">
        <v>2733</v>
      </c>
      <c r="D2831">
        <v>2</v>
      </c>
      <c r="E2831" s="273">
        <v>3</v>
      </c>
      <c r="F2831" s="273" t="s">
        <v>75</v>
      </c>
      <c r="G2831" s="273" t="s">
        <v>11</v>
      </c>
      <c r="H2831" s="273" t="s">
        <v>11</v>
      </c>
    </row>
    <row r="2832" spans="1:8" x14ac:dyDescent="0.25">
      <c r="A2832" t="s">
        <v>57</v>
      </c>
      <c r="B2832" t="s">
        <v>112</v>
      </c>
      <c r="C2832" t="s">
        <v>2734</v>
      </c>
      <c r="D2832">
        <v>3</v>
      </c>
      <c r="E2832" s="273">
        <v>2</v>
      </c>
      <c r="F2832" s="273" t="s">
        <v>7</v>
      </c>
      <c r="G2832" s="273" t="s">
        <v>115</v>
      </c>
      <c r="H2832" s="273" t="s">
        <v>11</v>
      </c>
    </row>
    <row r="2833" spans="1:8" x14ac:dyDescent="0.25">
      <c r="A2833" t="s">
        <v>57</v>
      </c>
      <c r="B2833" t="s">
        <v>112</v>
      </c>
      <c r="C2833" t="s">
        <v>2581</v>
      </c>
      <c r="D2833">
        <v>2</v>
      </c>
      <c r="E2833" s="273">
        <v>4</v>
      </c>
      <c r="F2833" s="273" t="s">
        <v>75</v>
      </c>
      <c r="G2833" s="273" t="s">
        <v>11</v>
      </c>
      <c r="H2833" s="273" t="s">
        <v>11</v>
      </c>
    </row>
    <row r="2834" spans="1:8" x14ac:dyDescent="0.25">
      <c r="A2834" t="s">
        <v>57</v>
      </c>
      <c r="B2834" t="s">
        <v>112</v>
      </c>
      <c r="C2834" t="s">
        <v>1856</v>
      </c>
      <c r="D2834">
        <v>3</v>
      </c>
      <c r="E2834" s="273">
        <v>2</v>
      </c>
      <c r="F2834" s="273" t="s">
        <v>7</v>
      </c>
      <c r="G2834" s="273" t="s">
        <v>115</v>
      </c>
      <c r="H2834" s="273" t="s">
        <v>11</v>
      </c>
    </row>
    <row r="2835" spans="1:8" x14ac:dyDescent="0.25">
      <c r="A2835" t="s">
        <v>57</v>
      </c>
      <c r="B2835" t="s">
        <v>112</v>
      </c>
      <c r="C2835" t="s">
        <v>2735</v>
      </c>
      <c r="D2835">
        <v>3</v>
      </c>
      <c r="E2835" s="273">
        <v>3</v>
      </c>
      <c r="F2835" s="273" t="s">
        <v>7</v>
      </c>
      <c r="G2835" s="273" t="s">
        <v>115</v>
      </c>
      <c r="H2835" s="273" t="s">
        <v>11</v>
      </c>
    </row>
    <row r="2836" spans="1:8" x14ac:dyDescent="0.25">
      <c r="A2836" t="s">
        <v>57</v>
      </c>
      <c r="B2836" t="s">
        <v>112</v>
      </c>
      <c r="C2836" t="s">
        <v>2736</v>
      </c>
      <c r="D2836">
        <v>3</v>
      </c>
      <c r="E2836" s="273">
        <v>3</v>
      </c>
      <c r="F2836" s="273" t="s">
        <v>75</v>
      </c>
      <c r="G2836" s="273" t="s">
        <v>11</v>
      </c>
      <c r="H2836" s="273" t="s">
        <v>11</v>
      </c>
    </row>
    <row r="2837" spans="1:8" x14ac:dyDescent="0.25">
      <c r="A2837" t="s">
        <v>57</v>
      </c>
      <c r="B2837" t="s">
        <v>112</v>
      </c>
      <c r="C2837" t="s">
        <v>2737</v>
      </c>
      <c r="D2837">
        <v>3</v>
      </c>
      <c r="E2837" s="273">
        <v>3</v>
      </c>
      <c r="F2837" s="273" t="s">
        <v>7</v>
      </c>
      <c r="G2837" s="273" t="s">
        <v>115</v>
      </c>
      <c r="H2837" s="273" t="s">
        <v>11</v>
      </c>
    </row>
    <row r="2838" spans="1:8" x14ac:dyDescent="0.25">
      <c r="A2838" t="s">
        <v>57</v>
      </c>
      <c r="B2838" t="s">
        <v>112</v>
      </c>
      <c r="C2838" t="s">
        <v>1892</v>
      </c>
      <c r="D2838">
        <v>3</v>
      </c>
      <c r="E2838" s="273">
        <v>3</v>
      </c>
      <c r="F2838" s="273" t="s">
        <v>7</v>
      </c>
      <c r="G2838" s="273" t="s">
        <v>115</v>
      </c>
      <c r="H2838" s="273" t="s">
        <v>11</v>
      </c>
    </row>
    <row r="2839" spans="1:8" x14ac:dyDescent="0.25">
      <c r="A2839" t="s">
        <v>57</v>
      </c>
      <c r="B2839" t="s">
        <v>112</v>
      </c>
      <c r="C2839" t="s">
        <v>2738</v>
      </c>
      <c r="D2839">
        <v>3</v>
      </c>
      <c r="E2839" s="273">
        <v>3</v>
      </c>
      <c r="F2839" s="273" t="s">
        <v>7</v>
      </c>
      <c r="G2839" s="273" t="s">
        <v>115</v>
      </c>
      <c r="H2839" s="273" t="s">
        <v>11</v>
      </c>
    </row>
    <row r="2840" spans="1:8" x14ac:dyDescent="0.25">
      <c r="A2840" t="s">
        <v>57</v>
      </c>
      <c r="B2840" t="s">
        <v>112</v>
      </c>
      <c r="C2840" t="s">
        <v>2739</v>
      </c>
      <c r="D2840">
        <v>3</v>
      </c>
      <c r="E2840" s="273">
        <v>2</v>
      </c>
      <c r="F2840" s="273" t="s">
        <v>7</v>
      </c>
      <c r="G2840" s="273" t="s">
        <v>115</v>
      </c>
      <c r="H2840" s="273" t="s">
        <v>11</v>
      </c>
    </row>
    <row r="2841" spans="1:8" x14ac:dyDescent="0.25">
      <c r="A2841" t="s">
        <v>57</v>
      </c>
      <c r="B2841" t="s">
        <v>112</v>
      </c>
      <c r="C2841" t="s">
        <v>2740</v>
      </c>
      <c r="D2841">
        <v>3</v>
      </c>
      <c r="E2841" s="273">
        <v>2</v>
      </c>
      <c r="F2841" s="273" t="s">
        <v>7</v>
      </c>
      <c r="G2841" s="273" t="s">
        <v>115</v>
      </c>
      <c r="H2841" s="273" t="s">
        <v>11</v>
      </c>
    </row>
    <row r="2842" spans="1:8" x14ac:dyDescent="0.25">
      <c r="A2842" t="s">
        <v>57</v>
      </c>
      <c r="B2842" t="s">
        <v>112</v>
      </c>
      <c r="C2842" t="s">
        <v>2741</v>
      </c>
      <c r="D2842">
        <v>3</v>
      </c>
      <c r="E2842" s="273">
        <v>3</v>
      </c>
      <c r="F2842" s="273" t="s">
        <v>7</v>
      </c>
      <c r="G2842" s="273" t="s">
        <v>115</v>
      </c>
      <c r="H2842" s="273" t="s">
        <v>11</v>
      </c>
    </row>
    <row r="2843" spans="1:8" x14ac:dyDescent="0.25">
      <c r="A2843" t="s">
        <v>57</v>
      </c>
      <c r="B2843" t="s">
        <v>112</v>
      </c>
      <c r="C2843" t="s">
        <v>2742</v>
      </c>
      <c r="D2843">
        <v>3</v>
      </c>
      <c r="E2843" s="273">
        <v>3</v>
      </c>
      <c r="F2843" s="273" t="s">
        <v>75</v>
      </c>
      <c r="G2843" s="273" t="s">
        <v>11</v>
      </c>
      <c r="H2843" s="273" t="s">
        <v>11</v>
      </c>
    </row>
    <row r="2844" spans="1:8" x14ac:dyDescent="0.25">
      <c r="A2844" t="s">
        <v>57</v>
      </c>
      <c r="B2844" t="s">
        <v>112</v>
      </c>
      <c r="C2844" t="s">
        <v>2743</v>
      </c>
      <c r="D2844">
        <v>3</v>
      </c>
      <c r="E2844" s="273">
        <v>3</v>
      </c>
      <c r="F2844" s="273" t="s">
        <v>75</v>
      </c>
      <c r="G2844" s="273" t="s">
        <v>11</v>
      </c>
      <c r="H2844" s="273" t="s">
        <v>11</v>
      </c>
    </row>
    <row r="2845" spans="1:8" x14ac:dyDescent="0.25">
      <c r="A2845" t="s">
        <v>57</v>
      </c>
      <c r="B2845" t="s">
        <v>112</v>
      </c>
      <c r="C2845" t="s">
        <v>2744</v>
      </c>
      <c r="D2845">
        <v>3</v>
      </c>
      <c r="E2845" s="273">
        <v>3</v>
      </c>
      <c r="F2845" s="273" t="s">
        <v>75</v>
      </c>
      <c r="G2845" s="273" t="s">
        <v>11</v>
      </c>
      <c r="H2845" s="273" t="s">
        <v>11</v>
      </c>
    </row>
    <row r="2846" spans="1:8" x14ac:dyDescent="0.25">
      <c r="A2846" t="s">
        <v>57</v>
      </c>
      <c r="B2846" t="s">
        <v>112</v>
      </c>
      <c r="C2846" t="s">
        <v>1172</v>
      </c>
      <c r="D2846">
        <v>3</v>
      </c>
      <c r="E2846" s="273">
        <v>3</v>
      </c>
      <c r="F2846" s="273" t="s">
        <v>7</v>
      </c>
      <c r="G2846" s="273" t="s">
        <v>115</v>
      </c>
      <c r="H2846" s="273" t="s">
        <v>11</v>
      </c>
    </row>
    <row r="2847" spans="1:8" x14ac:dyDescent="0.25">
      <c r="A2847" t="s">
        <v>57</v>
      </c>
      <c r="B2847" t="s">
        <v>112</v>
      </c>
      <c r="C2847" t="s">
        <v>1796</v>
      </c>
      <c r="D2847">
        <v>2</v>
      </c>
      <c r="E2847" s="273">
        <v>4</v>
      </c>
      <c r="F2847" s="273" t="s">
        <v>75</v>
      </c>
      <c r="G2847" s="273" t="s">
        <v>11</v>
      </c>
      <c r="H2847" s="273" t="s">
        <v>11</v>
      </c>
    </row>
    <row r="2848" spans="1:8" x14ac:dyDescent="0.25">
      <c r="A2848" t="s">
        <v>57</v>
      </c>
      <c r="B2848" t="s">
        <v>112</v>
      </c>
      <c r="C2848" t="s">
        <v>1797</v>
      </c>
      <c r="D2848">
        <v>3</v>
      </c>
      <c r="E2848" s="273">
        <v>3</v>
      </c>
      <c r="F2848" s="273" t="s">
        <v>7</v>
      </c>
      <c r="G2848" s="273" t="s">
        <v>115</v>
      </c>
      <c r="H2848" s="273" t="s">
        <v>11</v>
      </c>
    </row>
    <row r="2849" spans="1:8" x14ac:dyDescent="0.25">
      <c r="A2849" t="s">
        <v>57</v>
      </c>
      <c r="B2849" t="s">
        <v>112</v>
      </c>
      <c r="C2849" t="s">
        <v>2745</v>
      </c>
      <c r="D2849">
        <v>3</v>
      </c>
      <c r="E2849" s="273">
        <v>3</v>
      </c>
      <c r="F2849" s="273" t="s">
        <v>7</v>
      </c>
      <c r="G2849" s="273" t="s">
        <v>115</v>
      </c>
      <c r="H2849" s="273" t="s">
        <v>11</v>
      </c>
    </row>
    <row r="2850" spans="1:8" x14ac:dyDescent="0.25">
      <c r="A2850" t="s">
        <v>57</v>
      </c>
      <c r="B2850" t="s">
        <v>112</v>
      </c>
      <c r="C2850" t="s">
        <v>2746</v>
      </c>
      <c r="D2850">
        <v>3</v>
      </c>
      <c r="E2850" s="273">
        <v>2</v>
      </c>
      <c r="F2850" s="273" t="s">
        <v>7</v>
      </c>
      <c r="G2850" s="273" t="s">
        <v>115</v>
      </c>
      <c r="H2850" s="273" t="s">
        <v>11</v>
      </c>
    </row>
    <row r="2851" spans="1:8" x14ac:dyDescent="0.25">
      <c r="A2851" t="s">
        <v>57</v>
      </c>
      <c r="B2851" t="s">
        <v>112</v>
      </c>
      <c r="C2851" t="s">
        <v>1539</v>
      </c>
      <c r="D2851">
        <v>3</v>
      </c>
      <c r="E2851" s="273">
        <v>3</v>
      </c>
      <c r="F2851" s="273" t="s">
        <v>7</v>
      </c>
      <c r="G2851" s="273" t="s">
        <v>11</v>
      </c>
      <c r="H2851" s="273" t="s">
        <v>11</v>
      </c>
    </row>
    <row r="2852" spans="1:8" x14ac:dyDescent="0.25">
      <c r="A2852" t="s">
        <v>57</v>
      </c>
      <c r="B2852" t="s">
        <v>112</v>
      </c>
      <c r="C2852" t="s">
        <v>2747</v>
      </c>
      <c r="D2852">
        <v>3</v>
      </c>
      <c r="E2852" s="273">
        <v>3</v>
      </c>
      <c r="F2852" s="273" t="s">
        <v>75</v>
      </c>
      <c r="G2852" s="273" t="s">
        <v>11</v>
      </c>
      <c r="H2852" s="273" t="s">
        <v>11</v>
      </c>
    </row>
    <row r="2853" spans="1:8" x14ac:dyDescent="0.25">
      <c r="A2853" t="s">
        <v>57</v>
      </c>
      <c r="B2853" t="s">
        <v>112</v>
      </c>
      <c r="C2853" t="s">
        <v>2748</v>
      </c>
      <c r="D2853">
        <v>3</v>
      </c>
      <c r="E2853" s="273">
        <v>3</v>
      </c>
      <c r="F2853" s="273" t="s">
        <v>75</v>
      </c>
      <c r="G2853" s="273" t="s">
        <v>11</v>
      </c>
      <c r="H2853" s="273" t="s">
        <v>11</v>
      </c>
    </row>
    <row r="2854" spans="1:8" x14ac:dyDescent="0.25">
      <c r="A2854" t="s">
        <v>57</v>
      </c>
      <c r="B2854" t="s">
        <v>112</v>
      </c>
      <c r="C2854" t="s">
        <v>2749</v>
      </c>
      <c r="D2854">
        <v>3</v>
      </c>
      <c r="E2854" s="273">
        <v>3</v>
      </c>
      <c r="F2854" s="273" t="s">
        <v>75</v>
      </c>
      <c r="G2854" s="273" t="s">
        <v>11</v>
      </c>
      <c r="H2854" s="273" t="s">
        <v>11</v>
      </c>
    </row>
    <row r="2855" spans="1:8" x14ac:dyDescent="0.25">
      <c r="A2855" t="s">
        <v>57</v>
      </c>
      <c r="B2855" t="s">
        <v>112</v>
      </c>
      <c r="C2855" t="s">
        <v>2750</v>
      </c>
      <c r="D2855">
        <v>2</v>
      </c>
      <c r="E2855" s="273">
        <v>4</v>
      </c>
      <c r="F2855" s="273" t="s">
        <v>75</v>
      </c>
      <c r="G2855" s="273" t="s">
        <v>11</v>
      </c>
      <c r="H2855" s="273" t="s">
        <v>11</v>
      </c>
    </row>
    <row r="2856" spans="1:8" x14ac:dyDescent="0.25">
      <c r="A2856" t="s">
        <v>57</v>
      </c>
      <c r="B2856" t="s">
        <v>112</v>
      </c>
      <c r="C2856" t="s">
        <v>2751</v>
      </c>
      <c r="D2856">
        <v>3</v>
      </c>
      <c r="E2856" s="273">
        <v>3</v>
      </c>
      <c r="F2856" s="273" t="s">
        <v>7</v>
      </c>
      <c r="G2856" s="273" t="s">
        <v>115</v>
      </c>
      <c r="H2856" s="273" t="s">
        <v>11</v>
      </c>
    </row>
    <row r="2857" spans="1:8" x14ac:dyDescent="0.25">
      <c r="A2857" t="s">
        <v>57</v>
      </c>
      <c r="B2857" t="s">
        <v>112</v>
      </c>
      <c r="C2857" t="s">
        <v>1451</v>
      </c>
      <c r="D2857">
        <v>3</v>
      </c>
      <c r="E2857" s="273">
        <v>3</v>
      </c>
      <c r="F2857" s="273" t="s">
        <v>75</v>
      </c>
      <c r="G2857" s="273" t="s">
        <v>11</v>
      </c>
      <c r="H2857" s="273" t="s">
        <v>11</v>
      </c>
    </row>
    <row r="2858" spans="1:8" x14ac:dyDescent="0.25">
      <c r="A2858" t="s">
        <v>57</v>
      </c>
      <c r="B2858" t="s">
        <v>112</v>
      </c>
      <c r="C2858" t="s">
        <v>1545</v>
      </c>
      <c r="D2858">
        <v>2</v>
      </c>
      <c r="E2858" s="273">
        <v>3</v>
      </c>
      <c r="F2858" s="273" t="s">
        <v>75</v>
      </c>
      <c r="G2858" s="273" t="s">
        <v>11</v>
      </c>
      <c r="H2858" s="273" t="s">
        <v>11</v>
      </c>
    </row>
    <row r="2859" spans="1:8" x14ac:dyDescent="0.25">
      <c r="A2859" t="s">
        <v>57</v>
      </c>
      <c r="B2859" t="s">
        <v>112</v>
      </c>
      <c r="C2859" t="s">
        <v>2752</v>
      </c>
      <c r="D2859">
        <v>3</v>
      </c>
      <c r="E2859" s="273">
        <v>3</v>
      </c>
      <c r="F2859" s="273" t="s">
        <v>75</v>
      </c>
      <c r="G2859" s="273" t="s">
        <v>11</v>
      </c>
      <c r="H2859" s="273" t="s">
        <v>11</v>
      </c>
    </row>
    <row r="2860" spans="1:8" x14ac:dyDescent="0.25">
      <c r="A2860" t="s">
        <v>57</v>
      </c>
      <c r="B2860" t="s">
        <v>112</v>
      </c>
      <c r="C2860" t="s">
        <v>2753</v>
      </c>
      <c r="D2860">
        <v>3</v>
      </c>
      <c r="E2860" s="273">
        <v>3</v>
      </c>
      <c r="F2860" s="273" t="s">
        <v>75</v>
      </c>
      <c r="G2860" s="273" t="s">
        <v>11</v>
      </c>
      <c r="H2860" s="273" t="s">
        <v>11</v>
      </c>
    </row>
    <row r="2861" spans="1:8" x14ac:dyDescent="0.25">
      <c r="A2861" t="s">
        <v>57</v>
      </c>
      <c r="B2861" t="s">
        <v>112</v>
      </c>
      <c r="C2861" t="s">
        <v>2754</v>
      </c>
      <c r="D2861">
        <v>3</v>
      </c>
      <c r="E2861" s="273">
        <v>3</v>
      </c>
      <c r="F2861" s="273" t="s">
        <v>7</v>
      </c>
      <c r="G2861" s="273" t="s">
        <v>115</v>
      </c>
      <c r="H2861" s="273" t="s">
        <v>11</v>
      </c>
    </row>
    <row r="2862" spans="1:8" x14ac:dyDescent="0.25">
      <c r="A2862" t="s">
        <v>57</v>
      </c>
      <c r="B2862" t="s">
        <v>112</v>
      </c>
      <c r="C2862" t="s">
        <v>2755</v>
      </c>
      <c r="D2862">
        <v>3</v>
      </c>
      <c r="E2862" s="273">
        <v>3</v>
      </c>
      <c r="F2862" s="273" t="s">
        <v>75</v>
      </c>
      <c r="G2862" s="273" t="s">
        <v>11</v>
      </c>
      <c r="H2862" s="273" t="s">
        <v>11</v>
      </c>
    </row>
    <row r="2863" spans="1:8" x14ac:dyDescent="0.25">
      <c r="A2863" t="s">
        <v>57</v>
      </c>
      <c r="B2863" t="s">
        <v>112</v>
      </c>
      <c r="C2863" t="s">
        <v>2756</v>
      </c>
      <c r="D2863">
        <v>3</v>
      </c>
      <c r="E2863" s="273">
        <v>2</v>
      </c>
      <c r="F2863" s="273" t="s">
        <v>7</v>
      </c>
      <c r="G2863" s="273" t="s">
        <v>115</v>
      </c>
      <c r="H2863" s="273" t="s">
        <v>11</v>
      </c>
    </row>
    <row r="2864" spans="1:8" x14ac:dyDescent="0.25">
      <c r="A2864" t="s">
        <v>57</v>
      </c>
      <c r="B2864" t="s">
        <v>112</v>
      </c>
      <c r="C2864" t="s">
        <v>1333</v>
      </c>
      <c r="D2864">
        <v>3</v>
      </c>
      <c r="E2864" s="273">
        <v>2</v>
      </c>
      <c r="F2864" s="273" t="s">
        <v>7</v>
      </c>
      <c r="G2864" s="273" t="s">
        <v>115</v>
      </c>
      <c r="H2864" s="273" t="s">
        <v>11</v>
      </c>
    </row>
    <row r="2865" spans="1:8" x14ac:dyDescent="0.25">
      <c r="A2865" t="s">
        <v>57</v>
      </c>
      <c r="B2865" t="s">
        <v>112</v>
      </c>
      <c r="C2865" t="s">
        <v>2757</v>
      </c>
      <c r="D2865">
        <v>3</v>
      </c>
      <c r="E2865" s="273">
        <v>2</v>
      </c>
      <c r="F2865" s="273" t="s">
        <v>7</v>
      </c>
      <c r="G2865" s="273" t="s">
        <v>115</v>
      </c>
      <c r="H2865" s="273" t="s">
        <v>11</v>
      </c>
    </row>
    <row r="2866" spans="1:8" x14ac:dyDescent="0.25">
      <c r="A2866" t="s">
        <v>57</v>
      </c>
      <c r="B2866" t="s">
        <v>112</v>
      </c>
      <c r="C2866" t="s">
        <v>2758</v>
      </c>
      <c r="D2866">
        <v>3</v>
      </c>
      <c r="E2866" s="273">
        <v>3</v>
      </c>
      <c r="F2866" s="273" t="s">
        <v>7</v>
      </c>
      <c r="G2866" s="273" t="s">
        <v>115</v>
      </c>
      <c r="H2866" s="273" t="s">
        <v>11</v>
      </c>
    </row>
    <row r="2867" spans="1:8" x14ac:dyDescent="0.25">
      <c r="A2867" t="s">
        <v>57</v>
      </c>
      <c r="B2867" t="s">
        <v>112</v>
      </c>
      <c r="C2867" t="s">
        <v>2759</v>
      </c>
      <c r="D2867">
        <v>3</v>
      </c>
      <c r="E2867" s="273">
        <v>3</v>
      </c>
      <c r="F2867" s="273" t="s">
        <v>75</v>
      </c>
      <c r="G2867" s="273" t="s">
        <v>11</v>
      </c>
      <c r="H2867" s="273" t="s">
        <v>11</v>
      </c>
    </row>
    <row r="2868" spans="1:8" x14ac:dyDescent="0.25">
      <c r="A2868" t="s">
        <v>57</v>
      </c>
      <c r="B2868" t="s">
        <v>112</v>
      </c>
      <c r="C2868" t="s">
        <v>2760</v>
      </c>
      <c r="D2868">
        <v>3</v>
      </c>
      <c r="E2868" s="273">
        <v>2</v>
      </c>
      <c r="F2868" s="273" t="s">
        <v>75</v>
      </c>
      <c r="G2868" s="273" t="s">
        <v>11</v>
      </c>
      <c r="H2868" s="273" t="s">
        <v>11</v>
      </c>
    </row>
    <row r="2869" spans="1:8" x14ac:dyDescent="0.25">
      <c r="A2869" t="s">
        <v>57</v>
      </c>
      <c r="B2869" t="s">
        <v>112</v>
      </c>
      <c r="C2869" t="s">
        <v>2761</v>
      </c>
      <c r="D2869">
        <v>3</v>
      </c>
      <c r="E2869" s="273">
        <v>2</v>
      </c>
      <c r="F2869" s="273" t="s">
        <v>75</v>
      </c>
      <c r="G2869" s="273" t="s">
        <v>11</v>
      </c>
      <c r="H2869" s="273" t="s">
        <v>11</v>
      </c>
    </row>
    <row r="2870" spans="1:8" x14ac:dyDescent="0.25">
      <c r="A2870" t="s">
        <v>57</v>
      </c>
      <c r="B2870" t="s">
        <v>112</v>
      </c>
      <c r="C2870" t="s">
        <v>2762</v>
      </c>
      <c r="D2870">
        <v>3</v>
      </c>
      <c r="E2870" s="273">
        <v>3</v>
      </c>
      <c r="F2870" s="273" t="s">
        <v>7</v>
      </c>
      <c r="G2870" s="273" t="s">
        <v>115</v>
      </c>
      <c r="H2870" s="273" t="s">
        <v>11</v>
      </c>
    </row>
    <row r="2871" spans="1:8" x14ac:dyDescent="0.25">
      <c r="A2871" t="s">
        <v>57</v>
      </c>
      <c r="B2871" t="s">
        <v>112</v>
      </c>
      <c r="C2871" t="s">
        <v>2763</v>
      </c>
      <c r="D2871">
        <v>3</v>
      </c>
      <c r="E2871" s="273">
        <v>2</v>
      </c>
      <c r="F2871" s="273" t="s">
        <v>7</v>
      </c>
      <c r="G2871" s="273" t="s">
        <v>115</v>
      </c>
      <c r="H2871" s="273" t="s">
        <v>11</v>
      </c>
    </row>
    <row r="2872" spans="1:8" x14ac:dyDescent="0.25">
      <c r="A2872" t="s">
        <v>57</v>
      </c>
      <c r="B2872" t="s">
        <v>112</v>
      </c>
      <c r="C2872" t="s">
        <v>1177</v>
      </c>
      <c r="D2872">
        <v>3</v>
      </c>
      <c r="E2872" s="273">
        <v>2</v>
      </c>
      <c r="F2872" s="273" t="s">
        <v>7</v>
      </c>
      <c r="G2872" s="273" t="s">
        <v>115</v>
      </c>
      <c r="H2872" s="273" t="s">
        <v>11</v>
      </c>
    </row>
    <row r="2873" spans="1:8" x14ac:dyDescent="0.25">
      <c r="A2873" t="s">
        <v>57</v>
      </c>
      <c r="B2873" t="s">
        <v>112</v>
      </c>
      <c r="C2873" t="s">
        <v>2764</v>
      </c>
      <c r="D2873">
        <v>3</v>
      </c>
      <c r="E2873" s="273">
        <v>2</v>
      </c>
      <c r="F2873" s="273" t="s">
        <v>7</v>
      </c>
      <c r="G2873" s="273" t="s">
        <v>115</v>
      </c>
      <c r="H2873" s="273" t="s">
        <v>11</v>
      </c>
    </row>
    <row r="2874" spans="1:8" x14ac:dyDescent="0.25">
      <c r="A2874" t="s">
        <v>57</v>
      </c>
      <c r="B2874" t="s">
        <v>112</v>
      </c>
      <c r="C2874" t="s">
        <v>2397</v>
      </c>
      <c r="D2874">
        <v>3</v>
      </c>
      <c r="E2874" s="273">
        <v>3</v>
      </c>
      <c r="F2874" s="273" t="s">
        <v>75</v>
      </c>
      <c r="G2874" s="273" t="s">
        <v>11</v>
      </c>
      <c r="H2874" s="273" t="s">
        <v>11</v>
      </c>
    </row>
    <row r="2875" spans="1:8" x14ac:dyDescent="0.25">
      <c r="A2875" t="s">
        <v>57</v>
      </c>
      <c r="B2875" t="s">
        <v>112</v>
      </c>
      <c r="C2875" t="s">
        <v>1178</v>
      </c>
      <c r="D2875">
        <v>3</v>
      </c>
      <c r="E2875" s="273">
        <v>2</v>
      </c>
      <c r="F2875" s="273" t="s">
        <v>7</v>
      </c>
      <c r="G2875" s="273" t="s">
        <v>115</v>
      </c>
      <c r="H2875" s="273" t="s">
        <v>11</v>
      </c>
    </row>
    <row r="2876" spans="1:8" x14ac:dyDescent="0.25">
      <c r="A2876" t="s">
        <v>57</v>
      </c>
      <c r="B2876" t="s">
        <v>112</v>
      </c>
      <c r="C2876" t="s">
        <v>2765</v>
      </c>
      <c r="D2876">
        <v>3</v>
      </c>
      <c r="E2876" s="273">
        <v>2</v>
      </c>
      <c r="F2876" s="273" t="s">
        <v>75</v>
      </c>
      <c r="G2876" s="273" t="s">
        <v>11</v>
      </c>
      <c r="H2876" s="273" t="s">
        <v>11</v>
      </c>
    </row>
    <row r="2877" spans="1:8" x14ac:dyDescent="0.25">
      <c r="A2877" t="s">
        <v>57</v>
      </c>
      <c r="B2877" t="s">
        <v>112</v>
      </c>
      <c r="C2877" t="s">
        <v>2766</v>
      </c>
      <c r="D2877">
        <v>3</v>
      </c>
      <c r="E2877" s="273">
        <v>2</v>
      </c>
      <c r="F2877" s="273" t="s">
        <v>7</v>
      </c>
      <c r="G2877" s="273" t="s">
        <v>115</v>
      </c>
      <c r="H2877" s="273" t="s">
        <v>11</v>
      </c>
    </row>
    <row r="2878" spans="1:8" x14ac:dyDescent="0.25">
      <c r="A2878" t="s">
        <v>57</v>
      </c>
      <c r="B2878" t="s">
        <v>112</v>
      </c>
      <c r="C2878" t="s">
        <v>1559</v>
      </c>
      <c r="D2878">
        <v>3</v>
      </c>
      <c r="E2878" s="273">
        <v>3</v>
      </c>
      <c r="F2878" s="273" t="s">
        <v>75</v>
      </c>
      <c r="G2878" s="273" t="s">
        <v>11</v>
      </c>
      <c r="H2878" s="273" t="s">
        <v>11</v>
      </c>
    </row>
    <row r="2879" spans="1:8" x14ac:dyDescent="0.25">
      <c r="A2879" t="s">
        <v>57</v>
      </c>
      <c r="B2879" t="s">
        <v>112</v>
      </c>
      <c r="C2879" t="s">
        <v>1805</v>
      </c>
      <c r="D2879">
        <v>3</v>
      </c>
      <c r="E2879" s="273">
        <v>3</v>
      </c>
      <c r="F2879" s="273" t="s">
        <v>7</v>
      </c>
      <c r="G2879" s="273" t="s">
        <v>11</v>
      </c>
      <c r="H2879" s="273" t="s">
        <v>11</v>
      </c>
    </row>
    <row r="2880" spans="1:8" x14ac:dyDescent="0.25">
      <c r="A2880" t="s">
        <v>57</v>
      </c>
      <c r="B2880" t="s">
        <v>112</v>
      </c>
      <c r="C2880" t="s">
        <v>2767</v>
      </c>
      <c r="D2880">
        <v>3</v>
      </c>
      <c r="E2880" s="273">
        <v>3</v>
      </c>
      <c r="F2880" s="273" t="s">
        <v>75</v>
      </c>
      <c r="G2880" s="273" t="s">
        <v>11</v>
      </c>
      <c r="H2880" s="273" t="s">
        <v>11</v>
      </c>
    </row>
    <row r="2881" spans="1:8" x14ac:dyDescent="0.25">
      <c r="A2881" t="s">
        <v>57</v>
      </c>
      <c r="B2881" t="s">
        <v>112</v>
      </c>
      <c r="C2881" t="s">
        <v>2768</v>
      </c>
      <c r="D2881">
        <v>3</v>
      </c>
      <c r="E2881" s="273">
        <v>2</v>
      </c>
      <c r="F2881" s="273" t="s">
        <v>7</v>
      </c>
      <c r="G2881" s="273" t="s">
        <v>115</v>
      </c>
      <c r="H2881" s="273" t="s">
        <v>11</v>
      </c>
    </row>
    <row r="2882" spans="1:8" x14ac:dyDescent="0.25">
      <c r="A2882" t="s">
        <v>57</v>
      </c>
      <c r="B2882" t="s">
        <v>112</v>
      </c>
      <c r="C2882" t="s">
        <v>1653</v>
      </c>
      <c r="D2882">
        <v>3</v>
      </c>
      <c r="E2882" s="273">
        <v>2</v>
      </c>
      <c r="F2882" s="273" t="s">
        <v>7</v>
      </c>
      <c r="G2882" s="273" t="s">
        <v>115</v>
      </c>
      <c r="H2882" s="273" t="s">
        <v>11</v>
      </c>
    </row>
    <row r="2883" spans="1:8" x14ac:dyDescent="0.25">
      <c r="A2883" t="s">
        <v>57</v>
      </c>
      <c r="B2883" t="s">
        <v>112</v>
      </c>
      <c r="C2883" t="s">
        <v>1806</v>
      </c>
      <c r="D2883">
        <v>3</v>
      </c>
      <c r="E2883" s="273">
        <v>2</v>
      </c>
      <c r="F2883" s="273" t="s">
        <v>7</v>
      </c>
      <c r="G2883" s="273" t="s">
        <v>115</v>
      </c>
      <c r="H2883" s="273" t="s">
        <v>11</v>
      </c>
    </row>
    <row r="2884" spans="1:8" x14ac:dyDescent="0.25">
      <c r="A2884" t="s">
        <v>57</v>
      </c>
      <c r="B2884" t="s">
        <v>112</v>
      </c>
      <c r="C2884" t="s">
        <v>2769</v>
      </c>
      <c r="D2884">
        <v>3</v>
      </c>
      <c r="E2884" s="273">
        <v>3</v>
      </c>
      <c r="F2884" s="273" t="s">
        <v>75</v>
      </c>
      <c r="G2884" s="273" t="s">
        <v>11</v>
      </c>
      <c r="H2884" s="273" t="s">
        <v>11</v>
      </c>
    </row>
    <row r="2885" spans="1:8" x14ac:dyDescent="0.25">
      <c r="A2885" t="s">
        <v>57</v>
      </c>
      <c r="B2885" t="s">
        <v>112</v>
      </c>
      <c r="C2885" t="s">
        <v>2770</v>
      </c>
      <c r="D2885">
        <v>3</v>
      </c>
      <c r="E2885" s="273">
        <v>3</v>
      </c>
      <c r="F2885" s="273" t="s">
        <v>7</v>
      </c>
      <c r="G2885" s="273" t="s">
        <v>11</v>
      </c>
      <c r="H2885" s="273" t="s">
        <v>11</v>
      </c>
    </row>
    <row r="2886" spans="1:8" x14ac:dyDescent="0.25">
      <c r="A2886" t="s">
        <v>57</v>
      </c>
      <c r="B2886" t="s">
        <v>112</v>
      </c>
      <c r="C2886" t="s">
        <v>2433</v>
      </c>
      <c r="D2886">
        <v>3</v>
      </c>
      <c r="E2886" s="273">
        <v>3</v>
      </c>
      <c r="F2886" s="273" t="s">
        <v>7</v>
      </c>
      <c r="G2886" s="273" t="s">
        <v>115</v>
      </c>
      <c r="H2886" s="273" t="s">
        <v>11</v>
      </c>
    </row>
    <row r="2887" spans="1:8" x14ac:dyDescent="0.25">
      <c r="A2887" t="s">
        <v>57</v>
      </c>
      <c r="B2887" t="s">
        <v>112</v>
      </c>
      <c r="C2887" t="s">
        <v>2771</v>
      </c>
      <c r="D2887">
        <v>3</v>
      </c>
      <c r="E2887" s="273">
        <v>4</v>
      </c>
      <c r="F2887" s="273" t="s">
        <v>75</v>
      </c>
      <c r="G2887" s="273" t="s">
        <v>11</v>
      </c>
      <c r="H2887" s="273" t="s">
        <v>11</v>
      </c>
    </row>
    <row r="2888" spans="1:8" x14ac:dyDescent="0.25">
      <c r="A2888" t="s">
        <v>57</v>
      </c>
      <c r="B2888" t="s">
        <v>112</v>
      </c>
      <c r="C2888" t="s">
        <v>2772</v>
      </c>
      <c r="D2888">
        <v>3</v>
      </c>
      <c r="E2888" s="273">
        <v>3</v>
      </c>
      <c r="F2888" s="273" t="s">
        <v>7</v>
      </c>
      <c r="G2888" s="273" t="s">
        <v>11</v>
      </c>
      <c r="H2888" s="273" t="s">
        <v>11</v>
      </c>
    </row>
    <row r="2889" spans="1:8" x14ac:dyDescent="0.25">
      <c r="A2889" t="s">
        <v>57</v>
      </c>
      <c r="B2889" t="s">
        <v>112</v>
      </c>
      <c r="C2889" t="s">
        <v>2773</v>
      </c>
      <c r="D2889">
        <v>3</v>
      </c>
      <c r="E2889" s="273">
        <v>2</v>
      </c>
      <c r="F2889" s="273" t="s">
        <v>75</v>
      </c>
      <c r="G2889" s="273" t="s">
        <v>11</v>
      </c>
      <c r="H2889" s="273" t="s">
        <v>11</v>
      </c>
    </row>
    <row r="2890" spans="1:8" x14ac:dyDescent="0.25">
      <c r="A2890" t="s">
        <v>57</v>
      </c>
      <c r="B2890" t="s">
        <v>112</v>
      </c>
      <c r="C2890" t="s">
        <v>2774</v>
      </c>
      <c r="D2890">
        <v>3</v>
      </c>
      <c r="E2890" s="273">
        <v>2</v>
      </c>
      <c r="F2890" s="273" t="s">
        <v>75</v>
      </c>
      <c r="G2890" s="273" t="s">
        <v>11</v>
      </c>
      <c r="H2890" s="273" t="s">
        <v>11</v>
      </c>
    </row>
    <row r="2891" spans="1:8" x14ac:dyDescent="0.25">
      <c r="A2891" t="s">
        <v>58</v>
      </c>
      <c r="B2891" t="s">
        <v>83</v>
      </c>
      <c r="C2891" t="s">
        <v>2437</v>
      </c>
      <c r="D2891">
        <v>2</v>
      </c>
      <c r="E2891" s="273">
        <v>5</v>
      </c>
      <c r="F2891" s="273" t="s">
        <v>75</v>
      </c>
      <c r="G2891" s="273" t="s">
        <v>11</v>
      </c>
      <c r="H2891" s="273" t="s">
        <v>11</v>
      </c>
    </row>
    <row r="2892" spans="1:8" x14ac:dyDescent="0.25">
      <c r="A2892" t="s">
        <v>58</v>
      </c>
      <c r="B2892" t="s">
        <v>83</v>
      </c>
      <c r="C2892" t="s">
        <v>2775</v>
      </c>
      <c r="D2892">
        <v>2</v>
      </c>
      <c r="E2892" s="273">
        <v>6</v>
      </c>
      <c r="F2892" s="273" t="s">
        <v>75</v>
      </c>
      <c r="G2892" s="273" t="s">
        <v>11</v>
      </c>
      <c r="H2892" s="273" t="s">
        <v>11</v>
      </c>
    </row>
    <row r="2893" spans="1:8" x14ac:dyDescent="0.25">
      <c r="A2893" t="s">
        <v>58</v>
      </c>
      <c r="B2893" t="s">
        <v>83</v>
      </c>
      <c r="C2893" t="s">
        <v>2776</v>
      </c>
      <c r="D2893">
        <v>2</v>
      </c>
      <c r="E2893" s="273">
        <v>6</v>
      </c>
      <c r="F2893" s="273" t="s">
        <v>75</v>
      </c>
      <c r="G2893" s="273" t="s">
        <v>11</v>
      </c>
      <c r="H2893" s="273" t="s">
        <v>11</v>
      </c>
    </row>
    <row r="2894" spans="1:8" x14ac:dyDescent="0.25">
      <c r="A2894" t="s">
        <v>58</v>
      </c>
      <c r="B2894" t="s">
        <v>83</v>
      </c>
      <c r="C2894" t="s">
        <v>2148</v>
      </c>
      <c r="D2894">
        <v>1</v>
      </c>
      <c r="E2894" s="273">
        <v>6</v>
      </c>
      <c r="F2894" s="273" t="s">
        <v>75</v>
      </c>
      <c r="G2894" s="273" t="s">
        <v>11</v>
      </c>
      <c r="H2894" s="273" t="s">
        <v>11</v>
      </c>
    </row>
    <row r="2895" spans="1:8" x14ac:dyDescent="0.25">
      <c r="A2895" t="s">
        <v>58</v>
      </c>
      <c r="B2895" t="s">
        <v>83</v>
      </c>
      <c r="C2895" t="s">
        <v>2777</v>
      </c>
      <c r="D2895">
        <v>2</v>
      </c>
      <c r="E2895" s="273">
        <v>6</v>
      </c>
      <c r="F2895" s="273" t="s">
        <v>75</v>
      </c>
      <c r="G2895" s="273" t="s">
        <v>11</v>
      </c>
      <c r="H2895" s="273" t="s">
        <v>11</v>
      </c>
    </row>
    <row r="2896" spans="1:8" x14ac:dyDescent="0.25">
      <c r="A2896" t="s">
        <v>58</v>
      </c>
      <c r="B2896" t="s">
        <v>83</v>
      </c>
      <c r="C2896" t="s">
        <v>1708</v>
      </c>
      <c r="D2896">
        <v>2</v>
      </c>
      <c r="E2896" s="273">
        <v>5</v>
      </c>
      <c r="F2896" s="273" t="s">
        <v>75</v>
      </c>
      <c r="G2896" s="273" t="s">
        <v>11</v>
      </c>
      <c r="H2896" s="273" t="s">
        <v>11</v>
      </c>
    </row>
    <row r="2897" spans="1:8" x14ac:dyDescent="0.25">
      <c r="A2897" t="s">
        <v>58</v>
      </c>
      <c r="B2897" t="s">
        <v>83</v>
      </c>
      <c r="C2897" t="s">
        <v>2778</v>
      </c>
      <c r="D2897">
        <v>1</v>
      </c>
      <c r="E2897" s="273">
        <v>6</v>
      </c>
      <c r="F2897" s="273" t="s">
        <v>75</v>
      </c>
      <c r="G2897" s="273" t="s">
        <v>11</v>
      </c>
      <c r="H2897" s="273" t="s">
        <v>11</v>
      </c>
    </row>
    <row r="2898" spans="1:8" x14ac:dyDescent="0.25">
      <c r="A2898" t="s">
        <v>58</v>
      </c>
      <c r="B2898" t="s">
        <v>83</v>
      </c>
      <c r="C2898" t="s">
        <v>2779</v>
      </c>
      <c r="D2898">
        <v>2</v>
      </c>
      <c r="E2898" s="273">
        <v>5</v>
      </c>
      <c r="F2898" s="273" t="s">
        <v>75</v>
      </c>
      <c r="G2898" s="273" t="s">
        <v>11</v>
      </c>
      <c r="H2898" s="273" t="s">
        <v>11</v>
      </c>
    </row>
    <row r="2899" spans="1:8" x14ac:dyDescent="0.25">
      <c r="A2899" t="s">
        <v>58</v>
      </c>
      <c r="B2899" t="s">
        <v>83</v>
      </c>
      <c r="C2899" t="s">
        <v>1362</v>
      </c>
      <c r="D2899">
        <v>2</v>
      </c>
      <c r="E2899" s="273">
        <v>5</v>
      </c>
      <c r="F2899" s="273" t="s">
        <v>75</v>
      </c>
      <c r="G2899" s="273" t="s">
        <v>11</v>
      </c>
      <c r="H2899" s="273" t="s">
        <v>11</v>
      </c>
    </row>
    <row r="2900" spans="1:8" x14ac:dyDescent="0.25">
      <c r="A2900" t="s">
        <v>58</v>
      </c>
      <c r="B2900" t="s">
        <v>83</v>
      </c>
      <c r="C2900" t="s">
        <v>1364</v>
      </c>
      <c r="D2900">
        <v>1</v>
      </c>
      <c r="E2900" s="273">
        <v>5</v>
      </c>
      <c r="F2900" s="273" t="s">
        <v>75</v>
      </c>
      <c r="G2900" s="273" t="s">
        <v>11</v>
      </c>
      <c r="H2900" s="273" t="s">
        <v>11</v>
      </c>
    </row>
    <row r="2901" spans="1:8" x14ac:dyDescent="0.25">
      <c r="A2901" t="s">
        <v>58</v>
      </c>
      <c r="B2901" t="s">
        <v>83</v>
      </c>
      <c r="C2901" t="s">
        <v>1973</v>
      </c>
      <c r="D2901">
        <v>2</v>
      </c>
      <c r="E2901" s="273">
        <v>5</v>
      </c>
      <c r="F2901" s="273" t="s">
        <v>75</v>
      </c>
      <c r="G2901" s="273" t="s">
        <v>11</v>
      </c>
      <c r="H2901" s="273" t="s">
        <v>11</v>
      </c>
    </row>
    <row r="2902" spans="1:8" x14ac:dyDescent="0.25">
      <c r="A2902" t="s">
        <v>58</v>
      </c>
      <c r="B2902" t="s">
        <v>83</v>
      </c>
      <c r="C2902" t="s">
        <v>2780</v>
      </c>
      <c r="D2902">
        <v>2</v>
      </c>
      <c r="E2902" s="273">
        <v>5</v>
      </c>
      <c r="F2902" s="273" t="s">
        <v>75</v>
      </c>
      <c r="G2902" s="273" t="s">
        <v>11</v>
      </c>
      <c r="H2902" s="273" t="s">
        <v>11</v>
      </c>
    </row>
    <row r="2903" spans="1:8" x14ac:dyDescent="0.25">
      <c r="A2903" t="s">
        <v>58</v>
      </c>
      <c r="B2903" t="s">
        <v>83</v>
      </c>
      <c r="C2903" t="s">
        <v>1624</v>
      </c>
      <c r="D2903">
        <v>2</v>
      </c>
      <c r="E2903" s="273">
        <v>5</v>
      </c>
      <c r="F2903" s="273" t="s">
        <v>75</v>
      </c>
      <c r="G2903" s="273" t="s">
        <v>11</v>
      </c>
      <c r="H2903" s="273" t="s">
        <v>11</v>
      </c>
    </row>
    <row r="2904" spans="1:8" x14ac:dyDescent="0.25">
      <c r="A2904" t="s">
        <v>58</v>
      </c>
      <c r="B2904" t="s">
        <v>83</v>
      </c>
      <c r="C2904" t="s">
        <v>2781</v>
      </c>
      <c r="D2904">
        <v>2</v>
      </c>
      <c r="E2904" s="273">
        <v>5</v>
      </c>
      <c r="F2904" s="273" t="s">
        <v>75</v>
      </c>
      <c r="G2904" s="273" t="s">
        <v>11</v>
      </c>
      <c r="H2904" s="273" t="s">
        <v>11</v>
      </c>
    </row>
    <row r="2905" spans="1:8" x14ac:dyDescent="0.25">
      <c r="A2905" t="s">
        <v>58</v>
      </c>
      <c r="B2905" t="s">
        <v>83</v>
      </c>
      <c r="C2905" t="s">
        <v>1165</v>
      </c>
      <c r="D2905">
        <v>2</v>
      </c>
      <c r="E2905" s="273">
        <v>6</v>
      </c>
      <c r="F2905" s="273" t="s">
        <v>75</v>
      </c>
      <c r="G2905" s="273" t="s">
        <v>11</v>
      </c>
      <c r="H2905" s="273" t="s">
        <v>11</v>
      </c>
    </row>
    <row r="2906" spans="1:8" x14ac:dyDescent="0.25">
      <c r="A2906" t="s">
        <v>58</v>
      </c>
      <c r="B2906" t="s">
        <v>83</v>
      </c>
      <c r="C2906" t="s">
        <v>2782</v>
      </c>
      <c r="D2906">
        <v>1</v>
      </c>
      <c r="E2906" s="273">
        <v>5</v>
      </c>
      <c r="F2906" s="273" t="s">
        <v>75</v>
      </c>
      <c r="G2906" s="273" t="s">
        <v>11</v>
      </c>
      <c r="H2906" s="273" t="s">
        <v>11</v>
      </c>
    </row>
    <row r="2907" spans="1:8" x14ac:dyDescent="0.25">
      <c r="A2907" t="s">
        <v>58</v>
      </c>
      <c r="B2907" t="s">
        <v>83</v>
      </c>
      <c r="C2907" t="s">
        <v>2783</v>
      </c>
      <c r="D2907">
        <v>2</v>
      </c>
      <c r="E2907" s="273">
        <v>6</v>
      </c>
      <c r="F2907" s="273" t="s">
        <v>75</v>
      </c>
      <c r="G2907" s="273" t="s">
        <v>11</v>
      </c>
      <c r="H2907" s="273" t="s">
        <v>11</v>
      </c>
    </row>
    <row r="2908" spans="1:8" x14ac:dyDescent="0.25">
      <c r="A2908" t="s">
        <v>58</v>
      </c>
      <c r="B2908" t="s">
        <v>83</v>
      </c>
      <c r="C2908" t="s">
        <v>2784</v>
      </c>
      <c r="D2908">
        <v>2</v>
      </c>
      <c r="E2908" s="273">
        <v>5</v>
      </c>
      <c r="F2908" s="273" t="s">
        <v>75</v>
      </c>
      <c r="G2908" s="273" t="s">
        <v>11</v>
      </c>
      <c r="H2908" s="273" t="s">
        <v>11</v>
      </c>
    </row>
    <row r="2909" spans="1:8" x14ac:dyDescent="0.25">
      <c r="A2909" t="s">
        <v>58</v>
      </c>
      <c r="B2909" t="s">
        <v>83</v>
      </c>
      <c r="C2909" t="s">
        <v>1388</v>
      </c>
      <c r="D2909">
        <v>2</v>
      </c>
      <c r="E2909" s="273">
        <v>5</v>
      </c>
      <c r="F2909" s="273" t="s">
        <v>75</v>
      </c>
      <c r="G2909" s="273" t="s">
        <v>11</v>
      </c>
      <c r="H2909" s="273" t="s">
        <v>11</v>
      </c>
    </row>
    <row r="2910" spans="1:8" x14ac:dyDescent="0.25">
      <c r="A2910" t="s">
        <v>58</v>
      </c>
      <c r="B2910" t="s">
        <v>83</v>
      </c>
      <c r="C2910" t="s">
        <v>2785</v>
      </c>
      <c r="D2910">
        <v>1</v>
      </c>
      <c r="E2910" s="273">
        <v>5</v>
      </c>
      <c r="F2910" s="273" t="s">
        <v>75</v>
      </c>
      <c r="G2910" s="273" t="s">
        <v>11</v>
      </c>
      <c r="H2910" s="273" t="s">
        <v>11</v>
      </c>
    </row>
    <row r="2911" spans="1:8" x14ac:dyDescent="0.25">
      <c r="A2911" t="s">
        <v>58</v>
      </c>
      <c r="B2911" t="s">
        <v>83</v>
      </c>
      <c r="C2911" t="s">
        <v>1275</v>
      </c>
      <c r="D2911">
        <v>1</v>
      </c>
      <c r="E2911" s="273">
        <v>5</v>
      </c>
      <c r="F2911" s="273" t="s">
        <v>75</v>
      </c>
      <c r="G2911" s="273" t="s">
        <v>11</v>
      </c>
      <c r="H2911" s="273" t="s">
        <v>11</v>
      </c>
    </row>
    <row r="2912" spans="1:8" x14ac:dyDescent="0.25">
      <c r="A2912" t="s">
        <v>58</v>
      </c>
      <c r="B2912" t="s">
        <v>83</v>
      </c>
      <c r="C2912" t="s">
        <v>1391</v>
      </c>
      <c r="D2912">
        <v>2</v>
      </c>
      <c r="E2912" s="273">
        <v>6</v>
      </c>
      <c r="F2912" s="273" t="s">
        <v>75</v>
      </c>
      <c r="G2912" s="273" t="s">
        <v>11</v>
      </c>
      <c r="H2912" s="273" t="s">
        <v>11</v>
      </c>
    </row>
    <row r="2913" spans="1:8" x14ac:dyDescent="0.25">
      <c r="A2913" t="s">
        <v>58</v>
      </c>
      <c r="B2913" t="s">
        <v>83</v>
      </c>
      <c r="C2913" t="s">
        <v>2786</v>
      </c>
      <c r="D2913">
        <v>2</v>
      </c>
      <c r="E2913" s="273">
        <v>5</v>
      </c>
      <c r="F2913" s="273" t="s">
        <v>75</v>
      </c>
      <c r="G2913" s="273" t="s">
        <v>11</v>
      </c>
      <c r="H2913" s="273" t="s">
        <v>11</v>
      </c>
    </row>
    <row r="2914" spans="1:8" x14ac:dyDescent="0.25">
      <c r="A2914" t="s">
        <v>58</v>
      </c>
      <c r="B2914" t="s">
        <v>83</v>
      </c>
      <c r="C2914" t="s">
        <v>2787</v>
      </c>
      <c r="D2914">
        <v>1</v>
      </c>
      <c r="E2914" s="273">
        <v>6</v>
      </c>
      <c r="F2914" s="273" t="s">
        <v>75</v>
      </c>
      <c r="G2914" s="273" t="s">
        <v>11</v>
      </c>
      <c r="H2914" s="273" t="s">
        <v>11</v>
      </c>
    </row>
    <row r="2915" spans="1:8" x14ac:dyDescent="0.25">
      <c r="A2915" t="s">
        <v>58</v>
      </c>
      <c r="B2915" t="s">
        <v>83</v>
      </c>
      <c r="C2915" t="s">
        <v>2788</v>
      </c>
      <c r="D2915">
        <v>2</v>
      </c>
      <c r="E2915" s="273">
        <v>5</v>
      </c>
      <c r="F2915" s="273" t="s">
        <v>75</v>
      </c>
      <c r="G2915" s="273" t="s">
        <v>11</v>
      </c>
      <c r="H2915" s="273" t="s">
        <v>11</v>
      </c>
    </row>
    <row r="2916" spans="1:8" x14ac:dyDescent="0.25">
      <c r="A2916" t="s">
        <v>58</v>
      </c>
      <c r="B2916" t="s">
        <v>83</v>
      </c>
      <c r="C2916" t="s">
        <v>2789</v>
      </c>
      <c r="D2916">
        <v>2</v>
      </c>
      <c r="E2916" s="273">
        <v>6</v>
      </c>
      <c r="F2916" s="273" t="s">
        <v>75</v>
      </c>
      <c r="G2916" s="273" t="s">
        <v>11</v>
      </c>
      <c r="H2916" s="273" t="s">
        <v>11</v>
      </c>
    </row>
    <row r="2917" spans="1:8" x14ac:dyDescent="0.25">
      <c r="A2917" t="s">
        <v>58</v>
      </c>
      <c r="B2917" t="s">
        <v>83</v>
      </c>
      <c r="C2917" t="s">
        <v>1178</v>
      </c>
      <c r="D2917">
        <v>2</v>
      </c>
      <c r="E2917" s="273">
        <v>3</v>
      </c>
      <c r="F2917" s="273" t="s">
        <v>75</v>
      </c>
      <c r="G2917" s="273" t="s">
        <v>11</v>
      </c>
      <c r="H2917" s="273" t="s">
        <v>11</v>
      </c>
    </row>
    <row r="2918" spans="1:8" x14ac:dyDescent="0.25">
      <c r="A2918" t="s">
        <v>58</v>
      </c>
      <c r="B2918" t="s">
        <v>83</v>
      </c>
      <c r="C2918" t="s">
        <v>1557</v>
      </c>
      <c r="D2918">
        <v>2</v>
      </c>
      <c r="E2918" s="273">
        <v>5</v>
      </c>
      <c r="F2918" s="273" t="s">
        <v>75</v>
      </c>
      <c r="G2918" s="273" t="s">
        <v>11</v>
      </c>
      <c r="H2918" s="273" t="s">
        <v>11</v>
      </c>
    </row>
    <row r="2919" spans="1:8" x14ac:dyDescent="0.25">
      <c r="A2919" t="s">
        <v>58</v>
      </c>
      <c r="B2919" t="s">
        <v>83</v>
      </c>
      <c r="C2919" t="s">
        <v>2790</v>
      </c>
      <c r="D2919">
        <v>2</v>
      </c>
      <c r="E2919" s="273">
        <v>5</v>
      </c>
      <c r="F2919" s="273" t="s">
        <v>75</v>
      </c>
      <c r="G2919" s="273" t="s">
        <v>11</v>
      </c>
      <c r="H2919" s="273" t="s">
        <v>11</v>
      </c>
    </row>
    <row r="2920" spans="1:8" x14ac:dyDescent="0.25">
      <c r="A2920" t="s">
        <v>60</v>
      </c>
      <c r="B2920" t="s">
        <v>84</v>
      </c>
      <c r="C2920" t="s">
        <v>2791</v>
      </c>
      <c r="D2920">
        <v>2</v>
      </c>
      <c r="E2920" s="273">
        <v>6</v>
      </c>
      <c r="F2920" s="273" t="s">
        <v>7</v>
      </c>
      <c r="G2920" s="273" t="s">
        <v>11</v>
      </c>
      <c r="H2920" s="273" t="s">
        <v>11</v>
      </c>
    </row>
    <row r="2921" spans="1:8" x14ac:dyDescent="0.25">
      <c r="A2921" t="s">
        <v>60</v>
      </c>
      <c r="B2921" t="s">
        <v>84</v>
      </c>
      <c r="C2921" t="s">
        <v>2792</v>
      </c>
      <c r="D2921">
        <v>2</v>
      </c>
      <c r="E2921" s="273">
        <v>6</v>
      </c>
      <c r="F2921" s="273" t="s">
        <v>7</v>
      </c>
      <c r="G2921" s="273" t="s">
        <v>11</v>
      </c>
      <c r="H2921" s="273" t="s">
        <v>11</v>
      </c>
    </row>
    <row r="2922" spans="1:8" x14ac:dyDescent="0.25">
      <c r="A2922" t="s">
        <v>60</v>
      </c>
      <c r="B2922" t="s">
        <v>84</v>
      </c>
      <c r="C2922" t="s">
        <v>2793</v>
      </c>
      <c r="D2922">
        <v>2</v>
      </c>
      <c r="E2922" s="273">
        <v>6</v>
      </c>
      <c r="F2922" s="273" t="s">
        <v>7</v>
      </c>
      <c r="G2922" s="273" t="s">
        <v>11</v>
      </c>
      <c r="H2922" s="273" t="s">
        <v>11</v>
      </c>
    </row>
    <row r="2923" spans="1:8" x14ac:dyDescent="0.25">
      <c r="A2923" t="s">
        <v>60</v>
      </c>
      <c r="B2923" t="s">
        <v>84</v>
      </c>
      <c r="C2923" t="s">
        <v>2794</v>
      </c>
      <c r="D2923">
        <v>3</v>
      </c>
      <c r="E2923" s="273">
        <v>6</v>
      </c>
      <c r="F2923" s="273" t="s">
        <v>7</v>
      </c>
      <c r="G2923" s="273" t="s">
        <v>11</v>
      </c>
      <c r="H2923" s="273" t="s">
        <v>11</v>
      </c>
    </row>
    <row r="2924" spans="1:8" x14ac:dyDescent="0.25">
      <c r="A2924" t="s">
        <v>60</v>
      </c>
      <c r="B2924" t="s">
        <v>84</v>
      </c>
      <c r="C2924" t="s">
        <v>1941</v>
      </c>
      <c r="D2924">
        <v>2</v>
      </c>
      <c r="E2924" s="273">
        <v>6</v>
      </c>
      <c r="F2924" s="273" t="s">
        <v>7</v>
      </c>
      <c r="G2924" s="273" t="s">
        <v>11</v>
      </c>
      <c r="H2924" s="273" t="s">
        <v>11</v>
      </c>
    </row>
    <row r="2925" spans="1:8" x14ac:dyDescent="0.25">
      <c r="A2925" t="s">
        <v>60</v>
      </c>
      <c r="B2925" t="s">
        <v>84</v>
      </c>
      <c r="C2925" t="s">
        <v>1143</v>
      </c>
      <c r="D2925">
        <v>2</v>
      </c>
      <c r="E2925" s="273">
        <v>6</v>
      </c>
      <c r="F2925" s="273" t="s">
        <v>7</v>
      </c>
      <c r="G2925" s="273" t="s">
        <v>11</v>
      </c>
      <c r="H2925" s="273" t="s">
        <v>11</v>
      </c>
    </row>
    <row r="2926" spans="1:8" x14ac:dyDescent="0.25">
      <c r="A2926" t="s">
        <v>60</v>
      </c>
      <c r="B2926" t="s">
        <v>84</v>
      </c>
      <c r="C2926" t="s">
        <v>2795</v>
      </c>
      <c r="D2926">
        <v>3</v>
      </c>
      <c r="E2926" s="273">
        <v>6</v>
      </c>
      <c r="F2926" s="273" t="s">
        <v>7</v>
      </c>
      <c r="G2926" s="273" t="s">
        <v>11</v>
      </c>
      <c r="H2926" s="273" t="s">
        <v>11</v>
      </c>
    </row>
    <row r="2927" spans="1:8" x14ac:dyDescent="0.25">
      <c r="A2927" t="s">
        <v>60</v>
      </c>
      <c r="B2927" t="s">
        <v>84</v>
      </c>
      <c r="C2927" t="s">
        <v>2796</v>
      </c>
      <c r="D2927">
        <v>2</v>
      </c>
      <c r="E2927" s="273">
        <v>6</v>
      </c>
      <c r="F2927" s="273" t="s">
        <v>7</v>
      </c>
      <c r="G2927" s="273" t="s">
        <v>11</v>
      </c>
      <c r="H2927" s="273" t="s">
        <v>11</v>
      </c>
    </row>
    <row r="2928" spans="1:8" x14ac:dyDescent="0.25">
      <c r="A2928" t="s">
        <v>60</v>
      </c>
      <c r="B2928" t="s">
        <v>84</v>
      </c>
      <c r="C2928" t="s">
        <v>1311</v>
      </c>
      <c r="D2928">
        <v>2</v>
      </c>
      <c r="E2928" s="273">
        <v>6</v>
      </c>
      <c r="F2928" s="273" t="s">
        <v>7</v>
      </c>
      <c r="G2928" s="273" t="s">
        <v>11</v>
      </c>
      <c r="H2928" s="273" t="s">
        <v>11</v>
      </c>
    </row>
    <row r="2929" spans="1:8" x14ac:dyDescent="0.25">
      <c r="A2929" t="s">
        <v>60</v>
      </c>
      <c r="B2929" t="s">
        <v>84</v>
      </c>
      <c r="C2929" t="s">
        <v>1887</v>
      </c>
      <c r="D2929">
        <v>2</v>
      </c>
      <c r="E2929" s="273">
        <v>6</v>
      </c>
      <c r="F2929" s="273" t="s">
        <v>7</v>
      </c>
      <c r="G2929" s="273" t="s">
        <v>11</v>
      </c>
      <c r="H2929" s="273" t="s">
        <v>11</v>
      </c>
    </row>
    <row r="2930" spans="1:8" x14ac:dyDescent="0.25">
      <c r="A2930" t="s">
        <v>60</v>
      </c>
      <c r="B2930" t="s">
        <v>84</v>
      </c>
      <c r="C2930" t="s">
        <v>2797</v>
      </c>
      <c r="D2930">
        <v>2</v>
      </c>
      <c r="E2930" s="273">
        <v>6</v>
      </c>
      <c r="F2930" s="273" t="s">
        <v>7</v>
      </c>
      <c r="G2930" s="273" t="s">
        <v>11</v>
      </c>
      <c r="H2930" s="273" t="s">
        <v>11</v>
      </c>
    </row>
    <row r="2931" spans="1:8" x14ac:dyDescent="0.25">
      <c r="A2931" t="s">
        <v>60</v>
      </c>
      <c r="B2931" t="s">
        <v>84</v>
      </c>
      <c r="C2931" t="s">
        <v>1178</v>
      </c>
      <c r="D2931">
        <v>2</v>
      </c>
      <c r="E2931" s="273">
        <v>6</v>
      </c>
      <c r="F2931" s="273" t="s">
        <v>7</v>
      </c>
      <c r="G2931" s="273" t="s">
        <v>11</v>
      </c>
      <c r="H2931" s="273" t="s">
        <v>11</v>
      </c>
    </row>
    <row r="2932" spans="1:8" x14ac:dyDescent="0.25">
      <c r="A2932" t="s">
        <v>60</v>
      </c>
      <c r="B2932" t="s">
        <v>84</v>
      </c>
      <c r="C2932" t="s">
        <v>1401</v>
      </c>
      <c r="D2932">
        <v>2</v>
      </c>
      <c r="E2932" s="273">
        <v>6</v>
      </c>
      <c r="F2932" s="273" t="s">
        <v>7</v>
      </c>
      <c r="G2932" s="273" t="s">
        <v>11</v>
      </c>
      <c r="H2932" s="273" t="s">
        <v>11</v>
      </c>
    </row>
    <row r="2933" spans="1:8" x14ac:dyDescent="0.25">
      <c r="A2933" t="s">
        <v>60</v>
      </c>
      <c r="B2933" t="s">
        <v>84</v>
      </c>
      <c r="C2933" t="s">
        <v>2798</v>
      </c>
      <c r="D2933">
        <v>2</v>
      </c>
      <c r="E2933" s="273">
        <v>6</v>
      </c>
      <c r="F2933" s="273" t="s">
        <v>7</v>
      </c>
      <c r="G2933" s="273" t="s">
        <v>11</v>
      </c>
      <c r="H2933" s="273" t="s">
        <v>11</v>
      </c>
    </row>
    <row r="2934" spans="1:8" x14ac:dyDescent="0.25">
      <c r="A2934" t="s">
        <v>70</v>
      </c>
      <c r="C2934" t="s">
        <v>2799</v>
      </c>
      <c r="D2934" t="s">
        <v>11</v>
      </c>
      <c r="E2934" s="273">
        <v>1</v>
      </c>
      <c r="F2934" s="273" t="s">
        <v>7</v>
      </c>
      <c r="G2934" s="273" t="s">
        <v>115</v>
      </c>
      <c r="H2934" s="273" t="s">
        <v>3456</v>
      </c>
    </row>
    <row r="2935" spans="1:8" x14ac:dyDescent="0.25">
      <c r="A2935" t="s">
        <v>59</v>
      </c>
      <c r="B2935" t="s">
        <v>113</v>
      </c>
      <c r="C2935" t="s">
        <v>2800</v>
      </c>
      <c r="D2935">
        <v>3</v>
      </c>
      <c r="E2935" s="273">
        <v>4</v>
      </c>
      <c r="F2935" s="273" t="s">
        <v>7</v>
      </c>
      <c r="G2935" s="273" t="s">
        <v>11</v>
      </c>
      <c r="H2935" s="273" t="s">
        <v>11</v>
      </c>
    </row>
    <row r="2936" spans="1:8" x14ac:dyDescent="0.25">
      <c r="A2936" t="s">
        <v>59</v>
      </c>
      <c r="B2936" t="s">
        <v>113</v>
      </c>
      <c r="C2936" t="s">
        <v>2801</v>
      </c>
      <c r="D2936">
        <v>2</v>
      </c>
      <c r="E2936" s="273">
        <v>4</v>
      </c>
      <c r="F2936" s="273" t="s">
        <v>7</v>
      </c>
      <c r="G2936" s="273" t="s">
        <v>11</v>
      </c>
      <c r="H2936" s="273" t="s">
        <v>11</v>
      </c>
    </row>
    <row r="2937" spans="1:8" x14ac:dyDescent="0.25">
      <c r="A2937" t="s">
        <v>59</v>
      </c>
      <c r="B2937" t="s">
        <v>113</v>
      </c>
      <c r="C2937" t="s">
        <v>2802</v>
      </c>
      <c r="D2937">
        <v>3</v>
      </c>
      <c r="E2937" s="273">
        <v>4</v>
      </c>
      <c r="F2937" s="273" t="s">
        <v>7</v>
      </c>
      <c r="G2937" s="273" t="s">
        <v>11</v>
      </c>
      <c r="H2937" s="273" t="s">
        <v>11</v>
      </c>
    </row>
    <row r="2938" spans="1:8" x14ac:dyDescent="0.25">
      <c r="A2938" t="s">
        <v>59</v>
      </c>
      <c r="B2938" t="s">
        <v>113</v>
      </c>
      <c r="C2938" t="s">
        <v>2305</v>
      </c>
      <c r="D2938">
        <v>1</v>
      </c>
      <c r="E2938" s="273">
        <v>4</v>
      </c>
      <c r="F2938" s="273" t="s">
        <v>7</v>
      </c>
      <c r="G2938" s="273" t="s">
        <v>11</v>
      </c>
      <c r="H2938" s="273" t="s">
        <v>11</v>
      </c>
    </row>
    <row r="2939" spans="1:8" x14ac:dyDescent="0.25">
      <c r="A2939" t="s">
        <v>59</v>
      </c>
      <c r="B2939" t="s">
        <v>113</v>
      </c>
      <c r="C2939" t="s">
        <v>2803</v>
      </c>
      <c r="D2939">
        <v>1</v>
      </c>
      <c r="E2939" s="273">
        <v>4</v>
      </c>
      <c r="F2939" s="273" t="s">
        <v>7</v>
      </c>
      <c r="G2939" s="273" t="s">
        <v>11</v>
      </c>
      <c r="H2939" s="273" t="s">
        <v>11</v>
      </c>
    </row>
    <row r="2940" spans="1:8" x14ac:dyDescent="0.25">
      <c r="A2940" t="s">
        <v>59</v>
      </c>
      <c r="B2940" t="s">
        <v>113</v>
      </c>
      <c r="C2940" t="s">
        <v>2804</v>
      </c>
      <c r="D2940">
        <v>2</v>
      </c>
      <c r="E2940" s="273">
        <v>4</v>
      </c>
      <c r="F2940" s="273" t="s">
        <v>7</v>
      </c>
      <c r="G2940" s="273" t="s">
        <v>11</v>
      </c>
      <c r="H2940" s="273" t="s">
        <v>11</v>
      </c>
    </row>
    <row r="2941" spans="1:8" x14ac:dyDescent="0.25">
      <c r="A2941" t="s">
        <v>59</v>
      </c>
      <c r="B2941" t="s">
        <v>113</v>
      </c>
      <c r="C2941" t="s">
        <v>2805</v>
      </c>
      <c r="D2941">
        <v>1</v>
      </c>
      <c r="E2941" s="273">
        <v>4</v>
      </c>
      <c r="F2941" s="273" t="s">
        <v>7</v>
      </c>
      <c r="G2941" s="273" t="s">
        <v>11</v>
      </c>
      <c r="H2941" s="273" t="s">
        <v>11</v>
      </c>
    </row>
    <row r="2942" spans="1:8" x14ac:dyDescent="0.25">
      <c r="A2942" t="s">
        <v>59</v>
      </c>
      <c r="B2942" t="s">
        <v>113</v>
      </c>
      <c r="C2942" t="s">
        <v>2806</v>
      </c>
      <c r="D2942">
        <v>2</v>
      </c>
      <c r="E2942" s="273">
        <v>4</v>
      </c>
      <c r="F2942" s="273" t="s">
        <v>7</v>
      </c>
      <c r="G2942" s="273" t="s">
        <v>11</v>
      </c>
      <c r="H2942" s="273" t="s">
        <v>11</v>
      </c>
    </row>
    <row r="2943" spans="1:8" x14ac:dyDescent="0.25">
      <c r="A2943" t="s">
        <v>59</v>
      </c>
      <c r="B2943" t="s">
        <v>113</v>
      </c>
      <c r="C2943" t="s">
        <v>2807</v>
      </c>
      <c r="D2943">
        <v>1</v>
      </c>
      <c r="E2943" s="273">
        <v>4</v>
      </c>
      <c r="F2943" s="273" t="s">
        <v>7</v>
      </c>
      <c r="G2943" s="273" t="s">
        <v>11</v>
      </c>
      <c r="H2943" s="273" t="s">
        <v>11</v>
      </c>
    </row>
    <row r="2944" spans="1:8" x14ac:dyDescent="0.25">
      <c r="A2944" t="s">
        <v>59</v>
      </c>
      <c r="B2944" t="s">
        <v>113</v>
      </c>
      <c r="C2944" t="s">
        <v>1811</v>
      </c>
      <c r="D2944">
        <v>1</v>
      </c>
      <c r="E2944" s="273">
        <v>4</v>
      </c>
      <c r="F2944" s="273" t="s">
        <v>7</v>
      </c>
      <c r="G2944" s="273" t="s">
        <v>11</v>
      </c>
      <c r="H2944" s="273" t="s">
        <v>11</v>
      </c>
    </row>
    <row r="2945" spans="1:8" x14ac:dyDescent="0.25">
      <c r="A2945" t="s">
        <v>59</v>
      </c>
      <c r="B2945" t="s">
        <v>113</v>
      </c>
      <c r="C2945" t="s">
        <v>2494</v>
      </c>
      <c r="D2945">
        <v>2</v>
      </c>
      <c r="E2945" s="273">
        <v>4</v>
      </c>
      <c r="F2945" s="273" t="s">
        <v>7</v>
      </c>
      <c r="G2945" s="273" t="s">
        <v>11</v>
      </c>
      <c r="H2945" s="273" t="s">
        <v>11</v>
      </c>
    </row>
    <row r="2946" spans="1:8" x14ac:dyDescent="0.25">
      <c r="A2946" t="s">
        <v>59</v>
      </c>
      <c r="B2946" t="s">
        <v>113</v>
      </c>
      <c r="C2946" t="s">
        <v>2808</v>
      </c>
      <c r="D2946">
        <v>1</v>
      </c>
      <c r="E2946" s="273">
        <v>4</v>
      </c>
      <c r="F2946" s="273" t="s">
        <v>7</v>
      </c>
      <c r="G2946" s="273" t="s">
        <v>11</v>
      </c>
      <c r="H2946" s="273" t="s">
        <v>11</v>
      </c>
    </row>
    <row r="2947" spans="1:8" x14ac:dyDescent="0.25">
      <c r="A2947" t="s">
        <v>59</v>
      </c>
      <c r="B2947" t="s">
        <v>113</v>
      </c>
      <c r="C2947" t="s">
        <v>2809</v>
      </c>
      <c r="D2947">
        <v>1</v>
      </c>
      <c r="E2947" s="273">
        <v>4</v>
      </c>
      <c r="F2947" s="273" t="s">
        <v>7</v>
      </c>
      <c r="G2947" s="273" t="s">
        <v>11</v>
      </c>
      <c r="H2947" s="273" t="s">
        <v>11</v>
      </c>
    </row>
    <row r="2948" spans="1:8" x14ac:dyDescent="0.25">
      <c r="A2948" t="s">
        <v>59</v>
      </c>
      <c r="B2948" t="s">
        <v>113</v>
      </c>
      <c r="C2948" t="s">
        <v>2810</v>
      </c>
      <c r="D2948">
        <v>1</v>
      </c>
      <c r="E2948" s="273">
        <v>4</v>
      </c>
      <c r="F2948" s="273" t="s">
        <v>7</v>
      </c>
      <c r="G2948" s="273" t="s">
        <v>11</v>
      </c>
      <c r="H2948" s="273" t="s">
        <v>11</v>
      </c>
    </row>
    <row r="2949" spans="1:8" x14ac:dyDescent="0.25">
      <c r="A2949" t="s">
        <v>59</v>
      </c>
      <c r="B2949" t="s">
        <v>113</v>
      </c>
      <c r="C2949" t="s">
        <v>2312</v>
      </c>
      <c r="D2949">
        <v>1</v>
      </c>
      <c r="E2949" s="273">
        <v>4</v>
      </c>
      <c r="F2949" s="273" t="s">
        <v>7</v>
      </c>
      <c r="G2949" s="273" t="s">
        <v>11</v>
      </c>
      <c r="H2949" s="273" t="s">
        <v>11</v>
      </c>
    </row>
    <row r="2950" spans="1:8" x14ac:dyDescent="0.25">
      <c r="A2950" t="s">
        <v>59</v>
      </c>
      <c r="B2950" t="s">
        <v>113</v>
      </c>
      <c r="C2950" t="s">
        <v>1703</v>
      </c>
      <c r="D2950">
        <v>2</v>
      </c>
      <c r="E2950" s="273">
        <v>4</v>
      </c>
      <c r="F2950" s="273" t="s">
        <v>7</v>
      </c>
      <c r="G2950" s="273" t="s">
        <v>11</v>
      </c>
      <c r="H2950" s="273" t="s">
        <v>11</v>
      </c>
    </row>
    <row r="2951" spans="1:8" x14ac:dyDescent="0.25">
      <c r="A2951" t="s">
        <v>59</v>
      </c>
      <c r="B2951" t="s">
        <v>113</v>
      </c>
      <c r="C2951" t="s">
        <v>2811</v>
      </c>
      <c r="D2951">
        <v>1</v>
      </c>
      <c r="E2951" s="273">
        <v>4</v>
      </c>
      <c r="F2951" s="273" t="s">
        <v>7</v>
      </c>
      <c r="G2951" s="273" t="s">
        <v>11</v>
      </c>
      <c r="H2951" s="273" t="s">
        <v>11</v>
      </c>
    </row>
    <row r="2952" spans="1:8" x14ac:dyDescent="0.25">
      <c r="A2952" t="s">
        <v>59</v>
      </c>
      <c r="B2952" t="s">
        <v>113</v>
      </c>
      <c r="C2952" t="s">
        <v>2812</v>
      </c>
      <c r="D2952">
        <v>1</v>
      </c>
      <c r="E2952" s="273">
        <v>4</v>
      </c>
      <c r="F2952" s="273" t="s">
        <v>7</v>
      </c>
      <c r="G2952" s="273" t="s">
        <v>11</v>
      </c>
      <c r="H2952" s="273" t="s">
        <v>11</v>
      </c>
    </row>
    <row r="2953" spans="1:8" x14ac:dyDescent="0.25">
      <c r="A2953" t="s">
        <v>59</v>
      </c>
      <c r="B2953" t="s">
        <v>113</v>
      </c>
      <c r="C2953" t="s">
        <v>1821</v>
      </c>
      <c r="D2953">
        <v>1</v>
      </c>
      <c r="E2953" s="273">
        <v>4</v>
      </c>
      <c r="F2953" s="273" t="s">
        <v>7</v>
      </c>
      <c r="G2953" s="273" t="s">
        <v>11</v>
      </c>
      <c r="H2953" s="273" t="s">
        <v>11</v>
      </c>
    </row>
    <row r="2954" spans="1:8" x14ac:dyDescent="0.25">
      <c r="A2954" t="s">
        <v>59</v>
      </c>
      <c r="B2954" t="s">
        <v>113</v>
      </c>
      <c r="C2954" t="s">
        <v>1925</v>
      </c>
      <c r="D2954">
        <v>3</v>
      </c>
      <c r="E2954" s="273">
        <v>4</v>
      </c>
      <c r="F2954" s="273" t="s">
        <v>7</v>
      </c>
      <c r="G2954" s="273" t="s">
        <v>11</v>
      </c>
      <c r="H2954" s="273" t="s">
        <v>11</v>
      </c>
    </row>
    <row r="2955" spans="1:8" x14ac:dyDescent="0.25">
      <c r="A2955" t="s">
        <v>59</v>
      </c>
      <c r="B2955" t="s">
        <v>113</v>
      </c>
      <c r="C2955" t="s">
        <v>1232</v>
      </c>
      <c r="D2955">
        <v>2</v>
      </c>
      <c r="E2955" s="273">
        <v>4</v>
      </c>
      <c r="F2955" s="273" t="s">
        <v>7</v>
      </c>
      <c r="G2955" s="273" t="s">
        <v>11</v>
      </c>
      <c r="H2955" s="273" t="s">
        <v>11</v>
      </c>
    </row>
    <row r="2956" spans="1:8" x14ac:dyDescent="0.25">
      <c r="A2956" t="s">
        <v>59</v>
      </c>
      <c r="B2956" t="s">
        <v>113</v>
      </c>
      <c r="C2956" t="s">
        <v>2813</v>
      </c>
      <c r="D2956">
        <v>3</v>
      </c>
      <c r="E2956" s="273">
        <v>4</v>
      </c>
      <c r="F2956" s="273" t="s">
        <v>7</v>
      </c>
      <c r="G2956" s="273" t="s">
        <v>11</v>
      </c>
      <c r="H2956" s="273" t="s">
        <v>11</v>
      </c>
    </row>
    <row r="2957" spans="1:8" x14ac:dyDescent="0.25">
      <c r="A2957" t="s">
        <v>59</v>
      </c>
      <c r="B2957" t="s">
        <v>113</v>
      </c>
      <c r="C2957" t="s">
        <v>1412</v>
      </c>
      <c r="D2957">
        <v>2</v>
      </c>
      <c r="E2957" s="273">
        <v>4</v>
      </c>
      <c r="F2957" s="273" t="s">
        <v>7</v>
      </c>
      <c r="G2957" s="273" t="s">
        <v>11</v>
      </c>
      <c r="H2957" s="273" t="s">
        <v>11</v>
      </c>
    </row>
    <row r="2958" spans="1:8" x14ac:dyDescent="0.25">
      <c r="A2958" t="s">
        <v>59</v>
      </c>
      <c r="B2958" t="s">
        <v>113</v>
      </c>
      <c r="C2958" t="s">
        <v>2814</v>
      </c>
      <c r="D2958">
        <v>2</v>
      </c>
      <c r="E2958" s="273">
        <v>4</v>
      </c>
      <c r="F2958" s="273" t="s">
        <v>7</v>
      </c>
      <c r="G2958" s="273" t="s">
        <v>11</v>
      </c>
      <c r="H2958" s="273" t="s">
        <v>11</v>
      </c>
    </row>
    <row r="2959" spans="1:8" x14ac:dyDescent="0.25">
      <c r="A2959" t="s">
        <v>59</v>
      </c>
      <c r="B2959" t="s">
        <v>113</v>
      </c>
      <c r="C2959" t="s">
        <v>2815</v>
      </c>
      <c r="D2959">
        <v>3</v>
      </c>
      <c r="E2959" s="273">
        <v>4</v>
      </c>
      <c r="F2959" s="273" t="s">
        <v>7</v>
      </c>
      <c r="G2959" s="273" t="s">
        <v>11</v>
      </c>
      <c r="H2959" s="273" t="s">
        <v>11</v>
      </c>
    </row>
    <row r="2960" spans="1:8" x14ac:dyDescent="0.25">
      <c r="A2960" t="s">
        <v>59</v>
      </c>
      <c r="B2960" t="s">
        <v>113</v>
      </c>
      <c r="C2960" t="s">
        <v>2533</v>
      </c>
      <c r="D2960">
        <v>1</v>
      </c>
      <c r="E2960" s="273">
        <v>4</v>
      </c>
      <c r="F2960" s="273" t="s">
        <v>7</v>
      </c>
      <c r="G2960" s="273" t="s">
        <v>11</v>
      </c>
      <c r="H2960" s="273" t="s">
        <v>11</v>
      </c>
    </row>
    <row r="2961" spans="1:8" x14ac:dyDescent="0.25">
      <c r="A2961" t="s">
        <v>59</v>
      </c>
      <c r="B2961" t="s">
        <v>113</v>
      </c>
      <c r="C2961" t="s">
        <v>1126</v>
      </c>
      <c r="D2961">
        <v>1</v>
      </c>
      <c r="E2961" s="273">
        <v>4</v>
      </c>
      <c r="F2961" s="273" t="s">
        <v>7</v>
      </c>
      <c r="G2961" s="273" t="s">
        <v>11</v>
      </c>
      <c r="H2961" s="273" t="s">
        <v>11</v>
      </c>
    </row>
    <row r="2962" spans="1:8" x14ac:dyDescent="0.25">
      <c r="A2962" t="s">
        <v>59</v>
      </c>
      <c r="B2962" t="s">
        <v>113</v>
      </c>
      <c r="C2962" t="s">
        <v>2816</v>
      </c>
      <c r="D2962">
        <v>3</v>
      </c>
      <c r="E2962" s="273">
        <v>4</v>
      </c>
      <c r="F2962" s="273" t="s">
        <v>7</v>
      </c>
      <c r="G2962" s="273" t="s">
        <v>11</v>
      </c>
      <c r="H2962" s="273" t="s">
        <v>11</v>
      </c>
    </row>
    <row r="2963" spans="1:8" x14ac:dyDescent="0.25">
      <c r="A2963" t="s">
        <v>59</v>
      </c>
      <c r="B2963" t="s">
        <v>113</v>
      </c>
      <c r="C2963" t="s">
        <v>2817</v>
      </c>
      <c r="D2963">
        <v>1</v>
      </c>
      <c r="E2963" s="273">
        <v>4</v>
      </c>
      <c r="F2963" s="273" t="s">
        <v>7</v>
      </c>
      <c r="G2963" s="273" t="s">
        <v>11</v>
      </c>
      <c r="H2963" s="273" t="s">
        <v>11</v>
      </c>
    </row>
    <row r="2964" spans="1:8" x14ac:dyDescent="0.25">
      <c r="A2964" t="s">
        <v>59</v>
      </c>
      <c r="B2964" t="s">
        <v>113</v>
      </c>
      <c r="C2964" t="s">
        <v>2443</v>
      </c>
      <c r="D2964">
        <v>1</v>
      </c>
      <c r="E2964" s="273">
        <v>4</v>
      </c>
      <c r="F2964" s="273" t="s">
        <v>7</v>
      </c>
      <c r="G2964" s="273" t="s">
        <v>11</v>
      </c>
      <c r="H2964" s="273" t="s">
        <v>11</v>
      </c>
    </row>
    <row r="2965" spans="1:8" x14ac:dyDescent="0.25">
      <c r="A2965" t="s">
        <v>59</v>
      </c>
      <c r="B2965" t="s">
        <v>113</v>
      </c>
      <c r="C2965" t="s">
        <v>2818</v>
      </c>
      <c r="D2965">
        <v>2</v>
      </c>
      <c r="E2965" s="273">
        <v>4</v>
      </c>
      <c r="F2965" s="273" t="s">
        <v>7</v>
      </c>
      <c r="G2965" s="273" t="s">
        <v>11</v>
      </c>
      <c r="H2965" s="273" t="s">
        <v>11</v>
      </c>
    </row>
    <row r="2966" spans="1:8" x14ac:dyDescent="0.25">
      <c r="A2966" t="s">
        <v>59</v>
      </c>
      <c r="B2966" t="s">
        <v>113</v>
      </c>
      <c r="C2966" t="s">
        <v>1611</v>
      </c>
      <c r="D2966">
        <v>1</v>
      </c>
      <c r="E2966" s="273">
        <v>4</v>
      </c>
      <c r="F2966" s="273" t="s">
        <v>7</v>
      </c>
      <c r="G2966" s="273" t="s">
        <v>11</v>
      </c>
      <c r="H2966" s="273" t="s">
        <v>11</v>
      </c>
    </row>
    <row r="2967" spans="1:8" x14ac:dyDescent="0.25">
      <c r="A2967" t="s">
        <v>59</v>
      </c>
      <c r="B2967" t="s">
        <v>113</v>
      </c>
      <c r="C2967" t="s">
        <v>2819</v>
      </c>
      <c r="D2967">
        <v>1</v>
      </c>
      <c r="E2967" s="273">
        <v>4</v>
      </c>
      <c r="F2967" s="273" t="s">
        <v>7</v>
      </c>
      <c r="G2967" s="273" t="s">
        <v>11</v>
      </c>
      <c r="H2967" s="273" t="s">
        <v>11</v>
      </c>
    </row>
    <row r="2968" spans="1:8" x14ac:dyDescent="0.25">
      <c r="A2968" t="s">
        <v>59</v>
      </c>
      <c r="B2968" t="s">
        <v>113</v>
      </c>
      <c r="C2968" t="s">
        <v>2820</v>
      </c>
      <c r="D2968">
        <v>2</v>
      </c>
      <c r="E2968" s="273">
        <v>4</v>
      </c>
      <c r="F2968" s="273" t="s">
        <v>7</v>
      </c>
      <c r="G2968" s="273" t="s">
        <v>11</v>
      </c>
      <c r="H2968" s="273" t="s">
        <v>11</v>
      </c>
    </row>
    <row r="2969" spans="1:8" x14ac:dyDescent="0.25">
      <c r="A2969" t="s">
        <v>59</v>
      </c>
      <c r="B2969" t="s">
        <v>113</v>
      </c>
      <c r="C2969" t="s">
        <v>2821</v>
      </c>
      <c r="D2969">
        <v>1</v>
      </c>
      <c r="E2969" s="273">
        <v>4</v>
      </c>
      <c r="F2969" s="273" t="s">
        <v>7</v>
      </c>
      <c r="G2969" s="273" t="s">
        <v>11</v>
      </c>
      <c r="H2969" s="273" t="s">
        <v>11</v>
      </c>
    </row>
    <row r="2970" spans="1:8" x14ac:dyDescent="0.25">
      <c r="A2970" t="s">
        <v>59</v>
      </c>
      <c r="B2970" t="s">
        <v>113</v>
      </c>
      <c r="C2970" t="s">
        <v>1941</v>
      </c>
      <c r="D2970">
        <v>3</v>
      </c>
      <c r="E2970" s="273">
        <v>4</v>
      </c>
      <c r="F2970" s="273" t="s">
        <v>7</v>
      </c>
      <c r="G2970" s="273" t="s">
        <v>11</v>
      </c>
      <c r="H2970" s="273" t="s">
        <v>11</v>
      </c>
    </row>
    <row r="2971" spans="1:8" x14ac:dyDescent="0.25">
      <c r="A2971" t="s">
        <v>59</v>
      </c>
      <c r="B2971" t="s">
        <v>113</v>
      </c>
      <c r="C2971" t="s">
        <v>2822</v>
      </c>
      <c r="D2971">
        <v>1</v>
      </c>
      <c r="E2971" s="273">
        <v>4</v>
      </c>
      <c r="F2971" s="273" t="s">
        <v>7</v>
      </c>
      <c r="G2971" s="273" t="s">
        <v>11</v>
      </c>
      <c r="H2971" s="273" t="s">
        <v>11</v>
      </c>
    </row>
    <row r="2972" spans="1:8" x14ac:dyDescent="0.25">
      <c r="A2972" t="s">
        <v>59</v>
      </c>
      <c r="B2972" t="s">
        <v>113</v>
      </c>
      <c r="C2972" t="s">
        <v>2823</v>
      </c>
      <c r="D2972">
        <v>1</v>
      </c>
      <c r="E2972" s="273">
        <v>4</v>
      </c>
      <c r="F2972" s="273" t="s">
        <v>7</v>
      </c>
      <c r="G2972" s="273" t="s">
        <v>11</v>
      </c>
      <c r="H2972" s="273" t="s">
        <v>11</v>
      </c>
    </row>
    <row r="2973" spans="1:8" x14ac:dyDescent="0.25">
      <c r="A2973" t="s">
        <v>59</v>
      </c>
      <c r="B2973" t="s">
        <v>113</v>
      </c>
      <c r="C2973" t="s">
        <v>2824</v>
      </c>
      <c r="D2973">
        <v>1</v>
      </c>
      <c r="E2973" s="273">
        <v>4</v>
      </c>
      <c r="F2973" s="273" t="s">
        <v>7</v>
      </c>
      <c r="G2973" s="273" t="s">
        <v>11</v>
      </c>
      <c r="H2973" s="273" t="s">
        <v>11</v>
      </c>
    </row>
    <row r="2974" spans="1:8" x14ac:dyDescent="0.25">
      <c r="A2974" t="s">
        <v>59</v>
      </c>
      <c r="B2974" t="s">
        <v>113</v>
      </c>
      <c r="C2974" t="s">
        <v>2825</v>
      </c>
      <c r="D2974">
        <v>2</v>
      </c>
      <c r="E2974" s="273">
        <v>4</v>
      </c>
      <c r="F2974" s="273" t="s">
        <v>7</v>
      </c>
      <c r="G2974" s="273" t="s">
        <v>11</v>
      </c>
      <c r="H2974" s="273" t="s">
        <v>11</v>
      </c>
    </row>
    <row r="2975" spans="1:8" x14ac:dyDescent="0.25">
      <c r="A2975" t="s">
        <v>59</v>
      </c>
      <c r="B2975" t="s">
        <v>113</v>
      </c>
      <c r="C2975" t="s">
        <v>1497</v>
      </c>
      <c r="D2975">
        <v>2</v>
      </c>
      <c r="E2975" s="273">
        <v>4</v>
      </c>
      <c r="F2975" s="273" t="s">
        <v>7</v>
      </c>
      <c r="G2975" s="273" t="s">
        <v>11</v>
      </c>
      <c r="H2975" s="273" t="s">
        <v>11</v>
      </c>
    </row>
    <row r="2976" spans="1:8" x14ac:dyDescent="0.25">
      <c r="A2976" t="s">
        <v>59</v>
      </c>
      <c r="B2976" t="s">
        <v>113</v>
      </c>
      <c r="C2976" t="s">
        <v>2826</v>
      </c>
      <c r="D2976">
        <v>1</v>
      </c>
      <c r="E2976" s="273">
        <v>4</v>
      </c>
      <c r="F2976" s="273" t="s">
        <v>7</v>
      </c>
      <c r="G2976" s="273" t="s">
        <v>11</v>
      </c>
      <c r="H2976" s="273" t="s">
        <v>11</v>
      </c>
    </row>
    <row r="2977" spans="1:8" x14ac:dyDescent="0.25">
      <c r="A2977" t="s">
        <v>59</v>
      </c>
      <c r="B2977" t="s">
        <v>113</v>
      </c>
      <c r="C2977" t="s">
        <v>1143</v>
      </c>
      <c r="D2977">
        <v>2</v>
      </c>
      <c r="E2977" s="273">
        <v>4</v>
      </c>
      <c r="F2977" s="273" t="s">
        <v>7</v>
      </c>
      <c r="G2977" s="273" t="s">
        <v>11</v>
      </c>
      <c r="H2977" s="273" t="s">
        <v>11</v>
      </c>
    </row>
    <row r="2978" spans="1:8" x14ac:dyDescent="0.25">
      <c r="A2978" t="s">
        <v>59</v>
      </c>
      <c r="B2978" t="s">
        <v>113</v>
      </c>
      <c r="C2978" t="s">
        <v>2827</v>
      </c>
      <c r="D2978">
        <v>2</v>
      </c>
      <c r="E2978" s="273">
        <v>4</v>
      </c>
      <c r="F2978" s="273" t="s">
        <v>7</v>
      </c>
      <c r="G2978" s="273" t="s">
        <v>11</v>
      </c>
      <c r="H2978" s="273" t="s">
        <v>11</v>
      </c>
    </row>
    <row r="2979" spans="1:8" x14ac:dyDescent="0.25">
      <c r="A2979" t="s">
        <v>59</v>
      </c>
      <c r="B2979" t="s">
        <v>113</v>
      </c>
      <c r="C2979" t="s">
        <v>1929</v>
      </c>
      <c r="D2979">
        <v>1</v>
      </c>
      <c r="E2979" s="273">
        <v>4</v>
      </c>
      <c r="F2979" s="273" t="s">
        <v>7</v>
      </c>
      <c r="G2979" s="273" t="s">
        <v>11</v>
      </c>
      <c r="H2979" s="273" t="s">
        <v>11</v>
      </c>
    </row>
    <row r="2980" spans="1:8" x14ac:dyDescent="0.25">
      <c r="A2980" t="s">
        <v>59</v>
      </c>
      <c r="B2980" t="s">
        <v>113</v>
      </c>
      <c r="C2980" t="s">
        <v>2828</v>
      </c>
      <c r="D2980">
        <v>1</v>
      </c>
      <c r="E2980" s="273">
        <v>4</v>
      </c>
      <c r="F2980" s="273" t="s">
        <v>7</v>
      </c>
      <c r="G2980" s="273" t="s">
        <v>11</v>
      </c>
      <c r="H2980" s="273" t="s">
        <v>11</v>
      </c>
    </row>
    <row r="2981" spans="1:8" x14ac:dyDescent="0.25">
      <c r="A2981" t="s">
        <v>59</v>
      </c>
      <c r="B2981" t="s">
        <v>113</v>
      </c>
      <c r="C2981" t="s">
        <v>2829</v>
      </c>
      <c r="D2981">
        <v>2</v>
      </c>
      <c r="E2981" s="273">
        <v>4</v>
      </c>
      <c r="F2981" s="273" t="s">
        <v>7</v>
      </c>
      <c r="G2981" s="273" t="s">
        <v>11</v>
      </c>
      <c r="H2981" s="273" t="s">
        <v>11</v>
      </c>
    </row>
    <row r="2982" spans="1:8" x14ac:dyDescent="0.25">
      <c r="A2982" t="s">
        <v>59</v>
      </c>
      <c r="B2982" t="s">
        <v>113</v>
      </c>
      <c r="C2982" t="s">
        <v>2598</v>
      </c>
      <c r="D2982">
        <v>1</v>
      </c>
      <c r="E2982" s="273">
        <v>4</v>
      </c>
      <c r="F2982" s="273" t="s">
        <v>7</v>
      </c>
      <c r="G2982" s="273" t="s">
        <v>11</v>
      </c>
      <c r="H2982" s="273" t="s">
        <v>11</v>
      </c>
    </row>
    <row r="2983" spans="1:8" x14ac:dyDescent="0.25">
      <c r="A2983" t="s">
        <v>59</v>
      </c>
      <c r="B2983" t="s">
        <v>113</v>
      </c>
      <c r="C2983" t="s">
        <v>2243</v>
      </c>
      <c r="D2983">
        <v>3</v>
      </c>
      <c r="E2983" s="273">
        <v>4</v>
      </c>
      <c r="F2983" s="273" t="s">
        <v>7</v>
      </c>
      <c r="G2983" s="273" t="s">
        <v>11</v>
      </c>
      <c r="H2983" s="273" t="s">
        <v>11</v>
      </c>
    </row>
    <row r="2984" spans="1:8" x14ac:dyDescent="0.25">
      <c r="A2984" t="s">
        <v>59</v>
      </c>
      <c r="B2984" t="s">
        <v>113</v>
      </c>
      <c r="C2984" t="s">
        <v>2830</v>
      </c>
      <c r="D2984">
        <v>1</v>
      </c>
      <c r="E2984" s="273">
        <v>4</v>
      </c>
      <c r="F2984" s="273" t="s">
        <v>7</v>
      </c>
      <c r="G2984" s="273" t="s">
        <v>11</v>
      </c>
      <c r="H2984" s="273" t="s">
        <v>11</v>
      </c>
    </row>
    <row r="2985" spans="1:8" x14ac:dyDescent="0.25">
      <c r="A2985" t="s">
        <v>59</v>
      </c>
      <c r="B2985" t="s">
        <v>113</v>
      </c>
      <c r="C2985" t="s">
        <v>1831</v>
      </c>
      <c r="D2985">
        <v>2</v>
      </c>
      <c r="E2985" s="273">
        <v>4</v>
      </c>
      <c r="F2985" s="273" t="s">
        <v>7</v>
      </c>
      <c r="G2985" s="273" t="s">
        <v>11</v>
      </c>
      <c r="H2985" s="273" t="s">
        <v>11</v>
      </c>
    </row>
    <row r="2986" spans="1:8" x14ac:dyDescent="0.25">
      <c r="A2986" t="s">
        <v>59</v>
      </c>
      <c r="B2986" t="s">
        <v>113</v>
      </c>
      <c r="C2986" t="s">
        <v>1145</v>
      </c>
      <c r="D2986">
        <v>2</v>
      </c>
      <c r="E2986" s="273">
        <v>4</v>
      </c>
      <c r="F2986" s="273" t="s">
        <v>7</v>
      </c>
      <c r="G2986" s="273" t="s">
        <v>11</v>
      </c>
      <c r="H2986" s="273" t="s">
        <v>11</v>
      </c>
    </row>
    <row r="2987" spans="1:8" x14ac:dyDescent="0.25">
      <c r="A2987" t="s">
        <v>59</v>
      </c>
      <c r="B2987" t="s">
        <v>113</v>
      </c>
      <c r="C2987" t="s">
        <v>2831</v>
      </c>
      <c r="D2987">
        <v>3</v>
      </c>
      <c r="E2987" s="273">
        <v>4</v>
      </c>
      <c r="F2987" s="273" t="s">
        <v>7</v>
      </c>
      <c r="G2987" s="273" t="s">
        <v>11</v>
      </c>
      <c r="H2987" s="273" t="s">
        <v>11</v>
      </c>
    </row>
    <row r="2988" spans="1:8" x14ac:dyDescent="0.25">
      <c r="A2988" t="s">
        <v>59</v>
      </c>
      <c r="B2988" t="s">
        <v>113</v>
      </c>
      <c r="C2988" t="s">
        <v>2332</v>
      </c>
      <c r="D2988">
        <v>2</v>
      </c>
      <c r="E2988" s="273">
        <v>4</v>
      </c>
      <c r="F2988" s="273" t="s">
        <v>7</v>
      </c>
      <c r="G2988" s="273" t="s">
        <v>11</v>
      </c>
      <c r="H2988" s="273" t="s">
        <v>11</v>
      </c>
    </row>
    <row r="2989" spans="1:8" x14ac:dyDescent="0.25">
      <c r="A2989" t="s">
        <v>59</v>
      </c>
      <c r="B2989" t="s">
        <v>113</v>
      </c>
      <c r="C2989" t="s">
        <v>2832</v>
      </c>
      <c r="D2989">
        <v>3</v>
      </c>
      <c r="E2989" s="273">
        <v>4</v>
      </c>
      <c r="F2989" s="273" t="s">
        <v>7</v>
      </c>
      <c r="G2989" s="273" t="s">
        <v>11</v>
      </c>
      <c r="H2989" s="273" t="s">
        <v>11</v>
      </c>
    </row>
    <row r="2990" spans="1:8" x14ac:dyDescent="0.25">
      <c r="A2990" t="s">
        <v>59</v>
      </c>
      <c r="B2990" t="s">
        <v>113</v>
      </c>
      <c r="C2990" t="s">
        <v>2833</v>
      </c>
      <c r="D2990">
        <v>3</v>
      </c>
      <c r="E2990" s="273">
        <v>4</v>
      </c>
      <c r="F2990" s="273" t="s">
        <v>7</v>
      </c>
      <c r="G2990" s="273" t="s">
        <v>11</v>
      </c>
      <c r="H2990" s="273" t="s">
        <v>11</v>
      </c>
    </row>
    <row r="2991" spans="1:8" x14ac:dyDescent="0.25">
      <c r="A2991" t="s">
        <v>59</v>
      </c>
      <c r="B2991" t="s">
        <v>113</v>
      </c>
      <c r="C2991" t="s">
        <v>2834</v>
      </c>
      <c r="D2991">
        <v>1</v>
      </c>
      <c r="E2991" s="273">
        <v>4</v>
      </c>
      <c r="F2991" s="273" t="s">
        <v>7</v>
      </c>
      <c r="G2991" s="273" t="s">
        <v>11</v>
      </c>
      <c r="H2991" s="273" t="s">
        <v>11</v>
      </c>
    </row>
    <row r="2992" spans="1:8" x14ac:dyDescent="0.25">
      <c r="A2992" t="s">
        <v>59</v>
      </c>
      <c r="B2992" t="s">
        <v>113</v>
      </c>
      <c r="C2992" t="s">
        <v>2835</v>
      </c>
      <c r="D2992">
        <v>3</v>
      </c>
      <c r="E2992" s="273">
        <v>4</v>
      </c>
      <c r="F2992" s="273" t="s">
        <v>7</v>
      </c>
      <c r="G2992" s="273" t="s">
        <v>11</v>
      </c>
      <c r="H2992" s="273" t="s">
        <v>11</v>
      </c>
    </row>
    <row r="2993" spans="1:8" x14ac:dyDescent="0.25">
      <c r="A2993" t="s">
        <v>59</v>
      </c>
      <c r="B2993" t="s">
        <v>113</v>
      </c>
      <c r="C2993" t="s">
        <v>1147</v>
      </c>
      <c r="D2993">
        <v>1</v>
      </c>
      <c r="E2993" s="273">
        <v>4</v>
      </c>
      <c r="F2993" s="273" t="s">
        <v>7</v>
      </c>
      <c r="G2993" s="273" t="s">
        <v>11</v>
      </c>
      <c r="H2993" s="273" t="s">
        <v>11</v>
      </c>
    </row>
    <row r="2994" spans="1:8" x14ac:dyDescent="0.25">
      <c r="A2994" t="s">
        <v>59</v>
      </c>
      <c r="B2994" t="s">
        <v>113</v>
      </c>
      <c r="C2994" t="s">
        <v>2414</v>
      </c>
      <c r="D2994">
        <v>1</v>
      </c>
      <c r="E2994" s="273">
        <v>4</v>
      </c>
      <c r="F2994" s="273" t="s">
        <v>7</v>
      </c>
      <c r="G2994" s="273" t="s">
        <v>11</v>
      </c>
      <c r="H2994" s="273" t="s">
        <v>11</v>
      </c>
    </row>
    <row r="2995" spans="1:8" x14ac:dyDescent="0.25">
      <c r="A2995" t="s">
        <v>59</v>
      </c>
      <c r="B2995" t="s">
        <v>113</v>
      </c>
      <c r="C2995" t="s">
        <v>2836</v>
      </c>
      <c r="D2995">
        <v>3</v>
      </c>
      <c r="E2995" s="273">
        <v>4</v>
      </c>
      <c r="F2995" s="273" t="s">
        <v>7</v>
      </c>
      <c r="G2995" s="273" t="s">
        <v>11</v>
      </c>
      <c r="H2995" s="273" t="s">
        <v>11</v>
      </c>
    </row>
    <row r="2996" spans="1:8" x14ac:dyDescent="0.25">
      <c r="A2996" t="s">
        <v>59</v>
      </c>
      <c r="B2996" t="s">
        <v>113</v>
      </c>
      <c r="C2996" t="s">
        <v>2837</v>
      </c>
      <c r="D2996">
        <v>3</v>
      </c>
      <c r="E2996" s="273">
        <v>4</v>
      </c>
      <c r="F2996" s="273" t="s">
        <v>7</v>
      </c>
      <c r="G2996" s="273" t="s">
        <v>11</v>
      </c>
      <c r="H2996" s="273" t="s">
        <v>11</v>
      </c>
    </row>
    <row r="2997" spans="1:8" x14ac:dyDescent="0.25">
      <c r="A2997" t="s">
        <v>59</v>
      </c>
      <c r="B2997" t="s">
        <v>113</v>
      </c>
      <c r="C2997" t="s">
        <v>2838</v>
      </c>
      <c r="D2997">
        <v>3</v>
      </c>
      <c r="E2997" s="273">
        <v>4</v>
      </c>
      <c r="F2997" s="273" t="s">
        <v>7</v>
      </c>
      <c r="G2997" s="273" t="s">
        <v>11</v>
      </c>
      <c r="H2997" s="273" t="s">
        <v>11</v>
      </c>
    </row>
    <row r="2998" spans="1:8" x14ac:dyDescent="0.25">
      <c r="A2998" t="s">
        <v>59</v>
      </c>
      <c r="B2998" t="s">
        <v>113</v>
      </c>
      <c r="C2998" t="s">
        <v>2839</v>
      </c>
      <c r="D2998">
        <v>3</v>
      </c>
      <c r="E2998" s="273">
        <v>4</v>
      </c>
      <c r="F2998" s="273" t="s">
        <v>7</v>
      </c>
      <c r="G2998" s="273" t="s">
        <v>11</v>
      </c>
      <c r="H2998" s="273" t="s">
        <v>11</v>
      </c>
    </row>
    <row r="2999" spans="1:8" x14ac:dyDescent="0.25">
      <c r="A2999" t="s">
        <v>59</v>
      </c>
      <c r="B2999" t="s">
        <v>113</v>
      </c>
      <c r="C2999" t="s">
        <v>2840</v>
      </c>
      <c r="D2999">
        <v>3</v>
      </c>
      <c r="E2999" s="273">
        <v>4</v>
      </c>
      <c r="F2999" s="273" t="s">
        <v>7</v>
      </c>
      <c r="G2999" s="273" t="s">
        <v>11</v>
      </c>
      <c r="H2999" s="273" t="s">
        <v>11</v>
      </c>
    </row>
    <row r="3000" spans="1:8" x14ac:dyDescent="0.25">
      <c r="A3000" t="s">
        <v>59</v>
      </c>
      <c r="B3000" t="s">
        <v>113</v>
      </c>
      <c r="C3000" t="s">
        <v>2841</v>
      </c>
      <c r="D3000">
        <v>3</v>
      </c>
      <c r="E3000" s="273">
        <v>4</v>
      </c>
      <c r="F3000" s="273" t="s">
        <v>7</v>
      </c>
      <c r="G3000" s="273" t="s">
        <v>11</v>
      </c>
      <c r="H3000" s="273" t="s">
        <v>11</v>
      </c>
    </row>
    <row r="3001" spans="1:8" x14ac:dyDescent="0.25">
      <c r="A3001" t="s">
        <v>59</v>
      </c>
      <c r="B3001" t="s">
        <v>113</v>
      </c>
      <c r="C3001" t="s">
        <v>2206</v>
      </c>
      <c r="D3001">
        <v>3</v>
      </c>
      <c r="E3001" s="273">
        <v>4</v>
      </c>
      <c r="F3001" s="273" t="s">
        <v>7</v>
      </c>
      <c r="G3001" s="273" t="s">
        <v>11</v>
      </c>
      <c r="H3001" s="273" t="s">
        <v>11</v>
      </c>
    </row>
    <row r="3002" spans="1:8" x14ac:dyDescent="0.25">
      <c r="A3002" t="s">
        <v>59</v>
      </c>
      <c r="B3002" t="s">
        <v>113</v>
      </c>
      <c r="C3002" t="s">
        <v>1154</v>
      </c>
      <c r="D3002">
        <v>1</v>
      </c>
      <c r="E3002" s="273">
        <v>4</v>
      </c>
      <c r="F3002" s="273" t="s">
        <v>7</v>
      </c>
      <c r="G3002" s="273" t="s">
        <v>11</v>
      </c>
      <c r="H3002" s="273" t="s">
        <v>11</v>
      </c>
    </row>
    <row r="3003" spans="1:8" x14ac:dyDescent="0.25">
      <c r="A3003" t="s">
        <v>59</v>
      </c>
      <c r="B3003" t="s">
        <v>113</v>
      </c>
      <c r="C3003" t="s">
        <v>2842</v>
      </c>
      <c r="D3003">
        <v>1</v>
      </c>
      <c r="E3003" s="273">
        <v>4</v>
      </c>
      <c r="F3003" s="273" t="s">
        <v>7</v>
      </c>
      <c r="G3003" s="273" t="s">
        <v>11</v>
      </c>
      <c r="H3003" s="273" t="s">
        <v>11</v>
      </c>
    </row>
    <row r="3004" spans="1:8" x14ac:dyDescent="0.25">
      <c r="A3004" t="s">
        <v>59</v>
      </c>
      <c r="B3004" t="s">
        <v>113</v>
      </c>
      <c r="C3004" t="s">
        <v>2843</v>
      </c>
      <c r="D3004">
        <v>2</v>
      </c>
      <c r="E3004" s="273">
        <v>4</v>
      </c>
      <c r="F3004" s="273" t="s">
        <v>7</v>
      </c>
      <c r="G3004" s="273" t="s">
        <v>11</v>
      </c>
      <c r="H3004" s="273" t="s">
        <v>11</v>
      </c>
    </row>
    <row r="3005" spans="1:8" x14ac:dyDescent="0.25">
      <c r="A3005" t="s">
        <v>59</v>
      </c>
      <c r="B3005" t="s">
        <v>113</v>
      </c>
      <c r="C3005" t="s">
        <v>1719</v>
      </c>
      <c r="D3005">
        <v>1</v>
      </c>
      <c r="E3005" s="273">
        <v>4</v>
      </c>
      <c r="F3005" s="273" t="s">
        <v>7</v>
      </c>
      <c r="G3005" s="273" t="s">
        <v>11</v>
      </c>
      <c r="H3005" s="273" t="s">
        <v>11</v>
      </c>
    </row>
    <row r="3006" spans="1:8" x14ac:dyDescent="0.25">
      <c r="A3006" t="s">
        <v>59</v>
      </c>
      <c r="B3006" t="s">
        <v>113</v>
      </c>
      <c r="C3006" t="s">
        <v>2844</v>
      </c>
      <c r="D3006">
        <v>2</v>
      </c>
      <c r="E3006" s="273">
        <v>4</v>
      </c>
      <c r="F3006" s="273" t="s">
        <v>7</v>
      </c>
      <c r="G3006" s="273" t="s">
        <v>11</v>
      </c>
      <c r="H3006" s="273" t="s">
        <v>11</v>
      </c>
    </row>
    <row r="3007" spans="1:8" x14ac:dyDescent="0.25">
      <c r="A3007" t="s">
        <v>59</v>
      </c>
      <c r="B3007" t="s">
        <v>113</v>
      </c>
      <c r="C3007" t="s">
        <v>2845</v>
      </c>
      <c r="D3007">
        <v>2</v>
      </c>
      <c r="E3007" s="273">
        <v>4</v>
      </c>
      <c r="F3007" s="273" t="s">
        <v>7</v>
      </c>
      <c r="G3007" s="273" t="s">
        <v>11</v>
      </c>
      <c r="H3007" s="273" t="s">
        <v>11</v>
      </c>
    </row>
    <row r="3008" spans="1:8" x14ac:dyDescent="0.25">
      <c r="A3008" t="s">
        <v>59</v>
      </c>
      <c r="B3008" t="s">
        <v>113</v>
      </c>
      <c r="C3008" t="s">
        <v>1158</v>
      </c>
      <c r="D3008">
        <v>2</v>
      </c>
      <c r="E3008" s="273">
        <v>4</v>
      </c>
      <c r="F3008" s="273" t="s">
        <v>7</v>
      </c>
      <c r="G3008" s="273" t="s">
        <v>11</v>
      </c>
      <c r="H3008" s="273" t="s">
        <v>11</v>
      </c>
    </row>
    <row r="3009" spans="1:8" x14ac:dyDescent="0.25">
      <c r="A3009" t="s">
        <v>59</v>
      </c>
      <c r="B3009" t="s">
        <v>113</v>
      </c>
      <c r="C3009" t="s">
        <v>2846</v>
      </c>
      <c r="D3009">
        <v>2</v>
      </c>
      <c r="E3009" s="273">
        <v>4</v>
      </c>
      <c r="F3009" s="273" t="s">
        <v>7</v>
      </c>
      <c r="G3009" s="273" t="s">
        <v>11</v>
      </c>
      <c r="H3009" s="273" t="s">
        <v>11</v>
      </c>
    </row>
    <row r="3010" spans="1:8" x14ac:dyDescent="0.25">
      <c r="A3010" t="s">
        <v>59</v>
      </c>
      <c r="B3010" t="s">
        <v>113</v>
      </c>
      <c r="C3010" t="s">
        <v>2847</v>
      </c>
      <c r="D3010">
        <v>2</v>
      </c>
      <c r="E3010" s="273">
        <v>4</v>
      </c>
      <c r="F3010" s="273" t="s">
        <v>7</v>
      </c>
      <c r="G3010" s="273" t="s">
        <v>11</v>
      </c>
      <c r="H3010" s="273" t="s">
        <v>11</v>
      </c>
    </row>
    <row r="3011" spans="1:8" x14ac:dyDescent="0.25">
      <c r="A3011" t="s">
        <v>59</v>
      </c>
      <c r="B3011" t="s">
        <v>113</v>
      </c>
      <c r="C3011" t="s">
        <v>2848</v>
      </c>
      <c r="D3011">
        <v>1</v>
      </c>
      <c r="E3011" s="273">
        <v>4</v>
      </c>
      <c r="F3011" s="273" t="s">
        <v>7</v>
      </c>
      <c r="G3011" s="273" t="s">
        <v>11</v>
      </c>
      <c r="H3011" s="273" t="s">
        <v>11</v>
      </c>
    </row>
    <row r="3012" spans="1:8" x14ac:dyDescent="0.25">
      <c r="A3012" t="s">
        <v>59</v>
      </c>
      <c r="B3012" t="s">
        <v>113</v>
      </c>
      <c r="C3012" t="s">
        <v>2849</v>
      </c>
      <c r="D3012">
        <v>3</v>
      </c>
      <c r="E3012" s="273">
        <v>4</v>
      </c>
      <c r="F3012" s="273" t="s">
        <v>7</v>
      </c>
      <c r="G3012" s="273" t="s">
        <v>11</v>
      </c>
      <c r="H3012" s="273" t="s">
        <v>11</v>
      </c>
    </row>
    <row r="3013" spans="1:8" x14ac:dyDescent="0.25">
      <c r="A3013" t="s">
        <v>59</v>
      </c>
      <c r="B3013" t="s">
        <v>113</v>
      </c>
      <c r="C3013" t="s">
        <v>2342</v>
      </c>
      <c r="D3013">
        <v>2</v>
      </c>
      <c r="E3013" s="273">
        <v>4</v>
      </c>
      <c r="F3013" s="273" t="s">
        <v>7</v>
      </c>
      <c r="G3013" s="273" t="s">
        <v>11</v>
      </c>
      <c r="H3013" s="273" t="s">
        <v>11</v>
      </c>
    </row>
    <row r="3014" spans="1:8" x14ac:dyDescent="0.25">
      <c r="A3014" t="s">
        <v>59</v>
      </c>
      <c r="B3014" t="s">
        <v>113</v>
      </c>
      <c r="C3014" t="s">
        <v>1397</v>
      </c>
      <c r="D3014">
        <v>3</v>
      </c>
      <c r="E3014" s="273">
        <v>4</v>
      </c>
      <c r="F3014" s="273" t="s">
        <v>7</v>
      </c>
      <c r="G3014" s="273" t="s">
        <v>11</v>
      </c>
      <c r="H3014" s="273" t="s">
        <v>11</v>
      </c>
    </row>
    <row r="3015" spans="1:8" x14ac:dyDescent="0.25">
      <c r="A3015" t="s">
        <v>59</v>
      </c>
      <c r="B3015" t="s">
        <v>113</v>
      </c>
      <c r="C3015" t="s">
        <v>1164</v>
      </c>
      <c r="D3015">
        <v>1</v>
      </c>
      <c r="E3015" s="273">
        <v>4</v>
      </c>
      <c r="F3015" s="273" t="s">
        <v>7</v>
      </c>
      <c r="G3015" s="273" t="s">
        <v>11</v>
      </c>
      <c r="H3015" s="273" t="s">
        <v>11</v>
      </c>
    </row>
    <row r="3016" spans="1:8" x14ac:dyDescent="0.25">
      <c r="A3016" t="s">
        <v>59</v>
      </c>
      <c r="B3016" t="s">
        <v>113</v>
      </c>
      <c r="C3016" t="s">
        <v>1850</v>
      </c>
      <c r="D3016">
        <v>2</v>
      </c>
      <c r="E3016" s="273">
        <v>4</v>
      </c>
      <c r="F3016" s="273" t="s">
        <v>7</v>
      </c>
      <c r="G3016" s="273" t="s">
        <v>11</v>
      </c>
      <c r="H3016" s="273" t="s">
        <v>11</v>
      </c>
    </row>
    <row r="3017" spans="1:8" x14ac:dyDescent="0.25">
      <c r="A3017" t="s">
        <v>59</v>
      </c>
      <c r="B3017" t="s">
        <v>113</v>
      </c>
      <c r="C3017" t="s">
        <v>2850</v>
      </c>
      <c r="D3017">
        <v>3</v>
      </c>
      <c r="E3017" s="273">
        <v>4</v>
      </c>
      <c r="F3017" s="273" t="s">
        <v>7</v>
      </c>
      <c r="G3017" s="273" t="s">
        <v>11</v>
      </c>
      <c r="H3017" s="273" t="s">
        <v>11</v>
      </c>
    </row>
    <row r="3018" spans="1:8" x14ac:dyDescent="0.25">
      <c r="A3018" t="s">
        <v>59</v>
      </c>
      <c r="B3018" t="s">
        <v>113</v>
      </c>
      <c r="C3018" t="s">
        <v>2851</v>
      </c>
      <c r="D3018">
        <v>3</v>
      </c>
      <c r="E3018" s="273">
        <v>4</v>
      </c>
      <c r="F3018" s="273" t="s">
        <v>7</v>
      </c>
      <c r="G3018" s="273" t="s">
        <v>11</v>
      </c>
      <c r="H3018" s="273" t="s">
        <v>11</v>
      </c>
    </row>
    <row r="3019" spans="1:8" x14ac:dyDescent="0.25">
      <c r="A3019" t="s">
        <v>59</v>
      </c>
      <c r="B3019" t="s">
        <v>113</v>
      </c>
      <c r="C3019" t="s">
        <v>2852</v>
      </c>
      <c r="D3019">
        <v>3</v>
      </c>
      <c r="E3019" s="273">
        <v>4</v>
      </c>
      <c r="F3019" s="273" t="s">
        <v>7</v>
      </c>
      <c r="G3019" s="273" t="s">
        <v>11</v>
      </c>
      <c r="H3019" s="273" t="s">
        <v>11</v>
      </c>
    </row>
    <row r="3020" spans="1:8" x14ac:dyDescent="0.25">
      <c r="A3020" t="s">
        <v>59</v>
      </c>
      <c r="B3020" t="s">
        <v>113</v>
      </c>
      <c r="C3020" t="s">
        <v>2346</v>
      </c>
      <c r="D3020">
        <v>3</v>
      </c>
      <c r="E3020" s="273">
        <v>4</v>
      </c>
      <c r="F3020" s="273" t="s">
        <v>7</v>
      </c>
      <c r="G3020" s="273" t="s">
        <v>11</v>
      </c>
      <c r="H3020" s="273" t="s">
        <v>11</v>
      </c>
    </row>
    <row r="3021" spans="1:8" x14ac:dyDescent="0.25">
      <c r="A3021" t="s">
        <v>59</v>
      </c>
      <c r="B3021" t="s">
        <v>113</v>
      </c>
      <c r="C3021" t="s">
        <v>2516</v>
      </c>
      <c r="D3021">
        <v>3</v>
      </c>
      <c r="E3021" s="273">
        <v>4</v>
      </c>
      <c r="F3021" s="273" t="s">
        <v>7</v>
      </c>
      <c r="G3021" s="273" t="s">
        <v>11</v>
      </c>
      <c r="H3021" s="273" t="s">
        <v>11</v>
      </c>
    </row>
    <row r="3022" spans="1:8" x14ac:dyDescent="0.25">
      <c r="A3022" t="s">
        <v>59</v>
      </c>
      <c r="B3022" t="s">
        <v>113</v>
      </c>
      <c r="C3022" t="s">
        <v>2853</v>
      </c>
      <c r="D3022">
        <v>2</v>
      </c>
      <c r="E3022" s="273">
        <v>4</v>
      </c>
      <c r="F3022" s="273" t="s">
        <v>7</v>
      </c>
      <c r="G3022" s="273" t="s">
        <v>11</v>
      </c>
      <c r="H3022" s="273" t="s">
        <v>11</v>
      </c>
    </row>
    <row r="3023" spans="1:8" x14ac:dyDescent="0.25">
      <c r="A3023" t="s">
        <v>59</v>
      </c>
      <c r="B3023" t="s">
        <v>113</v>
      </c>
      <c r="C3023" t="s">
        <v>2854</v>
      </c>
      <c r="D3023">
        <v>1</v>
      </c>
      <c r="E3023" s="273">
        <v>4</v>
      </c>
      <c r="F3023" s="273" t="s">
        <v>7</v>
      </c>
      <c r="G3023" s="273" t="s">
        <v>11</v>
      </c>
      <c r="H3023" s="273" t="s">
        <v>11</v>
      </c>
    </row>
    <row r="3024" spans="1:8" x14ac:dyDescent="0.25">
      <c r="A3024" t="s">
        <v>59</v>
      </c>
      <c r="B3024" t="s">
        <v>113</v>
      </c>
      <c r="C3024" t="s">
        <v>1311</v>
      </c>
      <c r="D3024">
        <v>1</v>
      </c>
      <c r="E3024" s="273">
        <v>4</v>
      </c>
      <c r="F3024" s="273" t="s">
        <v>7</v>
      </c>
      <c r="G3024" s="273" t="s">
        <v>11</v>
      </c>
      <c r="H3024" s="273" t="s">
        <v>11</v>
      </c>
    </row>
    <row r="3025" spans="1:8" x14ac:dyDescent="0.25">
      <c r="A3025" t="s">
        <v>59</v>
      </c>
      <c r="B3025" t="s">
        <v>113</v>
      </c>
      <c r="C3025" t="s">
        <v>1727</v>
      </c>
      <c r="D3025">
        <v>1</v>
      </c>
      <c r="E3025" s="273">
        <v>4</v>
      </c>
      <c r="F3025" s="273" t="s">
        <v>7</v>
      </c>
      <c r="G3025" s="273" t="s">
        <v>11</v>
      </c>
      <c r="H3025" s="273" t="s">
        <v>11</v>
      </c>
    </row>
    <row r="3026" spans="1:8" x14ac:dyDescent="0.25">
      <c r="A3026" t="s">
        <v>59</v>
      </c>
      <c r="B3026" t="s">
        <v>113</v>
      </c>
      <c r="C3026" t="s">
        <v>2855</v>
      </c>
      <c r="D3026">
        <v>1</v>
      </c>
      <c r="E3026" s="273">
        <v>4</v>
      </c>
      <c r="F3026" s="273" t="s">
        <v>7</v>
      </c>
      <c r="G3026" s="273" t="s">
        <v>11</v>
      </c>
      <c r="H3026" s="273" t="s">
        <v>11</v>
      </c>
    </row>
    <row r="3027" spans="1:8" x14ac:dyDescent="0.25">
      <c r="A3027" t="s">
        <v>59</v>
      </c>
      <c r="B3027" t="s">
        <v>113</v>
      </c>
      <c r="C3027" t="s">
        <v>2856</v>
      </c>
      <c r="D3027">
        <v>3</v>
      </c>
      <c r="E3027" s="273">
        <v>4</v>
      </c>
      <c r="F3027" s="273" t="s">
        <v>7</v>
      </c>
      <c r="G3027" s="273" t="s">
        <v>11</v>
      </c>
      <c r="H3027" s="273" t="s">
        <v>11</v>
      </c>
    </row>
    <row r="3028" spans="1:8" x14ac:dyDescent="0.25">
      <c r="A3028" t="s">
        <v>59</v>
      </c>
      <c r="B3028" t="s">
        <v>113</v>
      </c>
      <c r="C3028" t="s">
        <v>2857</v>
      </c>
      <c r="D3028">
        <v>1</v>
      </c>
      <c r="E3028" s="273">
        <v>4</v>
      </c>
      <c r="F3028" s="273" t="s">
        <v>7</v>
      </c>
      <c r="G3028" s="273" t="s">
        <v>11</v>
      </c>
      <c r="H3028" s="273" t="s">
        <v>11</v>
      </c>
    </row>
    <row r="3029" spans="1:8" x14ac:dyDescent="0.25">
      <c r="A3029" t="s">
        <v>59</v>
      </c>
      <c r="B3029" t="s">
        <v>113</v>
      </c>
      <c r="C3029" t="s">
        <v>2858</v>
      </c>
      <c r="D3029">
        <v>3</v>
      </c>
      <c r="E3029" s="273">
        <v>4</v>
      </c>
      <c r="F3029" s="273" t="s">
        <v>7</v>
      </c>
      <c r="G3029" s="273" t="s">
        <v>11</v>
      </c>
      <c r="H3029" s="273" t="s">
        <v>11</v>
      </c>
    </row>
    <row r="3030" spans="1:8" x14ac:dyDescent="0.25">
      <c r="A3030" t="s">
        <v>59</v>
      </c>
      <c r="B3030" t="s">
        <v>113</v>
      </c>
      <c r="C3030" t="s">
        <v>2859</v>
      </c>
      <c r="D3030">
        <v>3</v>
      </c>
      <c r="E3030" s="273">
        <v>4</v>
      </c>
      <c r="F3030" s="273" t="s">
        <v>7</v>
      </c>
      <c r="G3030" s="273" t="s">
        <v>11</v>
      </c>
      <c r="H3030" s="273" t="s">
        <v>11</v>
      </c>
    </row>
    <row r="3031" spans="1:8" x14ac:dyDescent="0.25">
      <c r="A3031" t="s">
        <v>59</v>
      </c>
      <c r="B3031" t="s">
        <v>113</v>
      </c>
      <c r="C3031" t="s">
        <v>2860</v>
      </c>
      <c r="D3031">
        <v>1</v>
      </c>
      <c r="E3031" s="273">
        <v>4</v>
      </c>
      <c r="F3031" s="273" t="s">
        <v>7</v>
      </c>
      <c r="G3031" s="273" t="s">
        <v>11</v>
      </c>
      <c r="H3031" s="273" t="s">
        <v>11</v>
      </c>
    </row>
    <row r="3032" spans="1:8" x14ac:dyDescent="0.25">
      <c r="A3032" t="s">
        <v>59</v>
      </c>
      <c r="B3032" t="s">
        <v>113</v>
      </c>
      <c r="C3032" t="s">
        <v>2861</v>
      </c>
      <c r="D3032">
        <v>2</v>
      </c>
      <c r="E3032" s="273">
        <v>4</v>
      </c>
      <c r="F3032" s="273" t="s">
        <v>7</v>
      </c>
      <c r="G3032" s="273" t="s">
        <v>11</v>
      </c>
      <c r="H3032" s="273" t="s">
        <v>11</v>
      </c>
    </row>
    <row r="3033" spans="1:8" x14ac:dyDescent="0.25">
      <c r="A3033" t="s">
        <v>59</v>
      </c>
      <c r="B3033" t="s">
        <v>113</v>
      </c>
      <c r="C3033" t="s">
        <v>2862</v>
      </c>
      <c r="D3033">
        <v>3</v>
      </c>
      <c r="E3033" s="273">
        <v>4</v>
      </c>
      <c r="F3033" s="273" t="s">
        <v>7</v>
      </c>
      <c r="G3033" s="273" t="s">
        <v>11</v>
      </c>
      <c r="H3033" s="273" t="s">
        <v>11</v>
      </c>
    </row>
    <row r="3034" spans="1:8" x14ac:dyDescent="0.25">
      <c r="A3034" t="s">
        <v>59</v>
      </c>
      <c r="B3034" t="s">
        <v>113</v>
      </c>
      <c r="C3034" t="s">
        <v>2863</v>
      </c>
      <c r="D3034">
        <v>2</v>
      </c>
      <c r="E3034" s="273">
        <v>4</v>
      </c>
      <c r="F3034" s="273" t="s">
        <v>7</v>
      </c>
      <c r="G3034" s="273" t="s">
        <v>11</v>
      </c>
      <c r="H3034" s="273" t="s">
        <v>11</v>
      </c>
    </row>
    <row r="3035" spans="1:8" x14ac:dyDescent="0.25">
      <c r="A3035" t="s">
        <v>59</v>
      </c>
      <c r="B3035" t="s">
        <v>113</v>
      </c>
      <c r="C3035" t="s">
        <v>1269</v>
      </c>
      <c r="D3035">
        <v>1</v>
      </c>
      <c r="E3035" s="273">
        <v>4</v>
      </c>
      <c r="F3035" s="273" t="s">
        <v>7</v>
      </c>
      <c r="G3035" s="273" t="s">
        <v>11</v>
      </c>
      <c r="H3035" s="273" t="s">
        <v>11</v>
      </c>
    </row>
    <row r="3036" spans="1:8" x14ac:dyDescent="0.25">
      <c r="A3036" t="s">
        <v>59</v>
      </c>
      <c r="B3036" t="s">
        <v>113</v>
      </c>
      <c r="C3036" t="s">
        <v>2864</v>
      </c>
      <c r="D3036">
        <v>1</v>
      </c>
      <c r="E3036" s="273">
        <v>4</v>
      </c>
      <c r="F3036" s="273" t="s">
        <v>7</v>
      </c>
      <c r="G3036" s="273" t="s">
        <v>11</v>
      </c>
      <c r="H3036" s="273" t="s">
        <v>11</v>
      </c>
    </row>
    <row r="3037" spans="1:8" x14ac:dyDescent="0.25">
      <c r="A3037" t="s">
        <v>59</v>
      </c>
      <c r="B3037" t="s">
        <v>113</v>
      </c>
      <c r="C3037" t="s">
        <v>2865</v>
      </c>
      <c r="D3037">
        <v>2</v>
      </c>
      <c r="E3037" s="273">
        <v>4</v>
      </c>
      <c r="F3037" s="273" t="s">
        <v>7</v>
      </c>
      <c r="G3037" s="273" t="s">
        <v>11</v>
      </c>
      <c r="H3037" s="273" t="s">
        <v>11</v>
      </c>
    </row>
    <row r="3038" spans="1:8" x14ac:dyDescent="0.25">
      <c r="A3038" t="s">
        <v>59</v>
      </c>
      <c r="B3038" t="s">
        <v>113</v>
      </c>
      <c r="C3038" t="s">
        <v>1534</v>
      </c>
      <c r="D3038">
        <v>3</v>
      </c>
      <c r="E3038" s="273">
        <v>4</v>
      </c>
      <c r="F3038" s="273" t="s">
        <v>7</v>
      </c>
      <c r="G3038" s="273" t="s">
        <v>11</v>
      </c>
      <c r="H3038" s="273" t="s">
        <v>11</v>
      </c>
    </row>
    <row r="3039" spans="1:8" x14ac:dyDescent="0.25">
      <c r="A3039" t="s">
        <v>59</v>
      </c>
      <c r="B3039" t="s">
        <v>113</v>
      </c>
      <c r="C3039" t="s">
        <v>2866</v>
      </c>
      <c r="D3039">
        <v>3</v>
      </c>
      <c r="E3039" s="273">
        <v>4</v>
      </c>
      <c r="F3039" s="273" t="s">
        <v>7</v>
      </c>
      <c r="G3039" s="273" t="s">
        <v>11</v>
      </c>
      <c r="H3039" s="273" t="s">
        <v>11</v>
      </c>
    </row>
    <row r="3040" spans="1:8" x14ac:dyDescent="0.25">
      <c r="A3040" t="s">
        <v>59</v>
      </c>
      <c r="B3040" t="s">
        <v>113</v>
      </c>
      <c r="C3040" t="s">
        <v>2867</v>
      </c>
      <c r="D3040">
        <v>1</v>
      </c>
      <c r="E3040" s="273">
        <v>4</v>
      </c>
      <c r="F3040" s="273" t="s">
        <v>7</v>
      </c>
      <c r="G3040" s="273" t="s">
        <v>11</v>
      </c>
      <c r="H3040" s="273" t="s">
        <v>11</v>
      </c>
    </row>
    <row r="3041" spans="1:8" x14ac:dyDescent="0.25">
      <c r="A3041" t="s">
        <v>59</v>
      </c>
      <c r="B3041" t="s">
        <v>113</v>
      </c>
      <c r="C3041" t="s">
        <v>2868</v>
      </c>
      <c r="D3041">
        <v>1</v>
      </c>
      <c r="E3041" s="273">
        <v>4</v>
      </c>
      <c r="F3041" s="273" t="s">
        <v>7</v>
      </c>
      <c r="G3041" s="273" t="s">
        <v>11</v>
      </c>
      <c r="H3041" s="273" t="s">
        <v>11</v>
      </c>
    </row>
    <row r="3042" spans="1:8" x14ac:dyDescent="0.25">
      <c r="A3042" t="s">
        <v>59</v>
      </c>
      <c r="B3042" t="s">
        <v>113</v>
      </c>
      <c r="C3042" t="s">
        <v>2869</v>
      </c>
      <c r="D3042">
        <v>1</v>
      </c>
      <c r="E3042" s="273">
        <v>4</v>
      </c>
      <c r="F3042" s="273" t="s">
        <v>7</v>
      </c>
      <c r="G3042" s="273" t="s">
        <v>11</v>
      </c>
      <c r="H3042" s="273" t="s">
        <v>11</v>
      </c>
    </row>
    <row r="3043" spans="1:8" x14ac:dyDescent="0.25">
      <c r="A3043" t="s">
        <v>59</v>
      </c>
      <c r="B3043" t="s">
        <v>113</v>
      </c>
      <c r="C3043" t="s">
        <v>2237</v>
      </c>
      <c r="D3043">
        <v>1</v>
      </c>
      <c r="E3043" s="273">
        <v>4</v>
      </c>
      <c r="F3043" s="273" t="s">
        <v>7</v>
      </c>
      <c r="G3043" s="273" t="s">
        <v>11</v>
      </c>
      <c r="H3043" s="273" t="s">
        <v>11</v>
      </c>
    </row>
    <row r="3044" spans="1:8" x14ac:dyDescent="0.25">
      <c r="A3044" t="s">
        <v>59</v>
      </c>
      <c r="B3044" t="s">
        <v>113</v>
      </c>
      <c r="C3044" t="s">
        <v>1170</v>
      </c>
      <c r="D3044">
        <v>1</v>
      </c>
      <c r="E3044" s="273">
        <v>4</v>
      </c>
      <c r="F3044" s="273" t="s">
        <v>7</v>
      </c>
      <c r="G3044" s="273" t="s">
        <v>11</v>
      </c>
      <c r="H3044" s="273" t="s">
        <v>11</v>
      </c>
    </row>
    <row r="3045" spans="1:8" x14ac:dyDescent="0.25">
      <c r="A3045" t="s">
        <v>59</v>
      </c>
      <c r="B3045" t="s">
        <v>113</v>
      </c>
      <c r="C3045" t="s">
        <v>2249</v>
      </c>
      <c r="D3045">
        <v>1</v>
      </c>
      <c r="E3045" s="273">
        <v>4</v>
      </c>
      <c r="F3045" s="273" t="s">
        <v>7</v>
      </c>
      <c r="G3045" s="273" t="s">
        <v>11</v>
      </c>
      <c r="H3045" s="273" t="s">
        <v>11</v>
      </c>
    </row>
    <row r="3046" spans="1:8" x14ac:dyDescent="0.25">
      <c r="A3046" t="s">
        <v>59</v>
      </c>
      <c r="B3046" t="s">
        <v>113</v>
      </c>
      <c r="C3046" t="s">
        <v>1272</v>
      </c>
      <c r="D3046">
        <v>1</v>
      </c>
      <c r="E3046" s="273">
        <v>4</v>
      </c>
      <c r="F3046" s="273" t="s">
        <v>7</v>
      </c>
      <c r="G3046" s="273" t="s">
        <v>11</v>
      </c>
      <c r="H3046" s="273" t="s">
        <v>11</v>
      </c>
    </row>
    <row r="3047" spans="1:8" x14ac:dyDescent="0.25">
      <c r="A3047" t="s">
        <v>59</v>
      </c>
      <c r="B3047" t="s">
        <v>113</v>
      </c>
      <c r="C3047" t="s">
        <v>2870</v>
      </c>
      <c r="D3047">
        <v>1</v>
      </c>
      <c r="E3047" s="273">
        <v>4</v>
      </c>
      <c r="F3047" s="273" t="s">
        <v>7</v>
      </c>
      <c r="G3047" s="273" t="s">
        <v>11</v>
      </c>
      <c r="H3047" s="273" t="s">
        <v>11</v>
      </c>
    </row>
    <row r="3048" spans="1:8" x14ac:dyDescent="0.25">
      <c r="A3048" t="s">
        <v>59</v>
      </c>
      <c r="B3048" t="s">
        <v>113</v>
      </c>
      <c r="C3048" t="s">
        <v>2871</v>
      </c>
      <c r="D3048">
        <v>1</v>
      </c>
      <c r="E3048" s="273">
        <v>4</v>
      </c>
      <c r="F3048" s="273" t="s">
        <v>7</v>
      </c>
      <c r="G3048" s="273" t="s">
        <v>11</v>
      </c>
      <c r="H3048" s="273" t="s">
        <v>11</v>
      </c>
    </row>
    <row r="3049" spans="1:8" x14ac:dyDescent="0.25">
      <c r="A3049" t="s">
        <v>59</v>
      </c>
      <c r="B3049" t="s">
        <v>113</v>
      </c>
      <c r="C3049" t="s">
        <v>2872</v>
      </c>
      <c r="D3049">
        <v>3</v>
      </c>
      <c r="E3049" s="273">
        <v>4</v>
      </c>
      <c r="F3049" s="273" t="s">
        <v>7</v>
      </c>
      <c r="G3049" s="273" t="s">
        <v>11</v>
      </c>
      <c r="H3049" s="273" t="s">
        <v>11</v>
      </c>
    </row>
    <row r="3050" spans="1:8" x14ac:dyDescent="0.25">
      <c r="A3050" t="s">
        <v>59</v>
      </c>
      <c r="B3050" t="s">
        <v>113</v>
      </c>
      <c r="C3050" t="s">
        <v>2873</v>
      </c>
      <c r="D3050">
        <v>1</v>
      </c>
      <c r="E3050" s="273">
        <v>4</v>
      </c>
      <c r="F3050" s="273" t="s">
        <v>7</v>
      </c>
      <c r="G3050" s="273" t="s">
        <v>11</v>
      </c>
      <c r="H3050" s="273" t="s">
        <v>11</v>
      </c>
    </row>
    <row r="3051" spans="1:8" x14ac:dyDescent="0.25">
      <c r="A3051" t="s">
        <v>59</v>
      </c>
      <c r="B3051" t="s">
        <v>113</v>
      </c>
      <c r="C3051" t="s">
        <v>1798</v>
      </c>
      <c r="D3051">
        <v>1</v>
      </c>
      <c r="E3051" s="273">
        <v>4</v>
      </c>
      <c r="F3051" s="273" t="s">
        <v>7</v>
      </c>
      <c r="G3051" s="273" t="s">
        <v>11</v>
      </c>
      <c r="H3051" s="273" t="s">
        <v>11</v>
      </c>
    </row>
    <row r="3052" spans="1:8" x14ac:dyDescent="0.25">
      <c r="A3052" t="s">
        <v>59</v>
      </c>
      <c r="B3052" t="s">
        <v>113</v>
      </c>
      <c r="C3052" t="s">
        <v>2874</v>
      </c>
      <c r="D3052">
        <v>1</v>
      </c>
      <c r="E3052" s="273">
        <v>4</v>
      </c>
      <c r="F3052" s="273" t="s">
        <v>7</v>
      </c>
      <c r="G3052" s="273" t="s">
        <v>11</v>
      </c>
      <c r="H3052" s="273" t="s">
        <v>11</v>
      </c>
    </row>
    <row r="3053" spans="1:8" x14ac:dyDescent="0.25">
      <c r="A3053" t="s">
        <v>59</v>
      </c>
      <c r="B3053" t="s">
        <v>113</v>
      </c>
      <c r="C3053" t="s">
        <v>2875</v>
      </c>
      <c r="D3053">
        <v>3</v>
      </c>
      <c r="E3053" s="273">
        <v>4</v>
      </c>
      <c r="F3053" s="273" t="s">
        <v>7</v>
      </c>
      <c r="G3053" s="273" t="s">
        <v>11</v>
      </c>
      <c r="H3053" s="273" t="s">
        <v>11</v>
      </c>
    </row>
    <row r="3054" spans="1:8" x14ac:dyDescent="0.25">
      <c r="A3054" t="s">
        <v>59</v>
      </c>
      <c r="B3054" t="s">
        <v>113</v>
      </c>
      <c r="C3054" t="s">
        <v>2359</v>
      </c>
      <c r="D3054">
        <v>3</v>
      </c>
      <c r="E3054" s="273">
        <v>4</v>
      </c>
      <c r="F3054" s="273" t="s">
        <v>7</v>
      </c>
      <c r="G3054" s="273" t="s">
        <v>11</v>
      </c>
      <c r="H3054" s="273" t="s">
        <v>11</v>
      </c>
    </row>
    <row r="3055" spans="1:8" x14ac:dyDescent="0.25">
      <c r="A3055" t="s">
        <v>59</v>
      </c>
      <c r="B3055" t="s">
        <v>113</v>
      </c>
      <c r="C3055" t="s">
        <v>1404</v>
      </c>
      <c r="D3055">
        <v>3</v>
      </c>
      <c r="E3055" s="273">
        <v>4</v>
      </c>
      <c r="F3055" s="273" t="s">
        <v>7</v>
      </c>
      <c r="G3055" s="273" t="s">
        <v>11</v>
      </c>
      <c r="H3055" s="273" t="s">
        <v>11</v>
      </c>
    </row>
    <row r="3056" spans="1:8" x14ac:dyDescent="0.25">
      <c r="A3056" t="s">
        <v>59</v>
      </c>
      <c r="B3056" t="s">
        <v>113</v>
      </c>
      <c r="C3056" t="s">
        <v>1648</v>
      </c>
      <c r="D3056">
        <v>1</v>
      </c>
      <c r="E3056" s="273">
        <v>4</v>
      </c>
      <c r="F3056" s="273" t="s">
        <v>7</v>
      </c>
      <c r="G3056" s="273" t="s">
        <v>11</v>
      </c>
      <c r="H3056" s="273" t="s">
        <v>11</v>
      </c>
    </row>
    <row r="3057" spans="1:8" x14ac:dyDescent="0.25">
      <c r="A3057" t="s">
        <v>59</v>
      </c>
      <c r="B3057" t="s">
        <v>113</v>
      </c>
      <c r="C3057" t="s">
        <v>2876</v>
      </c>
      <c r="D3057">
        <v>3</v>
      </c>
      <c r="E3057" s="273">
        <v>4</v>
      </c>
      <c r="F3057" s="273" t="s">
        <v>7</v>
      </c>
      <c r="G3057" s="273" t="s">
        <v>11</v>
      </c>
      <c r="H3057" s="273" t="s">
        <v>11</v>
      </c>
    </row>
    <row r="3058" spans="1:8" x14ac:dyDescent="0.25">
      <c r="A3058" t="s">
        <v>59</v>
      </c>
      <c r="B3058" t="s">
        <v>113</v>
      </c>
      <c r="C3058" t="s">
        <v>1556</v>
      </c>
      <c r="D3058">
        <v>1</v>
      </c>
      <c r="E3058" s="273">
        <v>4</v>
      </c>
      <c r="F3058" s="273" t="s">
        <v>7</v>
      </c>
      <c r="G3058" s="273" t="s">
        <v>11</v>
      </c>
      <c r="H3058" s="273" t="s">
        <v>11</v>
      </c>
    </row>
    <row r="3059" spans="1:8" x14ac:dyDescent="0.25">
      <c r="A3059" t="s">
        <v>59</v>
      </c>
      <c r="B3059" t="s">
        <v>113</v>
      </c>
      <c r="C3059" t="s">
        <v>1178</v>
      </c>
      <c r="D3059">
        <v>1</v>
      </c>
      <c r="E3059" s="273">
        <v>4</v>
      </c>
      <c r="F3059" s="273" t="s">
        <v>7</v>
      </c>
      <c r="G3059" s="273" t="s">
        <v>11</v>
      </c>
      <c r="H3059" s="273" t="s">
        <v>11</v>
      </c>
    </row>
    <row r="3060" spans="1:8" x14ac:dyDescent="0.25">
      <c r="A3060" t="s">
        <v>59</v>
      </c>
      <c r="B3060" t="s">
        <v>113</v>
      </c>
      <c r="C3060" t="s">
        <v>2877</v>
      </c>
      <c r="D3060">
        <v>1</v>
      </c>
      <c r="E3060" s="273">
        <v>4</v>
      </c>
      <c r="F3060" s="273" t="s">
        <v>7</v>
      </c>
      <c r="G3060" s="273" t="s">
        <v>11</v>
      </c>
      <c r="H3060" s="273" t="s">
        <v>11</v>
      </c>
    </row>
    <row r="3061" spans="1:8" x14ac:dyDescent="0.25">
      <c r="A3061" t="s">
        <v>59</v>
      </c>
      <c r="B3061" t="s">
        <v>113</v>
      </c>
      <c r="C3061" t="s">
        <v>2523</v>
      </c>
      <c r="D3061">
        <v>3</v>
      </c>
      <c r="E3061" s="273">
        <v>4</v>
      </c>
      <c r="F3061" s="273" t="s">
        <v>7</v>
      </c>
      <c r="G3061" s="273" t="s">
        <v>11</v>
      </c>
      <c r="H3061" s="273" t="s">
        <v>11</v>
      </c>
    </row>
    <row r="3062" spans="1:8" x14ac:dyDescent="0.25">
      <c r="A3062" t="s">
        <v>59</v>
      </c>
      <c r="B3062" t="s">
        <v>113</v>
      </c>
      <c r="C3062" t="s">
        <v>2878</v>
      </c>
      <c r="D3062">
        <v>3</v>
      </c>
      <c r="E3062" s="273">
        <v>4</v>
      </c>
      <c r="F3062" s="273" t="s">
        <v>7</v>
      </c>
      <c r="G3062" s="273" t="s">
        <v>11</v>
      </c>
      <c r="H3062" s="273" t="s">
        <v>11</v>
      </c>
    </row>
    <row r="3063" spans="1:8" x14ac:dyDescent="0.25">
      <c r="A3063" t="s">
        <v>59</v>
      </c>
      <c r="B3063" t="s">
        <v>113</v>
      </c>
      <c r="C3063" t="s">
        <v>2879</v>
      </c>
      <c r="D3063">
        <v>1</v>
      </c>
      <c r="E3063" s="273">
        <v>4</v>
      </c>
      <c r="F3063" s="273" t="s">
        <v>7</v>
      </c>
      <c r="G3063" s="273" t="s">
        <v>11</v>
      </c>
      <c r="H3063" s="273" t="s">
        <v>11</v>
      </c>
    </row>
    <row r="3064" spans="1:8" x14ac:dyDescent="0.25">
      <c r="A3064" t="s">
        <v>59</v>
      </c>
      <c r="B3064" t="s">
        <v>113</v>
      </c>
      <c r="C3064" t="s">
        <v>2770</v>
      </c>
      <c r="D3064">
        <v>2</v>
      </c>
      <c r="E3064" s="273">
        <v>4</v>
      </c>
      <c r="F3064" s="273" t="s">
        <v>7</v>
      </c>
      <c r="G3064" s="273" t="s">
        <v>11</v>
      </c>
      <c r="H3064" s="273" t="s">
        <v>11</v>
      </c>
    </row>
    <row r="3065" spans="1:8" x14ac:dyDescent="0.25">
      <c r="A3065" t="s">
        <v>59</v>
      </c>
      <c r="B3065" t="s">
        <v>113</v>
      </c>
      <c r="C3065" t="s">
        <v>2880</v>
      </c>
      <c r="D3065">
        <v>1</v>
      </c>
      <c r="E3065" s="273">
        <v>4</v>
      </c>
      <c r="F3065" s="273" t="s">
        <v>7</v>
      </c>
      <c r="G3065" s="273" t="s">
        <v>11</v>
      </c>
      <c r="H3065" s="273" t="s">
        <v>11</v>
      </c>
    </row>
    <row r="3066" spans="1:8" x14ac:dyDescent="0.25">
      <c r="A3066" t="s">
        <v>59</v>
      </c>
      <c r="B3066" t="s">
        <v>113</v>
      </c>
      <c r="C3066" t="s">
        <v>1919</v>
      </c>
      <c r="D3066">
        <v>3</v>
      </c>
      <c r="E3066" s="273">
        <v>4</v>
      </c>
      <c r="F3066" s="273" t="s">
        <v>7</v>
      </c>
      <c r="G3066" s="273" t="s">
        <v>11</v>
      </c>
      <c r="H3066" s="273" t="s">
        <v>11</v>
      </c>
    </row>
    <row r="3067" spans="1:8" x14ac:dyDescent="0.25">
      <c r="A3067" t="s">
        <v>61</v>
      </c>
      <c r="B3067" t="s">
        <v>85</v>
      </c>
      <c r="C3067" t="s">
        <v>1339</v>
      </c>
      <c r="D3067">
        <v>2</v>
      </c>
      <c r="E3067" s="273">
        <v>5</v>
      </c>
      <c r="F3067" s="273" t="s">
        <v>75</v>
      </c>
      <c r="G3067" s="273" t="s">
        <v>11</v>
      </c>
      <c r="H3067" s="273" t="s">
        <v>11</v>
      </c>
    </row>
    <row r="3068" spans="1:8" x14ac:dyDescent="0.25">
      <c r="A3068" t="s">
        <v>61</v>
      </c>
      <c r="B3068" t="s">
        <v>85</v>
      </c>
      <c r="C3068" t="s">
        <v>2881</v>
      </c>
      <c r="D3068">
        <v>2</v>
      </c>
      <c r="E3068" s="273">
        <v>5</v>
      </c>
      <c r="F3068" s="273" t="s">
        <v>75</v>
      </c>
      <c r="G3068" s="273" t="s">
        <v>11</v>
      </c>
      <c r="H3068" s="273" t="s">
        <v>11</v>
      </c>
    </row>
    <row r="3069" spans="1:8" x14ac:dyDescent="0.25">
      <c r="A3069" t="s">
        <v>61</v>
      </c>
      <c r="B3069" t="s">
        <v>85</v>
      </c>
      <c r="C3069" t="s">
        <v>1229</v>
      </c>
      <c r="D3069">
        <v>2</v>
      </c>
      <c r="E3069" s="273">
        <v>5</v>
      </c>
      <c r="F3069" s="273" t="s">
        <v>75</v>
      </c>
      <c r="G3069" s="273" t="s">
        <v>11</v>
      </c>
      <c r="H3069" s="273" t="s">
        <v>11</v>
      </c>
    </row>
    <row r="3070" spans="1:8" x14ac:dyDescent="0.25">
      <c r="A3070" t="s">
        <v>61</v>
      </c>
      <c r="B3070" t="s">
        <v>85</v>
      </c>
      <c r="C3070" t="s">
        <v>2882</v>
      </c>
      <c r="D3070">
        <v>3</v>
      </c>
      <c r="E3070" s="273">
        <v>5</v>
      </c>
      <c r="F3070" s="273" t="s">
        <v>75</v>
      </c>
      <c r="G3070" s="273" t="s">
        <v>11</v>
      </c>
      <c r="H3070" s="273" t="s">
        <v>11</v>
      </c>
    </row>
    <row r="3071" spans="1:8" x14ac:dyDescent="0.25">
      <c r="A3071" t="s">
        <v>61</v>
      </c>
      <c r="B3071" t="s">
        <v>85</v>
      </c>
      <c r="C3071" t="s">
        <v>2883</v>
      </c>
      <c r="D3071">
        <v>3</v>
      </c>
      <c r="E3071" s="273">
        <v>4</v>
      </c>
      <c r="F3071" s="273" t="s">
        <v>105</v>
      </c>
      <c r="G3071" s="273" t="s">
        <v>11</v>
      </c>
      <c r="H3071" s="273" t="s">
        <v>11</v>
      </c>
    </row>
    <row r="3072" spans="1:8" x14ac:dyDescent="0.25">
      <c r="A3072" t="s">
        <v>61</v>
      </c>
      <c r="B3072" t="s">
        <v>85</v>
      </c>
      <c r="C3072" t="s">
        <v>1234</v>
      </c>
      <c r="D3072">
        <v>1</v>
      </c>
      <c r="E3072" s="273">
        <v>4</v>
      </c>
      <c r="F3072" s="273" t="s">
        <v>105</v>
      </c>
      <c r="G3072" s="273" t="s">
        <v>11</v>
      </c>
      <c r="H3072" s="273" t="s">
        <v>11</v>
      </c>
    </row>
    <row r="3073" spans="1:8" x14ac:dyDescent="0.25">
      <c r="A3073" t="s">
        <v>61</v>
      </c>
      <c r="B3073" t="s">
        <v>85</v>
      </c>
      <c r="C3073" t="s">
        <v>1236</v>
      </c>
      <c r="D3073">
        <v>2</v>
      </c>
      <c r="E3073" s="273">
        <v>5</v>
      </c>
      <c r="F3073" s="273" t="s">
        <v>75</v>
      </c>
      <c r="G3073" s="273" t="s">
        <v>11</v>
      </c>
      <c r="H3073" s="273" t="s">
        <v>11</v>
      </c>
    </row>
    <row r="3074" spans="1:8" x14ac:dyDescent="0.25">
      <c r="A3074" t="s">
        <v>61</v>
      </c>
      <c r="B3074" t="s">
        <v>85</v>
      </c>
      <c r="C3074" t="s">
        <v>2884</v>
      </c>
      <c r="D3074">
        <v>3</v>
      </c>
      <c r="E3074" s="273">
        <v>4</v>
      </c>
      <c r="F3074" s="273" t="s">
        <v>105</v>
      </c>
      <c r="G3074" s="273" t="s">
        <v>11</v>
      </c>
      <c r="H3074" s="273" t="s">
        <v>11</v>
      </c>
    </row>
    <row r="3075" spans="1:8" x14ac:dyDescent="0.25">
      <c r="A3075" t="s">
        <v>61</v>
      </c>
      <c r="B3075" t="s">
        <v>85</v>
      </c>
      <c r="C3075" t="s">
        <v>1357</v>
      </c>
      <c r="D3075">
        <v>2</v>
      </c>
      <c r="E3075" s="273">
        <v>5</v>
      </c>
      <c r="F3075" s="273" t="s">
        <v>75</v>
      </c>
      <c r="G3075" s="273" t="s">
        <v>11</v>
      </c>
      <c r="H3075" s="273" t="s">
        <v>11</v>
      </c>
    </row>
    <row r="3076" spans="1:8" x14ac:dyDescent="0.25">
      <c r="A3076" t="s">
        <v>61</v>
      </c>
      <c r="B3076" t="s">
        <v>85</v>
      </c>
      <c r="C3076" t="s">
        <v>2885</v>
      </c>
      <c r="D3076">
        <v>1</v>
      </c>
      <c r="E3076" s="273">
        <v>6</v>
      </c>
      <c r="F3076" s="273" t="s">
        <v>75</v>
      </c>
      <c r="G3076" s="273" t="s">
        <v>11</v>
      </c>
      <c r="H3076" s="273" t="s">
        <v>11</v>
      </c>
    </row>
    <row r="3077" spans="1:8" x14ac:dyDescent="0.25">
      <c r="A3077" t="s">
        <v>61</v>
      </c>
      <c r="B3077" t="s">
        <v>85</v>
      </c>
      <c r="C3077" t="s">
        <v>1143</v>
      </c>
      <c r="D3077">
        <v>2</v>
      </c>
      <c r="E3077" s="273">
        <v>5</v>
      </c>
      <c r="F3077" s="273" t="s">
        <v>75</v>
      </c>
      <c r="G3077" s="273" t="s">
        <v>11</v>
      </c>
      <c r="H3077" s="273" t="s">
        <v>11</v>
      </c>
    </row>
    <row r="3078" spans="1:8" x14ac:dyDescent="0.25">
      <c r="A3078" t="s">
        <v>61</v>
      </c>
      <c r="B3078" t="s">
        <v>85</v>
      </c>
      <c r="C3078" t="s">
        <v>1362</v>
      </c>
      <c r="D3078">
        <v>2</v>
      </c>
      <c r="E3078" s="273">
        <v>5</v>
      </c>
      <c r="F3078" s="273" t="s">
        <v>75</v>
      </c>
      <c r="G3078" s="273" t="s">
        <v>11</v>
      </c>
      <c r="H3078" s="273" t="s">
        <v>11</v>
      </c>
    </row>
    <row r="3079" spans="1:8" x14ac:dyDescent="0.25">
      <c r="A3079" t="s">
        <v>61</v>
      </c>
      <c r="B3079" t="s">
        <v>85</v>
      </c>
      <c r="C3079" t="s">
        <v>1247</v>
      </c>
      <c r="D3079">
        <v>2</v>
      </c>
      <c r="E3079" s="273">
        <v>5</v>
      </c>
      <c r="F3079" s="273" t="s">
        <v>75</v>
      </c>
      <c r="G3079" s="273" t="s">
        <v>11</v>
      </c>
      <c r="H3079" s="273" t="s">
        <v>11</v>
      </c>
    </row>
    <row r="3080" spans="1:8" x14ac:dyDescent="0.25">
      <c r="A3080" t="s">
        <v>61</v>
      </c>
      <c r="B3080" t="s">
        <v>85</v>
      </c>
      <c r="C3080" t="s">
        <v>2886</v>
      </c>
      <c r="D3080">
        <v>3</v>
      </c>
      <c r="E3080" s="273">
        <v>4</v>
      </c>
      <c r="F3080" s="273" t="s">
        <v>105</v>
      </c>
      <c r="G3080" s="273" t="s">
        <v>11</v>
      </c>
      <c r="H3080" s="273" t="s">
        <v>11</v>
      </c>
    </row>
    <row r="3081" spans="1:8" x14ac:dyDescent="0.25">
      <c r="A3081" t="s">
        <v>61</v>
      </c>
      <c r="B3081" t="s">
        <v>85</v>
      </c>
      <c r="C3081" t="s">
        <v>2887</v>
      </c>
      <c r="D3081">
        <v>3</v>
      </c>
      <c r="E3081" s="273">
        <v>4</v>
      </c>
      <c r="F3081" s="273" t="s">
        <v>105</v>
      </c>
      <c r="G3081" s="273" t="s">
        <v>11</v>
      </c>
      <c r="H3081" s="273" t="s">
        <v>11</v>
      </c>
    </row>
    <row r="3082" spans="1:8" x14ac:dyDescent="0.25">
      <c r="A3082" t="s">
        <v>61</v>
      </c>
      <c r="B3082" t="s">
        <v>85</v>
      </c>
      <c r="C3082" t="s">
        <v>1150</v>
      </c>
      <c r="D3082">
        <v>3</v>
      </c>
      <c r="E3082" s="273">
        <v>4</v>
      </c>
      <c r="F3082" s="273" t="s">
        <v>105</v>
      </c>
      <c r="G3082" s="273" t="s">
        <v>11</v>
      </c>
      <c r="H3082" s="273" t="s">
        <v>11</v>
      </c>
    </row>
    <row r="3083" spans="1:8" x14ac:dyDescent="0.25">
      <c r="A3083" t="s">
        <v>61</v>
      </c>
      <c r="B3083" t="s">
        <v>85</v>
      </c>
      <c r="C3083" t="s">
        <v>2699</v>
      </c>
      <c r="D3083">
        <v>3</v>
      </c>
      <c r="E3083" s="273">
        <v>4</v>
      </c>
      <c r="F3083" s="273" t="s">
        <v>105</v>
      </c>
      <c r="G3083" s="273" t="s">
        <v>11</v>
      </c>
      <c r="H3083" s="273" t="s">
        <v>11</v>
      </c>
    </row>
    <row r="3084" spans="1:8" x14ac:dyDescent="0.25">
      <c r="A3084" t="s">
        <v>61</v>
      </c>
      <c r="B3084" t="s">
        <v>85</v>
      </c>
      <c r="C3084" t="s">
        <v>2888</v>
      </c>
      <c r="D3084">
        <v>3</v>
      </c>
      <c r="E3084" s="273">
        <v>4</v>
      </c>
      <c r="F3084" s="273" t="s">
        <v>105</v>
      </c>
      <c r="G3084" s="273" t="s">
        <v>11</v>
      </c>
      <c r="H3084" s="273" t="s">
        <v>11</v>
      </c>
    </row>
    <row r="3085" spans="1:8" x14ac:dyDescent="0.25">
      <c r="A3085" t="s">
        <v>61</v>
      </c>
      <c r="B3085" t="s">
        <v>85</v>
      </c>
      <c r="C3085" t="s">
        <v>2889</v>
      </c>
      <c r="D3085">
        <v>2</v>
      </c>
      <c r="E3085" s="273">
        <v>5</v>
      </c>
      <c r="F3085" s="273" t="s">
        <v>75</v>
      </c>
      <c r="G3085" s="273" t="s">
        <v>11</v>
      </c>
      <c r="H3085" s="273" t="s">
        <v>11</v>
      </c>
    </row>
    <row r="3086" spans="1:8" x14ac:dyDescent="0.25">
      <c r="A3086" t="s">
        <v>61</v>
      </c>
      <c r="B3086" t="s">
        <v>85</v>
      </c>
      <c r="C3086" t="s">
        <v>2890</v>
      </c>
      <c r="D3086">
        <v>2</v>
      </c>
      <c r="E3086" s="273">
        <v>5</v>
      </c>
      <c r="F3086" s="273" t="s">
        <v>75</v>
      </c>
      <c r="G3086" s="273" t="s">
        <v>11</v>
      </c>
      <c r="H3086" s="273" t="s">
        <v>11</v>
      </c>
    </row>
    <row r="3087" spans="1:8" x14ac:dyDescent="0.25">
      <c r="A3087" t="s">
        <v>61</v>
      </c>
      <c r="B3087" t="s">
        <v>85</v>
      </c>
      <c r="C3087" t="s">
        <v>1591</v>
      </c>
      <c r="D3087">
        <v>3</v>
      </c>
      <c r="E3087" s="273">
        <v>4</v>
      </c>
      <c r="F3087" s="273" t="s">
        <v>105</v>
      </c>
      <c r="G3087" s="273" t="s">
        <v>11</v>
      </c>
      <c r="H3087" s="273" t="s">
        <v>11</v>
      </c>
    </row>
    <row r="3088" spans="1:8" x14ac:dyDescent="0.25">
      <c r="A3088" t="s">
        <v>61</v>
      </c>
      <c r="B3088" t="s">
        <v>85</v>
      </c>
      <c r="C3088" t="s">
        <v>1255</v>
      </c>
      <c r="D3088">
        <v>2</v>
      </c>
      <c r="E3088" s="273">
        <v>5</v>
      </c>
      <c r="F3088" s="273" t="s">
        <v>75</v>
      </c>
      <c r="G3088" s="273" t="s">
        <v>11</v>
      </c>
      <c r="H3088" s="273" t="s">
        <v>11</v>
      </c>
    </row>
    <row r="3089" spans="1:8" x14ac:dyDescent="0.25">
      <c r="A3089" t="s">
        <v>61</v>
      </c>
      <c r="B3089" t="s">
        <v>85</v>
      </c>
      <c r="C3089" t="s">
        <v>1631</v>
      </c>
      <c r="D3089">
        <v>3</v>
      </c>
      <c r="E3089" s="273">
        <v>4</v>
      </c>
      <c r="F3089" s="273" t="s">
        <v>105</v>
      </c>
      <c r="G3089" s="273" t="s">
        <v>11</v>
      </c>
      <c r="H3089" s="273" t="s">
        <v>11</v>
      </c>
    </row>
    <row r="3090" spans="1:8" x14ac:dyDescent="0.25">
      <c r="A3090" t="s">
        <v>61</v>
      </c>
      <c r="B3090" t="s">
        <v>85</v>
      </c>
      <c r="C3090" t="s">
        <v>2891</v>
      </c>
      <c r="D3090">
        <v>1</v>
      </c>
      <c r="E3090" s="273">
        <v>6</v>
      </c>
      <c r="F3090" s="273" t="s">
        <v>75</v>
      </c>
      <c r="G3090" s="273" t="s">
        <v>11</v>
      </c>
      <c r="H3090" s="273" t="s">
        <v>11</v>
      </c>
    </row>
    <row r="3091" spans="1:8" x14ac:dyDescent="0.25">
      <c r="A3091" t="s">
        <v>61</v>
      </c>
      <c r="B3091" t="s">
        <v>85</v>
      </c>
      <c r="C3091" t="s">
        <v>2892</v>
      </c>
      <c r="D3091">
        <v>3</v>
      </c>
      <c r="E3091" s="273">
        <v>4</v>
      </c>
      <c r="F3091" s="273" t="s">
        <v>105</v>
      </c>
      <c r="G3091" s="273" t="s">
        <v>11</v>
      </c>
      <c r="H3091" s="273" t="s">
        <v>11</v>
      </c>
    </row>
    <row r="3092" spans="1:8" x14ac:dyDescent="0.25">
      <c r="A3092" t="s">
        <v>61</v>
      </c>
      <c r="B3092" t="s">
        <v>85</v>
      </c>
      <c r="C3092" t="s">
        <v>2893</v>
      </c>
      <c r="D3092">
        <v>1</v>
      </c>
      <c r="E3092" s="273">
        <v>6</v>
      </c>
      <c r="F3092" s="273" t="s">
        <v>75</v>
      </c>
      <c r="G3092" s="273" t="s">
        <v>11</v>
      </c>
      <c r="H3092" s="273" t="s">
        <v>11</v>
      </c>
    </row>
    <row r="3093" spans="1:8" x14ac:dyDescent="0.25">
      <c r="A3093" t="s">
        <v>61</v>
      </c>
      <c r="B3093" t="s">
        <v>85</v>
      </c>
      <c r="C3093" t="s">
        <v>1531</v>
      </c>
      <c r="D3093">
        <v>3</v>
      </c>
      <c r="E3093" s="273">
        <v>4</v>
      </c>
      <c r="F3093" s="273" t="s">
        <v>105</v>
      </c>
      <c r="G3093" s="273" t="s">
        <v>11</v>
      </c>
      <c r="H3093" s="273" t="s">
        <v>11</v>
      </c>
    </row>
    <row r="3094" spans="1:8" x14ac:dyDescent="0.25">
      <c r="A3094" t="s">
        <v>61</v>
      </c>
      <c r="B3094" t="s">
        <v>85</v>
      </c>
      <c r="C3094" t="s">
        <v>1388</v>
      </c>
      <c r="D3094">
        <v>3</v>
      </c>
      <c r="E3094" s="273">
        <v>4</v>
      </c>
      <c r="F3094" s="273" t="s">
        <v>105</v>
      </c>
      <c r="G3094" s="273" t="s">
        <v>11</v>
      </c>
      <c r="H3094" s="273" t="s">
        <v>11</v>
      </c>
    </row>
    <row r="3095" spans="1:8" x14ac:dyDescent="0.25">
      <c r="A3095" t="s">
        <v>61</v>
      </c>
      <c r="B3095" t="s">
        <v>85</v>
      </c>
      <c r="C3095" t="s">
        <v>2894</v>
      </c>
      <c r="D3095">
        <v>3</v>
      </c>
      <c r="E3095" s="273">
        <v>4</v>
      </c>
      <c r="F3095" s="273" t="s">
        <v>105</v>
      </c>
      <c r="G3095" s="273" t="s">
        <v>11</v>
      </c>
      <c r="H3095" s="273" t="s">
        <v>11</v>
      </c>
    </row>
    <row r="3096" spans="1:8" x14ac:dyDescent="0.25">
      <c r="A3096" t="s">
        <v>61</v>
      </c>
      <c r="B3096" t="s">
        <v>85</v>
      </c>
      <c r="C3096" t="s">
        <v>2895</v>
      </c>
      <c r="D3096">
        <v>1</v>
      </c>
      <c r="E3096" s="273">
        <v>5</v>
      </c>
      <c r="F3096" s="273" t="s">
        <v>75</v>
      </c>
      <c r="G3096" s="273" t="s">
        <v>11</v>
      </c>
      <c r="H3096" s="273" t="s">
        <v>11</v>
      </c>
    </row>
    <row r="3097" spans="1:8" x14ac:dyDescent="0.25">
      <c r="A3097" t="s">
        <v>61</v>
      </c>
      <c r="B3097" t="s">
        <v>85</v>
      </c>
      <c r="C3097" t="s">
        <v>2896</v>
      </c>
      <c r="D3097">
        <v>3</v>
      </c>
      <c r="E3097" s="273">
        <v>4</v>
      </c>
      <c r="F3097" s="273" t="s">
        <v>105</v>
      </c>
      <c r="G3097" s="273" t="s">
        <v>11</v>
      </c>
      <c r="H3097" s="273" t="s">
        <v>11</v>
      </c>
    </row>
    <row r="3098" spans="1:8" x14ac:dyDescent="0.25">
      <c r="A3098" t="s">
        <v>61</v>
      </c>
      <c r="B3098" t="s">
        <v>85</v>
      </c>
      <c r="C3098" t="s">
        <v>2897</v>
      </c>
      <c r="D3098">
        <v>1</v>
      </c>
      <c r="E3098" s="273">
        <v>5</v>
      </c>
      <c r="F3098" s="273" t="s">
        <v>75</v>
      </c>
      <c r="G3098" s="273" t="s">
        <v>11</v>
      </c>
      <c r="H3098" s="273" t="s">
        <v>11</v>
      </c>
    </row>
    <row r="3099" spans="1:8" x14ac:dyDescent="0.25">
      <c r="A3099" t="s">
        <v>61</v>
      </c>
      <c r="B3099" t="s">
        <v>85</v>
      </c>
      <c r="C3099" t="s">
        <v>1800</v>
      </c>
      <c r="D3099">
        <v>1</v>
      </c>
      <c r="E3099" s="273">
        <v>6</v>
      </c>
      <c r="F3099" s="273" t="s">
        <v>75</v>
      </c>
      <c r="G3099" s="273" t="s">
        <v>11</v>
      </c>
      <c r="H3099" s="273" t="s">
        <v>11</v>
      </c>
    </row>
    <row r="3100" spans="1:8" x14ac:dyDescent="0.25">
      <c r="A3100" t="s">
        <v>61</v>
      </c>
      <c r="B3100" t="s">
        <v>85</v>
      </c>
      <c r="C3100" t="s">
        <v>2220</v>
      </c>
      <c r="D3100">
        <v>3</v>
      </c>
      <c r="E3100" s="273">
        <v>4</v>
      </c>
      <c r="F3100" s="273" t="s">
        <v>105</v>
      </c>
      <c r="G3100" s="273" t="s">
        <v>11</v>
      </c>
      <c r="H3100" s="273" t="s">
        <v>11</v>
      </c>
    </row>
    <row r="3101" spans="1:8" x14ac:dyDescent="0.25">
      <c r="A3101" t="s">
        <v>61</v>
      </c>
      <c r="B3101" t="s">
        <v>85</v>
      </c>
      <c r="C3101" t="s">
        <v>2898</v>
      </c>
      <c r="D3101">
        <v>3</v>
      </c>
      <c r="E3101" s="273">
        <v>4</v>
      </c>
      <c r="F3101" s="273" t="s">
        <v>105</v>
      </c>
      <c r="G3101" s="273" t="s">
        <v>11</v>
      </c>
      <c r="H3101" s="273" t="s">
        <v>11</v>
      </c>
    </row>
    <row r="3102" spans="1:8" x14ac:dyDescent="0.25">
      <c r="A3102" t="s">
        <v>61</v>
      </c>
      <c r="B3102" t="s">
        <v>85</v>
      </c>
      <c r="C3102" t="s">
        <v>2899</v>
      </c>
      <c r="D3102">
        <v>2</v>
      </c>
      <c r="E3102" s="273">
        <v>5</v>
      </c>
      <c r="F3102" s="273" t="s">
        <v>75</v>
      </c>
      <c r="G3102" s="273" t="s">
        <v>11</v>
      </c>
      <c r="H3102" s="273" t="s">
        <v>11</v>
      </c>
    </row>
    <row r="3103" spans="1:8" x14ac:dyDescent="0.25">
      <c r="A3103" t="s">
        <v>61</v>
      </c>
      <c r="B3103" t="s">
        <v>85</v>
      </c>
      <c r="C3103" t="s">
        <v>2900</v>
      </c>
      <c r="D3103">
        <v>3</v>
      </c>
      <c r="E3103" s="273">
        <v>4</v>
      </c>
      <c r="F3103" s="273" t="s">
        <v>105</v>
      </c>
      <c r="G3103" s="273" t="s">
        <v>11</v>
      </c>
      <c r="H3103" s="273" t="s">
        <v>11</v>
      </c>
    </row>
    <row r="3104" spans="1:8" x14ac:dyDescent="0.25">
      <c r="A3104" t="s">
        <v>61</v>
      </c>
      <c r="B3104" t="s">
        <v>85</v>
      </c>
      <c r="C3104" t="s">
        <v>2901</v>
      </c>
      <c r="D3104">
        <v>2</v>
      </c>
      <c r="E3104" s="273">
        <v>5</v>
      </c>
      <c r="F3104" s="273" t="s">
        <v>75</v>
      </c>
      <c r="G3104" s="273" t="s">
        <v>11</v>
      </c>
      <c r="H3104" s="273" t="s">
        <v>11</v>
      </c>
    </row>
    <row r="3105" spans="1:8" x14ac:dyDescent="0.25">
      <c r="A3105" t="s">
        <v>61</v>
      </c>
      <c r="B3105" t="s">
        <v>85</v>
      </c>
      <c r="C3105" t="s">
        <v>2902</v>
      </c>
      <c r="D3105">
        <v>2</v>
      </c>
      <c r="E3105" s="273">
        <v>5</v>
      </c>
      <c r="F3105" s="273" t="s">
        <v>75</v>
      </c>
      <c r="G3105" s="273" t="s">
        <v>11</v>
      </c>
      <c r="H3105" s="273" t="s">
        <v>11</v>
      </c>
    </row>
    <row r="3106" spans="1:8" x14ac:dyDescent="0.25">
      <c r="A3106" t="s">
        <v>63</v>
      </c>
      <c r="B3106" t="s">
        <v>103</v>
      </c>
      <c r="C3106" t="s">
        <v>1116</v>
      </c>
      <c r="D3106">
        <v>2</v>
      </c>
      <c r="E3106" s="273">
        <v>5</v>
      </c>
      <c r="F3106" s="273" t="s">
        <v>7</v>
      </c>
      <c r="G3106" s="273" t="s">
        <v>11</v>
      </c>
      <c r="H3106" s="273" t="s">
        <v>11</v>
      </c>
    </row>
    <row r="3107" spans="1:8" x14ac:dyDescent="0.25">
      <c r="A3107" t="s">
        <v>63</v>
      </c>
      <c r="B3107" t="s">
        <v>103</v>
      </c>
      <c r="C3107" t="s">
        <v>2531</v>
      </c>
      <c r="D3107">
        <v>1</v>
      </c>
      <c r="E3107" s="273">
        <v>4</v>
      </c>
      <c r="F3107" s="273" t="s">
        <v>7</v>
      </c>
      <c r="G3107" s="273" t="s">
        <v>11</v>
      </c>
      <c r="H3107" s="273" t="s">
        <v>11</v>
      </c>
    </row>
    <row r="3108" spans="1:8" x14ac:dyDescent="0.25">
      <c r="A3108" t="s">
        <v>63</v>
      </c>
      <c r="B3108" t="s">
        <v>103</v>
      </c>
      <c r="C3108" t="s">
        <v>1230</v>
      </c>
      <c r="D3108">
        <v>3</v>
      </c>
      <c r="E3108" s="273">
        <v>4</v>
      </c>
      <c r="F3108" s="273" t="s">
        <v>7</v>
      </c>
      <c r="G3108" s="273" t="s">
        <v>11</v>
      </c>
      <c r="H3108" s="273" t="s">
        <v>11</v>
      </c>
    </row>
    <row r="3109" spans="1:8" x14ac:dyDescent="0.25">
      <c r="A3109" t="s">
        <v>63</v>
      </c>
      <c r="B3109" t="s">
        <v>103</v>
      </c>
      <c r="C3109" t="s">
        <v>2903</v>
      </c>
      <c r="D3109">
        <v>2</v>
      </c>
      <c r="E3109" s="273">
        <v>4</v>
      </c>
      <c r="F3109" s="273" t="s">
        <v>7</v>
      </c>
      <c r="G3109" s="273" t="s">
        <v>11</v>
      </c>
      <c r="H3109" s="273" t="s">
        <v>11</v>
      </c>
    </row>
    <row r="3110" spans="1:8" x14ac:dyDescent="0.25">
      <c r="A3110" t="s">
        <v>63</v>
      </c>
      <c r="B3110" t="s">
        <v>103</v>
      </c>
      <c r="C3110" t="s">
        <v>2904</v>
      </c>
      <c r="D3110">
        <v>1</v>
      </c>
      <c r="E3110" s="273">
        <v>5</v>
      </c>
      <c r="F3110" s="273" t="s">
        <v>7</v>
      </c>
      <c r="G3110" s="273" t="s">
        <v>11</v>
      </c>
      <c r="H3110" s="273" t="s">
        <v>11</v>
      </c>
    </row>
    <row r="3111" spans="1:8" x14ac:dyDescent="0.25">
      <c r="A3111" t="s">
        <v>63</v>
      </c>
      <c r="B3111" t="s">
        <v>103</v>
      </c>
      <c r="C3111" t="s">
        <v>2905</v>
      </c>
      <c r="D3111">
        <v>2</v>
      </c>
      <c r="E3111" s="273">
        <v>4</v>
      </c>
      <c r="F3111" s="273" t="s">
        <v>7</v>
      </c>
      <c r="G3111" s="273" t="s">
        <v>11</v>
      </c>
      <c r="H3111" s="273" t="s">
        <v>11</v>
      </c>
    </row>
    <row r="3112" spans="1:8" x14ac:dyDescent="0.25">
      <c r="A3112" t="s">
        <v>63</v>
      </c>
      <c r="B3112" t="s">
        <v>103</v>
      </c>
      <c r="C3112" t="s">
        <v>1121</v>
      </c>
      <c r="D3112">
        <v>2</v>
      </c>
      <c r="E3112" s="273">
        <v>4</v>
      </c>
      <c r="F3112" s="273" t="s">
        <v>7</v>
      </c>
      <c r="G3112" s="273" t="s">
        <v>11</v>
      </c>
      <c r="H3112" s="273" t="s">
        <v>11</v>
      </c>
    </row>
    <row r="3113" spans="1:8" x14ac:dyDescent="0.25">
      <c r="A3113" t="s">
        <v>63</v>
      </c>
      <c r="B3113" t="s">
        <v>103</v>
      </c>
      <c r="C3113" t="s">
        <v>1127</v>
      </c>
      <c r="D3113">
        <v>2</v>
      </c>
      <c r="E3113" s="273">
        <v>4</v>
      </c>
      <c r="F3113" s="273" t="s">
        <v>7</v>
      </c>
      <c r="G3113" s="273" t="s">
        <v>11</v>
      </c>
      <c r="H3113" s="273" t="s">
        <v>11</v>
      </c>
    </row>
    <row r="3114" spans="1:8" x14ac:dyDescent="0.25">
      <c r="A3114" t="s">
        <v>63</v>
      </c>
      <c r="B3114" t="s">
        <v>103</v>
      </c>
      <c r="C3114" t="s">
        <v>2906</v>
      </c>
      <c r="D3114">
        <v>2</v>
      </c>
      <c r="E3114" s="273">
        <v>5</v>
      </c>
      <c r="F3114" s="273" t="s">
        <v>7</v>
      </c>
      <c r="G3114" s="273" t="s">
        <v>11</v>
      </c>
      <c r="H3114" s="273" t="s">
        <v>11</v>
      </c>
    </row>
    <row r="3115" spans="1:8" x14ac:dyDescent="0.25">
      <c r="A3115" t="s">
        <v>63</v>
      </c>
      <c r="B3115" t="s">
        <v>103</v>
      </c>
      <c r="C3115" t="s">
        <v>1142</v>
      </c>
      <c r="D3115">
        <v>2</v>
      </c>
      <c r="E3115" s="273">
        <v>5</v>
      </c>
      <c r="F3115" s="273" t="s">
        <v>7</v>
      </c>
      <c r="G3115" s="273" t="s">
        <v>11</v>
      </c>
      <c r="H3115" s="273" t="s">
        <v>11</v>
      </c>
    </row>
    <row r="3116" spans="1:8" x14ac:dyDescent="0.25">
      <c r="A3116" t="s">
        <v>63</v>
      </c>
      <c r="B3116" t="s">
        <v>103</v>
      </c>
      <c r="C3116" t="s">
        <v>1499</v>
      </c>
      <c r="D3116">
        <v>2</v>
      </c>
      <c r="E3116" s="273">
        <v>4</v>
      </c>
      <c r="F3116" s="273" t="s">
        <v>7</v>
      </c>
      <c r="G3116" s="273" t="s">
        <v>11</v>
      </c>
      <c r="H3116" s="273" t="s">
        <v>11</v>
      </c>
    </row>
    <row r="3117" spans="1:8" x14ac:dyDescent="0.25">
      <c r="A3117" t="s">
        <v>63</v>
      </c>
      <c r="B3117" t="s">
        <v>103</v>
      </c>
      <c r="C3117" t="s">
        <v>1247</v>
      </c>
      <c r="D3117">
        <v>1</v>
      </c>
      <c r="E3117" s="273">
        <v>5</v>
      </c>
      <c r="F3117" s="273" t="s">
        <v>7</v>
      </c>
      <c r="G3117" s="273" t="s">
        <v>11</v>
      </c>
      <c r="H3117" s="273" t="s">
        <v>11</v>
      </c>
    </row>
    <row r="3118" spans="1:8" x14ac:dyDescent="0.25">
      <c r="A3118" t="s">
        <v>63</v>
      </c>
      <c r="B3118" t="s">
        <v>103</v>
      </c>
      <c r="C3118" t="s">
        <v>2907</v>
      </c>
      <c r="D3118">
        <v>1</v>
      </c>
      <c r="E3118" s="273">
        <v>5</v>
      </c>
      <c r="F3118" s="273" t="s">
        <v>7</v>
      </c>
      <c r="G3118" s="273" t="s">
        <v>11</v>
      </c>
      <c r="H3118" s="273" t="s">
        <v>11</v>
      </c>
    </row>
    <row r="3119" spans="1:8" x14ac:dyDescent="0.25">
      <c r="A3119" t="s">
        <v>63</v>
      </c>
      <c r="B3119" t="s">
        <v>103</v>
      </c>
      <c r="C3119" t="s">
        <v>1943</v>
      </c>
      <c r="D3119">
        <v>1</v>
      </c>
      <c r="E3119" s="273">
        <v>5</v>
      </c>
      <c r="F3119" s="273" t="s">
        <v>7</v>
      </c>
      <c r="G3119" s="273" t="s">
        <v>11</v>
      </c>
      <c r="H3119" s="273" t="s">
        <v>11</v>
      </c>
    </row>
    <row r="3120" spans="1:8" x14ac:dyDescent="0.25">
      <c r="A3120" t="s">
        <v>63</v>
      </c>
      <c r="B3120" t="s">
        <v>103</v>
      </c>
      <c r="C3120" t="s">
        <v>1507</v>
      </c>
      <c r="D3120">
        <v>1</v>
      </c>
      <c r="E3120" s="273">
        <v>5</v>
      </c>
      <c r="F3120" s="273" t="s">
        <v>7</v>
      </c>
      <c r="G3120" s="273" t="s">
        <v>11</v>
      </c>
      <c r="H3120" s="273" t="s">
        <v>11</v>
      </c>
    </row>
    <row r="3121" spans="1:8" x14ac:dyDescent="0.25">
      <c r="A3121" t="s">
        <v>63</v>
      </c>
      <c r="B3121" t="s">
        <v>103</v>
      </c>
      <c r="C3121" t="s">
        <v>2908</v>
      </c>
      <c r="D3121">
        <v>1</v>
      </c>
      <c r="E3121" s="273">
        <v>5</v>
      </c>
      <c r="F3121" s="273" t="s">
        <v>7</v>
      </c>
      <c r="G3121" s="273" t="s">
        <v>11</v>
      </c>
      <c r="H3121" s="273" t="s">
        <v>11</v>
      </c>
    </row>
    <row r="3122" spans="1:8" x14ac:dyDescent="0.25">
      <c r="A3122" t="s">
        <v>63</v>
      </c>
      <c r="B3122" t="s">
        <v>103</v>
      </c>
      <c r="C3122" t="s">
        <v>1666</v>
      </c>
      <c r="D3122">
        <v>2</v>
      </c>
      <c r="E3122" s="273">
        <v>5</v>
      </c>
      <c r="F3122" s="273" t="s">
        <v>7</v>
      </c>
      <c r="G3122" s="273" t="s">
        <v>11</v>
      </c>
      <c r="H3122" s="273" t="s">
        <v>11</v>
      </c>
    </row>
    <row r="3123" spans="1:8" x14ac:dyDescent="0.25">
      <c r="A3123" t="s">
        <v>63</v>
      </c>
      <c r="B3123" t="s">
        <v>103</v>
      </c>
      <c r="C3123" t="s">
        <v>1149</v>
      </c>
      <c r="D3123">
        <v>2</v>
      </c>
      <c r="E3123" s="273">
        <v>4</v>
      </c>
      <c r="F3123" s="273" t="s">
        <v>7</v>
      </c>
      <c r="G3123" s="273" t="s">
        <v>11</v>
      </c>
      <c r="H3123" s="273" t="s">
        <v>11</v>
      </c>
    </row>
    <row r="3124" spans="1:8" x14ac:dyDescent="0.25">
      <c r="A3124" t="s">
        <v>63</v>
      </c>
      <c r="B3124" t="s">
        <v>103</v>
      </c>
      <c r="C3124" t="s">
        <v>1150</v>
      </c>
      <c r="D3124">
        <v>1</v>
      </c>
      <c r="E3124" s="273">
        <v>4</v>
      </c>
      <c r="F3124" s="273" t="s">
        <v>7</v>
      </c>
      <c r="G3124" s="273" t="s">
        <v>11</v>
      </c>
      <c r="H3124" s="273" t="s">
        <v>11</v>
      </c>
    </row>
    <row r="3125" spans="1:8" x14ac:dyDescent="0.25">
      <c r="A3125" t="s">
        <v>63</v>
      </c>
      <c r="B3125" t="s">
        <v>103</v>
      </c>
      <c r="C3125" t="s">
        <v>2909</v>
      </c>
      <c r="D3125">
        <v>3</v>
      </c>
      <c r="E3125" s="273">
        <v>4</v>
      </c>
      <c r="F3125" s="273" t="s">
        <v>7</v>
      </c>
      <c r="G3125" s="273" t="s">
        <v>11</v>
      </c>
      <c r="H3125" s="273" t="s">
        <v>11</v>
      </c>
    </row>
    <row r="3126" spans="1:8" x14ac:dyDescent="0.25">
      <c r="A3126" t="s">
        <v>63</v>
      </c>
      <c r="B3126" t="s">
        <v>103</v>
      </c>
      <c r="C3126" t="s">
        <v>1591</v>
      </c>
      <c r="D3126">
        <v>2</v>
      </c>
      <c r="E3126" s="273">
        <v>5</v>
      </c>
      <c r="F3126" s="273" t="s">
        <v>7</v>
      </c>
      <c r="G3126" s="273" t="s">
        <v>11</v>
      </c>
      <c r="H3126" s="273" t="s">
        <v>11</v>
      </c>
    </row>
    <row r="3127" spans="1:8" x14ac:dyDescent="0.25">
      <c r="A3127" t="s">
        <v>63</v>
      </c>
      <c r="B3127" t="s">
        <v>103</v>
      </c>
      <c r="C3127" t="s">
        <v>1255</v>
      </c>
      <c r="D3127">
        <v>2</v>
      </c>
      <c r="E3127" s="273">
        <v>4</v>
      </c>
      <c r="F3127" s="273" t="s">
        <v>7</v>
      </c>
      <c r="G3127" s="273" t="s">
        <v>11</v>
      </c>
      <c r="H3127" s="273" t="s">
        <v>11</v>
      </c>
    </row>
    <row r="3128" spans="1:8" x14ac:dyDescent="0.25">
      <c r="A3128" t="s">
        <v>63</v>
      </c>
      <c r="B3128" t="s">
        <v>103</v>
      </c>
      <c r="C3128" t="s">
        <v>1257</v>
      </c>
      <c r="D3128">
        <v>3</v>
      </c>
      <c r="E3128" s="273">
        <v>4</v>
      </c>
      <c r="F3128" s="273" t="s">
        <v>7</v>
      </c>
      <c r="G3128" s="273" t="s">
        <v>11</v>
      </c>
      <c r="H3128" s="273" t="s">
        <v>11</v>
      </c>
    </row>
    <row r="3129" spans="1:8" x14ac:dyDescent="0.25">
      <c r="A3129" t="s">
        <v>63</v>
      </c>
      <c r="B3129" t="s">
        <v>103</v>
      </c>
      <c r="C3129" t="s">
        <v>1160</v>
      </c>
      <c r="D3129">
        <v>2</v>
      </c>
      <c r="E3129" s="273">
        <v>5</v>
      </c>
      <c r="F3129" s="273" t="s">
        <v>7</v>
      </c>
      <c r="G3129" s="273" t="s">
        <v>11</v>
      </c>
      <c r="H3129" s="273" t="s">
        <v>11</v>
      </c>
    </row>
    <row r="3130" spans="1:8" x14ac:dyDescent="0.25">
      <c r="A3130" t="s">
        <v>63</v>
      </c>
      <c r="B3130" t="s">
        <v>103</v>
      </c>
      <c r="C3130" t="s">
        <v>1161</v>
      </c>
      <c r="D3130">
        <v>1</v>
      </c>
      <c r="E3130" s="273">
        <v>5</v>
      </c>
      <c r="F3130" s="273" t="s">
        <v>7</v>
      </c>
      <c r="G3130" s="273" t="s">
        <v>11</v>
      </c>
      <c r="H3130" s="273" t="s">
        <v>11</v>
      </c>
    </row>
    <row r="3131" spans="1:8" x14ac:dyDescent="0.25">
      <c r="A3131" t="s">
        <v>63</v>
      </c>
      <c r="B3131" t="s">
        <v>103</v>
      </c>
      <c r="C3131" t="s">
        <v>1631</v>
      </c>
      <c r="D3131">
        <v>2</v>
      </c>
      <c r="E3131" s="273">
        <v>4</v>
      </c>
      <c r="F3131" s="273" t="s">
        <v>7</v>
      </c>
      <c r="G3131" s="273" t="s">
        <v>11</v>
      </c>
      <c r="H3131" s="273" t="s">
        <v>11</v>
      </c>
    </row>
    <row r="3132" spans="1:8" x14ac:dyDescent="0.25">
      <c r="A3132" t="s">
        <v>63</v>
      </c>
      <c r="B3132" t="s">
        <v>103</v>
      </c>
      <c r="C3132" t="s">
        <v>2341</v>
      </c>
      <c r="D3132">
        <v>3</v>
      </c>
      <c r="E3132" s="273">
        <v>4</v>
      </c>
      <c r="F3132" s="273" t="s">
        <v>7</v>
      </c>
      <c r="G3132" s="273" t="s">
        <v>11</v>
      </c>
      <c r="H3132" s="273" t="s">
        <v>11</v>
      </c>
    </row>
    <row r="3133" spans="1:8" x14ac:dyDescent="0.25">
      <c r="A3133" t="s">
        <v>63</v>
      </c>
      <c r="B3133" t="s">
        <v>103</v>
      </c>
      <c r="C3133" t="s">
        <v>1637</v>
      </c>
      <c r="D3133">
        <v>1</v>
      </c>
      <c r="E3133" s="273">
        <v>4</v>
      </c>
      <c r="F3133" s="273" t="s">
        <v>7</v>
      </c>
      <c r="G3133" s="273" t="s">
        <v>11</v>
      </c>
      <c r="H3133" s="273" t="s">
        <v>11</v>
      </c>
    </row>
    <row r="3134" spans="1:8" x14ac:dyDescent="0.25">
      <c r="A3134" t="s">
        <v>63</v>
      </c>
      <c r="B3134" t="s">
        <v>103</v>
      </c>
      <c r="C3134" t="s">
        <v>1374</v>
      </c>
      <c r="D3134">
        <v>1</v>
      </c>
      <c r="E3134" s="273">
        <v>5</v>
      </c>
      <c r="F3134" s="273" t="s">
        <v>7</v>
      </c>
      <c r="G3134" s="273" t="s">
        <v>11</v>
      </c>
      <c r="H3134" s="273" t="s">
        <v>11</v>
      </c>
    </row>
    <row r="3135" spans="1:8" x14ac:dyDescent="0.25">
      <c r="A3135" t="s">
        <v>63</v>
      </c>
      <c r="B3135" t="s">
        <v>103</v>
      </c>
      <c r="C3135" t="s">
        <v>2910</v>
      </c>
      <c r="D3135">
        <v>3</v>
      </c>
      <c r="E3135" s="273">
        <v>4</v>
      </c>
      <c r="F3135" s="273" t="s">
        <v>7</v>
      </c>
      <c r="G3135" s="273" t="s">
        <v>11</v>
      </c>
      <c r="H3135" s="273" t="s">
        <v>11</v>
      </c>
    </row>
    <row r="3136" spans="1:8" x14ac:dyDescent="0.25">
      <c r="A3136" t="s">
        <v>63</v>
      </c>
      <c r="B3136" t="s">
        <v>103</v>
      </c>
      <c r="C3136" t="s">
        <v>2911</v>
      </c>
      <c r="D3136">
        <v>1</v>
      </c>
      <c r="E3136" s="273">
        <v>5</v>
      </c>
      <c r="F3136" s="273" t="s">
        <v>7</v>
      </c>
      <c r="G3136" s="273" t="s">
        <v>11</v>
      </c>
      <c r="H3136" s="273" t="s">
        <v>11</v>
      </c>
    </row>
    <row r="3137" spans="1:8" x14ac:dyDescent="0.25">
      <c r="A3137" t="s">
        <v>63</v>
      </c>
      <c r="B3137" t="s">
        <v>103</v>
      </c>
      <c r="C3137" t="s">
        <v>1163</v>
      </c>
      <c r="D3137">
        <v>1</v>
      </c>
      <c r="E3137" s="273">
        <v>4</v>
      </c>
      <c r="F3137" s="273" t="s">
        <v>7</v>
      </c>
      <c r="G3137" s="273" t="s">
        <v>11</v>
      </c>
      <c r="H3137" s="273" t="s">
        <v>11</v>
      </c>
    </row>
    <row r="3138" spans="1:8" x14ac:dyDescent="0.25">
      <c r="A3138" t="s">
        <v>63</v>
      </c>
      <c r="B3138" t="s">
        <v>103</v>
      </c>
      <c r="C3138" t="s">
        <v>1165</v>
      </c>
      <c r="D3138">
        <v>1</v>
      </c>
      <c r="E3138" s="273">
        <v>4</v>
      </c>
      <c r="F3138" s="273" t="s">
        <v>7</v>
      </c>
      <c r="G3138" s="273" t="s">
        <v>11</v>
      </c>
      <c r="H3138" s="273" t="s">
        <v>11</v>
      </c>
    </row>
    <row r="3139" spans="1:8" x14ac:dyDescent="0.25">
      <c r="A3139" t="s">
        <v>63</v>
      </c>
      <c r="B3139" t="s">
        <v>103</v>
      </c>
      <c r="C3139" t="s">
        <v>1851</v>
      </c>
      <c r="D3139">
        <v>2</v>
      </c>
      <c r="E3139" s="273">
        <v>5</v>
      </c>
      <c r="F3139" s="273" t="s">
        <v>7</v>
      </c>
      <c r="G3139" s="273" t="s">
        <v>11</v>
      </c>
      <c r="H3139" s="273" t="s">
        <v>11</v>
      </c>
    </row>
    <row r="3140" spans="1:8" x14ac:dyDescent="0.25">
      <c r="A3140" t="s">
        <v>63</v>
      </c>
      <c r="B3140" t="s">
        <v>103</v>
      </c>
      <c r="C3140" t="s">
        <v>1676</v>
      </c>
      <c r="D3140">
        <v>1</v>
      </c>
      <c r="E3140" s="273">
        <v>5</v>
      </c>
      <c r="F3140" s="273" t="s">
        <v>7</v>
      </c>
      <c r="G3140" s="273" t="s">
        <v>11</v>
      </c>
      <c r="H3140" s="273" t="s">
        <v>11</v>
      </c>
    </row>
    <row r="3141" spans="1:8" x14ac:dyDescent="0.25">
      <c r="A3141" t="s">
        <v>63</v>
      </c>
      <c r="B3141" t="s">
        <v>103</v>
      </c>
      <c r="C3141" t="s">
        <v>1854</v>
      </c>
      <c r="D3141">
        <v>1</v>
      </c>
      <c r="E3141" s="273">
        <v>5</v>
      </c>
      <c r="F3141" s="273" t="s">
        <v>7</v>
      </c>
      <c r="G3141" s="273" t="s">
        <v>11</v>
      </c>
      <c r="H3141" s="273" t="s">
        <v>11</v>
      </c>
    </row>
    <row r="3142" spans="1:8" x14ac:dyDescent="0.25">
      <c r="A3142" t="s">
        <v>63</v>
      </c>
      <c r="B3142" t="s">
        <v>103</v>
      </c>
      <c r="C3142" t="s">
        <v>2912</v>
      </c>
      <c r="D3142">
        <v>2</v>
      </c>
      <c r="E3142" s="273">
        <v>4</v>
      </c>
      <c r="F3142" s="273" t="s">
        <v>7</v>
      </c>
      <c r="G3142" s="273" t="s">
        <v>11</v>
      </c>
      <c r="H3142" s="273" t="s">
        <v>11</v>
      </c>
    </row>
    <row r="3143" spans="1:8" x14ac:dyDescent="0.25">
      <c r="A3143" t="s">
        <v>63</v>
      </c>
      <c r="B3143" t="s">
        <v>103</v>
      </c>
      <c r="C3143" t="s">
        <v>1730</v>
      </c>
      <c r="D3143">
        <v>1</v>
      </c>
      <c r="E3143" s="273">
        <v>5</v>
      </c>
      <c r="F3143" s="273" t="s">
        <v>7</v>
      </c>
      <c r="G3143" s="273" t="s">
        <v>11</v>
      </c>
      <c r="H3143" s="273" t="s">
        <v>11</v>
      </c>
    </row>
    <row r="3144" spans="1:8" x14ac:dyDescent="0.25">
      <c r="A3144" t="s">
        <v>63</v>
      </c>
      <c r="B3144" t="s">
        <v>103</v>
      </c>
      <c r="C3144" t="s">
        <v>2913</v>
      </c>
      <c r="D3144">
        <v>1</v>
      </c>
      <c r="E3144" s="273">
        <v>5</v>
      </c>
      <c r="F3144" s="273" t="s">
        <v>7</v>
      </c>
      <c r="G3144" s="273" t="s">
        <v>11</v>
      </c>
      <c r="H3144" s="273" t="s">
        <v>11</v>
      </c>
    </row>
    <row r="3145" spans="1:8" x14ac:dyDescent="0.25">
      <c r="A3145" t="s">
        <v>63</v>
      </c>
      <c r="B3145" t="s">
        <v>103</v>
      </c>
      <c r="C3145" t="s">
        <v>1444</v>
      </c>
      <c r="D3145">
        <v>2</v>
      </c>
      <c r="E3145" s="273">
        <v>4</v>
      </c>
      <c r="F3145" s="273" t="s">
        <v>7</v>
      </c>
      <c r="G3145" s="273" t="s">
        <v>11</v>
      </c>
      <c r="H3145" s="273" t="s">
        <v>11</v>
      </c>
    </row>
    <row r="3146" spans="1:8" x14ac:dyDescent="0.25">
      <c r="A3146" t="s">
        <v>63</v>
      </c>
      <c r="B3146" t="s">
        <v>103</v>
      </c>
      <c r="C3146" t="s">
        <v>2914</v>
      </c>
      <c r="D3146">
        <v>2</v>
      </c>
      <c r="E3146" s="273">
        <v>5</v>
      </c>
      <c r="F3146" s="273" t="s">
        <v>7</v>
      </c>
      <c r="G3146" s="273" t="s">
        <v>11</v>
      </c>
      <c r="H3146" s="273" t="s">
        <v>11</v>
      </c>
    </row>
    <row r="3147" spans="1:8" x14ac:dyDescent="0.25">
      <c r="A3147" t="s">
        <v>63</v>
      </c>
      <c r="B3147" t="s">
        <v>103</v>
      </c>
      <c r="C3147" t="s">
        <v>1169</v>
      </c>
      <c r="D3147">
        <v>2</v>
      </c>
      <c r="E3147" s="273">
        <v>5</v>
      </c>
      <c r="F3147" s="273" t="s">
        <v>7</v>
      </c>
      <c r="G3147" s="273" t="s">
        <v>11</v>
      </c>
      <c r="H3147" s="273" t="s">
        <v>11</v>
      </c>
    </row>
    <row r="3148" spans="1:8" x14ac:dyDescent="0.25">
      <c r="A3148" t="s">
        <v>63</v>
      </c>
      <c r="B3148" t="s">
        <v>103</v>
      </c>
      <c r="C3148" t="s">
        <v>2915</v>
      </c>
      <c r="D3148">
        <v>2</v>
      </c>
      <c r="E3148" s="273">
        <v>4</v>
      </c>
      <c r="F3148" s="273" t="s">
        <v>7</v>
      </c>
      <c r="G3148" s="273" t="s">
        <v>11</v>
      </c>
      <c r="H3148" s="273" t="s">
        <v>11</v>
      </c>
    </row>
    <row r="3149" spans="1:8" x14ac:dyDescent="0.25">
      <c r="A3149" t="s">
        <v>63</v>
      </c>
      <c r="B3149" t="s">
        <v>103</v>
      </c>
      <c r="C3149" t="s">
        <v>2611</v>
      </c>
      <c r="D3149">
        <v>2</v>
      </c>
      <c r="E3149" s="273">
        <v>4</v>
      </c>
      <c r="F3149" s="273" t="s">
        <v>7</v>
      </c>
      <c r="G3149" s="273" t="s">
        <v>11</v>
      </c>
      <c r="H3149" s="273" t="s">
        <v>11</v>
      </c>
    </row>
    <row r="3150" spans="1:8" x14ac:dyDescent="0.25">
      <c r="A3150" t="s">
        <v>63</v>
      </c>
      <c r="B3150" t="s">
        <v>103</v>
      </c>
      <c r="C3150" t="s">
        <v>2916</v>
      </c>
      <c r="D3150">
        <v>1</v>
      </c>
      <c r="E3150" s="273">
        <v>5</v>
      </c>
      <c r="F3150" s="273" t="s">
        <v>7</v>
      </c>
      <c r="G3150" s="273" t="s">
        <v>11</v>
      </c>
      <c r="H3150" s="273" t="s">
        <v>11</v>
      </c>
    </row>
    <row r="3151" spans="1:8" x14ac:dyDescent="0.25">
      <c r="A3151" t="s">
        <v>63</v>
      </c>
      <c r="B3151" t="s">
        <v>103</v>
      </c>
      <c r="C3151" t="s">
        <v>1451</v>
      </c>
      <c r="D3151">
        <v>2</v>
      </c>
      <c r="E3151" s="273">
        <v>5</v>
      </c>
      <c r="F3151" s="273" t="s">
        <v>7</v>
      </c>
      <c r="G3151" s="273" t="s">
        <v>11</v>
      </c>
      <c r="H3151" s="273" t="s">
        <v>11</v>
      </c>
    </row>
    <row r="3152" spans="1:8" x14ac:dyDescent="0.25">
      <c r="A3152" t="s">
        <v>63</v>
      </c>
      <c r="B3152" t="s">
        <v>103</v>
      </c>
      <c r="C3152" t="s">
        <v>2917</v>
      </c>
      <c r="D3152">
        <v>2</v>
      </c>
      <c r="E3152" s="273">
        <v>5</v>
      </c>
      <c r="F3152" s="273" t="s">
        <v>7</v>
      </c>
      <c r="G3152" s="273" t="s">
        <v>11</v>
      </c>
      <c r="H3152" s="273" t="s">
        <v>11</v>
      </c>
    </row>
    <row r="3153" spans="1:8" x14ac:dyDescent="0.25">
      <c r="A3153" t="s">
        <v>63</v>
      </c>
      <c r="B3153" t="s">
        <v>103</v>
      </c>
      <c r="C3153" t="s">
        <v>2757</v>
      </c>
      <c r="D3153">
        <v>2</v>
      </c>
      <c r="E3153" s="273">
        <v>4</v>
      </c>
      <c r="F3153" s="273" t="s">
        <v>7</v>
      </c>
      <c r="G3153" s="273" t="s">
        <v>11</v>
      </c>
      <c r="H3153" s="273" t="s">
        <v>11</v>
      </c>
    </row>
    <row r="3154" spans="1:8" x14ac:dyDescent="0.25">
      <c r="A3154" t="s">
        <v>63</v>
      </c>
      <c r="B3154" t="s">
        <v>103</v>
      </c>
      <c r="C3154" t="s">
        <v>2758</v>
      </c>
      <c r="D3154">
        <v>2</v>
      </c>
      <c r="E3154" s="273">
        <v>5</v>
      </c>
      <c r="F3154" s="273" t="s">
        <v>7</v>
      </c>
      <c r="G3154" s="273" t="s">
        <v>11</v>
      </c>
      <c r="H3154" s="273" t="s">
        <v>11</v>
      </c>
    </row>
    <row r="3155" spans="1:8" x14ac:dyDescent="0.25">
      <c r="A3155" t="s">
        <v>63</v>
      </c>
      <c r="B3155" t="s">
        <v>103</v>
      </c>
      <c r="C3155" t="s">
        <v>1557</v>
      </c>
      <c r="D3155">
        <v>2</v>
      </c>
      <c r="E3155" s="273">
        <v>4</v>
      </c>
      <c r="F3155" s="273" t="s">
        <v>7</v>
      </c>
      <c r="G3155" s="273" t="s">
        <v>11</v>
      </c>
      <c r="H3155" s="273" t="s">
        <v>11</v>
      </c>
    </row>
    <row r="3156" spans="1:8" x14ac:dyDescent="0.25">
      <c r="A3156" t="s">
        <v>63</v>
      </c>
      <c r="B3156" t="s">
        <v>103</v>
      </c>
      <c r="C3156" t="s">
        <v>1558</v>
      </c>
      <c r="D3156">
        <v>2</v>
      </c>
      <c r="E3156" s="273">
        <v>5</v>
      </c>
      <c r="F3156" s="273" t="s">
        <v>7</v>
      </c>
      <c r="G3156" s="273" t="s">
        <v>11</v>
      </c>
      <c r="H3156" s="273" t="s">
        <v>11</v>
      </c>
    </row>
    <row r="3157" spans="1:8" x14ac:dyDescent="0.25">
      <c r="A3157" t="s">
        <v>63</v>
      </c>
      <c r="B3157" t="s">
        <v>103</v>
      </c>
      <c r="C3157" t="s">
        <v>2918</v>
      </c>
      <c r="D3157">
        <v>1</v>
      </c>
      <c r="E3157" s="273">
        <v>5</v>
      </c>
      <c r="F3157" s="273" t="s">
        <v>7</v>
      </c>
      <c r="G3157" s="273" t="s">
        <v>11</v>
      </c>
      <c r="H3157" s="273" t="s">
        <v>11</v>
      </c>
    </row>
    <row r="3158" spans="1:8" x14ac:dyDescent="0.25">
      <c r="A3158" t="s">
        <v>63</v>
      </c>
      <c r="B3158" t="s">
        <v>103</v>
      </c>
      <c r="C3158" t="s">
        <v>2919</v>
      </c>
      <c r="D3158">
        <v>2</v>
      </c>
      <c r="E3158" s="273">
        <v>4</v>
      </c>
      <c r="F3158" s="273" t="s">
        <v>7</v>
      </c>
      <c r="G3158" s="273" t="s">
        <v>11</v>
      </c>
      <c r="H3158" s="273" t="s">
        <v>11</v>
      </c>
    </row>
    <row r="3159" spans="1:8" x14ac:dyDescent="0.25">
      <c r="A3159" t="s">
        <v>63</v>
      </c>
      <c r="B3159" t="s">
        <v>103</v>
      </c>
      <c r="C3159" t="s">
        <v>2433</v>
      </c>
      <c r="D3159">
        <v>2</v>
      </c>
      <c r="E3159" s="273">
        <v>4</v>
      </c>
      <c r="F3159" s="273" t="s">
        <v>7</v>
      </c>
      <c r="G3159" s="273" t="s">
        <v>11</v>
      </c>
      <c r="H3159" s="273" t="s">
        <v>11</v>
      </c>
    </row>
    <row r="3160" spans="1:8" x14ac:dyDescent="0.25">
      <c r="A3160" t="s">
        <v>63</v>
      </c>
      <c r="B3160" t="s">
        <v>103</v>
      </c>
      <c r="C3160" t="s">
        <v>2302</v>
      </c>
      <c r="D3160">
        <v>3</v>
      </c>
      <c r="E3160" s="273">
        <v>4</v>
      </c>
      <c r="F3160" s="273" t="s">
        <v>7</v>
      </c>
      <c r="G3160" s="273" t="s">
        <v>11</v>
      </c>
      <c r="H3160" s="273" t="s">
        <v>11</v>
      </c>
    </row>
    <row r="3161" spans="1:8" x14ac:dyDescent="0.25">
      <c r="A3161" t="s">
        <v>62</v>
      </c>
      <c r="B3161" t="s">
        <v>72</v>
      </c>
      <c r="C3161" t="s">
        <v>1339</v>
      </c>
      <c r="D3161">
        <v>2</v>
      </c>
      <c r="E3161" s="273">
        <v>6</v>
      </c>
      <c r="F3161" s="273" t="s">
        <v>7</v>
      </c>
      <c r="G3161" s="273" t="s">
        <v>11</v>
      </c>
      <c r="H3161" s="273" t="s">
        <v>11</v>
      </c>
    </row>
    <row r="3162" spans="1:8" x14ac:dyDescent="0.25">
      <c r="A3162" t="s">
        <v>62</v>
      </c>
      <c r="B3162" t="s">
        <v>72</v>
      </c>
      <c r="C3162" t="s">
        <v>2400</v>
      </c>
      <c r="D3162">
        <v>2</v>
      </c>
      <c r="E3162" s="273">
        <v>7</v>
      </c>
      <c r="F3162" s="273" t="s">
        <v>11</v>
      </c>
      <c r="G3162" s="273" t="s">
        <v>11</v>
      </c>
      <c r="H3162" s="273" t="s">
        <v>11</v>
      </c>
    </row>
    <row r="3163" spans="1:8" x14ac:dyDescent="0.25">
      <c r="A3163" t="s">
        <v>62</v>
      </c>
      <c r="B3163" t="s">
        <v>72</v>
      </c>
      <c r="C3163" t="s">
        <v>2920</v>
      </c>
      <c r="D3163">
        <v>2</v>
      </c>
      <c r="E3163" s="273">
        <v>6</v>
      </c>
      <c r="F3163" s="273" t="s">
        <v>7</v>
      </c>
      <c r="G3163" s="273" t="s">
        <v>11</v>
      </c>
      <c r="H3163" s="273" t="s">
        <v>11</v>
      </c>
    </row>
    <row r="3164" spans="1:8" x14ac:dyDescent="0.25">
      <c r="A3164" t="s">
        <v>62</v>
      </c>
      <c r="B3164" t="s">
        <v>72</v>
      </c>
      <c r="C3164" t="s">
        <v>2921</v>
      </c>
      <c r="D3164">
        <v>2</v>
      </c>
      <c r="E3164" s="273">
        <v>7</v>
      </c>
      <c r="F3164" s="273" t="s">
        <v>11</v>
      </c>
      <c r="G3164" s="273" t="s">
        <v>11</v>
      </c>
      <c r="H3164" s="273" t="s">
        <v>11</v>
      </c>
    </row>
    <row r="3165" spans="1:8" x14ac:dyDescent="0.25">
      <c r="A3165" t="s">
        <v>62</v>
      </c>
      <c r="B3165" t="s">
        <v>72</v>
      </c>
      <c r="C3165" t="s">
        <v>1604</v>
      </c>
      <c r="D3165">
        <v>2</v>
      </c>
      <c r="E3165" s="273">
        <v>6</v>
      </c>
      <c r="F3165" s="273" t="s">
        <v>7</v>
      </c>
      <c r="G3165" s="273" t="s">
        <v>11</v>
      </c>
      <c r="H3165" s="273" t="s">
        <v>11</v>
      </c>
    </row>
    <row r="3166" spans="1:8" x14ac:dyDescent="0.25">
      <c r="A3166" t="s">
        <v>62</v>
      </c>
      <c r="B3166" t="s">
        <v>72</v>
      </c>
      <c r="C3166" t="s">
        <v>2185</v>
      </c>
      <c r="D3166">
        <v>1</v>
      </c>
      <c r="E3166" s="273">
        <v>6</v>
      </c>
      <c r="F3166" s="273" t="s">
        <v>7</v>
      </c>
      <c r="G3166" s="273" t="s">
        <v>11</v>
      </c>
      <c r="H3166" s="273" t="s">
        <v>11</v>
      </c>
    </row>
    <row r="3167" spans="1:8" x14ac:dyDescent="0.25">
      <c r="A3167" t="s">
        <v>62</v>
      </c>
      <c r="B3167" t="s">
        <v>72</v>
      </c>
      <c r="C3167" t="s">
        <v>2922</v>
      </c>
      <c r="D3167">
        <v>2</v>
      </c>
      <c r="E3167" s="273">
        <v>7</v>
      </c>
      <c r="F3167" s="273" t="s">
        <v>11</v>
      </c>
      <c r="G3167" s="273" t="s">
        <v>11</v>
      </c>
      <c r="H3167" s="273" t="s">
        <v>11</v>
      </c>
    </row>
    <row r="3168" spans="1:8" x14ac:dyDescent="0.25">
      <c r="A3168" t="s">
        <v>62</v>
      </c>
      <c r="B3168" t="s">
        <v>72</v>
      </c>
      <c r="C3168" t="s">
        <v>2923</v>
      </c>
      <c r="D3168">
        <v>2</v>
      </c>
      <c r="E3168" s="273">
        <v>6</v>
      </c>
      <c r="F3168" s="273" t="s">
        <v>7</v>
      </c>
      <c r="G3168" s="273" t="s">
        <v>11</v>
      </c>
      <c r="H3168" s="273" t="s">
        <v>11</v>
      </c>
    </row>
    <row r="3169" spans="1:8" x14ac:dyDescent="0.25">
      <c r="A3169" t="s">
        <v>62</v>
      </c>
      <c r="B3169" t="s">
        <v>72</v>
      </c>
      <c r="C3169" t="s">
        <v>1959</v>
      </c>
      <c r="D3169">
        <v>2</v>
      </c>
      <c r="E3169" s="273">
        <v>6</v>
      </c>
      <c r="F3169" s="273" t="s">
        <v>7</v>
      </c>
      <c r="G3169" s="273" t="s">
        <v>11</v>
      </c>
      <c r="H3169" s="273" t="s">
        <v>11</v>
      </c>
    </row>
    <row r="3170" spans="1:8" x14ac:dyDescent="0.25">
      <c r="A3170" t="s">
        <v>62</v>
      </c>
      <c r="B3170" t="s">
        <v>72</v>
      </c>
      <c r="C3170" t="s">
        <v>1234</v>
      </c>
      <c r="D3170">
        <v>2</v>
      </c>
      <c r="E3170" s="273">
        <v>6</v>
      </c>
      <c r="F3170" s="273" t="s">
        <v>7</v>
      </c>
      <c r="G3170" s="273" t="s">
        <v>11</v>
      </c>
      <c r="H3170" s="273" t="s">
        <v>11</v>
      </c>
    </row>
    <row r="3171" spans="1:8" x14ac:dyDescent="0.25">
      <c r="A3171" t="s">
        <v>62</v>
      </c>
      <c r="B3171" t="s">
        <v>72</v>
      </c>
      <c r="C3171" t="s">
        <v>1236</v>
      </c>
      <c r="D3171">
        <v>2</v>
      </c>
      <c r="E3171" s="273">
        <v>6</v>
      </c>
      <c r="F3171" s="273" t="s">
        <v>7</v>
      </c>
      <c r="G3171" s="273" t="s">
        <v>11</v>
      </c>
      <c r="H3171" s="273" t="s">
        <v>11</v>
      </c>
    </row>
    <row r="3172" spans="1:8" x14ac:dyDescent="0.25">
      <c r="A3172" t="s">
        <v>62</v>
      </c>
      <c r="B3172" t="s">
        <v>72</v>
      </c>
      <c r="C3172" t="s">
        <v>1239</v>
      </c>
      <c r="D3172">
        <v>1</v>
      </c>
      <c r="E3172" s="273">
        <v>6</v>
      </c>
      <c r="F3172" s="273" t="s">
        <v>7</v>
      </c>
      <c r="G3172" s="273" t="s">
        <v>11</v>
      </c>
      <c r="H3172" s="273" t="s">
        <v>11</v>
      </c>
    </row>
    <row r="3173" spans="1:8" x14ac:dyDescent="0.25">
      <c r="A3173" t="s">
        <v>62</v>
      </c>
      <c r="B3173" t="s">
        <v>72</v>
      </c>
      <c r="C3173" t="s">
        <v>2924</v>
      </c>
      <c r="D3173">
        <v>1</v>
      </c>
      <c r="E3173" s="273">
        <v>6</v>
      </c>
      <c r="F3173" s="273" t="s">
        <v>7</v>
      </c>
      <c r="G3173" s="273" t="s">
        <v>11</v>
      </c>
      <c r="H3173" s="273" t="s">
        <v>11</v>
      </c>
    </row>
    <row r="3174" spans="1:8" x14ac:dyDescent="0.25">
      <c r="A3174" t="s">
        <v>62</v>
      </c>
      <c r="B3174" t="s">
        <v>72</v>
      </c>
      <c r="C3174" t="s">
        <v>1488</v>
      </c>
      <c r="D3174">
        <v>1</v>
      </c>
      <c r="E3174" s="273">
        <v>6</v>
      </c>
      <c r="F3174" s="273" t="s">
        <v>7</v>
      </c>
      <c r="G3174" s="273" t="s">
        <v>11</v>
      </c>
      <c r="H3174" s="273" t="s">
        <v>11</v>
      </c>
    </row>
    <row r="3175" spans="1:8" x14ac:dyDescent="0.25">
      <c r="A3175" t="s">
        <v>62</v>
      </c>
      <c r="B3175" t="s">
        <v>72</v>
      </c>
      <c r="C3175" t="s">
        <v>2925</v>
      </c>
      <c r="D3175">
        <v>1</v>
      </c>
      <c r="E3175" s="273">
        <v>6</v>
      </c>
      <c r="F3175" s="273" t="s">
        <v>7</v>
      </c>
      <c r="G3175" s="273" t="s">
        <v>11</v>
      </c>
      <c r="H3175" s="273" t="s">
        <v>11</v>
      </c>
    </row>
    <row r="3176" spans="1:8" x14ac:dyDescent="0.25">
      <c r="A3176" t="s">
        <v>62</v>
      </c>
      <c r="B3176" t="s">
        <v>72</v>
      </c>
      <c r="C3176" t="s">
        <v>1357</v>
      </c>
      <c r="D3176">
        <v>2</v>
      </c>
      <c r="E3176" s="273">
        <v>7</v>
      </c>
      <c r="F3176" s="273" t="s">
        <v>11</v>
      </c>
      <c r="G3176" s="273" t="s">
        <v>11</v>
      </c>
      <c r="H3176" s="273" t="s">
        <v>11</v>
      </c>
    </row>
    <row r="3177" spans="1:8" x14ac:dyDescent="0.25">
      <c r="A3177" t="s">
        <v>62</v>
      </c>
      <c r="B3177" t="s">
        <v>72</v>
      </c>
      <c r="C3177" t="s">
        <v>2377</v>
      </c>
      <c r="D3177">
        <v>2</v>
      </c>
      <c r="E3177" s="273">
        <v>6</v>
      </c>
      <c r="F3177" s="273" t="s">
        <v>7</v>
      </c>
      <c r="G3177" s="273" t="s">
        <v>11</v>
      </c>
      <c r="H3177" s="273" t="s">
        <v>11</v>
      </c>
    </row>
    <row r="3178" spans="1:8" x14ac:dyDescent="0.25">
      <c r="A3178" t="s">
        <v>62</v>
      </c>
      <c r="B3178" t="s">
        <v>72</v>
      </c>
      <c r="C3178" t="s">
        <v>2926</v>
      </c>
      <c r="D3178">
        <v>2</v>
      </c>
      <c r="E3178" s="273">
        <v>6</v>
      </c>
      <c r="F3178" s="273" t="s">
        <v>7</v>
      </c>
      <c r="G3178" s="273" t="s">
        <v>11</v>
      </c>
      <c r="H3178" s="273" t="s">
        <v>11</v>
      </c>
    </row>
    <row r="3179" spans="1:8" x14ac:dyDescent="0.25">
      <c r="A3179" t="s">
        <v>62</v>
      </c>
      <c r="B3179" t="s">
        <v>72</v>
      </c>
      <c r="C3179" t="s">
        <v>2539</v>
      </c>
      <c r="D3179">
        <v>2</v>
      </c>
      <c r="E3179" s="273">
        <v>7</v>
      </c>
      <c r="F3179" s="273" t="s">
        <v>11</v>
      </c>
      <c r="G3179" s="273" t="s">
        <v>11</v>
      </c>
      <c r="H3179" s="273" t="s">
        <v>11</v>
      </c>
    </row>
    <row r="3180" spans="1:8" x14ac:dyDescent="0.25">
      <c r="A3180" t="s">
        <v>62</v>
      </c>
      <c r="B3180" t="s">
        <v>72</v>
      </c>
      <c r="C3180" t="s">
        <v>2927</v>
      </c>
      <c r="D3180">
        <v>1</v>
      </c>
      <c r="E3180" s="273">
        <v>6</v>
      </c>
      <c r="F3180" s="273" t="s">
        <v>7</v>
      </c>
      <c r="G3180" s="273" t="s">
        <v>11</v>
      </c>
      <c r="H3180" s="273" t="s">
        <v>11</v>
      </c>
    </row>
    <row r="3181" spans="1:8" x14ac:dyDescent="0.25">
      <c r="A3181" t="s">
        <v>62</v>
      </c>
      <c r="B3181" t="s">
        <v>72</v>
      </c>
      <c r="C3181" t="s">
        <v>2504</v>
      </c>
      <c r="D3181">
        <v>2</v>
      </c>
      <c r="E3181" s="273">
        <v>7</v>
      </c>
      <c r="F3181" s="273" t="s">
        <v>11</v>
      </c>
      <c r="G3181" s="273" t="s">
        <v>11</v>
      </c>
      <c r="H3181" s="273" t="s">
        <v>11</v>
      </c>
    </row>
    <row r="3182" spans="1:8" x14ac:dyDescent="0.25">
      <c r="A3182" t="s">
        <v>62</v>
      </c>
      <c r="B3182" t="s">
        <v>72</v>
      </c>
      <c r="C3182" t="s">
        <v>1247</v>
      </c>
      <c r="D3182">
        <v>1</v>
      </c>
      <c r="E3182" s="273">
        <v>6</v>
      </c>
      <c r="F3182" s="273" t="s">
        <v>7</v>
      </c>
      <c r="G3182" s="273" t="s">
        <v>11</v>
      </c>
      <c r="H3182" s="273" t="s">
        <v>11</v>
      </c>
    </row>
    <row r="3183" spans="1:8" x14ac:dyDescent="0.25">
      <c r="A3183" t="s">
        <v>62</v>
      </c>
      <c r="B3183" t="s">
        <v>72</v>
      </c>
      <c r="C3183" t="s">
        <v>1832</v>
      </c>
      <c r="D3183">
        <v>1</v>
      </c>
      <c r="E3183" s="273">
        <v>6</v>
      </c>
      <c r="F3183" s="273" t="s">
        <v>7</v>
      </c>
      <c r="G3183" s="273" t="s">
        <v>11</v>
      </c>
      <c r="H3183" s="273" t="s">
        <v>11</v>
      </c>
    </row>
    <row r="3184" spans="1:8" x14ac:dyDescent="0.25">
      <c r="A3184" t="s">
        <v>62</v>
      </c>
      <c r="B3184" t="s">
        <v>72</v>
      </c>
      <c r="C3184" t="s">
        <v>2928</v>
      </c>
      <c r="D3184">
        <v>1</v>
      </c>
      <c r="E3184" s="273">
        <v>6</v>
      </c>
      <c r="F3184" s="273" t="s">
        <v>7</v>
      </c>
      <c r="G3184" s="273" t="s">
        <v>11</v>
      </c>
      <c r="H3184" s="273" t="s">
        <v>11</v>
      </c>
    </row>
    <row r="3185" spans="1:8" x14ac:dyDescent="0.25">
      <c r="A3185" t="s">
        <v>62</v>
      </c>
      <c r="B3185" t="s">
        <v>72</v>
      </c>
      <c r="C3185" t="s">
        <v>1715</v>
      </c>
      <c r="D3185">
        <v>1</v>
      </c>
      <c r="E3185" s="273">
        <v>6</v>
      </c>
      <c r="F3185" s="273" t="s">
        <v>7</v>
      </c>
      <c r="G3185" s="273" t="s">
        <v>11</v>
      </c>
      <c r="H3185" s="273" t="s">
        <v>11</v>
      </c>
    </row>
    <row r="3186" spans="1:8" x14ac:dyDescent="0.25">
      <c r="A3186" t="s">
        <v>62</v>
      </c>
      <c r="B3186" t="s">
        <v>72</v>
      </c>
      <c r="C3186" t="s">
        <v>1973</v>
      </c>
      <c r="D3186">
        <v>2</v>
      </c>
      <c r="E3186" s="273">
        <v>7</v>
      </c>
      <c r="F3186" s="273" t="s">
        <v>11</v>
      </c>
      <c r="G3186" s="273" t="s">
        <v>11</v>
      </c>
      <c r="H3186" s="273" t="s">
        <v>11</v>
      </c>
    </row>
    <row r="3187" spans="1:8" x14ac:dyDescent="0.25">
      <c r="A3187" t="s">
        <v>62</v>
      </c>
      <c r="B3187" t="s">
        <v>72</v>
      </c>
      <c r="C3187" t="s">
        <v>1149</v>
      </c>
      <c r="D3187">
        <v>2</v>
      </c>
      <c r="E3187" s="273">
        <v>6</v>
      </c>
      <c r="F3187" s="273" t="s">
        <v>7</v>
      </c>
      <c r="G3187" s="273" t="s">
        <v>11</v>
      </c>
      <c r="H3187" s="273" t="s">
        <v>11</v>
      </c>
    </row>
    <row r="3188" spans="1:8" x14ac:dyDescent="0.25">
      <c r="A3188" t="s">
        <v>62</v>
      </c>
      <c r="B3188" t="s">
        <v>72</v>
      </c>
      <c r="C3188" t="s">
        <v>1150</v>
      </c>
      <c r="D3188">
        <v>1</v>
      </c>
      <c r="E3188" s="273">
        <v>6</v>
      </c>
      <c r="F3188" s="273" t="s">
        <v>7</v>
      </c>
      <c r="G3188" s="273" t="s">
        <v>11</v>
      </c>
      <c r="H3188" s="273" t="s">
        <v>11</v>
      </c>
    </row>
    <row r="3189" spans="1:8" x14ac:dyDescent="0.25">
      <c r="A3189" t="s">
        <v>62</v>
      </c>
      <c r="B3189" t="s">
        <v>72</v>
      </c>
      <c r="C3189" t="s">
        <v>1191</v>
      </c>
      <c r="D3189">
        <v>2</v>
      </c>
      <c r="E3189" s="273">
        <v>6</v>
      </c>
      <c r="F3189" s="273" t="s">
        <v>7</v>
      </c>
      <c r="G3189" s="273" t="s">
        <v>11</v>
      </c>
      <c r="H3189" s="273" t="s">
        <v>11</v>
      </c>
    </row>
    <row r="3190" spans="1:8" x14ac:dyDescent="0.25">
      <c r="A3190" t="s">
        <v>62</v>
      </c>
      <c r="B3190" t="s">
        <v>72</v>
      </c>
      <c r="C3190" t="s">
        <v>2929</v>
      </c>
      <c r="D3190">
        <v>2</v>
      </c>
      <c r="E3190" s="273">
        <v>6</v>
      </c>
      <c r="F3190" s="273" t="s">
        <v>7</v>
      </c>
      <c r="G3190" s="273" t="s">
        <v>11</v>
      </c>
      <c r="H3190" s="273" t="s">
        <v>11</v>
      </c>
    </row>
    <row r="3191" spans="1:8" x14ac:dyDescent="0.25">
      <c r="A3191" t="s">
        <v>62</v>
      </c>
      <c r="B3191" t="s">
        <v>72</v>
      </c>
      <c r="C3191" t="s">
        <v>2930</v>
      </c>
      <c r="D3191">
        <v>2</v>
      </c>
      <c r="E3191" s="273">
        <v>6</v>
      </c>
      <c r="F3191" s="273" t="s">
        <v>7</v>
      </c>
      <c r="G3191" s="273" t="s">
        <v>11</v>
      </c>
      <c r="H3191" s="273" t="s">
        <v>11</v>
      </c>
    </row>
    <row r="3192" spans="1:8" x14ac:dyDescent="0.25">
      <c r="A3192" t="s">
        <v>62</v>
      </c>
      <c r="B3192" t="s">
        <v>72</v>
      </c>
      <c r="C3192" t="s">
        <v>2931</v>
      </c>
      <c r="D3192">
        <v>2</v>
      </c>
      <c r="E3192" s="273">
        <v>6</v>
      </c>
      <c r="F3192" s="273" t="s">
        <v>7</v>
      </c>
      <c r="G3192" s="273" t="s">
        <v>11</v>
      </c>
      <c r="H3192" s="273" t="s">
        <v>11</v>
      </c>
    </row>
    <row r="3193" spans="1:8" x14ac:dyDescent="0.25">
      <c r="A3193" t="s">
        <v>62</v>
      </c>
      <c r="B3193" t="s">
        <v>72</v>
      </c>
      <c r="C3193" t="s">
        <v>1254</v>
      </c>
      <c r="D3193">
        <v>1</v>
      </c>
      <c r="E3193" s="273">
        <v>6</v>
      </c>
      <c r="F3193" s="273" t="s">
        <v>7</v>
      </c>
      <c r="G3193" s="273" t="s">
        <v>11</v>
      </c>
      <c r="H3193" s="273" t="s">
        <v>11</v>
      </c>
    </row>
    <row r="3194" spans="1:8" x14ac:dyDescent="0.25">
      <c r="A3194" t="s">
        <v>62</v>
      </c>
      <c r="B3194" t="s">
        <v>72</v>
      </c>
      <c r="C3194" t="s">
        <v>2932</v>
      </c>
      <c r="D3194">
        <v>1</v>
      </c>
      <c r="E3194" s="273">
        <v>7</v>
      </c>
      <c r="F3194" s="273" t="s">
        <v>11</v>
      </c>
      <c r="G3194" s="273" t="s">
        <v>11</v>
      </c>
      <c r="H3194" s="273" t="s">
        <v>11</v>
      </c>
    </row>
    <row r="3195" spans="1:8" x14ac:dyDescent="0.25">
      <c r="A3195" t="s">
        <v>62</v>
      </c>
      <c r="B3195" t="s">
        <v>72</v>
      </c>
      <c r="C3195" t="s">
        <v>1255</v>
      </c>
      <c r="D3195">
        <v>2</v>
      </c>
      <c r="E3195" s="273">
        <v>7</v>
      </c>
      <c r="F3195" s="273" t="s">
        <v>11</v>
      </c>
      <c r="G3195" s="273" t="s">
        <v>11</v>
      </c>
      <c r="H3195" s="273" t="s">
        <v>11</v>
      </c>
    </row>
    <row r="3196" spans="1:8" x14ac:dyDescent="0.25">
      <c r="A3196" t="s">
        <v>62</v>
      </c>
      <c r="B3196" t="s">
        <v>72</v>
      </c>
      <c r="C3196" t="s">
        <v>2933</v>
      </c>
      <c r="D3196">
        <v>2</v>
      </c>
      <c r="E3196" s="273">
        <v>6</v>
      </c>
      <c r="F3196" s="273" t="s">
        <v>7</v>
      </c>
      <c r="G3196" s="273" t="s">
        <v>11</v>
      </c>
      <c r="H3196" s="273" t="s">
        <v>11</v>
      </c>
    </row>
    <row r="3197" spans="1:8" x14ac:dyDescent="0.25">
      <c r="A3197" t="s">
        <v>62</v>
      </c>
      <c r="B3197" t="s">
        <v>72</v>
      </c>
      <c r="C3197" t="s">
        <v>2934</v>
      </c>
      <c r="D3197">
        <v>1</v>
      </c>
      <c r="E3197" s="273">
        <v>6</v>
      </c>
      <c r="F3197" s="273" t="s">
        <v>7</v>
      </c>
      <c r="G3197" s="273" t="s">
        <v>11</v>
      </c>
      <c r="H3197" s="273" t="s">
        <v>11</v>
      </c>
    </row>
    <row r="3198" spans="1:8" x14ac:dyDescent="0.25">
      <c r="A3198" t="s">
        <v>62</v>
      </c>
      <c r="B3198" t="s">
        <v>72</v>
      </c>
      <c r="C3198" t="s">
        <v>2935</v>
      </c>
      <c r="D3198">
        <v>2</v>
      </c>
      <c r="E3198" s="273">
        <v>6</v>
      </c>
      <c r="F3198" s="273" t="s">
        <v>7</v>
      </c>
      <c r="G3198" s="273" t="s">
        <v>11</v>
      </c>
      <c r="H3198" s="273" t="s">
        <v>11</v>
      </c>
    </row>
    <row r="3199" spans="1:8" x14ac:dyDescent="0.25">
      <c r="A3199" t="s">
        <v>62</v>
      </c>
      <c r="B3199" t="s">
        <v>72</v>
      </c>
      <c r="C3199" t="s">
        <v>1985</v>
      </c>
      <c r="D3199">
        <v>2</v>
      </c>
      <c r="E3199" s="273">
        <v>6</v>
      </c>
      <c r="F3199" s="273" t="s">
        <v>7</v>
      </c>
      <c r="G3199" s="273" t="s">
        <v>11</v>
      </c>
      <c r="H3199" s="273" t="s">
        <v>11</v>
      </c>
    </row>
    <row r="3200" spans="1:8" x14ac:dyDescent="0.25">
      <c r="A3200" t="s">
        <v>62</v>
      </c>
      <c r="B3200" t="s">
        <v>72</v>
      </c>
      <c r="C3200" t="s">
        <v>1987</v>
      </c>
      <c r="D3200">
        <v>1</v>
      </c>
      <c r="E3200" s="273">
        <v>6</v>
      </c>
      <c r="F3200" s="273" t="s">
        <v>7</v>
      </c>
      <c r="G3200" s="273" t="s">
        <v>11</v>
      </c>
      <c r="H3200" s="273" t="s">
        <v>11</v>
      </c>
    </row>
    <row r="3201" spans="1:8" x14ac:dyDescent="0.25">
      <c r="A3201" t="s">
        <v>62</v>
      </c>
      <c r="B3201" t="s">
        <v>72</v>
      </c>
      <c r="C3201" t="s">
        <v>2936</v>
      </c>
      <c r="D3201">
        <v>2</v>
      </c>
      <c r="E3201" s="273">
        <v>6</v>
      </c>
      <c r="F3201" s="273" t="s">
        <v>7</v>
      </c>
      <c r="G3201" s="273" t="s">
        <v>11</v>
      </c>
      <c r="H3201" s="273" t="s">
        <v>11</v>
      </c>
    </row>
    <row r="3202" spans="1:8" x14ac:dyDescent="0.25">
      <c r="A3202" t="s">
        <v>62</v>
      </c>
      <c r="B3202" t="s">
        <v>72</v>
      </c>
      <c r="C3202" t="s">
        <v>1163</v>
      </c>
      <c r="D3202">
        <v>2</v>
      </c>
      <c r="E3202" s="273">
        <v>6</v>
      </c>
      <c r="F3202" s="273" t="s">
        <v>7</v>
      </c>
      <c r="G3202" s="273" t="s">
        <v>11</v>
      </c>
      <c r="H3202" s="273" t="s">
        <v>11</v>
      </c>
    </row>
    <row r="3203" spans="1:8" x14ac:dyDescent="0.25">
      <c r="A3203" t="s">
        <v>62</v>
      </c>
      <c r="B3203" t="s">
        <v>72</v>
      </c>
      <c r="C3203" t="s">
        <v>2937</v>
      </c>
      <c r="D3203">
        <v>2</v>
      </c>
      <c r="E3203" s="273">
        <v>6</v>
      </c>
      <c r="F3203" s="273" t="s">
        <v>7</v>
      </c>
      <c r="G3203" s="273" t="s">
        <v>11</v>
      </c>
      <c r="H3203" s="273" t="s">
        <v>11</v>
      </c>
    </row>
    <row r="3204" spans="1:8" x14ac:dyDescent="0.25">
      <c r="A3204" t="s">
        <v>62</v>
      </c>
      <c r="B3204" t="s">
        <v>72</v>
      </c>
      <c r="C3204" t="s">
        <v>1594</v>
      </c>
      <c r="D3204">
        <v>2</v>
      </c>
      <c r="E3204" s="273">
        <v>7</v>
      </c>
      <c r="F3204" s="273" t="s">
        <v>11</v>
      </c>
      <c r="G3204" s="273" t="s">
        <v>11</v>
      </c>
      <c r="H3204" s="273" t="s">
        <v>11</v>
      </c>
    </row>
    <row r="3205" spans="1:8" x14ac:dyDescent="0.25">
      <c r="A3205" t="s">
        <v>62</v>
      </c>
      <c r="B3205" t="s">
        <v>72</v>
      </c>
      <c r="C3205" t="s">
        <v>2938</v>
      </c>
      <c r="D3205">
        <v>2</v>
      </c>
      <c r="E3205" s="273">
        <v>6</v>
      </c>
      <c r="F3205" s="273" t="s">
        <v>7</v>
      </c>
      <c r="G3205" s="273" t="s">
        <v>11</v>
      </c>
      <c r="H3205" s="273" t="s">
        <v>11</v>
      </c>
    </row>
    <row r="3206" spans="1:8" x14ac:dyDescent="0.25">
      <c r="A3206" t="s">
        <v>62</v>
      </c>
      <c r="B3206" t="s">
        <v>72</v>
      </c>
      <c r="C3206" t="s">
        <v>2939</v>
      </c>
      <c r="D3206">
        <v>2</v>
      </c>
      <c r="E3206" s="273">
        <v>6</v>
      </c>
      <c r="F3206" s="273" t="s">
        <v>7</v>
      </c>
      <c r="G3206" s="273" t="s">
        <v>11</v>
      </c>
      <c r="H3206" s="273" t="s">
        <v>11</v>
      </c>
    </row>
    <row r="3207" spans="1:8" x14ac:dyDescent="0.25">
      <c r="A3207" t="s">
        <v>62</v>
      </c>
      <c r="B3207" t="s">
        <v>72</v>
      </c>
      <c r="C3207" t="s">
        <v>2940</v>
      </c>
      <c r="D3207">
        <v>1</v>
      </c>
      <c r="E3207" s="273">
        <v>6</v>
      </c>
      <c r="F3207" s="273" t="s">
        <v>7</v>
      </c>
      <c r="G3207" s="273" t="s">
        <v>11</v>
      </c>
      <c r="H3207" s="273" t="s">
        <v>11</v>
      </c>
    </row>
    <row r="3208" spans="1:8" x14ac:dyDescent="0.25">
      <c r="A3208" t="s">
        <v>62</v>
      </c>
      <c r="B3208" t="s">
        <v>72</v>
      </c>
      <c r="C3208" t="s">
        <v>1531</v>
      </c>
      <c r="D3208">
        <v>1</v>
      </c>
      <c r="E3208" s="273">
        <v>6</v>
      </c>
      <c r="F3208" s="273" t="s">
        <v>7</v>
      </c>
      <c r="G3208" s="273" t="s">
        <v>11</v>
      </c>
      <c r="H3208" s="273" t="s">
        <v>11</v>
      </c>
    </row>
    <row r="3209" spans="1:8" x14ac:dyDescent="0.25">
      <c r="A3209" t="s">
        <v>62</v>
      </c>
      <c r="B3209" t="s">
        <v>72</v>
      </c>
      <c r="C3209" t="s">
        <v>1266</v>
      </c>
      <c r="D3209">
        <v>2</v>
      </c>
      <c r="E3209" s="273">
        <v>6</v>
      </c>
      <c r="F3209" s="273" t="s">
        <v>7</v>
      </c>
      <c r="G3209" s="273" t="s">
        <v>11</v>
      </c>
      <c r="H3209" s="273" t="s">
        <v>11</v>
      </c>
    </row>
    <row r="3210" spans="1:8" x14ac:dyDescent="0.25">
      <c r="A3210" t="s">
        <v>62</v>
      </c>
      <c r="B3210" t="s">
        <v>72</v>
      </c>
      <c r="C3210" t="s">
        <v>2424</v>
      </c>
      <c r="D3210">
        <v>1</v>
      </c>
      <c r="E3210" s="273">
        <v>6</v>
      </c>
      <c r="F3210" s="273" t="s">
        <v>7</v>
      </c>
      <c r="G3210" s="273" t="s">
        <v>11</v>
      </c>
      <c r="H3210" s="273" t="s">
        <v>11</v>
      </c>
    </row>
    <row r="3211" spans="1:8" x14ac:dyDescent="0.25">
      <c r="A3211" t="s">
        <v>62</v>
      </c>
      <c r="B3211" t="s">
        <v>72</v>
      </c>
      <c r="C3211" t="s">
        <v>2941</v>
      </c>
      <c r="D3211">
        <v>2</v>
      </c>
      <c r="E3211" s="273">
        <v>7</v>
      </c>
      <c r="F3211" s="273" t="s">
        <v>11</v>
      </c>
      <c r="G3211" s="273" t="s">
        <v>11</v>
      </c>
      <c r="H3211" s="273" t="s">
        <v>11</v>
      </c>
    </row>
    <row r="3212" spans="1:8" x14ac:dyDescent="0.25">
      <c r="A3212" t="s">
        <v>62</v>
      </c>
      <c r="B3212" t="s">
        <v>72</v>
      </c>
      <c r="C3212" t="s">
        <v>2942</v>
      </c>
      <c r="D3212">
        <v>2</v>
      </c>
      <c r="E3212" s="273">
        <v>6</v>
      </c>
      <c r="F3212" s="273" t="s">
        <v>7</v>
      </c>
      <c r="G3212" s="273" t="s">
        <v>11</v>
      </c>
      <c r="H3212" s="273" t="s">
        <v>11</v>
      </c>
    </row>
    <row r="3213" spans="1:8" x14ac:dyDescent="0.25">
      <c r="A3213" t="s">
        <v>62</v>
      </c>
      <c r="B3213" t="s">
        <v>72</v>
      </c>
      <c r="C3213" t="s">
        <v>1642</v>
      </c>
      <c r="D3213">
        <v>1</v>
      </c>
      <c r="E3213" s="273">
        <v>6</v>
      </c>
      <c r="F3213" s="273" t="s">
        <v>7</v>
      </c>
      <c r="G3213" s="273" t="s">
        <v>11</v>
      </c>
      <c r="H3213" s="273" t="s">
        <v>11</v>
      </c>
    </row>
    <row r="3214" spans="1:8" x14ac:dyDescent="0.25">
      <c r="A3214" t="s">
        <v>62</v>
      </c>
      <c r="B3214" t="s">
        <v>72</v>
      </c>
      <c r="C3214" t="s">
        <v>2055</v>
      </c>
      <c r="D3214">
        <v>1</v>
      </c>
      <c r="E3214" s="273">
        <v>6</v>
      </c>
      <c r="F3214" s="273" t="s">
        <v>7</v>
      </c>
      <c r="G3214" s="273" t="s">
        <v>11</v>
      </c>
      <c r="H3214" s="273" t="s">
        <v>11</v>
      </c>
    </row>
    <row r="3215" spans="1:8" x14ac:dyDescent="0.25">
      <c r="A3215" t="s">
        <v>62</v>
      </c>
      <c r="B3215" t="s">
        <v>72</v>
      </c>
      <c r="C3215" t="s">
        <v>2737</v>
      </c>
      <c r="D3215">
        <v>2</v>
      </c>
      <c r="E3215" s="273">
        <v>6</v>
      </c>
      <c r="F3215" s="273" t="s">
        <v>7</v>
      </c>
      <c r="G3215" s="273" t="s">
        <v>11</v>
      </c>
      <c r="H3215" s="273" t="s">
        <v>11</v>
      </c>
    </row>
    <row r="3216" spans="1:8" x14ac:dyDescent="0.25">
      <c r="A3216" t="s">
        <v>62</v>
      </c>
      <c r="B3216" t="s">
        <v>72</v>
      </c>
      <c r="C3216" t="s">
        <v>2943</v>
      </c>
      <c r="D3216">
        <v>1</v>
      </c>
      <c r="E3216" s="273">
        <v>6</v>
      </c>
      <c r="F3216" s="273" t="s">
        <v>7</v>
      </c>
      <c r="G3216" s="273" t="s">
        <v>11</v>
      </c>
      <c r="H3216" s="273" t="s">
        <v>11</v>
      </c>
    </row>
    <row r="3217" spans="1:8" x14ac:dyDescent="0.25">
      <c r="A3217" t="s">
        <v>62</v>
      </c>
      <c r="B3217" t="s">
        <v>72</v>
      </c>
      <c r="C3217" t="s">
        <v>2944</v>
      </c>
      <c r="D3217">
        <v>2</v>
      </c>
      <c r="E3217" s="273">
        <v>6</v>
      </c>
      <c r="F3217" s="273" t="s">
        <v>7</v>
      </c>
      <c r="G3217" s="273" t="s">
        <v>11</v>
      </c>
      <c r="H3217" s="273" t="s">
        <v>11</v>
      </c>
    </row>
    <row r="3218" spans="1:8" x14ac:dyDescent="0.25">
      <c r="A3218" t="s">
        <v>62</v>
      </c>
      <c r="B3218" t="s">
        <v>72</v>
      </c>
      <c r="C3218" t="s">
        <v>2945</v>
      </c>
      <c r="D3218">
        <v>2</v>
      </c>
      <c r="E3218" s="273">
        <v>7</v>
      </c>
      <c r="F3218" s="273" t="s">
        <v>11</v>
      </c>
      <c r="G3218" s="273" t="s">
        <v>11</v>
      </c>
      <c r="H3218" s="273" t="s">
        <v>11</v>
      </c>
    </row>
    <row r="3219" spans="1:8" x14ac:dyDescent="0.25">
      <c r="A3219" t="s">
        <v>62</v>
      </c>
      <c r="B3219" t="s">
        <v>72</v>
      </c>
      <c r="C3219" t="s">
        <v>2946</v>
      </c>
      <c r="D3219">
        <v>1</v>
      </c>
      <c r="E3219" s="273">
        <v>6</v>
      </c>
      <c r="F3219" s="273" t="s">
        <v>7</v>
      </c>
      <c r="G3219" s="273" t="s">
        <v>11</v>
      </c>
      <c r="H3219" s="273" t="s">
        <v>11</v>
      </c>
    </row>
    <row r="3220" spans="1:8" x14ac:dyDescent="0.25">
      <c r="A3220" t="s">
        <v>62</v>
      </c>
      <c r="B3220" t="s">
        <v>72</v>
      </c>
      <c r="C3220" t="s">
        <v>2947</v>
      </c>
      <c r="D3220">
        <v>2</v>
      </c>
      <c r="E3220" s="273">
        <v>6</v>
      </c>
      <c r="F3220" s="273" t="s">
        <v>7</v>
      </c>
      <c r="G3220" s="273" t="s">
        <v>11</v>
      </c>
      <c r="H3220" s="273" t="s">
        <v>11</v>
      </c>
    </row>
    <row r="3221" spans="1:8" x14ac:dyDescent="0.25">
      <c r="A3221" t="s">
        <v>62</v>
      </c>
      <c r="B3221" t="s">
        <v>72</v>
      </c>
      <c r="C3221" t="s">
        <v>1451</v>
      </c>
      <c r="D3221">
        <v>2</v>
      </c>
      <c r="E3221" s="273">
        <v>7</v>
      </c>
      <c r="F3221" s="273" t="s">
        <v>11</v>
      </c>
      <c r="G3221" s="273" t="s">
        <v>11</v>
      </c>
      <c r="H3221" s="273" t="s">
        <v>11</v>
      </c>
    </row>
    <row r="3222" spans="1:8" x14ac:dyDescent="0.25">
      <c r="A3222" t="s">
        <v>62</v>
      </c>
      <c r="B3222" t="s">
        <v>72</v>
      </c>
      <c r="C3222" t="s">
        <v>2948</v>
      </c>
      <c r="D3222">
        <v>2</v>
      </c>
      <c r="E3222" s="273">
        <v>6</v>
      </c>
      <c r="F3222" s="273" t="s">
        <v>7</v>
      </c>
      <c r="G3222" s="273" t="s">
        <v>11</v>
      </c>
      <c r="H3222" s="273" t="s">
        <v>11</v>
      </c>
    </row>
    <row r="3223" spans="1:8" x14ac:dyDescent="0.25">
      <c r="A3223" t="s">
        <v>62</v>
      </c>
      <c r="B3223" t="s">
        <v>72</v>
      </c>
      <c r="C3223" t="s">
        <v>1905</v>
      </c>
      <c r="D3223">
        <v>1</v>
      </c>
      <c r="E3223" s="273">
        <v>6</v>
      </c>
      <c r="F3223" s="273" t="s">
        <v>7</v>
      </c>
      <c r="G3223" s="273" t="s">
        <v>11</v>
      </c>
      <c r="H3223" s="273" t="s">
        <v>11</v>
      </c>
    </row>
    <row r="3224" spans="1:8" x14ac:dyDescent="0.25">
      <c r="A3224" t="s">
        <v>62</v>
      </c>
      <c r="B3224" t="s">
        <v>72</v>
      </c>
      <c r="C3224" t="s">
        <v>2949</v>
      </c>
      <c r="D3224">
        <v>2</v>
      </c>
      <c r="E3224" s="273">
        <v>7</v>
      </c>
      <c r="F3224" s="273" t="s">
        <v>11</v>
      </c>
      <c r="G3224" s="273" t="s">
        <v>11</v>
      </c>
      <c r="H3224" s="273" t="s">
        <v>11</v>
      </c>
    </row>
    <row r="3225" spans="1:8" x14ac:dyDescent="0.25">
      <c r="A3225" t="s">
        <v>62</v>
      </c>
      <c r="B3225" t="s">
        <v>72</v>
      </c>
      <c r="C3225" t="s">
        <v>2587</v>
      </c>
      <c r="D3225">
        <v>1</v>
      </c>
      <c r="E3225" s="273">
        <v>6</v>
      </c>
      <c r="F3225" s="273" t="s">
        <v>7</v>
      </c>
      <c r="G3225" s="273" t="s">
        <v>11</v>
      </c>
      <c r="H3225" s="273" t="s">
        <v>11</v>
      </c>
    </row>
    <row r="3226" spans="1:8" x14ac:dyDescent="0.25">
      <c r="A3226" t="s">
        <v>62</v>
      </c>
      <c r="B3226" t="s">
        <v>72</v>
      </c>
      <c r="C3226" t="s">
        <v>2950</v>
      </c>
      <c r="D3226">
        <v>2</v>
      </c>
      <c r="E3226" s="273">
        <v>7</v>
      </c>
      <c r="F3226" s="273" t="s">
        <v>11</v>
      </c>
      <c r="G3226" s="273" t="s">
        <v>11</v>
      </c>
      <c r="H3226" s="273" t="s">
        <v>11</v>
      </c>
    </row>
    <row r="3227" spans="1:8" x14ac:dyDescent="0.25">
      <c r="A3227" t="s">
        <v>62</v>
      </c>
      <c r="B3227" t="s">
        <v>72</v>
      </c>
      <c r="C3227" t="s">
        <v>1178</v>
      </c>
      <c r="D3227">
        <v>1</v>
      </c>
      <c r="E3227" s="273">
        <v>6</v>
      </c>
      <c r="F3227" s="273" t="s">
        <v>7</v>
      </c>
      <c r="G3227" s="273" t="s">
        <v>11</v>
      </c>
      <c r="H3227" s="273" t="s">
        <v>11</v>
      </c>
    </row>
    <row r="3228" spans="1:8" x14ac:dyDescent="0.25">
      <c r="A3228" t="s">
        <v>62</v>
      </c>
      <c r="B3228" t="s">
        <v>72</v>
      </c>
      <c r="C3228" t="s">
        <v>2951</v>
      </c>
      <c r="D3228">
        <v>1</v>
      </c>
      <c r="E3228" s="273">
        <v>6</v>
      </c>
      <c r="F3228" s="273" t="s">
        <v>7</v>
      </c>
      <c r="G3228" s="273" t="s">
        <v>11</v>
      </c>
      <c r="H3228" s="273" t="s">
        <v>11</v>
      </c>
    </row>
    <row r="3229" spans="1:8" x14ac:dyDescent="0.25">
      <c r="A3229" t="s">
        <v>62</v>
      </c>
      <c r="B3229" t="s">
        <v>72</v>
      </c>
      <c r="C3229" t="s">
        <v>2952</v>
      </c>
      <c r="D3229">
        <v>1</v>
      </c>
      <c r="E3229" s="273">
        <v>6</v>
      </c>
      <c r="F3229" s="273" t="s">
        <v>7</v>
      </c>
      <c r="G3229" s="273" t="s">
        <v>11</v>
      </c>
      <c r="H3229" s="273" t="s">
        <v>11</v>
      </c>
    </row>
    <row r="3230" spans="1:8" x14ac:dyDescent="0.25">
      <c r="A3230" t="s">
        <v>62</v>
      </c>
      <c r="B3230" t="s">
        <v>72</v>
      </c>
      <c r="C3230" t="s">
        <v>2953</v>
      </c>
      <c r="D3230">
        <v>2</v>
      </c>
      <c r="E3230" s="273">
        <v>6</v>
      </c>
      <c r="F3230" s="273" t="s">
        <v>7</v>
      </c>
      <c r="G3230" s="273" t="s">
        <v>11</v>
      </c>
      <c r="H3230" s="273" t="s">
        <v>11</v>
      </c>
    </row>
    <row r="3231" spans="1:8" x14ac:dyDescent="0.25">
      <c r="A3231" t="s">
        <v>62</v>
      </c>
      <c r="B3231" t="s">
        <v>72</v>
      </c>
      <c r="C3231" t="s">
        <v>1654</v>
      </c>
      <c r="D3231">
        <v>2</v>
      </c>
      <c r="E3231" s="273">
        <v>6</v>
      </c>
      <c r="F3231" s="273" t="s">
        <v>7</v>
      </c>
      <c r="G3231" s="273" t="s">
        <v>11</v>
      </c>
      <c r="H3231" s="273" t="s">
        <v>11</v>
      </c>
    </row>
    <row r="3232" spans="1:8" x14ac:dyDescent="0.25">
      <c r="A3232" t="s">
        <v>62</v>
      </c>
      <c r="B3232" t="s">
        <v>72</v>
      </c>
      <c r="C3232" t="s">
        <v>2433</v>
      </c>
      <c r="D3232">
        <v>1</v>
      </c>
      <c r="E3232" s="273">
        <v>6</v>
      </c>
      <c r="F3232" s="273" t="s">
        <v>7</v>
      </c>
      <c r="G3232" s="273" t="s">
        <v>11</v>
      </c>
      <c r="H3232" s="273" t="s">
        <v>11</v>
      </c>
    </row>
    <row r="3233" spans="1:8" x14ac:dyDescent="0.25">
      <c r="A3233" t="s">
        <v>64</v>
      </c>
      <c r="B3233" t="s">
        <v>73</v>
      </c>
      <c r="C3233" t="s">
        <v>2274</v>
      </c>
      <c r="D3233">
        <v>1</v>
      </c>
      <c r="E3233" s="273">
        <v>6</v>
      </c>
      <c r="F3233" s="273" t="s">
        <v>75</v>
      </c>
      <c r="G3233" s="273" t="s">
        <v>11</v>
      </c>
      <c r="H3233" s="273" t="s">
        <v>11</v>
      </c>
    </row>
    <row r="3234" spans="1:8" x14ac:dyDescent="0.25">
      <c r="A3234" t="s">
        <v>64</v>
      </c>
      <c r="B3234" t="s">
        <v>73</v>
      </c>
      <c r="C3234" t="s">
        <v>2146</v>
      </c>
      <c r="D3234">
        <v>1</v>
      </c>
      <c r="E3234" s="273">
        <v>6</v>
      </c>
      <c r="F3234" s="273" t="s">
        <v>75</v>
      </c>
      <c r="G3234" s="273" t="s">
        <v>11</v>
      </c>
      <c r="H3234" s="273" t="s">
        <v>11</v>
      </c>
    </row>
    <row r="3235" spans="1:8" x14ac:dyDescent="0.25">
      <c r="A3235" t="s">
        <v>64</v>
      </c>
      <c r="B3235" t="s">
        <v>73</v>
      </c>
      <c r="C3235" t="s">
        <v>1821</v>
      </c>
      <c r="D3235">
        <v>1</v>
      </c>
      <c r="E3235" s="273">
        <v>6</v>
      </c>
      <c r="F3235" s="273" t="s">
        <v>75</v>
      </c>
      <c r="G3235" s="273" t="s">
        <v>11</v>
      </c>
      <c r="H3235" s="273" t="s">
        <v>11</v>
      </c>
    </row>
    <row r="3236" spans="1:8" x14ac:dyDescent="0.25">
      <c r="A3236" t="s">
        <v>64</v>
      </c>
      <c r="B3236" t="s">
        <v>73</v>
      </c>
      <c r="C3236" t="s">
        <v>2148</v>
      </c>
      <c r="D3236">
        <v>1</v>
      </c>
      <c r="E3236" s="273">
        <v>6</v>
      </c>
      <c r="F3236" s="273" t="s">
        <v>75</v>
      </c>
      <c r="G3236" s="273" t="s">
        <v>11</v>
      </c>
      <c r="H3236" s="273" t="s">
        <v>11</v>
      </c>
    </row>
    <row r="3237" spans="1:8" x14ac:dyDescent="0.25">
      <c r="A3237" t="s">
        <v>64</v>
      </c>
      <c r="B3237" t="s">
        <v>73</v>
      </c>
      <c r="C3237" t="s">
        <v>2954</v>
      </c>
      <c r="D3237">
        <v>1</v>
      </c>
      <c r="E3237" s="273">
        <v>6</v>
      </c>
      <c r="F3237" s="273" t="s">
        <v>75</v>
      </c>
      <c r="G3237" s="273" t="s">
        <v>11</v>
      </c>
      <c r="H3237" s="273" t="s">
        <v>11</v>
      </c>
    </row>
    <row r="3238" spans="1:8" x14ac:dyDescent="0.25">
      <c r="A3238" t="s">
        <v>64</v>
      </c>
      <c r="B3238" t="s">
        <v>73</v>
      </c>
      <c r="C3238" t="s">
        <v>2478</v>
      </c>
      <c r="D3238">
        <v>1</v>
      </c>
      <c r="E3238" s="273">
        <v>6</v>
      </c>
      <c r="F3238" s="273" t="s">
        <v>75</v>
      </c>
      <c r="G3238" s="273" t="s">
        <v>11</v>
      </c>
      <c r="H3238" s="273" t="s">
        <v>11</v>
      </c>
    </row>
    <row r="3239" spans="1:8" x14ac:dyDescent="0.25">
      <c r="A3239" t="s">
        <v>64</v>
      </c>
      <c r="B3239" t="s">
        <v>73</v>
      </c>
      <c r="C3239" t="s">
        <v>1361</v>
      </c>
      <c r="D3239">
        <v>1</v>
      </c>
      <c r="E3239" s="273">
        <v>6</v>
      </c>
      <c r="F3239" s="273" t="s">
        <v>75</v>
      </c>
      <c r="G3239" s="273" t="s">
        <v>11</v>
      </c>
      <c r="H3239" s="273" t="s">
        <v>11</v>
      </c>
    </row>
    <row r="3240" spans="1:8" x14ac:dyDescent="0.25">
      <c r="A3240" t="s">
        <v>64</v>
      </c>
      <c r="B3240" t="s">
        <v>73</v>
      </c>
      <c r="C3240" t="s">
        <v>2955</v>
      </c>
      <c r="D3240">
        <v>1</v>
      </c>
      <c r="E3240" s="273">
        <v>5</v>
      </c>
      <c r="F3240" s="273" t="s">
        <v>75</v>
      </c>
      <c r="G3240" s="273" t="s">
        <v>11</v>
      </c>
      <c r="H3240" s="273" t="s">
        <v>11</v>
      </c>
    </row>
    <row r="3241" spans="1:8" x14ac:dyDescent="0.25">
      <c r="A3241" t="s">
        <v>64</v>
      </c>
      <c r="B3241" t="s">
        <v>73</v>
      </c>
      <c r="C3241" t="s">
        <v>2956</v>
      </c>
      <c r="D3241">
        <v>1</v>
      </c>
      <c r="E3241" s="273">
        <v>6</v>
      </c>
      <c r="F3241" s="273" t="s">
        <v>75</v>
      </c>
      <c r="G3241" s="273" t="s">
        <v>11</v>
      </c>
      <c r="H3241" s="273" t="s">
        <v>11</v>
      </c>
    </row>
    <row r="3242" spans="1:8" x14ac:dyDescent="0.25">
      <c r="A3242" t="s">
        <v>64</v>
      </c>
      <c r="B3242" t="s">
        <v>73</v>
      </c>
      <c r="C3242" t="s">
        <v>1253</v>
      </c>
      <c r="D3242">
        <v>1</v>
      </c>
      <c r="E3242" s="273">
        <v>6</v>
      </c>
      <c r="F3242" s="273" t="s">
        <v>75</v>
      </c>
      <c r="G3242" s="273" t="s">
        <v>11</v>
      </c>
      <c r="H3242" s="273" t="s">
        <v>11</v>
      </c>
    </row>
    <row r="3243" spans="1:8" x14ac:dyDescent="0.25">
      <c r="A3243" t="s">
        <v>64</v>
      </c>
      <c r="B3243" t="s">
        <v>73</v>
      </c>
      <c r="C3243" t="s">
        <v>2957</v>
      </c>
      <c r="D3243">
        <v>1</v>
      </c>
      <c r="E3243" s="273">
        <v>6</v>
      </c>
      <c r="F3243" s="273" t="s">
        <v>75</v>
      </c>
      <c r="G3243" s="273" t="s">
        <v>11</v>
      </c>
      <c r="H3243" s="273" t="s">
        <v>11</v>
      </c>
    </row>
    <row r="3244" spans="1:8" x14ac:dyDescent="0.25">
      <c r="A3244" t="s">
        <v>64</v>
      </c>
      <c r="B3244" t="s">
        <v>73</v>
      </c>
      <c r="C3244" t="s">
        <v>1255</v>
      </c>
      <c r="D3244">
        <v>1</v>
      </c>
      <c r="E3244" s="273">
        <v>7</v>
      </c>
      <c r="F3244" s="273" t="s">
        <v>11</v>
      </c>
      <c r="G3244" s="273" t="s">
        <v>11</v>
      </c>
      <c r="H3244" s="273" t="s">
        <v>11</v>
      </c>
    </row>
    <row r="3245" spans="1:8" x14ac:dyDescent="0.25">
      <c r="A3245" t="s">
        <v>64</v>
      </c>
      <c r="B3245" t="s">
        <v>73</v>
      </c>
      <c r="C3245" t="s">
        <v>2958</v>
      </c>
      <c r="D3245">
        <v>1</v>
      </c>
      <c r="E3245" s="273">
        <v>6</v>
      </c>
      <c r="F3245" s="273" t="s">
        <v>75</v>
      </c>
      <c r="G3245" s="273" t="s">
        <v>11</v>
      </c>
      <c r="H3245" s="273" t="s">
        <v>11</v>
      </c>
    </row>
    <row r="3246" spans="1:8" x14ac:dyDescent="0.25">
      <c r="A3246" t="s">
        <v>64</v>
      </c>
      <c r="B3246" t="s">
        <v>73</v>
      </c>
      <c r="C3246" t="s">
        <v>2959</v>
      </c>
      <c r="D3246">
        <v>1</v>
      </c>
      <c r="E3246" s="273">
        <v>6</v>
      </c>
      <c r="F3246" s="273" t="s">
        <v>75</v>
      </c>
      <c r="G3246" s="273" t="s">
        <v>11</v>
      </c>
      <c r="H3246" s="273" t="s">
        <v>11</v>
      </c>
    </row>
    <row r="3247" spans="1:8" x14ac:dyDescent="0.25">
      <c r="A3247" t="s">
        <v>64</v>
      </c>
      <c r="B3247" t="s">
        <v>73</v>
      </c>
      <c r="C3247" t="s">
        <v>1380</v>
      </c>
      <c r="D3247">
        <v>1</v>
      </c>
      <c r="E3247" s="273">
        <v>6</v>
      </c>
      <c r="F3247" s="273" t="s">
        <v>75</v>
      </c>
      <c r="G3247" s="273" t="s">
        <v>11</v>
      </c>
      <c r="H3247" s="273" t="s">
        <v>11</v>
      </c>
    </row>
    <row r="3248" spans="1:8" x14ac:dyDescent="0.25">
      <c r="A3248" t="s">
        <v>64</v>
      </c>
      <c r="B3248" t="s">
        <v>73</v>
      </c>
      <c r="C3248" t="s">
        <v>2133</v>
      </c>
      <c r="D3248">
        <v>2</v>
      </c>
      <c r="E3248" s="273">
        <v>5</v>
      </c>
      <c r="F3248" s="273" t="s">
        <v>75</v>
      </c>
      <c r="G3248" s="273" t="s">
        <v>11</v>
      </c>
      <c r="H3248" s="273" t="s">
        <v>11</v>
      </c>
    </row>
    <row r="3249" spans="1:8" x14ac:dyDescent="0.25">
      <c r="A3249" t="s">
        <v>64</v>
      </c>
      <c r="B3249" t="s">
        <v>73</v>
      </c>
      <c r="C3249" t="s">
        <v>1795</v>
      </c>
      <c r="D3249">
        <v>1</v>
      </c>
      <c r="E3249" s="273">
        <v>6</v>
      </c>
      <c r="F3249" s="273" t="s">
        <v>75</v>
      </c>
      <c r="G3249" s="273" t="s">
        <v>11</v>
      </c>
      <c r="H3249" s="273" t="s">
        <v>11</v>
      </c>
    </row>
    <row r="3250" spans="1:8" x14ac:dyDescent="0.25">
      <c r="A3250" t="s">
        <v>64</v>
      </c>
      <c r="B3250" t="s">
        <v>73</v>
      </c>
      <c r="C3250" t="s">
        <v>2960</v>
      </c>
      <c r="D3250">
        <v>1</v>
      </c>
      <c r="E3250" s="273">
        <v>7</v>
      </c>
      <c r="F3250" s="273" t="s">
        <v>11</v>
      </c>
      <c r="G3250" s="273" t="s">
        <v>11</v>
      </c>
      <c r="H3250" s="273" t="s">
        <v>11</v>
      </c>
    </row>
    <row r="3251" spans="1:8" x14ac:dyDescent="0.25">
      <c r="A3251" t="s">
        <v>64</v>
      </c>
      <c r="B3251" t="s">
        <v>73</v>
      </c>
      <c r="C3251" t="s">
        <v>2961</v>
      </c>
      <c r="D3251">
        <v>1</v>
      </c>
      <c r="E3251" s="273">
        <v>6</v>
      </c>
      <c r="F3251" s="273" t="s">
        <v>75</v>
      </c>
      <c r="G3251" s="273" t="s">
        <v>11</v>
      </c>
      <c r="H3251" s="273" t="s">
        <v>11</v>
      </c>
    </row>
    <row r="3252" spans="1:8" x14ac:dyDescent="0.25">
      <c r="A3252" t="s">
        <v>64</v>
      </c>
      <c r="B3252" t="s">
        <v>73</v>
      </c>
      <c r="C3252" t="s">
        <v>1599</v>
      </c>
      <c r="D3252">
        <v>1</v>
      </c>
      <c r="E3252" s="273">
        <v>7</v>
      </c>
      <c r="F3252" s="273" t="s">
        <v>11</v>
      </c>
      <c r="G3252" s="273" t="s">
        <v>11</v>
      </c>
      <c r="H3252" s="273" t="s">
        <v>11</v>
      </c>
    </row>
    <row r="3253" spans="1:8" x14ac:dyDescent="0.25">
      <c r="A3253" t="s">
        <v>64</v>
      </c>
      <c r="B3253" t="s">
        <v>73</v>
      </c>
      <c r="C3253" t="s">
        <v>2962</v>
      </c>
      <c r="D3253">
        <v>1</v>
      </c>
      <c r="E3253" s="273">
        <v>6</v>
      </c>
      <c r="F3253" s="273" t="s">
        <v>75</v>
      </c>
      <c r="G3253" s="273" t="s">
        <v>11</v>
      </c>
      <c r="H3253" s="273" t="s">
        <v>11</v>
      </c>
    </row>
    <row r="3254" spans="1:8" x14ac:dyDescent="0.25">
      <c r="A3254" t="s">
        <v>64</v>
      </c>
      <c r="B3254" t="s">
        <v>73</v>
      </c>
      <c r="C3254" t="s">
        <v>2963</v>
      </c>
      <c r="D3254">
        <v>1</v>
      </c>
      <c r="E3254" s="273">
        <v>6</v>
      </c>
      <c r="F3254" s="273" t="s">
        <v>75</v>
      </c>
      <c r="G3254" s="273" t="s">
        <v>11</v>
      </c>
      <c r="H3254" s="273" t="s">
        <v>11</v>
      </c>
    </row>
    <row r="3255" spans="1:8" x14ac:dyDescent="0.25">
      <c r="A3255" t="s">
        <v>64</v>
      </c>
      <c r="B3255" t="s">
        <v>73</v>
      </c>
      <c r="C3255" t="s">
        <v>2964</v>
      </c>
      <c r="D3255">
        <v>2</v>
      </c>
      <c r="E3255" s="273">
        <v>6</v>
      </c>
      <c r="F3255" s="273" t="s">
        <v>75</v>
      </c>
      <c r="G3255" s="273" t="s">
        <v>11</v>
      </c>
      <c r="H3255" s="273" t="s">
        <v>11</v>
      </c>
    </row>
  </sheetData>
  <sheetProtection algorithmName="SHA-512" hashValue="X+GkF8PECCTxhS5StEHCmyvRs+KPK1pWW5Eyjch4v0bjJTXNb2SgdR60+Tg70FUCvVnayER6uE7AHUpU5bQcsQ==" saltValue="P/mZF/8x5kflX/zoKFgFAA==" spinCount="100000" sheet="1" objects="1" scenarios="1" selectLockedCells="1" selectUnlockedCells="1"/>
  <sortState xmlns:xlrd2="http://schemas.microsoft.com/office/spreadsheetml/2017/richdata2" ref="J2:J52">
    <sortCondition ref="J52"/>
  </sortState>
  <dataConsolidate link="1"/>
  <pageMargins left="0.7" right="0.7" top="0.75" bottom="0.75" header="0.3" footer="0.3"/>
  <pageSetup scale="72"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R35"/>
  <sheetViews>
    <sheetView showGridLines="0" zoomScaleNormal="100" workbookViewId="0">
      <selection activeCell="B3" sqref="B3:C3"/>
    </sheetView>
  </sheetViews>
  <sheetFormatPr defaultColWidth="9.140625" defaultRowHeight="15" x14ac:dyDescent="0.25"/>
  <cols>
    <col min="1" max="16384" width="9.140625" style="137"/>
  </cols>
  <sheetData>
    <row r="1" spans="1:18" ht="19.5" thickTop="1" x14ac:dyDescent="0.25">
      <c r="A1" s="2264" t="s">
        <v>3031</v>
      </c>
      <c r="B1" s="2265"/>
      <c r="C1" s="2265"/>
      <c r="D1" s="2265"/>
      <c r="E1" s="2265"/>
      <c r="F1" s="2265"/>
      <c r="G1" s="2265"/>
      <c r="H1" s="2265"/>
      <c r="I1" s="2265"/>
      <c r="J1" s="2265"/>
      <c r="K1" s="2265"/>
      <c r="L1" s="2265"/>
      <c r="M1" s="2265"/>
      <c r="N1" s="2265"/>
      <c r="O1" s="2265"/>
      <c r="P1" s="2265"/>
      <c r="Q1" s="2265"/>
      <c r="R1" s="2266"/>
    </row>
    <row r="2" spans="1:18" x14ac:dyDescent="0.25">
      <c r="A2" s="2262"/>
      <c r="B2" s="2263"/>
      <c r="C2" s="2263"/>
      <c r="D2" s="2263"/>
      <c r="E2" s="94"/>
      <c r="F2" s="94"/>
      <c r="G2" s="94"/>
      <c r="H2" s="94"/>
      <c r="I2" s="94"/>
      <c r="J2" s="94"/>
      <c r="K2" s="94"/>
      <c r="L2" s="94"/>
      <c r="M2" s="94"/>
      <c r="N2" s="94"/>
      <c r="O2" s="94"/>
      <c r="P2" s="94"/>
      <c r="Q2" s="94"/>
      <c r="R2" s="151"/>
    </row>
    <row r="3" spans="1:18" x14ac:dyDescent="0.25">
      <c r="A3" s="150"/>
      <c r="B3" s="2252" t="s">
        <v>3032</v>
      </c>
      <c r="C3" s="2252"/>
      <c r="E3" s="2252" t="s">
        <v>3033</v>
      </c>
      <c r="F3" s="2252"/>
      <c r="H3" s="2249" t="s">
        <v>4069</v>
      </c>
      <c r="I3" s="2250"/>
      <c r="J3" s="2251"/>
      <c r="K3" s="94"/>
      <c r="L3" s="94"/>
      <c r="M3" s="94"/>
      <c r="N3" s="94"/>
      <c r="O3" s="94"/>
      <c r="P3" s="94"/>
      <c r="Q3" s="94"/>
      <c r="R3" s="151"/>
    </row>
    <row r="4" spans="1:18" x14ac:dyDescent="0.25">
      <c r="A4" s="150"/>
      <c r="B4" s="94"/>
      <c r="C4" s="94"/>
      <c r="D4" s="94"/>
      <c r="E4" s="94"/>
      <c r="F4" s="94"/>
      <c r="G4" s="94"/>
      <c r="H4" s="94"/>
      <c r="I4" s="94"/>
      <c r="J4" s="94"/>
      <c r="K4" s="94"/>
      <c r="L4" s="94"/>
      <c r="M4" s="94"/>
      <c r="N4" s="94"/>
      <c r="O4" s="94"/>
      <c r="P4" s="94"/>
      <c r="Q4" s="94"/>
      <c r="R4" s="151"/>
    </row>
    <row r="5" spans="1:18" x14ac:dyDescent="0.25">
      <c r="A5" s="150"/>
      <c r="B5" s="94"/>
      <c r="C5" s="94"/>
      <c r="D5" s="94"/>
      <c r="E5" s="94"/>
      <c r="F5" s="94"/>
      <c r="G5" s="94"/>
      <c r="H5" s="94"/>
      <c r="I5" s="94"/>
      <c r="J5" s="94"/>
      <c r="K5" s="94"/>
      <c r="L5" s="94"/>
      <c r="M5" s="94"/>
      <c r="N5" s="94"/>
      <c r="O5" s="94"/>
      <c r="P5" s="94"/>
      <c r="Q5" s="94"/>
      <c r="R5" s="151"/>
    </row>
    <row r="6" spans="1:18" x14ac:dyDescent="0.25">
      <c r="A6" s="150"/>
      <c r="B6" s="94"/>
      <c r="C6" s="94"/>
      <c r="D6" s="94"/>
      <c r="E6" s="94"/>
      <c r="F6" s="94"/>
      <c r="G6" s="94"/>
      <c r="H6" s="94"/>
      <c r="I6" s="94"/>
      <c r="J6" s="94"/>
      <c r="K6" s="94"/>
      <c r="L6" s="94"/>
      <c r="M6" s="94"/>
      <c r="N6" s="94"/>
      <c r="O6" s="94"/>
      <c r="P6" s="94"/>
      <c r="Q6" s="94"/>
      <c r="R6" s="151"/>
    </row>
    <row r="7" spans="1:18" x14ac:dyDescent="0.25">
      <c r="A7" s="150"/>
      <c r="B7" s="94"/>
      <c r="C7" s="94"/>
      <c r="D7" s="94"/>
      <c r="E7" s="94"/>
      <c r="F7" s="94"/>
      <c r="G7" s="94"/>
      <c r="H7" s="94"/>
      <c r="I7" s="94"/>
      <c r="J7" s="94"/>
      <c r="K7" s="94"/>
      <c r="L7" s="94"/>
      <c r="M7" s="94"/>
      <c r="N7" s="94"/>
      <c r="O7" s="94"/>
      <c r="P7" s="94"/>
      <c r="Q7" s="94"/>
      <c r="R7" s="151"/>
    </row>
    <row r="8" spans="1:18" x14ac:dyDescent="0.25">
      <c r="A8" s="150"/>
      <c r="B8" s="94"/>
      <c r="C8" s="94"/>
      <c r="D8" s="94"/>
      <c r="E8" s="94"/>
      <c r="F8" s="94"/>
      <c r="G8" s="94"/>
      <c r="H8" s="94"/>
      <c r="I8" s="94"/>
      <c r="J8" s="94"/>
      <c r="K8" s="94"/>
      <c r="L8" s="94"/>
      <c r="M8" s="94"/>
      <c r="N8" s="94"/>
      <c r="O8" s="94"/>
      <c r="P8" s="94"/>
      <c r="Q8" s="94"/>
      <c r="R8" s="151"/>
    </row>
    <row r="9" spans="1:18" x14ac:dyDescent="0.25">
      <c r="A9" s="150"/>
      <c r="B9" s="94"/>
      <c r="C9" s="94"/>
      <c r="D9" s="94"/>
      <c r="E9" s="94"/>
      <c r="F9" s="94"/>
      <c r="G9" s="94"/>
      <c r="H9" s="94"/>
      <c r="I9" s="94"/>
      <c r="J9" s="94"/>
      <c r="K9" s="94"/>
      <c r="L9" s="94"/>
      <c r="M9" s="94"/>
      <c r="N9" s="94"/>
      <c r="O9" s="94"/>
      <c r="P9" s="94"/>
      <c r="Q9" s="94"/>
      <c r="R9" s="151"/>
    </row>
    <row r="10" spans="1:18" x14ac:dyDescent="0.25">
      <c r="A10" s="150"/>
      <c r="B10" s="94"/>
      <c r="C10" s="94"/>
      <c r="D10" s="94"/>
      <c r="E10" s="94"/>
      <c r="F10" s="94"/>
      <c r="G10" s="94"/>
      <c r="H10" s="94"/>
      <c r="I10" s="94"/>
      <c r="J10" s="94"/>
      <c r="K10" s="94"/>
      <c r="L10" s="94"/>
      <c r="M10" s="94"/>
      <c r="N10" s="94"/>
      <c r="O10" s="94"/>
      <c r="P10" s="94"/>
      <c r="Q10" s="94"/>
      <c r="R10" s="151"/>
    </row>
    <row r="11" spans="1:18" x14ac:dyDescent="0.25">
      <c r="A11" s="150"/>
      <c r="B11" s="94"/>
      <c r="C11" s="94"/>
      <c r="D11" s="94"/>
      <c r="E11" s="94"/>
      <c r="F11" s="94"/>
      <c r="G11" s="94"/>
      <c r="H11" s="94"/>
      <c r="I11" s="94"/>
      <c r="J11" s="94"/>
      <c r="K11" s="94"/>
      <c r="L11" s="94"/>
      <c r="M11" s="94"/>
      <c r="N11" s="94"/>
      <c r="O11" s="94"/>
      <c r="P11" s="94"/>
      <c r="Q11" s="94"/>
      <c r="R11" s="151"/>
    </row>
    <row r="12" spans="1:18" x14ac:dyDescent="0.25">
      <c r="A12" s="150"/>
      <c r="B12" s="94"/>
      <c r="C12" s="94"/>
      <c r="D12" s="94"/>
      <c r="E12" s="94"/>
      <c r="F12" s="94"/>
      <c r="G12" s="94"/>
      <c r="H12" s="94"/>
      <c r="I12" s="94"/>
      <c r="J12" s="94"/>
      <c r="K12" s="94"/>
      <c r="L12" s="94"/>
      <c r="M12" s="94"/>
      <c r="N12" s="94"/>
      <c r="O12" s="94"/>
      <c r="P12" s="94"/>
      <c r="Q12" s="94"/>
      <c r="R12" s="151"/>
    </row>
    <row r="13" spans="1:18" x14ac:dyDescent="0.25">
      <c r="A13" s="150"/>
      <c r="B13" s="94"/>
      <c r="C13" s="94"/>
      <c r="D13" s="94"/>
      <c r="E13" s="94"/>
      <c r="F13" s="94"/>
      <c r="G13" s="94"/>
      <c r="H13" s="94"/>
      <c r="I13" s="94"/>
      <c r="J13" s="94"/>
      <c r="K13" s="94"/>
      <c r="L13" s="94"/>
      <c r="M13" s="94"/>
      <c r="N13" s="94"/>
      <c r="O13" s="94"/>
      <c r="P13" s="94"/>
      <c r="Q13" s="94"/>
      <c r="R13" s="151"/>
    </row>
    <row r="14" spans="1:18" x14ac:dyDescent="0.25">
      <c r="A14" s="150"/>
      <c r="B14" s="94"/>
      <c r="C14" s="94"/>
      <c r="D14" s="94"/>
      <c r="E14" s="94"/>
      <c r="F14" s="94"/>
      <c r="G14" s="94"/>
      <c r="H14" s="94"/>
      <c r="I14" s="94"/>
      <c r="J14" s="94"/>
      <c r="K14" s="94"/>
      <c r="L14" s="94"/>
      <c r="M14" s="94"/>
      <c r="N14" s="94"/>
      <c r="O14" s="94"/>
      <c r="P14" s="94"/>
      <c r="Q14" s="94"/>
      <c r="R14" s="151"/>
    </row>
    <row r="15" spans="1:18" x14ac:dyDescent="0.25">
      <c r="A15" s="150"/>
      <c r="B15" s="94"/>
      <c r="C15" s="94"/>
      <c r="D15" s="94"/>
      <c r="E15" s="94"/>
      <c r="F15" s="94"/>
      <c r="G15" s="94"/>
      <c r="H15" s="94"/>
      <c r="I15" s="94"/>
      <c r="J15" s="94"/>
      <c r="K15" s="94"/>
      <c r="L15" s="94"/>
      <c r="M15" s="94"/>
      <c r="N15" s="94"/>
      <c r="O15" s="94"/>
      <c r="P15" s="94"/>
      <c r="Q15" s="94"/>
      <c r="R15" s="151"/>
    </row>
    <row r="16" spans="1:18" x14ac:dyDescent="0.25">
      <c r="A16" s="150"/>
      <c r="B16" s="94"/>
      <c r="C16" s="94"/>
      <c r="D16" s="94"/>
      <c r="E16" s="94"/>
      <c r="F16" s="94"/>
      <c r="G16" s="94"/>
      <c r="H16" s="94"/>
      <c r="I16" s="94"/>
      <c r="J16" s="94"/>
      <c r="K16" s="94"/>
      <c r="L16" s="94"/>
      <c r="M16" s="94"/>
      <c r="N16" s="94"/>
      <c r="O16" s="94"/>
      <c r="P16" s="94"/>
      <c r="Q16" s="94"/>
      <c r="R16" s="151"/>
    </row>
    <row r="17" spans="1:18" x14ac:dyDescent="0.25">
      <c r="A17" s="150"/>
      <c r="B17" s="94"/>
      <c r="C17" s="94"/>
      <c r="D17" s="94"/>
      <c r="E17" s="94"/>
      <c r="F17" s="94"/>
      <c r="G17" s="94"/>
      <c r="H17" s="94"/>
      <c r="I17" s="94"/>
      <c r="J17" s="94"/>
      <c r="K17" s="94"/>
      <c r="L17" s="94"/>
      <c r="M17" s="94"/>
      <c r="N17" s="94"/>
      <c r="O17" s="94"/>
      <c r="P17" s="94"/>
      <c r="Q17" s="94"/>
      <c r="R17" s="151"/>
    </row>
    <row r="18" spans="1:18" x14ac:dyDescent="0.25">
      <c r="A18" s="150"/>
      <c r="B18" s="94"/>
      <c r="C18" s="94"/>
      <c r="D18" s="94"/>
      <c r="E18" s="94"/>
      <c r="F18" s="94"/>
      <c r="G18" s="94"/>
      <c r="H18" s="94"/>
      <c r="I18" s="94"/>
      <c r="J18" s="94"/>
      <c r="K18" s="94"/>
      <c r="L18" s="94"/>
      <c r="M18" s="94"/>
      <c r="N18" s="94"/>
      <c r="O18" s="94"/>
      <c r="P18" s="94"/>
      <c r="Q18" s="94"/>
      <c r="R18" s="151"/>
    </row>
    <row r="19" spans="1:18" x14ac:dyDescent="0.25">
      <c r="A19" s="150"/>
      <c r="B19" s="94"/>
      <c r="C19" s="94"/>
      <c r="D19" s="94"/>
      <c r="E19" s="94"/>
      <c r="F19" s="94"/>
      <c r="G19" s="94"/>
      <c r="H19" s="94"/>
      <c r="I19" s="94"/>
      <c r="J19" s="94"/>
      <c r="K19" s="94"/>
      <c r="L19" s="94"/>
      <c r="M19" s="94"/>
      <c r="N19" s="94"/>
      <c r="O19" s="94"/>
      <c r="P19" s="94"/>
      <c r="Q19" s="94"/>
      <c r="R19" s="151"/>
    </row>
    <row r="20" spans="1:18" x14ac:dyDescent="0.25">
      <c r="A20" s="150"/>
      <c r="B20" s="94"/>
      <c r="C20" s="94"/>
      <c r="D20" s="94"/>
      <c r="E20" s="94"/>
      <c r="F20" s="94"/>
      <c r="G20" s="94"/>
      <c r="H20" s="94"/>
      <c r="I20" s="94"/>
      <c r="J20" s="94"/>
      <c r="K20" s="94"/>
      <c r="L20" s="94"/>
      <c r="M20" s="94"/>
      <c r="N20" s="94"/>
      <c r="O20" s="94"/>
      <c r="P20" s="94"/>
      <c r="Q20" s="94"/>
      <c r="R20" s="151"/>
    </row>
    <row r="21" spans="1:18" x14ac:dyDescent="0.25">
      <c r="A21" s="150"/>
      <c r="B21" s="94"/>
      <c r="C21" s="94"/>
      <c r="D21" s="94"/>
      <c r="E21" s="94"/>
      <c r="F21" s="94"/>
      <c r="G21" s="94"/>
      <c r="H21" s="94"/>
      <c r="I21" s="94"/>
      <c r="J21" s="94"/>
      <c r="K21" s="94"/>
      <c r="L21" s="94"/>
      <c r="M21" s="94"/>
      <c r="N21" s="94"/>
      <c r="O21" s="94"/>
      <c r="P21" s="94"/>
      <c r="Q21" s="94"/>
      <c r="R21" s="151"/>
    </row>
    <row r="22" spans="1:18" x14ac:dyDescent="0.25">
      <c r="A22" s="150"/>
      <c r="B22" s="94"/>
      <c r="C22" s="94"/>
      <c r="D22" s="94"/>
      <c r="E22" s="94"/>
      <c r="F22" s="94"/>
      <c r="G22" s="94"/>
      <c r="H22" s="94"/>
      <c r="I22" s="94"/>
      <c r="J22" s="94"/>
      <c r="K22" s="94"/>
      <c r="L22" s="94"/>
      <c r="M22" s="94"/>
      <c r="N22" s="94"/>
      <c r="O22" s="94"/>
      <c r="P22" s="94"/>
      <c r="Q22" s="94"/>
      <c r="R22" s="151"/>
    </row>
    <row r="23" spans="1:18" x14ac:dyDescent="0.25">
      <c r="A23" s="150"/>
      <c r="B23" s="94"/>
      <c r="C23" s="94"/>
      <c r="D23" s="94"/>
      <c r="E23" s="94"/>
      <c r="F23" s="94"/>
      <c r="G23" s="94"/>
      <c r="H23" s="94"/>
      <c r="I23" s="94"/>
      <c r="J23" s="94"/>
      <c r="K23" s="94"/>
      <c r="L23" s="94"/>
      <c r="M23" s="94"/>
      <c r="N23" s="94"/>
      <c r="O23" s="94"/>
      <c r="P23" s="94"/>
      <c r="Q23" s="94"/>
      <c r="R23" s="151"/>
    </row>
    <row r="24" spans="1:18" x14ac:dyDescent="0.25">
      <c r="A24" s="150"/>
      <c r="B24" s="94"/>
      <c r="C24" s="94"/>
      <c r="D24" s="94"/>
      <c r="E24" s="94"/>
      <c r="F24" s="94"/>
      <c r="G24" s="94"/>
      <c r="H24" s="94"/>
      <c r="I24" s="94"/>
      <c r="J24" s="94"/>
      <c r="K24" s="94"/>
      <c r="L24" s="94"/>
      <c r="M24" s="94"/>
      <c r="N24" s="94"/>
      <c r="O24" s="94"/>
      <c r="P24" s="94"/>
      <c r="Q24" s="94"/>
      <c r="R24" s="151"/>
    </row>
    <row r="25" spans="1:18" x14ac:dyDescent="0.25">
      <c r="A25" s="150"/>
      <c r="B25" s="94"/>
      <c r="C25" s="94"/>
      <c r="D25" s="94"/>
      <c r="E25" s="94"/>
      <c r="F25" s="94"/>
      <c r="G25" s="94"/>
      <c r="H25" s="94"/>
      <c r="I25" s="94"/>
      <c r="J25" s="94"/>
      <c r="K25" s="94"/>
      <c r="L25" s="94"/>
      <c r="M25" s="94"/>
      <c r="N25" s="94"/>
      <c r="O25" s="94"/>
      <c r="P25" s="94"/>
      <c r="Q25" s="94"/>
      <c r="R25" s="151"/>
    </row>
    <row r="26" spans="1:18" x14ac:dyDescent="0.25">
      <c r="A26" s="150"/>
      <c r="B26" s="94"/>
      <c r="C26" s="94"/>
      <c r="D26" s="94"/>
      <c r="E26" s="94"/>
      <c r="F26" s="94"/>
      <c r="G26" s="94"/>
      <c r="H26" s="94"/>
      <c r="I26" s="94"/>
      <c r="J26" s="94"/>
      <c r="K26" s="94"/>
      <c r="L26" s="94"/>
      <c r="M26" s="94"/>
      <c r="N26" s="94"/>
      <c r="O26" s="94"/>
      <c r="P26" s="94"/>
      <c r="Q26" s="94"/>
      <c r="R26" s="151"/>
    </row>
    <row r="27" spans="1:18" x14ac:dyDescent="0.25">
      <c r="A27" s="150"/>
      <c r="B27" s="94"/>
      <c r="C27" s="94"/>
      <c r="D27" s="94"/>
      <c r="E27" s="94"/>
      <c r="F27" s="94"/>
      <c r="G27" s="94"/>
      <c r="H27" s="94"/>
      <c r="I27" s="94"/>
      <c r="J27" s="94"/>
      <c r="K27" s="94"/>
      <c r="L27" s="94"/>
      <c r="M27" s="94"/>
      <c r="N27" s="94"/>
      <c r="O27" s="94"/>
      <c r="P27" s="94"/>
      <c r="Q27" s="94"/>
      <c r="R27" s="151"/>
    </row>
    <row r="28" spans="1:18" x14ac:dyDescent="0.25">
      <c r="A28" s="150"/>
      <c r="B28" s="94"/>
      <c r="C28" s="94"/>
      <c r="D28" s="94"/>
      <c r="E28" s="94"/>
      <c r="F28" s="94"/>
      <c r="G28" s="94"/>
      <c r="H28" s="94"/>
      <c r="I28" s="94"/>
      <c r="J28" s="94"/>
      <c r="K28" s="94"/>
      <c r="L28" s="94"/>
      <c r="M28" s="94"/>
      <c r="N28" s="94"/>
      <c r="O28" s="94"/>
      <c r="P28" s="94"/>
      <c r="Q28" s="94"/>
      <c r="R28" s="151"/>
    </row>
    <row r="29" spans="1:18" x14ac:dyDescent="0.25">
      <c r="A29" s="150"/>
      <c r="B29" s="94"/>
      <c r="C29" s="94"/>
      <c r="D29" s="94"/>
      <c r="E29" s="94"/>
      <c r="F29" s="94"/>
      <c r="G29" s="94"/>
      <c r="H29" s="94"/>
      <c r="I29" s="94"/>
      <c r="J29" s="94"/>
      <c r="K29" s="94"/>
      <c r="L29" s="94"/>
      <c r="M29" s="94"/>
      <c r="N29" s="94"/>
      <c r="O29" s="94"/>
      <c r="P29" s="94"/>
      <c r="Q29" s="94"/>
      <c r="R29" s="151"/>
    </row>
    <row r="30" spans="1:18" x14ac:dyDescent="0.25">
      <c r="A30" s="150"/>
      <c r="B30" s="94"/>
      <c r="C30" s="94"/>
      <c r="D30" s="94"/>
      <c r="E30" s="94"/>
      <c r="F30" s="94"/>
      <c r="G30" s="94"/>
      <c r="H30" s="94"/>
      <c r="I30" s="94"/>
      <c r="J30" s="94"/>
      <c r="K30" s="94"/>
      <c r="L30" s="94"/>
      <c r="M30" s="94"/>
      <c r="N30" s="94"/>
      <c r="O30" s="94"/>
      <c r="P30" s="94"/>
      <c r="Q30" s="94"/>
      <c r="R30" s="151"/>
    </row>
    <row r="31" spans="1:18" x14ac:dyDescent="0.25">
      <c r="A31" s="150"/>
      <c r="B31" s="94"/>
      <c r="C31" s="94"/>
      <c r="D31" s="94"/>
      <c r="E31" s="94"/>
      <c r="F31" s="94"/>
      <c r="G31" s="94"/>
      <c r="H31" s="94"/>
      <c r="I31" s="94"/>
      <c r="J31" s="94"/>
      <c r="K31" s="94"/>
      <c r="L31" s="94"/>
      <c r="M31" s="94"/>
      <c r="N31" s="94"/>
      <c r="O31" s="94"/>
      <c r="P31" s="94"/>
      <c r="Q31" s="94"/>
      <c r="R31" s="151"/>
    </row>
    <row r="32" spans="1:18" x14ac:dyDescent="0.25">
      <c r="A32" s="150"/>
      <c r="B32" s="94"/>
      <c r="C32" s="94"/>
      <c r="D32" s="94"/>
      <c r="E32" s="94"/>
      <c r="F32" s="94"/>
      <c r="G32" s="94"/>
      <c r="H32" s="94"/>
      <c r="I32" s="94"/>
      <c r="J32" s="94"/>
      <c r="K32" s="94"/>
      <c r="L32" s="94"/>
      <c r="M32" s="94"/>
      <c r="N32" s="94"/>
      <c r="O32" s="94"/>
      <c r="P32" s="94"/>
      <c r="Q32" s="94"/>
      <c r="R32" s="151"/>
    </row>
    <row r="33" spans="1:18" x14ac:dyDescent="0.25">
      <c r="A33" s="150"/>
      <c r="B33" s="155"/>
      <c r="C33" s="156"/>
      <c r="D33" s="94"/>
      <c r="E33" s="94"/>
      <c r="F33" s="94"/>
      <c r="G33" s="94"/>
      <c r="H33" s="94"/>
      <c r="I33" s="94"/>
      <c r="J33" s="94"/>
      <c r="K33" s="94"/>
      <c r="L33" s="94"/>
      <c r="M33" s="94"/>
      <c r="N33" s="94"/>
      <c r="O33" s="155" t="s">
        <v>3029</v>
      </c>
      <c r="P33" s="263" t="s">
        <v>3030</v>
      </c>
      <c r="Q33" s="94"/>
      <c r="R33" s="151"/>
    </row>
    <row r="34" spans="1:18" ht="15.75" thickBot="1" x14ac:dyDescent="0.3">
      <c r="A34" s="152"/>
      <c r="B34" s="153"/>
      <c r="C34" s="153"/>
      <c r="D34" s="153"/>
      <c r="E34" s="153"/>
      <c r="F34" s="153"/>
      <c r="G34" s="153"/>
      <c r="H34" s="153"/>
      <c r="I34" s="153"/>
      <c r="J34" s="153"/>
      <c r="K34" s="153"/>
      <c r="L34" s="153"/>
      <c r="M34" s="153"/>
      <c r="N34" s="153"/>
      <c r="O34" s="153"/>
      <c r="P34" s="153"/>
      <c r="Q34" s="153"/>
      <c r="R34" s="154"/>
    </row>
    <row r="35" spans="1:18" ht="15.75" thickTop="1" x14ac:dyDescent="0.25"/>
  </sheetData>
  <sheetProtection algorithmName="SHA-512" hashValue="Bq8uQNDKClQrthOLCincolbey0JvTiJMTCQuPgvUgBc4Y6FLmzihul9hvrNBBbOtGD1ZdBTPLFCaSC2cz7N/WQ==" saltValue="v+YK4tLk/V4r2OYEeAqDBA==" spinCount="100000" sheet="1" objects="1" scenarios="1" selectLockedCells="1"/>
  <mergeCells count="6">
    <mergeCell ref="A2:B2"/>
    <mergeCell ref="C2:D2"/>
    <mergeCell ref="A1:R1"/>
    <mergeCell ref="B3:C3"/>
    <mergeCell ref="E3:F3"/>
    <mergeCell ref="H3:J3"/>
  </mergeCells>
  <hyperlinks>
    <hyperlink ref="P33" r:id="rId1" xr:uid="{00000000-0004-0000-1B00-000000000000}"/>
    <hyperlink ref="B3:C3" location="hyptarg1" display="back to 602.1.5" xr:uid="{00000000-0004-0000-1B00-000001000000}"/>
    <hyperlink ref="E3:F3" location="hyptarg2" display="back to 602.1.6" xr:uid="{00000000-0004-0000-1B00-000002000000}"/>
    <hyperlink ref="H3:I3" location="'Verification Report'!A1" display="back to Verification Report" xr:uid="{00000000-0004-0000-1B00-000003000000}"/>
    <hyperlink ref="H3:J3" location="'Verification Report'!A1" display="back to Verification Report" xr:uid="{00000000-0004-0000-1B00-000004000000}"/>
  </hyperlinks>
  <pageMargins left="0.7" right="0.7" top="0.75" bottom="0.75" header="0.3" footer="0.3"/>
  <pageSetup scale="54" fitToHeight="0"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I6"/>
  <sheetViews>
    <sheetView showGridLines="0" zoomScaleNormal="100" workbookViewId="0">
      <selection activeCell="B2" sqref="B2:C2"/>
    </sheetView>
  </sheetViews>
  <sheetFormatPr defaultColWidth="9.140625" defaultRowHeight="15" x14ac:dyDescent="0.25"/>
  <cols>
    <col min="1" max="16384" width="9.140625" style="273"/>
  </cols>
  <sheetData>
    <row r="1" spans="2:9" s="330" customFormat="1" x14ac:dyDescent="0.25"/>
    <row r="2" spans="2:9" s="330" customFormat="1" x14ac:dyDescent="0.25">
      <c r="B2" s="2252" t="s">
        <v>3530</v>
      </c>
      <c r="C2" s="2252"/>
      <c r="F2" s="2249" t="s">
        <v>4069</v>
      </c>
      <c r="G2" s="2250"/>
      <c r="H2" s="2251"/>
    </row>
    <row r="5" spans="2:9" x14ac:dyDescent="0.25">
      <c r="D5" s="2240" t="s">
        <v>3434</v>
      </c>
      <c r="E5" s="2240"/>
      <c r="F5" s="2240"/>
      <c r="G5" s="2240"/>
      <c r="H5" s="2240"/>
      <c r="I5" s="2240"/>
    </row>
    <row r="6" spans="2:9" x14ac:dyDescent="0.25">
      <c r="D6" s="1867" t="s">
        <v>3433</v>
      </c>
      <c r="E6" s="1867"/>
      <c r="F6" s="1867"/>
      <c r="G6" s="1867"/>
      <c r="H6" s="1867"/>
      <c r="I6" s="1867"/>
    </row>
  </sheetData>
  <sheetProtection algorithmName="SHA-512" hashValue="Dstn+11rQV0In1tQAgPMhH1D/qfrQ+EwduAOuxilBjiFC0j97OopN0GmDwymEXoeLTnKhmt8yJj12zJw1K6uXQ==" saltValue="poQc7hB8LaQCpfSwnc36Yw==" spinCount="100000" sheet="1" objects="1" scenarios="1" selectLockedCells="1"/>
  <mergeCells count="4">
    <mergeCell ref="D5:I5"/>
    <mergeCell ref="D6:I6"/>
    <mergeCell ref="B2:C2"/>
    <mergeCell ref="F2:H2"/>
  </mergeCells>
  <hyperlinks>
    <hyperlink ref="B2:C2" location="hyptarg7.1" display="back to 701.4.3.2(2)" xr:uid="{00000000-0004-0000-1C00-000000000000}"/>
    <hyperlink ref="F2:G2" location="'Verification Report'!A1" display="back to Verification Report" xr:uid="{00000000-0004-0000-1C00-000001000000}"/>
    <hyperlink ref="F2:H2" location="'Verification Report'!A1" display="back to Verification Report" xr:uid="{00000000-0004-0000-1C00-000002000000}"/>
  </hyperlinks>
  <pageMargins left="0.7" right="0.7" top="0.75" bottom="0.75" header="0.3" footer="0.3"/>
  <pageSetup scale="8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J17"/>
  <sheetViews>
    <sheetView showGridLines="0" zoomScaleNormal="100" workbookViewId="0">
      <selection activeCell="B2" sqref="B2:C2"/>
    </sheetView>
  </sheetViews>
  <sheetFormatPr defaultColWidth="9.140625" defaultRowHeight="15" x14ac:dyDescent="0.25"/>
  <cols>
    <col min="1" max="1" width="9.140625" style="273"/>
    <col min="2" max="2" width="15.42578125" style="273" customWidth="1"/>
    <col min="3" max="10" width="11.42578125" style="273" customWidth="1"/>
    <col min="11" max="16384" width="9.140625" style="273"/>
  </cols>
  <sheetData>
    <row r="2" spans="2:10" x14ac:dyDescent="0.25">
      <c r="B2" s="2252" t="s">
        <v>3533</v>
      </c>
      <c r="C2" s="2252"/>
      <c r="H2" s="2249" t="s">
        <v>4069</v>
      </c>
      <c r="I2" s="2250"/>
      <c r="J2" s="2251"/>
    </row>
    <row r="3" spans="2:10" x14ac:dyDescent="0.25">
      <c r="B3" s="2269" t="s">
        <v>3432</v>
      </c>
      <c r="C3" s="2269"/>
      <c r="D3" s="2269"/>
      <c r="E3" s="2269"/>
      <c r="F3" s="2269"/>
      <c r="G3" s="2269"/>
      <c r="H3" s="2269"/>
      <c r="I3" s="2269"/>
      <c r="J3" s="2269"/>
    </row>
    <row r="4" spans="2:10" x14ac:dyDescent="0.25">
      <c r="B4" s="2268" t="s">
        <v>4265</v>
      </c>
      <c r="C4" s="2268"/>
      <c r="D4" s="2268"/>
      <c r="E4" s="2268"/>
      <c r="F4" s="2268"/>
      <c r="G4" s="2268"/>
      <c r="H4" s="2268"/>
      <c r="I4" s="2268"/>
      <c r="J4" s="2268"/>
    </row>
    <row r="5" spans="2:10" ht="32.25" customHeight="1" x14ac:dyDescent="0.25">
      <c r="B5" s="292" t="s">
        <v>3431</v>
      </c>
      <c r="C5" s="292" t="s">
        <v>3430</v>
      </c>
      <c r="D5" s="292" t="s">
        <v>3429</v>
      </c>
      <c r="E5" s="291" t="s">
        <v>3428</v>
      </c>
      <c r="F5" s="291" t="s">
        <v>3427</v>
      </c>
      <c r="G5" s="291" t="s">
        <v>3426</v>
      </c>
      <c r="H5" s="291" t="s">
        <v>3425</v>
      </c>
      <c r="I5" s="291" t="s">
        <v>3424</v>
      </c>
      <c r="J5" s="291" t="s">
        <v>3423</v>
      </c>
    </row>
    <row r="6" spans="2:10" x14ac:dyDescent="0.25">
      <c r="B6" s="290">
        <v>1</v>
      </c>
      <c r="C6" s="289">
        <v>0.5</v>
      </c>
      <c r="D6" s="288">
        <v>0.75</v>
      </c>
      <c r="E6" s="288">
        <v>3.5000000000000003E-2</v>
      </c>
      <c r="F6" s="288">
        <v>8.4000000000000005E-2</v>
      </c>
      <c r="G6" s="284">
        <v>0.19700000000000001</v>
      </c>
      <c r="H6" s="284">
        <v>6.4000000000000001E-2</v>
      </c>
      <c r="I6" s="284">
        <v>0.36</v>
      </c>
      <c r="J6" s="284">
        <v>0.47699999999999998</v>
      </c>
    </row>
    <row r="7" spans="2:10" x14ac:dyDescent="0.25">
      <c r="B7" s="290">
        <v>2</v>
      </c>
      <c r="C7" s="289">
        <v>0.4</v>
      </c>
      <c r="D7" s="288">
        <v>0.65</v>
      </c>
      <c r="E7" s="284">
        <v>0.03</v>
      </c>
      <c r="F7" s="288">
        <v>8.4000000000000005E-2</v>
      </c>
      <c r="G7" s="284">
        <v>0.16500000000000001</v>
      </c>
      <c r="H7" s="284">
        <v>6.4000000000000001E-2</v>
      </c>
      <c r="I7" s="284">
        <v>0.36</v>
      </c>
      <c r="J7" s="284">
        <v>0.47699999999999998</v>
      </c>
    </row>
    <row r="8" spans="2:10" x14ac:dyDescent="0.25">
      <c r="B8" s="286">
        <v>3</v>
      </c>
      <c r="C8" s="286">
        <v>0.35</v>
      </c>
      <c r="D8" s="278">
        <v>0.55000000000000004</v>
      </c>
      <c r="E8" s="284">
        <v>0.03</v>
      </c>
      <c r="F8" s="284">
        <v>0.06</v>
      </c>
      <c r="G8" s="285">
        <v>9.8000000000000004E-2</v>
      </c>
      <c r="H8" s="284">
        <v>4.7E-2</v>
      </c>
      <c r="I8" s="287" t="s">
        <v>3422</v>
      </c>
      <c r="J8" s="284">
        <v>0.13600000000000001</v>
      </c>
    </row>
    <row r="9" spans="2:10" ht="15" customHeight="1" x14ac:dyDescent="0.25">
      <c r="B9" s="286" t="s">
        <v>3421</v>
      </c>
      <c r="C9" s="277">
        <v>0.35</v>
      </c>
      <c r="D9" s="278">
        <v>0.55000000000000004</v>
      </c>
      <c r="E9" s="284">
        <v>2.5999999999999999E-2</v>
      </c>
      <c r="F9" s="284">
        <v>0.06</v>
      </c>
      <c r="G9" s="285">
        <v>9.8000000000000004E-2</v>
      </c>
      <c r="H9" s="284">
        <v>4.7E-2</v>
      </c>
      <c r="I9" s="284">
        <v>5.8999999999999997E-2</v>
      </c>
      <c r="J9" s="284">
        <v>6.5000000000000002E-2</v>
      </c>
    </row>
    <row r="10" spans="2:10" ht="15" customHeight="1" x14ac:dyDescent="0.25">
      <c r="B10" s="286" t="s">
        <v>3420</v>
      </c>
      <c r="C10" s="277">
        <v>0.32</v>
      </c>
      <c r="D10" s="278">
        <v>0.55000000000000004</v>
      </c>
      <c r="E10" s="284">
        <v>2.5999999999999999E-2</v>
      </c>
      <c r="F10" s="284">
        <v>0.06</v>
      </c>
      <c r="G10" s="285">
        <v>8.2000000000000003E-2</v>
      </c>
      <c r="H10" s="284">
        <v>3.3000000000000002E-2</v>
      </c>
      <c r="I10" s="284">
        <v>0.05</v>
      </c>
      <c r="J10" s="284">
        <v>5.5E-2</v>
      </c>
    </row>
    <row r="11" spans="2:10" ht="15" customHeight="1" x14ac:dyDescent="0.25">
      <c r="B11" s="286">
        <v>6</v>
      </c>
      <c r="C11" s="277">
        <v>0.32</v>
      </c>
      <c r="D11" s="277">
        <v>0.55000000000000004</v>
      </c>
      <c r="E11" s="284">
        <v>2.5999999999999999E-2</v>
      </c>
      <c r="F11" s="284">
        <v>4.4999999999999998E-2</v>
      </c>
      <c r="G11" s="285">
        <v>0.06</v>
      </c>
      <c r="H11" s="284">
        <v>3.3000000000000002E-2</v>
      </c>
      <c r="I11" s="284">
        <v>0.05</v>
      </c>
      <c r="J11" s="284">
        <v>5.5E-2</v>
      </c>
    </row>
    <row r="12" spans="2:10" x14ac:dyDescent="0.25">
      <c r="B12" s="277" t="s">
        <v>3419</v>
      </c>
      <c r="C12" s="277">
        <v>0.32</v>
      </c>
      <c r="D12" s="278">
        <v>0.55000000000000004</v>
      </c>
      <c r="E12" s="284">
        <v>2.5999999999999999E-2</v>
      </c>
      <c r="F12" s="284">
        <v>4.4999999999999998E-2</v>
      </c>
      <c r="G12" s="285">
        <v>5.7000000000000002E-2</v>
      </c>
      <c r="H12" s="284">
        <v>2.8000000000000001E-2</v>
      </c>
      <c r="I12" s="284">
        <v>0.05</v>
      </c>
      <c r="J12" s="284">
        <v>5.5E-2</v>
      </c>
    </row>
    <row r="13" spans="2:10" x14ac:dyDescent="0.25">
      <c r="B13" s="2270" t="s">
        <v>3418</v>
      </c>
      <c r="C13" s="2271"/>
      <c r="D13" s="2271"/>
      <c r="E13" s="2271"/>
      <c r="F13" s="2271"/>
      <c r="G13" s="2271"/>
      <c r="H13" s="2271"/>
      <c r="I13" s="2271"/>
      <c r="J13" s="2272"/>
    </row>
    <row r="14" spans="2:10" x14ac:dyDescent="0.25">
      <c r="B14" s="2273" t="s">
        <v>3417</v>
      </c>
      <c r="C14" s="2274"/>
      <c r="D14" s="2274"/>
      <c r="E14" s="2274"/>
      <c r="F14" s="2274"/>
      <c r="G14" s="2274"/>
      <c r="H14" s="2274"/>
      <c r="I14" s="2274"/>
      <c r="J14" s="2275"/>
    </row>
    <row r="15" spans="2:10" x14ac:dyDescent="0.25">
      <c r="B15" s="2273"/>
      <c r="C15" s="2274"/>
      <c r="D15" s="2274"/>
      <c r="E15" s="2274"/>
      <c r="F15" s="2274"/>
      <c r="G15" s="2274"/>
      <c r="H15" s="2274"/>
      <c r="I15" s="2274"/>
      <c r="J15" s="2275"/>
    </row>
    <row r="16" spans="2:10" x14ac:dyDescent="0.25">
      <c r="B16" s="2276" t="s">
        <v>3416</v>
      </c>
      <c r="C16" s="2277"/>
      <c r="D16" s="2277"/>
      <c r="E16" s="2277"/>
      <c r="F16" s="2277"/>
      <c r="G16" s="2277"/>
      <c r="H16" s="2277"/>
      <c r="I16" s="2277"/>
      <c r="J16" s="2278"/>
    </row>
    <row r="17" spans="2:10" x14ac:dyDescent="0.25">
      <c r="B17" s="2267" t="s">
        <v>3435</v>
      </c>
      <c r="C17" s="2267"/>
      <c r="D17" s="2267"/>
      <c r="E17" s="2267"/>
      <c r="F17" s="2267"/>
      <c r="G17" s="2267"/>
      <c r="H17" s="2267"/>
      <c r="I17" s="2267"/>
      <c r="J17" s="2267"/>
    </row>
  </sheetData>
  <sheetProtection algorithmName="SHA-512" hashValue="OHbI2BTBE6GPhj0hrBlFxUPY7olSUZUe3fJFN/FLZIMmVEdQaZJB+AZmsQ28NPHmCpd410sEiGy9iqCE/kcUvQ==" saltValue="fE2+CBimRs9V/Lc3hvtf1g==" spinCount="100000" sheet="1" objects="1" scenarios="1" selectLockedCells="1"/>
  <mergeCells count="8">
    <mergeCell ref="B2:C2"/>
    <mergeCell ref="B17:J17"/>
    <mergeCell ref="B4:J4"/>
    <mergeCell ref="B3:J3"/>
    <mergeCell ref="B13:J13"/>
    <mergeCell ref="B14:J15"/>
    <mergeCell ref="B16:J16"/>
    <mergeCell ref="H2:J2"/>
  </mergeCells>
  <hyperlinks>
    <hyperlink ref="B2:C2" location="hyptarg7.2" display="back to 703.2.1" xr:uid="{00000000-0004-0000-1D00-000000000000}"/>
    <hyperlink ref="H2:I2" location="'Verification Report'!A1" display="back to Verification Report" xr:uid="{00000000-0004-0000-1D00-000001000000}"/>
    <hyperlink ref="H2:J2" location="'Verification Report'!A1" display="back to Verification Report" xr:uid="{00000000-0004-0000-1D00-000002000000}"/>
  </hyperlinks>
  <pageMargins left="0.7" right="0.7" top="0.75" bottom="0.75" header="0.3" footer="0.3"/>
  <pageSetup scale="7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J19"/>
  <sheetViews>
    <sheetView showGridLines="0" zoomScaleNormal="100" workbookViewId="0">
      <selection activeCell="B2" sqref="B2:C2"/>
    </sheetView>
  </sheetViews>
  <sheetFormatPr defaultColWidth="9.140625" defaultRowHeight="15" x14ac:dyDescent="0.25"/>
  <cols>
    <col min="1" max="1" width="5.28515625" style="273" customWidth="1"/>
    <col min="2" max="2" width="14.42578125" style="273" customWidth="1"/>
    <col min="3" max="10" width="8.7109375" style="273" customWidth="1"/>
    <col min="11" max="16384" width="9.140625" style="273"/>
  </cols>
  <sheetData>
    <row r="2" spans="2:10" x14ac:dyDescent="0.25">
      <c r="B2" s="2252" t="s">
        <v>3533</v>
      </c>
      <c r="C2" s="2252"/>
      <c r="H2" s="2249" t="s">
        <v>4069</v>
      </c>
      <c r="I2" s="2250"/>
      <c r="J2" s="2251"/>
    </row>
    <row r="4" spans="2:10" x14ac:dyDescent="0.25">
      <c r="B4" s="2269" t="s">
        <v>3448</v>
      </c>
      <c r="C4" s="2269"/>
      <c r="D4" s="2269"/>
      <c r="E4" s="2269"/>
      <c r="F4" s="2269"/>
      <c r="G4" s="2269"/>
      <c r="H4" s="2269"/>
      <c r="I4" s="2269"/>
      <c r="J4" s="2269"/>
    </row>
    <row r="5" spans="2:10" x14ac:dyDescent="0.25">
      <c r="B5" s="2281" t="s">
        <v>3447</v>
      </c>
      <c r="C5" s="2281"/>
      <c r="D5" s="2281"/>
      <c r="E5" s="2281"/>
      <c r="F5" s="2281"/>
      <c r="G5" s="2281"/>
      <c r="H5" s="2281"/>
      <c r="I5" s="2281"/>
      <c r="J5" s="2281"/>
    </row>
    <row r="6" spans="2:10" s="791" customFormat="1" ht="15.75" thickBot="1" x14ac:dyDescent="0.3">
      <c r="B6" s="2290" t="s">
        <v>4266</v>
      </c>
      <c r="C6" s="2291"/>
      <c r="D6" s="2291"/>
      <c r="E6" s="2291"/>
      <c r="F6" s="2291"/>
      <c r="G6" s="2291"/>
      <c r="H6" s="2291"/>
      <c r="I6" s="2291"/>
      <c r="J6" s="2291"/>
    </row>
    <row r="7" spans="2:10" ht="15.75" thickTop="1" x14ac:dyDescent="0.25">
      <c r="B7" s="2284" t="s">
        <v>3446</v>
      </c>
      <c r="C7" s="2282" t="s">
        <v>3431</v>
      </c>
      <c r="D7" s="1792"/>
      <c r="E7" s="1792"/>
      <c r="F7" s="1792"/>
      <c r="G7" s="1792"/>
      <c r="H7" s="1792"/>
      <c r="I7" s="1792"/>
      <c r="J7" s="2283"/>
    </row>
    <row r="8" spans="2:10" x14ac:dyDescent="0.25">
      <c r="B8" s="2285"/>
      <c r="C8" s="300" t="s">
        <v>3445</v>
      </c>
      <c r="D8" s="299">
        <v>2</v>
      </c>
      <c r="E8" s="299">
        <v>3</v>
      </c>
      <c r="F8" s="299">
        <v>4</v>
      </c>
      <c r="G8" s="299">
        <v>5</v>
      </c>
      <c r="H8" s="299">
        <v>6</v>
      </c>
      <c r="I8" s="299">
        <v>7</v>
      </c>
      <c r="J8" s="299">
        <v>8</v>
      </c>
    </row>
    <row r="9" spans="2:10" x14ac:dyDescent="0.25">
      <c r="B9" s="2286"/>
      <c r="C9" s="2287" t="s">
        <v>3016</v>
      </c>
      <c r="D9" s="2288"/>
      <c r="E9" s="2288"/>
      <c r="F9" s="2288"/>
      <c r="G9" s="2288"/>
      <c r="H9" s="2288"/>
      <c r="I9" s="2288"/>
      <c r="J9" s="2289"/>
    </row>
    <row r="10" spans="2:10" x14ac:dyDescent="0.25">
      <c r="B10" s="286" t="s">
        <v>3444</v>
      </c>
      <c r="C10" s="298">
        <v>0</v>
      </c>
      <c r="D10" s="295">
        <v>0</v>
      </c>
      <c r="E10" s="293">
        <v>0</v>
      </c>
      <c r="F10" s="293">
        <v>0</v>
      </c>
      <c r="G10" s="294">
        <v>0</v>
      </c>
      <c r="H10" s="293">
        <v>0</v>
      </c>
      <c r="I10" s="297">
        <v>0</v>
      </c>
      <c r="J10" s="293">
        <v>0</v>
      </c>
    </row>
    <row r="11" spans="2:10" ht="15" customHeight="1" x14ac:dyDescent="0.25">
      <c r="B11" s="286" t="s">
        <v>3443</v>
      </c>
      <c r="C11" s="298">
        <v>2</v>
      </c>
      <c r="D11" s="296">
        <v>3</v>
      </c>
      <c r="E11" s="293">
        <v>3</v>
      </c>
      <c r="F11" s="293">
        <v>3</v>
      </c>
      <c r="G11" s="294">
        <v>3</v>
      </c>
      <c r="H11" s="293">
        <v>3</v>
      </c>
      <c r="I11" s="297">
        <v>3</v>
      </c>
      <c r="J11" s="293">
        <v>3</v>
      </c>
    </row>
    <row r="12" spans="2:10" ht="15" customHeight="1" x14ac:dyDescent="0.25">
      <c r="B12" s="286" t="s">
        <v>3442</v>
      </c>
      <c r="C12" s="298">
        <v>3</v>
      </c>
      <c r="D12" s="296">
        <v>6</v>
      </c>
      <c r="E12" s="293">
        <v>5</v>
      </c>
      <c r="F12" s="293">
        <v>6</v>
      </c>
      <c r="G12" s="294">
        <v>6</v>
      </c>
      <c r="H12" s="293">
        <v>6</v>
      </c>
      <c r="I12" s="297">
        <v>5</v>
      </c>
      <c r="J12" s="293">
        <v>7</v>
      </c>
    </row>
    <row r="13" spans="2:10" ht="15" customHeight="1" x14ac:dyDescent="0.25">
      <c r="B13" s="286" t="s">
        <v>3441</v>
      </c>
      <c r="C13" s="298">
        <v>5</v>
      </c>
      <c r="D13" s="296">
        <v>9</v>
      </c>
      <c r="E13" s="293">
        <v>8</v>
      </c>
      <c r="F13" s="293">
        <v>9</v>
      </c>
      <c r="G13" s="294">
        <v>9</v>
      </c>
      <c r="H13" s="293">
        <v>9</v>
      </c>
      <c r="I13" s="297">
        <v>8</v>
      </c>
      <c r="J13" s="293">
        <v>10</v>
      </c>
    </row>
    <row r="14" spans="2:10" ht="15" customHeight="1" x14ac:dyDescent="0.25">
      <c r="B14" s="286" t="s">
        <v>3440</v>
      </c>
      <c r="C14" s="296">
        <v>6</v>
      </c>
      <c r="D14" s="295">
        <v>12</v>
      </c>
      <c r="E14" s="293">
        <v>10</v>
      </c>
      <c r="F14" s="293">
        <v>12</v>
      </c>
      <c r="G14" s="294">
        <v>12</v>
      </c>
      <c r="H14" s="293">
        <v>12</v>
      </c>
      <c r="I14" s="293">
        <v>11</v>
      </c>
      <c r="J14" s="293">
        <v>13</v>
      </c>
    </row>
    <row r="15" spans="2:10" ht="15" customHeight="1" x14ac:dyDescent="0.25">
      <c r="B15" s="286" t="s">
        <v>3439</v>
      </c>
      <c r="C15" s="296">
        <v>8</v>
      </c>
      <c r="D15" s="295">
        <v>15</v>
      </c>
      <c r="E15" s="293">
        <v>13</v>
      </c>
      <c r="F15" s="293">
        <v>16</v>
      </c>
      <c r="G15" s="294">
        <v>14</v>
      </c>
      <c r="H15" s="293">
        <v>15</v>
      </c>
      <c r="I15" s="293">
        <v>14</v>
      </c>
      <c r="J15" s="293">
        <v>17</v>
      </c>
    </row>
    <row r="16" spans="2:10" ht="15" customHeight="1" x14ac:dyDescent="0.25">
      <c r="B16" s="286" t="s">
        <v>3438</v>
      </c>
      <c r="C16" s="296">
        <v>10</v>
      </c>
      <c r="D16" s="296">
        <v>18</v>
      </c>
      <c r="E16" s="293">
        <v>16</v>
      </c>
      <c r="F16" s="293">
        <v>19</v>
      </c>
      <c r="G16" s="294">
        <v>17</v>
      </c>
      <c r="H16" s="293">
        <v>18</v>
      </c>
      <c r="I16" s="293">
        <v>16</v>
      </c>
      <c r="J16" s="293">
        <v>20</v>
      </c>
    </row>
    <row r="17" spans="2:10" x14ac:dyDescent="0.25">
      <c r="B17" s="286" t="s">
        <v>3437</v>
      </c>
      <c r="C17" s="296">
        <v>11</v>
      </c>
      <c r="D17" s="295">
        <v>21</v>
      </c>
      <c r="E17" s="293">
        <v>18</v>
      </c>
      <c r="F17" s="293">
        <v>22</v>
      </c>
      <c r="G17" s="294">
        <v>20</v>
      </c>
      <c r="H17" s="293">
        <v>21</v>
      </c>
      <c r="I17" s="293">
        <v>19</v>
      </c>
      <c r="J17" s="293">
        <v>23</v>
      </c>
    </row>
    <row r="18" spans="2:10" x14ac:dyDescent="0.25">
      <c r="B18" s="2280" t="s">
        <v>3436</v>
      </c>
      <c r="C18" s="2280"/>
      <c r="D18" s="2280"/>
      <c r="E18" s="2280"/>
      <c r="F18" s="2280"/>
      <c r="G18" s="2280"/>
      <c r="H18" s="2280"/>
      <c r="I18" s="2280"/>
      <c r="J18" s="2280"/>
    </row>
    <row r="19" spans="2:10" ht="22.5" customHeight="1" x14ac:dyDescent="0.25">
      <c r="B19" s="2279" t="s">
        <v>4267</v>
      </c>
      <c r="C19" s="2279"/>
      <c r="D19" s="2279"/>
      <c r="E19" s="2279"/>
      <c r="F19" s="2279"/>
      <c r="G19" s="2279"/>
      <c r="H19" s="2279"/>
      <c r="I19" s="2279"/>
      <c r="J19" s="2279"/>
    </row>
  </sheetData>
  <sheetProtection algorithmName="SHA-512" hashValue="NsHQCZXHAtFpMW2TXHTA0fy5m41Cm5N5kkPLL1dZIipbsKW9rdwJpzvM5ywYAXK+6fPccs5H/g4axr8nwo+aUQ==" saltValue="ertEEQC3c76jEEy5uOIdcA==" spinCount="100000" sheet="1" objects="1" scenarios="1" selectLockedCells="1"/>
  <mergeCells count="10">
    <mergeCell ref="B19:J19"/>
    <mergeCell ref="B2:C2"/>
    <mergeCell ref="B18:J18"/>
    <mergeCell ref="B4:J4"/>
    <mergeCell ref="B5:J5"/>
    <mergeCell ref="C7:J7"/>
    <mergeCell ref="B7:B9"/>
    <mergeCell ref="C9:J9"/>
    <mergeCell ref="H2:J2"/>
    <mergeCell ref="B6:J6"/>
  </mergeCells>
  <hyperlinks>
    <hyperlink ref="B2:C2" location="hyptarg7.2" display="back to 703.2.1" xr:uid="{00000000-0004-0000-1E00-000000000000}"/>
    <hyperlink ref="H2:I2" location="'Verification Report'!A1" display="back to Verification Report" xr:uid="{00000000-0004-0000-1E00-000001000000}"/>
    <hyperlink ref="H2:J2" location="'Verification Report'!A1" display="back to Verification Report" xr:uid="{00000000-0004-0000-1E00-000002000000}"/>
  </hyperlinks>
  <pageMargins left="0.7" right="0.7" top="0.75" bottom="0.75" header="0.3" footer="0.3"/>
  <pageSetup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G15"/>
  <sheetViews>
    <sheetView showGridLines="0" zoomScaleNormal="100" workbookViewId="0">
      <selection activeCell="B2" sqref="B2:C2"/>
    </sheetView>
  </sheetViews>
  <sheetFormatPr defaultColWidth="9.140625" defaultRowHeight="15" x14ac:dyDescent="0.25"/>
  <cols>
    <col min="1" max="1" width="4.7109375" style="273" customWidth="1"/>
    <col min="2" max="2" width="15" style="273" bestFit="1" customWidth="1"/>
    <col min="3" max="16384" width="9.140625" style="273"/>
  </cols>
  <sheetData>
    <row r="2" spans="2:7" x14ac:dyDescent="0.25">
      <c r="B2" s="2252" t="s">
        <v>3766</v>
      </c>
      <c r="C2" s="2252"/>
      <c r="E2" s="2249" t="s">
        <v>4069</v>
      </c>
      <c r="F2" s="2250"/>
      <c r="G2" s="2251"/>
    </row>
    <row r="3" spans="2:7" customFormat="1" x14ac:dyDescent="0.25"/>
    <row r="4" spans="2:7" x14ac:dyDescent="0.25">
      <c r="B4" s="2269" t="s">
        <v>3455</v>
      </c>
      <c r="C4" s="2269"/>
      <c r="D4" s="2269"/>
      <c r="E4" s="2269"/>
      <c r="F4" s="2269"/>
    </row>
    <row r="5" spans="2:7" x14ac:dyDescent="0.25">
      <c r="B5" s="2268" t="s">
        <v>3454</v>
      </c>
      <c r="C5" s="2268"/>
      <c r="D5" s="2268"/>
      <c r="E5" s="2268"/>
      <c r="F5" s="2268"/>
    </row>
    <row r="6" spans="2:7" x14ac:dyDescent="0.25">
      <c r="B6" s="2284" t="s">
        <v>3453</v>
      </c>
      <c r="C6" s="2292" t="s">
        <v>3431</v>
      </c>
      <c r="D6" s="2292"/>
      <c r="E6" s="2292"/>
      <c r="F6" s="2292"/>
    </row>
    <row r="7" spans="2:7" x14ac:dyDescent="0.25">
      <c r="B7" s="2285"/>
      <c r="C7" s="303" t="s">
        <v>3452</v>
      </c>
      <c r="D7" s="299">
        <v>5</v>
      </c>
      <c r="E7" s="299">
        <v>6</v>
      </c>
      <c r="F7" s="302" t="s">
        <v>3451</v>
      </c>
    </row>
    <row r="8" spans="2:7" x14ac:dyDescent="0.25">
      <c r="B8" s="2286"/>
      <c r="C8" s="2287" t="s">
        <v>3016</v>
      </c>
      <c r="D8" s="2288"/>
      <c r="E8" s="2288"/>
      <c r="F8" s="2288"/>
    </row>
    <row r="9" spans="2:7" ht="15" customHeight="1" x14ac:dyDescent="0.25">
      <c r="B9" s="286" t="s">
        <v>3450</v>
      </c>
      <c r="C9" s="298">
        <v>1</v>
      </c>
      <c r="D9" s="295">
        <v>0</v>
      </c>
      <c r="E9" s="293">
        <v>0</v>
      </c>
      <c r="F9" s="293">
        <v>0</v>
      </c>
    </row>
    <row r="10" spans="2:7" x14ac:dyDescent="0.25">
      <c r="B10" s="286" t="s">
        <v>3449</v>
      </c>
      <c r="C10" s="298">
        <v>3</v>
      </c>
      <c r="D10" s="296">
        <v>2</v>
      </c>
      <c r="E10" s="293">
        <v>2</v>
      </c>
      <c r="F10" s="293">
        <v>0</v>
      </c>
    </row>
    <row r="15" spans="2:7" x14ac:dyDescent="0.25">
      <c r="F15" s="301"/>
    </row>
  </sheetData>
  <sheetProtection algorithmName="SHA-512" hashValue="fgcKG9isswUfWdVI+5Z3K1CrJDCWNzS0y6ctV8DE5XoavoP1Z9AhFwaZQvAS++N+DkorrfvH1sr+ZZONWFRUzg==" saltValue="lqlmExNCEC3JRQFZUQXEVQ==" spinCount="100000" sheet="1" objects="1" scenarios="1" selectLockedCells="1"/>
  <mergeCells count="7">
    <mergeCell ref="B2:C2"/>
    <mergeCell ref="B6:B8"/>
    <mergeCell ref="C6:F6"/>
    <mergeCell ref="C8:F8"/>
    <mergeCell ref="B4:F4"/>
    <mergeCell ref="B5:F5"/>
    <mergeCell ref="E2:G2"/>
  </mergeCells>
  <hyperlinks>
    <hyperlink ref="B2:C2" location="hyptarg7.3" display="back to 703.2.2" xr:uid="{00000000-0004-0000-1F00-000000000000}"/>
    <hyperlink ref="E2:F2" location="'Verification Report'!A1" display="back to Verification Report" xr:uid="{00000000-0004-0000-1F00-000001000000}"/>
    <hyperlink ref="E2:G2" location="'Verification Report'!A1" display="back to Verification Report" xr:uid="{00000000-0004-0000-1F00-000002000000}"/>
  </hyperlinks>
  <pageMargins left="0.7" right="0.7" top="0.75" bottom="0.75" header="0.3" footer="0.3"/>
  <pageSetup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2:J25"/>
  <sheetViews>
    <sheetView showGridLines="0" zoomScaleNormal="100" workbookViewId="0">
      <selection activeCell="B2" sqref="B2:C2"/>
    </sheetView>
  </sheetViews>
  <sheetFormatPr defaultColWidth="9.140625" defaultRowHeight="15" x14ac:dyDescent="0.25"/>
  <cols>
    <col min="1" max="1" width="4" style="273" customWidth="1"/>
    <col min="2" max="2" width="12.140625" style="273" customWidth="1"/>
    <col min="3" max="10" width="5.28515625" style="273" customWidth="1"/>
    <col min="11" max="16384" width="9.140625" style="273"/>
  </cols>
  <sheetData>
    <row r="2" spans="2:10" s="394" customFormat="1" x14ac:dyDescent="0.25">
      <c r="B2" s="2252" t="s">
        <v>3767</v>
      </c>
      <c r="C2" s="2252"/>
      <c r="G2" s="2249" t="s">
        <v>4069</v>
      </c>
      <c r="H2" s="2250"/>
      <c r="I2" s="2250"/>
      <c r="J2" s="2251"/>
    </row>
    <row r="4" spans="2:10" ht="15" customHeight="1" x14ac:dyDescent="0.25">
      <c r="B4" s="2294" t="s">
        <v>4270</v>
      </c>
      <c r="C4" s="2294"/>
      <c r="D4" s="2294"/>
      <c r="E4" s="2294"/>
      <c r="F4" s="2294"/>
      <c r="G4" s="2294"/>
      <c r="H4" s="2294"/>
      <c r="I4" s="2294"/>
      <c r="J4" s="2294"/>
    </row>
    <row r="5" spans="2:10" x14ac:dyDescent="0.25">
      <c r="B5" s="2268" t="s">
        <v>3460</v>
      </c>
      <c r="C5" s="2268"/>
      <c r="D5" s="2268"/>
      <c r="E5" s="2268"/>
      <c r="F5" s="2268"/>
      <c r="G5" s="2268"/>
      <c r="H5" s="2268"/>
      <c r="I5" s="2268"/>
      <c r="J5" s="2268"/>
    </row>
    <row r="6" spans="2:10" x14ac:dyDescent="0.25">
      <c r="B6" s="2295" t="s">
        <v>3459</v>
      </c>
      <c r="C6" s="2298" t="s">
        <v>3431</v>
      </c>
      <c r="D6" s="2299"/>
      <c r="E6" s="2299"/>
      <c r="F6" s="2299"/>
      <c r="G6" s="2299"/>
      <c r="H6" s="2299"/>
      <c r="I6" s="2299"/>
      <c r="J6" s="2300"/>
    </row>
    <row r="7" spans="2:10" x14ac:dyDescent="0.25">
      <c r="B7" s="2296"/>
      <c r="C7" s="300">
        <v>1</v>
      </c>
      <c r="D7" s="299">
        <v>2</v>
      </c>
      <c r="E7" s="299">
        <v>3</v>
      </c>
      <c r="F7" s="299">
        <v>4</v>
      </c>
      <c r="G7" s="299">
        <v>5</v>
      </c>
      <c r="H7" s="299">
        <v>6</v>
      </c>
      <c r="I7" s="299">
        <v>7</v>
      </c>
      <c r="J7" s="299">
        <v>8</v>
      </c>
    </row>
    <row r="8" spans="2:10" x14ac:dyDescent="0.25">
      <c r="B8" s="2297"/>
      <c r="C8" s="2287" t="s">
        <v>3016</v>
      </c>
      <c r="D8" s="2288"/>
      <c r="E8" s="2288"/>
      <c r="F8" s="2288"/>
      <c r="G8" s="2288"/>
      <c r="H8" s="2288"/>
      <c r="I8" s="2288"/>
      <c r="J8" s="2289"/>
    </row>
    <row r="9" spans="2:10" x14ac:dyDescent="0.25">
      <c r="B9" s="286">
        <v>4</v>
      </c>
      <c r="C9" s="298">
        <v>1</v>
      </c>
      <c r="D9" s="295">
        <v>2</v>
      </c>
      <c r="E9" s="305" t="s">
        <v>3458</v>
      </c>
      <c r="F9" s="305" t="s">
        <v>3458</v>
      </c>
      <c r="G9" s="307" t="s">
        <v>3458</v>
      </c>
      <c r="H9" s="305" t="s">
        <v>3458</v>
      </c>
      <c r="I9" s="306" t="s">
        <v>3458</v>
      </c>
      <c r="J9" s="305" t="s">
        <v>3458</v>
      </c>
    </row>
    <row r="10" spans="2:10" x14ac:dyDescent="0.25">
      <c r="B10" s="286">
        <v>3</v>
      </c>
      <c r="C10" s="298">
        <v>2</v>
      </c>
      <c r="D10" s="296">
        <v>4</v>
      </c>
      <c r="E10" s="305" t="s">
        <v>3458</v>
      </c>
      <c r="F10" s="305" t="s">
        <v>3458</v>
      </c>
      <c r="G10" s="307" t="s">
        <v>3458</v>
      </c>
      <c r="H10" s="305" t="s">
        <v>3458</v>
      </c>
      <c r="I10" s="306" t="s">
        <v>3458</v>
      </c>
      <c r="J10" s="305" t="s">
        <v>3458</v>
      </c>
    </row>
    <row r="11" spans="2:10" x14ac:dyDescent="0.25">
      <c r="B11" s="286">
        <v>2</v>
      </c>
      <c r="C11" s="298">
        <v>3</v>
      </c>
      <c r="D11" s="296">
        <v>5</v>
      </c>
      <c r="E11" s="293">
        <v>3</v>
      </c>
      <c r="F11" s="293">
        <v>4</v>
      </c>
      <c r="G11" s="294">
        <v>4</v>
      </c>
      <c r="H11" s="293">
        <v>6</v>
      </c>
      <c r="I11" s="297">
        <v>8</v>
      </c>
      <c r="J11" s="293">
        <v>7</v>
      </c>
    </row>
    <row r="12" spans="2:10" x14ac:dyDescent="0.25">
      <c r="B12" s="286">
        <v>1</v>
      </c>
      <c r="C12" s="298">
        <v>4</v>
      </c>
      <c r="D12" s="296">
        <v>7</v>
      </c>
      <c r="E12" s="293">
        <v>5</v>
      </c>
      <c r="F12" s="293">
        <v>7</v>
      </c>
      <c r="G12" s="294">
        <v>7</v>
      </c>
      <c r="H12" s="293">
        <v>10</v>
      </c>
      <c r="I12" s="297">
        <v>15</v>
      </c>
      <c r="J12" s="293">
        <v>11</v>
      </c>
    </row>
    <row r="14" spans="2:10" ht="15" customHeight="1" x14ac:dyDescent="0.25">
      <c r="B14" s="2294" t="s">
        <v>4271</v>
      </c>
      <c r="C14" s="2294"/>
      <c r="D14" s="2294"/>
      <c r="E14" s="2294"/>
      <c r="F14" s="2294"/>
      <c r="G14" s="2294"/>
      <c r="H14" s="2294"/>
      <c r="I14" s="2294"/>
      <c r="J14" s="2294"/>
    </row>
    <row r="15" spans="2:10" x14ac:dyDescent="0.25">
      <c r="B15" s="2302" t="s">
        <v>3460</v>
      </c>
      <c r="C15" s="2302"/>
      <c r="D15" s="2302"/>
      <c r="E15" s="2302"/>
      <c r="F15" s="2302"/>
      <c r="G15" s="2302"/>
      <c r="H15" s="2302"/>
      <c r="I15" s="2302"/>
      <c r="J15" s="2302"/>
    </row>
    <row r="16" spans="2:10" x14ac:dyDescent="0.25">
      <c r="B16" s="2303" t="s">
        <v>4268</v>
      </c>
      <c r="C16" s="2303" t="s">
        <v>3431</v>
      </c>
      <c r="D16" s="2303"/>
      <c r="E16" s="2303"/>
      <c r="F16" s="2303"/>
      <c r="G16" s="2303"/>
      <c r="H16" s="2303"/>
      <c r="I16" s="2303"/>
      <c r="J16" s="2303"/>
    </row>
    <row r="17" spans="2:10" x14ac:dyDescent="0.25">
      <c r="B17" s="2303"/>
      <c r="C17" s="864">
        <v>1</v>
      </c>
      <c r="D17" s="864">
        <v>2</v>
      </c>
      <c r="E17" s="864">
        <v>3</v>
      </c>
      <c r="F17" s="864">
        <v>4</v>
      </c>
      <c r="G17" s="864">
        <v>5</v>
      </c>
      <c r="H17" s="864">
        <v>6</v>
      </c>
      <c r="I17" s="864">
        <v>7</v>
      </c>
      <c r="J17" s="864">
        <v>8</v>
      </c>
    </row>
    <row r="18" spans="2:10" x14ac:dyDescent="0.25">
      <c r="B18" s="2303"/>
      <c r="C18" s="2304" t="s">
        <v>3016</v>
      </c>
      <c r="D18" s="2304"/>
      <c r="E18" s="2304"/>
      <c r="F18" s="2304"/>
      <c r="G18" s="2304"/>
      <c r="H18" s="2304"/>
      <c r="I18" s="2304"/>
      <c r="J18" s="2304"/>
    </row>
    <row r="19" spans="2:10" x14ac:dyDescent="0.25">
      <c r="B19" s="864">
        <v>0.28000000000000003</v>
      </c>
      <c r="C19" s="815">
        <v>1</v>
      </c>
      <c r="D19" s="815">
        <v>2</v>
      </c>
      <c r="E19" s="865" t="s">
        <v>3458</v>
      </c>
      <c r="F19" s="865" t="s">
        <v>3458</v>
      </c>
      <c r="G19" s="865" t="s">
        <v>3458</v>
      </c>
      <c r="H19" s="865" t="s">
        <v>3458</v>
      </c>
      <c r="I19" s="865" t="s">
        <v>3458</v>
      </c>
      <c r="J19" s="865" t="s">
        <v>3458</v>
      </c>
    </row>
    <row r="20" spans="2:10" x14ac:dyDescent="0.25">
      <c r="B20" s="864">
        <v>0.23</v>
      </c>
      <c r="C20" s="815">
        <v>2</v>
      </c>
      <c r="D20" s="815">
        <v>4</v>
      </c>
      <c r="E20" s="865" t="s">
        <v>3458</v>
      </c>
      <c r="F20" s="865" t="s">
        <v>3458</v>
      </c>
      <c r="G20" s="865" t="s">
        <v>3458</v>
      </c>
      <c r="H20" s="865" t="s">
        <v>3458</v>
      </c>
      <c r="I20" s="865" t="s">
        <v>3458</v>
      </c>
      <c r="J20" s="865" t="s">
        <v>3458</v>
      </c>
    </row>
    <row r="21" spans="2:10" x14ac:dyDescent="0.25">
      <c r="B21" s="864">
        <v>0.18</v>
      </c>
      <c r="C21" s="815">
        <v>3</v>
      </c>
      <c r="D21" s="815">
        <v>5</v>
      </c>
      <c r="E21" s="815">
        <v>3</v>
      </c>
      <c r="F21" s="815">
        <v>4</v>
      </c>
      <c r="G21" s="815">
        <v>4</v>
      </c>
      <c r="H21" s="815">
        <v>6</v>
      </c>
      <c r="I21" s="815">
        <v>8</v>
      </c>
      <c r="J21" s="815">
        <v>7</v>
      </c>
    </row>
    <row r="22" spans="2:10" x14ac:dyDescent="0.25">
      <c r="B22" s="864">
        <v>0.13</v>
      </c>
      <c r="C22" s="815">
        <v>4</v>
      </c>
      <c r="D22" s="815">
        <v>7</v>
      </c>
      <c r="E22" s="815">
        <v>5</v>
      </c>
      <c r="F22" s="815">
        <v>7</v>
      </c>
      <c r="G22" s="815">
        <v>7</v>
      </c>
      <c r="H22" s="815">
        <v>10</v>
      </c>
      <c r="I22" s="815">
        <v>15</v>
      </c>
      <c r="J22" s="815">
        <v>11</v>
      </c>
    </row>
    <row r="23" spans="2:10" x14ac:dyDescent="0.25">
      <c r="B23" s="2301" t="s">
        <v>4269</v>
      </c>
      <c r="C23" s="2301"/>
      <c r="D23" s="2301"/>
      <c r="E23" s="2301"/>
      <c r="F23" s="2301"/>
      <c r="G23" s="2301"/>
      <c r="H23" s="2301"/>
      <c r="I23" s="2301"/>
      <c r="J23" s="2301"/>
    </row>
    <row r="25" spans="2:10" x14ac:dyDescent="0.25">
      <c r="B25" s="2293" t="s">
        <v>3457</v>
      </c>
      <c r="C25" s="2293"/>
      <c r="D25" s="2293"/>
      <c r="E25" s="2293"/>
      <c r="F25" s="2293"/>
      <c r="G25" s="2293"/>
      <c r="H25" s="2293"/>
      <c r="I25" s="2293"/>
      <c r="J25" s="2293"/>
    </row>
  </sheetData>
  <sheetProtection algorithmName="SHA-512" hashValue="kgPm3ky+bXU4BZF9jZPDJDtYn8SOgz6/ANQHqur+oFAn6YkAc6Nu4r2vyUNJMXlElj8ugI1mZATKrXuDZerKGA==" saltValue="BLY1CN1nTv7h0yWrjOhImA==" spinCount="100000" sheet="1" objects="1" scenarios="1" selectLockedCells="1"/>
  <mergeCells count="14">
    <mergeCell ref="B2:C2"/>
    <mergeCell ref="B25:J25"/>
    <mergeCell ref="B4:J4"/>
    <mergeCell ref="B5:J5"/>
    <mergeCell ref="B6:B8"/>
    <mergeCell ref="C6:J6"/>
    <mergeCell ref="C8:J8"/>
    <mergeCell ref="G2:J2"/>
    <mergeCell ref="B23:J23"/>
    <mergeCell ref="B14:J14"/>
    <mergeCell ref="B15:J15"/>
    <mergeCell ref="B16:B18"/>
    <mergeCell ref="C16:J16"/>
    <mergeCell ref="C18:J18"/>
  </mergeCells>
  <hyperlinks>
    <hyperlink ref="B2:C2" location="hyptarg7.3" display="back to 703.2.4" xr:uid="{00000000-0004-0000-2000-000000000000}"/>
    <hyperlink ref="G2:I2" location="'Verification Report'!A1" display="back to Verification Report" xr:uid="{00000000-0004-0000-2000-000001000000}"/>
  </hyperlinks>
  <pageMargins left="0.7" right="0.7" top="0.75" bottom="0.75" header="0.3" footer="0.3"/>
  <pageSetup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B2:H15"/>
  <sheetViews>
    <sheetView showGridLines="0" zoomScaleNormal="100" workbookViewId="0">
      <selection activeCell="B2" sqref="B2:C2"/>
    </sheetView>
  </sheetViews>
  <sheetFormatPr defaultColWidth="9.140625" defaultRowHeight="15" x14ac:dyDescent="0.25"/>
  <cols>
    <col min="1" max="1" width="9.140625" style="273"/>
    <col min="2" max="2" width="9.5703125" style="273" customWidth="1"/>
    <col min="3" max="6" width="11.28515625" style="273" customWidth="1"/>
    <col min="7" max="16384" width="9.140625" style="273"/>
  </cols>
  <sheetData>
    <row r="2" spans="2:8" x14ac:dyDescent="0.25">
      <c r="B2" s="2252" t="s">
        <v>3780</v>
      </c>
      <c r="C2" s="2252"/>
      <c r="E2" s="2252" t="s">
        <v>4069</v>
      </c>
      <c r="F2" s="2252"/>
      <c r="G2"/>
      <c r="H2"/>
    </row>
    <row r="4" spans="2:8" x14ac:dyDescent="0.25">
      <c r="B4" s="2269" t="s">
        <v>3470</v>
      </c>
      <c r="C4" s="2269"/>
      <c r="D4" s="2269"/>
      <c r="E4" s="2269"/>
      <c r="F4" s="2269"/>
    </row>
    <row r="5" spans="2:8" x14ac:dyDescent="0.25">
      <c r="B5" s="2268" t="s">
        <v>3469</v>
      </c>
      <c r="C5" s="2268"/>
      <c r="D5" s="2268"/>
      <c r="E5" s="2268"/>
      <c r="F5" s="2268"/>
    </row>
    <row r="6" spans="2:8" ht="15" customHeight="1" x14ac:dyDescent="0.25">
      <c r="B6" s="2284" t="s">
        <v>3468</v>
      </c>
      <c r="C6" s="299" t="s">
        <v>3467</v>
      </c>
      <c r="D6" s="299" t="s">
        <v>3466</v>
      </c>
      <c r="E6" s="299" t="s">
        <v>3467</v>
      </c>
      <c r="F6" s="299" t="s">
        <v>3466</v>
      </c>
    </row>
    <row r="7" spans="2:8" ht="39" customHeight="1" x14ac:dyDescent="0.25">
      <c r="B7" s="2286"/>
      <c r="C7" s="2307" t="s">
        <v>3465</v>
      </c>
      <c r="D7" s="2308"/>
      <c r="E7" s="2307" t="s">
        <v>3464</v>
      </c>
      <c r="F7" s="2308"/>
    </row>
    <row r="8" spans="2:8" x14ac:dyDescent="0.25">
      <c r="B8" s="286">
        <v>1</v>
      </c>
      <c r="C8" s="309">
        <v>0.5</v>
      </c>
      <c r="D8" s="309">
        <v>0.25</v>
      </c>
      <c r="E8" s="308">
        <v>0.75</v>
      </c>
      <c r="F8" s="309">
        <v>0.3</v>
      </c>
    </row>
    <row r="9" spans="2:8" x14ac:dyDescent="0.25">
      <c r="B9" s="286">
        <v>2</v>
      </c>
      <c r="C9" s="309">
        <v>0.4</v>
      </c>
      <c r="D9" s="309">
        <v>0.25</v>
      </c>
      <c r="E9" s="308">
        <v>0.65</v>
      </c>
      <c r="F9" s="309">
        <v>0.3</v>
      </c>
    </row>
    <row r="10" spans="2:8" x14ac:dyDescent="0.25">
      <c r="B10" s="286">
        <v>3</v>
      </c>
      <c r="C10" s="309">
        <v>0.32</v>
      </c>
      <c r="D10" s="309">
        <v>0.25</v>
      </c>
      <c r="E10" s="308">
        <v>0.55000000000000004</v>
      </c>
      <c r="F10" s="309">
        <v>0.3</v>
      </c>
    </row>
    <row r="11" spans="2:8" x14ac:dyDescent="0.25">
      <c r="B11" s="286">
        <v>4</v>
      </c>
      <c r="C11" s="309">
        <v>0.32</v>
      </c>
      <c r="D11" s="309">
        <v>0.4</v>
      </c>
      <c r="E11" s="308">
        <v>0.55000000000000004</v>
      </c>
      <c r="F11" s="309">
        <v>0.4</v>
      </c>
    </row>
    <row r="12" spans="2:8" x14ac:dyDescent="0.25">
      <c r="B12" s="286" t="s">
        <v>3463</v>
      </c>
      <c r="C12" s="309" t="s">
        <v>4274</v>
      </c>
      <c r="D12" s="309" t="s">
        <v>3462</v>
      </c>
      <c r="E12" s="308">
        <v>0.55000000000000004</v>
      </c>
      <c r="F12" s="308" t="s">
        <v>3462</v>
      </c>
    </row>
    <row r="13" spans="2:8" ht="25.5" customHeight="1" x14ac:dyDescent="0.25">
      <c r="B13" s="2305" t="s">
        <v>4275</v>
      </c>
      <c r="C13" s="2305"/>
      <c r="D13" s="2305"/>
      <c r="E13" s="2305"/>
      <c r="F13" s="2305"/>
    </row>
    <row r="14" spans="2:8" ht="46.5" customHeight="1" x14ac:dyDescent="0.25">
      <c r="B14" s="2306" t="s">
        <v>4276</v>
      </c>
      <c r="C14" s="2306"/>
      <c r="D14" s="2306"/>
      <c r="E14" s="2306"/>
      <c r="F14" s="2306"/>
    </row>
    <row r="15" spans="2:8" x14ac:dyDescent="0.25">
      <c r="B15" s="802"/>
      <c r="C15" s="802"/>
      <c r="D15" s="802"/>
      <c r="E15" s="802"/>
      <c r="F15" s="802"/>
    </row>
  </sheetData>
  <sheetProtection algorithmName="SHA-512" hashValue="GdQhx3PdaknzTIzBcTFeJDUEqSFsn1BWB+rDjNDZU1IfSqxtLhHlW+Q94a8xWMEJbmwM8Kzkh+w6wkkEyH/v6Q==" saltValue="q6F2JwneHtcIOm4IId8y8g==" spinCount="100000" sheet="1" objects="1" scenarios="1" selectLockedCells="1"/>
  <mergeCells count="9">
    <mergeCell ref="B13:F13"/>
    <mergeCell ref="B14:F14"/>
    <mergeCell ref="B2:C2"/>
    <mergeCell ref="B6:B7"/>
    <mergeCell ref="E7:F7"/>
    <mergeCell ref="C7:D7"/>
    <mergeCell ref="B4:F4"/>
    <mergeCell ref="B5:F5"/>
    <mergeCell ref="E2:F2"/>
  </mergeCells>
  <hyperlinks>
    <hyperlink ref="B2:C2" location="hyptarg7.4" display="back to 703.2.5.1" xr:uid="{00000000-0004-0000-2100-000000000000}"/>
    <hyperlink ref="E2:F2" location="'Verification Report'!A1" display="back to Verification Report" xr:uid="{00000000-0004-0000-2100-000001000000}"/>
  </hyperlinks>
  <pageMargins left="0.7" right="0.7" top="0.75" bottom="0.75" header="0.3" footer="0.3"/>
  <pageSetup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B1:K40"/>
  <sheetViews>
    <sheetView showGridLines="0" zoomScaleNormal="100" workbookViewId="0">
      <selection activeCell="B2" sqref="B2:C2"/>
    </sheetView>
  </sheetViews>
  <sheetFormatPr defaultColWidth="9.140625" defaultRowHeight="15" x14ac:dyDescent="0.25"/>
  <cols>
    <col min="1" max="1" width="6" style="273" customWidth="1"/>
    <col min="2" max="2" width="9.140625" style="4"/>
    <col min="3" max="6" width="17.7109375" style="4" customWidth="1"/>
    <col min="7" max="11" width="9.140625" style="4"/>
    <col min="12" max="16384" width="9.140625" style="273"/>
  </cols>
  <sheetData>
    <row r="1" spans="2:11" s="417" customFormat="1" x14ac:dyDescent="0.25">
      <c r="B1" s="4"/>
      <c r="C1" s="4"/>
      <c r="D1" s="4"/>
      <c r="E1" s="4"/>
      <c r="F1" s="4"/>
      <c r="G1" s="4"/>
      <c r="H1" s="4"/>
      <c r="I1" s="4"/>
      <c r="J1" s="4"/>
      <c r="K1" s="4"/>
    </row>
    <row r="2" spans="2:11" s="417" customFormat="1" x14ac:dyDescent="0.25">
      <c r="B2" s="2252" t="s">
        <v>3782</v>
      </c>
      <c r="C2" s="2252"/>
      <c r="D2" s="4"/>
      <c r="E2" s="4"/>
      <c r="F2" s="2252" t="s">
        <v>4069</v>
      </c>
      <c r="G2" s="2252"/>
      <c r="H2" s="4"/>
      <c r="I2" s="4"/>
      <c r="J2" s="4"/>
      <c r="K2" s="4"/>
    </row>
    <row r="4" spans="2:11" ht="15" customHeight="1" x14ac:dyDescent="0.25">
      <c r="B4" s="2269" t="s">
        <v>3480</v>
      </c>
      <c r="C4" s="2269"/>
      <c r="D4" s="2269"/>
      <c r="E4" s="2269"/>
      <c r="F4" s="2269"/>
      <c r="G4" s="2269"/>
    </row>
    <row r="5" spans="2:11" ht="15" customHeight="1" x14ac:dyDescent="0.25">
      <c r="B5" s="2268" t="s">
        <v>3477</v>
      </c>
      <c r="C5" s="2268"/>
      <c r="D5" s="2268"/>
      <c r="E5" s="2268"/>
      <c r="F5" s="2268"/>
      <c r="G5" s="2268"/>
    </row>
    <row r="6" spans="2:11" ht="30.75" customHeight="1" x14ac:dyDescent="0.25">
      <c r="B6" s="314" t="s">
        <v>3431</v>
      </c>
      <c r="C6" s="314" t="s">
        <v>3476</v>
      </c>
      <c r="D6" s="314" t="s">
        <v>3475</v>
      </c>
      <c r="E6" s="314" t="s">
        <v>3474</v>
      </c>
      <c r="F6" s="314" t="s">
        <v>3473</v>
      </c>
      <c r="G6" s="313" t="s">
        <v>3016</v>
      </c>
    </row>
    <row r="7" spans="2:11" x14ac:dyDescent="0.25">
      <c r="B7" s="312">
        <v>1</v>
      </c>
      <c r="C7" s="310">
        <v>0.4</v>
      </c>
      <c r="D7" s="310">
        <v>0.25</v>
      </c>
      <c r="E7" s="310">
        <v>0.6</v>
      </c>
      <c r="F7" s="310">
        <v>0.28000000000000003</v>
      </c>
      <c r="G7" s="304">
        <v>1</v>
      </c>
    </row>
    <row r="8" spans="2:11" x14ac:dyDescent="0.25">
      <c r="B8" s="312">
        <v>2</v>
      </c>
      <c r="C8" s="310">
        <v>0.4</v>
      </c>
      <c r="D8" s="310">
        <v>0.25</v>
      </c>
      <c r="E8" s="310">
        <v>0.6</v>
      </c>
      <c r="F8" s="310">
        <v>0.28000000000000003</v>
      </c>
      <c r="G8" s="304">
        <v>1</v>
      </c>
    </row>
    <row r="9" spans="2:11" x14ac:dyDescent="0.25">
      <c r="B9" s="312">
        <v>3</v>
      </c>
      <c r="C9" s="310">
        <v>0.3</v>
      </c>
      <c r="D9" s="310">
        <v>0.25</v>
      </c>
      <c r="E9" s="310">
        <v>0.53</v>
      </c>
      <c r="F9" s="310">
        <v>0.28000000000000003</v>
      </c>
      <c r="G9" s="304">
        <v>2</v>
      </c>
    </row>
    <row r="10" spans="2:11" x14ac:dyDescent="0.25">
      <c r="B10" s="312">
        <v>4</v>
      </c>
      <c r="C10" s="310">
        <v>0.3</v>
      </c>
      <c r="D10" s="310">
        <v>0.4</v>
      </c>
      <c r="E10" s="310">
        <v>0.53</v>
      </c>
      <c r="F10" s="310">
        <v>0.35</v>
      </c>
      <c r="G10" s="304">
        <v>3</v>
      </c>
    </row>
    <row r="11" spans="2:11" x14ac:dyDescent="0.25">
      <c r="B11" s="312">
        <v>5</v>
      </c>
      <c r="C11" s="310">
        <v>0.27</v>
      </c>
      <c r="D11" s="310" t="s">
        <v>3462</v>
      </c>
      <c r="E11" s="310">
        <v>0.5</v>
      </c>
      <c r="F11" s="310" t="s">
        <v>3462</v>
      </c>
      <c r="G11" s="304">
        <v>3</v>
      </c>
    </row>
    <row r="12" spans="2:11" x14ac:dyDescent="0.25">
      <c r="B12" s="312">
        <v>6</v>
      </c>
      <c r="C12" s="310">
        <v>0.27</v>
      </c>
      <c r="D12" s="310" t="s">
        <v>3462</v>
      </c>
      <c r="E12" s="310">
        <v>0.5</v>
      </c>
      <c r="F12" s="310" t="s">
        <v>3462</v>
      </c>
      <c r="G12" s="304">
        <v>4</v>
      </c>
    </row>
    <row r="13" spans="2:11" x14ac:dyDescent="0.25">
      <c r="B13" s="312">
        <v>7</v>
      </c>
      <c r="C13" s="310">
        <v>0.27</v>
      </c>
      <c r="D13" s="310" t="s">
        <v>3462</v>
      </c>
      <c r="E13" s="310">
        <v>0.5</v>
      </c>
      <c r="F13" s="310" t="s">
        <v>3462</v>
      </c>
      <c r="G13" s="304">
        <v>4</v>
      </c>
    </row>
    <row r="14" spans="2:11" x14ac:dyDescent="0.25">
      <c r="B14" s="312">
        <v>8</v>
      </c>
      <c r="C14" s="310">
        <v>0.27</v>
      </c>
      <c r="D14" s="310" t="s">
        <v>3462</v>
      </c>
      <c r="E14" s="310">
        <v>0.5</v>
      </c>
      <c r="F14" s="310" t="s">
        <v>3462</v>
      </c>
      <c r="G14" s="304">
        <v>4</v>
      </c>
    </row>
    <row r="15" spans="2:11" x14ac:dyDescent="0.25">
      <c r="B15" s="1853" t="s">
        <v>3461</v>
      </c>
      <c r="C15" s="1853"/>
      <c r="D15" s="1853"/>
      <c r="E15" s="1853"/>
      <c r="F15" s="1853"/>
      <c r="G15" s="1853"/>
    </row>
    <row r="16" spans="2:11" x14ac:dyDescent="0.25">
      <c r="B16" s="2309"/>
      <c r="C16" s="2309"/>
      <c r="D16" s="2309"/>
      <c r="E16" s="2309"/>
      <c r="F16" s="2309"/>
      <c r="G16" s="2309"/>
    </row>
    <row r="17" spans="2:7" x14ac:dyDescent="0.25">
      <c r="B17" s="276"/>
      <c r="C17" s="276"/>
      <c r="D17" s="276"/>
      <c r="E17" s="276"/>
      <c r="F17" s="276"/>
      <c r="G17" s="276"/>
    </row>
    <row r="18" spans="2:7" x14ac:dyDescent="0.25">
      <c r="B18" s="2269" t="s">
        <v>3479</v>
      </c>
      <c r="C18" s="2269"/>
      <c r="D18" s="2269"/>
      <c r="E18" s="2269"/>
      <c r="F18" s="2269"/>
      <c r="G18" s="2269"/>
    </row>
    <row r="19" spans="2:7" x14ac:dyDescent="0.25">
      <c r="B19" s="2268" t="s">
        <v>3477</v>
      </c>
      <c r="C19" s="2268"/>
      <c r="D19" s="2268"/>
      <c r="E19" s="2268"/>
      <c r="F19" s="2268"/>
      <c r="G19" s="2268"/>
    </row>
    <row r="20" spans="2:7" x14ac:dyDescent="0.25">
      <c r="B20" s="2310" t="s">
        <v>3431</v>
      </c>
      <c r="C20" s="2310" t="s">
        <v>3476</v>
      </c>
      <c r="D20" s="2310" t="s">
        <v>3475</v>
      </c>
      <c r="E20" s="2310" t="s">
        <v>3474</v>
      </c>
      <c r="F20" s="2310" t="s">
        <v>3473</v>
      </c>
      <c r="G20" s="2312" t="s">
        <v>3016</v>
      </c>
    </row>
    <row r="21" spans="2:7" ht="21" customHeight="1" x14ac:dyDescent="0.25">
      <c r="B21" s="2311"/>
      <c r="C21" s="2311"/>
      <c r="D21" s="2311"/>
      <c r="E21" s="2311"/>
      <c r="F21" s="2311"/>
      <c r="G21" s="2313"/>
    </row>
    <row r="22" spans="2:7" x14ac:dyDescent="0.25">
      <c r="B22" s="312">
        <v>1</v>
      </c>
      <c r="C22" s="310">
        <v>0.38</v>
      </c>
      <c r="D22" s="310">
        <v>0.25</v>
      </c>
      <c r="E22" s="310">
        <v>0.55000000000000004</v>
      </c>
      <c r="F22" s="310">
        <v>0.28000000000000003</v>
      </c>
      <c r="G22" s="304">
        <v>2</v>
      </c>
    </row>
    <row r="23" spans="2:7" x14ac:dyDescent="0.25">
      <c r="B23" s="312">
        <v>2</v>
      </c>
      <c r="C23" s="310">
        <v>0.38</v>
      </c>
      <c r="D23" s="310">
        <v>0.25</v>
      </c>
      <c r="E23" s="310">
        <v>0.53</v>
      </c>
      <c r="F23" s="310">
        <v>0.28000000000000003</v>
      </c>
      <c r="G23" s="304">
        <v>3</v>
      </c>
    </row>
    <row r="24" spans="2:7" x14ac:dyDescent="0.25">
      <c r="B24" s="312">
        <v>3</v>
      </c>
      <c r="C24" s="310">
        <v>0.3</v>
      </c>
      <c r="D24" s="310">
        <v>0.25</v>
      </c>
      <c r="E24" s="310">
        <v>0.5</v>
      </c>
      <c r="F24" s="310">
        <v>0.28000000000000003</v>
      </c>
      <c r="G24" s="304">
        <v>4</v>
      </c>
    </row>
    <row r="25" spans="2:7" x14ac:dyDescent="0.25">
      <c r="B25" s="312">
        <v>4</v>
      </c>
      <c r="C25" s="310">
        <v>0.28000000000000003</v>
      </c>
      <c r="D25" s="310">
        <v>0.4</v>
      </c>
      <c r="E25" s="310">
        <v>0.5</v>
      </c>
      <c r="F25" s="310">
        <v>0.35</v>
      </c>
      <c r="G25" s="304">
        <v>4</v>
      </c>
    </row>
    <row r="26" spans="2:7" x14ac:dyDescent="0.25">
      <c r="B26" s="312">
        <v>5</v>
      </c>
      <c r="C26" s="310">
        <v>0.25</v>
      </c>
      <c r="D26" s="310" t="s">
        <v>3462</v>
      </c>
      <c r="E26" s="310">
        <v>0.48</v>
      </c>
      <c r="F26" s="310" t="s">
        <v>3462</v>
      </c>
      <c r="G26" s="304">
        <v>4</v>
      </c>
    </row>
    <row r="27" spans="2:7" x14ac:dyDescent="0.25">
      <c r="B27" s="312">
        <v>6</v>
      </c>
      <c r="C27" s="310">
        <v>0.25</v>
      </c>
      <c r="D27" s="310" t="s">
        <v>3462</v>
      </c>
      <c r="E27" s="310">
        <v>0.48</v>
      </c>
      <c r="F27" s="310" t="s">
        <v>3462</v>
      </c>
      <c r="G27" s="304">
        <v>5</v>
      </c>
    </row>
    <row r="28" spans="2:7" x14ac:dyDescent="0.25">
      <c r="B28" s="312">
        <v>7</v>
      </c>
      <c r="C28" s="310">
        <v>0.25</v>
      </c>
      <c r="D28" s="310" t="s">
        <v>3462</v>
      </c>
      <c r="E28" s="310">
        <v>0.46</v>
      </c>
      <c r="F28" s="310" t="s">
        <v>3462</v>
      </c>
      <c r="G28" s="304">
        <v>5</v>
      </c>
    </row>
    <row r="29" spans="2:7" x14ac:dyDescent="0.25">
      <c r="B29" s="312">
        <v>8</v>
      </c>
      <c r="C29" s="310">
        <v>0.25</v>
      </c>
      <c r="D29" s="310" t="s">
        <v>3462</v>
      </c>
      <c r="E29" s="310">
        <v>0.46</v>
      </c>
      <c r="F29" s="310" t="s">
        <v>3462</v>
      </c>
      <c r="G29" s="304">
        <v>4</v>
      </c>
    </row>
    <row r="30" spans="2:7" x14ac:dyDescent="0.25">
      <c r="B30" s="1853" t="s">
        <v>3461</v>
      </c>
      <c r="C30" s="1853"/>
      <c r="D30" s="1853"/>
      <c r="E30" s="1853"/>
      <c r="F30" s="1853"/>
      <c r="G30" s="1853"/>
    </row>
    <row r="31" spans="2:7" x14ac:dyDescent="0.25">
      <c r="B31" s="2309"/>
      <c r="C31" s="2309"/>
      <c r="D31" s="2309"/>
      <c r="E31" s="2309"/>
      <c r="F31" s="2309"/>
      <c r="G31" s="2309"/>
    </row>
    <row r="33" spans="2:7" x14ac:dyDescent="0.25">
      <c r="B33" s="2269" t="s">
        <v>3478</v>
      </c>
      <c r="C33" s="2269"/>
      <c r="D33" s="2269"/>
      <c r="E33" s="2269"/>
      <c r="F33" s="2269"/>
      <c r="G33" s="2269"/>
    </row>
    <row r="34" spans="2:7" x14ac:dyDescent="0.25">
      <c r="B34" s="2268" t="s">
        <v>3477</v>
      </c>
      <c r="C34" s="2268"/>
      <c r="D34" s="2268"/>
      <c r="E34" s="2268"/>
      <c r="F34" s="2268"/>
      <c r="G34" s="2268"/>
    </row>
    <row r="35" spans="2:7" x14ac:dyDescent="0.25">
      <c r="B35" s="2310" t="s">
        <v>3431</v>
      </c>
      <c r="C35" s="2310" t="s">
        <v>3476</v>
      </c>
      <c r="D35" s="2310" t="s">
        <v>3475</v>
      </c>
      <c r="E35" s="2310" t="s">
        <v>3474</v>
      </c>
      <c r="F35" s="2310" t="s">
        <v>3473</v>
      </c>
      <c r="G35" s="2312" t="s">
        <v>3016</v>
      </c>
    </row>
    <row r="36" spans="2:7" ht="21.75" customHeight="1" x14ac:dyDescent="0.25">
      <c r="B36" s="2311"/>
      <c r="C36" s="2311"/>
      <c r="D36" s="2311"/>
      <c r="E36" s="2311"/>
      <c r="F36" s="2311"/>
      <c r="G36" s="2313"/>
    </row>
    <row r="37" spans="2:7" x14ac:dyDescent="0.25">
      <c r="B37" s="312">
        <v>4</v>
      </c>
      <c r="C37" s="310">
        <v>0.25</v>
      </c>
      <c r="D37" s="310">
        <v>0.4</v>
      </c>
      <c r="E37" s="310">
        <v>0.45</v>
      </c>
      <c r="F37" s="310">
        <v>0.4</v>
      </c>
      <c r="G37" s="304">
        <v>6</v>
      </c>
    </row>
    <row r="38" spans="2:7" x14ac:dyDescent="0.25">
      <c r="B38" s="311" t="s">
        <v>3472</v>
      </c>
      <c r="C38" s="310">
        <v>0.22</v>
      </c>
      <c r="D38" s="310" t="s">
        <v>3462</v>
      </c>
      <c r="E38" s="310">
        <v>0.42</v>
      </c>
      <c r="F38" s="310" t="s">
        <v>3462</v>
      </c>
      <c r="G38" s="304">
        <v>6</v>
      </c>
    </row>
    <row r="39" spans="2:7" x14ac:dyDescent="0.25">
      <c r="B39" s="1853" t="s">
        <v>3471</v>
      </c>
      <c r="C39" s="1853"/>
      <c r="D39" s="1853"/>
      <c r="E39" s="1853"/>
      <c r="F39" s="1853"/>
      <c r="G39" s="1853"/>
    </row>
    <row r="40" spans="2:7" x14ac:dyDescent="0.25">
      <c r="B40" s="2309"/>
      <c r="C40" s="2309"/>
      <c r="D40" s="2309"/>
      <c r="E40" s="2309"/>
      <c r="F40" s="2309"/>
      <c r="G40" s="2309"/>
    </row>
  </sheetData>
  <sheetProtection algorithmName="SHA-512" hashValue="TygAI6+AIaxcEDM9lcGWrsJv56tPHpZ/cIlzdI0toPW70gVoHIdvOvdHJpg+2eePCyyfWr+Nrky667YROHGVMg==" saltValue="OhcpeTpo4AtRUFuerb97xg==" spinCount="100000" sheet="1" objects="1" scenarios="1" selectLockedCells="1"/>
  <mergeCells count="23">
    <mergeCell ref="B2:C2"/>
    <mergeCell ref="G20:G21"/>
    <mergeCell ref="B4:G4"/>
    <mergeCell ref="B5:G5"/>
    <mergeCell ref="B15:G16"/>
    <mergeCell ref="B18:G18"/>
    <mergeCell ref="B19:G19"/>
    <mergeCell ref="B20:B21"/>
    <mergeCell ref="C20:C21"/>
    <mergeCell ref="D20:D21"/>
    <mergeCell ref="E20:E21"/>
    <mergeCell ref="F20:F21"/>
    <mergeCell ref="F2:G2"/>
    <mergeCell ref="B39:G40"/>
    <mergeCell ref="B30:G31"/>
    <mergeCell ref="B33:G33"/>
    <mergeCell ref="B34:G34"/>
    <mergeCell ref="B35:B36"/>
    <mergeCell ref="C35:C36"/>
    <mergeCell ref="D35:D36"/>
    <mergeCell ref="E35:E36"/>
    <mergeCell ref="F35:F36"/>
    <mergeCell ref="G35:G36"/>
  </mergeCells>
  <hyperlinks>
    <hyperlink ref="B2:C2" location="hyptarg7.5" display="back to 703.2.5.2" xr:uid="{00000000-0004-0000-2200-000000000000}"/>
    <hyperlink ref="F2:G2" location="'Verification Report'!A1" display="back to Verification Report" xr:uid="{00000000-0004-0000-2200-000001000000}"/>
  </hyperlinks>
  <pageMargins left="0.7" right="0.7" top="0.75" bottom="0.75" header="0.3" footer="0.3"/>
  <pageSetup scale="95"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3">
    <pageSetUpPr fitToPage="1"/>
  </sheetPr>
  <dimension ref="B2:I10"/>
  <sheetViews>
    <sheetView showGridLines="0" zoomScaleNormal="100" workbookViewId="0">
      <selection activeCell="B2" sqref="B2:D2"/>
    </sheetView>
  </sheetViews>
  <sheetFormatPr defaultColWidth="9.140625" defaultRowHeight="15" x14ac:dyDescent="0.25"/>
  <cols>
    <col min="1" max="1" width="9.140625" style="273"/>
    <col min="2" max="2" width="7.42578125" style="273" customWidth="1"/>
    <col min="3" max="3" width="8.28515625" style="273" bestFit="1" customWidth="1"/>
    <col min="4" max="8" width="5.5703125" style="273" bestFit="1" customWidth="1"/>
    <col min="9" max="16384" width="9.140625" style="273"/>
  </cols>
  <sheetData>
    <row r="2" spans="2:9" x14ac:dyDescent="0.25">
      <c r="B2" s="2249" t="s">
        <v>3631</v>
      </c>
      <c r="C2" s="2250"/>
      <c r="D2" s="2251"/>
      <c r="F2" s="2325" t="s">
        <v>4069</v>
      </c>
      <c r="G2" s="2326"/>
      <c r="H2" s="2326"/>
      <c r="I2" s="2327"/>
    </row>
    <row r="3" spans="2:9" customFormat="1" x14ac:dyDescent="0.25"/>
    <row r="4" spans="2:9" x14ac:dyDescent="0.25">
      <c r="B4" s="2240" t="s">
        <v>3498</v>
      </c>
      <c r="C4" s="2240"/>
      <c r="D4" s="2240"/>
      <c r="E4" s="2240"/>
      <c r="F4" s="2240"/>
      <c r="G4" s="2240"/>
      <c r="H4" s="2240"/>
    </row>
    <row r="5" spans="2:9" ht="15.75" thickBot="1" x14ac:dyDescent="0.3">
      <c r="B5" s="2317" t="s">
        <v>3497</v>
      </c>
      <c r="C5" s="2317"/>
      <c r="D5" s="2317"/>
      <c r="E5" s="2317"/>
      <c r="F5" s="2317"/>
      <c r="G5" s="2317"/>
      <c r="H5" s="2317"/>
    </row>
    <row r="6" spans="2:9" ht="25.5" customHeight="1" thickBot="1" x14ac:dyDescent="0.3">
      <c r="B6" s="2318"/>
      <c r="C6" s="2319"/>
      <c r="D6" s="2322" t="s">
        <v>3496</v>
      </c>
      <c r="E6" s="2323"/>
      <c r="F6" s="2323"/>
      <c r="G6" s="2323"/>
      <c r="H6" s="2324"/>
    </row>
    <row r="7" spans="2:9" ht="15.75" thickBot="1" x14ac:dyDescent="0.3">
      <c r="B7" s="2320"/>
      <c r="C7" s="2321"/>
      <c r="D7" s="319" t="s">
        <v>3495</v>
      </c>
      <c r="E7" s="318" t="s">
        <v>3494</v>
      </c>
      <c r="F7" s="319" t="s">
        <v>3493</v>
      </c>
      <c r="G7" s="318" t="s">
        <v>3492</v>
      </c>
      <c r="H7" s="318" t="s">
        <v>3491</v>
      </c>
    </row>
    <row r="8" spans="2:9" ht="15.75" thickBot="1" x14ac:dyDescent="0.3">
      <c r="B8" s="2314" t="s">
        <v>3431</v>
      </c>
      <c r="C8" s="319" t="s">
        <v>3490</v>
      </c>
      <c r="D8" s="317" t="s">
        <v>3489</v>
      </c>
      <c r="E8" s="317" t="s">
        <v>3489</v>
      </c>
      <c r="F8" s="317" t="s">
        <v>3487</v>
      </c>
      <c r="G8" s="317" t="s">
        <v>3485</v>
      </c>
      <c r="H8" s="317" t="s">
        <v>3485</v>
      </c>
    </row>
    <row r="9" spans="2:9" ht="15.75" thickBot="1" x14ac:dyDescent="0.3">
      <c r="B9" s="2315"/>
      <c r="C9" s="318" t="s">
        <v>3488</v>
      </c>
      <c r="D9" s="317" t="s">
        <v>3487</v>
      </c>
      <c r="E9" s="317" t="s">
        <v>3487</v>
      </c>
      <c r="F9" s="317" t="s">
        <v>3485</v>
      </c>
      <c r="G9" s="317" t="s">
        <v>3485</v>
      </c>
      <c r="H9" s="317" t="s">
        <v>3484</v>
      </c>
    </row>
    <row r="10" spans="2:9" ht="15.75" thickBot="1" x14ac:dyDescent="0.3">
      <c r="B10" s="2316"/>
      <c r="C10" s="318" t="s">
        <v>3486</v>
      </c>
      <c r="D10" s="317" t="s">
        <v>3485</v>
      </c>
      <c r="E10" s="317" t="s">
        <v>3484</v>
      </c>
      <c r="F10" s="317" t="s">
        <v>3484</v>
      </c>
      <c r="G10" s="317" t="s">
        <v>3483</v>
      </c>
      <c r="H10" s="317" t="s">
        <v>3482</v>
      </c>
    </row>
  </sheetData>
  <sheetProtection algorithmName="SHA-512" hashValue="cCKkxKS5v2z2RTu3dEO+i9Oyb5aYZam6O+ie/d2cgjvDqEF5RIwC1zYQizSdmxnPdkNckBMidrFKV4xCr+J9MQ==" saltValue="uS9/f+DVz0rNbPubbX1H4g==" spinCount="100000" sheet="1" objects="1" scenarios="1" selectLockedCells="1"/>
  <mergeCells count="7">
    <mergeCell ref="B8:B10"/>
    <mergeCell ref="B2:D2"/>
    <mergeCell ref="B4:H4"/>
    <mergeCell ref="B5:H5"/>
    <mergeCell ref="B6:C7"/>
    <mergeCell ref="D6:H6"/>
    <mergeCell ref="F2:I2"/>
  </mergeCells>
  <hyperlinks>
    <hyperlink ref="B2:C2" location="hyptarg7.1" display="back to 701.4.3.2(2)" xr:uid="{00000000-0004-0000-2300-000000000000}"/>
    <hyperlink ref="B2:D2" location="hyptarg7.26" display="back to 703.7.1" xr:uid="{00000000-0004-0000-2300-000001000000}"/>
    <hyperlink ref="F2:G2" location="'Verification Report'!A1" display="back to Verification Report" xr:uid="{00000000-0004-0000-2300-000002000000}"/>
  </hyperlinks>
  <pageMargins left="0.7" right="0.7" top="0.75" bottom="0.75" header="0.3" footer="0.3"/>
  <pageSetup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4">
    <pageSetUpPr fitToPage="1"/>
  </sheetPr>
  <dimension ref="B2:H30"/>
  <sheetViews>
    <sheetView showGridLines="0" zoomScaleNormal="100" workbookViewId="0">
      <selection activeCell="B2" sqref="B2:C2"/>
    </sheetView>
  </sheetViews>
  <sheetFormatPr defaultColWidth="9.140625" defaultRowHeight="15" x14ac:dyDescent="0.25"/>
  <cols>
    <col min="1" max="1" width="9.140625" style="341"/>
    <col min="2" max="2" width="11.7109375" style="341" customWidth="1"/>
    <col min="3" max="3" width="9.140625" style="341"/>
    <col min="4" max="4" width="11.28515625" style="341" customWidth="1"/>
    <col min="5" max="5" width="11.7109375" style="341" customWidth="1"/>
    <col min="6" max="6" width="12.140625" style="341" customWidth="1"/>
    <col min="7" max="7" width="14.140625" style="341" customWidth="1"/>
    <col min="8" max="16384" width="9.140625" style="341"/>
  </cols>
  <sheetData>
    <row r="2" spans="2:8" x14ac:dyDescent="0.25">
      <c r="B2" s="2252" t="s">
        <v>4588</v>
      </c>
      <c r="C2" s="2252"/>
      <c r="F2" s="2252" t="s">
        <v>4069</v>
      </c>
      <c r="G2" s="2252"/>
    </row>
    <row r="3" spans="2:8" x14ac:dyDescent="0.25">
      <c r="B3" s="1845" t="s">
        <v>4589</v>
      </c>
      <c r="C3" s="1845"/>
      <c r="D3" s="1845"/>
      <c r="E3" s="1845"/>
      <c r="F3" s="1845"/>
      <c r="G3" s="1845"/>
      <c r="H3" s="1845"/>
    </row>
    <row r="4" spans="2:8" ht="15.75" x14ac:dyDescent="0.25">
      <c r="B4" s="2329" t="s">
        <v>3551</v>
      </c>
      <c r="C4" s="2330"/>
      <c r="D4" s="2330"/>
      <c r="E4" s="2330"/>
      <c r="F4" s="2330"/>
      <c r="G4" s="2330"/>
      <c r="H4" s="2330"/>
    </row>
    <row r="5" spans="2:8" ht="15" customHeight="1" x14ac:dyDescent="0.25">
      <c r="B5" s="2331" t="s">
        <v>3552</v>
      </c>
      <c r="C5" s="2334" t="s">
        <v>3553</v>
      </c>
      <c r="D5" s="2337" t="s">
        <v>3554</v>
      </c>
      <c r="E5" s="2337"/>
      <c r="F5" s="2337"/>
      <c r="G5" s="2337" t="s">
        <v>3555</v>
      </c>
    </row>
    <row r="6" spans="2:8" x14ac:dyDescent="0.25">
      <c r="B6" s="2332"/>
      <c r="C6" s="2335"/>
      <c r="D6" s="2337"/>
      <c r="E6" s="2337"/>
      <c r="F6" s="2337"/>
      <c r="G6" s="2337"/>
      <c r="H6" s="316"/>
    </row>
    <row r="7" spans="2:8" x14ac:dyDescent="0.25">
      <c r="B7" s="2332"/>
      <c r="C7" s="2335"/>
      <c r="D7" s="2337"/>
      <c r="E7" s="2337"/>
      <c r="F7" s="2337"/>
      <c r="G7" s="2337"/>
      <c r="H7" s="94"/>
    </row>
    <row r="8" spans="2:8" x14ac:dyDescent="0.25">
      <c r="B8" s="2332"/>
      <c r="C8" s="2335"/>
      <c r="D8" s="2337"/>
      <c r="E8" s="2337"/>
      <c r="F8" s="2337"/>
      <c r="G8" s="2337"/>
      <c r="H8" s="94"/>
    </row>
    <row r="9" spans="2:8" x14ac:dyDescent="0.25">
      <c r="B9" s="2332"/>
      <c r="C9" s="2335"/>
      <c r="D9" s="2337" t="s">
        <v>4885</v>
      </c>
      <c r="E9" s="2337" t="s">
        <v>4886</v>
      </c>
      <c r="F9" s="2337" t="s">
        <v>4887</v>
      </c>
      <c r="G9" s="2337" t="s">
        <v>4888</v>
      </c>
      <c r="H9" s="94"/>
    </row>
    <row r="10" spans="2:8" x14ac:dyDescent="0.25">
      <c r="B10" s="2332"/>
      <c r="C10" s="2335"/>
      <c r="D10" s="2337"/>
      <c r="E10" s="2337"/>
      <c r="F10" s="2337"/>
      <c r="G10" s="2337"/>
    </row>
    <row r="11" spans="2:8" x14ac:dyDescent="0.25">
      <c r="B11" s="2332"/>
      <c r="C11" s="2335"/>
      <c r="D11" s="2337"/>
      <c r="E11" s="2337"/>
      <c r="F11" s="2337"/>
      <c r="G11" s="2337"/>
    </row>
    <row r="12" spans="2:8" x14ac:dyDescent="0.25">
      <c r="B12" s="2332"/>
      <c r="C12" s="2335"/>
      <c r="D12" s="2337"/>
      <c r="E12" s="2337"/>
      <c r="F12" s="2337"/>
      <c r="G12" s="2337"/>
    </row>
    <row r="13" spans="2:8" x14ac:dyDescent="0.25">
      <c r="B13" s="2333"/>
      <c r="C13" s="2336"/>
      <c r="D13" s="2328" t="s">
        <v>3556</v>
      </c>
      <c r="E13" s="2328"/>
      <c r="F13" s="2328"/>
      <c r="G13" s="2328"/>
    </row>
    <row r="14" spans="2:8" ht="15.75" x14ac:dyDescent="0.25">
      <c r="B14" s="343" t="s">
        <v>3557</v>
      </c>
      <c r="C14" s="343">
        <v>0.33</v>
      </c>
      <c r="D14" s="342">
        <v>50</v>
      </c>
      <c r="E14" s="342">
        <v>50</v>
      </c>
      <c r="F14" s="342">
        <v>50</v>
      </c>
      <c r="G14" s="342">
        <v>50</v>
      </c>
    </row>
    <row r="15" spans="2:8" ht="15.75" x14ac:dyDescent="0.25">
      <c r="B15" s="343" t="s">
        <v>3558</v>
      </c>
      <c r="C15" s="343">
        <v>0.5</v>
      </c>
      <c r="D15" s="342">
        <v>50</v>
      </c>
      <c r="E15" s="342">
        <v>50</v>
      </c>
      <c r="F15" s="342">
        <v>50</v>
      </c>
      <c r="G15" s="342">
        <v>48</v>
      </c>
    </row>
    <row r="16" spans="2:8" ht="15.75" x14ac:dyDescent="0.25">
      <c r="B16" s="343" t="s">
        <v>3559</v>
      </c>
      <c r="C16" s="343">
        <v>0.75</v>
      </c>
      <c r="D16" s="342">
        <v>50</v>
      </c>
      <c r="E16" s="343">
        <v>50</v>
      </c>
      <c r="F16" s="343">
        <v>43</v>
      </c>
      <c r="G16" s="343">
        <v>32</v>
      </c>
    </row>
    <row r="17" spans="2:7" x14ac:dyDescent="0.25">
      <c r="B17" s="311" t="s">
        <v>3560</v>
      </c>
      <c r="C17" s="343">
        <v>1.5</v>
      </c>
      <c r="D17" s="342">
        <v>50</v>
      </c>
      <c r="E17" s="343">
        <v>43</v>
      </c>
      <c r="F17" s="343">
        <v>21</v>
      </c>
      <c r="G17" s="343">
        <v>16</v>
      </c>
    </row>
    <row r="18" spans="2:7" x14ac:dyDescent="0.25">
      <c r="B18" s="311" t="s">
        <v>3561</v>
      </c>
      <c r="C18" s="343">
        <v>2</v>
      </c>
      <c r="D18" s="342">
        <v>50</v>
      </c>
      <c r="E18" s="343">
        <v>32</v>
      </c>
      <c r="F18" s="343">
        <v>16</v>
      </c>
      <c r="G18" s="343">
        <v>12</v>
      </c>
    </row>
    <row r="19" spans="2:7" x14ac:dyDescent="0.25">
      <c r="B19" s="311" t="s">
        <v>3562</v>
      </c>
      <c r="C19" s="343">
        <v>3</v>
      </c>
      <c r="D19" s="343">
        <v>43</v>
      </c>
      <c r="E19" s="343">
        <v>21</v>
      </c>
      <c r="F19" s="343">
        <v>11</v>
      </c>
      <c r="G19" s="343">
        <v>8</v>
      </c>
    </row>
    <row r="20" spans="2:7" x14ac:dyDescent="0.25">
      <c r="B20" s="311" t="s">
        <v>3563</v>
      </c>
      <c r="C20" s="343">
        <v>4</v>
      </c>
      <c r="D20" s="343">
        <v>32</v>
      </c>
      <c r="E20" s="343">
        <v>16</v>
      </c>
      <c r="F20" s="343">
        <v>8</v>
      </c>
      <c r="G20" s="343">
        <v>6</v>
      </c>
    </row>
    <row r="21" spans="2:7" x14ac:dyDescent="0.25">
      <c r="B21" s="28">
        <v>1</v>
      </c>
      <c r="C21" s="343">
        <v>5</v>
      </c>
      <c r="D21" s="343">
        <v>26</v>
      </c>
      <c r="E21" s="343">
        <v>13</v>
      </c>
      <c r="F21" s="343">
        <v>6</v>
      </c>
      <c r="G21" s="343">
        <v>5</v>
      </c>
    </row>
    <row r="22" spans="2:7" x14ac:dyDescent="0.25">
      <c r="B22" s="311" t="s">
        <v>3564</v>
      </c>
      <c r="C22" s="343">
        <v>8</v>
      </c>
      <c r="D22" s="343">
        <v>16</v>
      </c>
      <c r="E22" s="343">
        <v>8</v>
      </c>
      <c r="F22" s="343">
        <v>4</v>
      </c>
      <c r="G22" s="343">
        <v>3</v>
      </c>
    </row>
    <row r="23" spans="2:7" x14ac:dyDescent="0.25">
      <c r="B23" s="311" t="s">
        <v>3565</v>
      </c>
      <c r="C23" s="343">
        <v>11</v>
      </c>
      <c r="D23" s="343">
        <v>12</v>
      </c>
      <c r="E23" s="343">
        <v>6</v>
      </c>
      <c r="F23" s="343">
        <v>3</v>
      </c>
      <c r="G23" s="343">
        <v>2</v>
      </c>
    </row>
    <row r="24" spans="2:7" x14ac:dyDescent="0.25">
      <c r="B24" s="311" t="s">
        <v>282</v>
      </c>
      <c r="C24" s="343">
        <v>18</v>
      </c>
      <c r="D24" s="28">
        <v>7</v>
      </c>
      <c r="E24" s="28">
        <v>4</v>
      </c>
      <c r="F24" s="28">
        <v>2</v>
      </c>
      <c r="G24" s="28">
        <v>1</v>
      </c>
    </row>
    <row r="25" spans="2:7" x14ac:dyDescent="0.25">
      <c r="B25" s="1778" t="s">
        <v>4889</v>
      </c>
      <c r="C25" s="1778"/>
      <c r="D25" s="1778"/>
      <c r="E25" s="1778"/>
      <c r="F25" s="1778"/>
      <c r="G25" s="1778"/>
    </row>
    <row r="26" spans="2:7" x14ac:dyDescent="0.25">
      <c r="B26" s="1779"/>
      <c r="C26" s="1779"/>
      <c r="D26" s="1779"/>
      <c r="E26" s="1779"/>
      <c r="F26" s="1779"/>
      <c r="G26" s="1779"/>
    </row>
    <row r="27" spans="2:7" x14ac:dyDescent="0.25">
      <c r="B27" s="1779"/>
      <c r="C27" s="1779"/>
      <c r="D27" s="1779"/>
      <c r="E27" s="1779"/>
      <c r="F27" s="1779"/>
      <c r="G27" s="1779"/>
    </row>
    <row r="28" spans="2:7" x14ac:dyDescent="0.25">
      <c r="B28" s="1779" t="s">
        <v>3566</v>
      </c>
      <c r="C28" s="1779"/>
      <c r="D28" s="1779"/>
      <c r="E28" s="1779"/>
      <c r="F28" s="1779"/>
      <c r="G28" s="1779"/>
    </row>
    <row r="29" spans="2:7" x14ac:dyDescent="0.25">
      <c r="B29" s="1779"/>
      <c r="C29" s="1779"/>
      <c r="D29" s="1779"/>
      <c r="E29" s="1779"/>
      <c r="F29" s="1779"/>
      <c r="G29" s="1779"/>
    </row>
    <row r="30" spans="2:7" x14ac:dyDescent="0.25">
      <c r="B30" s="1779"/>
      <c r="C30" s="1779"/>
      <c r="D30" s="1779"/>
      <c r="E30" s="1779"/>
      <c r="F30" s="1779"/>
      <c r="G30" s="1779"/>
    </row>
  </sheetData>
  <sheetProtection algorithmName="SHA-512" hashValue="B/WvVWzLTyXyhmw+zccMjL3zg776i8QADaNjY17uer4+aied9hDrbWSTqyCDJxmWuS8dxzXyVRmgYO0TnqNs1Q==" saltValue="8pt7kac//sstkGlgDTiAgA==" spinCount="100000" sheet="1" objects="1" scenarios="1" selectLockedCells="1"/>
  <mergeCells count="15">
    <mergeCell ref="D13:G13"/>
    <mergeCell ref="B25:G27"/>
    <mergeCell ref="B28:G30"/>
    <mergeCell ref="B2:C2"/>
    <mergeCell ref="B3:H3"/>
    <mergeCell ref="B4:H4"/>
    <mergeCell ref="B5:B13"/>
    <mergeCell ref="C5:C13"/>
    <mergeCell ref="D5:F8"/>
    <mergeCell ref="G5:G8"/>
    <mergeCell ref="D9:D12"/>
    <mergeCell ref="E9:E12"/>
    <mergeCell ref="F9:F12"/>
    <mergeCell ref="G9:G12"/>
    <mergeCell ref="F2:G2"/>
  </mergeCells>
  <hyperlinks>
    <hyperlink ref="B2:C2" location="hyptarg8.1" display="back to 801.1" xr:uid="{00000000-0004-0000-2400-000000000000}"/>
    <hyperlink ref="F2:G2" location="'Verification Report'!A1" display="back to Verification Report" xr:uid="{00000000-0004-0000-2400-000001000000}"/>
  </hyperlinks>
  <pageMargins left="0.7" right="0.7" top="0.75" bottom="0.75" header="0.3" footer="0.3"/>
  <pageSetup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BI329"/>
  <sheetViews>
    <sheetView showGridLines="0" zoomScaleNormal="100" workbookViewId="0">
      <pane ySplit="7" topLeftCell="A8" activePane="bottomLeft" state="frozen"/>
      <selection activeCell="E90" sqref="E90"/>
      <selection pane="bottomLeft" activeCell="W15" sqref="W15"/>
    </sheetView>
  </sheetViews>
  <sheetFormatPr defaultRowHeight="15" x14ac:dyDescent="0.25"/>
  <cols>
    <col min="1" max="1" width="9.140625" style="18" hidden="1" customWidth="1"/>
    <col min="2" max="2" width="7.28515625" style="18" hidden="1" customWidth="1"/>
    <col min="3" max="7" width="3.85546875" style="18" hidden="1" customWidth="1"/>
    <col min="8" max="8" width="3.85546875" style="18" customWidth="1"/>
    <col min="9" max="9" width="10.42578125" style="17" customWidth="1"/>
    <col min="10" max="11" width="3.85546875" style="17" customWidth="1"/>
    <col min="12" max="12" width="71.7109375" style="1148" customWidth="1"/>
    <col min="13" max="13" width="13.5703125" style="67" customWidth="1"/>
    <col min="14" max="14" width="7.7109375" style="43" hidden="1" customWidth="1"/>
    <col min="15" max="15" width="7.7109375" style="81" customWidth="1"/>
    <col min="16" max="17" width="8.85546875" style="43" hidden="1" customWidth="1"/>
    <col min="18" max="21" width="8.85546875" hidden="1" customWidth="1"/>
    <col min="22" max="22" width="3" style="17" hidden="1" customWidth="1"/>
    <col min="23" max="23" width="21.42578125" style="17" customWidth="1"/>
    <col min="24" max="24" width="69" style="17" customWidth="1"/>
    <col min="25" max="25" width="10.140625" style="780" hidden="1" customWidth="1"/>
    <col min="26" max="26" width="34.85546875" hidden="1" customWidth="1"/>
    <col min="27" max="27" width="9.140625" style="783" hidden="1" customWidth="1"/>
    <col min="28" max="28" width="9.140625" style="43" hidden="1" customWidth="1"/>
    <col min="29" max="37" width="9.140625" style="17" hidden="1" customWidth="1"/>
    <col min="38" max="38" width="14.42578125" style="17" hidden="1" customWidth="1"/>
    <col min="39" max="39" width="3" style="17" hidden="1" customWidth="1"/>
    <col min="40" max="40" width="12.5703125" style="17" hidden="1" customWidth="1"/>
    <col min="41" max="41" width="2.140625" style="17" hidden="1" customWidth="1"/>
    <col min="42" max="42" width="14.28515625" hidden="1" customWidth="1"/>
    <col min="43" max="43" width="5.85546875" hidden="1" customWidth="1"/>
    <col min="44" max="44" width="12.42578125" hidden="1" customWidth="1"/>
    <col min="45" max="45" width="2.140625" hidden="1" customWidth="1"/>
    <col min="46" max="61" width="9.140625" hidden="1" customWidth="1"/>
  </cols>
  <sheetData>
    <row r="1" spans="1:61" s="17" customFormat="1" x14ac:dyDescent="0.25">
      <c r="A1" s="18"/>
      <c r="B1" s="18"/>
      <c r="C1" s="18"/>
      <c r="D1" s="18"/>
      <c r="E1" s="18"/>
      <c r="F1" s="18"/>
      <c r="G1" s="18"/>
      <c r="H1" s="1805" t="s">
        <v>4090</v>
      </c>
      <c r="I1" s="1818" t="str">
        <f ca="1">IF(OR(AG3,AI3),"Errors on page, no Level reached","Current Chapter level: "&amp;AG1&amp;"                                            Total Points: "&amp;AG2)</f>
        <v>Current Chapter level: None                                            Total Points: 0</v>
      </c>
      <c r="J1" s="1818"/>
      <c r="K1" s="1818"/>
      <c r="L1" s="1818"/>
      <c r="M1" s="1806"/>
      <c r="N1" s="1806"/>
      <c r="O1" s="1806"/>
      <c r="P1" s="1806"/>
      <c r="Q1" s="1806"/>
      <c r="R1" s="1806"/>
      <c r="S1" s="1806"/>
      <c r="T1" s="1806"/>
      <c r="U1" s="1806"/>
      <c r="V1" s="1806"/>
      <c r="W1" s="1806"/>
      <c r="X1" s="2344" t="s">
        <v>4064</v>
      </c>
      <c r="Y1" s="780"/>
      <c r="Z1"/>
      <c r="AA1" s="783"/>
      <c r="AB1" s="43"/>
      <c r="AF1" s="7" t="s">
        <v>289</v>
      </c>
      <c r="AG1" s="17" t="str">
        <f ca="1">Points!R15</f>
        <v>None</v>
      </c>
    </row>
    <row r="2" spans="1:61" s="17" customFormat="1" x14ac:dyDescent="0.25">
      <c r="A2" s="18"/>
      <c r="B2" s="18"/>
      <c r="C2" s="18"/>
      <c r="D2" s="18"/>
      <c r="E2" s="18"/>
      <c r="F2" s="18"/>
      <c r="G2" s="18"/>
      <c r="H2" s="1805"/>
      <c r="I2" s="1819" t="str">
        <f ca="1">"Points away from:  Bronze: "&amp;MAX(Points!C15-Points!Ch5Points,0)&amp;",  Silver: "&amp;MAX(Points!D15-Points!Ch5Points,0)&amp;",  Gold: "&amp;MAX(Points!E15-Points!Ch5Points,0)&amp;",  Emerald: "&amp;MAX(Points!F15-Points!Ch5Points,0)</f>
        <v>Points away from:  Bronze: 50,  Silver: 64,  Gold: 93,  Emerald: 121</v>
      </c>
      <c r="J2" s="1819"/>
      <c r="K2" s="1819"/>
      <c r="L2" s="1819"/>
      <c r="M2" s="1806"/>
      <c r="N2" s="1806"/>
      <c r="O2" s="1806"/>
      <c r="P2" s="1806"/>
      <c r="Q2" s="1806"/>
      <c r="R2" s="1806"/>
      <c r="S2" s="1806"/>
      <c r="T2" s="1806"/>
      <c r="U2" s="1806"/>
      <c r="V2" s="1806"/>
      <c r="W2" s="1806"/>
      <c r="X2" s="2344" t="s">
        <v>3505</v>
      </c>
      <c r="Y2" s="780"/>
      <c r="Z2"/>
      <c r="AA2" s="783"/>
      <c r="AB2" s="43"/>
      <c r="AF2" s="7" t="s">
        <v>288</v>
      </c>
      <c r="AG2" s="17">
        <f ca="1">Points!H15</f>
        <v>0</v>
      </c>
      <c r="AH2" s="17" t="s">
        <v>291</v>
      </c>
      <c r="AI2" s="17">
        <f ca="1">Points!P15</f>
        <v>50</v>
      </c>
      <c r="AJ2"/>
      <c r="AK2"/>
    </row>
    <row r="3" spans="1:61" x14ac:dyDescent="0.25">
      <c r="H3" s="1805"/>
      <c r="I3" s="1819" t="str">
        <f ca="1">"Add'l pts earned above:  Bronze: "&amp; MAX(0,Points!Ch5Points-Points!C15) &amp;",  Silver: " &amp; MAX(0,Points!Ch5Points-Points!D15) &amp;",  Gold: " &amp; MAX(0,Points!Ch5Points-Points!E15) &amp;",  Emerald: " &amp; MAX(0,Points!Ch5Points-Points!F15)</f>
        <v>Add'l pts earned above:  Bronze: 0,  Silver: 0,  Gold: 0,  Emerald: 0</v>
      </c>
      <c r="J3" s="1819"/>
      <c r="K3" s="1819"/>
      <c r="L3" s="1819"/>
      <c r="M3" s="1806"/>
      <c r="N3" s="1806"/>
      <c r="O3" s="1806"/>
      <c r="P3" s="1806"/>
      <c r="Q3" s="1806"/>
      <c r="R3" s="1806"/>
      <c r="S3" s="1806"/>
      <c r="T3" s="1806"/>
      <c r="U3" s="1806"/>
      <c r="V3" s="1806"/>
      <c r="W3" s="1806"/>
      <c r="X3" s="2344" t="s">
        <v>3504</v>
      </c>
      <c r="AF3" s="7" t="s">
        <v>286</v>
      </c>
      <c r="AG3" s="17" t="b">
        <f>OR(AE:AE)</f>
        <v>0</v>
      </c>
      <c r="AH3" s="7" t="s">
        <v>287</v>
      </c>
      <c r="AI3" s="17" t="b">
        <f ca="1">OR(AD:AD)</f>
        <v>0</v>
      </c>
    </row>
    <row r="4" spans="1:61" s="58" customFormat="1" x14ac:dyDescent="0.25">
      <c r="A4" s="18"/>
      <c r="B4" s="18"/>
      <c r="C4" s="18"/>
      <c r="D4" s="18"/>
      <c r="E4" s="18"/>
      <c r="F4" s="18"/>
      <c r="G4" s="18"/>
      <c r="H4" s="1805"/>
      <c r="I4" s="1822" t="str">
        <f>"Total Chapter Points needed for:  Bronze: "&amp;Points!C15&amp;",  Silver: "&amp;Points!D15&amp;",  Gold: "&amp;Points!E15&amp;",  Emerald: "&amp;Points!F15</f>
        <v>Total Chapter Points needed for:  Bronze: 50,  Silver: 64,  Gold: 93,  Emerald: 121</v>
      </c>
      <c r="J4" s="1823"/>
      <c r="K4" s="1823"/>
      <c r="L4" s="1824"/>
      <c r="M4" s="1806"/>
      <c r="N4" s="1806"/>
      <c r="O4" s="1806"/>
      <c r="P4" s="1806"/>
      <c r="Q4" s="1806"/>
      <c r="R4" s="1806"/>
      <c r="S4" s="1806"/>
      <c r="T4" s="1806"/>
      <c r="U4" s="1806"/>
      <c r="V4" s="1806"/>
      <c r="W4" s="1806"/>
      <c r="X4" s="1703" t="s">
        <v>4877</v>
      </c>
      <c r="Y4" s="780"/>
      <c r="AA4" s="783"/>
      <c r="AF4" s="57"/>
      <c r="AH4" s="57"/>
    </row>
    <row r="5" spans="1:61" s="58" customFormat="1" x14ac:dyDescent="0.25">
      <c r="A5" s="18"/>
      <c r="B5" s="18"/>
      <c r="C5" s="18"/>
      <c r="D5" s="18"/>
      <c r="E5" s="18"/>
      <c r="F5" s="18"/>
      <c r="G5" s="18"/>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Y5" s="780"/>
      <c r="AA5" s="783"/>
      <c r="AF5" s="57"/>
      <c r="AH5" s="57"/>
    </row>
    <row r="6" spans="1:61" s="43" customFormat="1" x14ac:dyDescent="0.25">
      <c r="A6" s="18"/>
      <c r="B6" s="18"/>
      <c r="C6" s="18"/>
      <c r="D6" s="18"/>
      <c r="E6" s="18"/>
      <c r="F6" s="18"/>
      <c r="G6" s="18"/>
      <c r="H6" s="1805"/>
      <c r="I6" s="1828" t="s">
        <v>248</v>
      </c>
      <c r="J6" s="1829"/>
      <c r="K6" s="1830"/>
      <c r="L6" s="1831" t="s">
        <v>1108</v>
      </c>
      <c r="M6" s="1810" t="s">
        <v>249</v>
      </c>
      <c r="N6" s="1810"/>
      <c r="O6" s="35" t="s">
        <v>318</v>
      </c>
      <c r="P6" s="1810" t="s">
        <v>4103</v>
      </c>
      <c r="Q6" s="1810" t="s">
        <v>309</v>
      </c>
      <c r="R6" s="1810" t="s">
        <v>250</v>
      </c>
      <c r="S6" s="1810" t="s">
        <v>251</v>
      </c>
      <c r="T6" s="1810" t="s">
        <v>0</v>
      </c>
      <c r="U6" s="1810" t="s">
        <v>4104</v>
      </c>
      <c r="V6" s="1810"/>
      <c r="W6" s="1810" t="s">
        <v>252</v>
      </c>
      <c r="X6" s="1820" t="s">
        <v>1</v>
      </c>
      <c r="Y6" s="780"/>
      <c r="AA6" s="783"/>
      <c r="AC6" s="41" t="s">
        <v>307</v>
      </c>
      <c r="AD6" s="41" t="s">
        <v>0</v>
      </c>
      <c r="AE6" s="41" t="s">
        <v>306</v>
      </c>
    </row>
    <row r="7" spans="1:61" x14ac:dyDescent="0.25">
      <c r="H7" s="1805"/>
      <c r="I7" s="1828"/>
      <c r="J7" s="1829"/>
      <c r="K7" s="1830"/>
      <c r="L7" s="1832"/>
      <c r="M7" s="1811"/>
      <c r="N7" s="1811"/>
      <c r="O7" s="35" t="s">
        <v>319</v>
      </c>
      <c r="P7" s="1811"/>
      <c r="Q7" s="1811"/>
      <c r="R7" s="1811"/>
      <c r="S7" s="1811"/>
      <c r="T7" s="1811"/>
      <c r="U7" s="1811"/>
      <c r="V7" s="1811"/>
      <c r="W7" s="1811"/>
      <c r="X7" s="1821"/>
      <c r="AC7" s="5" t="s">
        <v>307</v>
      </c>
      <c r="AD7" s="5" t="s">
        <v>0</v>
      </c>
      <c r="AE7" s="5" t="s">
        <v>306</v>
      </c>
      <c r="AP7" s="17"/>
      <c r="AQ7" s="17"/>
    </row>
    <row r="8" spans="1:61" s="752" customFormat="1" hidden="1" x14ac:dyDescent="0.25">
      <c r="A8" s="18"/>
      <c r="B8" s="18"/>
      <c r="C8" s="18"/>
      <c r="D8" s="18"/>
      <c r="E8" s="18"/>
      <c r="F8" s="18"/>
      <c r="G8" s="18"/>
      <c r="H8" s="18"/>
      <c r="I8" s="754"/>
      <c r="J8" s="754"/>
      <c r="K8" s="754"/>
      <c r="L8" s="1212"/>
      <c r="M8" s="753"/>
      <c r="N8" s="753"/>
      <c r="O8" s="35"/>
      <c r="P8" s="753"/>
      <c r="Q8" s="753"/>
      <c r="R8" s="753"/>
      <c r="S8" s="753"/>
      <c r="T8" s="753"/>
      <c r="U8" s="753"/>
      <c r="V8" s="753"/>
      <c r="W8" s="753"/>
      <c r="X8" s="754"/>
      <c r="Y8" s="780"/>
      <c r="AA8" s="783"/>
      <c r="AC8" s="751"/>
      <c r="AD8" s="751"/>
      <c r="AE8" s="751"/>
    </row>
    <row r="9" spans="1:61" ht="18.75" x14ac:dyDescent="0.3">
      <c r="A9" s="18" t="s">
        <v>247</v>
      </c>
      <c r="B9" s="18" t="s">
        <v>247</v>
      </c>
      <c r="C9" s="18" t="s">
        <v>247</v>
      </c>
      <c r="D9" s="18" t="s">
        <v>247</v>
      </c>
      <c r="E9" s="18" t="s">
        <v>247</v>
      </c>
      <c r="F9" s="18" t="s">
        <v>247</v>
      </c>
      <c r="G9" s="18" t="s">
        <v>247</v>
      </c>
      <c r="H9" s="760"/>
      <c r="I9" s="22" t="s">
        <v>737</v>
      </c>
      <c r="J9" s="22"/>
      <c r="K9" s="22"/>
      <c r="L9" s="1208"/>
      <c r="M9" s="24"/>
      <c r="N9" s="43" t="s">
        <v>247</v>
      </c>
      <c r="O9" s="24"/>
      <c r="P9" s="43" t="s">
        <v>247</v>
      </c>
      <c r="Q9" s="43" t="s">
        <v>247</v>
      </c>
      <c r="R9" s="32" t="s">
        <v>247</v>
      </c>
      <c r="S9" s="32" t="s">
        <v>247</v>
      </c>
      <c r="T9" s="32" t="s">
        <v>247</v>
      </c>
      <c r="U9" s="32" t="s">
        <v>247</v>
      </c>
      <c r="V9" s="32" t="s">
        <v>247</v>
      </c>
      <c r="W9" s="23"/>
      <c r="X9" s="23"/>
      <c r="Y9" s="779" t="s">
        <v>247</v>
      </c>
      <c r="Z9" s="40" t="s">
        <v>247</v>
      </c>
      <c r="AA9" s="781" t="s">
        <v>247</v>
      </c>
      <c r="AB9" s="750" t="s">
        <v>247</v>
      </c>
      <c r="AC9" s="29" t="s">
        <v>247</v>
      </c>
      <c r="AD9" s="29" t="s">
        <v>247</v>
      </c>
      <c r="AE9" s="29" t="s">
        <v>247</v>
      </c>
      <c r="AF9" s="29" t="s">
        <v>247</v>
      </c>
      <c r="AG9" s="29" t="s">
        <v>247</v>
      </c>
      <c r="AH9" s="29" t="s">
        <v>247</v>
      </c>
      <c r="AI9" s="29" t="s">
        <v>247</v>
      </c>
      <c r="AJ9" s="29" t="s">
        <v>247</v>
      </c>
      <c r="AK9" s="29" t="s">
        <v>247</v>
      </c>
      <c r="AL9" s="29" t="s">
        <v>247</v>
      </c>
      <c r="AM9" s="29" t="s">
        <v>247</v>
      </c>
      <c r="AN9" s="29" t="s">
        <v>247</v>
      </c>
      <c r="AO9" s="29" t="s">
        <v>247</v>
      </c>
      <c r="AP9" s="29" t="s">
        <v>247</v>
      </c>
      <c r="AQ9" s="29" t="s">
        <v>247</v>
      </c>
      <c r="AR9" s="29" t="s">
        <v>247</v>
      </c>
      <c r="AS9" s="29" t="s">
        <v>247</v>
      </c>
      <c r="AT9" s="40" t="s">
        <v>247</v>
      </c>
      <c r="AU9" s="40" t="s">
        <v>247</v>
      </c>
      <c r="AV9" s="40" t="s">
        <v>247</v>
      </c>
      <c r="AW9" s="40" t="s">
        <v>247</v>
      </c>
      <c r="AX9" s="40" t="s">
        <v>247</v>
      </c>
      <c r="AY9" s="40" t="s">
        <v>247</v>
      </c>
      <c r="AZ9" s="40" t="s">
        <v>247</v>
      </c>
      <c r="BA9" s="40" t="s">
        <v>247</v>
      </c>
      <c r="BB9" s="40" t="s">
        <v>247</v>
      </c>
      <c r="BC9" s="40" t="s">
        <v>247</v>
      </c>
      <c r="BD9" s="40" t="s">
        <v>247</v>
      </c>
      <c r="BE9" s="40" t="s">
        <v>247</v>
      </c>
      <c r="BF9" s="40" t="s">
        <v>247</v>
      </c>
      <c r="BG9" s="40" t="s">
        <v>247</v>
      </c>
      <c r="BH9" s="40" t="s">
        <v>247</v>
      </c>
      <c r="BI9" s="771" t="s">
        <v>247</v>
      </c>
    </row>
    <row r="10" spans="1:61" x14ac:dyDescent="0.25">
      <c r="B10" s="21" t="s">
        <v>4581</v>
      </c>
      <c r="C10" s="21"/>
      <c r="D10" s="21"/>
      <c r="E10" s="21"/>
      <c r="F10" s="21"/>
      <c r="G10" s="21"/>
      <c r="H10" s="760"/>
      <c r="I10" s="87" t="s">
        <v>254</v>
      </c>
      <c r="J10" s="87"/>
      <c r="K10" s="87"/>
      <c r="L10" s="1796" t="s">
        <v>4116</v>
      </c>
      <c r="M10" s="489"/>
      <c r="P10" s="257"/>
      <c r="Q10" s="257"/>
      <c r="R10" t="b">
        <v>0</v>
      </c>
      <c r="S10" t="b">
        <v>1</v>
      </c>
      <c r="T10" t="b">
        <v>0</v>
      </c>
      <c r="U10" s="17"/>
      <c r="AM10" s="18"/>
      <c r="AO10" s="18"/>
      <c r="AP10" s="17"/>
      <c r="AQ10" s="17"/>
      <c r="AR10" s="17"/>
      <c r="AS10" s="17"/>
      <c r="BI10" s="775"/>
    </row>
    <row r="11" spans="1:61" x14ac:dyDescent="0.25">
      <c r="B11" s="21" t="s">
        <v>4581</v>
      </c>
      <c r="C11" s="21"/>
      <c r="D11" s="21"/>
      <c r="E11" s="21"/>
      <c r="F11" s="21"/>
      <c r="G11" s="21"/>
      <c r="H11" s="760"/>
      <c r="I11" s="87"/>
      <c r="J11" s="87"/>
      <c r="K11" s="87"/>
      <c r="L11" s="1796"/>
      <c r="M11" s="489"/>
      <c r="P11" s="257"/>
      <c r="Q11" s="257"/>
      <c r="AX11" s="42" t="str">
        <f>'Overview (Design)'!A10</f>
        <v>Builder Name:</v>
      </c>
      <c r="AY11">
        <f>'Overview (Design)'!G10</f>
        <v>0</v>
      </c>
      <c r="BI11" s="775"/>
    </row>
    <row r="12" spans="1:61" x14ac:dyDescent="0.25">
      <c r="B12" s="21" t="s">
        <v>4581</v>
      </c>
      <c r="C12" s="21"/>
      <c r="D12" s="21"/>
      <c r="E12" s="21"/>
      <c r="F12" s="21"/>
      <c r="G12" s="21"/>
      <c r="H12" s="760"/>
      <c r="I12" s="87"/>
      <c r="J12" s="87"/>
      <c r="K12" s="87"/>
      <c r="L12" s="1796"/>
      <c r="M12" s="489"/>
      <c r="P12" s="257"/>
      <c r="Q12" s="257"/>
      <c r="AX12" s="42" t="str">
        <f>'Overview (Design)'!A11</f>
        <v>Physical Address of Home:</v>
      </c>
      <c r="AY12" s="43">
        <f>'Overview (Design)'!G11</f>
        <v>0</v>
      </c>
      <c r="BI12" s="775"/>
    </row>
    <row r="13" spans="1:61" ht="18.75" x14ac:dyDescent="0.3">
      <c r="B13" s="21" t="s">
        <v>255</v>
      </c>
      <c r="C13" s="21"/>
      <c r="D13" s="21"/>
      <c r="E13" s="21"/>
      <c r="F13" s="21"/>
      <c r="G13" s="21"/>
      <c r="H13" s="760"/>
      <c r="I13" s="88" t="s">
        <v>736</v>
      </c>
      <c r="J13" s="88"/>
      <c r="K13" s="88"/>
      <c r="L13" s="84"/>
      <c r="M13" s="490"/>
      <c r="N13" s="23"/>
      <c r="O13" s="68"/>
      <c r="P13" s="23"/>
      <c r="Q13" s="23"/>
      <c r="R13" s="23"/>
      <c r="S13" s="23"/>
      <c r="T13" s="23"/>
      <c r="U13" s="23"/>
      <c r="V13" s="23"/>
      <c r="W13" s="23"/>
      <c r="X13" s="23"/>
      <c r="AX13" s="42" t="str">
        <f>'Overview (Design)'!A12</f>
        <v>Community/Lot #:</v>
      </c>
      <c r="AY13" s="43">
        <f>'Overview (Design)'!G12</f>
        <v>0</v>
      </c>
      <c r="BI13" s="775"/>
    </row>
    <row r="14" spans="1:61" x14ac:dyDescent="0.25">
      <c r="B14" s="21" t="s">
        <v>255</v>
      </c>
      <c r="C14" s="21"/>
      <c r="D14" s="21"/>
      <c r="E14" s="21"/>
      <c r="F14" s="21"/>
      <c r="G14" s="21"/>
      <c r="H14" s="760"/>
      <c r="I14" s="91" t="s">
        <v>255</v>
      </c>
      <c r="J14" s="91"/>
      <c r="K14" s="91"/>
      <c r="L14" s="1178" t="s">
        <v>4900</v>
      </c>
      <c r="N14" s="92"/>
      <c r="O14" s="1136">
        <f>MAX(M15*S15*W15,M17*S17*W17+M18*S18*W18+M19*S19*W19)</f>
        <v>0</v>
      </c>
      <c r="P14" s="93"/>
      <c r="Q14" s="93"/>
      <c r="R14" s="94" t="b">
        <v>0</v>
      </c>
      <c r="S14" s="94" t="b">
        <v>1</v>
      </c>
      <c r="T14" s="94" t="b">
        <v>0</v>
      </c>
      <c r="U14" s="94"/>
      <c r="V14" s="94"/>
      <c r="W14" s="94" t="s">
        <v>263</v>
      </c>
      <c r="X14" s="1770"/>
      <c r="AL14" s="1129" t="str">
        <f>SUBSTITUTE(SUBSTITUTE(SUBSTITUTE("dpa"&amp;$B14&amp;$C14&amp;$D14&amp;$E14,".","_"),"(","_"),")","")</f>
        <v>dpa501_1</v>
      </c>
      <c r="AM14" s="1131">
        <f>M15</f>
        <v>15</v>
      </c>
      <c r="AN14" s="1129" t="str">
        <f>SUBSTITUTE(SUBSTITUTE(SUBSTITUTE("dpc"&amp;$B14&amp;$C14&amp;$D14&amp;$E14,".","_"),"(","_"),")","")</f>
        <v>dpc501_1</v>
      </c>
      <c r="AO14" s="1131">
        <f>O14</f>
        <v>0</v>
      </c>
      <c r="AR14" s="1129" t="str">
        <f>SUBSTITUTE(SUBSTITUTE(SUBSTITUTE("dnt"&amp;$B14&amp;$C14&amp;$D14&amp;$E14,".","_"),"(","_"),")","")</f>
        <v>dnt501_1</v>
      </c>
      <c r="AS14" s="254" t="str">
        <f>IF(LEN(X14)=0,"",X14)</f>
        <v/>
      </c>
      <c r="AX14" s="42" t="str">
        <f>'Overview (Design)'!A13</f>
        <v>City:</v>
      </c>
      <c r="AY14" s="43">
        <f>'Overview (Design)'!G13</f>
        <v>0</v>
      </c>
      <c r="AZ14" s="43"/>
      <c r="BA14" s="43"/>
      <c r="BB14" s="43"/>
      <c r="BC14" s="43"/>
      <c r="BD14" s="43"/>
      <c r="BE14" s="43"/>
      <c r="BF14" s="43"/>
      <c r="BG14" s="43"/>
      <c r="BH14" s="43"/>
      <c r="BI14" s="775"/>
    </row>
    <row r="15" spans="1:61" x14ac:dyDescent="0.25">
      <c r="B15" s="21" t="s">
        <v>255</v>
      </c>
      <c r="C15" s="21" t="s">
        <v>256</v>
      </c>
      <c r="D15" s="21"/>
      <c r="E15" s="21"/>
      <c r="F15" s="21"/>
      <c r="G15" s="21"/>
      <c r="H15" s="760"/>
      <c r="I15" s="91"/>
      <c r="J15" s="174" t="s">
        <v>256</v>
      </c>
      <c r="K15" s="174"/>
      <c r="L15" s="1195" t="s">
        <v>4901</v>
      </c>
      <c r="M15" s="1135">
        <v>15</v>
      </c>
      <c r="N15" s="92"/>
      <c r="P15" s="93" t="b">
        <v>1</v>
      </c>
      <c r="Q15" s="93" t="b">
        <v>1</v>
      </c>
      <c r="R15" s="94" t="b">
        <v>0</v>
      </c>
      <c r="S15" s="94" t="b">
        <v>1</v>
      </c>
      <c r="T15" s="94" t="b">
        <v>0</v>
      </c>
      <c r="U15" s="94"/>
      <c r="V15" s="94"/>
      <c r="W15" s="25"/>
      <c r="X15" s="1770"/>
      <c r="AL15" s="735"/>
      <c r="AN15" s="735"/>
      <c r="AP15" s="735" t="str">
        <f>SUBSTITUTE(SUBSTITUTE(SUBSTITUTE("dch"&amp;$B15&amp;$C15&amp;$D15&amp;$E15,".","_"),"(","_"),")","")</f>
        <v>dch501_1_1</v>
      </c>
      <c r="AQ15" s="254" t="str">
        <f>IF(LEN(W15)=0,"",W15)</f>
        <v/>
      </c>
      <c r="AR15" s="735"/>
      <c r="AS15" s="33"/>
      <c r="AX15" s="42" t="str">
        <f>'Overview (Design)'!A14</f>
        <v>State:</v>
      </c>
      <c r="AY15" s="43">
        <f>'Overview (Design)'!G14</f>
        <v>0</v>
      </c>
      <c r="AZ15" s="43"/>
      <c r="BA15" s="43"/>
      <c r="BB15" s="43"/>
      <c r="BC15" s="43" t="str">
        <f>'Overview (Design)'!K14</f>
        <v>State</v>
      </c>
      <c r="BD15" s="43" t="str">
        <f>'Overview (Design)'!L14</f>
        <v>County</v>
      </c>
      <c r="BE15" s="43" t="str">
        <f>'Overview (Design)'!M14</f>
        <v>Radon</v>
      </c>
      <c r="BF15" s="43" t="str">
        <f>'Overview (Design)'!N14</f>
        <v>Climate</v>
      </c>
      <c r="BG15" s="43" t="str">
        <f>'Overview (Design)'!O14</f>
        <v>Moist</v>
      </c>
      <c r="BH15" s="43" t="str">
        <f>'Overview (Design)'!P14</f>
        <v>WarmHumid</v>
      </c>
      <c r="BI15" s="775" t="str">
        <f>'Overview (Design)'!Q14</f>
        <v>Tropical</v>
      </c>
    </row>
    <row r="16" spans="1:61" s="1133" customFormat="1" x14ac:dyDescent="0.25">
      <c r="A16" s="18"/>
      <c r="B16" s="21" t="s">
        <v>255</v>
      </c>
      <c r="C16" s="21" t="s">
        <v>258</v>
      </c>
      <c r="D16" s="21"/>
      <c r="E16" s="21"/>
      <c r="F16" s="21"/>
      <c r="G16" s="21"/>
      <c r="H16" s="760"/>
      <c r="I16" s="91"/>
      <c r="J16" s="846" t="s">
        <v>258</v>
      </c>
      <c r="K16" s="91"/>
      <c r="L16" s="1174" t="s">
        <v>4902</v>
      </c>
      <c r="M16" s="1134"/>
      <c r="N16" s="92"/>
      <c r="O16" s="1136"/>
      <c r="P16" s="93"/>
      <c r="Q16" s="93"/>
      <c r="R16" s="94"/>
      <c r="S16" s="94"/>
      <c r="T16" s="94"/>
      <c r="U16" s="94"/>
      <c r="V16" s="94"/>
      <c r="W16"/>
      <c r="X16" s="1770"/>
      <c r="AQ16" s="254"/>
      <c r="AS16" s="254"/>
      <c r="AX16" s="42" t="str">
        <f>'Overview (Design)'!A15</f>
        <v>County:</v>
      </c>
      <c r="AY16" s="43">
        <f>'Overview (Design)'!G15</f>
        <v>0</v>
      </c>
      <c r="AZ16" s="43"/>
      <c r="BA16" s="43"/>
      <c r="BB16" s="43"/>
      <c r="BC16" s="43">
        <f>'Overview (Design)'!K15</f>
        <v>0</v>
      </c>
      <c r="BD16" s="43" t="str">
        <f>'Overview (Design)'!L15</f>
        <v/>
      </c>
      <c r="BE16" s="43" t="str">
        <f>'Overview (Design)'!M15</f>
        <v>!!</v>
      </c>
      <c r="BF16" s="43" t="str">
        <f>'Overview (Design)'!N15</f>
        <v>!!</v>
      </c>
      <c r="BG16" s="43" t="str">
        <f>'Overview (Design)'!O15</f>
        <v>!!</v>
      </c>
      <c r="BH16" s="43" t="str">
        <f>'Overview (Design)'!P15</f>
        <v>!!</v>
      </c>
      <c r="BI16" s="775" t="str">
        <f>'Overview (Design)'!Q15</f>
        <v>!!</v>
      </c>
    </row>
    <row r="17" spans="2:61" x14ac:dyDescent="0.25">
      <c r="B17" s="21" t="s">
        <v>255</v>
      </c>
      <c r="C17" s="21" t="s">
        <v>258</v>
      </c>
      <c r="D17" s="21" t="s">
        <v>121</v>
      </c>
      <c r="E17" s="21"/>
      <c r="F17" s="21"/>
      <c r="G17" s="21"/>
      <c r="H17" s="760"/>
      <c r="I17" s="91"/>
      <c r="J17"/>
      <c r="K17" s="174" t="s">
        <v>121</v>
      </c>
      <c r="L17" s="1163" t="s">
        <v>257</v>
      </c>
      <c r="M17" s="491">
        <v>10</v>
      </c>
      <c r="N17" s="92"/>
      <c r="O17" s="496"/>
      <c r="P17" s="93" t="b">
        <v>1</v>
      </c>
      <c r="Q17" s="93" t="b">
        <v>1</v>
      </c>
      <c r="R17" s="94" t="b">
        <v>0</v>
      </c>
      <c r="S17" s="94" t="b">
        <v>1</v>
      </c>
      <c r="T17" s="94" t="b">
        <v>0</v>
      </c>
      <c r="U17" s="94"/>
      <c r="V17" s="94"/>
      <c r="W17" s="25"/>
      <c r="X17" s="1770"/>
      <c r="AC17" s="911"/>
      <c r="AD17" s="911"/>
      <c r="AL17" s="1130" t="str">
        <f>SUBSTITUTE(SUBSTITUTE(SUBSTITUTE("dpa"&amp;$B17&amp;$C17&amp;$D17&amp;$E17,".","_"),"(","_"),")","")</f>
        <v>dpa501_1_2_a</v>
      </c>
      <c r="AM17" s="33">
        <f>M17</f>
        <v>10</v>
      </c>
      <c r="AN17" s="33"/>
      <c r="AO17" s="33"/>
      <c r="AP17" s="1130" t="str">
        <f>SUBSTITUTE(SUBSTITUTE(SUBSTITUTE("dch"&amp;$B17&amp;$C17&amp;$D17&amp;$E17,".","_"),"(","_"),")","")</f>
        <v>dch501_1_2_a</v>
      </c>
      <c r="AQ17" s="254" t="str">
        <f>IF(LEN(W17)=0,"",W17)</f>
        <v/>
      </c>
      <c r="AR17" s="33"/>
      <c r="AS17" s="33"/>
      <c r="AX17" s="42" t="str">
        <f>'Overview (Design)'!A16</f>
        <v>Zip:</v>
      </c>
      <c r="AY17" s="43">
        <f>'Overview (Design)'!G16</f>
        <v>0</v>
      </c>
    </row>
    <row r="18" spans="2:61" x14ac:dyDescent="0.25">
      <c r="B18" s="21" t="s">
        <v>255</v>
      </c>
      <c r="C18" s="21" t="s">
        <v>258</v>
      </c>
      <c r="D18" s="21" t="s">
        <v>122</v>
      </c>
      <c r="E18" s="21"/>
      <c r="F18" s="21"/>
      <c r="G18" s="21"/>
      <c r="H18" s="760"/>
      <c r="I18" s="91"/>
      <c r="J18"/>
      <c r="K18" s="212" t="s">
        <v>122</v>
      </c>
      <c r="L18" s="1163" t="s">
        <v>259</v>
      </c>
      <c r="M18" s="491">
        <v>10</v>
      </c>
      <c r="N18" s="92"/>
      <c r="O18" s="496"/>
      <c r="P18" s="93" t="b">
        <v>1</v>
      </c>
      <c r="Q18" s="93" t="b">
        <v>1</v>
      </c>
      <c r="R18" s="94" t="b">
        <v>0</v>
      </c>
      <c r="S18" s="94" t="b">
        <f>W19&lt;&gt;TRUE</f>
        <v>1</v>
      </c>
      <c r="T18" s="94" t="b">
        <f>AND(NOT(S18),W18=TRUE)</f>
        <v>0</v>
      </c>
      <c r="U18" s="94"/>
      <c r="V18" s="94"/>
      <c r="W18" s="25"/>
      <c r="X18" s="1770"/>
      <c r="AC18" s="911" t="b">
        <f>OR(AD18:AE18)</f>
        <v>0</v>
      </c>
      <c r="AD18" s="911" t="b">
        <f>T18</f>
        <v>0</v>
      </c>
      <c r="AL18" s="1130" t="str">
        <f>SUBSTITUTE(SUBSTITUTE(SUBSTITUTE("dpa"&amp;$B18&amp;$C18&amp;$D18&amp;$E18,".","_"),"(","_"),")","")</f>
        <v>dpa501_1_2_b</v>
      </c>
      <c r="AM18" s="33">
        <f>M18</f>
        <v>10</v>
      </c>
      <c r="AN18" s="33"/>
      <c r="AO18" s="33"/>
      <c r="AP18" s="1130" t="str">
        <f>SUBSTITUTE(SUBSTITUTE(SUBSTITUTE("dch"&amp;$B18&amp;$C18&amp;$D18&amp;$E18,".","_"),"(","_"),")","")</f>
        <v>dch501_1_2_b</v>
      </c>
      <c r="AQ18" s="254" t="str">
        <f>IF(LEN(W18)=0,"",W18)</f>
        <v/>
      </c>
      <c r="AR18" s="33"/>
      <c r="AS18" s="33"/>
      <c r="AX18" s="42"/>
      <c r="AY18" s="43"/>
    </row>
    <row r="19" spans="2:61" ht="15.75" thickBot="1" x14ac:dyDescent="0.3">
      <c r="B19" s="21" t="s">
        <v>255</v>
      </c>
      <c r="C19" s="21" t="s">
        <v>258</v>
      </c>
      <c r="D19" s="26" t="s">
        <v>123</v>
      </c>
      <c r="E19" s="21"/>
      <c r="F19" s="21"/>
      <c r="G19" s="21"/>
      <c r="H19" s="760"/>
      <c r="I19" s="96"/>
      <c r="J19" s="99"/>
      <c r="K19" s="111" t="s">
        <v>123</v>
      </c>
      <c r="L19" s="1171" t="s">
        <v>261</v>
      </c>
      <c r="M19" s="492">
        <v>15</v>
      </c>
      <c r="N19" s="98"/>
      <c r="O19" s="497"/>
      <c r="P19" s="93" t="b">
        <v>1</v>
      </c>
      <c r="Q19" s="93" t="b">
        <v>1</v>
      </c>
      <c r="R19" s="99" t="b">
        <v>0</v>
      </c>
      <c r="S19" s="99" t="b">
        <f>W18&lt;&gt;TRUE</f>
        <v>1</v>
      </c>
      <c r="T19" s="94" t="b">
        <f>AND(NOT(S19),W19=TRUE)</f>
        <v>0</v>
      </c>
      <c r="U19" s="99"/>
      <c r="V19" s="99"/>
      <c r="W19" s="186"/>
      <c r="X19" s="1771"/>
      <c r="AC19" s="911" t="b">
        <f>OR(AD19:AE19)</f>
        <v>0</v>
      </c>
      <c r="AD19" s="911" t="b">
        <f>T19</f>
        <v>0</v>
      </c>
      <c r="AL19" s="1130" t="str">
        <f>SUBSTITUTE(SUBSTITUTE(SUBSTITUTE("dpa"&amp;$B19&amp;$C19&amp;$D19&amp;$E19,".","_"),"(","_"),")","")</f>
        <v>dpa501_1_2_c</v>
      </c>
      <c r="AM19" s="33">
        <f>M19</f>
        <v>15</v>
      </c>
      <c r="AN19" s="33"/>
      <c r="AO19" s="33"/>
      <c r="AP19" s="1130" t="str">
        <f>SUBSTITUTE(SUBSTITUTE(SUBSTITUTE("dch"&amp;$B19&amp;$C19&amp;$D19&amp;$E19,".","_"),"(","_"),")","")</f>
        <v>dch501_1_2_c</v>
      </c>
      <c r="AQ19" s="254" t="str">
        <f>IF(LEN(W19)=0,"",W19)</f>
        <v/>
      </c>
      <c r="AR19" s="33"/>
      <c r="AS19" s="33"/>
      <c r="AX19" s="42" t="str">
        <f>'Overview (Design)'!A18</f>
        <v>Single-Family or Multifamily:</v>
      </c>
      <c r="AY19" s="43" t="str">
        <f>'Overview (Design)'!G18</f>
        <v>Single-Family</v>
      </c>
    </row>
    <row r="20" spans="2:61" ht="15.75" thickTop="1" x14ac:dyDescent="0.25">
      <c r="B20" s="21" t="s">
        <v>264</v>
      </c>
      <c r="C20" s="21"/>
      <c r="D20" s="21"/>
      <c r="E20" s="21"/>
      <c r="F20" s="21"/>
      <c r="G20" s="21"/>
      <c r="H20" s="760"/>
      <c r="I20" s="87" t="s">
        <v>264</v>
      </c>
      <c r="J20" s="87"/>
      <c r="K20" s="87"/>
      <c r="L20" s="1796" t="s">
        <v>265</v>
      </c>
      <c r="M20" s="1813"/>
      <c r="N20" s="44"/>
      <c r="O20" s="1807"/>
      <c r="P20" s="254"/>
      <c r="Q20" s="254"/>
      <c r="R20" s="17"/>
      <c r="S20" s="17"/>
      <c r="T20" s="17"/>
      <c r="U20" s="17"/>
      <c r="W20" s="185"/>
      <c r="X20" s="1756"/>
      <c r="AL20" s="33"/>
      <c r="AM20" s="33"/>
      <c r="AN20" s="33"/>
      <c r="AO20" s="33"/>
      <c r="AP20" s="33"/>
      <c r="AQ20" s="33"/>
      <c r="AR20" s="1130" t="str">
        <f>SUBSTITUTE(SUBSTITUTE(SUBSTITUTE("dnt"&amp;$B20&amp;$C20&amp;$D20&amp;$E20,".","_"),"(","_"),")","")</f>
        <v>dnt501_2</v>
      </c>
      <c r="AS20" s="254" t="str">
        <f>IF(LEN(X20)=0,"",X20)</f>
        <v/>
      </c>
      <c r="AX20" s="42" t="str">
        <f>'Overview (Design)'!A19</f>
        <v>Number of Units:</v>
      </c>
      <c r="AY20" s="43">
        <f>'Overview (Design)'!G19</f>
        <v>0</v>
      </c>
    </row>
    <row r="21" spans="2:61" x14ac:dyDescent="0.25">
      <c r="B21" s="21" t="s">
        <v>264</v>
      </c>
      <c r="C21" s="21"/>
      <c r="D21" s="21"/>
      <c r="E21" s="21"/>
      <c r="F21" s="21"/>
      <c r="G21" s="21"/>
      <c r="H21" s="760"/>
      <c r="I21" s="87"/>
      <c r="J21" s="87"/>
      <c r="K21" s="87"/>
      <c r="L21" s="1796"/>
      <c r="M21" s="1813"/>
      <c r="N21" s="44"/>
      <c r="O21" s="1807"/>
      <c r="P21" s="254"/>
      <c r="Q21" s="254"/>
      <c r="R21" s="17"/>
      <c r="S21" s="17"/>
      <c r="T21" s="17"/>
      <c r="U21" s="17"/>
      <c r="X21" s="1757"/>
      <c r="AL21" s="33"/>
      <c r="AM21" s="33"/>
      <c r="AN21" s="33"/>
      <c r="AO21" s="33"/>
      <c r="AP21" s="33"/>
      <c r="AQ21" s="33"/>
      <c r="AR21" s="33"/>
      <c r="AS21" s="33"/>
      <c r="AX21" s="1100" t="str">
        <f>'Overview (Design)'!A20</f>
        <v>Building includes commercial space pursuing Commercial Space certification?</v>
      </c>
      <c r="AY21" s="1101">
        <f>'Overview (Design)'!G20</f>
        <v>0</v>
      </c>
    </row>
    <row r="22" spans="2:61" x14ac:dyDescent="0.25">
      <c r="B22" s="21" t="s">
        <v>264</v>
      </c>
      <c r="C22" s="21" t="s">
        <v>256</v>
      </c>
      <c r="D22" s="21"/>
      <c r="E22" s="21"/>
      <c r="F22" s="21"/>
      <c r="G22" s="21"/>
      <c r="H22" s="760"/>
      <c r="I22" s="87"/>
      <c r="J22" s="91" t="s">
        <v>256</v>
      </c>
      <c r="K22" s="91"/>
      <c r="L22" s="1793" t="s">
        <v>266</v>
      </c>
      <c r="M22" s="1790">
        <v>6</v>
      </c>
      <c r="N22" s="92"/>
      <c r="O22" s="1808">
        <f>M22*W22</f>
        <v>0</v>
      </c>
      <c r="P22" s="93" t="b">
        <v>1</v>
      </c>
      <c r="Q22" s="93" t="b">
        <v>1</v>
      </c>
      <c r="R22" s="17" t="b">
        <v>0</v>
      </c>
      <c r="S22" s="17" t="b">
        <v>1</v>
      </c>
      <c r="T22" s="17" t="b">
        <v>0</v>
      </c>
      <c r="U22" s="17"/>
      <c r="W22" s="25"/>
      <c r="X22" s="1757"/>
      <c r="AL22" s="1130" t="str">
        <f>SUBSTITUTE(SUBSTITUTE(SUBSTITUTE("dpa"&amp;$B22&amp;$C22&amp;$D22&amp;$E22,".","_"),"(","_"),")","")</f>
        <v>dpa501_2_1</v>
      </c>
      <c r="AM22" s="33">
        <f>M22</f>
        <v>6</v>
      </c>
      <c r="AN22" s="1130" t="str">
        <f>SUBSTITUTE(SUBSTITUTE(SUBSTITUTE("dpc"&amp;$B22&amp;$C22&amp;$D22&amp;$E22,".","_"),"(","_"),")","")</f>
        <v>dpc501_2_1</v>
      </c>
      <c r="AO22" s="33">
        <f>O22</f>
        <v>0</v>
      </c>
      <c r="AP22" s="1130" t="str">
        <f>SUBSTITUTE(SUBSTITUTE(SUBSTITUTE("dch"&amp;$B22&amp;$C22&amp;$D22&amp;$E22,".","_"),"(","_"),")","")</f>
        <v>dch501_2_1</v>
      </c>
      <c r="AQ22" s="254" t="str">
        <f>IF(LEN(W22)=0,"",W22)</f>
        <v/>
      </c>
      <c r="AR22" s="1130" t="str">
        <f>SUBSTITUTE(SUBSTITUTE(SUBSTITUTE("dnt"&amp;$B22&amp;$C22&amp;$D22&amp;$E22,".","_"),"(","_"),")","")</f>
        <v>dnt501_2_1</v>
      </c>
      <c r="AS22" s="254" t="str">
        <f>IF(LEN(X22)=0,"",X22)</f>
        <v/>
      </c>
    </row>
    <row r="23" spans="2:61" x14ac:dyDescent="0.25">
      <c r="B23" s="21" t="s">
        <v>264</v>
      </c>
      <c r="C23" s="21" t="s">
        <v>256</v>
      </c>
      <c r="D23" s="21"/>
      <c r="E23" s="21"/>
      <c r="F23" s="21"/>
      <c r="G23" s="21"/>
      <c r="H23" s="760"/>
      <c r="I23" s="87"/>
      <c r="J23" s="174"/>
      <c r="K23" s="174"/>
      <c r="L23" s="1761"/>
      <c r="M23" s="1791"/>
      <c r="N23" s="176"/>
      <c r="O23" s="1809"/>
      <c r="P23" s="253"/>
      <c r="Q23" s="253"/>
      <c r="R23" s="17"/>
      <c r="S23" s="17"/>
      <c r="T23" s="17"/>
      <c r="U23" s="17"/>
      <c r="W23"/>
      <c r="X23" s="1757"/>
      <c r="AL23" s="33"/>
      <c r="AM23" s="33"/>
      <c r="AN23" s="33"/>
      <c r="AO23" s="33"/>
      <c r="AP23" s="33"/>
      <c r="AQ23" s="33"/>
      <c r="AR23" s="33"/>
      <c r="AS23" s="33"/>
    </row>
    <row r="24" spans="2:61" x14ac:dyDescent="0.25">
      <c r="B24" s="21" t="s">
        <v>264</v>
      </c>
      <c r="C24" s="21" t="s">
        <v>258</v>
      </c>
      <c r="D24" s="21"/>
      <c r="E24" s="21"/>
      <c r="F24" s="21"/>
      <c r="G24" s="21"/>
      <c r="H24" s="760"/>
      <c r="I24" s="87"/>
      <c r="J24" s="91" t="s">
        <v>258</v>
      </c>
      <c r="K24" s="91"/>
      <c r="L24" s="1754" t="s">
        <v>267</v>
      </c>
      <c r="M24" s="1790">
        <v>3</v>
      </c>
      <c r="N24" s="92"/>
      <c r="O24" s="1808">
        <f>M24*W24</f>
        <v>0</v>
      </c>
      <c r="P24" s="93" t="b">
        <v>1</v>
      </c>
      <c r="Q24" s="93" t="b">
        <v>1</v>
      </c>
      <c r="R24" s="17" t="b">
        <v>0</v>
      </c>
      <c r="S24" s="17" t="b">
        <v>1</v>
      </c>
      <c r="T24" s="17" t="b">
        <v>0</v>
      </c>
      <c r="U24" s="17"/>
      <c r="W24" s="25"/>
      <c r="X24" s="1757"/>
      <c r="AL24" s="1130" t="str">
        <f>SUBSTITUTE(SUBSTITUTE(SUBSTITUTE("dpa"&amp;$B24&amp;$C24&amp;$D24&amp;$E24,".","_"),"(","_"),")","")</f>
        <v>dpa501_2_2</v>
      </c>
      <c r="AM24" s="33">
        <f>M24</f>
        <v>3</v>
      </c>
      <c r="AN24" s="1130" t="str">
        <f>SUBSTITUTE(SUBSTITUTE(SUBSTITUTE("dpc"&amp;$B24&amp;$C24&amp;$D24&amp;$E24,".","_"),"(","_"),")","")</f>
        <v>dpc501_2_2</v>
      </c>
      <c r="AO24" s="33">
        <f>O24</f>
        <v>0</v>
      </c>
      <c r="AP24" s="1130" t="str">
        <f>SUBSTITUTE(SUBSTITUTE(SUBSTITUTE("dch"&amp;$B24&amp;$C24&amp;$D24&amp;$E24,".","_"),"(","_"),")","")</f>
        <v>dch501_2_2</v>
      </c>
      <c r="AQ24" s="254" t="str">
        <f>IF(LEN(W24)=0,"",W24)</f>
        <v/>
      </c>
      <c r="AR24" s="1130" t="str">
        <f>SUBSTITUTE(SUBSTITUTE(SUBSTITUTE("dnt"&amp;$B24&amp;$C24&amp;$D24&amp;$E24,".","_"),"(","_"),")","")</f>
        <v>dnt501_2_2</v>
      </c>
      <c r="AS24" s="254" t="str">
        <f>IF(LEN(X24)=0,"",X24)</f>
        <v/>
      </c>
      <c r="AX24" s="42" t="str">
        <f>'Overview (Design)'!A23</f>
        <v>Project Name:</v>
      </c>
      <c r="AY24" s="43">
        <f>'Overview (Design)'!G23</f>
        <v>0</v>
      </c>
    </row>
    <row r="25" spans="2:61" x14ac:dyDescent="0.25">
      <c r="B25" s="21" t="s">
        <v>264</v>
      </c>
      <c r="C25" s="21" t="s">
        <v>258</v>
      </c>
      <c r="D25" s="21"/>
      <c r="E25" s="21"/>
      <c r="F25" s="21"/>
      <c r="G25" s="21"/>
      <c r="H25" s="760"/>
      <c r="I25" s="87"/>
      <c r="J25" s="174"/>
      <c r="K25" s="174"/>
      <c r="L25" s="1755"/>
      <c r="M25" s="1791"/>
      <c r="N25" s="176"/>
      <c r="O25" s="1809"/>
      <c r="P25" s="253"/>
      <c r="Q25" s="253"/>
      <c r="R25" s="17"/>
      <c r="S25" s="17"/>
      <c r="T25" s="17"/>
      <c r="U25" s="17"/>
      <c r="W25"/>
      <c r="X25" s="1757"/>
      <c r="AL25" s="33"/>
      <c r="AM25" s="33"/>
      <c r="AN25" s="33"/>
      <c r="AO25" s="33"/>
      <c r="AP25" s="33"/>
      <c r="AQ25" s="33"/>
      <c r="AR25" s="33"/>
      <c r="AS25" s="33"/>
      <c r="AX25" s="42"/>
      <c r="AY25" s="43"/>
    </row>
    <row r="26" spans="2:61" x14ac:dyDescent="0.25">
      <c r="B26" s="21" t="s">
        <v>264</v>
      </c>
      <c r="C26" s="21" t="s">
        <v>260</v>
      </c>
      <c r="D26" s="21"/>
      <c r="E26" s="21"/>
      <c r="F26" s="21"/>
      <c r="G26" s="21"/>
      <c r="H26" s="760"/>
      <c r="I26" s="87"/>
      <c r="J26" s="91" t="s">
        <v>260</v>
      </c>
      <c r="K26" s="91"/>
      <c r="L26" s="1793" t="s">
        <v>268</v>
      </c>
      <c r="M26" s="1790">
        <v>5</v>
      </c>
      <c r="N26" s="92"/>
      <c r="O26" s="1808">
        <f>M26*W26</f>
        <v>0</v>
      </c>
      <c r="P26" s="93" t="b">
        <v>1</v>
      </c>
      <c r="Q26" s="93" t="b">
        <v>1</v>
      </c>
      <c r="R26" s="17" t="b">
        <v>0</v>
      </c>
      <c r="S26" s="17" t="b">
        <v>1</v>
      </c>
      <c r="T26" s="17" t="b">
        <v>0</v>
      </c>
      <c r="U26" s="17"/>
      <c r="W26" s="25"/>
      <c r="X26" s="1757"/>
      <c r="AL26" s="1130" t="str">
        <f>SUBSTITUTE(SUBSTITUTE(SUBSTITUTE("dpa"&amp;$B26&amp;$C26&amp;$D26&amp;$E26,".","_"),"(","_"),")","")</f>
        <v>dpa501_2_3</v>
      </c>
      <c r="AM26" s="33">
        <f>M26</f>
        <v>5</v>
      </c>
      <c r="AN26" s="1130" t="str">
        <f>SUBSTITUTE(SUBSTITUTE(SUBSTITUTE("dpc"&amp;$B26&amp;$C26&amp;$D26&amp;$E26,".","_"),"(","_"),")","")</f>
        <v>dpc501_2_3</v>
      </c>
      <c r="AO26" s="33">
        <f>O26</f>
        <v>0</v>
      </c>
      <c r="AP26" s="1130" t="str">
        <f>SUBSTITUTE(SUBSTITUTE(SUBSTITUTE("dch"&amp;$B26&amp;$C26&amp;$D26&amp;$E26,".","_"),"(","_"),")","")</f>
        <v>dch501_2_3</v>
      </c>
      <c r="AQ26" s="254" t="str">
        <f>IF(LEN(W26)=0,"",W26)</f>
        <v/>
      </c>
      <c r="AR26" s="1130" t="str">
        <f>SUBSTITUTE(SUBSTITUTE(SUBSTITUTE("dnt"&amp;$B26&amp;$C26&amp;$D26&amp;$E26,".","_"),"(","_"),")","")</f>
        <v>dnt501_2_3</v>
      </c>
      <c r="AS26" s="254" t="str">
        <f>IF(LEN(X26)=0,"",X26)</f>
        <v/>
      </c>
      <c r="AX26" s="42" t="str">
        <f>'Overview (Design)'!A25</f>
        <v>Above grade plane finished floor area:</v>
      </c>
      <c r="AY26" s="43">
        <f>'Overview (Design)'!G25</f>
        <v>0</v>
      </c>
    </row>
    <row r="27" spans="2:61" x14ac:dyDescent="0.25">
      <c r="B27" s="21" t="s">
        <v>264</v>
      </c>
      <c r="C27" s="21" t="s">
        <v>260</v>
      </c>
      <c r="D27" s="21"/>
      <c r="E27" s="21"/>
      <c r="F27" s="21"/>
      <c r="G27" s="21"/>
      <c r="H27" s="760"/>
      <c r="I27" s="87"/>
      <c r="J27" s="174"/>
      <c r="K27" s="174"/>
      <c r="L27" s="1761"/>
      <c r="M27" s="1791"/>
      <c r="N27" s="176"/>
      <c r="O27" s="1809"/>
      <c r="P27" s="253"/>
      <c r="Q27" s="253"/>
      <c r="R27" s="17"/>
      <c r="S27" s="17"/>
      <c r="T27" s="17"/>
      <c r="U27" s="17"/>
      <c r="W27"/>
      <c r="X27" s="1757"/>
      <c r="AL27" s="33"/>
      <c r="AM27" s="33"/>
      <c r="AN27" s="33"/>
      <c r="AO27" s="33"/>
      <c r="AP27" s="33"/>
      <c r="AQ27" s="33"/>
      <c r="AR27" s="33"/>
      <c r="AS27" s="33"/>
      <c r="AX27" s="42" t="str">
        <f>'Overview (Design)'!A26</f>
        <v>Total conditioned floor area:</v>
      </c>
      <c r="AY27" s="43">
        <f>'Overview (Design)'!G26</f>
        <v>0</v>
      </c>
    </row>
    <row r="28" spans="2:61" x14ac:dyDescent="0.25">
      <c r="B28" s="21" t="s">
        <v>264</v>
      </c>
      <c r="C28" s="21" t="s">
        <v>269</v>
      </c>
      <c r="D28" s="21"/>
      <c r="E28" s="21"/>
      <c r="F28" s="21"/>
      <c r="G28" s="21"/>
      <c r="H28" s="760"/>
      <c r="I28" s="87"/>
      <c r="J28" s="91" t="s">
        <v>269</v>
      </c>
      <c r="K28" s="91"/>
      <c r="L28" s="1754" t="s">
        <v>270</v>
      </c>
      <c r="M28" s="1790">
        <v>4</v>
      </c>
      <c r="N28" s="92"/>
      <c r="O28" s="1808">
        <f>M28*W28*S28</f>
        <v>0</v>
      </c>
      <c r="P28" s="93" t="b">
        <v>1</v>
      </c>
      <c r="Q28" s="93" t="b">
        <v>1</v>
      </c>
      <c r="R28" s="17" t="b">
        <v>0</v>
      </c>
      <c r="S28" s="791" t="b">
        <f>LEN(W38)=0</f>
        <v>1</v>
      </c>
      <c r="T28" s="17" t="b">
        <f>AND(W28=TRUE,NOT(S28))</f>
        <v>0</v>
      </c>
      <c r="U28" s="17"/>
      <c r="W28" s="25"/>
      <c r="X28" s="1798"/>
      <c r="AC28" s="17" t="b">
        <f>OR(AD28:AE28)</f>
        <v>0</v>
      </c>
      <c r="AD28" s="17" t="b">
        <v>0</v>
      </c>
      <c r="AE28" s="17" t="b">
        <f>AND(W28=TRUE,LEN(X28)=0)</f>
        <v>0</v>
      </c>
      <c r="AL28" s="1130" t="str">
        <f>SUBSTITUTE(SUBSTITUTE(SUBSTITUTE("dpa"&amp;$B28&amp;$C28&amp;$D28&amp;$E28,".","_"),"(","_"),")","")</f>
        <v>dpa501_2_4</v>
      </c>
      <c r="AM28" s="33">
        <f>M28</f>
        <v>4</v>
      </c>
      <c r="AN28" s="1130" t="str">
        <f>SUBSTITUTE(SUBSTITUTE(SUBSTITUTE("dpc"&amp;$B28&amp;$C28&amp;$D28&amp;$E28,".","_"),"(","_"),")","")</f>
        <v>dpc501_2_4</v>
      </c>
      <c r="AO28" s="33">
        <f>O28</f>
        <v>0</v>
      </c>
      <c r="AP28" s="1130" t="str">
        <f>SUBSTITUTE(SUBSTITUTE(SUBSTITUTE("dch"&amp;$B28&amp;$C28&amp;$D28&amp;$E28,".","_"),"(","_"),")","")</f>
        <v>dch501_2_4</v>
      </c>
      <c r="AQ28" s="254" t="str">
        <f>IF(LEN(W28)=0,"",W28)</f>
        <v/>
      </c>
      <c r="AR28" s="1130" t="str">
        <f>SUBSTITUTE(SUBSTITUTE(SUBSTITUTE("dnt"&amp;$B28&amp;$C28&amp;$D28&amp;$E28,".","_"),"(","_"),")","")</f>
        <v>dnt501_2_4</v>
      </c>
      <c r="AS28" s="254" t="str">
        <f>IF(LEN(X28)=0,"",X28)</f>
        <v/>
      </c>
      <c r="AX28" s="441" t="str">
        <f>'Overview (Design)'!A27</f>
        <v>Stories above grade:</v>
      </c>
      <c r="AY28" s="442">
        <f>'Overview (Design)'!G27</f>
        <v>0</v>
      </c>
    </row>
    <row r="29" spans="2:61" x14ac:dyDescent="0.25">
      <c r="B29" s="21" t="s">
        <v>264</v>
      </c>
      <c r="C29" s="21" t="s">
        <v>269</v>
      </c>
      <c r="D29" s="21"/>
      <c r="E29" s="21"/>
      <c r="F29" s="21"/>
      <c r="G29" s="21"/>
      <c r="H29" s="760"/>
      <c r="I29" s="87"/>
      <c r="J29" s="91"/>
      <c r="K29" s="91"/>
      <c r="L29" s="1754"/>
      <c r="M29" s="1790"/>
      <c r="N29" s="92"/>
      <c r="O29" s="1808"/>
      <c r="P29" s="253"/>
      <c r="Q29" s="253"/>
      <c r="R29" s="17"/>
      <c r="S29" s="17"/>
      <c r="T29" s="17"/>
      <c r="U29" s="17"/>
      <c r="W29"/>
      <c r="X29" s="1799"/>
      <c r="AL29" s="33"/>
      <c r="AM29" s="33"/>
      <c r="AN29" s="33"/>
      <c r="AO29" s="33"/>
      <c r="AP29" s="33"/>
      <c r="AQ29" s="33"/>
      <c r="AR29" s="33"/>
      <c r="AS29" s="33"/>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2:61" x14ac:dyDescent="0.25">
      <c r="B30" s="21" t="s">
        <v>264</v>
      </c>
      <c r="C30" s="21" t="s">
        <v>269</v>
      </c>
      <c r="D30" s="21"/>
      <c r="E30" s="21"/>
      <c r="F30" s="21"/>
      <c r="G30" s="21"/>
      <c r="H30" s="760"/>
      <c r="I30" s="87"/>
      <c r="J30" s="91"/>
      <c r="K30" s="91"/>
      <c r="L30" s="1754"/>
      <c r="M30" s="1790"/>
      <c r="N30" s="92"/>
      <c r="O30" s="1808"/>
      <c r="P30" s="253"/>
      <c r="Q30" s="253"/>
      <c r="R30" s="17"/>
      <c r="S30" s="17"/>
      <c r="T30" s="17"/>
      <c r="U30" s="17"/>
      <c r="W30"/>
      <c r="X30" s="1799"/>
      <c r="AL30" s="33"/>
      <c r="AM30" s="33"/>
      <c r="AN30" s="33"/>
      <c r="AO30" s="33"/>
      <c r="AP30" s="33"/>
      <c r="AQ30" s="33"/>
      <c r="AR30" s="33"/>
      <c r="AS30" s="33"/>
      <c r="AX30" s="42"/>
      <c r="AY30" s="43"/>
    </row>
    <row r="31" spans="2:61" x14ac:dyDescent="0.25">
      <c r="B31" s="21" t="s">
        <v>264</v>
      </c>
      <c r="C31" s="21" t="s">
        <v>269</v>
      </c>
      <c r="D31" s="21"/>
      <c r="E31" s="21"/>
      <c r="F31" s="21"/>
      <c r="G31" s="21"/>
      <c r="H31" s="760"/>
      <c r="I31" s="87"/>
      <c r="J31" s="91"/>
      <c r="K31" s="91"/>
      <c r="L31" s="1754"/>
      <c r="M31" s="1790"/>
      <c r="N31" s="92"/>
      <c r="O31" s="1808"/>
      <c r="P31" s="253"/>
      <c r="Q31" s="253"/>
      <c r="R31" s="17"/>
      <c r="S31" s="17"/>
      <c r="T31" s="17"/>
      <c r="U31" s="17"/>
      <c r="W31"/>
      <c r="X31" s="1799"/>
      <c r="AL31" s="33"/>
      <c r="AM31" s="33"/>
      <c r="AN31" s="33"/>
      <c r="AO31" s="33"/>
      <c r="AP31" s="33"/>
      <c r="AQ31" s="33"/>
      <c r="AR31" s="33"/>
      <c r="AS31" s="33"/>
      <c r="AX31" s="42" t="str">
        <f>'Overview (Design)'!A30</f>
        <v xml:space="preserve">Project Description (optional): </v>
      </c>
      <c r="AY31" s="43">
        <f>'Overview (Design)'!G30</f>
        <v>0</v>
      </c>
    </row>
    <row r="32" spans="2:61" ht="15" customHeight="1" x14ac:dyDescent="0.25">
      <c r="B32" s="21" t="s">
        <v>264</v>
      </c>
      <c r="C32" s="21" t="s">
        <v>269</v>
      </c>
      <c r="D32" s="21"/>
      <c r="E32" s="21"/>
      <c r="F32" s="21"/>
      <c r="G32" s="21"/>
      <c r="H32" s="760"/>
      <c r="I32" s="87"/>
      <c r="J32" s="91"/>
      <c r="K32" s="91"/>
      <c r="L32" s="1162" t="s">
        <v>271</v>
      </c>
      <c r="M32" s="1790"/>
      <c r="N32" s="92"/>
      <c r="O32" s="1808"/>
      <c r="P32" s="253"/>
      <c r="Q32" s="253"/>
      <c r="R32" s="17"/>
      <c r="S32" s="17"/>
      <c r="T32" s="17"/>
      <c r="U32" s="17"/>
      <c r="W32"/>
      <c r="X32" s="1799"/>
      <c r="AL32" s="33"/>
      <c r="AM32" s="33"/>
      <c r="AN32" s="33"/>
      <c r="AO32" s="33"/>
      <c r="AP32" s="33"/>
      <c r="AQ32" s="33"/>
      <c r="AR32" s="33"/>
      <c r="AS32" s="33"/>
    </row>
    <row r="33" spans="1:60" x14ac:dyDescent="0.25">
      <c r="B33" s="21" t="s">
        <v>264</v>
      </c>
      <c r="C33" s="21" t="s">
        <v>269</v>
      </c>
      <c r="D33" s="21"/>
      <c r="E33" s="21"/>
      <c r="F33" s="21"/>
      <c r="G33" s="21"/>
      <c r="H33" s="760"/>
      <c r="I33" s="87"/>
      <c r="J33" s="91"/>
      <c r="K33" s="91"/>
      <c r="L33" s="1162" t="s">
        <v>272</v>
      </c>
      <c r="M33" s="1790"/>
      <c r="N33" s="92"/>
      <c r="O33" s="1808"/>
      <c r="P33" s="253"/>
      <c r="Q33" s="253"/>
      <c r="R33" s="17"/>
      <c r="S33" s="17"/>
      <c r="T33" s="17"/>
      <c r="U33" s="17"/>
      <c r="W33"/>
      <c r="X33" s="1799"/>
      <c r="AL33" s="33"/>
      <c r="AM33" s="33"/>
      <c r="AN33" s="33"/>
      <c r="AO33" s="33"/>
      <c r="AP33" s="33"/>
      <c r="AQ33" s="33"/>
      <c r="AR33" s="33"/>
      <c r="AS33" s="33"/>
      <c r="AX33" s="42" t="str">
        <f>'Overview (Design)'!A32</f>
        <v>Foundation Type:</v>
      </c>
      <c r="AY33" s="43">
        <f>'Overview (Design)'!G32</f>
        <v>0</v>
      </c>
    </row>
    <row r="34" spans="1:60" x14ac:dyDescent="0.25">
      <c r="B34" s="21" t="s">
        <v>264</v>
      </c>
      <c r="C34" s="21" t="s">
        <v>269</v>
      </c>
      <c r="D34" s="21"/>
      <c r="E34" s="21"/>
      <c r="F34" s="21"/>
      <c r="G34" s="21"/>
      <c r="H34" s="760"/>
      <c r="I34" s="87"/>
      <c r="J34" s="91"/>
      <c r="K34" s="91"/>
      <c r="L34" s="1162" t="s">
        <v>273</v>
      </c>
      <c r="M34" s="1790"/>
      <c r="N34" s="92"/>
      <c r="O34" s="1808"/>
      <c r="P34" s="253"/>
      <c r="Q34" s="253"/>
      <c r="R34" s="17"/>
      <c r="S34" s="17"/>
      <c r="T34" s="17"/>
      <c r="U34" s="17"/>
      <c r="W34"/>
      <c r="X34" s="1799"/>
      <c r="AL34" s="33"/>
      <c r="AM34" s="33"/>
      <c r="AN34" s="33"/>
      <c r="AO34" s="33"/>
      <c r="AP34" s="33"/>
      <c r="AQ34" s="33"/>
      <c r="AR34" s="33"/>
      <c r="AS34" s="33"/>
      <c r="AX34" s="441"/>
      <c r="AY34" s="442"/>
    </row>
    <row r="35" spans="1:60" x14ac:dyDescent="0.25">
      <c r="B35" s="21" t="s">
        <v>264</v>
      </c>
      <c r="C35" s="21" t="s">
        <v>269</v>
      </c>
      <c r="D35" s="21"/>
      <c r="E35" s="21"/>
      <c r="F35" s="21"/>
      <c r="G35" s="21"/>
      <c r="H35" s="760"/>
      <c r="I35" s="87"/>
      <c r="J35" s="91"/>
      <c r="K35" s="91"/>
      <c r="L35" s="1162" t="s">
        <v>274</v>
      </c>
      <c r="M35" s="1790"/>
      <c r="N35" s="92"/>
      <c r="O35" s="1808"/>
      <c r="P35" s="253"/>
      <c r="Q35" s="253"/>
      <c r="R35" s="17"/>
      <c r="S35" s="17"/>
      <c r="T35" s="17"/>
      <c r="U35" s="17"/>
      <c r="W35"/>
      <c r="X35" s="1799"/>
      <c r="AL35" s="33"/>
      <c r="AM35" s="33"/>
      <c r="AN35" s="33"/>
      <c r="AO35" s="33"/>
      <c r="AP35" s="33"/>
      <c r="AQ35" s="33"/>
      <c r="AR35" s="33"/>
      <c r="AS35" s="33"/>
      <c r="AT35" s="17"/>
      <c r="AU35" s="17"/>
      <c r="AV35" s="17"/>
      <c r="AX35" s="42" t="str">
        <f>'Overview (Design)'!A34</f>
        <v>Type of Heating System (main system):</v>
      </c>
      <c r="AY35" s="43">
        <f>'Overview (Design)'!G34</f>
        <v>0</v>
      </c>
      <c r="AZ35" s="17"/>
      <c r="BA35" s="17"/>
      <c r="BB35" s="17"/>
      <c r="BC35" s="17"/>
      <c r="BD35" s="17"/>
      <c r="BE35" s="17"/>
      <c r="BF35" s="17"/>
      <c r="BG35" s="17"/>
      <c r="BH35" s="17"/>
    </row>
    <row r="36" spans="1:60" s="17" customFormat="1" x14ac:dyDescent="0.25">
      <c r="A36" s="18"/>
      <c r="B36" s="21" t="s">
        <v>264</v>
      </c>
      <c r="C36" s="21" t="s">
        <v>269</v>
      </c>
      <c r="D36" s="21"/>
      <c r="E36" s="21"/>
      <c r="F36" s="21"/>
      <c r="G36" s="21"/>
      <c r="H36" s="760"/>
      <c r="I36" s="87"/>
      <c r="J36" s="91"/>
      <c r="K36" s="91"/>
      <c r="L36" s="1179" t="s">
        <v>284</v>
      </c>
      <c r="M36" s="1790"/>
      <c r="N36" s="92"/>
      <c r="O36" s="1808"/>
      <c r="P36" s="253"/>
      <c r="Q36" s="253"/>
      <c r="X36" s="1756"/>
      <c r="Y36" s="780"/>
      <c r="Z36"/>
      <c r="AA36" s="783"/>
      <c r="AB36" s="43"/>
      <c r="AL36" s="33"/>
      <c r="AM36" s="33"/>
      <c r="AN36" s="33"/>
      <c r="AO36" s="33"/>
      <c r="AP36" s="33"/>
      <c r="AQ36" s="33"/>
      <c r="AR36" s="33"/>
      <c r="AS36" s="33"/>
      <c r="AT36"/>
      <c r="AU36"/>
      <c r="AV36"/>
      <c r="AX36" s="42" t="str">
        <f>'Overview (Design)'!A35</f>
        <v>Type of Heating System (system 2):</v>
      </c>
      <c r="AY36" s="43">
        <f>'Overview (Design)'!G35</f>
        <v>0</v>
      </c>
      <c r="AZ36"/>
      <c r="BA36"/>
      <c r="BB36"/>
      <c r="BC36"/>
      <c r="BD36"/>
      <c r="BE36"/>
      <c r="BF36"/>
      <c r="BG36"/>
      <c r="BH36"/>
    </row>
    <row r="37" spans="1:60" x14ac:dyDescent="0.25">
      <c r="A37"/>
      <c r="B37" s="21" t="s">
        <v>264</v>
      </c>
      <c r="C37" s="21" t="s">
        <v>269</v>
      </c>
      <c r="D37" s="1129"/>
      <c r="E37" s="1129"/>
      <c r="F37"/>
      <c r="G37"/>
      <c r="H37"/>
      <c r="I37"/>
      <c r="J37" s="94"/>
      <c r="K37" s="94"/>
      <c r="L37" s="1817" t="s">
        <v>4117</v>
      </c>
      <c r="M37" s="94"/>
      <c r="N37" s="94"/>
      <c r="O37" s="94"/>
      <c r="P37"/>
      <c r="Q37"/>
      <c r="V37"/>
      <c r="W37"/>
      <c r="X37"/>
      <c r="Y37"/>
      <c r="AA37"/>
      <c r="AB37"/>
      <c r="AC37"/>
      <c r="AD37"/>
      <c r="AE37"/>
      <c r="AF37"/>
      <c r="AG37"/>
      <c r="AH37"/>
      <c r="AI37"/>
      <c r="AJ37"/>
      <c r="AK37"/>
      <c r="AL37"/>
      <c r="AM37"/>
      <c r="AN37"/>
      <c r="AO37"/>
      <c r="AX37" s="42" t="str">
        <f>'Overview (Design)'!A36</f>
        <v>Type of Heating System (system 3):</v>
      </c>
      <c r="AY37" s="43">
        <f>'Overview (Design)'!G36</f>
        <v>0</v>
      </c>
    </row>
    <row r="38" spans="1:60" s="791" customFormat="1" x14ac:dyDescent="0.25">
      <c r="B38" s="21" t="s">
        <v>264</v>
      </c>
      <c r="C38" s="21" t="s">
        <v>269</v>
      </c>
      <c r="D38" s="21" t="s">
        <v>256</v>
      </c>
      <c r="E38" s="1129"/>
      <c r="F38" s="21"/>
      <c r="J38" s="94"/>
      <c r="K38" s="94"/>
      <c r="L38" s="1793"/>
      <c r="M38" s="94"/>
      <c r="N38" s="94"/>
      <c r="O38" s="1812">
        <f ca="1">IFERROR(INDEX({5,2},MATCH(W38,INDIRECT(U38),0)),0)*S38</f>
        <v>0</v>
      </c>
      <c r="P38" s="791" t="b">
        <v>1</v>
      </c>
      <c r="Q38" s="791" t="b">
        <v>1</v>
      </c>
      <c r="R38" s="791" t="b">
        <v>0</v>
      </c>
      <c r="S38" s="791" t="b">
        <f>NOT(W28)</f>
        <v>1</v>
      </c>
      <c r="T38" s="791" t="b">
        <f>AND(LEN(W38)&gt;0,NOT(S38))</f>
        <v>0</v>
      </c>
      <c r="U38" s="791" t="str">
        <f>SUBSTITUTE(SUBSTITUTE(SUBSTITUTE("dd"&amp;$B38&amp;$C38&amp;$D38&amp;$E38&amp;$F38,".","_"),"(","_"),")","")</f>
        <v>dd501_2_4_1</v>
      </c>
      <c r="W38" s="12"/>
      <c r="X38" s="1757"/>
      <c r="AC38" s="791" t="b">
        <f>OR(AD38:AE38)</f>
        <v>0</v>
      </c>
      <c r="AD38" s="791" t="b">
        <f>T38</f>
        <v>0</v>
      </c>
      <c r="AN38" s="1130" t="str">
        <f>SUBSTITUTE(SUBSTITUTE(SUBSTITUTE("dpc"&amp;$B38&amp;$C38&amp;$D38&amp;$E38,".","_"),"(","_"),")","")</f>
        <v>dpc501_2_4_1</v>
      </c>
      <c r="AO38" s="254">
        <f ca="1">O38</f>
        <v>0</v>
      </c>
      <c r="AP38" s="1130" t="str">
        <f>SUBSTITUTE(SUBSTITUTE(SUBSTITUTE("dch"&amp;$B38&amp;$C38&amp;$D38&amp;$E38,".","_"),"(","_"),")","")</f>
        <v>dch501_2_4_1</v>
      </c>
      <c r="AQ38" s="254" t="str">
        <f>IF(LEN(W38)=0,"",W38)</f>
        <v/>
      </c>
      <c r="AR38" s="1130" t="str">
        <f>SUBSTITUTE(SUBSTITUTE(SUBSTITUTE("dnt"&amp;$B38&amp;$C38&amp;$D38&amp;$E38,".","_"),"(","_"),")","")</f>
        <v>dnt501_2_4_1</v>
      </c>
      <c r="AS38" s="254" t="str">
        <f>IF(LEN(X38)=0,"",X38)</f>
        <v/>
      </c>
      <c r="AX38" s="42" t="str">
        <f>'Overview (Design)'!A37</f>
        <v>Primary Heating Fuel:</v>
      </c>
      <c r="AY38" s="43">
        <f>'Overview (Design)'!G37</f>
        <v>0</v>
      </c>
    </row>
    <row r="39" spans="1:60" s="791" customFormat="1" x14ac:dyDescent="0.25">
      <c r="B39" s="21" t="s">
        <v>264</v>
      </c>
      <c r="C39" s="21" t="s">
        <v>269</v>
      </c>
      <c r="D39" s="21" t="s">
        <v>256</v>
      </c>
      <c r="E39" s="1129"/>
      <c r="F39" s="21"/>
      <c r="J39" s="94"/>
      <c r="K39" s="94"/>
      <c r="L39" s="1793"/>
      <c r="M39" s="94"/>
      <c r="N39" s="94"/>
      <c r="O39" s="1812"/>
      <c r="X39" s="1757"/>
      <c r="AX39" s="441" t="str">
        <f>'Overview (Design)'!A38</f>
        <v>Heating Ducts:</v>
      </c>
      <c r="AY39" s="442">
        <f>'Overview (Design)'!G38</f>
        <v>0</v>
      </c>
    </row>
    <row r="40" spans="1:60" s="791" customFormat="1" x14ac:dyDescent="0.25">
      <c r="B40" s="21" t="s">
        <v>264</v>
      </c>
      <c r="C40" s="21" t="s">
        <v>269</v>
      </c>
      <c r="D40" s="21" t="s">
        <v>256</v>
      </c>
      <c r="E40" s="1129"/>
      <c r="F40" s="21"/>
      <c r="L40" s="1793"/>
      <c r="O40" s="1812"/>
      <c r="X40" s="1757"/>
      <c r="AX40" s="441" t="str">
        <f>'Overview (Design)'!A39</f>
        <v>Type of Cooling System (main system):</v>
      </c>
      <c r="AY40" s="442">
        <f>'Overview (Design)'!G39</f>
        <v>0</v>
      </c>
    </row>
    <row r="41" spans="1:60" s="791" customFormat="1" x14ac:dyDescent="0.25">
      <c r="B41" s="21" t="s">
        <v>264</v>
      </c>
      <c r="C41" s="21" t="s">
        <v>269</v>
      </c>
      <c r="D41" s="21" t="s">
        <v>256</v>
      </c>
      <c r="E41" s="21" t="s">
        <v>121</v>
      </c>
      <c r="F41" s="21"/>
      <c r="G41" s="21"/>
      <c r="K41" s="845" t="s">
        <v>121</v>
      </c>
      <c r="L41" s="1169" t="s">
        <v>4118</v>
      </c>
      <c r="M41" s="807">
        <v>5</v>
      </c>
      <c r="X41" s="1757"/>
      <c r="AL41" s="1130" t="str">
        <f>SUBSTITUTE(SUBSTITUTE(SUBSTITUTE("dpa"&amp;$B41&amp;$C41&amp;$D41&amp;$E41,".","_"),"(","_"),")","")</f>
        <v>dpa501_2_4_1_a</v>
      </c>
      <c r="AM41" s="254">
        <f>M41</f>
        <v>5</v>
      </c>
      <c r="AX41" s="441" t="str">
        <f>'Overview (Design)'!A40</f>
        <v>Type of Cooling System (system 2):</v>
      </c>
      <c r="AY41" s="442">
        <f>'Overview (Design)'!G40</f>
        <v>0</v>
      </c>
    </row>
    <row r="42" spans="1:60" s="791" customFormat="1" x14ac:dyDescent="0.25">
      <c r="B42" s="21" t="s">
        <v>264</v>
      </c>
      <c r="C42" s="21" t="s">
        <v>269</v>
      </c>
      <c r="D42" s="21" t="s">
        <v>256</v>
      </c>
      <c r="E42" s="21" t="s">
        <v>122</v>
      </c>
      <c r="F42" s="21"/>
      <c r="G42" s="21"/>
      <c r="K42" s="845" t="s">
        <v>122</v>
      </c>
      <c r="L42" s="1153" t="s">
        <v>4119</v>
      </c>
      <c r="M42" s="804">
        <v>2</v>
      </c>
      <c r="X42" s="1757"/>
      <c r="AL42" s="1130" t="str">
        <f>SUBSTITUTE(SUBSTITUTE(SUBSTITUTE("dpa"&amp;$B42&amp;$C42&amp;$D42&amp;$E42,".","_"),"(","_"),")","")</f>
        <v>dpa501_2_4_1_b</v>
      </c>
      <c r="AM42" s="254">
        <f>M42</f>
        <v>2</v>
      </c>
      <c r="AX42" s="441" t="str">
        <f>'Overview (Design)'!A41</f>
        <v>Type of Cooling System (system 3):</v>
      </c>
      <c r="AY42" s="442">
        <f>'Overview (Design)'!G41</f>
        <v>0</v>
      </c>
    </row>
    <row r="43" spans="1:60" x14ac:dyDescent="0.25">
      <c r="B43" s="21" t="s">
        <v>264</v>
      </c>
      <c r="C43" s="21" t="s">
        <v>275</v>
      </c>
      <c r="D43" s="21"/>
      <c r="E43" s="21"/>
      <c r="F43" s="21"/>
      <c r="G43" s="21"/>
      <c r="H43" s="760"/>
      <c r="I43" s="87"/>
      <c r="J43" s="846" t="s">
        <v>275</v>
      </c>
      <c r="K43" s="846"/>
      <c r="L43" s="1778" t="s">
        <v>276</v>
      </c>
      <c r="M43" s="1789">
        <v>5</v>
      </c>
      <c r="N43" s="847"/>
      <c r="O43" s="1816">
        <f>M43*W43</f>
        <v>0</v>
      </c>
      <c r="P43" s="93" t="b">
        <v>1</v>
      </c>
      <c r="Q43" s="93" t="b">
        <v>1</v>
      </c>
      <c r="R43" s="17" t="b">
        <v>0</v>
      </c>
      <c r="S43" s="17" t="b">
        <v>1</v>
      </c>
      <c r="T43" s="17" t="b">
        <v>0</v>
      </c>
      <c r="U43" s="17"/>
      <c r="W43" s="25"/>
      <c r="X43" s="1757"/>
      <c r="AL43" s="1130" t="str">
        <f>SUBSTITUTE(SUBSTITUTE(SUBSTITUTE("dpa"&amp;$B43&amp;$C43&amp;$D43&amp;$E43,".","_"),"(","_"),")","")</f>
        <v>dpa501_2_5</v>
      </c>
      <c r="AM43" s="33">
        <f>M43</f>
        <v>5</v>
      </c>
      <c r="AN43" s="1130" t="str">
        <f>SUBSTITUTE(SUBSTITUTE(SUBSTITUTE("dpc"&amp;$B43&amp;$C43&amp;$D43&amp;$E43,".","_"),"(","_"),")","")</f>
        <v>dpc501_2_5</v>
      </c>
      <c r="AO43" s="33">
        <f>O43</f>
        <v>0</v>
      </c>
      <c r="AP43" s="1130" t="str">
        <f>SUBSTITUTE(SUBSTITUTE(SUBSTITUTE("dch"&amp;$B43&amp;$C43&amp;$D43&amp;$E43,".","_"),"(","_"),")","")</f>
        <v>dch501_2_5</v>
      </c>
      <c r="AQ43" s="254" t="str">
        <f>IF(LEN(W43)=0,"",W43)</f>
        <v/>
      </c>
      <c r="AR43" s="1130" t="str">
        <f>SUBSTITUTE(SUBSTITUTE(SUBSTITUTE("dnt"&amp;$B43&amp;$C43&amp;$D43&amp;$E43,".","_"),"(","_"),")","")</f>
        <v>dnt501_2_5</v>
      </c>
      <c r="AS43" s="254" t="str">
        <f>IF(LEN(X43)=0,"",X43)</f>
        <v/>
      </c>
      <c r="AX43" s="441" t="str">
        <f>'Overview (Design)'!A42</f>
        <v>Cooling Ducts:</v>
      </c>
      <c r="AY43" s="442">
        <f>'Overview (Design)'!G42</f>
        <v>0</v>
      </c>
    </row>
    <row r="44" spans="1:60" x14ac:dyDescent="0.25">
      <c r="B44" s="21" t="s">
        <v>264</v>
      </c>
      <c r="C44" s="21" t="s">
        <v>275</v>
      </c>
      <c r="D44" s="21"/>
      <c r="E44" s="21"/>
      <c r="F44" s="21"/>
      <c r="G44" s="21"/>
      <c r="H44" s="760"/>
      <c r="I44" s="87"/>
      <c r="J44" s="91"/>
      <c r="K44" s="91"/>
      <c r="L44" s="1754"/>
      <c r="M44" s="1790"/>
      <c r="N44" s="92"/>
      <c r="O44" s="1808"/>
      <c r="P44" s="253"/>
      <c r="Q44" s="253"/>
      <c r="R44" s="17"/>
      <c r="S44" s="17"/>
      <c r="T44" s="17"/>
      <c r="U44" s="17"/>
      <c r="W44"/>
      <c r="X44" s="1757"/>
      <c r="AL44" s="33"/>
      <c r="AM44" s="33"/>
      <c r="AN44" s="33"/>
      <c r="AO44" s="33"/>
      <c r="AP44" s="33"/>
      <c r="AQ44" s="33"/>
      <c r="AR44" s="33"/>
      <c r="AS44" s="33"/>
      <c r="AX44" s="441"/>
      <c r="AY44" s="442"/>
    </row>
    <row r="45" spans="1:60" x14ac:dyDescent="0.25">
      <c r="B45" s="21" t="s">
        <v>264</v>
      </c>
      <c r="C45" s="21" t="s">
        <v>275</v>
      </c>
      <c r="D45" s="21"/>
      <c r="E45" s="21"/>
      <c r="F45" s="21"/>
      <c r="G45" s="21"/>
      <c r="H45" s="760"/>
      <c r="I45" s="87"/>
      <c r="J45" s="174"/>
      <c r="K45" s="174"/>
      <c r="L45" s="1755"/>
      <c r="M45" s="1791"/>
      <c r="N45" s="176"/>
      <c r="O45" s="1809"/>
      <c r="P45" s="253"/>
      <c r="Q45" s="253"/>
      <c r="R45" s="17"/>
      <c r="S45" s="17"/>
      <c r="T45" s="17"/>
      <c r="U45" s="17"/>
      <c r="W45"/>
      <c r="X45" s="1757"/>
      <c r="AL45" s="33"/>
      <c r="AM45" s="33"/>
      <c r="AN45" s="33"/>
      <c r="AO45" s="33"/>
      <c r="AP45" s="33"/>
      <c r="AQ45" s="33"/>
      <c r="AR45" s="33"/>
      <c r="AS45" s="33"/>
      <c r="AX45" s="441" t="str">
        <f>'Overview (Design)'!A44</f>
        <v>Maximum window and door SHGC:</v>
      </c>
      <c r="AY45" s="442">
        <f>'Overview (Design)'!G44</f>
        <v>0</v>
      </c>
    </row>
    <row r="46" spans="1:60" x14ac:dyDescent="0.25">
      <c r="B46" s="21" t="s">
        <v>264</v>
      </c>
      <c r="C46" s="21" t="s">
        <v>277</v>
      </c>
      <c r="D46" s="21"/>
      <c r="E46" s="21"/>
      <c r="F46" s="21"/>
      <c r="G46" s="21"/>
      <c r="H46" s="760"/>
      <c r="I46" s="87"/>
      <c r="J46" s="87" t="s">
        <v>277</v>
      </c>
      <c r="K46" s="87"/>
      <c r="L46" s="1779" t="s">
        <v>278</v>
      </c>
      <c r="M46" s="1813"/>
      <c r="N46" s="44"/>
      <c r="O46" s="1812">
        <f ca="1">IFERROR(INDEX({2,4,6},MATCH(W46,INDIRECT(U46),0)),0)*S46</f>
        <v>0</v>
      </c>
      <c r="P46" s="93" t="b">
        <v>1</v>
      </c>
      <c r="Q46" s="93" t="b">
        <v>1</v>
      </c>
      <c r="R46" s="17" t="b">
        <v>0</v>
      </c>
      <c r="S46" s="136" t="b">
        <f ca="1">IF(AY19=INDEX(INDIRECT("ddSingleOrMulti"),2),TRUE,FALSE)</f>
        <v>0</v>
      </c>
      <c r="T46" s="94" t="b">
        <f ca="1">AND(NOT(S46),LEN(W46)&gt;0)</f>
        <v>0</v>
      </c>
      <c r="U46" s="17" t="str">
        <f>SUBSTITUTE(SUBSTITUTE(SUBSTITUTE("dd"&amp;$B46&amp;$C46&amp;$D46&amp;$E46&amp;$F46,".","_"),"(","_"),")","")</f>
        <v>dd501_2_6</v>
      </c>
      <c r="W46" s="12"/>
      <c r="X46" s="1757"/>
      <c r="AC46" s="136" t="b">
        <f ca="1">OR(AD46:AE46)</f>
        <v>0</v>
      </c>
      <c r="AD46" s="136" t="b">
        <f ca="1">T46</f>
        <v>0</v>
      </c>
      <c r="AL46" s="33"/>
      <c r="AM46" s="33"/>
      <c r="AN46" s="1130" t="str">
        <f>SUBSTITUTE(SUBSTITUTE(SUBSTITUTE("dpc"&amp;$B46&amp;$C46&amp;$D46&amp;$E46,".","_"),"(","_"),")","")</f>
        <v>dpc501_2_6</v>
      </c>
      <c r="AO46" s="33">
        <f ca="1">O46</f>
        <v>0</v>
      </c>
      <c r="AP46" s="1130" t="str">
        <f>SUBSTITUTE(SUBSTITUTE(SUBSTITUTE("dch"&amp;$B46&amp;$C46&amp;$D46&amp;$E46,".","_"),"(","_"),")","")</f>
        <v>dch501_2_6</v>
      </c>
      <c r="AQ46" s="254" t="str">
        <f>IF(LEN(W46)=0,"",W46)</f>
        <v/>
      </c>
      <c r="AR46" s="1130" t="str">
        <f>SUBSTITUTE(SUBSTITUTE(SUBSTITUTE("dnt"&amp;$B46&amp;$C46&amp;$D46&amp;$E46,".","_"),"(","_"),")","")</f>
        <v>dnt501_2_6</v>
      </c>
      <c r="AS46" s="254" t="str">
        <f>IF(LEN(X46)=0,"",X46)</f>
        <v/>
      </c>
      <c r="AX46" s="441" t="str">
        <f>'Overview (Design)'!A45</f>
        <v>Maximum skylight SHGC:</v>
      </c>
      <c r="AY46" s="442">
        <f>'Overview (Design)'!G45</f>
        <v>0</v>
      </c>
    </row>
    <row r="47" spans="1:60" x14ac:dyDescent="0.25">
      <c r="B47" s="21" t="s">
        <v>264</v>
      </c>
      <c r="C47" s="21" t="s">
        <v>277</v>
      </c>
      <c r="D47" s="21"/>
      <c r="E47" s="21"/>
      <c r="F47" s="21"/>
      <c r="G47" s="21"/>
      <c r="H47" s="760"/>
      <c r="I47" s="87"/>
      <c r="J47" s="87"/>
      <c r="K47" s="87"/>
      <c r="L47" s="1779"/>
      <c r="M47" s="1813"/>
      <c r="N47" s="44"/>
      <c r="O47" s="1812"/>
      <c r="P47" s="253"/>
      <c r="Q47" s="253"/>
      <c r="R47" s="17"/>
      <c r="S47" s="17"/>
      <c r="T47" s="17"/>
      <c r="U47" s="17"/>
      <c r="W47"/>
      <c r="X47" s="1757"/>
      <c r="AL47" s="33"/>
      <c r="AM47" s="33"/>
      <c r="AN47" s="33"/>
      <c r="AO47" s="33"/>
      <c r="AP47" s="33"/>
      <c r="AQ47" s="33"/>
      <c r="AR47" s="33"/>
      <c r="AS47" s="33"/>
      <c r="AX47" s="441" t="str">
        <f>'Overview (Design)'!A46</f>
        <v>Maximum window and door U-value:</v>
      </c>
      <c r="AY47" s="442">
        <f>'Overview (Design)'!G46</f>
        <v>0</v>
      </c>
    </row>
    <row r="48" spans="1:60" x14ac:dyDescent="0.25">
      <c r="B48" s="21" t="s">
        <v>264</v>
      </c>
      <c r="C48" s="21" t="s">
        <v>277</v>
      </c>
      <c r="D48" s="21" t="s">
        <v>121</v>
      </c>
      <c r="E48" s="21"/>
      <c r="F48" s="21"/>
      <c r="G48" s="21"/>
      <c r="H48" s="760"/>
      <c r="I48" s="87"/>
      <c r="J48" s="87"/>
      <c r="K48" s="87" t="s">
        <v>121</v>
      </c>
      <c r="L48" s="1170" t="s">
        <v>279</v>
      </c>
      <c r="M48" s="493">
        <v>2</v>
      </c>
      <c r="N48" s="44"/>
      <c r="O48" s="141"/>
      <c r="P48" s="352"/>
      <c r="Q48" s="352"/>
      <c r="R48" s="17"/>
      <c r="S48" s="17"/>
      <c r="T48" s="17"/>
      <c r="U48" s="17"/>
      <c r="W48"/>
      <c r="X48" s="1757"/>
      <c r="AL48" s="1130" t="str">
        <f>SUBSTITUTE(SUBSTITUTE(SUBSTITUTE("dpa"&amp;$B48&amp;$C48&amp;$D48&amp;$E48,".","_"),"(","_"),")","")</f>
        <v>dpa501_2_6_a</v>
      </c>
      <c r="AM48" s="33">
        <f>M48</f>
        <v>2</v>
      </c>
      <c r="AN48" s="33"/>
      <c r="AO48" s="33"/>
      <c r="AP48" s="33"/>
      <c r="AQ48" s="33"/>
      <c r="AR48" s="33"/>
      <c r="AS48" s="33"/>
      <c r="AX48" s="441" t="str">
        <f>'Overview (Design)'!A47</f>
        <v>Maximum skylight U-value:</v>
      </c>
      <c r="AY48" s="442">
        <f>'Overview (Design)'!G47</f>
        <v>0</v>
      </c>
    </row>
    <row r="49" spans="1:51" x14ac:dyDescent="0.25">
      <c r="B49" s="21" t="s">
        <v>264</v>
      </c>
      <c r="C49" s="21" t="s">
        <v>277</v>
      </c>
      <c r="D49" s="21" t="s">
        <v>122</v>
      </c>
      <c r="E49" s="21"/>
      <c r="F49" s="21"/>
      <c r="G49" s="21"/>
      <c r="H49" s="760"/>
      <c r="I49" s="87"/>
      <c r="J49" s="87"/>
      <c r="K49" s="87" t="s">
        <v>122</v>
      </c>
      <c r="L49" s="1170" t="s">
        <v>280</v>
      </c>
      <c r="M49" s="493">
        <v>4</v>
      </c>
      <c r="N49" s="44"/>
      <c r="O49" s="141"/>
      <c r="P49" s="352"/>
      <c r="Q49" s="352"/>
      <c r="R49" s="17"/>
      <c r="S49" s="17"/>
      <c r="T49" s="17"/>
      <c r="U49" s="17"/>
      <c r="W49"/>
      <c r="X49" s="1757"/>
      <c r="AL49" s="1130" t="str">
        <f>SUBSTITUTE(SUBSTITUTE(SUBSTITUTE("dpa"&amp;$B49&amp;$C49&amp;$D49&amp;$E49,".","_"),"(","_"),")","")</f>
        <v>dpa501_2_6_b</v>
      </c>
      <c r="AM49" s="33">
        <f>M49</f>
        <v>4</v>
      </c>
      <c r="AN49" s="33"/>
      <c r="AO49" s="33"/>
      <c r="AP49" s="33"/>
      <c r="AQ49" s="33"/>
      <c r="AR49" s="33"/>
      <c r="AS49" s="33"/>
      <c r="AX49" s="42" t="str">
        <f>'Overview (Design)'!A48</f>
        <v>Renewable Energy:</v>
      </c>
      <c r="AY49" s="43">
        <f>'Overview (Design)'!G48</f>
        <v>0</v>
      </c>
    </row>
    <row r="50" spans="1:51" x14ac:dyDescent="0.25">
      <c r="B50" s="21" t="s">
        <v>264</v>
      </c>
      <c r="C50" s="21" t="s">
        <v>277</v>
      </c>
      <c r="D50" s="26" t="s">
        <v>123</v>
      </c>
      <c r="E50" s="26"/>
      <c r="F50" s="26"/>
      <c r="G50" s="26"/>
      <c r="H50" s="760"/>
      <c r="I50" s="87"/>
      <c r="J50" s="87"/>
      <c r="K50" s="89" t="s">
        <v>123</v>
      </c>
      <c r="L50" s="1170" t="s">
        <v>281</v>
      </c>
      <c r="M50" s="493">
        <v>6</v>
      </c>
      <c r="N50" s="44"/>
      <c r="O50" s="141"/>
      <c r="P50" s="352"/>
      <c r="Q50" s="352"/>
      <c r="R50" s="17"/>
      <c r="S50" s="17"/>
      <c r="T50" s="17"/>
      <c r="U50" s="17"/>
      <c r="W50"/>
      <c r="X50" s="1757"/>
      <c r="AL50" s="1130" t="str">
        <f>SUBSTITUTE(SUBSTITUTE(SUBSTITUTE("dpa"&amp;$B50&amp;$C50&amp;$D50&amp;$E50,".","_"),"(","_"),")","")</f>
        <v>dpa501_2_6_c</v>
      </c>
      <c r="AM50" s="33">
        <f>M50</f>
        <v>6</v>
      </c>
      <c r="AN50" s="33"/>
      <c r="AO50" s="33"/>
      <c r="AP50" s="33"/>
      <c r="AQ50" s="33"/>
      <c r="AR50" s="33"/>
      <c r="AS50" s="33"/>
      <c r="AX50" s="42" t="str">
        <f>'Overview (Design)'!A49</f>
        <v>Thermal Envelope Insulation:</v>
      </c>
      <c r="AY50" s="43">
        <f>'Overview (Design)'!G49</f>
        <v>0</v>
      </c>
    </row>
    <row r="51" spans="1:51" x14ac:dyDescent="0.25">
      <c r="A51"/>
      <c r="B51" s="21" t="s">
        <v>264</v>
      </c>
      <c r="C51" s="21" t="s">
        <v>277</v>
      </c>
      <c r="D51" s="26" t="s">
        <v>401</v>
      </c>
      <c r="E51" s="1129"/>
      <c r="F51" s="26"/>
      <c r="G51"/>
      <c r="H51"/>
      <c r="I51"/>
      <c r="J51"/>
      <c r="K51" s="89" t="s">
        <v>401</v>
      </c>
      <c r="L51" s="1765" t="s">
        <v>4120</v>
      </c>
      <c r="M51" s="1788" t="s">
        <v>4121</v>
      </c>
      <c r="N51"/>
      <c r="O51" s="1774">
        <f ca="1">2*S51*W51</f>
        <v>0</v>
      </c>
      <c r="P51" t="b">
        <v>1</v>
      </c>
      <c r="Q51" t="b">
        <v>1</v>
      </c>
      <c r="R51" t="b">
        <v>0</v>
      </c>
      <c r="S51" t="b">
        <f ca="1">O46&gt;0</f>
        <v>0</v>
      </c>
      <c r="T51" t="b">
        <f ca="1">AND(W51=TRUE,NOT(S51))</f>
        <v>0</v>
      </c>
      <c r="V51"/>
      <c r="W51" s="25"/>
      <c r="X51" s="1757"/>
      <c r="Y51"/>
      <c r="AA51"/>
      <c r="AB51"/>
      <c r="AC51" s="791" t="b">
        <f ca="1">OR(AD51:AE51)</f>
        <v>0</v>
      </c>
      <c r="AD51" s="791" t="b">
        <f ca="1">T51</f>
        <v>0</v>
      </c>
      <c r="AE51"/>
      <c r="AF51"/>
      <c r="AG51"/>
      <c r="AH51"/>
      <c r="AI51"/>
      <c r="AJ51"/>
      <c r="AK51"/>
      <c r="AL51" s="1130" t="str">
        <f>SUBSTITUTE(SUBSTITUTE(SUBSTITUTE("dpa"&amp;$B51&amp;$C51&amp;$D51&amp;$E51,".","_"),"(","_"),")","")</f>
        <v>dpa501_2_6_d</v>
      </c>
      <c r="AM51" s="254" t="str">
        <f>M51</f>
        <v>2 per
(a)-(c)</v>
      </c>
      <c r="AN51" s="1130" t="str">
        <f>SUBSTITUTE(SUBSTITUTE(SUBSTITUTE("dpc"&amp;$B51&amp;$C51&amp;$D51&amp;$E51,".","_"),"(","_"),")","")</f>
        <v>dpc501_2_6_d</v>
      </c>
      <c r="AO51" s="254">
        <f ca="1">O51</f>
        <v>0</v>
      </c>
      <c r="AP51" s="1130" t="str">
        <f>SUBSTITUTE(SUBSTITUTE(SUBSTITUTE("dch"&amp;$B51&amp;$C51&amp;$D51&amp;$E51,".","_"),"(","_"),")","")</f>
        <v>dch501_2_6_d</v>
      </c>
      <c r="AQ51" s="254" t="str">
        <f>IF(LEN(W51)=0,"",W51)</f>
        <v/>
      </c>
      <c r="AR51" s="1130" t="str">
        <f>SUBSTITUTE(SUBSTITUTE(SUBSTITUTE("dnt"&amp;$B51&amp;$C51&amp;$D51&amp;$E51,".","_"),"(","_"),")","")</f>
        <v>dnt501_2_6_d</v>
      </c>
      <c r="AS51" s="254" t="str">
        <f>IF(LEN(X51)=0,"",X51)</f>
        <v/>
      </c>
      <c r="AX51" s="42" t="str">
        <f>'Overview (Design)'!A50</f>
        <v>Attic Type:</v>
      </c>
      <c r="AY51" s="43">
        <f>'Overview (Design)'!G50</f>
        <v>0</v>
      </c>
    </row>
    <row r="52" spans="1:51" s="791" customFormat="1" x14ac:dyDescent="0.25">
      <c r="B52" s="21" t="s">
        <v>264</v>
      </c>
      <c r="C52" s="21" t="s">
        <v>277</v>
      </c>
      <c r="D52" s="26" t="s">
        <v>401</v>
      </c>
      <c r="E52" s="1129"/>
      <c r="F52" s="26"/>
      <c r="L52" s="1765"/>
      <c r="M52" s="1788"/>
      <c r="O52" s="1774"/>
      <c r="X52" s="1757"/>
      <c r="AX52" s="42" t="str">
        <f>'Overview (Design)'!A51</f>
        <v>Attached Garage:</v>
      </c>
      <c r="AY52" s="43">
        <f>'Overview (Design)'!G51</f>
        <v>0</v>
      </c>
    </row>
    <row r="53" spans="1:51" s="791" customFormat="1" x14ac:dyDescent="0.25">
      <c r="B53" s="21" t="s">
        <v>264</v>
      </c>
      <c r="C53" s="21" t="s">
        <v>383</v>
      </c>
      <c r="D53" s="26"/>
      <c r="E53" s="1129"/>
      <c r="F53" s="26"/>
      <c r="J53" s="846" t="s">
        <v>383</v>
      </c>
      <c r="K53" s="849"/>
      <c r="L53" s="1769" t="s">
        <v>4122</v>
      </c>
      <c r="M53" s="1789">
        <v>5</v>
      </c>
      <c r="N53" s="195"/>
      <c r="O53" s="1763">
        <f>M53*W53</f>
        <v>0</v>
      </c>
      <c r="P53" s="791" t="b">
        <v>1</v>
      </c>
      <c r="Q53" s="791" t="b">
        <v>1</v>
      </c>
      <c r="R53" s="791" t="b">
        <v>0</v>
      </c>
      <c r="S53" s="791" t="b">
        <v>1</v>
      </c>
      <c r="T53" s="791" t="b">
        <v>0</v>
      </c>
      <c r="W53" s="25"/>
      <c r="X53" s="1757"/>
      <c r="AC53" s="791" t="b">
        <f>OR(AD53:AE53)</f>
        <v>0</v>
      </c>
      <c r="AD53" s="791" t="b">
        <v>0</v>
      </c>
      <c r="AE53" s="791" t="b">
        <f>AND(W53=TRUE,LEN(X53)=0)</f>
        <v>0</v>
      </c>
      <c r="AL53" s="1130" t="str">
        <f>SUBSTITUTE(SUBSTITUTE(SUBSTITUTE("dpa"&amp;$B53&amp;$C53&amp;$D53&amp;$E53,".","_"),"(","_"),")","")</f>
        <v>dpa501_2_7</v>
      </c>
      <c r="AM53" s="254">
        <f>M53</f>
        <v>5</v>
      </c>
      <c r="AN53" s="1130" t="str">
        <f>SUBSTITUTE(SUBSTITUTE(SUBSTITUTE("dpc"&amp;$B53&amp;$C53&amp;$D53&amp;$E53,".","_"),"(","_"),")","")</f>
        <v>dpc501_2_7</v>
      </c>
      <c r="AO53" s="254">
        <f>O53</f>
        <v>0</v>
      </c>
      <c r="AP53" s="1130" t="str">
        <f>SUBSTITUTE(SUBSTITUTE(SUBSTITUTE("dch"&amp;$B53&amp;$C53&amp;$D53&amp;$E53,".","_"),"(","_"),")","")</f>
        <v>dch501_2_7</v>
      </c>
      <c r="AQ53" s="254" t="str">
        <f>IF(LEN(W53)=0,"",W53)</f>
        <v/>
      </c>
      <c r="AR53" s="1130" t="str">
        <f>SUBSTITUTE(SUBSTITUTE(SUBSTITUTE("dnt"&amp;$B53&amp;$C53&amp;$D53&amp;$E53,".","_"),"(","_"),")","")</f>
        <v>dnt501_2_7</v>
      </c>
      <c r="AS53" s="254" t="str">
        <f>IF(LEN(X53)=0,"",X53)</f>
        <v/>
      </c>
      <c r="AX53" s="42" t="str">
        <f>'Overview (Design)'!A52</f>
        <v>Recessed Lighting:</v>
      </c>
      <c r="AY53" s="43">
        <f>'Overview (Design)'!G52</f>
        <v>0</v>
      </c>
    </row>
    <row r="54" spans="1:51" s="791" customFormat="1" x14ac:dyDescent="0.25">
      <c r="B54" s="21" t="s">
        <v>264</v>
      </c>
      <c r="C54" s="21" t="s">
        <v>383</v>
      </c>
      <c r="D54" s="26"/>
      <c r="E54" s="1129"/>
      <c r="F54" s="26"/>
      <c r="J54" s="850"/>
      <c r="K54" s="850"/>
      <c r="L54" s="1765"/>
      <c r="M54" s="1790"/>
      <c r="N54" s="94"/>
      <c r="O54" s="1774"/>
      <c r="X54" s="1757"/>
      <c r="AX54" s="42"/>
      <c r="AY54" s="43"/>
    </row>
    <row r="55" spans="1:51" s="791" customFormat="1" x14ac:dyDescent="0.25">
      <c r="B55" s="21" t="s">
        <v>264</v>
      </c>
      <c r="C55" s="21" t="s">
        <v>383</v>
      </c>
      <c r="D55" s="26"/>
      <c r="E55" s="1129"/>
      <c r="F55" s="26"/>
      <c r="J55" s="851"/>
      <c r="K55" s="851"/>
      <c r="L55" s="1177" t="s">
        <v>4125</v>
      </c>
      <c r="M55" s="1791"/>
      <c r="N55" s="178"/>
      <c r="O55" s="1764"/>
      <c r="X55" s="1757"/>
      <c r="AX55" s="42" t="str">
        <f>'Overview (Design)'!A54</f>
        <v>Special Design Features:</v>
      </c>
      <c r="AY55" s="43">
        <f>'Overview (Design)'!G54</f>
        <v>0</v>
      </c>
    </row>
    <row r="56" spans="1:51" s="791" customFormat="1" x14ac:dyDescent="0.25">
      <c r="B56" s="21" t="s">
        <v>264</v>
      </c>
      <c r="C56" s="21" t="s">
        <v>428</v>
      </c>
      <c r="D56" s="26"/>
      <c r="E56" s="1129"/>
      <c r="F56" s="26"/>
      <c r="J56" s="846" t="s">
        <v>428</v>
      </c>
      <c r="K56" s="849"/>
      <c r="L56" s="1155" t="s">
        <v>4123</v>
      </c>
      <c r="M56" s="1789">
        <v>5</v>
      </c>
      <c r="N56" s="195"/>
      <c r="O56" s="1792">
        <f>M56*W56</f>
        <v>0</v>
      </c>
      <c r="P56" s="791" t="b">
        <v>1</v>
      </c>
      <c r="Q56" s="791" t="b">
        <v>1</v>
      </c>
      <c r="R56" s="791" t="b">
        <v>0</v>
      </c>
      <c r="S56" s="791" t="b">
        <v>1</v>
      </c>
      <c r="T56" s="791" t="b">
        <v>0</v>
      </c>
      <c r="W56" s="25"/>
      <c r="X56" s="1757"/>
      <c r="AC56" s="791" t="b">
        <f>OR(AD56:AE56)</f>
        <v>0</v>
      </c>
      <c r="AD56" s="970" t="b">
        <v>0</v>
      </c>
      <c r="AE56" s="791" t="b">
        <f>AND(W56=TRUE,LEN(X56)=0)</f>
        <v>0</v>
      </c>
      <c r="AL56" s="1130" t="str">
        <f>SUBSTITUTE(SUBSTITUTE(SUBSTITUTE("dpa"&amp;$B56&amp;$C56&amp;$D56&amp;$E56,".","_"),"(","_"),")","")</f>
        <v>dpa501_2_8</v>
      </c>
      <c r="AM56" s="254">
        <f>M56</f>
        <v>5</v>
      </c>
      <c r="AN56" s="1130" t="str">
        <f>SUBSTITUTE(SUBSTITUTE(SUBSTITUTE("dpc"&amp;$B56&amp;$C56&amp;$D56&amp;$E56,".","_"),"(","_"),")","")</f>
        <v>dpc501_2_8</v>
      </c>
      <c r="AO56" s="254">
        <f>O56</f>
        <v>0</v>
      </c>
      <c r="AP56" s="1130" t="str">
        <f>SUBSTITUTE(SUBSTITUTE(SUBSTITUTE("dch"&amp;$B56&amp;$C56&amp;$D56&amp;$E56,".","_"),"(","_"),")","")</f>
        <v>dch501_2_8</v>
      </c>
      <c r="AQ56" s="254" t="str">
        <f>IF(LEN(W56)=0,"",W56)</f>
        <v/>
      </c>
      <c r="AR56" s="1130" t="str">
        <f>SUBSTITUTE(SUBSTITUTE(SUBSTITUTE("dnt"&amp;$B56&amp;$C56&amp;$D56&amp;$E56,".","_"),"(","_"),")","")</f>
        <v>dnt501_2_8</v>
      </c>
      <c r="AS56" s="254" t="str">
        <f>IF(LEN(X56)=0,"",X56)</f>
        <v/>
      </c>
      <c r="AX56" s="42" t="str">
        <f>'Overview (Design)'!A55</f>
        <v>Passive Solar:</v>
      </c>
      <c r="AY56" s="43">
        <f>'Overview (Design)'!G55</f>
        <v>0</v>
      </c>
    </row>
    <row r="57" spans="1:51" s="791" customFormat="1" x14ac:dyDescent="0.25">
      <c r="B57" s="21" t="s">
        <v>264</v>
      </c>
      <c r="C57" s="21" t="s">
        <v>428</v>
      </c>
      <c r="D57" s="26"/>
      <c r="E57" s="1129"/>
      <c r="F57" s="26"/>
      <c r="J57" s="91"/>
      <c r="K57" s="850"/>
      <c r="L57" s="1176" t="s">
        <v>4124</v>
      </c>
      <c r="M57" s="1790"/>
      <c r="N57" s="94"/>
      <c r="O57" s="1764"/>
      <c r="X57" s="1757"/>
      <c r="AX57" s="42" t="str">
        <f>'Overview (Design)'!A56</f>
        <v>Mass Walls:</v>
      </c>
      <c r="AY57" s="43">
        <f>'Overview (Design)'!G56</f>
        <v>0</v>
      </c>
    </row>
    <row r="58" spans="1:51" ht="18.75" x14ac:dyDescent="0.3">
      <c r="B58" s="21" t="s">
        <v>497</v>
      </c>
      <c r="C58" s="21"/>
      <c r="D58" s="21"/>
      <c r="E58" s="21"/>
      <c r="F58" s="21"/>
      <c r="G58" s="21"/>
      <c r="H58" s="760"/>
      <c r="I58" s="69" t="s">
        <v>367</v>
      </c>
      <c r="J58" s="69"/>
      <c r="K58" s="69"/>
      <c r="L58" s="228"/>
      <c r="M58" s="390"/>
      <c r="N58" s="23"/>
      <c r="O58" s="498"/>
      <c r="P58" s="23"/>
      <c r="Q58" s="23"/>
      <c r="R58" s="23"/>
      <c r="S58" s="23"/>
      <c r="T58" s="23"/>
      <c r="U58" s="23"/>
      <c r="V58" s="23"/>
      <c r="W58" s="23"/>
      <c r="X58" s="23"/>
      <c r="AX58" s="42" t="str">
        <f>'Overview (Design)'!A57</f>
        <v>Radiant/Hydronic:</v>
      </c>
      <c r="AY58" s="43">
        <f>'Overview (Design)'!G57</f>
        <v>0</v>
      </c>
    </row>
    <row r="59" spans="1:51" x14ac:dyDescent="0.25">
      <c r="B59" s="21" t="s">
        <v>368</v>
      </c>
      <c r="C59" s="21"/>
      <c r="D59" s="21"/>
      <c r="E59" s="21"/>
      <c r="F59" s="21"/>
      <c r="G59" s="21"/>
      <c r="H59" s="760"/>
      <c r="I59" s="65">
        <v>502.1</v>
      </c>
      <c r="J59" s="90"/>
      <c r="K59" s="90"/>
      <c r="L59" s="1796" t="s">
        <v>369</v>
      </c>
      <c r="M59" s="1767">
        <v>4</v>
      </c>
      <c r="O59" s="1780">
        <f>M59*W59</f>
        <v>0</v>
      </c>
      <c r="P59" s="352" t="b">
        <v>1</v>
      </c>
      <c r="Q59" s="352" t="b">
        <v>1</v>
      </c>
      <c r="R59" s="63" t="b">
        <v>0</v>
      </c>
      <c r="S59" s="63" t="b">
        <v>1</v>
      </c>
      <c r="T59" s="63" t="b">
        <v>0</v>
      </c>
      <c r="W59" s="25"/>
      <c r="X59" s="1757"/>
      <c r="AL59" s="1130" t="str">
        <f>SUBSTITUTE(SUBSTITUTE(SUBSTITUTE("dpa"&amp;$B59&amp;$C59&amp;$D59&amp;$E59,".","_"),"(","_"),")","")</f>
        <v>dpa502_1</v>
      </c>
      <c r="AM59" s="72">
        <f>M59</f>
        <v>4</v>
      </c>
      <c r="AN59" s="1130" t="str">
        <f>SUBSTITUTE(SUBSTITUTE(SUBSTITUTE("dpc"&amp;$B59&amp;$C59&amp;$D59&amp;$E59,".","_"),"(","_"),")","")</f>
        <v>dpc502_1</v>
      </c>
      <c r="AO59" s="72">
        <f>O59</f>
        <v>0</v>
      </c>
      <c r="AP59" s="1130" t="str">
        <f>SUBSTITUTE(SUBSTITUTE(SUBSTITUTE("dch"&amp;$B59&amp;$C59&amp;$D59&amp;$E59,".","_"),"(","_"),")","")</f>
        <v>dch502_1</v>
      </c>
      <c r="AQ59" s="254" t="str">
        <f>IF(LEN(W59)=0,"",W59)</f>
        <v/>
      </c>
      <c r="AR59" s="1130" t="str">
        <f>SUBSTITUTE(SUBSTITUTE(SUBSTITUTE("dnt"&amp;$B59&amp;$C59&amp;$D59&amp;$E59,".","_"),"(","_"),")","")</f>
        <v>dnt502_1</v>
      </c>
      <c r="AS59" s="254" t="str">
        <f>IF(LEN(X59)=0,"",X59)</f>
        <v/>
      </c>
      <c r="AX59" s="42" t="str">
        <f>'Overview (Design)'!A58</f>
        <v>Tankless Water Heater:</v>
      </c>
      <c r="AY59" s="43">
        <f>'Overview (Design)'!G58</f>
        <v>0</v>
      </c>
    </row>
    <row r="60" spans="1:51" x14ac:dyDescent="0.25">
      <c r="B60" s="21" t="s">
        <v>368</v>
      </c>
      <c r="C60" s="21"/>
      <c r="D60" s="21"/>
      <c r="E60" s="21"/>
      <c r="F60" s="21"/>
      <c r="G60" s="21"/>
      <c r="H60" s="760"/>
      <c r="I60" s="90"/>
      <c r="J60" s="90"/>
      <c r="K60" s="90"/>
      <c r="L60" s="1796"/>
      <c r="M60" s="1767"/>
      <c r="O60" s="1780"/>
      <c r="P60" s="352"/>
      <c r="Q60" s="352"/>
      <c r="X60" s="1757"/>
      <c r="AX60" s="42" t="str">
        <f>'Overview (Design)'!A59</f>
        <v>Composting Toilet:</v>
      </c>
      <c r="AY60" s="43">
        <f>'Overview (Design)'!G59</f>
        <v>0</v>
      </c>
    </row>
    <row r="61" spans="1:51" x14ac:dyDescent="0.25">
      <c r="B61" s="21" t="s">
        <v>368</v>
      </c>
      <c r="C61" s="21"/>
      <c r="D61" s="21"/>
      <c r="E61" s="21"/>
      <c r="F61" s="21"/>
      <c r="G61" s="21"/>
      <c r="H61" s="760"/>
      <c r="I61" s="90"/>
      <c r="J61" s="90"/>
      <c r="K61" s="90"/>
      <c r="L61" s="1796"/>
      <c r="M61" s="1767"/>
      <c r="O61" s="1780"/>
      <c r="P61" s="352"/>
      <c r="Q61" s="352"/>
      <c r="X61" s="1757"/>
      <c r="AX61" s="42"/>
      <c r="AY61" s="43"/>
    </row>
    <row r="62" spans="1:51" x14ac:dyDescent="0.25">
      <c r="B62" s="21" t="s">
        <v>368</v>
      </c>
      <c r="C62" s="21"/>
      <c r="D62" s="21"/>
      <c r="E62" s="21"/>
      <c r="F62" s="21"/>
      <c r="G62" s="21"/>
      <c r="H62" s="760"/>
      <c r="I62" s="90"/>
      <c r="J62" s="90"/>
      <c r="K62" s="90"/>
      <c r="L62" s="1796"/>
      <c r="M62" s="1767"/>
      <c r="O62" s="1780"/>
      <c r="P62" s="352"/>
      <c r="Q62" s="352"/>
      <c r="X62" s="1757"/>
      <c r="AX62" s="42" t="str">
        <f>'Overview (Design)'!A61</f>
        <v>Local Energy Code:</v>
      </c>
      <c r="AY62" s="43">
        <f>'Overview (Design)'!G61</f>
        <v>0</v>
      </c>
    </row>
    <row r="63" spans="1:51" ht="18.75" x14ac:dyDescent="0.3">
      <c r="B63" s="21" t="s">
        <v>370</v>
      </c>
      <c r="C63" s="21"/>
      <c r="D63" s="21"/>
      <c r="E63" s="21"/>
      <c r="F63" s="21"/>
      <c r="G63" s="21"/>
      <c r="H63" s="760"/>
      <c r="I63" s="69" t="s">
        <v>371</v>
      </c>
      <c r="J63" s="88"/>
      <c r="K63" s="88"/>
      <c r="L63" s="84"/>
      <c r="M63" s="390"/>
      <c r="N63" s="23"/>
      <c r="O63" s="498"/>
      <c r="P63" s="23"/>
      <c r="Q63" s="23"/>
      <c r="R63" s="23"/>
      <c r="S63" s="23"/>
      <c r="T63" s="23"/>
      <c r="U63" s="23"/>
      <c r="V63" s="23"/>
      <c r="W63" s="23"/>
      <c r="X63" s="23"/>
      <c r="AU63" s="43"/>
      <c r="AV63" s="43"/>
      <c r="AX63" s="42" t="str">
        <f>'Overview (Design)'!A62</f>
        <v>Local Building Code:</v>
      </c>
      <c r="AY63" s="43">
        <f>'Overview (Design)'!G62</f>
        <v>0</v>
      </c>
    </row>
    <row r="64" spans="1:51" x14ac:dyDescent="0.25">
      <c r="B64" s="21" t="s">
        <v>372</v>
      </c>
      <c r="C64" s="21"/>
      <c r="D64" s="21"/>
      <c r="E64" s="21"/>
      <c r="F64" s="21"/>
      <c r="G64" s="21"/>
      <c r="H64" s="760"/>
      <c r="I64" s="668" t="s">
        <v>372</v>
      </c>
      <c r="J64" s="102"/>
      <c r="K64" s="102"/>
      <c r="L64" s="1782" t="s">
        <v>373</v>
      </c>
      <c r="M64" s="424"/>
      <c r="N64" s="94"/>
      <c r="O64" s="239"/>
      <c r="P64" s="94"/>
      <c r="Q64" s="94"/>
      <c r="R64" s="94"/>
      <c r="S64" s="94"/>
      <c r="T64" s="94"/>
      <c r="U64" s="94"/>
      <c r="V64" s="94"/>
      <c r="W64" s="94"/>
      <c r="X64" s="1770"/>
      <c r="AR64" s="1130" t="str">
        <f>SUBSTITUTE(SUBSTITUTE(SUBSTITUTE("dnt"&amp;$B64&amp;$C64&amp;$D64&amp;$E64,".","_"),"(","_"),")","")</f>
        <v>dnt503_0</v>
      </c>
      <c r="AS64" s="254" t="str">
        <f>IF(LEN(X64)=0,"",X64)</f>
        <v/>
      </c>
      <c r="AU64" s="43"/>
      <c r="AV64" s="43"/>
    </row>
    <row r="65" spans="1:61" x14ac:dyDescent="0.25">
      <c r="B65" s="21" t="s">
        <v>372</v>
      </c>
      <c r="C65" s="21"/>
      <c r="D65" s="21"/>
      <c r="E65" s="21"/>
      <c r="F65" s="21"/>
      <c r="G65" s="21"/>
      <c r="H65" s="760"/>
      <c r="I65" s="102"/>
      <c r="J65" s="102"/>
      <c r="K65" s="102"/>
      <c r="L65" s="1782"/>
      <c r="M65" s="424"/>
      <c r="N65" s="94"/>
      <c r="O65" s="239"/>
      <c r="P65" s="94"/>
      <c r="Q65" s="94"/>
      <c r="R65" s="94"/>
      <c r="S65" s="94"/>
      <c r="T65" s="94"/>
      <c r="U65" s="94"/>
      <c r="V65" s="94"/>
      <c r="W65" s="94"/>
      <c r="X65" s="1770"/>
      <c r="AU65" s="43"/>
      <c r="AV65" s="43"/>
    </row>
    <row r="66" spans="1:61" x14ac:dyDescent="0.25">
      <c r="B66" s="21" t="s">
        <v>372</v>
      </c>
      <c r="C66" s="21"/>
      <c r="D66" s="21"/>
      <c r="E66" s="21"/>
      <c r="F66" s="21"/>
      <c r="G66" s="21"/>
      <c r="H66" s="760"/>
      <c r="I66" s="102"/>
      <c r="J66" s="102"/>
      <c r="K66" s="102"/>
      <c r="L66" s="1782"/>
      <c r="M66" s="424"/>
      <c r="N66" s="94"/>
      <c r="O66" s="239"/>
      <c r="P66" s="94"/>
      <c r="Q66" s="94"/>
      <c r="R66" s="94"/>
      <c r="S66" s="94"/>
      <c r="T66" s="94"/>
      <c r="U66" s="94"/>
      <c r="V66" s="94"/>
      <c r="W66" s="94"/>
      <c r="X66" s="1770"/>
      <c r="AU66" s="43"/>
      <c r="AV66" s="43"/>
    </row>
    <row r="67" spans="1:61" x14ac:dyDescent="0.25">
      <c r="B67" s="21" t="s">
        <v>372</v>
      </c>
      <c r="C67" s="21"/>
      <c r="D67" s="21"/>
      <c r="E67" s="21"/>
      <c r="F67" s="21"/>
      <c r="G67" s="21"/>
      <c r="H67" s="760"/>
      <c r="I67" s="102"/>
      <c r="J67" s="102"/>
      <c r="K67" s="102"/>
      <c r="L67" s="1782"/>
      <c r="M67" s="424"/>
      <c r="N67" s="94"/>
      <c r="O67" s="239"/>
      <c r="P67" s="94"/>
      <c r="Q67" s="94"/>
      <c r="R67" s="94"/>
      <c r="S67" s="94"/>
      <c r="T67" s="94"/>
      <c r="U67" s="94"/>
      <c r="V67" s="94"/>
      <c r="W67" s="94"/>
      <c r="X67" s="1770"/>
      <c r="AU67" s="43"/>
      <c r="AV67" s="43"/>
    </row>
    <row r="68" spans="1:61" ht="15.75" thickBot="1" x14ac:dyDescent="0.3">
      <c r="B68" s="21" t="s">
        <v>372</v>
      </c>
      <c r="C68" s="21"/>
      <c r="D68" s="21"/>
      <c r="E68" s="21"/>
      <c r="F68" s="21"/>
      <c r="G68" s="21"/>
      <c r="H68" s="760"/>
      <c r="I68" s="103"/>
      <c r="J68" s="103"/>
      <c r="K68" s="103"/>
      <c r="L68" s="1190" t="s">
        <v>374</v>
      </c>
      <c r="M68" s="429"/>
      <c r="N68" s="99"/>
      <c r="O68" s="241"/>
      <c r="P68" s="99"/>
      <c r="Q68" s="99"/>
      <c r="R68" s="99"/>
      <c r="S68" s="99"/>
      <c r="T68" s="99"/>
      <c r="U68" s="99"/>
      <c r="V68" s="99"/>
      <c r="W68" s="99"/>
      <c r="X68" s="1771"/>
      <c r="AU68" s="43"/>
      <c r="AV68" s="43"/>
    </row>
    <row r="69" spans="1:61" ht="15.75" customHeight="1" thickTop="1" x14ac:dyDescent="0.25">
      <c r="B69" s="21" t="s">
        <v>375</v>
      </c>
      <c r="C69" s="21"/>
      <c r="D69" s="21"/>
      <c r="E69" s="21"/>
      <c r="F69" s="21"/>
      <c r="G69" s="21"/>
      <c r="H69" s="760"/>
      <c r="I69" s="139">
        <v>503.1</v>
      </c>
      <c r="J69" s="264"/>
      <c r="K69" s="264"/>
      <c r="L69" s="1201" t="s">
        <v>376</v>
      </c>
      <c r="M69" s="423"/>
      <c r="N69" s="105"/>
      <c r="O69" s="500"/>
      <c r="P69" s="105"/>
      <c r="Q69" s="105"/>
      <c r="R69" s="105"/>
      <c r="S69" s="105"/>
      <c r="T69" s="105"/>
      <c r="U69" s="105"/>
      <c r="V69" s="105"/>
      <c r="W69" s="105"/>
      <c r="X69" s="1757"/>
      <c r="AR69" s="1130" t="str">
        <f>SUBSTITUTE(SUBSTITUTE(SUBSTITUTE("dnt"&amp;$B69&amp;$C69&amp;$D69&amp;$E69,".","_"),"(","_"),")","")</f>
        <v>dnt503_1</v>
      </c>
      <c r="AS69" s="254" t="str">
        <f>IF(LEN(X69)=0,"",X69)</f>
        <v/>
      </c>
      <c r="AU69" s="43"/>
      <c r="AV69" s="43"/>
    </row>
    <row r="70" spans="1:61" x14ac:dyDescent="0.25">
      <c r="B70" s="21" t="s">
        <v>375</v>
      </c>
      <c r="C70" s="21" t="s">
        <v>256</v>
      </c>
      <c r="D70" s="21"/>
      <c r="E70" s="21"/>
      <c r="F70" s="21"/>
      <c r="G70" s="21"/>
      <c r="H70" s="760"/>
      <c r="I70" s="102"/>
      <c r="J70" s="91" t="s">
        <v>256</v>
      </c>
      <c r="K70" s="102"/>
      <c r="L70" s="1761" t="s">
        <v>377</v>
      </c>
      <c r="M70" s="1759">
        <v>5</v>
      </c>
      <c r="N70" s="178"/>
      <c r="O70" s="1764">
        <f>M70*W70</f>
        <v>0</v>
      </c>
      <c r="P70" s="352" t="b">
        <v>1</v>
      </c>
      <c r="Q70" s="352" t="b">
        <v>0</v>
      </c>
      <c r="R70" s="94" t="b">
        <v>0</v>
      </c>
      <c r="S70" s="94" t="b">
        <v>1</v>
      </c>
      <c r="T70" s="94" t="b">
        <v>0</v>
      </c>
      <c r="U70" s="94"/>
      <c r="V70" s="94"/>
      <c r="W70" s="25"/>
      <c r="X70" s="1757"/>
      <c r="AL70" s="1130" t="str">
        <f>SUBSTITUTE(SUBSTITUTE(SUBSTITUTE("dpa"&amp;$B70&amp;$C70&amp;$D70&amp;$E70,".","_"),"(","_"),")","")</f>
        <v>dpa503_1_1</v>
      </c>
      <c r="AM70" s="72">
        <f>M70</f>
        <v>5</v>
      </c>
      <c r="AN70" s="1130" t="str">
        <f>SUBSTITUTE(SUBSTITUTE(SUBSTITUTE("dpc"&amp;$B70&amp;$C70&amp;$D70&amp;$E70,".","_"),"(","_"),")","")</f>
        <v>dpc503_1_1</v>
      </c>
      <c r="AO70" s="72">
        <f>O70</f>
        <v>0</v>
      </c>
      <c r="AP70" s="1130" t="str">
        <f>SUBSTITUTE(SUBSTITUTE(SUBSTITUTE("dch"&amp;$B70&amp;$C70&amp;$D70&amp;$E70,".","_"),"(","_"),")","")</f>
        <v>dch503_1_1</v>
      </c>
      <c r="AQ70" s="254" t="str">
        <f>IF(LEN(W70)=0,"",W70)</f>
        <v/>
      </c>
      <c r="AR70" s="72"/>
      <c r="AS70" s="72"/>
      <c r="AU70" s="43"/>
      <c r="AV70" s="43"/>
    </row>
    <row r="71" spans="1:61" s="1150" customFormat="1" x14ac:dyDescent="0.25">
      <c r="A71" s="18"/>
      <c r="B71" s="21" t="s">
        <v>375</v>
      </c>
      <c r="C71" s="21" t="s">
        <v>256</v>
      </c>
      <c r="D71" s="21"/>
      <c r="E71" s="21"/>
      <c r="F71" s="21"/>
      <c r="G71" s="21"/>
      <c r="H71" s="760"/>
      <c r="I71" s="102"/>
      <c r="J71" s="174"/>
      <c r="K71" s="177"/>
      <c r="L71" s="1761"/>
      <c r="M71" s="1759"/>
      <c r="N71" s="94"/>
      <c r="O71" s="1764"/>
      <c r="R71" s="94"/>
      <c r="S71" s="94"/>
      <c r="T71" s="94"/>
      <c r="U71" s="94"/>
      <c r="V71" s="94"/>
      <c r="W71"/>
      <c r="X71" s="1757"/>
      <c r="AM71" s="254"/>
      <c r="AO71" s="254"/>
      <c r="AQ71" s="254"/>
      <c r="AR71" s="254"/>
      <c r="AS71" s="254"/>
      <c r="AX71"/>
      <c r="AY71"/>
      <c r="AZ71"/>
      <c r="BA71"/>
      <c r="BB71"/>
      <c r="BC71"/>
      <c r="BD71"/>
      <c r="BE71"/>
      <c r="BF71"/>
      <c r="BG71"/>
      <c r="BH71"/>
      <c r="BI71"/>
    </row>
    <row r="72" spans="1:61" x14ac:dyDescent="0.25">
      <c r="B72" s="21" t="s">
        <v>375</v>
      </c>
      <c r="C72" s="21" t="s">
        <v>258</v>
      </c>
      <c r="D72" s="21"/>
      <c r="E72" s="21"/>
      <c r="F72" s="21"/>
      <c r="G72" s="21"/>
      <c r="H72" s="760"/>
      <c r="I72" s="102"/>
      <c r="J72" s="91" t="s">
        <v>258</v>
      </c>
      <c r="K72" s="102"/>
      <c r="L72" s="1754" t="s">
        <v>378</v>
      </c>
      <c r="M72" s="1758">
        <v>6</v>
      </c>
      <c r="N72" s="94"/>
      <c r="O72" s="1774">
        <f>M72*S72*W72</f>
        <v>0</v>
      </c>
      <c r="P72" s="352" t="b">
        <v>1</v>
      </c>
      <c r="Q72" s="352" t="b">
        <v>0</v>
      </c>
      <c r="R72" s="94" t="b">
        <v>0</v>
      </c>
      <c r="S72" s="94" t="b">
        <f>IF(W70=TRUE,TRUE,FALSE)</f>
        <v>0</v>
      </c>
      <c r="T72" s="94" t="b">
        <f>AND(NOT(S72),W72=TRUE)</f>
        <v>0</v>
      </c>
      <c r="U72" s="94"/>
      <c r="V72" s="94"/>
      <c r="W72" s="25"/>
      <c r="X72" s="1757"/>
      <c r="AC72" s="76" t="b">
        <f>OR(AD72:AE72)</f>
        <v>0</v>
      </c>
      <c r="AD72" s="70" t="b">
        <f>T72</f>
        <v>0</v>
      </c>
      <c r="AL72" s="1130" t="str">
        <f>SUBSTITUTE(SUBSTITUTE(SUBSTITUTE("dpa"&amp;$B72&amp;$C72&amp;$D72&amp;$E72,".","_"),"(","_"),")","")</f>
        <v>dpa503_1_2</v>
      </c>
      <c r="AM72" s="72">
        <f>M72</f>
        <v>6</v>
      </c>
      <c r="AN72" s="1130" t="str">
        <f>SUBSTITUTE(SUBSTITUTE(SUBSTITUTE("dpc"&amp;$B72&amp;$C72&amp;$D72&amp;$E72,".","_"),"(","_"),")","")</f>
        <v>dpc503_1_2</v>
      </c>
      <c r="AO72" s="72">
        <f>O72</f>
        <v>0</v>
      </c>
      <c r="AP72" s="1130" t="str">
        <f>SUBSTITUTE(SUBSTITUTE(SUBSTITUTE("dch"&amp;$B72&amp;$C72&amp;$D72&amp;$E72,".","_"),"(","_"),")","")</f>
        <v>dch503_1_2</v>
      </c>
      <c r="AQ72" s="254" t="str">
        <f>IF(LEN(W72)=0,"",W72)</f>
        <v/>
      </c>
      <c r="AR72" s="72"/>
      <c r="AS72" s="72"/>
      <c r="AU72" s="43"/>
      <c r="AV72" s="43"/>
      <c r="AX72" s="1150"/>
      <c r="AY72" s="1150"/>
      <c r="AZ72" s="1150"/>
      <c r="BA72" s="1150"/>
      <c r="BB72" s="1150"/>
      <c r="BC72" s="1150"/>
      <c r="BD72" s="1150"/>
      <c r="BE72" s="1150"/>
      <c r="BF72" s="1150"/>
      <c r="BG72" s="1150"/>
      <c r="BH72" s="1150"/>
      <c r="BI72" s="1150"/>
    </row>
    <row r="73" spans="1:61" x14ac:dyDescent="0.25">
      <c r="B73" s="21" t="s">
        <v>375</v>
      </c>
      <c r="C73" s="21" t="s">
        <v>258</v>
      </c>
      <c r="D73" s="21"/>
      <c r="E73" s="21"/>
      <c r="F73" s="21"/>
      <c r="G73" s="21"/>
      <c r="H73" s="760"/>
      <c r="I73" s="102"/>
      <c r="J73" s="174"/>
      <c r="K73" s="177"/>
      <c r="L73" s="1755"/>
      <c r="M73" s="1759"/>
      <c r="N73" s="178"/>
      <c r="O73" s="1764"/>
      <c r="P73" s="94"/>
      <c r="Q73" s="94"/>
      <c r="R73" s="94"/>
      <c r="S73" s="94"/>
      <c r="T73" s="94"/>
      <c r="U73" s="94"/>
      <c r="V73" s="94"/>
      <c r="W73" s="94"/>
      <c r="X73" s="1757"/>
      <c r="AU73" s="43"/>
      <c r="AV73" s="43"/>
    </row>
    <row r="74" spans="1:61" x14ac:dyDescent="0.25">
      <c r="B74" s="21" t="s">
        <v>375</v>
      </c>
      <c r="C74" s="21" t="s">
        <v>260</v>
      </c>
      <c r="D74" s="21"/>
      <c r="E74" s="21"/>
      <c r="F74" s="21"/>
      <c r="G74" s="21"/>
      <c r="H74" s="760"/>
      <c r="I74" s="102"/>
      <c r="J74" s="91" t="s">
        <v>260</v>
      </c>
      <c r="K74" s="102"/>
      <c r="L74" s="1754" t="s">
        <v>379</v>
      </c>
      <c r="M74" s="1758">
        <v>4</v>
      </c>
      <c r="N74" s="94"/>
      <c r="O74" s="1774">
        <f>M74*S74*W74</f>
        <v>0</v>
      </c>
      <c r="P74" s="352" t="b">
        <v>1</v>
      </c>
      <c r="Q74" s="352" t="b">
        <v>0</v>
      </c>
      <c r="R74" s="94" t="b">
        <v>0</v>
      </c>
      <c r="S74" s="94" t="b">
        <f>IF(AND(W70=TRUE,W72=TRUE),TRUE,FALSE)</f>
        <v>0</v>
      </c>
      <c r="T74" s="94" t="b">
        <f>AND(NOT(S74),W74=TRUE)</f>
        <v>0</v>
      </c>
      <c r="U74" s="94"/>
      <c r="V74" s="94"/>
      <c r="W74" s="25"/>
      <c r="X74" s="1757"/>
      <c r="AC74" s="76" t="b">
        <f>OR(AD74:AE74)</f>
        <v>0</v>
      </c>
      <c r="AD74" s="70" t="b">
        <f>T74</f>
        <v>0</v>
      </c>
      <c r="AL74" s="1130" t="str">
        <f>SUBSTITUTE(SUBSTITUTE(SUBSTITUTE("dpa"&amp;$B74&amp;$C74&amp;$D74&amp;$E74,".","_"),"(","_"),")","")</f>
        <v>dpa503_1_3</v>
      </c>
      <c r="AM74" s="72">
        <f>M74</f>
        <v>4</v>
      </c>
      <c r="AN74" s="1130" t="str">
        <f>SUBSTITUTE(SUBSTITUTE(SUBSTITUTE("dpc"&amp;$B74&amp;$C74&amp;$D74&amp;$E74,".","_"),"(","_"),")","")</f>
        <v>dpc503_1_3</v>
      </c>
      <c r="AO74" s="72">
        <f>O74</f>
        <v>0</v>
      </c>
      <c r="AP74" s="1130" t="str">
        <f>SUBSTITUTE(SUBSTITUTE(SUBSTITUTE("dch"&amp;$B74&amp;$C74&amp;$D74&amp;$E74,".","_"),"(","_"),")","")</f>
        <v>dch503_1_3</v>
      </c>
      <c r="AQ74" s="254" t="str">
        <f>IF(LEN(W74)=0,"",W74)</f>
        <v/>
      </c>
      <c r="AR74" s="72"/>
      <c r="AS74" s="72"/>
      <c r="AU74" s="43"/>
      <c r="AV74" s="43"/>
    </row>
    <row r="75" spans="1:61" x14ac:dyDescent="0.25">
      <c r="B75" s="21" t="s">
        <v>375</v>
      </c>
      <c r="C75" s="21" t="s">
        <v>260</v>
      </c>
      <c r="D75" s="21"/>
      <c r="E75" s="21"/>
      <c r="F75" s="21"/>
      <c r="G75" s="21"/>
      <c r="H75" s="760"/>
      <c r="I75" s="102"/>
      <c r="J75" s="174"/>
      <c r="K75" s="177"/>
      <c r="L75" s="1755"/>
      <c r="M75" s="1759"/>
      <c r="N75" s="178"/>
      <c r="O75" s="1764"/>
      <c r="P75" s="94"/>
      <c r="Q75" s="94"/>
      <c r="R75" s="94"/>
      <c r="S75" s="94"/>
      <c r="T75" s="94"/>
      <c r="U75" s="94"/>
      <c r="V75" s="94"/>
      <c r="W75" s="94"/>
      <c r="X75" s="1757"/>
      <c r="AU75" s="43"/>
      <c r="AV75" s="43"/>
    </row>
    <row r="76" spans="1:61" x14ac:dyDescent="0.25">
      <c r="B76" s="21" t="s">
        <v>375</v>
      </c>
      <c r="C76" s="21" t="s">
        <v>269</v>
      </c>
      <c r="D76" s="21"/>
      <c r="E76" s="21"/>
      <c r="F76" s="21"/>
      <c r="G76" s="21"/>
      <c r="H76" s="760"/>
      <c r="I76" s="102"/>
      <c r="J76" s="91" t="s">
        <v>269</v>
      </c>
      <c r="K76" s="102"/>
      <c r="L76" s="1760" t="s">
        <v>380</v>
      </c>
      <c r="M76" s="1762">
        <v>4</v>
      </c>
      <c r="N76" s="94"/>
      <c r="O76" s="1763">
        <f>M76*W76</f>
        <v>0</v>
      </c>
      <c r="P76" s="352" t="b">
        <v>1</v>
      </c>
      <c r="Q76" s="352" t="b">
        <v>0</v>
      </c>
      <c r="R76" s="94" t="b">
        <v>0</v>
      </c>
      <c r="S76" s="94" t="b">
        <v>1</v>
      </c>
      <c r="T76" s="94" t="b">
        <v>0</v>
      </c>
      <c r="U76" s="94"/>
      <c r="V76" s="94"/>
      <c r="W76" s="25"/>
      <c r="X76" s="1757"/>
      <c r="AL76" s="1130" t="str">
        <f>SUBSTITUTE(SUBSTITUTE(SUBSTITUTE("dpa"&amp;$B76&amp;$C76&amp;$D76&amp;$E76,".","_"),"(","_"),")","")</f>
        <v>dpa503_1_4</v>
      </c>
      <c r="AM76" s="72">
        <f>M76</f>
        <v>4</v>
      </c>
      <c r="AN76" s="1130" t="str">
        <f>SUBSTITUTE(SUBSTITUTE(SUBSTITUTE("dpc"&amp;$B76&amp;$C76&amp;$D76&amp;$E76,".","_"),"(","_"),")","")</f>
        <v>dpc503_1_4</v>
      </c>
      <c r="AO76" s="72">
        <f>O76</f>
        <v>0</v>
      </c>
      <c r="AP76" s="1130" t="str">
        <f>SUBSTITUTE(SUBSTITUTE(SUBSTITUTE("dch"&amp;$B76&amp;$C76&amp;$D76&amp;$E76,".","_"),"(","_"),")","")</f>
        <v>dch503_1_4</v>
      </c>
      <c r="AQ76" s="254" t="str">
        <f>IF(LEN(W76)=0,"",W76)</f>
        <v/>
      </c>
      <c r="AR76" s="72"/>
      <c r="AS76" s="72"/>
      <c r="AU76" s="43"/>
      <c r="AV76" s="43"/>
    </row>
    <row r="77" spans="1:61" s="1150" customFormat="1" x14ac:dyDescent="0.25">
      <c r="A77" s="18"/>
      <c r="B77" s="21" t="s">
        <v>375</v>
      </c>
      <c r="C77" s="21" t="s">
        <v>269</v>
      </c>
      <c r="D77" s="21"/>
      <c r="E77" s="21"/>
      <c r="F77" s="21"/>
      <c r="G77" s="21"/>
      <c r="H77" s="760"/>
      <c r="I77" s="102"/>
      <c r="J77" s="174"/>
      <c r="K77" s="177"/>
      <c r="L77" s="1761"/>
      <c r="M77" s="1759"/>
      <c r="N77" s="178"/>
      <c r="O77" s="1764"/>
      <c r="R77" s="94"/>
      <c r="S77" s="94"/>
      <c r="T77" s="94"/>
      <c r="U77" s="94"/>
      <c r="V77" s="94"/>
      <c r="W77"/>
      <c r="X77" s="1757"/>
      <c r="AM77" s="254"/>
      <c r="AO77" s="254"/>
      <c r="AQ77" s="254"/>
      <c r="AR77" s="254"/>
      <c r="AS77" s="254"/>
      <c r="AX77"/>
      <c r="AY77"/>
      <c r="AZ77"/>
      <c r="BA77"/>
      <c r="BB77"/>
      <c r="BC77"/>
      <c r="BD77"/>
      <c r="BE77"/>
      <c r="BF77"/>
      <c r="BG77"/>
      <c r="BH77"/>
      <c r="BI77"/>
    </row>
    <row r="78" spans="1:61" x14ac:dyDescent="0.25">
      <c r="B78" s="21" t="s">
        <v>375</v>
      </c>
      <c r="C78" s="21" t="s">
        <v>275</v>
      </c>
      <c r="D78" s="21"/>
      <c r="E78" s="21"/>
      <c r="F78" s="21"/>
      <c r="G78" s="21"/>
      <c r="H78" s="760"/>
      <c r="I78" s="102"/>
      <c r="J78" s="846" t="s">
        <v>275</v>
      </c>
      <c r="K78" s="1211"/>
      <c r="L78" s="1760" t="s">
        <v>381</v>
      </c>
      <c r="M78" s="1762">
        <v>3</v>
      </c>
      <c r="N78" s="195"/>
      <c r="O78" s="1763">
        <f>M78*W78</f>
        <v>0</v>
      </c>
      <c r="P78" s="352" t="b">
        <v>1</v>
      </c>
      <c r="Q78" s="352" t="b">
        <v>0</v>
      </c>
      <c r="R78" s="94" t="b">
        <v>0</v>
      </c>
      <c r="S78" s="94" t="b">
        <v>1</v>
      </c>
      <c r="T78" s="94" t="b">
        <v>0</v>
      </c>
      <c r="U78" s="94"/>
      <c r="V78" s="94"/>
      <c r="W78" s="25"/>
      <c r="X78" s="1757"/>
      <c r="AL78" s="1130" t="str">
        <f>SUBSTITUTE(SUBSTITUTE(SUBSTITUTE("dpa"&amp;$B78&amp;$C78&amp;$D78&amp;$E78,".","_"),"(","_"),")","")</f>
        <v>dpa503_1_5</v>
      </c>
      <c r="AM78" s="72">
        <f>M78</f>
        <v>3</v>
      </c>
      <c r="AN78" s="1130" t="str">
        <f>SUBSTITUTE(SUBSTITUTE(SUBSTITUTE("dpc"&amp;$B78&amp;$C78&amp;$D78&amp;$E78,".","_"),"(","_"),")","")</f>
        <v>dpc503_1_5</v>
      </c>
      <c r="AO78" s="72">
        <f>O78</f>
        <v>0</v>
      </c>
      <c r="AP78" s="1130" t="str">
        <f>SUBSTITUTE(SUBSTITUTE(SUBSTITUTE("dch"&amp;$B78&amp;$C78&amp;$D78&amp;$E78,".","_"),"(","_"),")","")</f>
        <v>dch503_1_5</v>
      </c>
      <c r="AQ78" s="254" t="str">
        <f>IF(LEN(W78)=0,"",W78)</f>
        <v/>
      </c>
      <c r="AR78" s="72"/>
      <c r="AS78" s="72"/>
      <c r="AU78" s="43"/>
      <c r="AV78" s="43"/>
      <c r="AX78" s="1150"/>
      <c r="AY78" s="1150"/>
      <c r="AZ78" s="1150"/>
      <c r="BA78" s="1150"/>
      <c r="BB78" s="1150"/>
      <c r="BC78" s="1150"/>
      <c r="BD78" s="1150"/>
      <c r="BE78" s="1150"/>
      <c r="BF78" s="1150"/>
      <c r="BG78" s="1150"/>
      <c r="BH78" s="1150"/>
      <c r="BI78" s="1150"/>
    </row>
    <row r="79" spans="1:61" s="1150" customFormat="1" x14ac:dyDescent="0.25">
      <c r="A79" s="18"/>
      <c r="B79" s="21" t="s">
        <v>375</v>
      </c>
      <c r="C79" s="21" t="s">
        <v>275</v>
      </c>
      <c r="D79" s="21"/>
      <c r="E79" s="21"/>
      <c r="F79" s="21"/>
      <c r="G79" s="21"/>
      <c r="H79" s="760"/>
      <c r="I79" s="102"/>
      <c r="J79" s="174"/>
      <c r="K79" s="177"/>
      <c r="L79" s="1761"/>
      <c r="M79" s="1759"/>
      <c r="N79" s="178"/>
      <c r="O79" s="1764"/>
      <c r="R79" s="94"/>
      <c r="S79" s="94"/>
      <c r="T79" s="94"/>
      <c r="U79" s="94"/>
      <c r="V79" s="94"/>
      <c r="W79"/>
      <c r="X79" s="1757"/>
      <c r="AM79" s="254"/>
      <c r="AO79" s="254"/>
      <c r="AQ79" s="254"/>
      <c r="AR79" s="254"/>
      <c r="AS79" s="254"/>
      <c r="AX79"/>
      <c r="AY79"/>
      <c r="AZ79"/>
      <c r="BA79"/>
      <c r="BB79"/>
      <c r="BC79"/>
      <c r="BD79"/>
      <c r="BE79"/>
      <c r="BF79"/>
      <c r="BG79"/>
      <c r="BH79"/>
      <c r="BI79"/>
    </row>
    <row r="80" spans="1:61" x14ac:dyDescent="0.25">
      <c r="B80" s="21" t="s">
        <v>375</v>
      </c>
      <c r="C80" s="21" t="s">
        <v>277</v>
      </c>
      <c r="D80" s="21"/>
      <c r="E80" s="21"/>
      <c r="F80" s="21"/>
      <c r="G80" s="21"/>
      <c r="H80" s="760"/>
      <c r="I80" s="102"/>
      <c r="J80" s="91" t="s">
        <v>277</v>
      </c>
      <c r="K80" s="102"/>
      <c r="L80" s="1754" t="s">
        <v>382</v>
      </c>
      <c r="M80" s="1758">
        <v>4</v>
      </c>
      <c r="N80" s="94"/>
      <c r="O80" s="1774">
        <f>M80*W80</f>
        <v>0</v>
      </c>
      <c r="P80" s="352" t="b">
        <v>1</v>
      </c>
      <c r="Q80" s="352" t="b">
        <v>0</v>
      </c>
      <c r="R80" s="94" t="b">
        <v>0</v>
      </c>
      <c r="S80" s="94" t="b">
        <v>1</v>
      </c>
      <c r="T80" s="94" t="b">
        <v>0</v>
      </c>
      <c r="U80" s="94"/>
      <c r="V80" s="94"/>
      <c r="W80" s="25"/>
      <c r="X80" s="1757"/>
      <c r="AL80" s="1130" t="str">
        <f>SUBSTITUTE(SUBSTITUTE(SUBSTITUTE("dpa"&amp;$B80&amp;$C80&amp;$D80&amp;$E80,".","_"),"(","_"),")","")</f>
        <v>dpa503_1_6</v>
      </c>
      <c r="AM80" s="72">
        <f>M80</f>
        <v>4</v>
      </c>
      <c r="AN80" s="1130" t="str">
        <f>SUBSTITUTE(SUBSTITUTE(SUBSTITUTE("dpc"&amp;$B80&amp;$C80&amp;$D80&amp;$E80,".","_"),"(","_"),")","")</f>
        <v>dpc503_1_6</v>
      </c>
      <c r="AO80" s="72">
        <f>O80</f>
        <v>0</v>
      </c>
      <c r="AP80" s="1130" t="str">
        <f>SUBSTITUTE(SUBSTITUTE(SUBSTITUTE("dch"&amp;$B80&amp;$C80&amp;$D80&amp;$E80,".","_"),"(","_"),")","")</f>
        <v>dch503_1_6</v>
      </c>
      <c r="AQ80" s="254" t="str">
        <f>IF(LEN(W80)=0,"",W80)</f>
        <v/>
      </c>
      <c r="AR80" s="72"/>
      <c r="AS80" s="72"/>
      <c r="AU80" s="43"/>
      <c r="AV80" s="43"/>
      <c r="AX80" s="1150"/>
      <c r="AY80" s="1150"/>
      <c r="AZ80" s="1150"/>
      <c r="BA80" s="1150"/>
      <c r="BB80" s="1150"/>
      <c r="BC80" s="1150"/>
      <c r="BD80" s="1150"/>
      <c r="BE80" s="1150"/>
      <c r="BF80" s="1150"/>
      <c r="BG80" s="1150"/>
      <c r="BH80" s="1150"/>
      <c r="BI80" s="1150"/>
    </row>
    <row r="81" spans="1:61" x14ac:dyDescent="0.25">
      <c r="B81" s="21" t="s">
        <v>375</v>
      </c>
      <c r="C81" s="21" t="s">
        <v>277</v>
      </c>
      <c r="D81" s="21"/>
      <c r="E81" s="21"/>
      <c r="F81" s="21"/>
      <c r="G81" s="21"/>
      <c r="H81" s="760"/>
      <c r="I81" s="102"/>
      <c r="J81" s="174"/>
      <c r="K81" s="177"/>
      <c r="L81" s="1755"/>
      <c r="M81" s="1759"/>
      <c r="N81" s="178"/>
      <c r="O81" s="1764"/>
      <c r="P81" s="94"/>
      <c r="Q81" s="94"/>
      <c r="R81" s="94"/>
      <c r="S81" s="94"/>
      <c r="T81" s="94"/>
      <c r="U81" s="94"/>
      <c r="V81" s="94"/>
      <c r="W81" s="94"/>
      <c r="X81" s="1757"/>
      <c r="AU81" s="43"/>
      <c r="AV81" s="43"/>
    </row>
    <row r="82" spans="1:61" x14ac:dyDescent="0.25">
      <c r="B82" s="21" t="s">
        <v>375</v>
      </c>
      <c r="C82" s="21" t="s">
        <v>383</v>
      </c>
      <c r="D82" s="21"/>
      <c r="E82" s="21"/>
      <c r="F82" s="21"/>
      <c r="G82" s="21"/>
      <c r="H82" s="760"/>
      <c r="I82" s="102"/>
      <c r="J82" s="91" t="s">
        <v>383</v>
      </c>
      <c r="K82" s="102"/>
      <c r="L82" s="1754" t="s">
        <v>384</v>
      </c>
      <c r="M82" s="1758">
        <v>5</v>
      </c>
      <c r="N82" s="94"/>
      <c r="O82" s="1774">
        <f>M82*W82</f>
        <v>0</v>
      </c>
      <c r="P82" s="352" t="b">
        <v>1</v>
      </c>
      <c r="Q82" s="352" t="b">
        <v>0</v>
      </c>
      <c r="R82" s="94" t="b">
        <v>0</v>
      </c>
      <c r="S82" s="94" t="b">
        <v>1</v>
      </c>
      <c r="T82" s="94" t="b">
        <v>0</v>
      </c>
      <c r="U82" s="94"/>
      <c r="V82" s="94"/>
      <c r="W82" s="25"/>
      <c r="X82" s="1757"/>
      <c r="AL82" s="1130" t="str">
        <f>SUBSTITUTE(SUBSTITUTE(SUBSTITUTE("dpa"&amp;$B82&amp;$C82&amp;$D82&amp;$E82,".","_"),"(","_"),")","")</f>
        <v>dpa503_1_7</v>
      </c>
      <c r="AM82" s="72">
        <f>M82</f>
        <v>5</v>
      </c>
      <c r="AN82" s="1130" t="str">
        <f>SUBSTITUTE(SUBSTITUTE(SUBSTITUTE("dpc"&amp;$B82&amp;$C82&amp;$D82&amp;$E82,".","_"),"(","_"),")","")</f>
        <v>dpc503_1_7</v>
      </c>
      <c r="AO82" s="72">
        <f>O82</f>
        <v>0</v>
      </c>
      <c r="AP82" s="1130" t="str">
        <f>SUBSTITUTE(SUBSTITUTE(SUBSTITUTE("dch"&amp;$B82&amp;$C82&amp;$D82&amp;$E82,".","_"),"(","_"),")","")</f>
        <v>dch503_1_7</v>
      </c>
      <c r="AQ82" s="254" t="str">
        <f>IF(LEN(W82)=0,"",W82)</f>
        <v/>
      </c>
      <c r="AR82" s="72"/>
      <c r="AS82" s="72"/>
      <c r="AU82" s="43"/>
      <c r="AV82" s="43"/>
    </row>
    <row r="83" spans="1:61" x14ac:dyDescent="0.25">
      <c r="B83" s="21" t="s">
        <v>375</v>
      </c>
      <c r="C83" s="21" t="s">
        <v>383</v>
      </c>
      <c r="D83" s="21"/>
      <c r="E83" s="21"/>
      <c r="F83" s="21"/>
      <c r="G83" s="21"/>
      <c r="H83" s="760"/>
      <c r="I83" s="102"/>
      <c r="J83" s="102"/>
      <c r="K83" s="102"/>
      <c r="L83" s="1754"/>
      <c r="M83" s="1758"/>
      <c r="N83" s="94"/>
      <c r="O83" s="1774"/>
      <c r="P83" s="94"/>
      <c r="Q83" s="94"/>
      <c r="R83" s="94"/>
      <c r="S83" s="94"/>
      <c r="T83" s="94"/>
      <c r="U83" s="94"/>
      <c r="V83" s="94"/>
      <c r="W83" s="94"/>
      <c r="X83" s="1757"/>
      <c r="AU83" s="43"/>
      <c r="AV83" s="43"/>
    </row>
    <row r="84" spans="1:61" x14ac:dyDescent="0.25">
      <c r="A84"/>
      <c r="B84" s="21" t="s">
        <v>375</v>
      </c>
      <c r="C84" s="21" t="s">
        <v>428</v>
      </c>
      <c r="D84" s="1129"/>
      <c r="E84" s="1129"/>
      <c r="F84"/>
      <c r="G84"/>
      <c r="H84"/>
      <c r="I84" s="94"/>
      <c r="J84" s="846" t="s">
        <v>428</v>
      </c>
      <c r="K84" s="849"/>
      <c r="L84" s="1769" t="s">
        <v>4126</v>
      </c>
      <c r="M84" s="1762">
        <v>6</v>
      </c>
      <c r="N84" s="195"/>
      <c r="O84" s="1763">
        <f>M84*W84</f>
        <v>0</v>
      </c>
      <c r="P84" s="791" t="b">
        <v>1</v>
      </c>
      <c r="Q84" s="582" t="b">
        <v>0</v>
      </c>
      <c r="R84" s="582" t="b">
        <v>0</v>
      </c>
      <c r="S84" s="582" t="b">
        <v>1</v>
      </c>
      <c r="T84" s="94" t="b">
        <v>0</v>
      </c>
      <c r="U84" s="94"/>
      <c r="V84" s="94"/>
      <c r="W84" s="25"/>
      <c r="X84" s="1757"/>
      <c r="Y84"/>
      <c r="AA84"/>
      <c r="AB84"/>
      <c r="AC84"/>
      <c r="AD84"/>
      <c r="AE84"/>
      <c r="AF84"/>
      <c r="AG84"/>
      <c r="AH84"/>
      <c r="AI84"/>
      <c r="AJ84"/>
      <c r="AK84"/>
      <c r="AL84" s="1130" t="str">
        <f>SUBSTITUTE(SUBSTITUTE(SUBSTITUTE("dpa"&amp;$B84&amp;$C84&amp;$D84&amp;$E84,".","_"),"(","_"),")","")</f>
        <v>dpa503_1_8</v>
      </c>
      <c r="AM84" s="254">
        <f>M84</f>
        <v>6</v>
      </c>
      <c r="AN84" s="1130" t="str">
        <f>SUBSTITUTE(SUBSTITUTE(SUBSTITUTE("dpc"&amp;$B84&amp;$C84&amp;$D84&amp;$E84,".","_"),"(","_"),")","")</f>
        <v>dpc503_1_8</v>
      </c>
      <c r="AO84" s="254">
        <f>O84</f>
        <v>0</v>
      </c>
      <c r="AP84" s="1130" t="str">
        <f>SUBSTITUTE(SUBSTITUTE(SUBSTITUTE("dch"&amp;$B84&amp;$C84&amp;$D84&amp;$E84,".","_"),"(","_"),")","")</f>
        <v>dch503_1_8</v>
      </c>
      <c r="AQ84" s="254" t="str">
        <f>IF(LEN(W84)=0,"",W84)</f>
        <v/>
      </c>
      <c r="AX84" s="70"/>
      <c r="AY84" s="70"/>
    </row>
    <row r="85" spans="1:61" x14ac:dyDescent="0.25">
      <c r="A85"/>
      <c r="B85" s="21" t="s">
        <v>375</v>
      </c>
      <c r="C85" s="21" t="s">
        <v>428</v>
      </c>
      <c r="D85" s="1129"/>
      <c r="E85" s="1129"/>
      <c r="F85"/>
      <c r="G85"/>
      <c r="H85"/>
      <c r="I85" s="94"/>
      <c r="J85" s="850"/>
      <c r="K85" s="850"/>
      <c r="L85" s="1765"/>
      <c r="M85" s="1758"/>
      <c r="N85" s="94"/>
      <c r="O85" s="1774"/>
      <c r="P85" s="94"/>
      <c r="Q85" s="94"/>
      <c r="R85" s="94"/>
      <c r="S85" s="94"/>
      <c r="T85" s="94"/>
      <c r="U85" s="94"/>
      <c r="V85" s="94"/>
      <c r="W85" s="94"/>
      <c r="X85" s="1757"/>
      <c r="Y85"/>
      <c r="AA85"/>
      <c r="AB85"/>
      <c r="AC85"/>
      <c r="AD85"/>
      <c r="AE85"/>
      <c r="AF85"/>
      <c r="AG85"/>
      <c r="AH85"/>
      <c r="AI85"/>
      <c r="AJ85"/>
      <c r="AK85"/>
      <c r="AL85"/>
      <c r="AM85"/>
      <c r="AN85"/>
      <c r="AO85"/>
    </row>
    <row r="86" spans="1:61" x14ac:dyDescent="0.25">
      <c r="A86"/>
      <c r="B86" s="21" t="s">
        <v>375</v>
      </c>
      <c r="C86" s="21" t="s">
        <v>428</v>
      </c>
      <c r="D86" s="1129"/>
      <c r="E86" s="1129"/>
      <c r="F86"/>
      <c r="G86"/>
      <c r="H86"/>
      <c r="I86" s="94"/>
      <c r="J86" s="850"/>
      <c r="K86" s="850"/>
      <c r="L86" s="1765"/>
      <c r="M86" s="1758"/>
      <c r="N86" s="94"/>
      <c r="O86" s="1774"/>
      <c r="P86" s="94"/>
      <c r="Q86" s="94"/>
      <c r="R86" s="94"/>
      <c r="S86" s="94"/>
      <c r="T86" s="94"/>
      <c r="U86" s="94"/>
      <c r="V86" s="94"/>
      <c r="W86" s="94"/>
      <c r="X86" s="1757"/>
      <c r="Y86"/>
      <c r="AA86"/>
      <c r="AB86"/>
      <c r="AC86"/>
      <c r="AD86"/>
      <c r="AE86"/>
      <c r="AF86"/>
      <c r="AG86"/>
      <c r="AH86"/>
      <c r="AI86"/>
      <c r="AJ86"/>
      <c r="AK86"/>
      <c r="AL86"/>
      <c r="AM86"/>
      <c r="AN86"/>
      <c r="AO86"/>
    </row>
    <row r="87" spans="1:61" x14ac:dyDescent="0.25">
      <c r="A87"/>
      <c r="B87" s="21" t="s">
        <v>375</v>
      </c>
      <c r="C87" s="21" t="s">
        <v>428</v>
      </c>
      <c r="D87" s="1129"/>
      <c r="E87" s="1129"/>
      <c r="F87"/>
      <c r="G87"/>
      <c r="H87"/>
      <c r="I87" s="94"/>
      <c r="J87" s="850"/>
      <c r="K87" s="850"/>
      <c r="L87" s="1765"/>
      <c r="M87" s="1758"/>
      <c r="N87" s="94"/>
      <c r="O87" s="1774"/>
      <c r="P87" s="94"/>
      <c r="Q87" s="94"/>
      <c r="R87" s="94"/>
      <c r="S87" s="94"/>
      <c r="T87" s="94"/>
      <c r="U87" s="94"/>
      <c r="V87" s="94"/>
      <c r="W87" s="94"/>
      <c r="X87" s="1757"/>
      <c r="Y87"/>
      <c r="AA87"/>
      <c r="AB87"/>
      <c r="AC87"/>
      <c r="AD87"/>
      <c r="AE87"/>
      <c r="AF87"/>
      <c r="AG87"/>
      <c r="AH87"/>
      <c r="AI87"/>
      <c r="AJ87"/>
      <c r="AK87"/>
      <c r="AL87"/>
      <c r="AM87"/>
      <c r="AN87"/>
      <c r="AO87"/>
    </row>
    <row r="88" spans="1:61" ht="15.75" thickBot="1" x14ac:dyDescent="0.3">
      <c r="A88"/>
      <c r="B88" s="21" t="s">
        <v>375</v>
      </c>
      <c r="C88" s="21" t="s">
        <v>428</v>
      </c>
      <c r="D88" s="1129"/>
      <c r="E88" s="1129"/>
      <c r="F88"/>
      <c r="G88"/>
      <c r="H88"/>
      <c r="I88" s="99"/>
      <c r="J88" s="852"/>
      <c r="K88" s="852"/>
      <c r="L88" s="1766"/>
      <c r="M88" s="1768"/>
      <c r="N88" s="99"/>
      <c r="O88" s="1775"/>
      <c r="P88" s="99"/>
      <c r="Q88" s="99"/>
      <c r="R88" s="99"/>
      <c r="S88" s="99"/>
      <c r="T88" s="99"/>
      <c r="U88" s="99"/>
      <c r="V88" s="99"/>
      <c r="W88" s="99"/>
      <c r="X88" s="1757"/>
      <c r="Y88"/>
      <c r="AA88"/>
      <c r="AB88"/>
      <c r="AC88"/>
      <c r="AD88"/>
      <c r="AE88"/>
      <c r="AF88"/>
      <c r="AG88"/>
      <c r="AH88"/>
      <c r="AI88"/>
      <c r="AJ88"/>
      <c r="AK88"/>
      <c r="AL88"/>
      <c r="AM88"/>
      <c r="AN88"/>
      <c r="AO88"/>
    </row>
    <row r="89" spans="1:61" ht="15" customHeight="1" thickTop="1" x14ac:dyDescent="0.25">
      <c r="B89" s="21" t="s">
        <v>385</v>
      </c>
      <c r="C89" s="21"/>
      <c r="D89" s="21"/>
      <c r="E89" s="21"/>
      <c r="F89" s="21"/>
      <c r="G89" s="21"/>
      <c r="H89" s="760"/>
      <c r="I89" s="106">
        <v>503.2</v>
      </c>
      <c r="J89" s="107"/>
      <c r="K89" s="107"/>
      <c r="L89" s="1189" t="s">
        <v>386</v>
      </c>
      <c r="M89" s="423"/>
      <c r="N89" s="105"/>
      <c r="O89" s="500"/>
      <c r="P89" s="105"/>
      <c r="Q89" s="105"/>
      <c r="R89" s="105"/>
      <c r="S89" s="105"/>
      <c r="T89" s="105"/>
      <c r="U89" s="105"/>
      <c r="V89" s="105"/>
      <c r="W89" s="105" t="s">
        <v>739</v>
      </c>
      <c r="X89" s="1784"/>
      <c r="AR89" s="1130" t="str">
        <f>SUBSTITUTE(SUBSTITUTE(SUBSTITUTE("dnt"&amp;$B89&amp;$C89&amp;$D89&amp;$E89,".","_"),"(","_"),")","")</f>
        <v>dnt503_2</v>
      </c>
      <c r="AS89" s="254" t="str">
        <f>IF(LEN(X89)=0,"",X89)</f>
        <v/>
      </c>
      <c r="AU89" s="43"/>
      <c r="AV89" s="43"/>
    </row>
    <row r="90" spans="1:61" s="70" customFormat="1" x14ac:dyDescent="0.25">
      <c r="A90" s="18"/>
      <c r="B90" s="21" t="s">
        <v>385</v>
      </c>
      <c r="C90" s="21"/>
      <c r="D90" s="21"/>
      <c r="E90" s="21"/>
      <c r="F90" s="21"/>
      <c r="G90" s="21"/>
      <c r="H90" s="760"/>
      <c r="I90" s="101"/>
      <c r="J90" s="102"/>
      <c r="K90" s="102"/>
      <c r="L90" s="1179" t="s">
        <v>3380</v>
      </c>
      <c r="M90" s="424"/>
      <c r="N90" s="94"/>
      <c r="O90" s="239"/>
      <c r="P90" s="352" t="b">
        <v>1</v>
      </c>
      <c r="Q90" s="352" t="b">
        <v>1</v>
      </c>
      <c r="R90" s="94" t="b">
        <v>0</v>
      </c>
      <c r="S90" s="94" t="b">
        <v>1</v>
      </c>
      <c r="T90" s="94" t="b">
        <v>0</v>
      </c>
      <c r="U90" s="94"/>
      <c r="V90" s="94"/>
      <c r="W90" s="108"/>
      <c r="X90" s="1770"/>
      <c r="Y90" s="780"/>
      <c r="AA90" s="783"/>
      <c r="AP90" s="1130" t="str">
        <f>SUBSTITUTE(SUBSTITUTE(SUBSTITUTE("dch"&amp;$B90&amp;$C90&amp;$D90&amp;$E90,".","_"),"(","_"),")","")</f>
        <v>dch503_2</v>
      </c>
      <c r="AQ90" s="254" t="str">
        <f>IF(LEN(W90)=0,"",W90)</f>
        <v/>
      </c>
      <c r="AX90"/>
      <c r="AY90"/>
      <c r="AZ90"/>
      <c r="BA90"/>
      <c r="BB90"/>
      <c r="BC90"/>
      <c r="BD90"/>
      <c r="BE90"/>
      <c r="BF90"/>
      <c r="BG90"/>
      <c r="BH90"/>
      <c r="BI90"/>
    </row>
    <row r="91" spans="1:61" x14ac:dyDescent="0.25">
      <c r="B91" s="21" t="s">
        <v>385</v>
      </c>
      <c r="C91" s="21" t="s">
        <v>256</v>
      </c>
      <c r="D91" s="21"/>
      <c r="E91" s="21"/>
      <c r="F91" s="21"/>
      <c r="G91" s="21"/>
      <c r="H91" s="760"/>
      <c r="I91" s="102"/>
      <c r="J91" s="174" t="s">
        <v>256</v>
      </c>
      <c r="K91" s="177"/>
      <c r="L91" s="1163" t="s">
        <v>387</v>
      </c>
      <c r="M91" s="426">
        <v>5</v>
      </c>
      <c r="N91" s="178"/>
      <c r="O91" s="501">
        <f>M91*W91*S91</f>
        <v>0</v>
      </c>
      <c r="P91" s="352" t="b">
        <v>1</v>
      </c>
      <c r="Q91" s="352" t="b">
        <v>1</v>
      </c>
      <c r="R91" s="94" t="b">
        <v>0</v>
      </c>
      <c r="S91" s="94" t="b">
        <f>IF(W90&gt;=0.25,TRUE,FALSE)</f>
        <v>0</v>
      </c>
      <c r="T91" s="94" t="b">
        <f>AND(NOT(S91),W91=TRUE)</f>
        <v>0</v>
      </c>
      <c r="U91" s="94"/>
      <c r="V91" s="94"/>
      <c r="W91" s="25"/>
      <c r="X91" s="1770"/>
      <c r="AC91" s="76" t="b">
        <f>OR(AD91:AE91)</f>
        <v>0</v>
      </c>
      <c r="AD91" s="17" t="b">
        <f>T91</f>
        <v>0</v>
      </c>
      <c r="AL91" s="1130" t="str">
        <f>SUBSTITUTE(SUBSTITUTE(SUBSTITUTE("dpa"&amp;$B91&amp;$C91&amp;$D91&amp;$E91,".","_"),"(","_"),")","")</f>
        <v>dpa503_2_1</v>
      </c>
      <c r="AM91" s="72">
        <f>M91</f>
        <v>5</v>
      </c>
      <c r="AN91" s="1130" t="str">
        <f>SUBSTITUTE(SUBSTITUTE(SUBSTITUTE("dpc"&amp;$B91&amp;$C91&amp;$D91&amp;$E91,".","_"),"(","_"),")","")</f>
        <v>dpc503_2_1</v>
      </c>
      <c r="AO91" s="72">
        <f>O91</f>
        <v>0</v>
      </c>
      <c r="AP91" s="1130" t="str">
        <f>SUBSTITUTE(SUBSTITUTE(SUBSTITUTE("dch"&amp;$B91&amp;$C91&amp;$D91&amp;$E91,".","_"),"(","_"),")","")</f>
        <v>dch503_2_1</v>
      </c>
      <c r="AQ91" s="254" t="str">
        <f>IF(LEN(W91)=0,"",W91)</f>
        <v/>
      </c>
      <c r="AR91" s="72"/>
      <c r="AS91" s="72"/>
      <c r="AU91" s="43"/>
      <c r="AV91" s="43"/>
      <c r="AZ91" s="70"/>
      <c r="BA91" s="70"/>
      <c r="BB91" s="70"/>
      <c r="BC91" s="70"/>
      <c r="BD91" s="70"/>
      <c r="BE91" s="70"/>
      <c r="BF91" s="70"/>
      <c r="BG91" s="70"/>
      <c r="BH91" s="70"/>
      <c r="BI91" s="70"/>
    </row>
    <row r="92" spans="1:61" x14ac:dyDescent="0.25">
      <c r="B92" s="21" t="s">
        <v>385</v>
      </c>
      <c r="C92" s="21" t="s">
        <v>258</v>
      </c>
      <c r="D92" s="21"/>
      <c r="E92" s="21"/>
      <c r="F92" s="21"/>
      <c r="G92" s="21"/>
      <c r="H92" s="760"/>
      <c r="I92" s="102"/>
      <c r="J92" s="91" t="s">
        <v>258</v>
      </c>
      <c r="K92" s="102"/>
      <c r="L92" s="1754" t="s">
        <v>388</v>
      </c>
      <c r="M92" s="1758">
        <v>5</v>
      </c>
      <c r="N92" s="94"/>
      <c r="O92" s="1774">
        <f>M92*W92*S92</f>
        <v>0</v>
      </c>
      <c r="P92" s="352" t="b">
        <v>1</v>
      </c>
      <c r="Q92" s="352" t="b">
        <v>1</v>
      </c>
      <c r="R92" s="94" t="b">
        <v>0</v>
      </c>
      <c r="S92" s="94" t="b">
        <f>S91</f>
        <v>0</v>
      </c>
      <c r="T92" s="94" t="b">
        <f>AND(NOT(S92),W92=TRUE)</f>
        <v>0</v>
      </c>
      <c r="U92" s="94"/>
      <c r="V92" s="94"/>
      <c r="W92" s="25"/>
      <c r="X92" s="1770"/>
      <c r="AC92" s="76" t="b">
        <f>OR(AD92:AE92)</f>
        <v>0</v>
      </c>
      <c r="AD92" s="70" t="b">
        <f>T92</f>
        <v>0</v>
      </c>
      <c r="AL92" s="1130" t="str">
        <f>SUBSTITUTE(SUBSTITUTE(SUBSTITUTE("dpa"&amp;$B92&amp;$C92&amp;$D92&amp;$E92,".","_"),"(","_"),")","")</f>
        <v>dpa503_2_2</v>
      </c>
      <c r="AM92" s="72">
        <f>M92</f>
        <v>5</v>
      </c>
      <c r="AN92" s="1130" t="str">
        <f>SUBSTITUTE(SUBSTITUTE(SUBSTITUTE("dpc"&amp;$B92&amp;$C92&amp;$D92&amp;$E92,".","_"),"(","_"),")","")</f>
        <v>dpc503_2_2</v>
      </c>
      <c r="AO92" s="72">
        <f>O92</f>
        <v>0</v>
      </c>
      <c r="AP92" s="1130" t="str">
        <f>SUBSTITUTE(SUBSTITUTE(SUBSTITUTE("dch"&amp;$B92&amp;$C92&amp;$D92&amp;$E92,".","_"),"(","_"),")","")</f>
        <v>dch503_2_2</v>
      </c>
      <c r="AQ92" s="254" t="str">
        <f>IF(LEN(W92)=0,"",W92)</f>
        <v/>
      </c>
      <c r="AU92" s="43"/>
      <c r="AV92" s="43"/>
    </row>
    <row r="93" spans="1:61" x14ac:dyDescent="0.25">
      <c r="B93" s="21" t="s">
        <v>385</v>
      </c>
      <c r="C93" s="21" t="s">
        <v>258</v>
      </c>
      <c r="D93" s="21"/>
      <c r="E93" s="21"/>
      <c r="F93" s="21"/>
      <c r="G93" s="21"/>
      <c r="H93" s="760"/>
      <c r="I93" s="102"/>
      <c r="J93" s="177"/>
      <c r="K93" s="177"/>
      <c r="L93" s="1755"/>
      <c r="M93" s="1759"/>
      <c r="N93" s="178"/>
      <c r="O93" s="1764"/>
      <c r="P93" s="94"/>
      <c r="Q93" s="94"/>
      <c r="R93" s="94"/>
      <c r="S93" s="94"/>
      <c r="T93" s="94"/>
      <c r="U93" s="94"/>
      <c r="V93" s="94"/>
      <c r="W93" s="94"/>
      <c r="X93" s="1770"/>
      <c r="AU93" s="43"/>
      <c r="AV93" s="43"/>
    </row>
    <row r="94" spans="1:61" x14ac:dyDescent="0.25">
      <c r="B94" s="21" t="s">
        <v>385</v>
      </c>
      <c r="C94" s="21" t="s">
        <v>260</v>
      </c>
      <c r="D94" s="21"/>
      <c r="E94" s="21"/>
      <c r="F94" s="21"/>
      <c r="G94" s="21"/>
      <c r="H94" s="760"/>
      <c r="I94" s="102"/>
      <c r="J94" s="91" t="s">
        <v>260</v>
      </c>
      <c r="K94" s="102"/>
      <c r="L94" s="1754" t="s">
        <v>389</v>
      </c>
      <c r="M94" s="424"/>
      <c r="N94" s="94"/>
      <c r="O94" s="1774">
        <f ca="1">S94*IFERROR(INDEX({1,4,6},MATCH(W94,INDIRECT(U94))),0)</f>
        <v>0</v>
      </c>
      <c r="P94" s="352" t="b">
        <v>1</v>
      </c>
      <c r="Q94" s="352" t="b">
        <v>1</v>
      </c>
      <c r="R94" s="94" t="b">
        <v>0</v>
      </c>
      <c r="S94" s="94" t="b">
        <f>S91</f>
        <v>0</v>
      </c>
      <c r="T94" s="94" t="b">
        <f>AND(NOT(S94),LEN(W94)&gt;0)</f>
        <v>0</v>
      </c>
      <c r="U94" s="94" t="str">
        <f>SUBSTITUTE(SUBSTITUTE(SUBSTITUTE("dd"&amp;B94&amp;C94&amp;D94&amp;E94&amp;F94,".","_"),"(","_"),")","")</f>
        <v>dd503_2_3</v>
      </c>
      <c r="V94" s="94"/>
      <c r="W94" s="12"/>
      <c r="X94" s="1770"/>
      <c r="AC94" s="76" t="b">
        <f>OR(AD94:AE94)</f>
        <v>0</v>
      </c>
      <c r="AD94" s="70" t="b">
        <f>T94</f>
        <v>0</v>
      </c>
      <c r="AN94" s="1130" t="str">
        <f>SUBSTITUTE(SUBSTITUTE(SUBSTITUTE("dpc"&amp;$B94&amp;$C94&amp;$D94&amp;$E94,".","_"),"(","_"),")","")</f>
        <v>dpc503_2_3</v>
      </c>
      <c r="AO94" s="72">
        <f ca="1">O94</f>
        <v>0</v>
      </c>
      <c r="AP94" s="1130" t="str">
        <f>SUBSTITUTE(SUBSTITUTE(SUBSTITUTE("dch"&amp;$B94&amp;$C94&amp;$D94&amp;$E94,".","_"),"(","_"),")","")</f>
        <v>dch503_2_3</v>
      </c>
      <c r="AQ94" s="254" t="str">
        <f>IF(LEN(W94)=0,"",W94)</f>
        <v/>
      </c>
      <c r="AU94" s="43"/>
      <c r="AV94" s="43"/>
    </row>
    <row r="95" spans="1:61" x14ac:dyDescent="0.25">
      <c r="B95" s="21" t="s">
        <v>385</v>
      </c>
      <c r="C95" s="21" t="s">
        <v>260</v>
      </c>
      <c r="D95" s="21"/>
      <c r="E95" s="21"/>
      <c r="F95" s="21"/>
      <c r="G95" s="21"/>
      <c r="H95" s="760"/>
      <c r="I95" s="102"/>
      <c r="J95" s="102"/>
      <c r="K95" s="102"/>
      <c r="L95" s="1754"/>
      <c r="M95" s="424"/>
      <c r="N95" s="94"/>
      <c r="O95" s="1774"/>
      <c r="P95" s="94"/>
      <c r="Q95" s="94"/>
      <c r="R95" s="94"/>
      <c r="S95" s="94"/>
      <c r="T95" s="94"/>
      <c r="U95" s="94"/>
      <c r="V95" s="94"/>
      <c r="W95" s="94"/>
      <c r="X95" s="1770"/>
      <c r="AU95" s="43"/>
      <c r="AV95" s="43"/>
    </row>
    <row r="96" spans="1:61" x14ac:dyDescent="0.25">
      <c r="B96" s="21" t="s">
        <v>385</v>
      </c>
      <c r="C96" s="21" t="s">
        <v>260</v>
      </c>
      <c r="D96" s="21" t="s">
        <v>121</v>
      </c>
      <c r="E96" s="21"/>
      <c r="F96" s="21"/>
      <c r="G96" s="21"/>
      <c r="H96" s="760"/>
      <c r="I96" s="102"/>
      <c r="J96" s="102"/>
      <c r="K96" s="91" t="s">
        <v>121</v>
      </c>
      <c r="L96" s="1162" t="s">
        <v>767</v>
      </c>
      <c r="M96" s="424">
        <v>1</v>
      </c>
      <c r="N96" s="94"/>
      <c r="O96" s="239"/>
      <c r="P96" s="94"/>
      <c r="Q96" s="94"/>
      <c r="R96" s="94"/>
      <c r="S96" s="94"/>
      <c r="T96" s="94"/>
      <c r="U96" s="94"/>
      <c r="V96" s="94"/>
      <c r="W96" s="94"/>
      <c r="X96" s="1770"/>
      <c r="AL96" s="1130" t="str">
        <f>SUBSTITUTE(SUBSTITUTE(SUBSTITUTE("dpa"&amp;$B96&amp;$C96&amp;$D96&amp;$E96,".","_"),"(","_"),")","")</f>
        <v>dpa503_2_3_a</v>
      </c>
      <c r="AM96" s="72">
        <f>M96</f>
        <v>1</v>
      </c>
      <c r="AU96" s="43"/>
      <c r="AV96" s="43"/>
    </row>
    <row r="97" spans="1:61" x14ac:dyDescent="0.25">
      <c r="B97" s="21" t="s">
        <v>385</v>
      </c>
      <c r="C97" s="21" t="s">
        <v>260</v>
      </c>
      <c r="D97" s="21" t="s">
        <v>122</v>
      </c>
      <c r="E97" s="21"/>
      <c r="F97" s="21"/>
      <c r="G97" s="21"/>
      <c r="H97" s="760"/>
      <c r="I97" s="102"/>
      <c r="J97" s="102"/>
      <c r="K97" s="91" t="s">
        <v>122</v>
      </c>
      <c r="L97" s="1162" t="s">
        <v>390</v>
      </c>
      <c r="M97" s="424">
        <v>4</v>
      </c>
      <c r="N97" s="94"/>
      <c r="O97" s="239"/>
      <c r="P97" s="94"/>
      <c r="Q97" s="94"/>
      <c r="R97" s="94"/>
      <c r="S97" s="94"/>
      <c r="T97" s="94"/>
      <c r="U97" s="94"/>
      <c r="V97" s="94"/>
      <c r="W97" s="94"/>
      <c r="X97" s="1770"/>
      <c r="AL97" s="1130" t="str">
        <f>SUBSTITUTE(SUBSTITUTE(SUBSTITUTE("dpa"&amp;$B97&amp;$C97&amp;$D97&amp;$E97,".","_"),"(","_"),")","")</f>
        <v>dpa503_2_3_b</v>
      </c>
      <c r="AM97" s="72">
        <f>M97</f>
        <v>4</v>
      </c>
      <c r="AU97" s="43"/>
      <c r="AV97" s="43"/>
    </row>
    <row r="98" spans="1:61" x14ac:dyDescent="0.25">
      <c r="B98" s="21" t="s">
        <v>385</v>
      </c>
      <c r="C98" s="21" t="s">
        <v>260</v>
      </c>
      <c r="D98" s="26" t="s">
        <v>123</v>
      </c>
      <c r="E98" s="26"/>
      <c r="F98" s="26"/>
      <c r="G98" s="26"/>
      <c r="H98" s="760"/>
      <c r="I98" s="102"/>
      <c r="J98" s="177"/>
      <c r="K98" s="179" t="s">
        <v>123</v>
      </c>
      <c r="L98" s="1163" t="s">
        <v>391</v>
      </c>
      <c r="M98" s="426">
        <v>6</v>
      </c>
      <c r="N98" s="94"/>
      <c r="O98" s="501"/>
      <c r="P98" s="94"/>
      <c r="Q98" s="94"/>
      <c r="R98" s="94"/>
      <c r="S98" s="94"/>
      <c r="T98" s="94"/>
      <c r="U98" s="94"/>
      <c r="V98" s="94"/>
      <c r="W98" s="94"/>
      <c r="X98" s="1770"/>
      <c r="AL98" s="1130" t="str">
        <f>SUBSTITUTE(SUBSTITUTE(SUBSTITUTE("dpa"&amp;$B98&amp;$C98&amp;$D98&amp;$E98,".","_"),"(","_"),")","")</f>
        <v>dpa503_2_3_c</v>
      </c>
      <c r="AM98" s="72">
        <f>M98</f>
        <v>6</v>
      </c>
      <c r="AU98" s="43"/>
      <c r="AV98" s="43"/>
    </row>
    <row r="99" spans="1:61" x14ac:dyDescent="0.25">
      <c r="B99" s="21" t="s">
        <v>385</v>
      </c>
      <c r="C99" s="21" t="s">
        <v>269</v>
      </c>
      <c r="D99" s="21"/>
      <c r="E99" s="21"/>
      <c r="F99" s="21"/>
      <c r="G99" s="21"/>
      <c r="H99" s="760"/>
      <c r="I99" s="102"/>
      <c r="J99" s="91" t="s">
        <v>269</v>
      </c>
      <c r="K99" s="102"/>
      <c r="L99" s="1754" t="s">
        <v>392</v>
      </c>
      <c r="M99" s="1758">
        <v>6</v>
      </c>
      <c r="N99" s="195"/>
      <c r="O99" s="1774">
        <f>M99*W99*S99</f>
        <v>0</v>
      </c>
      <c r="P99" s="352" t="b">
        <v>1</v>
      </c>
      <c r="Q99" s="352" t="b">
        <v>1</v>
      </c>
      <c r="R99" s="94" t="b">
        <v>0</v>
      </c>
      <c r="S99" s="94" t="b">
        <f>S91</f>
        <v>0</v>
      </c>
      <c r="T99" s="94" t="b">
        <f>AND(NOT(S99),W99=TRUE)</f>
        <v>0</v>
      </c>
      <c r="U99" s="94"/>
      <c r="V99" s="94"/>
      <c r="W99" s="25"/>
      <c r="X99" s="1770"/>
      <c r="AC99" s="76" t="b">
        <f>OR(AD99:AE99)</f>
        <v>0</v>
      </c>
      <c r="AD99" s="70" t="b">
        <f>T99</f>
        <v>0</v>
      </c>
      <c r="AL99" s="1130" t="str">
        <f>SUBSTITUTE(SUBSTITUTE(SUBSTITUTE("dpa"&amp;$B99&amp;$C99&amp;$D99&amp;$E99,".","_"),"(","_"),")","")</f>
        <v>dpa503_2_4</v>
      </c>
      <c r="AM99" s="72">
        <f>M99</f>
        <v>6</v>
      </c>
      <c r="AN99" s="1130" t="str">
        <f>SUBSTITUTE(SUBSTITUTE(SUBSTITUTE("dpc"&amp;$B99&amp;$C99&amp;$D99&amp;$E99,".","_"),"(","_"),")","")</f>
        <v>dpc503_2_4</v>
      </c>
      <c r="AO99" s="72">
        <f>O99</f>
        <v>0</v>
      </c>
      <c r="AP99" s="1130" t="str">
        <f>SUBSTITUTE(SUBSTITUTE(SUBSTITUTE("dch"&amp;$B99&amp;$C99&amp;$D99&amp;$E99,".","_"),"(","_"),")","")</f>
        <v>dch503_2_4</v>
      </c>
      <c r="AQ99" s="254" t="str">
        <f>IF(LEN(W99)=0,"",W99)</f>
        <v/>
      </c>
      <c r="AU99" s="43"/>
      <c r="AV99" s="43"/>
    </row>
    <row r="100" spans="1:61" x14ac:dyDescent="0.25">
      <c r="B100" s="21" t="s">
        <v>385</v>
      </c>
      <c r="C100" s="21" t="s">
        <v>269</v>
      </c>
      <c r="D100" s="21"/>
      <c r="E100" s="21"/>
      <c r="F100" s="21"/>
      <c r="G100" s="21"/>
      <c r="H100" s="760"/>
      <c r="I100" s="102"/>
      <c r="J100" s="177"/>
      <c r="K100" s="177"/>
      <c r="L100" s="1755"/>
      <c r="M100" s="1759"/>
      <c r="N100" s="178"/>
      <c r="O100" s="1764"/>
      <c r="P100" s="94"/>
      <c r="Q100" s="94"/>
      <c r="R100" s="94"/>
      <c r="S100" s="94"/>
      <c r="T100" s="94"/>
      <c r="U100" s="94"/>
      <c r="V100" s="94"/>
      <c r="W100" s="94"/>
      <c r="X100" s="1770"/>
      <c r="AU100" s="43"/>
      <c r="AV100" s="43"/>
    </row>
    <row r="101" spans="1:61" ht="15.75" thickBot="1" x14ac:dyDescent="0.3">
      <c r="B101" s="21" t="s">
        <v>385</v>
      </c>
      <c r="C101" s="21" t="s">
        <v>275</v>
      </c>
      <c r="D101" s="21"/>
      <c r="E101" s="21"/>
      <c r="F101" s="21"/>
      <c r="G101" s="21"/>
      <c r="H101" s="760"/>
      <c r="I101" s="103"/>
      <c r="J101" s="96" t="s">
        <v>275</v>
      </c>
      <c r="K101" s="103"/>
      <c r="L101" s="1171" t="s">
        <v>393</v>
      </c>
      <c r="M101" s="429">
        <v>5</v>
      </c>
      <c r="N101" s="99"/>
      <c r="O101" s="241">
        <f>M101*W101*S101</f>
        <v>0</v>
      </c>
      <c r="P101" s="352" t="b">
        <v>1</v>
      </c>
      <c r="Q101" s="352" t="b">
        <v>1</v>
      </c>
      <c r="R101" s="99" t="b">
        <v>0</v>
      </c>
      <c r="S101" s="99" t="b">
        <f>S91</f>
        <v>0</v>
      </c>
      <c r="T101" s="94" t="b">
        <f>AND(NOT(S101),W101=TRUE)</f>
        <v>0</v>
      </c>
      <c r="U101" s="99"/>
      <c r="V101" s="99"/>
      <c r="W101" s="25"/>
      <c r="X101" s="1771"/>
      <c r="AC101" s="76" t="b">
        <f>OR(AD101:AE101)</f>
        <v>0</v>
      </c>
      <c r="AD101" s="70" t="b">
        <f>T101</f>
        <v>0</v>
      </c>
      <c r="AL101" s="1130" t="str">
        <f>SUBSTITUTE(SUBSTITUTE(SUBSTITUTE("dpa"&amp;$B101&amp;$C101&amp;$D101&amp;$E101,".","_"),"(","_"),")","")</f>
        <v>dpa503_2_5</v>
      </c>
      <c r="AM101" s="72">
        <f>M101</f>
        <v>5</v>
      </c>
      <c r="AN101" s="1130" t="str">
        <f>SUBSTITUTE(SUBSTITUTE(SUBSTITUTE("dpc"&amp;$B101&amp;$C101&amp;$D101&amp;$E101,".","_"),"(","_"),")","")</f>
        <v>dpc503_2_5</v>
      </c>
      <c r="AO101" s="72">
        <f>O101</f>
        <v>0</v>
      </c>
      <c r="AP101" s="1130" t="str">
        <f>SUBSTITUTE(SUBSTITUTE(SUBSTITUTE("dch"&amp;$B101&amp;$C101&amp;$D101&amp;$E101,".","_"),"(","_"),")","")</f>
        <v>dch503_2_5</v>
      </c>
      <c r="AQ101" s="254" t="str">
        <f>IF(LEN(W101)=0,"",W101)</f>
        <v/>
      </c>
      <c r="AU101" s="43"/>
      <c r="AV101" s="43"/>
    </row>
    <row r="102" spans="1:61" ht="15.75" thickTop="1" x14ac:dyDescent="0.25">
      <c r="B102" s="21" t="s">
        <v>394</v>
      </c>
      <c r="C102" s="21"/>
      <c r="D102" s="21"/>
      <c r="E102" s="21"/>
      <c r="F102" s="21"/>
      <c r="G102" s="21"/>
      <c r="H102" s="760"/>
      <c r="I102" s="106">
        <v>503.3</v>
      </c>
      <c r="J102" s="107"/>
      <c r="K102" s="107"/>
      <c r="L102" s="1781" t="s">
        <v>395</v>
      </c>
      <c r="M102" s="423"/>
      <c r="N102" s="105"/>
      <c r="O102" s="500"/>
      <c r="P102" s="105"/>
      <c r="Q102" s="105"/>
      <c r="R102" s="105"/>
      <c r="S102" s="105"/>
      <c r="T102" s="105"/>
      <c r="U102" s="105"/>
      <c r="V102" s="105"/>
      <c r="W102" s="105"/>
      <c r="X102" s="1784"/>
      <c r="AR102" s="1130" t="str">
        <f>SUBSTITUTE(SUBSTITUTE(SUBSTITUTE("dnt"&amp;$B102&amp;$C102&amp;$D102&amp;$E102,".","_"),"(","_"),")","")</f>
        <v>dnt503_3</v>
      </c>
      <c r="AS102" s="254" t="str">
        <f>IF(LEN(X102)=0,"",X102)</f>
        <v/>
      </c>
      <c r="AU102" s="43"/>
      <c r="AV102" s="43"/>
    </row>
    <row r="103" spans="1:61" x14ac:dyDescent="0.25">
      <c r="B103" s="21" t="s">
        <v>394</v>
      </c>
      <c r="C103" s="21"/>
      <c r="D103" s="21"/>
      <c r="E103" s="21"/>
      <c r="F103" s="21"/>
      <c r="G103" s="21"/>
      <c r="H103" s="760"/>
      <c r="I103" s="102"/>
      <c r="J103" s="102"/>
      <c r="K103" s="102"/>
      <c r="L103" s="1782"/>
      <c r="M103" s="424"/>
      <c r="N103" s="94"/>
      <c r="O103" s="239"/>
      <c r="P103" s="94"/>
      <c r="Q103" s="94"/>
      <c r="R103" s="94"/>
      <c r="S103" s="94"/>
      <c r="T103" s="94"/>
      <c r="U103" s="94"/>
      <c r="V103" s="94"/>
      <c r="W103" s="94"/>
      <c r="X103" s="1770"/>
      <c r="AU103" s="43"/>
      <c r="AV103" s="43"/>
      <c r="AX103" s="121"/>
      <c r="AY103" s="121"/>
    </row>
    <row r="104" spans="1:61" s="121" customFormat="1" x14ac:dyDescent="0.25">
      <c r="A104" s="18"/>
      <c r="B104" s="21" t="s">
        <v>394</v>
      </c>
      <c r="C104" s="21"/>
      <c r="D104" s="21"/>
      <c r="E104" s="21"/>
      <c r="F104" s="21"/>
      <c r="G104" s="21"/>
      <c r="H104" s="760"/>
      <c r="I104" s="102"/>
      <c r="J104" s="102"/>
      <c r="K104" s="102"/>
      <c r="L104" s="1179" t="s">
        <v>768</v>
      </c>
      <c r="M104" s="424"/>
      <c r="N104" s="94"/>
      <c r="O104" s="239"/>
      <c r="P104" s="94"/>
      <c r="Q104" s="94"/>
      <c r="R104" s="94"/>
      <c r="S104" s="94"/>
      <c r="T104" s="94"/>
      <c r="U104" s="94"/>
      <c r="V104" s="94"/>
      <c r="W104" s="94"/>
      <c r="X104" s="1770"/>
      <c r="Y104" s="780"/>
      <c r="AA104" s="783"/>
      <c r="AX104"/>
      <c r="AY104"/>
      <c r="AZ104"/>
      <c r="BA104"/>
      <c r="BB104"/>
      <c r="BC104"/>
      <c r="BD104"/>
      <c r="BE104"/>
      <c r="BF104"/>
      <c r="BG104"/>
      <c r="BH104"/>
      <c r="BI104"/>
    </row>
    <row r="105" spans="1:61" x14ac:dyDescent="0.25">
      <c r="B105" s="21" t="s">
        <v>394</v>
      </c>
      <c r="C105" s="21" t="s">
        <v>256</v>
      </c>
      <c r="D105" s="21"/>
      <c r="E105" s="21"/>
      <c r="F105" s="21"/>
      <c r="G105" s="21"/>
      <c r="H105" s="760"/>
      <c r="I105" s="102"/>
      <c r="J105" s="91" t="s">
        <v>256</v>
      </c>
      <c r="K105" s="102"/>
      <c r="L105" s="1754" t="s">
        <v>396</v>
      </c>
      <c r="M105" s="1758">
        <v>5</v>
      </c>
      <c r="N105" s="94"/>
      <c r="O105" s="1774">
        <f>M105*W105</f>
        <v>0</v>
      </c>
      <c r="P105" s="352" t="b">
        <v>1</v>
      </c>
      <c r="Q105" s="352" t="b">
        <v>0</v>
      </c>
      <c r="R105" s="94" t="b">
        <v>0</v>
      </c>
      <c r="S105" s="94" t="b">
        <v>1</v>
      </c>
      <c r="T105" s="94" t="b">
        <v>0</v>
      </c>
      <c r="U105" s="94"/>
      <c r="V105" s="94"/>
      <c r="W105" s="25"/>
      <c r="X105" s="1770"/>
      <c r="AL105" s="1130" t="str">
        <f>SUBSTITUTE(SUBSTITUTE(SUBSTITUTE("dpa"&amp;$B105&amp;$C105&amp;$D105&amp;$E105,".","_"),"(","_"),")","")</f>
        <v>dpa503_3_1</v>
      </c>
      <c r="AM105" s="72">
        <f>M105</f>
        <v>5</v>
      </c>
      <c r="AN105" s="1130" t="str">
        <f>SUBSTITUTE(SUBSTITUTE(SUBSTITUTE("dpc"&amp;$B105&amp;$C105&amp;$D105&amp;$E105,".","_"),"(","_"),")","")</f>
        <v>dpc503_3_1</v>
      </c>
      <c r="AO105" s="72">
        <f>O105</f>
        <v>0</v>
      </c>
      <c r="AP105" s="1130" t="str">
        <f>SUBSTITUTE(SUBSTITUTE(SUBSTITUTE("dch"&amp;$B105&amp;$C105&amp;$D105&amp;$E105,".","_"),"(","_"),")","")</f>
        <v>dch503_3_1</v>
      </c>
      <c r="AQ105" s="254" t="str">
        <f>IF(LEN(W105)=0,"",W105)</f>
        <v/>
      </c>
      <c r="AU105" s="43"/>
      <c r="AV105" s="43"/>
      <c r="AZ105" s="121"/>
      <c r="BA105" s="121"/>
      <c r="BB105" s="121"/>
      <c r="BC105" s="121"/>
      <c r="BD105" s="121"/>
      <c r="BE105" s="121"/>
      <c r="BF105" s="121"/>
      <c r="BG105" s="121"/>
      <c r="BH105" s="121"/>
      <c r="BI105" s="121"/>
    </row>
    <row r="106" spans="1:61" x14ac:dyDescent="0.25">
      <c r="B106" s="21" t="s">
        <v>394</v>
      </c>
      <c r="C106" s="21" t="s">
        <v>256</v>
      </c>
      <c r="D106" s="21"/>
      <c r="E106" s="21"/>
      <c r="F106" s="21"/>
      <c r="G106" s="21"/>
      <c r="H106" s="760"/>
      <c r="I106" s="102"/>
      <c r="J106" s="174"/>
      <c r="K106" s="177"/>
      <c r="L106" s="1755"/>
      <c r="M106" s="1759"/>
      <c r="N106" s="178"/>
      <c r="O106" s="1764"/>
      <c r="P106" s="94"/>
      <c r="Q106" s="94"/>
      <c r="R106" s="94"/>
      <c r="S106" s="94"/>
      <c r="T106" s="94"/>
      <c r="U106" s="94"/>
      <c r="V106" s="94"/>
      <c r="W106" s="94"/>
      <c r="X106" s="1770"/>
      <c r="AU106" s="43"/>
      <c r="AV106" s="43"/>
    </row>
    <row r="107" spans="1:61" x14ac:dyDescent="0.25">
      <c r="B107" s="21" t="s">
        <v>394</v>
      </c>
      <c r="C107" s="21" t="s">
        <v>258</v>
      </c>
      <c r="D107" s="21"/>
      <c r="E107" s="21"/>
      <c r="F107" s="21"/>
      <c r="G107" s="21"/>
      <c r="H107" s="760"/>
      <c r="I107" s="102"/>
      <c r="J107" s="91" t="s">
        <v>258</v>
      </c>
      <c r="K107" s="102"/>
      <c r="L107" s="1754" t="s">
        <v>397</v>
      </c>
      <c r="M107" s="1762">
        <v>5</v>
      </c>
      <c r="N107" s="94"/>
      <c r="O107" s="1763">
        <f>M107*MIN(W109+W110+W112+W113,1)</f>
        <v>0</v>
      </c>
      <c r="P107" s="352" t="b">
        <v>1</v>
      </c>
      <c r="Q107" s="352" t="b">
        <v>0</v>
      </c>
      <c r="R107" s="94" t="b">
        <v>0</v>
      </c>
      <c r="S107" s="94" t="b">
        <v>1</v>
      </c>
      <c r="T107" s="94" t="b">
        <v>0</v>
      </c>
      <c r="U107" s="94"/>
      <c r="V107" s="94"/>
      <c r="W107" s="94"/>
      <c r="X107" s="1770"/>
      <c r="AL107" s="1130" t="str">
        <f>SUBSTITUTE(SUBSTITUTE(SUBSTITUTE("dpa"&amp;$B107&amp;$C107&amp;$D107&amp;$E107,".","_"),"(","_"),")","")</f>
        <v>dpa503_3_2</v>
      </c>
      <c r="AM107" s="72">
        <f>M107</f>
        <v>5</v>
      </c>
      <c r="AN107" s="1130" t="str">
        <f>SUBSTITUTE(SUBSTITUTE(SUBSTITUTE("dpc"&amp;$B107&amp;$C107&amp;$D107&amp;$E107,".","_"),"(","_"),")","")</f>
        <v>dpc503_3_2</v>
      </c>
      <c r="AO107" s="72">
        <f>O107</f>
        <v>0</v>
      </c>
      <c r="AU107" s="43"/>
      <c r="AV107" s="43"/>
    </row>
    <row r="108" spans="1:61" x14ac:dyDescent="0.25">
      <c r="B108" s="21" t="s">
        <v>394</v>
      </c>
      <c r="C108" s="21" t="s">
        <v>258</v>
      </c>
      <c r="D108" s="21"/>
      <c r="E108" s="21"/>
      <c r="F108" s="21"/>
      <c r="G108" s="21"/>
      <c r="H108" s="760"/>
      <c r="I108" s="102"/>
      <c r="J108" s="102"/>
      <c r="K108" s="102"/>
      <c r="L108" s="1754"/>
      <c r="M108" s="1758"/>
      <c r="N108" s="94"/>
      <c r="O108" s="1774"/>
      <c r="P108" s="94"/>
      <c r="Q108" s="94"/>
      <c r="R108" s="94"/>
      <c r="S108" s="94"/>
      <c r="T108" s="94"/>
      <c r="U108" s="94"/>
      <c r="V108" s="94"/>
      <c r="W108" s="94"/>
      <c r="X108" s="1770"/>
      <c r="AU108" s="43"/>
      <c r="AV108" s="43"/>
    </row>
    <row r="109" spans="1:61" x14ac:dyDescent="0.25">
      <c r="B109" s="21" t="s">
        <v>394</v>
      </c>
      <c r="C109" s="21" t="s">
        <v>258</v>
      </c>
      <c r="D109" s="21" t="s">
        <v>121</v>
      </c>
      <c r="E109" s="21"/>
      <c r="F109" s="21"/>
      <c r="G109" s="21"/>
      <c r="H109" s="760"/>
      <c r="I109" s="102"/>
      <c r="J109" s="102"/>
      <c r="K109" s="91" t="s">
        <v>121</v>
      </c>
      <c r="L109" s="1162" t="s">
        <v>398</v>
      </c>
      <c r="M109" s="1758"/>
      <c r="N109" s="94"/>
      <c r="O109" s="1774"/>
      <c r="P109" s="352" t="b">
        <v>1</v>
      </c>
      <c r="Q109" s="352" t="b">
        <v>0</v>
      </c>
      <c r="R109" s="94" t="b">
        <v>0</v>
      </c>
      <c r="S109" s="94" t="b">
        <v>1</v>
      </c>
      <c r="T109" s="94" t="b">
        <v>0</v>
      </c>
      <c r="U109" s="94"/>
      <c r="V109" s="94"/>
      <c r="W109" s="25"/>
      <c r="X109" s="1770"/>
      <c r="AP109" s="1130" t="str">
        <f>SUBSTITUTE(SUBSTITUTE(SUBSTITUTE("dch"&amp;$B109&amp;$C109&amp;$D109&amp;$E109,".","_"),"(","_"),")","")</f>
        <v>dch503_3_2_a</v>
      </c>
      <c r="AQ109" s="254" t="str">
        <f>IF(LEN(W109)=0,"",W109)</f>
        <v/>
      </c>
      <c r="AU109" s="43"/>
      <c r="AV109" s="43"/>
    </row>
    <row r="110" spans="1:61" x14ac:dyDescent="0.25">
      <c r="B110" s="21" t="s">
        <v>394</v>
      </c>
      <c r="C110" s="21" t="s">
        <v>258</v>
      </c>
      <c r="D110" s="21" t="s">
        <v>122</v>
      </c>
      <c r="E110" s="21"/>
      <c r="F110" s="21"/>
      <c r="G110" s="21"/>
      <c r="H110" s="760"/>
      <c r="I110" s="102"/>
      <c r="J110" s="102"/>
      <c r="K110" s="91" t="s">
        <v>122</v>
      </c>
      <c r="L110" s="1754" t="s">
        <v>399</v>
      </c>
      <c r="M110" s="1758"/>
      <c r="N110" s="94"/>
      <c r="O110" s="1774"/>
      <c r="P110" s="352" t="b">
        <v>1</v>
      </c>
      <c r="Q110" s="352" t="b">
        <v>0</v>
      </c>
      <c r="R110" s="94" t="b">
        <v>0</v>
      </c>
      <c r="S110" s="94" t="b">
        <v>1</v>
      </c>
      <c r="T110" s="94" t="b">
        <v>0</v>
      </c>
      <c r="U110" s="94"/>
      <c r="V110" s="94"/>
      <c r="W110" s="25"/>
      <c r="X110" s="1770"/>
      <c r="AP110" s="1130" t="str">
        <f>SUBSTITUTE(SUBSTITUTE(SUBSTITUTE("dch"&amp;$B110&amp;$C110&amp;$D110&amp;$E110,".","_"),"(","_"),")","")</f>
        <v>dch503_3_2_b</v>
      </c>
      <c r="AQ110" s="254" t="str">
        <f>IF(LEN(W110)=0,"",W110)</f>
        <v/>
      </c>
      <c r="AU110" s="43"/>
      <c r="AV110" s="43"/>
    </row>
    <row r="111" spans="1:61" x14ac:dyDescent="0.25">
      <c r="B111" s="21" t="s">
        <v>394</v>
      </c>
      <c r="C111" s="21" t="s">
        <v>258</v>
      </c>
      <c r="D111" s="21" t="s">
        <v>122</v>
      </c>
      <c r="E111" s="21"/>
      <c r="F111" s="21"/>
      <c r="G111" s="21"/>
      <c r="H111" s="760"/>
      <c r="I111" s="102"/>
      <c r="J111" s="102"/>
      <c r="K111" s="102"/>
      <c r="L111" s="1754"/>
      <c r="M111" s="1758"/>
      <c r="N111" s="94"/>
      <c r="O111" s="1774"/>
      <c r="P111" s="94"/>
      <c r="Q111" s="94"/>
      <c r="R111" s="94"/>
      <c r="S111" s="94"/>
      <c r="T111" s="94"/>
      <c r="U111" s="94"/>
      <c r="V111" s="94"/>
      <c r="W111" s="94"/>
      <c r="X111" s="1770"/>
      <c r="AU111" s="43"/>
      <c r="AV111" s="43"/>
    </row>
    <row r="112" spans="1:61" x14ac:dyDescent="0.25">
      <c r="B112" s="21" t="s">
        <v>394</v>
      </c>
      <c r="C112" s="21" t="s">
        <v>258</v>
      </c>
      <c r="D112" s="26" t="s">
        <v>123</v>
      </c>
      <c r="E112" s="26"/>
      <c r="F112" s="26"/>
      <c r="G112" s="26"/>
      <c r="H112" s="760"/>
      <c r="I112" s="102"/>
      <c r="J112" s="102"/>
      <c r="K112" s="110" t="s">
        <v>123</v>
      </c>
      <c r="L112" s="1162" t="s">
        <v>400</v>
      </c>
      <c r="M112" s="1758"/>
      <c r="N112" s="94"/>
      <c r="O112" s="1774"/>
      <c r="P112" s="352" t="b">
        <v>1</v>
      </c>
      <c r="Q112" s="352" t="b">
        <v>0</v>
      </c>
      <c r="R112" s="94" t="b">
        <v>0</v>
      </c>
      <c r="S112" s="94" t="b">
        <v>1</v>
      </c>
      <c r="T112" s="94" t="b">
        <v>0</v>
      </c>
      <c r="U112" s="94"/>
      <c r="V112" s="94"/>
      <c r="W112" s="25"/>
      <c r="X112" s="1770"/>
      <c r="AP112" s="1130" t="str">
        <f>SUBSTITUTE(SUBSTITUTE(SUBSTITUTE("dch"&amp;$B112&amp;$C112&amp;$D112&amp;$E112,".","_"),"(","_"),")","")</f>
        <v>dch503_3_2_c</v>
      </c>
      <c r="AQ112" s="254" t="str">
        <f>IF(LEN(W112)=0,"",W112)</f>
        <v/>
      </c>
      <c r="AU112" s="43"/>
      <c r="AV112" s="43"/>
    </row>
    <row r="113" spans="1:61" x14ac:dyDescent="0.25">
      <c r="B113" s="21" t="s">
        <v>394</v>
      </c>
      <c r="C113" s="21" t="s">
        <v>258</v>
      </c>
      <c r="D113" s="26" t="s">
        <v>401</v>
      </c>
      <c r="E113" s="26"/>
      <c r="F113" s="26"/>
      <c r="G113" s="26"/>
      <c r="H113" s="760"/>
      <c r="I113" s="102"/>
      <c r="J113" s="177"/>
      <c r="K113" s="179" t="s">
        <v>401</v>
      </c>
      <c r="L113" s="1163" t="s">
        <v>402</v>
      </c>
      <c r="M113" s="1759"/>
      <c r="N113" s="178"/>
      <c r="O113" s="1764"/>
      <c r="P113" s="352" t="b">
        <v>1</v>
      </c>
      <c r="Q113" s="352" t="b">
        <v>0</v>
      </c>
      <c r="R113" s="94" t="b">
        <v>0</v>
      </c>
      <c r="S113" s="94" t="b">
        <v>1</v>
      </c>
      <c r="T113" s="94" t="b">
        <v>0</v>
      </c>
      <c r="U113" s="94"/>
      <c r="V113" s="94"/>
      <c r="W113" s="25"/>
      <c r="X113" s="1770"/>
      <c r="AP113" s="1130" t="str">
        <f>SUBSTITUTE(SUBSTITUTE(SUBSTITUTE("dch"&amp;$B113&amp;$C113&amp;$D113&amp;$E113,".","_"),"(","_"),")","")</f>
        <v>dch503_3_2_d</v>
      </c>
      <c r="AQ113" s="254" t="str">
        <f>IF(LEN(W113)=0,"",W113)</f>
        <v/>
      </c>
      <c r="AU113" s="43"/>
      <c r="AV113" s="43"/>
    </row>
    <row r="114" spans="1:61" ht="15.75" thickBot="1" x14ac:dyDescent="0.3">
      <c r="B114" s="21" t="s">
        <v>394</v>
      </c>
      <c r="C114" s="21" t="s">
        <v>260</v>
      </c>
      <c r="D114" s="21"/>
      <c r="E114" s="21"/>
      <c r="F114" s="21"/>
      <c r="G114" s="21"/>
      <c r="H114" s="760"/>
      <c r="I114" s="103"/>
      <c r="J114" s="96" t="s">
        <v>260</v>
      </c>
      <c r="K114" s="103"/>
      <c r="L114" s="1171" t="s">
        <v>403</v>
      </c>
      <c r="M114" s="429">
        <v>5</v>
      </c>
      <c r="N114" s="99"/>
      <c r="O114" s="241">
        <f>M114*W114</f>
        <v>0</v>
      </c>
      <c r="P114" s="352" t="b">
        <v>1</v>
      </c>
      <c r="Q114" s="352" t="b">
        <v>0</v>
      </c>
      <c r="R114" s="99" t="b">
        <v>0</v>
      </c>
      <c r="S114" s="99" t="b">
        <v>1</v>
      </c>
      <c r="T114" s="99" t="b">
        <v>0</v>
      </c>
      <c r="U114" s="99"/>
      <c r="V114" s="99"/>
      <c r="W114" s="186"/>
      <c r="X114" s="1771"/>
      <c r="AL114" s="1130" t="str">
        <f>SUBSTITUTE(SUBSTITUTE(SUBSTITUTE("dpa"&amp;$B114&amp;$C114&amp;$D114&amp;$E114,".","_"),"(","_"),")","")</f>
        <v>dpa503_3_3</v>
      </c>
      <c r="AM114" s="72">
        <f>M114</f>
        <v>5</v>
      </c>
      <c r="AN114" s="1130" t="str">
        <f>SUBSTITUTE(SUBSTITUTE(SUBSTITUTE("dpc"&amp;$B114&amp;$C114&amp;$D114&amp;$E114,".","_"),"(","_"),")","")</f>
        <v>dpc503_3_3</v>
      </c>
      <c r="AO114" s="72">
        <f>O114</f>
        <v>0</v>
      </c>
      <c r="AP114" s="1130" t="str">
        <f>SUBSTITUTE(SUBSTITUTE(SUBSTITUTE("dch"&amp;$B114&amp;$C114&amp;$D114&amp;$E114,".","_"),"(","_"),")","")</f>
        <v>dch503_3_3</v>
      </c>
      <c r="AQ114" s="254" t="str">
        <f>IF(LEN(W114)=0,"",W114)</f>
        <v/>
      </c>
      <c r="AU114" s="43"/>
      <c r="AV114" s="43"/>
    </row>
    <row r="115" spans="1:61" ht="15.75" customHeight="1" thickTop="1" x14ac:dyDescent="0.25">
      <c r="B115" s="21" t="s">
        <v>404</v>
      </c>
      <c r="C115" s="21"/>
      <c r="D115" s="21"/>
      <c r="E115" s="21"/>
      <c r="F115" s="21"/>
      <c r="G115" s="21"/>
      <c r="H115" s="760"/>
      <c r="I115" s="65">
        <v>503.4</v>
      </c>
      <c r="J115" s="90"/>
      <c r="K115" s="90"/>
      <c r="L115" s="1781" t="s">
        <v>405</v>
      </c>
      <c r="M115" s="428"/>
      <c r="O115" s="141"/>
      <c r="P115" s="352"/>
      <c r="Q115" s="352"/>
      <c r="W115" s="185"/>
      <c r="X115" s="1815"/>
      <c r="AR115" s="1130" t="str">
        <f>SUBSTITUTE(SUBSTITUTE(SUBSTITUTE("dnt"&amp;$B115&amp;$C115&amp;$D115&amp;$E115,".","_"),"(","_"),")","")</f>
        <v>dnt503_4</v>
      </c>
      <c r="AS115" s="254" t="str">
        <f>IF(LEN(X115)=0,"",X115)</f>
        <v/>
      </c>
      <c r="AU115" s="43"/>
      <c r="AV115" s="43"/>
    </row>
    <row r="116" spans="1:61" x14ac:dyDescent="0.25">
      <c r="B116" s="21" t="s">
        <v>404</v>
      </c>
      <c r="C116" s="21"/>
      <c r="D116" s="21"/>
      <c r="E116" s="21"/>
      <c r="F116" s="21"/>
      <c r="G116" s="21"/>
      <c r="H116" s="760"/>
      <c r="I116" s="90"/>
      <c r="J116" s="90"/>
      <c r="K116" s="90"/>
      <c r="L116" s="1796"/>
      <c r="M116" s="428"/>
      <c r="O116" s="141"/>
      <c r="P116" s="352"/>
      <c r="Q116" s="352"/>
      <c r="X116" s="1799"/>
      <c r="AU116" s="43"/>
      <c r="AV116" s="43"/>
    </row>
    <row r="117" spans="1:61" x14ac:dyDescent="0.25">
      <c r="B117" s="21" t="s">
        <v>404</v>
      </c>
      <c r="C117" s="21"/>
      <c r="D117" s="21"/>
      <c r="E117" s="21"/>
      <c r="F117" s="21"/>
      <c r="G117" s="21"/>
      <c r="H117" s="760"/>
      <c r="I117" s="90"/>
      <c r="J117" s="90"/>
      <c r="K117" s="90"/>
      <c r="L117" s="1796"/>
      <c r="M117" s="428"/>
      <c r="O117" s="141"/>
      <c r="P117" s="352"/>
      <c r="Q117" s="352"/>
      <c r="X117" s="1799"/>
      <c r="AU117" s="43"/>
      <c r="AV117" s="43"/>
      <c r="AX117" s="121"/>
      <c r="AY117" s="121"/>
    </row>
    <row r="118" spans="1:61" s="121" customFormat="1" x14ac:dyDescent="0.25">
      <c r="A118" s="18"/>
      <c r="B118" s="21" t="s">
        <v>404</v>
      </c>
      <c r="C118" s="21"/>
      <c r="D118" s="21"/>
      <c r="E118" s="21"/>
      <c r="F118" s="21"/>
      <c r="G118" s="21"/>
      <c r="H118" s="760"/>
      <c r="I118" s="90"/>
      <c r="J118" s="90"/>
      <c r="K118" s="90"/>
      <c r="L118" s="1796"/>
      <c r="M118" s="428"/>
      <c r="O118" s="141"/>
      <c r="P118" s="352"/>
      <c r="Q118" s="352"/>
      <c r="X118" s="1799"/>
      <c r="Y118" s="780"/>
      <c r="AA118" s="783"/>
      <c r="AX118" s="136"/>
      <c r="AY118" s="136"/>
      <c r="AZ118"/>
      <c r="BA118"/>
      <c r="BB118"/>
      <c r="BC118"/>
      <c r="BD118"/>
      <c r="BE118"/>
      <c r="BF118"/>
      <c r="BG118"/>
      <c r="BH118"/>
      <c r="BI118"/>
    </row>
    <row r="119" spans="1:61" s="136" customFormat="1" x14ac:dyDescent="0.25">
      <c r="A119" s="18"/>
      <c r="B119" s="21" t="s">
        <v>404</v>
      </c>
      <c r="C119" s="21"/>
      <c r="D119" s="21"/>
      <c r="E119" s="21"/>
      <c r="F119" s="21"/>
      <c r="G119" s="21"/>
      <c r="H119" s="760"/>
      <c r="I119" s="90"/>
      <c r="J119" s="90"/>
      <c r="K119" s="90"/>
      <c r="L119" s="1804" t="s">
        <v>2965</v>
      </c>
      <c r="M119" s="428"/>
      <c r="O119" s="141"/>
      <c r="P119" s="352"/>
      <c r="Q119" s="352"/>
      <c r="X119" s="1799"/>
      <c r="Y119" s="780"/>
      <c r="AA119" s="783"/>
      <c r="AZ119" s="121"/>
      <c r="BA119" s="121"/>
      <c r="BB119" s="121"/>
      <c r="BC119" s="121"/>
      <c r="BD119" s="121"/>
      <c r="BE119" s="121"/>
      <c r="BF119" s="121"/>
      <c r="BG119" s="121"/>
      <c r="BH119" s="121"/>
      <c r="BI119" s="121"/>
    </row>
    <row r="120" spans="1:61" s="136" customFormat="1" x14ac:dyDescent="0.25">
      <c r="A120" s="18"/>
      <c r="B120" s="21" t="s">
        <v>404</v>
      </c>
      <c r="C120" s="21"/>
      <c r="D120" s="21"/>
      <c r="E120" s="21"/>
      <c r="F120" s="21"/>
      <c r="G120" s="21"/>
      <c r="H120" s="760"/>
      <c r="I120" s="90"/>
      <c r="J120" s="90"/>
      <c r="K120" s="90"/>
      <c r="L120" s="1804"/>
      <c r="M120" s="428"/>
      <c r="O120" s="141"/>
      <c r="P120" s="352"/>
      <c r="Q120" s="352"/>
      <c r="X120" s="1799"/>
      <c r="Y120" s="780"/>
      <c r="AA120" s="783"/>
    </row>
    <row r="121" spans="1:61" s="136" customFormat="1" x14ac:dyDescent="0.25">
      <c r="A121" s="18"/>
      <c r="B121" s="21" t="s">
        <v>404</v>
      </c>
      <c r="C121" s="21"/>
      <c r="D121" s="21"/>
      <c r="E121" s="21"/>
      <c r="F121" s="21"/>
      <c r="G121" s="21"/>
      <c r="H121" s="760"/>
      <c r="I121" s="90"/>
      <c r="J121" s="90"/>
      <c r="K121" s="90"/>
      <c r="L121" s="1804"/>
      <c r="M121" s="428"/>
      <c r="O121" s="141"/>
      <c r="P121" s="352"/>
      <c r="Q121" s="352"/>
      <c r="X121" s="1756"/>
      <c r="Y121" s="780"/>
      <c r="AA121" s="783"/>
      <c r="AX121"/>
      <c r="AY121"/>
    </row>
    <row r="122" spans="1:61" x14ac:dyDescent="0.25">
      <c r="B122" s="21" t="s">
        <v>404</v>
      </c>
      <c r="C122" s="21" t="s">
        <v>256</v>
      </c>
      <c r="D122" s="21"/>
      <c r="E122" s="21"/>
      <c r="F122" s="21"/>
      <c r="G122" s="21"/>
      <c r="H122" s="760"/>
      <c r="I122" s="90"/>
      <c r="J122" s="91" t="s">
        <v>256</v>
      </c>
      <c r="K122" s="102"/>
      <c r="L122" s="1754" t="s">
        <v>406</v>
      </c>
      <c r="M122" s="1758">
        <v>7</v>
      </c>
      <c r="N122" s="94"/>
      <c r="O122" s="1774">
        <f>M122*W122</f>
        <v>0</v>
      </c>
      <c r="P122" s="352" t="b">
        <v>1</v>
      </c>
      <c r="Q122" s="352" t="b">
        <v>0</v>
      </c>
      <c r="R122" s="63" t="b">
        <v>0</v>
      </c>
      <c r="S122" s="63" t="b">
        <v>1</v>
      </c>
      <c r="T122" s="63" t="b">
        <v>0</v>
      </c>
      <c r="W122" s="25"/>
      <c r="X122" s="1757"/>
      <c r="AL122" s="1130" t="str">
        <f>SUBSTITUTE(SUBSTITUTE(SUBSTITUTE("dpa"&amp;$B122&amp;$C122&amp;$D122&amp;$E122,".","_"),"(","_"),")","")</f>
        <v>dpa503_4_1</v>
      </c>
      <c r="AM122" s="125">
        <f>M122</f>
        <v>7</v>
      </c>
      <c r="AN122" s="1130" t="str">
        <f>SUBSTITUTE(SUBSTITUTE(SUBSTITUTE("dpc"&amp;$B122&amp;$C122&amp;$D122&amp;$E122,".","_"),"(","_"),")","")</f>
        <v>dpc503_4_1</v>
      </c>
      <c r="AO122" s="125">
        <f>O122</f>
        <v>0</v>
      </c>
      <c r="AP122" s="1130" t="str">
        <f>SUBSTITUTE(SUBSTITUTE(SUBSTITUTE("dch"&amp;$B122&amp;$C122&amp;$D122&amp;$E122,".","_"),"(","_"),")","")</f>
        <v>dch503_4_1</v>
      </c>
      <c r="AQ122" s="254" t="str">
        <f>IF(LEN(W122)=0,"",W122)</f>
        <v/>
      </c>
      <c r="AR122" s="1130" t="str">
        <f>SUBSTITUTE(SUBSTITUTE(SUBSTITUTE("dnt"&amp;$B122&amp;$C122&amp;$D122&amp;$E122,".","_"),"(","_"),")","")</f>
        <v>dnt503_4_1</v>
      </c>
      <c r="AS122" s="254" t="str">
        <f>IF(LEN(X122)=0,"",X122)</f>
        <v/>
      </c>
      <c r="AU122" s="43"/>
      <c r="AV122" s="43"/>
      <c r="AZ122" s="136"/>
      <c r="BA122" s="136"/>
      <c r="BB122" s="136"/>
      <c r="BC122" s="136"/>
      <c r="BD122" s="136"/>
      <c r="BE122" s="136"/>
      <c r="BF122" s="136"/>
      <c r="BG122" s="136"/>
      <c r="BH122" s="136"/>
      <c r="BI122" s="136"/>
    </row>
    <row r="123" spans="1:61" x14ac:dyDescent="0.25">
      <c r="B123" s="21" t="s">
        <v>404</v>
      </c>
      <c r="C123" s="21" t="s">
        <v>256</v>
      </c>
      <c r="D123" s="21"/>
      <c r="E123" s="21"/>
      <c r="F123" s="21"/>
      <c r="G123" s="21"/>
      <c r="H123" s="760"/>
      <c r="I123" s="90"/>
      <c r="J123" s="91"/>
      <c r="K123" s="102"/>
      <c r="L123" s="1754"/>
      <c r="M123" s="1758"/>
      <c r="N123" s="94"/>
      <c r="O123" s="1774"/>
      <c r="P123" s="352"/>
      <c r="Q123" s="352"/>
      <c r="X123" s="1757"/>
      <c r="AU123" s="43"/>
      <c r="AV123" s="43"/>
    </row>
    <row r="124" spans="1:61" x14ac:dyDescent="0.25">
      <c r="B124" s="21" t="s">
        <v>404</v>
      </c>
      <c r="C124" s="21" t="s">
        <v>256</v>
      </c>
      <c r="D124" s="21"/>
      <c r="E124" s="21"/>
      <c r="F124" s="21"/>
      <c r="G124" s="21"/>
      <c r="H124" s="760"/>
      <c r="I124" s="90"/>
      <c r="J124" s="177"/>
      <c r="K124" s="177"/>
      <c r="L124" s="1755"/>
      <c r="M124" s="1759"/>
      <c r="N124" s="178"/>
      <c r="O124" s="1764"/>
      <c r="P124" s="352"/>
      <c r="Q124" s="352"/>
      <c r="X124" s="1757"/>
      <c r="AU124" s="43"/>
      <c r="AV124" s="43"/>
    </row>
    <row r="125" spans="1:61" x14ac:dyDescent="0.25">
      <c r="B125" s="21" t="s">
        <v>404</v>
      </c>
      <c r="C125" s="21" t="s">
        <v>258</v>
      </c>
      <c r="D125" s="21"/>
      <c r="E125" s="21"/>
      <c r="F125" s="21"/>
      <c r="G125" s="21"/>
      <c r="H125" s="760"/>
      <c r="I125" s="90"/>
      <c r="J125" s="91" t="s">
        <v>258</v>
      </c>
      <c r="K125" s="102"/>
      <c r="L125" s="1754" t="s">
        <v>407</v>
      </c>
      <c r="M125" s="1758">
        <v>10</v>
      </c>
      <c r="N125" s="94"/>
      <c r="O125" s="1774">
        <f>M125*W125</f>
        <v>0</v>
      </c>
      <c r="P125" s="352" t="b">
        <v>1</v>
      </c>
      <c r="Q125" s="352" t="b">
        <v>0</v>
      </c>
      <c r="R125" s="63" t="b">
        <v>0</v>
      </c>
      <c r="S125" s="63" t="b">
        <v>1</v>
      </c>
      <c r="T125" s="63" t="b">
        <v>0</v>
      </c>
      <c r="W125" s="25"/>
      <c r="X125" s="1757"/>
      <c r="AL125" s="1130" t="str">
        <f>SUBSTITUTE(SUBSTITUTE(SUBSTITUTE("dpa"&amp;$B125&amp;$C125&amp;$D125&amp;$E125,".","_"),"(","_"),")","")</f>
        <v>dpa503_4_2</v>
      </c>
      <c r="AM125" s="125">
        <f>M125</f>
        <v>10</v>
      </c>
      <c r="AN125" s="1130" t="str">
        <f>SUBSTITUTE(SUBSTITUTE(SUBSTITUTE("dpc"&amp;$B125&amp;$C125&amp;$D125&amp;$E125,".","_"),"(","_"),")","")</f>
        <v>dpc503_4_2</v>
      </c>
      <c r="AO125" s="125">
        <f>O125</f>
        <v>0</v>
      </c>
      <c r="AP125" s="1130" t="str">
        <f>SUBSTITUTE(SUBSTITUTE(SUBSTITUTE("dch"&amp;$B125&amp;$C125&amp;$D125&amp;$E125,".","_"),"(","_"),")","")</f>
        <v>dch503_4_2</v>
      </c>
      <c r="AQ125" s="254" t="str">
        <f>IF(LEN(W125)=0,"",W125)</f>
        <v/>
      </c>
      <c r="AR125" s="1130" t="str">
        <f>SUBSTITUTE(SUBSTITUTE(SUBSTITUTE("dnt"&amp;$B125&amp;$C125&amp;$D125&amp;$E125,".","_"),"(","_"),")","")</f>
        <v>dnt503_4_2</v>
      </c>
      <c r="AS125" s="254" t="str">
        <f>IF(LEN(X125)=0,"",X125)</f>
        <v/>
      </c>
      <c r="AU125" s="43"/>
      <c r="AV125" s="43"/>
    </row>
    <row r="126" spans="1:61" x14ac:dyDescent="0.25">
      <c r="B126" s="21" t="s">
        <v>404</v>
      </c>
      <c r="C126" s="21" t="s">
        <v>258</v>
      </c>
      <c r="D126" s="21"/>
      <c r="E126" s="21"/>
      <c r="F126" s="21"/>
      <c r="G126" s="21"/>
      <c r="H126" s="760"/>
      <c r="I126" s="90"/>
      <c r="J126" s="102"/>
      <c r="K126" s="102"/>
      <c r="L126" s="1754"/>
      <c r="M126" s="1758"/>
      <c r="N126" s="94"/>
      <c r="O126" s="1774"/>
      <c r="P126" s="352"/>
      <c r="Q126" s="352"/>
      <c r="X126" s="1757"/>
      <c r="AU126" s="43"/>
      <c r="AV126" s="43"/>
    </row>
    <row r="127" spans="1:61" x14ac:dyDescent="0.25">
      <c r="B127" s="21" t="s">
        <v>404</v>
      </c>
      <c r="C127" s="21" t="s">
        <v>258</v>
      </c>
      <c r="D127" s="21"/>
      <c r="E127" s="21"/>
      <c r="F127" s="21"/>
      <c r="G127" s="21"/>
      <c r="H127" s="760"/>
      <c r="I127" s="90"/>
      <c r="J127" s="102"/>
      <c r="K127" s="102"/>
      <c r="L127" s="1754"/>
      <c r="M127" s="1758"/>
      <c r="N127" s="94"/>
      <c r="O127" s="1774"/>
      <c r="P127" s="352"/>
      <c r="Q127" s="352"/>
      <c r="X127" s="1757"/>
      <c r="AU127" s="43"/>
      <c r="AV127" s="43"/>
    </row>
    <row r="128" spans="1:61" x14ac:dyDescent="0.25">
      <c r="B128" s="21" t="s">
        <v>404</v>
      </c>
      <c r="C128" s="21" t="s">
        <v>258</v>
      </c>
      <c r="D128" s="21"/>
      <c r="E128" s="21"/>
      <c r="F128" s="21"/>
      <c r="G128" s="21"/>
      <c r="H128" s="760"/>
      <c r="I128" s="90"/>
      <c r="J128" s="177"/>
      <c r="K128" s="177"/>
      <c r="L128" s="1755"/>
      <c r="M128" s="1759"/>
      <c r="N128" s="178"/>
      <c r="O128" s="1764"/>
      <c r="P128" s="352"/>
      <c r="Q128" s="352"/>
      <c r="X128" s="1757"/>
      <c r="AU128" s="43"/>
      <c r="AV128" s="43"/>
    </row>
    <row r="129" spans="1:61" x14ac:dyDescent="0.25">
      <c r="B129" s="21" t="s">
        <v>404</v>
      </c>
      <c r="C129" s="21" t="s">
        <v>260</v>
      </c>
      <c r="D129" s="21"/>
      <c r="E129" s="21"/>
      <c r="F129" s="21"/>
      <c r="G129" s="21"/>
      <c r="H129" s="760"/>
      <c r="I129" s="90"/>
      <c r="J129" s="87" t="s">
        <v>260</v>
      </c>
      <c r="K129" s="90"/>
      <c r="L129" s="1779" t="s">
        <v>408</v>
      </c>
      <c r="M129" s="428"/>
      <c r="O129" s="1780">
        <f ca="1">S129*IFERROR(INDEX({5,8,10},MATCH(W129,INDIRECT(U129))),0)</f>
        <v>0</v>
      </c>
      <c r="P129" s="352" t="b">
        <v>1</v>
      </c>
      <c r="Q129" s="352" t="b">
        <v>0</v>
      </c>
      <c r="R129" s="63" t="b">
        <v>0</v>
      </c>
      <c r="S129" s="63" t="b">
        <v>1</v>
      </c>
      <c r="T129" s="63" t="b">
        <v>0</v>
      </c>
      <c r="U129" s="63" t="str">
        <f>SUBSTITUTE(SUBSTITUTE(SUBSTITUTE("dd"&amp;B129&amp;C129&amp;D129&amp;E129&amp;F129,".","_"),"(","_"),")","")</f>
        <v>dd503_4_3</v>
      </c>
      <c r="W129" s="12"/>
      <c r="X129" s="1757"/>
      <c r="AN129" s="1130" t="str">
        <f>SUBSTITUTE(SUBSTITUTE(SUBSTITUTE("dpc"&amp;$B129&amp;$C129&amp;$D129&amp;$E129,".","_"),"(","_"),")","")</f>
        <v>dpc503_4_3</v>
      </c>
      <c r="AO129" s="125">
        <f ca="1">O129</f>
        <v>0</v>
      </c>
      <c r="AP129" s="1130" t="str">
        <f>SUBSTITUTE(SUBSTITUTE(SUBSTITUTE("dch"&amp;$B129&amp;$C129&amp;$D129&amp;$E129,".","_"),"(","_"),")","")</f>
        <v>dch503_4_3</v>
      </c>
      <c r="AQ129" s="254" t="str">
        <f>IF(LEN(W129)=0,"",W129)</f>
        <v/>
      </c>
      <c r="AR129" s="1130" t="str">
        <f>SUBSTITUTE(SUBSTITUTE(SUBSTITUTE("dnt"&amp;$B129&amp;$C129&amp;$D129&amp;$E129,".","_"),"(","_"),")","")</f>
        <v>dnt503_4_3</v>
      </c>
      <c r="AS129" s="254" t="str">
        <f>IF(LEN(X129)=0,"",X129)</f>
        <v/>
      </c>
      <c r="AU129" s="43"/>
      <c r="AV129" s="43"/>
    </row>
    <row r="130" spans="1:61" x14ac:dyDescent="0.25">
      <c r="B130" s="21" t="s">
        <v>404</v>
      </c>
      <c r="C130" s="21" t="s">
        <v>260</v>
      </c>
      <c r="D130" s="21"/>
      <c r="E130" s="21"/>
      <c r="F130" s="21"/>
      <c r="G130" s="21"/>
      <c r="H130" s="760"/>
      <c r="I130" s="90"/>
      <c r="J130" s="90"/>
      <c r="K130" s="90"/>
      <c r="L130" s="1779"/>
      <c r="M130" s="428"/>
      <c r="O130" s="1780"/>
      <c r="P130" s="352"/>
      <c r="Q130" s="352"/>
      <c r="X130" s="1757"/>
      <c r="AU130" s="43"/>
      <c r="AV130" s="43"/>
    </row>
    <row r="131" spans="1:61" x14ac:dyDescent="0.25">
      <c r="B131" s="21" t="s">
        <v>404</v>
      </c>
      <c r="C131" s="21" t="s">
        <v>260</v>
      </c>
      <c r="D131" s="21"/>
      <c r="E131" s="21"/>
      <c r="F131" s="21"/>
      <c r="G131" s="21"/>
      <c r="H131" s="760"/>
      <c r="I131" s="90"/>
      <c r="J131" s="90"/>
      <c r="K131" s="90"/>
      <c r="L131" s="1779"/>
      <c r="M131" s="428"/>
      <c r="O131" s="1780"/>
      <c r="P131" s="352"/>
      <c r="Q131" s="352"/>
      <c r="X131" s="1757"/>
      <c r="AU131" s="43"/>
      <c r="AV131" s="43"/>
    </row>
    <row r="132" spans="1:61" x14ac:dyDescent="0.25">
      <c r="B132" s="21" t="s">
        <v>404</v>
      </c>
      <c r="C132" s="21" t="s">
        <v>260</v>
      </c>
      <c r="D132" s="21"/>
      <c r="E132" s="21"/>
      <c r="F132" s="21"/>
      <c r="G132" s="21"/>
      <c r="H132" s="760"/>
      <c r="I132" s="90"/>
      <c r="J132" s="90"/>
      <c r="K132" s="90"/>
      <c r="L132" s="1779"/>
      <c r="M132" s="428"/>
      <c r="O132" s="1780"/>
      <c r="P132" s="352"/>
      <c r="Q132" s="352"/>
      <c r="X132" s="1757"/>
      <c r="AU132" s="43"/>
      <c r="AV132" s="43"/>
    </row>
    <row r="133" spans="1:61" x14ac:dyDescent="0.25">
      <c r="B133" s="21" t="s">
        <v>404</v>
      </c>
      <c r="C133" s="21" t="s">
        <v>260</v>
      </c>
      <c r="D133" s="21" t="s">
        <v>121</v>
      </c>
      <c r="E133" s="21"/>
      <c r="F133" s="21"/>
      <c r="G133" s="21"/>
      <c r="H133" s="760"/>
      <c r="I133" s="90"/>
      <c r="J133" s="90"/>
      <c r="K133" s="87" t="s">
        <v>121</v>
      </c>
      <c r="L133" s="1170" t="s">
        <v>409</v>
      </c>
      <c r="M133" s="428">
        <v>5</v>
      </c>
      <c r="O133" s="141"/>
      <c r="P133" s="352"/>
      <c r="Q133" s="352"/>
      <c r="X133" s="1757"/>
      <c r="AL133" s="1130" t="str">
        <f>SUBSTITUTE(SUBSTITUTE(SUBSTITUTE("dpa"&amp;$B133&amp;$C133&amp;$D133&amp;$E133,".","_"),"(","_"),")","")</f>
        <v>dpa503_4_3_a</v>
      </c>
      <c r="AM133" s="125">
        <f>M133</f>
        <v>5</v>
      </c>
      <c r="AU133" s="43"/>
      <c r="AV133" s="43"/>
    </row>
    <row r="134" spans="1:61" x14ac:dyDescent="0.25">
      <c r="B134" s="21" t="s">
        <v>404</v>
      </c>
      <c r="C134" s="21" t="s">
        <v>260</v>
      </c>
      <c r="D134" s="21" t="s">
        <v>122</v>
      </c>
      <c r="E134" s="21"/>
      <c r="F134" s="21"/>
      <c r="G134" s="21"/>
      <c r="H134" s="760"/>
      <c r="I134" s="90"/>
      <c r="J134" s="90"/>
      <c r="K134" s="87" t="s">
        <v>122</v>
      </c>
      <c r="L134" s="1170" t="s">
        <v>410</v>
      </c>
      <c r="M134" s="428">
        <v>8</v>
      </c>
      <c r="O134" s="141"/>
      <c r="P134" s="352"/>
      <c r="Q134" s="352"/>
      <c r="X134" s="1757"/>
      <c r="AL134" s="1130" t="str">
        <f>SUBSTITUTE(SUBSTITUTE(SUBSTITUTE("dpa"&amp;$B134&amp;$C134&amp;$D134&amp;$E134,".","_"),"(","_"),")","")</f>
        <v>dpa503_4_3_b</v>
      </c>
      <c r="AM134" s="125">
        <f>M134</f>
        <v>8</v>
      </c>
      <c r="AU134" s="43"/>
      <c r="AV134" s="43"/>
    </row>
    <row r="135" spans="1:61" x14ac:dyDescent="0.25">
      <c r="B135" s="21" t="s">
        <v>404</v>
      </c>
      <c r="C135" s="21" t="s">
        <v>260</v>
      </c>
      <c r="D135" s="21" t="s">
        <v>123</v>
      </c>
      <c r="E135" s="21"/>
      <c r="F135" s="21"/>
      <c r="G135" s="21"/>
      <c r="H135" s="760"/>
      <c r="I135" s="90"/>
      <c r="J135" s="177"/>
      <c r="K135" s="179" t="s">
        <v>123</v>
      </c>
      <c r="L135" s="1163" t="s">
        <v>411</v>
      </c>
      <c r="M135" s="426">
        <v>10</v>
      </c>
      <c r="N135" s="178"/>
      <c r="O135" s="501"/>
      <c r="P135" s="352"/>
      <c r="Q135" s="352"/>
      <c r="X135" s="1757"/>
      <c r="AL135" s="1130" t="str">
        <f>SUBSTITUTE(SUBSTITUTE(SUBSTITUTE("dpa"&amp;$B135&amp;$C135&amp;$D135&amp;$E135,".","_"),"(","_"),")","")</f>
        <v>dpa503_4_3_c</v>
      </c>
      <c r="AM135" s="125">
        <f>M135</f>
        <v>10</v>
      </c>
      <c r="AU135" s="43"/>
      <c r="AV135" s="43"/>
    </row>
    <row r="136" spans="1:61" x14ac:dyDescent="0.25">
      <c r="B136" s="21" t="s">
        <v>404</v>
      </c>
      <c r="C136" s="21" t="s">
        <v>269</v>
      </c>
      <c r="D136" s="21"/>
      <c r="E136" s="21"/>
      <c r="F136" s="21"/>
      <c r="G136" s="21"/>
      <c r="H136" s="760"/>
      <c r="I136" s="102"/>
      <c r="J136" s="91" t="s">
        <v>269</v>
      </c>
      <c r="K136" s="110"/>
      <c r="L136" s="1754" t="s">
        <v>412</v>
      </c>
      <c r="M136" s="424"/>
      <c r="N136" s="94"/>
      <c r="O136" s="1780">
        <f ca="1">S136*IFERROR(INDEX({5,8,10},MATCH(W136,INDIRECT(U136))),0)</f>
        <v>0</v>
      </c>
      <c r="P136" s="94" t="b">
        <v>1</v>
      </c>
      <c r="Q136" s="94" t="b">
        <v>1</v>
      </c>
      <c r="R136" s="94" t="b">
        <v>0</v>
      </c>
      <c r="S136" s="94" t="b">
        <v>1</v>
      </c>
      <c r="T136" s="94" t="b">
        <v>0</v>
      </c>
      <c r="U136" s="94" t="str">
        <f>SUBSTITUTE(SUBSTITUTE(SUBSTITUTE("dd"&amp;B136&amp;C136&amp;D136&amp;E136&amp;F136,".","_"),"(","_"),")","")</f>
        <v>dd503_4_4</v>
      </c>
      <c r="V136" s="94"/>
      <c r="W136" s="12"/>
      <c r="X136" s="1757"/>
      <c r="AN136" s="1130" t="str">
        <f>SUBSTITUTE(SUBSTITUTE(SUBSTITUTE("dpc"&amp;$B136&amp;$C136&amp;$D136&amp;$E136,".","_"),"(","_"),")","")</f>
        <v>dpc503_4_4</v>
      </c>
      <c r="AO136" s="125">
        <f ca="1">O136</f>
        <v>0</v>
      </c>
      <c r="AP136" s="1130" t="str">
        <f>SUBSTITUTE(SUBSTITUTE(SUBSTITUTE("dch"&amp;$B136&amp;$C136&amp;$D136&amp;$E136,".","_"),"(","_"),")","")</f>
        <v>dch503_4_4</v>
      </c>
      <c r="AQ136" s="254" t="str">
        <f>IF(LEN(W136)=0,"",W136)</f>
        <v/>
      </c>
      <c r="AR136" s="1130" t="str">
        <f>SUBSTITUTE(SUBSTITUTE(SUBSTITUTE("dnt"&amp;$B136&amp;$C136&amp;$D136&amp;$E136,".","_"),"(","_"),")","")</f>
        <v>dnt503_4_4</v>
      </c>
      <c r="AS136" s="254" t="str">
        <f>IF(LEN(X136)=0,"",X136)</f>
        <v/>
      </c>
      <c r="AU136" s="43"/>
      <c r="AV136" s="43"/>
    </row>
    <row r="137" spans="1:61" x14ac:dyDescent="0.25">
      <c r="B137" s="21" t="s">
        <v>404</v>
      </c>
      <c r="C137" s="21" t="s">
        <v>269</v>
      </c>
      <c r="D137" s="21"/>
      <c r="E137" s="21"/>
      <c r="F137" s="21"/>
      <c r="G137" s="21"/>
      <c r="H137" s="760"/>
      <c r="I137" s="102"/>
      <c r="J137" s="102"/>
      <c r="K137" s="102"/>
      <c r="L137" s="1754"/>
      <c r="M137" s="424"/>
      <c r="N137" s="94"/>
      <c r="O137" s="1780"/>
      <c r="P137" s="94"/>
      <c r="Q137" s="94"/>
      <c r="R137" s="94"/>
      <c r="S137" s="94"/>
      <c r="T137" s="94"/>
      <c r="U137" s="94"/>
      <c r="V137" s="94"/>
      <c r="W137" s="94"/>
      <c r="X137" s="1757"/>
      <c r="AU137" s="43"/>
      <c r="AV137" s="43"/>
    </row>
    <row r="138" spans="1:61" x14ac:dyDescent="0.25">
      <c r="B138" s="21" t="s">
        <v>404</v>
      </c>
      <c r="C138" s="21" t="s">
        <v>269</v>
      </c>
      <c r="D138" s="21" t="s">
        <v>121</v>
      </c>
      <c r="E138" s="21"/>
      <c r="F138" s="21"/>
      <c r="G138" s="21"/>
      <c r="H138" s="760"/>
      <c r="I138" s="102"/>
      <c r="J138" s="102"/>
      <c r="K138" s="91" t="s">
        <v>121</v>
      </c>
      <c r="L138" s="1162" t="s">
        <v>4127</v>
      </c>
      <c r="M138" s="424">
        <v>5</v>
      </c>
      <c r="N138" s="94"/>
      <c r="O138" s="141"/>
      <c r="P138" s="94"/>
      <c r="Q138" s="94"/>
      <c r="R138" s="94"/>
      <c r="S138" s="94"/>
      <c r="T138" s="94"/>
      <c r="U138" s="94"/>
      <c r="V138" s="94"/>
      <c r="W138" s="94"/>
      <c r="X138" s="1757"/>
      <c r="AL138" s="1130" t="str">
        <f>SUBSTITUTE(SUBSTITUTE(SUBSTITUTE("dpa"&amp;$B138&amp;$C138&amp;$D138&amp;$E138,".","_"),"(","_"),")","")</f>
        <v>dpa503_4_4_a</v>
      </c>
      <c r="AM138" s="125">
        <f>M138</f>
        <v>5</v>
      </c>
      <c r="AU138" s="43"/>
      <c r="AV138" s="43"/>
    </row>
    <row r="139" spans="1:61" x14ac:dyDescent="0.25">
      <c r="B139" s="21" t="s">
        <v>404</v>
      </c>
      <c r="C139" s="21" t="s">
        <v>269</v>
      </c>
      <c r="D139" s="21" t="s">
        <v>122</v>
      </c>
      <c r="E139" s="21"/>
      <c r="F139" s="21"/>
      <c r="G139" s="21"/>
      <c r="H139" s="760"/>
      <c r="I139" s="102"/>
      <c r="J139" s="102"/>
      <c r="K139" s="91" t="s">
        <v>122</v>
      </c>
      <c r="L139" s="1162" t="s">
        <v>4128</v>
      </c>
      <c r="M139" s="424">
        <v>8</v>
      </c>
      <c r="N139" s="94"/>
      <c r="O139" s="141"/>
      <c r="P139" s="94"/>
      <c r="Q139" s="94"/>
      <c r="R139" s="94"/>
      <c r="S139" s="94"/>
      <c r="T139" s="94"/>
      <c r="U139" s="94"/>
      <c r="V139" s="94"/>
      <c r="W139" s="94"/>
      <c r="X139" s="1757"/>
      <c r="AL139" s="1130" t="str">
        <f>SUBSTITUTE(SUBSTITUTE(SUBSTITUTE("dpa"&amp;$B139&amp;$C139&amp;$D139&amp;$E139,".","_"),"(","_"),")","")</f>
        <v>dpa503_4_4_b</v>
      </c>
      <c r="AM139" s="125">
        <f>M139</f>
        <v>8</v>
      </c>
      <c r="AU139" s="43"/>
      <c r="AV139" s="43"/>
    </row>
    <row r="140" spans="1:61" x14ac:dyDescent="0.25">
      <c r="B140" s="21" t="s">
        <v>404</v>
      </c>
      <c r="C140" s="21" t="s">
        <v>269</v>
      </c>
      <c r="D140" s="21" t="s">
        <v>123</v>
      </c>
      <c r="E140" s="21"/>
      <c r="F140" s="21"/>
      <c r="G140" s="21"/>
      <c r="H140" s="760"/>
      <c r="I140" s="102"/>
      <c r="J140" s="102"/>
      <c r="K140" s="110" t="s">
        <v>123</v>
      </c>
      <c r="L140" s="1162" t="s">
        <v>4129</v>
      </c>
      <c r="M140" s="794">
        <v>10</v>
      </c>
      <c r="N140" s="94"/>
      <c r="O140" s="800"/>
      <c r="P140" s="94"/>
      <c r="Q140" s="94"/>
      <c r="R140" s="94"/>
      <c r="S140" s="94"/>
      <c r="T140" s="94"/>
      <c r="U140" s="94"/>
      <c r="V140" s="94"/>
      <c r="W140" s="94"/>
      <c r="X140" s="1757"/>
      <c r="AL140" s="1130" t="str">
        <f>SUBSTITUTE(SUBSTITUTE(SUBSTITUTE("dpa"&amp;$B140&amp;$C140&amp;$D140&amp;$E140,".","_"),"(","_"),")","")</f>
        <v>dpa503_4_4_c</v>
      </c>
      <c r="AM140" s="125">
        <f>M140</f>
        <v>10</v>
      </c>
      <c r="AU140" s="43"/>
      <c r="AV140" s="43"/>
    </row>
    <row r="141" spans="1:61" s="791" customFormat="1" x14ac:dyDescent="0.25">
      <c r="A141" s="18"/>
      <c r="B141" s="21" t="s">
        <v>404</v>
      </c>
      <c r="C141" s="21" t="s">
        <v>269</v>
      </c>
      <c r="D141" s="21" t="s">
        <v>123</v>
      </c>
      <c r="E141" s="21" t="s">
        <v>4860</v>
      </c>
      <c r="F141" s="21"/>
      <c r="G141" s="21"/>
      <c r="H141" s="760"/>
      <c r="I141" s="94"/>
      <c r="J141" s="94"/>
      <c r="K141" s="94"/>
      <c r="L141" s="1793" t="s">
        <v>4130</v>
      </c>
      <c r="M141" s="1758">
        <f ca="1">S136*IFERROR(INDEX({2,4,6},MATCH(W136,INDIRECT(U136))),0)</f>
        <v>0</v>
      </c>
      <c r="N141" s="94"/>
      <c r="O141" s="1774">
        <f ca="1">M141*S141*W141</f>
        <v>0</v>
      </c>
      <c r="P141" s="94" t="b">
        <v>1</v>
      </c>
      <c r="Q141" s="94" t="b">
        <v>1</v>
      </c>
      <c r="R141" s="94" t="b">
        <v>0</v>
      </c>
      <c r="S141" s="94" t="b">
        <f>LEN(W136)&gt;0</f>
        <v>0</v>
      </c>
      <c r="T141" s="94" t="b">
        <f>AND(W141=TRUE,LEN(W136)=0)</f>
        <v>0</v>
      </c>
      <c r="U141" s="94"/>
      <c r="V141" s="94"/>
      <c r="W141" s="25"/>
      <c r="X141" s="1757"/>
      <c r="AC141" s="791" t="b">
        <f>OR(AD141:AE141)</f>
        <v>0</v>
      </c>
      <c r="AD141" s="791" t="b">
        <f>T141</f>
        <v>0</v>
      </c>
      <c r="AL141" s="1130" t="str">
        <f>SUBSTITUTE(SUBSTITUTE(SUBSTITUTE("dpa"&amp;$B141&amp;$C141&amp;$D141&amp;$E141,".","_"),"(","_"),")","")</f>
        <v>dpa503_4_4_c_1</v>
      </c>
      <c r="AM141" s="254">
        <f ca="1">M141</f>
        <v>0</v>
      </c>
      <c r="AN141" s="1130" t="str">
        <f>SUBSTITUTE(SUBSTITUTE(SUBSTITUTE("dpc"&amp;$B141&amp;$C141&amp;$D141&amp;$E141,".","_"),"(","_"),")","")</f>
        <v>dpc503_4_4_c_1</v>
      </c>
      <c r="AO141" s="254">
        <f ca="1">O141</f>
        <v>0</v>
      </c>
      <c r="AP141" s="1130" t="str">
        <f>SUBSTITUTE(SUBSTITUTE(SUBSTITUTE("dch"&amp;$B141&amp;$C141&amp;$D141&amp;$E141,".","_"),"(","_"),")","")</f>
        <v>dch503_4_4_c_1</v>
      </c>
      <c r="AQ141" s="254" t="str">
        <f>IF(LEN(W141)=0,"",W141)</f>
        <v/>
      </c>
      <c r="AR141" s="1130" t="str">
        <f>SUBSTITUTE(SUBSTITUTE(SUBSTITUTE("dnt"&amp;$B141&amp;$C141&amp;$D141&amp;$E141,".","_"),"(","_"),")","")</f>
        <v>dnt503_4_4_c_1</v>
      </c>
      <c r="AS141" s="254" t="str">
        <f>IF(LEN(X141)=0,"",X141)</f>
        <v/>
      </c>
      <c r="AX141"/>
      <c r="AY141"/>
      <c r="AZ141"/>
      <c r="BA141"/>
      <c r="BB141"/>
      <c r="BC141"/>
      <c r="BD141"/>
      <c r="BE141"/>
      <c r="BF141"/>
      <c r="BG141"/>
      <c r="BH141"/>
      <c r="BI141"/>
    </row>
    <row r="142" spans="1:61" s="791" customFormat="1" x14ac:dyDescent="0.25">
      <c r="A142" s="18"/>
      <c r="B142" s="21" t="s">
        <v>404</v>
      </c>
      <c r="C142" s="21" t="s">
        <v>269</v>
      </c>
      <c r="D142" s="21" t="s">
        <v>123</v>
      </c>
      <c r="E142" s="21"/>
      <c r="F142" s="21"/>
      <c r="G142" s="21"/>
      <c r="H142" s="760"/>
      <c r="I142" s="94"/>
      <c r="J142" s="178"/>
      <c r="K142" s="178"/>
      <c r="L142" s="1761"/>
      <c r="M142" s="1759"/>
      <c r="N142" s="178"/>
      <c r="O142" s="1764"/>
      <c r="P142" s="94"/>
      <c r="Q142" s="94"/>
      <c r="R142" s="94"/>
      <c r="S142" s="94"/>
      <c r="T142" s="94"/>
      <c r="U142" s="94"/>
      <c r="V142" s="94"/>
      <c r="W142" s="94"/>
      <c r="X142" s="1757"/>
      <c r="AM142" s="254"/>
    </row>
    <row r="143" spans="1:61" s="791" customFormat="1" x14ac:dyDescent="0.25">
      <c r="A143" s="18"/>
      <c r="B143" s="21" t="s">
        <v>404</v>
      </c>
      <c r="C143" s="21" t="s">
        <v>275</v>
      </c>
      <c r="D143" s="21"/>
      <c r="E143" s="21"/>
      <c r="F143" s="21"/>
      <c r="G143" s="21"/>
      <c r="H143" s="760"/>
      <c r="I143" s="94"/>
      <c r="J143" s="91" t="s">
        <v>275</v>
      </c>
      <c r="K143" s="850"/>
      <c r="L143" s="1765" t="s">
        <v>4131</v>
      </c>
      <c r="M143" s="1767">
        <v>3</v>
      </c>
      <c r="O143" s="1776">
        <f>M143*S143*W143</f>
        <v>0</v>
      </c>
      <c r="P143" s="791" t="b">
        <v>1</v>
      </c>
      <c r="Q143" s="791" t="b">
        <v>1</v>
      </c>
      <c r="R143" s="791" t="b">
        <v>0</v>
      </c>
      <c r="S143" s="791" t="b">
        <v>1</v>
      </c>
      <c r="T143" s="791" t="b">
        <v>0</v>
      </c>
      <c r="U143" s="94"/>
      <c r="V143" s="94"/>
      <c r="W143" s="25"/>
      <c r="X143" s="1770"/>
      <c r="AL143" s="1130" t="str">
        <f>SUBSTITUTE(SUBSTITUTE(SUBSTITUTE("dpa"&amp;$B143&amp;$C143&amp;$D143&amp;$E143,".","_"),"(","_"),")","")</f>
        <v>dpa503_4_5</v>
      </c>
      <c r="AM143" s="254">
        <f>M143</f>
        <v>3</v>
      </c>
      <c r="AN143" s="1130" t="str">
        <f>SUBSTITUTE(SUBSTITUTE(SUBSTITUTE("dpc"&amp;$B143&amp;$C143&amp;$D143&amp;$E143,".","_"),"(","_"),")","")</f>
        <v>dpc503_4_5</v>
      </c>
      <c r="AO143" s="254">
        <f>O143</f>
        <v>0</v>
      </c>
      <c r="AP143" s="1130" t="str">
        <f>SUBSTITUTE(SUBSTITUTE(SUBSTITUTE("dch"&amp;$B143&amp;$C143&amp;$D143&amp;$E143,".","_"),"(","_"),")","")</f>
        <v>dch503_4_5</v>
      </c>
      <c r="AQ143" s="254" t="str">
        <f>IF(LEN(W143)=0,"",W143)</f>
        <v/>
      </c>
      <c r="AR143" s="1130" t="str">
        <f>SUBSTITUTE(SUBSTITUTE(SUBSTITUTE("dnt"&amp;$B143&amp;$C143&amp;$D143&amp;$E143,".","_"),"(","_"),")","")</f>
        <v>dnt503_4_5</v>
      </c>
      <c r="AS143" s="254" t="str">
        <f>IF(LEN(X143)=0,"",X143)</f>
        <v/>
      </c>
    </row>
    <row r="144" spans="1:61" s="791" customFormat="1" x14ac:dyDescent="0.25">
      <c r="A144" s="18"/>
      <c r="B144" s="21" t="s">
        <v>404</v>
      </c>
      <c r="C144" s="21" t="s">
        <v>275</v>
      </c>
      <c r="D144" s="21"/>
      <c r="E144" s="21"/>
      <c r="F144" s="21"/>
      <c r="G144" s="21"/>
      <c r="H144" s="760"/>
      <c r="I144" s="94"/>
      <c r="J144" s="850"/>
      <c r="K144" s="850"/>
      <c r="L144" s="1765"/>
      <c r="M144" s="1767"/>
      <c r="O144" s="1776"/>
      <c r="U144" s="94"/>
      <c r="V144" s="94"/>
      <c r="W144" s="94"/>
      <c r="X144" s="1770"/>
      <c r="AM144" s="254"/>
    </row>
    <row r="145" spans="1:61" s="791" customFormat="1" ht="15.75" thickBot="1" x14ac:dyDescent="0.3">
      <c r="A145" s="18"/>
      <c r="B145" s="21" t="s">
        <v>404</v>
      </c>
      <c r="C145" s="21" t="s">
        <v>275</v>
      </c>
      <c r="D145" s="21"/>
      <c r="E145" s="21"/>
      <c r="F145" s="21"/>
      <c r="G145" s="21"/>
      <c r="H145" s="760"/>
      <c r="I145" s="99"/>
      <c r="J145" s="852"/>
      <c r="K145" s="852"/>
      <c r="L145" s="1766"/>
      <c r="M145" s="1768"/>
      <c r="N145" s="99"/>
      <c r="O145" s="1814"/>
      <c r="P145" s="99"/>
      <c r="Q145" s="99"/>
      <c r="R145" s="99"/>
      <c r="S145" s="99"/>
      <c r="T145" s="99"/>
      <c r="U145" s="99"/>
      <c r="V145" s="99"/>
      <c r="W145" s="99"/>
      <c r="X145" s="1771"/>
      <c r="AM145" s="254"/>
    </row>
    <row r="146" spans="1:61" ht="15.75" thickTop="1" x14ac:dyDescent="0.25">
      <c r="B146" s="21" t="s">
        <v>413</v>
      </c>
      <c r="C146" s="21"/>
      <c r="D146" s="21"/>
      <c r="E146" s="21"/>
      <c r="F146" s="21"/>
      <c r="G146" s="21"/>
      <c r="H146" s="760"/>
      <c r="I146" s="65">
        <v>503.5</v>
      </c>
      <c r="J146" s="90"/>
      <c r="K146" s="90"/>
      <c r="L146" s="1796" t="s">
        <v>414</v>
      </c>
      <c r="M146" s="428"/>
      <c r="O146" s="4"/>
      <c r="P146" s="352"/>
      <c r="Q146" s="352"/>
      <c r="X146" s="1756"/>
      <c r="AR146" s="1130" t="str">
        <f>SUBSTITUTE(SUBSTITUTE(SUBSTITUTE("dnt"&amp;$B146&amp;$C146&amp;$D146&amp;$E146,".","_"),"(","_"),")","")</f>
        <v>dnt503_5</v>
      </c>
      <c r="AS146" s="254" t="str">
        <f>IF(LEN(X146)=0,"",X146)</f>
        <v/>
      </c>
      <c r="AU146" s="43"/>
      <c r="AV146" s="43"/>
      <c r="AX146" s="791"/>
      <c r="AY146" s="791"/>
      <c r="AZ146" s="791"/>
      <c r="BA146" s="791"/>
      <c r="BB146" s="791"/>
      <c r="BC146" s="791"/>
      <c r="BD146" s="791"/>
      <c r="BE146" s="791"/>
      <c r="BF146" s="791"/>
      <c r="BG146" s="791"/>
      <c r="BH146" s="791"/>
      <c r="BI146" s="791"/>
    </row>
    <row r="147" spans="1:61" x14ac:dyDescent="0.25">
      <c r="B147" s="21" t="s">
        <v>413</v>
      </c>
      <c r="C147" s="21"/>
      <c r="D147" s="21"/>
      <c r="E147" s="21"/>
      <c r="F147" s="21"/>
      <c r="G147" s="21"/>
      <c r="H147" s="760"/>
      <c r="I147" s="90"/>
      <c r="J147" s="90"/>
      <c r="K147" s="90"/>
      <c r="L147" s="1796"/>
      <c r="M147" s="428"/>
      <c r="O147" s="4"/>
      <c r="P147" s="352"/>
      <c r="Q147" s="352"/>
      <c r="X147" s="1757"/>
      <c r="AU147" s="43"/>
      <c r="AV147" s="43"/>
    </row>
    <row r="148" spans="1:61" x14ac:dyDescent="0.25">
      <c r="B148" s="21" t="s">
        <v>413</v>
      </c>
      <c r="C148" s="21"/>
      <c r="D148" s="21"/>
      <c r="E148" s="21"/>
      <c r="F148" s="21"/>
      <c r="G148" s="21"/>
      <c r="H148" s="760"/>
      <c r="I148" s="90"/>
      <c r="J148" s="90"/>
      <c r="K148" s="90"/>
      <c r="L148" s="1804" t="s">
        <v>4132</v>
      </c>
      <c r="M148" s="428"/>
      <c r="O148" s="4"/>
      <c r="P148" s="94" t="b">
        <v>0</v>
      </c>
      <c r="Q148" s="94" t="b">
        <v>1</v>
      </c>
      <c r="R148" s="76" t="b">
        <v>0</v>
      </c>
      <c r="S148" s="76" t="b">
        <v>1</v>
      </c>
      <c r="T148" s="76" t="b">
        <v>0</v>
      </c>
      <c r="U148" s="76" t="str">
        <f>SUBSTITUTE(SUBSTITUTE(SUBSTITUTE("dd"&amp;B148&amp;C148&amp;D148&amp;E148&amp;F148,".","_"),"(","_"),")","")</f>
        <v>dd503_5</v>
      </c>
      <c r="W148" s="120"/>
      <c r="X148" s="1757"/>
      <c r="AP148" s="1130" t="str">
        <f>SUBSTITUTE(SUBSTITUTE(SUBSTITUTE("dch"&amp;$B148&amp;$C148&amp;$D148&amp;$E148,".","_"),"(","_"),")","")</f>
        <v>dch503_5</v>
      </c>
      <c r="AQ148" s="254" t="str">
        <f>IF(LEN(W148)=0,"",W148)</f>
        <v/>
      </c>
      <c r="AU148" s="43"/>
      <c r="AV148" s="43"/>
    </row>
    <row r="149" spans="1:61" x14ac:dyDescent="0.25">
      <c r="B149" s="21" t="s">
        <v>413</v>
      </c>
      <c r="C149" s="21"/>
      <c r="D149" s="21"/>
      <c r="E149" s="21"/>
      <c r="F149" s="21"/>
      <c r="G149" s="21"/>
      <c r="H149" s="760"/>
      <c r="I149" s="90"/>
      <c r="J149" s="90"/>
      <c r="K149" s="90"/>
      <c r="L149" s="1804"/>
      <c r="M149" s="428"/>
      <c r="O149" s="4"/>
      <c r="P149" s="352"/>
      <c r="Q149" s="352"/>
      <c r="X149" s="1757"/>
      <c r="AU149" s="43"/>
      <c r="AV149" s="43"/>
    </row>
    <row r="150" spans="1:61" x14ac:dyDescent="0.25">
      <c r="B150" s="21" t="s">
        <v>413</v>
      </c>
      <c r="C150" s="21" t="s">
        <v>256</v>
      </c>
      <c r="D150" s="21"/>
      <c r="E150" s="21"/>
      <c r="F150" s="21"/>
      <c r="G150" s="21"/>
      <c r="H150" s="760"/>
      <c r="I150" s="90"/>
      <c r="J150" s="87" t="s">
        <v>256</v>
      </c>
      <c r="K150" s="90"/>
      <c r="L150" s="1779" t="s">
        <v>415</v>
      </c>
      <c r="M150" s="428"/>
      <c r="O150" s="1780">
        <f ca="1">S150*IFERROR(INDEX(M152:M155,MATCH(W150,INDIRECT(U150))),0)</f>
        <v>0</v>
      </c>
      <c r="P150" s="94" t="b">
        <v>0</v>
      </c>
      <c r="Q150" s="94" t="b">
        <v>1</v>
      </c>
      <c r="R150" s="63" t="b">
        <v>0</v>
      </c>
      <c r="S150" s="63" t="b">
        <f>NOT(ISBLANK(W148))</f>
        <v>0</v>
      </c>
      <c r="T150" s="94" t="b">
        <f>AND(NOT(S150),LEN(W150)&gt;0)</f>
        <v>0</v>
      </c>
      <c r="U150" s="63" t="str">
        <f>SUBSTITUTE(SUBSTITUTE(SUBSTITUTE("dd"&amp;B150&amp;C150&amp;D150&amp;E150&amp;F150,".","_"),"(","_"),")","")</f>
        <v>dd503_5_1</v>
      </c>
      <c r="W150" s="120"/>
      <c r="X150" s="1757"/>
      <c r="AC150" s="121" t="b">
        <f>OR(AD150:AE150)</f>
        <v>0</v>
      </c>
      <c r="AD150" s="121" t="b">
        <f>T150</f>
        <v>0</v>
      </c>
      <c r="AN150" s="1130" t="str">
        <f>SUBSTITUTE(SUBSTITUTE(SUBSTITUTE("dpc"&amp;$B150&amp;$C150&amp;$D150&amp;$E150,".","_"),"(","_"),")","")</f>
        <v>dpc503_5_1</v>
      </c>
      <c r="AO150" s="125">
        <f ca="1">O150</f>
        <v>0</v>
      </c>
      <c r="AP150" s="1130" t="str">
        <f>SUBSTITUTE(SUBSTITUTE(SUBSTITUTE("dch"&amp;$B150&amp;$C150&amp;$D150&amp;$E150,".","_"),"(","_"),")","")</f>
        <v>dch503_5_1</v>
      </c>
      <c r="AQ150" s="254" t="str">
        <f>IF(LEN(W150)=0,"",W150)</f>
        <v/>
      </c>
      <c r="AR150" s="1130" t="str">
        <f>SUBSTITUTE(SUBSTITUTE(SUBSTITUTE("dnt"&amp;$B150&amp;$C150&amp;$D150&amp;$E150,".","_"),"(","_"),")","")</f>
        <v>dnt503_5_1</v>
      </c>
      <c r="AS150" s="254" t="str">
        <f>IF(LEN(X150)=0,"",X150)</f>
        <v/>
      </c>
      <c r="AU150" s="43"/>
      <c r="AV150" s="43"/>
    </row>
    <row r="151" spans="1:61" x14ac:dyDescent="0.25">
      <c r="B151" s="21" t="s">
        <v>413</v>
      </c>
      <c r="C151" s="21" t="s">
        <v>256</v>
      </c>
      <c r="D151" s="21"/>
      <c r="E151" s="21"/>
      <c r="F151" s="21"/>
      <c r="G151" s="21"/>
      <c r="H151" s="760"/>
      <c r="I151" s="90"/>
      <c r="J151" s="87"/>
      <c r="K151" s="90"/>
      <c r="L151" s="1779"/>
      <c r="M151" s="428"/>
      <c r="O151" s="1780"/>
      <c r="P151" s="352"/>
      <c r="Q151" s="352"/>
      <c r="X151" s="1757"/>
      <c r="AU151" s="43"/>
      <c r="AV151" s="43"/>
    </row>
    <row r="152" spans="1:61" x14ac:dyDescent="0.25">
      <c r="B152" s="21" t="s">
        <v>413</v>
      </c>
      <c r="C152" s="21" t="s">
        <v>256</v>
      </c>
      <c r="D152" s="21" t="s">
        <v>121</v>
      </c>
      <c r="E152" s="21"/>
      <c r="F152" s="21"/>
      <c r="G152" s="21"/>
      <c r="H152" s="760"/>
      <c r="I152" s="90"/>
      <c r="J152" s="90"/>
      <c r="K152" s="87" t="s">
        <v>121</v>
      </c>
      <c r="L152" s="1170" t="s">
        <v>416</v>
      </c>
      <c r="M152" s="494">
        <f ca="1">4*IFERROR(INDEX({0.5,0.5,1},MATCH(W148,INDIRECT(U148),0)),0)</f>
        <v>0</v>
      </c>
      <c r="O152" s="141"/>
      <c r="P152" s="352"/>
      <c r="Q152" s="352"/>
      <c r="X152" s="1757"/>
      <c r="AL152" s="1130" t="str">
        <f>SUBSTITUTE(SUBSTITUTE(SUBSTITUTE("dpa"&amp;$B152&amp;$C152&amp;$D152&amp;$E152,".","_"),"(","_"),")","")</f>
        <v>dpa503_5_1_a</v>
      </c>
      <c r="AM152" s="125">
        <f ca="1">M152</f>
        <v>0</v>
      </c>
      <c r="AU152" s="43"/>
      <c r="AV152" s="43"/>
    </row>
    <row r="153" spans="1:61" x14ac:dyDescent="0.25">
      <c r="B153" s="21" t="s">
        <v>413</v>
      </c>
      <c r="C153" s="21" t="s">
        <v>256</v>
      </c>
      <c r="D153" s="21" t="s">
        <v>122</v>
      </c>
      <c r="E153" s="21"/>
      <c r="F153" s="21"/>
      <c r="G153" s="21"/>
      <c r="H153" s="760"/>
      <c r="I153" s="90"/>
      <c r="J153" s="90"/>
      <c r="K153" s="87" t="s">
        <v>122</v>
      </c>
      <c r="L153" s="1170" t="s">
        <v>417</v>
      </c>
      <c r="M153" s="494">
        <f ca="1">3*IFERROR(INDEX({0.5,0.5,1},MATCH(W148,INDIRECT(U148),0)),0)</f>
        <v>0</v>
      </c>
      <c r="O153" s="141"/>
      <c r="P153" s="352"/>
      <c r="Q153" s="352"/>
      <c r="X153" s="1757"/>
      <c r="AL153" s="1130" t="str">
        <f>SUBSTITUTE(SUBSTITUTE(SUBSTITUTE("dpa"&amp;$B153&amp;$C153&amp;$D153&amp;$E153,".","_"),"(","_"),")","")</f>
        <v>dpa503_5_1_b</v>
      </c>
      <c r="AM153" s="125">
        <f ca="1">M153</f>
        <v>0</v>
      </c>
      <c r="AU153" s="43"/>
      <c r="AV153" s="43"/>
    </row>
    <row r="154" spans="1:61" x14ac:dyDescent="0.25">
      <c r="B154" s="21" t="s">
        <v>413</v>
      </c>
      <c r="C154" s="21" t="s">
        <v>256</v>
      </c>
      <c r="D154" s="21" t="s">
        <v>123</v>
      </c>
      <c r="E154" s="21"/>
      <c r="F154" s="21"/>
      <c r="G154" s="21"/>
      <c r="H154" s="760"/>
      <c r="I154" s="90"/>
      <c r="J154" s="90"/>
      <c r="K154" s="89" t="s">
        <v>123</v>
      </c>
      <c r="L154" s="1170" t="s">
        <v>418</v>
      </c>
      <c r="M154" s="494">
        <f ca="1">2*IFERROR(INDEX({0.5,0.5,1},MATCH(W148,INDIRECT(U148),0)),0)</f>
        <v>0</v>
      </c>
      <c r="O154" s="141"/>
      <c r="P154" s="352"/>
      <c r="Q154" s="352"/>
      <c r="X154" s="1757"/>
      <c r="AL154" s="1130" t="str">
        <f>SUBSTITUTE(SUBSTITUTE(SUBSTITUTE("dpa"&amp;$B154&amp;$C154&amp;$D154&amp;$E154,".","_"),"(","_"),")","")</f>
        <v>dpa503_5_1_c</v>
      </c>
      <c r="AM154" s="125">
        <f ca="1">M154</f>
        <v>0</v>
      </c>
      <c r="AU154" s="43"/>
      <c r="AV154" s="43"/>
    </row>
    <row r="155" spans="1:61" x14ac:dyDescent="0.25">
      <c r="B155" s="21" t="s">
        <v>413</v>
      </c>
      <c r="C155" s="21" t="s">
        <v>256</v>
      </c>
      <c r="D155" s="21" t="s">
        <v>401</v>
      </c>
      <c r="E155" s="21"/>
      <c r="F155" s="21"/>
      <c r="G155" s="21"/>
      <c r="H155" s="760"/>
      <c r="I155" s="90"/>
      <c r="J155" s="177"/>
      <c r="K155" s="179" t="s">
        <v>401</v>
      </c>
      <c r="L155" s="1163" t="s">
        <v>419</v>
      </c>
      <c r="M155" s="495">
        <f ca="1">1*IFERROR(INDEX({0.5,0.5,1},MATCH(W148,INDIRECT(U148),0)),0)</f>
        <v>0</v>
      </c>
      <c r="N155" s="178"/>
      <c r="O155" s="501"/>
      <c r="P155" s="352"/>
      <c r="Q155" s="352"/>
      <c r="X155" s="1757"/>
      <c r="AL155" s="1130" t="str">
        <f>SUBSTITUTE(SUBSTITUTE(SUBSTITUTE("dpa"&amp;$B155&amp;$C155&amp;$D155&amp;$E155,".","_"),"(","_"),")","")</f>
        <v>dpa503_5_1_d</v>
      </c>
      <c r="AM155" s="125">
        <f ca="1">M155</f>
        <v>0</v>
      </c>
      <c r="AU155" s="43"/>
      <c r="AV155" s="43"/>
    </row>
    <row r="156" spans="1:61" x14ac:dyDescent="0.25">
      <c r="B156" s="21" t="s">
        <v>413</v>
      </c>
      <c r="C156" s="21" t="s">
        <v>258</v>
      </c>
      <c r="D156" s="21"/>
      <c r="E156" s="21"/>
      <c r="F156" s="21"/>
      <c r="G156" s="21"/>
      <c r="H156" s="760"/>
      <c r="I156" s="90"/>
      <c r="J156" s="91" t="s">
        <v>258</v>
      </c>
      <c r="K156" s="102"/>
      <c r="L156" s="1754" t="s">
        <v>420</v>
      </c>
      <c r="M156" s="1794">
        <f ca="1">7*IFERROR(INDEX({0.5,0.5,1},MATCH(W148,INDIRECT(U148),0)),0)</f>
        <v>0</v>
      </c>
      <c r="N156" s="94"/>
      <c r="O156" s="1774">
        <f ca="1">M156*S156*W156</f>
        <v>0</v>
      </c>
      <c r="P156" s="352" t="b">
        <v>0</v>
      </c>
      <c r="Q156" s="352" t="b">
        <v>1</v>
      </c>
      <c r="R156" s="63" t="b">
        <v>0</v>
      </c>
      <c r="S156" s="121" t="b">
        <f>NOT(ISBLANK(W148))</f>
        <v>0</v>
      </c>
      <c r="T156" s="94" t="b">
        <f>AND(NOT(S156),W156=TRUE)</f>
        <v>0</v>
      </c>
      <c r="W156" s="25"/>
      <c r="X156" s="1757"/>
      <c r="AC156" s="121" t="b">
        <f>OR(AD156:AE156)</f>
        <v>0</v>
      </c>
      <c r="AD156" s="121" t="b">
        <f>T156</f>
        <v>0</v>
      </c>
      <c r="AL156" s="1130" t="str">
        <f>SUBSTITUTE(SUBSTITUTE(SUBSTITUTE("dpa"&amp;$B156&amp;$C156&amp;$D156&amp;$E156,".","_"),"(","_"),")","")</f>
        <v>dpa503_5_2</v>
      </c>
      <c r="AM156" s="125">
        <f ca="1">M156</f>
        <v>0</v>
      </c>
      <c r="AN156" s="1130" t="str">
        <f>SUBSTITUTE(SUBSTITUTE(SUBSTITUTE("dpc"&amp;$B156&amp;$C156&amp;$D156&amp;$E156,".","_"),"(","_"),")","")</f>
        <v>dpc503_5_2</v>
      </c>
      <c r="AO156" s="125">
        <f ca="1">O156</f>
        <v>0</v>
      </c>
      <c r="AP156" s="1130" t="str">
        <f>SUBSTITUTE(SUBSTITUTE(SUBSTITUTE("dch"&amp;$B156&amp;$C156&amp;$D156&amp;$E156,".","_"),"(","_"),")","")</f>
        <v>dch503_5_2</v>
      </c>
      <c r="AQ156" s="254" t="str">
        <f>IF(LEN(W156)=0,"",W156)</f>
        <v/>
      </c>
      <c r="AR156" s="1130" t="str">
        <f>SUBSTITUTE(SUBSTITUTE(SUBSTITUTE("dnt"&amp;$B156&amp;$C156&amp;$D156&amp;$E156,".","_"),"(","_"),")","")</f>
        <v>dnt503_5_2</v>
      </c>
      <c r="AS156" s="254" t="str">
        <f>IF(LEN(X156)=0,"",X156)</f>
        <v/>
      </c>
      <c r="AU156" s="43"/>
      <c r="AV156" s="43"/>
    </row>
    <row r="157" spans="1:61" x14ac:dyDescent="0.25">
      <c r="B157" s="21" t="s">
        <v>413</v>
      </c>
      <c r="C157" s="21" t="s">
        <v>258</v>
      </c>
      <c r="D157" s="21"/>
      <c r="E157" s="21"/>
      <c r="F157" s="21"/>
      <c r="G157" s="21"/>
      <c r="H157" s="760"/>
      <c r="I157" s="90"/>
      <c r="J157" s="177"/>
      <c r="K157" s="177"/>
      <c r="L157" s="1755"/>
      <c r="M157" s="1795"/>
      <c r="N157" s="178"/>
      <c r="O157" s="1764"/>
      <c r="P157" s="352"/>
      <c r="Q157" s="352"/>
      <c r="X157" s="1757"/>
      <c r="AU157" s="43"/>
      <c r="AV157" s="43"/>
    </row>
    <row r="158" spans="1:61" x14ac:dyDescent="0.25">
      <c r="B158" s="21" t="s">
        <v>413</v>
      </c>
      <c r="C158" s="21" t="s">
        <v>260</v>
      </c>
      <c r="D158" s="21"/>
      <c r="E158" s="21"/>
      <c r="F158" s="21"/>
      <c r="G158" s="21"/>
      <c r="H158" s="760"/>
      <c r="I158" s="90"/>
      <c r="J158" s="91" t="s">
        <v>260</v>
      </c>
      <c r="K158" s="102"/>
      <c r="L158" s="1754" t="s">
        <v>4133</v>
      </c>
      <c r="M158" s="1794">
        <f ca="1">3*IFERROR(INDEX({0.5,0.5,1},MATCH(W148,INDIRECT(U148),0)),0)</f>
        <v>0</v>
      </c>
      <c r="N158" s="94"/>
      <c r="O158" s="1774">
        <f ca="1">M158*S158*W158</f>
        <v>0</v>
      </c>
      <c r="P158" s="352" t="b">
        <v>0</v>
      </c>
      <c r="Q158" s="352" t="b">
        <v>1</v>
      </c>
      <c r="R158" s="63" t="b">
        <v>0</v>
      </c>
      <c r="S158" s="121" t="b">
        <f>NOT(ISBLANK(W148))</f>
        <v>0</v>
      </c>
      <c r="T158" s="94" t="b">
        <f>AND(NOT(S158),W158=TRUE)</f>
        <v>0</v>
      </c>
      <c r="W158" s="25"/>
      <c r="X158" s="1757"/>
      <c r="AC158" s="121" t="b">
        <f>OR(AD158:AE158)</f>
        <v>0</v>
      </c>
      <c r="AD158" s="121" t="b">
        <f>T158</f>
        <v>0</v>
      </c>
      <c r="AL158" s="1130" t="str">
        <f>SUBSTITUTE(SUBSTITUTE(SUBSTITUTE("dpa"&amp;$B158&amp;$C158&amp;$D158&amp;$E158,".","_"),"(","_"),")","")</f>
        <v>dpa503_5_3</v>
      </c>
      <c r="AM158" s="125">
        <f ca="1">M158</f>
        <v>0</v>
      </c>
      <c r="AN158" s="1130" t="str">
        <f>SUBSTITUTE(SUBSTITUTE(SUBSTITUTE("dpc"&amp;$B158&amp;$C158&amp;$D158&amp;$E158,".","_"),"(","_"),")","")</f>
        <v>dpc503_5_3</v>
      </c>
      <c r="AO158" s="125">
        <f ca="1">O158</f>
        <v>0</v>
      </c>
      <c r="AP158" s="1130" t="str">
        <f>SUBSTITUTE(SUBSTITUTE(SUBSTITUTE("dch"&amp;$B158&amp;$C158&amp;$D158&amp;$E158,".","_"),"(","_"),")","")</f>
        <v>dch503_5_3</v>
      </c>
      <c r="AQ158" s="254" t="str">
        <f>IF(LEN(W158)=0,"",W158)</f>
        <v/>
      </c>
      <c r="AR158" s="1130" t="str">
        <f>SUBSTITUTE(SUBSTITUTE(SUBSTITUTE("dnt"&amp;$B158&amp;$C158&amp;$D158&amp;$E158,".","_"),"(","_"),")","")</f>
        <v>dnt503_5_3</v>
      </c>
      <c r="AS158" s="254" t="str">
        <f>IF(LEN(X158)=0,"",X158)</f>
        <v/>
      </c>
      <c r="AU158" s="43"/>
      <c r="AV158" s="43"/>
    </row>
    <row r="159" spans="1:61" s="791" customFormat="1" x14ac:dyDescent="0.25">
      <c r="A159" s="18"/>
      <c r="B159" s="21" t="s">
        <v>413</v>
      </c>
      <c r="C159" s="21" t="s">
        <v>260</v>
      </c>
      <c r="D159" s="21"/>
      <c r="E159" s="21"/>
      <c r="F159" s="21"/>
      <c r="G159" s="21"/>
      <c r="H159" s="760"/>
      <c r="I159" s="90"/>
      <c r="J159" s="91"/>
      <c r="K159" s="102"/>
      <c r="L159" s="1754"/>
      <c r="M159" s="1794"/>
      <c r="N159" s="94"/>
      <c r="O159" s="1774"/>
      <c r="T159" s="94"/>
      <c r="W159"/>
      <c r="X159" s="1757"/>
      <c r="AM159" s="254"/>
      <c r="AO159" s="254"/>
      <c r="AQ159" s="254"/>
      <c r="AS159" s="254"/>
      <c r="AX159"/>
      <c r="AY159"/>
      <c r="AZ159"/>
      <c r="BA159"/>
      <c r="BB159"/>
      <c r="BC159"/>
      <c r="BD159"/>
      <c r="BE159"/>
      <c r="BF159"/>
      <c r="BG159"/>
      <c r="BH159"/>
      <c r="BI159"/>
    </row>
    <row r="160" spans="1:61" x14ac:dyDescent="0.25">
      <c r="B160" s="21" t="s">
        <v>413</v>
      </c>
      <c r="C160" s="21" t="s">
        <v>260</v>
      </c>
      <c r="D160" s="21"/>
      <c r="E160" s="21"/>
      <c r="F160" s="21"/>
      <c r="G160" s="21"/>
      <c r="H160" s="760"/>
      <c r="I160" s="90"/>
      <c r="J160" s="177"/>
      <c r="K160" s="177"/>
      <c r="L160" s="1755"/>
      <c r="M160" s="1795"/>
      <c r="N160" s="178"/>
      <c r="O160" s="1764"/>
      <c r="P160" s="352"/>
      <c r="Q160" s="352"/>
      <c r="X160" s="1757"/>
      <c r="AU160" s="43"/>
      <c r="AV160" s="43"/>
      <c r="AX160" s="791"/>
      <c r="AY160" s="791"/>
      <c r="AZ160" s="791"/>
      <c r="BA160" s="791"/>
      <c r="BB160" s="791"/>
      <c r="BC160" s="791"/>
      <c r="BD160" s="791"/>
      <c r="BE160" s="791"/>
      <c r="BF160" s="791"/>
      <c r="BG160" s="791"/>
      <c r="BH160" s="791"/>
      <c r="BI160" s="791"/>
    </row>
    <row r="161" spans="1:48" x14ac:dyDescent="0.25">
      <c r="B161" s="21" t="s">
        <v>413</v>
      </c>
      <c r="C161" s="21" t="s">
        <v>269</v>
      </c>
      <c r="D161" s="21"/>
      <c r="E161" s="21"/>
      <c r="F161" s="21"/>
      <c r="G161" s="21"/>
      <c r="H161" s="760"/>
      <c r="I161" s="90"/>
      <c r="J161" s="91" t="s">
        <v>269</v>
      </c>
      <c r="K161" s="102"/>
      <c r="L161" s="1754" t="s">
        <v>4134</v>
      </c>
      <c r="M161" s="1794">
        <f ca="1">5*IFERROR(INDEX({0.5,0.5,1},MATCH(W148,INDIRECT(U148),0)),0)</f>
        <v>0</v>
      </c>
      <c r="N161" s="94"/>
      <c r="O161" s="1774">
        <f ca="1">M161*S161*W161</f>
        <v>0</v>
      </c>
      <c r="P161" s="352" t="b">
        <v>0</v>
      </c>
      <c r="Q161" s="352" t="b">
        <v>1</v>
      </c>
      <c r="R161" s="63" t="b">
        <v>0</v>
      </c>
      <c r="S161" s="121" t="b">
        <f>NOT(ISBLANK(W148))</f>
        <v>0</v>
      </c>
      <c r="T161" s="94" t="b">
        <f>AND(NOT(S161),W161=TRUE)</f>
        <v>0</v>
      </c>
      <c r="W161" s="25"/>
      <c r="X161" s="1757"/>
      <c r="AC161" s="121" t="b">
        <f>OR(AD161:AE161)</f>
        <v>0</v>
      </c>
      <c r="AD161" s="121" t="b">
        <f>T161</f>
        <v>0</v>
      </c>
      <c r="AL161" s="1130" t="str">
        <f>SUBSTITUTE(SUBSTITUTE(SUBSTITUTE("dpa"&amp;$B161&amp;$C161&amp;$D161&amp;$E161,".","_"),"(","_"),")","")</f>
        <v>dpa503_5_4</v>
      </c>
      <c r="AM161" s="125">
        <f ca="1">M161</f>
        <v>0</v>
      </c>
      <c r="AN161" s="1130" t="str">
        <f>SUBSTITUTE(SUBSTITUTE(SUBSTITUTE("dpc"&amp;$B161&amp;$C161&amp;$D161&amp;$E161,".","_"),"(","_"),")","")</f>
        <v>dpc503_5_4</v>
      </c>
      <c r="AO161" s="125">
        <f ca="1">O161</f>
        <v>0</v>
      </c>
      <c r="AP161" s="1130" t="str">
        <f>SUBSTITUTE(SUBSTITUTE(SUBSTITUTE("dch"&amp;$B161&amp;$C161&amp;$D161&amp;$E161,".","_"),"(","_"),")","")</f>
        <v>dch503_5_4</v>
      </c>
      <c r="AQ161" s="254" t="str">
        <f>IF(LEN(W161)=0,"",W161)</f>
        <v/>
      </c>
      <c r="AR161" s="1130" t="str">
        <f>SUBSTITUTE(SUBSTITUTE(SUBSTITUTE("dnt"&amp;$B161&amp;$C161&amp;$D161&amp;$E161,".","_"),"(","_"),")","")</f>
        <v>dnt503_5_4</v>
      </c>
      <c r="AS161" s="254" t="str">
        <f>IF(LEN(X161)=0,"",X161)</f>
        <v/>
      </c>
      <c r="AU161" s="43"/>
      <c r="AV161" s="43"/>
    </row>
    <row r="162" spans="1:48" x14ac:dyDescent="0.25">
      <c r="B162" s="21" t="s">
        <v>413</v>
      </c>
      <c r="C162" s="21" t="s">
        <v>269</v>
      </c>
      <c r="D162" s="21"/>
      <c r="E162" s="21"/>
      <c r="F162" s="21"/>
      <c r="G162" s="21"/>
      <c r="H162" s="760"/>
      <c r="I162" s="90"/>
      <c r="J162" s="177"/>
      <c r="K162" s="177"/>
      <c r="L162" s="1755"/>
      <c r="M162" s="1795"/>
      <c r="N162" s="178"/>
      <c r="O162" s="1764"/>
      <c r="P162" s="352"/>
      <c r="Q162" s="352"/>
      <c r="X162" s="1757"/>
      <c r="AU162" s="43"/>
      <c r="AV162" s="43"/>
    </row>
    <row r="163" spans="1:48" x14ac:dyDescent="0.25">
      <c r="A163"/>
      <c r="B163" s="21" t="s">
        <v>413</v>
      </c>
      <c r="C163" s="21" t="s">
        <v>275</v>
      </c>
      <c r="D163" s="1129"/>
      <c r="E163" s="1129"/>
      <c r="F163"/>
      <c r="G163"/>
      <c r="H163"/>
      <c r="I163"/>
      <c r="J163" s="846" t="s">
        <v>275</v>
      </c>
      <c r="K163" s="195"/>
      <c r="L163" s="1760" t="s">
        <v>4135</v>
      </c>
      <c r="M163" s="1794">
        <f ca="1">3*IFERROR(INDEX({0.5,0.5,1},MATCH(W148,INDIRECT(U148),0)),0)</f>
        <v>0</v>
      </c>
      <c r="N163" s="195"/>
      <c r="O163" s="1763">
        <f ca="1">M163*S163*W163</f>
        <v>0</v>
      </c>
      <c r="P163" s="791" t="b">
        <v>0</v>
      </c>
      <c r="Q163" s="791" t="b">
        <v>1</v>
      </c>
      <c r="R163" s="791" t="b">
        <v>0</v>
      </c>
      <c r="S163" s="791" t="b">
        <f>NOT(ISBLANK(W148))</f>
        <v>0</v>
      </c>
      <c r="T163" s="791" t="b">
        <f>AND(NOT(S163),W163=TRUE)</f>
        <v>0</v>
      </c>
      <c r="V163"/>
      <c r="W163" s="25"/>
      <c r="X163" s="1757"/>
      <c r="Y163"/>
      <c r="AA163"/>
      <c r="AB163"/>
      <c r="AC163" s="791" t="b">
        <f>OR(AD163:AE163)</f>
        <v>0</v>
      </c>
      <c r="AD163" s="791" t="b">
        <f>T163</f>
        <v>0</v>
      </c>
      <c r="AE163"/>
      <c r="AF163"/>
      <c r="AG163"/>
      <c r="AH163"/>
      <c r="AI163"/>
      <c r="AJ163"/>
      <c r="AK163"/>
      <c r="AL163" s="1130" t="str">
        <f>SUBSTITUTE(SUBSTITUTE(SUBSTITUTE("dpa"&amp;$B163&amp;$C163&amp;$D163&amp;$E163,".","_"),"(","_"),")","")</f>
        <v>dpa503_5_5</v>
      </c>
      <c r="AM163" s="254">
        <f ca="1">M163</f>
        <v>0</v>
      </c>
      <c r="AN163" s="1130" t="str">
        <f>SUBSTITUTE(SUBSTITUTE(SUBSTITUTE("dpc"&amp;$B163&amp;$C163&amp;$D163&amp;$E163,".","_"),"(","_"),")","")</f>
        <v>dpc503_5_5</v>
      </c>
      <c r="AO163" s="254">
        <f ca="1">O163</f>
        <v>0</v>
      </c>
      <c r="AP163" s="1130" t="str">
        <f>SUBSTITUTE(SUBSTITUTE(SUBSTITUTE("dch"&amp;$B163&amp;$C163&amp;$D163&amp;$E163,".","_"),"(","_"),")","")</f>
        <v>dch503_5_5</v>
      </c>
      <c r="AQ163" s="254" t="str">
        <f>IF(LEN(W163)=0,"",W163)</f>
        <v/>
      </c>
      <c r="AR163" s="1130" t="str">
        <f>SUBSTITUTE(SUBSTITUTE(SUBSTITUTE("dnt"&amp;$B163&amp;$C163&amp;$D163&amp;$E163,".","_"),"(","_"),")","")</f>
        <v>dnt503_5_5</v>
      </c>
      <c r="AS163" s="254" t="str">
        <f>IF(LEN(X163)=0,"",X163)</f>
        <v/>
      </c>
    </row>
    <row r="164" spans="1:48" x14ac:dyDescent="0.25">
      <c r="A164"/>
      <c r="B164" s="21" t="s">
        <v>413</v>
      </c>
      <c r="C164" s="21" t="s">
        <v>275</v>
      </c>
      <c r="D164" s="1129"/>
      <c r="E164" s="1129"/>
      <c r="F164"/>
      <c r="G164"/>
      <c r="H164"/>
      <c r="I164"/>
      <c r="J164" s="94"/>
      <c r="K164" s="94"/>
      <c r="L164" s="1793"/>
      <c r="M164" s="1794"/>
      <c r="N164" s="94"/>
      <c r="O164" s="1774"/>
      <c r="P164" s="791"/>
      <c r="Q164" s="791"/>
      <c r="R164" s="791"/>
      <c r="S164" s="791"/>
      <c r="T164" s="791"/>
      <c r="V164"/>
      <c r="W164"/>
      <c r="X164" s="1757"/>
      <c r="Y164"/>
      <c r="AA164"/>
      <c r="AB164"/>
      <c r="AC164"/>
      <c r="AD164"/>
      <c r="AE164"/>
      <c r="AF164"/>
      <c r="AG164"/>
      <c r="AH164"/>
      <c r="AI164"/>
      <c r="AJ164"/>
      <c r="AK164"/>
      <c r="AL164"/>
      <c r="AM164"/>
      <c r="AN164"/>
      <c r="AO164"/>
    </row>
    <row r="165" spans="1:48" x14ac:dyDescent="0.25">
      <c r="A165"/>
      <c r="B165" s="21" t="s">
        <v>413</v>
      </c>
      <c r="C165" s="21" t="s">
        <v>275</v>
      </c>
      <c r="D165" s="1129"/>
      <c r="E165" s="1129"/>
      <c r="F165"/>
      <c r="G165"/>
      <c r="H165"/>
      <c r="I165"/>
      <c r="J165" s="178"/>
      <c r="K165" s="178"/>
      <c r="L165" s="1761"/>
      <c r="M165" s="1795"/>
      <c r="N165" s="178"/>
      <c r="O165" s="1764"/>
      <c r="P165"/>
      <c r="Q165"/>
      <c r="V165"/>
      <c r="W165"/>
      <c r="X165" s="1757"/>
      <c r="Y165"/>
      <c r="AA165"/>
      <c r="AB165"/>
      <c r="AC165"/>
      <c r="AD165"/>
      <c r="AE165"/>
      <c r="AF165"/>
      <c r="AG165"/>
      <c r="AH165"/>
      <c r="AI165"/>
      <c r="AJ165"/>
      <c r="AK165"/>
      <c r="AL165"/>
      <c r="AM165"/>
      <c r="AN165"/>
      <c r="AO165"/>
    </row>
    <row r="166" spans="1:48" x14ac:dyDescent="0.25">
      <c r="B166" s="21" t="s">
        <v>413</v>
      </c>
      <c r="C166" s="21" t="s">
        <v>277</v>
      </c>
      <c r="D166" s="21"/>
      <c r="E166" s="21"/>
      <c r="F166" s="21"/>
      <c r="G166" s="21"/>
      <c r="H166" s="760"/>
      <c r="I166" s="90"/>
      <c r="J166" s="87" t="s">
        <v>277</v>
      </c>
      <c r="K166" s="90"/>
      <c r="L166" s="1170" t="s">
        <v>421</v>
      </c>
      <c r="M166" s="494"/>
      <c r="O166" s="141">
        <f ca="1">S166*IFERROR(INDEX(M167:M170,MATCH(W166,INDIRECT(U166))),0)</f>
        <v>0</v>
      </c>
      <c r="P166" s="352" t="b">
        <v>0</v>
      </c>
      <c r="Q166" s="352" t="b">
        <v>1</v>
      </c>
      <c r="R166" s="63" t="b">
        <v>0</v>
      </c>
      <c r="S166" s="121" t="b">
        <f>NOT(ISBLANK(W148))</f>
        <v>0</v>
      </c>
      <c r="T166" s="94" t="b">
        <f>AND(NOT(S166),LEN(W166)&gt;0)</f>
        <v>0</v>
      </c>
      <c r="U166" s="63" t="str">
        <f>SUBSTITUTE(SUBSTITUTE(SUBSTITUTE("dd"&amp;B166&amp;C166&amp;D166&amp;E166&amp;F166,".","_"),"(","_"),")","")</f>
        <v>dd503_5_6</v>
      </c>
      <c r="W166" s="120"/>
      <c r="X166" s="1757"/>
      <c r="AC166" s="121" t="b">
        <f>OR(AD166:AE166)</f>
        <v>0</v>
      </c>
      <c r="AD166" s="121" t="b">
        <f>T166</f>
        <v>0</v>
      </c>
      <c r="AN166" s="1130" t="str">
        <f>SUBSTITUTE(SUBSTITUTE(SUBSTITUTE("dpc"&amp;$B166&amp;$C166&amp;$D166&amp;$E166,".","_"),"(","_"),")","")</f>
        <v>dpc503_5_6</v>
      </c>
      <c r="AO166" s="125">
        <f ca="1">O166</f>
        <v>0</v>
      </c>
      <c r="AP166" s="1130" t="str">
        <f>SUBSTITUTE(SUBSTITUTE(SUBSTITUTE("dch"&amp;$B166&amp;$C166&amp;$D166&amp;$E166,".","_"),"(","_"),")","")</f>
        <v>dch503_5_6</v>
      </c>
      <c r="AQ166" s="254" t="str">
        <f>IF(LEN(W166)=0,"",W166)</f>
        <v/>
      </c>
      <c r="AR166" s="1130" t="str">
        <f>SUBSTITUTE(SUBSTITUTE(SUBSTITUTE("dnt"&amp;$B166&amp;$C166&amp;$D166&amp;$E166,".","_"),"(","_"),")","")</f>
        <v>dnt503_5_6</v>
      </c>
      <c r="AS166" s="254" t="str">
        <f>IF(LEN(X166)=0,"",X166)</f>
        <v/>
      </c>
    </row>
    <row r="167" spans="1:48" x14ac:dyDescent="0.25">
      <c r="B167" s="21" t="s">
        <v>413</v>
      </c>
      <c r="C167" s="21" t="s">
        <v>277</v>
      </c>
      <c r="D167" s="21" t="s">
        <v>121</v>
      </c>
      <c r="E167" s="21"/>
      <c r="F167" s="21"/>
      <c r="G167" s="21"/>
      <c r="H167" s="760"/>
      <c r="I167" s="90"/>
      <c r="J167" s="90"/>
      <c r="K167" s="87" t="s">
        <v>121</v>
      </c>
      <c r="L167" s="1170" t="s">
        <v>422</v>
      </c>
      <c r="M167" s="494">
        <f ca="1">5*IFERROR(INDEX({0.5,0.5,1},MATCH(W148,INDIRECT(U148),0)),0)</f>
        <v>0</v>
      </c>
      <c r="O167" s="141"/>
      <c r="P167" s="352"/>
      <c r="Q167" s="352"/>
      <c r="X167" s="1757"/>
      <c r="AL167" s="1130" t="str">
        <f t="shared" ref="AL167:AL172" si="0">SUBSTITUTE(SUBSTITUTE(SUBSTITUTE("dpa"&amp;$B167&amp;$C167&amp;$D167&amp;$E167,".","_"),"(","_"),")","")</f>
        <v>dpa503_5_6_a</v>
      </c>
      <c r="AM167" s="125">
        <f t="shared" ref="AM167:AM172" ca="1" si="1">M167</f>
        <v>0</v>
      </c>
    </row>
    <row r="168" spans="1:48" x14ac:dyDescent="0.25">
      <c r="B168" s="21" t="s">
        <v>413</v>
      </c>
      <c r="C168" s="21" t="s">
        <v>277</v>
      </c>
      <c r="D168" s="21" t="s">
        <v>122</v>
      </c>
      <c r="E168" s="21"/>
      <c r="F168" s="21"/>
      <c r="G168" s="21"/>
      <c r="H168" s="760"/>
      <c r="I168" s="90"/>
      <c r="J168" s="90"/>
      <c r="K168" s="87" t="s">
        <v>122</v>
      </c>
      <c r="L168" s="1170" t="s">
        <v>423</v>
      </c>
      <c r="M168" s="494">
        <f ca="1">4*IFERROR(INDEX({0.5,0.5,1},MATCH(W148,INDIRECT(U148),0)),0)</f>
        <v>0</v>
      </c>
      <c r="O168" s="141"/>
      <c r="P168" s="352"/>
      <c r="Q168" s="352"/>
      <c r="X168" s="1757"/>
      <c r="AL168" s="1130" t="str">
        <f t="shared" si="0"/>
        <v>dpa503_5_6_b</v>
      </c>
      <c r="AM168" s="125">
        <f t="shared" ca="1" si="1"/>
        <v>0</v>
      </c>
    </row>
    <row r="169" spans="1:48" x14ac:dyDescent="0.25">
      <c r="B169" s="21" t="s">
        <v>413</v>
      </c>
      <c r="C169" s="21" t="s">
        <v>277</v>
      </c>
      <c r="D169" s="21" t="s">
        <v>123</v>
      </c>
      <c r="E169" s="21"/>
      <c r="F169" s="21"/>
      <c r="G169" s="21"/>
      <c r="H169" s="760"/>
      <c r="I169" s="90"/>
      <c r="J169" s="90"/>
      <c r="K169" s="89" t="s">
        <v>123</v>
      </c>
      <c r="L169" s="1170" t="s">
        <v>424</v>
      </c>
      <c r="M169" s="494">
        <f ca="1">3*IFERROR(INDEX({0.5,0.5,1},MATCH(W148,INDIRECT(U148),0)),0)</f>
        <v>0</v>
      </c>
      <c r="O169" s="141"/>
      <c r="P169" s="352"/>
      <c r="Q169" s="352"/>
      <c r="X169" s="1757"/>
      <c r="AL169" s="1130" t="str">
        <f t="shared" si="0"/>
        <v>dpa503_5_6_c</v>
      </c>
      <c r="AM169" s="125">
        <f t="shared" ca="1" si="1"/>
        <v>0</v>
      </c>
    </row>
    <row r="170" spans="1:48" x14ac:dyDescent="0.25">
      <c r="B170" s="21" t="s">
        <v>413</v>
      </c>
      <c r="C170" s="21" t="s">
        <v>277</v>
      </c>
      <c r="D170" s="21" t="s">
        <v>401</v>
      </c>
      <c r="E170" s="21"/>
      <c r="F170" s="21"/>
      <c r="G170" s="21"/>
      <c r="H170" s="760"/>
      <c r="I170" s="90"/>
      <c r="J170" s="177"/>
      <c r="K170" s="179" t="s">
        <v>401</v>
      </c>
      <c r="L170" s="1163" t="s">
        <v>425</v>
      </c>
      <c r="M170" s="495">
        <f ca="1">2*IFERROR(INDEX({0.5,0.5,1},MATCH(W148,INDIRECT(U148),0)),0)</f>
        <v>0</v>
      </c>
      <c r="N170" s="178"/>
      <c r="O170" s="501"/>
      <c r="P170" s="352"/>
      <c r="Q170" s="352"/>
      <c r="X170" s="1757"/>
      <c r="AL170" s="1130" t="str">
        <f t="shared" si="0"/>
        <v>dpa503_5_6_d</v>
      </c>
      <c r="AM170" s="125">
        <f t="shared" ca="1" si="1"/>
        <v>0</v>
      </c>
    </row>
    <row r="171" spans="1:48" ht="15" customHeight="1" x14ac:dyDescent="0.25">
      <c r="B171" s="21" t="s">
        <v>413</v>
      </c>
      <c r="C171" s="21" t="s">
        <v>383</v>
      </c>
      <c r="D171" s="21"/>
      <c r="E171" s="21"/>
      <c r="F171" s="21"/>
      <c r="G171" s="21"/>
      <c r="H171" s="760"/>
      <c r="I171" s="90"/>
      <c r="J171" s="174" t="s">
        <v>383</v>
      </c>
      <c r="K171" s="177"/>
      <c r="L171" s="1163" t="s">
        <v>426</v>
      </c>
      <c r="M171" s="495">
        <f ca="1">5*IFERROR(INDEX({0.5,0.5,1},MATCH(W148,INDIRECT(U148),0)),0)</f>
        <v>0</v>
      </c>
      <c r="N171" s="178"/>
      <c r="O171" s="501">
        <f ca="1">M171*S171*W171</f>
        <v>0</v>
      </c>
      <c r="P171" s="352" t="b">
        <v>0</v>
      </c>
      <c r="Q171" s="352" t="b">
        <v>1</v>
      </c>
      <c r="R171" s="63" t="b">
        <v>0</v>
      </c>
      <c r="S171" s="121" t="b">
        <f>NOT(ISBLANK(W148))</f>
        <v>0</v>
      </c>
      <c r="T171" s="94" t="b">
        <f>AND(NOT(S171),W171=TRUE)</f>
        <v>0</v>
      </c>
      <c r="W171" s="25"/>
      <c r="X171" s="71"/>
      <c r="AC171" s="121" t="b">
        <f>OR(AD171:AE171)</f>
        <v>0</v>
      </c>
      <c r="AD171" s="121" t="b">
        <f>T171</f>
        <v>0</v>
      </c>
      <c r="AL171" s="1130" t="str">
        <f t="shared" si="0"/>
        <v>dpa503_5_7</v>
      </c>
      <c r="AM171" s="125">
        <f t="shared" ca="1" si="1"/>
        <v>0</v>
      </c>
      <c r="AN171" s="1130" t="str">
        <f>SUBSTITUTE(SUBSTITUTE(SUBSTITUTE("dpc"&amp;$B171&amp;$C171&amp;$D171&amp;$E171,".","_"),"(","_"),")","")</f>
        <v>dpc503_5_7</v>
      </c>
      <c r="AO171" s="125">
        <f ca="1">O171</f>
        <v>0</v>
      </c>
      <c r="AP171" s="1130" t="str">
        <f>SUBSTITUTE(SUBSTITUTE(SUBSTITUTE("dch"&amp;$B171&amp;$C171&amp;$D171&amp;$E171,".","_"),"(","_"),")","")</f>
        <v>dch503_5_7</v>
      </c>
      <c r="AQ171" s="254" t="str">
        <f>IF(LEN(W171)=0,"",W171)</f>
        <v/>
      </c>
      <c r="AR171" s="1130" t="str">
        <f>SUBSTITUTE(SUBSTITUTE(SUBSTITUTE("dnt"&amp;$B171&amp;$C171&amp;$D171&amp;$E171,".","_"),"(","_"),")","")</f>
        <v>dnt503_5_7</v>
      </c>
      <c r="AS171" s="254" t="str">
        <f>IF(LEN(X171)=0,"",X171)</f>
        <v/>
      </c>
    </row>
    <row r="172" spans="1:48" x14ac:dyDescent="0.25">
      <c r="B172" s="21" t="s">
        <v>413</v>
      </c>
      <c r="C172" s="21" t="s">
        <v>428</v>
      </c>
      <c r="D172" s="21"/>
      <c r="E172" s="21"/>
      <c r="F172" s="21"/>
      <c r="G172" s="21"/>
      <c r="H172" s="760"/>
      <c r="I172" s="90"/>
      <c r="J172" s="91" t="s">
        <v>428</v>
      </c>
      <c r="K172" s="102"/>
      <c r="L172" s="1754" t="s">
        <v>427</v>
      </c>
      <c r="M172" s="1794">
        <f ca="1">5*IFERROR(INDEX({0.5,0.5,1},MATCH(W148,INDIRECT(U148),0)),0)</f>
        <v>0</v>
      </c>
      <c r="N172" s="94"/>
      <c r="O172" s="1774">
        <f ca="1">M172*S172*W172</f>
        <v>0</v>
      </c>
      <c r="P172" s="352" t="b">
        <v>0</v>
      </c>
      <c r="Q172" s="352" t="b">
        <v>1</v>
      </c>
      <c r="R172" s="63" t="b">
        <v>0</v>
      </c>
      <c r="S172" s="121" t="b">
        <f>NOT(ISBLANK(W148))</f>
        <v>0</v>
      </c>
      <c r="T172" s="94" t="b">
        <f>AND(NOT(S172),W172=TRUE)</f>
        <v>0</v>
      </c>
      <c r="W172" s="25"/>
      <c r="X172" s="1757"/>
      <c r="AC172" s="121" t="b">
        <f>OR(AD172:AE172)</f>
        <v>0</v>
      </c>
      <c r="AD172" s="121" t="b">
        <f>T172</f>
        <v>0</v>
      </c>
      <c r="AL172" s="1130" t="str">
        <f t="shared" si="0"/>
        <v>dpa503_5_8</v>
      </c>
      <c r="AM172" s="125">
        <f t="shared" ca="1" si="1"/>
        <v>0</v>
      </c>
      <c r="AN172" s="1130" t="str">
        <f>SUBSTITUTE(SUBSTITUTE(SUBSTITUTE("dpc"&amp;$B172&amp;$C172&amp;$D172&amp;$E172,".","_"),"(","_"),")","")</f>
        <v>dpc503_5_8</v>
      </c>
      <c r="AO172" s="125">
        <f ca="1">O172</f>
        <v>0</v>
      </c>
      <c r="AP172" s="1130" t="str">
        <f>SUBSTITUTE(SUBSTITUTE(SUBSTITUTE("dch"&amp;$B172&amp;$C172&amp;$D172&amp;$E172,".","_"),"(","_"),")","")</f>
        <v>dch503_5_8</v>
      </c>
      <c r="AQ172" s="254" t="str">
        <f>IF(LEN(W172)=0,"",W172)</f>
        <v/>
      </c>
      <c r="AR172" s="1130" t="str">
        <f>SUBSTITUTE(SUBSTITUTE(SUBSTITUTE("dnt"&amp;$B172&amp;$C172&amp;$D172&amp;$E172,".","_"),"(","_"),")","")</f>
        <v>dnt503_5_8</v>
      </c>
      <c r="AS172" s="254" t="str">
        <f>IF(LEN(X172)=0,"",X172)</f>
        <v/>
      </c>
    </row>
    <row r="173" spans="1:48" x14ac:dyDescent="0.25">
      <c r="B173" s="21" t="s">
        <v>413</v>
      </c>
      <c r="C173" s="21" t="s">
        <v>428</v>
      </c>
      <c r="D173" s="21"/>
      <c r="E173" s="21"/>
      <c r="F173" s="21"/>
      <c r="G173" s="21"/>
      <c r="H173" s="760"/>
      <c r="I173" s="90"/>
      <c r="J173" s="102"/>
      <c r="K173" s="102"/>
      <c r="L173" s="1754"/>
      <c r="M173" s="1794"/>
      <c r="N173" s="94"/>
      <c r="O173" s="1774"/>
      <c r="P173" s="352"/>
      <c r="Q173" s="352"/>
      <c r="X173" s="1757"/>
    </row>
    <row r="174" spans="1:48" x14ac:dyDescent="0.25">
      <c r="B174" s="21" t="s">
        <v>413</v>
      </c>
      <c r="C174" s="21" t="s">
        <v>428</v>
      </c>
      <c r="D174" s="21"/>
      <c r="E174" s="21"/>
      <c r="F174" s="21"/>
      <c r="G174" s="21"/>
      <c r="H174" s="760"/>
      <c r="I174" s="90"/>
      <c r="J174" s="102"/>
      <c r="K174" s="102"/>
      <c r="L174" s="1754"/>
      <c r="M174" s="1794"/>
      <c r="N174" s="94"/>
      <c r="O174" s="1774"/>
      <c r="P174" s="352"/>
      <c r="Q174" s="352"/>
      <c r="X174" s="1757"/>
    </row>
    <row r="175" spans="1:48" x14ac:dyDescent="0.25">
      <c r="B175" s="21" t="s">
        <v>413</v>
      </c>
      <c r="C175" s="21" t="s">
        <v>428</v>
      </c>
      <c r="D175" s="21"/>
      <c r="E175" s="21"/>
      <c r="F175" s="21"/>
      <c r="G175" s="21"/>
      <c r="H175" s="760"/>
      <c r="I175" s="90"/>
      <c r="J175" s="102"/>
      <c r="K175" s="102"/>
      <c r="L175" s="1754"/>
      <c r="M175" s="1794"/>
      <c r="N175" s="94"/>
      <c r="O175" s="1774"/>
      <c r="P175" s="352"/>
      <c r="Q175" s="352"/>
      <c r="X175" s="1757"/>
    </row>
    <row r="176" spans="1:48" x14ac:dyDescent="0.25">
      <c r="B176" s="21" t="s">
        <v>413</v>
      </c>
      <c r="C176" s="21" t="s">
        <v>428</v>
      </c>
      <c r="D176" s="21"/>
      <c r="E176" s="21"/>
      <c r="F176" s="21"/>
      <c r="G176" s="21"/>
      <c r="H176" s="760"/>
      <c r="I176" s="90"/>
      <c r="J176" s="177"/>
      <c r="K176" s="177"/>
      <c r="L176" s="1755"/>
      <c r="M176" s="1795"/>
      <c r="N176" s="178"/>
      <c r="O176" s="1764"/>
      <c r="P176" s="352"/>
      <c r="Q176" s="352"/>
      <c r="X176" s="1757"/>
    </row>
    <row r="177" spans="1:61" x14ac:dyDescent="0.25">
      <c r="B177" s="21" t="s">
        <v>413</v>
      </c>
      <c r="C177" s="21" t="s">
        <v>430</v>
      </c>
      <c r="D177" s="21"/>
      <c r="E177" s="21"/>
      <c r="F177" s="21"/>
      <c r="G177" s="21"/>
      <c r="H177" s="760"/>
      <c r="I177" s="90"/>
      <c r="J177" s="91" t="s">
        <v>430</v>
      </c>
      <c r="K177" s="102"/>
      <c r="L177" s="1754" t="s">
        <v>429</v>
      </c>
      <c r="M177" s="1794">
        <f ca="1">5*IFERROR(INDEX({0.5,0.5,1},MATCH(W148,INDIRECT(U148),0)),0)</f>
        <v>0</v>
      </c>
      <c r="N177" s="94"/>
      <c r="O177" s="1774">
        <f ca="1">M177*S177*W177</f>
        <v>0</v>
      </c>
      <c r="P177" s="94" t="b">
        <v>0</v>
      </c>
      <c r="Q177" s="94" t="b">
        <v>1</v>
      </c>
      <c r="R177" s="63" t="b">
        <v>0</v>
      </c>
      <c r="S177" s="121" t="b">
        <f>NOT(ISBLANK(W148))</f>
        <v>0</v>
      </c>
      <c r="T177" s="94" t="b">
        <f>AND(NOT(S177),W177=TRUE)</f>
        <v>0</v>
      </c>
      <c r="W177" s="25"/>
      <c r="X177" s="1757"/>
      <c r="AC177" s="121" t="b">
        <f>OR(AD177:AE177)</f>
        <v>0</v>
      </c>
      <c r="AD177" s="121" t="b">
        <f>T177</f>
        <v>0</v>
      </c>
      <c r="AL177" s="1130" t="str">
        <f>SUBSTITUTE(SUBSTITUTE(SUBSTITUTE("dpa"&amp;$B177&amp;$C177&amp;$D177&amp;$E177,".","_"),"(","_"),")","")</f>
        <v>dpa503_5_9</v>
      </c>
      <c r="AM177" s="125">
        <f ca="1">M177</f>
        <v>0</v>
      </c>
      <c r="AN177" s="1130" t="str">
        <f>SUBSTITUTE(SUBSTITUTE(SUBSTITUTE("dpc"&amp;$B177&amp;$C177&amp;$D177&amp;$E177,".","_"),"(","_"),")","")</f>
        <v>dpc503_5_9</v>
      </c>
      <c r="AO177" s="125">
        <f ca="1">O177</f>
        <v>0</v>
      </c>
      <c r="AP177" s="1130" t="str">
        <f>SUBSTITUTE(SUBSTITUTE(SUBSTITUTE("dch"&amp;$B177&amp;$C177&amp;$D177&amp;$E177,".","_"),"(","_"),")","")</f>
        <v>dch503_5_9</v>
      </c>
      <c r="AQ177" s="254" t="str">
        <f>IF(LEN(W177)=0,"",W177)</f>
        <v/>
      </c>
      <c r="AR177" s="1130" t="str">
        <f>SUBSTITUTE(SUBSTITUTE(SUBSTITUTE("dnt"&amp;$B177&amp;$C177&amp;$D177&amp;$E177,".","_"),"(","_"),")","")</f>
        <v>dnt503_5_9</v>
      </c>
      <c r="AS177" s="254" t="str">
        <f>IF(LEN(X177)=0,"",X177)</f>
        <v/>
      </c>
    </row>
    <row r="178" spans="1:61" x14ac:dyDescent="0.25">
      <c r="B178" s="21" t="s">
        <v>413</v>
      </c>
      <c r="C178" s="21" t="s">
        <v>430</v>
      </c>
      <c r="D178" s="21"/>
      <c r="E178" s="21"/>
      <c r="F178" s="21"/>
      <c r="G178" s="21"/>
      <c r="H178" s="760"/>
      <c r="I178" s="90"/>
      <c r="J178" s="177"/>
      <c r="K178" s="177"/>
      <c r="L178" s="1755"/>
      <c r="M178" s="1795"/>
      <c r="N178" s="178"/>
      <c r="O178" s="1764"/>
      <c r="P178" s="352"/>
      <c r="Q178" s="352"/>
      <c r="X178" s="1757"/>
    </row>
    <row r="179" spans="1:61" x14ac:dyDescent="0.25">
      <c r="B179" s="21" t="s">
        <v>413</v>
      </c>
      <c r="C179" s="21" t="s">
        <v>432</v>
      </c>
      <c r="D179" s="21"/>
      <c r="E179" s="21"/>
      <c r="F179" s="21"/>
      <c r="G179" s="21"/>
      <c r="H179" s="760"/>
      <c r="I179" s="90"/>
      <c r="J179" s="91" t="s">
        <v>432</v>
      </c>
      <c r="K179" s="102"/>
      <c r="L179" s="1754" t="s">
        <v>431</v>
      </c>
      <c r="M179" s="1762">
        <v>3</v>
      </c>
      <c r="N179" s="94"/>
      <c r="O179" s="1763">
        <f>M179*S179*W179</f>
        <v>0</v>
      </c>
      <c r="P179" s="94" t="b">
        <v>0</v>
      </c>
      <c r="Q179" s="94" t="b">
        <v>1</v>
      </c>
      <c r="R179" s="63" t="b">
        <v>0</v>
      </c>
      <c r="S179" s="121" t="b">
        <f>NOT(ISBLANK(W148))</f>
        <v>0</v>
      </c>
      <c r="T179" s="94" t="b">
        <f>AND(NOT(S179),W179=TRUE)</f>
        <v>0</v>
      </c>
      <c r="W179" s="25"/>
      <c r="X179" s="1798"/>
      <c r="AC179" s="121" t="b">
        <f>OR(AD179:AE179)</f>
        <v>0</v>
      </c>
      <c r="AD179" s="121" t="b">
        <f>T179</f>
        <v>0</v>
      </c>
      <c r="AL179" s="1130" t="str">
        <f>SUBSTITUTE(SUBSTITUTE(SUBSTITUTE("dpa"&amp;$B179&amp;$C179&amp;$D179&amp;$E179,".","_"),"(","_"),")","")</f>
        <v>dpa503_5_10</v>
      </c>
      <c r="AM179" s="125">
        <f>M179</f>
        <v>3</v>
      </c>
      <c r="AN179" s="1130" t="str">
        <f>SUBSTITUTE(SUBSTITUTE(SUBSTITUTE("dpc"&amp;$B179&amp;$C179&amp;$D179&amp;$E179,".","_"),"(","_"),")","")</f>
        <v>dpc503_5_10</v>
      </c>
      <c r="AO179" s="125">
        <f>O179</f>
        <v>0</v>
      </c>
      <c r="AP179" s="1130" t="str">
        <f>SUBSTITUTE(SUBSTITUTE(SUBSTITUTE("dch"&amp;$B179&amp;$C179&amp;$D179&amp;$E179,".","_"),"(","_"),")","")</f>
        <v>dch503_5_10</v>
      </c>
      <c r="AQ179" s="254" t="str">
        <f>IF(LEN(W179)=0,"",W179)</f>
        <v/>
      </c>
      <c r="AR179" s="1130" t="str">
        <f>SUBSTITUTE(SUBSTITUTE(SUBSTITUTE("dnt"&amp;$B179&amp;$C179&amp;$D179&amp;$E179,".","_"),"(","_"),")","")</f>
        <v>dnt503_5_10</v>
      </c>
      <c r="AS179" s="254" t="str">
        <f>IF(LEN(X179)=0,"",X179)</f>
        <v/>
      </c>
    </row>
    <row r="180" spans="1:61" x14ac:dyDescent="0.25">
      <c r="B180" s="21" t="s">
        <v>413</v>
      </c>
      <c r="C180" s="21" t="s">
        <v>432</v>
      </c>
      <c r="D180" s="21"/>
      <c r="E180" s="21"/>
      <c r="F180" s="21"/>
      <c r="G180" s="21"/>
      <c r="H180" s="760"/>
      <c r="I180" s="90"/>
      <c r="J180" s="102"/>
      <c r="K180" s="102"/>
      <c r="L180" s="1754"/>
      <c r="M180" s="1758"/>
      <c r="N180" s="94"/>
      <c r="O180" s="1774"/>
      <c r="P180" s="352"/>
      <c r="Q180" s="352"/>
      <c r="X180" s="1799"/>
      <c r="AX180" s="159"/>
      <c r="AY180" s="159"/>
    </row>
    <row r="181" spans="1:61" s="159" customFormat="1" x14ac:dyDescent="0.25">
      <c r="A181" s="18"/>
      <c r="B181" s="21" t="s">
        <v>413</v>
      </c>
      <c r="C181" s="21" t="s">
        <v>432</v>
      </c>
      <c r="D181" s="21"/>
      <c r="E181" s="21"/>
      <c r="F181" s="21"/>
      <c r="G181" s="21"/>
      <c r="H181" s="760"/>
      <c r="I181" s="90"/>
      <c r="J181" s="177"/>
      <c r="K181" s="177"/>
      <c r="L181" s="1755"/>
      <c r="M181" s="1759"/>
      <c r="N181" s="178"/>
      <c r="O181" s="1764"/>
      <c r="P181" s="352"/>
      <c r="Q181" s="352"/>
      <c r="X181" s="1756"/>
      <c r="Y181" s="780"/>
      <c r="AA181" s="783"/>
      <c r="AX181"/>
      <c r="AY181"/>
      <c r="AZ181"/>
      <c r="BA181"/>
      <c r="BB181"/>
      <c r="BC181"/>
      <c r="BD181"/>
      <c r="BE181"/>
      <c r="BF181"/>
      <c r="BG181"/>
      <c r="BH181"/>
      <c r="BI181"/>
    </row>
    <row r="182" spans="1:61" x14ac:dyDescent="0.25">
      <c r="B182" s="21" t="s">
        <v>413</v>
      </c>
      <c r="C182" s="21" t="s">
        <v>434</v>
      </c>
      <c r="D182" s="21"/>
      <c r="E182" s="21"/>
      <c r="F182" s="21"/>
      <c r="G182" s="21"/>
      <c r="H182" s="760"/>
      <c r="I182" s="90"/>
      <c r="J182" s="91" t="s">
        <v>434</v>
      </c>
      <c r="K182" s="102"/>
      <c r="L182" s="1754" t="s">
        <v>433</v>
      </c>
      <c r="M182" s="1758">
        <v>4</v>
      </c>
      <c r="N182" s="94"/>
      <c r="O182" s="1774">
        <f>M182*S182*W182</f>
        <v>0</v>
      </c>
      <c r="P182" s="94" t="b">
        <v>0</v>
      </c>
      <c r="Q182" s="94" t="b">
        <v>1</v>
      </c>
      <c r="R182" s="63" t="b">
        <v>0</v>
      </c>
      <c r="S182" s="121" t="b">
        <f>NOT(ISBLANK(W148))</f>
        <v>0</v>
      </c>
      <c r="T182" s="94" t="b">
        <f>AND(NOT(S182),W182=TRUE)</f>
        <v>0</v>
      </c>
      <c r="W182" s="25"/>
      <c r="X182" s="1757"/>
      <c r="AC182" s="121" t="b">
        <f>OR(AD182:AE182)</f>
        <v>0</v>
      </c>
      <c r="AD182" s="121" t="b">
        <f>T182</f>
        <v>0</v>
      </c>
      <c r="AL182" s="1130" t="str">
        <f>SUBSTITUTE(SUBSTITUTE(SUBSTITUTE("dpa"&amp;$B182&amp;$C182&amp;$D182&amp;$E182,".","_"),"(","_"),")","")</f>
        <v>dpa503_5_11</v>
      </c>
      <c r="AM182" s="125">
        <f>M182</f>
        <v>4</v>
      </c>
      <c r="AN182" s="1130" t="str">
        <f>SUBSTITUTE(SUBSTITUTE(SUBSTITUTE("dpc"&amp;$B182&amp;$C182&amp;$D182&amp;$E182,".","_"),"(","_"),")","")</f>
        <v>dpc503_5_11</v>
      </c>
      <c r="AO182" s="125">
        <f>O182</f>
        <v>0</v>
      </c>
      <c r="AP182" s="1130" t="str">
        <f>SUBSTITUTE(SUBSTITUTE(SUBSTITUTE("dch"&amp;$B182&amp;$C182&amp;$D182&amp;$E182,".","_"),"(","_"),")","")</f>
        <v>dch503_5_11</v>
      </c>
      <c r="AQ182" s="254" t="str">
        <f>IF(LEN(W182)=0,"",W182)</f>
        <v/>
      </c>
      <c r="AR182" s="1130" t="str">
        <f>SUBSTITUTE(SUBSTITUTE(SUBSTITUTE("dnt"&amp;$B182&amp;$C182&amp;$D182&amp;$E182,".","_"),"(","_"),")","")</f>
        <v>dnt503_5_11</v>
      </c>
      <c r="AS182" s="254" t="str">
        <f>IF(LEN(X182)=0,"",X182)</f>
        <v/>
      </c>
      <c r="AZ182" s="159"/>
      <c r="BA182" s="159"/>
      <c r="BB182" s="159"/>
      <c r="BC182" s="159"/>
      <c r="BD182" s="159"/>
      <c r="BE182" s="159"/>
      <c r="BF182" s="159"/>
      <c r="BG182" s="159"/>
      <c r="BH182" s="159"/>
      <c r="BI182" s="159"/>
    </row>
    <row r="183" spans="1:61" x14ac:dyDescent="0.25">
      <c r="B183" s="21" t="s">
        <v>413</v>
      </c>
      <c r="C183" s="21" t="s">
        <v>434</v>
      </c>
      <c r="D183" s="21"/>
      <c r="E183" s="21"/>
      <c r="F183" s="21"/>
      <c r="G183" s="21"/>
      <c r="H183" s="760"/>
      <c r="I183" s="90"/>
      <c r="J183" s="177"/>
      <c r="K183" s="177"/>
      <c r="L183" s="1755"/>
      <c r="M183" s="1759"/>
      <c r="N183" s="178"/>
      <c r="O183" s="1764"/>
      <c r="P183" s="352"/>
      <c r="Q183" s="352"/>
      <c r="X183" s="1757"/>
    </row>
    <row r="184" spans="1:61" x14ac:dyDescent="0.25">
      <c r="B184" s="21" t="s">
        <v>413</v>
      </c>
      <c r="C184" s="21" t="s">
        <v>436</v>
      </c>
      <c r="D184" s="21"/>
      <c r="E184" s="21"/>
      <c r="F184" s="21"/>
      <c r="G184" s="21"/>
      <c r="H184" s="760"/>
      <c r="I184" s="90"/>
      <c r="J184" s="91" t="s">
        <v>436</v>
      </c>
      <c r="K184" s="102"/>
      <c r="L184" s="1754" t="s">
        <v>435</v>
      </c>
      <c r="M184" s="1758">
        <v>3</v>
      </c>
      <c r="N184" s="94"/>
      <c r="O184" s="1774">
        <f>M184*S184*W184</f>
        <v>0</v>
      </c>
      <c r="P184" s="94" t="b">
        <v>0</v>
      </c>
      <c r="Q184" s="94" t="b">
        <v>1</v>
      </c>
      <c r="R184" s="63" t="b">
        <v>0</v>
      </c>
      <c r="S184" s="121" t="b">
        <f>NOT(ISBLANK(W148))</f>
        <v>0</v>
      </c>
      <c r="T184" s="94" t="b">
        <f>AND(NOT(S184),W184=TRUE)</f>
        <v>0</v>
      </c>
      <c r="W184" s="25"/>
      <c r="X184" s="1757"/>
      <c r="AC184" s="121" t="b">
        <f>OR(AD184:AE184)</f>
        <v>0</v>
      </c>
      <c r="AD184" s="121" t="b">
        <f>T184</f>
        <v>0</v>
      </c>
      <c r="AL184" s="1130" t="str">
        <f>SUBSTITUTE(SUBSTITUTE(SUBSTITUTE("dpa"&amp;$B184&amp;$C184&amp;$D184&amp;$E184,".","_"),"(","_"),")","")</f>
        <v>dpa503_5_12</v>
      </c>
      <c r="AM184" s="125">
        <f>M184</f>
        <v>3</v>
      </c>
      <c r="AN184" s="1130" t="str">
        <f>SUBSTITUTE(SUBSTITUTE(SUBSTITUTE("dpc"&amp;$B184&amp;$C184&amp;$D184&amp;$E184,".","_"),"(","_"),")","")</f>
        <v>dpc503_5_12</v>
      </c>
      <c r="AO184" s="125">
        <f>O184</f>
        <v>0</v>
      </c>
      <c r="AP184" s="1130" t="str">
        <f>SUBSTITUTE(SUBSTITUTE(SUBSTITUTE("dch"&amp;$B184&amp;$C184&amp;$D184&amp;$E184,".","_"),"(","_"),")","")</f>
        <v>dch503_5_12</v>
      </c>
      <c r="AQ184" s="254" t="str">
        <f>IF(LEN(W184)=0,"",W184)</f>
        <v/>
      </c>
      <c r="AR184" s="1130" t="str">
        <f>SUBSTITUTE(SUBSTITUTE(SUBSTITUTE("dnt"&amp;$B184&amp;$C184&amp;$D184&amp;$E184,".","_"),"(","_"),")","")</f>
        <v>dnt503_5_12</v>
      </c>
      <c r="AS184" s="254" t="str">
        <f>IF(LEN(X184)=0,"",X184)</f>
        <v/>
      </c>
    </row>
    <row r="185" spans="1:61" x14ac:dyDescent="0.25">
      <c r="B185" s="21" t="s">
        <v>413</v>
      </c>
      <c r="C185" s="21" t="s">
        <v>436</v>
      </c>
      <c r="D185" s="21"/>
      <c r="E185" s="21"/>
      <c r="F185" s="21"/>
      <c r="G185" s="21"/>
      <c r="H185" s="760"/>
      <c r="I185" s="90"/>
      <c r="J185" s="177"/>
      <c r="K185" s="177"/>
      <c r="L185" s="1755"/>
      <c r="M185" s="1759"/>
      <c r="N185" s="178"/>
      <c r="O185" s="1764"/>
      <c r="P185" s="352"/>
      <c r="Q185" s="352"/>
      <c r="X185" s="1757"/>
    </row>
    <row r="186" spans="1:61" x14ac:dyDescent="0.25">
      <c r="B186" s="21" t="s">
        <v>413</v>
      </c>
      <c r="C186" s="21" t="s">
        <v>3295</v>
      </c>
      <c r="D186" s="21"/>
      <c r="E186" s="21"/>
      <c r="F186" s="21"/>
      <c r="G186" s="21"/>
      <c r="H186" s="760"/>
      <c r="I186" s="102"/>
      <c r="J186" s="91" t="s">
        <v>3295</v>
      </c>
      <c r="K186" s="102"/>
      <c r="L186" s="1754" t="s">
        <v>437</v>
      </c>
      <c r="M186" s="1758">
        <v>6</v>
      </c>
      <c r="N186" s="94"/>
      <c r="O186" s="1780">
        <f>M186*S186*W186</f>
        <v>0</v>
      </c>
      <c r="P186" s="94" t="b">
        <v>0</v>
      </c>
      <c r="Q186" s="94" t="b">
        <v>1</v>
      </c>
      <c r="R186" s="94" t="b">
        <v>0</v>
      </c>
      <c r="S186" s="121" t="b">
        <f>NOT(ISBLANK(W148))</f>
        <v>0</v>
      </c>
      <c r="T186" s="94" t="b">
        <f>AND(NOT(S186),W186=TRUE)</f>
        <v>0</v>
      </c>
      <c r="U186" s="94"/>
      <c r="V186" s="94"/>
      <c r="W186" s="25"/>
      <c r="X186" s="1770"/>
      <c r="AC186" s="121" t="b">
        <f>OR(AD186:AE186)</f>
        <v>0</v>
      </c>
      <c r="AD186" s="121" t="b">
        <f>T186</f>
        <v>0</v>
      </c>
      <c r="AL186" s="1130" t="str">
        <f>SUBSTITUTE(SUBSTITUTE(SUBSTITUTE("dpa"&amp;$B186&amp;$C186&amp;$D186&amp;$E186,".","_"),"(","_"),")","")</f>
        <v>dpa503_5_13</v>
      </c>
      <c r="AM186" s="125">
        <f>M186</f>
        <v>6</v>
      </c>
      <c r="AN186" s="1130" t="str">
        <f>SUBSTITUTE(SUBSTITUTE(SUBSTITUTE("dpc"&amp;$B186&amp;$C186&amp;$D186&amp;$E186,".","_"),"(","_"),")","")</f>
        <v>dpc503_5_13</v>
      </c>
      <c r="AO186" s="125">
        <f>O186</f>
        <v>0</v>
      </c>
      <c r="AP186" s="1130" t="str">
        <f>SUBSTITUTE(SUBSTITUTE(SUBSTITUTE("dch"&amp;$B186&amp;$C186&amp;$D186&amp;$E186,".","_"),"(","_"),")","")</f>
        <v>dch503_5_13</v>
      </c>
      <c r="AQ186" s="254" t="str">
        <f>IF(LEN(W186)=0,"",W186)</f>
        <v/>
      </c>
      <c r="AR186" s="1130" t="str">
        <f>SUBSTITUTE(SUBSTITUTE(SUBSTITUTE("dnt"&amp;$B186&amp;$C186&amp;$D186&amp;$E186,".","_"),"(","_"),")","")</f>
        <v>dnt503_5_13</v>
      </c>
      <c r="AS186" s="254" t="str">
        <f>IF(LEN(X186)=0,"",X186)</f>
        <v/>
      </c>
    </row>
    <row r="187" spans="1:61" ht="15.75" thickBot="1" x14ac:dyDescent="0.3">
      <c r="B187" s="21" t="s">
        <v>413</v>
      </c>
      <c r="C187" s="21" t="s">
        <v>3295</v>
      </c>
      <c r="D187" s="21"/>
      <c r="E187" s="21"/>
      <c r="F187" s="21"/>
      <c r="G187" s="21"/>
      <c r="H187" s="760"/>
      <c r="I187" s="103"/>
      <c r="J187" s="103"/>
      <c r="K187" s="103"/>
      <c r="L187" s="1783"/>
      <c r="M187" s="1768"/>
      <c r="N187" s="99"/>
      <c r="O187" s="1775"/>
      <c r="P187" s="99"/>
      <c r="Q187" s="99"/>
      <c r="R187" s="99"/>
      <c r="S187" s="99"/>
      <c r="T187" s="99"/>
      <c r="U187" s="99"/>
      <c r="V187" s="99"/>
      <c r="W187" s="99"/>
      <c r="X187" s="1771"/>
    </row>
    <row r="188" spans="1:61" ht="15.75" thickTop="1" x14ac:dyDescent="0.25">
      <c r="B188" s="21" t="s">
        <v>438</v>
      </c>
      <c r="C188" s="21"/>
      <c r="D188" s="21"/>
      <c r="E188" s="21"/>
      <c r="F188" s="21"/>
      <c r="G188" s="21"/>
      <c r="H188" s="760"/>
      <c r="I188" s="65">
        <v>503.6</v>
      </c>
      <c r="J188" s="90"/>
      <c r="K188" s="90"/>
      <c r="L188" s="1796" t="s">
        <v>439</v>
      </c>
      <c r="M188" s="428"/>
      <c r="O188" s="1773">
        <f>IF((M190*W190+M191*W191+M192*W192+M194*W194)&gt;=6,(M190*W190+M191*W191+M192*W192+M194*W194),0)</f>
        <v>0</v>
      </c>
      <c r="P188" s="352"/>
      <c r="Q188" s="352"/>
      <c r="R188" s="63"/>
      <c r="S188" s="63"/>
      <c r="T188" s="63"/>
      <c r="X188" s="1784"/>
      <c r="AN188" s="1130" t="str">
        <f>SUBSTITUTE(SUBSTITUTE(SUBSTITUTE("dpc"&amp;$B188&amp;$C188&amp;$D188&amp;$E188,".","_"),"(","_"),")","")</f>
        <v>dpc503_6</v>
      </c>
      <c r="AO188" s="254">
        <f>O188</f>
        <v>0</v>
      </c>
      <c r="AR188" s="1130" t="str">
        <f>SUBSTITUTE(SUBSTITUTE(SUBSTITUTE("dnt"&amp;$B188&amp;$C188&amp;$D188&amp;$E188,".","_"),"(","_"),")","")</f>
        <v>dnt503_6</v>
      </c>
      <c r="AS188" s="254" t="str">
        <f>IF(LEN(X188)=0,"",X188)</f>
        <v/>
      </c>
    </row>
    <row r="189" spans="1:61" x14ac:dyDescent="0.25">
      <c r="B189" s="21" t="s">
        <v>438</v>
      </c>
      <c r="C189" s="21"/>
      <c r="D189" s="21"/>
      <c r="E189" s="21"/>
      <c r="F189" s="21"/>
      <c r="G189" s="21"/>
      <c r="H189" s="760"/>
      <c r="I189" s="90"/>
      <c r="J189" s="90"/>
      <c r="K189" s="90"/>
      <c r="L189" s="1796"/>
      <c r="M189" s="428"/>
      <c r="O189" s="1780"/>
      <c r="P189" s="352"/>
      <c r="Q189" s="352"/>
      <c r="X189" s="1770"/>
    </row>
    <row r="190" spans="1:61" x14ac:dyDescent="0.25">
      <c r="B190" s="21" t="s">
        <v>438</v>
      </c>
      <c r="C190" s="21" t="s">
        <v>256</v>
      </c>
      <c r="D190" s="21"/>
      <c r="E190" s="21"/>
      <c r="F190" s="21"/>
      <c r="G190" s="21"/>
      <c r="H190" s="760"/>
      <c r="I190" s="90"/>
      <c r="J190" s="174" t="s">
        <v>256</v>
      </c>
      <c r="K190" s="177"/>
      <c r="L190" s="1163" t="s">
        <v>440</v>
      </c>
      <c r="M190" s="426">
        <v>3</v>
      </c>
      <c r="N190" s="178"/>
      <c r="O190" s="501"/>
      <c r="P190" s="352" t="b">
        <v>0</v>
      </c>
      <c r="Q190" s="352" t="b">
        <v>1</v>
      </c>
      <c r="R190" s="63" t="b">
        <v>0</v>
      </c>
      <c r="S190" s="63" t="b">
        <v>1</v>
      </c>
      <c r="T190" s="63" t="b">
        <v>0</v>
      </c>
      <c r="W190" s="25"/>
      <c r="X190" s="1770"/>
      <c r="AL190" s="1130" t="str">
        <f>SUBSTITUTE(SUBSTITUTE(SUBSTITUTE("dpa"&amp;$B190&amp;$C190&amp;$D190&amp;$E190,".","_"),"(","_"),")","")</f>
        <v>dpa503_6_1</v>
      </c>
      <c r="AM190" s="125">
        <f>M190</f>
        <v>3</v>
      </c>
      <c r="AN190" s="735"/>
      <c r="AO190" s="125"/>
      <c r="AP190" s="1130" t="str">
        <f>SUBSTITUTE(SUBSTITUTE(SUBSTITUTE("dch"&amp;$B190&amp;$C190&amp;$D190&amp;$E190,".","_"),"(","_"),")","")</f>
        <v>dch503_6_1</v>
      </c>
      <c r="AQ190" s="254" t="str">
        <f>IF(LEN(W190)=0,"",W190)</f>
        <v/>
      </c>
    </row>
    <row r="191" spans="1:61" x14ac:dyDescent="0.25">
      <c r="B191" s="21" t="s">
        <v>438</v>
      </c>
      <c r="C191" s="21" t="s">
        <v>258</v>
      </c>
      <c r="D191" s="21"/>
      <c r="E191" s="21"/>
      <c r="F191" s="21"/>
      <c r="G191" s="21"/>
      <c r="H191" s="760"/>
      <c r="I191" s="90"/>
      <c r="J191" s="174" t="s">
        <v>258</v>
      </c>
      <c r="K191" s="177"/>
      <c r="L191" s="1163" t="s">
        <v>441</v>
      </c>
      <c r="M191" s="426">
        <v>3</v>
      </c>
      <c r="N191" s="178"/>
      <c r="O191" s="501"/>
      <c r="P191" s="352" t="b">
        <v>0</v>
      </c>
      <c r="Q191" s="352" t="b">
        <v>1</v>
      </c>
      <c r="R191" s="63" t="b">
        <v>0</v>
      </c>
      <c r="S191" s="63" t="b">
        <v>1</v>
      </c>
      <c r="T191" s="63" t="b">
        <v>0</v>
      </c>
      <c r="W191" s="25"/>
      <c r="X191" s="1770"/>
      <c r="AL191" s="1130" t="str">
        <f>SUBSTITUTE(SUBSTITUTE(SUBSTITUTE("dpa"&amp;$B191&amp;$C191&amp;$D191&amp;$E191,".","_"),"(","_"),")","")</f>
        <v>dpa503_6_2</v>
      </c>
      <c r="AM191" s="125">
        <f>M191</f>
        <v>3</v>
      </c>
      <c r="AN191" s="735"/>
      <c r="AO191" s="125"/>
      <c r="AP191" s="1130" t="str">
        <f>SUBSTITUTE(SUBSTITUTE(SUBSTITUTE("dch"&amp;$B191&amp;$C191&amp;$D191&amp;$E191,".","_"),"(","_"),")","")</f>
        <v>dch503_6_2</v>
      </c>
      <c r="AQ191" s="254" t="str">
        <f>IF(LEN(W191)=0,"",W191)</f>
        <v/>
      </c>
    </row>
    <row r="192" spans="1:61" x14ac:dyDescent="0.25">
      <c r="B192" s="21" t="s">
        <v>438</v>
      </c>
      <c r="C192" s="21" t="s">
        <v>260</v>
      </c>
      <c r="D192" s="21"/>
      <c r="E192" s="21"/>
      <c r="F192" s="21"/>
      <c r="G192" s="21"/>
      <c r="H192" s="760"/>
      <c r="I192" s="90"/>
      <c r="J192" s="91" t="s">
        <v>260</v>
      </c>
      <c r="K192" s="102"/>
      <c r="L192" s="1754" t="s">
        <v>442</v>
      </c>
      <c r="M192" s="1758">
        <v>3</v>
      </c>
      <c r="N192" s="94"/>
      <c r="O192" s="239"/>
      <c r="P192" s="352" t="b">
        <v>0</v>
      </c>
      <c r="Q192" s="352" t="b">
        <v>1</v>
      </c>
      <c r="R192" s="63" t="b">
        <v>0</v>
      </c>
      <c r="S192" s="63" t="b">
        <v>1</v>
      </c>
      <c r="T192" s="63" t="b">
        <v>0</v>
      </c>
      <c r="W192" s="25"/>
      <c r="X192" s="1770"/>
      <c r="AL192" s="1130" t="str">
        <f>SUBSTITUTE(SUBSTITUTE(SUBSTITUTE("dpa"&amp;$B192&amp;$C192&amp;$D192&amp;$E192,".","_"),"(","_"),")","")</f>
        <v>dpa503_6_3</v>
      </c>
      <c r="AM192" s="125">
        <f>M192</f>
        <v>3</v>
      </c>
      <c r="AN192" s="735"/>
      <c r="AO192" s="125"/>
      <c r="AP192" s="1130" t="str">
        <f>SUBSTITUTE(SUBSTITUTE(SUBSTITUTE("dch"&amp;$B192&amp;$C192&amp;$D192&amp;$E192,".","_"),"(","_"),")","")</f>
        <v>dch503_6_3</v>
      </c>
      <c r="AQ192" s="254" t="str">
        <f>IF(LEN(W192)=0,"",W192)</f>
        <v/>
      </c>
    </row>
    <row r="193" spans="2:45" x14ac:dyDescent="0.25">
      <c r="B193" s="21" t="s">
        <v>438</v>
      </c>
      <c r="C193" s="21" t="s">
        <v>260</v>
      </c>
      <c r="D193" s="21"/>
      <c r="E193" s="21"/>
      <c r="F193" s="21"/>
      <c r="G193" s="21"/>
      <c r="H193" s="760"/>
      <c r="I193" s="90"/>
      <c r="J193" s="177"/>
      <c r="K193" s="177"/>
      <c r="L193" s="1755"/>
      <c r="M193" s="1759"/>
      <c r="N193" s="178"/>
      <c r="O193" s="501"/>
      <c r="P193" s="352"/>
      <c r="Q193" s="352"/>
      <c r="X193" s="1770"/>
    </row>
    <row r="194" spans="2:45" ht="15.75" thickBot="1" x14ac:dyDescent="0.3">
      <c r="B194" s="21" t="s">
        <v>438</v>
      </c>
      <c r="C194" s="21" t="s">
        <v>269</v>
      </c>
      <c r="D194" s="21"/>
      <c r="E194" s="21"/>
      <c r="F194" s="21"/>
      <c r="G194" s="21"/>
      <c r="H194" s="760"/>
      <c r="I194" s="103"/>
      <c r="J194" s="96" t="s">
        <v>269</v>
      </c>
      <c r="K194" s="103"/>
      <c r="L194" s="1171" t="s">
        <v>443</v>
      </c>
      <c r="M194" s="429">
        <v>3</v>
      </c>
      <c r="N194" s="99"/>
      <c r="O194" s="241"/>
      <c r="P194" s="352" t="b">
        <v>0</v>
      </c>
      <c r="Q194" s="352" t="b">
        <v>1</v>
      </c>
      <c r="R194" s="99" t="b">
        <v>0</v>
      </c>
      <c r="S194" s="99" t="b">
        <v>1</v>
      </c>
      <c r="T194" s="99" t="b">
        <v>0</v>
      </c>
      <c r="U194" s="99"/>
      <c r="V194" s="99"/>
      <c r="W194" s="100"/>
      <c r="X194" s="1771"/>
      <c r="AL194" s="1130" t="str">
        <f>SUBSTITUTE(SUBSTITUTE(SUBSTITUTE("dpa"&amp;$B194&amp;$C194&amp;$D194&amp;$E194,".","_"),"(","_"),")","")</f>
        <v>dpa503_6_4</v>
      </c>
      <c r="AM194" s="125">
        <f>M194</f>
        <v>3</v>
      </c>
      <c r="AN194" s="735"/>
      <c r="AO194" s="125"/>
      <c r="AP194" s="1130" t="str">
        <f>SUBSTITUTE(SUBSTITUTE(SUBSTITUTE("dch"&amp;$B194&amp;$C194&amp;$D194&amp;$E194,".","_"),"(","_"),")","")</f>
        <v>dch503_6_4</v>
      </c>
      <c r="AQ194" s="254" t="str">
        <f>IF(LEN(W194)=0,"",W194)</f>
        <v/>
      </c>
    </row>
    <row r="195" spans="2:45" ht="15.75" thickTop="1" x14ac:dyDescent="0.25">
      <c r="B195" s="21" t="s">
        <v>444</v>
      </c>
      <c r="C195" s="21"/>
      <c r="D195" s="21"/>
      <c r="E195" s="21"/>
      <c r="F195" s="21"/>
      <c r="G195" s="21"/>
      <c r="H195" s="760"/>
      <c r="I195" s="65">
        <v>503.7</v>
      </c>
      <c r="J195" s="90"/>
      <c r="K195" s="90"/>
      <c r="L195" s="1796" t="s">
        <v>445</v>
      </c>
      <c r="M195" s="428"/>
      <c r="O195" s="1773">
        <f>IF(LEN(W195)&gt;0,4,0)*S195</f>
        <v>0</v>
      </c>
      <c r="P195" s="1489" t="b">
        <v>1</v>
      </c>
      <c r="Q195" s="1489" t="b">
        <v>1</v>
      </c>
      <c r="R195" s="1489" t="b">
        <v>0</v>
      </c>
      <c r="S195" s="1489" t="b">
        <v>1</v>
      </c>
      <c r="T195" s="1489" t="b">
        <v>0</v>
      </c>
      <c r="U195" s="1489" t="str">
        <f>SUBSTITUTE(SUBSTITUTE(SUBSTITUTE("dd"&amp;B195&amp;C195&amp;D195&amp;E195&amp;F195,".","_"),"(","_"),")","")</f>
        <v>dd503_7</v>
      </c>
      <c r="W195" s="255"/>
      <c r="X195" s="1756"/>
      <c r="AL195" s="1489" t="str">
        <f>SUBSTITUTE(SUBSTITUTE(SUBSTITUTE("dpa"&amp;$B195&amp;$C195&amp;$D195&amp;$E195,".","_"),"(","_"),")","")</f>
        <v>dpa503_7</v>
      </c>
      <c r="AM195" s="254">
        <f>M195</f>
        <v>0</v>
      </c>
      <c r="AN195" s="1489" t="str">
        <f>SUBSTITUTE(SUBSTITUTE(SUBSTITUTE("dpc"&amp;$B195&amp;$C195&amp;$D195&amp;$E195,".","_"),"(","_"),")","")</f>
        <v>dpc503_7</v>
      </c>
      <c r="AO195" s="254">
        <f>O195</f>
        <v>0</v>
      </c>
      <c r="AP195" s="1489" t="str">
        <f>SUBSTITUTE(SUBSTITUTE(SUBSTITUTE("dch"&amp;$B195&amp;$C195&amp;$D195&amp;$E195,".","_"),"(","_"),")","")</f>
        <v>dch503_7</v>
      </c>
      <c r="AQ195" s="254" t="str">
        <f>IF(LEN(W195)=0,"",W195)</f>
        <v/>
      </c>
      <c r="AR195" s="1130" t="str">
        <f>SUBSTITUTE(SUBSTITUTE(SUBSTITUTE("dnt"&amp;$B195&amp;$C195&amp;$D195&amp;$E195,".","_"),"(","_"),")","")</f>
        <v>dnt503_7</v>
      </c>
      <c r="AS195" s="254" t="str">
        <f>IF(LEN(X195)=0,"",X195)</f>
        <v/>
      </c>
    </row>
    <row r="196" spans="2:45" x14ac:dyDescent="0.25">
      <c r="B196" s="21" t="s">
        <v>444</v>
      </c>
      <c r="C196" s="21"/>
      <c r="D196" s="21"/>
      <c r="E196" s="21"/>
      <c r="F196" s="21"/>
      <c r="G196" s="21"/>
      <c r="H196" s="760"/>
      <c r="I196" s="90"/>
      <c r="J196" s="90"/>
      <c r="K196" s="90"/>
      <c r="L196" s="1796"/>
      <c r="M196" s="428"/>
      <c r="O196" s="1780"/>
      <c r="P196" s="352"/>
      <c r="Q196" s="352"/>
      <c r="X196" s="1770"/>
      <c r="AL196"/>
      <c r="AM196"/>
      <c r="AN196"/>
      <c r="AO196"/>
    </row>
    <row r="197" spans="2:45" x14ac:dyDescent="0.25">
      <c r="B197" s="21" t="s">
        <v>444</v>
      </c>
      <c r="C197" s="21" t="s">
        <v>256</v>
      </c>
      <c r="D197" s="21"/>
      <c r="E197" s="21"/>
      <c r="F197" s="21"/>
      <c r="G197" s="21"/>
      <c r="H197" s="760"/>
      <c r="I197" s="90"/>
      <c r="J197" s="91" t="s">
        <v>256</v>
      </c>
      <c r="K197" s="102"/>
      <c r="L197" s="1754" t="s">
        <v>446</v>
      </c>
      <c r="M197" s="1758">
        <v>4</v>
      </c>
      <c r="N197" s="94"/>
      <c r="O197"/>
      <c r="P197" s="352"/>
      <c r="Q197" s="352"/>
      <c r="R197" s="63"/>
      <c r="S197" s="63"/>
      <c r="T197" s="63"/>
      <c r="W197"/>
      <c r="X197" s="1770"/>
      <c r="AL197"/>
      <c r="AM197"/>
      <c r="AN197"/>
      <c r="AO197"/>
    </row>
    <row r="198" spans="2:45" x14ac:dyDescent="0.25">
      <c r="B198" s="21" t="s">
        <v>444</v>
      </c>
      <c r="C198" s="21" t="s">
        <v>256</v>
      </c>
      <c r="D198" s="21"/>
      <c r="E198" s="21"/>
      <c r="F198" s="21"/>
      <c r="G198" s="21"/>
      <c r="H198" s="760"/>
      <c r="I198" s="90"/>
      <c r="J198" s="174"/>
      <c r="K198" s="177"/>
      <c r="L198" s="1755"/>
      <c r="M198" s="1759"/>
      <c r="N198" s="178"/>
      <c r="O198"/>
      <c r="P198" s="352"/>
      <c r="Q198" s="352"/>
      <c r="X198" s="1770"/>
      <c r="AL198"/>
      <c r="AM198"/>
      <c r="AN198"/>
      <c r="AO198"/>
    </row>
    <row r="199" spans="2:45" x14ac:dyDescent="0.25">
      <c r="B199" s="21" t="s">
        <v>444</v>
      </c>
      <c r="C199" s="21" t="s">
        <v>258</v>
      </c>
      <c r="D199" s="21"/>
      <c r="E199" s="21"/>
      <c r="F199" s="21"/>
      <c r="G199" s="21"/>
      <c r="H199" s="760"/>
      <c r="I199" s="102"/>
      <c r="J199" s="91" t="s">
        <v>258</v>
      </c>
      <c r="K199" s="102"/>
      <c r="L199" s="1754" t="s">
        <v>447</v>
      </c>
      <c r="M199" s="1758">
        <v>4</v>
      </c>
      <c r="N199" s="94"/>
      <c r="O199"/>
      <c r="P199" s="352"/>
      <c r="Q199" s="352"/>
      <c r="R199" s="94"/>
      <c r="S199" s="94"/>
      <c r="T199" s="94"/>
      <c r="U199" s="94"/>
      <c r="V199" s="94"/>
      <c r="W199"/>
      <c r="X199" s="1770"/>
      <c r="AL199"/>
      <c r="AM199"/>
      <c r="AN199"/>
      <c r="AO199"/>
    </row>
    <row r="200" spans="2:45" ht="15.75" thickBot="1" x14ac:dyDescent="0.3">
      <c r="B200" s="21" t="s">
        <v>444</v>
      </c>
      <c r="C200" s="21" t="s">
        <v>258</v>
      </c>
      <c r="D200" s="21"/>
      <c r="E200" s="21"/>
      <c r="F200" s="21"/>
      <c r="G200" s="21"/>
      <c r="H200" s="760"/>
      <c r="I200" s="103"/>
      <c r="J200" s="103"/>
      <c r="K200" s="103"/>
      <c r="L200" s="1783"/>
      <c r="M200" s="1768"/>
      <c r="N200" s="99"/>
      <c r="O200"/>
      <c r="P200" s="99"/>
      <c r="Q200" s="99"/>
      <c r="R200" s="99"/>
      <c r="S200" s="99"/>
      <c r="T200" s="99"/>
      <c r="U200" s="99"/>
      <c r="V200" s="99"/>
      <c r="W200" s="99"/>
      <c r="X200" s="1771"/>
    </row>
    <row r="201" spans="2:45" ht="15.75" thickTop="1" x14ac:dyDescent="0.25">
      <c r="B201" s="21" t="s">
        <v>448</v>
      </c>
      <c r="C201" s="21"/>
      <c r="D201" s="21"/>
      <c r="E201" s="21"/>
      <c r="F201" s="21"/>
      <c r="G201" s="21"/>
      <c r="H201" s="760"/>
      <c r="I201" s="65">
        <v>503.8</v>
      </c>
      <c r="J201" s="90"/>
      <c r="K201" s="90"/>
      <c r="L201" s="1796" t="s">
        <v>449</v>
      </c>
      <c r="M201" s="1767">
        <v>5</v>
      </c>
      <c r="O201" s="1773">
        <f ca="1">IFERROR(INDEX({5,6,7,8,9,10},MATCH(W202,INDIRECT(U202),0)),0)</f>
        <v>0</v>
      </c>
      <c r="P201" s="352"/>
      <c r="Q201" s="352"/>
      <c r="R201" s="63"/>
      <c r="S201" s="63"/>
      <c r="T201" s="63"/>
      <c r="X201" s="1756"/>
      <c r="AL201" s="1130" t="str">
        <f>SUBSTITUTE(SUBSTITUTE(SUBSTITUTE("dpa"&amp;$B201&amp;$C201&amp;$D201&amp;$E201,".","_"),"(","_"),")","")</f>
        <v>dpa503_8</v>
      </c>
      <c r="AM201" s="125">
        <f>M201</f>
        <v>5</v>
      </c>
      <c r="AN201" s="1130" t="str">
        <f>SUBSTITUTE(SUBSTITUTE(SUBSTITUTE("dpc"&amp;$B201&amp;$C201&amp;$D201&amp;$E201,".","_"),"(","_"),")","")</f>
        <v>dpc503_8</v>
      </c>
      <c r="AO201" s="125">
        <f ca="1">O201</f>
        <v>0</v>
      </c>
      <c r="AP201" s="735"/>
      <c r="AQ201" s="125"/>
      <c r="AR201" s="1130" t="str">
        <f>SUBSTITUTE(SUBSTITUTE(SUBSTITUTE("dnt"&amp;$B201&amp;$C201&amp;$D201&amp;$E201,".","_"),"(","_"),")","")</f>
        <v>dnt503_8</v>
      </c>
      <c r="AS201" s="254" t="str">
        <f>IF(LEN(X201)=0,"",X201)</f>
        <v/>
      </c>
    </row>
    <row r="202" spans="2:45" x14ac:dyDescent="0.25">
      <c r="B202" s="21" t="s">
        <v>448</v>
      </c>
      <c r="C202" s="21"/>
      <c r="D202" s="21"/>
      <c r="E202" s="21"/>
      <c r="F202" s="21"/>
      <c r="G202" s="21"/>
      <c r="H202" s="760"/>
      <c r="I202" s="90"/>
      <c r="J202" s="90"/>
      <c r="K202" s="90"/>
      <c r="L202" s="1796"/>
      <c r="M202" s="1767"/>
      <c r="O202" s="1774"/>
      <c r="P202" s="352" t="b">
        <v>1</v>
      </c>
      <c r="Q202" s="352" t="b">
        <v>0</v>
      </c>
      <c r="R202" s="76" t="b">
        <v>0</v>
      </c>
      <c r="S202" s="76" t="b">
        <v>1</v>
      </c>
      <c r="T202" s="76" t="b">
        <v>0</v>
      </c>
      <c r="U202" s="76" t="str">
        <f>SUBSTITUTE(SUBSTITUTE(SUBSTITUTE("dd"&amp;B202&amp;C202&amp;D202&amp;E202&amp;F202,".","_"),"(","_"),")","")</f>
        <v>dd503_8</v>
      </c>
      <c r="W202" s="12"/>
      <c r="X202" s="1757"/>
      <c r="AP202" s="1130" t="str">
        <f>SUBSTITUTE(SUBSTITUTE(SUBSTITUTE("dch"&amp;$B202&amp;$C202&amp;$D202&amp;$E202,".","_"),"(","_"),")","")</f>
        <v>dch503_8</v>
      </c>
      <c r="AQ202" s="254" t="str">
        <f>IF(LEN(W202)=0,"",W202)</f>
        <v/>
      </c>
    </row>
    <row r="203" spans="2:45" x14ac:dyDescent="0.25">
      <c r="B203" s="21" t="s">
        <v>448</v>
      </c>
      <c r="C203" s="21"/>
      <c r="D203" s="21"/>
      <c r="E203" s="21"/>
      <c r="F203" s="21"/>
      <c r="G203" s="21"/>
      <c r="H203" s="760"/>
      <c r="I203" s="90"/>
      <c r="J203" s="90"/>
      <c r="K203" s="90"/>
      <c r="L203" s="1796"/>
      <c r="M203" s="1767"/>
      <c r="O203" s="1774"/>
      <c r="P203" s="352"/>
      <c r="Q203" s="352"/>
      <c r="X203" s="1757"/>
    </row>
    <row r="204" spans="2:45" x14ac:dyDescent="0.25">
      <c r="B204" s="21" t="s">
        <v>448</v>
      </c>
      <c r="C204" s="21" t="s">
        <v>4860</v>
      </c>
      <c r="D204" s="21"/>
      <c r="E204" s="21"/>
      <c r="F204" s="21"/>
      <c r="G204" s="21"/>
      <c r="H204" s="760"/>
      <c r="I204" s="90"/>
      <c r="J204" s="90"/>
      <c r="K204" s="90"/>
      <c r="L204" s="1779" t="s">
        <v>450</v>
      </c>
      <c r="M204" s="1767" t="s">
        <v>762</v>
      </c>
      <c r="O204" s="141"/>
      <c r="P204" s="352"/>
      <c r="Q204" s="352"/>
      <c r="X204" s="1757"/>
      <c r="AL204" s="1130" t="str">
        <f>SUBSTITUTE(SUBSTITUTE(SUBSTITUTE("dpa"&amp;$B204&amp;$C204&amp;$D204&amp;$E204,".","_"),"(","_"),")","")</f>
        <v>dpa503_8_1</v>
      </c>
      <c r="AM204" s="254" t="str">
        <f>M204</f>
        <v>1 additional</v>
      </c>
    </row>
    <row r="205" spans="2:45" x14ac:dyDescent="0.25">
      <c r="B205" s="21" t="s">
        <v>448</v>
      </c>
      <c r="C205" s="21"/>
      <c r="D205" s="21"/>
      <c r="E205" s="21"/>
      <c r="F205" s="21"/>
      <c r="G205" s="21"/>
      <c r="H205" s="760"/>
      <c r="I205" s="90"/>
      <c r="J205" s="90"/>
      <c r="K205" s="90"/>
      <c r="L205" s="1779"/>
      <c r="M205" s="1767"/>
      <c r="O205" s="141"/>
      <c r="P205" s="352"/>
      <c r="Q205" s="352"/>
      <c r="X205" s="1757"/>
    </row>
    <row r="206" spans="2:45" ht="18.75" x14ac:dyDescent="0.3">
      <c r="B206" s="21" t="s">
        <v>4584</v>
      </c>
      <c r="C206" s="21"/>
      <c r="D206" s="21"/>
      <c r="E206" s="21"/>
      <c r="F206" s="21"/>
      <c r="G206" s="21"/>
      <c r="H206" s="760"/>
      <c r="I206" s="88" t="s">
        <v>452</v>
      </c>
      <c r="J206" s="88"/>
      <c r="K206" s="88"/>
      <c r="L206" s="84"/>
      <c r="M206" s="390"/>
      <c r="N206" s="23"/>
      <c r="O206" s="498"/>
      <c r="P206" s="23"/>
      <c r="Q206" s="23"/>
      <c r="R206" s="23"/>
      <c r="S206" s="23"/>
      <c r="T206" s="23"/>
      <c r="U206" s="23"/>
      <c r="V206" s="23"/>
      <c r="W206" s="23"/>
      <c r="X206" s="23"/>
    </row>
    <row r="207" spans="2:45" x14ac:dyDescent="0.25">
      <c r="B207" s="21" t="s">
        <v>451</v>
      </c>
      <c r="C207" s="21"/>
      <c r="D207" s="21"/>
      <c r="E207" s="21"/>
      <c r="F207" s="21"/>
      <c r="G207" s="21"/>
      <c r="H207" s="760"/>
      <c r="I207" s="91" t="s">
        <v>451</v>
      </c>
      <c r="J207" s="102"/>
      <c r="K207" s="102"/>
      <c r="L207" s="1782" t="s">
        <v>453</v>
      </c>
      <c r="M207" s="424"/>
      <c r="N207" s="94"/>
      <c r="O207" s="239"/>
      <c r="P207" s="94"/>
      <c r="Q207" s="94"/>
      <c r="R207" s="94"/>
      <c r="S207" s="94"/>
      <c r="T207" s="94"/>
      <c r="U207" s="94"/>
      <c r="V207" s="94"/>
      <c r="W207" s="94"/>
      <c r="X207" s="113"/>
    </row>
    <row r="208" spans="2:45" ht="15.75" thickBot="1" x14ac:dyDescent="0.3">
      <c r="B208" s="21" t="s">
        <v>451</v>
      </c>
      <c r="C208" s="21"/>
      <c r="D208" s="21"/>
      <c r="E208" s="21"/>
      <c r="F208" s="21"/>
      <c r="G208" s="21"/>
      <c r="H208" s="760"/>
      <c r="I208" s="103"/>
      <c r="J208" s="103"/>
      <c r="K208" s="103"/>
      <c r="L208" s="1797"/>
      <c r="M208" s="429"/>
      <c r="N208" s="99"/>
      <c r="O208" s="241"/>
      <c r="P208" s="99"/>
      <c r="Q208" s="99"/>
      <c r="R208" s="99"/>
      <c r="S208" s="99"/>
      <c r="T208" s="99"/>
      <c r="U208" s="99"/>
      <c r="V208" s="99"/>
      <c r="W208" s="99"/>
      <c r="X208" s="112"/>
    </row>
    <row r="209" spans="1:61" ht="15.75" customHeight="1" thickTop="1" x14ac:dyDescent="0.25">
      <c r="B209" s="21" t="s">
        <v>454</v>
      </c>
      <c r="C209" s="21"/>
      <c r="D209" s="21"/>
      <c r="E209" s="21"/>
      <c r="F209" s="21"/>
      <c r="G209" s="21"/>
      <c r="H209" s="760"/>
      <c r="I209" s="114" t="s">
        <v>454</v>
      </c>
      <c r="J209" s="107"/>
      <c r="K209" s="107"/>
      <c r="L209" s="1781" t="s">
        <v>455</v>
      </c>
      <c r="M209" s="1772">
        <v>4</v>
      </c>
      <c r="N209" s="105"/>
      <c r="O209" s="1773">
        <f>M209*W209*S209</f>
        <v>0</v>
      </c>
      <c r="P209" s="352" t="b">
        <v>1</v>
      </c>
      <c r="Q209" s="352" t="b">
        <v>1</v>
      </c>
      <c r="R209" s="105" t="b">
        <v>0</v>
      </c>
      <c r="S209" s="105" t="b">
        <f>IF((O105+O107+O114)&gt;0,TRUE,FALSE)</f>
        <v>0</v>
      </c>
      <c r="T209" s="94" t="b">
        <f>AND(NOT(S209),W209=TRUE)</f>
        <v>0</v>
      </c>
      <c r="U209" s="105"/>
      <c r="V209" s="105"/>
      <c r="W209" s="25"/>
      <c r="X209" s="1784"/>
      <c r="AC209" s="136" t="b">
        <f>OR(AD209:AE209)</f>
        <v>0</v>
      </c>
      <c r="AD209" s="136" t="b">
        <f>T209</f>
        <v>0</v>
      </c>
      <c r="AL209" s="1130" t="str">
        <f>SUBSTITUTE(SUBSTITUTE(SUBSTITUTE("dpa"&amp;$B209&amp;$C209&amp;$D209&amp;$E209,".","_"),"(","_"),")","")</f>
        <v>dpa504_1</v>
      </c>
      <c r="AM209" s="125">
        <f>M209</f>
        <v>4</v>
      </c>
      <c r="AN209" s="1130" t="str">
        <f>SUBSTITUTE(SUBSTITUTE(SUBSTITUTE("dpc"&amp;$B209&amp;$C209&amp;$D209&amp;$E209,".","_"),"(","_"),")","")</f>
        <v>dpc504_1</v>
      </c>
      <c r="AO209" s="125">
        <f>O209</f>
        <v>0</v>
      </c>
      <c r="AP209" s="1130" t="str">
        <f>SUBSTITUTE(SUBSTITUTE(SUBSTITUTE("dch"&amp;$B209&amp;$C209&amp;$D209&amp;$E209,".","_"),"(","_"),")","")</f>
        <v>dch504_1</v>
      </c>
      <c r="AQ209" s="254" t="str">
        <f>IF(LEN(W209)=0,"",W209)</f>
        <v/>
      </c>
      <c r="AR209" s="1130" t="str">
        <f>SUBSTITUTE(SUBSTITUTE(SUBSTITUTE("dnt"&amp;$B209&amp;$C209&amp;$D209&amp;$E209,".","_"),"(","_"),")","")</f>
        <v>dnt504_1</v>
      </c>
      <c r="AS209" s="254" t="str">
        <f>IF(LEN(X209)=0,"",X209)</f>
        <v/>
      </c>
    </row>
    <row r="210" spans="1:61" x14ac:dyDescent="0.25">
      <c r="B210" s="21" t="s">
        <v>454</v>
      </c>
      <c r="C210" s="21"/>
      <c r="D210" s="21"/>
      <c r="E210" s="21"/>
      <c r="F210" s="21"/>
      <c r="G210" s="21"/>
      <c r="H210" s="760"/>
      <c r="I210" s="102"/>
      <c r="J210" s="102"/>
      <c r="K210" s="102"/>
      <c r="L210" s="1782"/>
      <c r="M210" s="1758"/>
      <c r="N210" s="94"/>
      <c r="O210" s="1774"/>
      <c r="P210" s="94"/>
      <c r="Q210" s="94"/>
      <c r="R210" s="94"/>
      <c r="S210" s="94"/>
      <c r="T210" s="94"/>
      <c r="U210" s="94"/>
      <c r="V210" s="94"/>
      <c r="W210" s="94"/>
      <c r="X210" s="1770"/>
    </row>
    <row r="211" spans="1:61" x14ac:dyDescent="0.25">
      <c r="B211" s="21" t="s">
        <v>454</v>
      </c>
      <c r="C211" s="21"/>
      <c r="D211" s="21"/>
      <c r="E211" s="21"/>
      <c r="F211" s="21"/>
      <c r="G211" s="21"/>
      <c r="H211" s="760"/>
      <c r="I211" s="102"/>
      <c r="J211" s="102"/>
      <c r="K211" s="102"/>
      <c r="L211" s="1782"/>
      <c r="M211" s="1758"/>
      <c r="N211" s="94"/>
      <c r="O211" s="1774"/>
      <c r="P211" s="94"/>
      <c r="Q211" s="94"/>
      <c r="R211" s="94"/>
      <c r="S211" s="94"/>
      <c r="T211" s="94"/>
      <c r="U211" s="94"/>
      <c r="V211" s="94"/>
      <c r="W211" s="94"/>
      <c r="X211" s="1770"/>
      <c r="AX211" s="121"/>
      <c r="AY211" s="121"/>
    </row>
    <row r="212" spans="1:61" s="121" customFormat="1" x14ac:dyDescent="0.25">
      <c r="A212" s="18"/>
      <c r="B212" s="21" t="s">
        <v>454</v>
      </c>
      <c r="C212" s="21"/>
      <c r="D212" s="21"/>
      <c r="E212" s="21"/>
      <c r="F212" s="21"/>
      <c r="G212" s="21"/>
      <c r="H212" s="760"/>
      <c r="I212" s="102"/>
      <c r="J212" s="102"/>
      <c r="K212" s="102"/>
      <c r="L212" s="1782"/>
      <c r="M212" s="1758"/>
      <c r="N212" s="94"/>
      <c r="O212" s="1774"/>
      <c r="P212" s="94"/>
      <c r="Q212" s="94"/>
      <c r="R212" s="94"/>
      <c r="S212" s="94"/>
      <c r="T212" s="94"/>
      <c r="U212" s="94"/>
      <c r="V212" s="94"/>
      <c r="W212" s="94"/>
      <c r="X212" s="1770"/>
      <c r="Y212" s="780"/>
      <c r="AA212" s="783"/>
      <c r="AX212"/>
      <c r="AY212"/>
      <c r="AZ212"/>
      <c r="BA212"/>
      <c r="BB212"/>
      <c r="BC212"/>
      <c r="BD212"/>
      <c r="BE212"/>
      <c r="BF212"/>
      <c r="BG212"/>
      <c r="BH212"/>
      <c r="BI212"/>
    </row>
    <row r="213" spans="1:61" ht="15.75" thickBot="1" x14ac:dyDescent="0.3">
      <c r="B213" s="21" t="s">
        <v>454</v>
      </c>
      <c r="C213" s="21"/>
      <c r="D213" s="21"/>
      <c r="E213" s="21"/>
      <c r="F213" s="21"/>
      <c r="G213" s="21"/>
      <c r="H213" s="760"/>
      <c r="I213" s="103"/>
      <c r="J213" s="103"/>
      <c r="K213" s="103"/>
      <c r="L213" s="283" t="s">
        <v>769</v>
      </c>
      <c r="M213" s="1768"/>
      <c r="N213" s="99"/>
      <c r="O213" s="1775"/>
      <c r="P213" s="99"/>
      <c r="Q213" s="99"/>
      <c r="R213" s="99"/>
      <c r="S213" s="99"/>
      <c r="T213" s="99"/>
      <c r="U213" s="99"/>
      <c r="V213" s="99"/>
      <c r="W213" s="99"/>
      <c r="X213" s="1771"/>
      <c r="AZ213" s="121"/>
      <c r="BA213" s="121"/>
      <c r="BB213" s="121"/>
      <c r="BC213" s="121"/>
      <c r="BD213" s="121"/>
      <c r="BE213" s="121"/>
      <c r="BF213" s="121"/>
      <c r="BG213" s="121"/>
      <c r="BH213" s="121"/>
      <c r="BI213" s="121"/>
    </row>
    <row r="214" spans="1:61" ht="15.75" thickTop="1" x14ac:dyDescent="0.25">
      <c r="B214" s="21" t="s">
        <v>456</v>
      </c>
      <c r="C214" s="21"/>
      <c r="D214" s="21"/>
      <c r="E214" s="21"/>
      <c r="F214" s="21"/>
      <c r="G214" s="21"/>
      <c r="H214" s="760"/>
      <c r="I214" s="87" t="s">
        <v>456</v>
      </c>
      <c r="J214" s="90"/>
      <c r="K214" s="90"/>
      <c r="L214" s="1796" t="s">
        <v>457</v>
      </c>
      <c r="M214" s="428"/>
      <c r="O214" s="141"/>
      <c r="P214" s="352"/>
      <c r="Q214" s="352"/>
      <c r="R214" s="63"/>
      <c r="S214" s="63"/>
      <c r="T214" s="63"/>
      <c r="X214" s="1756"/>
      <c r="AR214" s="1130" t="str">
        <f>SUBSTITUTE(SUBSTITUTE(SUBSTITUTE("dnt"&amp;$B214&amp;$C214&amp;$D214&amp;$E214,".","_"),"(","_"),")","")</f>
        <v>dnt504_2</v>
      </c>
      <c r="AS214" s="254" t="str">
        <f>IF(LEN(X214)=0,"",X214)</f>
        <v/>
      </c>
    </row>
    <row r="215" spans="1:61" x14ac:dyDescent="0.25">
      <c r="B215" s="21" t="s">
        <v>456</v>
      </c>
      <c r="C215" s="21"/>
      <c r="D215" s="21"/>
      <c r="E215" s="21"/>
      <c r="F215" s="21"/>
      <c r="G215" s="21"/>
      <c r="H215" s="760"/>
      <c r="I215" s="90"/>
      <c r="J215" s="90"/>
      <c r="K215" s="90"/>
      <c r="L215" s="1796"/>
      <c r="M215" s="428"/>
      <c r="O215" s="141"/>
      <c r="P215" s="352"/>
      <c r="Q215" s="352"/>
      <c r="X215" s="1770"/>
    </row>
    <row r="216" spans="1:61" x14ac:dyDescent="0.25">
      <c r="B216" s="21" t="s">
        <v>456</v>
      </c>
      <c r="C216" s="21" t="s">
        <v>256</v>
      </c>
      <c r="D216" s="21"/>
      <c r="E216" s="21"/>
      <c r="F216" s="21"/>
      <c r="G216" s="21"/>
      <c r="H216" s="760"/>
      <c r="I216" s="90"/>
      <c r="J216" s="174" t="s">
        <v>256</v>
      </c>
      <c r="K216" s="177"/>
      <c r="L216" s="1163" t="s">
        <v>458</v>
      </c>
      <c r="M216" s="426">
        <v>3</v>
      </c>
      <c r="N216" s="178"/>
      <c r="O216" s="501">
        <f>M216*W216</f>
        <v>0</v>
      </c>
      <c r="P216" s="352" t="b">
        <v>1</v>
      </c>
      <c r="Q216" s="352" t="b">
        <v>0</v>
      </c>
      <c r="R216" s="63" t="b">
        <v>0</v>
      </c>
      <c r="S216" s="63" t="b">
        <v>1</v>
      </c>
      <c r="T216" s="63" t="b">
        <v>0</v>
      </c>
      <c r="W216" s="25"/>
      <c r="X216" s="1770"/>
      <c r="AL216" s="1130" t="str">
        <f>SUBSTITUTE(SUBSTITUTE(SUBSTITUTE("dpa"&amp;$B216&amp;$C216&amp;$D216&amp;$E216,".","_"),"(","_"),")","")</f>
        <v>dpa504_2_1</v>
      </c>
      <c r="AM216" s="125">
        <f>M216</f>
        <v>3</v>
      </c>
      <c r="AN216" s="1130" t="str">
        <f>SUBSTITUTE(SUBSTITUTE(SUBSTITUTE("dpc"&amp;$B216&amp;$C216&amp;$D216&amp;$E216,".","_"),"(","_"),")","")</f>
        <v>dpc504_2_1</v>
      </c>
      <c r="AO216" s="125">
        <f>O216</f>
        <v>0</v>
      </c>
      <c r="AP216" s="1130" t="str">
        <f>SUBSTITUTE(SUBSTITUTE(SUBSTITUTE("dch"&amp;$B216&amp;$C216&amp;$D216&amp;$E216,".","_"),"(","_"),")","")</f>
        <v>dch504_2_1</v>
      </c>
      <c r="AQ216" s="254" t="str">
        <f>IF(LEN(W216)=0,"",W216)</f>
        <v/>
      </c>
    </row>
    <row r="217" spans="1:61" x14ac:dyDescent="0.25">
      <c r="B217" s="21" t="s">
        <v>456</v>
      </c>
      <c r="C217" s="21" t="s">
        <v>258</v>
      </c>
      <c r="D217" s="21"/>
      <c r="E217" s="21"/>
      <c r="F217" s="21"/>
      <c r="G217" s="21"/>
      <c r="H217" s="760"/>
      <c r="I217" s="90"/>
      <c r="J217" s="91" t="s">
        <v>258</v>
      </c>
      <c r="K217" s="102"/>
      <c r="L217" s="1754" t="s">
        <v>459</v>
      </c>
      <c r="M217" s="1758">
        <v>5</v>
      </c>
      <c r="N217" s="94"/>
      <c r="O217" s="1774">
        <f>M217*W217</f>
        <v>0</v>
      </c>
      <c r="P217" s="352" t="b">
        <v>1</v>
      </c>
      <c r="Q217" s="352" t="b">
        <v>0</v>
      </c>
      <c r="R217" s="63" t="b">
        <v>0</v>
      </c>
      <c r="S217" s="63" t="b">
        <v>1</v>
      </c>
      <c r="T217" s="63" t="b">
        <v>0</v>
      </c>
      <c r="W217" s="25"/>
      <c r="X217" s="1770"/>
      <c r="AL217" s="1130" t="str">
        <f>SUBSTITUTE(SUBSTITUTE(SUBSTITUTE("dpa"&amp;$B217&amp;$C217&amp;$D217&amp;$E217,".","_"),"(","_"),")","")</f>
        <v>dpa504_2_2</v>
      </c>
      <c r="AM217" s="125">
        <f>M217</f>
        <v>5</v>
      </c>
      <c r="AN217" s="1130" t="str">
        <f>SUBSTITUTE(SUBSTITUTE(SUBSTITUTE("dpc"&amp;$B217&amp;$C217&amp;$D217&amp;$E217,".","_"),"(","_"),")","")</f>
        <v>dpc504_2_2</v>
      </c>
      <c r="AO217" s="125">
        <f>O217</f>
        <v>0</v>
      </c>
      <c r="AP217" s="1130" t="str">
        <f>SUBSTITUTE(SUBSTITUTE(SUBSTITUTE("dch"&amp;$B217&amp;$C217&amp;$D217&amp;$E217,".","_"),"(","_"),")","")</f>
        <v>dch504_2_2</v>
      </c>
      <c r="AQ217" s="254" t="str">
        <f>IF(LEN(W217)=0,"",W217)</f>
        <v/>
      </c>
    </row>
    <row r="218" spans="1:61" x14ac:dyDescent="0.25">
      <c r="B218" s="21" t="s">
        <v>456</v>
      </c>
      <c r="C218" s="21" t="s">
        <v>258</v>
      </c>
      <c r="D218" s="21"/>
      <c r="E218" s="21"/>
      <c r="F218" s="21"/>
      <c r="G218" s="21"/>
      <c r="H218" s="760"/>
      <c r="I218" s="90"/>
      <c r="J218" s="174"/>
      <c r="K218" s="177"/>
      <c r="L218" s="1755"/>
      <c r="M218" s="1759"/>
      <c r="N218" s="178"/>
      <c r="O218" s="1764"/>
      <c r="P218" s="352"/>
      <c r="Q218" s="352"/>
      <c r="X218" s="1770"/>
    </row>
    <row r="219" spans="1:61" x14ac:dyDescent="0.25">
      <c r="B219" s="21" t="s">
        <v>456</v>
      </c>
      <c r="C219" s="21" t="s">
        <v>260</v>
      </c>
      <c r="D219" s="21"/>
      <c r="E219" s="21"/>
      <c r="F219" s="21"/>
      <c r="G219" s="21"/>
      <c r="H219" s="760"/>
      <c r="I219" s="102"/>
      <c r="J219" s="91" t="s">
        <v>260</v>
      </c>
      <c r="K219" s="102"/>
      <c r="L219" s="1754" t="s">
        <v>460</v>
      </c>
      <c r="M219" s="1758">
        <v>4</v>
      </c>
      <c r="N219" s="94"/>
      <c r="O219" s="1780">
        <f>M219*W219</f>
        <v>0</v>
      </c>
      <c r="P219" s="352" t="b">
        <v>1</v>
      </c>
      <c r="Q219" s="352" t="b">
        <v>0</v>
      </c>
      <c r="R219" s="94" t="b">
        <v>0</v>
      </c>
      <c r="S219" s="94" t="b">
        <v>1</v>
      </c>
      <c r="T219" s="94" t="b">
        <v>0</v>
      </c>
      <c r="U219" s="94"/>
      <c r="V219" s="94"/>
      <c r="W219" s="25"/>
      <c r="X219" s="1770"/>
      <c r="AL219" s="1130" t="str">
        <f>SUBSTITUTE(SUBSTITUTE(SUBSTITUTE("dpa"&amp;$B219&amp;$C219&amp;$D219&amp;$E219,".","_"),"(","_"),")","")</f>
        <v>dpa504_2_3</v>
      </c>
      <c r="AM219" s="125">
        <f>M219</f>
        <v>4</v>
      </c>
      <c r="AN219" s="1130" t="str">
        <f>SUBSTITUTE(SUBSTITUTE(SUBSTITUTE("dpc"&amp;$B219&amp;$C219&amp;$D219&amp;$E219,".","_"),"(","_"),")","")</f>
        <v>dpc504_2_3</v>
      </c>
      <c r="AO219" s="125">
        <f>O219</f>
        <v>0</v>
      </c>
      <c r="AP219" s="1130" t="str">
        <f>SUBSTITUTE(SUBSTITUTE(SUBSTITUTE("dch"&amp;$B219&amp;$C219&amp;$D219&amp;$E219,".","_"),"(","_"),")","")</f>
        <v>dch504_2_3</v>
      </c>
      <c r="AQ219" s="254" t="str">
        <f>IF(LEN(W219)=0,"",W219)</f>
        <v/>
      </c>
    </row>
    <row r="220" spans="1:61" ht="15.75" thickBot="1" x14ac:dyDescent="0.3">
      <c r="B220" s="21" t="s">
        <v>456</v>
      </c>
      <c r="C220" s="21" t="s">
        <v>260</v>
      </c>
      <c r="D220" s="21"/>
      <c r="E220" s="21"/>
      <c r="F220" s="21"/>
      <c r="G220" s="21"/>
      <c r="H220" s="760"/>
      <c r="I220" s="103"/>
      <c r="J220" s="103"/>
      <c r="K220" s="103"/>
      <c r="L220" s="1783"/>
      <c r="M220" s="1768"/>
      <c r="N220" s="99"/>
      <c r="O220" s="1775"/>
      <c r="P220" s="99"/>
      <c r="Q220" s="99"/>
      <c r="R220" s="99"/>
      <c r="S220" s="99"/>
      <c r="T220" s="99"/>
      <c r="U220" s="99"/>
      <c r="V220" s="99"/>
      <c r="W220" s="99"/>
      <c r="X220" s="1771"/>
    </row>
    <row r="221" spans="1:61" ht="15.75" thickTop="1" x14ac:dyDescent="0.25">
      <c r="B221" s="21" t="s">
        <v>461</v>
      </c>
      <c r="C221" s="21"/>
      <c r="D221" s="21"/>
      <c r="E221" s="21"/>
      <c r="F221" s="21"/>
      <c r="G221" s="21"/>
      <c r="H221" s="760"/>
      <c r="I221" s="87" t="s">
        <v>461</v>
      </c>
      <c r="J221" s="90"/>
      <c r="K221" s="90"/>
      <c r="L221" s="1796" t="s">
        <v>462</v>
      </c>
      <c r="M221" s="428"/>
      <c r="O221" s="141"/>
      <c r="P221" s="352"/>
      <c r="Q221" s="352"/>
      <c r="X221" s="1756"/>
      <c r="AR221" s="1130" t="str">
        <f>SUBSTITUTE(SUBSTITUTE(SUBSTITUTE("dnt"&amp;$B221&amp;$C221&amp;$D221&amp;$E221,".","_"),"(","_"),")","")</f>
        <v>dnt504_3</v>
      </c>
      <c r="AS221" s="254" t="str">
        <f>IF(LEN(X221)=0,"",X221)</f>
        <v/>
      </c>
    </row>
    <row r="222" spans="1:61" x14ac:dyDescent="0.25">
      <c r="B222" s="21" t="s">
        <v>461</v>
      </c>
      <c r="C222" s="21"/>
      <c r="D222" s="21"/>
      <c r="E222" s="21"/>
      <c r="F222" s="21"/>
      <c r="G222" s="21"/>
      <c r="H222" s="760"/>
      <c r="I222" s="90"/>
      <c r="J222" s="90"/>
      <c r="K222" s="90"/>
      <c r="L222" s="1796"/>
      <c r="M222" s="428"/>
      <c r="O222" s="141"/>
      <c r="P222" s="352"/>
      <c r="Q222" s="352"/>
      <c r="X222" s="1757"/>
    </row>
    <row r="223" spans="1:61" x14ac:dyDescent="0.25">
      <c r="B223" s="21" t="s">
        <v>461</v>
      </c>
      <c r="C223" s="21"/>
      <c r="D223" s="21"/>
      <c r="E223" s="21"/>
      <c r="F223" s="21"/>
      <c r="G223" s="21"/>
      <c r="H223" s="760"/>
      <c r="I223" s="90"/>
      <c r="J223" s="90"/>
      <c r="K223" s="90"/>
      <c r="L223" s="1796"/>
      <c r="M223" s="428"/>
      <c r="O223" s="141"/>
      <c r="P223" s="352"/>
      <c r="Q223" s="352"/>
      <c r="X223" s="1757"/>
    </row>
    <row r="224" spans="1:61" x14ac:dyDescent="0.25">
      <c r="B224" s="21" t="s">
        <v>461</v>
      </c>
      <c r="C224" s="21" t="s">
        <v>256</v>
      </c>
      <c r="D224" s="21"/>
      <c r="E224" s="21"/>
      <c r="F224" s="21"/>
      <c r="G224" s="21"/>
      <c r="H224" s="760"/>
      <c r="I224" s="90"/>
      <c r="J224" s="91" t="s">
        <v>256</v>
      </c>
      <c r="K224" s="102"/>
      <c r="L224" s="1754" t="s">
        <v>463</v>
      </c>
      <c r="M224" s="1758">
        <v>5</v>
      </c>
      <c r="N224" s="94"/>
      <c r="O224" s="1774">
        <f>M224*W224</f>
        <v>0</v>
      </c>
      <c r="P224" s="352" t="b">
        <v>1</v>
      </c>
      <c r="Q224" s="352" t="b">
        <v>0</v>
      </c>
      <c r="R224" s="63" t="b">
        <v>0</v>
      </c>
      <c r="S224" s="63" t="b">
        <v>1</v>
      </c>
      <c r="T224" s="63" t="b">
        <v>0</v>
      </c>
      <c r="W224" s="25"/>
      <c r="X224" s="1757"/>
      <c r="AL224" s="1130" t="str">
        <f>SUBSTITUTE(SUBSTITUTE(SUBSTITUTE("dpa"&amp;$B224&amp;$C224&amp;$D224&amp;$E224,".","_"),"(","_"),")","")</f>
        <v>dpa504_3_1</v>
      </c>
      <c r="AM224" s="125">
        <f>M224</f>
        <v>5</v>
      </c>
      <c r="AN224" s="1130" t="str">
        <f>SUBSTITUTE(SUBSTITUTE(SUBSTITUTE("dpc"&amp;$B224&amp;$C224&amp;$D224&amp;$E224,".","_"),"(","_"),")","")</f>
        <v>dpc504_3_1</v>
      </c>
      <c r="AO224" s="125">
        <f>O224</f>
        <v>0</v>
      </c>
      <c r="AP224" s="1130" t="str">
        <f>SUBSTITUTE(SUBSTITUTE(SUBSTITUTE("dch"&amp;$B224&amp;$C224&amp;$D224&amp;$E224,".","_"),"(","_"),")","")</f>
        <v>dch504_3_1</v>
      </c>
      <c r="AQ224" s="254" t="str">
        <f>IF(LEN(W224)=0,"",W224)</f>
        <v/>
      </c>
      <c r="AR224" s="1130" t="str">
        <f>SUBSTITUTE(SUBSTITUTE(SUBSTITUTE("dnt"&amp;$B224&amp;$C224&amp;$D224&amp;$E224,".","_"),"(","_"),")","")</f>
        <v>dnt504_3_1</v>
      </c>
      <c r="AS224" s="254" t="str">
        <f>IF(LEN(X224)=0,"",X224)</f>
        <v/>
      </c>
    </row>
    <row r="225" spans="1:61" x14ac:dyDescent="0.25">
      <c r="B225" s="21" t="s">
        <v>461</v>
      </c>
      <c r="C225" s="21" t="s">
        <v>256</v>
      </c>
      <c r="D225" s="21"/>
      <c r="E225" s="21"/>
      <c r="F225" s="21"/>
      <c r="G225" s="21"/>
      <c r="H225" s="760"/>
      <c r="I225" s="90"/>
      <c r="J225" s="174"/>
      <c r="K225" s="177"/>
      <c r="L225" s="1755"/>
      <c r="M225" s="1759"/>
      <c r="N225" s="178"/>
      <c r="O225" s="1764"/>
      <c r="P225" s="352"/>
      <c r="Q225" s="352"/>
      <c r="X225" s="1757"/>
    </row>
    <row r="226" spans="1:61" x14ac:dyDescent="0.25">
      <c r="B226" s="21" t="s">
        <v>461</v>
      </c>
      <c r="C226" s="21" t="s">
        <v>258</v>
      </c>
      <c r="D226" s="21"/>
      <c r="E226" s="21"/>
      <c r="F226" s="21"/>
      <c r="G226" s="21"/>
      <c r="H226" s="760"/>
      <c r="I226" s="90"/>
      <c r="J226" s="174" t="s">
        <v>258</v>
      </c>
      <c r="K226" s="177"/>
      <c r="L226" s="1163" t="s">
        <v>464</v>
      </c>
      <c r="M226" s="426">
        <v>5</v>
      </c>
      <c r="N226" s="178"/>
      <c r="O226" s="501">
        <f>M226*W226</f>
        <v>0</v>
      </c>
      <c r="P226" s="352" t="b">
        <v>1</v>
      </c>
      <c r="Q226" s="352" t="b">
        <v>0</v>
      </c>
      <c r="R226" s="63" t="b">
        <v>0</v>
      </c>
      <c r="S226" s="63" t="b">
        <v>1</v>
      </c>
      <c r="T226" s="63" t="b">
        <v>0</v>
      </c>
      <c r="W226" s="25"/>
      <c r="X226" s="124"/>
      <c r="AL226" s="1130" t="str">
        <f>SUBSTITUTE(SUBSTITUTE(SUBSTITUTE("dpa"&amp;$B226&amp;$C226&amp;$D226&amp;$E226,".","_"),"(","_"),")","")</f>
        <v>dpa504_3_2</v>
      </c>
      <c r="AM226" s="125">
        <f>M226</f>
        <v>5</v>
      </c>
      <c r="AN226" s="1130" t="str">
        <f>SUBSTITUTE(SUBSTITUTE(SUBSTITUTE("dpc"&amp;$B226&amp;$C226&amp;$D226&amp;$E226,".","_"),"(","_"),")","")</f>
        <v>dpc504_3_2</v>
      </c>
      <c r="AO226" s="125">
        <f>O226</f>
        <v>0</v>
      </c>
      <c r="AP226" s="1130" t="str">
        <f>SUBSTITUTE(SUBSTITUTE(SUBSTITUTE("dch"&amp;$B226&amp;$C226&amp;$D226&amp;$E226,".","_"),"(","_"),")","")</f>
        <v>dch504_3_2</v>
      </c>
      <c r="AQ226" s="254" t="str">
        <f>IF(LEN(W226)=0,"",W226)</f>
        <v/>
      </c>
      <c r="AR226" s="1130" t="str">
        <f>SUBSTITUTE(SUBSTITUTE(SUBSTITUTE("dnt"&amp;$B226&amp;$C226&amp;$D226&amp;$E226,".","_"),"(","_"),")","")</f>
        <v>dnt504_3_2</v>
      </c>
      <c r="AS226" s="254" t="str">
        <f>IF(LEN(X226)=0,"",X226)</f>
        <v/>
      </c>
    </row>
    <row r="227" spans="1:61" x14ac:dyDescent="0.25">
      <c r="B227" s="21" t="s">
        <v>461</v>
      </c>
      <c r="C227" s="21" t="s">
        <v>260</v>
      </c>
      <c r="D227" s="21"/>
      <c r="E227" s="21"/>
      <c r="F227" s="21"/>
      <c r="G227" s="21"/>
      <c r="H227" s="760"/>
      <c r="I227" s="90"/>
      <c r="J227" s="91" t="s">
        <v>260</v>
      </c>
      <c r="K227" s="102"/>
      <c r="L227" s="1754" t="s">
        <v>465</v>
      </c>
      <c r="M227" s="1758">
        <v>5</v>
      </c>
      <c r="N227" s="94"/>
      <c r="O227" s="1774">
        <f>M227*W227</f>
        <v>0</v>
      </c>
      <c r="P227" s="352" t="b">
        <v>1</v>
      </c>
      <c r="Q227" s="352" t="b">
        <v>0</v>
      </c>
      <c r="R227" s="63" t="b">
        <v>0</v>
      </c>
      <c r="S227" s="63" t="b">
        <v>1</v>
      </c>
      <c r="T227" s="63" t="b">
        <v>0</v>
      </c>
      <c r="W227" s="25"/>
      <c r="X227" s="1757"/>
      <c r="AL227" s="1130" t="str">
        <f>SUBSTITUTE(SUBSTITUTE(SUBSTITUTE("dpa"&amp;$B227&amp;$C227&amp;$D227&amp;$E227,".","_"),"(","_"),")","")</f>
        <v>dpa504_3_3</v>
      </c>
      <c r="AM227" s="125">
        <f>M227</f>
        <v>5</v>
      </c>
      <c r="AN227" s="1130" t="str">
        <f>SUBSTITUTE(SUBSTITUTE(SUBSTITUTE("dpc"&amp;$B227&amp;$C227&amp;$D227&amp;$E227,".","_"),"(","_"),")","")</f>
        <v>dpc504_3_3</v>
      </c>
      <c r="AO227" s="125">
        <f>O227</f>
        <v>0</v>
      </c>
      <c r="AP227" s="1130" t="str">
        <f>SUBSTITUTE(SUBSTITUTE(SUBSTITUTE("dch"&amp;$B227&amp;$C227&amp;$D227&amp;$E227,".","_"),"(","_"),")","")</f>
        <v>dch504_3_3</v>
      </c>
      <c r="AQ227" s="254" t="str">
        <f>IF(LEN(W227)=0,"",W227)</f>
        <v/>
      </c>
      <c r="AR227" s="1130" t="str">
        <f>SUBSTITUTE(SUBSTITUTE(SUBSTITUTE("dnt"&amp;$B227&amp;$C227&amp;$D227&amp;$E227,".","_"),"(","_"),")","")</f>
        <v>dnt504_3_3</v>
      </c>
      <c r="AS227" s="254" t="str">
        <f>IF(LEN(X227)=0,"",X227)</f>
        <v/>
      </c>
    </row>
    <row r="228" spans="1:61" x14ac:dyDescent="0.25">
      <c r="B228" s="21" t="s">
        <v>461</v>
      </c>
      <c r="C228" s="21" t="s">
        <v>260</v>
      </c>
      <c r="D228" s="21"/>
      <c r="E228" s="21"/>
      <c r="F228" s="21"/>
      <c r="G228" s="21"/>
      <c r="H228" s="760"/>
      <c r="I228" s="90"/>
      <c r="J228" s="177"/>
      <c r="K228" s="177"/>
      <c r="L228" s="1755"/>
      <c r="M228" s="1759"/>
      <c r="N228" s="178"/>
      <c r="O228" s="1764"/>
      <c r="P228" s="352"/>
      <c r="Q228" s="352"/>
      <c r="X228" s="1757"/>
    </row>
    <row r="229" spans="1:61" x14ac:dyDescent="0.25">
      <c r="B229" s="21" t="s">
        <v>461</v>
      </c>
      <c r="C229" s="21" t="s">
        <v>269</v>
      </c>
      <c r="D229" s="21"/>
      <c r="E229" s="21"/>
      <c r="F229" s="21"/>
      <c r="G229" s="21"/>
      <c r="H229" s="760"/>
      <c r="I229" s="90"/>
      <c r="J229" s="91" t="s">
        <v>269</v>
      </c>
      <c r="K229" s="102"/>
      <c r="L229" s="1754" t="s">
        <v>466</v>
      </c>
      <c r="M229" s="1758">
        <v>5</v>
      </c>
      <c r="N229" s="94"/>
      <c r="O229" s="1774">
        <f>M229*W229</f>
        <v>0</v>
      </c>
      <c r="P229" s="352" t="b">
        <v>1</v>
      </c>
      <c r="Q229" s="352" t="b">
        <v>0</v>
      </c>
      <c r="R229" s="63" t="b">
        <v>0</v>
      </c>
      <c r="S229" s="63" t="b">
        <v>1</v>
      </c>
      <c r="T229" s="63" t="b">
        <v>0</v>
      </c>
      <c r="W229" s="25"/>
      <c r="X229" s="1757"/>
      <c r="AL229" s="1130" t="str">
        <f>SUBSTITUTE(SUBSTITUTE(SUBSTITUTE("dpa"&amp;$B229&amp;$C229&amp;$D229&amp;$E229,".","_"),"(","_"),")","")</f>
        <v>dpa504_3_4</v>
      </c>
      <c r="AM229" s="125">
        <f>M229</f>
        <v>5</v>
      </c>
      <c r="AN229" s="1130" t="str">
        <f>SUBSTITUTE(SUBSTITUTE(SUBSTITUTE("dpc"&amp;$B229&amp;$C229&amp;$D229&amp;$E229,".","_"),"(","_"),")","")</f>
        <v>dpc504_3_4</v>
      </c>
      <c r="AO229" s="125">
        <f>O229</f>
        <v>0</v>
      </c>
      <c r="AP229" s="1130" t="str">
        <f>SUBSTITUTE(SUBSTITUTE(SUBSTITUTE("dch"&amp;$B229&amp;$C229&amp;$D229&amp;$E229,".","_"),"(","_"),")","")</f>
        <v>dch504_3_4</v>
      </c>
      <c r="AQ229" s="254" t="str">
        <f>IF(LEN(W229)=0,"",W229)</f>
        <v/>
      </c>
      <c r="AR229" s="1130" t="str">
        <f>SUBSTITUTE(SUBSTITUTE(SUBSTITUTE("dnt"&amp;$B229&amp;$C229&amp;$D229&amp;$E229,".","_"),"(","_"),")","")</f>
        <v>dnt504_3_4</v>
      </c>
      <c r="AS229" s="254" t="str">
        <f>IF(LEN(X229)=0,"",X229)</f>
        <v/>
      </c>
    </row>
    <row r="230" spans="1:61" x14ac:dyDescent="0.25">
      <c r="B230" s="21" t="s">
        <v>461</v>
      </c>
      <c r="C230" s="21" t="s">
        <v>269</v>
      </c>
      <c r="D230" s="21"/>
      <c r="E230" s="21"/>
      <c r="F230" s="21"/>
      <c r="G230" s="21"/>
      <c r="H230" s="760"/>
      <c r="I230" s="90"/>
      <c r="J230" s="177"/>
      <c r="K230" s="177"/>
      <c r="L230" s="1755"/>
      <c r="M230" s="1759"/>
      <c r="N230" s="178"/>
      <c r="O230" s="1764"/>
      <c r="P230" s="352"/>
      <c r="Q230" s="352"/>
      <c r="X230" s="1757"/>
    </row>
    <row r="231" spans="1:61" x14ac:dyDescent="0.25">
      <c r="B231" s="21" t="s">
        <v>461</v>
      </c>
      <c r="C231" s="21" t="s">
        <v>275</v>
      </c>
      <c r="D231" s="21"/>
      <c r="E231" s="21"/>
      <c r="F231" s="21"/>
      <c r="G231" s="21"/>
      <c r="H231" s="760"/>
      <c r="I231" s="90"/>
      <c r="J231" s="91" t="s">
        <v>275</v>
      </c>
      <c r="K231" s="102"/>
      <c r="L231" s="1754" t="s">
        <v>467</v>
      </c>
      <c r="M231" s="1758">
        <v>4</v>
      </c>
      <c r="N231" s="94"/>
      <c r="O231" s="1774">
        <f>M231*W231</f>
        <v>0</v>
      </c>
      <c r="P231" s="352" t="b">
        <v>1</v>
      </c>
      <c r="Q231" s="352" t="b">
        <v>0</v>
      </c>
      <c r="R231" s="63" t="b">
        <v>0</v>
      </c>
      <c r="S231" s="63" t="b">
        <v>1</v>
      </c>
      <c r="T231" s="63" t="b">
        <v>0</v>
      </c>
      <c r="W231" s="25"/>
      <c r="X231" s="1757"/>
      <c r="AL231" s="1130" t="str">
        <f>SUBSTITUTE(SUBSTITUTE(SUBSTITUTE("dpa"&amp;$B231&amp;$C231&amp;$D231&amp;$E231,".","_"),"(","_"),")","")</f>
        <v>dpa504_3_5</v>
      </c>
      <c r="AM231" s="125">
        <f>M231</f>
        <v>4</v>
      </c>
      <c r="AN231" s="1130" t="str">
        <f>SUBSTITUTE(SUBSTITUTE(SUBSTITUTE("dpc"&amp;$B231&amp;$C231&amp;$D231&amp;$E231,".","_"),"(","_"),")","")</f>
        <v>dpc504_3_5</v>
      </c>
      <c r="AO231" s="125">
        <f>O231</f>
        <v>0</v>
      </c>
      <c r="AP231" s="1130" t="str">
        <f>SUBSTITUTE(SUBSTITUTE(SUBSTITUTE("dch"&amp;$B231&amp;$C231&amp;$D231&amp;$E231,".","_"),"(","_"),")","")</f>
        <v>dch504_3_5</v>
      </c>
      <c r="AQ231" s="254" t="str">
        <f>IF(LEN(W231)=0,"",W231)</f>
        <v/>
      </c>
      <c r="AR231" s="1130" t="str">
        <f>SUBSTITUTE(SUBSTITUTE(SUBSTITUTE("dnt"&amp;$B231&amp;$C231&amp;$D231&amp;$E231,".","_"),"(","_"),")","")</f>
        <v>dnt504_3_5</v>
      </c>
      <c r="AS231" s="254" t="str">
        <f>IF(LEN(X231)=0,"",X231)</f>
        <v/>
      </c>
    </row>
    <row r="232" spans="1:61" x14ac:dyDescent="0.25">
      <c r="B232" s="21" t="s">
        <v>461</v>
      </c>
      <c r="C232" s="21" t="s">
        <v>275</v>
      </c>
      <c r="D232" s="21"/>
      <c r="E232" s="21"/>
      <c r="F232" s="21"/>
      <c r="G232" s="21"/>
      <c r="H232" s="760"/>
      <c r="I232" s="90"/>
      <c r="J232" s="102"/>
      <c r="K232" s="102"/>
      <c r="L232" s="1754"/>
      <c r="M232" s="1758"/>
      <c r="N232" s="94"/>
      <c r="O232" s="1774"/>
      <c r="P232" s="352"/>
      <c r="Q232" s="352"/>
      <c r="X232" s="1757"/>
    </row>
    <row r="233" spans="1:61" x14ac:dyDescent="0.25">
      <c r="B233" s="21" t="s">
        <v>461</v>
      </c>
      <c r="C233" s="21" t="s">
        <v>275</v>
      </c>
      <c r="D233" s="21"/>
      <c r="E233" s="21"/>
      <c r="F233" s="21"/>
      <c r="G233" s="21"/>
      <c r="H233" s="760"/>
      <c r="I233" s="90"/>
      <c r="J233" s="102"/>
      <c r="K233" s="102"/>
      <c r="L233" s="1754"/>
      <c r="M233" s="1758"/>
      <c r="N233" s="94"/>
      <c r="O233" s="1774"/>
      <c r="P233" s="352"/>
      <c r="Q233" s="352"/>
      <c r="X233" s="1757"/>
    </row>
    <row r="234" spans="1:61" x14ac:dyDescent="0.25">
      <c r="B234" s="21" t="s">
        <v>461</v>
      </c>
      <c r="C234" s="21" t="s">
        <v>275</v>
      </c>
      <c r="D234" s="21"/>
      <c r="E234" s="21"/>
      <c r="F234" s="21"/>
      <c r="G234" s="21"/>
      <c r="H234" s="760"/>
      <c r="I234" s="90"/>
      <c r="J234" s="177"/>
      <c r="K234" s="177"/>
      <c r="L234" s="1755"/>
      <c r="M234" s="1759"/>
      <c r="N234" s="178"/>
      <c r="O234" s="1764"/>
      <c r="P234" s="352"/>
      <c r="Q234" s="352"/>
      <c r="X234" s="1757"/>
    </row>
    <row r="235" spans="1:61" x14ac:dyDescent="0.25">
      <c r="B235" s="21" t="s">
        <v>461</v>
      </c>
      <c r="C235" s="21" t="s">
        <v>277</v>
      </c>
      <c r="D235" s="21"/>
      <c r="E235" s="21"/>
      <c r="F235" s="21"/>
      <c r="G235" s="21"/>
      <c r="H235" s="760"/>
      <c r="I235" s="90"/>
      <c r="J235" s="91" t="s">
        <v>277</v>
      </c>
      <c r="K235" s="102"/>
      <c r="L235" s="1754" t="s">
        <v>468</v>
      </c>
      <c r="M235" s="1758">
        <v>3</v>
      </c>
      <c r="N235" s="94"/>
      <c r="O235" s="1774">
        <f>M235*W235</f>
        <v>0</v>
      </c>
      <c r="P235" s="352" t="b">
        <v>1</v>
      </c>
      <c r="Q235" s="352" t="b">
        <v>0</v>
      </c>
      <c r="R235" s="63" t="b">
        <v>0</v>
      </c>
      <c r="S235" s="63" t="b">
        <v>1</v>
      </c>
      <c r="T235" s="63" t="b">
        <v>0</v>
      </c>
      <c r="W235" s="25"/>
      <c r="X235" s="1757"/>
      <c r="AL235" s="1130" t="str">
        <f>SUBSTITUTE(SUBSTITUTE(SUBSTITUTE("dpa"&amp;$B235&amp;$C235&amp;$D235&amp;$E235,".","_"),"(","_"),")","")</f>
        <v>dpa504_3_6</v>
      </c>
      <c r="AM235" s="125">
        <f>M235</f>
        <v>3</v>
      </c>
      <c r="AN235" s="1130" t="str">
        <f>SUBSTITUTE(SUBSTITUTE(SUBSTITUTE("dpc"&amp;$B235&amp;$C235&amp;$D235&amp;$E235,".","_"),"(","_"),")","")</f>
        <v>dpc504_3_6</v>
      </c>
      <c r="AO235" s="125">
        <f>O235</f>
        <v>0</v>
      </c>
      <c r="AP235" s="1130" t="str">
        <f>SUBSTITUTE(SUBSTITUTE(SUBSTITUTE("dch"&amp;$B235&amp;$C235&amp;$D235&amp;$E235,".","_"),"(","_"),")","")</f>
        <v>dch504_3_6</v>
      </c>
      <c r="AQ235" s="254" t="str">
        <f>IF(LEN(W235)=0,"",W235)</f>
        <v/>
      </c>
      <c r="AR235" s="1130" t="str">
        <f>SUBSTITUTE(SUBSTITUTE(SUBSTITUTE("dnt"&amp;$B235&amp;$C235&amp;$D235&amp;$E235,".","_"),"(","_"),")","")</f>
        <v>dnt504_3_6</v>
      </c>
      <c r="AS235" s="254" t="str">
        <f>IF(LEN(X235)=0,"",X235)</f>
        <v/>
      </c>
    </row>
    <row r="236" spans="1:61" x14ac:dyDescent="0.25">
      <c r="B236" s="21" t="s">
        <v>461</v>
      </c>
      <c r="C236" s="21" t="s">
        <v>277</v>
      </c>
      <c r="D236" s="21"/>
      <c r="E236" s="21"/>
      <c r="F236" s="21"/>
      <c r="G236" s="21"/>
      <c r="H236" s="760"/>
      <c r="I236" s="90"/>
      <c r="J236" s="102"/>
      <c r="K236" s="102"/>
      <c r="L236" s="1754"/>
      <c r="M236" s="1758"/>
      <c r="N236" s="94"/>
      <c r="O236" s="1774"/>
      <c r="P236" s="352"/>
      <c r="Q236" s="352"/>
      <c r="X236" s="1757"/>
    </row>
    <row r="237" spans="1:61" x14ac:dyDescent="0.25">
      <c r="B237" s="21" t="s">
        <v>461</v>
      </c>
      <c r="C237" s="21" t="s">
        <v>277</v>
      </c>
      <c r="D237" s="21"/>
      <c r="E237" s="21"/>
      <c r="F237" s="21"/>
      <c r="G237" s="21"/>
      <c r="H237" s="760"/>
      <c r="I237" s="90"/>
      <c r="J237" s="177"/>
      <c r="K237" s="177"/>
      <c r="L237" s="1755"/>
      <c r="M237" s="1759"/>
      <c r="N237" s="178"/>
      <c r="O237" s="1764"/>
      <c r="P237" s="352"/>
      <c r="Q237" s="352"/>
      <c r="X237" s="1757"/>
    </row>
    <row r="238" spans="1:61" x14ac:dyDescent="0.25">
      <c r="B238" s="21" t="s">
        <v>461</v>
      </c>
      <c r="C238" s="21" t="s">
        <v>383</v>
      </c>
      <c r="D238" s="21"/>
      <c r="E238" s="21"/>
      <c r="F238" s="21"/>
      <c r="G238" s="21"/>
      <c r="H238" s="760"/>
      <c r="I238" s="90"/>
      <c r="J238" s="174" t="s">
        <v>383</v>
      </c>
      <c r="K238" s="177"/>
      <c r="L238" s="1163" t="s">
        <v>469</v>
      </c>
      <c r="M238" s="426">
        <v>3</v>
      </c>
      <c r="N238" s="178"/>
      <c r="O238" s="501">
        <f>M238*W238</f>
        <v>0</v>
      </c>
      <c r="P238" s="352" t="b">
        <v>1</v>
      </c>
      <c r="Q238" s="352" t="b">
        <v>1</v>
      </c>
      <c r="R238" s="63" t="b">
        <v>0</v>
      </c>
      <c r="S238" s="63" t="b">
        <v>1</v>
      </c>
      <c r="T238" s="63" t="b">
        <v>0</v>
      </c>
      <c r="W238" s="25"/>
      <c r="X238" s="124"/>
      <c r="AL238" s="1130" t="str">
        <f>SUBSTITUTE(SUBSTITUTE(SUBSTITUTE("dpa"&amp;$B238&amp;$C238&amp;$D238&amp;$E238,".","_"),"(","_"),")","")</f>
        <v>dpa504_3_7</v>
      </c>
      <c r="AM238" s="125">
        <f>M238</f>
        <v>3</v>
      </c>
      <c r="AN238" s="1130" t="str">
        <f>SUBSTITUTE(SUBSTITUTE(SUBSTITUTE("dpc"&amp;$B238&amp;$C238&amp;$D238&amp;$E238,".","_"),"(","_"),")","")</f>
        <v>dpc504_3_7</v>
      </c>
      <c r="AO238" s="125">
        <f>O238</f>
        <v>0</v>
      </c>
      <c r="AP238" s="1130" t="str">
        <f>SUBSTITUTE(SUBSTITUTE(SUBSTITUTE("dch"&amp;$B238&amp;$C238&amp;$D238&amp;$E238,".","_"),"(","_"),")","")</f>
        <v>dch504_3_7</v>
      </c>
      <c r="AQ238" s="254" t="str">
        <f>IF(LEN(W238)=0,"",W238)</f>
        <v/>
      </c>
      <c r="AR238" s="1130" t="str">
        <f>SUBSTITUTE(SUBSTITUTE(SUBSTITUTE("dnt"&amp;$B238&amp;$C238&amp;$D238&amp;$E238,".","_"),"(","_"),")","")</f>
        <v>dnt504_3_7</v>
      </c>
      <c r="AS238" s="254" t="str">
        <f>IF(LEN(X238)=0,"",X238)</f>
        <v/>
      </c>
    </row>
    <row r="239" spans="1:61" ht="15" customHeight="1" x14ac:dyDescent="0.25">
      <c r="B239" s="21" t="s">
        <v>461</v>
      </c>
      <c r="C239" s="21" t="s">
        <v>428</v>
      </c>
      <c r="D239" s="21"/>
      <c r="E239" s="21"/>
      <c r="F239" s="21"/>
      <c r="G239" s="21"/>
      <c r="H239" s="760"/>
      <c r="I239" s="90"/>
      <c r="J239" s="91" t="s">
        <v>428</v>
      </c>
      <c r="K239" s="102"/>
      <c r="L239" s="1160" t="s">
        <v>2978</v>
      </c>
      <c r="M239" s="1758">
        <v>5</v>
      </c>
      <c r="N239" s="94"/>
      <c r="O239" s="1774">
        <f>M239*MIN(1,(W240+W241+W242+W243+W244+W245))</f>
        <v>0</v>
      </c>
      <c r="P239" s="352"/>
      <c r="Q239" s="352"/>
      <c r="R239" s="63"/>
      <c r="S239" s="63"/>
      <c r="T239" s="63"/>
      <c r="W239"/>
      <c r="X239" s="1757"/>
      <c r="AC239" s="121"/>
      <c r="AD239" s="121"/>
      <c r="AE239" s="121"/>
      <c r="AL239" s="1130" t="str">
        <f>SUBSTITUTE(SUBSTITUTE(SUBSTITUTE("dpa"&amp;$B239&amp;$C239&amp;$D239&amp;$E239,".","_"),"(","_"),")","")</f>
        <v>dpa504_3_8</v>
      </c>
      <c r="AM239" s="125">
        <f>M239</f>
        <v>5</v>
      </c>
      <c r="AN239" s="1130" t="str">
        <f>SUBSTITUTE(SUBSTITUTE(SUBSTITUTE("dpc"&amp;$B239&amp;$C239&amp;$D239&amp;$E239,".","_"),"(","_"),")","")</f>
        <v>dpc504_3_8</v>
      </c>
      <c r="AO239" s="125">
        <f>O239</f>
        <v>0</v>
      </c>
      <c r="AP239" s="125"/>
      <c r="AQ239" s="125"/>
      <c r="AR239" s="1130" t="str">
        <f>SUBSTITUTE(SUBSTITUTE(SUBSTITUTE("dnt"&amp;$B239&amp;$C239&amp;$D239&amp;$E239,".","_"),"(","_"),")","")</f>
        <v>dnt504_3_8</v>
      </c>
      <c r="AS239" s="254" t="str">
        <f>IF(LEN(X239)=0,"",X239)</f>
        <v/>
      </c>
      <c r="AX239" s="121"/>
      <c r="AY239" s="121"/>
    </row>
    <row r="240" spans="1:61" s="121" customFormat="1" x14ac:dyDescent="0.25">
      <c r="A240" s="18"/>
      <c r="B240" s="21" t="s">
        <v>461</v>
      </c>
      <c r="C240" s="21" t="s">
        <v>428</v>
      </c>
      <c r="D240" s="21" t="s">
        <v>2971</v>
      </c>
      <c r="E240" s="21"/>
      <c r="F240" s="21"/>
      <c r="G240" s="21"/>
      <c r="H240" s="760"/>
      <c r="I240" s="90"/>
      <c r="J240" s="102"/>
      <c r="K240" s="102"/>
      <c r="L240" s="1160" t="s">
        <v>2984</v>
      </c>
      <c r="M240" s="1758"/>
      <c r="N240" s="94"/>
      <c r="O240" s="1774"/>
      <c r="P240" s="352" t="b">
        <v>1</v>
      </c>
      <c r="Q240" s="352" t="b">
        <v>1</v>
      </c>
      <c r="R240" s="136" t="b">
        <v>0</v>
      </c>
      <c r="S240" s="136" t="b">
        <v>1</v>
      </c>
      <c r="T240" s="136" t="b">
        <v>0</v>
      </c>
      <c r="W240" s="25"/>
      <c r="X240" s="1757"/>
      <c r="Y240" s="780"/>
      <c r="AA240" s="783"/>
      <c r="AP240" s="1130" t="str">
        <f t="shared" ref="AP240:AP245" si="2">SUBSTITUTE(SUBSTITUTE(SUBSTITUTE("dch"&amp;$B240&amp;$C240&amp;$D240&amp;$E240,".","_"),"(","_"),")","")</f>
        <v>dch504_3_8a</v>
      </c>
      <c r="AQ240" s="254" t="str">
        <f t="shared" ref="AQ240:AQ245" si="3">IF(LEN(W240)=0,"",W240)</f>
        <v/>
      </c>
      <c r="AX240" s="136"/>
      <c r="AY240" s="136"/>
      <c r="AZ240"/>
      <c r="BA240"/>
      <c r="BB240"/>
      <c r="BC240"/>
      <c r="BD240"/>
      <c r="BE240"/>
      <c r="BF240"/>
      <c r="BG240"/>
      <c r="BH240"/>
      <c r="BI240"/>
    </row>
    <row r="241" spans="1:61" s="136" customFormat="1" x14ac:dyDescent="0.25">
      <c r="A241" s="18"/>
      <c r="B241" s="21" t="s">
        <v>461</v>
      </c>
      <c r="C241" s="21" t="s">
        <v>428</v>
      </c>
      <c r="D241" s="21" t="s">
        <v>2972</v>
      </c>
      <c r="E241" s="21"/>
      <c r="F241" s="21"/>
      <c r="G241" s="21"/>
      <c r="H241" s="760"/>
      <c r="I241" s="90"/>
      <c r="J241" s="102"/>
      <c r="K241" s="102"/>
      <c r="L241" s="1160" t="s">
        <v>2983</v>
      </c>
      <c r="M241" s="1758"/>
      <c r="N241" s="94"/>
      <c r="O241" s="1774"/>
      <c r="P241" s="352" t="b">
        <v>1</v>
      </c>
      <c r="Q241" s="352" t="b">
        <v>1</v>
      </c>
      <c r="R241" s="136" t="b">
        <v>0</v>
      </c>
      <c r="S241" s="136" t="b">
        <v>1</v>
      </c>
      <c r="T241" s="136" t="b">
        <v>0</v>
      </c>
      <c r="W241" s="25"/>
      <c r="X241" s="1757"/>
      <c r="Y241" s="780"/>
      <c r="AA241" s="783"/>
      <c r="AP241" s="1130" t="str">
        <f t="shared" si="2"/>
        <v>dch504_3_8b</v>
      </c>
      <c r="AQ241" s="254" t="str">
        <f t="shared" si="3"/>
        <v/>
      </c>
      <c r="AZ241" s="121"/>
      <c r="BA241" s="121"/>
      <c r="BB241" s="121"/>
      <c r="BC241" s="121"/>
      <c r="BD241" s="121"/>
      <c r="BE241" s="121"/>
      <c r="BF241" s="121"/>
      <c r="BG241" s="121"/>
      <c r="BH241" s="121"/>
      <c r="BI241" s="121"/>
    </row>
    <row r="242" spans="1:61" s="136" customFormat="1" x14ac:dyDescent="0.25">
      <c r="A242" s="18"/>
      <c r="B242" s="21" t="s">
        <v>461</v>
      </c>
      <c r="C242" s="21" t="s">
        <v>428</v>
      </c>
      <c r="D242" s="21" t="s">
        <v>2973</v>
      </c>
      <c r="E242" s="21"/>
      <c r="F242" s="21"/>
      <c r="G242" s="21"/>
      <c r="H242" s="760"/>
      <c r="I242" s="90"/>
      <c r="J242" s="102"/>
      <c r="K242" s="102"/>
      <c r="L242" s="1160" t="s">
        <v>2982</v>
      </c>
      <c r="M242" s="1758"/>
      <c r="N242" s="94"/>
      <c r="O242" s="1774"/>
      <c r="P242" s="352" t="b">
        <v>1</v>
      </c>
      <c r="Q242" s="352" t="b">
        <v>1</v>
      </c>
      <c r="R242" s="136" t="b">
        <v>0</v>
      </c>
      <c r="S242" s="136" t="b">
        <v>1</v>
      </c>
      <c r="T242" s="136" t="b">
        <v>0</v>
      </c>
      <c r="W242" s="25"/>
      <c r="X242" s="1757"/>
      <c r="Y242" s="780"/>
      <c r="AA242" s="783"/>
      <c r="AP242" s="1130" t="str">
        <f t="shared" si="2"/>
        <v>dch504_3_8c</v>
      </c>
      <c r="AQ242" s="254" t="str">
        <f t="shared" si="3"/>
        <v/>
      </c>
    </row>
    <row r="243" spans="1:61" s="136" customFormat="1" x14ac:dyDescent="0.25">
      <c r="A243" s="18"/>
      <c r="B243" s="21" t="s">
        <v>461</v>
      </c>
      <c r="C243" s="21" t="s">
        <v>428</v>
      </c>
      <c r="D243" s="21" t="s">
        <v>2974</v>
      </c>
      <c r="E243" s="21"/>
      <c r="F243" s="21"/>
      <c r="G243" s="21"/>
      <c r="H243" s="760"/>
      <c r="I243" s="90"/>
      <c r="J243" s="102"/>
      <c r="K243" s="102"/>
      <c r="L243" s="1160" t="s">
        <v>2981</v>
      </c>
      <c r="M243" s="1758"/>
      <c r="N243" s="94"/>
      <c r="O243" s="1774"/>
      <c r="P243" s="352" t="b">
        <v>1</v>
      </c>
      <c r="Q243" s="352" t="b">
        <v>1</v>
      </c>
      <c r="R243" s="136" t="b">
        <v>0</v>
      </c>
      <c r="S243" s="136" t="b">
        <v>1</v>
      </c>
      <c r="T243" s="136" t="b">
        <v>0</v>
      </c>
      <c r="W243" s="25"/>
      <c r="X243" s="1757"/>
      <c r="Y243" s="780"/>
      <c r="AA243" s="783"/>
      <c r="AP243" s="1130" t="str">
        <f t="shared" si="2"/>
        <v>dch504_3_8d</v>
      </c>
      <c r="AQ243" s="254" t="str">
        <f t="shared" si="3"/>
        <v/>
      </c>
    </row>
    <row r="244" spans="1:61" s="136" customFormat="1" x14ac:dyDescent="0.25">
      <c r="A244" s="18"/>
      <c r="B244" s="21" t="s">
        <v>461</v>
      </c>
      <c r="C244" s="21" t="s">
        <v>428</v>
      </c>
      <c r="D244" s="21" t="s">
        <v>2975</v>
      </c>
      <c r="E244" s="21"/>
      <c r="F244" s="21"/>
      <c r="G244" s="21"/>
      <c r="H244" s="760"/>
      <c r="I244" s="90"/>
      <c r="J244" s="102"/>
      <c r="K244" s="102"/>
      <c r="L244" s="1160" t="s">
        <v>2980</v>
      </c>
      <c r="M244" s="1758"/>
      <c r="N244" s="94"/>
      <c r="O244" s="1774"/>
      <c r="P244" s="352" t="b">
        <v>1</v>
      </c>
      <c r="Q244" s="352" t="b">
        <v>1</v>
      </c>
      <c r="R244" s="136" t="b">
        <v>0</v>
      </c>
      <c r="S244" s="136" t="b">
        <v>1</v>
      </c>
      <c r="T244" s="136" t="b">
        <v>0</v>
      </c>
      <c r="W244" s="25"/>
      <c r="X244" s="1757"/>
      <c r="Y244" s="780"/>
      <c r="AA244" s="783"/>
      <c r="AP244" s="1130" t="str">
        <f t="shared" si="2"/>
        <v>dch504_3_8e</v>
      </c>
      <c r="AQ244" s="254" t="str">
        <f t="shared" si="3"/>
        <v/>
      </c>
    </row>
    <row r="245" spans="1:61" s="136" customFormat="1" x14ac:dyDescent="0.25">
      <c r="A245" s="18"/>
      <c r="B245" s="21" t="s">
        <v>461</v>
      </c>
      <c r="C245" s="21" t="s">
        <v>428</v>
      </c>
      <c r="D245" s="21" t="s">
        <v>2976</v>
      </c>
      <c r="E245" s="21"/>
      <c r="F245" s="21"/>
      <c r="G245" s="21"/>
      <c r="H245" s="760"/>
      <c r="I245" s="90"/>
      <c r="J245" s="102"/>
      <c r="K245" s="102"/>
      <c r="L245" s="1160" t="s">
        <v>2979</v>
      </c>
      <c r="M245" s="1758"/>
      <c r="N245" s="94"/>
      <c r="O245" s="1774"/>
      <c r="P245" s="352" t="b">
        <v>1</v>
      </c>
      <c r="Q245" s="352" t="b">
        <v>1</v>
      </c>
      <c r="R245" s="136" t="b">
        <v>0</v>
      </c>
      <c r="S245" s="136" t="b">
        <v>1</v>
      </c>
      <c r="T245" s="136" t="b">
        <v>0</v>
      </c>
      <c r="W245" s="25"/>
      <c r="X245" s="1757"/>
      <c r="Y245" s="780"/>
      <c r="AA245" s="783"/>
      <c r="AC245" s="136" t="b">
        <f>OR(AD245:AE245)</f>
        <v>0</v>
      </c>
      <c r="AD245" s="136" t="b">
        <v>0</v>
      </c>
      <c r="AE245" s="136" t="b">
        <f>AND(W245=TRUE,LEN(X239)=0)</f>
        <v>0</v>
      </c>
      <c r="AP245" s="1130" t="str">
        <f t="shared" si="2"/>
        <v>dch504_3_8f</v>
      </c>
      <c r="AQ245" s="254" t="str">
        <f t="shared" si="3"/>
        <v/>
      </c>
      <c r="AX245"/>
      <c r="AY245"/>
    </row>
    <row r="246" spans="1:61" x14ac:dyDescent="0.25">
      <c r="B246" s="21" t="s">
        <v>461</v>
      </c>
      <c r="C246" s="21" t="s">
        <v>428</v>
      </c>
      <c r="D246" s="21"/>
      <c r="E246" s="21"/>
      <c r="F246" s="21"/>
      <c r="G246" s="21"/>
      <c r="H246" s="760"/>
      <c r="I246" s="90"/>
      <c r="J246" s="177"/>
      <c r="K246" s="177"/>
      <c r="L246" s="1177" t="s">
        <v>2977</v>
      </c>
      <c r="M246" s="1759"/>
      <c r="N246" s="178"/>
      <c r="O246" s="1764"/>
      <c r="P246" s="352"/>
      <c r="Q246" s="352"/>
      <c r="X246" s="1757"/>
      <c r="AZ246" s="136"/>
      <c r="BA246" s="136"/>
      <c r="BB246" s="136"/>
      <c r="BC246" s="136"/>
      <c r="BD246" s="136"/>
      <c r="BE246" s="136"/>
      <c r="BF246" s="136"/>
      <c r="BG246" s="136"/>
      <c r="BH246" s="136"/>
      <c r="BI246" s="136"/>
    </row>
    <row r="247" spans="1:61" x14ac:dyDescent="0.25">
      <c r="B247" s="21" t="s">
        <v>461</v>
      </c>
      <c r="C247" s="21" t="s">
        <v>430</v>
      </c>
      <c r="D247" s="21"/>
      <c r="E247" s="21"/>
      <c r="F247" s="21"/>
      <c r="G247" s="21"/>
      <c r="H247" s="760"/>
      <c r="I247" s="90"/>
      <c r="J247" s="87" t="s">
        <v>430</v>
      </c>
      <c r="K247" s="90"/>
      <c r="L247" s="1170" t="s">
        <v>470</v>
      </c>
      <c r="M247" s="428">
        <v>3</v>
      </c>
      <c r="O247" s="141">
        <f>M247*W247</f>
        <v>0</v>
      </c>
      <c r="P247" s="352" t="b">
        <v>1</v>
      </c>
      <c r="Q247" s="352" t="b">
        <v>1</v>
      </c>
      <c r="R247" s="63" t="b">
        <v>0</v>
      </c>
      <c r="S247" s="63" t="b">
        <v>1</v>
      </c>
      <c r="T247" s="63" t="b">
        <v>0</v>
      </c>
      <c r="W247" s="25"/>
      <c r="X247" s="124"/>
      <c r="AL247" s="1130" t="str">
        <f>SUBSTITUTE(SUBSTITUTE(SUBSTITUTE("dpa"&amp;$B247&amp;$C247&amp;$D247&amp;$E247,".","_"),"(","_"),")","")</f>
        <v>dpa504_3_9</v>
      </c>
      <c r="AM247" s="125">
        <f>M247</f>
        <v>3</v>
      </c>
      <c r="AN247" s="1130" t="str">
        <f>SUBSTITUTE(SUBSTITUTE(SUBSTITUTE("dpc"&amp;$B247&amp;$C247&amp;$D247&amp;$E247,".","_"),"(","_"),")","")</f>
        <v>dpc504_3_9</v>
      </c>
      <c r="AO247" s="125">
        <f>O247</f>
        <v>0</v>
      </c>
      <c r="AP247" s="1130" t="str">
        <f>SUBSTITUTE(SUBSTITUTE(SUBSTITUTE("dch"&amp;$B247&amp;$C247&amp;$D247&amp;$E247,".","_"),"(","_"),")","")</f>
        <v>dch504_3_9</v>
      </c>
      <c r="AQ247" s="254" t="str">
        <f>IF(LEN(W247)=0,"",W247)</f>
        <v/>
      </c>
      <c r="AR247" s="1130" t="str">
        <f>SUBSTITUTE(SUBSTITUTE(SUBSTITUTE("dnt"&amp;$B247&amp;$C247&amp;$D247&amp;$E247,".","_"),"(","_"),")","")</f>
        <v>dnt504_3_9</v>
      </c>
      <c r="AS247" s="254" t="str">
        <f>IF(LEN(X247)=0,"",X247)</f>
        <v/>
      </c>
    </row>
    <row r="248" spans="1:61" ht="18.75" x14ac:dyDescent="0.3">
      <c r="B248" s="21" t="s">
        <v>471</v>
      </c>
      <c r="C248" s="21"/>
      <c r="D248" s="21"/>
      <c r="E248" s="21"/>
      <c r="F248" s="21"/>
      <c r="G248" s="21"/>
      <c r="H248" s="760"/>
      <c r="I248" s="69" t="s">
        <v>472</v>
      </c>
      <c r="J248" s="69"/>
      <c r="K248" s="69"/>
      <c r="L248" s="84"/>
      <c r="M248" s="390"/>
      <c r="N248" s="23"/>
      <c r="O248" s="498"/>
      <c r="P248" s="23"/>
      <c r="Q248" s="23"/>
      <c r="R248" s="23"/>
      <c r="S248" s="23"/>
      <c r="T248" s="23"/>
      <c r="U248" s="23"/>
      <c r="V248" s="23"/>
      <c r="W248" s="23"/>
      <c r="X248" s="23"/>
    </row>
    <row r="249" spans="1:61" x14ac:dyDescent="0.25">
      <c r="B249" s="21" t="s">
        <v>3984</v>
      </c>
      <c r="C249" s="21"/>
      <c r="D249" s="21"/>
      <c r="E249" s="21"/>
      <c r="F249" s="21"/>
      <c r="G249" s="21"/>
      <c r="H249" s="760"/>
      <c r="I249" s="91" t="s">
        <v>3984</v>
      </c>
      <c r="J249" s="102"/>
      <c r="K249" s="102"/>
      <c r="L249" s="1782" t="s">
        <v>473</v>
      </c>
      <c r="M249" s="424"/>
      <c r="N249" s="94"/>
      <c r="O249" s="239"/>
      <c r="P249" s="94"/>
      <c r="Q249" s="94"/>
      <c r="R249" s="94"/>
      <c r="S249" s="94"/>
      <c r="T249" s="94"/>
      <c r="U249" s="94"/>
      <c r="V249" s="94"/>
      <c r="W249" s="94"/>
      <c r="X249" s="113"/>
    </row>
    <row r="250" spans="1:61" x14ac:dyDescent="0.25">
      <c r="B250" s="21" t="s">
        <v>3984</v>
      </c>
      <c r="C250" s="21"/>
      <c r="D250" s="21"/>
      <c r="E250" s="21"/>
      <c r="F250" s="21"/>
      <c r="G250" s="21"/>
      <c r="H250" s="760"/>
      <c r="I250" s="102"/>
      <c r="J250" s="102"/>
      <c r="K250" s="102"/>
      <c r="L250" s="1782"/>
      <c r="M250" s="424"/>
      <c r="N250" s="94"/>
      <c r="O250" s="239"/>
      <c r="P250" s="94"/>
      <c r="Q250" s="94"/>
      <c r="R250" s="94"/>
      <c r="S250" s="94"/>
      <c r="T250" s="94"/>
      <c r="U250" s="94"/>
      <c r="V250" s="94"/>
      <c r="W250" s="94"/>
      <c r="X250" s="113"/>
    </row>
    <row r="251" spans="1:61" ht="15.75" thickBot="1" x14ac:dyDescent="0.3">
      <c r="B251" s="21" t="s">
        <v>3984</v>
      </c>
      <c r="C251" s="21"/>
      <c r="D251" s="21"/>
      <c r="E251" s="21"/>
      <c r="F251" s="21"/>
      <c r="G251" s="21"/>
      <c r="H251" s="760"/>
      <c r="I251" s="103"/>
      <c r="J251" s="103"/>
      <c r="K251" s="103"/>
      <c r="L251" s="1797"/>
      <c r="M251" s="429"/>
      <c r="N251" s="99"/>
      <c r="O251" s="241"/>
      <c r="P251" s="99"/>
      <c r="Q251" s="99"/>
      <c r="R251" s="99"/>
      <c r="S251" s="99"/>
      <c r="T251" s="99"/>
      <c r="U251" s="99"/>
      <c r="V251" s="99"/>
      <c r="W251" s="99"/>
      <c r="X251" s="112"/>
    </row>
    <row r="252" spans="1:61" ht="15.75" thickTop="1" x14ac:dyDescent="0.25">
      <c r="B252" s="21" t="s">
        <v>474</v>
      </c>
      <c r="C252" s="21"/>
      <c r="D252" s="21"/>
      <c r="E252" s="21"/>
      <c r="F252" s="21"/>
      <c r="G252" s="21"/>
      <c r="H252" s="760"/>
      <c r="I252" s="87" t="s">
        <v>474</v>
      </c>
      <c r="J252" s="90"/>
      <c r="K252" s="90"/>
      <c r="L252" s="1796" t="s">
        <v>475</v>
      </c>
      <c r="M252" s="428"/>
      <c r="O252" s="141"/>
      <c r="P252" s="352"/>
      <c r="Q252" s="352"/>
      <c r="X252"/>
      <c r="AR252" s="125"/>
      <c r="AS252" s="125"/>
    </row>
    <row r="253" spans="1:61" x14ac:dyDescent="0.25">
      <c r="B253" s="21" t="s">
        <v>474</v>
      </c>
      <c r="C253" s="21"/>
      <c r="D253" s="21"/>
      <c r="E253" s="21"/>
      <c r="F253" s="21"/>
      <c r="G253" s="21"/>
      <c r="H253" s="760"/>
      <c r="I253" s="90"/>
      <c r="J253" s="90"/>
      <c r="K253" s="90"/>
      <c r="L253" s="1796"/>
      <c r="M253" s="428"/>
      <c r="O253" s="141"/>
      <c r="P253" s="352"/>
      <c r="Q253" s="352"/>
      <c r="X253"/>
    </row>
    <row r="254" spans="1:61" x14ac:dyDescent="0.25">
      <c r="B254" s="21" t="s">
        <v>474</v>
      </c>
      <c r="C254" s="21" t="s">
        <v>256</v>
      </c>
      <c r="D254" s="21"/>
      <c r="E254" s="21"/>
      <c r="F254" s="21"/>
      <c r="G254" s="21"/>
      <c r="H254" s="760"/>
      <c r="I254" s="90"/>
      <c r="J254" s="91" t="s">
        <v>256</v>
      </c>
      <c r="K254" s="102"/>
      <c r="L254" s="1754" t="s">
        <v>476</v>
      </c>
      <c r="M254" s="1758">
        <v>5</v>
      </c>
      <c r="N254" s="94"/>
      <c r="O254" s="1774">
        <f>M254*S254*W254</f>
        <v>0</v>
      </c>
      <c r="P254" s="352" t="b">
        <v>0</v>
      </c>
      <c r="Q254" s="352" t="b">
        <v>1</v>
      </c>
      <c r="R254" s="63" t="b">
        <v>0</v>
      </c>
      <c r="S254" s="63" t="b">
        <v>1</v>
      </c>
      <c r="T254" s="63" t="b">
        <v>0</v>
      </c>
      <c r="W254" s="25"/>
      <c r="X254" s="1798"/>
      <c r="AL254" s="1130" t="str">
        <f>SUBSTITUTE(SUBSTITUTE(SUBSTITUTE("dpa"&amp;$B254&amp;$C254&amp;$D254&amp;$E254,".","_"),"(","_"),")","")</f>
        <v>dpa505_1_1</v>
      </c>
      <c r="AM254" s="125">
        <f>M254</f>
        <v>5</v>
      </c>
      <c r="AN254" s="1130" t="str">
        <f>SUBSTITUTE(SUBSTITUTE(SUBSTITUTE("dpc"&amp;$B254&amp;$C254&amp;$D254&amp;$E254,".","_"),"(","_"),")","")</f>
        <v>dpc505_1_1</v>
      </c>
      <c r="AO254" s="125">
        <f>O254</f>
        <v>0</v>
      </c>
      <c r="AP254" s="1130" t="str">
        <f>SUBSTITUTE(SUBSTITUTE(SUBSTITUTE("dch"&amp;$B254&amp;$C254&amp;$D254&amp;$E254,".","_"),"(","_"),")","")</f>
        <v>dch505_1_1</v>
      </c>
      <c r="AQ254" s="254" t="str">
        <f>IF(LEN(W254)=0,"",W254)</f>
        <v/>
      </c>
      <c r="AR254" s="1130" t="str">
        <f>SUBSTITUTE(SUBSTITUTE(SUBSTITUTE("dnt"&amp;$B254&amp;$C254&amp;$D254&amp;$E254,".","_"),"(","_"),")","")</f>
        <v>dnt505_1_1</v>
      </c>
      <c r="AS254" s="254" t="str">
        <f>IF(LEN(X254)=0,"",X254)</f>
        <v/>
      </c>
    </row>
    <row r="255" spans="1:61" x14ac:dyDescent="0.25">
      <c r="B255" s="21" t="s">
        <v>474</v>
      </c>
      <c r="C255" s="21" t="s">
        <v>256</v>
      </c>
      <c r="D255" s="21"/>
      <c r="E255" s="21"/>
      <c r="F255" s="21"/>
      <c r="G255" s="21"/>
      <c r="H255" s="760"/>
      <c r="I255" s="90"/>
      <c r="J255" s="174"/>
      <c r="K255" s="177"/>
      <c r="L255" s="1755"/>
      <c r="M255" s="1759"/>
      <c r="N255" s="178"/>
      <c r="O255" s="1764"/>
      <c r="P255" s="352"/>
      <c r="Q255" s="352"/>
      <c r="X255" s="1756"/>
    </row>
    <row r="256" spans="1:61" x14ac:dyDescent="0.25">
      <c r="B256" s="21" t="s">
        <v>474</v>
      </c>
      <c r="C256" s="21" t="s">
        <v>258</v>
      </c>
      <c r="D256" s="21"/>
      <c r="E256" s="21"/>
      <c r="F256" s="21"/>
      <c r="G256" s="21"/>
      <c r="H256" s="760"/>
      <c r="I256" s="90"/>
      <c r="J256" s="846" t="s">
        <v>258</v>
      </c>
      <c r="K256" s="1211"/>
      <c r="L256" s="1760" t="s">
        <v>477</v>
      </c>
      <c r="M256" s="1762">
        <v>5</v>
      </c>
      <c r="N256" s="195"/>
      <c r="O256" s="1763">
        <f ca="1">M256*S256*W256</f>
        <v>0</v>
      </c>
      <c r="P256" s="352" t="b">
        <v>0</v>
      </c>
      <c r="Q256" s="352" t="b">
        <v>1</v>
      </c>
      <c r="R256" s="63" t="b">
        <v>0</v>
      </c>
      <c r="S256" s="63" t="b">
        <f ca="1">IF(AY19=INDEX(INDIRECT("ddSingleOrMulti"),2),TRUE,FALSE)</f>
        <v>0</v>
      </c>
      <c r="T256" s="94" t="b">
        <f ca="1">AND(NOT(S256),W256=TRUE)</f>
        <v>0</v>
      </c>
      <c r="W256" s="25"/>
      <c r="X256" s="1757"/>
      <c r="AC256" s="76" t="b">
        <f ca="1">OR(AD256:AE256)</f>
        <v>0</v>
      </c>
      <c r="AD256" s="76" t="b">
        <f ca="1">T256</f>
        <v>0</v>
      </c>
      <c r="AL256" s="1130" t="str">
        <f>SUBSTITUTE(SUBSTITUTE(SUBSTITUTE("dpa"&amp;$B256&amp;$C256&amp;$D256&amp;$E256,".","_"),"(","_"),")","")</f>
        <v>dpa505_1_2</v>
      </c>
      <c r="AM256" s="125">
        <f>M256</f>
        <v>5</v>
      </c>
      <c r="AN256" s="1130" t="str">
        <f>SUBSTITUTE(SUBSTITUTE(SUBSTITUTE("dpc"&amp;$B256&amp;$C256&amp;$D256&amp;$E256,".","_"),"(","_"),")","")</f>
        <v>dpc505_1_2</v>
      </c>
      <c r="AO256" s="125">
        <f ca="1">O256</f>
        <v>0</v>
      </c>
      <c r="AP256" s="1130" t="str">
        <f>SUBSTITUTE(SUBSTITUTE(SUBSTITUTE("dch"&amp;$B256&amp;$C256&amp;$D256&amp;$E256,".","_"),"(","_"),")","")</f>
        <v>dch505_1_2</v>
      </c>
      <c r="AQ256" s="254" t="str">
        <f>IF(LEN(W256)=0,"",W256)</f>
        <v/>
      </c>
      <c r="AR256" s="1130" t="str">
        <f>SUBSTITUTE(SUBSTITUTE(SUBSTITUTE("dnt"&amp;$B256&amp;$C256&amp;$D256&amp;$E256,".","_"),"(","_"),")","")</f>
        <v>dnt505_1_2</v>
      </c>
      <c r="AS256" s="254" t="str">
        <f>IF(LEN(X256)=0,"",X256)</f>
        <v/>
      </c>
    </row>
    <row r="257" spans="1:61" s="1150" customFormat="1" x14ac:dyDescent="0.25">
      <c r="A257" s="18"/>
      <c r="B257" s="21" t="s">
        <v>474</v>
      </c>
      <c r="C257" s="21" t="s">
        <v>258</v>
      </c>
      <c r="D257" s="21"/>
      <c r="E257" s="21"/>
      <c r="F257" s="21"/>
      <c r="G257" s="21"/>
      <c r="H257" s="760"/>
      <c r="I257" s="90"/>
      <c r="J257" s="174"/>
      <c r="K257" s="177"/>
      <c r="L257" s="1761"/>
      <c r="M257" s="1759"/>
      <c r="N257" s="178"/>
      <c r="O257" s="1764"/>
      <c r="T257" s="94"/>
      <c r="W257"/>
      <c r="X257" s="1757"/>
      <c r="AM257" s="254"/>
      <c r="AO257" s="254"/>
      <c r="AQ257" s="254"/>
      <c r="AS257" s="254"/>
      <c r="AX257"/>
      <c r="AY257"/>
      <c r="AZ257"/>
      <c r="BA257"/>
      <c r="BB257"/>
      <c r="BC257"/>
      <c r="BD257"/>
      <c r="BE257"/>
      <c r="BF257"/>
      <c r="BG257"/>
      <c r="BH257"/>
      <c r="BI257"/>
    </row>
    <row r="258" spans="1:61" x14ac:dyDescent="0.25">
      <c r="B258" s="21" t="s">
        <v>474</v>
      </c>
      <c r="C258" s="21" t="s">
        <v>260</v>
      </c>
      <c r="D258" s="21"/>
      <c r="E258" s="21"/>
      <c r="F258" s="21"/>
      <c r="G258" s="21"/>
      <c r="H258" s="760"/>
      <c r="I258" s="102"/>
      <c r="J258" s="91" t="s">
        <v>260</v>
      </c>
      <c r="K258" s="102"/>
      <c r="L258" s="1162" t="s">
        <v>478</v>
      </c>
      <c r="M258" s="794"/>
      <c r="N258" s="94"/>
      <c r="O258" s="800">
        <f ca="1">S258*IFERROR(INDEX({4,5,6},MATCH(W258,INDIRECT(U258),0)),0)</f>
        <v>0</v>
      </c>
      <c r="P258" s="94" t="b">
        <v>0</v>
      </c>
      <c r="Q258" s="94" t="b">
        <v>1</v>
      </c>
      <c r="R258" s="94" t="b">
        <v>0</v>
      </c>
      <c r="S258" s="94" t="b">
        <v>1</v>
      </c>
      <c r="T258" s="94" t="b">
        <v>0</v>
      </c>
      <c r="U258" s="94" t="str">
        <f>SUBSTITUTE(SUBSTITUTE(SUBSTITUTE("dd"&amp;B258&amp;C258&amp;D258&amp;E258&amp;F258,".","_"),"(","_"),")","")</f>
        <v>dd505_1_3</v>
      </c>
      <c r="V258" s="94"/>
      <c r="W258" s="109"/>
      <c r="X258" s="1798"/>
      <c r="AN258" s="1130" t="str">
        <f>SUBSTITUTE(SUBSTITUTE(SUBSTITUTE("dpc"&amp;$B258&amp;$C258&amp;$D258&amp;$E258,".","_"),"(","_"),")","")</f>
        <v>dpc505_1_3</v>
      </c>
      <c r="AO258" s="125">
        <f ca="1">O258</f>
        <v>0</v>
      </c>
      <c r="AP258" s="1130" t="str">
        <f>SUBSTITUTE(SUBSTITUTE(SUBSTITUTE("dch"&amp;$B258&amp;$C258&amp;$D258&amp;$E258,".","_"),"(","_"),")","")</f>
        <v>dch505_1_3</v>
      </c>
      <c r="AQ258" s="254" t="str">
        <f>IF(LEN(W258)=0,"",W258)</f>
        <v/>
      </c>
      <c r="AR258" s="1130" t="str">
        <f>SUBSTITUTE(SUBSTITUTE(SUBSTITUTE("dnt"&amp;$B258&amp;$C258&amp;$D258&amp;$E258,".","_"),"(","_"),")","")</f>
        <v>dnt505_1_3</v>
      </c>
      <c r="AS258" s="254" t="str">
        <f>IF(LEN(X258)=0,"",X258)</f>
        <v/>
      </c>
      <c r="AX258" s="1150"/>
      <c r="AY258" s="1150"/>
      <c r="AZ258" s="1150"/>
      <c r="BA258" s="1150"/>
      <c r="BB258" s="1150"/>
      <c r="BC258" s="1150"/>
      <c r="BD258" s="1150"/>
      <c r="BE258" s="1150"/>
      <c r="BF258" s="1150"/>
      <c r="BG258" s="1150"/>
      <c r="BH258" s="1150"/>
      <c r="BI258" s="1150"/>
    </row>
    <row r="259" spans="1:61" x14ac:dyDescent="0.25">
      <c r="B259" s="21" t="s">
        <v>474</v>
      </c>
      <c r="C259" s="21" t="s">
        <v>260</v>
      </c>
      <c r="D259" s="21" t="s">
        <v>121</v>
      </c>
      <c r="F259" s="21"/>
      <c r="H259" s="760"/>
      <c r="I259" s="854"/>
      <c r="J259" s="102"/>
      <c r="K259" s="91" t="s">
        <v>121</v>
      </c>
      <c r="L259" s="1162" t="s">
        <v>479</v>
      </c>
      <c r="M259" s="794">
        <v>4</v>
      </c>
      <c r="N259" s="94"/>
      <c r="O259" s="800"/>
      <c r="P259" s="94"/>
      <c r="Q259" s="94"/>
      <c r="R259" s="94" t="b">
        <v>0</v>
      </c>
      <c r="S259" s="94" t="b">
        <v>1</v>
      </c>
      <c r="T259" s="94" t="b">
        <v>0</v>
      </c>
      <c r="U259" s="94"/>
      <c r="V259" s="94"/>
      <c r="W259" s="94"/>
      <c r="X259" s="1799"/>
      <c r="AL259" s="1130" t="str">
        <f>SUBSTITUTE(SUBSTITUTE(SUBSTITUTE("dpa"&amp;$B259&amp;$C259&amp;$D259&amp;$E259,".","_"),"(","_"),")","")</f>
        <v>dpa505_1_3_a</v>
      </c>
      <c r="AM259" s="125">
        <f>M259</f>
        <v>4</v>
      </c>
    </row>
    <row r="260" spans="1:61" x14ac:dyDescent="0.25">
      <c r="B260" s="21" t="s">
        <v>474</v>
      </c>
      <c r="C260" s="21" t="s">
        <v>260</v>
      </c>
      <c r="D260" s="21" t="s">
        <v>122</v>
      </c>
      <c r="F260" s="21"/>
      <c r="H260" s="760"/>
      <c r="I260" s="854"/>
      <c r="J260" s="102"/>
      <c r="K260" s="91" t="s">
        <v>122</v>
      </c>
      <c r="L260" s="1162" t="s">
        <v>480</v>
      </c>
      <c r="M260" s="794">
        <v>5</v>
      </c>
      <c r="N260" s="94"/>
      <c r="O260" s="800"/>
      <c r="P260" s="94"/>
      <c r="Q260" s="94"/>
      <c r="R260" s="94" t="b">
        <v>0</v>
      </c>
      <c r="S260" s="94" t="b">
        <v>1</v>
      </c>
      <c r="T260" s="94" t="b">
        <v>0</v>
      </c>
      <c r="U260" s="94"/>
      <c r="V260" s="94"/>
      <c r="W260" s="94"/>
      <c r="X260" s="1799"/>
      <c r="AL260" s="1130" t="str">
        <f>SUBSTITUTE(SUBSTITUTE(SUBSTITUTE("dpa"&amp;$B260&amp;$C260&amp;$D260&amp;$E260,".","_"),"(","_"),")","")</f>
        <v>dpa505_1_3_b</v>
      </c>
      <c r="AM260" s="125">
        <f>M260</f>
        <v>5</v>
      </c>
    </row>
    <row r="261" spans="1:61" ht="15.75" thickBot="1" x14ac:dyDescent="0.3">
      <c r="B261" s="21" t="s">
        <v>474</v>
      </c>
      <c r="C261" s="21" t="s">
        <v>260</v>
      </c>
      <c r="D261" s="21" t="s">
        <v>123</v>
      </c>
      <c r="F261" s="21"/>
      <c r="H261" s="760"/>
      <c r="I261" s="115"/>
      <c r="J261" s="103"/>
      <c r="K261" s="111" t="s">
        <v>123</v>
      </c>
      <c r="L261" s="1171" t="s">
        <v>391</v>
      </c>
      <c r="M261" s="796">
        <v>6</v>
      </c>
      <c r="N261" s="99"/>
      <c r="O261" s="798"/>
      <c r="P261" s="99"/>
      <c r="Q261" s="99"/>
      <c r="R261" s="99" t="b">
        <v>0</v>
      </c>
      <c r="S261" s="99" t="b">
        <v>1</v>
      </c>
      <c r="T261" s="99" t="b">
        <v>0</v>
      </c>
      <c r="U261" s="99"/>
      <c r="V261" s="99"/>
      <c r="W261" s="99"/>
      <c r="X261" s="1800"/>
      <c r="AL261" s="1130" t="str">
        <f>SUBSTITUTE(SUBSTITUTE(SUBSTITUTE("dpa"&amp;$B261&amp;$C261&amp;$D261&amp;$E261,".","_"),"(","_"),")","")</f>
        <v>dpa505_1_3_c</v>
      </c>
      <c r="AM261" s="125">
        <f>M261</f>
        <v>6</v>
      </c>
    </row>
    <row r="262" spans="1:61" ht="15.75" thickTop="1" x14ac:dyDescent="0.25">
      <c r="B262" s="21" t="s">
        <v>481</v>
      </c>
      <c r="C262" s="21"/>
      <c r="D262" s="21"/>
      <c r="E262" s="21"/>
      <c r="F262" s="21"/>
      <c r="G262" s="21"/>
      <c r="H262" s="760"/>
      <c r="I262" s="87" t="s">
        <v>482</v>
      </c>
      <c r="J262" s="90"/>
      <c r="K262" s="90"/>
      <c r="L262" s="1180" t="s">
        <v>483</v>
      </c>
      <c r="M262" s="428"/>
      <c r="O262" s="141"/>
      <c r="P262" s="352"/>
      <c r="Q262" s="352"/>
      <c r="X262"/>
      <c r="AR262" s="125"/>
      <c r="AS262" s="125"/>
    </row>
    <row r="263" spans="1:61" x14ac:dyDescent="0.25">
      <c r="B263" s="21" t="s">
        <v>481</v>
      </c>
      <c r="C263" s="21" t="s">
        <v>256</v>
      </c>
      <c r="D263" s="21"/>
      <c r="E263" s="21"/>
      <c r="F263" s="21"/>
      <c r="G263" s="21"/>
      <c r="H263" s="760"/>
      <c r="I263" s="90"/>
      <c r="J263" s="87" t="s">
        <v>256</v>
      </c>
      <c r="K263" s="90"/>
      <c r="L263" s="1779" t="s">
        <v>484</v>
      </c>
      <c r="M263" s="1767">
        <v>5</v>
      </c>
      <c r="O263" s="1780">
        <f>M263*MIN(1,W265+W268+W272)</f>
        <v>0</v>
      </c>
      <c r="P263" s="352"/>
      <c r="Q263" s="352"/>
      <c r="R263" s="63" t="b">
        <v>0</v>
      </c>
      <c r="S263" s="63" t="b">
        <v>1</v>
      </c>
      <c r="T263" s="63" t="b">
        <v>0</v>
      </c>
      <c r="X263" s="1798"/>
      <c r="AL263" s="1130" t="str">
        <f>SUBSTITUTE(SUBSTITUTE(SUBSTITUTE("dpa"&amp;$B263&amp;$C263&amp;$D263&amp;$E263,".","_"),"(","_"),")","")</f>
        <v>dpa505_2_1</v>
      </c>
      <c r="AM263" s="125">
        <f>M263</f>
        <v>5</v>
      </c>
      <c r="AN263" s="1130" t="str">
        <f>SUBSTITUTE(SUBSTITUTE(SUBSTITUTE("dpc"&amp;$B263&amp;$C263&amp;$D263&amp;$E263,".","_"),"(","_"),")","")</f>
        <v>dpc505_2_1</v>
      </c>
      <c r="AO263" s="125">
        <f>O263</f>
        <v>0</v>
      </c>
      <c r="AR263" s="1130" t="str">
        <f>SUBSTITUTE(SUBSTITUTE(SUBSTITUTE("dnt"&amp;$B263&amp;$C263&amp;$D263&amp;$E263,".","_"),"(","_"),")","")</f>
        <v>dnt505_2_1</v>
      </c>
      <c r="AS263" s="254" t="str">
        <f>IF(LEN(X263)=0,"",X263)</f>
        <v/>
      </c>
    </row>
    <row r="264" spans="1:61" x14ac:dyDescent="0.25">
      <c r="B264" s="21" t="s">
        <v>481</v>
      </c>
      <c r="C264" s="21" t="s">
        <v>256</v>
      </c>
      <c r="D264" s="21"/>
      <c r="E264" s="21"/>
      <c r="F264" s="21"/>
      <c r="G264" s="21"/>
      <c r="H264" s="760"/>
      <c r="I264" s="90"/>
      <c r="J264" s="90"/>
      <c r="K264" s="90"/>
      <c r="L264" s="1779"/>
      <c r="M264" s="1767"/>
      <c r="O264" s="1780"/>
      <c r="P264" s="352"/>
      <c r="Q264" s="352"/>
      <c r="X264" s="1799"/>
    </row>
    <row r="265" spans="1:61" x14ac:dyDescent="0.25">
      <c r="B265" s="21" t="s">
        <v>481</v>
      </c>
      <c r="C265" s="21" t="s">
        <v>256</v>
      </c>
      <c r="D265" s="21" t="s">
        <v>121</v>
      </c>
      <c r="F265" s="21"/>
      <c r="H265" s="760"/>
      <c r="I265" s="86"/>
      <c r="J265" s="90"/>
      <c r="K265" s="87" t="s">
        <v>121</v>
      </c>
      <c r="L265" s="1779" t="s">
        <v>485</v>
      </c>
      <c r="M265" s="428"/>
      <c r="O265" s="141"/>
      <c r="P265" s="352" t="b">
        <v>0</v>
      </c>
      <c r="Q265" s="352" t="b">
        <v>1</v>
      </c>
      <c r="R265" s="63" t="b">
        <v>0</v>
      </c>
      <c r="S265" s="63" t="b">
        <v>1</v>
      </c>
      <c r="T265" s="63" t="b">
        <v>0</v>
      </c>
      <c r="W265" s="25"/>
      <c r="X265" s="1799"/>
      <c r="AP265" s="1130" t="str">
        <f>SUBSTITUTE(SUBSTITUTE(SUBSTITUTE("dch"&amp;$B265&amp;$C265&amp;$D265&amp;$E265,".","_"),"(","_"),")","")</f>
        <v>dch505_2_1_a</v>
      </c>
      <c r="AQ265" s="254" t="str">
        <f>IF(LEN(W265)=0,"",W265)</f>
        <v/>
      </c>
    </row>
    <row r="266" spans="1:61" x14ac:dyDescent="0.25">
      <c r="B266" s="21" t="s">
        <v>481</v>
      </c>
      <c r="C266" s="21" t="s">
        <v>256</v>
      </c>
      <c r="D266" s="21" t="s">
        <v>121</v>
      </c>
      <c r="F266" s="21"/>
      <c r="H266" s="760"/>
      <c r="I266" s="86"/>
      <c r="J266" s="90"/>
      <c r="K266" s="90"/>
      <c r="L266" s="1779"/>
      <c r="M266" s="428"/>
      <c r="O266" s="141"/>
      <c r="P266" s="352"/>
      <c r="Q266" s="352"/>
      <c r="X266" s="1799"/>
    </row>
    <row r="267" spans="1:61" x14ac:dyDescent="0.25">
      <c r="B267" s="21" t="s">
        <v>481</v>
      </c>
      <c r="C267" s="21" t="s">
        <v>256</v>
      </c>
      <c r="D267" s="21" t="s">
        <v>121</v>
      </c>
      <c r="F267" s="21"/>
      <c r="H267" s="760"/>
      <c r="I267" s="86"/>
      <c r="J267" s="90"/>
      <c r="K267" s="90"/>
      <c r="L267" s="1779"/>
      <c r="M267" s="428"/>
      <c r="O267" s="141"/>
      <c r="P267" s="352"/>
      <c r="Q267" s="352"/>
      <c r="X267" s="1799"/>
    </row>
    <row r="268" spans="1:61" x14ac:dyDescent="0.25">
      <c r="B268" s="21" t="s">
        <v>481</v>
      </c>
      <c r="C268" s="21" t="s">
        <v>256</v>
      </c>
      <c r="D268" s="21" t="s">
        <v>122</v>
      </c>
      <c r="F268" s="21"/>
      <c r="H268" s="760"/>
      <c r="I268" s="86"/>
      <c r="J268" s="90"/>
      <c r="K268" s="87" t="s">
        <v>122</v>
      </c>
      <c r="L268" s="1779" t="s">
        <v>486</v>
      </c>
      <c r="M268" s="428"/>
      <c r="O268" s="141"/>
      <c r="P268" s="352" t="b">
        <v>0</v>
      </c>
      <c r="Q268" s="352" t="b">
        <v>1</v>
      </c>
      <c r="R268" s="63" t="b">
        <v>0</v>
      </c>
      <c r="S268" s="63" t="b">
        <v>1</v>
      </c>
      <c r="T268" s="63" t="b">
        <v>0</v>
      </c>
      <c r="W268" s="25"/>
      <c r="X268" s="1799"/>
      <c r="AP268" s="1130" t="str">
        <f>SUBSTITUTE(SUBSTITUTE(SUBSTITUTE("dch"&amp;$B268&amp;$C268&amp;$D268&amp;$E268,".","_"),"(","_"),")","")</f>
        <v>dch505_2_1_b</v>
      </c>
      <c r="AQ268" s="254" t="str">
        <f>IF(LEN(W268)=0,"",W268)</f>
        <v/>
      </c>
    </row>
    <row r="269" spans="1:61" x14ac:dyDescent="0.25">
      <c r="B269" s="21" t="s">
        <v>481</v>
      </c>
      <c r="C269" s="21" t="s">
        <v>256</v>
      </c>
      <c r="D269" s="21" t="s">
        <v>122</v>
      </c>
      <c r="F269" s="21"/>
      <c r="H269" s="760"/>
      <c r="I269" s="86"/>
      <c r="J269" s="90"/>
      <c r="K269" s="90"/>
      <c r="L269" s="1779"/>
      <c r="M269" s="428"/>
      <c r="O269" s="141"/>
      <c r="P269" s="352"/>
      <c r="Q269" s="352"/>
      <c r="X269" s="1799"/>
    </row>
    <row r="270" spans="1:61" x14ac:dyDescent="0.25">
      <c r="B270" s="21" t="s">
        <v>481</v>
      </c>
      <c r="C270" s="21" t="s">
        <v>256</v>
      </c>
      <c r="D270" s="21" t="s">
        <v>122</v>
      </c>
      <c r="F270" s="21"/>
      <c r="H270" s="760"/>
      <c r="I270" s="86"/>
      <c r="J270" s="90"/>
      <c r="K270" s="90"/>
      <c r="L270" s="1779"/>
      <c r="M270" s="428"/>
      <c r="O270" s="141"/>
      <c r="P270" s="352"/>
      <c r="Q270" s="352"/>
      <c r="X270" s="1799"/>
    </row>
    <row r="271" spans="1:61" x14ac:dyDescent="0.25">
      <c r="B271" s="21" t="s">
        <v>481</v>
      </c>
      <c r="C271" s="21" t="s">
        <v>256</v>
      </c>
      <c r="D271" s="21" t="s">
        <v>122</v>
      </c>
      <c r="F271" s="21"/>
      <c r="H271" s="760"/>
      <c r="I271" s="86"/>
      <c r="J271" s="90"/>
      <c r="K271" s="90"/>
      <c r="L271" s="1779"/>
      <c r="M271" s="428"/>
      <c r="O271" s="141"/>
      <c r="P271" s="352"/>
      <c r="Q271" s="352"/>
      <c r="X271" s="1799"/>
    </row>
    <row r="272" spans="1:61" x14ac:dyDescent="0.25">
      <c r="B272" s="21" t="s">
        <v>481</v>
      </c>
      <c r="C272" s="21" t="s">
        <v>256</v>
      </c>
      <c r="D272" s="21" t="s">
        <v>123</v>
      </c>
      <c r="F272" s="21"/>
      <c r="H272" s="760"/>
      <c r="I272" s="86"/>
      <c r="J272" s="177"/>
      <c r="K272" s="179" t="s">
        <v>123</v>
      </c>
      <c r="L272" s="1163" t="s">
        <v>487</v>
      </c>
      <c r="M272" s="426"/>
      <c r="N272" s="178"/>
      <c r="O272" s="501"/>
      <c r="P272" s="352" t="b">
        <v>0</v>
      </c>
      <c r="Q272" s="352" t="b">
        <v>1</v>
      </c>
      <c r="R272" s="63" t="b">
        <v>0</v>
      </c>
      <c r="S272" s="63" t="b">
        <v>1</v>
      </c>
      <c r="T272" s="63" t="b">
        <v>0</v>
      </c>
      <c r="W272" s="25"/>
      <c r="X272" s="1756"/>
      <c r="AP272" s="1130" t="str">
        <f>SUBSTITUTE(SUBSTITUTE(SUBSTITUTE("dch"&amp;$B272&amp;$C272&amp;$D272&amp;$E272,".","_"),"(","_"),")","")</f>
        <v>dch505_2_1_c</v>
      </c>
      <c r="AQ272" s="125" t="str">
        <f>IF(LEN(W272)=0,"",W272)</f>
        <v/>
      </c>
    </row>
    <row r="273" spans="1:61" x14ac:dyDescent="0.25">
      <c r="B273" s="21" t="s">
        <v>481</v>
      </c>
      <c r="C273" s="21" t="s">
        <v>258</v>
      </c>
      <c r="D273" s="21"/>
      <c r="E273" s="21"/>
      <c r="F273" s="21"/>
      <c r="G273" s="21"/>
      <c r="H273" s="760"/>
      <c r="I273" s="102"/>
      <c r="J273" s="91" t="s">
        <v>258</v>
      </c>
      <c r="K273" s="102"/>
      <c r="L273" s="1754" t="s">
        <v>488</v>
      </c>
      <c r="M273" s="1758">
        <v>5</v>
      </c>
      <c r="N273" s="94"/>
      <c r="O273" s="1774">
        <f>M273*W273</f>
        <v>0</v>
      </c>
      <c r="P273" s="352" t="b">
        <v>0</v>
      </c>
      <c r="Q273" s="352" t="b">
        <v>1</v>
      </c>
      <c r="R273" s="94" t="b">
        <v>0</v>
      </c>
      <c r="S273" s="94" t="b">
        <v>1</v>
      </c>
      <c r="T273" s="94" t="b">
        <v>0</v>
      </c>
      <c r="U273" s="94"/>
      <c r="V273" s="94"/>
      <c r="W273" s="25"/>
      <c r="X273" s="1798"/>
      <c r="AL273" s="1130" t="str">
        <f>SUBSTITUTE(SUBSTITUTE(SUBSTITUTE("dpa"&amp;$B273&amp;$C273&amp;$D273&amp;$E273,".","_"),"(","_"),")","")</f>
        <v>dpa505_2_2</v>
      </c>
      <c r="AM273" s="125">
        <f>M273</f>
        <v>5</v>
      </c>
      <c r="AN273" s="1130" t="str">
        <f>SUBSTITUTE(SUBSTITUTE(SUBSTITUTE("dpc"&amp;$B273&amp;$C273&amp;$D273&amp;$E273,".","_"),"(","_"),")","")</f>
        <v>dpc505_2_2</v>
      </c>
      <c r="AO273" s="125">
        <f>O273</f>
        <v>0</v>
      </c>
      <c r="AP273" s="1130" t="str">
        <f>SUBSTITUTE(SUBSTITUTE(SUBSTITUTE("dch"&amp;$B273&amp;$C273&amp;$D273&amp;$E273,".","_"),"(","_"),")","")</f>
        <v>dch505_2_2</v>
      </c>
      <c r="AQ273" s="254" t="str">
        <f>IF(LEN(W273)=0,"",W273)</f>
        <v/>
      </c>
      <c r="AR273" s="1130" t="str">
        <f>SUBSTITUTE(SUBSTITUTE(SUBSTITUTE("dnt"&amp;$B273&amp;$C273&amp;$D273&amp;$E273,".","_"),"(","_"),")","")</f>
        <v>dnt505_2_2</v>
      </c>
      <c r="AS273" s="254" t="str">
        <f>IF(LEN(X273)=0,"",X273)</f>
        <v/>
      </c>
    </row>
    <row r="274" spans="1:61" x14ac:dyDescent="0.25">
      <c r="B274" s="21" t="s">
        <v>481</v>
      </c>
      <c r="C274" s="21" t="s">
        <v>258</v>
      </c>
      <c r="D274" s="21"/>
      <c r="E274" s="21"/>
      <c r="F274" s="21"/>
      <c r="G274" s="21"/>
      <c r="H274" s="760"/>
      <c r="I274" s="102"/>
      <c r="J274" s="102"/>
      <c r="K274" s="102"/>
      <c r="L274" s="1754"/>
      <c r="M274" s="1758"/>
      <c r="N274" s="94"/>
      <c r="O274" s="1774"/>
      <c r="P274" s="94"/>
      <c r="Q274" s="94"/>
      <c r="R274" s="94"/>
      <c r="S274" s="94"/>
      <c r="T274" s="94"/>
      <c r="U274" s="94"/>
      <c r="V274" s="94"/>
      <c r="W274" s="94"/>
      <c r="X274" s="1799"/>
    </row>
    <row r="275" spans="1:61" ht="15.75" thickBot="1" x14ac:dyDescent="0.3">
      <c r="B275" s="21" t="s">
        <v>481</v>
      </c>
      <c r="C275" s="21" t="s">
        <v>258</v>
      </c>
      <c r="D275" s="21"/>
      <c r="E275" s="21"/>
      <c r="F275" s="21"/>
      <c r="G275" s="21"/>
      <c r="H275" s="760"/>
      <c r="I275" s="103"/>
      <c r="J275" s="103"/>
      <c r="K275" s="103"/>
      <c r="L275" s="1783"/>
      <c r="M275" s="1768"/>
      <c r="N275" s="99"/>
      <c r="O275" s="1775"/>
      <c r="P275" s="99"/>
      <c r="Q275" s="99"/>
      <c r="R275" s="99"/>
      <c r="S275" s="99"/>
      <c r="T275" s="99"/>
      <c r="U275" s="99"/>
      <c r="V275" s="99"/>
      <c r="W275" s="99"/>
      <c r="X275" s="1800"/>
    </row>
    <row r="276" spans="1:61" ht="15.75" thickTop="1" x14ac:dyDescent="0.25">
      <c r="B276" s="21" t="s">
        <v>489</v>
      </c>
      <c r="C276" s="21"/>
      <c r="D276" s="21"/>
      <c r="E276" s="21"/>
      <c r="F276" s="21"/>
      <c r="G276" s="21"/>
      <c r="H276" s="760"/>
      <c r="I276" s="87" t="s">
        <v>489</v>
      </c>
      <c r="J276" s="90"/>
      <c r="K276" s="90"/>
      <c r="L276" s="1180" t="s">
        <v>490</v>
      </c>
      <c r="M276" s="428"/>
      <c r="O276" s="1691">
        <f ca="1">S276*IFERROR(INDEX({4,5,6,7,8},MATCH(W276,INDIRECT(U276),0)),0)</f>
        <v>0</v>
      </c>
      <c r="P276" s="1690" t="b">
        <v>1</v>
      </c>
      <c r="Q276" s="1690" t="b">
        <v>1</v>
      </c>
      <c r="R276" s="1690" t="b">
        <v>0</v>
      </c>
      <c r="S276" s="1690" t="b">
        <v>1</v>
      </c>
      <c r="T276" s="1690" t="b">
        <v>0</v>
      </c>
      <c r="U276" s="94" t="str">
        <f>SUBSTITUTE(SUBSTITUTE(SUBSTITUTE("dd"&amp;B276&amp;C276&amp;D276&amp;E276&amp;F276,".","_"),"(","_"),")","")</f>
        <v>dd505_3</v>
      </c>
      <c r="W276" s="1484"/>
      <c r="X276" s="1784"/>
      <c r="AN276" s="1130" t="str">
        <f>SUBSTITUTE(SUBSTITUTE(SUBSTITUTE("dpc"&amp;$B276&amp;$C276&amp;$D276&amp;$E276,".","_"),"(","_"),")","")</f>
        <v>dpc505_3</v>
      </c>
      <c r="AO276" s="125">
        <f ca="1">O276</f>
        <v>0</v>
      </c>
      <c r="AP276" s="735"/>
      <c r="AQ276" s="125"/>
      <c r="AR276" s="1130" t="str">
        <f>SUBSTITUTE(SUBSTITUTE(SUBSTITUTE("dnt"&amp;$B276&amp;$C276&amp;$D276&amp;$E276,".","_"),"(","_"),")","")</f>
        <v>dnt505_3</v>
      </c>
      <c r="AS276" s="254" t="str">
        <f>IF(LEN(X276)=0,"",X276)</f>
        <v/>
      </c>
    </row>
    <row r="277" spans="1:61" x14ac:dyDescent="0.25">
      <c r="B277" s="21" t="s">
        <v>489</v>
      </c>
      <c r="C277" s="21" t="s">
        <v>256</v>
      </c>
      <c r="D277" s="21"/>
      <c r="E277" s="21"/>
      <c r="F277" s="21"/>
      <c r="G277" s="21"/>
      <c r="H277" s="760"/>
      <c r="I277" s="90"/>
      <c r="J277" s="174" t="s">
        <v>256</v>
      </c>
      <c r="K277" s="177"/>
      <c r="L277" s="1163" t="s">
        <v>4136</v>
      </c>
      <c r="M277" s="426">
        <v>4</v>
      </c>
      <c r="O277" s="141"/>
      <c r="P277" s="352"/>
      <c r="Q277" s="352"/>
      <c r="R277" s="63"/>
      <c r="S277" s="63"/>
      <c r="T277" s="63"/>
      <c r="U277" s="94"/>
      <c r="W277"/>
      <c r="X277" s="1770"/>
      <c r="AL277" s="1130" t="str">
        <f>SUBSTITUTE(SUBSTITUTE(SUBSTITUTE("dpa"&amp;$B277&amp;$C277&amp;$D277&amp;$E277,".","_"),"(","_"),")","")</f>
        <v>dpa505_3_1</v>
      </c>
      <c r="AM277" s="125">
        <f t="shared" ref="AM277:AM283" si="4">M277</f>
        <v>4</v>
      </c>
      <c r="AP277" s="1130" t="str">
        <f>SUBSTITUTE(SUBSTITUTE(SUBSTITUTE("dch"&amp;$B277&amp;$C277&amp;$D277&amp;$E277,".","_"),"(","_"),")","")</f>
        <v>dch505_3_1</v>
      </c>
      <c r="AQ277" s="254" t="str">
        <f>IF(LEN(W277)=0,"",W277)</f>
        <v/>
      </c>
    </row>
    <row r="278" spans="1:61" x14ac:dyDescent="0.25">
      <c r="B278" s="21" t="s">
        <v>489</v>
      </c>
      <c r="C278" s="21" t="s">
        <v>258</v>
      </c>
      <c r="D278" s="21"/>
      <c r="E278" s="21"/>
      <c r="F278" s="21"/>
      <c r="G278" s="21"/>
      <c r="H278" s="760"/>
      <c r="I278" s="90"/>
      <c r="J278" s="174" t="s">
        <v>258</v>
      </c>
      <c r="K278" s="177"/>
      <c r="L278" s="1163" t="s">
        <v>4137</v>
      </c>
      <c r="M278" s="426">
        <v>5</v>
      </c>
      <c r="O278" s="141"/>
      <c r="P278" s="352"/>
      <c r="Q278" s="352"/>
      <c r="T278" s="63"/>
      <c r="W278"/>
      <c r="X278" s="1770"/>
      <c r="AL278" s="1130" t="str">
        <f>SUBSTITUTE(SUBSTITUTE(SUBSTITUTE("dpa"&amp;$B278&amp;$C278&amp;$D278&amp;$E278,".","_"),"(","_"),")","")</f>
        <v>dpa505_3_2</v>
      </c>
      <c r="AM278" s="125">
        <f t="shared" si="4"/>
        <v>5</v>
      </c>
    </row>
    <row r="279" spans="1:61" x14ac:dyDescent="0.25">
      <c r="B279" s="21" t="s">
        <v>489</v>
      </c>
      <c r="C279" s="21" t="s">
        <v>260</v>
      </c>
      <c r="D279" s="21"/>
      <c r="E279" s="21"/>
      <c r="F279" s="21"/>
      <c r="G279" s="21"/>
      <c r="H279" s="760"/>
      <c r="I279" s="90"/>
      <c r="J279" s="174" t="s">
        <v>260</v>
      </c>
      <c r="K279" s="177"/>
      <c r="L279" s="1163" t="s">
        <v>4138</v>
      </c>
      <c r="M279" s="426">
        <v>6</v>
      </c>
      <c r="O279" s="141"/>
      <c r="P279" s="352"/>
      <c r="Q279" s="352"/>
      <c r="T279" s="63"/>
      <c r="W279"/>
      <c r="X279" s="1770"/>
      <c r="AL279" s="1130" t="str">
        <f>SUBSTITUTE(SUBSTITUTE(SUBSTITUTE("dpa"&amp;$B279&amp;$C279&amp;$D279&amp;$E279,".","_"),"(","_"),")","")</f>
        <v>dpa505_3_3</v>
      </c>
      <c r="AM279" s="125">
        <f t="shared" si="4"/>
        <v>6</v>
      </c>
    </row>
    <row r="280" spans="1:61" x14ac:dyDescent="0.25">
      <c r="B280" s="21" t="s">
        <v>489</v>
      </c>
      <c r="C280" s="21" t="s">
        <v>269</v>
      </c>
      <c r="D280" s="21"/>
      <c r="E280" s="21"/>
      <c r="F280" s="21"/>
      <c r="G280" s="21"/>
      <c r="H280" s="760"/>
      <c r="I280" s="90"/>
      <c r="J280" s="174" t="s">
        <v>269</v>
      </c>
      <c r="K280" s="177"/>
      <c r="L280" s="1163" t="s">
        <v>4139</v>
      </c>
      <c r="M280" s="426">
        <v>7</v>
      </c>
      <c r="O280" s="141"/>
      <c r="P280" s="352"/>
      <c r="Q280" s="352"/>
      <c r="T280" s="63"/>
      <c r="W280"/>
      <c r="X280" s="1770"/>
      <c r="AL280" s="1130" t="str">
        <f>SUBSTITUTE(SUBSTITUTE(SUBSTITUTE("dpa"&amp;$B280&amp;$C280&amp;$D280&amp;$E280,".","_"),"(","_"),")","")</f>
        <v>dpa505_3_4</v>
      </c>
      <c r="AM280" s="125">
        <f t="shared" si="4"/>
        <v>7</v>
      </c>
    </row>
    <row r="281" spans="1:61" ht="15.75" thickBot="1" x14ac:dyDescent="0.3">
      <c r="B281" s="21" t="s">
        <v>489</v>
      </c>
      <c r="C281" s="21" t="s">
        <v>275</v>
      </c>
      <c r="D281" s="21"/>
      <c r="E281" s="21"/>
      <c r="F281" s="21"/>
      <c r="G281" s="21"/>
      <c r="H281" s="760"/>
      <c r="I281" s="103"/>
      <c r="J281" s="96" t="s">
        <v>275</v>
      </c>
      <c r="K281" s="103"/>
      <c r="L281" s="1171" t="s">
        <v>4140</v>
      </c>
      <c r="M281" s="429">
        <v>8</v>
      </c>
      <c r="N281" s="99"/>
      <c r="O281" s="241"/>
      <c r="P281" s="99"/>
      <c r="Q281" s="99"/>
      <c r="R281" s="99"/>
      <c r="S281" s="99"/>
      <c r="T281" s="99"/>
      <c r="U281" s="99"/>
      <c r="V281" s="99"/>
      <c r="W281" s="99"/>
      <c r="X281" s="1771"/>
      <c r="AL281" s="1130" t="str">
        <f>SUBSTITUTE(SUBSTITUTE(SUBSTITUTE("dpa"&amp;$B281&amp;$C281&amp;$D281&amp;$E281,".","_"),"(","_"),")","")</f>
        <v>dpa505_3_5</v>
      </c>
      <c r="AM281" s="125">
        <f t="shared" si="4"/>
        <v>8</v>
      </c>
    </row>
    <row r="282" spans="1:61" s="791" customFormat="1" ht="15.75" thickTop="1" x14ac:dyDescent="0.25">
      <c r="A282" s="18"/>
      <c r="B282" s="21" t="s">
        <v>491</v>
      </c>
      <c r="C282" s="21"/>
      <c r="D282" s="21"/>
      <c r="E282" s="21"/>
      <c r="F282" s="21"/>
      <c r="G282" s="21"/>
      <c r="H282" s="760"/>
      <c r="I282" s="114" t="s">
        <v>491</v>
      </c>
      <c r="J282" s="107"/>
      <c r="K282" s="107"/>
      <c r="L282" s="1189" t="s">
        <v>4141</v>
      </c>
      <c r="M282" s="794"/>
      <c r="N282" s="94"/>
      <c r="O282" s="800"/>
      <c r="P282" s="94"/>
      <c r="Q282" s="94"/>
      <c r="R282" s="94"/>
      <c r="S282" s="94"/>
      <c r="T282" s="94"/>
      <c r="U282" s="94"/>
      <c r="V282" s="94"/>
      <c r="W282" s="265"/>
      <c r="X282" s="265"/>
      <c r="AM282" s="254"/>
      <c r="AX282"/>
      <c r="AY282"/>
      <c r="AZ282"/>
      <c r="BA282"/>
      <c r="BB282"/>
      <c r="BC282"/>
      <c r="BD282"/>
      <c r="BE282"/>
      <c r="BF282"/>
      <c r="BG282"/>
      <c r="BH282"/>
      <c r="BI282"/>
    </row>
    <row r="283" spans="1:61" ht="15.75" thickBot="1" x14ac:dyDescent="0.3">
      <c r="B283" s="21" t="s">
        <v>491</v>
      </c>
      <c r="C283" s="21" t="s">
        <v>256</v>
      </c>
      <c r="D283" s="21"/>
      <c r="E283" s="21"/>
      <c r="F283" s="21"/>
      <c r="G283" s="21"/>
      <c r="H283" s="760"/>
      <c r="I283" s="99"/>
      <c r="J283" s="96" t="s">
        <v>256</v>
      </c>
      <c r="K283" s="103"/>
      <c r="L283" s="1171" t="s">
        <v>4142</v>
      </c>
      <c r="M283" s="796">
        <v>8</v>
      </c>
      <c r="N283" s="99"/>
      <c r="O283" s="798">
        <f ca="1">M283*S283*W283</f>
        <v>0</v>
      </c>
      <c r="P283" s="99" t="b">
        <v>1</v>
      </c>
      <c r="Q283" s="99" t="b">
        <v>1</v>
      </c>
      <c r="R283" s="99" t="b">
        <v>0</v>
      </c>
      <c r="S283" s="99" t="b">
        <f ca="1">IF(AY19=INDEX(INDIRECT("ddSingleOrMulti"),2),TRUE,FALSE)</f>
        <v>0</v>
      </c>
      <c r="T283" s="99" t="b">
        <f ca="1">AND(NOT(S283),W283=TRUE)</f>
        <v>0</v>
      </c>
      <c r="U283" s="99"/>
      <c r="V283" s="112"/>
      <c r="W283" s="526"/>
      <c r="X283" s="801"/>
      <c r="AC283" s="136" t="b">
        <f ca="1">OR(AD283:AE283)</f>
        <v>0</v>
      </c>
      <c r="AD283" s="136" t="b">
        <f ca="1">T283</f>
        <v>0</v>
      </c>
      <c r="AL283" s="1130" t="str">
        <f>SUBSTITUTE(SUBSTITUTE(SUBSTITUTE("dpa"&amp;$B283&amp;$C283&amp;$D283&amp;$E283,".","_"),"(","_"),")","")</f>
        <v>dpa505_4_1</v>
      </c>
      <c r="AM283" s="125">
        <f t="shared" si="4"/>
        <v>8</v>
      </c>
      <c r="AN283" s="1130" t="str">
        <f>SUBSTITUTE(SUBSTITUTE(SUBSTITUTE("dpc"&amp;$B283&amp;$C283&amp;$D283&amp;$E283,".","_"),"(","_"),")","")</f>
        <v>dpc505_4_1</v>
      </c>
      <c r="AO283" s="125">
        <f ca="1">O283</f>
        <v>0</v>
      </c>
      <c r="AP283" s="1130" t="str">
        <f>SUBSTITUTE(SUBSTITUTE(SUBSTITUTE("dch"&amp;$B283&amp;$C283&amp;$D283&amp;$E283,".","_"),"(","_"),")","")</f>
        <v>dch505_4_1</v>
      </c>
      <c r="AQ283" s="254" t="str">
        <f>IF(LEN(W283)=0,"",W283)</f>
        <v/>
      </c>
      <c r="AR283" s="1130" t="str">
        <f>SUBSTITUTE(SUBSTITUTE(SUBSTITUTE("dnt"&amp;$B283&amp;$C283&amp;$D283&amp;$E283,".","_"),"(","_"),")","")</f>
        <v>dnt505_4_1</v>
      </c>
      <c r="AS283" s="254" t="str">
        <f>IF(LEN(X283)=0,"",X283)</f>
        <v/>
      </c>
      <c r="AX283" s="791"/>
      <c r="AY283" s="791"/>
      <c r="AZ283" s="791"/>
      <c r="BA283" s="791"/>
      <c r="BB283" s="791"/>
      <c r="BC283" s="791"/>
      <c r="BD283" s="791"/>
      <c r="BE283" s="791"/>
      <c r="BF283" s="791"/>
      <c r="BG283" s="791"/>
      <c r="BH283" s="791"/>
      <c r="BI283" s="791"/>
    </row>
    <row r="284" spans="1:61" ht="15.75" thickTop="1" x14ac:dyDescent="0.25">
      <c r="B284" s="21" t="s">
        <v>492</v>
      </c>
      <c r="C284" s="21"/>
      <c r="D284" s="21"/>
      <c r="E284" s="21"/>
      <c r="F284" s="21"/>
      <c r="G284" s="21"/>
      <c r="H284" s="760"/>
      <c r="I284" s="114" t="s">
        <v>492</v>
      </c>
      <c r="J284" s="107"/>
      <c r="K284" s="107"/>
      <c r="L284" s="1781" t="s">
        <v>4852</v>
      </c>
      <c r="M284"/>
      <c r="N284"/>
      <c r="O284"/>
      <c r="P284"/>
      <c r="Q284"/>
      <c r="V284"/>
      <c r="W284"/>
      <c r="X284"/>
      <c r="AL284" s="735"/>
      <c r="AM284" s="125"/>
      <c r="AN284" s="735"/>
      <c r="AO284" s="125"/>
      <c r="AP284" s="735"/>
      <c r="AQ284" s="125"/>
      <c r="AR284" s="735"/>
      <c r="AS284" s="125"/>
    </row>
    <row r="285" spans="1:61" s="1101" customFormat="1" x14ac:dyDescent="0.25">
      <c r="A285" s="18"/>
      <c r="B285" s="21" t="s">
        <v>492</v>
      </c>
      <c r="C285" s="21"/>
      <c r="D285" s="21"/>
      <c r="E285" s="21"/>
      <c r="F285" s="21"/>
      <c r="G285" s="21"/>
      <c r="H285" s="760"/>
      <c r="I285" s="91"/>
      <c r="J285" s="102"/>
      <c r="K285" s="102"/>
      <c r="L285" s="1782"/>
      <c r="AM285" s="254"/>
      <c r="AO285" s="254"/>
      <c r="AQ285" s="254"/>
      <c r="AS285" s="254"/>
      <c r="AX285"/>
      <c r="AY285"/>
      <c r="AZ285"/>
      <c r="BA285"/>
      <c r="BB285"/>
      <c r="BC285"/>
      <c r="BD285"/>
      <c r="BE285"/>
      <c r="BF285"/>
      <c r="BG285"/>
      <c r="BH285"/>
      <c r="BI285"/>
    </row>
    <row r="286" spans="1:61" x14ac:dyDescent="0.25">
      <c r="B286" s="21" t="s">
        <v>492</v>
      </c>
      <c r="C286" s="21"/>
      <c r="D286" s="21"/>
      <c r="E286" s="21"/>
      <c r="F286" s="21"/>
      <c r="G286" s="21"/>
      <c r="H286" s="760"/>
      <c r="I286" s="102"/>
      <c r="J286" s="102"/>
      <c r="K286" s="102"/>
      <c r="L286" s="1782"/>
      <c r="M286"/>
      <c r="N286"/>
      <c r="O286"/>
      <c r="P286"/>
      <c r="Q286"/>
      <c r="V286"/>
      <c r="W286" s="789" t="s">
        <v>4148</v>
      </c>
      <c r="X286"/>
      <c r="AX286" s="1101"/>
      <c r="AY286" s="1101"/>
      <c r="AZ286" s="1101"/>
      <c r="BA286" s="1101"/>
      <c r="BB286" s="1101"/>
      <c r="BC286" s="1101"/>
      <c r="BD286" s="1101"/>
      <c r="BE286" s="1101"/>
      <c r="BF286" s="1101"/>
      <c r="BG286" s="1101"/>
      <c r="BH286" s="1101"/>
      <c r="BI286" s="1101"/>
    </row>
    <row r="287" spans="1:61" x14ac:dyDescent="0.25">
      <c r="A287"/>
      <c r="B287" s="21" t="s">
        <v>492</v>
      </c>
      <c r="C287" s="1129"/>
      <c r="D287" s="21" t="s">
        <v>121</v>
      </c>
      <c r="E287" s="1129"/>
      <c r="F287" s="21"/>
      <c r="G287"/>
      <c r="H287"/>
      <c r="I287"/>
      <c r="J287"/>
      <c r="K287" s="85" t="s">
        <v>121</v>
      </c>
      <c r="L287" s="1779" t="s">
        <v>4143</v>
      </c>
      <c r="M287" s="1767" t="s">
        <v>4144</v>
      </c>
      <c r="N287" s="791"/>
      <c r="O287" s="1776">
        <f ca="1">IFERROR(INDEX({0,3,6,9},MATCH(W287,{0,250,500,750},1)),0)*S287</f>
        <v>0</v>
      </c>
      <c r="P287" s="791" t="b">
        <v>1</v>
      </c>
      <c r="Q287" s="791" t="b">
        <v>1</v>
      </c>
      <c r="R287" s="791" t="b">
        <v>0</v>
      </c>
      <c r="S287" s="791" t="b">
        <f ca="1">IF(AY19=INDEX(INDIRECT("ddSingleOrMulti"),2),TRUE,FALSE)</f>
        <v>0</v>
      </c>
      <c r="T287" s="791" t="b">
        <f ca="1">AND(LEN(W287)&gt;0,NOT(S287))</f>
        <v>0</v>
      </c>
      <c r="V287"/>
      <c r="W287" s="856"/>
      <c r="X287" s="1757"/>
      <c r="Y287"/>
      <c r="AA287"/>
      <c r="AB287"/>
      <c r="AC287" s="791" t="b">
        <f ca="1">OR(AD287:AE287)</f>
        <v>0</v>
      </c>
      <c r="AD287" s="791" t="b">
        <f ca="1">T287</f>
        <v>0</v>
      </c>
      <c r="AE287"/>
      <c r="AF287"/>
      <c r="AG287"/>
      <c r="AH287"/>
      <c r="AI287"/>
      <c r="AJ287"/>
      <c r="AK287"/>
      <c r="AL287" s="1130" t="str">
        <f>SUBSTITUTE(SUBSTITUTE(SUBSTITUTE("dpa"&amp;$B287&amp;$C287&amp;$D287&amp;$E287,".","_"),"(","_"),")","")</f>
        <v>dpa505_5_a</v>
      </c>
      <c r="AM287" s="254" t="str">
        <f>M287</f>
        <v>9 max</v>
      </c>
      <c r="AN287" s="1130" t="str">
        <f>SUBSTITUTE(SUBSTITUTE(SUBSTITUTE("dpc"&amp;$B287&amp;$C287&amp;$D287&amp;$E287,".","_"),"(","_"),")","")</f>
        <v>dpc505_5_a</v>
      </c>
      <c r="AO287" s="254">
        <f ca="1">O287</f>
        <v>0</v>
      </c>
      <c r="AP287" s="1130" t="str">
        <f>SUBSTITUTE(SUBSTITUTE(SUBSTITUTE("dch"&amp;$B287&amp;$C287&amp;$D287&amp;$E287,".","_"),"(","_"),")","")</f>
        <v>dch505_5_a</v>
      </c>
      <c r="AQ287" s="254" t="str">
        <f>IF(LEN(W287)=0,"",W287)</f>
        <v/>
      </c>
      <c r="AR287" s="1130" t="str">
        <f>SUBSTITUTE(SUBSTITUTE(SUBSTITUTE("dnt"&amp;$B287&amp;$C287&amp;$D287&amp;$E287,".","_"),"(","_"),")","")</f>
        <v>dnt505_5_a</v>
      </c>
      <c r="AS287" s="254" t="str">
        <f>IF(LEN(X287)=0,"",X287)</f>
        <v/>
      </c>
    </row>
    <row r="288" spans="1:61" x14ac:dyDescent="0.25">
      <c r="A288"/>
      <c r="B288" s="21" t="s">
        <v>492</v>
      </c>
      <c r="C288" s="1129"/>
      <c r="D288" s="21" t="s">
        <v>121</v>
      </c>
      <c r="E288" s="1129"/>
      <c r="F288" s="21"/>
      <c r="G288"/>
      <c r="H288"/>
      <c r="I288"/>
      <c r="J288"/>
      <c r="K288" s="216"/>
      <c r="L288" s="1755"/>
      <c r="M288" s="1759"/>
      <c r="N288" s="178"/>
      <c r="O288" s="1777"/>
      <c r="P288" s="791"/>
      <c r="Q288" s="791"/>
      <c r="R288" s="791"/>
      <c r="S288" s="791"/>
      <c r="T288" s="791"/>
      <c r="V288"/>
      <c r="W288"/>
      <c r="X288" s="1757"/>
      <c r="Y288"/>
      <c r="AA288"/>
      <c r="AB288"/>
      <c r="AC288" s="791"/>
      <c r="AD288" s="791"/>
      <c r="AE288"/>
      <c r="AF288"/>
      <c r="AG288"/>
      <c r="AH288"/>
      <c r="AI288"/>
      <c r="AJ288"/>
      <c r="AK288"/>
      <c r="AL288"/>
      <c r="AM288"/>
      <c r="AN288"/>
      <c r="AO288"/>
    </row>
    <row r="289" spans="1:61" x14ac:dyDescent="0.25">
      <c r="A289"/>
      <c r="B289" s="21" t="s">
        <v>492</v>
      </c>
      <c r="C289" s="1129"/>
      <c r="D289" s="21" t="s">
        <v>122</v>
      </c>
      <c r="E289" s="1129"/>
      <c r="F289" s="21"/>
      <c r="G289"/>
      <c r="H289"/>
      <c r="I289"/>
      <c r="J289"/>
      <c r="K289" s="214" t="s">
        <v>122</v>
      </c>
      <c r="L289" s="1778" t="s">
        <v>4145</v>
      </c>
      <c r="M289" s="1762">
        <v>3</v>
      </c>
      <c r="N289" s="195"/>
      <c r="O289" s="1763">
        <f ca="1">M289*S289*W289</f>
        <v>0</v>
      </c>
      <c r="P289" s="791" t="b">
        <v>1</v>
      </c>
      <c r="Q289" s="791" t="b">
        <v>1</v>
      </c>
      <c r="R289" s="791" t="b">
        <v>0</v>
      </c>
      <c r="S289" s="791" t="b">
        <f ca="1">IF(AY19=INDEX(INDIRECT("ddSingleOrMulti"),2),TRUE,FALSE)</f>
        <v>0</v>
      </c>
      <c r="T289" s="791" t="b">
        <f ca="1">AND(W289=TRUE,NOT(S289))</f>
        <v>0</v>
      </c>
      <c r="V289"/>
      <c r="W289" s="25"/>
      <c r="X289" s="1757"/>
      <c r="Y289"/>
      <c r="AA289"/>
      <c r="AB289"/>
      <c r="AC289" s="791" t="b">
        <f ca="1">OR(AD289:AE289)</f>
        <v>0</v>
      </c>
      <c r="AD289" s="791" t="b">
        <f ca="1">T289</f>
        <v>0</v>
      </c>
      <c r="AE289"/>
      <c r="AF289"/>
      <c r="AG289"/>
      <c r="AH289"/>
      <c r="AI289"/>
      <c r="AJ289"/>
      <c r="AK289"/>
      <c r="AL289" s="1130" t="str">
        <f>SUBSTITUTE(SUBSTITUTE(SUBSTITUTE("dpa"&amp;$B289&amp;$C289&amp;$D289&amp;$E289,".","_"),"(","_"),")","")</f>
        <v>dpa505_5_b</v>
      </c>
      <c r="AM289" s="254">
        <f>M289</f>
        <v>3</v>
      </c>
      <c r="AN289" s="1130" t="str">
        <f>SUBSTITUTE(SUBSTITUTE(SUBSTITUTE("dpc"&amp;$B289&amp;$C289&amp;$D289&amp;$E289,".","_"),"(","_"),")","")</f>
        <v>dpc505_5_b</v>
      </c>
      <c r="AO289" s="254">
        <f ca="1">O289</f>
        <v>0</v>
      </c>
      <c r="AP289" s="1130" t="str">
        <f>SUBSTITUTE(SUBSTITUTE(SUBSTITUTE("dch"&amp;$B289&amp;$C289&amp;$D289&amp;$E289,".","_"),"(","_"),")","")</f>
        <v>dch505_5_b</v>
      </c>
      <c r="AQ289" s="254" t="str">
        <f>IF(LEN(W289)=0,"",W289)</f>
        <v/>
      </c>
      <c r="AR289" s="1130" t="str">
        <f>SUBSTITUTE(SUBSTITUTE(SUBSTITUTE("dnt"&amp;$B289&amp;$C289&amp;$D289&amp;$E289,".","_"),"(","_"),")","")</f>
        <v>dnt505_5_b</v>
      </c>
      <c r="AS289" s="254" t="str">
        <f>IF(LEN(X289)=0,"",X289)</f>
        <v/>
      </c>
    </row>
    <row r="290" spans="1:61" x14ac:dyDescent="0.25">
      <c r="A290"/>
      <c r="B290" s="21" t="s">
        <v>492</v>
      </c>
      <c r="C290" s="1129"/>
      <c r="D290" s="21" t="s">
        <v>122</v>
      </c>
      <c r="E290" s="1129"/>
      <c r="F290" s="21"/>
      <c r="G290"/>
      <c r="H290"/>
      <c r="I290"/>
      <c r="J290"/>
      <c r="K290" s="85"/>
      <c r="L290" s="1779"/>
      <c r="M290" s="1767"/>
      <c r="N290" s="791"/>
      <c r="O290" s="1780"/>
      <c r="P290" s="791"/>
      <c r="Q290" s="791"/>
      <c r="R290" s="791"/>
      <c r="S290" s="791"/>
      <c r="T290" s="791"/>
      <c r="V290"/>
      <c r="W290"/>
      <c r="X290" s="1757"/>
      <c r="Y290"/>
      <c r="AA290"/>
      <c r="AB290"/>
      <c r="AC290" s="791"/>
      <c r="AD290" s="791"/>
      <c r="AE290"/>
      <c r="AF290"/>
      <c r="AG290"/>
      <c r="AH290"/>
      <c r="AI290"/>
      <c r="AJ290"/>
      <c r="AK290"/>
      <c r="AL290"/>
      <c r="AM290"/>
      <c r="AN290"/>
      <c r="AO290"/>
    </row>
    <row r="291" spans="1:61" x14ac:dyDescent="0.25">
      <c r="A291"/>
      <c r="B291" s="21" t="s">
        <v>492</v>
      </c>
      <c r="C291" s="1129"/>
      <c r="D291" s="21" t="s">
        <v>122</v>
      </c>
      <c r="E291" s="1129"/>
      <c r="F291" s="21"/>
      <c r="G291"/>
      <c r="H291"/>
      <c r="I291"/>
      <c r="J291"/>
      <c r="K291" s="216"/>
      <c r="L291" s="1755"/>
      <c r="M291" s="1759"/>
      <c r="N291" s="178"/>
      <c r="O291" s="1764"/>
      <c r="P291" s="791"/>
      <c r="Q291" s="791"/>
      <c r="R291" s="791"/>
      <c r="S291" s="791"/>
      <c r="T291" s="791"/>
      <c r="V291"/>
      <c r="W291"/>
      <c r="X291" s="1757"/>
      <c r="Y291"/>
      <c r="AA291"/>
      <c r="AB291"/>
      <c r="AC291" s="791"/>
      <c r="AD291" s="791"/>
      <c r="AE291"/>
      <c r="AF291"/>
      <c r="AG291"/>
      <c r="AH291"/>
      <c r="AI291"/>
      <c r="AJ291"/>
      <c r="AK291"/>
      <c r="AL291"/>
      <c r="AM291"/>
      <c r="AN291"/>
      <c r="AO291"/>
    </row>
    <row r="292" spans="1:61" x14ac:dyDescent="0.25">
      <c r="A292"/>
      <c r="B292" s="21" t="s">
        <v>492</v>
      </c>
      <c r="C292" s="1129"/>
      <c r="D292" s="21" t="s">
        <v>123</v>
      </c>
      <c r="E292" s="1129"/>
      <c r="F292" s="21"/>
      <c r="G292"/>
      <c r="H292"/>
      <c r="I292"/>
      <c r="J292"/>
      <c r="K292" s="218" t="s">
        <v>123</v>
      </c>
      <c r="L292" s="279" t="s">
        <v>4146</v>
      </c>
      <c r="M292" s="814">
        <v>1</v>
      </c>
      <c r="N292" s="211"/>
      <c r="O292" s="813">
        <f ca="1">M292*S292*W292</f>
        <v>0</v>
      </c>
      <c r="P292" s="791" t="b">
        <v>1</v>
      </c>
      <c r="Q292" s="791" t="b">
        <v>1</v>
      </c>
      <c r="R292" s="791" t="b">
        <v>0</v>
      </c>
      <c r="S292" s="791" t="b">
        <f ca="1">IF(AY19=INDEX(INDIRECT("ddSingleOrMulti"),2),TRUE,FALSE)</f>
        <v>0</v>
      </c>
      <c r="T292" s="791" t="b">
        <f ca="1">AND(W292=TRUE,NOT(S292))</f>
        <v>0</v>
      </c>
      <c r="V292"/>
      <c r="W292" s="25"/>
      <c r="X292" s="803"/>
      <c r="Y292"/>
      <c r="AA292"/>
      <c r="AB292"/>
      <c r="AC292" s="791" t="b">
        <f ca="1">OR(AD292:AE292)</f>
        <v>0</v>
      </c>
      <c r="AD292" s="791" t="b">
        <f ca="1">T292</f>
        <v>0</v>
      </c>
      <c r="AE292"/>
      <c r="AF292"/>
      <c r="AG292"/>
      <c r="AH292"/>
      <c r="AI292"/>
      <c r="AJ292"/>
      <c r="AK292"/>
      <c r="AL292" s="1130" t="str">
        <f>SUBSTITUTE(SUBSTITUTE(SUBSTITUTE("dpa"&amp;$B292&amp;$C292&amp;$D292&amp;$E292,".","_"),"(","_"),")","")</f>
        <v>dpa505_5_c</v>
      </c>
      <c r="AM292" s="254">
        <f>M292</f>
        <v>1</v>
      </c>
      <c r="AN292" s="1130" t="str">
        <f>SUBSTITUTE(SUBSTITUTE(SUBSTITUTE("dpc"&amp;$B292&amp;$C292&amp;$D292&amp;$E292,".","_"),"(","_"),")","")</f>
        <v>dpc505_5_c</v>
      </c>
      <c r="AO292" s="254">
        <f ca="1">O292</f>
        <v>0</v>
      </c>
      <c r="AP292" s="1130" t="str">
        <f>SUBSTITUTE(SUBSTITUTE(SUBSTITUTE("dch"&amp;$B292&amp;$C292&amp;$D292&amp;$E292,".","_"),"(","_"),")","")</f>
        <v>dch505_5_c</v>
      </c>
      <c r="AQ292" s="254" t="str">
        <f>IF(LEN(W292)=0,"",W292)</f>
        <v/>
      </c>
      <c r="AR292" s="1130" t="str">
        <f>SUBSTITUTE(SUBSTITUTE(SUBSTITUTE("dnt"&amp;$B292&amp;$C292&amp;$D292&amp;$E292,".","_"),"(","_"),")","")</f>
        <v>dnt505_5_c</v>
      </c>
      <c r="AS292" s="254" t="str">
        <f>IF(LEN(X292)=0,"",X292)</f>
        <v/>
      </c>
    </row>
    <row r="293" spans="1:61" ht="15.75" thickBot="1" x14ac:dyDescent="0.3">
      <c r="A293"/>
      <c r="B293" s="21" t="s">
        <v>492</v>
      </c>
      <c r="C293" s="1129"/>
      <c r="D293" s="21" t="s">
        <v>401</v>
      </c>
      <c r="E293" s="1129"/>
      <c r="F293" s="21"/>
      <c r="G293"/>
      <c r="H293"/>
      <c r="I293"/>
      <c r="J293"/>
      <c r="K293" s="104" t="s">
        <v>401</v>
      </c>
      <c r="L293" s="1161" t="s">
        <v>4147</v>
      </c>
      <c r="M293" s="796">
        <v>1</v>
      </c>
      <c r="N293" s="99"/>
      <c r="O293" s="798">
        <f ca="1">M293*S293*W293</f>
        <v>0</v>
      </c>
      <c r="P293" s="99" t="b">
        <v>1</v>
      </c>
      <c r="Q293" s="99" t="b">
        <v>1</v>
      </c>
      <c r="R293" s="99" t="b">
        <v>0</v>
      </c>
      <c r="S293" s="99" t="b">
        <f ca="1">IF(AY19=INDEX(INDIRECT("ddSingleOrMulti"),2),TRUE,FALSE)</f>
        <v>0</v>
      </c>
      <c r="T293" s="99" t="b">
        <f ca="1">AND(W293=TRUE,NOT(S293))</f>
        <v>0</v>
      </c>
      <c r="V293"/>
      <c r="W293" s="100"/>
      <c r="X293" s="803"/>
      <c r="Y293"/>
      <c r="AA293"/>
      <c r="AB293"/>
      <c r="AC293" s="791" t="b">
        <f ca="1">OR(AD293:AE293)</f>
        <v>0</v>
      </c>
      <c r="AD293" s="791" t="b">
        <f ca="1">T293</f>
        <v>0</v>
      </c>
      <c r="AE293"/>
      <c r="AF293"/>
      <c r="AG293"/>
      <c r="AH293"/>
      <c r="AI293"/>
      <c r="AJ293"/>
      <c r="AK293"/>
      <c r="AL293" s="1130" t="str">
        <f>SUBSTITUTE(SUBSTITUTE(SUBSTITUTE("dpa"&amp;$B293&amp;$C293&amp;$D293&amp;$E293,".","_"),"(","_"),")","")</f>
        <v>dpa505_5_d</v>
      </c>
      <c r="AM293" s="254">
        <f>M293</f>
        <v>1</v>
      </c>
      <c r="AN293" s="1130" t="str">
        <f>SUBSTITUTE(SUBSTITUTE(SUBSTITUTE("dpc"&amp;$B293&amp;$C293&amp;$D293&amp;$E293,".","_"),"(","_"),")","")</f>
        <v>dpc505_5_d</v>
      </c>
      <c r="AO293" s="254">
        <f ca="1">O293</f>
        <v>0</v>
      </c>
      <c r="AP293" s="1130" t="str">
        <f>SUBSTITUTE(SUBSTITUTE(SUBSTITUTE("dch"&amp;$B293&amp;$C293&amp;$D293&amp;$E293,".","_"),"(","_"),")","")</f>
        <v>dch505_5_d</v>
      </c>
      <c r="AQ293" s="254" t="str">
        <f>IF(LEN(W293)=0,"",W293)</f>
        <v/>
      </c>
      <c r="AR293" s="1130" t="str">
        <f>SUBSTITUTE(SUBSTITUTE(SUBSTITUTE("dnt"&amp;$B293&amp;$C293&amp;$D293&amp;$E293,".","_"),"(","_"),")","")</f>
        <v>dnt505_5_d</v>
      </c>
      <c r="AS293" s="254" t="str">
        <f>IF(LEN(X293)=0,"",X293)</f>
        <v/>
      </c>
    </row>
    <row r="294" spans="1:61" ht="15.75" customHeight="1" thickTop="1" x14ac:dyDescent="0.25">
      <c r="B294" s="21" t="s">
        <v>493</v>
      </c>
      <c r="C294" s="21"/>
      <c r="D294" s="21"/>
      <c r="E294" s="21"/>
      <c r="F294" s="21"/>
      <c r="G294" s="21"/>
      <c r="H294" s="760"/>
      <c r="I294" s="114" t="s">
        <v>493</v>
      </c>
      <c r="J294" s="107"/>
      <c r="K294" s="107"/>
      <c r="L294" s="1781" t="s">
        <v>4149</v>
      </c>
      <c r="M294" s="1772" t="s">
        <v>4151</v>
      </c>
      <c r="N294" s="105"/>
      <c r="O294" s="105"/>
      <c r="P294" s="105"/>
      <c r="Q294" s="105"/>
      <c r="R294" s="105"/>
      <c r="S294" s="105"/>
      <c r="T294" s="105"/>
      <c r="U294" s="105"/>
      <c r="V294" s="105"/>
      <c r="W294"/>
      <c r="X294" s="1784"/>
      <c r="AC294" s="76"/>
      <c r="AD294" s="76"/>
      <c r="AL294" s="1130" t="str">
        <f>SUBSTITUTE(SUBSTITUTE(SUBSTITUTE("dpa"&amp;$B294&amp;$C294&amp;$D294&amp;$E294,".","_"),"(","_"),")","")</f>
        <v>dpa505_6</v>
      </c>
      <c r="AM294" s="125" t="str">
        <f>M294</f>
        <v>4 (10 max)</v>
      </c>
      <c r="AN294" s="1130" t="str">
        <f>SUBSTITUTE(SUBSTITUTE(SUBSTITUTE("dpc"&amp;$B294&amp;$C294&amp;$D294&amp;$E294,".","_"),"(","_"),")","")</f>
        <v>dpc505_6</v>
      </c>
      <c r="AO294" s="125">
        <f>O294</f>
        <v>0</v>
      </c>
      <c r="AP294" s="735"/>
      <c r="AQ294" s="125"/>
      <c r="AR294" s="1130" t="str">
        <f>SUBSTITUTE(SUBSTITUTE(SUBSTITUTE("dnt"&amp;$B294&amp;$C294&amp;$D294&amp;$E294,".","_"),"(","_"),")","")</f>
        <v>dnt505_6</v>
      </c>
      <c r="AS294" s="254" t="str">
        <f>IF(LEN(X294)=0,"",X294)</f>
        <v/>
      </c>
    </row>
    <row r="295" spans="1:61" x14ac:dyDescent="0.25">
      <c r="B295" s="21" t="s">
        <v>493</v>
      </c>
      <c r="C295" s="21"/>
      <c r="D295" s="21"/>
      <c r="E295" s="21"/>
      <c r="F295" s="21"/>
      <c r="G295" s="21"/>
      <c r="H295" s="760"/>
      <c r="I295" s="102"/>
      <c r="J295" s="102"/>
      <c r="K295" s="102"/>
      <c r="L295" s="1782"/>
      <c r="M295" s="1767"/>
      <c r="N295" s="791"/>
      <c r="O295" s="799">
        <f ca="1">IFERROR(INDEX({0,4,6,8,10},MATCH(W295,{0,0.02,0.03,0.04,0.05},1)),0)*S295</f>
        <v>0</v>
      </c>
      <c r="P295" s="791" t="b">
        <v>0</v>
      </c>
      <c r="Q295" s="791" t="b">
        <v>1</v>
      </c>
      <c r="R295" s="791" t="b">
        <v>0</v>
      </c>
      <c r="S295" s="1493" t="b">
        <f ca="1">IF(AY19=INDEX(INDIRECT("ddSingleOrMulti"),2),TRUE,FALSE)</f>
        <v>0</v>
      </c>
      <c r="T295" s="791" t="b">
        <v>0</v>
      </c>
      <c r="U295" s="94"/>
      <c r="V295" s="94"/>
      <c r="W295" s="168"/>
      <c r="X295" s="1770"/>
      <c r="AC295" s="970"/>
      <c r="AD295" s="970"/>
      <c r="AP295" s="1130" t="str">
        <f>SUBSTITUTE(SUBSTITUTE(SUBSTITUTE("dch"&amp;$B295&amp;$C295&amp;$D295&amp;$E295,".","_"),"(","_"),")","")</f>
        <v>dch505_6</v>
      </c>
      <c r="AQ295" s="254" t="str">
        <f>IF(LEN(W295)=0,"",W295)</f>
        <v/>
      </c>
    </row>
    <row r="296" spans="1:61" s="791" customFormat="1" x14ac:dyDescent="0.25">
      <c r="A296" s="18"/>
      <c r="B296" s="21" t="s">
        <v>493</v>
      </c>
      <c r="C296" s="21"/>
      <c r="D296" s="21"/>
      <c r="E296" s="21"/>
      <c r="F296" s="21"/>
      <c r="G296" s="21"/>
      <c r="H296" s="760"/>
      <c r="I296" s="102"/>
      <c r="J296" s="102"/>
      <c r="K296" s="102"/>
      <c r="L296" s="1782"/>
      <c r="M296" s="1767"/>
      <c r="O296" s="799"/>
      <c r="U296" s="94"/>
      <c r="V296" s="94"/>
      <c r="W296" s="94"/>
      <c r="X296" s="1770"/>
      <c r="AX296"/>
      <c r="AY296"/>
      <c r="AZ296"/>
      <c r="BA296"/>
      <c r="BB296"/>
      <c r="BC296"/>
      <c r="BD296"/>
      <c r="BE296"/>
      <c r="BF296"/>
      <c r="BG296"/>
      <c r="BH296"/>
      <c r="BI296"/>
    </row>
    <row r="297" spans="1:61" s="791" customFormat="1" x14ac:dyDescent="0.25">
      <c r="A297" s="18"/>
      <c r="B297" s="21" t="s">
        <v>493</v>
      </c>
      <c r="C297" s="21"/>
      <c r="D297" s="21"/>
      <c r="E297" s="21"/>
      <c r="F297" s="21"/>
      <c r="G297" s="21"/>
      <c r="H297" s="760"/>
      <c r="I297" s="102"/>
      <c r="J297" s="102"/>
      <c r="K297" s="102"/>
      <c r="L297" s="1782"/>
      <c r="M297"/>
      <c r="N297" s="94"/>
      <c r="O297" s="812"/>
      <c r="P297" s="94"/>
      <c r="Q297" s="94"/>
      <c r="R297" s="94"/>
      <c r="S297" s="94"/>
      <c r="T297" s="94"/>
      <c r="U297" s="94"/>
      <c r="V297" s="94"/>
      <c r="W297" s="94"/>
      <c r="X297" s="1770"/>
    </row>
    <row r="298" spans="1:61" s="791" customFormat="1" x14ac:dyDescent="0.25">
      <c r="A298" s="18"/>
      <c r="B298" s="21" t="s">
        <v>493</v>
      </c>
      <c r="C298" s="21"/>
      <c r="D298" s="21"/>
      <c r="E298" s="21"/>
      <c r="F298" s="21"/>
      <c r="G298" s="21"/>
      <c r="H298" s="760"/>
      <c r="I298" s="102"/>
      <c r="J298" s="102"/>
      <c r="K298" s="102"/>
      <c r="L298" s="1754" t="s">
        <v>4150</v>
      </c>
      <c r="M298"/>
      <c r="N298" s="94"/>
      <c r="O298" s="812"/>
      <c r="P298" s="94"/>
      <c r="Q298" s="94"/>
      <c r="R298" s="94"/>
      <c r="S298" s="94"/>
      <c r="T298" s="94"/>
      <c r="U298" s="94"/>
      <c r="V298" s="94"/>
      <c r="W298" s="94"/>
      <c r="X298" s="1770"/>
    </row>
    <row r="299" spans="1:61" s="791" customFormat="1" x14ac:dyDescent="0.25">
      <c r="A299" s="18"/>
      <c r="B299" s="21" t="s">
        <v>493</v>
      </c>
      <c r="C299" s="21"/>
      <c r="D299" s="21"/>
      <c r="E299" s="21"/>
      <c r="F299" s="21"/>
      <c r="G299" s="21"/>
      <c r="H299" s="760"/>
      <c r="I299" s="102"/>
      <c r="J299" s="102"/>
      <c r="K299" s="102"/>
      <c r="L299" s="1754"/>
      <c r="M299"/>
      <c r="N299" s="94"/>
      <c r="O299" s="812"/>
      <c r="P299" s="94"/>
      <c r="Q299" s="94"/>
      <c r="R299" s="94"/>
      <c r="S299" s="94"/>
      <c r="T299" s="94"/>
      <c r="U299" s="94"/>
      <c r="V299" s="94"/>
      <c r="W299" s="94"/>
      <c r="X299" s="1770"/>
    </row>
    <row r="300" spans="1:61" s="791" customFormat="1" x14ac:dyDescent="0.25">
      <c r="A300" s="18"/>
      <c r="B300" s="21" t="s">
        <v>493</v>
      </c>
      <c r="C300" s="21"/>
      <c r="D300" s="21"/>
      <c r="E300" s="21"/>
      <c r="F300" s="21"/>
      <c r="G300" s="21"/>
      <c r="H300" s="760"/>
      <c r="I300" s="102"/>
      <c r="J300" s="102"/>
      <c r="K300" s="102"/>
      <c r="L300" s="1754"/>
      <c r="M300"/>
      <c r="N300" s="94"/>
      <c r="O300" s="812"/>
      <c r="P300" s="94"/>
      <c r="Q300" s="94"/>
      <c r="R300" s="94"/>
      <c r="S300" s="94"/>
      <c r="T300" s="94"/>
      <c r="U300" s="94"/>
      <c r="V300" s="94"/>
      <c r="W300" s="94"/>
      <c r="X300" s="1770"/>
    </row>
    <row r="301" spans="1:61" s="1066" customFormat="1" x14ac:dyDescent="0.25">
      <c r="A301" s="18"/>
      <c r="B301" s="21" t="s">
        <v>493</v>
      </c>
      <c r="C301" s="21"/>
      <c r="D301" s="21"/>
      <c r="E301" s="21"/>
      <c r="F301" s="21"/>
      <c r="G301" s="21"/>
      <c r="H301" s="760"/>
      <c r="I301" s="102"/>
      <c r="J301" s="102"/>
      <c r="K301" s="102"/>
      <c r="L301" s="1754"/>
      <c r="N301" s="94"/>
      <c r="O301" s="1075"/>
      <c r="P301" s="94"/>
      <c r="Q301" s="94"/>
      <c r="R301" s="94"/>
      <c r="S301" s="94"/>
      <c r="T301" s="94"/>
      <c r="U301" s="94"/>
      <c r="V301" s="94"/>
      <c r="W301" s="94"/>
      <c r="X301" s="1770"/>
      <c r="AX301" s="791"/>
      <c r="AY301" s="791"/>
      <c r="AZ301" s="791"/>
      <c r="BA301" s="791"/>
      <c r="BB301" s="791"/>
      <c r="BC301" s="791"/>
      <c r="BD301" s="791"/>
      <c r="BE301" s="791"/>
      <c r="BF301" s="791"/>
      <c r="BG301" s="791"/>
      <c r="BH301" s="791"/>
      <c r="BI301" s="791"/>
    </row>
    <row r="302" spans="1:61" s="791" customFormat="1" x14ac:dyDescent="0.25">
      <c r="A302" s="18"/>
      <c r="B302" s="21" t="s">
        <v>493</v>
      </c>
      <c r="C302" s="21"/>
      <c r="D302" s="21"/>
      <c r="E302" s="21"/>
      <c r="F302" s="21"/>
      <c r="G302" s="21"/>
      <c r="H302" s="760"/>
      <c r="I302" s="102"/>
      <c r="J302" s="102"/>
      <c r="K302" s="102"/>
      <c r="L302" s="1754"/>
      <c r="M302"/>
      <c r="N302" s="94"/>
      <c r="O302" s="812"/>
      <c r="P302" s="94"/>
      <c r="Q302" s="94"/>
      <c r="R302" s="94"/>
      <c r="S302" s="94"/>
      <c r="T302" s="94"/>
      <c r="U302" s="94"/>
      <c r="V302" s="94"/>
      <c r="W302" s="94"/>
      <c r="X302" s="1770"/>
      <c r="AX302" s="1066"/>
      <c r="AY302" s="1066"/>
      <c r="AZ302" s="1066"/>
      <c r="BA302" s="1066"/>
      <c r="BB302" s="1066"/>
      <c r="BC302" s="1066"/>
      <c r="BD302" s="1066"/>
      <c r="BE302" s="1066"/>
      <c r="BF302" s="1066"/>
      <c r="BG302" s="1066"/>
      <c r="BH302" s="1066"/>
      <c r="BI302" s="1066"/>
    </row>
    <row r="303" spans="1:61" x14ac:dyDescent="0.25">
      <c r="B303" s="21" t="s">
        <v>493</v>
      </c>
      <c r="C303" s="21"/>
      <c r="D303" s="21"/>
      <c r="E303" s="21"/>
      <c r="F303" s="21"/>
      <c r="G303" s="21"/>
      <c r="H303" s="760"/>
      <c r="I303" s="102"/>
      <c r="J303" s="102"/>
      <c r="K303" s="102"/>
      <c r="L303" s="1754"/>
      <c r="M303"/>
      <c r="N303" s="94"/>
      <c r="O303" s="122"/>
      <c r="P303" s="94"/>
      <c r="Q303" s="94"/>
      <c r="R303" s="94"/>
      <c r="S303" s="94"/>
      <c r="T303" s="94"/>
      <c r="U303" s="94"/>
      <c r="V303" s="94"/>
      <c r="W303" s="94"/>
      <c r="X303" s="1770"/>
      <c r="AX303" s="791"/>
      <c r="AY303" s="791"/>
      <c r="AZ303" s="791"/>
      <c r="BA303" s="791"/>
      <c r="BB303" s="791"/>
      <c r="BC303" s="791"/>
      <c r="BD303" s="791"/>
      <c r="BE303" s="791"/>
      <c r="BF303" s="791"/>
      <c r="BG303" s="791"/>
      <c r="BH303" s="791"/>
      <c r="BI303" s="791"/>
    </row>
    <row r="304" spans="1:61" x14ac:dyDescent="0.25">
      <c r="B304" s="21" t="s">
        <v>493</v>
      </c>
      <c r="C304" s="21"/>
      <c r="D304" s="21"/>
      <c r="E304" s="21"/>
      <c r="F304" s="21"/>
      <c r="G304" s="21"/>
      <c r="H304" s="760"/>
      <c r="I304" s="102"/>
      <c r="J304" s="102"/>
      <c r="K304" s="102"/>
      <c r="L304" s="1754"/>
      <c r="M304"/>
      <c r="N304" s="94"/>
      <c r="O304" s="122"/>
      <c r="P304" s="94"/>
      <c r="Q304" s="94"/>
      <c r="R304" s="94"/>
      <c r="S304" s="94"/>
      <c r="T304" s="94"/>
      <c r="U304" s="94"/>
      <c r="V304" s="94"/>
      <c r="W304" s="94"/>
      <c r="X304" s="1770"/>
    </row>
    <row r="305" spans="1:45" ht="15.75" thickBot="1" x14ac:dyDescent="0.3">
      <c r="B305" s="21" t="s">
        <v>493</v>
      </c>
      <c r="C305" s="21"/>
      <c r="D305" s="21"/>
      <c r="E305" s="21"/>
      <c r="F305" s="21"/>
      <c r="G305" s="21"/>
      <c r="H305" s="760"/>
      <c r="I305" s="103"/>
      <c r="J305" s="103"/>
      <c r="K305" s="103"/>
      <c r="L305" s="1783"/>
      <c r="M305"/>
      <c r="N305" s="99"/>
      <c r="O305" s="123"/>
      <c r="P305" s="99"/>
      <c r="Q305" s="99"/>
      <c r="R305" s="99"/>
      <c r="S305" s="99"/>
      <c r="T305" s="99"/>
      <c r="U305" s="99"/>
      <c r="V305" s="99"/>
      <c r="W305" s="99"/>
      <c r="X305" s="1771"/>
    </row>
    <row r="306" spans="1:45" ht="15.75" thickTop="1" x14ac:dyDescent="0.25">
      <c r="A306"/>
      <c r="B306" s="90" t="s">
        <v>4152</v>
      </c>
      <c r="C306" s="1129"/>
      <c r="D306" s="1129"/>
      <c r="E306" s="1129"/>
      <c r="F306"/>
      <c r="G306"/>
      <c r="H306"/>
      <c r="I306" s="509" t="s">
        <v>4152</v>
      </c>
      <c r="J306" s="509"/>
      <c r="K306" s="105"/>
      <c r="L306" s="1801" t="s">
        <v>4156</v>
      </c>
      <c r="M306" s="1772">
        <v>4</v>
      </c>
      <c r="N306" s="105"/>
      <c r="O306" s="1773">
        <f ca="1">M306*S306*W306</f>
        <v>0</v>
      </c>
      <c r="P306" s="105" t="b">
        <v>0</v>
      </c>
      <c r="Q306" s="105" t="b">
        <v>1</v>
      </c>
      <c r="R306" s="105" t="b">
        <v>0</v>
      </c>
      <c r="S306" s="105" t="b">
        <f ca="1">IF(AY19=INDEX(INDIRECT("ddSingleOrMulti"),2),TRUE,FALSE)</f>
        <v>0</v>
      </c>
      <c r="T306" s="105" t="b">
        <f ca="1">AND(W306=TRUE,NOT(S306))</f>
        <v>0</v>
      </c>
      <c r="V306"/>
      <c r="W306" s="25"/>
      <c r="X306" s="1784"/>
      <c r="Y306"/>
      <c r="AA306"/>
      <c r="AB306"/>
      <c r="AC306" s="791" t="b">
        <f ca="1">OR(AD306:AE306)</f>
        <v>0</v>
      </c>
      <c r="AD306" s="791" t="b">
        <f ca="1">T306</f>
        <v>0</v>
      </c>
      <c r="AE306"/>
      <c r="AF306"/>
      <c r="AG306"/>
      <c r="AH306"/>
      <c r="AI306"/>
      <c r="AJ306"/>
      <c r="AK306"/>
      <c r="AL306" s="1130" t="str">
        <f>SUBSTITUTE(SUBSTITUTE(SUBSTITUTE("dpa"&amp;$B306&amp;$C306&amp;$D306&amp;$E306,".","_"),"(","_"),")","")</f>
        <v>dpa505_7</v>
      </c>
      <c r="AM306" s="254">
        <f>M306</f>
        <v>4</v>
      </c>
      <c r="AN306" s="1130" t="str">
        <f>SUBSTITUTE(SUBSTITUTE(SUBSTITUTE("dpc"&amp;$B306&amp;$C306&amp;$D306&amp;$E306,".","_"),"(","_"),")","")</f>
        <v>dpc505_7</v>
      </c>
      <c r="AO306" s="254">
        <f ca="1">O306</f>
        <v>0</v>
      </c>
      <c r="AP306" s="1130" t="str">
        <f>SUBSTITUTE(SUBSTITUTE(SUBSTITUTE("dch"&amp;$B306&amp;$C306&amp;$D306&amp;$E306,".","_"),"(","_"),")","")</f>
        <v>dch505_7</v>
      </c>
      <c r="AQ306" s="254" t="str">
        <f>IF(LEN(W306)=0,"",W306)</f>
        <v/>
      </c>
      <c r="AR306" s="1130" t="str">
        <f>SUBSTITUTE(SUBSTITUTE(SUBSTITUTE("dnt"&amp;$B306&amp;$C306&amp;$D306&amp;$E306,".","_"),"(","_"),")","")</f>
        <v>dnt505_7</v>
      </c>
      <c r="AS306" s="254" t="str">
        <f>IF(LEN(X306)=0,"",X306)</f>
        <v/>
      </c>
    </row>
    <row r="307" spans="1:45" x14ac:dyDescent="0.25">
      <c r="A307"/>
      <c r="B307" s="90" t="s">
        <v>4152</v>
      </c>
      <c r="C307" s="1129"/>
      <c r="D307" s="1129"/>
      <c r="E307" s="1129"/>
      <c r="F307"/>
      <c r="G307"/>
      <c r="H307"/>
      <c r="I307" s="510"/>
      <c r="J307" s="510"/>
      <c r="K307" s="94"/>
      <c r="L307" s="1802"/>
      <c r="M307" s="1758"/>
      <c r="N307" s="791"/>
      <c r="O307" s="1774"/>
      <c r="P307" s="791"/>
      <c r="Q307" s="791"/>
      <c r="R307" s="791"/>
      <c r="S307" s="791"/>
      <c r="T307" s="791"/>
      <c r="V307"/>
      <c r="W307"/>
      <c r="X307" s="1770"/>
      <c r="Y307"/>
      <c r="AA307"/>
      <c r="AB307"/>
      <c r="AC307" s="791"/>
      <c r="AD307" s="791"/>
      <c r="AE307"/>
      <c r="AF307"/>
      <c r="AG307"/>
      <c r="AH307"/>
      <c r="AI307"/>
      <c r="AJ307"/>
      <c r="AK307"/>
      <c r="AL307"/>
      <c r="AM307"/>
      <c r="AN307"/>
      <c r="AO307"/>
    </row>
    <row r="308" spans="1:45" x14ac:dyDescent="0.25">
      <c r="A308"/>
      <c r="B308" s="90" t="s">
        <v>4152</v>
      </c>
      <c r="C308" s="1129"/>
      <c r="D308" s="1129"/>
      <c r="E308" s="1129"/>
      <c r="F308"/>
      <c r="G308"/>
      <c r="H308"/>
      <c r="I308" s="510"/>
      <c r="J308" s="510"/>
      <c r="K308" s="94"/>
      <c r="L308" s="1802"/>
      <c r="M308" s="1758"/>
      <c r="N308" s="791"/>
      <c r="O308" s="1774"/>
      <c r="P308" s="791"/>
      <c r="Q308" s="791"/>
      <c r="R308" s="791"/>
      <c r="S308" s="791"/>
      <c r="T308" s="791"/>
      <c r="V308"/>
      <c r="W308"/>
      <c r="X308" s="1770"/>
      <c r="Y308"/>
      <c r="AA308"/>
      <c r="AB308"/>
      <c r="AC308" s="791"/>
      <c r="AD308" s="791"/>
      <c r="AE308"/>
      <c r="AF308"/>
      <c r="AG308"/>
      <c r="AH308"/>
      <c r="AI308"/>
      <c r="AJ308"/>
      <c r="AK308"/>
      <c r="AL308"/>
      <c r="AM308"/>
      <c r="AN308"/>
      <c r="AO308"/>
    </row>
    <row r="309" spans="1:45" ht="15.75" thickBot="1" x14ac:dyDescent="0.3">
      <c r="A309"/>
      <c r="B309" s="90" t="s">
        <v>4152</v>
      </c>
      <c r="C309" s="1129"/>
      <c r="D309" s="1129"/>
      <c r="E309" s="1129"/>
      <c r="F309"/>
      <c r="G309"/>
      <c r="H309"/>
      <c r="I309" s="855"/>
      <c r="J309" s="855"/>
      <c r="K309" s="99"/>
      <c r="L309" s="1803"/>
      <c r="M309" s="1768"/>
      <c r="N309" s="99"/>
      <c r="O309" s="1775"/>
      <c r="P309" s="99"/>
      <c r="Q309" s="99"/>
      <c r="R309" s="99"/>
      <c r="S309" s="99"/>
      <c r="T309" s="99"/>
      <c r="V309"/>
      <c r="W309" s="112"/>
      <c r="X309" s="1771"/>
      <c r="Y309"/>
      <c r="AA309"/>
      <c r="AB309"/>
      <c r="AC309" s="791"/>
      <c r="AD309" s="791"/>
      <c r="AE309"/>
      <c r="AF309"/>
      <c r="AG309"/>
      <c r="AH309"/>
      <c r="AI309"/>
      <c r="AJ309"/>
      <c r="AK309"/>
      <c r="AL309"/>
      <c r="AM309"/>
      <c r="AN309"/>
      <c r="AO309"/>
    </row>
    <row r="310" spans="1:45" ht="16.5" thickTop="1" thickBot="1" x14ac:dyDescent="0.3">
      <c r="A310"/>
      <c r="B310" s="90" t="s">
        <v>4153</v>
      </c>
      <c r="C310" s="1129"/>
      <c r="D310" s="1129"/>
      <c r="E310" s="1129"/>
      <c r="F310"/>
      <c r="G310"/>
      <c r="H310"/>
      <c r="I310" s="855" t="s">
        <v>4153</v>
      </c>
      <c r="J310" s="855"/>
      <c r="K310" s="99"/>
      <c r="L310" s="1167" t="s">
        <v>4157</v>
      </c>
      <c r="M310" s="366">
        <v>5</v>
      </c>
      <c r="N310" s="116"/>
      <c r="O310" s="507">
        <f>M310*S310*W310</f>
        <v>0</v>
      </c>
      <c r="P310" s="116" t="b">
        <v>1</v>
      </c>
      <c r="Q310" s="116" t="b">
        <v>1</v>
      </c>
      <c r="R310" s="116" t="b">
        <v>0</v>
      </c>
      <c r="S310" s="116" t="b">
        <v>1</v>
      </c>
      <c r="T310" s="116" t="b">
        <v>0</v>
      </c>
      <c r="V310"/>
      <c r="W310" s="118"/>
      <c r="X310" s="128"/>
      <c r="Y310"/>
      <c r="AA310"/>
      <c r="AB310"/>
      <c r="AC310" s="791"/>
      <c r="AD310" s="791"/>
      <c r="AE310"/>
      <c r="AF310"/>
      <c r="AG310"/>
      <c r="AH310"/>
      <c r="AI310"/>
      <c r="AJ310"/>
      <c r="AK310"/>
      <c r="AL310" s="1130" t="str">
        <f>SUBSTITUTE(SUBSTITUTE(SUBSTITUTE("dpa"&amp;$B310&amp;$C310&amp;$D310&amp;$E310,".","_"),"(","_"),")","")</f>
        <v>dpa505_8</v>
      </c>
      <c r="AM310" s="254">
        <f>M310</f>
        <v>5</v>
      </c>
      <c r="AN310" s="1130" t="str">
        <f>SUBSTITUTE(SUBSTITUTE(SUBSTITUTE("dpc"&amp;$B310&amp;$C310&amp;$D310&amp;$E310,".","_"),"(","_"),")","")</f>
        <v>dpc505_8</v>
      </c>
      <c r="AO310" s="254">
        <f>O310</f>
        <v>0</v>
      </c>
      <c r="AP310" s="1130" t="str">
        <f>SUBSTITUTE(SUBSTITUTE(SUBSTITUTE("dch"&amp;$B310&amp;$C310&amp;$D310&amp;$E310,".","_"),"(","_"),")","")</f>
        <v>dch505_8</v>
      </c>
      <c r="AQ310" s="254" t="str">
        <f>IF(LEN(W310)=0,"",W310)</f>
        <v/>
      </c>
      <c r="AR310" s="1130" t="str">
        <f>SUBSTITUTE(SUBSTITUTE(SUBSTITUTE("dnt"&amp;$B310&amp;$C310&amp;$D310&amp;$E310,".","_"),"(","_"),")","")</f>
        <v>dnt505_8</v>
      </c>
      <c r="AS310" s="254" t="str">
        <f>IF(LEN(X310)=0,"",X310)</f>
        <v/>
      </c>
    </row>
    <row r="311" spans="1:45" ht="15.75" thickTop="1" x14ac:dyDescent="0.25">
      <c r="A311"/>
      <c r="B311" s="90" t="s">
        <v>4154</v>
      </c>
      <c r="C311" s="1129"/>
      <c r="D311" s="1129"/>
      <c r="E311" s="1129"/>
      <c r="F311"/>
      <c r="G311"/>
      <c r="H311"/>
      <c r="I311" s="66" t="s">
        <v>4154</v>
      </c>
      <c r="J311" s="66"/>
      <c r="K311"/>
      <c r="L311" s="1785" t="s">
        <v>4158</v>
      </c>
      <c r="M311" s="811"/>
      <c r="N311" s="791"/>
      <c r="O311" s="811"/>
      <c r="P311" s="791"/>
      <c r="Q311" s="791"/>
      <c r="R311" s="791"/>
      <c r="S311" s="791"/>
      <c r="T311" s="791"/>
      <c r="V311"/>
      <c r="W311"/>
      <c r="X311"/>
      <c r="Y311"/>
      <c r="AA311"/>
      <c r="AB311"/>
      <c r="AC311" s="791"/>
      <c r="AD311" s="791"/>
      <c r="AE311"/>
      <c r="AF311"/>
      <c r="AG311"/>
      <c r="AH311"/>
      <c r="AI311"/>
      <c r="AJ311"/>
      <c r="AK311"/>
      <c r="AL311"/>
      <c r="AM311"/>
      <c r="AN311"/>
      <c r="AO311"/>
    </row>
    <row r="312" spans="1:45" x14ac:dyDescent="0.25">
      <c r="A312"/>
      <c r="B312" s="90" t="s">
        <v>4154</v>
      </c>
      <c r="C312" s="1129"/>
      <c r="D312" s="1129"/>
      <c r="E312" s="1129"/>
      <c r="F312"/>
      <c r="G312"/>
      <c r="H312"/>
      <c r="I312" s="66"/>
      <c r="J312" s="66"/>
      <c r="K312"/>
      <c r="L312" s="1785"/>
      <c r="M312" s="811"/>
      <c r="N312" s="791"/>
      <c r="O312" s="811"/>
      <c r="P312" s="791"/>
      <c r="Q312" s="791"/>
      <c r="R312" s="791"/>
      <c r="S312" s="791"/>
      <c r="T312" s="791"/>
      <c r="V312"/>
      <c r="W312"/>
      <c r="X312"/>
      <c r="Y312"/>
      <c r="AA312"/>
      <c r="AB312"/>
      <c r="AC312" s="791"/>
      <c r="AD312" s="791"/>
      <c r="AE312"/>
      <c r="AF312"/>
      <c r="AG312"/>
      <c r="AH312"/>
      <c r="AI312"/>
      <c r="AJ312"/>
      <c r="AK312"/>
      <c r="AL312"/>
      <c r="AM312"/>
      <c r="AN312"/>
      <c r="AO312"/>
    </row>
    <row r="313" spans="1:45" x14ac:dyDescent="0.25">
      <c r="A313"/>
      <c r="B313" s="90" t="s">
        <v>4154</v>
      </c>
      <c r="C313" s="1129"/>
      <c r="D313" s="845" t="s">
        <v>121</v>
      </c>
      <c r="E313" s="1129"/>
      <c r="F313" s="845"/>
      <c r="G313"/>
      <c r="H313"/>
      <c r="I313" s="66"/>
      <c r="J313" s="510" t="s">
        <v>121</v>
      </c>
      <c r="K313" s="94"/>
      <c r="L313" s="1765" t="s">
        <v>4159</v>
      </c>
      <c r="M313" s="1767">
        <v>3</v>
      </c>
      <c r="N313" s="791"/>
      <c r="O313" s="1780">
        <f ca="1">M313*S313*W313</f>
        <v>0</v>
      </c>
      <c r="P313" s="791" t="b">
        <v>0</v>
      </c>
      <c r="Q313" s="791" t="b">
        <v>1</v>
      </c>
      <c r="R313" s="791" t="b">
        <v>0</v>
      </c>
      <c r="S313" s="791" t="b">
        <f ca="1">IF(AY19=INDEX(INDIRECT("ddSingleOrMulti"),2),TRUE,FALSE)</f>
        <v>0</v>
      </c>
      <c r="T313" s="791" t="b">
        <f ca="1">AND(W313=TRUE,NOT(S313))</f>
        <v>0</v>
      </c>
      <c r="V313"/>
      <c r="W313" s="25"/>
      <c r="X313" s="1757"/>
      <c r="Y313"/>
      <c r="AA313"/>
      <c r="AB313"/>
      <c r="AC313" s="791" t="b">
        <f ca="1">OR(AD313:AE313)</f>
        <v>0</v>
      </c>
      <c r="AD313" s="791" t="b">
        <f ca="1">T313</f>
        <v>0</v>
      </c>
      <c r="AE313"/>
      <c r="AF313"/>
      <c r="AG313"/>
      <c r="AH313"/>
      <c r="AI313"/>
      <c r="AJ313"/>
      <c r="AK313"/>
      <c r="AL313" s="1130" t="str">
        <f>SUBSTITUTE(SUBSTITUTE(SUBSTITUTE("dpa"&amp;$B313&amp;$C313&amp;$D313&amp;$E313,".","_"),"(","_"),")","")</f>
        <v>dpa505_9_a</v>
      </c>
      <c r="AM313" s="254">
        <f>M313</f>
        <v>3</v>
      </c>
      <c r="AN313" s="1130" t="str">
        <f>SUBSTITUTE(SUBSTITUTE(SUBSTITUTE("dpc"&amp;$B313&amp;$C313&amp;$D313&amp;$E313,".","_"),"(","_"),")","")</f>
        <v>dpc505_9_a</v>
      </c>
      <c r="AO313" s="254">
        <f ca="1">O313</f>
        <v>0</v>
      </c>
      <c r="AP313" s="1130" t="str">
        <f>SUBSTITUTE(SUBSTITUTE(SUBSTITUTE("dch"&amp;$B313&amp;$C313&amp;$D313&amp;$E313,".","_"),"(","_"),")","")</f>
        <v>dch505_9_a</v>
      </c>
      <c r="AQ313" s="254" t="str">
        <f>IF(LEN(W313)=0,"",W313)</f>
        <v/>
      </c>
      <c r="AR313" s="1130" t="str">
        <f>SUBSTITUTE(SUBSTITUTE(SUBSTITUTE("dnt"&amp;$B313&amp;$C313&amp;$D313&amp;$E313,".","_"),"(","_"),")","")</f>
        <v>dnt505_9_a</v>
      </c>
      <c r="AS313" s="254" t="str">
        <f>IF(LEN(X313)=0,"",X313)</f>
        <v/>
      </c>
    </row>
    <row r="314" spans="1:45" x14ac:dyDescent="0.25">
      <c r="A314"/>
      <c r="B314" s="90" t="s">
        <v>4154</v>
      </c>
      <c r="C314" s="1129"/>
      <c r="D314" s="845" t="s">
        <v>121</v>
      </c>
      <c r="E314" s="1129"/>
      <c r="F314" s="845"/>
      <c r="G314"/>
      <c r="H314"/>
      <c r="I314" s="66"/>
      <c r="J314" s="510"/>
      <c r="K314" s="94"/>
      <c r="L314" s="1765"/>
      <c r="M314" s="1767"/>
      <c r="N314" s="791"/>
      <c r="O314" s="1780"/>
      <c r="P314" s="791"/>
      <c r="Q314" s="791"/>
      <c r="R314" s="791"/>
      <c r="S314" s="791"/>
      <c r="T314" s="791"/>
      <c r="V314"/>
      <c r="W314"/>
      <c r="X314" s="1757"/>
      <c r="Y314"/>
      <c r="AA314"/>
      <c r="AB314"/>
      <c r="AC314" s="791"/>
      <c r="AD314" s="791"/>
      <c r="AE314"/>
      <c r="AF314"/>
      <c r="AG314"/>
      <c r="AH314"/>
      <c r="AI314"/>
      <c r="AJ314"/>
      <c r="AK314"/>
      <c r="AL314"/>
      <c r="AM314"/>
      <c r="AN314"/>
      <c r="AO314"/>
    </row>
    <row r="315" spans="1:45" x14ac:dyDescent="0.25">
      <c r="A315"/>
      <c r="B315" s="90" t="s">
        <v>4154</v>
      </c>
      <c r="C315" s="1129"/>
      <c r="D315" s="845" t="s">
        <v>121</v>
      </c>
      <c r="E315" s="1129"/>
      <c r="F315" s="845"/>
      <c r="G315"/>
      <c r="H315"/>
      <c r="I315" s="66"/>
      <c r="J315" s="534"/>
      <c r="K315" s="178"/>
      <c r="L315" s="1786"/>
      <c r="M315" s="1759"/>
      <c r="N315" s="178"/>
      <c r="O315" s="1764"/>
      <c r="P315" s="791"/>
      <c r="Q315" s="791"/>
      <c r="R315" s="791"/>
      <c r="S315" s="791"/>
      <c r="T315" s="791"/>
      <c r="V315"/>
      <c r="W315"/>
      <c r="X315" s="1757"/>
      <c r="Y315"/>
      <c r="AA315"/>
      <c r="AB315"/>
      <c r="AC315" s="791"/>
      <c r="AD315" s="791"/>
      <c r="AE315"/>
      <c r="AF315"/>
      <c r="AG315"/>
      <c r="AH315"/>
      <c r="AI315"/>
      <c r="AJ315"/>
      <c r="AK315"/>
      <c r="AL315"/>
      <c r="AM315"/>
      <c r="AN315"/>
      <c r="AO315"/>
    </row>
    <row r="316" spans="1:45" x14ac:dyDescent="0.25">
      <c r="A316"/>
      <c r="B316" s="90" t="s">
        <v>4154</v>
      </c>
      <c r="C316" s="1129"/>
      <c r="D316" s="845" t="s">
        <v>122</v>
      </c>
      <c r="E316" s="1129"/>
      <c r="F316" s="845"/>
      <c r="G316"/>
      <c r="H316"/>
      <c r="I316" s="66"/>
      <c r="J316" s="535" t="s">
        <v>122</v>
      </c>
      <c r="K316" s="211"/>
      <c r="L316" s="858" t="s">
        <v>4160</v>
      </c>
      <c r="M316" s="814">
        <v>3</v>
      </c>
      <c r="N316" s="211"/>
      <c r="O316" s="813">
        <f ca="1">M316*S316*W316</f>
        <v>0</v>
      </c>
      <c r="P316" s="791" t="b">
        <v>0</v>
      </c>
      <c r="Q316" s="791" t="b">
        <v>1</v>
      </c>
      <c r="R316" s="791" t="b">
        <v>0</v>
      </c>
      <c r="S316" s="791" t="b">
        <f ca="1">IF(AY19=INDEX(INDIRECT("ddSingleOrMulti"),2),TRUE,FALSE)</f>
        <v>0</v>
      </c>
      <c r="T316" s="791" t="b">
        <f ca="1">AND(W316=TRUE,NOT(S316))</f>
        <v>0</v>
      </c>
      <c r="V316"/>
      <c r="W316" s="25"/>
      <c r="X316" s="803"/>
      <c r="Y316"/>
      <c r="AA316"/>
      <c r="AB316"/>
      <c r="AC316" s="791" t="b">
        <f ca="1">OR(AD316:AE316)</f>
        <v>0</v>
      </c>
      <c r="AD316" s="791" t="b">
        <f ca="1">T316</f>
        <v>0</v>
      </c>
      <c r="AE316"/>
      <c r="AF316"/>
      <c r="AG316"/>
      <c r="AH316"/>
      <c r="AI316"/>
      <c r="AJ316"/>
      <c r="AK316"/>
      <c r="AL316" s="1130" t="str">
        <f>SUBSTITUTE(SUBSTITUTE(SUBSTITUTE("dpa"&amp;$B316&amp;$C316&amp;$D316&amp;$E316,".","_"),"(","_"),")","")</f>
        <v>dpa505_9_b</v>
      </c>
      <c r="AM316" s="254">
        <f>M316</f>
        <v>3</v>
      </c>
      <c r="AN316" s="1130" t="str">
        <f>SUBSTITUTE(SUBSTITUTE(SUBSTITUTE("dpc"&amp;$B316&amp;$C316&amp;$D316&amp;$E316,".","_"),"(","_"),")","")</f>
        <v>dpc505_9_b</v>
      </c>
      <c r="AO316" s="254">
        <f ca="1">O316</f>
        <v>0</v>
      </c>
      <c r="AP316" s="1130" t="str">
        <f>SUBSTITUTE(SUBSTITUTE(SUBSTITUTE("dch"&amp;$B316&amp;$C316&amp;$D316&amp;$E316,".","_"),"(","_"),")","")</f>
        <v>dch505_9_b</v>
      </c>
      <c r="AQ316" s="254" t="str">
        <f>IF(LEN(W316)=0,"",W316)</f>
        <v/>
      </c>
      <c r="AR316" s="1130" t="str">
        <f>SUBSTITUTE(SUBSTITUTE(SUBSTITUTE("dnt"&amp;$B316&amp;$C316&amp;$D316&amp;$E316,".","_"),"(","_"),")","")</f>
        <v>dnt505_9_b</v>
      </c>
      <c r="AS316" s="254" t="str">
        <f>IF(LEN(X316)=0,"",X316)</f>
        <v/>
      </c>
    </row>
    <row r="317" spans="1:45" x14ac:dyDescent="0.25">
      <c r="A317"/>
      <c r="B317" s="90" t="s">
        <v>4154</v>
      </c>
      <c r="C317" s="1129"/>
      <c r="D317" s="845" t="s">
        <v>123</v>
      </c>
      <c r="E317" s="1129"/>
      <c r="F317" s="845"/>
      <c r="G317"/>
      <c r="H317"/>
      <c r="I317" s="510"/>
      <c r="J317" s="510" t="s">
        <v>123</v>
      </c>
      <c r="K317" s="94"/>
      <c r="L317" s="1765" t="s">
        <v>4161</v>
      </c>
      <c r="M317" s="1767">
        <v>3</v>
      </c>
      <c r="N317" s="791"/>
      <c r="O317" s="1780">
        <f ca="1">M317*S317*W317</f>
        <v>0</v>
      </c>
      <c r="P317" s="791" t="b">
        <v>0</v>
      </c>
      <c r="Q317" s="791" t="b">
        <v>1</v>
      </c>
      <c r="R317" s="791" t="b">
        <v>0</v>
      </c>
      <c r="S317" s="791" t="b">
        <f ca="1">IF(AY19=INDEX(INDIRECT("ddSingleOrMulti"),2),TRUE,FALSE)</f>
        <v>0</v>
      </c>
      <c r="T317" s="791" t="b">
        <f ca="1">AND(W317=TRUE,NOT(S317))</f>
        <v>0</v>
      </c>
      <c r="V317"/>
      <c r="W317" s="25"/>
      <c r="X317" s="1770"/>
      <c r="Y317"/>
      <c r="AA317"/>
      <c r="AB317"/>
      <c r="AC317" s="791" t="b">
        <f ca="1">OR(AD317:AE317)</f>
        <v>0</v>
      </c>
      <c r="AD317" s="791" t="b">
        <f ca="1">T317</f>
        <v>0</v>
      </c>
      <c r="AE317"/>
      <c r="AF317"/>
      <c r="AG317"/>
      <c r="AH317"/>
      <c r="AI317"/>
      <c r="AJ317"/>
      <c r="AK317"/>
      <c r="AL317" s="1130" t="str">
        <f>SUBSTITUTE(SUBSTITUTE(SUBSTITUTE("dpa"&amp;$B317&amp;$C317&amp;$D317&amp;$E317,".","_"),"(","_"),")","")</f>
        <v>dpa505_9_c</v>
      </c>
      <c r="AM317" s="254">
        <f>M317</f>
        <v>3</v>
      </c>
      <c r="AN317" s="1130" t="str">
        <f>SUBSTITUTE(SUBSTITUTE(SUBSTITUTE("dpc"&amp;$B317&amp;$C317&amp;$D317&amp;$E317,".","_"),"(","_"),")","")</f>
        <v>dpc505_9_c</v>
      </c>
      <c r="AO317" s="254">
        <f ca="1">O317</f>
        <v>0</v>
      </c>
      <c r="AP317" s="1130" t="str">
        <f>SUBSTITUTE(SUBSTITUTE(SUBSTITUTE("dch"&amp;$B317&amp;$C317&amp;$D317&amp;$E317,".","_"),"(","_"),")","")</f>
        <v>dch505_9_c</v>
      </c>
      <c r="AQ317" s="254" t="str">
        <f>IF(LEN(W317)=0,"",W317)</f>
        <v/>
      </c>
      <c r="AR317" s="1130" t="str">
        <f>SUBSTITUTE(SUBSTITUTE(SUBSTITUTE("dnt"&amp;$B317&amp;$C317&amp;$D317&amp;$E317,".","_"),"(","_"),")","")</f>
        <v>dnt505_9_c</v>
      </c>
      <c r="AS317" s="254" t="str">
        <f>IF(LEN(X317)=0,"",X317)</f>
        <v/>
      </c>
    </row>
    <row r="318" spans="1:45" ht="15.75" thickBot="1" x14ac:dyDescent="0.3">
      <c r="A318"/>
      <c r="B318" s="90" t="s">
        <v>4154</v>
      </c>
      <c r="C318" s="1129"/>
      <c r="D318" s="845" t="s">
        <v>123</v>
      </c>
      <c r="E318" s="1129"/>
      <c r="F318" s="845"/>
      <c r="G318"/>
      <c r="H318"/>
      <c r="I318" s="855"/>
      <c r="J318" s="855"/>
      <c r="K318" s="99"/>
      <c r="L318" s="1766"/>
      <c r="M318" s="1768"/>
      <c r="N318" s="99"/>
      <c r="O318" s="1775"/>
      <c r="P318" s="99"/>
      <c r="Q318" s="99"/>
      <c r="R318" s="99"/>
      <c r="S318" s="99"/>
      <c r="T318" s="99"/>
      <c r="V318"/>
      <c r="W318" s="256"/>
      <c r="X318" s="1771"/>
      <c r="Y318"/>
      <c r="AA318"/>
      <c r="AB318"/>
      <c r="AC318" s="791"/>
      <c r="AD318" s="791"/>
      <c r="AE318"/>
      <c r="AF318"/>
      <c r="AG318"/>
      <c r="AH318"/>
      <c r="AI318"/>
      <c r="AJ318"/>
      <c r="AK318"/>
      <c r="AL318"/>
      <c r="AM318"/>
      <c r="AN318"/>
      <c r="AO318"/>
    </row>
    <row r="319" spans="1:45" ht="15.75" thickTop="1" x14ac:dyDescent="0.25">
      <c r="A319"/>
      <c r="B319" s="90" t="s">
        <v>4155</v>
      </c>
      <c r="C319" s="1129"/>
      <c r="D319" s="845"/>
      <c r="E319" s="1129"/>
      <c r="F319" s="845"/>
      <c r="G319"/>
      <c r="H319"/>
      <c r="I319" s="66" t="s">
        <v>4155</v>
      </c>
      <c r="J319" s="66"/>
      <c r="K319"/>
      <c r="L319" s="1785" t="s">
        <v>4165</v>
      </c>
      <c r="M319" s="811"/>
      <c r="N319" s="791"/>
      <c r="O319" s="811"/>
      <c r="P319" s="791"/>
      <c r="Q319" s="791"/>
      <c r="R319" s="791"/>
      <c r="S319" s="791"/>
      <c r="T319" s="791"/>
      <c r="V319"/>
      <c r="W319"/>
      <c r="X319"/>
      <c r="Y319"/>
      <c r="AA319"/>
      <c r="AB319"/>
      <c r="AC319" s="791"/>
      <c r="AD319" s="791"/>
      <c r="AE319"/>
      <c r="AF319"/>
      <c r="AG319"/>
      <c r="AH319"/>
      <c r="AI319"/>
      <c r="AJ319"/>
      <c r="AK319"/>
      <c r="AL319"/>
      <c r="AM319"/>
      <c r="AN319"/>
      <c r="AO319"/>
    </row>
    <row r="320" spans="1:45" x14ac:dyDescent="0.25">
      <c r="A320"/>
      <c r="B320" s="90" t="s">
        <v>4155</v>
      </c>
      <c r="C320" s="1129"/>
      <c r="D320" s="845"/>
      <c r="E320" s="1129"/>
      <c r="F320" s="845"/>
      <c r="G320"/>
      <c r="H320"/>
      <c r="I320" s="66"/>
      <c r="J320" s="66"/>
      <c r="K320"/>
      <c r="L320" s="1785"/>
      <c r="M320" s="811"/>
      <c r="N320" s="791"/>
      <c r="O320" s="811"/>
      <c r="P320" s="791"/>
      <c r="Q320" s="791"/>
      <c r="R320" s="791"/>
      <c r="S320" s="791"/>
      <c r="T320" s="791"/>
      <c r="V320"/>
      <c r="W320"/>
      <c r="X320"/>
      <c r="Y320"/>
      <c r="AA320"/>
      <c r="AB320"/>
      <c r="AC320" s="791"/>
      <c r="AD320" s="791"/>
      <c r="AE320"/>
      <c r="AF320"/>
      <c r="AG320"/>
      <c r="AH320"/>
      <c r="AI320"/>
      <c r="AJ320"/>
      <c r="AK320"/>
      <c r="AL320"/>
      <c r="AM320"/>
      <c r="AN320"/>
      <c r="AO320"/>
    </row>
    <row r="321" spans="1:45" x14ac:dyDescent="0.25">
      <c r="A321"/>
      <c r="B321" s="90" t="s">
        <v>4155</v>
      </c>
      <c r="C321" s="1129"/>
      <c r="D321" s="845"/>
      <c r="E321" s="1129"/>
      <c r="F321" s="845"/>
      <c r="G321"/>
      <c r="H321"/>
      <c r="I321" s="66"/>
      <c r="J321" s="66"/>
      <c r="K321"/>
      <c r="L321" s="1785"/>
      <c r="M321" s="811"/>
      <c r="N321" s="791"/>
      <c r="O321" s="811"/>
      <c r="P321" s="791"/>
      <c r="Q321" s="791"/>
      <c r="R321" s="791"/>
      <c r="S321" s="791"/>
      <c r="T321" s="791"/>
      <c r="V321"/>
      <c r="W321"/>
      <c r="X321"/>
      <c r="Y321"/>
      <c r="AA321"/>
      <c r="AB321"/>
      <c r="AC321" s="791"/>
      <c r="AD321" s="791"/>
      <c r="AE321"/>
      <c r="AF321"/>
      <c r="AG321"/>
      <c r="AH321"/>
      <c r="AI321"/>
      <c r="AJ321"/>
      <c r="AK321"/>
      <c r="AL321"/>
      <c r="AM321"/>
      <c r="AN321"/>
      <c r="AO321"/>
    </row>
    <row r="322" spans="1:45" x14ac:dyDescent="0.25">
      <c r="A322"/>
      <c r="B322" s="90" t="s">
        <v>4155</v>
      </c>
      <c r="C322" s="1129"/>
      <c r="D322" s="845" t="s">
        <v>121</v>
      </c>
      <c r="E322" s="1129"/>
      <c r="F322" s="845"/>
      <c r="G322"/>
      <c r="H322"/>
      <c r="I322" s="66"/>
      <c r="J322" s="510" t="s">
        <v>121</v>
      </c>
      <c r="K322" s="94"/>
      <c r="L322" s="1765" t="s">
        <v>4162</v>
      </c>
      <c r="M322" s="1767">
        <v>3</v>
      </c>
      <c r="N322" s="791"/>
      <c r="O322" s="1780">
        <f ca="1">M322*S322*W322</f>
        <v>0</v>
      </c>
      <c r="P322" s="791" t="b">
        <v>0</v>
      </c>
      <c r="Q322" s="791" t="b">
        <v>1</v>
      </c>
      <c r="R322" s="791" t="b">
        <v>0</v>
      </c>
      <c r="S322" s="791" t="b">
        <f ca="1">IF(AY19=INDEX(INDIRECT("ddSingleOrMulti"),2),TRUE,FALSE)</f>
        <v>0</v>
      </c>
      <c r="T322" s="791" t="b">
        <f ca="1">AND(W322=TRUE,NOT(S322))</f>
        <v>0</v>
      </c>
      <c r="V322"/>
      <c r="W322" s="25"/>
      <c r="X322" s="1757"/>
      <c r="Y322"/>
      <c r="AA322"/>
      <c r="AB322"/>
      <c r="AC322" s="791" t="b">
        <f ca="1">OR(AD322:AE322)</f>
        <v>0</v>
      </c>
      <c r="AD322" s="791" t="b">
        <f ca="1">T322</f>
        <v>0</v>
      </c>
      <c r="AE322"/>
      <c r="AF322"/>
      <c r="AG322"/>
      <c r="AH322"/>
      <c r="AI322"/>
      <c r="AJ322"/>
      <c r="AK322"/>
      <c r="AL322" s="1130" t="str">
        <f>SUBSTITUTE(SUBSTITUTE(SUBSTITUTE("dpa"&amp;$B322&amp;$C322&amp;$D322&amp;$E322,".","_"),"(","_"),")","")</f>
        <v>dpa505_10_a</v>
      </c>
      <c r="AM322" s="254">
        <f>M322</f>
        <v>3</v>
      </c>
      <c r="AN322" s="1130" t="str">
        <f>SUBSTITUTE(SUBSTITUTE(SUBSTITUTE("dpc"&amp;$B322&amp;$C322&amp;$D322&amp;$E322,".","_"),"(","_"),")","")</f>
        <v>dpc505_10_a</v>
      </c>
      <c r="AO322" s="254">
        <f ca="1">O322</f>
        <v>0</v>
      </c>
      <c r="AP322" s="1130" t="str">
        <f>SUBSTITUTE(SUBSTITUTE(SUBSTITUTE("dch"&amp;$B322&amp;$C322&amp;$D322&amp;$E322,".","_"),"(","_"),")","")</f>
        <v>dch505_10_a</v>
      </c>
      <c r="AQ322" s="254" t="str">
        <f>IF(LEN(W322)=0,"",W322)</f>
        <v/>
      </c>
      <c r="AR322" s="1130" t="str">
        <f>SUBSTITUTE(SUBSTITUTE(SUBSTITUTE("dnt"&amp;$B322&amp;$C322&amp;$D322&amp;$E322,".","_"),"(","_"),")","")</f>
        <v>dnt505_10_a</v>
      </c>
      <c r="AS322" s="254" t="str">
        <f>IF(LEN(X322)=0,"",X322)</f>
        <v/>
      </c>
    </row>
    <row r="323" spans="1:45" x14ac:dyDescent="0.25">
      <c r="A323"/>
      <c r="B323" s="90" t="s">
        <v>4155</v>
      </c>
      <c r="C323" s="1129"/>
      <c r="D323" s="845" t="s">
        <v>121</v>
      </c>
      <c r="E323" s="1129"/>
      <c r="F323" s="845"/>
      <c r="G323"/>
      <c r="H323"/>
      <c r="I323" s="66"/>
      <c r="J323" s="534"/>
      <c r="K323" s="178"/>
      <c r="L323" s="1786"/>
      <c r="M323" s="1759"/>
      <c r="N323" s="178"/>
      <c r="O323" s="1764"/>
      <c r="P323" s="791"/>
      <c r="Q323" s="791"/>
      <c r="R323" s="791"/>
      <c r="S323" s="791"/>
      <c r="T323" s="791"/>
      <c r="V323"/>
      <c r="W323"/>
      <c r="X323" s="1757"/>
      <c r="Y323"/>
      <c r="AA323"/>
      <c r="AB323"/>
      <c r="AC323" s="791"/>
      <c r="AD323" s="791"/>
      <c r="AE323"/>
      <c r="AF323"/>
      <c r="AG323"/>
      <c r="AH323"/>
      <c r="AI323"/>
      <c r="AJ323"/>
      <c r="AK323"/>
      <c r="AL323"/>
      <c r="AM323"/>
      <c r="AN323"/>
      <c r="AO323"/>
    </row>
    <row r="324" spans="1:45" x14ac:dyDescent="0.25">
      <c r="A324"/>
      <c r="B324" s="90" t="s">
        <v>4155</v>
      </c>
      <c r="C324" s="1129"/>
      <c r="D324" s="845" t="s">
        <v>122</v>
      </c>
      <c r="E324" s="1129"/>
      <c r="F324" s="845"/>
      <c r="G324"/>
      <c r="H324"/>
      <c r="I324" s="66"/>
      <c r="J324" s="533" t="s">
        <v>122</v>
      </c>
      <c r="K324" s="195"/>
      <c r="L324" s="1769" t="s">
        <v>4163</v>
      </c>
      <c r="M324" s="1762">
        <v>3</v>
      </c>
      <c r="N324" s="195"/>
      <c r="O324" s="1763">
        <f ca="1">M324*S324*W324</f>
        <v>0</v>
      </c>
      <c r="P324" s="791" t="b">
        <v>0</v>
      </c>
      <c r="Q324" s="791" t="b">
        <v>1</v>
      </c>
      <c r="R324" s="791" t="b">
        <v>0</v>
      </c>
      <c r="S324" s="791" t="b">
        <f ca="1">IF(AY19=INDEX(INDIRECT("ddSingleOrMulti"),2),TRUE,FALSE)</f>
        <v>0</v>
      </c>
      <c r="T324" s="791" t="b">
        <f ca="1">AND(W324=TRUE,NOT(S324))</f>
        <v>0</v>
      </c>
      <c r="V324"/>
      <c r="W324" s="25"/>
      <c r="X324" s="1757"/>
      <c r="Y324"/>
      <c r="AA324"/>
      <c r="AB324"/>
      <c r="AC324" s="791" t="b">
        <f ca="1">OR(AD324:AE324)</f>
        <v>0</v>
      </c>
      <c r="AD324" s="791" t="b">
        <f ca="1">T324</f>
        <v>0</v>
      </c>
      <c r="AE324"/>
      <c r="AF324"/>
      <c r="AG324"/>
      <c r="AH324"/>
      <c r="AI324"/>
      <c r="AJ324"/>
      <c r="AK324"/>
      <c r="AL324" s="1130" t="str">
        <f>SUBSTITUTE(SUBSTITUTE(SUBSTITUTE("dpa"&amp;$B324&amp;$C324&amp;$D324&amp;$E324,".","_"),"(","_"),")","")</f>
        <v>dpa505_10_b</v>
      </c>
      <c r="AM324" s="254">
        <f>M324</f>
        <v>3</v>
      </c>
      <c r="AN324" s="1130" t="str">
        <f>SUBSTITUTE(SUBSTITUTE(SUBSTITUTE("dpc"&amp;$B324&amp;$C324&amp;$D324&amp;$E324,".","_"),"(","_"),")","")</f>
        <v>dpc505_10_b</v>
      </c>
      <c r="AO324" s="254">
        <f ca="1">O324</f>
        <v>0</v>
      </c>
      <c r="AP324" s="1130" t="str">
        <f>SUBSTITUTE(SUBSTITUTE(SUBSTITUTE("dch"&amp;$B324&amp;$C324&amp;$D324&amp;$E324,".","_"),"(","_"),")","")</f>
        <v>dch505_10_b</v>
      </c>
      <c r="AQ324" s="254" t="str">
        <f>IF(LEN(W324)=0,"",W324)</f>
        <v/>
      </c>
      <c r="AR324" s="1130" t="str">
        <f>SUBSTITUTE(SUBSTITUTE(SUBSTITUTE("dnt"&amp;$B324&amp;$C324&amp;$D324&amp;$E324,".","_"),"(","_"),")","")</f>
        <v>dnt505_10_b</v>
      </c>
      <c r="AS324" s="254" t="str">
        <f>IF(LEN(X324)=0,"",X324)</f>
        <v/>
      </c>
    </row>
    <row r="325" spans="1:45" x14ac:dyDescent="0.25">
      <c r="A325"/>
      <c r="B325" s="90" t="s">
        <v>4155</v>
      </c>
      <c r="C325" s="1129"/>
      <c r="D325" s="845" t="s">
        <v>122</v>
      </c>
      <c r="E325" s="1129"/>
      <c r="F325" s="845"/>
      <c r="G325"/>
      <c r="H325"/>
      <c r="I325" s="66"/>
      <c r="J325" s="534"/>
      <c r="K325" s="178"/>
      <c r="L325" s="1786"/>
      <c r="M325" s="1759"/>
      <c r="N325" s="178"/>
      <c r="O325" s="1764"/>
      <c r="P325" s="791"/>
      <c r="Q325" s="791"/>
      <c r="R325" s="791"/>
      <c r="S325" s="791"/>
      <c r="T325" s="791"/>
      <c r="V325"/>
      <c r="W325"/>
      <c r="X325" s="1757"/>
      <c r="Y325"/>
      <c r="AA325"/>
      <c r="AB325"/>
      <c r="AC325" s="791"/>
      <c r="AD325" s="791"/>
      <c r="AE325"/>
      <c r="AF325"/>
      <c r="AG325"/>
      <c r="AH325"/>
      <c r="AI325"/>
      <c r="AJ325"/>
      <c r="AK325"/>
      <c r="AL325"/>
      <c r="AM325"/>
      <c r="AN325"/>
      <c r="AO325"/>
    </row>
    <row r="326" spans="1:45" x14ac:dyDescent="0.25">
      <c r="A326"/>
      <c r="B326" s="90" t="s">
        <v>4155</v>
      </c>
      <c r="C326" s="1129"/>
      <c r="D326" s="845" t="s">
        <v>123</v>
      </c>
      <c r="E326" s="1129"/>
      <c r="F326" s="845"/>
      <c r="G326"/>
      <c r="H326"/>
      <c r="I326" s="66"/>
      <c r="J326" s="66" t="s">
        <v>123</v>
      </c>
      <c r="K326"/>
      <c r="L326" s="1787" t="s">
        <v>4164</v>
      </c>
      <c r="M326" s="1767">
        <v>3</v>
      </c>
      <c r="N326" s="791"/>
      <c r="O326" s="1780">
        <f ca="1">M326*S326*W326</f>
        <v>0</v>
      </c>
      <c r="P326" s="791" t="b">
        <v>0</v>
      </c>
      <c r="Q326" s="791" t="b">
        <v>1</v>
      </c>
      <c r="R326" s="791" t="b">
        <v>0</v>
      </c>
      <c r="S326" s="791" t="b">
        <f ca="1">IF(AY19=INDEX(INDIRECT("ddSingleOrMulti"),2),TRUE,FALSE)</f>
        <v>0</v>
      </c>
      <c r="T326" s="791" t="b">
        <f ca="1">AND(W326=TRUE,NOT(S326))</f>
        <v>0</v>
      </c>
      <c r="V326"/>
      <c r="W326" s="25"/>
      <c r="X326" s="1757"/>
      <c r="Y326"/>
      <c r="AA326"/>
      <c r="AB326"/>
      <c r="AC326" s="791" t="b">
        <f ca="1">OR(AD326:AE326)</f>
        <v>0</v>
      </c>
      <c r="AD326" s="791" t="b">
        <f ca="1">T326</f>
        <v>0</v>
      </c>
      <c r="AE326"/>
      <c r="AF326"/>
      <c r="AG326"/>
      <c r="AH326"/>
      <c r="AI326"/>
      <c r="AJ326"/>
      <c r="AK326"/>
      <c r="AL326" s="1130" t="str">
        <f>SUBSTITUTE(SUBSTITUTE(SUBSTITUTE("dpa"&amp;$B326&amp;$C326&amp;$D326&amp;$E326,".","_"),"(","_"),")","")</f>
        <v>dpa505_10_c</v>
      </c>
      <c r="AM326" s="254">
        <f>M326</f>
        <v>3</v>
      </c>
      <c r="AN326" s="1130" t="str">
        <f>SUBSTITUTE(SUBSTITUTE(SUBSTITUTE("dpc"&amp;$B326&amp;$C326&amp;$D326&amp;$E326,".","_"),"(","_"),")","")</f>
        <v>dpc505_10_c</v>
      </c>
      <c r="AO326" s="254">
        <f ca="1">O326</f>
        <v>0</v>
      </c>
      <c r="AP326" s="1130" t="str">
        <f>SUBSTITUTE(SUBSTITUTE(SUBSTITUTE("dch"&amp;$B326&amp;$C326&amp;$D326&amp;$E326,".","_"),"(","_"),")","")</f>
        <v>dch505_10_c</v>
      </c>
      <c r="AQ326" s="254" t="str">
        <f>IF(LEN(W326)=0,"",W326)</f>
        <v/>
      </c>
      <c r="AR326" s="1130" t="str">
        <f>SUBSTITUTE(SUBSTITUTE(SUBSTITUTE("dnt"&amp;$B326&amp;$C326&amp;$D326&amp;$E326,".","_"),"(","_"),")","")</f>
        <v>dnt505_10_c</v>
      </c>
      <c r="AS326" s="254" t="str">
        <f>IF(LEN(X326)=0,"",X326)</f>
        <v/>
      </c>
    </row>
    <row r="327" spans="1:45" ht="15.75" thickBot="1" x14ac:dyDescent="0.3">
      <c r="A327"/>
      <c r="B327" s="90" t="s">
        <v>4155</v>
      </c>
      <c r="C327" s="1129"/>
      <c r="D327" s="845" t="s">
        <v>123</v>
      </c>
      <c r="E327" s="1129"/>
      <c r="F327" s="845"/>
      <c r="G327"/>
      <c r="H327"/>
      <c r="I327" s="4"/>
      <c r="J327" s="4"/>
      <c r="K327"/>
      <c r="L327" s="1787"/>
      <c r="M327" s="1768"/>
      <c r="N327" s="99"/>
      <c r="O327" s="1775"/>
      <c r="P327" s="99"/>
      <c r="Q327" s="99"/>
      <c r="R327" s="99"/>
      <c r="S327" s="99"/>
      <c r="T327" s="99"/>
      <c r="V327"/>
      <c r="W327"/>
      <c r="X327" s="1757"/>
      <c r="Y327"/>
      <c r="AA327"/>
      <c r="AB327"/>
      <c r="AC327" s="791"/>
      <c r="AD327" s="791"/>
      <c r="AE327"/>
      <c r="AF327"/>
      <c r="AG327"/>
      <c r="AH327"/>
      <c r="AI327"/>
      <c r="AJ327"/>
      <c r="AK327"/>
      <c r="AL327"/>
      <c r="AM327"/>
      <c r="AN327"/>
      <c r="AO327"/>
    </row>
    <row r="328" spans="1:45" ht="16.5" thickTop="1" thickBot="1" x14ac:dyDescent="0.3">
      <c r="I328" s="200" t="s">
        <v>771</v>
      </c>
      <c r="J328" s="201"/>
      <c r="K328" s="201"/>
      <c r="L328" s="1213"/>
      <c r="M328" s="202"/>
      <c r="N328" s="201"/>
      <c r="O328" s="203"/>
      <c r="P328" s="201"/>
      <c r="Q328" s="201"/>
      <c r="R328" s="201"/>
      <c r="S328" s="201"/>
      <c r="T328" s="201"/>
      <c r="U328" s="201"/>
      <c r="V328" s="201"/>
      <c r="W328" s="201"/>
      <c r="X328" s="261" t="s">
        <v>770</v>
      </c>
      <c r="AC328"/>
      <c r="AD328"/>
    </row>
    <row r="329" spans="1:45" ht="15.75" thickTop="1" x14ac:dyDescent="0.25"/>
  </sheetData>
  <sheetProtection algorithmName="SHA-512" hashValue="CIlSjIcRmyLHpAA1eKtCS2qLV323LGZW+vH1niV40RxTtMRERjA4CYqtq42j2+XYTjP69/6IzqciICX+nQKB8Q==" saltValue="cPmiGWsH+y1bo/YD0wcnjQ==" spinCount="100000" sheet="1" objects="1" scenarios="1" selectLockedCells="1"/>
  <mergeCells count="303">
    <mergeCell ref="X4:X5"/>
    <mergeCell ref="I1:L1"/>
    <mergeCell ref="I2:L2"/>
    <mergeCell ref="I3:L3"/>
    <mergeCell ref="X6:X7"/>
    <mergeCell ref="M20:M21"/>
    <mergeCell ref="M22:M23"/>
    <mergeCell ref="L20:L21"/>
    <mergeCell ref="L22:L23"/>
    <mergeCell ref="X14:X19"/>
    <mergeCell ref="I4:L4"/>
    <mergeCell ref="I5:L5"/>
    <mergeCell ref="R6:R7"/>
    <mergeCell ref="S6:S7"/>
    <mergeCell ref="T6:T7"/>
    <mergeCell ref="U6:U7"/>
    <mergeCell ref="Q6:Q7"/>
    <mergeCell ref="X20:X21"/>
    <mergeCell ref="X22:X23"/>
    <mergeCell ref="I6:K7"/>
    <mergeCell ref="L6:L7"/>
    <mergeCell ref="M6:M7"/>
    <mergeCell ref="L10:L12"/>
    <mergeCell ref="L26:L27"/>
    <mergeCell ref="M24:M25"/>
    <mergeCell ref="L24:L25"/>
    <mergeCell ref="X24:X25"/>
    <mergeCell ref="X28:X36"/>
    <mergeCell ref="X26:X27"/>
    <mergeCell ref="L43:L45"/>
    <mergeCell ref="L28:L31"/>
    <mergeCell ref="O43:O45"/>
    <mergeCell ref="L37:L40"/>
    <mergeCell ref="O24:O25"/>
    <mergeCell ref="O26:O27"/>
    <mergeCell ref="O28:O36"/>
    <mergeCell ref="X46:X50"/>
    <mergeCell ref="M28:M36"/>
    <mergeCell ref="O46:O47"/>
    <mergeCell ref="X43:X45"/>
    <mergeCell ref="M26:M27"/>
    <mergeCell ref="M43:M45"/>
    <mergeCell ref="M46:M47"/>
    <mergeCell ref="O158:O160"/>
    <mergeCell ref="O82:O83"/>
    <mergeCell ref="X38:X42"/>
    <mergeCell ref="O143:O145"/>
    <mergeCell ref="X141:X142"/>
    <mergeCell ref="X143:X145"/>
    <mergeCell ref="X136:X140"/>
    <mergeCell ref="O72:O73"/>
    <mergeCell ref="O74:O75"/>
    <mergeCell ref="O122:O124"/>
    <mergeCell ref="O125:O128"/>
    <mergeCell ref="O129:O132"/>
    <mergeCell ref="O80:O81"/>
    <mergeCell ref="X115:X121"/>
    <mergeCell ref="X122:X124"/>
    <mergeCell ref="X125:X128"/>
    <mergeCell ref="X129:X135"/>
    <mergeCell ref="H1:H7"/>
    <mergeCell ref="O59:O62"/>
    <mergeCell ref="M1:W5"/>
    <mergeCell ref="O161:O162"/>
    <mergeCell ref="O136:O137"/>
    <mergeCell ref="O150:O151"/>
    <mergeCell ref="O156:O157"/>
    <mergeCell ref="O92:O93"/>
    <mergeCell ref="O99:O100"/>
    <mergeCell ref="M125:M128"/>
    <mergeCell ref="L158:L160"/>
    <mergeCell ref="O20:O21"/>
    <mergeCell ref="O22:O23"/>
    <mergeCell ref="N6:N7"/>
    <mergeCell ref="P6:P7"/>
    <mergeCell ref="V6:V7"/>
    <mergeCell ref="W6:W7"/>
    <mergeCell ref="L80:L81"/>
    <mergeCell ref="L59:L62"/>
    <mergeCell ref="L64:L67"/>
    <mergeCell ref="L72:L73"/>
    <mergeCell ref="L74:L75"/>
    <mergeCell ref="O38:O40"/>
    <mergeCell ref="L46:L47"/>
    <mergeCell ref="L273:L275"/>
    <mergeCell ref="L284:L286"/>
    <mergeCell ref="L265:L267"/>
    <mergeCell ref="L287:L288"/>
    <mergeCell ref="L306:L309"/>
    <mergeCell ref="X158:X160"/>
    <mergeCell ref="X89:X101"/>
    <mergeCell ref="X102:X114"/>
    <mergeCell ref="L172:L176"/>
    <mergeCell ref="L179:L181"/>
    <mergeCell ref="L148:L149"/>
    <mergeCell ref="L150:L151"/>
    <mergeCell ref="L115:L118"/>
    <mergeCell ref="L119:L121"/>
    <mergeCell ref="L129:L132"/>
    <mergeCell ref="L136:L137"/>
    <mergeCell ref="L92:L93"/>
    <mergeCell ref="L146:L147"/>
    <mergeCell ref="L161:L162"/>
    <mergeCell ref="L94:L95"/>
    <mergeCell ref="L99:L100"/>
    <mergeCell ref="L122:L124"/>
    <mergeCell ref="L125:L128"/>
    <mergeCell ref="L102:L103"/>
    <mergeCell ref="L252:L253"/>
    <mergeCell ref="L254:L255"/>
    <mergeCell ref="L263:L264"/>
    <mergeCell ref="L227:L228"/>
    <mergeCell ref="L229:L230"/>
    <mergeCell ref="L231:L234"/>
    <mergeCell ref="L235:L237"/>
    <mergeCell ref="L268:L271"/>
    <mergeCell ref="L256:L257"/>
    <mergeCell ref="X59:X62"/>
    <mergeCell ref="X64:X68"/>
    <mergeCell ref="O172:O176"/>
    <mergeCell ref="M156:M157"/>
    <mergeCell ref="M158:M160"/>
    <mergeCell ref="M161:M162"/>
    <mergeCell ref="X172:X176"/>
    <mergeCell ref="X177:X178"/>
    <mergeCell ref="L249:L251"/>
    <mergeCell ref="M59:M62"/>
    <mergeCell ref="M72:M73"/>
    <mergeCell ref="M74:M75"/>
    <mergeCell ref="M122:M124"/>
    <mergeCell ref="M107:M113"/>
    <mergeCell ref="O107:O113"/>
    <mergeCell ref="O105:O106"/>
    <mergeCell ref="O94:O95"/>
    <mergeCell ref="M99:M100"/>
    <mergeCell ref="M92:M93"/>
    <mergeCell ref="M105:M106"/>
    <mergeCell ref="M219:M220"/>
    <mergeCell ref="M224:M225"/>
    <mergeCell ref="X221:X223"/>
    <mergeCell ref="O177:O178"/>
    <mergeCell ref="O184:O185"/>
    <mergeCell ref="O186:O187"/>
    <mergeCell ref="O201:O203"/>
    <mergeCell ref="O188:O189"/>
    <mergeCell ref="M177:M178"/>
    <mergeCell ref="M182:M183"/>
    <mergeCell ref="M184:M185"/>
    <mergeCell ref="M186:M187"/>
    <mergeCell ref="O179:O181"/>
    <mergeCell ref="O195:O196"/>
    <mergeCell ref="M204:M205"/>
    <mergeCell ref="M199:M200"/>
    <mergeCell ref="M179:M181"/>
    <mergeCell ref="X214:X220"/>
    <mergeCell ref="X209:X213"/>
    <mergeCell ref="X231:X234"/>
    <mergeCell ref="X254:X255"/>
    <mergeCell ref="X179:X181"/>
    <mergeCell ref="X188:X194"/>
    <mergeCell ref="X182:X183"/>
    <mergeCell ref="X184:X185"/>
    <mergeCell ref="X186:X187"/>
    <mergeCell ref="O231:O234"/>
    <mergeCell ref="O235:O237"/>
    <mergeCell ref="M254:M255"/>
    <mergeCell ref="M217:M218"/>
    <mergeCell ref="O217:O218"/>
    <mergeCell ref="O219:O220"/>
    <mergeCell ref="O224:O225"/>
    <mergeCell ref="O227:O228"/>
    <mergeCell ref="X227:X228"/>
    <mergeCell ref="X224:X225"/>
    <mergeCell ref="M227:M228"/>
    <mergeCell ref="O182:O183"/>
    <mergeCell ref="X276:X281"/>
    <mergeCell ref="M231:M234"/>
    <mergeCell ref="X263:X272"/>
    <mergeCell ref="X258:X261"/>
    <mergeCell ref="X273:X275"/>
    <mergeCell ref="M273:M275"/>
    <mergeCell ref="M263:M264"/>
    <mergeCell ref="M229:M230"/>
    <mergeCell ref="O263:O264"/>
    <mergeCell ref="O273:O275"/>
    <mergeCell ref="O239:O246"/>
    <mergeCell ref="O229:O230"/>
    <mergeCell ref="O254:O255"/>
    <mergeCell ref="X239:X246"/>
    <mergeCell ref="X235:X237"/>
    <mergeCell ref="X229:X230"/>
    <mergeCell ref="M256:M257"/>
    <mergeCell ref="O256:O257"/>
    <mergeCell ref="X256:X257"/>
    <mergeCell ref="M235:M237"/>
    <mergeCell ref="M239:M246"/>
    <mergeCell ref="L219:L220"/>
    <mergeCell ref="L221:L223"/>
    <mergeCell ref="L224:L225"/>
    <mergeCell ref="L199:L200"/>
    <mergeCell ref="L201:L203"/>
    <mergeCell ref="L204:L205"/>
    <mergeCell ref="L207:L208"/>
    <mergeCell ref="L214:L215"/>
    <mergeCell ref="O163:O165"/>
    <mergeCell ref="L209:L212"/>
    <mergeCell ref="L177:L178"/>
    <mergeCell ref="L192:L193"/>
    <mergeCell ref="L217:L218"/>
    <mergeCell ref="L195:L196"/>
    <mergeCell ref="L197:L198"/>
    <mergeCell ref="M197:M198"/>
    <mergeCell ref="M192:M193"/>
    <mergeCell ref="M201:M203"/>
    <mergeCell ref="L182:L183"/>
    <mergeCell ref="L184:L185"/>
    <mergeCell ref="L186:L187"/>
    <mergeCell ref="L188:L189"/>
    <mergeCell ref="M172:M176"/>
    <mergeCell ref="M209:M213"/>
    <mergeCell ref="X195:X200"/>
    <mergeCell ref="O209:O213"/>
    <mergeCell ref="X161:X162"/>
    <mergeCell ref="X166:X170"/>
    <mergeCell ref="L51:L52"/>
    <mergeCell ref="M51:M52"/>
    <mergeCell ref="O51:O52"/>
    <mergeCell ref="L53:L54"/>
    <mergeCell ref="X51:X52"/>
    <mergeCell ref="X53:X55"/>
    <mergeCell ref="X56:X57"/>
    <mergeCell ref="M53:M55"/>
    <mergeCell ref="O53:O55"/>
    <mergeCell ref="M56:M57"/>
    <mergeCell ref="O56:O57"/>
    <mergeCell ref="O84:O88"/>
    <mergeCell ref="X69:X88"/>
    <mergeCell ref="L141:L142"/>
    <mergeCell ref="M141:M142"/>
    <mergeCell ref="O141:O142"/>
    <mergeCell ref="L163:L165"/>
    <mergeCell ref="M163:M165"/>
    <mergeCell ref="L110:L111"/>
    <mergeCell ref="L70:L71"/>
    <mergeCell ref="X324:X325"/>
    <mergeCell ref="X326:X327"/>
    <mergeCell ref="L311:L312"/>
    <mergeCell ref="L313:L315"/>
    <mergeCell ref="L317:L318"/>
    <mergeCell ref="L319:L321"/>
    <mergeCell ref="L322:L323"/>
    <mergeCell ref="L324:L325"/>
    <mergeCell ref="L326:L327"/>
    <mergeCell ref="M313:M315"/>
    <mergeCell ref="O313:O315"/>
    <mergeCell ref="M317:M318"/>
    <mergeCell ref="O317:O318"/>
    <mergeCell ref="M322:M323"/>
    <mergeCell ref="O322:O323"/>
    <mergeCell ref="M324:M325"/>
    <mergeCell ref="O324:O325"/>
    <mergeCell ref="M326:M327"/>
    <mergeCell ref="O326:O327"/>
    <mergeCell ref="M70:M71"/>
    <mergeCell ref="O70:O71"/>
    <mergeCell ref="L78:L79"/>
    <mergeCell ref="M78:M79"/>
    <mergeCell ref="O78:O79"/>
    <mergeCell ref="X313:X315"/>
    <mergeCell ref="X317:X318"/>
    <mergeCell ref="X322:X323"/>
    <mergeCell ref="M306:M309"/>
    <mergeCell ref="O306:O309"/>
    <mergeCell ref="M287:M288"/>
    <mergeCell ref="O287:O288"/>
    <mergeCell ref="L289:L291"/>
    <mergeCell ref="M289:M291"/>
    <mergeCell ref="O289:O291"/>
    <mergeCell ref="X287:X288"/>
    <mergeCell ref="X289:X291"/>
    <mergeCell ref="L294:L297"/>
    <mergeCell ref="L298:L305"/>
    <mergeCell ref="M294:M296"/>
    <mergeCell ref="X294:X305"/>
    <mergeCell ref="X306:X309"/>
    <mergeCell ref="X201:X205"/>
    <mergeCell ref="X163:X165"/>
    <mergeCell ref="L156:L157"/>
    <mergeCell ref="X146:X149"/>
    <mergeCell ref="X150:X155"/>
    <mergeCell ref="X156:X157"/>
    <mergeCell ref="M80:M81"/>
    <mergeCell ref="M82:M83"/>
    <mergeCell ref="L107:L108"/>
    <mergeCell ref="L76:L77"/>
    <mergeCell ref="M76:M77"/>
    <mergeCell ref="O76:O77"/>
    <mergeCell ref="L143:L145"/>
    <mergeCell ref="M143:M145"/>
    <mergeCell ref="L82:L83"/>
    <mergeCell ref="L105:L106"/>
    <mergeCell ref="L84:L88"/>
    <mergeCell ref="M84:M88"/>
  </mergeCells>
  <conditionalFormatting sqref="X2">
    <cfRule type="expression" dxfId="5868" priority="919">
      <formula>$AG$3</formula>
    </cfRule>
  </conditionalFormatting>
  <conditionalFormatting sqref="I1">
    <cfRule type="expression" dxfId="5867" priority="921">
      <formula>$AG$1="Gold"</formula>
    </cfRule>
    <cfRule type="expression" dxfId="5866" priority="922">
      <formula>$AG$1="Silver"</formula>
    </cfRule>
    <cfRule type="expression" dxfId="5865" priority="923">
      <formula>$AG$1="Bronze"</formula>
    </cfRule>
    <cfRule type="expression" dxfId="5864" priority="924">
      <formula>$AG$1="Emerald"</formula>
    </cfRule>
  </conditionalFormatting>
  <conditionalFormatting sqref="X3">
    <cfRule type="expression" dxfId="5863" priority="925">
      <formula>$AI$3</formula>
    </cfRule>
  </conditionalFormatting>
  <conditionalFormatting sqref="W46">
    <cfRule type="expression" dxfId="5862" priority="777">
      <formula>OR($T$46 = TRUE, AND(LEN(TRIM($W$46))&gt;0, $S$46 = FALSE))</formula>
    </cfRule>
    <cfRule type="expression" dxfId="5861" priority="778">
      <formula>$S$46 = FALSE</formula>
    </cfRule>
    <cfRule type="expression" dxfId="5860" priority="779">
      <formula>AND(IF($R$46,$W$46,TRUE),LEN(TRIM($W$46))&gt;0)</formula>
    </cfRule>
    <cfRule type="expression" dxfId="5859" priority="780">
      <formula>AND($R$46,$S$46)</formula>
    </cfRule>
  </conditionalFormatting>
  <conditionalFormatting sqref="W90">
    <cfRule type="notContainsBlanks" dxfId="5858" priority="926">
      <formula>LEN(TRIM(W90))&gt;0</formula>
    </cfRule>
  </conditionalFormatting>
  <conditionalFormatting sqref="W258">
    <cfRule type="expression" dxfId="5857" priority="508">
      <formula>AND($R$258,$S$258)</formula>
    </cfRule>
  </conditionalFormatting>
  <conditionalFormatting sqref="W258">
    <cfRule type="expression" dxfId="5856" priority="507">
      <formula>AND(IF($R$258,$W$258,TRUE),LEN(TRIM($W$258))&gt;0)</formula>
    </cfRule>
  </conditionalFormatting>
  <conditionalFormatting sqref="W258">
    <cfRule type="expression" dxfId="5855" priority="506">
      <formula>$S$258 = FALSE</formula>
    </cfRule>
  </conditionalFormatting>
  <conditionalFormatting sqref="W258">
    <cfRule type="expression" dxfId="5854" priority="505">
      <formula>OR($T$258 = TRUE, AND(LEN(TRIM($W$258))&gt;0, $S$258 = FALSE))</formula>
    </cfRule>
  </conditionalFormatting>
  <conditionalFormatting sqref="W202">
    <cfRule type="expression" dxfId="5853" priority="500">
      <formula>AND($R$202,$S$202)</formula>
    </cfRule>
  </conditionalFormatting>
  <conditionalFormatting sqref="W202">
    <cfRule type="expression" dxfId="5852" priority="499">
      <formula>AND(IF($R$202,$W$202,TRUE),LEN(TRIM($W$202))&gt;0)</formula>
    </cfRule>
  </conditionalFormatting>
  <conditionalFormatting sqref="W202">
    <cfRule type="expression" dxfId="5851" priority="498">
      <formula>$S$202 = FALSE</formula>
    </cfRule>
  </conditionalFormatting>
  <conditionalFormatting sqref="W202">
    <cfRule type="expression" dxfId="5850" priority="497">
      <formula>OR($T$202 = TRUE, AND(LEN(TRIM($W$202))&gt;0, $S$202 = FALSE))</formula>
    </cfRule>
  </conditionalFormatting>
  <conditionalFormatting sqref="W166">
    <cfRule type="expression" dxfId="5849" priority="496">
      <formula>AND($R$166,$S$166)</formula>
    </cfRule>
  </conditionalFormatting>
  <conditionalFormatting sqref="W166">
    <cfRule type="expression" dxfId="5848" priority="495">
      <formula>AND(IF($R$166,$W$166,TRUE),LEN(TRIM($W$166))&gt;0)</formula>
    </cfRule>
  </conditionalFormatting>
  <conditionalFormatting sqref="W166">
    <cfRule type="expression" dxfId="5847" priority="494">
      <formula>$S$166 = FALSE</formula>
    </cfRule>
  </conditionalFormatting>
  <conditionalFormatting sqref="W166">
    <cfRule type="expression" dxfId="5846" priority="493">
      <formula>OR($T$166 = TRUE, AND(LEN(TRIM($W$166))&gt;0, $S$166 = FALSE))</formula>
    </cfRule>
  </conditionalFormatting>
  <conditionalFormatting sqref="W150">
    <cfRule type="expression" dxfId="5845" priority="492">
      <formula>AND($R$150,$S$150)</formula>
    </cfRule>
  </conditionalFormatting>
  <conditionalFormatting sqref="W150">
    <cfRule type="expression" dxfId="5844" priority="491">
      <formula>AND(IF($R$150,$W$150,TRUE),LEN(TRIM($W$150))&gt;0)</formula>
    </cfRule>
  </conditionalFormatting>
  <conditionalFormatting sqref="W150">
    <cfRule type="expression" dxfId="5843" priority="490">
      <formula>$S$150 = FALSE</formula>
    </cfRule>
  </conditionalFormatting>
  <conditionalFormatting sqref="W150">
    <cfRule type="expression" dxfId="5842" priority="489">
      <formula>OR($T$150 = TRUE, AND(LEN(TRIM($W$150))&gt;0, $S$150 = FALSE))</formula>
    </cfRule>
  </conditionalFormatting>
  <conditionalFormatting sqref="W148">
    <cfRule type="expression" dxfId="5841" priority="485">
      <formula>OR($T$148 = TRUE, AND(LEN(TRIM($W$148))&gt;0, $S$148 = FALSE))</formula>
    </cfRule>
    <cfRule type="expression" dxfId="5840" priority="486">
      <formula>$S$148 = FALSE</formula>
    </cfRule>
    <cfRule type="expression" dxfId="5839" priority="487">
      <formula>AND(IF($R$148,$W$148,TRUE),LEN(TRIM($W$148))&gt;0)</formula>
    </cfRule>
    <cfRule type="expression" dxfId="5838" priority="488">
      <formula>AND($R$148,$S$148)</formula>
    </cfRule>
  </conditionalFormatting>
  <conditionalFormatting sqref="X28">
    <cfRule type="expression" dxfId="5837" priority="476">
      <formula>W28=TRUE</formula>
    </cfRule>
  </conditionalFormatting>
  <conditionalFormatting sqref="X239:X246">
    <cfRule type="expression" dxfId="5836" priority="475">
      <formula>$W$245=TRUE</formula>
    </cfRule>
  </conditionalFormatting>
  <conditionalFormatting sqref="W15">
    <cfRule type="expression" dxfId="5835" priority="407">
      <formula>OR($T$15 = TRUE, AND($W$15 = TRUE, $S$15 = FALSE))</formula>
    </cfRule>
    <cfRule type="expression" dxfId="5834" priority="408">
      <formula>$S$15 = FALSE</formula>
    </cfRule>
    <cfRule type="expression" dxfId="5833" priority="409">
      <formula>AND(IF($R$15,$W$15,TRUE),LEN(TRIM($W$15))&gt;0)</formula>
    </cfRule>
    <cfRule type="expression" dxfId="5832" priority="410">
      <formula>AND($R$15,$S$15)</formula>
    </cfRule>
  </conditionalFormatting>
  <conditionalFormatting sqref="W17">
    <cfRule type="expression" dxfId="5831" priority="403">
      <formula>OR($T$17 = TRUE, AND($W$17 = TRUE, $S$17 = FALSE))</formula>
    </cfRule>
    <cfRule type="expression" dxfId="5830" priority="404">
      <formula>$S$17 = FALSE</formula>
    </cfRule>
    <cfRule type="expression" dxfId="5829" priority="405">
      <formula>AND(IF($R$17,$W$17,TRUE),LEN(TRIM($W$17))&gt;0)</formula>
    </cfRule>
    <cfRule type="expression" dxfId="5828" priority="406">
      <formula>AND($R$17,$S$17)</formula>
    </cfRule>
  </conditionalFormatting>
  <conditionalFormatting sqref="W18">
    <cfRule type="expression" dxfId="5827" priority="399">
      <formula>OR($T$18 = TRUE, AND($W$18 = TRUE, $S$18 = FALSE))</formula>
    </cfRule>
    <cfRule type="expression" dxfId="5826" priority="400">
      <formula>$S$18 = FALSE</formula>
    </cfRule>
    <cfRule type="expression" dxfId="5825" priority="401">
      <formula>AND(IF($R$18,$W$18,TRUE),LEN(TRIM($W$18))&gt;0)</formula>
    </cfRule>
    <cfRule type="expression" dxfId="5824" priority="402">
      <formula>AND($R$18,$S$18)</formula>
    </cfRule>
  </conditionalFormatting>
  <conditionalFormatting sqref="W19">
    <cfRule type="expression" dxfId="5823" priority="395">
      <formula>OR($T$19 = TRUE, AND($W$19 = TRUE, $S$19 = FALSE))</formula>
    </cfRule>
    <cfRule type="expression" dxfId="5822" priority="396">
      <formula>$S$19 = FALSE</formula>
    </cfRule>
    <cfRule type="expression" dxfId="5821" priority="397">
      <formula>AND(IF($R$19,$W$19,TRUE),LEN(TRIM($W$19))&gt;0)</formula>
    </cfRule>
    <cfRule type="expression" dxfId="5820" priority="398">
      <formula>AND($R$19,$S$19)</formula>
    </cfRule>
  </conditionalFormatting>
  <conditionalFormatting sqref="W22">
    <cfRule type="expression" dxfId="5819" priority="391">
      <formula>OR($T$22 = TRUE, AND($W$22 = TRUE, $S$22 = FALSE))</formula>
    </cfRule>
    <cfRule type="expression" dxfId="5818" priority="392">
      <formula>$S$22 = FALSE</formula>
    </cfRule>
    <cfRule type="expression" dxfId="5817" priority="393">
      <formula>AND(IF($R$22,$W$22,TRUE),LEN(TRIM($W$22))&gt;0)</formula>
    </cfRule>
    <cfRule type="expression" dxfId="5816" priority="394">
      <formula>AND($R$22,$S$22)</formula>
    </cfRule>
  </conditionalFormatting>
  <conditionalFormatting sqref="W24">
    <cfRule type="expression" dxfId="5815" priority="387">
      <formula>OR($T$24 = TRUE, AND($W$24 = TRUE, $S$24 = FALSE))</formula>
    </cfRule>
    <cfRule type="expression" dxfId="5814" priority="388">
      <formula>$S$24 = FALSE</formula>
    </cfRule>
    <cfRule type="expression" dxfId="5813" priority="389">
      <formula>AND(IF($R$24,$W$24,TRUE),LEN(TRIM($W$24))&gt;0)</formula>
    </cfRule>
    <cfRule type="expression" dxfId="5812" priority="390">
      <formula>AND($R$24,$S$24)</formula>
    </cfRule>
  </conditionalFormatting>
  <conditionalFormatting sqref="W26">
    <cfRule type="expression" dxfId="5811" priority="383">
      <formula>OR($T$26 = TRUE, AND($W$26 = TRUE, $S$26 = FALSE))</formula>
    </cfRule>
    <cfRule type="expression" dxfId="5810" priority="384">
      <formula>$S$26 = FALSE</formula>
    </cfRule>
    <cfRule type="expression" dxfId="5809" priority="385">
      <formula>AND(IF($R$26,$W$26,TRUE),LEN(TRIM($W$26))&gt;0)</formula>
    </cfRule>
    <cfRule type="expression" dxfId="5808" priority="386">
      <formula>AND($R$26,$S$26)</formula>
    </cfRule>
  </conditionalFormatting>
  <conditionalFormatting sqref="W28">
    <cfRule type="expression" dxfId="5807" priority="379">
      <formula>OR($T$28 = TRUE, AND($W$28 = TRUE, $S$28 = FALSE))</formula>
    </cfRule>
    <cfRule type="expression" dxfId="5806" priority="380">
      <formula>$S$28 = FALSE</formula>
    </cfRule>
    <cfRule type="expression" dxfId="5805" priority="381">
      <formula>AND(IF($R$28,$W$28,TRUE),LEN(TRIM($W$28))&gt;0)</formula>
    </cfRule>
    <cfRule type="expression" dxfId="5804" priority="382">
      <formula>AND($R$28,$S$28)</formula>
    </cfRule>
  </conditionalFormatting>
  <conditionalFormatting sqref="W43">
    <cfRule type="expression" dxfId="5803" priority="375">
      <formula>OR($T$43 = TRUE, AND($W$43 = TRUE, $S$43 = FALSE))</formula>
    </cfRule>
    <cfRule type="expression" dxfId="5802" priority="376">
      <formula>$S$43 = FALSE</formula>
    </cfRule>
    <cfRule type="expression" dxfId="5801" priority="377">
      <formula>AND(IF($R$43,$W$43,TRUE),LEN(TRIM($W$43))&gt;0)</formula>
    </cfRule>
    <cfRule type="expression" dxfId="5800" priority="378">
      <formula>AND($R$43,$S$43)</formula>
    </cfRule>
  </conditionalFormatting>
  <conditionalFormatting sqref="W59">
    <cfRule type="expression" dxfId="5799" priority="371">
      <formula>OR($T$59 = TRUE, AND($W$59 = TRUE, $S$59 = FALSE))</formula>
    </cfRule>
    <cfRule type="expression" dxfId="5798" priority="372">
      <formula>$S$59 = FALSE</formula>
    </cfRule>
    <cfRule type="expression" dxfId="5797" priority="373">
      <formula>AND(IF($R$59,$W$59,TRUE),LEN(TRIM($W$59))&gt;0)</formula>
    </cfRule>
    <cfRule type="expression" dxfId="5796" priority="374">
      <formula>AND($R$59,$S$59)</formula>
    </cfRule>
  </conditionalFormatting>
  <conditionalFormatting sqref="W70">
    <cfRule type="expression" dxfId="5795" priority="367">
      <formula>OR($T$70 = TRUE, AND($W$70 = TRUE, $S$70 = FALSE))</formula>
    </cfRule>
    <cfRule type="expression" dxfId="5794" priority="368">
      <formula>$S$70 = FALSE</formula>
    </cfRule>
    <cfRule type="expression" dxfId="5793" priority="369">
      <formula>AND(IF($R$70,$W$70,TRUE),LEN(TRIM($W$70))&gt;0)</formula>
    </cfRule>
    <cfRule type="expression" dxfId="5792" priority="370">
      <formula>AND($R$70,$S$70)</formula>
    </cfRule>
  </conditionalFormatting>
  <conditionalFormatting sqref="W72">
    <cfRule type="expression" dxfId="5791" priority="363">
      <formula>OR($T$72 = TRUE, AND($W$72 = TRUE, $S$72 = FALSE))</formula>
    </cfRule>
    <cfRule type="expression" dxfId="5790" priority="364">
      <formula>$S$72 = FALSE</formula>
    </cfRule>
    <cfRule type="expression" dxfId="5789" priority="365">
      <formula>AND(IF($R$72,$W$72,TRUE),LEN(TRIM($W$72))&gt;0)</formula>
    </cfRule>
    <cfRule type="expression" dxfId="5788" priority="366">
      <formula>AND($R$72,$S$72)</formula>
    </cfRule>
  </conditionalFormatting>
  <conditionalFormatting sqref="W74">
    <cfRule type="expression" dxfId="5787" priority="359">
      <formula>OR($T$74 = TRUE, AND($W$74 = TRUE, $S$74 = FALSE))</formula>
    </cfRule>
    <cfRule type="expression" dxfId="5786" priority="360">
      <formula>$S$74 = FALSE</formula>
    </cfRule>
    <cfRule type="expression" dxfId="5785" priority="361">
      <formula>AND(IF($R$74,$W$74,TRUE),LEN(TRIM($W$74))&gt;0)</formula>
    </cfRule>
    <cfRule type="expression" dxfId="5784" priority="362">
      <formula>AND($R$74,$S$74)</formula>
    </cfRule>
  </conditionalFormatting>
  <conditionalFormatting sqref="W76">
    <cfRule type="expression" dxfId="5783" priority="358">
      <formula>AND($R$76,$S$76)</formula>
    </cfRule>
  </conditionalFormatting>
  <conditionalFormatting sqref="W76">
    <cfRule type="expression" dxfId="5782" priority="357">
      <formula>AND(IF($R$76,$W$76,TRUE),LEN(TRIM($W$76))&gt;0)</formula>
    </cfRule>
  </conditionalFormatting>
  <conditionalFormatting sqref="W76">
    <cfRule type="expression" dxfId="5781" priority="356">
      <formula>$S$76 = FALSE</formula>
    </cfRule>
  </conditionalFormatting>
  <conditionalFormatting sqref="W76">
    <cfRule type="expression" dxfId="5780" priority="355">
      <formula>OR($T$76 = TRUE, AND($W$76 = TRUE, $S$76 = FALSE))</formula>
    </cfRule>
  </conditionalFormatting>
  <conditionalFormatting sqref="W78">
    <cfRule type="expression" dxfId="5779" priority="354">
      <formula>AND($R$78,$S$78)</formula>
    </cfRule>
  </conditionalFormatting>
  <conditionalFormatting sqref="W78">
    <cfRule type="expression" dxfId="5778" priority="353">
      <formula>AND(IF($R$78,$W$78,TRUE),LEN(TRIM($W$78))&gt;0)</formula>
    </cfRule>
  </conditionalFormatting>
  <conditionalFormatting sqref="W78">
    <cfRule type="expression" dxfId="5777" priority="352">
      <formula>$S$78 = FALSE</formula>
    </cfRule>
  </conditionalFormatting>
  <conditionalFormatting sqref="W78">
    <cfRule type="expression" dxfId="5776" priority="351">
      <formula>OR($T$78 = TRUE, AND($W$78 = TRUE, $S$78 = FALSE))</formula>
    </cfRule>
  </conditionalFormatting>
  <conditionalFormatting sqref="W80">
    <cfRule type="expression" dxfId="5775" priority="350">
      <formula>AND($R$80,$S$80)</formula>
    </cfRule>
  </conditionalFormatting>
  <conditionalFormatting sqref="W80">
    <cfRule type="expression" dxfId="5774" priority="349">
      <formula>AND(IF($R$80,$W$80,TRUE),LEN(TRIM($W$80))&gt;0)</formula>
    </cfRule>
  </conditionalFormatting>
  <conditionalFormatting sqref="W80">
    <cfRule type="expression" dxfId="5773" priority="348">
      <formula>$S$80 = FALSE</formula>
    </cfRule>
  </conditionalFormatting>
  <conditionalFormatting sqref="W80">
    <cfRule type="expression" dxfId="5772" priority="347">
      <formula>OR($T$80 = TRUE, AND($W$80 = TRUE, $S$80 = FALSE))</formula>
    </cfRule>
  </conditionalFormatting>
  <conditionalFormatting sqref="W82">
    <cfRule type="expression" dxfId="5771" priority="346">
      <formula>AND($R$82,$S$82)</formula>
    </cfRule>
  </conditionalFormatting>
  <conditionalFormatting sqref="W82">
    <cfRule type="expression" dxfId="5770" priority="345">
      <formula>AND(IF($R$82,$W$82,TRUE),LEN(TRIM($W$82))&gt;0)</formula>
    </cfRule>
  </conditionalFormatting>
  <conditionalFormatting sqref="W82">
    <cfRule type="expression" dxfId="5769" priority="344">
      <formula>$S$82 = FALSE</formula>
    </cfRule>
  </conditionalFormatting>
  <conditionalFormatting sqref="W82">
    <cfRule type="expression" dxfId="5768" priority="343">
      <formula>OR($T$82 = TRUE, AND($W$82 = TRUE, $S$82 = FALSE))</formula>
    </cfRule>
  </conditionalFormatting>
  <conditionalFormatting sqref="W91">
    <cfRule type="expression" dxfId="5767" priority="342">
      <formula>AND($R$91,$S$91)</formula>
    </cfRule>
  </conditionalFormatting>
  <conditionalFormatting sqref="W91">
    <cfRule type="expression" dxfId="5766" priority="341">
      <formula>AND(IF($R$91,$W$91,TRUE),LEN(TRIM($W$91))&gt;0)</formula>
    </cfRule>
  </conditionalFormatting>
  <conditionalFormatting sqref="W91">
    <cfRule type="expression" dxfId="5765" priority="340">
      <formula>$S$91 = FALSE</formula>
    </cfRule>
  </conditionalFormatting>
  <conditionalFormatting sqref="W91">
    <cfRule type="expression" dxfId="5764" priority="339">
      <formula>OR($T$91 = TRUE, AND($W$91 = TRUE, $S$91 = FALSE))</formula>
    </cfRule>
  </conditionalFormatting>
  <conditionalFormatting sqref="W92">
    <cfRule type="expression" dxfId="5763" priority="338">
      <formula>AND($R$92,$S$92)</formula>
    </cfRule>
  </conditionalFormatting>
  <conditionalFormatting sqref="W92">
    <cfRule type="expression" dxfId="5762" priority="337">
      <formula>AND(IF($R$92,$W$92,TRUE),LEN(TRIM($W$92))&gt;0)</formula>
    </cfRule>
  </conditionalFormatting>
  <conditionalFormatting sqref="W92">
    <cfRule type="expression" dxfId="5761" priority="336">
      <formula>$S$92 = FALSE</formula>
    </cfRule>
  </conditionalFormatting>
  <conditionalFormatting sqref="W92">
    <cfRule type="expression" dxfId="5760" priority="335">
      <formula>OR($T$92 = TRUE, AND($W$92 = TRUE, $S$92 = FALSE))</formula>
    </cfRule>
  </conditionalFormatting>
  <conditionalFormatting sqref="W94">
    <cfRule type="expression" dxfId="5759" priority="330">
      <formula>AND($R$94,$S$94)</formula>
    </cfRule>
  </conditionalFormatting>
  <conditionalFormatting sqref="W94">
    <cfRule type="expression" dxfId="5758" priority="329">
      <formula>AND($W$94&lt;&gt;"Not Met",LEN(TRIM($W$94))&gt;0)</formula>
    </cfRule>
  </conditionalFormatting>
  <conditionalFormatting sqref="W94">
    <cfRule type="expression" dxfId="5757" priority="328">
      <formula>$S$94 = FALSE</formula>
    </cfRule>
  </conditionalFormatting>
  <conditionalFormatting sqref="W94">
    <cfRule type="expression" dxfId="5756" priority="327">
      <formula>OR($T$94 = TRUE, AND(LEN(TRIM($W$94))&gt;0, $S$94 = FALSE))</formula>
    </cfRule>
  </conditionalFormatting>
  <conditionalFormatting sqref="W99">
    <cfRule type="expression" dxfId="5755" priority="326">
      <formula>AND($R$99,$S$99)</formula>
    </cfRule>
  </conditionalFormatting>
  <conditionalFormatting sqref="W99">
    <cfRule type="expression" dxfId="5754" priority="325">
      <formula>AND(IF($R$99,$W$99,TRUE),LEN(TRIM($W$99))&gt;0)</formula>
    </cfRule>
  </conditionalFormatting>
  <conditionalFormatting sqref="W99">
    <cfRule type="expression" dxfId="5753" priority="324">
      <formula>$S$99 = FALSE</formula>
    </cfRule>
  </conditionalFormatting>
  <conditionalFormatting sqref="W99">
    <cfRule type="expression" dxfId="5752" priority="323">
      <formula>OR($T$99 = TRUE, AND($W$99 = TRUE, $S$99 = FALSE))</formula>
    </cfRule>
  </conditionalFormatting>
  <conditionalFormatting sqref="W101">
    <cfRule type="expression" dxfId="5751" priority="322">
      <formula>AND($R$101,$S$101)</formula>
    </cfRule>
  </conditionalFormatting>
  <conditionalFormatting sqref="W101">
    <cfRule type="expression" dxfId="5750" priority="321">
      <formula>AND(IF($R$101,$W$101,TRUE),LEN(TRIM($W$101))&gt;0)</formula>
    </cfRule>
  </conditionalFormatting>
  <conditionalFormatting sqref="W101">
    <cfRule type="expression" dxfId="5749" priority="320">
      <formula>$S$101 = FALSE</formula>
    </cfRule>
  </conditionalFormatting>
  <conditionalFormatting sqref="W101">
    <cfRule type="expression" dxfId="5748" priority="319">
      <formula>OR($T$101 = TRUE, AND($W$101 = TRUE, $S$101 = FALSE))</formula>
    </cfRule>
  </conditionalFormatting>
  <conditionalFormatting sqref="W105">
    <cfRule type="expression" dxfId="5747" priority="318">
      <formula>AND($R$105,$S$105)</formula>
    </cfRule>
  </conditionalFormatting>
  <conditionalFormatting sqref="W105">
    <cfRule type="expression" dxfId="5746" priority="317">
      <formula>AND(IF($R$105,$W$105,TRUE),LEN(TRIM($W$105))&gt;0)</formula>
    </cfRule>
  </conditionalFormatting>
  <conditionalFormatting sqref="W105">
    <cfRule type="expression" dxfId="5745" priority="316">
      <formula>$S$105 = FALSE</formula>
    </cfRule>
  </conditionalFormatting>
  <conditionalFormatting sqref="W105">
    <cfRule type="expression" dxfId="5744" priority="315">
      <formula>OR($T$105 = TRUE, AND($W$105 = TRUE, $S$105 = FALSE))</formula>
    </cfRule>
  </conditionalFormatting>
  <conditionalFormatting sqref="W109">
    <cfRule type="expression" dxfId="5743" priority="314">
      <formula>AND($R$109,$S$109)</formula>
    </cfRule>
  </conditionalFormatting>
  <conditionalFormatting sqref="W109">
    <cfRule type="expression" dxfId="5742" priority="313">
      <formula>AND(IF($R$109,$W$109,TRUE),LEN(TRIM($W$109))&gt;0)</formula>
    </cfRule>
  </conditionalFormatting>
  <conditionalFormatting sqref="W109">
    <cfRule type="expression" dxfId="5741" priority="312">
      <formula>$S$109 = FALSE</formula>
    </cfRule>
  </conditionalFormatting>
  <conditionalFormatting sqref="W109">
    <cfRule type="expression" dxfId="5740" priority="311">
      <formula>OR($T$109 = TRUE, AND($W$109 = TRUE, $S$109 = FALSE))</formula>
    </cfRule>
  </conditionalFormatting>
  <conditionalFormatting sqref="W110">
    <cfRule type="expression" dxfId="5739" priority="310">
      <formula>AND($R$110,$S$110)</formula>
    </cfRule>
  </conditionalFormatting>
  <conditionalFormatting sqref="W110">
    <cfRule type="expression" dxfId="5738" priority="309">
      <formula>AND(IF($R$110,$W$110,TRUE),LEN(TRIM($W$110))&gt;0)</formula>
    </cfRule>
  </conditionalFormatting>
  <conditionalFormatting sqref="W110">
    <cfRule type="expression" dxfId="5737" priority="308">
      <formula>$S$110 = FALSE</formula>
    </cfRule>
  </conditionalFormatting>
  <conditionalFormatting sqref="W110">
    <cfRule type="expression" dxfId="5736" priority="307">
      <formula>OR($T$110 = TRUE, AND($W$110 = TRUE, $S$110 = FALSE))</formula>
    </cfRule>
  </conditionalFormatting>
  <conditionalFormatting sqref="W112">
    <cfRule type="expression" dxfId="5735" priority="306">
      <formula>AND($R$112,$S$112)</formula>
    </cfRule>
  </conditionalFormatting>
  <conditionalFormatting sqref="W112">
    <cfRule type="expression" dxfId="5734" priority="305">
      <formula>AND(IF($R$112,$W$112,TRUE),LEN(TRIM($W$112))&gt;0)</formula>
    </cfRule>
  </conditionalFormatting>
  <conditionalFormatting sqref="W112">
    <cfRule type="expression" dxfId="5733" priority="304">
      <formula>$S$112 = FALSE</formula>
    </cfRule>
  </conditionalFormatting>
  <conditionalFormatting sqref="W112">
    <cfRule type="expression" dxfId="5732" priority="303">
      <formula>OR($T$112 = TRUE, AND($W$112 = TRUE, $S$112 = FALSE))</formula>
    </cfRule>
  </conditionalFormatting>
  <conditionalFormatting sqref="W113">
    <cfRule type="expression" dxfId="5731" priority="302">
      <formula>AND($R$113,$S$113)</formula>
    </cfRule>
  </conditionalFormatting>
  <conditionalFormatting sqref="W113">
    <cfRule type="expression" dxfId="5730" priority="301">
      <formula>AND(IF($R$113,$W$113,TRUE),LEN(TRIM($W$113))&gt;0)</formula>
    </cfRule>
  </conditionalFormatting>
  <conditionalFormatting sqref="W113">
    <cfRule type="expression" dxfId="5729" priority="300">
      <formula>$S$113 = FALSE</formula>
    </cfRule>
  </conditionalFormatting>
  <conditionalFormatting sqref="W113">
    <cfRule type="expression" dxfId="5728" priority="299">
      <formula>OR($T$113 = TRUE, AND($W$113 = TRUE, $S$113 = FALSE))</formula>
    </cfRule>
  </conditionalFormatting>
  <conditionalFormatting sqref="W114">
    <cfRule type="expression" dxfId="5727" priority="298">
      <formula>AND($R$114,$S$114)</formula>
    </cfRule>
  </conditionalFormatting>
  <conditionalFormatting sqref="W114">
    <cfRule type="expression" dxfId="5726" priority="297">
      <formula>AND(IF($R$114,$W$114,TRUE),LEN(TRIM($W$114))&gt;0)</formula>
    </cfRule>
  </conditionalFormatting>
  <conditionalFormatting sqref="W114">
    <cfRule type="expression" dxfId="5725" priority="296">
      <formula>$S$114 = FALSE</formula>
    </cfRule>
  </conditionalFormatting>
  <conditionalFormatting sqref="W114">
    <cfRule type="expression" dxfId="5724" priority="295">
      <formula>OR($T$114 = TRUE, AND($W$114 = TRUE, $S$114 = FALSE))</formula>
    </cfRule>
  </conditionalFormatting>
  <conditionalFormatting sqref="W122">
    <cfRule type="expression" dxfId="5723" priority="294">
      <formula>AND($R$122,$S$122)</formula>
    </cfRule>
  </conditionalFormatting>
  <conditionalFormatting sqref="W122">
    <cfRule type="expression" dxfId="5722" priority="293">
      <formula>AND(IF($R$122,$W$122,TRUE),LEN(TRIM($W$122))&gt;0)</formula>
    </cfRule>
  </conditionalFormatting>
  <conditionalFormatting sqref="W122">
    <cfRule type="expression" dxfId="5721" priority="292">
      <formula>$S$122 = FALSE</formula>
    </cfRule>
  </conditionalFormatting>
  <conditionalFormatting sqref="W122">
    <cfRule type="expression" dxfId="5720" priority="291">
      <formula>OR($T$122 = TRUE, AND($W$122 = TRUE, $S$122 = FALSE))</formula>
    </cfRule>
  </conditionalFormatting>
  <conditionalFormatting sqref="W125">
    <cfRule type="expression" dxfId="5719" priority="290">
      <formula>AND($R$125,$S$125)</formula>
    </cfRule>
  </conditionalFormatting>
  <conditionalFormatting sqref="W125">
    <cfRule type="expression" dxfId="5718" priority="289">
      <formula>AND(IF($R$125,$W$125,TRUE),LEN(TRIM($W$125))&gt;0)</formula>
    </cfRule>
  </conditionalFormatting>
  <conditionalFormatting sqref="W125">
    <cfRule type="expression" dxfId="5717" priority="288">
      <formula>$S$125 = FALSE</formula>
    </cfRule>
  </conditionalFormatting>
  <conditionalFormatting sqref="W125">
    <cfRule type="expression" dxfId="5716" priority="287">
      <formula>OR($T$125 = TRUE, AND($W$125 = TRUE, $S$125 = FALSE))</formula>
    </cfRule>
  </conditionalFormatting>
  <conditionalFormatting sqref="W156">
    <cfRule type="expression" dxfId="5715" priority="278">
      <formula>AND($R$156,$S$156)</formula>
    </cfRule>
  </conditionalFormatting>
  <conditionalFormatting sqref="W156">
    <cfRule type="expression" dxfId="5714" priority="277">
      <formula>AND(IF($R$156,$W$156,TRUE),LEN(TRIM($W$156))&gt;0)</formula>
    </cfRule>
  </conditionalFormatting>
  <conditionalFormatting sqref="W156">
    <cfRule type="expression" dxfId="5713" priority="276">
      <formula>$S$156 = FALSE</formula>
    </cfRule>
  </conditionalFormatting>
  <conditionalFormatting sqref="W156">
    <cfRule type="expression" dxfId="5712" priority="275">
      <formula>OR($T$156 = TRUE, AND($W$156 = TRUE, $S$156 = FALSE))</formula>
    </cfRule>
  </conditionalFormatting>
  <conditionalFormatting sqref="W158">
    <cfRule type="expression" dxfId="5711" priority="274">
      <formula>AND($R$158,$S$158)</formula>
    </cfRule>
  </conditionalFormatting>
  <conditionalFormatting sqref="W158">
    <cfRule type="expression" dxfId="5710" priority="273">
      <formula>AND(IF($R$158,$W$158,TRUE),LEN(TRIM($W$158))&gt;0)</formula>
    </cfRule>
  </conditionalFormatting>
  <conditionalFormatting sqref="W158">
    <cfRule type="expression" dxfId="5709" priority="272">
      <formula>$S$158 = FALSE</formula>
    </cfRule>
  </conditionalFormatting>
  <conditionalFormatting sqref="W158">
    <cfRule type="expression" dxfId="5708" priority="271">
      <formula>OR($T$158 = TRUE, AND($W$158 = TRUE, $S$158 = FALSE))</formula>
    </cfRule>
  </conditionalFormatting>
  <conditionalFormatting sqref="W161">
    <cfRule type="expression" dxfId="5707" priority="270">
      <formula>AND($R$161,$S$161)</formula>
    </cfRule>
  </conditionalFormatting>
  <conditionalFormatting sqref="W161">
    <cfRule type="expression" dxfId="5706" priority="269">
      <formula>AND(IF($R$161,$W$161,TRUE),LEN(TRIM($W$161))&gt;0)</formula>
    </cfRule>
  </conditionalFormatting>
  <conditionalFormatting sqref="W161">
    <cfRule type="expression" dxfId="5705" priority="268">
      <formula>$S$161 = FALSE</formula>
    </cfRule>
  </conditionalFormatting>
  <conditionalFormatting sqref="W161">
    <cfRule type="expression" dxfId="5704" priority="267">
      <formula>OR($T$161 = TRUE, AND($W$161 = TRUE, $S$161 = FALSE))</formula>
    </cfRule>
  </conditionalFormatting>
  <conditionalFormatting sqref="W171">
    <cfRule type="expression" dxfId="5703" priority="266">
      <formula>AND($R$171,$S$171)</formula>
    </cfRule>
  </conditionalFormatting>
  <conditionalFormatting sqref="W171">
    <cfRule type="expression" dxfId="5702" priority="265">
      <formula>AND(IF($R$171,$W$171,TRUE),LEN(TRIM($W$171))&gt;0)</formula>
    </cfRule>
  </conditionalFormatting>
  <conditionalFormatting sqref="W171">
    <cfRule type="expression" dxfId="5701" priority="264">
      <formula>$S$171 = FALSE</formula>
    </cfRule>
  </conditionalFormatting>
  <conditionalFormatting sqref="W171">
    <cfRule type="expression" dxfId="5700" priority="263">
      <formula>OR($T$171 = TRUE, AND($W$171 = TRUE, $S$171 = FALSE))</formula>
    </cfRule>
  </conditionalFormatting>
  <conditionalFormatting sqref="W172">
    <cfRule type="expression" dxfId="5699" priority="262">
      <formula>AND($R$172,$S$172)</formula>
    </cfRule>
  </conditionalFormatting>
  <conditionalFormatting sqref="W172">
    <cfRule type="expression" dxfId="5698" priority="261">
      <formula>AND(IF($R$172,$W$172,TRUE),LEN(TRIM($W$172))&gt;0)</formula>
    </cfRule>
  </conditionalFormatting>
  <conditionalFormatting sqref="W172">
    <cfRule type="expression" dxfId="5697" priority="260">
      <formula>$S$172 = FALSE</formula>
    </cfRule>
  </conditionalFormatting>
  <conditionalFormatting sqref="W172">
    <cfRule type="expression" dxfId="5696" priority="259">
      <formula>OR($T$172 = TRUE, AND($W$172 = TRUE, $S$172 = FALSE))</formula>
    </cfRule>
  </conditionalFormatting>
  <conditionalFormatting sqref="W177">
    <cfRule type="expression" dxfId="5695" priority="258">
      <formula>AND($R$177,$S$177)</formula>
    </cfRule>
  </conditionalFormatting>
  <conditionalFormatting sqref="W177">
    <cfRule type="expression" dxfId="5694" priority="257">
      <formula>AND(IF($R$177,$W$177,TRUE),LEN(TRIM($W$177))&gt;0)</formula>
    </cfRule>
  </conditionalFormatting>
  <conditionalFormatting sqref="W177">
    <cfRule type="expression" dxfId="5693" priority="256">
      <formula>$S$177 = FALSE</formula>
    </cfRule>
  </conditionalFormatting>
  <conditionalFormatting sqref="W177">
    <cfRule type="expression" dxfId="5692" priority="255">
      <formula>OR($T$177 = TRUE, AND($W$177 = TRUE, $S$177 = FALSE))</formula>
    </cfRule>
  </conditionalFormatting>
  <conditionalFormatting sqref="W179">
    <cfRule type="expression" dxfId="5691" priority="254">
      <formula>AND($R$179,$S$179)</formula>
    </cfRule>
  </conditionalFormatting>
  <conditionalFormatting sqref="W179">
    <cfRule type="expression" dxfId="5690" priority="253">
      <formula>AND(IF($R$179,$W$179,TRUE),LEN(TRIM($W$179))&gt;0)</formula>
    </cfRule>
  </conditionalFormatting>
  <conditionalFormatting sqref="W179">
    <cfRule type="expression" dxfId="5689" priority="252">
      <formula>$S$179 = FALSE</formula>
    </cfRule>
  </conditionalFormatting>
  <conditionalFormatting sqref="W179">
    <cfRule type="expression" dxfId="5688" priority="251">
      <formula>OR($T$179 = TRUE, AND($W$179 = TRUE, $S$179 = FALSE))</formula>
    </cfRule>
  </conditionalFormatting>
  <conditionalFormatting sqref="W182">
    <cfRule type="expression" dxfId="5687" priority="250">
      <formula>AND($R$182,$S$182)</formula>
    </cfRule>
  </conditionalFormatting>
  <conditionalFormatting sqref="W182">
    <cfRule type="expression" dxfId="5686" priority="249">
      <formula>AND(IF($R$182,$W$182,TRUE),LEN(TRIM($W$182))&gt;0)</formula>
    </cfRule>
  </conditionalFormatting>
  <conditionalFormatting sqref="W182">
    <cfRule type="expression" dxfId="5685" priority="248">
      <formula>$S$182 = FALSE</formula>
    </cfRule>
  </conditionalFormatting>
  <conditionalFormatting sqref="W182">
    <cfRule type="expression" dxfId="5684" priority="247">
      <formula>OR($T$182 = TRUE, AND($W$182 = TRUE, $S$182 = FALSE))</formula>
    </cfRule>
  </conditionalFormatting>
  <conditionalFormatting sqref="W184">
    <cfRule type="expression" dxfId="5683" priority="246">
      <formula>AND($R$184,$S$184)</formula>
    </cfRule>
  </conditionalFormatting>
  <conditionalFormatting sqref="W184">
    <cfRule type="expression" dxfId="5682" priority="245">
      <formula>AND(IF($R$184,$W$184,TRUE),LEN(TRIM($W$184))&gt;0)</formula>
    </cfRule>
  </conditionalFormatting>
  <conditionalFormatting sqref="W184">
    <cfRule type="expression" dxfId="5681" priority="244">
      <formula>$S$184 = FALSE</formula>
    </cfRule>
  </conditionalFormatting>
  <conditionalFormatting sqref="W184">
    <cfRule type="expression" dxfId="5680" priority="243">
      <formula>OR($T$184 = TRUE, AND($W$184 = TRUE, $S$184 = FALSE))</formula>
    </cfRule>
  </conditionalFormatting>
  <conditionalFormatting sqref="W186">
    <cfRule type="expression" dxfId="5679" priority="242">
      <formula>AND($R$186,$S$186)</formula>
    </cfRule>
  </conditionalFormatting>
  <conditionalFormatting sqref="W186">
    <cfRule type="expression" dxfId="5678" priority="241">
      <formula>AND(IF($R$186,$W$186,TRUE),LEN(TRIM($W$186))&gt;0)</formula>
    </cfRule>
  </conditionalFormatting>
  <conditionalFormatting sqref="W186">
    <cfRule type="expression" dxfId="5677" priority="240">
      <formula>$S$186 = FALSE</formula>
    </cfRule>
  </conditionalFormatting>
  <conditionalFormatting sqref="W186">
    <cfRule type="expression" dxfId="5676" priority="239">
      <formula>OR($T$186 = TRUE, AND($W$186 = TRUE, $S$186 = FALSE))</formula>
    </cfRule>
  </conditionalFormatting>
  <conditionalFormatting sqref="W190">
    <cfRule type="expression" dxfId="5675" priority="238">
      <formula>AND($R$190,$S$190)</formula>
    </cfRule>
  </conditionalFormatting>
  <conditionalFormatting sqref="W190">
    <cfRule type="expression" dxfId="5674" priority="237">
      <formula>AND(IF($R$190,$W$190,TRUE),LEN(TRIM($W$190))&gt;0)</formula>
    </cfRule>
  </conditionalFormatting>
  <conditionalFormatting sqref="W190">
    <cfRule type="expression" dxfId="5673" priority="236">
      <formula>$S$190 = FALSE</formula>
    </cfRule>
  </conditionalFormatting>
  <conditionalFormatting sqref="W190">
    <cfRule type="expression" dxfId="5672" priority="235">
      <formula>OR($T$190 = TRUE, AND($W$190 = TRUE, $S$190 = FALSE))</formula>
    </cfRule>
  </conditionalFormatting>
  <conditionalFormatting sqref="W191">
    <cfRule type="expression" dxfId="5671" priority="234">
      <formula>AND($R$191,$S$191)</formula>
    </cfRule>
  </conditionalFormatting>
  <conditionalFormatting sqref="W191">
    <cfRule type="expression" dxfId="5670" priority="233">
      <formula>AND(IF($R$191,$W$191,TRUE),LEN(TRIM($W$191))&gt;0)</formula>
    </cfRule>
  </conditionalFormatting>
  <conditionalFormatting sqref="W191">
    <cfRule type="expression" dxfId="5669" priority="232">
      <formula>$S$191 = FALSE</formula>
    </cfRule>
  </conditionalFormatting>
  <conditionalFormatting sqref="W191">
    <cfRule type="expression" dxfId="5668" priority="231">
      <formula>OR($T$191 = TRUE, AND($W$191 = TRUE, $S$191 = FALSE))</formula>
    </cfRule>
  </conditionalFormatting>
  <conditionalFormatting sqref="W192">
    <cfRule type="expression" dxfId="5667" priority="230">
      <formula>AND($R$192,$S$192)</formula>
    </cfRule>
  </conditionalFormatting>
  <conditionalFormatting sqref="W192">
    <cfRule type="expression" dxfId="5666" priority="229">
      <formula>AND(IF($R$192,$W$192,TRUE),LEN(TRIM($W$192))&gt;0)</formula>
    </cfRule>
  </conditionalFormatting>
  <conditionalFormatting sqref="W192">
    <cfRule type="expression" dxfId="5665" priority="228">
      <formula>$S$192 = FALSE</formula>
    </cfRule>
  </conditionalFormatting>
  <conditionalFormatting sqref="W192">
    <cfRule type="expression" dxfId="5664" priority="227">
      <formula>OR($T$192 = TRUE, AND($W$192 = TRUE, $S$192 = FALSE))</formula>
    </cfRule>
  </conditionalFormatting>
  <conditionalFormatting sqref="W194">
    <cfRule type="expression" dxfId="5663" priority="226">
      <formula>AND($R$194,$S$194)</formula>
    </cfRule>
  </conditionalFormatting>
  <conditionalFormatting sqref="W194">
    <cfRule type="expression" dxfId="5662" priority="225">
      <formula>AND(IF($R$194,$W$194,TRUE),LEN(TRIM($W$194))&gt;0)</formula>
    </cfRule>
  </conditionalFormatting>
  <conditionalFormatting sqref="W194">
    <cfRule type="expression" dxfId="5661" priority="224">
      <formula>$S$194 = FALSE</formula>
    </cfRule>
  </conditionalFormatting>
  <conditionalFormatting sqref="W194">
    <cfRule type="expression" dxfId="5660" priority="223">
      <formula>OR($T$194 = TRUE, AND($W$194 = TRUE, $S$194 = FALSE))</formula>
    </cfRule>
  </conditionalFormatting>
  <conditionalFormatting sqref="W209">
    <cfRule type="expression" dxfId="5659" priority="214">
      <formula>AND($R$209,$S$209)</formula>
    </cfRule>
  </conditionalFormatting>
  <conditionalFormatting sqref="W209">
    <cfRule type="expression" dxfId="5658" priority="213">
      <formula>AND(IF($R$209,$W$209,TRUE),LEN(TRIM($W$209))&gt;0)</formula>
    </cfRule>
  </conditionalFormatting>
  <conditionalFormatting sqref="W209">
    <cfRule type="expression" dxfId="5657" priority="212">
      <formula>$S$209 = FALSE</formula>
    </cfRule>
  </conditionalFormatting>
  <conditionalFormatting sqref="W209">
    <cfRule type="expression" dxfId="5656" priority="211">
      <formula>OR($T$209 = TRUE, AND($W$209 = TRUE, $S$209 = FALSE))</formula>
    </cfRule>
  </conditionalFormatting>
  <conditionalFormatting sqref="W216">
    <cfRule type="expression" dxfId="5655" priority="210">
      <formula>AND($R$216,$S$216)</formula>
    </cfRule>
  </conditionalFormatting>
  <conditionalFormatting sqref="W216">
    <cfRule type="expression" dxfId="5654" priority="209">
      <formula>AND(IF($R$216,$W$216,TRUE),LEN(TRIM($W$216))&gt;0)</formula>
    </cfRule>
  </conditionalFormatting>
  <conditionalFormatting sqref="W216">
    <cfRule type="expression" dxfId="5653" priority="208">
      <formula>$S$216 = FALSE</formula>
    </cfRule>
  </conditionalFormatting>
  <conditionalFormatting sqref="W216">
    <cfRule type="expression" dxfId="5652" priority="207">
      <formula>OR($T$216 = TRUE, AND($W$216 = TRUE, $S$216 = FALSE))</formula>
    </cfRule>
  </conditionalFormatting>
  <conditionalFormatting sqref="W217">
    <cfRule type="expression" dxfId="5651" priority="206">
      <formula>AND($R$217,$S$217)</formula>
    </cfRule>
  </conditionalFormatting>
  <conditionalFormatting sqref="W217">
    <cfRule type="expression" dxfId="5650" priority="205">
      <formula>AND(IF($R$217,$W$217,TRUE),LEN(TRIM($W$217))&gt;0)</formula>
    </cfRule>
  </conditionalFormatting>
  <conditionalFormatting sqref="W217">
    <cfRule type="expression" dxfId="5649" priority="204">
      <formula>$S$217 = FALSE</formula>
    </cfRule>
  </conditionalFormatting>
  <conditionalFormatting sqref="W217">
    <cfRule type="expression" dxfId="5648" priority="203">
      <formula>OR($T$217 = TRUE, AND($W$217 = TRUE, $S$217 = FALSE))</formula>
    </cfRule>
  </conditionalFormatting>
  <conditionalFormatting sqref="W219">
    <cfRule type="expression" dxfId="5647" priority="202">
      <formula>AND($R$219,$S$219)</formula>
    </cfRule>
  </conditionalFormatting>
  <conditionalFormatting sqref="W219">
    <cfRule type="expression" dxfId="5646" priority="201">
      <formula>AND(IF($R$219,$W$219,TRUE),LEN(TRIM($W$219))&gt;0)</formula>
    </cfRule>
  </conditionalFormatting>
  <conditionalFormatting sqref="W219">
    <cfRule type="expression" dxfId="5645" priority="200">
      <formula>$S$219 = FALSE</formula>
    </cfRule>
  </conditionalFormatting>
  <conditionalFormatting sqref="W219">
    <cfRule type="expression" dxfId="5644" priority="199">
      <formula>OR($T$219 = TRUE, AND($W$219 = TRUE, $S$219 = FALSE))</formula>
    </cfRule>
  </conditionalFormatting>
  <conditionalFormatting sqref="W224">
    <cfRule type="expression" dxfId="5643" priority="198">
      <formula>AND($R$224,$S$224)</formula>
    </cfRule>
  </conditionalFormatting>
  <conditionalFormatting sqref="W224">
    <cfRule type="expression" dxfId="5642" priority="197">
      <formula>AND(IF($R$224,$W$224,TRUE),LEN(TRIM($W$224))&gt;0)</formula>
    </cfRule>
  </conditionalFormatting>
  <conditionalFormatting sqref="W224">
    <cfRule type="expression" dxfId="5641" priority="196">
      <formula>$S$224 = FALSE</formula>
    </cfRule>
  </conditionalFormatting>
  <conditionalFormatting sqref="W224">
    <cfRule type="expression" dxfId="5640" priority="195">
      <formula>OR($T$224 = TRUE, AND($W$224 = TRUE, $S$224 = FALSE))</formula>
    </cfRule>
  </conditionalFormatting>
  <conditionalFormatting sqref="W226">
    <cfRule type="expression" dxfId="5639" priority="194">
      <formula>AND($R$226,$S$226)</formula>
    </cfRule>
  </conditionalFormatting>
  <conditionalFormatting sqref="W226">
    <cfRule type="expression" dxfId="5638" priority="193">
      <formula>AND(IF($R$226,$W$226,TRUE),LEN(TRIM($W$226))&gt;0)</formula>
    </cfRule>
  </conditionalFormatting>
  <conditionalFormatting sqref="W226">
    <cfRule type="expression" dxfId="5637" priority="192">
      <formula>$S$226 = FALSE</formula>
    </cfRule>
  </conditionalFormatting>
  <conditionalFormatting sqref="W226">
    <cfRule type="expression" dxfId="5636" priority="191">
      <formula>OR($T$226 = TRUE, AND($W$226 = TRUE, $S$226 = FALSE))</formula>
    </cfRule>
  </conditionalFormatting>
  <conditionalFormatting sqref="W227">
    <cfRule type="expression" dxfId="5635" priority="190">
      <formula>AND($R$227,$S$227)</formula>
    </cfRule>
  </conditionalFormatting>
  <conditionalFormatting sqref="W227">
    <cfRule type="expression" dxfId="5634" priority="189">
      <formula>AND(IF($R$227,$W$227,TRUE),LEN(TRIM($W$227))&gt;0)</formula>
    </cfRule>
  </conditionalFormatting>
  <conditionalFormatting sqref="W227">
    <cfRule type="expression" dxfId="5633" priority="188">
      <formula>$S$227 = FALSE</formula>
    </cfRule>
  </conditionalFormatting>
  <conditionalFormatting sqref="W227">
    <cfRule type="expression" dxfId="5632" priority="187">
      <formula>OR($T$227 = TRUE, AND($W$227 = TRUE, $S$227 = FALSE))</formula>
    </cfRule>
  </conditionalFormatting>
  <conditionalFormatting sqref="W229">
    <cfRule type="expression" dxfId="5631" priority="186">
      <formula>AND($R$229,$S$229)</formula>
    </cfRule>
  </conditionalFormatting>
  <conditionalFormatting sqref="W229">
    <cfRule type="expression" dxfId="5630" priority="185">
      <formula>AND(IF($R$229,$W$229,TRUE),LEN(TRIM($W$229))&gt;0)</formula>
    </cfRule>
  </conditionalFormatting>
  <conditionalFormatting sqref="W229">
    <cfRule type="expression" dxfId="5629" priority="184">
      <formula>$S$229 = FALSE</formula>
    </cfRule>
  </conditionalFormatting>
  <conditionalFormatting sqref="W229">
    <cfRule type="expression" dxfId="5628" priority="183">
      <formula>OR($T$229 = TRUE, AND($W$229 = TRUE, $S$229 = FALSE))</formula>
    </cfRule>
  </conditionalFormatting>
  <conditionalFormatting sqref="W231">
    <cfRule type="expression" dxfId="5627" priority="182">
      <formula>AND($R$231,$S$231)</formula>
    </cfRule>
  </conditionalFormatting>
  <conditionalFormatting sqref="W231">
    <cfRule type="expression" dxfId="5626" priority="181">
      <formula>AND(IF($R$231,$W$231,TRUE),LEN(TRIM($W$231))&gt;0)</formula>
    </cfRule>
  </conditionalFormatting>
  <conditionalFormatting sqref="W231">
    <cfRule type="expression" dxfId="5625" priority="180">
      <formula>$S$231 = FALSE</formula>
    </cfRule>
  </conditionalFormatting>
  <conditionalFormatting sqref="W231">
    <cfRule type="expression" dxfId="5624" priority="179">
      <formula>OR($T$231 = TRUE, AND($W$231 = TRUE, $S$231 = FALSE))</formula>
    </cfRule>
  </conditionalFormatting>
  <conditionalFormatting sqref="W235">
    <cfRule type="expression" dxfId="5623" priority="178">
      <formula>AND($R$235,$S$235)</formula>
    </cfRule>
  </conditionalFormatting>
  <conditionalFormatting sqref="W235">
    <cfRule type="expression" dxfId="5622" priority="177">
      <formula>AND(IF($R$235,$W$235,TRUE),LEN(TRIM($W$235))&gt;0)</formula>
    </cfRule>
  </conditionalFormatting>
  <conditionalFormatting sqref="W235">
    <cfRule type="expression" dxfId="5621" priority="176">
      <formula>$S$235 = FALSE</formula>
    </cfRule>
  </conditionalFormatting>
  <conditionalFormatting sqref="W235">
    <cfRule type="expression" dxfId="5620" priority="175">
      <formula>OR($T$235 = TRUE, AND($W$235 = TRUE, $S$235 = FALSE))</formula>
    </cfRule>
  </conditionalFormatting>
  <conditionalFormatting sqref="W238">
    <cfRule type="expression" dxfId="5619" priority="174">
      <formula>AND($R$238,$S$238)</formula>
    </cfRule>
  </conditionalFormatting>
  <conditionalFormatting sqref="W238">
    <cfRule type="expression" dxfId="5618" priority="173">
      <formula>AND(IF($R$238,$W$238,TRUE),LEN(TRIM($W$238))&gt;0)</formula>
    </cfRule>
  </conditionalFormatting>
  <conditionalFormatting sqref="W238">
    <cfRule type="expression" dxfId="5617" priority="172">
      <formula>$S$238 = FALSE</formula>
    </cfRule>
  </conditionalFormatting>
  <conditionalFormatting sqref="W238">
    <cfRule type="expression" dxfId="5616" priority="171">
      <formula>OR($T$238 = TRUE, AND($W$238 = TRUE, $S$238 = FALSE))</formula>
    </cfRule>
  </conditionalFormatting>
  <conditionalFormatting sqref="W240">
    <cfRule type="expression" dxfId="5615" priority="170">
      <formula>AND($R$240,$S$240)</formula>
    </cfRule>
  </conditionalFormatting>
  <conditionalFormatting sqref="W240">
    <cfRule type="expression" dxfId="5614" priority="169">
      <formula>AND(IF($R$240,$W$240,TRUE),LEN(TRIM($W$240))&gt;0)</formula>
    </cfRule>
  </conditionalFormatting>
  <conditionalFormatting sqref="W240">
    <cfRule type="expression" dxfId="5613" priority="168">
      <formula>$S$240 = FALSE</formula>
    </cfRule>
  </conditionalFormatting>
  <conditionalFormatting sqref="W240">
    <cfRule type="expression" dxfId="5612" priority="167">
      <formula>OR($T$240 = TRUE, AND($W$240 = TRUE, $S$240 = FALSE))</formula>
    </cfRule>
  </conditionalFormatting>
  <conditionalFormatting sqref="W241">
    <cfRule type="expression" dxfId="5611" priority="166">
      <formula>AND($R$241,$S$241)</formula>
    </cfRule>
  </conditionalFormatting>
  <conditionalFormatting sqref="W241">
    <cfRule type="expression" dxfId="5610" priority="165">
      <formula>AND(IF($R$241,$W$241,TRUE),LEN(TRIM($W$241))&gt;0)</formula>
    </cfRule>
  </conditionalFormatting>
  <conditionalFormatting sqref="W241">
    <cfRule type="expression" dxfId="5609" priority="164">
      <formula>$S$241 = FALSE</formula>
    </cfRule>
  </conditionalFormatting>
  <conditionalFormatting sqref="W241">
    <cfRule type="expression" dxfId="5608" priority="163">
      <formula>OR($T$241 = TRUE, AND($W$241 = TRUE, $S$241 = FALSE))</formula>
    </cfRule>
  </conditionalFormatting>
  <conditionalFormatting sqref="W242">
    <cfRule type="expression" dxfId="5607" priority="162">
      <formula>AND($R$242,$S$242)</formula>
    </cfRule>
  </conditionalFormatting>
  <conditionalFormatting sqref="W242">
    <cfRule type="expression" dxfId="5606" priority="161">
      <formula>AND(IF($R$242,$W$242,TRUE),LEN(TRIM($W$242))&gt;0)</formula>
    </cfRule>
  </conditionalFormatting>
  <conditionalFormatting sqref="W242">
    <cfRule type="expression" dxfId="5605" priority="160">
      <formula>$S$242 = FALSE</formula>
    </cfRule>
  </conditionalFormatting>
  <conditionalFormatting sqref="W242">
    <cfRule type="expression" dxfId="5604" priority="159">
      <formula>OR($T$242 = TRUE, AND($W$242 = TRUE, $S$242 = FALSE))</formula>
    </cfRule>
  </conditionalFormatting>
  <conditionalFormatting sqref="W243">
    <cfRule type="expression" dxfId="5603" priority="158">
      <formula>AND($R$243,$S$243)</formula>
    </cfRule>
  </conditionalFormatting>
  <conditionalFormatting sqref="W243">
    <cfRule type="expression" dxfId="5602" priority="157">
      <formula>AND(IF($R$243,$W$243,TRUE),LEN(TRIM($W$243))&gt;0)</formula>
    </cfRule>
  </conditionalFormatting>
  <conditionalFormatting sqref="W243">
    <cfRule type="expression" dxfId="5601" priority="156">
      <formula>$S$243 = FALSE</formula>
    </cfRule>
  </conditionalFormatting>
  <conditionalFormatting sqref="W243">
    <cfRule type="expression" dxfId="5600" priority="155">
      <formula>OR($T$243 = TRUE, AND($W$243 = TRUE, $S$243 = FALSE))</formula>
    </cfRule>
  </conditionalFormatting>
  <conditionalFormatting sqref="W244">
    <cfRule type="expression" dxfId="5599" priority="154">
      <formula>AND($R$244,$S$244)</formula>
    </cfRule>
  </conditionalFormatting>
  <conditionalFormatting sqref="W244">
    <cfRule type="expression" dxfId="5598" priority="153">
      <formula>AND(IF($R$244,$W$244,TRUE),LEN(TRIM($W$244))&gt;0)</formula>
    </cfRule>
  </conditionalFormatting>
  <conditionalFormatting sqref="W244">
    <cfRule type="expression" dxfId="5597" priority="152">
      <formula>$S$244 = FALSE</formula>
    </cfRule>
  </conditionalFormatting>
  <conditionalFormatting sqref="W244">
    <cfRule type="expression" dxfId="5596" priority="151">
      <formula>OR($T$244 = TRUE, AND($W$244 = TRUE, $S$244 = FALSE))</formula>
    </cfRule>
  </conditionalFormatting>
  <conditionalFormatting sqref="W245">
    <cfRule type="expression" dxfId="5595" priority="150">
      <formula>AND($R$245,$S$245)</formula>
    </cfRule>
  </conditionalFormatting>
  <conditionalFormatting sqref="W245">
    <cfRule type="expression" dxfId="5594" priority="149">
      <formula>AND(IF($R$245,$W$245,TRUE),LEN(TRIM($W$245))&gt;0)</formula>
    </cfRule>
  </conditionalFormatting>
  <conditionalFormatting sqref="W245">
    <cfRule type="expression" dxfId="5593" priority="148">
      <formula>$S$245 = FALSE</formula>
    </cfRule>
  </conditionalFormatting>
  <conditionalFormatting sqref="W245">
    <cfRule type="expression" dxfId="5592" priority="147">
      <formula>OR($T$245 = TRUE, AND($W$245 = TRUE, $S$245 = FALSE))</formula>
    </cfRule>
  </conditionalFormatting>
  <conditionalFormatting sqref="W247">
    <cfRule type="expression" dxfId="5591" priority="146">
      <formula>AND($R$247,$S$247)</formula>
    </cfRule>
  </conditionalFormatting>
  <conditionalFormatting sqref="W247">
    <cfRule type="expression" dxfId="5590" priority="145">
      <formula>AND(IF($R$247,$W$247,TRUE),LEN(TRIM($W$247))&gt;0)</formula>
    </cfRule>
  </conditionalFormatting>
  <conditionalFormatting sqref="W247">
    <cfRule type="expression" dxfId="5589" priority="144">
      <formula>$S$247 = FALSE</formula>
    </cfRule>
  </conditionalFormatting>
  <conditionalFormatting sqref="W247">
    <cfRule type="expression" dxfId="5588" priority="143">
      <formula>OR($T$247 = TRUE, AND($W$247 = TRUE, $S$247 = FALSE))</formula>
    </cfRule>
  </conditionalFormatting>
  <conditionalFormatting sqref="W254">
    <cfRule type="expression" dxfId="5587" priority="142">
      <formula>AND($R$254,$S$254)</formula>
    </cfRule>
  </conditionalFormatting>
  <conditionalFormatting sqref="W254">
    <cfRule type="expression" dxfId="5586" priority="141">
      <formula>AND(IF($R$254,$W$254,TRUE),LEN(TRIM($W$254))&gt;0)</formula>
    </cfRule>
  </conditionalFormatting>
  <conditionalFormatting sqref="W254">
    <cfRule type="expression" dxfId="5585" priority="140">
      <formula>$S$254 = FALSE</formula>
    </cfRule>
  </conditionalFormatting>
  <conditionalFormatting sqref="W254">
    <cfRule type="expression" dxfId="5584" priority="139">
      <formula>OR($T$254 = TRUE, AND($W$254 = TRUE, $S$254 = FALSE))</formula>
    </cfRule>
  </conditionalFormatting>
  <conditionalFormatting sqref="W256">
    <cfRule type="expression" dxfId="5583" priority="138">
      <formula>AND($R$256,$S$256)</formula>
    </cfRule>
  </conditionalFormatting>
  <conditionalFormatting sqref="W256">
    <cfRule type="expression" dxfId="5582" priority="137">
      <formula>AND(IF($R$256,$W$256,TRUE),LEN(TRIM($W$256))&gt;0)</formula>
    </cfRule>
  </conditionalFormatting>
  <conditionalFormatting sqref="W256">
    <cfRule type="expression" dxfId="5581" priority="136">
      <formula>$S$256 = FALSE</formula>
    </cfRule>
  </conditionalFormatting>
  <conditionalFormatting sqref="W256">
    <cfRule type="expression" dxfId="5580" priority="135">
      <formula>OR($T$256 = TRUE, AND($W$256 = TRUE, $S$256 = FALSE))</formula>
    </cfRule>
  </conditionalFormatting>
  <conditionalFormatting sqref="W265">
    <cfRule type="expression" dxfId="5579" priority="134">
      <formula>AND($R$265,$S$265)</formula>
    </cfRule>
  </conditionalFormatting>
  <conditionalFormatting sqref="W265">
    <cfRule type="expression" dxfId="5578" priority="133">
      <formula>AND(IF($R$265,$W$265,TRUE),LEN(TRIM($W$265))&gt;0)</formula>
    </cfRule>
  </conditionalFormatting>
  <conditionalFormatting sqref="W265">
    <cfRule type="expression" dxfId="5577" priority="132">
      <formula>$S$265 = FALSE</formula>
    </cfRule>
  </conditionalFormatting>
  <conditionalFormatting sqref="W265">
    <cfRule type="expression" dxfId="5576" priority="131">
      <formula>OR($T$265 = TRUE, AND($W$265 = TRUE, $S$265 = FALSE))</formula>
    </cfRule>
  </conditionalFormatting>
  <conditionalFormatting sqref="W268">
    <cfRule type="expression" dxfId="5575" priority="130">
      <formula>AND($R$268,$S$268)</formula>
    </cfRule>
  </conditionalFormatting>
  <conditionalFormatting sqref="W268">
    <cfRule type="expression" dxfId="5574" priority="129">
      <formula>AND(IF($R$268,$W$268,TRUE),LEN(TRIM($W$268))&gt;0)</formula>
    </cfRule>
  </conditionalFormatting>
  <conditionalFormatting sqref="W268">
    <cfRule type="expression" dxfId="5573" priority="128">
      <formula>$S$268 = FALSE</formula>
    </cfRule>
  </conditionalFormatting>
  <conditionalFormatting sqref="W268">
    <cfRule type="expression" dxfId="5572" priority="127">
      <formula>OR($T$268 = TRUE, AND($W$268 = TRUE, $S$268 = FALSE))</formula>
    </cfRule>
  </conditionalFormatting>
  <conditionalFormatting sqref="W272">
    <cfRule type="expression" dxfId="5571" priority="126">
      <formula>AND($R$272,$S$272)</formula>
    </cfRule>
  </conditionalFormatting>
  <conditionalFormatting sqref="W272">
    <cfRule type="expression" dxfId="5570" priority="125">
      <formula>AND(IF($R$272,$W$272,TRUE),LEN(TRIM($W$272))&gt;0)</formula>
    </cfRule>
  </conditionalFormatting>
  <conditionalFormatting sqref="W272">
    <cfRule type="expression" dxfId="5569" priority="124">
      <formula>$S$272 = FALSE</formula>
    </cfRule>
  </conditionalFormatting>
  <conditionalFormatting sqref="W272">
    <cfRule type="expression" dxfId="5568" priority="123">
      <formula>OR($T$272 = TRUE, AND($W$272 = TRUE, $S$272 = FALSE))</formula>
    </cfRule>
  </conditionalFormatting>
  <conditionalFormatting sqref="W273">
    <cfRule type="expression" dxfId="5567" priority="122">
      <formula>AND($R$273,$S$273)</formula>
    </cfRule>
  </conditionalFormatting>
  <conditionalFormatting sqref="W273">
    <cfRule type="expression" dxfId="5566" priority="121">
      <formula>AND(IF($R$273,$W$273,TRUE),LEN(TRIM($W$273))&gt;0)</formula>
    </cfRule>
  </conditionalFormatting>
  <conditionalFormatting sqref="W273">
    <cfRule type="expression" dxfId="5565" priority="120">
      <formula>$S$273 = FALSE</formula>
    </cfRule>
  </conditionalFormatting>
  <conditionalFormatting sqref="W273">
    <cfRule type="expression" dxfId="5564" priority="119">
      <formula>OR($T$273 = TRUE, AND($W$273 = TRUE, $S$273 = FALSE))</formula>
    </cfRule>
  </conditionalFormatting>
  <conditionalFormatting sqref="W283">
    <cfRule type="expression" dxfId="5563" priority="118">
      <formula>AND($R$283,$S$283)</formula>
    </cfRule>
  </conditionalFormatting>
  <conditionalFormatting sqref="W283">
    <cfRule type="expression" dxfId="5562" priority="117">
      <formula>AND(IF($R$283,$W$283,TRUE),LEN(TRIM($W$283))&gt;0)</formula>
    </cfRule>
  </conditionalFormatting>
  <conditionalFormatting sqref="W283">
    <cfRule type="expression" dxfId="5561" priority="116">
      <formula>$S$283 = FALSE</formula>
    </cfRule>
  </conditionalFormatting>
  <conditionalFormatting sqref="W283">
    <cfRule type="expression" dxfId="5560" priority="115">
      <formula>OR($T$283 = TRUE, AND($W$283 = TRUE, $S$283 = FALSE))</formula>
    </cfRule>
  </conditionalFormatting>
  <conditionalFormatting sqref="W129">
    <cfRule type="expression" dxfId="5559" priority="106">
      <formula>AND($R$129,$S$129)</formula>
    </cfRule>
  </conditionalFormatting>
  <conditionalFormatting sqref="W129">
    <cfRule type="expression" dxfId="5558" priority="105">
      <formula>AND($W$129&lt;&gt;"Not Met",LEN(TRIM($W$129))&gt;0)</formula>
    </cfRule>
  </conditionalFormatting>
  <conditionalFormatting sqref="W129">
    <cfRule type="expression" dxfId="5557" priority="104">
      <formula>$S$129 = FALSE</formula>
    </cfRule>
  </conditionalFormatting>
  <conditionalFormatting sqref="W129">
    <cfRule type="expression" dxfId="5556" priority="103">
      <formula>OR($T$129 = TRUE, AND(LEN(TRIM($W$129))&gt;0, $S$129 = FALSE))</formula>
    </cfRule>
  </conditionalFormatting>
  <conditionalFormatting sqref="W136">
    <cfRule type="expression" dxfId="5555" priority="102">
      <formula>AND($R$136,$S$136)</formula>
    </cfRule>
  </conditionalFormatting>
  <conditionalFormatting sqref="W136">
    <cfRule type="expression" dxfId="5554" priority="101">
      <formula>AND($W$136&lt;&gt;"Not Met",LEN(TRIM($W$136))&gt;0)</formula>
    </cfRule>
  </conditionalFormatting>
  <conditionalFormatting sqref="W136">
    <cfRule type="expression" dxfId="5553" priority="100">
      <formula>$S$136 = FALSE</formula>
    </cfRule>
  </conditionalFormatting>
  <conditionalFormatting sqref="W136">
    <cfRule type="expression" dxfId="5552" priority="99">
      <formula>OR($T$136 = TRUE, AND(LEN(TRIM($W$136))&gt;0, $S$136 = FALSE))</formula>
    </cfRule>
  </conditionalFormatting>
  <conditionalFormatting sqref="X1">
    <cfRule type="expression" dxfId="5551" priority="882">
      <formula>startError</formula>
    </cfRule>
  </conditionalFormatting>
  <conditionalFormatting sqref="W38">
    <cfRule type="expression" dxfId="5550" priority="98">
      <formula>AND($R$38,$S$38)</formula>
    </cfRule>
  </conditionalFormatting>
  <conditionalFormatting sqref="W38">
    <cfRule type="expression" dxfId="5549" priority="97">
      <formula>AND($W$38&lt;&gt;"Not Met",LEN(TRIM($W$38))&gt;0)</formula>
    </cfRule>
  </conditionalFormatting>
  <conditionalFormatting sqref="W38">
    <cfRule type="expression" dxfId="5548" priority="96">
      <formula>$S$38 = FALSE</formula>
    </cfRule>
  </conditionalFormatting>
  <conditionalFormatting sqref="W38">
    <cfRule type="expression" dxfId="5547" priority="95">
      <formula>OR($T$38 = TRUE, AND(LEN(TRIM($W$38))&gt;0, $S$38 = FALSE))</formula>
    </cfRule>
  </conditionalFormatting>
  <conditionalFormatting sqref="W51">
    <cfRule type="expression" dxfId="5546" priority="94">
      <formula>AND($R$51,$S$51)</formula>
    </cfRule>
  </conditionalFormatting>
  <conditionalFormatting sqref="W51">
    <cfRule type="expression" dxfId="5545" priority="93">
      <formula>AND(IF($R$51,$W$51,TRUE),LEN(TRIM($W$51))&gt;0)</formula>
    </cfRule>
  </conditionalFormatting>
  <conditionalFormatting sqref="W51">
    <cfRule type="expression" dxfId="5544" priority="92">
      <formula>$S$51 = FALSE</formula>
    </cfRule>
  </conditionalFormatting>
  <conditionalFormatting sqref="W51">
    <cfRule type="expression" dxfId="5543" priority="91">
      <formula>OR($T$51 = TRUE, AND($W$51 = TRUE, $S$51 = FALSE))</formula>
    </cfRule>
  </conditionalFormatting>
  <conditionalFormatting sqref="X53">
    <cfRule type="expression" dxfId="5542" priority="90">
      <formula>W53=TRUE</formula>
    </cfRule>
  </conditionalFormatting>
  <conditionalFormatting sqref="X56">
    <cfRule type="expression" dxfId="5541" priority="89">
      <formula>W56=TRUE</formula>
    </cfRule>
  </conditionalFormatting>
  <conditionalFormatting sqref="W53">
    <cfRule type="expression" dxfId="5540" priority="88">
      <formula>AND($R$53,$S$53)</formula>
    </cfRule>
  </conditionalFormatting>
  <conditionalFormatting sqref="W53">
    <cfRule type="expression" dxfId="5539" priority="87">
      <formula>AND(IF($R$53,$W$53,TRUE),LEN(TRIM($W$53))&gt;0)</formula>
    </cfRule>
  </conditionalFormatting>
  <conditionalFormatting sqref="W53">
    <cfRule type="expression" dxfId="5538" priority="86">
      <formula>$S$53 = FALSE</formula>
    </cfRule>
  </conditionalFormatting>
  <conditionalFormatting sqref="W53">
    <cfRule type="expression" dxfId="5537" priority="85">
      <formula>OR($T$53 = TRUE, AND($W$53 = TRUE, $S$53 = FALSE))</formula>
    </cfRule>
  </conditionalFormatting>
  <conditionalFormatting sqref="W56">
    <cfRule type="expression" dxfId="5536" priority="84">
      <formula>AND($R$56,$S$56)</formula>
    </cfRule>
  </conditionalFormatting>
  <conditionalFormatting sqref="W56">
    <cfRule type="expression" dxfId="5535" priority="83">
      <formula>AND(IF($R$56,$W$56,TRUE),LEN(TRIM($W$56))&gt;0)</formula>
    </cfRule>
  </conditionalFormatting>
  <conditionalFormatting sqref="W56">
    <cfRule type="expression" dxfId="5534" priority="82">
      <formula>$S$56 = FALSE</formula>
    </cfRule>
  </conditionalFormatting>
  <conditionalFormatting sqref="W56">
    <cfRule type="expression" dxfId="5533" priority="81">
      <formula>OR($T$56 = TRUE, AND($W$56 = TRUE, $S$56 = FALSE))</formula>
    </cfRule>
  </conditionalFormatting>
  <conditionalFormatting sqref="W84">
    <cfRule type="expression" dxfId="5532" priority="80">
      <formula>AND($R$84,$S$84)</formula>
    </cfRule>
  </conditionalFormatting>
  <conditionalFormatting sqref="W84">
    <cfRule type="expression" dxfId="5531" priority="79">
      <formula>AND(IF($R$84,$W$84,TRUE),LEN(TRIM($W$84))&gt;0)</formula>
    </cfRule>
  </conditionalFormatting>
  <conditionalFormatting sqref="W84">
    <cfRule type="expression" dxfId="5530" priority="78">
      <formula>$S$84 = FALSE</formula>
    </cfRule>
  </conditionalFormatting>
  <conditionalFormatting sqref="W84">
    <cfRule type="expression" dxfId="5529" priority="77">
      <formula>OR($T$84 = TRUE, AND($W$84 = TRUE, $S$84 = FALSE))</formula>
    </cfRule>
  </conditionalFormatting>
  <conditionalFormatting sqref="W141">
    <cfRule type="expression" dxfId="5528" priority="76">
      <formula>AND($R$141,$S$141)</formula>
    </cfRule>
  </conditionalFormatting>
  <conditionalFormatting sqref="W141">
    <cfRule type="expression" dxfId="5527" priority="75">
      <formula>AND(IF($R$141,$W$141,TRUE),LEN(TRIM($W$141))&gt;0)</formula>
    </cfRule>
  </conditionalFormatting>
  <conditionalFormatting sqref="W141">
    <cfRule type="expression" dxfId="5526" priority="74">
      <formula>$S$141 = FALSE</formula>
    </cfRule>
  </conditionalFormatting>
  <conditionalFormatting sqref="W141">
    <cfRule type="expression" dxfId="5525" priority="73">
      <formula>OR($T$141 = TRUE, AND($W$141 = TRUE, $S$141 = FALSE))</formula>
    </cfRule>
  </conditionalFormatting>
  <conditionalFormatting sqref="W143">
    <cfRule type="expression" dxfId="5524" priority="72">
      <formula>AND($R$143,$S$143)</formula>
    </cfRule>
  </conditionalFormatting>
  <conditionalFormatting sqref="W143">
    <cfRule type="expression" dxfId="5523" priority="71">
      <formula>AND(IF($R$143,$W$143,TRUE),LEN(TRIM($W$143))&gt;0)</formula>
    </cfRule>
  </conditionalFormatting>
  <conditionalFormatting sqref="W143">
    <cfRule type="expression" dxfId="5522" priority="70">
      <formula>$S$143 = FALSE</formula>
    </cfRule>
  </conditionalFormatting>
  <conditionalFormatting sqref="W143">
    <cfRule type="expression" dxfId="5521" priority="69">
      <formula>OR($T$143 = TRUE, AND($W$143 = TRUE, $S$143 = FALSE))</formula>
    </cfRule>
  </conditionalFormatting>
  <conditionalFormatting sqref="W163">
    <cfRule type="expression" dxfId="5520" priority="68">
      <formula>AND($R$163,$S$163)</formula>
    </cfRule>
  </conditionalFormatting>
  <conditionalFormatting sqref="W163">
    <cfRule type="expression" dxfId="5519" priority="67">
      <formula>AND(IF($R$163,$W$163,TRUE),LEN(TRIM($W$163))&gt;0)</formula>
    </cfRule>
  </conditionalFormatting>
  <conditionalFormatting sqref="W163">
    <cfRule type="expression" dxfId="5518" priority="66">
      <formula>$S$163 = FALSE</formula>
    </cfRule>
  </conditionalFormatting>
  <conditionalFormatting sqref="W163">
    <cfRule type="expression" dxfId="5517" priority="65">
      <formula>OR($T$163 = TRUE, AND($W$163 = TRUE, $S$163 = FALSE))</formula>
    </cfRule>
  </conditionalFormatting>
  <conditionalFormatting sqref="W287">
    <cfRule type="expression" dxfId="5516" priority="64">
      <formula>AND(R287,S287)</formula>
    </cfRule>
  </conditionalFormatting>
  <conditionalFormatting sqref="W287">
    <cfRule type="expression" dxfId="5515" priority="63">
      <formula>AND(S287,LEN(TRIM(W287))&gt;0)</formula>
    </cfRule>
  </conditionalFormatting>
  <conditionalFormatting sqref="W287">
    <cfRule type="expression" dxfId="5514" priority="62">
      <formula>S287 = FALSE</formula>
    </cfRule>
  </conditionalFormatting>
  <conditionalFormatting sqref="W287">
    <cfRule type="expression" dxfId="5513" priority="61">
      <formula>OR(T287 = TRUE, AND(LEN(W287) &gt; 0, S287 = FALSE))</formula>
    </cfRule>
  </conditionalFormatting>
  <conditionalFormatting sqref="W289">
    <cfRule type="expression" dxfId="5512" priority="60">
      <formula>AND($R$289,$S$289)</formula>
    </cfRule>
  </conditionalFormatting>
  <conditionalFormatting sqref="W289">
    <cfRule type="expression" dxfId="5511" priority="59">
      <formula>AND(IF($R$289,$W$289,TRUE),LEN(TRIM($W$289))&gt;0)</formula>
    </cfRule>
  </conditionalFormatting>
  <conditionalFormatting sqref="W289">
    <cfRule type="expression" dxfId="5510" priority="58">
      <formula>$S$289 = FALSE</formula>
    </cfRule>
  </conditionalFormatting>
  <conditionalFormatting sqref="W289">
    <cfRule type="expression" dxfId="5509" priority="57">
      <formula>OR($T$289 = TRUE, AND($W$289 = TRUE, $S$289 = FALSE))</formula>
    </cfRule>
  </conditionalFormatting>
  <conditionalFormatting sqref="W292">
    <cfRule type="expression" dxfId="5508" priority="56">
      <formula>AND($R$292,$S$292)</formula>
    </cfRule>
  </conditionalFormatting>
  <conditionalFormatting sqref="W292">
    <cfRule type="expression" dxfId="5507" priority="55">
      <formula>AND(IF($R$292,$W$292,TRUE),LEN(TRIM($W$292))&gt;0)</formula>
    </cfRule>
  </conditionalFormatting>
  <conditionalFormatting sqref="W292">
    <cfRule type="expression" dxfId="5506" priority="54">
      <formula>$S$292 = FALSE</formula>
    </cfRule>
  </conditionalFormatting>
  <conditionalFormatting sqref="W292">
    <cfRule type="expression" dxfId="5505" priority="53">
      <formula>OR($T$292 = TRUE, AND($W$292 = TRUE, $S$292 = FALSE))</formula>
    </cfRule>
  </conditionalFormatting>
  <conditionalFormatting sqref="W293">
    <cfRule type="expression" dxfId="5504" priority="52">
      <formula>AND($R$293,$S$293)</formula>
    </cfRule>
  </conditionalFormatting>
  <conditionalFormatting sqref="W293">
    <cfRule type="expression" dxfId="5503" priority="51">
      <formula>AND(IF($R$293,$W$293,TRUE),LEN(TRIM($W$293))&gt;0)</formula>
    </cfRule>
  </conditionalFormatting>
  <conditionalFormatting sqref="W293">
    <cfRule type="expression" dxfId="5502" priority="50">
      <formula>$S$293 = FALSE</formula>
    </cfRule>
  </conditionalFormatting>
  <conditionalFormatting sqref="W293">
    <cfRule type="expression" dxfId="5501" priority="49">
      <formula>OR($T$293 = TRUE, AND($W$293 = TRUE, $S$293 = FALSE))</formula>
    </cfRule>
  </conditionalFormatting>
  <conditionalFormatting sqref="W295">
    <cfRule type="expression" dxfId="5500" priority="48">
      <formula>AND(R295,S295)</formula>
    </cfRule>
  </conditionalFormatting>
  <conditionalFormatting sqref="W295">
    <cfRule type="expression" dxfId="5499" priority="47">
      <formula>AND(S295,LEN(TRIM(W295))&gt;0)</formula>
    </cfRule>
  </conditionalFormatting>
  <conditionalFormatting sqref="W295">
    <cfRule type="expression" dxfId="5498" priority="46">
      <formula>S295 = FALSE</formula>
    </cfRule>
  </conditionalFormatting>
  <conditionalFormatting sqref="W295">
    <cfRule type="expression" dxfId="5497" priority="45">
      <formula>OR(T295 = TRUE, AND(LEN(W295)&gt;0, S295 = FALSE))</formula>
    </cfRule>
  </conditionalFormatting>
  <conditionalFormatting sqref="W306">
    <cfRule type="expression" dxfId="5496" priority="44">
      <formula>AND($R$306,$S$306)</formula>
    </cfRule>
  </conditionalFormatting>
  <conditionalFormatting sqref="W306">
    <cfRule type="expression" dxfId="5495" priority="43">
      <formula>AND(IF($R$306,$W$306,TRUE),LEN(TRIM($W$306))&gt;0)</formula>
    </cfRule>
  </conditionalFormatting>
  <conditionalFormatting sqref="W306">
    <cfRule type="expression" dxfId="5494" priority="42">
      <formula>$S$306 = FALSE</formula>
    </cfRule>
  </conditionalFormatting>
  <conditionalFormatting sqref="W306">
    <cfRule type="expression" dxfId="5493" priority="41">
      <formula>OR($T$306 = TRUE, AND($W$306 = TRUE, $S$306 = FALSE))</formula>
    </cfRule>
  </conditionalFormatting>
  <conditionalFormatting sqref="W310">
    <cfRule type="expression" dxfId="5492" priority="40">
      <formula>AND($R$310,$S$310)</formula>
    </cfRule>
  </conditionalFormatting>
  <conditionalFormatting sqref="W310">
    <cfRule type="expression" dxfId="5491" priority="39">
      <formula>AND(IF($R$310,$W$310,TRUE),LEN(TRIM($W$310))&gt;0)</formula>
    </cfRule>
  </conditionalFormatting>
  <conditionalFormatting sqref="W310">
    <cfRule type="expression" dxfId="5490" priority="38">
      <formula>$S$310 = FALSE</formula>
    </cfRule>
  </conditionalFormatting>
  <conditionalFormatting sqref="W310">
    <cfRule type="expression" dxfId="5489" priority="37">
      <formula>OR($T$310 = TRUE, AND($W$310 = TRUE, $S$310 = FALSE))</formula>
    </cfRule>
  </conditionalFormatting>
  <conditionalFormatting sqref="W313">
    <cfRule type="expression" dxfId="5488" priority="36">
      <formula>AND($R$313,$S$313)</formula>
    </cfRule>
  </conditionalFormatting>
  <conditionalFormatting sqref="W313">
    <cfRule type="expression" dxfId="5487" priority="35">
      <formula>AND(IF($R$313,$W$313,TRUE),LEN(TRIM($W$313))&gt;0)</formula>
    </cfRule>
  </conditionalFormatting>
  <conditionalFormatting sqref="W313">
    <cfRule type="expression" dxfId="5486" priority="34">
      <formula>$S$313 = FALSE</formula>
    </cfRule>
  </conditionalFormatting>
  <conditionalFormatting sqref="W313">
    <cfRule type="expression" dxfId="5485" priority="33">
      <formula>OR($T$313 = TRUE, AND($W$313 = TRUE, $S$313 = FALSE))</formula>
    </cfRule>
  </conditionalFormatting>
  <conditionalFormatting sqref="W316">
    <cfRule type="expression" dxfId="5484" priority="32">
      <formula>AND($R$316,$S$316)</formula>
    </cfRule>
  </conditionalFormatting>
  <conditionalFormatting sqref="W316">
    <cfRule type="expression" dxfId="5483" priority="31">
      <formula>AND(IF($R$316,$W$316,TRUE),LEN(TRIM($W$316))&gt;0)</formula>
    </cfRule>
  </conditionalFormatting>
  <conditionalFormatting sqref="W316">
    <cfRule type="expression" dxfId="5482" priority="30">
      <formula>$S$316 = FALSE</formula>
    </cfRule>
  </conditionalFormatting>
  <conditionalFormatting sqref="W316">
    <cfRule type="expression" dxfId="5481" priority="29">
      <formula>OR($T$316 = TRUE, AND($W$316 = TRUE, $S$316 = FALSE))</formula>
    </cfRule>
  </conditionalFormatting>
  <conditionalFormatting sqref="W317">
    <cfRule type="expression" dxfId="5480" priority="28">
      <formula>AND($R$317,$S$317)</formula>
    </cfRule>
  </conditionalFormatting>
  <conditionalFormatting sqref="W317">
    <cfRule type="expression" dxfId="5479" priority="27">
      <formula>AND(IF($R$317,$W$317,TRUE),LEN(TRIM($W$317))&gt;0)</formula>
    </cfRule>
  </conditionalFormatting>
  <conditionalFormatting sqref="W317">
    <cfRule type="expression" dxfId="5478" priority="26">
      <formula>$S$317 = FALSE</formula>
    </cfRule>
  </conditionalFormatting>
  <conditionalFormatting sqref="W317">
    <cfRule type="expression" dxfId="5477" priority="25">
      <formula>OR($T$317 = TRUE, AND($W$317 = TRUE, $S$317 = FALSE))</formula>
    </cfRule>
  </conditionalFormatting>
  <conditionalFormatting sqref="W322">
    <cfRule type="expression" dxfId="5476" priority="24">
      <formula>AND($R$322,$S$322)</formula>
    </cfRule>
  </conditionalFormatting>
  <conditionalFormatting sqref="W322">
    <cfRule type="expression" dxfId="5475" priority="23">
      <formula>AND(IF($R$322,$W$322,TRUE),LEN(TRIM($W$322))&gt;0)</formula>
    </cfRule>
  </conditionalFormatting>
  <conditionalFormatting sqref="W322">
    <cfRule type="expression" dxfId="5474" priority="22">
      <formula>$S$322 = FALSE</formula>
    </cfRule>
  </conditionalFormatting>
  <conditionalFormatting sqref="W322">
    <cfRule type="expression" dxfId="5473" priority="21">
      <formula>OR($T$322 = TRUE, AND($W$322 = TRUE, $S$322 = FALSE))</formula>
    </cfRule>
  </conditionalFormatting>
  <conditionalFormatting sqref="W324">
    <cfRule type="expression" dxfId="5472" priority="20">
      <formula>AND($R$324,$S$324)</formula>
    </cfRule>
  </conditionalFormatting>
  <conditionalFormatting sqref="W324">
    <cfRule type="expression" dxfId="5471" priority="19">
      <formula>AND(IF($R$324,$W$324,TRUE),LEN(TRIM($W$324))&gt;0)</formula>
    </cfRule>
  </conditionalFormatting>
  <conditionalFormatting sqref="W324">
    <cfRule type="expression" dxfId="5470" priority="18">
      <formula>$S$324 = FALSE</formula>
    </cfRule>
  </conditionalFormatting>
  <conditionalFormatting sqref="W324">
    <cfRule type="expression" dxfId="5469" priority="17">
      <formula>OR($T$324 = TRUE, AND($W$324 = TRUE, $S$324 = FALSE))</formula>
    </cfRule>
  </conditionalFormatting>
  <conditionalFormatting sqref="W326">
    <cfRule type="expression" dxfId="5468" priority="16">
      <formula>AND($R$326,$S$326)</formula>
    </cfRule>
  </conditionalFormatting>
  <conditionalFormatting sqref="W326">
    <cfRule type="expression" dxfId="5467" priority="15">
      <formula>AND(IF($R$326,$W$326,TRUE),LEN(TRIM($W$326))&gt;0)</formula>
    </cfRule>
  </conditionalFormatting>
  <conditionalFormatting sqref="W326">
    <cfRule type="expression" dxfId="5466" priority="14">
      <formula>$S$326 = FALSE</formula>
    </cfRule>
  </conditionalFormatting>
  <conditionalFormatting sqref="W326">
    <cfRule type="expression" dxfId="5465" priority="13">
      <formula>OR($T$326 = TRUE, AND($W$326 = TRUE, $S$326 = FALSE))</formula>
    </cfRule>
  </conditionalFormatting>
  <conditionalFormatting sqref="W195">
    <cfRule type="expression" dxfId="5464" priority="8">
      <formula>AND($R$195,$S$195)</formula>
    </cfRule>
  </conditionalFormatting>
  <conditionalFormatting sqref="W195">
    <cfRule type="expression" dxfId="5463" priority="7">
      <formula>AND($W$195&lt;&gt;"Not Met",LEN(TRIM($W$195))&gt;0)</formula>
    </cfRule>
  </conditionalFormatting>
  <conditionalFormatting sqref="W195">
    <cfRule type="expression" dxfId="5462" priority="6">
      <formula>$S$195 = FALSE</formula>
    </cfRule>
  </conditionalFormatting>
  <conditionalFormatting sqref="W195">
    <cfRule type="expression" dxfId="5461" priority="5">
      <formula>OR($T$195 = TRUE, AND(LEN(TRIM($W$195))&gt;0, $S$195 = FALSE))</formula>
    </cfRule>
  </conditionalFormatting>
  <conditionalFormatting sqref="W276">
    <cfRule type="expression" dxfId="5460" priority="4">
      <formula>AND($R$276,$S$276)</formula>
    </cfRule>
  </conditionalFormatting>
  <conditionalFormatting sqref="W276">
    <cfRule type="expression" dxfId="5459" priority="3">
      <formula>AND($W$276&lt;&gt;"Not Met",LEN(TRIM($W$276))&gt;0)</formula>
    </cfRule>
  </conditionalFormatting>
  <conditionalFormatting sqref="W276">
    <cfRule type="expression" dxfId="5458" priority="2">
      <formula>$S$276 = FALSE</formula>
    </cfRule>
  </conditionalFormatting>
  <conditionalFormatting sqref="W276">
    <cfRule type="expression" dxfId="5457" priority="1">
      <formula>OR($T$276 = TRUE, AND(LEN(TRIM($W$276))&gt;0, $S$276 = FALSE))</formula>
    </cfRule>
  </conditionalFormatting>
  <dataValidations count="16">
    <dataValidation type="list" allowBlank="1" showInputMessage="1" showErrorMessage="1" error="Please use the dropdown." sqref="W46" xr:uid="{00000000-0002-0000-0300-000000000000}">
      <formula1>INDIRECT($U$46)</formula1>
    </dataValidation>
    <dataValidation type="decimal" allowBlank="1" showDropDown="1" showInputMessage="1" showErrorMessage="1" error="Enter Percentage" prompt="Enter Percentage" sqref="W90" xr:uid="{00000000-0002-0000-0300-000001000000}">
      <formula1>0</formula1>
      <formula2>1</formula2>
    </dataValidation>
    <dataValidation type="list" allowBlank="1" showInputMessage="1" showErrorMessage="1" error="Please use the dropdown." sqref="W258" xr:uid="{00000000-0002-0000-0300-000004000000}">
      <formula1>INDIRECT($U$258)</formula1>
    </dataValidation>
    <dataValidation type="list" allowBlank="1" showInputMessage="1" showErrorMessage="1" error="Please use the dropdown." sqref="W202" xr:uid="{00000000-0002-0000-0300-000005000000}">
      <formula1>INDIRECT($U$202)</formula1>
    </dataValidation>
    <dataValidation type="list" allowBlank="1" showInputMessage="1" showErrorMessage="1" error="Please use the dropdown." sqref="W166" xr:uid="{00000000-0002-0000-0300-000006000000}">
      <formula1>INDIRECT($U$166)</formula1>
    </dataValidation>
    <dataValidation type="list" allowBlank="1" showInputMessage="1" showErrorMessage="1" error="Please use the dropdown." sqref="W150" xr:uid="{00000000-0002-0000-0300-000007000000}">
      <formula1>INDIRECT($U$150)</formula1>
    </dataValidation>
    <dataValidation type="list" allowBlank="1" showInputMessage="1" showErrorMessage="1" error="Please use the dropdown." sqref="W148" xr:uid="{00000000-0002-0000-0300-000008000000}">
      <formula1>INDIRECT($U$148)</formula1>
    </dataValidation>
    <dataValidation type="list" allowBlank="1" showDropDown="1" showInputMessage="1" showErrorMessage="1" error="Use Checkbox" prompt="Use Checkbox" sqref="W163 W272:W273 W268 W265 W80 W254 W247 W240:W245 W238 W235 W231 W229 W226:W227 W224 W219 W216:W217 W209 W78 W256 W194 W190:W192 W186 W184 W182 W179 W177 W171:W172 W161 W141 W156 W125 W122 W112:W114 W109:W110 W105 W101 W99 W91:W92 W82 W17:W19 W74 W72 W59 W43 W28 W26 W24 W22 W306 W51 W56 W53 W84 W143 W158 W283 W289 W292:W293 W326 W324 W322 W316:W317 W313 W310 W15 W76 W70" xr:uid="{00000000-0002-0000-0300-000009000000}">
      <formula1>TorF</formula1>
    </dataValidation>
    <dataValidation type="list" allowBlank="1" showInputMessage="1" showErrorMessage="1" error="Please use the dropdown." sqref="W94" xr:uid="{00000000-0002-0000-0300-00000A000000}">
      <formula1>INDIRECT($U$94)</formula1>
    </dataValidation>
    <dataValidation type="list" allowBlank="1" showInputMessage="1" showErrorMessage="1" error="Please use the dropdown." sqref="W129" xr:uid="{00000000-0002-0000-0300-00000B000000}">
      <formula1>INDIRECT($U$129)</formula1>
    </dataValidation>
    <dataValidation type="list" allowBlank="1" showInputMessage="1" showErrorMessage="1" error="Please use the dropdown." sqref="W136" xr:uid="{00000000-0002-0000-0300-00000C000000}">
      <formula1>INDIRECT($U$136)</formula1>
    </dataValidation>
    <dataValidation type="list" allowBlank="1" showInputMessage="1" showErrorMessage="1" error="Please use the dropdown." sqref="W38" xr:uid="{491E7753-D10E-45DF-A0B2-69883B05D287}">
      <formula1>INDIRECT($U$38)</formula1>
    </dataValidation>
    <dataValidation type="decimal" allowBlank="1" showDropDown="1" showInputMessage="1" showErrorMessage="1" error="Enter a number" prompt="Enter square feet" sqref="W287" xr:uid="{31124757-443E-4884-A6B1-E0A484664A19}">
      <formula1>0</formula1>
      <formula2>10000</formula2>
    </dataValidation>
    <dataValidation type="decimal" allowBlank="1" showDropDown="1" showInputMessage="1" showErrorMessage="1" error="Enter a percentage" prompt="Enter a percentage" sqref="W295" xr:uid="{FCDE9212-75D0-4371-9899-C9D63162F0CB}">
      <formula1>0</formula1>
      <formula2>1</formula2>
    </dataValidation>
    <dataValidation type="list" allowBlank="1" showInputMessage="1" showErrorMessage="1" error="Please use the dropdown." sqref="W195" xr:uid="{CB2C15E9-D133-48AF-AFE2-D73AA7DC38FF}">
      <formula1>INDIRECT($U$195)</formula1>
    </dataValidation>
    <dataValidation type="list" allowBlank="1" showInputMessage="1" showErrorMessage="1" error="Please use the dropdown." sqref="W276" xr:uid="{2EE95246-1465-4A5B-A259-D3C7F83C43AB}">
      <formula1>INDIRECT($U$276)</formula1>
    </dataValidation>
  </dataValidations>
  <hyperlinks>
    <hyperlink ref="X328" location="'Ch6'!A1" display="CLICK TO PROCEED TO CHAPTER 6 &gt;&gt;" xr:uid="{00000000-0004-0000-0300-000000000000}"/>
  </hyperlinks>
  <pageMargins left="0.7" right="0.7" top="0.75" bottom="0.75" header="0.3" footer="0.3"/>
  <pageSetup scale="44" fitToHeight="0" orientation="portrait" r:id="rId1"/>
  <rowBreaks count="3" manualBreakCount="3">
    <brk id="101" min="3" max="23" man="1"/>
    <brk id="205" min="3" max="23" man="1"/>
    <brk id="305" min="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3228" r:id="rId4" name="Check Box 156">
              <controlPr locked="0" defaultSize="0" autoFill="0" autoLine="0" autoPict="0">
                <anchor moveWithCells="1" sizeWithCells="1">
                  <from>
                    <xdr:col>22</xdr:col>
                    <xdr:colOff>0</xdr:colOff>
                    <xdr:row>14</xdr:row>
                    <xdr:rowOff>0</xdr:rowOff>
                  </from>
                  <to>
                    <xdr:col>22</xdr:col>
                    <xdr:colOff>180975</xdr:colOff>
                    <xdr:row>14</xdr:row>
                    <xdr:rowOff>180975</xdr:rowOff>
                  </to>
                </anchor>
              </controlPr>
            </control>
          </mc:Choice>
        </mc:AlternateContent>
        <mc:AlternateContent xmlns:mc="http://schemas.openxmlformats.org/markup-compatibility/2006">
          <mc:Choice Requires="x14">
            <control shapeId="3229" r:id="rId5" name="Check Box 157">
              <controlPr locked="0" defaultSize="0" autoFill="0" autoLine="0" autoPict="0">
                <anchor moveWithCells="1" sizeWithCells="1">
                  <from>
                    <xdr:col>22</xdr:col>
                    <xdr:colOff>0</xdr:colOff>
                    <xdr:row>16</xdr:row>
                    <xdr:rowOff>0</xdr:rowOff>
                  </from>
                  <to>
                    <xdr:col>22</xdr:col>
                    <xdr:colOff>180975</xdr:colOff>
                    <xdr:row>16</xdr:row>
                    <xdr:rowOff>180975</xdr:rowOff>
                  </to>
                </anchor>
              </controlPr>
            </control>
          </mc:Choice>
        </mc:AlternateContent>
        <mc:AlternateContent xmlns:mc="http://schemas.openxmlformats.org/markup-compatibility/2006">
          <mc:Choice Requires="x14">
            <control shapeId="3230" r:id="rId6" name="Check Box 158">
              <controlPr locked="0" defaultSize="0" autoFill="0" autoLine="0" autoPict="0">
                <anchor moveWithCells="1" sizeWithCells="1">
                  <from>
                    <xdr:col>22</xdr:col>
                    <xdr:colOff>0</xdr:colOff>
                    <xdr:row>17</xdr:row>
                    <xdr:rowOff>0</xdr:rowOff>
                  </from>
                  <to>
                    <xdr:col>22</xdr:col>
                    <xdr:colOff>180975</xdr:colOff>
                    <xdr:row>17</xdr:row>
                    <xdr:rowOff>180975</xdr:rowOff>
                  </to>
                </anchor>
              </controlPr>
            </control>
          </mc:Choice>
        </mc:AlternateContent>
        <mc:AlternateContent xmlns:mc="http://schemas.openxmlformats.org/markup-compatibility/2006">
          <mc:Choice Requires="x14">
            <control shapeId="3231" r:id="rId7" name="Check Box 159">
              <controlPr locked="0" defaultSize="0" autoFill="0" autoLine="0" autoPict="0">
                <anchor moveWithCells="1" sizeWithCells="1">
                  <from>
                    <xdr:col>22</xdr:col>
                    <xdr:colOff>0</xdr:colOff>
                    <xdr:row>18</xdr:row>
                    <xdr:rowOff>0</xdr:rowOff>
                  </from>
                  <to>
                    <xdr:col>22</xdr:col>
                    <xdr:colOff>180975</xdr:colOff>
                    <xdr:row>18</xdr:row>
                    <xdr:rowOff>180975</xdr:rowOff>
                  </to>
                </anchor>
              </controlPr>
            </control>
          </mc:Choice>
        </mc:AlternateContent>
        <mc:AlternateContent xmlns:mc="http://schemas.openxmlformats.org/markup-compatibility/2006">
          <mc:Choice Requires="x14">
            <control shapeId="3232" r:id="rId8" name="Check Box 160">
              <controlPr locked="0" defaultSize="0" autoFill="0" autoLine="0" autoPict="0">
                <anchor moveWithCells="1" sizeWithCells="1">
                  <from>
                    <xdr:col>22</xdr:col>
                    <xdr:colOff>0</xdr:colOff>
                    <xdr:row>21</xdr:row>
                    <xdr:rowOff>0</xdr:rowOff>
                  </from>
                  <to>
                    <xdr:col>22</xdr:col>
                    <xdr:colOff>180975</xdr:colOff>
                    <xdr:row>21</xdr:row>
                    <xdr:rowOff>180975</xdr:rowOff>
                  </to>
                </anchor>
              </controlPr>
            </control>
          </mc:Choice>
        </mc:AlternateContent>
        <mc:AlternateContent xmlns:mc="http://schemas.openxmlformats.org/markup-compatibility/2006">
          <mc:Choice Requires="x14">
            <control shapeId="3233" r:id="rId9" name="Check Box 161">
              <controlPr locked="0" defaultSize="0" autoFill="0" autoLine="0" autoPict="0">
                <anchor moveWithCells="1" sizeWithCells="1">
                  <from>
                    <xdr:col>22</xdr:col>
                    <xdr:colOff>0</xdr:colOff>
                    <xdr:row>23</xdr:row>
                    <xdr:rowOff>0</xdr:rowOff>
                  </from>
                  <to>
                    <xdr:col>22</xdr:col>
                    <xdr:colOff>180975</xdr:colOff>
                    <xdr:row>23</xdr:row>
                    <xdr:rowOff>180975</xdr:rowOff>
                  </to>
                </anchor>
              </controlPr>
            </control>
          </mc:Choice>
        </mc:AlternateContent>
        <mc:AlternateContent xmlns:mc="http://schemas.openxmlformats.org/markup-compatibility/2006">
          <mc:Choice Requires="x14">
            <control shapeId="3234" r:id="rId10" name="Check Box 162">
              <controlPr locked="0" defaultSize="0" autoFill="0" autoLine="0" autoPict="0">
                <anchor moveWithCells="1" sizeWithCells="1">
                  <from>
                    <xdr:col>22</xdr:col>
                    <xdr:colOff>0</xdr:colOff>
                    <xdr:row>25</xdr:row>
                    <xdr:rowOff>0</xdr:rowOff>
                  </from>
                  <to>
                    <xdr:col>22</xdr:col>
                    <xdr:colOff>180975</xdr:colOff>
                    <xdr:row>25</xdr:row>
                    <xdr:rowOff>180975</xdr:rowOff>
                  </to>
                </anchor>
              </controlPr>
            </control>
          </mc:Choice>
        </mc:AlternateContent>
        <mc:AlternateContent xmlns:mc="http://schemas.openxmlformats.org/markup-compatibility/2006">
          <mc:Choice Requires="x14">
            <control shapeId="3235" r:id="rId11" name="Check Box 163">
              <controlPr locked="0" defaultSize="0" autoFill="0" autoLine="0" autoPict="0">
                <anchor moveWithCells="1" sizeWithCells="1">
                  <from>
                    <xdr:col>22</xdr:col>
                    <xdr:colOff>0</xdr:colOff>
                    <xdr:row>27</xdr:row>
                    <xdr:rowOff>0</xdr:rowOff>
                  </from>
                  <to>
                    <xdr:col>22</xdr:col>
                    <xdr:colOff>180975</xdr:colOff>
                    <xdr:row>27</xdr:row>
                    <xdr:rowOff>180975</xdr:rowOff>
                  </to>
                </anchor>
              </controlPr>
            </control>
          </mc:Choice>
        </mc:AlternateContent>
        <mc:AlternateContent xmlns:mc="http://schemas.openxmlformats.org/markup-compatibility/2006">
          <mc:Choice Requires="x14">
            <control shapeId="3236" r:id="rId12" name="Check Box 164">
              <controlPr locked="0" defaultSize="0" autoFill="0" autoLine="0" autoPict="0">
                <anchor moveWithCells="1" sizeWithCells="1">
                  <from>
                    <xdr:col>22</xdr:col>
                    <xdr:colOff>0</xdr:colOff>
                    <xdr:row>42</xdr:row>
                    <xdr:rowOff>0</xdr:rowOff>
                  </from>
                  <to>
                    <xdr:col>22</xdr:col>
                    <xdr:colOff>180975</xdr:colOff>
                    <xdr:row>42</xdr:row>
                    <xdr:rowOff>180975</xdr:rowOff>
                  </to>
                </anchor>
              </controlPr>
            </control>
          </mc:Choice>
        </mc:AlternateContent>
        <mc:AlternateContent xmlns:mc="http://schemas.openxmlformats.org/markup-compatibility/2006">
          <mc:Choice Requires="x14">
            <control shapeId="3237" r:id="rId13" name="Check Box 165">
              <controlPr locked="0" defaultSize="0" autoFill="0" autoLine="0" autoPict="0">
                <anchor moveWithCells="1" sizeWithCells="1">
                  <from>
                    <xdr:col>22</xdr:col>
                    <xdr:colOff>0</xdr:colOff>
                    <xdr:row>58</xdr:row>
                    <xdr:rowOff>0</xdr:rowOff>
                  </from>
                  <to>
                    <xdr:col>22</xdr:col>
                    <xdr:colOff>180975</xdr:colOff>
                    <xdr:row>58</xdr:row>
                    <xdr:rowOff>180975</xdr:rowOff>
                  </to>
                </anchor>
              </controlPr>
            </control>
          </mc:Choice>
        </mc:AlternateContent>
        <mc:AlternateContent xmlns:mc="http://schemas.openxmlformats.org/markup-compatibility/2006">
          <mc:Choice Requires="x14">
            <control shapeId="3238" r:id="rId14" name="Check Box 166">
              <controlPr locked="0" defaultSize="0" autoFill="0" autoLine="0" autoPict="0">
                <anchor moveWithCells="1" sizeWithCells="1">
                  <from>
                    <xdr:col>22</xdr:col>
                    <xdr:colOff>0</xdr:colOff>
                    <xdr:row>69</xdr:row>
                    <xdr:rowOff>0</xdr:rowOff>
                  </from>
                  <to>
                    <xdr:col>22</xdr:col>
                    <xdr:colOff>180975</xdr:colOff>
                    <xdr:row>69</xdr:row>
                    <xdr:rowOff>180975</xdr:rowOff>
                  </to>
                </anchor>
              </controlPr>
            </control>
          </mc:Choice>
        </mc:AlternateContent>
        <mc:AlternateContent xmlns:mc="http://schemas.openxmlformats.org/markup-compatibility/2006">
          <mc:Choice Requires="x14">
            <control shapeId="3239" r:id="rId15" name="Check Box 167">
              <controlPr locked="0" defaultSize="0" autoFill="0" autoLine="0" autoPict="0">
                <anchor moveWithCells="1" sizeWithCells="1">
                  <from>
                    <xdr:col>22</xdr:col>
                    <xdr:colOff>0</xdr:colOff>
                    <xdr:row>71</xdr:row>
                    <xdr:rowOff>0</xdr:rowOff>
                  </from>
                  <to>
                    <xdr:col>22</xdr:col>
                    <xdr:colOff>180975</xdr:colOff>
                    <xdr:row>71</xdr:row>
                    <xdr:rowOff>180975</xdr:rowOff>
                  </to>
                </anchor>
              </controlPr>
            </control>
          </mc:Choice>
        </mc:AlternateContent>
        <mc:AlternateContent xmlns:mc="http://schemas.openxmlformats.org/markup-compatibility/2006">
          <mc:Choice Requires="x14">
            <control shapeId="3240" r:id="rId16" name="Check Box 168">
              <controlPr locked="0" defaultSize="0" autoFill="0" autoLine="0" autoPict="0">
                <anchor moveWithCells="1" sizeWithCells="1">
                  <from>
                    <xdr:col>22</xdr:col>
                    <xdr:colOff>0</xdr:colOff>
                    <xdr:row>73</xdr:row>
                    <xdr:rowOff>0</xdr:rowOff>
                  </from>
                  <to>
                    <xdr:col>22</xdr:col>
                    <xdr:colOff>180975</xdr:colOff>
                    <xdr:row>73</xdr:row>
                    <xdr:rowOff>180975</xdr:rowOff>
                  </to>
                </anchor>
              </controlPr>
            </control>
          </mc:Choice>
        </mc:AlternateContent>
        <mc:AlternateContent xmlns:mc="http://schemas.openxmlformats.org/markup-compatibility/2006">
          <mc:Choice Requires="x14">
            <control shapeId="3241" r:id="rId17" name="Check Box 169">
              <controlPr locked="0" defaultSize="0" autoFill="0" autoLine="0" autoPict="0">
                <anchor moveWithCells="1" sizeWithCells="1">
                  <from>
                    <xdr:col>22</xdr:col>
                    <xdr:colOff>0</xdr:colOff>
                    <xdr:row>75</xdr:row>
                    <xdr:rowOff>0</xdr:rowOff>
                  </from>
                  <to>
                    <xdr:col>22</xdr:col>
                    <xdr:colOff>180975</xdr:colOff>
                    <xdr:row>75</xdr:row>
                    <xdr:rowOff>180975</xdr:rowOff>
                  </to>
                </anchor>
              </controlPr>
            </control>
          </mc:Choice>
        </mc:AlternateContent>
        <mc:AlternateContent xmlns:mc="http://schemas.openxmlformats.org/markup-compatibility/2006">
          <mc:Choice Requires="x14">
            <control shapeId="3242" r:id="rId18" name="Check Box 170">
              <controlPr locked="0" defaultSize="0" autoFill="0" autoLine="0" autoPict="0">
                <anchor moveWithCells="1" sizeWithCells="1">
                  <from>
                    <xdr:col>22</xdr:col>
                    <xdr:colOff>0</xdr:colOff>
                    <xdr:row>77</xdr:row>
                    <xdr:rowOff>0</xdr:rowOff>
                  </from>
                  <to>
                    <xdr:col>22</xdr:col>
                    <xdr:colOff>180975</xdr:colOff>
                    <xdr:row>77</xdr:row>
                    <xdr:rowOff>180975</xdr:rowOff>
                  </to>
                </anchor>
              </controlPr>
            </control>
          </mc:Choice>
        </mc:AlternateContent>
        <mc:AlternateContent xmlns:mc="http://schemas.openxmlformats.org/markup-compatibility/2006">
          <mc:Choice Requires="x14">
            <control shapeId="3243" r:id="rId19" name="Check Box 171">
              <controlPr locked="0" defaultSize="0" autoFill="0" autoLine="0" autoPict="0">
                <anchor moveWithCells="1" sizeWithCells="1">
                  <from>
                    <xdr:col>22</xdr:col>
                    <xdr:colOff>0</xdr:colOff>
                    <xdr:row>79</xdr:row>
                    <xdr:rowOff>0</xdr:rowOff>
                  </from>
                  <to>
                    <xdr:col>22</xdr:col>
                    <xdr:colOff>180975</xdr:colOff>
                    <xdr:row>79</xdr:row>
                    <xdr:rowOff>180975</xdr:rowOff>
                  </to>
                </anchor>
              </controlPr>
            </control>
          </mc:Choice>
        </mc:AlternateContent>
        <mc:AlternateContent xmlns:mc="http://schemas.openxmlformats.org/markup-compatibility/2006">
          <mc:Choice Requires="x14">
            <control shapeId="3244" r:id="rId20" name="Check Box 172">
              <controlPr locked="0" defaultSize="0" autoFill="0" autoLine="0" autoPict="0">
                <anchor moveWithCells="1" sizeWithCells="1">
                  <from>
                    <xdr:col>22</xdr:col>
                    <xdr:colOff>0</xdr:colOff>
                    <xdr:row>81</xdr:row>
                    <xdr:rowOff>0</xdr:rowOff>
                  </from>
                  <to>
                    <xdr:col>22</xdr:col>
                    <xdr:colOff>180975</xdr:colOff>
                    <xdr:row>81</xdr:row>
                    <xdr:rowOff>180975</xdr:rowOff>
                  </to>
                </anchor>
              </controlPr>
            </control>
          </mc:Choice>
        </mc:AlternateContent>
        <mc:AlternateContent xmlns:mc="http://schemas.openxmlformats.org/markup-compatibility/2006">
          <mc:Choice Requires="x14">
            <control shapeId="3245" r:id="rId21" name="Check Box 173">
              <controlPr locked="0" defaultSize="0" autoFill="0" autoLine="0" autoPict="0">
                <anchor moveWithCells="1" sizeWithCells="1">
                  <from>
                    <xdr:col>22</xdr:col>
                    <xdr:colOff>0</xdr:colOff>
                    <xdr:row>90</xdr:row>
                    <xdr:rowOff>0</xdr:rowOff>
                  </from>
                  <to>
                    <xdr:col>22</xdr:col>
                    <xdr:colOff>180975</xdr:colOff>
                    <xdr:row>90</xdr:row>
                    <xdr:rowOff>180975</xdr:rowOff>
                  </to>
                </anchor>
              </controlPr>
            </control>
          </mc:Choice>
        </mc:AlternateContent>
        <mc:AlternateContent xmlns:mc="http://schemas.openxmlformats.org/markup-compatibility/2006">
          <mc:Choice Requires="x14">
            <control shapeId="3246" r:id="rId22" name="Check Box 174">
              <controlPr locked="0" defaultSize="0" autoFill="0" autoLine="0" autoPict="0">
                <anchor moveWithCells="1" sizeWithCells="1">
                  <from>
                    <xdr:col>22</xdr:col>
                    <xdr:colOff>0</xdr:colOff>
                    <xdr:row>91</xdr:row>
                    <xdr:rowOff>0</xdr:rowOff>
                  </from>
                  <to>
                    <xdr:col>22</xdr:col>
                    <xdr:colOff>180975</xdr:colOff>
                    <xdr:row>91</xdr:row>
                    <xdr:rowOff>180975</xdr:rowOff>
                  </to>
                </anchor>
              </controlPr>
            </control>
          </mc:Choice>
        </mc:AlternateContent>
        <mc:AlternateContent xmlns:mc="http://schemas.openxmlformats.org/markup-compatibility/2006">
          <mc:Choice Requires="x14">
            <control shapeId="3248" r:id="rId23" name="Check Box 176">
              <controlPr locked="0" defaultSize="0" autoFill="0" autoLine="0" autoPict="0">
                <anchor moveWithCells="1" sizeWithCells="1">
                  <from>
                    <xdr:col>22</xdr:col>
                    <xdr:colOff>0</xdr:colOff>
                    <xdr:row>98</xdr:row>
                    <xdr:rowOff>0</xdr:rowOff>
                  </from>
                  <to>
                    <xdr:col>22</xdr:col>
                    <xdr:colOff>180975</xdr:colOff>
                    <xdr:row>98</xdr:row>
                    <xdr:rowOff>180975</xdr:rowOff>
                  </to>
                </anchor>
              </controlPr>
            </control>
          </mc:Choice>
        </mc:AlternateContent>
        <mc:AlternateContent xmlns:mc="http://schemas.openxmlformats.org/markup-compatibility/2006">
          <mc:Choice Requires="x14">
            <control shapeId="3249" r:id="rId24" name="Check Box 177">
              <controlPr locked="0" defaultSize="0" autoFill="0" autoLine="0" autoPict="0">
                <anchor moveWithCells="1" sizeWithCells="1">
                  <from>
                    <xdr:col>22</xdr:col>
                    <xdr:colOff>0</xdr:colOff>
                    <xdr:row>100</xdr:row>
                    <xdr:rowOff>0</xdr:rowOff>
                  </from>
                  <to>
                    <xdr:col>22</xdr:col>
                    <xdr:colOff>180975</xdr:colOff>
                    <xdr:row>100</xdr:row>
                    <xdr:rowOff>180975</xdr:rowOff>
                  </to>
                </anchor>
              </controlPr>
            </control>
          </mc:Choice>
        </mc:AlternateContent>
        <mc:AlternateContent xmlns:mc="http://schemas.openxmlformats.org/markup-compatibility/2006">
          <mc:Choice Requires="x14">
            <control shapeId="3250" r:id="rId25" name="Check Box 178">
              <controlPr locked="0" defaultSize="0" autoFill="0" autoLine="0" autoPict="0">
                <anchor moveWithCells="1" sizeWithCells="1">
                  <from>
                    <xdr:col>22</xdr:col>
                    <xdr:colOff>0</xdr:colOff>
                    <xdr:row>104</xdr:row>
                    <xdr:rowOff>0</xdr:rowOff>
                  </from>
                  <to>
                    <xdr:col>22</xdr:col>
                    <xdr:colOff>180975</xdr:colOff>
                    <xdr:row>104</xdr:row>
                    <xdr:rowOff>180975</xdr:rowOff>
                  </to>
                </anchor>
              </controlPr>
            </control>
          </mc:Choice>
        </mc:AlternateContent>
        <mc:AlternateContent xmlns:mc="http://schemas.openxmlformats.org/markup-compatibility/2006">
          <mc:Choice Requires="x14">
            <control shapeId="3251" r:id="rId26" name="Check Box 179">
              <controlPr locked="0" defaultSize="0" autoFill="0" autoLine="0" autoPict="0">
                <anchor moveWithCells="1" sizeWithCells="1">
                  <from>
                    <xdr:col>22</xdr:col>
                    <xdr:colOff>0</xdr:colOff>
                    <xdr:row>108</xdr:row>
                    <xdr:rowOff>0</xdr:rowOff>
                  </from>
                  <to>
                    <xdr:col>22</xdr:col>
                    <xdr:colOff>180975</xdr:colOff>
                    <xdr:row>108</xdr:row>
                    <xdr:rowOff>180975</xdr:rowOff>
                  </to>
                </anchor>
              </controlPr>
            </control>
          </mc:Choice>
        </mc:AlternateContent>
        <mc:AlternateContent xmlns:mc="http://schemas.openxmlformats.org/markup-compatibility/2006">
          <mc:Choice Requires="x14">
            <control shapeId="3252" r:id="rId27" name="Check Box 180">
              <controlPr locked="0" defaultSize="0" autoFill="0" autoLine="0" autoPict="0">
                <anchor moveWithCells="1" sizeWithCells="1">
                  <from>
                    <xdr:col>22</xdr:col>
                    <xdr:colOff>0</xdr:colOff>
                    <xdr:row>109</xdr:row>
                    <xdr:rowOff>0</xdr:rowOff>
                  </from>
                  <to>
                    <xdr:col>22</xdr:col>
                    <xdr:colOff>180975</xdr:colOff>
                    <xdr:row>109</xdr:row>
                    <xdr:rowOff>180975</xdr:rowOff>
                  </to>
                </anchor>
              </controlPr>
            </control>
          </mc:Choice>
        </mc:AlternateContent>
        <mc:AlternateContent xmlns:mc="http://schemas.openxmlformats.org/markup-compatibility/2006">
          <mc:Choice Requires="x14">
            <control shapeId="3253" r:id="rId28" name="Check Box 181">
              <controlPr locked="0" defaultSize="0" autoFill="0" autoLine="0" autoPict="0">
                <anchor moveWithCells="1" sizeWithCells="1">
                  <from>
                    <xdr:col>22</xdr:col>
                    <xdr:colOff>0</xdr:colOff>
                    <xdr:row>111</xdr:row>
                    <xdr:rowOff>0</xdr:rowOff>
                  </from>
                  <to>
                    <xdr:col>22</xdr:col>
                    <xdr:colOff>180975</xdr:colOff>
                    <xdr:row>111</xdr:row>
                    <xdr:rowOff>180975</xdr:rowOff>
                  </to>
                </anchor>
              </controlPr>
            </control>
          </mc:Choice>
        </mc:AlternateContent>
        <mc:AlternateContent xmlns:mc="http://schemas.openxmlformats.org/markup-compatibility/2006">
          <mc:Choice Requires="x14">
            <control shapeId="3254" r:id="rId29" name="Check Box 182">
              <controlPr locked="0" defaultSize="0" autoFill="0" autoLine="0" autoPict="0">
                <anchor moveWithCells="1" sizeWithCells="1">
                  <from>
                    <xdr:col>22</xdr:col>
                    <xdr:colOff>0</xdr:colOff>
                    <xdr:row>112</xdr:row>
                    <xdr:rowOff>0</xdr:rowOff>
                  </from>
                  <to>
                    <xdr:col>22</xdr:col>
                    <xdr:colOff>180975</xdr:colOff>
                    <xdr:row>112</xdr:row>
                    <xdr:rowOff>180975</xdr:rowOff>
                  </to>
                </anchor>
              </controlPr>
            </control>
          </mc:Choice>
        </mc:AlternateContent>
        <mc:AlternateContent xmlns:mc="http://schemas.openxmlformats.org/markup-compatibility/2006">
          <mc:Choice Requires="x14">
            <control shapeId="3255" r:id="rId30" name="Check Box 183">
              <controlPr locked="0" defaultSize="0" autoFill="0" autoLine="0" autoPict="0">
                <anchor moveWithCells="1" sizeWithCells="1">
                  <from>
                    <xdr:col>22</xdr:col>
                    <xdr:colOff>0</xdr:colOff>
                    <xdr:row>113</xdr:row>
                    <xdr:rowOff>0</xdr:rowOff>
                  </from>
                  <to>
                    <xdr:col>22</xdr:col>
                    <xdr:colOff>180975</xdr:colOff>
                    <xdr:row>113</xdr:row>
                    <xdr:rowOff>180975</xdr:rowOff>
                  </to>
                </anchor>
              </controlPr>
            </control>
          </mc:Choice>
        </mc:AlternateContent>
        <mc:AlternateContent xmlns:mc="http://schemas.openxmlformats.org/markup-compatibility/2006">
          <mc:Choice Requires="x14">
            <control shapeId="3256" r:id="rId31" name="Check Box 184">
              <controlPr locked="0" defaultSize="0" autoFill="0" autoLine="0" autoPict="0">
                <anchor moveWithCells="1" sizeWithCells="1">
                  <from>
                    <xdr:col>22</xdr:col>
                    <xdr:colOff>0</xdr:colOff>
                    <xdr:row>121</xdr:row>
                    <xdr:rowOff>0</xdr:rowOff>
                  </from>
                  <to>
                    <xdr:col>22</xdr:col>
                    <xdr:colOff>180975</xdr:colOff>
                    <xdr:row>121</xdr:row>
                    <xdr:rowOff>180975</xdr:rowOff>
                  </to>
                </anchor>
              </controlPr>
            </control>
          </mc:Choice>
        </mc:AlternateContent>
        <mc:AlternateContent xmlns:mc="http://schemas.openxmlformats.org/markup-compatibility/2006">
          <mc:Choice Requires="x14">
            <control shapeId="3257" r:id="rId32" name="Check Box 185">
              <controlPr locked="0" defaultSize="0" autoFill="0" autoLine="0" autoPict="0">
                <anchor moveWithCells="1" sizeWithCells="1">
                  <from>
                    <xdr:col>22</xdr:col>
                    <xdr:colOff>0</xdr:colOff>
                    <xdr:row>124</xdr:row>
                    <xdr:rowOff>0</xdr:rowOff>
                  </from>
                  <to>
                    <xdr:col>22</xdr:col>
                    <xdr:colOff>180975</xdr:colOff>
                    <xdr:row>124</xdr:row>
                    <xdr:rowOff>180975</xdr:rowOff>
                  </to>
                </anchor>
              </controlPr>
            </control>
          </mc:Choice>
        </mc:AlternateContent>
        <mc:AlternateContent xmlns:mc="http://schemas.openxmlformats.org/markup-compatibility/2006">
          <mc:Choice Requires="x14">
            <control shapeId="3260" r:id="rId33" name="Check Box 188">
              <controlPr locked="0" defaultSize="0" autoFill="0" autoLine="0" autoPict="0">
                <anchor moveWithCells="1" sizeWithCells="1">
                  <from>
                    <xdr:col>22</xdr:col>
                    <xdr:colOff>0</xdr:colOff>
                    <xdr:row>155</xdr:row>
                    <xdr:rowOff>0</xdr:rowOff>
                  </from>
                  <to>
                    <xdr:col>22</xdr:col>
                    <xdr:colOff>180975</xdr:colOff>
                    <xdr:row>155</xdr:row>
                    <xdr:rowOff>180975</xdr:rowOff>
                  </to>
                </anchor>
              </controlPr>
            </control>
          </mc:Choice>
        </mc:AlternateContent>
        <mc:AlternateContent xmlns:mc="http://schemas.openxmlformats.org/markup-compatibility/2006">
          <mc:Choice Requires="x14">
            <control shapeId="3261" r:id="rId34" name="Check Box 189">
              <controlPr locked="0" defaultSize="0" autoFill="0" autoLine="0" autoPict="0">
                <anchor moveWithCells="1" sizeWithCells="1">
                  <from>
                    <xdr:col>22</xdr:col>
                    <xdr:colOff>0</xdr:colOff>
                    <xdr:row>157</xdr:row>
                    <xdr:rowOff>0</xdr:rowOff>
                  </from>
                  <to>
                    <xdr:col>22</xdr:col>
                    <xdr:colOff>180975</xdr:colOff>
                    <xdr:row>157</xdr:row>
                    <xdr:rowOff>180975</xdr:rowOff>
                  </to>
                </anchor>
              </controlPr>
            </control>
          </mc:Choice>
        </mc:AlternateContent>
        <mc:AlternateContent xmlns:mc="http://schemas.openxmlformats.org/markup-compatibility/2006">
          <mc:Choice Requires="x14">
            <control shapeId="3262" r:id="rId35" name="Check Box 190">
              <controlPr locked="0" defaultSize="0" autoFill="0" autoLine="0" autoPict="0">
                <anchor moveWithCells="1" sizeWithCells="1">
                  <from>
                    <xdr:col>22</xdr:col>
                    <xdr:colOff>0</xdr:colOff>
                    <xdr:row>160</xdr:row>
                    <xdr:rowOff>0</xdr:rowOff>
                  </from>
                  <to>
                    <xdr:col>22</xdr:col>
                    <xdr:colOff>180975</xdr:colOff>
                    <xdr:row>160</xdr:row>
                    <xdr:rowOff>180975</xdr:rowOff>
                  </to>
                </anchor>
              </controlPr>
            </control>
          </mc:Choice>
        </mc:AlternateContent>
        <mc:AlternateContent xmlns:mc="http://schemas.openxmlformats.org/markup-compatibility/2006">
          <mc:Choice Requires="x14">
            <control shapeId="3263" r:id="rId36" name="Check Box 191">
              <controlPr locked="0" defaultSize="0" autoFill="0" autoLine="0" autoPict="0">
                <anchor moveWithCells="1" sizeWithCells="1">
                  <from>
                    <xdr:col>22</xdr:col>
                    <xdr:colOff>0</xdr:colOff>
                    <xdr:row>170</xdr:row>
                    <xdr:rowOff>0</xdr:rowOff>
                  </from>
                  <to>
                    <xdr:col>22</xdr:col>
                    <xdr:colOff>180975</xdr:colOff>
                    <xdr:row>170</xdr:row>
                    <xdr:rowOff>180975</xdr:rowOff>
                  </to>
                </anchor>
              </controlPr>
            </control>
          </mc:Choice>
        </mc:AlternateContent>
        <mc:AlternateContent xmlns:mc="http://schemas.openxmlformats.org/markup-compatibility/2006">
          <mc:Choice Requires="x14">
            <control shapeId="3264" r:id="rId37" name="Check Box 192">
              <controlPr locked="0" defaultSize="0" autoFill="0" autoLine="0" autoPict="0">
                <anchor moveWithCells="1" sizeWithCells="1">
                  <from>
                    <xdr:col>22</xdr:col>
                    <xdr:colOff>0</xdr:colOff>
                    <xdr:row>171</xdr:row>
                    <xdr:rowOff>0</xdr:rowOff>
                  </from>
                  <to>
                    <xdr:col>22</xdr:col>
                    <xdr:colOff>180975</xdr:colOff>
                    <xdr:row>171</xdr:row>
                    <xdr:rowOff>180975</xdr:rowOff>
                  </to>
                </anchor>
              </controlPr>
            </control>
          </mc:Choice>
        </mc:AlternateContent>
        <mc:AlternateContent xmlns:mc="http://schemas.openxmlformats.org/markup-compatibility/2006">
          <mc:Choice Requires="x14">
            <control shapeId="3265" r:id="rId38" name="Check Box 193">
              <controlPr locked="0" defaultSize="0" autoFill="0" autoLine="0" autoPict="0">
                <anchor moveWithCells="1" sizeWithCells="1">
                  <from>
                    <xdr:col>22</xdr:col>
                    <xdr:colOff>0</xdr:colOff>
                    <xdr:row>176</xdr:row>
                    <xdr:rowOff>0</xdr:rowOff>
                  </from>
                  <to>
                    <xdr:col>22</xdr:col>
                    <xdr:colOff>180975</xdr:colOff>
                    <xdr:row>176</xdr:row>
                    <xdr:rowOff>180975</xdr:rowOff>
                  </to>
                </anchor>
              </controlPr>
            </control>
          </mc:Choice>
        </mc:AlternateContent>
        <mc:AlternateContent xmlns:mc="http://schemas.openxmlformats.org/markup-compatibility/2006">
          <mc:Choice Requires="x14">
            <control shapeId="3266" r:id="rId39" name="Check Box 194">
              <controlPr locked="0" defaultSize="0" autoFill="0" autoLine="0" autoPict="0">
                <anchor moveWithCells="1" sizeWithCells="1">
                  <from>
                    <xdr:col>22</xdr:col>
                    <xdr:colOff>0</xdr:colOff>
                    <xdr:row>178</xdr:row>
                    <xdr:rowOff>0</xdr:rowOff>
                  </from>
                  <to>
                    <xdr:col>22</xdr:col>
                    <xdr:colOff>180975</xdr:colOff>
                    <xdr:row>178</xdr:row>
                    <xdr:rowOff>180975</xdr:rowOff>
                  </to>
                </anchor>
              </controlPr>
            </control>
          </mc:Choice>
        </mc:AlternateContent>
        <mc:AlternateContent xmlns:mc="http://schemas.openxmlformats.org/markup-compatibility/2006">
          <mc:Choice Requires="x14">
            <control shapeId="3267" r:id="rId40" name="Check Box 195">
              <controlPr locked="0" defaultSize="0" autoFill="0" autoLine="0" autoPict="0">
                <anchor moveWithCells="1" sizeWithCells="1">
                  <from>
                    <xdr:col>22</xdr:col>
                    <xdr:colOff>0</xdr:colOff>
                    <xdr:row>181</xdr:row>
                    <xdr:rowOff>0</xdr:rowOff>
                  </from>
                  <to>
                    <xdr:col>22</xdr:col>
                    <xdr:colOff>180975</xdr:colOff>
                    <xdr:row>181</xdr:row>
                    <xdr:rowOff>180975</xdr:rowOff>
                  </to>
                </anchor>
              </controlPr>
            </control>
          </mc:Choice>
        </mc:AlternateContent>
        <mc:AlternateContent xmlns:mc="http://schemas.openxmlformats.org/markup-compatibility/2006">
          <mc:Choice Requires="x14">
            <control shapeId="3268" r:id="rId41" name="Check Box 196">
              <controlPr locked="0" defaultSize="0" autoFill="0" autoLine="0" autoPict="0">
                <anchor moveWithCells="1" sizeWithCells="1">
                  <from>
                    <xdr:col>22</xdr:col>
                    <xdr:colOff>0</xdr:colOff>
                    <xdr:row>183</xdr:row>
                    <xdr:rowOff>0</xdr:rowOff>
                  </from>
                  <to>
                    <xdr:col>22</xdr:col>
                    <xdr:colOff>180975</xdr:colOff>
                    <xdr:row>183</xdr:row>
                    <xdr:rowOff>180975</xdr:rowOff>
                  </to>
                </anchor>
              </controlPr>
            </control>
          </mc:Choice>
        </mc:AlternateContent>
        <mc:AlternateContent xmlns:mc="http://schemas.openxmlformats.org/markup-compatibility/2006">
          <mc:Choice Requires="x14">
            <control shapeId="3269" r:id="rId42" name="Check Box 197">
              <controlPr locked="0" defaultSize="0" autoFill="0" autoLine="0" autoPict="0">
                <anchor moveWithCells="1" sizeWithCells="1">
                  <from>
                    <xdr:col>22</xdr:col>
                    <xdr:colOff>0</xdr:colOff>
                    <xdr:row>185</xdr:row>
                    <xdr:rowOff>0</xdr:rowOff>
                  </from>
                  <to>
                    <xdr:col>22</xdr:col>
                    <xdr:colOff>180975</xdr:colOff>
                    <xdr:row>185</xdr:row>
                    <xdr:rowOff>180975</xdr:rowOff>
                  </to>
                </anchor>
              </controlPr>
            </control>
          </mc:Choice>
        </mc:AlternateContent>
        <mc:AlternateContent xmlns:mc="http://schemas.openxmlformats.org/markup-compatibility/2006">
          <mc:Choice Requires="x14">
            <control shapeId="3270" r:id="rId43" name="Check Box 198">
              <controlPr locked="0" defaultSize="0" autoFill="0" autoLine="0" autoPict="0">
                <anchor moveWithCells="1" sizeWithCells="1">
                  <from>
                    <xdr:col>22</xdr:col>
                    <xdr:colOff>0</xdr:colOff>
                    <xdr:row>189</xdr:row>
                    <xdr:rowOff>0</xdr:rowOff>
                  </from>
                  <to>
                    <xdr:col>22</xdr:col>
                    <xdr:colOff>180975</xdr:colOff>
                    <xdr:row>189</xdr:row>
                    <xdr:rowOff>180975</xdr:rowOff>
                  </to>
                </anchor>
              </controlPr>
            </control>
          </mc:Choice>
        </mc:AlternateContent>
        <mc:AlternateContent xmlns:mc="http://schemas.openxmlformats.org/markup-compatibility/2006">
          <mc:Choice Requires="x14">
            <control shapeId="3271" r:id="rId44" name="Check Box 199">
              <controlPr locked="0" defaultSize="0" autoFill="0" autoLine="0" autoPict="0">
                <anchor moveWithCells="1" sizeWithCells="1">
                  <from>
                    <xdr:col>22</xdr:col>
                    <xdr:colOff>0</xdr:colOff>
                    <xdr:row>190</xdr:row>
                    <xdr:rowOff>0</xdr:rowOff>
                  </from>
                  <to>
                    <xdr:col>22</xdr:col>
                    <xdr:colOff>180975</xdr:colOff>
                    <xdr:row>190</xdr:row>
                    <xdr:rowOff>180975</xdr:rowOff>
                  </to>
                </anchor>
              </controlPr>
            </control>
          </mc:Choice>
        </mc:AlternateContent>
        <mc:AlternateContent xmlns:mc="http://schemas.openxmlformats.org/markup-compatibility/2006">
          <mc:Choice Requires="x14">
            <control shapeId="3272" r:id="rId45" name="Check Box 200">
              <controlPr locked="0" defaultSize="0" autoFill="0" autoLine="0" autoPict="0">
                <anchor moveWithCells="1" sizeWithCells="1">
                  <from>
                    <xdr:col>22</xdr:col>
                    <xdr:colOff>0</xdr:colOff>
                    <xdr:row>191</xdr:row>
                    <xdr:rowOff>0</xdr:rowOff>
                  </from>
                  <to>
                    <xdr:col>22</xdr:col>
                    <xdr:colOff>180975</xdr:colOff>
                    <xdr:row>191</xdr:row>
                    <xdr:rowOff>180975</xdr:rowOff>
                  </to>
                </anchor>
              </controlPr>
            </control>
          </mc:Choice>
        </mc:AlternateContent>
        <mc:AlternateContent xmlns:mc="http://schemas.openxmlformats.org/markup-compatibility/2006">
          <mc:Choice Requires="x14">
            <control shapeId="3273" r:id="rId46" name="Check Box 201">
              <controlPr locked="0" defaultSize="0" autoFill="0" autoLine="0" autoPict="0">
                <anchor moveWithCells="1" sizeWithCells="1">
                  <from>
                    <xdr:col>22</xdr:col>
                    <xdr:colOff>0</xdr:colOff>
                    <xdr:row>193</xdr:row>
                    <xdr:rowOff>0</xdr:rowOff>
                  </from>
                  <to>
                    <xdr:col>22</xdr:col>
                    <xdr:colOff>180975</xdr:colOff>
                    <xdr:row>193</xdr:row>
                    <xdr:rowOff>180975</xdr:rowOff>
                  </to>
                </anchor>
              </controlPr>
            </control>
          </mc:Choice>
        </mc:AlternateContent>
        <mc:AlternateContent xmlns:mc="http://schemas.openxmlformats.org/markup-compatibility/2006">
          <mc:Choice Requires="x14">
            <control shapeId="3276" r:id="rId47" name="Check Box 204">
              <controlPr locked="0" defaultSize="0" autoFill="0" autoLine="0" autoPict="0">
                <anchor moveWithCells="1" sizeWithCells="1">
                  <from>
                    <xdr:col>22</xdr:col>
                    <xdr:colOff>0</xdr:colOff>
                    <xdr:row>208</xdr:row>
                    <xdr:rowOff>0</xdr:rowOff>
                  </from>
                  <to>
                    <xdr:col>22</xdr:col>
                    <xdr:colOff>180975</xdr:colOff>
                    <xdr:row>208</xdr:row>
                    <xdr:rowOff>180975</xdr:rowOff>
                  </to>
                </anchor>
              </controlPr>
            </control>
          </mc:Choice>
        </mc:AlternateContent>
        <mc:AlternateContent xmlns:mc="http://schemas.openxmlformats.org/markup-compatibility/2006">
          <mc:Choice Requires="x14">
            <control shapeId="3277" r:id="rId48" name="Check Box 205">
              <controlPr locked="0" defaultSize="0" autoFill="0" autoLine="0" autoPict="0">
                <anchor moveWithCells="1" sizeWithCells="1">
                  <from>
                    <xdr:col>22</xdr:col>
                    <xdr:colOff>0</xdr:colOff>
                    <xdr:row>215</xdr:row>
                    <xdr:rowOff>0</xdr:rowOff>
                  </from>
                  <to>
                    <xdr:col>22</xdr:col>
                    <xdr:colOff>180975</xdr:colOff>
                    <xdr:row>215</xdr:row>
                    <xdr:rowOff>180975</xdr:rowOff>
                  </to>
                </anchor>
              </controlPr>
            </control>
          </mc:Choice>
        </mc:AlternateContent>
        <mc:AlternateContent xmlns:mc="http://schemas.openxmlformats.org/markup-compatibility/2006">
          <mc:Choice Requires="x14">
            <control shapeId="3278" r:id="rId49" name="Check Box 206">
              <controlPr locked="0" defaultSize="0" autoFill="0" autoLine="0" autoPict="0">
                <anchor moveWithCells="1" sizeWithCells="1">
                  <from>
                    <xdr:col>22</xdr:col>
                    <xdr:colOff>0</xdr:colOff>
                    <xdr:row>216</xdr:row>
                    <xdr:rowOff>0</xdr:rowOff>
                  </from>
                  <to>
                    <xdr:col>22</xdr:col>
                    <xdr:colOff>180975</xdr:colOff>
                    <xdr:row>216</xdr:row>
                    <xdr:rowOff>180975</xdr:rowOff>
                  </to>
                </anchor>
              </controlPr>
            </control>
          </mc:Choice>
        </mc:AlternateContent>
        <mc:AlternateContent xmlns:mc="http://schemas.openxmlformats.org/markup-compatibility/2006">
          <mc:Choice Requires="x14">
            <control shapeId="3279" r:id="rId50" name="Check Box 207">
              <controlPr locked="0" defaultSize="0" autoFill="0" autoLine="0" autoPict="0">
                <anchor moveWithCells="1" sizeWithCells="1">
                  <from>
                    <xdr:col>22</xdr:col>
                    <xdr:colOff>0</xdr:colOff>
                    <xdr:row>218</xdr:row>
                    <xdr:rowOff>0</xdr:rowOff>
                  </from>
                  <to>
                    <xdr:col>22</xdr:col>
                    <xdr:colOff>180975</xdr:colOff>
                    <xdr:row>218</xdr:row>
                    <xdr:rowOff>180975</xdr:rowOff>
                  </to>
                </anchor>
              </controlPr>
            </control>
          </mc:Choice>
        </mc:AlternateContent>
        <mc:AlternateContent xmlns:mc="http://schemas.openxmlformats.org/markup-compatibility/2006">
          <mc:Choice Requires="x14">
            <control shapeId="3280" r:id="rId51" name="Check Box 208">
              <controlPr locked="0" defaultSize="0" autoFill="0" autoLine="0" autoPict="0">
                <anchor moveWithCells="1" sizeWithCells="1">
                  <from>
                    <xdr:col>22</xdr:col>
                    <xdr:colOff>0</xdr:colOff>
                    <xdr:row>223</xdr:row>
                    <xdr:rowOff>0</xdr:rowOff>
                  </from>
                  <to>
                    <xdr:col>22</xdr:col>
                    <xdr:colOff>180975</xdr:colOff>
                    <xdr:row>223</xdr:row>
                    <xdr:rowOff>180975</xdr:rowOff>
                  </to>
                </anchor>
              </controlPr>
            </control>
          </mc:Choice>
        </mc:AlternateContent>
        <mc:AlternateContent xmlns:mc="http://schemas.openxmlformats.org/markup-compatibility/2006">
          <mc:Choice Requires="x14">
            <control shapeId="3281" r:id="rId52" name="Check Box 209">
              <controlPr locked="0" defaultSize="0" autoFill="0" autoLine="0" autoPict="0">
                <anchor moveWithCells="1" sizeWithCells="1">
                  <from>
                    <xdr:col>22</xdr:col>
                    <xdr:colOff>0</xdr:colOff>
                    <xdr:row>225</xdr:row>
                    <xdr:rowOff>0</xdr:rowOff>
                  </from>
                  <to>
                    <xdr:col>22</xdr:col>
                    <xdr:colOff>180975</xdr:colOff>
                    <xdr:row>225</xdr:row>
                    <xdr:rowOff>180975</xdr:rowOff>
                  </to>
                </anchor>
              </controlPr>
            </control>
          </mc:Choice>
        </mc:AlternateContent>
        <mc:AlternateContent xmlns:mc="http://schemas.openxmlformats.org/markup-compatibility/2006">
          <mc:Choice Requires="x14">
            <control shapeId="3282" r:id="rId53" name="Check Box 210">
              <controlPr locked="0" defaultSize="0" autoFill="0" autoLine="0" autoPict="0">
                <anchor moveWithCells="1" sizeWithCells="1">
                  <from>
                    <xdr:col>22</xdr:col>
                    <xdr:colOff>0</xdr:colOff>
                    <xdr:row>226</xdr:row>
                    <xdr:rowOff>0</xdr:rowOff>
                  </from>
                  <to>
                    <xdr:col>22</xdr:col>
                    <xdr:colOff>180975</xdr:colOff>
                    <xdr:row>226</xdr:row>
                    <xdr:rowOff>180975</xdr:rowOff>
                  </to>
                </anchor>
              </controlPr>
            </control>
          </mc:Choice>
        </mc:AlternateContent>
        <mc:AlternateContent xmlns:mc="http://schemas.openxmlformats.org/markup-compatibility/2006">
          <mc:Choice Requires="x14">
            <control shapeId="3283" r:id="rId54" name="Check Box 211">
              <controlPr locked="0" defaultSize="0" autoFill="0" autoLine="0" autoPict="0">
                <anchor moveWithCells="1" sizeWithCells="1">
                  <from>
                    <xdr:col>22</xdr:col>
                    <xdr:colOff>0</xdr:colOff>
                    <xdr:row>228</xdr:row>
                    <xdr:rowOff>0</xdr:rowOff>
                  </from>
                  <to>
                    <xdr:col>22</xdr:col>
                    <xdr:colOff>180975</xdr:colOff>
                    <xdr:row>228</xdr:row>
                    <xdr:rowOff>180975</xdr:rowOff>
                  </to>
                </anchor>
              </controlPr>
            </control>
          </mc:Choice>
        </mc:AlternateContent>
        <mc:AlternateContent xmlns:mc="http://schemas.openxmlformats.org/markup-compatibility/2006">
          <mc:Choice Requires="x14">
            <control shapeId="3284" r:id="rId55" name="Check Box 212">
              <controlPr locked="0" defaultSize="0" autoFill="0" autoLine="0" autoPict="0">
                <anchor moveWithCells="1" sizeWithCells="1">
                  <from>
                    <xdr:col>22</xdr:col>
                    <xdr:colOff>0</xdr:colOff>
                    <xdr:row>230</xdr:row>
                    <xdr:rowOff>0</xdr:rowOff>
                  </from>
                  <to>
                    <xdr:col>22</xdr:col>
                    <xdr:colOff>180975</xdr:colOff>
                    <xdr:row>230</xdr:row>
                    <xdr:rowOff>180975</xdr:rowOff>
                  </to>
                </anchor>
              </controlPr>
            </control>
          </mc:Choice>
        </mc:AlternateContent>
        <mc:AlternateContent xmlns:mc="http://schemas.openxmlformats.org/markup-compatibility/2006">
          <mc:Choice Requires="x14">
            <control shapeId="3285" r:id="rId56" name="Check Box 213">
              <controlPr locked="0" defaultSize="0" autoFill="0" autoLine="0" autoPict="0">
                <anchor moveWithCells="1" sizeWithCells="1">
                  <from>
                    <xdr:col>22</xdr:col>
                    <xdr:colOff>0</xdr:colOff>
                    <xdr:row>234</xdr:row>
                    <xdr:rowOff>0</xdr:rowOff>
                  </from>
                  <to>
                    <xdr:col>22</xdr:col>
                    <xdr:colOff>180975</xdr:colOff>
                    <xdr:row>234</xdr:row>
                    <xdr:rowOff>180975</xdr:rowOff>
                  </to>
                </anchor>
              </controlPr>
            </control>
          </mc:Choice>
        </mc:AlternateContent>
        <mc:AlternateContent xmlns:mc="http://schemas.openxmlformats.org/markup-compatibility/2006">
          <mc:Choice Requires="x14">
            <control shapeId="3286" r:id="rId57" name="Check Box 214">
              <controlPr locked="0" defaultSize="0" autoFill="0" autoLine="0" autoPict="0">
                <anchor moveWithCells="1" sizeWithCells="1">
                  <from>
                    <xdr:col>22</xdr:col>
                    <xdr:colOff>0</xdr:colOff>
                    <xdr:row>237</xdr:row>
                    <xdr:rowOff>0</xdr:rowOff>
                  </from>
                  <to>
                    <xdr:col>22</xdr:col>
                    <xdr:colOff>180975</xdr:colOff>
                    <xdr:row>237</xdr:row>
                    <xdr:rowOff>180975</xdr:rowOff>
                  </to>
                </anchor>
              </controlPr>
            </control>
          </mc:Choice>
        </mc:AlternateContent>
        <mc:AlternateContent xmlns:mc="http://schemas.openxmlformats.org/markup-compatibility/2006">
          <mc:Choice Requires="x14">
            <control shapeId="3287" r:id="rId58" name="Check Box 215">
              <controlPr locked="0" defaultSize="0" autoFill="0" autoLine="0" autoPict="0">
                <anchor moveWithCells="1" sizeWithCells="1">
                  <from>
                    <xdr:col>22</xdr:col>
                    <xdr:colOff>0</xdr:colOff>
                    <xdr:row>239</xdr:row>
                    <xdr:rowOff>0</xdr:rowOff>
                  </from>
                  <to>
                    <xdr:col>22</xdr:col>
                    <xdr:colOff>180975</xdr:colOff>
                    <xdr:row>239</xdr:row>
                    <xdr:rowOff>180975</xdr:rowOff>
                  </to>
                </anchor>
              </controlPr>
            </control>
          </mc:Choice>
        </mc:AlternateContent>
        <mc:AlternateContent xmlns:mc="http://schemas.openxmlformats.org/markup-compatibility/2006">
          <mc:Choice Requires="x14">
            <control shapeId="3288" r:id="rId59" name="Check Box 216">
              <controlPr locked="0" defaultSize="0" autoFill="0" autoLine="0" autoPict="0">
                <anchor moveWithCells="1" sizeWithCells="1">
                  <from>
                    <xdr:col>22</xdr:col>
                    <xdr:colOff>0</xdr:colOff>
                    <xdr:row>240</xdr:row>
                    <xdr:rowOff>0</xdr:rowOff>
                  </from>
                  <to>
                    <xdr:col>22</xdr:col>
                    <xdr:colOff>180975</xdr:colOff>
                    <xdr:row>240</xdr:row>
                    <xdr:rowOff>180975</xdr:rowOff>
                  </to>
                </anchor>
              </controlPr>
            </control>
          </mc:Choice>
        </mc:AlternateContent>
        <mc:AlternateContent xmlns:mc="http://schemas.openxmlformats.org/markup-compatibility/2006">
          <mc:Choice Requires="x14">
            <control shapeId="3289" r:id="rId60" name="Check Box 217">
              <controlPr locked="0" defaultSize="0" autoFill="0" autoLine="0" autoPict="0">
                <anchor moveWithCells="1" sizeWithCells="1">
                  <from>
                    <xdr:col>22</xdr:col>
                    <xdr:colOff>0</xdr:colOff>
                    <xdr:row>241</xdr:row>
                    <xdr:rowOff>0</xdr:rowOff>
                  </from>
                  <to>
                    <xdr:col>22</xdr:col>
                    <xdr:colOff>180975</xdr:colOff>
                    <xdr:row>241</xdr:row>
                    <xdr:rowOff>180975</xdr:rowOff>
                  </to>
                </anchor>
              </controlPr>
            </control>
          </mc:Choice>
        </mc:AlternateContent>
        <mc:AlternateContent xmlns:mc="http://schemas.openxmlformats.org/markup-compatibility/2006">
          <mc:Choice Requires="x14">
            <control shapeId="3290" r:id="rId61" name="Check Box 218">
              <controlPr locked="0" defaultSize="0" autoFill="0" autoLine="0" autoPict="0">
                <anchor moveWithCells="1" sizeWithCells="1">
                  <from>
                    <xdr:col>22</xdr:col>
                    <xdr:colOff>0</xdr:colOff>
                    <xdr:row>242</xdr:row>
                    <xdr:rowOff>0</xdr:rowOff>
                  </from>
                  <to>
                    <xdr:col>22</xdr:col>
                    <xdr:colOff>180975</xdr:colOff>
                    <xdr:row>242</xdr:row>
                    <xdr:rowOff>180975</xdr:rowOff>
                  </to>
                </anchor>
              </controlPr>
            </control>
          </mc:Choice>
        </mc:AlternateContent>
        <mc:AlternateContent xmlns:mc="http://schemas.openxmlformats.org/markup-compatibility/2006">
          <mc:Choice Requires="x14">
            <control shapeId="3291" r:id="rId62" name="Check Box 219">
              <controlPr locked="0" defaultSize="0" autoFill="0" autoLine="0" autoPict="0">
                <anchor moveWithCells="1" sizeWithCells="1">
                  <from>
                    <xdr:col>22</xdr:col>
                    <xdr:colOff>0</xdr:colOff>
                    <xdr:row>243</xdr:row>
                    <xdr:rowOff>0</xdr:rowOff>
                  </from>
                  <to>
                    <xdr:col>22</xdr:col>
                    <xdr:colOff>180975</xdr:colOff>
                    <xdr:row>243</xdr:row>
                    <xdr:rowOff>180975</xdr:rowOff>
                  </to>
                </anchor>
              </controlPr>
            </control>
          </mc:Choice>
        </mc:AlternateContent>
        <mc:AlternateContent xmlns:mc="http://schemas.openxmlformats.org/markup-compatibility/2006">
          <mc:Choice Requires="x14">
            <control shapeId="3292" r:id="rId63" name="Check Box 220">
              <controlPr locked="0" defaultSize="0" autoFill="0" autoLine="0" autoPict="0">
                <anchor moveWithCells="1" sizeWithCells="1">
                  <from>
                    <xdr:col>22</xdr:col>
                    <xdr:colOff>0</xdr:colOff>
                    <xdr:row>244</xdr:row>
                    <xdr:rowOff>0</xdr:rowOff>
                  </from>
                  <to>
                    <xdr:col>22</xdr:col>
                    <xdr:colOff>180975</xdr:colOff>
                    <xdr:row>244</xdr:row>
                    <xdr:rowOff>180975</xdr:rowOff>
                  </to>
                </anchor>
              </controlPr>
            </control>
          </mc:Choice>
        </mc:AlternateContent>
        <mc:AlternateContent xmlns:mc="http://schemas.openxmlformats.org/markup-compatibility/2006">
          <mc:Choice Requires="x14">
            <control shapeId="3293" r:id="rId64" name="Check Box 221">
              <controlPr locked="0" defaultSize="0" autoFill="0" autoLine="0" autoPict="0">
                <anchor moveWithCells="1" sizeWithCells="1">
                  <from>
                    <xdr:col>22</xdr:col>
                    <xdr:colOff>0</xdr:colOff>
                    <xdr:row>246</xdr:row>
                    <xdr:rowOff>0</xdr:rowOff>
                  </from>
                  <to>
                    <xdr:col>22</xdr:col>
                    <xdr:colOff>180975</xdr:colOff>
                    <xdr:row>246</xdr:row>
                    <xdr:rowOff>180975</xdr:rowOff>
                  </to>
                </anchor>
              </controlPr>
            </control>
          </mc:Choice>
        </mc:AlternateContent>
        <mc:AlternateContent xmlns:mc="http://schemas.openxmlformats.org/markup-compatibility/2006">
          <mc:Choice Requires="x14">
            <control shapeId="3294" r:id="rId65" name="Check Box 222">
              <controlPr locked="0" defaultSize="0" autoFill="0" autoLine="0" autoPict="0">
                <anchor moveWithCells="1" sizeWithCells="1">
                  <from>
                    <xdr:col>22</xdr:col>
                    <xdr:colOff>0</xdr:colOff>
                    <xdr:row>253</xdr:row>
                    <xdr:rowOff>0</xdr:rowOff>
                  </from>
                  <to>
                    <xdr:col>22</xdr:col>
                    <xdr:colOff>180975</xdr:colOff>
                    <xdr:row>253</xdr:row>
                    <xdr:rowOff>180975</xdr:rowOff>
                  </to>
                </anchor>
              </controlPr>
            </control>
          </mc:Choice>
        </mc:AlternateContent>
        <mc:AlternateContent xmlns:mc="http://schemas.openxmlformats.org/markup-compatibility/2006">
          <mc:Choice Requires="x14">
            <control shapeId="3295" r:id="rId66" name="Check Box 223">
              <controlPr locked="0" defaultSize="0" autoFill="0" autoLine="0" autoPict="0">
                <anchor moveWithCells="1" sizeWithCells="1">
                  <from>
                    <xdr:col>22</xdr:col>
                    <xdr:colOff>0</xdr:colOff>
                    <xdr:row>255</xdr:row>
                    <xdr:rowOff>0</xdr:rowOff>
                  </from>
                  <to>
                    <xdr:col>22</xdr:col>
                    <xdr:colOff>180975</xdr:colOff>
                    <xdr:row>255</xdr:row>
                    <xdr:rowOff>180975</xdr:rowOff>
                  </to>
                </anchor>
              </controlPr>
            </control>
          </mc:Choice>
        </mc:AlternateContent>
        <mc:AlternateContent xmlns:mc="http://schemas.openxmlformats.org/markup-compatibility/2006">
          <mc:Choice Requires="x14">
            <control shapeId="3296" r:id="rId67" name="Check Box 224">
              <controlPr locked="0" defaultSize="0" autoFill="0" autoLine="0" autoPict="0">
                <anchor moveWithCells="1" sizeWithCells="1">
                  <from>
                    <xdr:col>22</xdr:col>
                    <xdr:colOff>0</xdr:colOff>
                    <xdr:row>264</xdr:row>
                    <xdr:rowOff>0</xdr:rowOff>
                  </from>
                  <to>
                    <xdr:col>22</xdr:col>
                    <xdr:colOff>180975</xdr:colOff>
                    <xdr:row>264</xdr:row>
                    <xdr:rowOff>180975</xdr:rowOff>
                  </to>
                </anchor>
              </controlPr>
            </control>
          </mc:Choice>
        </mc:AlternateContent>
        <mc:AlternateContent xmlns:mc="http://schemas.openxmlformats.org/markup-compatibility/2006">
          <mc:Choice Requires="x14">
            <control shapeId="3297" r:id="rId68" name="Check Box 225">
              <controlPr locked="0" defaultSize="0" autoFill="0" autoLine="0" autoPict="0">
                <anchor moveWithCells="1" sizeWithCells="1">
                  <from>
                    <xdr:col>22</xdr:col>
                    <xdr:colOff>0</xdr:colOff>
                    <xdr:row>267</xdr:row>
                    <xdr:rowOff>0</xdr:rowOff>
                  </from>
                  <to>
                    <xdr:col>22</xdr:col>
                    <xdr:colOff>180975</xdr:colOff>
                    <xdr:row>267</xdr:row>
                    <xdr:rowOff>180975</xdr:rowOff>
                  </to>
                </anchor>
              </controlPr>
            </control>
          </mc:Choice>
        </mc:AlternateContent>
        <mc:AlternateContent xmlns:mc="http://schemas.openxmlformats.org/markup-compatibility/2006">
          <mc:Choice Requires="x14">
            <control shapeId="3298" r:id="rId69" name="Check Box 226">
              <controlPr locked="0" defaultSize="0" autoFill="0" autoLine="0" autoPict="0">
                <anchor moveWithCells="1" sizeWithCells="1">
                  <from>
                    <xdr:col>22</xdr:col>
                    <xdr:colOff>0</xdr:colOff>
                    <xdr:row>271</xdr:row>
                    <xdr:rowOff>0</xdr:rowOff>
                  </from>
                  <to>
                    <xdr:col>22</xdr:col>
                    <xdr:colOff>180975</xdr:colOff>
                    <xdr:row>271</xdr:row>
                    <xdr:rowOff>180975</xdr:rowOff>
                  </to>
                </anchor>
              </controlPr>
            </control>
          </mc:Choice>
        </mc:AlternateContent>
        <mc:AlternateContent xmlns:mc="http://schemas.openxmlformats.org/markup-compatibility/2006">
          <mc:Choice Requires="x14">
            <control shapeId="3299" r:id="rId70" name="Check Box 227">
              <controlPr locked="0" defaultSize="0" autoFill="0" autoLine="0" autoPict="0">
                <anchor moveWithCells="1" sizeWithCells="1">
                  <from>
                    <xdr:col>22</xdr:col>
                    <xdr:colOff>0</xdr:colOff>
                    <xdr:row>272</xdr:row>
                    <xdr:rowOff>0</xdr:rowOff>
                  </from>
                  <to>
                    <xdr:col>22</xdr:col>
                    <xdr:colOff>180975</xdr:colOff>
                    <xdr:row>272</xdr:row>
                    <xdr:rowOff>180975</xdr:rowOff>
                  </to>
                </anchor>
              </controlPr>
            </control>
          </mc:Choice>
        </mc:AlternateContent>
        <mc:AlternateContent xmlns:mc="http://schemas.openxmlformats.org/markup-compatibility/2006">
          <mc:Choice Requires="x14">
            <control shapeId="3300" r:id="rId71" name="Check Box 228">
              <controlPr locked="0" defaultSize="0" autoFill="0" autoLine="0" autoPict="0">
                <anchor moveWithCells="1" sizeWithCells="1">
                  <from>
                    <xdr:col>22</xdr:col>
                    <xdr:colOff>0</xdr:colOff>
                    <xdr:row>282</xdr:row>
                    <xdr:rowOff>0</xdr:rowOff>
                  </from>
                  <to>
                    <xdr:col>22</xdr:col>
                    <xdr:colOff>180975</xdr:colOff>
                    <xdr:row>282</xdr:row>
                    <xdr:rowOff>180975</xdr:rowOff>
                  </to>
                </anchor>
              </controlPr>
            </control>
          </mc:Choice>
        </mc:AlternateContent>
        <mc:AlternateContent xmlns:mc="http://schemas.openxmlformats.org/markup-compatibility/2006">
          <mc:Choice Requires="x14">
            <control shapeId="3306" r:id="rId72" name="Check Box 234">
              <controlPr locked="0" defaultSize="0" autoFill="0" autoLine="0" autoPict="0">
                <anchor moveWithCells="1" sizeWithCells="1">
                  <from>
                    <xdr:col>22</xdr:col>
                    <xdr:colOff>0</xdr:colOff>
                    <xdr:row>50</xdr:row>
                    <xdr:rowOff>0</xdr:rowOff>
                  </from>
                  <to>
                    <xdr:col>22</xdr:col>
                    <xdr:colOff>180975</xdr:colOff>
                    <xdr:row>50</xdr:row>
                    <xdr:rowOff>180975</xdr:rowOff>
                  </to>
                </anchor>
              </controlPr>
            </control>
          </mc:Choice>
        </mc:AlternateContent>
        <mc:AlternateContent xmlns:mc="http://schemas.openxmlformats.org/markup-compatibility/2006">
          <mc:Choice Requires="x14">
            <control shapeId="3309" r:id="rId73" name="Check Box 237">
              <controlPr locked="0" defaultSize="0" autoFill="0" autoLine="0" autoPict="0">
                <anchor moveWithCells="1" sizeWithCells="1">
                  <from>
                    <xdr:col>22</xdr:col>
                    <xdr:colOff>0</xdr:colOff>
                    <xdr:row>52</xdr:row>
                    <xdr:rowOff>0</xdr:rowOff>
                  </from>
                  <to>
                    <xdr:col>22</xdr:col>
                    <xdr:colOff>180975</xdr:colOff>
                    <xdr:row>52</xdr:row>
                    <xdr:rowOff>180975</xdr:rowOff>
                  </to>
                </anchor>
              </controlPr>
            </control>
          </mc:Choice>
        </mc:AlternateContent>
        <mc:AlternateContent xmlns:mc="http://schemas.openxmlformats.org/markup-compatibility/2006">
          <mc:Choice Requires="x14">
            <control shapeId="3310" r:id="rId74" name="Check Box 238">
              <controlPr locked="0" defaultSize="0" autoFill="0" autoLine="0" autoPict="0">
                <anchor moveWithCells="1" sizeWithCells="1">
                  <from>
                    <xdr:col>22</xdr:col>
                    <xdr:colOff>0</xdr:colOff>
                    <xdr:row>55</xdr:row>
                    <xdr:rowOff>0</xdr:rowOff>
                  </from>
                  <to>
                    <xdr:col>22</xdr:col>
                    <xdr:colOff>180975</xdr:colOff>
                    <xdr:row>55</xdr:row>
                    <xdr:rowOff>180975</xdr:rowOff>
                  </to>
                </anchor>
              </controlPr>
            </control>
          </mc:Choice>
        </mc:AlternateContent>
        <mc:AlternateContent xmlns:mc="http://schemas.openxmlformats.org/markup-compatibility/2006">
          <mc:Choice Requires="x14">
            <control shapeId="3312" r:id="rId75" name="Check Box 240">
              <controlPr locked="0" defaultSize="0" autoFill="0" autoLine="0" autoPict="0">
                <anchor moveWithCells="1" sizeWithCells="1">
                  <from>
                    <xdr:col>22</xdr:col>
                    <xdr:colOff>0</xdr:colOff>
                    <xdr:row>83</xdr:row>
                    <xdr:rowOff>0</xdr:rowOff>
                  </from>
                  <to>
                    <xdr:col>22</xdr:col>
                    <xdr:colOff>180975</xdr:colOff>
                    <xdr:row>83</xdr:row>
                    <xdr:rowOff>180975</xdr:rowOff>
                  </to>
                </anchor>
              </controlPr>
            </control>
          </mc:Choice>
        </mc:AlternateContent>
        <mc:AlternateContent xmlns:mc="http://schemas.openxmlformats.org/markup-compatibility/2006">
          <mc:Choice Requires="x14">
            <control shapeId="3314" r:id="rId76" name="Check Box 242">
              <controlPr locked="0" defaultSize="0" autoFill="0" autoLine="0" autoPict="0">
                <anchor moveWithCells="1" sizeWithCells="1">
                  <from>
                    <xdr:col>22</xdr:col>
                    <xdr:colOff>0</xdr:colOff>
                    <xdr:row>140</xdr:row>
                    <xdr:rowOff>0</xdr:rowOff>
                  </from>
                  <to>
                    <xdr:col>22</xdr:col>
                    <xdr:colOff>180975</xdr:colOff>
                    <xdr:row>140</xdr:row>
                    <xdr:rowOff>180975</xdr:rowOff>
                  </to>
                </anchor>
              </controlPr>
            </control>
          </mc:Choice>
        </mc:AlternateContent>
        <mc:AlternateContent xmlns:mc="http://schemas.openxmlformats.org/markup-compatibility/2006">
          <mc:Choice Requires="x14">
            <control shapeId="3315" r:id="rId77" name="Check Box 243">
              <controlPr locked="0" defaultSize="0" autoFill="0" autoLine="0" autoPict="0">
                <anchor moveWithCells="1" sizeWithCells="1">
                  <from>
                    <xdr:col>22</xdr:col>
                    <xdr:colOff>0</xdr:colOff>
                    <xdr:row>142</xdr:row>
                    <xdr:rowOff>0</xdr:rowOff>
                  </from>
                  <to>
                    <xdr:col>22</xdr:col>
                    <xdr:colOff>180975</xdr:colOff>
                    <xdr:row>142</xdr:row>
                    <xdr:rowOff>180975</xdr:rowOff>
                  </to>
                </anchor>
              </controlPr>
            </control>
          </mc:Choice>
        </mc:AlternateContent>
        <mc:AlternateContent xmlns:mc="http://schemas.openxmlformats.org/markup-compatibility/2006">
          <mc:Choice Requires="x14">
            <control shapeId="3318" r:id="rId78" name="Check Box 246">
              <controlPr locked="0" defaultSize="0" autoFill="0" autoLine="0" autoPict="0">
                <anchor moveWithCells="1" sizeWithCells="1">
                  <from>
                    <xdr:col>22</xdr:col>
                    <xdr:colOff>0</xdr:colOff>
                    <xdr:row>162</xdr:row>
                    <xdr:rowOff>0</xdr:rowOff>
                  </from>
                  <to>
                    <xdr:col>22</xdr:col>
                    <xdr:colOff>180975</xdr:colOff>
                    <xdr:row>162</xdr:row>
                    <xdr:rowOff>180975</xdr:rowOff>
                  </to>
                </anchor>
              </controlPr>
            </control>
          </mc:Choice>
        </mc:AlternateContent>
        <mc:AlternateContent xmlns:mc="http://schemas.openxmlformats.org/markup-compatibility/2006">
          <mc:Choice Requires="x14">
            <control shapeId="3321" r:id="rId79" name="Check Box 249">
              <controlPr locked="0" defaultSize="0" autoFill="0" autoLine="0" autoPict="0">
                <anchor moveWithCells="1" sizeWithCells="1">
                  <from>
                    <xdr:col>22</xdr:col>
                    <xdr:colOff>0</xdr:colOff>
                    <xdr:row>288</xdr:row>
                    <xdr:rowOff>0</xdr:rowOff>
                  </from>
                  <to>
                    <xdr:col>22</xdr:col>
                    <xdr:colOff>180975</xdr:colOff>
                    <xdr:row>288</xdr:row>
                    <xdr:rowOff>180975</xdr:rowOff>
                  </to>
                </anchor>
              </controlPr>
            </control>
          </mc:Choice>
        </mc:AlternateContent>
        <mc:AlternateContent xmlns:mc="http://schemas.openxmlformats.org/markup-compatibility/2006">
          <mc:Choice Requires="x14">
            <control shapeId="3322" r:id="rId80" name="Check Box 250">
              <controlPr locked="0" defaultSize="0" autoFill="0" autoLine="0" autoPict="0">
                <anchor moveWithCells="1" sizeWithCells="1">
                  <from>
                    <xdr:col>22</xdr:col>
                    <xdr:colOff>0</xdr:colOff>
                    <xdr:row>291</xdr:row>
                    <xdr:rowOff>0</xdr:rowOff>
                  </from>
                  <to>
                    <xdr:col>22</xdr:col>
                    <xdr:colOff>180975</xdr:colOff>
                    <xdr:row>291</xdr:row>
                    <xdr:rowOff>180975</xdr:rowOff>
                  </to>
                </anchor>
              </controlPr>
            </control>
          </mc:Choice>
        </mc:AlternateContent>
        <mc:AlternateContent xmlns:mc="http://schemas.openxmlformats.org/markup-compatibility/2006">
          <mc:Choice Requires="x14">
            <control shapeId="3323" r:id="rId81" name="Check Box 251">
              <controlPr locked="0" defaultSize="0" autoFill="0" autoLine="0" autoPict="0">
                <anchor moveWithCells="1" sizeWithCells="1">
                  <from>
                    <xdr:col>22</xdr:col>
                    <xdr:colOff>0</xdr:colOff>
                    <xdr:row>292</xdr:row>
                    <xdr:rowOff>0</xdr:rowOff>
                  </from>
                  <to>
                    <xdr:col>22</xdr:col>
                    <xdr:colOff>180975</xdr:colOff>
                    <xdr:row>292</xdr:row>
                    <xdr:rowOff>180975</xdr:rowOff>
                  </to>
                </anchor>
              </controlPr>
            </control>
          </mc:Choice>
        </mc:AlternateContent>
        <mc:AlternateContent xmlns:mc="http://schemas.openxmlformats.org/markup-compatibility/2006">
          <mc:Choice Requires="x14">
            <control shapeId="3325" r:id="rId82" name="Check Box 253">
              <controlPr locked="0" defaultSize="0" autoFill="0" autoLine="0" autoPict="0">
                <anchor moveWithCells="1" sizeWithCells="1">
                  <from>
                    <xdr:col>22</xdr:col>
                    <xdr:colOff>0</xdr:colOff>
                    <xdr:row>305</xdr:row>
                    <xdr:rowOff>0</xdr:rowOff>
                  </from>
                  <to>
                    <xdr:col>22</xdr:col>
                    <xdr:colOff>180975</xdr:colOff>
                    <xdr:row>305</xdr:row>
                    <xdr:rowOff>180975</xdr:rowOff>
                  </to>
                </anchor>
              </controlPr>
            </control>
          </mc:Choice>
        </mc:AlternateContent>
        <mc:AlternateContent xmlns:mc="http://schemas.openxmlformats.org/markup-compatibility/2006">
          <mc:Choice Requires="x14">
            <control shapeId="3326" r:id="rId83" name="Check Box 254">
              <controlPr locked="0" defaultSize="0" autoFill="0" autoLine="0" autoPict="0">
                <anchor moveWithCells="1" sizeWithCells="1">
                  <from>
                    <xdr:col>22</xdr:col>
                    <xdr:colOff>0</xdr:colOff>
                    <xdr:row>309</xdr:row>
                    <xdr:rowOff>0</xdr:rowOff>
                  </from>
                  <to>
                    <xdr:col>22</xdr:col>
                    <xdr:colOff>180975</xdr:colOff>
                    <xdr:row>309</xdr:row>
                    <xdr:rowOff>180975</xdr:rowOff>
                  </to>
                </anchor>
              </controlPr>
            </control>
          </mc:Choice>
        </mc:AlternateContent>
        <mc:AlternateContent xmlns:mc="http://schemas.openxmlformats.org/markup-compatibility/2006">
          <mc:Choice Requires="x14">
            <control shapeId="3327" r:id="rId84" name="Check Box 255">
              <controlPr locked="0" defaultSize="0" autoFill="0" autoLine="0" autoPict="0">
                <anchor moveWithCells="1" sizeWithCells="1">
                  <from>
                    <xdr:col>22</xdr:col>
                    <xdr:colOff>0</xdr:colOff>
                    <xdr:row>312</xdr:row>
                    <xdr:rowOff>0</xdr:rowOff>
                  </from>
                  <to>
                    <xdr:col>22</xdr:col>
                    <xdr:colOff>180975</xdr:colOff>
                    <xdr:row>312</xdr:row>
                    <xdr:rowOff>180975</xdr:rowOff>
                  </to>
                </anchor>
              </controlPr>
            </control>
          </mc:Choice>
        </mc:AlternateContent>
        <mc:AlternateContent xmlns:mc="http://schemas.openxmlformats.org/markup-compatibility/2006">
          <mc:Choice Requires="x14">
            <control shapeId="3328" r:id="rId85" name="Check Box 256">
              <controlPr locked="0" defaultSize="0" autoFill="0" autoLine="0" autoPict="0">
                <anchor moveWithCells="1" sizeWithCells="1">
                  <from>
                    <xdr:col>22</xdr:col>
                    <xdr:colOff>0</xdr:colOff>
                    <xdr:row>315</xdr:row>
                    <xdr:rowOff>0</xdr:rowOff>
                  </from>
                  <to>
                    <xdr:col>22</xdr:col>
                    <xdr:colOff>180975</xdr:colOff>
                    <xdr:row>315</xdr:row>
                    <xdr:rowOff>180975</xdr:rowOff>
                  </to>
                </anchor>
              </controlPr>
            </control>
          </mc:Choice>
        </mc:AlternateContent>
        <mc:AlternateContent xmlns:mc="http://schemas.openxmlformats.org/markup-compatibility/2006">
          <mc:Choice Requires="x14">
            <control shapeId="3329" r:id="rId86" name="Check Box 257">
              <controlPr locked="0" defaultSize="0" autoFill="0" autoLine="0" autoPict="0">
                <anchor moveWithCells="1" sizeWithCells="1">
                  <from>
                    <xdr:col>22</xdr:col>
                    <xdr:colOff>0</xdr:colOff>
                    <xdr:row>316</xdr:row>
                    <xdr:rowOff>0</xdr:rowOff>
                  </from>
                  <to>
                    <xdr:col>22</xdr:col>
                    <xdr:colOff>180975</xdr:colOff>
                    <xdr:row>316</xdr:row>
                    <xdr:rowOff>180975</xdr:rowOff>
                  </to>
                </anchor>
              </controlPr>
            </control>
          </mc:Choice>
        </mc:AlternateContent>
        <mc:AlternateContent xmlns:mc="http://schemas.openxmlformats.org/markup-compatibility/2006">
          <mc:Choice Requires="x14">
            <control shapeId="3330" r:id="rId87" name="Check Box 258">
              <controlPr locked="0" defaultSize="0" autoFill="0" autoLine="0" autoPict="0">
                <anchor moveWithCells="1" sizeWithCells="1">
                  <from>
                    <xdr:col>22</xdr:col>
                    <xdr:colOff>0</xdr:colOff>
                    <xdr:row>321</xdr:row>
                    <xdr:rowOff>0</xdr:rowOff>
                  </from>
                  <to>
                    <xdr:col>22</xdr:col>
                    <xdr:colOff>180975</xdr:colOff>
                    <xdr:row>321</xdr:row>
                    <xdr:rowOff>180975</xdr:rowOff>
                  </to>
                </anchor>
              </controlPr>
            </control>
          </mc:Choice>
        </mc:AlternateContent>
        <mc:AlternateContent xmlns:mc="http://schemas.openxmlformats.org/markup-compatibility/2006">
          <mc:Choice Requires="x14">
            <control shapeId="3331" r:id="rId88" name="Check Box 259">
              <controlPr locked="0" defaultSize="0" autoFill="0" autoLine="0" autoPict="0">
                <anchor moveWithCells="1" sizeWithCells="1">
                  <from>
                    <xdr:col>22</xdr:col>
                    <xdr:colOff>0</xdr:colOff>
                    <xdr:row>323</xdr:row>
                    <xdr:rowOff>0</xdr:rowOff>
                  </from>
                  <to>
                    <xdr:col>22</xdr:col>
                    <xdr:colOff>180975</xdr:colOff>
                    <xdr:row>323</xdr:row>
                    <xdr:rowOff>180975</xdr:rowOff>
                  </to>
                </anchor>
              </controlPr>
            </control>
          </mc:Choice>
        </mc:AlternateContent>
        <mc:AlternateContent xmlns:mc="http://schemas.openxmlformats.org/markup-compatibility/2006">
          <mc:Choice Requires="x14">
            <control shapeId="3332" r:id="rId89" name="Check Box 260">
              <controlPr locked="0" defaultSize="0" autoFill="0" autoLine="0" autoPict="0">
                <anchor moveWithCells="1" sizeWithCells="1">
                  <from>
                    <xdr:col>22</xdr:col>
                    <xdr:colOff>0</xdr:colOff>
                    <xdr:row>325</xdr:row>
                    <xdr:rowOff>0</xdr:rowOff>
                  </from>
                  <to>
                    <xdr:col>22</xdr:col>
                    <xdr:colOff>180975</xdr:colOff>
                    <xdr:row>325</xdr:row>
                    <xdr:rowOff>180975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5">
    <pageSetUpPr fitToPage="1"/>
  </sheetPr>
  <dimension ref="B2:M14"/>
  <sheetViews>
    <sheetView showGridLines="0" zoomScaleNormal="100" workbookViewId="0">
      <selection activeCell="B2" sqref="B2:C2"/>
    </sheetView>
  </sheetViews>
  <sheetFormatPr defaultColWidth="9.140625" defaultRowHeight="15" x14ac:dyDescent="0.25"/>
  <cols>
    <col min="1" max="5" width="9.140625" style="341"/>
    <col min="6" max="6" width="7.28515625" style="341" customWidth="1"/>
    <col min="7" max="7" width="5.85546875" style="341" customWidth="1"/>
    <col min="8" max="8" width="7.7109375" style="341" customWidth="1"/>
    <col min="9" max="10" width="9.140625" style="341"/>
    <col min="11" max="11" width="5.7109375" style="341" customWidth="1"/>
    <col min="12" max="12" width="5.85546875" style="341" customWidth="1"/>
    <col min="13" max="13" width="5.7109375" style="341" customWidth="1"/>
    <col min="14" max="16384" width="9.140625" style="341"/>
  </cols>
  <sheetData>
    <row r="2" spans="2:13" x14ac:dyDescent="0.25">
      <c r="B2" s="2252" t="s">
        <v>4588</v>
      </c>
      <c r="C2" s="2252"/>
      <c r="J2" s="2249" t="s">
        <v>4069</v>
      </c>
      <c r="K2" s="2250"/>
      <c r="L2" s="2250"/>
      <c r="M2" s="2251"/>
    </row>
    <row r="3" spans="2:13" x14ac:dyDescent="0.25">
      <c r="B3" s="1845" t="s">
        <v>4590</v>
      </c>
      <c r="C3" s="1845"/>
      <c r="D3" s="1845"/>
      <c r="E3" s="1845"/>
      <c r="F3" s="1845"/>
      <c r="G3" s="1845"/>
      <c r="H3" s="1845"/>
      <c r="I3" s="1845"/>
      <c r="J3" s="1845"/>
      <c r="K3" s="1845"/>
      <c r="L3" s="1845"/>
      <c r="M3" s="1845"/>
    </row>
    <row r="4" spans="2:13" x14ac:dyDescent="0.25">
      <c r="B4" s="1845" t="s">
        <v>3567</v>
      </c>
      <c r="C4" s="1845"/>
      <c r="D4" s="1845"/>
      <c r="E4" s="1845"/>
      <c r="F4" s="1845"/>
      <c r="G4" s="1845"/>
      <c r="H4" s="1845"/>
      <c r="I4" s="1845"/>
      <c r="J4" s="1845"/>
      <c r="K4" s="1845"/>
      <c r="L4" s="1845"/>
      <c r="M4" s="1845"/>
    </row>
    <row r="5" spans="2:13" ht="15.75" thickBot="1" x14ac:dyDescent="0.3">
      <c r="B5" s="2340" t="s">
        <v>3568</v>
      </c>
      <c r="C5" s="2340"/>
      <c r="D5" s="2340"/>
      <c r="E5" s="2340"/>
      <c r="F5" s="2340"/>
      <c r="G5" s="2340"/>
      <c r="H5" s="2340"/>
      <c r="I5" s="2340"/>
      <c r="J5" s="2340"/>
      <c r="K5" s="2340"/>
      <c r="L5" s="2340"/>
      <c r="M5" s="2340"/>
    </row>
    <row r="6" spans="2:13" ht="22.5" customHeight="1" x14ac:dyDescent="0.25">
      <c r="B6" s="2338" t="s">
        <v>3569</v>
      </c>
      <c r="C6" s="2338" t="s">
        <v>3570</v>
      </c>
      <c r="D6" s="2338" t="s">
        <v>3571</v>
      </c>
      <c r="E6" s="2338" t="s">
        <v>3572</v>
      </c>
      <c r="F6" s="2338" t="s">
        <v>3573</v>
      </c>
      <c r="G6" s="2338" t="s">
        <v>3574</v>
      </c>
      <c r="H6" s="344" t="s">
        <v>3575</v>
      </c>
      <c r="I6" s="344" t="s">
        <v>3576</v>
      </c>
      <c r="J6" s="2338" t="s">
        <v>3577</v>
      </c>
      <c r="K6" s="2338" t="s">
        <v>3578</v>
      </c>
      <c r="L6" s="2338" t="s">
        <v>3579</v>
      </c>
      <c r="M6" s="2338" t="s">
        <v>3580</v>
      </c>
    </row>
    <row r="7" spans="2:13" ht="15.75" thickBot="1" x14ac:dyDescent="0.3">
      <c r="B7" s="2339"/>
      <c r="C7" s="2339"/>
      <c r="D7" s="2339"/>
      <c r="E7" s="2339"/>
      <c r="F7" s="2339"/>
      <c r="G7" s="2339"/>
      <c r="H7" s="345" t="s">
        <v>3581</v>
      </c>
      <c r="I7" s="346" t="s">
        <v>3582</v>
      </c>
      <c r="J7" s="2339"/>
      <c r="K7" s="2339"/>
      <c r="L7" s="2339"/>
      <c r="M7" s="2339"/>
    </row>
    <row r="8" spans="2:13" ht="15.75" thickBot="1" x14ac:dyDescent="0.3">
      <c r="B8" s="347" t="s">
        <v>3583</v>
      </c>
      <c r="C8" s="348">
        <v>1.06</v>
      </c>
      <c r="D8" s="348">
        <v>0.97</v>
      </c>
      <c r="E8" s="348">
        <v>0.84</v>
      </c>
      <c r="F8" s="348" t="s">
        <v>3041</v>
      </c>
      <c r="G8" s="348">
        <v>1.17</v>
      </c>
      <c r="H8" s="348" t="s">
        <v>3041</v>
      </c>
      <c r="I8" s="348">
        <v>0.64</v>
      </c>
      <c r="J8" s="348">
        <v>0.63</v>
      </c>
      <c r="K8" s="348">
        <v>0.64</v>
      </c>
      <c r="L8" s="348" t="s">
        <v>3041</v>
      </c>
      <c r="M8" s="348" t="s">
        <v>3041</v>
      </c>
    </row>
    <row r="9" spans="2:13" ht="15.75" thickBot="1" x14ac:dyDescent="0.3">
      <c r="B9" s="347" t="s">
        <v>3560</v>
      </c>
      <c r="C9" s="348">
        <v>1.69</v>
      </c>
      <c r="D9" s="348">
        <v>1.55</v>
      </c>
      <c r="E9" s="348">
        <v>1.45</v>
      </c>
      <c r="F9" s="348">
        <v>1.25</v>
      </c>
      <c r="G9" s="348">
        <v>1.89</v>
      </c>
      <c r="H9" s="348">
        <v>1.46</v>
      </c>
      <c r="I9" s="348">
        <v>1.18</v>
      </c>
      <c r="J9" s="348">
        <v>1.31</v>
      </c>
      <c r="K9" s="348">
        <v>1.18</v>
      </c>
      <c r="L9" s="348">
        <v>1.72</v>
      </c>
      <c r="M9" s="348">
        <v>1.96</v>
      </c>
    </row>
    <row r="10" spans="2:13" ht="15.75" thickBot="1" x14ac:dyDescent="0.3">
      <c r="B10" s="347" t="s">
        <v>3562</v>
      </c>
      <c r="C10" s="348">
        <v>3.43</v>
      </c>
      <c r="D10" s="348">
        <v>3.22</v>
      </c>
      <c r="E10" s="349">
        <v>2.9</v>
      </c>
      <c r="F10" s="348">
        <v>2.67</v>
      </c>
      <c r="G10" s="348">
        <v>3.38</v>
      </c>
      <c r="H10" s="348">
        <v>2.74</v>
      </c>
      <c r="I10" s="348">
        <v>2.35</v>
      </c>
      <c r="J10" s="348">
        <v>3.39</v>
      </c>
      <c r="K10" s="348">
        <v>2.35</v>
      </c>
      <c r="L10" s="348">
        <v>2.69</v>
      </c>
      <c r="M10" s="348">
        <v>3.06</v>
      </c>
    </row>
    <row r="11" spans="2:13" ht="15.75" thickBot="1" x14ac:dyDescent="0.3">
      <c r="B11" s="350">
        <v>1</v>
      </c>
      <c r="C11" s="348">
        <v>5.81</v>
      </c>
      <c r="D11" s="348">
        <v>5.49</v>
      </c>
      <c r="E11" s="348">
        <v>5.17</v>
      </c>
      <c r="F11" s="348">
        <v>4.43</v>
      </c>
      <c r="G11" s="348">
        <v>5.53</v>
      </c>
      <c r="H11" s="348">
        <v>4.57</v>
      </c>
      <c r="I11" s="348">
        <v>3.91</v>
      </c>
      <c r="J11" s="348">
        <v>5.56</v>
      </c>
      <c r="K11" s="348">
        <v>3.91</v>
      </c>
      <c r="L11" s="348">
        <v>4.41</v>
      </c>
      <c r="M11" s="348">
        <v>5.01</v>
      </c>
    </row>
    <row r="12" spans="2:13" ht="15.75" thickBot="1" x14ac:dyDescent="0.3">
      <c r="B12" s="350" t="s">
        <v>3584</v>
      </c>
      <c r="C12" s="348">
        <v>8.6999999999999993</v>
      </c>
      <c r="D12" s="348">
        <v>8.36</v>
      </c>
      <c r="E12" s="348">
        <v>8.09</v>
      </c>
      <c r="F12" s="348">
        <v>6.61</v>
      </c>
      <c r="G12" s="348">
        <v>9.66</v>
      </c>
      <c r="H12" s="348">
        <v>8.24</v>
      </c>
      <c r="I12" s="348">
        <v>5.81</v>
      </c>
      <c r="J12" s="348">
        <v>8.49</v>
      </c>
      <c r="K12" s="348">
        <v>5.81</v>
      </c>
      <c r="L12" s="349">
        <v>6.9</v>
      </c>
      <c r="M12" s="348">
        <v>7.83</v>
      </c>
    </row>
    <row r="13" spans="2:13" ht="15.75" thickBot="1" x14ac:dyDescent="0.3">
      <c r="B13" s="350" t="s">
        <v>3585</v>
      </c>
      <c r="C13" s="348">
        <v>12.18</v>
      </c>
      <c r="D13" s="348">
        <v>11.83</v>
      </c>
      <c r="E13" s="348">
        <v>11.45</v>
      </c>
      <c r="F13" s="348">
        <v>9.2200000000000006</v>
      </c>
      <c r="G13" s="348">
        <v>13.2</v>
      </c>
      <c r="H13" s="348">
        <v>11.38</v>
      </c>
      <c r="I13" s="348">
        <v>8.09</v>
      </c>
      <c r="J13" s="348">
        <v>13.88</v>
      </c>
      <c r="K13" s="348">
        <v>8.09</v>
      </c>
      <c r="L13" s="348">
        <v>10.77</v>
      </c>
      <c r="M13" s="348">
        <v>12.24</v>
      </c>
    </row>
    <row r="14" spans="2:13" ht="15.75" thickBot="1" x14ac:dyDescent="0.3">
      <c r="B14" s="350">
        <v>2</v>
      </c>
      <c r="C14" s="348">
        <v>21.08</v>
      </c>
      <c r="D14" s="348">
        <v>20.58</v>
      </c>
      <c r="E14" s="348">
        <v>20.04</v>
      </c>
      <c r="F14" s="348">
        <v>15.79</v>
      </c>
      <c r="G14" s="348">
        <v>21.88</v>
      </c>
      <c r="H14" s="348">
        <v>19.11</v>
      </c>
      <c r="I14" s="348">
        <v>13.86</v>
      </c>
      <c r="J14" s="348">
        <v>21.48</v>
      </c>
      <c r="K14" s="348">
        <v>13.86</v>
      </c>
      <c r="L14" s="348">
        <v>17.11</v>
      </c>
      <c r="M14" s="348">
        <v>19.43</v>
      </c>
    </row>
  </sheetData>
  <sheetProtection algorithmName="SHA-512" hashValue="C725VpD7abIBI7Ps2P5ibY3n7p10qR/DWRYXGGy8P9f6LRKUBzkF/QEGZR4/hNK/KVQXKrzdAFwQIvTxt9zrVw==" saltValue="1l8C5lt/ZZL1rmsoYgbkmA==" spinCount="100000" sheet="1" objects="1" scenarios="1" selectLockedCells="1"/>
  <mergeCells count="15">
    <mergeCell ref="K6:K7"/>
    <mergeCell ref="L6:L7"/>
    <mergeCell ref="M6:M7"/>
    <mergeCell ref="B2:C2"/>
    <mergeCell ref="B3:M3"/>
    <mergeCell ref="B4:M4"/>
    <mergeCell ref="B5:M5"/>
    <mergeCell ref="B6:B7"/>
    <mergeCell ref="C6:C7"/>
    <mergeCell ref="D6:D7"/>
    <mergeCell ref="E6:E7"/>
    <mergeCell ref="F6:F7"/>
    <mergeCell ref="G6:G7"/>
    <mergeCell ref="J6:J7"/>
    <mergeCell ref="J2:M2"/>
  </mergeCells>
  <hyperlinks>
    <hyperlink ref="B2:C2" location="hyptarg8.1" display="back to 801.1" xr:uid="{00000000-0004-0000-2500-000000000000}"/>
    <hyperlink ref="J2:L2" location="'Verification Report'!A1" display="back to Verification Report" xr:uid="{00000000-0004-0000-2500-000001000000}"/>
  </hyperlinks>
  <pageMargins left="0.7" right="0.7" top="0.75" bottom="0.75" header="0.3" footer="0.3"/>
  <pageSetup scale="8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B2:G60"/>
  <sheetViews>
    <sheetView showGridLines="0" zoomScaleNormal="100" workbookViewId="0">
      <selection activeCell="B2" sqref="B2:C2"/>
    </sheetView>
  </sheetViews>
  <sheetFormatPr defaultColWidth="9.140625" defaultRowHeight="15" x14ac:dyDescent="0.25"/>
  <cols>
    <col min="1" max="1" width="9.140625" style="392"/>
    <col min="2" max="2" width="40.42578125" style="392" bestFit="1" customWidth="1"/>
    <col min="3" max="3" width="9.5703125" style="392" bestFit="1" customWidth="1"/>
    <col min="4" max="16384" width="9.140625" style="392"/>
  </cols>
  <sheetData>
    <row r="2" spans="2:7" x14ac:dyDescent="0.25">
      <c r="B2" s="2252" t="s">
        <v>3758</v>
      </c>
      <c r="C2" s="2252"/>
      <c r="E2" s="2249" t="s">
        <v>4069</v>
      </c>
      <c r="F2" s="2250"/>
      <c r="G2" s="2251"/>
    </row>
    <row r="3" spans="2:7" x14ac:dyDescent="0.25">
      <c r="B3"/>
      <c r="C3"/>
    </row>
    <row r="4" spans="2:7" x14ac:dyDescent="0.25">
      <c r="B4" s="2240" t="s">
        <v>3717</v>
      </c>
      <c r="C4" s="2240"/>
    </row>
    <row r="5" spans="2:7" ht="15.75" thickBot="1" x14ac:dyDescent="0.3">
      <c r="B5" s="2317" t="s">
        <v>3716</v>
      </c>
      <c r="C5" s="2317"/>
    </row>
    <row r="6" spans="2:7" ht="15" customHeight="1" thickBot="1" x14ac:dyDescent="0.3">
      <c r="B6" s="407" t="s">
        <v>3702</v>
      </c>
      <c r="C6" s="393" t="s">
        <v>3701</v>
      </c>
    </row>
    <row r="7" spans="2:7" ht="15" customHeight="1" thickBot="1" x14ac:dyDescent="0.3">
      <c r="B7" s="406" t="s">
        <v>3715</v>
      </c>
      <c r="C7" s="397">
        <v>50</v>
      </c>
    </row>
    <row r="8" spans="2:7" ht="15" customHeight="1" thickBot="1" x14ac:dyDescent="0.3">
      <c r="B8" s="406" t="s">
        <v>3714</v>
      </c>
      <c r="C8" s="397">
        <v>100</v>
      </c>
    </row>
    <row r="9" spans="2:7" ht="15" customHeight="1" thickBot="1" x14ac:dyDescent="0.3">
      <c r="B9" s="406" t="s">
        <v>3713</v>
      </c>
      <c r="C9" s="397">
        <v>150</v>
      </c>
    </row>
    <row r="10" spans="2:7" ht="15" customHeight="1" thickBot="1" x14ac:dyDescent="0.3">
      <c r="B10" s="405" t="s">
        <v>3712</v>
      </c>
      <c r="C10" s="404"/>
    </row>
    <row r="11" spans="2:7" ht="15" customHeight="1" thickBot="1" x14ac:dyDescent="0.3">
      <c r="B11" s="398" t="s">
        <v>3711</v>
      </c>
      <c r="C11" s="397">
        <v>400</v>
      </c>
    </row>
    <row r="12" spans="2:7" ht="15" customHeight="1" thickBot="1" x14ac:dyDescent="0.3">
      <c r="B12" s="398" t="s">
        <v>3710</v>
      </c>
      <c r="C12" s="397">
        <v>400</v>
      </c>
    </row>
    <row r="13" spans="2:7" ht="15" customHeight="1" thickBot="1" x14ac:dyDescent="0.3">
      <c r="B13" s="398" t="s">
        <v>3709</v>
      </c>
      <c r="C13" s="397">
        <v>50</v>
      </c>
    </row>
    <row r="14" spans="2:7" ht="15" customHeight="1" thickBot="1" x14ac:dyDescent="0.3">
      <c r="B14" s="398" t="s">
        <v>3708</v>
      </c>
      <c r="C14" s="397">
        <v>350</v>
      </c>
    </row>
    <row r="15" spans="2:7" ht="15" customHeight="1" thickBot="1" x14ac:dyDescent="0.3">
      <c r="B15" s="398" t="s">
        <v>3707</v>
      </c>
      <c r="C15" s="397">
        <v>350</v>
      </c>
    </row>
    <row r="16" spans="2:7" ht="15" customHeight="1" thickBot="1" x14ac:dyDescent="0.3">
      <c r="B16" s="398" t="s">
        <v>3706</v>
      </c>
      <c r="C16" s="397">
        <v>350</v>
      </c>
    </row>
    <row r="17" spans="2:3" ht="15" customHeight="1" thickBot="1" x14ac:dyDescent="0.3">
      <c r="B17" s="398" t="s">
        <v>3705</v>
      </c>
      <c r="C17" s="397">
        <v>100</v>
      </c>
    </row>
    <row r="18" spans="2:3" ht="15" customHeight="1" thickBot="1" x14ac:dyDescent="0.3">
      <c r="B18" s="398" t="s">
        <v>3704</v>
      </c>
      <c r="C18" s="397">
        <v>50</v>
      </c>
    </row>
    <row r="19" spans="2:3" ht="15" customHeight="1" thickBot="1" x14ac:dyDescent="0.3">
      <c r="B19" s="398" t="s">
        <v>3703</v>
      </c>
      <c r="C19" s="397">
        <v>150</v>
      </c>
    </row>
    <row r="20" spans="2:3" ht="15" customHeight="1" thickBot="1" x14ac:dyDescent="0.3">
      <c r="B20" s="403" t="s">
        <v>3702</v>
      </c>
      <c r="C20" s="319" t="s">
        <v>3701</v>
      </c>
    </row>
    <row r="21" spans="2:3" ht="15" customHeight="1" thickBot="1" x14ac:dyDescent="0.3">
      <c r="B21" s="398" t="s">
        <v>3700</v>
      </c>
      <c r="C21" s="397">
        <v>350</v>
      </c>
    </row>
    <row r="22" spans="2:3" ht="15" customHeight="1" thickBot="1" x14ac:dyDescent="0.3">
      <c r="B22" s="398" t="s">
        <v>3699</v>
      </c>
      <c r="C22" s="397">
        <v>350</v>
      </c>
    </row>
    <row r="23" spans="2:3" ht="15" customHeight="1" thickBot="1" x14ac:dyDescent="0.3">
      <c r="B23" s="398" t="s">
        <v>3698</v>
      </c>
      <c r="C23" s="397">
        <v>100</v>
      </c>
    </row>
    <row r="24" spans="2:3" ht="15" customHeight="1" thickBot="1" x14ac:dyDescent="0.3">
      <c r="B24" s="398" t="s">
        <v>3697</v>
      </c>
      <c r="C24" s="397">
        <v>250</v>
      </c>
    </row>
    <row r="25" spans="2:3" ht="15" customHeight="1" thickBot="1" x14ac:dyDescent="0.3">
      <c r="B25" s="398" t="s">
        <v>3696</v>
      </c>
      <c r="C25" s="397">
        <v>500</v>
      </c>
    </row>
    <row r="26" spans="2:3" ht="15" customHeight="1" thickBot="1" x14ac:dyDescent="0.3">
      <c r="B26" s="398" t="s">
        <v>3695</v>
      </c>
      <c r="C26" s="397">
        <v>420</v>
      </c>
    </row>
    <row r="27" spans="2:3" ht="15" customHeight="1" thickBot="1" x14ac:dyDescent="0.3">
      <c r="B27" s="398" t="s">
        <v>3694</v>
      </c>
      <c r="C27" s="397">
        <v>250</v>
      </c>
    </row>
    <row r="28" spans="2:3" ht="15" customHeight="1" thickBot="1" x14ac:dyDescent="0.3">
      <c r="B28" s="398" t="s">
        <v>3693</v>
      </c>
      <c r="C28" s="397" t="s">
        <v>3692</v>
      </c>
    </row>
    <row r="29" spans="2:3" ht="15" customHeight="1" thickBot="1" x14ac:dyDescent="0.3">
      <c r="B29" s="398" t="s">
        <v>3691</v>
      </c>
      <c r="C29" s="397">
        <v>450</v>
      </c>
    </row>
    <row r="30" spans="2:3" ht="15" customHeight="1" thickBot="1" x14ac:dyDescent="0.3">
      <c r="B30" s="398" t="s">
        <v>3690</v>
      </c>
      <c r="C30" s="397">
        <v>100</v>
      </c>
    </row>
    <row r="31" spans="2:3" ht="15" customHeight="1" thickBot="1" x14ac:dyDescent="0.3">
      <c r="B31" s="398" t="s">
        <v>3689</v>
      </c>
      <c r="C31" s="397">
        <v>500</v>
      </c>
    </row>
    <row r="32" spans="2:3" ht="15" customHeight="1" thickBot="1" x14ac:dyDescent="0.3">
      <c r="B32" s="398" t="s">
        <v>3688</v>
      </c>
      <c r="C32" s="397">
        <v>250</v>
      </c>
    </row>
    <row r="33" spans="2:3" ht="15" customHeight="1" thickBot="1" x14ac:dyDescent="0.3">
      <c r="B33" s="402" t="s">
        <v>3687</v>
      </c>
      <c r="C33" s="401">
        <v>420</v>
      </c>
    </row>
    <row r="34" spans="2:3" ht="15" customHeight="1" thickBot="1" x14ac:dyDescent="0.3">
      <c r="B34" s="400" t="s">
        <v>3686</v>
      </c>
      <c r="C34" s="399">
        <v>100</v>
      </c>
    </row>
    <row r="35" spans="2:3" ht="15" customHeight="1" thickBot="1" x14ac:dyDescent="0.3">
      <c r="B35" s="398" t="s">
        <v>3685</v>
      </c>
      <c r="C35" s="397">
        <v>350</v>
      </c>
    </row>
    <row r="36" spans="2:3" ht="15" customHeight="1" thickBot="1" x14ac:dyDescent="0.3">
      <c r="B36" s="398" t="s">
        <v>3684</v>
      </c>
      <c r="C36" s="397">
        <v>250</v>
      </c>
    </row>
    <row r="37" spans="2:3" ht="15" customHeight="1" thickBot="1" x14ac:dyDescent="0.3">
      <c r="B37" s="398" t="s">
        <v>3683</v>
      </c>
      <c r="C37" s="397">
        <v>50</v>
      </c>
    </row>
    <row r="38" spans="2:3" ht="15" customHeight="1" thickBot="1" x14ac:dyDescent="0.3">
      <c r="B38" s="398" t="s">
        <v>3682</v>
      </c>
      <c r="C38" s="397">
        <v>250</v>
      </c>
    </row>
    <row r="39" spans="2:3" ht="15" customHeight="1" thickBot="1" x14ac:dyDescent="0.3">
      <c r="B39" s="398" t="s">
        <v>3681</v>
      </c>
      <c r="C39" s="397">
        <v>730</v>
      </c>
    </row>
    <row r="40" spans="2:3" ht="15" customHeight="1" thickBot="1" x14ac:dyDescent="0.3">
      <c r="B40" s="398" t="s">
        <v>3680</v>
      </c>
      <c r="C40" s="397">
        <v>550</v>
      </c>
    </row>
    <row r="41" spans="2:3" ht="15" customHeight="1" thickBot="1" x14ac:dyDescent="0.3">
      <c r="B41" s="398" t="s">
        <v>3679</v>
      </c>
      <c r="C41" s="397">
        <v>100</v>
      </c>
    </row>
    <row r="42" spans="2:3" ht="15" customHeight="1" thickBot="1" x14ac:dyDescent="0.3">
      <c r="B42" s="398" t="s">
        <v>3678</v>
      </c>
      <c r="C42" s="397">
        <v>250</v>
      </c>
    </row>
    <row r="43" spans="2:3" ht="15" customHeight="1" thickBot="1" x14ac:dyDescent="0.3">
      <c r="B43" s="398" t="s">
        <v>3677</v>
      </c>
      <c r="C43" s="397">
        <v>450</v>
      </c>
    </row>
    <row r="44" spans="2:3" ht="15" customHeight="1" thickBot="1" x14ac:dyDescent="0.3">
      <c r="B44" s="398" t="s">
        <v>3676</v>
      </c>
      <c r="C44" s="397">
        <v>340</v>
      </c>
    </row>
    <row r="45" spans="2:3" ht="15" customHeight="1" thickBot="1" x14ac:dyDescent="0.3">
      <c r="B45" s="398" t="s">
        <v>3675</v>
      </c>
      <c r="C45" s="397">
        <v>100</v>
      </c>
    </row>
    <row r="46" spans="2:3" ht="15" customHeight="1" thickBot="1" x14ac:dyDescent="0.3">
      <c r="B46" s="398" t="s">
        <v>3674</v>
      </c>
      <c r="C46" s="397">
        <v>420</v>
      </c>
    </row>
    <row r="47" spans="2:3" ht="15" customHeight="1" thickBot="1" x14ac:dyDescent="0.3">
      <c r="B47" s="398" t="s">
        <v>3673</v>
      </c>
      <c r="C47" s="397">
        <v>250</v>
      </c>
    </row>
    <row r="48" spans="2:3" ht="15" customHeight="1" thickBot="1" x14ac:dyDescent="0.3">
      <c r="B48" s="398" t="s">
        <v>3672</v>
      </c>
      <c r="C48" s="397">
        <v>275</v>
      </c>
    </row>
    <row r="49" spans="2:6" ht="15" customHeight="1" thickBot="1" x14ac:dyDescent="0.3">
      <c r="B49" s="398" t="s">
        <v>3671</v>
      </c>
      <c r="C49" s="397">
        <v>350</v>
      </c>
    </row>
    <row r="50" spans="2:6" ht="15" customHeight="1" thickBot="1" x14ac:dyDescent="0.3">
      <c r="B50" s="398" t="s">
        <v>3670</v>
      </c>
      <c r="C50" s="397">
        <v>340</v>
      </c>
    </row>
    <row r="51" spans="2:6" x14ac:dyDescent="0.25">
      <c r="B51" s="2309" t="s">
        <v>3669</v>
      </c>
      <c r="C51" s="2309"/>
      <c r="D51" s="2309"/>
      <c r="E51" s="2309"/>
      <c r="F51" s="2309"/>
    </row>
    <row r="52" spans="2:6" x14ac:dyDescent="0.25">
      <c r="B52" s="2309"/>
      <c r="C52" s="2309"/>
      <c r="D52" s="2309"/>
      <c r="E52" s="2309"/>
      <c r="F52" s="2309"/>
    </row>
    <row r="53" spans="2:6" x14ac:dyDescent="0.25">
      <c r="B53" s="2309" t="s">
        <v>3668</v>
      </c>
      <c r="C53" s="2309"/>
      <c r="D53" s="2309"/>
      <c r="E53" s="2309"/>
      <c r="F53" s="2309"/>
    </row>
    <row r="54" spans="2:6" x14ac:dyDescent="0.25">
      <c r="B54" s="2309"/>
      <c r="C54" s="2309"/>
      <c r="D54" s="2309"/>
      <c r="E54" s="2309"/>
      <c r="F54" s="2309"/>
    </row>
    <row r="55" spans="2:6" x14ac:dyDescent="0.25">
      <c r="B55" s="2309" t="s">
        <v>3667</v>
      </c>
      <c r="C55" s="2309"/>
      <c r="D55" s="2309"/>
      <c r="E55" s="2309"/>
      <c r="F55" s="2309"/>
    </row>
    <row r="56" spans="2:6" x14ac:dyDescent="0.25">
      <c r="B56" s="2309"/>
      <c r="C56" s="2309"/>
      <c r="D56" s="2309"/>
      <c r="E56" s="2309"/>
      <c r="F56" s="2309"/>
    </row>
    <row r="57" spans="2:6" x14ac:dyDescent="0.25">
      <c r="B57" s="2309"/>
      <c r="C57" s="2309"/>
      <c r="D57" s="2309"/>
      <c r="E57" s="2309"/>
      <c r="F57" s="2309"/>
    </row>
    <row r="58" spans="2:6" x14ac:dyDescent="0.25">
      <c r="B58" s="2309" t="s">
        <v>3666</v>
      </c>
      <c r="C58" s="2309"/>
      <c r="D58" s="2309"/>
      <c r="E58" s="2309"/>
      <c r="F58" s="2309"/>
    </row>
    <row r="59" spans="2:6" x14ac:dyDescent="0.25">
      <c r="B59" s="2309"/>
      <c r="C59" s="2309"/>
      <c r="D59" s="2309"/>
      <c r="E59" s="2309"/>
      <c r="F59" s="2309"/>
    </row>
    <row r="60" spans="2:6" x14ac:dyDescent="0.25">
      <c r="B60" s="2341" t="s">
        <v>3665</v>
      </c>
      <c r="C60" s="2341"/>
      <c r="D60" s="2341"/>
      <c r="E60" s="2341"/>
      <c r="F60" s="2341"/>
    </row>
  </sheetData>
  <sheetProtection algorithmName="SHA-512" hashValue="J7DJC0sJkR0g451f8WI6WoyxD3aS8NnsCyyrrFzvQL6Wx6kWnfIU+pOesUWVQa/g+0jQu5NX3qxOHjadSK46MQ==" saltValue="kmW4npVLkTxGs9E24c8soQ==" spinCount="100000" sheet="1" objects="1" scenarios="1" selectLockedCells="1"/>
  <mergeCells count="9">
    <mergeCell ref="B60:F60"/>
    <mergeCell ref="B2:C2"/>
    <mergeCell ref="B58:F59"/>
    <mergeCell ref="B5:C5"/>
    <mergeCell ref="B4:C4"/>
    <mergeCell ref="B51:F52"/>
    <mergeCell ref="B53:F54"/>
    <mergeCell ref="B55:F57"/>
    <mergeCell ref="E2:G2"/>
  </mergeCells>
  <hyperlinks>
    <hyperlink ref="B2:C2" location="hyptarg9.1" display="back to 901.9.1" xr:uid="{00000000-0004-0000-2600-000000000000}"/>
    <hyperlink ref="E2:F2" location="'Verification Report'!A1" display="back to Verification Report" xr:uid="{00000000-0004-0000-2600-000001000000}"/>
    <hyperlink ref="E2:G2" location="'Verification Report'!A1" display="back to Verification Report" xr:uid="{00000000-0004-0000-2600-000002000000}"/>
  </hyperlinks>
  <pageMargins left="0.7" right="0.7" top="0.75" bottom="0.75" header="0.3" footer="0.3"/>
  <pageSetup scale="94" fitToHeight="0" orientation="portrait" r:id="rId1"/>
  <rowBreaks count="1" manualBreakCount="1">
    <brk id="1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B2:G9"/>
  <sheetViews>
    <sheetView showGridLines="0" zoomScaleNormal="100" workbookViewId="0">
      <selection activeCell="B2" sqref="B2:C2"/>
    </sheetView>
  </sheetViews>
  <sheetFormatPr defaultColWidth="9.140625" defaultRowHeight="15" x14ac:dyDescent="0.25"/>
  <cols>
    <col min="1" max="1" width="9.140625" style="392"/>
    <col min="2" max="2" width="37.7109375" style="392" bestFit="1" customWidth="1"/>
    <col min="3" max="3" width="8.85546875" style="392" bestFit="1" customWidth="1"/>
    <col min="4" max="16384" width="9.140625" style="392"/>
  </cols>
  <sheetData>
    <row r="2" spans="2:7" x14ac:dyDescent="0.25">
      <c r="B2" s="2252" t="s">
        <v>4101</v>
      </c>
      <c r="C2" s="2252"/>
      <c r="E2" s="2249" t="s">
        <v>4069</v>
      </c>
      <c r="F2" s="2250"/>
      <c r="G2" s="2251"/>
    </row>
    <row r="4" spans="2:7" ht="15" customHeight="1" x14ac:dyDescent="0.25">
      <c r="B4" s="1845" t="s">
        <v>3724</v>
      </c>
      <c r="C4" s="1845"/>
    </row>
    <row r="5" spans="2:7" ht="15" customHeight="1" thickBot="1" x14ac:dyDescent="0.3">
      <c r="B5" s="2340" t="s">
        <v>3723</v>
      </c>
      <c r="C5" s="2340"/>
    </row>
    <row r="6" spans="2:7" ht="15" customHeight="1" thickBot="1" x14ac:dyDescent="0.3">
      <c r="B6" s="403" t="s">
        <v>3722</v>
      </c>
      <c r="C6" s="319" t="s">
        <v>3721</v>
      </c>
    </row>
    <row r="7" spans="2:7" ht="15" customHeight="1" thickBot="1" x14ac:dyDescent="0.3">
      <c r="B7" s="408" t="s">
        <v>3720</v>
      </c>
      <c r="C7" s="397">
        <v>50</v>
      </c>
    </row>
    <row r="8" spans="2:7" ht="15" customHeight="1" thickBot="1" x14ac:dyDescent="0.3">
      <c r="B8" s="408" t="s">
        <v>3719</v>
      </c>
      <c r="C8" s="397">
        <v>600</v>
      </c>
    </row>
    <row r="9" spans="2:7" ht="15" customHeight="1" thickBot="1" x14ac:dyDescent="0.3">
      <c r="B9" s="408" t="s">
        <v>3718</v>
      </c>
      <c r="C9" s="397">
        <v>50</v>
      </c>
    </row>
  </sheetData>
  <sheetProtection algorithmName="SHA-512" hashValue="bFNBMUtAIphUDLZF5C8tiuahuPKWuMMDGfJNM2d3j77yzp6GnKUbpTfHwLn1zLqcACKu6d68VSaDNGLc1gcH7Q==" saltValue="SKEi6XNmTQiuJcKjMit5CA==" spinCount="100000" sheet="1" objects="1" scenarios="1" selectLockedCells="1"/>
  <mergeCells count="4">
    <mergeCell ref="B4:C4"/>
    <mergeCell ref="B5:C5"/>
    <mergeCell ref="B2:C2"/>
    <mergeCell ref="E2:G2"/>
  </mergeCells>
  <hyperlinks>
    <hyperlink ref="B2:C2" location="hyptarg9.2" display="back to 901.9.1" xr:uid="{00000000-0004-0000-2700-000000000000}"/>
    <hyperlink ref="E2:F2" location="'Verification Report'!A1" display="back to Verification Report" xr:uid="{00000000-0004-0000-2700-000001000000}"/>
    <hyperlink ref="E2:G2" location="'Verification Report'!A1" display="back to Verification Report" xr:uid="{00000000-0004-0000-2700-000002000000}"/>
  </hyperlinks>
  <pageMargins left="0.7" right="0.7" top="0.75" bottom="0.75" header="0.3" footer="0.3"/>
  <pageSetup scale="9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B2:G40"/>
  <sheetViews>
    <sheetView showGridLines="0" zoomScaleNormal="100" zoomScaleSheetLayoutView="80" workbookViewId="0">
      <selection activeCell="B2" sqref="B2:C2"/>
    </sheetView>
  </sheetViews>
  <sheetFormatPr defaultColWidth="9.140625" defaultRowHeight="15" x14ac:dyDescent="0.25"/>
  <cols>
    <col min="1" max="1" width="9.140625" style="392"/>
    <col min="2" max="2" width="32.7109375" style="392" customWidth="1"/>
    <col min="3" max="3" width="23.42578125" style="392" customWidth="1"/>
    <col min="4" max="16384" width="9.140625" style="392"/>
  </cols>
  <sheetData>
    <row r="2" spans="2:7" x14ac:dyDescent="0.25">
      <c r="B2" s="2252" t="s">
        <v>3761</v>
      </c>
      <c r="C2" s="2252"/>
      <c r="E2" s="2249" t="s">
        <v>4069</v>
      </c>
      <c r="F2" s="2250"/>
      <c r="G2" s="2251"/>
    </row>
    <row r="4" spans="2:7" ht="15" customHeight="1" x14ac:dyDescent="0.25">
      <c r="B4" s="1845" t="s">
        <v>3757</v>
      </c>
      <c r="C4" s="1867"/>
      <c r="D4" s="94"/>
    </row>
    <row r="5" spans="2:7" ht="15" customHeight="1" x14ac:dyDescent="0.25">
      <c r="B5" s="1867" t="s">
        <v>3756</v>
      </c>
      <c r="C5" s="1867"/>
      <c r="D5" s="94"/>
    </row>
    <row r="6" spans="2:7" ht="15" customHeight="1" x14ac:dyDescent="0.25">
      <c r="B6" s="413" t="s">
        <v>3745</v>
      </c>
      <c r="C6" s="413" t="s">
        <v>3744</v>
      </c>
    </row>
    <row r="7" spans="2:7" ht="15" customHeight="1" x14ac:dyDescent="0.25">
      <c r="B7" s="409" t="s">
        <v>3755</v>
      </c>
      <c r="C7" s="315">
        <v>50</v>
      </c>
    </row>
    <row r="8" spans="2:7" ht="15" customHeight="1" x14ac:dyDescent="0.25">
      <c r="B8" s="409" t="s">
        <v>3754</v>
      </c>
      <c r="C8" s="315">
        <v>50</v>
      </c>
    </row>
    <row r="9" spans="2:7" ht="15" customHeight="1" x14ac:dyDescent="0.25">
      <c r="B9" s="409" t="s">
        <v>3753</v>
      </c>
      <c r="C9" s="315">
        <v>150</v>
      </c>
    </row>
    <row r="10" spans="2:7" ht="15" customHeight="1" x14ac:dyDescent="0.25">
      <c r="B10" s="409" t="s">
        <v>3752</v>
      </c>
      <c r="C10" s="315">
        <v>100</v>
      </c>
    </row>
    <row r="11" spans="2:7" ht="15" customHeight="1" x14ac:dyDescent="0.25">
      <c r="B11" s="409" t="s">
        <v>3751</v>
      </c>
      <c r="C11" s="315">
        <v>60</v>
      </c>
    </row>
    <row r="12" spans="2:7" ht="15" customHeight="1" x14ac:dyDescent="0.25">
      <c r="B12" s="409" t="s">
        <v>3750</v>
      </c>
      <c r="C12" s="315">
        <v>50</v>
      </c>
    </row>
    <row r="13" spans="2:7" ht="15" customHeight="1" x14ac:dyDescent="0.25">
      <c r="B13" s="409" t="s">
        <v>3749</v>
      </c>
      <c r="C13" s="315">
        <v>65</v>
      </c>
    </row>
    <row r="14" spans="2:7" ht="15" customHeight="1" x14ac:dyDescent="0.25">
      <c r="B14" s="409" t="s">
        <v>3748</v>
      </c>
      <c r="C14" s="315">
        <v>50</v>
      </c>
    </row>
    <row r="15" spans="2:7" ht="15" customHeight="1" x14ac:dyDescent="0.25">
      <c r="B15" s="409" t="s">
        <v>3747</v>
      </c>
      <c r="C15" s="315">
        <v>50</v>
      </c>
    </row>
    <row r="16" spans="2:7" ht="15" customHeight="1" x14ac:dyDescent="0.25">
      <c r="B16" s="409" t="s">
        <v>3746</v>
      </c>
      <c r="C16" s="315">
        <v>50</v>
      </c>
    </row>
    <row r="17" spans="2:3" ht="15" customHeight="1" x14ac:dyDescent="0.25">
      <c r="B17" s="413" t="s">
        <v>3745</v>
      </c>
      <c r="C17" s="413" t="s">
        <v>3744</v>
      </c>
    </row>
    <row r="18" spans="2:3" ht="15" customHeight="1" x14ac:dyDescent="0.25">
      <c r="B18" s="409" t="s">
        <v>3743</v>
      </c>
      <c r="C18" s="315">
        <v>70</v>
      </c>
    </row>
    <row r="19" spans="2:3" ht="15" customHeight="1" x14ac:dyDescent="0.25">
      <c r="B19" s="409" t="s">
        <v>3742</v>
      </c>
      <c r="C19" s="315">
        <v>100</v>
      </c>
    </row>
    <row r="20" spans="2:3" ht="15" customHeight="1" x14ac:dyDescent="0.25">
      <c r="B20" s="409" t="s">
        <v>3741</v>
      </c>
      <c r="C20" s="315">
        <v>250</v>
      </c>
    </row>
    <row r="21" spans="2:3" ht="15" customHeight="1" x14ac:dyDescent="0.25">
      <c r="B21" s="414" t="s">
        <v>3740</v>
      </c>
      <c r="C21" s="412">
        <v>250</v>
      </c>
    </row>
    <row r="22" spans="2:3" ht="15" customHeight="1" x14ac:dyDescent="0.25">
      <c r="B22" s="414" t="s">
        <v>3739</v>
      </c>
      <c r="C22" s="412"/>
    </row>
    <row r="23" spans="2:3" ht="15" customHeight="1" x14ac:dyDescent="0.25">
      <c r="B23" s="416" t="s">
        <v>3738</v>
      </c>
      <c r="C23" s="411">
        <v>250</v>
      </c>
    </row>
    <row r="24" spans="2:3" ht="15" customHeight="1" x14ac:dyDescent="0.25">
      <c r="B24" s="415" t="s">
        <v>3737</v>
      </c>
      <c r="C24" s="410">
        <v>775</v>
      </c>
    </row>
    <row r="25" spans="2:3" ht="15" customHeight="1" x14ac:dyDescent="0.25">
      <c r="B25" s="415" t="s">
        <v>3736</v>
      </c>
      <c r="C25" s="410">
        <v>500</v>
      </c>
    </row>
    <row r="26" spans="2:3" ht="15" customHeight="1" x14ac:dyDescent="0.25">
      <c r="B26" s="409" t="s">
        <v>3735</v>
      </c>
      <c r="C26" s="315">
        <v>750</v>
      </c>
    </row>
    <row r="27" spans="2:3" ht="15" customHeight="1" x14ac:dyDescent="0.25">
      <c r="B27" s="409" t="s">
        <v>3734</v>
      </c>
      <c r="C27" s="315">
        <v>490</v>
      </c>
    </row>
    <row r="28" spans="2:3" ht="15" customHeight="1" x14ac:dyDescent="0.25">
      <c r="B28" s="409" t="s">
        <v>3733</v>
      </c>
      <c r="C28" s="315">
        <v>510</v>
      </c>
    </row>
    <row r="29" spans="2:3" ht="15" customHeight="1" x14ac:dyDescent="0.25">
      <c r="B29" s="409" t="s">
        <v>3732</v>
      </c>
      <c r="C29" s="315">
        <v>325</v>
      </c>
    </row>
    <row r="30" spans="2:3" ht="15" customHeight="1" x14ac:dyDescent="0.25">
      <c r="B30" s="409" t="s">
        <v>3731</v>
      </c>
      <c r="C30" s="315">
        <v>250</v>
      </c>
    </row>
    <row r="31" spans="2:3" ht="15" customHeight="1" x14ac:dyDescent="0.25">
      <c r="B31" s="409" t="s">
        <v>3730</v>
      </c>
      <c r="C31" s="315">
        <v>550</v>
      </c>
    </row>
    <row r="32" spans="2:3" ht="15" customHeight="1" x14ac:dyDescent="0.25">
      <c r="B32" s="409" t="s">
        <v>3729</v>
      </c>
      <c r="C32" s="315">
        <v>80</v>
      </c>
    </row>
    <row r="33" spans="2:3" ht="15" customHeight="1" x14ac:dyDescent="0.25">
      <c r="B33" s="409" t="s">
        <v>3728</v>
      </c>
      <c r="C33" s="315">
        <v>250</v>
      </c>
    </row>
    <row r="34" spans="2:3" ht="15" customHeight="1" x14ac:dyDescent="0.25">
      <c r="B34" s="409" t="s">
        <v>3727</v>
      </c>
      <c r="C34" s="315">
        <v>140</v>
      </c>
    </row>
    <row r="35" spans="2:3" x14ac:dyDescent="0.25">
      <c r="B35" s="2342" t="s">
        <v>3726</v>
      </c>
      <c r="C35" s="2342"/>
    </row>
    <row r="36" spans="2:3" x14ac:dyDescent="0.25">
      <c r="B36" s="1779" t="s">
        <v>3725</v>
      </c>
      <c r="C36" s="1779"/>
    </row>
    <row r="37" spans="2:3" x14ac:dyDescent="0.25">
      <c r="B37" s="1779"/>
      <c r="C37" s="1779"/>
    </row>
    <row r="38" spans="2:3" x14ac:dyDescent="0.25">
      <c r="B38" s="1779"/>
      <c r="C38" s="1779"/>
    </row>
    <row r="39" spans="2:3" x14ac:dyDescent="0.25">
      <c r="B39" s="1779"/>
      <c r="C39" s="1779"/>
    </row>
    <row r="40" spans="2:3" x14ac:dyDescent="0.25">
      <c r="B40" s="1779"/>
      <c r="C40" s="1779"/>
    </row>
  </sheetData>
  <sheetProtection algorithmName="SHA-512" hashValue="AvmGr9mfGN6VQOEZgkbxsyuCr+zccx5Rl8r+2z9JEeaknYa6YbakobhPoMifpNdXldO0muJ2waNSEzMuBWkt/A==" saltValue="RElPUuo7LR0CT2PRul8Q+Q==" spinCount="100000" sheet="1" objects="1" scenarios="1" selectLockedCells="1"/>
  <mergeCells count="6">
    <mergeCell ref="E2:G2"/>
    <mergeCell ref="B4:C4"/>
    <mergeCell ref="B5:C5"/>
    <mergeCell ref="B35:C35"/>
    <mergeCell ref="B36:C40"/>
    <mergeCell ref="B2:C2"/>
  </mergeCells>
  <hyperlinks>
    <hyperlink ref="B2:C2" location="hyptarg9.3" display="back to 901.10(3)" xr:uid="{00000000-0004-0000-2800-000000000000}"/>
    <hyperlink ref="E2:F2" location="'Verification Report'!A1" display="back to Verification Report" xr:uid="{00000000-0004-0000-2800-000001000000}"/>
    <hyperlink ref="E2:G2" location="'Verification Report'!A1" display="back to Verification Report" xr:uid="{00000000-0004-0000-2800-000002000000}"/>
  </hyperlinks>
  <pageMargins left="0.7" right="0.7" top="0.75" bottom="0.75" header="0.3" footer="0.3"/>
  <pageSetup scale="8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8">
    <pageSetUpPr fitToPage="1"/>
  </sheetPr>
  <dimension ref="A1:C27"/>
  <sheetViews>
    <sheetView zoomScaleNormal="100" workbookViewId="0">
      <selection activeCell="B28" sqref="B28"/>
    </sheetView>
  </sheetViews>
  <sheetFormatPr defaultRowHeight="15" x14ac:dyDescent="0.25"/>
  <cols>
    <col min="1" max="1" width="7.5703125" bestFit="1" customWidth="1"/>
    <col min="2" max="2" width="12" style="732" bestFit="1" customWidth="1"/>
    <col min="3" max="3" width="10" bestFit="1" customWidth="1"/>
  </cols>
  <sheetData>
    <row r="1" spans="1:3" x14ac:dyDescent="0.25">
      <c r="A1" t="s">
        <v>4071</v>
      </c>
      <c r="B1" s="732" t="s">
        <v>4073</v>
      </c>
      <c r="C1" t="s">
        <v>4072</v>
      </c>
    </row>
    <row r="2" spans="1:3" x14ac:dyDescent="0.25">
      <c r="A2" s="733" t="s">
        <v>4821</v>
      </c>
      <c r="B2" s="734">
        <v>43941</v>
      </c>
      <c r="C2" t="s">
        <v>4074</v>
      </c>
    </row>
    <row r="3" spans="1:3" x14ac:dyDescent="0.25">
      <c r="A3" s="733" t="s">
        <v>5154</v>
      </c>
      <c r="B3" s="734">
        <v>43944</v>
      </c>
      <c r="C3" s="732" t="s">
        <v>5155</v>
      </c>
    </row>
    <row r="4" spans="1:3" x14ac:dyDescent="0.25">
      <c r="A4" s="733" t="s">
        <v>5156</v>
      </c>
      <c r="B4" s="734">
        <v>43954</v>
      </c>
      <c r="C4" s="732" t="s">
        <v>5157</v>
      </c>
    </row>
    <row r="5" spans="1:3" x14ac:dyDescent="0.25">
      <c r="A5" s="733" t="s">
        <v>5158</v>
      </c>
      <c r="B5" s="734">
        <v>43961</v>
      </c>
      <c r="C5" s="732" t="s">
        <v>5240</v>
      </c>
    </row>
    <row r="6" spans="1:3" x14ac:dyDescent="0.25">
      <c r="A6" s="733" t="s">
        <v>5242</v>
      </c>
      <c r="B6" s="734">
        <v>43977</v>
      </c>
      <c r="C6" s="732" t="s">
        <v>5243</v>
      </c>
    </row>
    <row r="7" spans="1:3" x14ac:dyDescent="0.25">
      <c r="A7" s="733" t="s">
        <v>5247</v>
      </c>
      <c r="B7" s="734">
        <v>44019</v>
      </c>
      <c r="C7" s="732" t="s">
        <v>5578</v>
      </c>
    </row>
    <row r="8" spans="1:3" x14ac:dyDescent="0.25">
      <c r="A8" s="733" t="s">
        <v>5599</v>
      </c>
      <c r="B8" s="734">
        <v>44041</v>
      </c>
      <c r="C8" s="732" t="s">
        <v>5605</v>
      </c>
    </row>
    <row r="9" spans="1:3" x14ac:dyDescent="0.25">
      <c r="A9" s="733" t="s">
        <v>5606</v>
      </c>
      <c r="B9" s="734">
        <v>44064</v>
      </c>
      <c r="C9" s="732" t="s">
        <v>5607</v>
      </c>
    </row>
    <row r="10" spans="1:3" x14ac:dyDescent="0.25">
      <c r="A10" s="733" t="s">
        <v>5611</v>
      </c>
      <c r="B10" s="734">
        <v>44073</v>
      </c>
      <c r="C10" s="732" t="s">
        <v>5612</v>
      </c>
    </row>
    <row r="11" spans="1:3" x14ac:dyDescent="0.25">
      <c r="A11" s="733" t="s">
        <v>5617</v>
      </c>
      <c r="B11" s="734">
        <v>44091</v>
      </c>
      <c r="C11" s="732" t="s">
        <v>5618</v>
      </c>
    </row>
    <row r="12" spans="1:3" x14ac:dyDescent="0.25">
      <c r="A12" s="733" t="s">
        <v>5619</v>
      </c>
      <c r="B12" s="734">
        <v>44092</v>
      </c>
      <c r="C12" s="732" t="s">
        <v>5620</v>
      </c>
    </row>
    <row r="13" spans="1:3" x14ac:dyDescent="0.25">
      <c r="A13" s="733" t="s">
        <v>5621</v>
      </c>
      <c r="B13" s="734">
        <v>44101</v>
      </c>
      <c r="C13" s="732" t="s">
        <v>5622</v>
      </c>
    </row>
    <row r="14" spans="1:3" x14ac:dyDescent="0.25">
      <c r="A14" s="733" t="s">
        <v>5623</v>
      </c>
      <c r="B14" s="734">
        <v>44129</v>
      </c>
      <c r="C14" s="732" t="s">
        <v>5626</v>
      </c>
    </row>
    <row r="15" spans="1:3" x14ac:dyDescent="0.25">
      <c r="A15" s="733" t="s">
        <v>5627</v>
      </c>
      <c r="B15" s="734">
        <v>44159</v>
      </c>
      <c r="C15" s="732" t="s">
        <v>5629</v>
      </c>
    </row>
    <row r="16" spans="1:3" x14ac:dyDescent="0.25">
      <c r="A16" s="733" t="s">
        <v>5630</v>
      </c>
      <c r="B16" s="734">
        <v>44201</v>
      </c>
      <c r="C16" s="732" t="s">
        <v>5657</v>
      </c>
    </row>
    <row r="17" spans="1:3" x14ac:dyDescent="0.25">
      <c r="A17" s="733" t="s">
        <v>5678</v>
      </c>
      <c r="B17" s="734">
        <v>44243</v>
      </c>
      <c r="C17" s="732" t="s">
        <v>5680</v>
      </c>
    </row>
    <row r="18" spans="1:3" x14ac:dyDescent="0.25">
      <c r="A18" s="733" t="s">
        <v>5681</v>
      </c>
      <c r="B18" s="734">
        <v>44260</v>
      </c>
      <c r="C18" s="732" t="s">
        <v>5736</v>
      </c>
    </row>
    <row r="19" spans="1:3" x14ac:dyDescent="0.25">
      <c r="A19" s="733" t="s">
        <v>5737</v>
      </c>
      <c r="B19" s="734">
        <v>44288</v>
      </c>
      <c r="C19" s="732" t="s">
        <v>5738</v>
      </c>
    </row>
    <row r="20" spans="1:3" x14ac:dyDescent="0.25">
      <c r="A20" s="733" t="s">
        <v>5739</v>
      </c>
      <c r="B20" s="734">
        <v>44328</v>
      </c>
      <c r="C20" s="732" t="s">
        <v>5740</v>
      </c>
    </row>
    <row r="21" spans="1:3" x14ac:dyDescent="0.25">
      <c r="A21" s="733" t="s">
        <v>5741</v>
      </c>
      <c r="B21" s="734">
        <v>44416</v>
      </c>
      <c r="C21" s="732" t="s">
        <v>5744</v>
      </c>
    </row>
    <row r="22" spans="1:3" x14ac:dyDescent="0.25">
      <c r="A22" s="733" t="s">
        <v>5746</v>
      </c>
      <c r="B22" s="734">
        <v>44434</v>
      </c>
      <c r="C22" t="s">
        <v>5747</v>
      </c>
    </row>
    <row r="23" spans="1:3" x14ac:dyDescent="0.25">
      <c r="A23" s="733" t="s">
        <v>5780</v>
      </c>
      <c r="B23" s="734">
        <v>44511</v>
      </c>
      <c r="C23" t="s">
        <v>5815</v>
      </c>
    </row>
    <row r="24" spans="1:3" x14ac:dyDescent="0.25">
      <c r="A24" s="1678" t="s">
        <v>5803</v>
      </c>
      <c r="B24" s="732" t="s">
        <v>5803</v>
      </c>
      <c r="C24" t="s">
        <v>5804</v>
      </c>
    </row>
    <row r="25" spans="1:3" x14ac:dyDescent="0.25">
      <c r="A25" s="733" t="s">
        <v>5816</v>
      </c>
      <c r="B25" s="734">
        <v>44593</v>
      </c>
      <c r="C25" t="s">
        <v>5817</v>
      </c>
    </row>
    <row r="26" spans="1:3" x14ac:dyDescent="0.25">
      <c r="A26" s="733" t="s">
        <v>5803</v>
      </c>
      <c r="B26" s="732" t="s">
        <v>5803</v>
      </c>
      <c r="C26" t="s">
        <v>5819</v>
      </c>
    </row>
    <row r="27" spans="1:3" x14ac:dyDescent="0.25">
      <c r="A27" s="733" t="s">
        <v>5820</v>
      </c>
      <c r="B27" s="734">
        <v>44810</v>
      </c>
      <c r="C27" t="s">
        <v>5855</v>
      </c>
    </row>
  </sheetData>
  <sheetProtection algorithmName="SHA-512" hashValue="o5GnT6w3qxH9VTvy3oRKB5IgdidRaNxyQ5wM9TelMMD/SKgCEZ/10Vt3hrXtxc5+rdQOpM5jTMZ2qXshxSf6qg==" saltValue="/V+WAABZtfmstxeg2y4KVg==" spinCount="100000" sheet="1" objects="1" scenarios="1" selectLockedCells="1" selectUnlockedCells="1"/>
  <pageMargins left="0.7" right="0.7" top="0.75" bottom="0.75" header="0.3" footer="0.3"/>
  <pageSetup scale="6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BI562"/>
  <sheetViews>
    <sheetView showGridLines="0" topLeftCell="H1" zoomScaleNormal="100" workbookViewId="0">
      <pane ySplit="7" topLeftCell="A8" activePane="bottomLeft" state="frozen"/>
      <selection activeCell="E90" sqref="E90"/>
      <selection pane="bottomLeft" activeCell="H30" sqref="H30"/>
    </sheetView>
  </sheetViews>
  <sheetFormatPr defaultColWidth="9.140625" defaultRowHeight="15" x14ac:dyDescent="0.25"/>
  <cols>
    <col min="1" max="1" width="9.140625" style="18" hidden="1" customWidth="1"/>
    <col min="2" max="2" width="7.28515625" style="736" hidden="1" customWidth="1"/>
    <col min="3" max="7" width="3.85546875" style="18" hidden="1" customWidth="1"/>
    <col min="8" max="8" width="3.85546875" style="18" customWidth="1"/>
    <col min="9" max="9" width="10.42578125" style="63" customWidth="1"/>
    <col min="10" max="11" width="3.85546875" style="63" customWidth="1"/>
    <col min="12" max="12" width="71.7109375" style="1148" customWidth="1"/>
    <col min="13" max="13" width="13.5703125" style="67" customWidth="1"/>
    <col min="14" max="14" width="7.7109375" style="63" hidden="1" customWidth="1"/>
    <col min="15" max="15" width="7.7109375" style="127" customWidth="1"/>
    <col min="16" max="21" width="8.85546875" style="63" hidden="1" customWidth="1"/>
    <col min="22" max="22" width="3" style="63" hidden="1" customWidth="1"/>
    <col min="23" max="23" width="21.42578125" style="63" customWidth="1"/>
    <col min="24" max="24" width="69" style="63" customWidth="1"/>
    <col min="25" max="25" width="34.85546875" style="780" hidden="1" customWidth="1"/>
    <col min="26" max="26" width="34.85546875" style="63" hidden="1" customWidth="1"/>
    <col min="27" max="27" width="9.140625" style="783" hidden="1" customWidth="1"/>
    <col min="28" max="37" width="9.140625" style="63" hidden="1" customWidth="1"/>
    <col min="38" max="38" width="16.42578125" style="63" hidden="1" customWidth="1"/>
    <col min="39" max="39" width="3" style="63" hidden="1" customWidth="1"/>
    <col min="40" max="40" width="15.7109375" style="63" hidden="1" customWidth="1"/>
    <col min="41" max="41" width="2.140625" style="63" hidden="1" customWidth="1"/>
    <col min="42" max="42" width="15.7109375" style="63" hidden="1" customWidth="1"/>
    <col min="43" max="43" width="2.140625" style="63" hidden="1" customWidth="1"/>
    <col min="44" max="44" width="15.7109375" style="63" hidden="1" customWidth="1"/>
    <col min="45" max="45" width="2.140625" style="63" hidden="1" customWidth="1"/>
    <col min="46" max="61" width="9.140625" style="63" hidden="1" customWidth="1"/>
    <col min="62" max="16384" width="9.140625" style="63"/>
  </cols>
  <sheetData>
    <row r="1" spans="1:61" x14ac:dyDescent="0.25">
      <c r="H1" s="1805" t="s">
        <v>4090</v>
      </c>
      <c r="I1" s="1818" t="str">
        <f ca="1">IF(OR(AG3,AI3),"Errors on page, no Level reached","Current Chapter level: "&amp;AG1&amp;"                                            Total Points: "&amp;AG2)</f>
        <v>Errors on page, no Level reached</v>
      </c>
      <c r="J1" s="1818"/>
      <c r="K1" s="1818"/>
      <c r="L1" s="1818"/>
      <c r="M1" s="1806"/>
      <c r="N1" s="1806"/>
      <c r="O1" s="1806"/>
      <c r="P1" s="1806"/>
      <c r="Q1" s="1806"/>
      <c r="R1" s="1806"/>
      <c r="S1" s="1806"/>
      <c r="T1" s="1806"/>
      <c r="U1" s="1806"/>
      <c r="V1" s="1806"/>
      <c r="W1" s="1806"/>
      <c r="X1" s="2344" t="s">
        <v>4064</v>
      </c>
      <c r="AF1" s="62" t="s">
        <v>494</v>
      </c>
      <c r="AG1" s="63" t="str">
        <f ca="1">IF(OR(AG3,AI3),"None",Ch6Level)</f>
        <v>None</v>
      </c>
    </row>
    <row r="2" spans="1:61" x14ac:dyDescent="0.25">
      <c r="H2" s="1805"/>
      <c r="I2" s="1819" t="str">
        <f ca="1">"Points away from:  Bronze: "&amp;MAX(Points!C16-Ch6Points,0)&amp;",  Silver: "&amp;MAX(Points!D16-Ch6Points,0)&amp;",  Gold: "&amp;MAX(Points!E16-Ch6Points,0)&amp;",  Emerald: "&amp;MAX(Points!F16-Ch6Points,0)</f>
        <v>Points away from:  Bronze: 43,  Silver: 59,  Gold: 89,  Emerald: 119</v>
      </c>
      <c r="J2" s="1819"/>
      <c r="K2" s="1819"/>
      <c r="L2" s="1819"/>
      <c r="M2" s="1806"/>
      <c r="N2" s="1806"/>
      <c r="O2" s="1806"/>
      <c r="P2" s="1806"/>
      <c r="Q2" s="1806"/>
      <c r="R2" s="1806"/>
      <c r="S2" s="1806"/>
      <c r="T2" s="1806"/>
      <c r="U2" s="1806"/>
      <c r="V2" s="1806"/>
      <c r="W2" s="1806"/>
      <c r="X2" s="2344" t="s">
        <v>3505</v>
      </c>
      <c r="AF2" s="62" t="s">
        <v>495</v>
      </c>
      <c r="AG2" s="63">
        <f ca="1">Ch6Points</f>
        <v>0</v>
      </c>
      <c r="AH2" s="63" t="s">
        <v>740</v>
      </c>
      <c r="AI2" s="63">
        <f ca="1">Ch6NLev</f>
        <v>43</v>
      </c>
      <c r="AJ2"/>
      <c r="AK2"/>
    </row>
    <row r="3" spans="1:61" x14ac:dyDescent="0.25">
      <c r="H3" s="1805"/>
      <c r="I3" s="1819" t="str">
        <f ca="1">"Add'l pts earned above:  Bronze: "&amp; MAX(0,Ch6Points-Points!C16) &amp;",  Silver: " &amp; MAX(0,Ch6Points-Points!D16) &amp;",  Gold: " &amp; MAX(0,Ch6Points-Points!E16) &amp;",  Emerald: " &amp; MAX(0,Ch6Points-Points!F16)</f>
        <v>Add'l pts earned above:  Bronze: 0,  Silver: 0,  Gold: 0,  Emerald: 0</v>
      </c>
      <c r="J3" s="1819"/>
      <c r="K3" s="1819"/>
      <c r="L3" s="1819"/>
      <c r="M3" s="1806"/>
      <c r="N3" s="1806"/>
      <c r="O3" s="1806"/>
      <c r="P3" s="1806"/>
      <c r="Q3" s="1806"/>
      <c r="R3" s="1806"/>
      <c r="S3" s="1806"/>
      <c r="T3" s="1806"/>
      <c r="U3" s="1806"/>
      <c r="V3" s="1806"/>
      <c r="W3" s="1806"/>
      <c r="X3" s="2344" t="s">
        <v>3504</v>
      </c>
      <c r="AF3" s="62" t="s">
        <v>496</v>
      </c>
      <c r="AG3" s="63" t="b">
        <f ca="1">OR(AE:AE)</f>
        <v>1</v>
      </c>
      <c r="AH3" s="62" t="s">
        <v>741</v>
      </c>
      <c r="AI3" s="63" t="b">
        <f ca="1">OR(AD:AD)</f>
        <v>0</v>
      </c>
    </row>
    <row r="4" spans="1:61" x14ac:dyDescent="0.25">
      <c r="H4" s="1805"/>
      <c r="I4" s="1822" t="str">
        <f>"Total Chapter Points needed for:  Bronze: "&amp;Points!C16&amp;",  Silver: "&amp;Points!D16&amp;",  Gold: "&amp;Points!E16&amp;",  Emerald: "&amp;Points!F16</f>
        <v>Total Chapter Points needed for:  Bronze: 43,  Silver: 59,  Gold: 89,  Emerald: 119</v>
      </c>
      <c r="J4" s="1823"/>
      <c r="K4" s="1823"/>
      <c r="L4" s="1824"/>
      <c r="M4" s="1806"/>
      <c r="N4" s="1806"/>
      <c r="O4" s="1806"/>
      <c r="P4" s="1806"/>
      <c r="Q4" s="1806"/>
      <c r="R4" s="1806"/>
      <c r="S4" s="1806"/>
      <c r="T4" s="1806"/>
      <c r="U4" s="1806"/>
      <c r="V4" s="1806"/>
      <c r="W4" s="1806"/>
      <c r="X4" s="1703" t="s">
        <v>4877</v>
      </c>
      <c r="AF4" s="62"/>
      <c r="AH4" s="62"/>
    </row>
    <row r="5" spans="1:61" x14ac:dyDescent="0.25">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AF5" s="62"/>
      <c r="AH5" s="62"/>
    </row>
    <row r="6" spans="1:61" x14ac:dyDescent="0.25">
      <c r="H6" s="1805"/>
      <c r="I6" s="1828" t="s">
        <v>248</v>
      </c>
      <c r="J6" s="1829"/>
      <c r="K6" s="1830"/>
      <c r="L6" s="1831" t="s">
        <v>1109</v>
      </c>
      <c r="M6" s="1810" t="s">
        <v>249</v>
      </c>
      <c r="N6" s="1810"/>
      <c r="O6" s="35" t="s">
        <v>318</v>
      </c>
      <c r="P6" s="1810" t="s">
        <v>4103</v>
      </c>
      <c r="Q6" s="1810" t="s">
        <v>309</v>
      </c>
      <c r="R6" s="1810" t="s">
        <v>250</v>
      </c>
      <c r="S6" s="1810" t="s">
        <v>251</v>
      </c>
      <c r="T6" s="1810" t="s">
        <v>0</v>
      </c>
      <c r="U6" s="1810" t="s">
        <v>4104</v>
      </c>
      <c r="V6" s="1810"/>
      <c r="W6" s="1810" t="s">
        <v>252</v>
      </c>
      <c r="X6" s="1820" t="s">
        <v>1</v>
      </c>
      <c r="AC6" s="61" t="s">
        <v>307</v>
      </c>
      <c r="AD6" s="61" t="s">
        <v>0</v>
      </c>
      <c r="AE6" s="61" t="s">
        <v>306</v>
      </c>
    </row>
    <row r="7" spans="1:61" x14ac:dyDescent="0.25">
      <c r="H7" s="1805"/>
      <c r="I7" s="1828"/>
      <c r="J7" s="1829"/>
      <c r="K7" s="1830"/>
      <c r="L7" s="1832"/>
      <c r="M7" s="1811"/>
      <c r="N7" s="1811"/>
      <c r="O7" s="35" t="s">
        <v>319</v>
      </c>
      <c r="P7" s="1811"/>
      <c r="Q7" s="1811"/>
      <c r="R7" s="1811"/>
      <c r="S7" s="1811"/>
      <c r="T7" s="1811"/>
      <c r="U7" s="1811"/>
      <c r="V7" s="1811"/>
      <c r="W7" s="1811"/>
      <c r="X7" s="1821"/>
      <c r="AC7" s="61" t="s">
        <v>307</v>
      </c>
      <c r="AD7" s="61" t="s">
        <v>0</v>
      </c>
      <c r="AE7" s="61" t="s">
        <v>306</v>
      </c>
    </row>
    <row r="8" spans="1:61" s="752" customFormat="1" hidden="1" x14ac:dyDescent="0.25">
      <c r="A8" s="18"/>
      <c r="B8" s="736"/>
      <c r="C8" s="18"/>
      <c r="D8" s="18"/>
      <c r="E8" s="18"/>
      <c r="F8" s="18"/>
      <c r="G8" s="18"/>
      <c r="H8" s="18"/>
      <c r="I8" s="754"/>
      <c r="J8" s="754"/>
      <c r="K8" s="754"/>
      <c r="L8" s="1212"/>
      <c r="M8" s="753"/>
      <c r="N8" s="753"/>
      <c r="O8" s="35"/>
      <c r="P8" s="753"/>
      <c r="Q8" s="753"/>
      <c r="R8" s="753"/>
      <c r="S8" s="753"/>
      <c r="T8" s="753"/>
      <c r="U8" s="753"/>
      <c r="V8" s="753"/>
      <c r="W8" s="753"/>
      <c r="X8" s="754"/>
      <c r="Y8" s="780"/>
      <c r="AA8" s="783"/>
      <c r="AC8" s="751"/>
      <c r="AD8" s="751"/>
      <c r="AE8" s="751"/>
    </row>
    <row r="9" spans="1:61" ht="18.75" x14ac:dyDescent="0.3">
      <c r="A9" s="18" t="s">
        <v>247</v>
      </c>
      <c r="B9" s="736" t="s">
        <v>247</v>
      </c>
      <c r="C9" s="18" t="s">
        <v>247</v>
      </c>
      <c r="D9" s="18" t="s">
        <v>247</v>
      </c>
      <c r="E9" s="18" t="s">
        <v>247</v>
      </c>
      <c r="F9" s="18" t="s">
        <v>247</v>
      </c>
      <c r="G9" s="18" t="s">
        <v>247</v>
      </c>
      <c r="H9" s="760"/>
      <c r="I9" s="22" t="s">
        <v>498</v>
      </c>
      <c r="J9" s="22"/>
      <c r="K9" s="22"/>
      <c r="L9" s="1208"/>
      <c r="M9" s="24"/>
      <c r="N9" s="63" t="s">
        <v>247</v>
      </c>
      <c r="O9" s="24"/>
      <c r="P9" s="63" t="s">
        <v>247</v>
      </c>
      <c r="Q9" s="63" t="s">
        <v>247</v>
      </c>
      <c r="R9" s="63" t="s">
        <v>247</v>
      </c>
      <c r="S9" s="63" t="s">
        <v>247</v>
      </c>
      <c r="T9" s="63" t="s">
        <v>247</v>
      </c>
      <c r="U9" s="63" t="s">
        <v>247</v>
      </c>
      <c r="V9" s="63" t="s">
        <v>247</v>
      </c>
      <c r="W9" s="23"/>
      <c r="X9" s="23"/>
      <c r="Y9" s="779" t="s">
        <v>247</v>
      </c>
      <c r="Z9" s="60" t="s">
        <v>247</v>
      </c>
      <c r="AA9" s="781" t="s">
        <v>247</v>
      </c>
      <c r="AB9" s="750" t="s">
        <v>247</v>
      </c>
      <c r="AC9" s="60" t="s">
        <v>247</v>
      </c>
      <c r="AD9" s="60" t="s">
        <v>247</v>
      </c>
      <c r="AE9" s="60" t="s">
        <v>247</v>
      </c>
      <c r="AF9" s="60" t="s">
        <v>247</v>
      </c>
      <c r="AG9" s="60" t="s">
        <v>247</v>
      </c>
      <c r="AH9" s="60" t="s">
        <v>247</v>
      </c>
      <c r="AI9" s="60" t="s">
        <v>247</v>
      </c>
      <c r="AJ9" s="60" t="s">
        <v>247</v>
      </c>
      <c r="AK9" s="60" t="s">
        <v>247</v>
      </c>
      <c r="AL9" s="60" t="s">
        <v>247</v>
      </c>
      <c r="AM9" s="60" t="s">
        <v>247</v>
      </c>
      <c r="AN9" s="60" t="s">
        <v>247</v>
      </c>
      <c r="AO9" s="60" t="s">
        <v>247</v>
      </c>
      <c r="AP9" s="60" t="s">
        <v>247</v>
      </c>
      <c r="AQ9" s="60" t="s">
        <v>247</v>
      </c>
      <c r="AR9" s="60" t="s">
        <v>247</v>
      </c>
      <c r="AS9" s="60" t="s">
        <v>247</v>
      </c>
      <c r="AT9" s="60" t="s">
        <v>247</v>
      </c>
      <c r="AU9" s="60" t="s">
        <v>247</v>
      </c>
      <c r="AV9" s="60" t="s">
        <v>247</v>
      </c>
      <c r="AW9" s="60" t="s">
        <v>247</v>
      </c>
      <c r="AX9" s="60" t="s">
        <v>247</v>
      </c>
      <c r="AY9" s="60" t="s">
        <v>247</v>
      </c>
      <c r="AZ9" s="60" t="s">
        <v>247</v>
      </c>
      <c r="BA9" s="60" t="s">
        <v>247</v>
      </c>
      <c r="BB9" s="60" t="s">
        <v>247</v>
      </c>
      <c r="BC9" s="60" t="s">
        <v>247</v>
      </c>
      <c r="BD9" s="60" t="s">
        <v>247</v>
      </c>
      <c r="BE9" s="60" t="s">
        <v>247</v>
      </c>
      <c r="BF9" s="60" t="s">
        <v>247</v>
      </c>
      <c r="BG9" s="60" t="s">
        <v>247</v>
      </c>
      <c r="BH9" s="60" t="s">
        <v>247</v>
      </c>
      <c r="BI9" s="771" t="s">
        <v>247</v>
      </c>
    </row>
    <row r="10" spans="1:61" x14ac:dyDescent="0.25">
      <c r="B10" s="77" t="s">
        <v>499</v>
      </c>
      <c r="C10" s="21"/>
      <c r="D10" s="21"/>
      <c r="E10" s="21"/>
      <c r="F10" s="21"/>
      <c r="G10" s="21"/>
      <c r="H10" s="758"/>
      <c r="I10" s="78" t="s">
        <v>499</v>
      </c>
      <c r="J10" s="27"/>
      <c r="K10" s="87"/>
      <c r="L10" s="1796" t="s">
        <v>500</v>
      </c>
      <c r="M10" s="80"/>
      <c r="N10"/>
      <c r="P10"/>
      <c r="Q10"/>
      <c r="R10"/>
      <c r="S10"/>
      <c r="T10"/>
      <c r="U10"/>
      <c r="V10"/>
      <c r="W10"/>
      <c r="X10"/>
      <c r="Z10"/>
      <c r="AB10"/>
      <c r="AC10"/>
      <c r="AD10"/>
      <c r="AE10"/>
      <c r="AF10"/>
      <c r="AG10"/>
      <c r="AH10"/>
      <c r="AI10"/>
      <c r="AJ10"/>
      <c r="AK10"/>
      <c r="AL10"/>
      <c r="AM10"/>
      <c r="AN10"/>
      <c r="AO10"/>
      <c r="AP10"/>
      <c r="AQ10"/>
      <c r="AR10"/>
      <c r="AS10"/>
    </row>
    <row r="11" spans="1:61" x14ac:dyDescent="0.25">
      <c r="B11" s="77" t="s">
        <v>499</v>
      </c>
      <c r="C11" s="21"/>
      <c r="D11" s="21"/>
      <c r="E11" s="21"/>
      <c r="F11" s="21"/>
      <c r="G11" s="21"/>
      <c r="H11" s="758"/>
      <c r="I11" s="64"/>
      <c r="J11" s="4"/>
      <c r="K11" s="83"/>
      <c r="L11" s="1796"/>
      <c r="M11" s="80"/>
      <c r="N11"/>
      <c r="P11"/>
      <c r="Q11"/>
      <c r="R11"/>
      <c r="S11"/>
      <c r="T11"/>
      <c r="U11"/>
      <c r="V11"/>
      <c r="W11"/>
      <c r="X11"/>
      <c r="Z11"/>
      <c r="AB11"/>
      <c r="AC11"/>
      <c r="AD11"/>
      <c r="AE11"/>
      <c r="AF11"/>
      <c r="AG11"/>
      <c r="AH11"/>
      <c r="AI11"/>
      <c r="AJ11"/>
      <c r="AK11"/>
      <c r="AL11"/>
      <c r="AM11"/>
      <c r="AN11"/>
      <c r="AO11"/>
      <c r="AP11"/>
      <c r="AQ11"/>
      <c r="AR11"/>
      <c r="AS11"/>
      <c r="AX11" s="62" t="str">
        <f>'Overview (Design)'!A10</f>
        <v>Builder Name:</v>
      </c>
      <c r="AY11" s="63">
        <f>'Overview (Design)'!G10</f>
        <v>0</v>
      </c>
    </row>
    <row r="12" spans="1:61" ht="15.75" thickBot="1" x14ac:dyDescent="0.3">
      <c r="B12" s="77" t="s">
        <v>499</v>
      </c>
      <c r="C12" s="21"/>
      <c r="D12" s="21"/>
      <c r="E12" s="21"/>
      <c r="F12" s="21"/>
      <c r="G12" s="21"/>
      <c r="H12" s="758"/>
      <c r="I12" s="64"/>
      <c r="J12" s="4"/>
      <c r="K12" s="83"/>
      <c r="L12" s="1796"/>
      <c r="M12" s="80"/>
      <c r="N12"/>
      <c r="P12"/>
      <c r="Q12"/>
      <c r="R12"/>
      <c r="S12"/>
      <c r="T12"/>
      <c r="U12"/>
      <c r="V12"/>
      <c r="W12"/>
      <c r="X12"/>
      <c r="Z12"/>
      <c r="AB12"/>
      <c r="AC12"/>
      <c r="AD12"/>
      <c r="AE12"/>
      <c r="AF12"/>
      <c r="AG12"/>
      <c r="AH12"/>
      <c r="AI12"/>
      <c r="AJ12"/>
      <c r="AK12"/>
      <c r="AL12"/>
      <c r="AM12"/>
      <c r="AN12"/>
      <c r="AO12"/>
      <c r="AP12"/>
      <c r="AQ12"/>
      <c r="AR12"/>
      <c r="AS12"/>
      <c r="AX12" s="62" t="str">
        <f>'Overview (Design)'!A11</f>
        <v>Physical Address of Home:</v>
      </c>
      <c r="AY12" s="63">
        <f>'Overview (Design)'!G11</f>
        <v>0</v>
      </c>
    </row>
    <row r="13" spans="1:61" ht="15.75" thickTop="1" x14ac:dyDescent="0.25">
      <c r="B13" s="77">
        <v>601.1</v>
      </c>
      <c r="C13" s="21"/>
      <c r="D13" s="21"/>
      <c r="E13" s="21"/>
      <c r="F13" s="21"/>
      <c r="G13" s="21"/>
      <c r="H13" s="758"/>
      <c r="I13" s="180">
        <v>601.1</v>
      </c>
      <c r="J13" s="181"/>
      <c r="K13" s="182"/>
      <c r="L13" s="1781" t="s">
        <v>4166</v>
      </c>
      <c r="M13" s="423"/>
      <c r="N13" s="181"/>
      <c r="O13" s="1773">
        <f>IFERROR(INDEX({14,12,9,6,3,0},MATCH(AY26,{1,701,1001,1501,2001,2501,100000},1)),0)</f>
        <v>0</v>
      </c>
      <c r="P13" s="105"/>
      <c r="Q13" s="105"/>
      <c r="R13" s="105"/>
      <c r="S13" s="105"/>
      <c r="T13" s="105"/>
      <c r="U13" s="105"/>
      <c r="V13" s="105"/>
      <c r="W13" s="105"/>
      <c r="X13" s="1784"/>
      <c r="Z13"/>
      <c r="AB13"/>
      <c r="AC13"/>
      <c r="AD13"/>
      <c r="AE13"/>
      <c r="AF13"/>
      <c r="AG13"/>
      <c r="AH13"/>
      <c r="AI13"/>
      <c r="AJ13"/>
      <c r="AK13"/>
      <c r="AL13"/>
      <c r="AM13"/>
      <c r="AN13" s="254" t="str">
        <f>SUBSTITUTE(SUBSTITUTE(SUBSTITUTE("dpc"&amp;$B13&amp;$C13&amp;$D13&amp;$E13,".","_"),"(","_"),")","")</f>
        <v>dpc601_1</v>
      </c>
      <c r="AO13" s="254">
        <f>O13</f>
        <v>0</v>
      </c>
      <c r="AP13"/>
      <c r="AQ13"/>
      <c r="AR13" s="735" t="str">
        <f>SUBSTITUTE(SUBSTITUTE(SUBSTITUTE("dnt"&amp;$B13&amp;$C13&amp;$D13&amp;$E13,".","_"),"(","_"),")","")</f>
        <v>dnt601_1</v>
      </c>
      <c r="AS13" s="254" t="str">
        <f>IF(LEN(X13)=0,"",X13)</f>
        <v/>
      </c>
      <c r="AX13" s="62" t="str">
        <f>'Overview (Design)'!A12</f>
        <v>Community/Lot #:</v>
      </c>
      <c r="AY13" s="63">
        <f>'Overview (Design)'!G12</f>
        <v>0</v>
      </c>
    </row>
    <row r="14" spans="1:61" x14ac:dyDescent="0.25">
      <c r="B14" s="77">
        <v>601.1</v>
      </c>
      <c r="C14" s="21"/>
      <c r="D14" s="21"/>
      <c r="E14" s="21"/>
      <c r="F14" s="21"/>
      <c r="G14" s="21"/>
      <c r="H14" s="758"/>
      <c r="I14" s="130"/>
      <c r="J14" s="129"/>
      <c r="K14" s="95"/>
      <c r="L14" s="1782"/>
      <c r="M14" s="424"/>
      <c r="N14" s="129"/>
      <c r="O14" s="1774"/>
      <c r="P14" s="94"/>
      <c r="Q14" s="94"/>
      <c r="R14" s="94"/>
      <c r="S14" s="94"/>
      <c r="T14" s="94"/>
      <c r="U14" s="94"/>
      <c r="V14" s="94"/>
      <c r="W14" s="94"/>
      <c r="X14" s="1770"/>
      <c r="Z14"/>
      <c r="AB14"/>
      <c r="AC14"/>
      <c r="AD14"/>
      <c r="AE14"/>
      <c r="AF14"/>
      <c r="AG14"/>
      <c r="AH14"/>
      <c r="AI14"/>
      <c r="AJ14"/>
      <c r="AK14"/>
      <c r="AL14"/>
      <c r="AM14"/>
      <c r="AN14"/>
      <c r="AO14"/>
      <c r="AP14"/>
      <c r="AQ14"/>
      <c r="AR14"/>
      <c r="AS14"/>
      <c r="AX14" s="62" t="str">
        <f>'Overview (Design)'!A13</f>
        <v>City:</v>
      </c>
      <c r="AY14" s="63">
        <f>'Overview (Design)'!G13</f>
        <v>0</v>
      </c>
    </row>
    <row r="15" spans="1:61" s="791" customFormat="1" x14ac:dyDescent="0.25">
      <c r="A15" s="18"/>
      <c r="B15" s="77">
        <v>601.1</v>
      </c>
      <c r="C15" s="21"/>
      <c r="D15" s="21"/>
      <c r="E15" s="21"/>
      <c r="F15" s="21"/>
      <c r="G15" s="21"/>
      <c r="H15" s="758"/>
      <c r="I15" s="130"/>
      <c r="J15" s="129"/>
      <c r="K15" s="95"/>
      <c r="L15" s="1782"/>
      <c r="M15" s="794"/>
      <c r="N15" s="129"/>
      <c r="O15" s="1774"/>
      <c r="P15" s="94"/>
      <c r="Q15" s="94"/>
      <c r="R15" s="94"/>
      <c r="S15" s="94"/>
      <c r="T15" s="94"/>
      <c r="U15" s="94"/>
      <c r="V15" s="94"/>
      <c r="W15" s="94"/>
      <c r="X15" s="1770"/>
      <c r="AX15" s="62" t="str">
        <f>'Overview (Design)'!A14</f>
        <v>State:</v>
      </c>
      <c r="AY15" s="63">
        <f>'Overview (Design)'!G14</f>
        <v>0</v>
      </c>
      <c r="AZ15" s="63"/>
      <c r="BA15" s="63"/>
      <c r="BB15" s="63"/>
      <c r="BC15" s="63" t="str">
        <f>'Overview (Design)'!K14</f>
        <v>State</v>
      </c>
      <c r="BD15" s="63" t="str">
        <f>'Overview (Design)'!L14</f>
        <v>County</v>
      </c>
      <c r="BE15" s="63" t="str">
        <f>'Overview (Design)'!M14</f>
        <v>Radon</v>
      </c>
      <c r="BF15" s="63" t="str">
        <f>'Overview (Design)'!N14</f>
        <v>Climate</v>
      </c>
      <c r="BG15" s="63" t="str">
        <f>'Overview (Design)'!O14</f>
        <v>Moist</v>
      </c>
      <c r="BH15" s="63" t="str">
        <f>'Overview (Design)'!P14</f>
        <v>WarmHumid</v>
      </c>
      <c r="BI15" s="775" t="str">
        <f>'Overview (Design)'!Q14</f>
        <v>Tropical</v>
      </c>
    </row>
    <row r="16" spans="1:61" s="791" customFormat="1" x14ac:dyDescent="0.25">
      <c r="A16" s="18"/>
      <c r="B16" s="77">
        <v>601.1</v>
      </c>
      <c r="C16" s="21"/>
      <c r="D16" s="21"/>
      <c r="E16" s="21"/>
      <c r="F16" s="21"/>
      <c r="G16" s="21"/>
      <c r="H16" s="758"/>
      <c r="I16" s="130"/>
      <c r="J16" s="129"/>
      <c r="K16" s="95"/>
      <c r="L16" s="1782"/>
      <c r="M16" s="794"/>
      <c r="N16" s="129"/>
      <c r="O16" s="1774"/>
      <c r="P16" s="94"/>
      <c r="Q16" s="94"/>
      <c r="R16" s="94"/>
      <c r="S16" s="94"/>
      <c r="T16" s="94"/>
      <c r="U16" s="94"/>
      <c r="V16" s="94"/>
      <c r="W16" s="94"/>
      <c r="X16" s="1770"/>
      <c r="AX16" s="62" t="str">
        <f>'Overview (Design)'!A15</f>
        <v>County:</v>
      </c>
      <c r="AY16" s="63">
        <f>'Overview (Design)'!G15</f>
        <v>0</v>
      </c>
      <c r="AZ16" s="63"/>
      <c r="BA16" s="63"/>
      <c r="BB16" s="63"/>
      <c r="BC16" s="63">
        <f>'Overview (Design)'!K15</f>
        <v>0</v>
      </c>
      <c r="BD16" s="63" t="str">
        <f>'Overview (Design)'!L15</f>
        <v/>
      </c>
      <c r="BE16" s="63" t="str">
        <f>'Overview (Design)'!M15</f>
        <v>!!</v>
      </c>
      <c r="BF16" s="63" t="str">
        <f>'Overview (Design)'!N15</f>
        <v>!!</v>
      </c>
      <c r="BG16" s="63" t="str">
        <f>'Overview (Design)'!O15</f>
        <v>!!</v>
      </c>
      <c r="BH16" s="63" t="str">
        <f>'Overview (Design)'!P15</f>
        <v>!!</v>
      </c>
      <c r="BI16" s="775" t="str">
        <f>'Overview (Design)'!Q15</f>
        <v>!!</v>
      </c>
    </row>
    <row r="17" spans="2:61" x14ac:dyDescent="0.25">
      <c r="B17" s="77">
        <v>601.1</v>
      </c>
      <c r="C17" s="21"/>
      <c r="D17" s="21"/>
      <c r="E17" s="21"/>
      <c r="F17" s="21"/>
      <c r="G17" s="21"/>
      <c r="H17" s="758"/>
      <c r="I17" s="130"/>
      <c r="J17" s="129"/>
      <c r="K17" s="95"/>
      <c r="L17" s="1782"/>
      <c r="M17" s="424"/>
      <c r="N17" s="129"/>
      <c r="O17" s="1774"/>
      <c r="P17" s="94"/>
      <c r="Q17" s="94"/>
      <c r="R17" s="94"/>
      <c r="S17" s="94"/>
      <c r="T17" s="94"/>
      <c r="U17" s="94"/>
      <c r="V17" s="94"/>
      <c r="W17" s="94"/>
      <c r="X17" s="1770"/>
      <c r="Z17"/>
      <c r="AB17"/>
      <c r="AC17"/>
      <c r="AD17"/>
      <c r="AE17"/>
      <c r="AF17"/>
      <c r="AG17"/>
      <c r="AH17"/>
      <c r="AI17"/>
      <c r="AJ17"/>
      <c r="AK17"/>
      <c r="AL17"/>
      <c r="AM17"/>
      <c r="AN17"/>
      <c r="AO17"/>
      <c r="AP17"/>
      <c r="AQ17"/>
      <c r="AR17"/>
      <c r="AS17"/>
      <c r="AX17" s="62" t="str">
        <f>'Overview (Design)'!A16</f>
        <v>Zip:</v>
      </c>
      <c r="AY17" s="63">
        <f>'Overview (Design)'!G16</f>
        <v>0</v>
      </c>
    </row>
    <row r="18" spans="2:61" x14ac:dyDescent="0.25">
      <c r="B18" s="77">
        <v>601.1</v>
      </c>
      <c r="C18" s="21"/>
      <c r="D18" s="21"/>
      <c r="E18" s="21"/>
      <c r="F18" s="21"/>
      <c r="G18" s="21"/>
      <c r="H18" s="758"/>
      <c r="I18" s="130"/>
      <c r="J18" s="129"/>
      <c r="K18" s="95"/>
      <c r="L18" s="1782"/>
      <c r="M18" s="424"/>
      <c r="N18" s="129"/>
      <c r="O18" s="1774"/>
      <c r="P18" s="94"/>
      <c r="Q18" s="94"/>
      <c r="R18" s="94"/>
      <c r="S18" s="94"/>
      <c r="T18" s="94"/>
      <c r="U18" s="94"/>
      <c r="V18" s="94"/>
      <c r="W18" s="94"/>
      <c r="X18" s="1770"/>
      <c r="Z18"/>
      <c r="AB18"/>
      <c r="AC18" s="76"/>
      <c r="AD18" s="76"/>
      <c r="AE18" s="76"/>
      <c r="AF18"/>
      <c r="AG18"/>
      <c r="AH18"/>
      <c r="AI18"/>
      <c r="AJ18"/>
      <c r="AK18"/>
      <c r="AL18"/>
      <c r="AM18"/>
      <c r="AN18"/>
      <c r="AO18"/>
      <c r="AP18"/>
      <c r="AQ18"/>
      <c r="AR18"/>
      <c r="AS18"/>
      <c r="AX18" s="62"/>
    </row>
    <row r="19" spans="2:61" x14ac:dyDescent="0.25">
      <c r="B19" s="77">
        <v>601.1</v>
      </c>
      <c r="C19" s="21" t="s">
        <v>256</v>
      </c>
      <c r="D19" s="21"/>
      <c r="E19" s="21"/>
      <c r="F19" s="21"/>
      <c r="G19" s="21"/>
      <c r="H19" s="758"/>
      <c r="I19" s="130"/>
      <c r="J19" s="206" t="s">
        <v>256</v>
      </c>
      <c r="K19" s="175"/>
      <c r="L19" s="1158" t="s">
        <v>501</v>
      </c>
      <c r="M19" s="426">
        <v>14</v>
      </c>
      <c r="N19" s="129"/>
      <c r="O19" s="239"/>
      <c r="P19" s="94"/>
      <c r="Q19" s="94"/>
      <c r="R19" s="94"/>
      <c r="S19" s="94"/>
      <c r="T19" s="94"/>
      <c r="U19" s="94"/>
      <c r="V19" s="94"/>
      <c r="W19" s="94"/>
      <c r="X19" s="1770"/>
      <c r="Z19"/>
      <c r="AB19"/>
      <c r="AC19"/>
      <c r="AD19"/>
      <c r="AE19"/>
      <c r="AF19"/>
      <c r="AG19"/>
      <c r="AH19"/>
      <c r="AI19"/>
      <c r="AJ19"/>
      <c r="AK19"/>
      <c r="AL19" s="254" t="str">
        <f>SUBSTITUTE(SUBSTITUTE(SUBSTITUTE("dpa"&amp;$B19&amp;$C19&amp;$D19&amp;$E19,".","_"),"(","_"),")","")</f>
        <v>dpa601_1_1</v>
      </c>
      <c r="AM19" s="254">
        <f>M19</f>
        <v>14</v>
      </c>
      <c r="AN19"/>
      <c r="AO19"/>
      <c r="AP19"/>
      <c r="AQ19"/>
      <c r="AR19"/>
      <c r="AS19"/>
      <c r="AX19" s="62" t="str">
        <f>'Overview (Design)'!A18</f>
        <v>Single-Family or Multifamily:</v>
      </c>
      <c r="AY19" s="63" t="str">
        <f>'Overview (Design)'!G18</f>
        <v>Single-Family</v>
      </c>
    </row>
    <row r="20" spans="2:61" x14ac:dyDescent="0.25">
      <c r="B20" s="77">
        <v>601.1</v>
      </c>
      <c r="C20" s="21" t="s">
        <v>258</v>
      </c>
      <c r="D20" s="21"/>
      <c r="E20" s="21"/>
      <c r="F20" s="21"/>
      <c r="G20" s="21"/>
      <c r="H20" s="758"/>
      <c r="I20" s="130"/>
      <c r="J20" s="207" t="s">
        <v>258</v>
      </c>
      <c r="K20" s="208"/>
      <c r="L20" s="279" t="s">
        <v>502</v>
      </c>
      <c r="M20" s="438">
        <v>12</v>
      </c>
      <c r="N20" s="129"/>
      <c r="O20" s="239"/>
      <c r="P20" s="94"/>
      <c r="Q20" s="94"/>
      <c r="R20" s="94"/>
      <c r="S20" s="94"/>
      <c r="T20" s="94"/>
      <c r="U20" s="94"/>
      <c r="V20" s="94"/>
      <c r="W20" s="94"/>
      <c r="X20" s="1770"/>
      <c r="Z20"/>
      <c r="AB20"/>
      <c r="AC20"/>
      <c r="AD20"/>
      <c r="AE20"/>
      <c r="AF20"/>
      <c r="AG20"/>
      <c r="AH20"/>
      <c r="AI20"/>
      <c r="AJ20"/>
      <c r="AK20"/>
      <c r="AL20" s="254" t="str">
        <f>SUBSTITUTE(SUBSTITUTE(SUBSTITUTE("dpa"&amp;$B20&amp;$C20&amp;$D20&amp;$E20,".","_"),"(","_"),")","")</f>
        <v>dpa601_1_2</v>
      </c>
      <c r="AM20" s="254">
        <f>M20</f>
        <v>12</v>
      </c>
      <c r="AN20"/>
      <c r="AO20"/>
      <c r="AP20"/>
      <c r="AQ20"/>
      <c r="AR20"/>
      <c r="AS20"/>
      <c r="AX20" s="62" t="str">
        <f>'Overview (Design)'!A19</f>
        <v>Number of Units:</v>
      </c>
      <c r="AY20" s="63">
        <f>'Overview (Design)'!G19</f>
        <v>0</v>
      </c>
    </row>
    <row r="21" spans="2:61" x14ac:dyDescent="0.25">
      <c r="B21" s="77">
        <v>601.1</v>
      </c>
      <c r="C21" s="21" t="s">
        <v>260</v>
      </c>
      <c r="D21" s="21"/>
      <c r="E21" s="21"/>
      <c r="F21" s="21"/>
      <c r="G21" s="21"/>
      <c r="H21" s="758"/>
      <c r="I21" s="130"/>
      <c r="J21" s="207" t="s">
        <v>260</v>
      </c>
      <c r="K21" s="208"/>
      <c r="L21" s="279" t="s">
        <v>503</v>
      </c>
      <c r="M21" s="438">
        <v>9</v>
      </c>
      <c r="N21" s="129"/>
      <c r="O21" s="239"/>
      <c r="P21" s="94"/>
      <c r="Q21" s="94"/>
      <c r="R21" s="94"/>
      <c r="S21" s="94"/>
      <c r="T21" s="94"/>
      <c r="U21" s="94"/>
      <c r="V21" s="94"/>
      <c r="W21" s="94"/>
      <c r="X21" s="1770"/>
      <c r="Z21"/>
      <c r="AB21"/>
      <c r="AC21"/>
      <c r="AD21"/>
      <c r="AE21"/>
      <c r="AF21"/>
      <c r="AG21"/>
      <c r="AH21"/>
      <c r="AI21"/>
      <c r="AJ21"/>
      <c r="AK21"/>
      <c r="AL21" s="254" t="str">
        <f>SUBSTITUTE(SUBSTITUTE(SUBSTITUTE("dpa"&amp;$B21&amp;$C21&amp;$D21&amp;$E21,".","_"),"(","_"),")","")</f>
        <v>dpa601_1_3</v>
      </c>
      <c r="AM21" s="254">
        <f>M21</f>
        <v>9</v>
      </c>
      <c r="AN21"/>
      <c r="AO21"/>
      <c r="AP21"/>
      <c r="AQ21"/>
      <c r="AR21"/>
      <c r="AS21"/>
      <c r="AX21" s="1100" t="str">
        <f>'Overview (Design)'!A20</f>
        <v>Building includes commercial space pursuing Commercial Space certification?</v>
      </c>
      <c r="AY21" s="1101">
        <f>'Overview (Design)'!G20</f>
        <v>0</v>
      </c>
    </row>
    <row r="22" spans="2:61" x14ac:dyDescent="0.25">
      <c r="B22" s="77">
        <v>601.1</v>
      </c>
      <c r="C22" s="21" t="s">
        <v>269</v>
      </c>
      <c r="D22" s="21"/>
      <c r="E22" s="21"/>
      <c r="F22" s="21"/>
      <c r="G22" s="21"/>
      <c r="H22" s="758"/>
      <c r="I22" s="130"/>
      <c r="J22" s="207" t="s">
        <v>269</v>
      </c>
      <c r="K22" s="208"/>
      <c r="L22" s="279" t="s">
        <v>504</v>
      </c>
      <c r="M22" s="438">
        <v>6</v>
      </c>
      <c r="N22" s="129"/>
      <c r="O22" s="239"/>
      <c r="P22" s="94"/>
      <c r="Q22" s="94"/>
      <c r="R22" s="94"/>
      <c r="S22" s="94"/>
      <c r="T22" s="94"/>
      <c r="U22" s="94"/>
      <c r="V22" s="94"/>
      <c r="W22" s="94"/>
      <c r="X22" s="1770"/>
      <c r="Z22"/>
      <c r="AB22"/>
      <c r="AC22"/>
      <c r="AD22"/>
      <c r="AE22"/>
      <c r="AF22"/>
      <c r="AG22"/>
      <c r="AH22"/>
      <c r="AI22"/>
      <c r="AJ22"/>
      <c r="AK22"/>
      <c r="AL22" s="254" t="str">
        <f>SUBSTITUTE(SUBSTITUTE(SUBSTITUTE("dpa"&amp;$B22&amp;$C22&amp;$D22&amp;$E22,".","_"),"(","_"),")","")</f>
        <v>dpa601_1_4</v>
      </c>
      <c r="AM22" s="254">
        <f>M22</f>
        <v>6</v>
      </c>
      <c r="AN22"/>
      <c r="AO22"/>
      <c r="AP22"/>
      <c r="AQ22"/>
      <c r="AR22"/>
      <c r="AS22"/>
    </row>
    <row r="23" spans="2:61" x14ac:dyDescent="0.25">
      <c r="B23" s="77">
        <v>601.1</v>
      </c>
      <c r="C23" s="21" t="s">
        <v>275</v>
      </c>
      <c r="D23" s="21"/>
      <c r="E23" s="21"/>
      <c r="F23" s="21"/>
      <c r="G23" s="21"/>
      <c r="H23" s="758"/>
      <c r="I23" s="130"/>
      <c r="J23" s="207" t="s">
        <v>275</v>
      </c>
      <c r="K23" s="208"/>
      <c r="L23" s="279" t="s">
        <v>505</v>
      </c>
      <c r="M23" s="438">
        <v>3</v>
      </c>
      <c r="N23" s="129"/>
      <c r="O23" s="239"/>
      <c r="P23" s="94"/>
      <c r="Q23" s="94"/>
      <c r="R23" s="94"/>
      <c r="S23" s="94"/>
      <c r="T23" s="94"/>
      <c r="U23" s="94"/>
      <c r="V23" s="94"/>
      <c r="W23" s="94"/>
      <c r="X23" s="1770"/>
      <c r="Z23"/>
      <c r="AB23"/>
      <c r="AC23"/>
      <c r="AD23"/>
      <c r="AE23"/>
      <c r="AF23"/>
      <c r="AG23"/>
      <c r="AH23"/>
      <c r="AI23"/>
      <c r="AJ23"/>
      <c r="AK23"/>
      <c r="AL23" s="254" t="str">
        <f>SUBSTITUTE(SUBSTITUTE(SUBSTITUTE("dpa"&amp;$B23&amp;$C23&amp;$D23&amp;$E23,".","_"),"(","_"),")","")</f>
        <v>dpa601_1_5</v>
      </c>
      <c r="AM23" s="254">
        <f>M23</f>
        <v>3</v>
      </c>
      <c r="AN23"/>
      <c r="AO23"/>
      <c r="AP23"/>
      <c r="AQ23"/>
      <c r="AR23"/>
      <c r="AS23"/>
    </row>
    <row r="24" spans="2:61" x14ac:dyDescent="0.25">
      <c r="B24" s="77">
        <v>601.1</v>
      </c>
      <c r="C24" s="21" t="s">
        <v>277</v>
      </c>
      <c r="D24" s="21"/>
      <c r="E24" s="21"/>
      <c r="F24" s="21"/>
      <c r="G24" s="21"/>
      <c r="H24" s="758"/>
      <c r="I24" s="130"/>
      <c r="J24" s="183" t="s">
        <v>277</v>
      </c>
      <c r="K24" s="95"/>
      <c r="L24" s="1160" t="s">
        <v>506</v>
      </c>
      <c r="M24" s="765" t="str">
        <f>IF(AY26&gt;4000,"Mandatory","N/A")</f>
        <v>N/A</v>
      </c>
      <c r="N24" s="129"/>
      <c r="O24" s="239"/>
      <c r="P24" s="94"/>
      <c r="Q24" s="94"/>
      <c r="R24" s="94"/>
      <c r="S24" s="94"/>
      <c r="T24" s="94"/>
      <c r="U24" s="94"/>
      <c r="V24" s="94"/>
      <c r="W24" s="94"/>
      <c r="X24" s="1770"/>
      <c r="Z24"/>
      <c r="AB24"/>
      <c r="AC24"/>
      <c r="AD24"/>
      <c r="AE24"/>
      <c r="AF24"/>
      <c r="AG24"/>
      <c r="AH24"/>
      <c r="AI24"/>
      <c r="AJ24"/>
      <c r="AK24"/>
      <c r="AL24"/>
      <c r="AM24"/>
      <c r="AN24"/>
      <c r="AO24"/>
      <c r="AP24"/>
      <c r="AQ24"/>
      <c r="AR24"/>
      <c r="AS24"/>
      <c r="AX24" s="62" t="str">
        <f>'Overview (Design)'!A23</f>
        <v>Project Name:</v>
      </c>
      <c r="AY24" s="63">
        <f>'Overview (Design)'!G23</f>
        <v>0</v>
      </c>
    </row>
    <row r="25" spans="2:61" x14ac:dyDescent="0.25">
      <c r="B25" s="77">
        <v>601.1</v>
      </c>
      <c r="C25" s="21" t="s">
        <v>277</v>
      </c>
      <c r="D25" s="21"/>
      <c r="E25" s="21"/>
      <c r="F25" s="21"/>
      <c r="G25" s="21"/>
      <c r="H25" s="758"/>
      <c r="I25" s="130"/>
      <c r="J25" s="129"/>
      <c r="K25" s="95"/>
      <c r="L25" s="1782" t="s">
        <v>507</v>
      </c>
      <c r="M25" s="184" t="s">
        <v>1102</v>
      </c>
      <c r="N25" s="129"/>
      <c r="O25" s="239"/>
      <c r="P25" s="94"/>
      <c r="Q25" s="94"/>
      <c r="R25" s="94"/>
      <c r="S25" s="94"/>
      <c r="T25" s="94"/>
      <c r="U25" s="94"/>
      <c r="V25" s="94"/>
      <c r="W25" s="94"/>
      <c r="X25" s="1770"/>
      <c r="Z25"/>
      <c r="AB25"/>
      <c r="AC25"/>
      <c r="AD25"/>
      <c r="AE25"/>
      <c r="AF25"/>
      <c r="AG25"/>
      <c r="AH25"/>
      <c r="AI25"/>
      <c r="AJ25"/>
      <c r="AK25"/>
      <c r="AL25"/>
      <c r="AM25"/>
      <c r="AN25"/>
      <c r="AO25"/>
      <c r="AP25"/>
      <c r="AQ25"/>
      <c r="AR25"/>
      <c r="AS25"/>
      <c r="AX25" s="62"/>
    </row>
    <row r="26" spans="2:61" x14ac:dyDescent="0.25">
      <c r="B26" s="77">
        <v>601.1</v>
      </c>
      <c r="C26" s="21" t="s">
        <v>277</v>
      </c>
      <c r="D26" s="21"/>
      <c r="E26" s="21"/>
      <c r="F26" s="21"/>
      <c r="G26" s="21"/>
      <c r="H26" s="758"/>
      <c r="I26" s="130"/>
      <c r="J26" s="129"/>
      <c r="K26" s="95"/>
      <c r="L26" s="1782"/>
      <c r="M26" s="184">
        <f>MAX(0,ROUNDDOWN((AY26-4000)/100,0))</f>
        <v>0</v>
      </c>
      <c r="N26" s="129"/>
      <c r="O26" s="239"/>
      <c r="P26" s="94"/>
      <c r="Q26" s="94"/>
      <c r="R26" s="94"/>
      <c r="S26" s="94"/>
      <c r="T26" s="94"/>
      <c r="U26" s="94"/>
      <c r="V26" s="94"/>
      <c r="W26" s="94"/>
      <c r="X26" s="1770"/>
      <c r="Z26"/>
      <c r="AB26"/>
      <c r="AC26"/>
      <c r="AD26"/>
      <c r="AE26"/>
      <c r="AF26"/>
      <c r="AG26"/>
      <c r="AH26"/>
      <c r="AI26"/>
      <c r="AJ26"/>
      <c r="AK26"/>
      <c r="AL26"/>
      <c r="AM26"/>
      <c r="AN26"/>
      <c r="AO26"/>
      <c r="AP26"/>
      <c r="AQ26"/>
      <c r="AR26"/>
      <c r="AS26"/>
      <c r="AX26" s="62" t="str">
        <f>'Overview (Design)'!A25</f>
        <v>Above grade plane finished floor area:</v>
      </c>
      <c r="AY26" s="63">
        <f>'Overview (Design)'!G25</f>
        <v>0</v>
      </c>
    </row>
    <row r="27" spans="2:61" ht="15" customHeight="1" x14ac:dyDescent="0.25">
      <c r="B27" s="77">
        <v>601.1</v>
      </c>
      <c r="C27" s="21" t="s">
        <v>277</v>
      </c>
      <c r="D27" s="21"/>
      <c r="E27" s="21"/>
      <c r="F27" s="21"/>
      <c r="G27" s="21"/>
      <c r="H27" s="758"/>
      <c r="I27" s="130"/>
      <c r="J27" s="129"/>
      <c r="L27" s="1804" t="s">
        <v>3833</v>
      </c>
      <c r="M27" s="424"/>
      <c r="N27" s="129"/>
      <c r="O27" s="239"/>
      <c r="P27" s="94"/>
      <c r="Q27" s="94"/>
      <c r="R27" s="94"/>
      <c r="S27" s="94"/>
      <c r="T27" s="94"/>
      <c r="U27" s="94"/>
      <c r="V27" s="94"/>
      <c r="W27" s="94"/>
      <c r="X27" s="1770"/>
      <c r="Z27"/>
      <c r="AB27"/>
      <c r="AC27"/>
      <c r="AD27"/>
      <c r="AE27"/>
      <c r="AF27"/>
      <c r="AG27"/>
      <c r="AH27"/>
      <c r="AI27"/>
      <c r="AJ27"/>
      <c r="AK27"/>
      <c r="AL27"/>
      <c r="AM27"/>
      <c r="AN27"/>
      <c r="AO27"/>
      <c r="AP27"/>
      <c r="AQ27"/>
      <c r="AR27"/>
      <c r="AS27"/>
      <c r="AX27" s="62" t="str">
        <f>'Overview (Design)'!A26</f>
        <v>Total conditioned floor area:</v>
      </c>
      <c r="AY27" s="63">
        <f>'Overview (Design)'!G26</f>
        <v>0</v>
      </c>
    </row>
    <row r="28" spans="2:61" ht="15.75" thickBot="1" x14ac:dyDescent="0.3">
      <c r="B28" s="77">
        <v>601.1</v>
      </c>
      <c r="C28" s="21" t="s">
        <v>277</v>
      </c>
      <c r="D28" s="21"/>
      <c r="E28" s="21"/>
      <c r="F28" s="21"/>
      <c r="G28" s="21"/>
      <c r="H28" s="758"/>
      <c r="I28" s="130"/>
      <c r="J28" s="129"/>
      <c r="K28" s="205"/>
      <c r="L28" s="1804"/>
      <c r="M28" s="424"/>
      <c r="N28" s="129"/>
      <c r="O28" s="239"/>
      <c r="P28" s="94"/>
      <c r="Q28" s="94"/>
      <c r="R28" s="94"/>
      <c r="S28" s="94"/>
      <c r="T28" s="94"/>
      <c r="U28" s="94"/>
      <c r="V28" s="94"/>
      <c r="W28" s="94"/>
      <c r="X28" s="1798"/>
      <c r="Z28"/>
      <c r="AB28"/>
      <c r="AC28"/>
      <c r="AD28"/>
      <c r="AE28"/>
      <c r="AF28"/>
      <c r="AG28"/>
      <c r="AH28"/>
      <c r="AI28"/>
      <c r="AJ28"/>
      <c r="AK28"/>
      <c r="AL28"/>
      <c r="AM28"/>
      <c r="AN28"/>
      <c r="AO28"/>
      <c r="AP28"/>
      <c r="AQ28"/>
      <c r="AR28"/>
      <c r="AS28"/>
      <c r="AX28" s="441" t="str">
        <f>'Overview (Design)'!A27</f>
        <v>Stories above grade:</v>
      </c>
      <c r="AY28" s="442">
        <f>'Overview (Design)'!G27</f>
        <v>0</v>
      </c>
    </row>
    <row r="29" spans="2:61" ht="15.75" thickTop="1" x14ac:dyDescent="0.25">
      <c r="B29" s="77">
        <v>601.20000000000005</v>
      </c>
      <c r="C29" s="21"/>
      <c r="D29" s="21"/>
      <c r="E29" s="21"/>
      <c r="F29" s="21"/>
      <c r="G29" s="21"/>
      <c r="H29" s="758"/>
      <c r="I29" s="180">
        <v>601.20000000000005</v>
      </c>
      <c r="J29" s="181"/>
      <c r="K29" s="182"/>
      <c r="L29" s="1781" t="s">
        <v>508</v>
      </c>
      <c r="M29" s="423"/>
      <c r="N29" s="181"/>
      <c r="O29" s="500"/>
      <c r="P29" s="105"/>
      <c r="Q29" s="105"/>
      <c r="R29" s="105"/>
      <c r="S29" s="105"/>
      <c r="T29" s="105"/>
      <c r="U29" s="105"/>
      <c r="V29" s="105"/>
      <c r="W29" s="105"/>
      <c r="X29" s="185"/>
      <c r="Z29"/>
      <c r="AB29"/>
      <c r="AC29"/>
      <c r="AD29"/>
      <c r="AE29"/>
      <c r="AF29"/>
      <c r="AG29"/>
      <c r="AH29"/>
      <c r="AI29"/>
      <c r="AJ29"/>
      <c r="AK29"/>
      <c r="AL29"/>
      <c r="AM29"/>
      <c r="AN29"/>
      <c r="AO29"/>
      <c r="AP29"/>
      <c r="AQ29"/>
      <c r="AR29"/>
      <c r="AS29"/>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2:61" x14ac:dyDescent="0.25">
      <c r="B30" s="77">
        <v>601.20000000000005</v>
      </c>
      <c r="C30" s="21"/>
      <c r="D30" s="21"/>
      <c r="E30" s="21"/>
      <c r="F30" s="21"/>
      <c r="G30" s="21"/>
      <c r="H30" s="758"/>
      <c r="I30" s="130"/>
      <c r="J30" s="129"/>
      <c r="K30" s="95"/>
      <c r="L30" s="1782"/>
      <c r="M30" s="424"/>
      <c r="N30" s="129"/>
      <c r="O30" s="239"/>
      <c r="P30" s="94"/>
      <c r="Q30" s="94"/>
      <c r="R30" s="94"/>
      <c r="S30" s="94"/>
      <c r="T30" s="94"/>
      <c r="U30" s="94"/>
      <c r="V30" s="94"/>
      <c r="W30" s="94"/>
      <c r="X30" s="113"/>
      <c r="Z30"/>
      <c r="AB30"/>
      <c r="AC30"/>
      <c r="AD30"/>
      <c r="AE30"/>
      <c r="AF30"/>
      <c r="AG30"/>
      <c r="AH30"/>
      <c r="AI30"/>
      <c r="AJ30"/>
      <c r="AK30"/>
      <c r="AL30"/>
      <c r="AM30"/>
      <c r="AN30"/>
      <c r="AO30"/>
      <c r="AP30"/>
      <c r="AQ30"/>
      <c r="AR30"/>
      <c r="AS30"/>
    </row>
    <row r="31" spans="2:61" x14ac:dyDescent="0.25">
      <c r="B31" s="77">
        <v>601.20000000000005</v>
      </c>
      <c r="C31" s="21" t="s">
        <v>256</v>
      </c>
      <c r="D31" s="21"/>
      <c r="E31" s="21"/>
      <c r="F31" s="21"/>
      <c r="G31" s="21"/>
      <c r="H31" s="758"/>
      <c r="I31" s="64"/>
      <c r="J31" s="183" t="s">
        <v>256</v>
      </c>
      <c r="K31" s="95"/>
      <c r="L31" s="1754" t="s">
        <v>510</v>
      </c>
      <c r="M31" s="1758">
        <v>3</v>
      </c>
      <c r="N31" s="129"/>
      <c r="O31" s="1774">
        <f>M31*S31*W31</f>
        <v>0</v>
      </c>
      <c r="P31" s="352" t="b">
        <v>1</v>
      </c>
      <c r="Q31" s="352" t="b">
        <v>0</v>
      </c>
      <c r="R31" s="126" t="b">
        <v>0</v>
      </c>
      <c r="S31" s="126" t="b">
        <v>1</v>
      </c>
      <c r="T31" s="126" t="b">
        <v>0</v>
      </c>
      <c r="U31"/>
      <c r="V31"/>
      <c r="W31" s="25"/>
      <c r="X31" s="1757"/>
      <c r="Z31"/>
      <c r="AB31"/>
      <c r="AC31"/>
      <c r="AD31"/>
      <c r="AE31"/>
      <c r="AF31"/>
      <c r="AG31"/>
      <c r="AH31"/>
      <c r="AI31"/>
      <c r="AJ31"/>
      <c r="AK31"/>
      <c r="AL31" s="254" t="str">
        <f>SUBSTITUTE(SUBSTITUTE(SUBSTITUTE("dpa"&amp;$B31&amp;$C31&amp;$D31&amp;$E31,".","_"),"(","_"),")","")</f>
        <v>dpa601_2_1</v>
      </c>
      <c r="AM31" s="254">
        <f>M31</f>
        <v>3</v>
      </c>
      <c r="AN31" s="254" t="str">
        <f>SUBSTITUTE(SUBSTITUTE(SUBSTITUTE("dpc"&amp;$B31&amp;$C31&amp;$D31&amp;$E31,".","_"),"(","_"),")","")</f>
        <v>dpc601_2_1</v>
      </c>
      <c r="AO31" s="254">
        <f>O31</f>
        <v>0</v>
      </c>
      <c r="AP31" s="735" t="str">
        <f>SUBSTITUTE(SUBSTITUTE(SUBSTITUTE("dch"&amp;$B31&amp;$C31&amp;$D31&amp;$E31,".","_"),"(","_"),")","")</f>
        <v>dch601_2_1</v>
      </c>
      <c r="AQ31" s="254" t="str">
        <f>IF(LEN(W31)=0,"",W31)</f>
        <v/>
      </c>
      <c r="AR31" s="1130" t="str">
        <f>SUBSTITUTE(SUBSTITUTE(SUBSTITUTE("dnt"&amp;$B31&amp;$C31&amp;$D31&amp;$E31,".","_"),"(","_"),")","")</f>
        <v>dnt601_2_1</v>
      </c>
      <c r="AS31" s="254" t="str">
        <f>IF(LEN(X31)=0,"",X31)</f>
        <v/>
      </c>
      <c r="AX31" s="62" t="str">
        <f>'Overview (Design)'!A30</f>
        <v xml:space="preserve">Project Description (optional): </v>
      </c>
      <c r="AY31" s="63">
        <f>'Overview (Design)'!G30</f>
        <v>0</v>
      </c>
    </row>
    <row r="32" spans="2:61" x14ac:dyDescent="0.25">
      <c r="B32" s="77">
        <v>601.20000000000005</v>
      </c>
      <c r="C32" s="21" t="s">
        <v>256</v>
      </c>
      <c r="D32" s="21"/>
      <c r="E32" s="21"/>
      <c r="F32" s="21"/>
      <c r="G32" s="21"/>
      <c r="H32" s="758"/>
      <c r="I32" s="64"/>
      <c r="J32" s="129"/>
      <c r="K32" s="95"/>
      <c r="L32" s="1754"/>
      <c r="M32" s="1758"/>
      <c r="N32" s="129"/>
      <c r="O32" s="1774"/>
      <c r="P32" s="352"/>
      <c r="Q32" s="352"/>
      <c r="R32"/>
      <c r="S32"/>
      <c r="T32"/>
      <c r="U32"/>
      <c r="V32"/>
      <c r="W32"/>
      <c r="X32" s="1757"/>
      <c r="Z32"/>
      <c r="AB32"/>
      <c r="AC32"/>
      <c r="AD32"/>
      <c r="AE32"/>
      <c r="AF32"/>
      <c r="AG32"/>
      <c r="AH32"/>
      <c r="AI32"/>
      <c r="AJ32"/>
      <c r="AK32"/>
      <c r="AL32"/>
      <c r="AM32"/>
      <c r="AN32"/>
      <c r="AO32"/>
      <c r="AP32"/>
      <c r="AQ32"/>
      <c r="AR32"/>
      <c r="AS32"/>
    </row>
    <row r="33" spans="2:52" x14ac:dyDescent="0.25">
      <c r="B33" s="77">
        <v>601.20000000000005</v>
      </c>
      <c r="C33" s="21" t="s">
        <v>256</v>
      </c>
      <c r="D33" s="21"/>
      <c r="E33" s="21"/>
      <c r="F33" s="21"/>
      <c r="G33" s="21"/>
      <c r="H33" s="758"/>
      <c r="I33" s="64"/>
      <c r="J33" s="210"/>
      <c r="K33" s="175"/>
      <c r="L33" s="1755"/>
      <c r="M33" s="1759"/>
      <c r="N33" s="210"/>
      <c r="O33" s="1764"/>
      <c r="P33" s="352"/>
      <c r="Q33" s="352"/>
      <c r="R33" s="126"/>
      <c r="S33" s="126"/>
      <c r="T33" s="126"/>
      <c r="U33" s="126"/>
      <c r="V33" s="126"/>
      <c r="W33" s="126"/>
      <c r="X33" s="1757"/>
      <c r="Z33"/>
      <c r="AB33"/>
      <c r="AC33"/>
      <c r="AD33"/>
      <c r="AE33"/>
      <c r="AF33"/>
      <c r="AG33"/>
      <c r="AH33"/>
      <c r="AI33"/>
      <c r="AJ33"/>
      <c r="AK33"/>
      <c r="AL33"/>
      <c r="AM33"/>
      <c r="AN33"/>
      <c r="AO33"/>
      <c r="AP33"/>
      <c r="AQ33"/>
      <c r="AR33"/>
      <c r="AS33"/>
      <c r="AX33" s="62" t="str">
        <f>'Overview (Design)'!A32</f>
        <v>Foundation Type:</v>
      </c>
      <c r="AY33" s="63">
        <f>'Overview (Design)'!G32</f>
        <v>0</v>
      </c>
      <c r="AZ33" s="1">
        <f>IFERROR(MATCH(AY33,ddFoundation,0),0)</f>
        <v>0</v>
      </c>
    </row>
    <row r="34" spans="2:52" x14ac:dyDescent="0.25">
      <c r="B34" s="77">
        <v>601.20000000000005</v>
      </c>
      <c r="C34" s="21" t="s">
        <v>258</v>
      </c>
      <c r="D34" s="21"/>
      <c r="E34" s="21"/>
      <c r="F34" s="21"/>
      <c r="G34" s="21"/>
      <c r="H34" s="758"/>
      <c r="I34" s="64"/>
      <c r="J34" s="183" t="s">
        <v>258</v>
      </c>
      <c r="K34" s="95"/>
      <c r="L34" s="1754" t="s">
        <v>511</v>
      </c>
      <c r="M34" s="1758">
        <v>3</v>
      </c>
      <c r="N34" s="129"/>
      <c r="O34" s="1774">
        <f>M34*S34*W34</f>
        <v>0</v>
      </c>
      <c r="P34" s="352" t="b">
        <v>1</v>
      </c>
      <c r="Q34" s="352" t="b">
        <v>0</v>
      </c>
      <c r="R34" s="126" t="b">
        <v>0</v>
      </c>
      <c r="S34" s="126" t="b">
        <v>1</v>
      </c>
      <c r="T34" s="126" t="b">
        <v>0</v>
      </c>
      <c r="U34"/>
      <c r="V34"/>
      <c r="W34" s="25"/>
      <c r="X34" s="1757"/>
      <c r="Z34"/>
      <c r="AB34"/>
      <c r="AC34"/>
      <c r="AD34"/>
      <c r="AE34"/>
      <c r="AF34"/>
      <c r="AG34"/>
      <c r="AH34"/>
      <c r="AI34"/>
      <c r="AJ34"/>
      <c r="AK34"/>
      <c r="AL34" s="254" t="str">
        <f>SUBSTITUTE(SUBSTITUTE(SUBSTITUTE("dpa"&amp;$B34&amp;$C34&amp;$D34&amp;$E34,".","_"),"(","_"),")","")</f>
        <v>dpa601_2_2</v>
      </c>
      <c r="AM34" s="254">
        <f>M34</f>
        <v>3</v>
      </c>
      <c r="AN34" s="254" t="str">
        <f>SUBSTITUTE(SUBSTITUTE(SUBSTITUTE("dpc"&amp;$B34&amp;$C34&amp;$D34&amp;$E34,".","_"),"(","_"),")","")</f>
        <v>dpc601_2_2</v>
      </c>
      <c r="AO34" s="254">
        <f>O34</f>
        <v>0</v>
      </c>
      <c r="AP34" s="1130" t="str">
        <f>SUBSTITUTE(SUBSTITUTE(SUBSTITUTE("dch"&amp;$B34&amp;$C34&amp;$D34&amp;$E34,".","_"),"(","_"),")","")</f>
        <v>dch601_2_2</v>
      </c>
      <c r="AQ34" s="254" t="str">
        <f>IF(LEN(W34)=0,"",W34)</f>
        <v/>
      </c>
      <c r="AR34" s="1130" t="str">
        <f>SUBSTITUTE(SUBSTITUTE(SUBSTITUTE("dnt"&amp;$B34&amp;$C34&amp;$D34&amp;$E34,".","_"),"(","_"),")","")</f>
        <v>dnt601_2_2</v>
      </c>
      <c r="AS34" s="254" t="str">
        <f>IF(LEN(X34)=0,"",X34)</f>
        <v/>
      </c>
      <c r="AX34" s="441"/>
      <c r="AY34" s="442"/>
    </row>
    <row r="35" spans="2:52" x14ac:dyDescent="0.25">
      <c r="B35" s="77">
        <v>601.20000000000005</v>
      </c>
      <c r="C35" s="21" t="s">
        <v>258</v>
      </c>
      <c r="D35" s="21"/>
      <c r="E35" s="21"/>
      <c r="F35" s="21"/>
      <c r="G35" s="21"/>
      <c r="H35" s="758"/>
      <c r="I35" s="64"/>
      <c r="J35" s="129"/>
      <c r="K35" s="95"/>
      <c r="L35" s="1754"/>
      <c r="M35" s="1758"/>
      <c r="N35" s="129"/>
      <c r="O35" s="1774"/>
      <c r="P35" s="352"/>
      <c r="Q35" s="352"/>
      <c r="R35"/>
      <c r="S35"/>
      <c r="T35"/>
      <c r="U35"/>
      <c r="V35"/>
      <c r="W35"/>
      <c r="X35" s="1757"/>
      <c r="Z35"/>
      <c r="AB35"/>
      <c r="AC35"/>
      <c r="AD35"/>
      <c r="AE35"/>
      <c r="AF35"/>
      <c r="AG35"/>
      <c r="AH35"/>
      <c r="AI35"/>
      <c r="AJ35"/>
      <c r="AK35"/>
      <c r="AL35"/>
      <c r="AM35"/>
      <c r="AN35"/>
      <c r="AO35"/>
      <c r="AP35"/>
      <c r="AQ35"/>
      <c r="AR35"/>
      <c r="AS35"/>
      <c r="AX35" s="62" t="str">
        <f>'Overview (Design)'!A34</f>
        <v>Type of Heating System (main system):</v>
      </c>
      <c r="AY35" s="63">
        <f>'Overview (Design)'!G34</f>
        <v>0</v>
      </c>
    </row>
    <row r="36" spans="2:52" x14ac:dyDescent="0.25">
      <c r="B36" s="77">
        <v>601.20000000000005</v>
      </c>
      <c r="C36" s="21" t="s">
        <v>258</v>
      </c>
      <c r="D36" s="21"/>
      <c r="E36" s="21"/>
      <c r="F36" s="21"/>
      <c r="G36" s="21"/>
      <c r="H36" s="758"/>
      <c r="I36" s="64"/>
      <c r="J36" s="210"/>
      <c r="K36" s="175"/>
      <c r="L36" s="1755"/>
      <c r="M36" s="1759"/>
      <c r="N36" s="210"/>
      <c r="O36" s="1764"/>
      <c r="P36" s="352"/>
      <c r="Q36" s="352"/>
      <c r="R36"/>
      <c r="S36"/>
      <c r="T36"/>
      <c r="U36"/>
      <c r="V36"/>
      <c r="W36"/>
      <c r="X36" s="1757"/>
      <c r="Z36"/>
      <c r="AB36"/>
      <c r="AC36"/>
      <c r="AD36"/>
      <c r="AE36"/>
      <c r="AF36"/>
      <c r="AG36"/>
      <c r="AH36"/>
      <c r="AI36"/>
      <c r="AJ36"/>
      <c r="AK36"/>
      <c r="AL36"/>
      <c r="AM36"/>
      <c r="AN36"/>
      <c r="AO36"/>
      <c r="AP36"/>
      <c r="AQ36"/>
      <c r="AR36"/>
      <c r="AS36"/>
      <c r="AX36" s="62" t="str">
        <f>'Overview (Design)'!A35</f>
        <v>Type of Heating System (system 2):</v>
      </c>
      <c r="AY36" s="63">
        <f>'Overview (Design)'!G35</f>
        <v>0</v>
      </c>
    </row>
    <row r="37" spans="2:52" ht="15" customHeight="1" thickBot="1" x14ac:dyDescent="0.3">
      <c r="B37" s="77">
        <v>601.20000000000005</v>
      </c>
      <c r="C37" s="21" t="s">
        <v>260</v>
      </c>
      <c r="D37" s="21"/>
      <c r="E37" s="21"/>
      <c r="F37" s="21"/>
      <c r="G37" s="21"/>
      <c r="H37" s="758"/>
      <c r="I37" s="64"/>
      <c r="J37" s="27" t="s">
        <v>260</v>
      </c>
      <c r="K37" s="83"/>
      <c r="L37" s="1170" t="s">
        <v>512</v>
      </c>
      <c r="M37" s="428">
        <v>3</v>
      </c>
      <c r="N37" s="4"/>
      <c r="O37" s="141">
        <f>M37*S37*W37</f>
        <v>0</v>
      </c>
      <c r="P37" s="352" t="b">
        <v>1</v>
      </c>
      <c r="Q37" s="352" t="b">
        <v>0</v>
      </c>
      <c r="R37" s="126" t="b">
        <v>0</v>
      </c>
      <c r="S37" s="126" t="b">
        <v>1</v>
      </c>
      <c r="T37" s="126" t="b">
        <v>0</v>
      </c>
      <c r="U37"/>
      <c r="V37"/>
      <c r="W37" s="25"/>
      <c r="X37" s="167"/>
      <c r="Z37"/>
      <c r="AB37"/>
      <c r="AC37"/>
      <c r="AD37"/>
      <c r="AE37"/>
      <c r="AF37"/>
      <c r="AG37"/>
      <c r="AH37"/>
      <c r="AI37"/>
      <c r="AJ37"/>
      <c r="AK37"/>
      <c r="AL37" s="254" t="str">
        <f>SUBSTITUTE(SUBSTITUTE(SUBSTITUTE("dpa"&amp;$B37&amp;$C37&amp;$D37&amp;$E37,".","_"),"(","_"),")","")</f>
        <v>dpa601_2_3</v>
      </c>
      <c r="AM37" s="254">
        <f>M37</f>
        <v>3</v>
      </c>
      <c r="AN37" s="254" t="str">
        <f>SUBSTITUTE(SUBSTITUTE(SUBSTITUTE("dpc"&amp;$B37&amp;$C37&amp;$D37&amp;$E37,".","_"),"(","_"),")","")</f>
        <v>dpc601_2_3</v>
      </c>
      <c r="AO37" s="254">
        <f>O37</f>
        <v>0</v>
      </c>
      <c r="AP37" s="1130" t="str">
        <f>SUBSTITUTE(SUBSTITUTE(SUBSTITUTE("dch"&amp;$B37&amp;$C37&amp;$D37&amp;$E37,".","_"),"(","_"),")","")</f>
        <v>dch601_2_3</v>
      </c>
      <c r="AQ37" s="254" t="str">
        <f>IF(LEN(W37)=0,"",W37)</f>
        <v/>
      </c>
      <c r="AR37" s="1130" t="str">
        <f>SUBSTITUTE(SUBSTITUTE(SUBSTITUTE("dnt"&amp;$B37&amp;$C37&amp;$D37&amp;$E37,".","_"),"(","_"),")","")</f>
        <v>dnt601_2_3</v>
      </c>
      <c r="AS37" s="254" t="str">
        <f>IF(LEN(X37)=0,"",X37)</f>
        <v/>
      </c>
      <c r="AX37" s="62" t="str">
        <f>'Overview (Design)'!A36</f>
        <v>Type of Heating System (system 3):</v>
      </c>
      <c r="AY37" s="63">
        <f>'Overview (Design)'!G36</f>
        <v>0</v>
      </c>
    </row>
    <row r="38" spans="2:52" ht="15.75" thickTop="1" x14ac:dyDescent="0.25">
      <c r="B38" s="77">
        <v>601.29999999999995</v>
      </c>
      <c r="C38" s="21"/>
      <c r="D38" s="21"/>
      <c r="E38" s="21"/>
      <c r="F38" s="21"/>
      <c r="G38" s="21"/>
      <c r="H38" s="758"/>
      <c r="I38" s="180">
        <v>601.29999999999995</v>
      </c>
      <c r="J38" s="181"/>
      <c r="K38" s="182"/>
      <c r="L38" s="1781" t="s">
        <v>513</v>
      </c>
      <c r="M38" s="423"/>
      <c r="N38" s="181"/>
      <c r="O38" s="500"/>
      <c r="P38" s="105"/>
      <c r="Q38" s="105"/>
      <c r="R38" s="105"/>
      <c r="S38" s="105"/>
      <c r="T38" s="105"/>
      <c r="U38" s="105"/>
      <c r="V38" s="105"/>
      <c r="W38" s="105"/>
      <c r="X38" s="185"/>
      <c r="Z38"/>
      <c r="AB38"/>
      <c r="AC38"/>
      <c r="AD38"/>
      <c r="AE38"/>
      <c r="AF38"/>
      <c r="AG38"/>
      <c r="AH38"/>
      <c r="AI38"/>
      <c r="AJ38"/>
      <c r="AK38"/>
      <c r="AL38"/>
      <c r="AM38"/>
      <c r="AN38"/>
      <c r="AO38"/>
      <c r="AP38"/>
      <c r="AQ38"/>
      <c r="AR38"/>
      <c r="AS38"/>
      <c r="AX38" s="62" t="str">
        <f>'Overview (Design)'!A37</f>
        <v>Primary Heating Fuel:</v>
      </c>
      <c r="AY38" s="63">
        <f>'Overview (Design)'!G37</f>
        <v>0</v>
      </c>
    </row>
    <row r="39" spans="2:52" x14ac:dyDescent="0.25">
      <c r="B39" s="77">
        <v>601.29999999999995</v>
      </c>
      <c r="C39" s="21"/>
      <c r="D39" s="21"/>
      <c r="E39" s="21"/>
      <c r="F39" s="21"/>
      <c r="G39" s="21"/>
      <c r="H39" s="758"/>
      <c r="I39" s="130"/>
      <c r="J39" s="129"/>
      <c r="K39" s="95"/>
      <c r="L39" s="1782"/>
      <c r="M39" s="424"/>
      <c r="N39" s="129"/>
      <c r="O39" s="239"/>
      <c r="P39" s="94"/>
      <c r="Q39" s="94"/>
      <c r="R39" s="94"/>
      <c r="S39" s="94"/>
      <c r="T39" s="94"/>
      <c r="U39" s="94"/>
      <c r="V39" s="94"/>
      <c r="W39" s="94"/>
      <c r="X39" s="113"/>
      <c r="Z39"/>
      <c r="AB39"/>
      <c r="AC39"/>
      <c r="AD39"/>
      <c r="AE39"/>
      <c r="AF39"/>
      <c r="AG39"/>
      <c r="AH39"/>
      <c r="AI39"/>
      <c r="AJ39"/>
      <c r="AK39"/>
      <c r="AL39"/>
      <c r="AM39"/>
      <c r="AN39"/>
      <c r="AO39"/>
      <c r="AP39"/>
      <c r="AQ39"/>
      <c r="AR39"/>
      <c r="AS39"/>
      <c r="AX39" s="441" t="str">
        <f>'Overview (Design)'!A38</f>
        <v>Heating Ducts:</v>
      </c>
      <c r="AY39" s="442">
        <f>'Overview (Design)'!G38</f>
        <v>0</v>
      </c>
    </row>
    <row r="40" spans="2:52" x14ac:dyDescent="0.25">
      <c r="B40" s="77">
        <v>601.29999999999995</v>
      </c>
      <c r="C40" s="21"/>
      <c r="D40" s="21"/>
      <c r="E40" s="21"/>
      <c r="F40" s="21"/>
      <c r="G40" s="21"/>
      <c r="H40" s="758"/>
      <c r="I40" s="130"/>
      <c r="J40" s="129"/>
      <c r="K40" s="95"/>
      <c r="L40" s="1782"/>
      <c r="M40" s="424"/>
      <c r="N40" s="129"/>
      <c r="O40" s="239"/>
      <c r="P40" s="94"/>
      <c r="Q40" s="94"/>
      <c r="R40" s="94"/>
      <c r="S40" s="94"/>
      <c r="T40" s="94"/>
      <c r="U40" s="94"/>
      <c r="V40" s="94"/>
      <c r="W40" s="94"/>
      <c r="X40" s="113"/>
      <c r="Z40"/>
      <c r="AB40"/>
      <c r="AC40"/>
      <c r="AD40"/>
      <c r="AE40"/>
      <c r="AF40"/>
      <c r="AG40"/>
      <c r="AH40"/>
      <c r="AI40"/>
      <c r="AJ40"/>
      <c r="AK40"/>
      <c r="AL40"/>
      <c r="AM40"/>
      <c r="AN40"/>
      <c r="AO40"/>
      <c r="AP40"/>
      <c r="AQ40"/>
      <c r="AR40"/>
      <c r="AS40"/>
      <c r="AX40" s="441" t="str">
        <f>'Overview (Design)'!A39</f>
        <v>Type of Cooling System (main system):</v>
      </c>
      <c r="AY40" s="442">
        <f>'Overview (Design)'!G39</f>
        <v>0</v>
      </c>
    </row>
    <row r="41" spans="2:52" x14ac:dyDescent="0.25">
      <c r="B41" s="77">
        <v>601.29999999999995</v>
      </c>
      <c r="C41" s="21" t="s">
        <v>256</v>
      </c>
      <c r="D41" s="21"/>
      <c r="E41" s="21"/>
      <c r="F41" s="21"/>
      <c r="G41" s="21"/>
      <c r="H41" s="758"/>
      <c r="I41" s="64"/>
      <c r="J41" s="206" t="s">
        <v>256</v>
      </c>
      <c r="K41" s="175"/>
      <c r="L41" s="1163" t="s">
        <v>514</v>
      </c>
      <c r="M41" s="426">
        <v>3</v>
      </c>
      <c r="N41" s="210"/>
      <c r="O41" s="501">
        <f t="shared" ref="O41:O46" si="0">M41*S41*W41</f>
        <v>0</v>
      </c>
      <c r="P41" s="352" t="b">
        <v>1</v>
      </c>
      <c r="Q41" s="352" t="b">
        <v>0</v>
      </c>
      <c r="R41" s="126" t="b">
        <v>0</v>
      </c>
      <c r="S41" s="126" t="b">
        <v>1</v>
      </c>
      <c r="T41" s="126" t="b">
        <v>0</v>
      </c>
      <c r="U41"/>
      <c r="V41"/>
      <c r="W41" s="25"/>
      <c r="X41" s="160"/>
      <c r="Z41"/>
      <c r="AB41"/>
      <c r="AC41"/>
      <c r="AD41"/>
      <c r="AE41"/>
      <c r="AF41"/>
      <c r="AG41"/>
      <c r="AH41"/>
      <c r="AI41"/>
      <c r="AJ41"/>
      <c r="AK41"/>
      <c r="AL41" s="254" t="str">
        <f t="shared" ref="AL41:AL46" si="1">SUBSTITUTE(SUBSTITUTE(SUBSTITUTE("dpa"&amp;$B41&amp;$C41&amp;$D41&amp;$E41,".","_"),"(","_"),")","")</f>
        <v>dpa601_3_1</v>
      </c>
      <c r="AM41" s="254">
        <f t="shared" ref="AM41:AM46" si="2">M41</f>
        <v>3</v>
      </c>
      <c r="AN41" s="254" t="str">
        <f t="shared" ref="AN41:AN46" si="3">SUBSTITUTE(SUBSTITUTE(SUBSTITUTE("dpc"&amp;$B41&amp;$C41&amp;$D41&amp;$E41,".","_"),"(","_"),")","")</f>
        <v>dpc601_3_1</v>
      </c>
      <c r="AO41" s="254">
        <f t="shared" ref="AO41:AO46" si="4">O41</f>
        <v>0</v>
      </c>
      <c r="AP41" s="1130" t="str">
        <f t="shared" ref="AP41:AP46" si="5">SUBSTITUTE(SUBSTITUTE(SUBSTITUTE("dch"&amp;$B41&amp;$C41&amp;$D41&amp;$E41,".","_"),"(","_"),")","")</f>
        <v>dch601_3_1</v>
      </c>
      <c r="AQ41" s="254" t="str">
        <f t="shared" ref="AQ41:AQ46" si="6">IF(LEN(W41)=0,"",W41)</f>
        <v/>
      </c>
      <c r="AR41" s="1130" t="str">
        <f t="shared" ref="AR41:AR46" si="7">SUBSTITUTE(SUBSTITUTE(SUBSTITUTE("dnt"&amp;$B41&amp;$C41&amp;$D41&amp;$E41,".","_"),"(","_"),")","")</f>
        <v>dnt601_3_1</v>
      </c>
      <c r="AS41" s="254" t="str">
        <f t="shared" ref="AS41:AS46" si="8">IF(LEN(X41)=0,"",X41)</f>
        <v/>
      </c>
      <c r="AX41" s="441" t="str">
        <f>'Overview (Design)'!A40</f>
        <v>Type of Cooling System (system 2):</v>
      </c>
      <c r="AY41" s="442">
        <f>'Overview (Design)'!G40</f>
        <v>0</v>
      </c>
    </row>
    <row r="42" spans="2:52" x14ac:dyDescent="0.25">
      <c r="B42" s="77">
        <v>601.29999999999995</v>
      </c>
      <c r="C42" s="21" t="s">
        <v>258</v>
      </c>
      <c r="D42" s="21"/>
      <c r="E42" s="21"/>
      <c r="F42" s="21"/>
      <c r="G42" s="21"/>
      <c r="H42" s="758"/>
      <c r="I42" s="64"/>
      <c r="J42" s="207" t="s">
        <v>258</v>
      </c>
      <c r="K42" s="208"/>
      <c r="L42" s="280" t="s">
        <v>515</v>
      </c>
      <c r="M42" s="438">
        <v>3</v>
      </c>
      <c r="N42" s="243"/>
      <c r="O42" s="437">
        <f t="shared" si="0"/>
        <v>0</v>
      </c>
      <c r="P42" s="352" t="b">
        <v>1</v>
      </c>
      <c r="Q42" s="352" t="b">
        <v>0</v>
      </c>
      <c r="R42" s="126" t="b">
        <v>0</v>
      </c>
      <c r="S42" s="126" t="b">
        <v>1</v>
      </c>
      <c r="T42" s="126" t="b">
        <v>0</v>
      </c>
      <c r="U42"/>
      <c r="V42"/>
      <c r="W42" s="25"/>
      <c r="X42" s="160"/>
      <c r="Z42"/>
      <c r="AB42"/>
      <c r="AC42"/>
      <c r="AD42"/>
      <c r="AE42"/>
      <c r="AF42"/>
      <c r="AG42"/>
      <c r="AH42"/>
      <c r="AI42"/>
      <c r="AJ42"/>
      <c r="AK42"/>
      <c r="AL42" s="254" t="str">
        <f t="shared" si="1"/>
        <v>dpa601_3_2</v>
      </c>
      <c r="AM42" s="254">
        <f t="shared" si="2"/>
        <v>3</v>
      </c>
      <c r="AN42" s="254" t="str">
        <f t="shared" si="3"/>
        <v>dpc601_3_2</v>
      </c>
      <c r="AO42" s="254">
        <f t="shared" si="4"/>
        <v>0</v>
      </c>
      <c r="AP42" s="1130" t="str">
        <f t="shared" si="5"/>
        <v>dch601_3_2</v>
      </c>
      <c r="AQ42" s="254" t="str">
        <f t="shared" si="6"/>
        <v/>
      </c>
      <c r="AR42" s="1130" t="str">
        <f t="shared" si="7"/>
        <v>dnt601_3_2</v>
      </c>
      <c r="AS42" s="254" t="str">
        <f t="shared" si="8"/>
        <v/>
      </c>
      <c r="AX42" s="441" t="str">
        <f>'Overview (Design)'!A41</f>
        <v>Type of Cooling System (system 3):</v>
      </c>
      <c r="AY42" s="442">
        <f>'Overview (Design)'!G41</f>
        <v>0</v>
      </c>
    </row>
    <row r="43" spans="2:52" x14ac:dyDescent="0.25">
      <c r="B43" s="77">
        <v>601.29999999999995</v>
      </c>
      <c r="C43" s="21" t="s">
        <v>260</v>
      </c>
      <c r="D43" s="21"/>
      <c r="E43" s="21"/>
      <c r="F43" s="21"/>
      <c r="G43" s="21"/>
      <c r="H43" s="758"/>
      <c r="I43" s="64"/>
      <c r="J43" s="207" t="s">
        <v>260</v>
      </c>
      <c r="K43" s="208"/>
      <c r="L43" s="280" t="s">
        <v>516</v>
      </c>
      <c r="M43" s="438">
        <v>3</v>
      </c>
      <c r="N43" s="243"/>
      <c r="O43" s="437">
        <f t="shared" si="0"/>
        <v>0</v>
      </c>
      <c r="P43" s="352" t="b">
        <v>1</v>
      </c>
      <c r="Q43" s="352" t="b">
        <v>0</v>
      </c>
      <c r="R43" s="126" t="b">
        <v>0</v>
      </c>
      <c r="S43" s="126" t="b">
        <v>1</v>
      </c>
      <c r="T43" s="126" t="b">
        <v>0</v>
      </c>
      <c r="U43"/>
      <c r="V43"/>
      <c r="W43" s="25"/>
      <c r="X43" s="160"/>
      <c r="Z43"/>
      <c r="AB43"/>
      <c r="AC43"/>
      <c r="AD43"/>
      <c r="AE43"/>
      <c r="AF43"/>
      <c r="AG43"/>
      <c r="AH43"/>
      <c r="AI43"/>
      <c r="AJ43"/>
      <c r="AK43"/>
      <c r="AL43" s="254" t="str">
        <f t="shared" si="1"/>
        <v>dpa601_3_3</v>
      </c>
      <c r="AM43" s="254">
        <f t="shared" si="2"/>
        <v>3</v>
      </c>
      <c r="AN43" s="254" t="str">
        <f t="shared" si="3"/>
        <v>dpc601_3_3</v>
      </c>
      <c r="AO43" s="254">
        <f t="shared" si="4"/>
        <v>0</v>
      </c>
      <c r="AP43" s="1130" t="str">
        <f t="shared" si="5"/>
        <v>dch601_3_3</v>
      </c>
      <c r="AQ43" s="254" t="str">
        <f t="shared" si="6"/>
        <v/>
      </c>
      <c r="AR43" s="1130" t="str">
        <f t="shared" si="7"/>
        <v>dnt601_3_3</v>
      </c>
      <c r="AS43" s="254" t="str">
        <f t="shared" si="8"/>
        <v/>
      </c>
      <c r="AX43" s="441" t="str">
        <f>'Overview (Design)'!A42</f>
        <v>Cooling Ducts:</v>
      </c>
      <c r="AY43" s="442">
        <f>'Overview (Design)'!G42</f>
        <v>0</v>
      </c>
    </row>
    <row r="44" spans="2:52" x14ac:dyDescent="0.25">
      <c r="B44" s="77">
        <v>601.29999999999995</v>
      </c>
      <c r="C44" s="21" t="s">
        <v>269</v>
      </c>
      <c r="D44" s="21"/>
      <c r="E44" s="21"/>
      <c r="F44" s="21"/>
      <c r="G44" s="21"/>
      <c r="H44" s="758"/>
      <c r="I44" s="64"/>
      <c r="J44" s="207" t="s">
        <v>269</v>
      </c>
      <c r="K44" s="208"/>
      <c r="L44" s="280" t="s">
        <v>517</v>
      </c>
      <c r="M44" s="438">
        <v>3</v>
      </c>
      <c r="N44" s="243"/>
      <c r="O44" s="437">
        <f t="shared" si="0"/>
        <v>0</v>
      </c>
      <c r="P44" s="352" t="b">
        <v>1</v>
      </c>
      <c r="Q44" s="352" t="b">
        <v>0</v>
      </c>
      <c r="R44" s="126" t="b">
        <v>0</v>
      </c>
      <c r="S44" s="126" t="b">
        <v>1</v>
      </c>
      <c r="T44" s="126" t="b">
        <v>0</v>
      </c>
      <c r="U44"/>
      <c r="V44"/>
      <c r="W44" s="25"/>
      <c r="X44" s="160"/>
      <c r="Z44"/>
      <c r="AB44"/>
      <c r="AC44"/>
      <c r="AD44"/>
      <c r="AE44"/>
      <c r="AF44"/>
      <c r="AG44"/>
      <c r="AH44"/>
      <c r="AI44"/>
      <c r="AJ44"/>
      <c r="AK44"/>
      <c r="AL44" s="254" t="str">
        <f t="shared" si="1"/>
        <v>dpa601_3_4</v>
      </c>
      <c r="AM44" s="254">
        <f t="shared" si="2"/>
        <v>3</v>
      </c>
      <c r="AN44" s="254" t="str">
        <f t="shared" si="3"/>
        <v>dpc601_3_4</v>
      </c>
      <c r="AO44" s="254">
        <f t="shared" si="4"/>
        <v>0</v>
      </c>
      <c r="AP44" s="1130" t="str">
        <f t="shared" si="5"/>
        <v>dch601_3_4</v>
      </c>
      <c r="AQ44" s="254" t="str">
        <f t="shared" si="6"/>
        <v/>
      </c>
      <c r="AR44" s="1130" t="str">
        <f t="shared" si="7"/>
        <v>dnt601_3_4</v>
      </c>
      <c r="AS44" s="254" t="str">
        <f t="shared" si="8"/>
        <v/>
      </c>
      <c r="AX44" s="441"/>
      <c r="AY44" s="442"/>
    </row>
    <row r="45" spans="2:52" ht="15.75" thickBot="1" x14ac:dyDescent="0.3">
      <c r="B45" s="77">
        <v>601.29999999999995</v>
      </c>
      <c r="C45" s="21" t="s">
        <v>275</v>
      </c>
      <c r="D45" s="21"/>
      <c r="E45" s="21"/>
      <c r="F45" s="21"/>
      <c r="G45" s="21"/>
      <c r="H45" s="758"/>
      <c r="I45" s="64"/>
      <c r="J45" s="27" t="s">
        <v>275</v>
      </c>
      <c r="K45" s="83"/>
      <c r="L45" s="1170" t="s">
        <v>518</v>
      </c>
      <c r="M45" s="428">
        <v>1</v>
      </c>
      <c r="N45" s="4"/>
      <c r="O45" s="141">
        <f t="shared" si="0"/>
        <v>0</v>
      </c>
      <c r="P45" s="352" t="b">
        <v>1</v>
      </c>
      <c r="Q45" s="352" t="b">
        <v>0</v>
      </c>
      <c r="R45" s="126" t="b">
        <v>0</v>
      </c>
      <c r="S45" s="126" t="b">
        <v>1</v>
      </c>
      <c r="T45" s="126" t="b">
        <v>0</v>
      </c>
      <c r="U45"/>
      <c r="V45"/>
      <c r="W45" s="100"/>
      <c r="X45" s="167"/>
      <c r="Z45"/>
      <c r="AB45"/>
      <c r="AC45"/>
      <c r="AD45"/>
      <c r="AE45"/>
      <c r="AF45"/>
      <c r="AG45"/>
      <c r="AH45"/>
      <c r="AI45"/>
      <c r="AJ45"/>
      <c r="AK45"/>
      <c r="AL45" s="254" t="str">
        <f t="shared" si="1"/>
        <v>dpa601_3_5</v>
      </c>
      <c r="AM45" s="254">
        <f t="shared" si="2"/>
        <v>1</v>
      </c>
      <c r="AN45" s="254" t="str">
        <f t="shared" si="3"/>
        <v>dpc601_3_5</v>
      </c>
      <c r="AO45" s="254">
        <f t="shared" si="4"/>
        <v>0</v>
      </c>
      <c r="AP45" s="1130" t="str">
        <f t="shared" si="5"/>
        <v>dch601_3_5</v>
      </c>
      <c r="AQ45" s="254" t="str">
        <f t="shared" si="6"/>
        <v/>
      </c>
      <c r="AR45" s="1130" t="str">
        <f t="shared" si="7"/>
        <v>dnt601_3_5</v>
      </c>
      <c r="AS45" s="254" t="str">
        <f t="shared" si="8"/>
        <v/>
      </c>
      <c r="AX45" s="441" t="str">
        <f>'Overview (Design)'!A44</f>
        <v>Maximum window and door SHGC:</v>
      </c>
      <c r="AY45" s="442">
        <f>'Overview (Design)'!G44</f>
        <v>0</v>
      </c>
    </row>
    <row r="46" spans="2:52" ht="15.75" thickTop="1" x14ac:dyDescent="0.25">
      <c r="B46" s="77">
        <v>601.4</v>
      </c>
      <c r="C46" s="21"/>
      <c r="D46" s="21"/>
      <c r="E46" s="21"/>
      <c r="F46" s="21"/>
      <c r="G46" s="21"/>
      <c r="H46" s="758"/>
      <c r="I46" s="180">
        <v>601.4</v>
      </c>
      <c r="J46" s="181"/>
      <c r="K46" s="182"/>
      <c r="L46" s="1781" t="s">
        <v>519</v>
      </c>
      <c r="M46" s="1772">
        <v>4</v>
      </c>
      <c r="N46" s="181"/>
      <c r="O46" s="1773">
        <f t="shared" si="0"/>
        <v>0</v>
      </c>
      <c r="P46" s="352" t="b">
        <v>1</v>
      </c>
      <c r="Q46" s="352" t="b">
        <v>0</v>
      </c>
      <c r="R46" s="105" t="b">
        <v>0</v>
      </c>
      <c r="S46" s="105" t="b">
        <v>1</v>
      </c>
      <c r="T46" s="105" t="b">
        <v>0</v>
      </c>
      <c r="U46" s="105"/>
      <c r="V46" s="105"/>
      <c r="W46" s="117"/>
      <c r="X46" s="1784"/>
      <c r="Z46"/>
      <c r="AB46"/>
      <c r="AC46"/>
      <c r="AD46"/>
      <c r="AE46"/>
      <c r="AF46"/>
      <c r="AG46"/>
      <c r="AH46"/>
      <c r="AI46"/>
      <c r="AJ46"/>
      <c r="AK46"/>
      <c r="AL46" s="254" t="str">
        <f t="shared" si="1"/>
        <v>dpa601_4</v>
      </c>
      <c r="AM46" s="254">
        <f t="shared" si="2"/>
        <v>4</v>
      </c>
      <c r="AN46" s="254" t="str">
        <f t="shared" si="3"/>
        <v>dpc601_4</v>
      </c>
      <c r="AO46" s="254">
        <f t="shared" si="4"/>
        <v>0</v>
      </c>
      <c r="AP46" s="1130" t="str">
        <f t="shared" si="5"/>
        <v>dch601_4</v>
      </c>
      <c r="AQ46" s="254" t="str">
        <f t="shared" si="6"/>
        <v/>
      </c>
      <c r="AR46" s="1130" t="str">
        <f t="shared" si="7"/>
        <v>dnt601_4</v>
      </c>
      <c r="AS46" s="254" t="str">
        <f t="shared" si="8"/>
        <v/>
      </c>
      <c r="AX46" s="441" t="str">
        <f>'Overview (Design)'!A45</f>
        <v>Maximum skylight SHGC:</v>
      </c>
      <c r="AY46" s="442">
        <f>'Overview (Design)'!G45</f>
        <v>0</v>
      </c>
    </row>
    <row r="47" spans="2:52" x14ac:dyDescent="0.25">
      <c r="B47" s="77">
        <v>601.4</v>
      </c>
      <c r="C47" s="21"/>
      <c r="D47" s="21"/>
      <c r="E47" s="21"/>
      <c r="F47" s="21"/>
      <c r="G47" s="21"/>
      <c r="H47" s="758"/>
      <c r="I47" s="130"/>
      <c r="J47" s="129"/>
      <c r="K47" s="95"/>
      <c r="L47" s="1782"/>
      <c r="M47" s="1758"/>
      <c r="N47" s="129"/>
      <c r="O47" s="1774"/>
      <c r="P47" s="94"/>
      <c r="Q47" s="94"/>
      <c r="R47" s="94"/>
      <c r="S47" s="94"/>
      <c r="T47" s="94"/>
      <c r="U47" s="94"/>
      <c r="V47" s="94"/>
      <c r="W47" s="94"/>
      <c r="X47" s="1770"/>
      <c r="Z47"/>
      <c r="AB47"/>
      <c r="AC47"/>
      <c r="AD47"/>
      <c r="AE47"/>
      <c r="AF47"/>
      <c r="AG47"/>
      <c r="AH47"/>
      <c r="AI47"/>
      <c r="AJ47"/>
      <c r="AK47"/>
      <c r="AL47"/>
      <c r="AM47"/>
      <c r="AN47"/>
      <c r="AO47"/>
      <c r="AP47"/>
      <c r="AQ47"/>
      <c r="AR47"/>
      <c r="AS47"/>
      <c r="AX47" s="441" t="str">
        <f>'Overview (Design)'!A46</f>
        <v>Maximum window and door U-value:</v>
      </c>
      <c r="AY47" s="442">
        <f>'Overview (Design)'!G46</f>
        <v>0</v>
      </c>
    </row>
    <row r="48" spans="2:52" ht="15.75" thickBot="1" x14ac:dyDescent="0.3">
      <c r="B48" s="77">
        <v>601.4</v>
      </c>
      <c r="C48" s="21"/>
      <c r="D48" s="21"/>
      <c r="E48" s="21"/>
      <c r="F48" s="21"/>
      <c r="G48" s="21"/>
      <c r="H48" s="758"/>
      <c r="I48" s="130"/>
      <c r="J48" s="129"/>
      <c r="K48" s="95"/>
      <c r="L48" s="1782"/>
      <c r="M48" s="1758"/>
      <c r="N48" s="129"/>
      <c r="O48" s="1774"/>
      <c r="P48" s="94"/>
      <c r="Q48" s="94"/>
      <c r="R48" s="94"/>
      <c r="S48" s="94"/>
      <c r="T48" s="94"/>
      <c r="U48" s="94"/>
      <c r="V48" s="94"/>
      <c r="W48" s="94"/>
      <c r="X48" s="1798"/>
      <c r="Z48"/>
      <c r="AB48"/>
      <c r="AC48"/>
      <c r="AD48"/>
      <c r="AE48"/>
      <c r="AF48"/>
      <c r="AG48"/>
      <c r="AH48"/>
      <c r="AI48"/>
      <c r="AJ48"/>
      <c r="AK48"/>
      <c r="AL48"/>
      <c r="AM48"/>
      <c r="AN48"/>
      <c r="AO48"/>
      <c r="AP48"/>
      <c r="AQ48"/>
      <c r="AR48"/>
      <c r="AS48"/>
      <c r="AX48" s="441" t="str">
        <f>'Overview (Design)'!A47</f>
        <v>Maximum skylight U-value:</v>
      </c>
      <c r="AY48" s="442">
        <f>'Overview (Design)'!G47</f>
        <v>0</v>
      </c>
    </row>
    <row r="49" spans="1:61" ht="15.75" thickTop="1" x14ac:dyDescent="0.25">
      <c r="B49" s="77">
        <v>601.5</v>
      </c>
      <c r="C49" s="21"/>
      <c r="D49" s="21"/>
      <c r="E49" s="21"/>
      <c r="F49" s="21"/>
      <c r="G49" s="21"/>
      <c r="H49" s="758"/>
      <c r="I49" s="106">
        <v>601.5</v>
      </c>
      <c r="J49" s="181"/>
      <c r="K49" s="182"/>
      <c r="L49" s="1781" t="s">
        <v>520</v>
      </c>
      <c r="M49" s="1772" t="s">
        <v>521</v>
      </c>
      <c r="N49" s="181"/>
      <c r="O49" s="500"/>
      <c r="P49" s="105"/>
      <c r="Q49" s="105"/>
      <c r="R49" s="105"/>
      <c r="S49" s="105"/>
      <c r="T49" s="105"/>
      <c r="U49" s="105"/>
      <c r="V49" s="105"/>
      <c r="W49" s="105"/>
      <c r="X49" s="185"/>
      <c r="Z49"/>
      <c r="AB49"/>
      <c r="AC49"/>
      <c r="AD49"/>
      <c r="AE49"/>
      <c r="AF49"/>
      <c r="AG49"/>
      <c r="AH49"/>
      <c r="AI49"/>
      <c r="AJ49"/>
      <c r="AK49"/>
      <c r="AL49" s="254" t="str">
        <f>SUBSTITUTE(SUBSTITUTE(SUBSTITUTE("dpa"&amp;$B49&amp;$C49&amp;$D49&amp;$E49,".","_"),"(","_"),")","")</f>
        <v>dpa601_5</v>
      </c>
      <c r="AM49" s="254" t="str">
        <f>M49</f>
        <v>13 Max</v>
      </c>
      <c r="AN49"/>
      <c r="AO49"/>
      <c r="AP49"/>
      <c r="AQ49"/>
      <c r="AR49"/>
      <c r="AS49"/>
      <c r="AX49" s="62" t="str">
        <f>'Overview (Design)'!A48</f>
        <v>Renewable Energy:</v>
      </c>
      <c r="AY49" s="63">
        <f>'Overview (Design)'!G48</f>
        <v>0</v>
      </c>
    </row>
    <row r="50" spans="1:61" x14ac:dyDescent="0.25">
      <c r="B50" s="77">
        <v>601.5</v>
      </c>
      <c r="C50" s="21"/>
      <c r="D50" s="21"/>
      <c r="E50" s="21"/>
      <c r="F50" s="21"/>
      <c r="G50" s="21"/>
      <c r="H50" s="758"/>
      <c r="I50" s="130"/>
      <c r="J50" s="129"/>
      <c r="K50" s="95"/>
      <c r="L50" s="1782"/>
      <c r="M50" s="1758"/>
      <c r="N50" s="129"/>
      <c r="O50" s="239"/>
      <c r="P50" s="94"/>
      <c r="Q50" s="94"/>
      <c r="R50" s="94"/>
      <c r="S50" s="94"/>
      <c r="T50" s="94"/>
      <c r="U50" s="94"/>
      <c r="V50" s="94"/>
      <c r="W50" s="94"/>
      <c r="X50" s="113"/>
      <c r="Z50"/>
      <c r="AB50"/>
      <c r="AC50"/>
      <c r="AD50"/>
      <c r="AE50"/>
      <c r="AF50"/>
      <c r="AG50"/>
      <c r="AH50"/>
      <c r="AI50"/>
      <c r="AJ50"/>
      <c r="AK50"/>
      <c r="AL50"/>
      <c r="AM50"/>
      <c r="AN50"/>
      <c r="AO50"/>
      <c r="AP50"/>
      <c r="AQ50"/>
      <c r="AR50"/>
      <c r="AS50"/>
      <c r="AX50" s="62" t="str">
        <f>'Overview (Design)'!A49</f>
        <v>Thermal Envelope Insulation:</v>
      </c>
      <c r="AY50" s="63">
        <f>'Overview (Design)'!G49</f>
        <v>0</v>
      </c>
    </row>
    <row r="51" spans="1:61" x14ac:dyDescent="0.25">
      <c r="B51" s="77">
        <v>601.5</v>
      </c>
      <c r="C51" s="21"/>
      <c r="D51" s="21"/>
      <c r="E51" s="21"/>
      <c r="F51" s="21"/>
      <c r="G51" s="21"/>
      <c r="H51" s="758"/>
      <c r="I51" s="130"/>
      <c r="J51" s="129"/>
      <c r="K51" s="95"/>
      <c r="L51" s="1782"/>
      <c r="M51" s="1758"/>
      <c r="N51" s="129"/>
      <c r="O51" s="239"/>
      <c r="P51" s="94"/>
      <c r="Q51" s="94"/>
      <c r="R51" s="94"/>
      <c r="S51" s="94"/>
      <c r="T51" s="94"/>
      <c r="U51" s="94"/>
      <c r="V51" s="94"/>
      <c r="W51" s="94"/>
      <c r="X51" s="113"/>
      <c r="Z51"/>
      <c r="AB51"/>
      <c r="AC51"/>
      <c r="AD51"/>
      <c r="AE51"/>
      <c r="AF51"/>
      <c r="AG51"/>
      <c r="AH51"/>
      <c r="AI51"/>
      <c r="AJ51"/>
      <c r="AK51"/>
      <c r="AL51"/>
      <c r="AM51"/>
      <c r="AN51"/>
      <c r="AO51"/>
      <c r="AP51" s="254"/>
      <c r="AQ51" s="254"/>
      <c r="AR51"/>
      <c r="AS51"/>
      <c r="AX51" s="62" t="str">
        <f>'Overview (Design)'!A50</f>
        <v>Attic Type:</v>
      </c>
      <c r="AY51" s="63">
        <f>'Overview (Design)'!G50</f>
        <v>0</v>
      </c>
    </row>
    <row r="52" spans="1:61" x14ac:dyDescent="0.25">
      <c r="B52" s="77">
        <v>601.5</v>
      </c>
      <c r="C52" s="21" t="s">
        <v>256</v>
      </c>
      <c r="D52" s="21"/>
      <c r="E52" s="21"/>
      <c r="F52" s="21"/>
      <c r="G52" s="21"/>
      <c r="H52" s="758"/>
      <c r="I52" s="64"/>
      <c r="J52" s="206" t="s">
        <v>256</v>
      </c>
      <c r="K52" s="175"/>
      <c r="L52" s="1163" t="s">
        <v>522</v>
      </c>
      <c r="M52" s="426">
        <v>4</v>
      </c>
      <c r="N52" s="210"/>
      <c r="O52" s="501">
        <f>M52*S52*W52</f>
        <v>0</v>
      </c>
      <c r="P52" s="352" t="b">
        <v>1</v>
      </c>
      <c r="Q52" s="352" t="b">
        <v>0</v>
      </c>
      <c r="R52" s="126" t="b">
        <v>0</v>
      </c>
      <c r="S52" s="126" t="b">
        <f>AND(NOT(W55=TRUE),NOT(W56=TRUE))</f>
        <v>1</v>
      </c>
      <c r="T52" s="94" t="b">
        <f>AND(NOT(S52),W52=TRUE)</f>
        <v>0</v>
      </c>
      <c r="U52"/>
      <c r="V52"/>
      <c r="W52" s="25"/>
      <c r="X52" s="160"/>
      <c r="Z52"/>
      <c r="AB52"/>
      <c r="AC52" s="126" t="b">
        <f>OR(AD52:AE52)</f>
        <v>0</v>
      </c>
      <c r="AD52" s="126" t="b">
        <f>T52</f>
        <v>0</v>
      </c>
      <c r="AE52" s="126" t="b">
        <v>0</v>
      </c>
      <c r="AF52"/>
      <c r="AG52"/>
      <c r="AH52"/>
      <c r="AI52"/>
      <c r="AJ52"/>
      <c r="AK52"/>
      <c r="AL52" s="254" t="str">
        <f t="shared" ref="AL52:AL57" si="9">SUBSTITUTE(SUBSTITUTE(SUBSTITUTE("dpa"&amp;$B52&amp;$C52&amp;$D52&amp;$E52,".","_"),"(","_"),")","")</f>
        <v>dpa601_5_1</v>
      </c>
      <c r="AM52" s="254">
        <f t="shared" ref="AM52:AM57" si="10">M52</f>
        <v>4</v>
      </c>
      <c r="AN52" s="254" t="str">
        <f t="shared" ref="AN52:AN57" si="11">SUBSTITUTE(SUBSTITUTE(SUBSTITUTE("dpc"&amp;$B52&amp;$C52&amp;$D52&amp;$E52,".","_"),"(","_"),")","")</f>
        <v>dpc601_5_1</v>
      </c>
      <c r="AO52" s="254">
        <f t="shared" ref="AO52:AO57" si="12">O52</f>
        <v>0</v>
      </c>
      <c r="AP52" s="1130" t="str">
        <f>SUBSTITUTE(SUBSTITUTE(SUBSTITUTE("dch"&amp;$B52&amp;$C52&amp;$D52&amp;$E52,".","_"),"(","_"),")","")</f>
        <v>dch601_5_1</v>
      </c>
      <c r="AQ52" s="254" t="str">
        <f>IF(LEN(W52)=0,"",W52)</f>
        <v/>
      </c>
      <c r="AR52" s="1130" t="str">
        <f t="shared" ref="AR52:AR57" si="13">SUBSTITUTE(SUBSTITUTE(SUBSTITUTE("dnt"&amp;$B52&amp;$C52&amp;$D52&amp;$E52,".","_"),"(","_"),")","")</f>
        <v>dnt601_5_1</v>
      </c>
      <c r="AS52" s="254" t="str">
        <f t="shared" ref="AS52:AS57" si="14">IF(LEN(X52)=0,"",X52)</f>
        <v/>
      </c>
      <c r="AX52" s="62" t="str">
        <f>'Overview (Design)'!A51</f>
        <v>Attached Garage:</v>
      </c>
      <c r="AY52" s="63">
        <f>'Overview (Design)'!G51</f>
        <v>0</v>
      </c>
    </row>
    <row r="53" spans="1:61" x14ac:dyDescent="0.25">
      <c r="B53" s="77">
        <v>601.5</v>
      </c>
      <c r="C53" s="21" t="s">
        <v>258</v>
      </c>
      <c r="D53" s="21"/>
      <c r="E53" s="21"/>
      <c r="F53" s="21"/>
      <c r="G53" s="21"/>
      <c r="H53" s="758"/>
      <c r="I53" s="64"/>
      <c r="J53" s="207" t="s">
        <v>258</v>
      </c>
      <c r="K53" s="208"/>
      <c r="L53" s="280" t="s">
        <v>523</v>
      </c>
      <c r="M53" s="438">
        <v>4</v>
      </c>
      <c r="N53" s="243"/>
      <c r="O53" s="437">
        <f>M53*S53*W53</f>
        <v>0</v>
      </c>
      <c r="P53" s="352" t="b">
        <v>1</v>
      </c>
      <c r="Q53" s="352" t="b">
        <v>0</v>
      </c>
      <c r="R53" s="126" t="b">
        <v>0</v>
      </c>
      <c r="S53" s="126" t="b">
        <f>AND(NOT(W55=TRUE),NOT(W56=TRUE))</f>
        <v>1</v>
      </c>
      <c r="T53" s="94" t="b">
        <f>AND(NOT(S53),W53=TRUE)</f>
        <v>0</v>
      </c>
      <c r="U53"/>
      <c r="V53"/>
      <c r="W53" s="25"/>
      <c r="X53" s="160"/>
      <c r="Z53"/>
      <c r="AB53"/>
      <c r="AC53" s="126" t="b">
        <f>OR(AD53:AE53)</f>
        <v>0</v>
      </c>
      <c r="AD53" s="126" t="b">
        <f>T53</f>
        <v>0</v>
      </c>
      <c r="AE53" s="126" t="b">
        <v>0</v>
      </c>
      <c r="AF53"/>
      <c r="AG53"/>
      <c r="AH53"/>
      <c r="AI53"/>
      <c r="AJ53"/>
      <c r="AK53"/>
      <c r="AL53" s="254" t="str">
        <f t="shared" si="9"/>
        <v>dpa601_5_2</v>
      </c>
      <c r="AM53" s="254">
        <f t="shared" si="10"/>
        <v>4</v>
      </c>
      <c r="AN53" s="254" t="str">
        <f t="shared" si="11"/>
        <v>dpc601_5_2</v>
      </c>
      <c r="AO53" s="254">
        <f t="shared" si="12"/>
        <v>0</v>
      </c>
      <c r="AP53" s="1130" t="str">
        <f>SUBSTITUTE(SUBSTITUTE(SUBSTITUTE("dch"&amp;$B53&amp;$C53&amp;$D53&amp;$E53,".","_"),"(","_"),")","")</f>
        <v>dch601_5_2</v>
      </c>
      <c r="AQ53" s="254" t="str">
        <f>IF(LEN(W53)=0,"",W53)</f>
        <v/>
      </c>
      <c r="AR53" s="1130" t="str">
        <f t="shared" si="13"/>
        <v>dnt601_5_2</v>
      </c>
      <c r="AS53" s="254" t="str">
        <f t="shared" si="14"/>
        <v/>
      </c>
      <c r="AX53" s="62" t="str">
        <f>'Overview (Design)'!A52</f>
        <v>Recessed Lighting:</v>
      </c>
      <c r="AY53" s="63">
        <f>'Overview (Design)'!G52</f>
        <v>0</v>
      </c>
    </row>
    <row r="54" spans="1:61" x14ac:dyDescent="0.25">
      <c r="B54" s="77">
        <v>601.5</v>
      </c>
      <c r="C54" s="21" t="s">
        <v>260</v>
      </c>
      <c r="D54" s="21"/>
      <c r="E54" s="21"/>
      <c r="F54" s="21"/>
      <c r="G54" s="21"/>
      <c r="H54" s="758"/>
      <c r="I54" s="64"/>
      <c r="J54" s="207" t="s">
        <v>260</v>
      </c>
      <c r="K54" s="208"/>
      <c r="L54" s="280" t="s">
        <v>524</v>
      </c>
      <c r="M54" s="438">
        <v>4</v>
      </c>
      <c r="N54" s="243"/>
      <c r="O54" s="437">
        <f>M54*S54*W54</f>
        <v>0</v>
      </c>
      <c r="P54" s="352" t="b">
        <v>1</v>
      </c>
      <c r="Q54" s="352" t="b">
        <v>0</v>
      </c>
      <c r="R54" s="126" t="b">
        <v>0</v>
      </c>
      <c r="S54" s="126" t="b">
        <f>AND(NOT(W55=TRUE),NOT(W56=TRUE))</f>
        <v>1</v>
      </c>
      <c r="T54" s="94" t="b">
        <f>AND(NOT(S54),W54=TRUE)</f>
        <v>0</v>
      </c>
      <c r="U54"/>
      <c r="V54"/>
      <c r="W54" s="25"/>
      <c r="X54" s="160"/>
      <c r="Z54"/>
      <c r="AB54"/>
      <c r="AC54" s="126" t="b">
        <f>OR(AD54:AE54)</f>
        <v>0</v>
      </c>
      <c r="AD54" s="126" t="b">
        <f>T54</f>
        <v>0</v>
      </c>
      <c r="AE54" s="126" t="b">
        <v>0</v>
      </c>
      <c r="AF54"/>
      <c r="AG54"/>
      <c r="AH54"/>
      <c r="AI54"/>
      <c r="AJ54"/>
      <c r="AK54"/>
      <c r="AL54" s="254" t="str">
        <f t="shared" si="9"/>
        <v>dpa601_5_3</v>
      </c>
      <c r="AM54" s="254">
        <f t="shared" si="10"/>
        <v>4</v>
      </c>
      <c r="AN54" s="254" t="str">
        <f t="shared" si="11"/>
        <v>dpc601_5_3</v>
      </c>
      <c r="AO54" s="254">
        <f t="shared" si="12"/>
        <v>0</v>
      </c>
      <c r="AP54" s="1130" t="str">
        <f>SUBSTITUTE(SUBSTITUTE(SUBSTITUTE("dch"&amp;$B54&amp;$C54&amp;$D54&amp;$E54,".","_"),"(","_"),")","")</f>
        <v>dch601_5_3</v>
      </c>
      <c r="AQ54" s="254" t="str">
        <f>IF(LEN(W54)=0,"",W54)</f>
        <v/>
      </c>
      <c r="AR54" s="1130" t="str">
        <f t="shared" si="13"/>
        <v>dnt601_5_3</v>
      </c>
      <c r="AS54" s="254" t="str">
        <f t="shared" si="14"/>
        <v/>
      </c>
      <c r="AX54" s="62"/>
    </row>
    <row r="55" spans="1:61" x14ac:dyDescent="0.25">
      <c r="B55" s="77">
        <v>601.5</v>
      </c>
      <c r="C55" s="21" t="s">
        <v>269</v>
      </c>
      <c r="D55" s="21"/>
      <c r="E55" s="21"/>
      <c r="F55" s="21"/>
      <c r="G55" s="21"/>
      <c r="H55" s="758"/>
      <c r="I55" s="64"/>
      <c r="J55" s="207" t="s">
        <v>269</v>
      </c>
      <c r="K55" s="208"/>
      <c r="L55" s="280" t="s">
        <v>525</v>
      </c>
      <c r="M55" s="438">
        <v>13</v>
      </c>
      <c r="N55" s="243"/>
      <c r="O55" s="437">
        <f>M55*S55*W55</f>
        <v>0</v>
      </c>
      <c r="P55" s="352" t="b">
        <v>1</v>
      </c>
      <c r="Q55" s="352" t="b">
        <v>0</v>
      </c>
      <c r="R55" s="126" t="b">
        <v>0</v>
      </c>
      <c r="S55" s="126" t="b">
        <f>NOT(OR(W52=TRUE,W53=TRUE,W54=TRUE,W56=TRUE))</f>
        <v>1</v>
      </c>
      <c r="T55" s="94" t="b">
        <f>AND(NOT(S55),W55=TRUE)</f>
        <v>0</v>
      </c>
      <c r="U55"/>
      <c r="V55"/>
      <c r="W55" s="25"/>
      <c r="X55" s="160"/>
      <c r="Z55"/>
      <c r="AB55"/>
      <c r="AC55" s="126" t="b">
        <f>OR(AD55:AE55)</f>
        <v>0</v>
      </c>
      <c r="AD55" s="126" t="b">
        <f>T55</f>
        <v>0</v>
      </c>
      <c r="AE55" s="126" t="b">
        <v>0</v>
      </c>
      <c r="AF55"/>
      <c r="AG55"/>
      <c r="AH55"/>
      <c r="AI55"/>
      <c r="AJ55"/>
      <c r="AK55"/>
      <c r="AL55" s="254" t="str">
        <f t="shared" si="9"/>
        <v>dpa601_5_4</v>
      </c>
      <c r="AM55" s="254">
        <f t="shared" si="10"/>
        <v>13</v>
      </c>
      <c r="AN55" s="254" t="str">
        <f t="shared" si="11"/>
        <v>dpc601_5_4</v>
      </c>
      <c r="AO55" s="254">
        <f t="shared" si="12"/>
        <v>0</v>
      </c>
      <c r="AP55" s="1130" t="str">
        <f>SUBSTITUTE(SUBSTITUTE(SUBSTITUTE("dch"&amp;$B55&amp;$C55&amp;$D55&amp;$E55,".","_"),"(","_"),")","")</f>
        <v>dch601_5_4</v>
      </c>
      <c r="AQ55" s="254" t="str">
        <f>IF(LEN(W55)=0,"",W55)</f>
        <v/>
      </c>
      <c r="AR55" s="1130" t="str">
        <f t="shared" si="13"/>
        <v>dnt601_5_4</v>
      </c>
      <c r="AS55" s="254" t="str">
        <f t="shared" si="14"/>
        <v/>
      </c>
      <c r="AX55" s="62" t="str">
        <f>'Overview (Design)'!A54</f>
        <v>Special Design Features:</v>
      </c>
      <c r="AY55" s="63">
        <f>'Overview (Design)'!G54</f>
        <v>0</v>
      </c>
    </row>
    <row r="56" spans="1:61" ht="15.75" thickBot="1" x14ac:dyDescent="0.3">
      <c r="B56" s="77">
        <v>601.5</v>
      </c>
      <c r="C56" s="21" t="s">
        <v>275</v>
      </c>
      <c r="D56" s="21"/>
      <c r="E56" s="21"/>
      <c r="F56" s="21"/>
      <c r="G56" s="21"/>
      <c r="H56" s="758"/>
      <c r="I56" s="64"/>
      <c r="J56" s="27" t="s">
        <v>275</v>
      </c>
      <c r="K56" s="83"/>
      <c r="L56" s="1170" t="s">
        <v>526</v>
      </c>
      <c r="M56" s="428">
        <v>13</v>
      </c>
      <c r="N56" s="4"/>
      <c r="O56" s="141">
        <f>M56*S56*W56</f>
        <v>0</v>
      </c>
      <c r="P56" s="352" t="b">
        <v>1</v>
      </c>
      <c r="Q56" s="352" t="b">
        <v>0</v>
      </c>
      <c r="R56" s="126" t="b">
        <v>0</v>
      </c>
      <c r="S56" s="126" t="b">
        <f>NOT(OR(W52=TRUE,W53=TRUE,W54=TRUE,W55=TRUE))</f>
        <v>1</v>
      </c>
      <c r="T56" s="94" t="b">
        <f>AND(NOT(S56),W56=TRUE)</f>
        <v>0</v>
      </c>
      <c r="U56"/>
      <c r="V56"/>
      <c r="W56" s="25"/>
      <c r="X56" s="167"/>
      <c r="Z56"/>
      <c r="AB56"/>
      <c r="AC56" s="126" t="b">
        <f>OR(AD56:AE56)</f>
        <v>0</v>
      </c>
      <c r="AD56" s="126" t="b">
        <f>T56</f>
        <v>0</v>
      </c>
      <c r="AE56" s="126" t="b">
        <v>0</v>
      </c>
      <c r="AF56"/>
      <c r="AG56"/>
      <c r="AH56"/>
      <c r="AI56"/>
      <c r="AJ56"/>
      <c r="AK56"/>
      <c r="AL56" s="254" t="str">
        <f t="shared" si="9"/>
        <v>dpa601_5_5</v>
      </c>
      <c r="AM56" s="254">
        <f t="shared" si="10"/>
        <v>13</v>
      </c>
      <c r="AN56" s="254" t="str">
        <f t="shared" si="11"/>
        <v>dpc601_5_5</v>
      </c>
      <c r="AO56" s="254">
        <f t="shared" si="12"/>
        <v>0</v>
      </c>
      <c r="AP56" s="1130" t="str">
        <f>SUBSTITUTE(SUBSTITUTE(SUBSTITUTE("dch"&amp;$B56&amp;$C56&amp;$D56&amp;$E56,".","_"),"(","_"),")","")</f>
        <v>dch601_5_5</v>
      </c>
      <c r="AQ56" s="254" t="str">
        <f>IF(LEN(W56)=0,"",W56)</f>
        <v/>
      </c>
      <c r="AR56" s="1130" t="str">
        <f t="shared" si="13"/>
        <v>dnt601_5_5</v>
      </c>
      <c r="AS56" s="254" t="str">
        <f t="shared" si="14"/>
        <v/>
      </c>
      <c r="AX56" s="62" t="str">
        <f>'Overview (Design)'!A55</f>
        <v>Passive Solar:</v>
      </c>
      <c r="AY56" s="63">
        <f>'Overview (Design)'!G55</f>
        <v>0</v>
      </c>
    </row>
    <row r="57" spans="1:61" ht="15.75" thickTop="1" x14ac:dyDescent="0.25">
      <c r="B57" s="77">
        <v>601.6</v>
      </c>
      <c r="C57" s="21"/>
      <c r="D57" s="21"/>
      <c r="E57" s="21"/>
      <c r="F57" s="21"/>
      <c r="G57" s="21"/>
      <c r="H57" s="758"/>
      <c r="I57" s="180">
        <v>601.6</v>
      </c>
      <c r="J57" s="181"/>
      <c r="K57" s="182"/>
      <c r="L57" s="1781" t="s">
        <v>527</v>
      </c>
      <c r="M57" s="1772" t="s">
        <v>528</v>
      </c>
      <c r="N57" s="181"/>
      <c r="O57" s="1773">
        <f ca="1">IFERROR(INDEX({4,6,8},MATCH(W58,INDIRECT(U58),0)),0)</f>
        <v>0</v>
      </c>
      <c r="P57" s="105"/>
      <c r="Q57" s="105"/>
      <c r="R57" s="105"/>
      <c r="S57" s="105"/>
      <c r="T57" s="105"/>
      <c r="U57" s="105"/>
      <c r="V57" s="105"/>
      <c r="W57" s="105" t="s">
        <v>4592</v>
      </c>
      <c r="X57" s="1784"/>
      <c r="Z57"/>
      <c r="AB57"/>
      <c r="AC57"/>
      <c r="AD57"/>
      <c r="AE57"/>
      <c r="AF57"/>
      <c r="AG57"/>
      <c r="AH57"/>
      <c r="AI57"/>
      <c r="AJ57"/>
      <c r="AK57"/>
      <c r="AL57" s="254" t="str">
        <f t="shared" si="9"/>
        <v>dpa601_6</v>
      </c>
      <c r="AM57" s="254" t="str">
        <f t="shared" si="10"/>
        <v>8 Max</v>
      </c>
      <c r="AN57" s="254" t="str">
        <f t="shared" si="11"/>
        <v>dpc601_6</v>
      </c>
      <c r="AO57" s="254">
        <f t="shared" ca="1" si="12"/>
        <v>0</v>
      </c>
      <c r="AP57"/>
      <c r="AQ57"/>
      <c r="AR57" s="1130" t="str">
        <f t="shared" si="13"/>
        <v>dnt601_6</v>
      </c>
      <c r="AS57" s="254" t="str">
        <f t="shared" si="14"/>
        <v/>
      </c>
      <c r="AX57" s="62" t="str">
        <f>'Overview (Design)'!A56</f>
        <v>Mass Walls:</v>
      </c>
      <c r="AY57" s="63">
        <f>'Overview (Design)'!G56</f>
        <v>0</v>
      </c>
    </row>
    <row r="58" spans="1:61" x14ac:dyDescent="0.25">
      <c r="B58" s="77">
        <v>601.6</v>
      </c>
      <c r="C58" s="21"/>
      <c r="D58" s="21"/>
      <c r="E58" s="21"/>
      <c r="F58" s="21"/>
      <c r="G58" s="21"/>
      <c r="H58" s="758"/>
      <c r="I58" s="130"/>
      <c r="J58" s="129"/>
      <c r="K58" s="95"/>
      <c r="L58" s="1782"/>
      <c r="M58" s="1758"/>
      <c r="N58" s="129"/>
      <c r="O58" s="1774"/>
      <c r="P58" s="352" t="b">
        <v>1</v>
      </c>
      <c r="Q58" s="352" t="b">
        <v>0</v>
      </c>
      <c r="R58" s="94" t="b">
        <v>0</v>
      </c>
      <c r="S58" s="94" t="b">
        <v>1</v>
      </c>
      <c r="T58" s="94" t="b">
        <v>0</v>
      </c>
      <c r="U58" s="94" t="str">
        <f>SUBSTITUTE(SUBSTITUTE(SUBSTITUTE("dd"&amp;B58&amp;C58&amp;D58&amp;E58&amp;F58,".","_"),"(","_"),")","")</f>
        <v>dd601_6</v>
      </c>
      <c r="V58" s="94"/>
      <c r="W58" s="983" t="str">
        <f ca="1">IFERROR(INDEX(INDIRECT(U58),MIN(S60-1,3)),"no stacked stories")</f>
        <v>no stacked stories</v>
      </c>
      <c r="X58" s="1770"/>
      <c r="Z58"/>
      <c r="AB58"/>
      <c r="AC58"/>
      <c r="AD58"/>
      <c r="AE58"/>
      <c r="AF58"/>
      <c r="AG58"/>
      <c r="AH58"/>
      <c r="AI58"/>
      <c r="AJ58"/>
      <c r="AK58"/>
      <c r="AL58"/>
      <c r="AM58"/>
      <c r="AN58"/>
      <c r="AO58"/>
      <c r="AP58" s="735"/>
      <c r="AQ58" s="254"/>
      <c r="AR58"/>
      <c r="AS58"/>
      <c r="AX58" s="62" t="str">
        <f>'Overview (Design)'!A57</f>
        <v>Radiant/Hydronic:</v>
      </c>
      <c r="AY58" s="63">
        <f>'Overview (Design)'!G57</f>
        <v>0</v>
      </c>
    </row>
    <row r="59" spans="1:61" x14ac:dyDescent="0.25">
      <c r="B59" s="77">
        <v>601.6</v>
      </c>
      <c r="C59" s="21"/>
      <c r="D59" s="21"/>
      <c r="E59" s="21"/>
      <c r="F59" s="21"/>
      <c r="G59" s="21"/>
      <c r="H59" s="758"/>
      <c r="I59" s="130"/>
      <c r="J59" s="129"/>
      <c r="K59" s="95"/>
      <c r="L59" s="1782"/>
      <c r="M59" s="1758"/>
      <c r="N59" s="129"/>
      <c r="O59" s="1774"/>
      <c r="P59" s="94"/>
      <c r="Q59" s="94"/>
      <c r="R59" s="94"/>
      <c r="S59" s="197" t="s">
        <v>4591</v>
      </c>
      <c r="T59" s="94"/>
      <c r="U59" s="94"/>
      <c r="V59" s="94"/>
      <c r="W59" s="94"/>
      <c r="X59" s="1770"/>
      <c r="Z59"/>
      <c r="AB59"/>
      <c r="AC59"/>
      <c r="AD59"/>
      <c r="AE59"/>
      <c r="AF59"/>
      <c r="AG59"/>
      <c r="AH59"/>
      <c r="AI59"/>
      <c r="AJ59"/>
      <c r="AK59"/>
      <c r="AL59"/>
      <c r="AM59"/>
      <c r="AN59"/>
      <c r="AO59"/>
      <c r="AP59"/>
      <c r="AQ59"/>
      <c r="AR59"/>
      <c r="AS59"/>
      <c r="AX59" s="62" t="str">
        <f>'Overview (Design)'!A58</f>
        <v>Tankless Water Heater:</v>
      </c>
      <c r="AY59" s="63">
        <f>'Overview (Design)'!G58</f>
        <v>0</v>
      </c>
    </row>
    <row r="60" spans="1:61" x14ac:dyDescent="0.25">
      <c r="B60" s="77">
        <v>601.6</v>
      </c>
      <c r="C60" s="21" t="s">
        <v>256</v>
      </c>
      <c r="D60" s="21"/>
      <c r="E60" s="21"/>
      <c r="F60" s="21"/>
      <c r="G60" s="21"/>
      <c r="H60" s="758"/>
      <c r="I60" s="130"/>
      <c r="J60" s="206" t="s">
        <v>256</v>
      </c>
      <c r="K60" s="175"/>
      <c r="L60" s="1163" t="s">
        <v>529</v>
      </c>
      <c r="M60" s="426">
        <v>4</v>
      </c>
      <c r="N60" s="129"/>
      <c r="O60" s="239"/>
      <c r="P60" s="94"/>
      <c r="Q60" s="94"/>
      <c r="R60" s="94"/>
      <c r="S60" s="197">
        <f>AY28</f>
        <v>0</v>
      </c>
      <c r="T60" s="94"/>
      <c r="U60" s="94"/>
      <c r="V60" s="94"/>
      <c r="W60" s="94"/>
      <c r="X60" s="1770"/>
      <c r="Z60"/>
      <c r="AB60"/>
      <c r="AC60"/>
      <c r="AD60"/>
      <c r="AE60"/>
      <c r="AF60"/>
      <c r="AG60"/>
      <c r="AH60"/>
      <c r="AI60"/>
      <c r="AJ60"/>
      <c r="AK60"/>
      <c r="AL60" s="254" t="str">
        <f>SUBSTITUTE(SUBSTITUTE(SUBSTITUTE("dpa"&amp;$B60&amp;$C60&amp;$D60&amp;$E60,".","_"),"(","_"),")","")</f>
        <v>dpa601_6_1</v>
      </c>
      <c r="AM60" s="254">
        <f>M60</f>
        <v>4</v>
      </c>
      <c r="AN60"/>
      <c r="AO60"/>
      <c r="AP60"/>
      <c r="AQ60"/>
      <c r="AR60"/>
      <c r="AS60"/>
      <c r="AX60" s="62" t="str">
        <f>'Overview (Design)'!A59</f>
        <v>Composting Toilet:</v>
      </c>
      <c r="AY60" s="63">
        <f>'Overview (Design)'!G59</f>
        <v>0</v>
      </c>
    </row>
    <row r="61" spans="1:61" ht="15.75" thickBot="1" x14ac:dyDescent="0.3">
      <c r="B61" s="77">
        <v>601.6</v>
      </c>
      <c r="C61" s="21" t="s">
        <v>258</v>
      </c>
      <c r="D61" s="21"/>
      <c r="E61" s="21"/>
      <c r="F61" s="21"/>
      <c r="G61" s="21"/>
      <c r="H61" s="758"/>
      <c r="I61" s="130"/>
      <c r="J61" s="183" t="s">
        <v>258</v>
      </c>
      <c r="K61" s="95"/>
      <c r="L61" s="1162" t="s">
        <v>530</v>
      </c>
      <c r="M61" s="424">
        <v>2</v>
      </c>
      <c r="N61" s="129"/>
      <c r="O61" s="239"/>
      <c r="P61" s="94"/>
      <c r="Q61" s="94"/>
      <c r="R61" s="94"/>
      <c r="S61" s="94"/>
      <c r="T61" s="94"/>
      <c r="U61" s="94"/>
      <c r="V61" s="94"/>
      <c r="W61" s="94"/>
      <c r="X61" s="1798"/>
      <c r="Z61"/>
      <c r="AB61"/>
      <c r="AC61"/>
      <c r="AD61"/>
      <c r="AE61"/>
      <c r="AF61"/>
      <c r="AG61"/>
      <c r="AH61"/>
      <c r="AI61"/>
      <c r="AJ61"/>
      <c r="AK61"/>
      <c r="AL61" s="254" t="str">
        <f>SUBSTITUTE(SUBSTITUTE(SUBSTITUTE("dpa"&amp;$B61&amp;$C61&amp;$D61&amp;$E61,".","_"),"(","_"),")","")</f>
        <v>dpa601_6_2</v>
      </c>
      <c r="AM61" s="254">
        <f>M61</f>
        <v>2</v>
      </c>
      <c r="AN61"/>
      <c r="AO61"/>
      <c r="AP61"/>
      <c r="AQ61"/>
      <c r="AR61"/>
      <c r="AS61"/>
      <c r="AX61" s="62"/>
    </row>
    <row r="62" spans="1:61" ht="15.75" thickTop="1" x14ac:dyDescent="0.25">
      <c r="B62" s="77">
        <v>601.70000000000005</v>
      </c>
      <c r="C62" s="21"/>
      <c r="D62" s="21"/>
      <c r="E62" s="21"/>
      <c r="F62" s="21"/>
      <c r="G62" s="21"/>
      <c r="H62" s="758"/>
      <c r="I62" s="180">
        <v>601.70000000000005</v>
      </c>
      <c r="J62" s="181"/>
      <c r="K62" s="182"/>
      <c r="L62" s="1781" t="s">
        <v>531</v>
      </c>
      <c r="M62" s="1772" t="s">
        <v>532</v>
      </c>
      <c r="N62" s="181"/>
      <c r="O62" s="1773">
        <f ca="1">MIN(12,IFERROR(INDEX({1,2,5},MATCH(W65,INDIRECT(U65),0)),0)+IFERROR(INDEX({1,2,5},MATCH(W66,INDIRECT(U66),0)),0)+IFERROR(INDEX({1,2,5},MATCH(W67,INDIRECT(U67),0)),0)+IFERROR(INDEX({1,2,5},MATCH(W71,INDIRECT(U71),0)),0)+IFERROR(INDEX({1,2,5},MATCH(W73,INDIRECT(U73),0)),0))</f>
        <v>0</v>
      </c>
      <c r="P62" s="105"/>
      <c r="Q62" s="105"/>
      <c r="R62" s="105"/>
      <c r="S62" s="105"/>
      <c r="T62" s="105"/>
      <c r="U62" s="105"/>
      <c r="V62" s="105"/>
      <c r="W62" s="105"/>
      <c r="X62" s="1815"/>
      <c r="Z62"/>
      <c r="AB62"/>
      <c r="AC62"/>
      <c r="AD62"/>
      <c r="AE62"/>
      <c r="AF62"/>
      <c r="AG62"/>
      <c r="AH62"/>
      <c r="AI62"/>
      <c r="AJ62"/>
      <c r="AK62"/>
      <c r="AL62" s="254" t="str">
        <f>SUBSTITUTE(SUBSTITUTE(SUBSTITUTE("dpa"&amp;$B62&amp;$C62&amp;$D62&amp;$E62,".","_"),"(","_"),")","")</f>
        <v>dpa601_7</v>
      </c>
      <c r="AM62" s="254" t="str">
        <f>M62</f>
        <v>12 Max</v>
      </c>
      <c r="AN62" s="254" t="str">
        <f>SUBSTITUTE(SUBSTITUTE(SUBSTITUTE("dpc"&amp;$B62&amp;$C62&amp;$D62&amp;$E62,".","_"),"(","_"),")","")</f>
        <v>dpc601_7</v>
      </c>
      <c r="AO62" s="254">
        <f ca="1">O62</f>
        <v>0</v>
      </c>
      <c r="AP62"/>
      <c r="AQ62"/>
      <c r="AR62" s="1130" t="str">
        <f>SUBSTITUTE(SUBSTITUTE(SUBSTITUTE("dnt"&amp;$B62&amp;$C62&amp;$D62&amp;$E62,".","_"),"(","_"),")","")</f>
        <v>dnt601_7</v>
      </c>
      <c r="AS62" s="254" t="str">
        <f>IF(LEN(X62)=0,"",X62)</f>
        <v/>
      </c>
      <c r="AX62" s="62" t="str">
        <f>'Overview (Design)'!A61</f>
        <v>Local Energy Code:</v>
      </c>
      <c r="AY62" s="63">
        <f>'Overview (Design)'!G61</f>
        <v>0</v>
      </c>
    </row>
    <row r="63" spans="1:61" x14ac:dyDescent="0.25">
      <c r="B63" s="77">
        <v>601.70000000000005</v>
      </c>
      <c r="C63" s="21"/>
      <c r="D63" s="21"/>
      <c r="E63" s="21"/>
      <c r="F63" s="21"/>
      <c r="G63" s="21"/>
      <c r="H63" s="758"/>
      <c r="I63" s="130"/>
      <c r="J63" s="129"/>
      <c r="K63" s="95"/>
      <c r="L63" s="1782"/>
      <c r="M63" s="1758"/>
      <c r="N63" s="129"/>
      <c r="O63" s="1774"/>
      <c r="P63" s="94"/>
      <c r="Q63" s="94"/>
      <c r="R63" s="94"/>
      <c r="S63" s="94"/>
      <c r="T63" s="94"/>
      <c r="U63" s="94"/>
      <c r="V63" s="94"/>
      <c r="W63" s="94"/>
      <c r="X63" s="1799"/>
      <c r="Z63"/>
      <c r="AB63"/>
      <c r="AC63"/>
      <c r="AD63"/>
      <c r="AE63"/>
      <c r="AF63"/>
      <c r="AG63"/>
      <c r="AH63"/>
      <c r="AI63"/>
      <c r="AJ63"/>
      <c r="AK63"/>
      <c r="AL63"/>
      <c r="AM63"/>
      <c r="AN63"/>
      <c r="AO63"/>
      <c r="AP63"/>
      <c r="AQ63"/>
      <c r="AR63"/>
      <c r="AS63"/>
      <c r="AX63" s="62" t="str">
        <f>'Overview (Design)'!A62</f>
        <v>Local Building Code:</v>
      </c>
      <c r="AY63" s="63">
        <f>'Overview (Design)'!G62</f>
        <v>0</v>
      </c>
      <c r="BA63" s="132"/>
      <c r="BB63" s="132"/>
      <c r="BC63" s="132"/>
      <c r="BD63" s="132"/>
      <c r="BE63" s="132"/>
      <c r="BF63" s="132"/>
      <c r="BG63" s="132"/>
      <c r="BH63" s="132"/>
      <c r="BI63" s="132"/>
    </row>
    <row r="64" spans="1:61" s="132" customFormat="1" x14ac:dyDescent="0.25">
      <c r="A64" s="18"/>
      <c r="B64" s="77">
        <v>601.70000000000005</v>
      </c>
      <c r="C64" s="21"/>
      <c r="D64" s="21"/>
      <c r="E64" s="21"/>
      <c r="F64" s="21"/>
      <c r="G64" s="21"/>
      <c r="H64" s="758"/>
      <c r="I64" s="130"/>
      <c r="J64" s="129"/>
      <c r="K64" s="95"/>
      <c r="L64" s="1175" t="s">
        <v>542</v>
      </c>
      <c r="M64" s="424"/>
      <c r="N64" s="129"/>
      <c r="O64" s="239"/>
      <c r="P64" s="94"/>
      <c r="Q64" s="94"/>
      <c r="R64" s="94"/>
      <c r="S64" s="94"/>
      <c r="T64" s="94"/>
      <c r="U64" s="94"/>
      <c r="V64" s="94"/>
      <c r="W64" s="94"/>
      <c r="X64" s="1799"/>
      <c r="Y64" s="780"/>
      <c r="AA64" s="783"/>
      <c r="AX64" s="63"/>
      <c r="AY64" s="63"/>
      <c r="AZ64" s="63"/>
      <c r="BA64" s="63"/>
      <c r="BB64" s="63"/>
      <c r="BC64" s="63"/>
      <c r="BD64" s="63"/>
      <c r="BE64" s="63"/>
      <c r="BF64" s="63"/>
      <c r="BG64" s="63"/>
      <c r="BH64" s="63"/>
      <c r="BI64" s="63"/>
    </row>
    <row r="65" spans="1:61" x14ac:dyDescent="0.25">
      <c r="B65" s="77">
        <v>601.70000000000005</v>
      </c>
      <c r="C65" s="21"/>
      <c r="D65" s="21" t="s">
        <v>121</v>
      </c>
      <c r="E65" s="21"/>
      <c r="F65" s="21"/>
      <c r="G65" s="21"/>
      <c r="H65" s="758"/>
      <c r="I65" s="130"/>
      <c r="J65" s="129"/>
      <c r="K65" s="174" t="s">
        <v>121</v>
      </c>
      <c r="L65" s="1163" t="s">
        <v>533</v>
      </c>
      <c r="M65" s="424"/>
      <c r="N65" s="129"/>
      <c r="O65" s="239"/>
      <c r="P65" s="94" t="b">
        <v>1</v>
      </c>
      <c r="Q65" s="94" t="b">
        <v>1</v>
      </c>
      <c r="R65" s="94" t="b">
        <v>0</v>
      </c>
      <c r="S65" s="94" t="b">
        <v>1</v>
      </c>
      <c r="T65" s="94" t="b">
        <v>0</v>
      </c>
      <c r="U65" s="94" t="str">
        <f>SUBSTITUTE(SUBSTITUTE(SUBSTITUTE("dd"&amp;B65&amp;C65&amp;D65&amp;E65&amp;F65,".","_"),"(","_"),")","")</f>
        <v>dd601_7_a</v>
      </c>
      <c r="V65" s="94"/>
      <c r="W65" s="109"/>
      <c r="X65" s="1799"/>
      <c r="Z65"/>
      <c r="AB65"/>
      <c r="AC65"/>
      <c r="AD65"/>
      <c r="AE65"/>
      <c r="AF65"/>
      <c r="AG65"/>
      <c r="AH65"/>
      <c r="AI65"/>
      <c r="AJ65"/>
      <c r="AK65"/>
      <c r="AL65"/>
      <c r="AM65"/>
      <c r="AN65"/>
      <c r="AO65"/>
      <c r="AP65" s="1130" t="str">
        <f>SUBSTITUTE(SUBSTITUTE(SUBSTITUTE("dch"&amp;$B65&amp;$C65&amp;$D65&amp;$E65,".","_"),"(","_"),")","")</f>
        <v>dch601_7_a</v>
      </c>
      <c r="AQ65" s="254" t="str">
        <f>IF(LEN(W65)=0,"",W65)</f>
        <v/>
      </c>
      <c r="AR65"/>
      <c r="AS65"/>
    </row>
    <row r="66" spans="1:61" x14ac:dyDescent="0.25">
      <c r="B66" s="77">
        <v>601.70000000000005</v>
      </c>
      <c r="C66" s="21"/>
      <c r="D66" s="21" t="s">
        <v>122</v>
      </c>
      <c r="E66" s="21"/>
      <c r="F66" s="21"/>
      <c r="G66" s="21"/>
      <c r="H66" s="758"/>
      <c r="I66" s="130"/>
      <c r="J66" s="129"/>
      <c r="K66" s="212" t="s">
        <v>122</v>
      </c>
      <c r="L66" s="280" t="s">
        <v>534</v>
      </c>
      <c r="M66" s="424"/>
      <c r="N66" s="129"/>
      <c r="O66" s="239"/>
      <c r="P66" s="94" t="b">
        <v>1</v>
      </c>
      <c r="Q66" s="94" t="b">
        <v>1</v>
      </c>
      <c r="R66" s="94" t="b">
        <v>0</v>
      </c>
      <c r="S66" s="94" t="b">
        <v>1</v>
      </c>
      <c r="T66" s="94" t="b">
        <v>0</v>
      </c>
      <c r="U66" s="94" t="str">
        <f>SUBSTITUTE(SUBSTITUTE(SUBSTITUTE("dd"&amp;B66&amp;C66&amp;D66&amp;E66&amp;F66,".","_"),"(","_"),")","")</f>
        <v>dd601_7_b</v>
      </c>
      <c r="V66" s="94"/>
      <c r="W66" s="109"/>
      <c r="X66" s="1799"/>
      <c r="Z66"/>
      <c r="AB66"/>
      <c r="AC66"/>
      <c r="AD66"/>
      <c r="AE66"/>
      <c r="AF66"/>
      <c r="AG66"/>
      <c r="AH66"/>
      <c r="AI66"/>
      <c r="AJ66"/>
      <c r="AK66"/>
      <c r="AL66"/>
      <c r="AM66"/>
      <c r="AN66"/>
      <c r="AO66"/>
      <c r="AP66" s="1130" t="str">
        <f>SUBSTITUTE(SUBSTITUTE(SUBSTITUTE("dch"&amp;$B66&amp;$C66&amp;$D66&amp;$E66,".","_"),"(","_"),")","")</f>
        <v>dch601_7_b</v>
      </c>
      <c r="AQ66" s="254" t="str">
        <f>IF(LEN(W66)=0,"",W66)</f>
        <v/>
      </c>
      <c r="AR66"/>
      <c r="AS66"/>
    </row>
    <row r="67" spans="1:61" x14ac:dyDescent="0.25">
      <c r="B67" s="77">
        <v>601.70000000000005</v>
      </c>
      <c r="C67" s="21"/>
      <c r="D67" s="26" t="s">
        <v>123</v>
      </c>
      <c r="E67" s="21"/>
      <c r="F67" s="26"/>
      <c r="G67" s="26"/>
      <c r="H67" s="759"/>
      <c r="I67" s="130"/>
      <c r="J67" s="129"/>
      <c r="K67" s="213" t="s">
        <v>123</v>
      </c>
      <c r="L67" s="1853" t="s">
        <v>535</v>
      </c>
      <c r="M67" s="424"/>
      <c r="N67" s="129"/>
      <c r="O67" s="239"/>
      <c r="P67" s="94" t="b">
        <v>1</v>
      </c>
      <c r="Q67" s="94" t="b">
        <v>1</v>
      </c>
      <c r="R67" s="94" t="b">
        <v>0</v>
      </c>
      <c r="S67" s="94" t="b">
        <v>1</v>
      </c>
      <c r="T67" s="94" t="b">
        <v>0</v>
      </c>
      <c r="U67" s="94" t="str">
        <f>SUBSTITUTE(SUBSTITUTE(SUBSTITUTE("dd"&amp;B67&amp;C67&amp;D67&amp;E67&amp;F67,".","_"),"(","_"),")","")</f>
        <v>dd601_7_c</v>
      </c>
      <c r="V67" s="94"/>
      <c r="W67" s="109"/>
      <c r="X67" s="1799"/>
      <c r="Z67"/>
      <c r="AB67"/>
      <c r="AC67"/>
      <c r="AD67"/>
      <c r="AE67"/>
      <c r="AF67"/>
      <c r="AG67"/>
      <c r="AH67"/>
      <c r="AI67"/>
      <c r="AJ67"/>
      <c r="AK67"/>
      <c r="AL67"/>
      <c r="AM67"/>
      <c r="AN67"/>
      <c r="AO67"/>
      <c r="AP67" s="1130" t="str">
        <f>SUBSTITUTE(SUBSTITUTE(SUBSTITUTE("dch"&amp;$B67&amp;$C67&amp;$D67&amp;$E67,".","_"),"(","_"),")","")</f>
        <v>dch601_7_c</v>
      </c>
      <c r="AQ67" s="254" t="str">
        <f>IF(LEN(W67)=0,"",W67)</f>
        <v/>
      </c>
      <c r="AR67"/>
      <c r="AS67"/>
    </row>
    <row r="68" spans="1:61" x14ac:dyDescent="0.25">
      <c r="B68" s="77">
        <v>601.70000000000005</v>
      </c>
      <c r="C68" s="21"/>
      <c r="D68" s="26" t="s">
        <v>123</v>
      </c>
      <c r="E68" s="21"/>
      <c r="F68" s="26"/>
      <c r="G68" s="26"/>
      <c r="H68" s="759"/>
      <c r="I68" s="130"/>
      <c r="J68" s="129"/>
      <c r="K68" s="95"/>
      <c r="L68" s="1854"/>
      <c r="M68" s="424"/>
      <c r="N68" s="129"/>
      <c r="O68" s="239"/>
      <c r="P68" s="94"/>
      <c r="Q68" s="94"/>
      <c r="R68" s="94"/>
      <c r="S68" s="94"/>
      <c r="T68" s="94"/>
      <c r="U68" s="94"/>
      <c r="V68" s="94"/>
      <c r="W68" s="94"/>
      <c r="X68" s="1799"/>
      <c r="Z68"/>
      <c r="AB68"/>
      <c r="AC68"/>
      <c r="AD68"/>
      <c r="AE68"/>
      <c r="AF68"/>
      <c r="AG68"/>
      <c r="AH68"/>
      <c r="AI68"/>
      <c r="AJ68"/>
      <c r="AK68"/>
      <c r="AL68"/>
      <c r="AM68"/>
      <c r="AN68"/>
      <c r="AO68"/>
      <c r="AP68"/>
      <c r="AQ68"/>
      <c r="AR68"/>
      <c r="AS68"/>
    </row>
    <row r="69" spans="1:61" x14ac:dyDescent="0.25">
      <c r="B69" s="77">
        <v>601.70000000000005</v>
      </c>
      <c r="C69" s="21"/>
      <c r="D69" s="26" t="s">
        <v>123</v>
      </c>
      <c r="E69" s="21"/>
      <c r="F69" s="26"/>
      <c r="G69" s="26"/>
      <c r="H69" s="759"/>
      <c r="I69" s="130"/>
      <c r="J69" s="129"/>
      <c r="K69" s="95"/>
      <c r="L69" s="281" t="s">
        <v>536</v>
      </c>
      <c r="M69" s="424"/>
      <c r="N69" s="129"/>
      <c r="O69" s="239"/>
      <c r="P69" s="94"/>
      <c r="Q69" s="94"/>
      <c r="R69" s="94"/>
      <c r="S69" s="94"/>
      <c r="T69" s="94"/>
      <c r="U69" s="94"/>
      <c r="V69" s="94"/>
      <c r="W69" s="94"/>
      <c r="X69" s="1799"/>
      <c r="Z69"/>
      <c r="AB69"/>
      <c r="AC69"/>
      <c r="AD69"/>
      <c r="AE69"/>
      <c r="AF69"/>
      <c r="AG69"/>
      <c r="AH69"/>
      <c r="AI69"/>
      <c r="AJ69"/>
      <c r="AK69"/>
      <c r="AL69"/>
      <c r="AM69"/>
      <c r="AN69"/>
      <c r="AO69"/>
      <c r="AP69"/>
      <c r="AQ69"/>
      <c r="AR69"/>
      <c r="AS69"/>
    </row>
    <row r="70" spans="1:61" x14ac:dyDescent="0.25">
      <c r="B70" s="77">
        <v>601.70000000000005</v>
      </c>
      <c r="C70" s="21"/>
      <c r="D70" s="26" t="s">
        <v>123</v>
      </c>
      <c r="E70" s="21"/>
      <c r="F70" s="26"/>
      <c r="G70" s="26"/>
      <c r="H70" s="759"/>
      <c r="I70" s="130"/>
      <c r="J70" s="129"/>
      <c r="K70" s="175"/>
      <c r="L70" s="1158" t="s">
        <v>537</v>
      </c>
      <c r="M70" s="424"/>
      <c r="N70" s="129"/>
      <c r="O70" s="239"/>
      <c r="P70" s="94"/>
      <c r="Q70" s="94"/>
      <c r="R70" s="94"/>
      <c r="S70" s="94"/>
      <c r="T70" s="94"/>
      <c r="U70" s="94"/>
      <c r="V70" s="94"/>
      <c r="W70" s="94"/>
      <c r="X70" s="1799"/>
      <c r="Z70"/>
      <c r="AB70"/>
      <c r="AC70"/>
      <c r="AD70"/>
      <c r="AE70"/>
      <c r="AF70"/>
      <c r="AG70"/>
      <c r="AH70"/>
      <c r="AI70"/>
      <c r="AJ70"/>
      <c r="AK70"/>
      <c r="AL70"/>
      <c r="AM70"/>
      <c r="AN70"/>
      <c r="AO70"/>
      <c r="AP70"/>
      <c r="AQ70"/>
      <c r="AR70"/>
      <c r="AS70"/>
    </row>
    <row r="71" spans="1:61" x14ac:dyDescent="0.25">
      <c r="B71" s="77">
        <v>601.70000000000005</v>
      </c>
      <c r="C71" s="21"/>
      <c r="D71" s="21" t="s">
        <v>401</v>
      </c>
      <c r="E71" s="21"/>
      <c r="F71" s="21"/>
      <c r="G71" s="21"/>
      <c r="H71" s="758"/>
      <c r="I71" s="130"/>
      <c r="J71" s="129"/>
      <c r="K71" s="214" t="s">
        <v>401</v>
      </c>
      <c r="L71" s="1778" t="s">
        <v>538</v>
      </c>
      <c r="M71" s="424"/>
      <c r="N71" s="129"/>
      <c r="O71" s="239"/>
      <c r="P71" s="94" t="b">
        <v>1</v>
      </c>
      <c r="Q71" s="94" t="b">
        <v>1</v>
      </c>
      <c r="R71" s="94" t="b">
        <v>0</v>
      </c>
      <c r="S71" s="94" t="b">
        <v>1</v>
      </c>
      <c r="T71" s="94" t="b">
        <v>0</v>
      </c>
      <c r="U71" s="94" t="str">
        <f>SUBSTITUTE(SUBSTITUTE(SUBSTITUTE("dd"&amp;B71&amp;C71&amp;D71&amp;E71&amp;F71,".","_"),"(","_"),")","")</f>
        <v>dd601_7_d</v>
      </c>
      <c r="V71" s="94"/>
      <c r="W71" s="109"/>
      <c r="X71" s="1799"/>
      <c r="Z71"/>
      <c r="AB71"/>
      <c r="AC71"/>
      <c r="AD71"/>
      <c r="AE71"/>
      <c r="AF71"/>
      <c r="AG71"/>
      <c r="AH71"/>
      <c r="AI71"/>
      <c r="AJ71"/>
      <c r="AK71"/>
      <c r="AL71"/>
      <c r="AM71"/>
      <c r="AN71"/>
      <c r="AO71"/>
      <c r="AP71" s="1130" t="str">
        <f>SUBSTITUTE(SUBSTITUTE(SUBSTITUTE("dch"&amp;$B71&amp;$C71&amp;$D71&amp;$E71,".","_"),"(","_"),")","")</f>
        <v>dch601_7_d</v>
      </c>
      <c r="AQ71" s="254" t="str">
        <f>IF(LEN(W71)=0,"",W71)</f>
        <v/>
      </c>
      <c r="AR71"/>
      <c r="AS71"/>
    </row>
    <row r="72" spans="1:61" x14ac:dyDescent="0.25">
      <c r="B72" s="77">
        <v>601.70000000000005</v>
      </c>
      <c r="C72" s="21"/>
      <c r="D72" s="21" t="s">
        <v>401</v>
      </c>
      <c r="E72" s="21"/>
      <c r="F72" s="21"/>
      <c r="G72" s="21"/>
      <c r="H72" s="758"/>
      <c r="I72" s="130"/>
      <c r="J72" s="129"/>
      <c r="K72" s="175"/>
      <c r="L72" s="1755"/>
      <c r="M72" s="424"/>
      <c r="N72" s="129"/>
      <c r="O72" s="239"/>
      <c r="P72" s="94"/>
      <c r="Q72" s="94"/>
      <c r="R72" s="94"/>
      <c r="S72" s="94"/>
      <c r="T72" s="94"/>
      <c r="U72" s="94"/>
      <c r="V72" s="94"/>
      <c r="W72" s="94"/>
      <c r="X72" s="1799"/>
      <c r="Z72"/>
      <c r="AB72"/>
      <c r="AC72"/>
      <c r="AD72"/>
      <c r="AE72"/>
      <c r="AF72"/>
      <c r="AG72"/>
      <c r="AH72"/>
      <c r="AI72"/>
      <c r="AJ72"/>
      <c r="AK72"/>
      <c r="AL72"/>
      <c r="AM72"/>
      <c r="AN72"/>
      <c r="AO72"/>
      <c r="AP72"/>
      <c r="AQ72"/>
      <c r="AR72"/>
      <c r="AS72"/>
    </row>
    <row r="73" spans="1:61" x14ac:dyDescent="0.25">
      <c r="B73" s="77">
        <v>601.70000000000005</v>
      </c>
      <c r="C73" s="21"/>
      <c r="D73" s="21" t="s">
        <v>539</v>
      </c>
      <c r="E73" s="21"/>
      <c r="F73" s="21"/>
      <c r="G73" s="21"/>
      <c r="H73" s="758"/>
      <c r="I73" s="130"/>
      <c r="J73" s="129"/>
      <c r="K73" s="214" t="s">
        <v>539</v>
      </c>
      <c r="L73" s="1778" t="s">
        <v>540</v>
      </c>
      <c r="M73" s="424"/>
      <c r="N73" s="129"/>
      <c r="O73" s="239"/>
      <c r="P73" s="94" t="b">
        <v>1</v>
      </c>
      <c r="Q73" s="94" t="b">
        <v>1</v>
      </c>
      <c r="R73" s="94" t="b">
        <v>0</v>
      </c>
      <c r="S73" s="94" t="b">
        <v>1</v>
      </c>
      <c r="T73" s="94" t="b">
        <v>0</v>
      </c>
      <c r="U73" s="94" t="str">
        <f>SUBSTITUTE(SUBSTITUTE(SUBSTITUTE("dd"&amp;B73&amp;C73&amp;D73&amp;E73&amp;F73,".","_"),"(","_"),")","")</f>
        <v>dd601_7_e</v>
      </c>
      <c r="V73" s="94"/>
      <c r="W73" s="109"/>
      <c r="X73" s="1799"/>
      <c r="Z73"/>
      <c r="AB73"/>
      <c r="AC73"/>
      <c r="AD73"/>
      <c r="AE73"/>
      <c r="AF73"/>
      <c r="AG73"/>
      <c r="AH73"/>
      <c r="AI73"/>
      <c r="AJ73"/>
      <c r="AK73"/>
      <c r="AL73"/>
      <c r="AM73"/>
      <c r="AN73"/>
      <c r="AO73"/>
      <c r="AP73" s="1130" t="str">
        <f>SUBSTITUTE(SUBSTITUTE(SUBSTITUTE("dch"&amp;$B73&amp;$C73&amp;$D73&amp;$E73,".","_"),"(","_"),")","")</f>
        <v>dch601_7_e</v>
      </c>
      <c r="AQ73" s="254" t="str">
        <f>IF(LEN(W73)=0,"",W73)</f>
        <v/>
      </c>
      <c r="AR73"/>
      <c r="AS73"/>
    </row>
    <row r="74" spans="1:61" x14ac:dyDescent="0.25">
      <c r="B74" s="77">
        <v>601.70000000000005</v>
      </c>
      <c r="C74" s="21"/>
      <c r="D74" s="21" t="s">
        <v>539</v>
      </c>
      <c r="E74" s="21"/>
      <c r="F74" s="21"/>
      <c r="G74" s="21"/>
      <c r="H74" s="758"/>
      <c r="I74" s="130"/>
      <c r="J74" s="129"/>
      <c r="K74" s="175"/>
      <c r="L74" s="1755"/>
      <c r="M74" s="424"/>
      <c r="N74" s="129"/>
      <c r="O74" s="239"/>
      <c r="P74" s="94"/>
      <c r="Q74" s="94"/>
      <c r="R74" s="94"/>
      <c r="S74" s="94"/>
      <c r="T74" s="94"/>
      <c r="U74" s="94"/>
      <c r="V74" s="94"/>
      <c r="W74" s="94"/>
      <c r="X74" s="1799"/>
      <c r="Z74"/>
      <c r="AB74"/>
      <c r="AC74"/>
      <c r="AD74"/>
      <c r="AE74"/>
      <c r="AF74"/>
      <c r="AG74"/>
      <c r="AH74"/>
      <c r="AI74"/>
      <c r="AJ74"/>
      <c r="AK74"/>
      <c r="AL74"/>
      <c r="AM74"/>
      <c r="AN74"/>
      <c r="AO74"/>
      <c r="AP74"/>
      <c r="AQ74"/>
      <c r="AR74"/>
      <c r="AS74"/>
      <c r="AX74" s="271"/>
      <c r="AY74" s="271"/>
    </row>
    <row r="75" spans="1:61" x14ac:dyDescent="0.25">
      <c r="B75" s="77">
        <v>601.70000000000005</v>
      </c>
      <c r="C75" s="21" t="s">
        <v>256</v>
      </c>
      <c r="D75" s="21"/>
      <c r="E75" s="21"/>
      <c r="F75" s="21"/>
      <c r="G75" s="21"/>
      <c r="H75" s="758"/>
      <c r="I75" s="130"/>
      <c r="J75" s="206" t="s">
        <v>256</v>
      </c>
      <c r="K75" s="95"/>
      <c r="L75" s="1163" t="s">
        <v>541</v>
      </c>
      <c r="M75" s="426">
        <v>5</v>
      </c>
      <c r="N75" s="129"/>
      <c r="O75" s="239"/>
      <c r="P75" s="94"/>
      <c r="Q75" s="94"/>
      <c r="R75" s="94"/>
      <c r="S75" s="94"/>
      <c r="T75" s="94"/>
      <c r="U75" s="94"/>
      <c r="V75" s="94"/>
      <c r="W75" s="94"/>
      <c r="X75" s="1799"/>
      <c r="Z75"/>
      <c r="AB75"/>
      <c r="AC75"/>
      <c r="AD75"/>
      <c r="AE75"/>
      <c r="AF75"/>
      <c r="AG75"/>
      <c r="AH75"/>
      <c r="AI75"/>
      <c r="AJ75"/>
      <c r="AK75"/>
      <c r="AL75" s="254" t="str">
        <f>SUBSTITUTE(SUBSTITUTE(SUBSTITUTE("dpa"&amp;$B75&amp;$C75&amp;$D75&amp;$E75,".","_"),"(","_"),")","")</f>
        <v>dpa601_7_1</v>
      </c>
      <c r="AM75" s="254">
        <f>M75</f>
        <v>5</v>
      </c>
      <c r="AN75"/>
      <c r="AO75"/>
      <c r="AP75"/>
      <c r="AQ75"/>
      <c r="AR75"/>
      <c r="AS75"/>
    </row>
    <row r="76" spans="1:61" x14ac:dyDescent="0.25">
      <c r="B76" s="77">
        <v>601.70000000000005</v>
      </c>
      <c r="C76" s="21" t="s">
        <v>258</v>
      </c>
      <c r="D76" s="21"/>
      <c r="E76" s="21"/>
      <c r="F76" s="21"/>
      <c r="G76" s="21"/>
      <c r="H76" s="758"/>
      <c r="I76" s="130"/>
      <c r="J76" s="183" t="s">
        <v>258</v>
      </c>
      <c r="K76" s="195"/>
      <c r="L76" s="1760" t="s">
        <v>543</v>
      </c>
      <c r="M76" s="1762">
        <v>2</v>
      </c>
      <c r="N76" s="129"/>
      <c r="O76" s="239"/>
      <c r="P76" s="94"/>
      <c r="Q76" s="94"/>
      <c r="R76" s="94"/>
      <c r="S76" s="94"/>
      <c r="T76" s="94"/>
      <c r="U76" s="94"/>
      <c r="V76" s="94"/>
      <c r="W76" s="94"/>
      <c r="X76" s="1799"/>
      <c r="Z76"/>
      <c r="AB76"/>
      <c r="AC76"/>
      <c r="AD76"/>
      <c r="AE76"/>
      <c r="AF76"/>
      <c r="AG76"/>
      <c r="AH76"/>
      <c r="AI76"/>
      <c r="AJ76"/>
      <c r="AK76"/>
      <c r="AL76" s="254" t="str">
        <f>SUBSTITUTE(SUBSTITUTE(SUBSTITUTE("dpa"&amp;$B76&amp;$C76&amp;$D76&amp;$E76,".","_"),"(","_"),")","")</f>
        <v>dpa601_7_2</v>
      </c>
      <c r="AM76" s="254">
        <f>M76</f>
        <v>2</v>
      </c>
      <c r="AN76"/>
      <c r="AO76"/>
      <c r="AP76"/>
      <c r="AQ76"/>
      <c r="AR76"/>
      <c r="AS76"/>
      <c r="AX76" s="271"/>
      <c r="AY76" s="271"/>
      <c r="AZ76" s="271"/>
      <c r="BA76" s="271"/>
      <c r="BB76" s="271"/>
      <c r="BC76" s="271"/>
      <c r="BD76" s="271"/>
      <c r="BE76" s="271"/>
      <c r="BF76" s="271"/>
      <c r="BG76" s="271"/>
      <c r="BH76" s="271"/>
      <c r="BI76" s="271"/>
    </row>
    <row r="77" spans="1:61" s="271" customFormat="1" x14ac:dyDescent="0.25">
      <c r="A77" s="18"/>
      <c r="B77" s="77">
        <v>601.70000000000005</v>
      </c>
      <c r="C77" s="21" t="s">
        <v>258</v>
      </c>
      <c r="D77" s="21"/>
      <c r="E77" s="21"/>
      <c r="F77" s="21"/>
      <c r="G77" s="21"/>
      <c r="H77" s="758"/>
      <c r="I77" s="130"/>
      <c r="J77" s="178"/>
      <c r="K77" s="175"/>
      <c r="L77" s="1761"/>
      <c r="M77" s="1759"/>
      <c r="N77" s="129"/>
      <c r="O77" s="239"/>
      <c r="P77" s="94"/>
      <c r="Q77" s="94"/>
      <c r="R77" s="94"/>
      <c r="S77" s="94"/>
      <c r="T77" s="94"/>
      <c r="U77" s="94"/>
      <c r="V77" s="94"/>
      <c r="W77" s="94"/>
      <c r="X77" s="1799"/>
      <c r="Y77" s="780"/>
      <c r="AA77" s="783"/>
      <c r="AL77" s="254"/>
      <c r="AM77" s="254"/>
      <c r="AX77" s="63"/>
      <c r="AY77" s="63"/>
      <c r="AZ77" s="63"/>
      <c r="BA77" s="63"/>
      <c r="BB77" s="63"/>
      <c r="BC77" s="63"/>
      <c r="BD77" s="63"/>
      <c r="BE77" s="63"/>
      <c r="BF77" s="63"/>
      <c r="BG77" s="63"/>
      <c r="BH77" s="63"/>
      <c r="BI77" s="63"/>
    </row>
    <row r="78" spans="1:61" x14ac:dyDescent="0.25">
      <c r="B78" s="77">
        <v>601.70000000000005</v>
      </c>
      <c r="C78" s="21" t="s">
        <v>260</v>
      </c>
      <c r="D78" s="21"/>
      <c r="E78" s="21"/>
      <c r="F78" s="21"/>
      <c r="G78" s="21"/>
      <c r="H78" s="758"/>
      <c r="I78" s="130"/>
      <c r="J78" s="183" t="s">
        <v>260</v>
      </c>
      <c r="K78" s="95"/>
      <c r="L78" s="1793" t="s">
        <v>544</v>
      </c>
      <c r="M78" s="424">
        <v>1</v>
      </c>
      <c r="N78" s="129"/>
      <c r="O78" s="239"/>
      <c r="P78" s="94"/>
      <c r="Q78" s="94"/>
      <c r="R78" s="94"/>
      <c r="S78" s="94"/>
      <c r="T78" s="94"/>
      <c r="U78" s="94"/>
      <c r="V78" s="94"/>
      <c r="X78" s="1799"/>
      <c r="Z78"/>
      <c r="AB78"/>
      <c r="AC78"/>
      <c r="AD78"/>
      <c r="AE78"/>
      <c r="AF78"/>
      <c r="AG78"/>
      <c r="AH78"/>
      <c r="AI78"/>
      <c r="AJ78"/>
      <c r="AK78"/>
      <c r="AL78" s="254" t="str">
        <f>SUBSTITUTE(SUBSTITUTE(SUBSTITUTE("dpa"&amp;$B78&amp;$C78&amp;$D78&amp;$E78,".","_"),"(","_"),")","")</f>
        <v>dpa601_7_3</v>
      </c>
      <c r="AM78" s="254">
        <f>M78</f>
        <v>1</v>
      </c>
      <c r="AN78"/>
      <c r="AO78"/>
      <c r="AP78"/>
      <c r="AQ78"/>
      <c r="AR78"/>
      <c r="AS78"/>
      <c r="AZ78" s="271"/>
      <c r="BA78" s="271"/>
      <c r="BB78" s="271"/>
      <c r="BC78" s="271"/>
      <c r="BD78" s="271"/>
      <c r="BE78" s="271"/>
      <c r="BF78" s="271"/>
      <c r="BG78" s="271"/>
      <c r="BH78" s="271"/>
      <c r="BI78" s="271"/>
    </row>
    <row r="79" spans="1:61" s="271" customFormat="1" ht="15.75" thickBot="1" x14ac:dyDescent="0.3">
      <c r="A79" s="18"/>
      <c r="B79" s="77">
        <v>601.70000000000005</v>
      </c>
      <c r="C79" s="21" t="s">
        <v>260</v>
      </c>
      <c r="D79" s="21"/>
      <c r="E79" s="21"/>
      <c r="F79" s="21"/>
      <c r="G79" s="21"/>
      <c r="H79" s="758"/>
      <c r="I79" s="130"/>
      <c r="J79" s="183"/>
      <c r="K79" s="95"/>
      <c r="L79" s="1842"/>
      <c r="M79" s="424"/>
      <c r="N79" s="129"/>
      <c r="O79" s="239"/>
      <c r="P79" s="94"/>
      <c r="Q79" s="94"/>
      <c r="R79" s="94"/>
      <c r="S79" s="94"/>
      <c r="T79" s="94"/>
      <c r="U79" s="94"/>
      <c r="V79" s="94"/>
      <c r="W79" s="112"/>
      <c r="X79" s="1800"/>
      <c r="Y79" s="780"/>
      <c r="AA79" s="783"/>
      <c r="AL79" s="254"/>
      <c r="AM79" s="254"/>
      <c r="AX79" s="63"/>
      <c r="AY79" s="63"/>
      <c r="AZ79" s="63"/>
      <c r="BA79" s="63"/>
      <c r="BB79" s="63"/>
      <c r="BC79" s="63"/>
      <c r="BD79" s="63"/>
      <c r="BE79" s="63"/>
      <c r="BF79" s="63"/>
      <c r="BG79" s="63"/>
      <c r="BH79" s="63"/>
      <c r="BI79" s="63"/>
    </row>
    <row r="80" spans="1:61" ht="15.75" thickTop="1" x14ac:dyDescent="0.25">
      <c r="B80" s="77">
        <v>601.79999999999995</v>
      </c>
      <c r="C80" s="21"/>
      <c r="D80" s="21"/>
      <c r="E80" s="21"/>
      <c r="F80" s="21"/>
      <c r="G80" s="21"/>
      <c r="H80" s="758"/>
      <c r="I80" s="180">
        <v>601.79999999999995</v>
      </c>
      <c r="J80" s="181"/>
      <c r="K80" s="182"/>
      <c r="L80" s="1781" t="s">
        <v>545</v>
      </c>
      <c r="M80" s="1772">
        <v>3</v>
      </c>
      <c r="N80" s="181"/>
      <c r="O80" s="1773">
        <f>M80*S80*W80</f>
        <v>0</v>
      </c>
      <c r="P80" s="94" t="b">
        <v>1</v>
      </c>
      <c r="Q80" s="94" t="b">
        <v>0</v>
      </c>
      <c r="R80" s="105" t="b">
        <v>0</v>
      </c>
      <c r="S80" s="105" t="b">
        <f>NOT(AZ33=1)</f>
        <v>1</v>
      </c>
      <c r="T80" s="94" t="b">
        <f>AND(NOT(S80),W80=TRUE)</f>
        <v>0</v>
      </c>
      <c r="U80" s="105"/>
      <c r="V80" s="105"/>
      <c r="W80" s="117"/>
      <c r="X80" s="1784"/>
      <c r="Z80"/>
      <c r="AB80"/>
      <c r="AC80" s="137" t="b">
        <f>OR(AD80:AE80)</f>
        <v>0</v>
      </c>
      <c r="AD80" s="137" t="b">
        <v>0</v>
      </c>
      <c r="AE80" s="137" t="b">
        <f>AND(W80=TRUE,LEN(X80)=0)</f>
        <v>0</v>
      </c>
      <c r="AF80"/>
      <c r="AG80"/>
      <c r="AH80"/>
      <c r="AI80"/>
      <c r="AJ80"/>
      <c r="AK80"/>
      <c r="AL80" s="254" t="str">
        <f>SUBSTITUTE(SUBSTITUTE(SUBSTITUTE("dpa"&amp;$B80&amp;$C80&amp;$D80&amp;$E80,".","_"),"(","_"),")","")</f>
        <v>dpa601_8</v>
      </c>
      <c r="AM80" s="254">
        <f>M80</f>
        <v>3</v>
      </c>
      <c r="AN80" s="254" t="str">
        <f>SUBSTITUTE(SUBSTITUTE(SUBSTITUTE("dpc"&amp;$B80&amp;$C80&amp;$D80&amp;$E80,".","_"),"(","_"),")","")</f>
        <v>dpc601_8</v>
      </c>
      <c r="AO80" s="254">
        <f>O80</f>
        <v>0</v>
      </c>
      <c r="AP80" s="1130" t="str">
        <f>SUBSTITUTE(SUBSTITUTE(SUBSTITUTE("dch"&amp;$B80&amp;$C80&amp;$D80&amp;$E80,".","_"),"(","_"),")","")</f>
        <v>dch601_8</v>
      </c>
      <c r="AQ80" s="254" t="str">
        <f>IF(LEN(W80)=0,"",W80)</f>
        <v/>
      </c>
      <c r="AR80" s="1130" t="str">
        <f>SUBSTITUTE(SUBSTITUTE(SUBSTITUTE("dnt"&amp;$B80&amp;$C80&amp;$D80&amp;$E80,".","_"),"(","_"),")","")</f>
        <v>dnt601_8</v>
      </c>
      <c r="AS80" s="254" t="str">
        <f>IF(LEN(X80)=0,"",X80)</f>
        <v/>
      </c>
    </row>
    <row r="81" spans="2:51" x14ac:dyDescent="0.25">
      <c r="B81" s="77">
        <v>601.79999999999995</v>
      </c>
      <c r="C81" s="21"/>
      <c r="D81" s="21"/>
      <c r="E81" s="21"/>
      <c r="F81" s="21"/>
      <c r="G81" s="21"/>
      <c r="H81" s="758"/>
      <c r="I81" s="130"/>
      <c r="J81" s="129"/>
      <c r="K81" s="95"/>
      <c r="L81" s="1782"/>
      <c r="M81" s="1758"/>
      <c r="N81" s="129"/>
      <c r="O81" s="1774"/>
      <c r="P81" s="94"/>
      <c r="Q81" s="94"/>
      <c r="R81" s="94"/>
      <c r="S81" s="94"/>
      <c r="T81" s="94"/>
      <c r="U81" s="94"/>
      <c r="V81" s="94"/>
      <c r="W81" s="94"/>
      <c r="X81" s="1770"/>
      <c r="Z81"/>
      <c r="AB81"/>
      <c r="AC81"/>
      <c r="AD81"/>
      <c r="AE81"/>
      <c r="AF81"/>
      <c r="AG81"/>
      <c r="AH81"/>
      <c r="AI81"/>
      <c r="AJ81"/>
      <c r="AK81"/>
      <c r="AL81"/>
      <c r="AM81"/>
      <c r="AN81"/>
      <c r="AO81"/>
      <c r="AP81"/>
      <c r="AQ81"/>
      <c r="AR81"/>
      <c r="AS81"/>
    </row>
    <row r="82" spans="2:51" x14ac:dyDescent="0.25">
      <c r="B82" s="77">
        <v>601.79999999999995</v>
      </c>
      <c r="C82" s="21"/>
      <c r="D82" s="21"/>
      <c r="E82" s="21"/>
      <c r="F82" s="21"/>
      <c r="G82" s="21"/>
      <c r="H82" s="758"/>
      <c r="I82" s="130"/>
      <c r="J82" s="129"/>
      <c r="K82" s="95"/>
      <c r="L82" s="1782"/>
      <c r="M82" s="1758"/>
      <c r="N82" s="129"/>
      <c r="O82" s="1774"/>
      <c r="P82" s="94"/>
      <c r="Q82" s="94"/>
      <c r="R82" s="94"/>
      <c r="S82" s="94"/>
      <c r="T82" s="94"/>
      <c r="U82" s="94"/>
      <c r="V82" s="94"/>
      <c r="W82" s="94"/>
      <c r="X82" s="1770"/>
      <c r="Z82"/>
      <c r="AB82"/>
      <c r="AC82"/>
      <c r="AD82"/>
      <c r="AE82"/>
      <c r="AF82"/>
      <c r="AG82"/>
      <c r="AH82"/>
      <c r="AI82"/>
      <c r="AJ82"/>
      <c r="AK82"/>
      <c r="AL82"/>
      <c r="AM82"/>
      <c r="AN82"/>
      <c r="AO82"/>
      <c r="AP82"/>
      <c r="AQ82"/>
      <c r="AR82"/>
      <c r="AS82"/>
    </row>
    <row r="83" spans="2:51" x14ac:dyDescent="0.25">
      <c r="B83" s="77">
        <v>601.79999999999995</v>
      </c>
      <c r="C83" s="21"/>
      <c r="D83" s="21"/>
      <c r="E83" s="21"/>
      <c r="F83" s="21"/>
      <c r="G83" s="21"/>
      <c r="H83" s="758"/>
      <c r="I83" s="130"/>
      <c r="J83" s="129"/>
      <c r="K83" s="95"/>
      <c r="L83" s="1782"/>
      <c r="M83" s="1758"/>
      <c r="N83" s="129"/>
      <c r="O83" s="1774"/>
      <c r="P83" s="94"/>
      <c r="Q83" s="94"/>
      <c r="R83" s="94"/>
      <c r="S83" s="94"/>
      <c r="T83" s="94"/>
      <c r="U83" s="94"/>
      <c r="V83" s="94"/>
      <c r="W83" s="94"/>
      <c r="X83" s="1770"/>
      <c r="Z83"/>
      <c r="AB83"/>
      <c r="AC83"/>
      <c r="AD83"/>
      <c r="AE83"/>
      <c r="AF83"/>
      <c r="AG83"/>
      <c r="AH83"/>
      <c r="AI83"/>
      <c r="AJ83"/>
      <c r="AK83"/>
      <c r="AL83"/>
      <c r="AM83"/>
      <c r="AN83"/>
      <c r="AO83"/>
      <c r="AP83"/>
      <c r="AQ83"/>
      <c r="AR83"/>
      <c r="AS83"/>
    </row>
    <row r="84" spans="2:51" x14ac:dyDescent="0.25">
      <c r="B84" s="77">
        <v>601.79999999999995</v>
      </c>
      <c r="C84" s="21"/>
      <c r="D84" s="21"/>
      <c r="E84" s="21"/>
      <c r="F84" s="21"/>
      <c r="G84" s="21"/>
      <c r="H84" s="758"/>
      <c r="I84" s="130"/>
      <c r="J84" s="129"/>
      <c r="K84" s="95"/>
      <c r="L84" s="1782"/>
      <c r="M84" s="1758"/>
      <c r="N84" s="129"/>
      <c r="O84" s="1774"/>
      <c r="P84" s="94"/>
      <c r="Q84" s="94"/>
      <c r="R84" s="94"/>
      <c r="S84" s="94"/>
      <c r="T84" s="94"/>
      <c r="U84" s="94"/>
      <c r="V84" s="94"/>
      <c r="W84" s="94"/>
      <c r="X84" s="1770"/>
      <c r="Z84"/>
      <c r="AB84"/>
      <c r="AC84"/>
      <c r="AD84"/>
      <c r="AE84"/>
      <c r="AF84"/>
      <c r="AG84"/>
      <c r="AH84"/>
      <c r="AI84"/>
      <c r="AJ84"/>
      <c r="AK84"/>
      <c r="AL84"/>
      <c r="AM84"/>
      <c r="AN84"/>
      <c r="AO84"/>
      <c r="AP84"/>
      <c r="AQ84"/>
      <c r="AR84"/>
      <c r="AS84"/>
    </row>
    <row r="85" spans="2:51" x14ac:dyDescent="0.25">
      <c r="B85" s="77">
        <v>601.79999999999995</v>
      </c>
      <c r="C85" s="21"/>
      <c r="D85" s="21"/>
      <c r="E85" s="21"/>
      <c r="F85" s="21"/>
      <c r="G85" s="21"/>
      <c r="H85" s="758"/>
      <c r="I85" s="130"/>
      <c r="J85" s="129"/>
      <c r="K85" s="95"/>
      <c r="L85" s="1855" t="s">
        <v>1103</v>
      </c>
      <c r="M85" s="1758"/>
      <c r="N85" s="129"/>
      <c r="O85" s="1774"/>
      <c r="P85" s="94"/>
      <c r="Q85" s="94"/>
      <c r="R85" s="94"/>
      <c r="S85" s="94"/>
      <c r="T85" s="94"/>
      <c r="U85" s="94"/>
      <c r="V85" s="94"/>
      <c r="W85" s="94"/>
      <c r="X85" s="1770"/>
      <c r="Z85"/>
      <c r="AB85"/>
      <c r="AC85"/>
      <c r="AD85"/>
      <c r="AE85"/>
      <c r="AF85"/>
      <c r="AG85"/>
      <c r="AH85"/>
      <c r="AI85"/>
      <c r="AJ85"/>
      <c r="AK85"/>
      <c r="AL85"/>
      <c r="AM85"/>
      <c r="AN85"/>
      <c r="AO85"/>
      <c r="AP85"/>
      <c r="AQ85"/>
      <c r="AR85"/>
      <c r="AS85"/>
    </row>
    <row r="86" spans="2:51" x14ac:dyDescent="0.25">
      <c r="B86" s="77">
        <v>601.79999999999995</v>
      </c>
      <c r="C86" s="21"/>
      <c r="D86" s="21"/>
      <c r="E86" s="21"/>
      <c r="F86" s="21"/>
      <c r="G86" s="21"/>
      <c r="H86" s="758"/>
      <c r="I86" s="130"/>
      <c r="J86" s="129"/>
      <c r="K86" s="95"/>
      <c r="L86" s="1855"/>
      <c r="M86" s="1758"/>
      <c r="N86" s="129"/>
      <c r="O86" s="1774"/>
      <c r="P86" s="94"/>
      <c r="Q86" s="94"/>
      <c r="R86" s="94"/>
      <c r="S86" s="94"/>
      <c r="T86" s="94"/>
      <c r="U86" s="94"/>
      <c r="V86" s="94"/>
      <c r="W86" s="94"/>
      <c r="X86" s="1770"/>
      <c r="Z86"/>
      <c r="AB86"/>
      <c r="AC86"/>
      <c r="AD86"/>
      <c r="AE86"/>
      <c r="AF86"/>
      <c r="AG86"/>
      <c r="AH86"/>
      <c r="AI86"/>
      <c r="AJ86"/>
      <c r="AK86"/>
      <c r="AL86"/>
      <c r="AM86"/>
      <c r="AN86"/>
      <c r="AO86"/>
      <c r="AP86"/>
      <c r="AQ86"/>
      <c r="AR86"/>
      <c r="AS86"/>
    </row>
    <row r="87" spans="2:51" x14ac:dyDescent="0.25">
      <c r="B87" s="77">
        <v>601.79999999999995</v>
      </c>
      <c r="C87" s="21"/>
      <c r="D87" s="21"/>
      <c r="E87" s="21"/>
      <c r="F87" s="21"/>
      <c r="G87" s="21"/>
      <c r="H87" s="758"/>
      <c r="I87" s="130"/>
      <c r="J87" s="129"/>
      <c r="K87" s="95"/>
      <c r="L87" s="1849"/>
      <c r="M87" s="1758"/>
      <c r="N87" s="129"/>
      <c r="O87" s="1774"/>
      <c r="P87" s="94"/>
      <c r="Q87" s="94"/>
      <c r="R87" s="94"/>
      <c r="S87" s="94"/>
      <c r="T87" s="94"/>
      <c r="U87" s="94"/>
      <c r="V87" s="94"/>
      <c r="W87" s="113"/>
      <c r="X87" s="1798"/>
      <c r="Z87"/>
      <c r="AB87"/>
      <c r="AC87"/>
      <c r="AD87"/>
      <c r="AE87"/>
      <c r="AF87"/>
      <c r="AG87"/>
      <c r="AH87"/>
      <c r="AI87"/>
      <c r="AJ87"/>
      <c r="AK87"/>
      <c r="AL87"/>
      <c r="AM87"/>
      <c r="AN87"/>
      <c r="AO87"/>
      <c r="AP87"/>
      <c r="AQ87"/>
      <c r="AR87"/>
      <c r="AS87"/>
      <c r="AX87" s="137"/>
      <c r="AY87" s="137"/>
    </row>
    <row r="88" spans="2:51" ht="18.75" x14ac:dyDescent="0.3">
      <c r="B88" s="77">
        <v>602</v>
      </c>
      <c r="C88" s="21"/>
      <c r="D88" s="21"/>
      <c r="E88" s="21"/>
      <c r="F88" s="21"/>
      <c r="G88" s="21"/>
      <c r="H88" s="758"/>
      <c r="I88" s="69" t="s">
        <v>546</v>
      </c>
      <c r="J88" s="69"/>
      <c r="K88" s="69"/>
      <c r="L88" s="229"/>
      <c r="M88" s="390"/>
      <c r="N88" s="508"/>
      <c r="O88" s="498"/>
      <c r="P88" s="23"/>
      <c r="Q88" s="23"/>
      <c r="R88" s="23"/>
      <c r="S88" s="23"/>
      <c r="T88" s="23"/>
      <c r="U88" s="23"/>
      <c r="V88" s="23"/>
      <c r="W88" s="23"/>
      <c r="X88" s="23"/>
      <c r="Z88"/>
      <c r="AB88"/>
      <c r="AC88"/>
      <c r="AD88"/>
      <c r="AE88"/>
      <c r="AF88"/>
      <c r="AG88"/>
      <c r="AH88"/>
      <c r="AI88"/>
      <c r="AJ88"/>
      <c r="AK88"/>
      <c r="AL88"/>
      <c r="AM88"/>
      <c r="AN88"/>
      <c r="AO88"/>
      <c r="AP88"/>
      <c r="AQ88"/>
      <c r="AR88"/>
      <c r="AS88"/>
    </row>
    <row r="89" spans="2:51" x14ac:dyDescent="0.25">
      <c r="B89" s="77" t="s">
        <v>3141</v>
      </c>
      <c r="C89" s="21"/>
      <c r="D89" s="21"/>
      <c r="E89" s="21"/>
      <c r="F89" s="21"/>
      <c r="G89" s="21"/>
      <c r="H89" s="758"/>
      <c r="I89" s="78" t="s">
        <v>3141</v>
      </c>
      <c r="J89" s="4"/>
      <c r="K89" s="83"/>
      <c r="L89" s="1796" t="s">
        <v>547</v>
      </c>
      <c r="M89" s="428"/>
      <c r="N89" s="4"/>
      <c r="O89" s="141"/>
      <c r="P89" s="352"/>
      <c r="Q89" s="352"/>
      <c r="R89"/>
      <c r="S89"/>
      <c r="T89"/>
      <c r="U89"/>
      <c r="V89"/>
      <c r="W89"/>
      <c r="X89"/>
      <c r="Z89"/>
      <c r="AB89"/>
      <c r="AC89"/>
      <c r="AD89"/>
      <c r="AE89"/>
      <c r="AF89"/>
      <c r="AG89"/>
      <c r="AH89"/>
      <c r="AI89"/>
      <c r="AJ89"/>
      <c r="AK89"/>
      <c r="AL89"/>
      <c r="AM89"/>
      <c r="AN89"/>
      <c r="AO89"/>
      <c r="AP89"/>
      <c r="AQ89"/>
      <c r="AR89"/>
      <c r="AS89"/>
    </row>
    <row r="90" spans="2:51" ht="15.75" thickBot="1" x14ac:dyDescent="0.3">
      <c r="B90" s="77" t="s">
        <v>3141</v>
      </c>
      <c r="C90" s="21"/>
      <c r="D90" s="21"/>
      <c r="E90" s="21"/>
      <c r="F90" s="21"/>
      <c r="G90" s="21"/>
      <c r="H90" s="758"/>
      <c r="I90" s="64"/>
      <c r="J90" s="4"/>
      <c r="K90" s="83"/>
      <c r="L90" s="1796"/>
      <c r="M90" s="428"/>
      <c r="N90" s="4"/>
      <c r="O90" s="141"/>
      <c r="P90" s="352"/>
      <c r="Q90" s="352"/>
      <c r="R90"/>
      <c r="S90"/>
      <c r="T90"/>
      <c r="U90"/>
      <c r="V90"/>
      <c r="W90"/>
      <c r="X90"/>
      <c r="Z90"/>
      <c r="AB90"/>
      <c r="AC90"/>
      <c r="AD90"/>
      <c r="AE90"/>
      <c r="AF90"/>
      <c r="AG90"/>
      <c r="AH90"/>
      <c r="AI90"/>
      <c r="AJ90"/>
      <c r="AK90"/>
      <c r="AL90"/>
      <c r="AM90"/>
      <c r="AN90"/>
      <c r="AO90"/>
      <c r="AP90"/>
      <c r="AQ90"/>
      <c r="AR90"/>
      <c r="AS90"/>
    </row>
    <row r="91" spans="2:51" ht="16.5" thickTop="1" thickBot="1" x14ac:dyDescent="0.3">
      <c r="B91" s="77">
        <v>602.1</v>
      </c>
      <c r="C91" s="21"/>
      <c r="D91" s="21"/>
      <c r="E91" s="21"/>
      <c r="F91" s="21"/>
      <c r="G91" s="21"/>
      <c r="H91" s="758"/>
      <c r="I91" s="180">
        <v>602.1</v>
      </c>
      <c r="J91" s="181"/>
      <c r="K91" s="182"/>
      <c r="L91" s="1189" t="s">
        <v>548</v>
      </c>
      <c r="M91" s="423"/>
      <c r="N91" s="181"/>
      <c r="O91" s="500"/>
      <c r="P91" s="105"/>
      <c r="Q91" s="105"/>
      <c r="R91" s="105"/>
      <c r="S91" s="105"/>
      <c r="T91" s="105"/>
      <c r="U91" s="105"/>
      <c r="V91" s="105"/>
      <c r="W91" s="105"/>
      <c r="X91" s="105"/>
      <c r="Z91"/>
      <c r="AB91"/>
      <c r="AC91"/>
      <c r="AD91"/>
      <c r="AE91"/>
      <c r="AF91"/>
      <c r="AG91"/>
      <c r="AH91"/>
      <c r="AI91"/>
      <c r="AJ91"/>
      <c r="AK91"/>
      <c r="AL91"/>
      <c r="AM91"/>
      <c r="AN91"/>
      <c r="AO91"/>
      <c r="AP91"/>
      <c r="AQ91"/>
      <c r="AR91"/>
      <c r="AS91"/>
    </row>
    <row r="92" spans="2:51" ht="15.75" thickTop="1" x14ac:dyDescent="0.25">
      <c r="B92" s="77" t="s">
        <v>549</v>
      </c>
      <c r="C92" s="21"/>
      <c r="D92" s="21"/>
      <c r="E92" s="21"/>
      <c r="F92" s="21"/>
      <c r="G92" s="21"/>
      <c r="H92" s="758"/>
      <c r="I92" s="180" t="s">
        <v>549</v>
      </c>
      <c r="J92" s="181"/>
      <c r="K92" s="182"/>
      <c r="L92" s="1189" t="s">
        <v>550</v>
      </c>
      <c r="M92" s="423"/>
      <c r="N92" s="181"/>
      <c r="O92" s="500"/>
      <c r="P92" s="105"/>
      <c r="Q92" s="105"/>
      <c r="R92" s="105"/>
      <c r="S92" s="105"/>
      <c r="T92" s="105"/>
      <c r="U92" s="105"/>
      <c r="V92" s="105"/>
      <c r="W92" s="105"/>
      <c r="X92" s="105"/>
      <c r="Z92"/>
      <c r="AB92"/>
      <c r="AC92"/>
      <c r="AD92"/>
      <c r="AE92"/>
      <c r="AF92"/>
      <c r="AG92"/>
      <c r="AH92"/>
      <c r="AI92"/>
      <c r="AJ92"/>
      <c r="AK92"/>
      <c r="AL92"/>
      <c r="AM92"/>
      <c r="AN92"/>
      <c r="AO92"/>
      <c r="AP92"/>
      <c r="AQ92"/>
      <c r="AR92"/>
      <c r="AS92"/>
    </row>
    <row r="93" spans="2:51" x14ac:dyDescent="0.25">
      <c r="B93" s="77" t="s">
        <v>551</v>
      </c>
      <c r="C93" s="77"/>
      <c r="D93" s="21"/>
      <c r="E93" s="21"/>
      <c r="F93" s="21"/>
      <c r="G93" s="21"/>
      <c r="H93" s="758"/>
      <c r="I93" s="130" t="s">
        <v>551</v>
      </c>
      <c r="J93" s="129"/>
      <c r="K93" s="95"/>
      <c r="L93" s="1782" t="s">
        <v>4853</v>
      </c>
      <c r="M93" s="1837" t="str">
        <f>IF(R93,"Mandatory","N/A")</f>
        <v>Mandatory</v>
      </c>
      <c r="N93" s="4"/>
      <c r="O93" s="141"/>
      <c r="P93" s="352" t="b">
        <v>1</v>
      </c>
      <c r="Q93" s="352" t="b">
        <v>0</v>
      </c>
      <c r="R93" s="126" t="b">
        <f>S93</f>
        <v>1</v>
      </c>
      <c r="S93" s="126" t="b">
        <f>IF(OR(AZ33=2,AZ33=3),FALSE,TRUE)</f>
        <v>1</v>
      </c>
      <c r="T93" s="94" t="b">
        <f>AND(NOT(S93),W93="Met")</f>
        <v>0</v>
      </c>
      <c r="U93" s="94" t="str">
        <f>SUBSTITUTE(SUBSTITUTE(SUBSTITUTE("dd"&amp;B93&amp;C93&amp;D93&amp;E93&amp;F93,".","_"),"(","_"),")","")</f>
        <v>dd602_1_1_1</v>
      </c>
      <c r="V93"/>
      <c r="W93" s="1484"/>
      <c r="X93" s="1757"/>
      <c r="Z93"/>
      <c r="AB93"/>
      <c r="AC93" s="140" t="b">
        <f>OR(AD93:AE93)</f>
        <v>1</v>
      </c>
      <c r="AD93" s="140" t="b">
        <f>T93</f>
        <v>0</v>
      </c>
      <c r="AE93" s="1657" t="b">
        <f>OR(AND(R93,NOT(W93="Met"),NOT(W93="N/A")),AND(W93="N/A",ISBLANK(X93)))</f>
        <v>1</v>
      </c>
      <c r="AF93"/>
      <c r="AG93"/>
      <c r="AH93"/>
      <c r="AI93"/>
      <c r="AJ93"/>
      <c r="AK93"/>
      <c r="AL93" s="254" t="str">
        <f>SUBSTITUTE(SUBSTITUTE(SUBSTITUTE("dpa"&amp;$B93&amp;$C93&amp;$D93&amp;$E93,".","_"),"(","_"),")","")</f>
        <v>dpa602_1_1_1</v>
      </c>
      <c r="AM93" s="254" t="str">
        <f>M93</f>
        <v>Mandatory</v>
      </c>
      <c r="AN93"/>
      <c r="AO93"/>
      <c r="AP93" s="1130" t="str">
        <f>SUBSTITUTE(SUBSTITUTE(SUBSTITUTE("dch"&amp;$B93&amp;$C93&amp;$D93&amp;$E93,".","_"),"(","_"),")","")</f>
        <v>dch602_1_1_1</v>
      </c>
      <c r="AQ93" s="254" t="str">
        <f>IF(LEN(W93)=0,"",W93)</f>
        <v/>
      </c>
      <c r="AR93" s="1130" t="str">
        <f>SUBSTITUTE(SUBSTITUTE(SUBSTITUTE("dnt"&amp;$B93&amp;$C93&amp;$D93&amp;$E93,".","_"),"(","_"),")","")</f>
        <v>dnt602_1_1_1</v>
      </c>
      <c r="AS93" s="254" t="str">
        <f>IF(LEN(X93)=0,"",X93)</f>
        <v/>
      </c>
    </row>
    <row r="94" spans="2:51" x14ac:dyDescent="0.25">
      <c r="B94" s="77" t="s">
        <v>551</v>
      </c>
      <c r="C94" s="77"/>
      <c r="D94" s="21"/>
      <c r="E94" s="21"/>
      <c r="F94" s="21"/>
      <c r="G94" s="21"/>
      <c r="H94" s="758"/>
      <c r="I94" s="130"/>
      <c r="J94" s="129"/>
      <c r="K94" s="95"/>
      <c r="L94" s="1782"/>
      <c r="M94" s="1837"/>
      <c r="N94" s="4"/>
      <c r="O94" s="141"/>
      <c r="P94" s="352"/>
      <c r="Q94" s="352"/>
      <c r="R94"/>
      <c r="S94"/>
      <c r="T94"/>
      <c r="U94"/>
      <c r="V94"/>
      <c r="W94"/>
      <c r="X94" s="1757"/>
      <c r="Z94"/>
      <c r="AB94"/>
      <c r="AC94"/>
      <c r="AD94"/>
      <c r="AE94"/>
      <c r="AF94"/>
      <c r="AG94"/>
      <c r="AH94"/>
      <c r="AI94"/>
      <c r="AJ94"/>
      <c r="AK94"/>
      <c r="AL94"/>
      <c r="AM94"/>
      <c r="AN94"/>
      <c r="AO94"/>
      <c r="AP94"/>
      <c r="AQ94"/>
      <c r="AR94"/>
      <c r="AS94"/>
    </row>
    <row r="95" spans="2:51" x14ac:dyDescent="0.25">
      <c r="B95" s="77" t="s">
        <v>551</v>
      </c>
      <c r="C95" s="77"/>
      <c r="D95" s="21"/>
      <c r="E95" s="21"/>
      <c r="F95" s="21"/>
      <c r="G95" s="21"/>
      <c r="H95" s="758"/>
      <c r="I95" s="215"/>
      <c r="J95" s="210"/>
      <c r="K95" s="175"/>
      <c r="L95" s="1843"/>
      <c r="M95" s="1844"/>
      <c r="N95" s="4"/>
      <c r="O95" s="141"/>
      <c r="P95" s="352"/>
      <c r="Q95" s="352"/>
      <c r="R95"/>
      <c r="S95"/>
      <c r="T95"/>
      <c r="U95"/>
      <c r="V95"/>
      <c r="W95"/>
      <c r="X95" s="1757"/>
      <c r="Z95"/>
      <c r="AB95"/>
      <c r="AC95"/>
      <c r="AD95"/>
      <c r="AE95"/>
      <c r="AF95"/>
      <c r="AG95"/>
      <c r="AH95"/>
      <c r="AI95"/>
      <c r="AJ95"/>
      <c r="AK95"/>
      <c r="AL95"/>
      <c r="AM95"/>
      <c r="AN95"/>
      <c r="AO95"/>
      <c r="AP95"/>
      <c r="AQ95"/>
      <c r="AR95"/>
      <c r="AS95"/>
    </row>
    <row r="96" spans="2:51" x14ac:dyDescent="0.25">
      <c r="B96" s="77" t="s">
        <v>552</v>
      </c>
      <c r="C96" s="77"/>
      <c r="D96" s="21"/>
      <c r="E96" s="21"/>
      <c r="F96" s="21"/>
      <c r="G96" s="21"/>
      <c r="H96" s="758"/>
      <c r="I96" s="64" t="s">
        <v>552</v>
      </c>
      <c r="J96" s="4"/>
      <c r="K96" s="83"/>
      <c r="L96" s="1796" t="s">
        <v>553</v>
      </c>
      <c r="M96" s="1767">
        <v>3</v>
      </c>
      <c r="N96" s="4"/>
      <c r="O96" s="1780">
        <f>M96*S96*W96</f>
        <v>0</v>
      </c>
      <c r="P96" s="352" t="b">
        <v>1</v>
      </c>
      <c r="Q96" s="352" t="b">
        <v>0</v>
      </c>
      <c r="R96" s="126" t="b">
        <v>0</v>
      </c>
      <c r="S96" s="126" t="b">
        <v>1</v>
      </c>
      <c r="T96" s="126" t="b">
        <v>0</v>
      </c>
      <c r="U96"/>
      <c r="V96"/>
      <c r="W96" s="25"/>
      <c r="X96" s="1757"/>
      <c r="Z96"/>
      <c r="AB96"/>
      <c r="AC96"/>
      <c r="AD96"/>
      <c r="AE96"/>
      <c r="AF96"/>
      <c r="AG96"/>
      <c r="AH96"/>
      <c r="AI96"/>
      <c r="AJ96"/>
      <c r="AK96"/>
      <c r="AL96" s="254" t="str">
        <f>SUBSTITUTE(SUBSTITUTE(SUBSTITUTE("dpa"&amp;$B96&amp;$C96&amp;$D96&amp;$E96,".","_"),"(","_"),")","")</f>
        <v xml:space="preserve">dpa602_1_1_2 </v>
      </c>
      <c r="AM96" s="254">
        <f>M96</f>
        <v>3</v>
      </c>
      <c r="AN96" s="254" t="str">
        <f>SUBSTITUTE(SUBSTITUTE(SUBSTITUTE("dpc"&amp;$B96&amp;$C96&amp;$D96&amp;$E96,".","_"),"(","_"),")","")</f>
        <v xml:space="preserve">dpc602_1_1_2 </v>
      </c>
      <c r="AO96" s="254">
        <f>O96</f>
        <v>0</v>
      </c>
      <c r="AP96" s="1130" t="str">
        <f>SUBSTITUTE(SUBSTITUTE(SUBSTITUTE("dch"&amp;$B96&amp;$C96&amp;$D96&amp;$E96,".","_"),"(","_"),")","")</f>
        <v xml:space="preserve">dch602_1_1_2 </v>
      </c>
      <c r="AQ96" s="254" t="str">
        <f>IF(LEN(W96)=0,"",W96)</f>
        <v/>
      </c>
      <c r="AR96" s="1130" t="str">
        <f>SUBSTITUTE(SUBSTITUTE(SUBSTITUTE("dnt"&amp;$B96&amp;$C96&amp;$D96&amp;$E96,".","_"),"(","_"),")","")</f>
        <v xml:space="preserve">dnt602_1_1_2 </v>
      </c>
      <c r="AS96" s="254" t="str">
        <f>IF(LEN(X96)=0,"",X96)</f>
        <v/>
      </c>
    </row>
    <row r="97" spans="1:61" ht="15.75" thickBot="1" x14ac:dyDescent="0.3">
      <c r="B97" s="77" t="s">
        <v>552</v>
      </c>
      <c r="C97" s="77"/>
      <c r="D97" s="21"/>
      <c r="E97" s="21"/>
      <c r="F97" s="21"/>
      <c r="G97" s="21"/>
      <c r="H97" s="758"/>
      <c r="I97" s="64"/>
      <c r="J97" s="4"/>
      <c r="K97" s="83"/>
      <c r="L97" s="1796"/>
      <c r="M97" s="1767"/>
      <c r="N97" s="4"/>
      <c r="O97" s="1780"/>
      <c r="P97" s="352"/>
      <c r="Q97" s="352"/>
      <c r="R97"/>
      <c r="S97"/>
      <c r="T97"/>
      <c r="U97"/>
      <c r="V97"/>
      <c r="W97"/>
      <c r="X97" s="1798"/>
      <c r="Z97"/>
      <c r="AB97"/>
      <c r="AC97"/>
      <c r="AD97"/>
      <c r="AE97"/>
      <c r="AF97"/>
      <c r="AG97"/>
      <c r="AH97"/>
      <c r="AI97"/>
      <c r="AJ97"/>
      <c r="AK97"/>
      <c r="AL97"/>
      <c r="AM97"/>
      <c r="AN97"/>
      <c r="AO97"/>
      <c r="AP97"/>
      <c r="AQ97"/>
      <c r="AR97"/>
      <c r="AS97"/>
    </row>
    <row r="98" spans="1:61" ht="15.75" thickTop="1" x14ac:dyDescent="0.25">
      <c r="B98" s="737" t="s">
        <v>554</v>
      </c>
      <c r="C98" s="21"/>
      <c r="D98" s="21"/>
      <c r="E98" s="21"/>
      <c r="F98" s="21"/>
      <c r="G98" s="21"/>
      <c r="H98" s="758"/>
      <c r="I98" s="180" t="s">
        <v>3142</v>
      </c>
      <c r="J98" s="181"/>
      <c r="K98" s="182"/>
      <c r="L98" s="1781" t="s">
        <v>555</v>
      </c>
      <c r="M98" s="1772">
        <v>4</v>
      </c>
      <c r="N98" s="181"/>
      <c r="O98" s="1773">
        <f>M98*OR(S100*W100,S101*W101)</f>
        <v>0</v>
      </c>
      <c r="P98" s="105"/>
      <c r="Q98" s="105"/>
      <c r="R98" s="105"/>
      <c r="S98" s="105"/>
      <c r="T98" s="105"/>
      <c r="U98" s="105"/>
      <c r="V98" s="105"/>
      <c r="W98" s="105"/>
      <c r="X98" s="1784"/>
      <c r="Z98"/>
      <c r="AB98"/>
      <c r="AC98"/>
      <c r="AD98"/>
      <c r="AE98"/>
      <c r="AF98"/>
      <c r="AG98"/>
      <c r="AH98"/>
      <c r="AI98"/>
      <c r="AJ98"/>
      <c r="AK98"/>
      <c r="AL98" s="254" t="str">
        <f>SUBSTITUTE(SUBSTITUTE(SUBSTITUTE("dpa"&amp;$B98&amp;$C98&amp;$D98&amp;$E98,".","_"),"(","_"),")","")</f>
        <v xml:space="preserve">dpa602_1_2 </v>
      </c>
      <c r="AM98" s="254">
        <f>M98</f>
        <v>4</v>
      </c>
      <c r="AN98" s="254" t="str">
        <f>SUBSTITUTE(SUBSTITUTE(SUBSTITUTE("dpc"&amp;$B98&amp;$C98&amp;$D98&amp;$E98,".","_"),"(","_"),")","")</f>
        <v xml:space="preserve">dpc602_1_2 </v>
      </c>
      <c r="AO98" s="254">
        <f>O98</f>
        <v>0</v>
      </c>
      <c r="AP98"/>
      <c r="AQ98"/>
      <c r="AR98" s="1130" t="str">
        <f>SUBSTITUTE(SUBSTITUTE(SUBSTITUTE("dnt"&amp;$B98&amp;$C98&amp;$D98&amp;$E98,".","_"),"(","_"),")","")</f>
        <v xml:space="preserve">dnt602_1_2 </v>
      </c>
      <c r="AS98" s="254" t="str">
        <f>IF(LEN(X98)=0,"",X98)</f>
        <v/>
      </c>
    </row>
    <row r="99" spans="1:61" x14ac:dyDescent="0.25">
      <c r="B99" s="737" t="s">
        <v>554</v>
      </c>
      <c r="C99" s="21"/>
      <c r="D99" s="21"/>
      <c r="E99" s="21"/>
      <c r="F99" s="21"/>
      <c r="G99" s="21"/>
      <c r="H99" s="758"/>
      <c r="I99" s="130"/>
      <c r="J99" s="129"/>
      <c r="K99" s="95"/>
      <c r="L99" s="1782"/>
      <c r="M99" s="1758"/>
      <c r="N99" s="129"/>
      <c r="O99" s="1774"/>
      <c r="P99" s="94"/>
      <c r="Q99" s="94"/>
      <c r="R99" s="94"/>
      <c r="S99" s="94"/>
      <c r="T99" s="94"/>
      <c r="U99" s="94"/>
      <c r="V99" s="94"/>
      <c r="W99" s="94"/>
      <c r="X99" s="1770"/>
      <c r="Z99"/>
      <c r="AB99"/>
      <c r="AC99"/>
      <c r="AD99"/>
      <c r="AE99"/>
      <c r="AF99"/>
      <c r="AG99"/>
      <c r="AH99"/>
      <c r="AI99"/>
      <c r="AJ99"/>
      <c r="AK99"/>
      <c r="AL99"/>
      <c r="AM99"/>
      <c r="AN99"/>
      <c r="AO99"/>
      <c r="AP99"/>
      <c r="AQ99"/>
      <c r="AR99"/>
      <c r="AS99"/>
    </row>
    <row r="100" spans="1:61" x14ac:dyDescent="0.25">
      <c r="B100" s="737" t="s">
        <v>554</v>
      </c>
      <c r="C100" s="21" t="s">
        <v>256</v>
      </c>
      <c r="D100" s="21"/>
      <c r="E100" s="21"/>
      <c r="F100" s="21"/>
      <c r="G100" s="21"/>
      <c r="H100" s="758"/>
      <c r="I100" s="130"/>
      <c r="J100" s="206" t="s">
        <v>256</v>
      </c>
      <c r="K100" s="175"/>
      <c r="L100" s="1163" t="s">
        <v>556</v>
      </c>
      <c r="M100" s="1758"/>
      <c r="N100" s="129"/>
      <c r="O100" s="1774"/>
      <c r="P100" s="352" t="b">
        <v>1</v>
      </c>
      <c r="Q100" s="352" t="b">
        <v>0</v>
      </c>
      <c r="R100" s="94" t="b">
        <v>0</v>
      </c>
      <c r="S100" s="94" t="b">
        <f>NOT(AZ33=4)</f>
        <v>1</v>
      </c>
      <c r="T100" s="94" t="b">
        <f>AND(NOT(S100),W100=TRUE)</f>
        <v>0</v>
      </c>
      <c r="U100" s="94"/>
      <c r="V100" s="94"/>
      <c r="W100" s="25"/>
      <c r="X100" s="1770"/>
      <c r="Z100"/>
      <c r="AB100"/>
      <c r="AC100" s="140" t="b">
        <f>OR(AD100:AE100)</f>
        <v>0</v>
      </c>
      <c r="AD100" s="140" t="b">
        <f>T100</f>
        <v>0</v>
      </c>
      <c r="AE100"/>
      <c r="AF100"/>
      <c r="AG100"/>
      <c r="AH100"/>
      <c r="AI100"/>
      <c r="AJ100"/>
      <c r="AK100"/>
      <c r="AL100"/>
      <c r="AM100"/>
      <c r="AN100"/>
      <c r="AO100"/>
      <c r="AP100" s="1130" t="str">
        <f>SUBSTITUTE(SUBSTITUTE(SUBSTITUTE("dch"&amp;$B100&amp;$C100&amp;$D100&amp;$E100,".","_"),"(","_"),")","")</f>
        <v>dch602_1_2 _1</v>
      </c>
      <c r="AQ100" s="254" t="str">
        <f>IF(LEN(W100)=0,"",W100)</f>
        <v/>
      </c>
      <c r="AR100"/>
      <c r="AS100"/>
    </row>
    <row r="101" spans="1:61" ht="15.75" thickBot="1" x14ac:dyDescent="0.3">
      <c r="B101" s="737" t="s">
        <v>554</v>
      </c>
      <c r="C101" s="21" t="s">
        <v>258</v>
      </c>
      <c r="D101" s="21"/>
      <c r="E101" s="21"/>
      <c r="F101" s="21"/>
      <c r="G101" s="21"/>
      <c r="H101" s="758"/>
      <c r="I101" s="189"/>
      <c r="J101" s="190" t="s">
        <v>258</v>
      </c>
      <c r="K101" s="97"/>
      <c r="L101" s="1171" t="s">
        <v>557</v>
      </c>
      <c r="M101" s="1768"/>
      <c r="N101" s="240"/>
      <c r="O101" s="1775"/>
      <c r="P101" s="99"/>
      <c r="Q101" s="99"/>
      <c r="R101" s="99" t="b">
        <v>0</v>
      </c>
      <c r="S101" s="99" t="b">
        <f>NOT(AZ33=4)</f>
        <v>1</v>
      </c>
      <c r="T101" s="94" t="b">
        <f>AND(NOT(S101),W101=TRUE)</f>
        <v>0</v>
      </c>
      <c r="U101" s="99"/>
      <c r="V101" s="99"/>
      <c r="W101" s="25"/>
      <c r="X101" s="1771"/>
      <c r="Z101"/>
      <c r="AB101"/>
      <c r="AC101" s="140" t="b">
        <f>OR(AD101:AE101)</f>
        <v>0</v>
      </c>
      <c r="AD101" s="140" t="b">
        <f>T101</f>
        <v>0</v>
      </c>
      <c r="AE101"/>
      <c r="AF101"/>
      <c r="AG101"/>
      <c r="AH101"/>
      <c r="AI101"/>
      <c r="AJ101"/>
      <c r="AK101"/>
      <c r="AL101"/>
      <c r="AM101"/>
      <c r="AN101"/>
      <c r="AO101"/>
      <c r="AP101" s="1130" t="str">
        <f>SUBSTITUTE(SUBSTITUTE(SUBSTITUTE("dch"&amp;$B101&amp;$C101&amp;$D101&amp;$E101,".","_"),"(","_"),")","")</f>
        <v>dch602_1_2 _2</v>
      </c>
      <c r="AQ101" s="254" t="str">
        <f>IF(LEN(W101)=0,"",W101)</f>
        <v/>
      </c>
      <c r="AR101"/>
      <c r="AS101"/>
    </row>
    <row r="102" spans="1:61" ht="15.75" thickTop="1" x14ac:dyDescent="0.25">
      <c r="B102" s="77" t="s">
        <v>558</v>
      </c>
      <c r="C102" s="21"/>
      <c r="D102" s="21"/>
      <c r="E102" s="21"/>
      <c r="F102" s="21"/>
      <c r="G102" s="21"/>
      <c r="H102" s="758"/>
      <c r="I102" s="180" t="s">
        <v>558</v>
      </c>
      <c r="J102" s="181"/>
      <c r="K102" s="182"/>
      <c r="L102" s="1189" t="s">
        <v>559</v>
      </c>
      <c r="M102" s="423"/>
      <c r="N102" s="181"/>
      <c r="O102" s="500"/>
      <c r="P102" s="105"/>
      <c r="Q102" s="105"/>
      <c r="R102" s="105"/>
      <c r="S102" s="105"/>
      <c r="T102" s="105"/>
      <c r="U102" s="105"/>
      <c r="V102" s="105"/>
      <c r="W102" s="265"/>
      <c r="X102" s="105"/>
      <c r="Z102"/>
      <c r="AB102"/>
      <c r="AC102"/>
      <c r="AD102"/>
      <c r="AE102"/>
      <c r="AF102"/>
      <c r="AG102"/>
      <c r="AH102"/>
      <c r="AI102"/>
      <c r="AJ102"/>
      <c r="AK102"/>
      <c r="AL102"/>
      <c r="AM102"/>
      <c r="AN102"/>
      <c r="AO102"/>
      <c r="AP102"/>
      <c r="AQ102"/>
      <c r="AR102"/>
      <c r="AS102"/>
    </row>
    <row r="103" spans="1:61" x14ac:dyDescent="0.25">
      <c r="B103" s="77" t="s">
        <v>560</v>
      </c>
      <c r="C103" s="77"/>
      <c r="D103" s="21"/>
      <c r="E103" s="21"/>
      <c r="F103" s="21"/>
      <c r="G103" s="21"/>
      <c r="H103" s="758"/>
      <c r="I103" s="130" t="s">
        <v>560</v>
      </c>
      <c r="J103" s="129"/>
      <c r="K103" s="95"/>
      <c r="L103" s="1782" t="s">
        <v>561</v>
      </c>
      <c r="M103" s="1837" t="str">
        <f>IF(R103,"Mandatory","N/A")</f>
        <v>N/A</v>
      </c>
      <c r="N103" s="4"/>
      <c r="O103" s="141"/>
      <c r="P103" s="352" t="b">
        <v>1</v>
      </c>
      <c r="Q103" s="352" t="b">
        <v>0</v>
      </c>
      <c r="R103" s="140" t="b">
        <f>S103</f>
        <v>0</v>
      </c>
      <c r="S103" s="126" t="b">
        <f>OR(AZ33=1,AZ33=5,AZ33=6)</f>
        <v>0</v>
      </c>
      <c r="T103" s="94" t="b">
        <f>AND(NOT(S103),W103=TRUE)</f>
        <v>0</v>
      </c>
      <c r="U103"/>
      <c r="V103"/>
      <c r="W103" s="25"/>
      <c r="X103" s="1757"/>
      <c r="Z103"/>
      <c r="AB103"/>
      <c r="AC103" s="140" t="b">
        <f>OR(AD103:AE103)</f>
        <v>0</v>
      </c>
      <c r="AD103" s="140" t="b">
        <f>T103</f>
        <v>0</v>
      </c>
      <c r="AE103" s="140" t="b">
        <f>AND(R103,NOT(W103))</f>
        <v>0</v>
      </c>
      <c r="AF103"/>
      <c r="AG103"/>
      <c r="AH103"/>
      <c r="AI103"/>
      <c r="AJ103"/>
      <c r="AK103"/>
      <c r="AL103" s="254" t="str">
        <f>SUBSTITUTE(SUBSTITUTE(SUBSTITUTE("dpa"&amp;$B103&amp;$C103&amp;$D103&amp;$E103,".","_"),"(","_"),")","")</f>
        <v>dpa602_1_3_1</v>
      </c>
      <c r="AM103" s="254" t="str">
        <f>M103</f>
        <v>N/A</v>
      </c>
      <c r="AN103"/>
      <c r="AO103"/>
      <c r="AP103" s="1130" t="str">
        <f>SUBSTITUTE(SUBSTITUTE(SUBSTITUTE("dch"&amp;$B103&amp;$C103&amp;$D103&amp;$E103,".","_"),"(","_"),")","")</f>
        <v>dch602_1_3_1</v>
      </c>
      <c r="AQ103" s="254" t="str">
        <f>IF(LEN(W103)=0,"",W103)</f>
        <v/>
      </c>
      <c r="AR103" s="1130" t="str">
        <f>SUBSTITUTE(SUBSTITUTE(SUBSTITUTE("dnt"&amp;$B103&amp;$C103&amp;$D103&amp;$E103,".","_"),"(","_"),")","")</f>
        <v>dnt602_1_3_1</v>
      </c>
      <c r="AS103" s="254" t="str">
        <f>IF(LEN(X103)=0,"",X103)</f>
        <v/>
      </c>
    </row>
    <row r="104" spans="1:61" x14ac:dyDescent="0.25">
      <c r="B104" s="77" t="s">
        <v>560</v>
      </c>
      <c r="C104" s="77"/>
      <c r="D104" s="21"/>
      <c r="E104" s="21"/>
      <c r="F104" s="21"/>
      <c r="G104" s="21"/>
      <c r="H104" s="758"/>
      <c r="I104" s="215"/>
      <c r="J104" s="210"/>
      <c r="K104" s="175"/>
      <c r="L104" s="1843"/>
      <c r="M104" s="1844"/>
      <c r="N104" s="4"/>
      <c r="O104" s="141"/>
      <c r="P104" s="352"/>
      <c r="Q104" s="352"/>
      <c r="R104"/>
      <c r="S104"/>
      <c r="T104"/>
      <c r="U104"/>
      <c r="V104"/>
      <c r="W104"/>
      <c r="X104" s="1757"/>
      <c r="Z104"/>
      <c r="AB104"/>
      <c r="AC104"/>
      <c r="AD104"/>
      <c r="AE104"/>
      <c r="AF104"/>
      <c r="AG104"/>
      <c r="AH104"/>
      <c r="AI104"/>
      <c r="AJ104"/>
      <c r="AK104"/>
      <c r="AL104"/>
      <c r="AM104"/>
      <c r="AN104"/>
      <c r="AO104"/>
      <c r="AP104"/>
      <c r="AQ104"/>
      <c r="AR104"/>
      <c r="AS104"/>
    </row>
    <row r="105" spans="1:61" x14ac:dyDescent="0.25">
      <c r="B105" s="679" t="s">
        <v>562</v>
      </c>
      <c r="C105" s="679"/>
      <c r="D105" s="21"/>
      <c r="E105" s="21"/>
      <c r="F105" s="21"/>
      <c r="G105" s="21"/>
      <c r="H105" s="758"/>
      <c r="I105" s="64" t="s">
        <v>562</v>
      </c>
      <c r="J105" s="4"/>
      <c r="K105" s="83"/>
      <c r="L105" s="1796" t="s">
        <v>563</v>
      </c>
      <c r="M105" s="1767">
        <v>4</v>
      </c>
      <c r="N105" s="4"/>
      <c r="O105" s="1780">
        <f>M105*S105*W105</f>
        <v>0</v>
      </c>
      <c r="P105" s="352" t="b">
        <v>1</v>
      </c>
      <c r="Q105" s="352" t="b">
        <v>0</v>
      </c>
      <c r="R105" s="126" t="b">
        <v>0</v>
      </c>
      <c r="S105" s="126" t="b">
        <v>1</v>
      </c>
      <c r="T105" s="126" t="b">
        <v>0</v>
      </c>
      <c r="U105"/>
      <c r="V105"/>
      <c r="W105" s="25"/>
      <c r="X105" s="1757"/>
      <c r="Z105"/>
      <c r="AB105"/>
      <c r="AC105"/>
      <c r="AD105"/>
      <c r="AE105"/>
      <c r="AF105"/>
      <c r="AG105"/>
      <c r="AH105"/>
      <c r="AI105"/>
      <c r="AJ105"/>
      <c r="AK105"/>
      <c r="AL105" s="254" t="str">
        <f>SUBSTITUTE(SUBSTITUTE(SUBSTITUTE("dpa"&amp;$B105&amp;$C105&amp;$D105&amp;$E105,".","_"),"(","_"),")","")</f>
        <v>dpa602_1_3_2</v>
      </c>
      <c r="AM105" s="254">
        <f>M105</f>
        <v>4</v>
      </c>
      <c r="AN105" s="254" t="str">
        <f>SUBSTITUTE(SUBSTITUTE(SUBSTITUTE("dpc"&amp;$B105&amp;$C105&amp;$D105&amp;$E105,".","_"),"(","_"),")","")</f>
        <v>dpc602_1_3_2</v>
      </c>
      <c r="AO105" s="254">
        <f>O105</f>
        <v>0</v>
      </c>
      <c r="AP105" s="1130" t="str">
        <f>SUBSTITUTE(SUBSTITUTE(SUBSTITUTE("dch"&amp;$B105&amp;$C105&amp;$D105&amp;$E105,".","_"),"(","_"),")","")</f>
        <v>dch602_1_3_2</v>
      </c>
      <c r="AQ105" s="254" t="str">
        <f>IF(LEN(W105)=0,"",W105)</f>
        <v/>
      </c>
      <c r="AR105" s="1130" t="str">
        <f>SUBSTITUTE(SUBSTITUTE(SUBSTITUTE("dnt"&amp;$B105&amp;$C105&amp;$D105&amp;$E105,".","_"),"(","_"),")","")</f>
        <v>dnt602_1_3_2</v>
      </c>
      <c r="AS105" s="254" t="str">
        <f>IF(LEN(X105)=0,"",X105)</f>
        <v/>
      </c>
    </row>
    <row r="106" spans="1:61" ht="15.75" thickBot="1" x14ac:dyDescent="0.3">
      <c r="B106" s="679" t="s">
        <v>562</v>
      </c>
      <c r="C106" s="679"/>
      <c r="D106" s="21"/>
      <c r="E106" s="21"/>
      <c r="F106" s="21"/>
      <c r="G106" s="21"/>
      <c r="H106" s="758"/>
      <c r="I106" s="64"/>
      <c r="J106" s="4"/>
      <c r="K106" s="83"/>
      <c r="L106" s="1796"/>
      <c r="M106" s="1767"/>
      <c r="N106" s="4"/>
      <c r="O106" s="1780"/>
      <c r="P106" s="352"/>
      <c r="Q106" s="352"/>
      <c r="R106"/>
      <c r="S106"/>
      <c r="T106"/>
      <c r="U106"/>
      <c r="V106"/>
      <c r="W106"/>
      <c r="X106" s="1798"/>
      <c r="Z106"/>
      <c r="AB106"/>
      <c r="AC106"/>
      <c r="AD106"/>
      <c r="AE106"/>
      <c r="AF106"/>
      <c r="AG106"/>
      <c r="AH106"/>
      <c r="AI106"/>
      <c r="AJ106"/>
      <c r="AK106"/>
      <c r="AL106"/>
      <c r="AM106"/>
      <c r="AN106"/>
      <c r="AO106"/>
      <c r="AP106"/>
      <c r="AQ106"/>
      <c r="AR106"/>
      <c r="AS106"/>
      <c r="AX106" s="140"/>
      <c r="AY106" s="140"/>
    </row>
    <row r="107" spans="1:61" ht="15.75" thickTop="1" x14ac:dyDescent="0.25">
      <c r="B107" s="77" t="s">
        <v>564</v>
      </c>
      <c r="C107" s="21"/>
      <c r="D107" s="21"/>
      <c r="E107" s="21"/>
      <c r="F107" s="21"/>
      <c r="G107" s="21"/>
      <c r="H107" s="758"/>
      <c r="I107" s="180" t="s">
        <v>564</v>
      </c>
      <c r="J107" s="181"/>
      <c r="K107" s="182"/>
      <c r="L107" s="1189" t="s">
        <v>565</v>
      </c>
      <c r="M107" s="423"/>
      <c r="N107" s="181"/>
      <c r="O107" s="500"/>
      <c r="P107" s="105"/>
      <c r="Q107" s="105"/>
      <c r="R107" s="105"/>
      <c r="S107" s="105"/>
      <c r="T107" s="105"/>
      <c r="U107" s="105"/>
      <c r="V107" s="105"/>
      <c r="W107" s="105"/>
      <c r="X107" s="105"/>
      <c r="Z107"/>
      <c r="AB107"/>
      <c r="AC107"/>
      <c r="AD107"/>
      <c r="AE107"/>
      <c r="AF107"/>
      <c r="AG107"/>
      <c r="AH107"/>
      <c r="AI107"/>
      <c r="AJ107"/>
      <c r="AK107"/>
      <c r="AL107"/>
      <c r="AM107"/>
      <c r="AN107"/>
      <c r="AO107"/>
      <c r="AP107"/>
      <c r="AQ107"/>
      <c r="AR107"/>
      <c r="AS107"/>
    </row>
    <row r="108" spans="1:61" x14ac:dyDescent="0.25">
      <c r="B108" s="679" t="s">
        <v>566</v>
      </c>
      <c r="C108" s="679"/>
      <c r="D108" s="21"/>
      <c r="E108" s="21"/>
      <c r="F108" s="21"/>
      <c r="G108" s="21"/>
      <c r="H108" s="758"/>
      <c r="I108" s="64" t="s">
        <v>566</v>
      </c>
      <c r="J108" s="4"/>
      <c r="K108" s="83"/>
      <c r="L108" s="1796" t="s">
        <v>567</v>
      </c>
      <c r="M108" s="428"/>
      <c r="N108" s="4"/>
      <c r="O108" s="141"/>
      <c r="P108" s="352"/>
      <c r="Q108" s="352"/>
      <c r="R108"/>
      <c r="S108"/>
      <c r="T108"/>
      <c r="U108"/>
      <c r="V108"/>
      <c r="W108"/>
      <c r="X108"/>
      <c r="Z108"/>
      <c r="AB108"/>
      <c r="AC108"/>
      <c r="AD108"/>
      <c r="AE108"/>
      <c r="AF108"/>
      <c r="AG108"/>
      <c r="AH108"/>
      <c r="AI108"/>
      <c r="AJ108"/>
      <c r="AK108"/>
      <c r="AL108"/>
      <c r="AM108"/>
      <c r="AN108"/>
      <c r="AO108"/>
      <c r="AP108"/>
      <c r="AQ108"/>
      <c r="AR108"/>
      <c r="AS108"/>
      <c r="AZ108" s="140"/>
      <c r="BA108" s="140"/>
      <c r="BB108" s="140"/>
      <c r="BC108" s="140"/>
      <c r="BD108" s="140"/>
      <c r="BE108" s="140"/>
      <c r="BF108" s="140"/>
      <c r="BG108" s="140"/>
      <c r="BH108" s="140"/>
      <c r="BI108" s="140"/>
    </row>
    <row r="109" spans="1:61" s="140" customFormat="1" x14ac:dyDescent="0.25">
      <c r="A109" s="18"/>
      <c r="B109" s="679" t="s">
        <v>566</v>
      </c>
      <c r="C109" s="679"/>
      <c r="D109" s="21"/>
      <c r="E109" s="21"/>
      <c r="F109" s="21"/>
      <c r="G109" s="21"/>
      <c r="H109" s="758"/>
      <c r="I109" s="64"/>
      <c r="J109" s="4"/>
      <c r="K109" s="83"/>
      <c r="L109" s="1796"/>
      <c r="M109" s="428"/>
      <c r="N109" s="4"/>
      <c r="O109" s="141"/>
      <c r="P109" s="352"/>
      <c r="Q109" s="352"/>
      <c r="Y109" s="780"/>
      <c r="AA109" s="783"/>
      <c r="AX109" s="63"/>
      <c r="AY109" s="63"/>
      <c r="AZ109" s="63"/>
      <c r="BA109" s="63"/>
      <c r="BB109" s="63"/>
      <c r="BC109" s="63"/>
      <c r="BD109" s="63"/>
      <c r="BE109" s="63"/>
      <c r="BF109" s="63"/>
      <c r="BG109" s="63"/>
      <c r="BH109" s="63"/>
      <c r="BI109" s="63"/>
    </row>
    <row r="110" spans="1:61" x14ac:dyDescent="0.25">
      <c r="B110" s="679" t="s">
        <v>566</v>
      </c>
      <c r="C110" s="679"/>
      <c r="D110" s="21"/>
      <c r="E110" s="21"/>
      <c r="F110" s="21"/>
      <c r="G110" s="21"/>
      <c r="H110" s="758"/>
      <c r="I110" s="64"/>
      <c r="J110" s="4"/>
      <c r="K110" s="83"/>
      <c r="L110" s="1796"/>
      <c r="M110" s="428"/>
      <c r="N110" s="4"/>
      <c r="O110" s="141"/>
      <c r="P110" s="352"/>
      <c r="Q110" s="352"/>
      <c r="R110"/>
      <c r="S110"/>
      <c r="T110"/>
      <c r="U110"/>
      <c r="V110"/>
      <c r="W110"/>
      <c r="X110"/>
      <c r="Z110"/>
      <c r="AB110"/>
      <c r="AC110"/>
      <c r="AD110"/>
      <c r="AE110"/>
      <c r="AF110"/>
      <c r="AG110"/>
      <c r="AH110"/>
      <c r="AI110"/>
      <c r="AJ110"/>
      <c r="AK110"/>
      <c r="AL110"/>
      <c r="AM110"/>
      <c r="AN110"/>
      <c r="AO110"/>
      <c r="AP110"/>
      <c r="AQ110"/>
      <c r="AR110"/>
      <c r="AS110"/>
    </row>
    <row r="111" spans="1:61" x14ac:dyDescent="0.25">
      <c r="B111" s="679" t="s">
        <v>566</v>
      </c>
      <c r="C111" s="21" t="s">
        <v>256</v>
      </c>
      <c r="D111" s="21"/>
      <c r="E111" s="21"/>
      <c r="F111" s="21"/>
      <c r="G111" s="21"/>
      <c r="H111" s="758"/>
      <c r="I111" s="64"/>
      <c r="J111" s="183" t="s">
        <v>256</v>
      </c>
      <c r="K111" s="95"/>
      <c r="L111" s="1754" t="s">
        <v>568</v>
      </c>
      <c r="M111" s="1758">
        <v>6</v>
      </c>
      <c r="N111" s="129"/>
      <c r="O111" s="1774">
        <f>M111*S111*W111</f>
        <v>0</v>
      </c>
      <c r="P111" s="352" t="b">
        <v>1</v>
      </c>
      <c r="Q111" s="352" t="b">
        <v>0</v>
      </c>
      <c r="R111" s="126" t="b">
        <v>0</v>
      </c>
      <c r="S111" s="126" t="b">
        <f>OR(AZ33=2,AZ33=7)</f>
        <v>0</v>
      </c>
      <c r="T111" s="94" t="b">
        <f>AND(NOT(S111),W111=TRUE)</f>
        <v>0</v>
      </c>
      <c r="U111"/>
      <c r="V111"/>
      <c r="W111" s="25"/>
      <c r="X111" s="1757"/>
      <c r="Z111"/>
      <c r="AB111"/>
      <c r="AC111" s="140" t="b">
        <f>OR(AD111:AE111)</f>
        <v>0</v>
      </c>
      <c r="AD111" s="140" t="b">
        <f>T111</f>
        <v>0</v>
      </c>
      <c r="AE111"/>
      <c r="AF111"/>
      <c r="AG111"/>
      <c r="AH111"/>
      <c r="AI111"/>
      <c r="AJ111"/>
      <c r="AK111"/>
      <c r="AL111" s="254" t="str">
        <f>SUBSTITUTE(SUBSTITUTE(SUBSTITUTE("dpa"&amp;$B111&amp;$C111&amp;$D111&amp;$E111,".","_"),"(","_"),")","")</f>
        <v>dpa602_1_4_1_1</v>
      </c>
      <c r="AM111" s="254">
        <f>M111</f>
        <v>6</v>
      </c>
      <c r="AN111" s="254" t="str">
        <f>SUBSTITUTE(SUBSTITUTE(SUBSTITUTE("dpc"&amp;$B111&amp;$C111&amp;$D111&amp;$E111,".","_"),"(","_"),")","")</f>
        <v>dpc602_1_4_1_1</v>
      </c>
      <c r="AO111" s="254">
        <f>O111</f>
        <v>0</v>
      </c>
      <c r="AP111" s="1130" t="str">
        <f>SUBSTITUTE(SUBSTITUTE(SUBSTITUTE("dch"&amp;$B111&amp;$C111&amp;$D111&amp;$E111,".","_"),"(","_"),")","")</f>
        <v>dch602_1_4_1_1</v>
      </c>
      <c r="AQ111" s="254" t="str">
        <f>IF(LEN(W111)=0,"",W111)</f>
        <v/>
      </c>
      <c r="AR111" s="1130" t="str">
        <f>SUBSTITUTE(SUBSTITUTE(SUBSTITUTE("dnt"&amp;$B111&amp;$C111&amp;$D111&amp;$E111,".","_"),"(","_"),")","")</f>
        <v>dnt602_1_4_1_1</v>
      </c>
      <c r="AS111" s="254" t="str">
        <f>IF(LEN(X111)=0,"",X111)</f>
        <v/>
      </c>
    </row>
    <row r="112" spans="1:61" x14ac:dyDescent="0.25">
      <c r="B112" s="679" t="s">
        <v>566</v>
      </c>
      <c r="C112" s="21" t="s">
        <v>256</v>
      </c>
      <c r="D112" s="21"/>
      <c r="E112" s="21"/>
      <c r="F112" s="21"/>
      <c r="G112" s="21"/>
      <c r="H112" s="758"/>
      <c r="I112" s="64"/>
      <c r="J112" s="210"/>
      <c r="K112" s="175"/>
      <c r="L112" s="1755"/>
      <c r="M112" s="1759"/>
      <c r="N112" s="210"/>
      <c r="O112" s="1764"/>
      <c r="P112" s="352"/>
      <c r="Q112" s="352"/>
      <c r="R112"/>
      <c r="S112"/>
      <c r="T112"/>
      <c r="U112"/>
      <c r="V112"/>
      <c r="W112"/>
      <c r="X112" s="1757"/>
      <c r="Z112"/>
      <c r="AB112"/>
      <c r="AC112"/>
      <c r="AD112"/>
      <c r="AE112"/>
      <c r="AF112"/>
      <c r="AG112"/>
      <c r="AH112"/>
      <c r="AI112"/>
      <c r="AJ112"/>
      <c r="AK112"/>
      <c r="AL112"/>
      <c r="AM112"/>
      <c r="AN112"/>
      <c r="AO112"/>
      <c r="AP112"/>
      <c r="AQ112"/>
      <c r="AR112"/>
      <c r="AS112"/>
      <c r="AX112" s="140"/>
      <c r="AY112" s="140"/>
    </row>
    <row r="113" spans="1:61" x14ac:dyDescent="0.25">
      <c r="B113" s="679" t="s">
        <v>566</v>
      </c>
      <c r="C113" s="21" t="s">
        <v>258</v>
      </c>
      <c r="D113" s="21"/>
      <c r="E113" s="21"/>
      <c r="F113" s="21"/>
      <c r="G113" s="21"/>
      <c r="H113" s="758"/>
      <c r="I113" s="215"/>
      <c r="J113" s="206" t="s">
        <v>258</v>
      </c>
      <c r="K113" s="175"/>
      <c r="L113" s="1163" t="s">
        <v>569</v>
      </c>
      <c r="M113" s="764" t="str">
        <f>IF(R113,"Mandatory","N/A")</f>
        <v>N/A</v>
      </c>
      <c r="N113" s="4"/>
      <c r="O113" s="141"/>
      <c r="P113" s="352" t="b">
        <v>1</v>
      </c>
      <c r="Q113" s="352" t="b">
        <v>0</v>
      </c>
      <c r="R113" s="140" t="b">
        <f>S113</f>
        <v>0</v>
      </c>
      <c r="S113" s="140" t="b">
        <f>OR(AZ33=2,AZ33=7)</f>
        <v>0</v>
      </c>
      <c r="T113" s="94" t="b">
        <f>AND(NOT(S113),LEN(W113)&gt;0)</f>
        <v>0</v>
      </c>
      <c r="U113" s="94" t="str">
        <f>SUBSTITUTE(SUBSTITUTE(SUBSTITUTE("dd"&amp;B113&amp;C113&amp;D113&amp;E113&amp;F113,".","_"),"(","_"),")","")</f>
        <v>dd602_1_4_1_2</v>
      </c>
      <c r="V113"/>
      <c r="W113" s="12"/>
      <c r="X113" s="160"/>
      <c r="Z113"/>
      <c r="AB113"/>
      <c r="AC113" s="140" t="b">
        <f>OR(AD113:AE113)</f>
        <v>0</v>
      </c>
      <c r="AD113" s="140" t="b">
        <f>T113</f>
        <v>0</v>
      </c>
      <c r="AE113" s="140" t="b">
        <f>AND(R113,NOT(W113="Met"),NOT(W113="N/A"))</f>
        <v>0</v>
      </c>
      <c r="AF113"/>
      <c r="AG113"/>
      <c r="AH113"/>
      <c r="AI113"/>
      <c r="AJ113"/>
      <c r="AK113"/>
      <c r="AL113" s="254" t="str">
        <f>SUBSTITUTE(SUBSTITUTE(SUBSTITUTE("dpa"&amp;$B113&amp;$C113&amp;$D113&amp;$E113,".","_"),"(","_"),")","")</f>
        <v>dpa602_1_4_1_2</v>
      </c>
      <c r="AM113" s="254" t="str">
        <f>M113</f>
        <v>N/A</v>
      </c>
      <c r="AN113"/>
      <c r="AO113"/>
      <c r="AP113" s="1130" t="str">
        <f>SUBSTITUTE(SUBSTITUTE(SUBSTITUTE("dch"&amp;$B113&amp;$C113&amp;$D113&amp;$E113,".","_"),"(","_"),")","")</f>
        <v>dch602_1_4_1_2</v>
      </c>
      <c r="AQ113" s="254" t="str">
        <f>IF(LEN(W113)=0,"",W113)</f>
        <v/>
      </c>
      <c r="AR113" s="1130" t="str">
        <f>SUBSTITUTE(SUBSTITUTE(SUBSTITUTE("dnt"&amp;$B113&amp;$C113&amp;$D113&amp;$E113,".","_"),"(","_"),")","")</f>
        <v>dnt602_1_4_1_2</v>
      </c>
      <c r="AS113" s="254" t="str">
        <f>IF(LEN(X113)=0,"",X113)</f>
        <v/>
      </c>
      <c r="AX113" s="140"/>
      <c r="AY113" s="140"/>
    </row>
    <row r="114" spans="1:61" ht="15" customHeight="1" x14ac:dyDescent="0.25">
      <c r="B114" s="77" t="s">
        <v>570</v>
      </c>
      <c r="C114" s="21"/>
      <c r="D114" s="21"/>
      <c r="E114" s="21"/>
      <c r="F114" s="21"/>
      <c r="G114" s="21"/>
      <c r="H114" s="758"/>
      <c r="I114" s="64" t="s">
        <v>570</v>
      </c>
      <c r="J114" s="4"/>
      <c r="K114" s="83"/>
      <c r="L114" s="1796" t="s">
        <v>571</v>
      </c>
      <c r="M114" s="428"/>
      <c r="N114" s="4"/>
      <c r="O114" s="141"/>
      <c r="P114" s="352"/>
      <c r="Q114" s="352"/>
      <c r="R114"/>
      <c r="S114"/>
      <c r="T114"/>
      <c r="U114"/>
      <c r="V114"/>
      <c r="W114"/>
      <c r="X114"/>
      <c r="Z114"/>
      <c r="AB114"/>
      <c r="AC114"/>
      <c r="AD114"/>
      <c r="AE114"/>
      <c r="AF114"/>
      <c r="AG114"/>
      <c r="AH114"/>
      <c r="AI114"/>
      <c r="AJ114"/>
      <c r="AK114"/>
      <c r="AL114"/>
      <c r="AM114"/>
      <c r="AN114"/>
      <c r="AO114"/>
      <c r="AP114"/>
      <c r="AQ114"/>
      <c r="AR114"/>
      <c r="AS114"/>
      <c r="AX114" s="140"/>
      <c r="AY114" s="140"/>
      <c r="AZ114" s="140"/>
      <c r="BA114" s="140"/>
      <c r="BB114" s="140"/>
      <c r="BC114" s="140"/>
      <c r="BD114" s="140"/>
      <c r="BE114" s="140"/>
      <c r="BF114" s="140"/>
      <c r="BG114" s="140"/>
      <c r="BH114" s="140"/>
      <c r="BI114" s="140"/>
    </row>
    <row r="115" spans="1:61" s="140" customFormat="1" x14ac:dyDescent="0.25">
      <c r="A115" s="18"/>
      <c r="B115" s="77" t="s">
        <v>570</v>
      </c>
      <c r="C115" s="21"/>
      <c r="D115" s="21"/>
      <c r="E115" s="21"/>
      <c r="F115" s="21"/>
      <c r="G115" s="21"/>
      <c r="H115" s="758"/>
      <c r="I115" s="64"/>
      <c r="J115" s="4"/>
      <c r="K115" s="83"/>
      <c r="L115" s="1796"/>
      <c r="M115" s="428"/>
      <c r="N115" s="4"/>
      <c r="O115" s="141"/>
      <c r="P115" s="352"/>
      <c r="Q115" s="352"/>
      <c r="Y115" s="780"/>
      <c r="AA115" s="783"/>
    </row>
    <row r="116" spans="1:61" s="140" customFormat="1" x14ac:dyDescent="0.25">
      <c r="A116" s="18"/>
      <c r="B116" s="77" t="s">
        <v>570</v>
      </c>
      <c r="C116" s="21"/>
      <c r="D116" s="21"/>
      <c r="E116" s="21"/>
      <c r="F116" s="21"/>
      <c r="G116" s="21"/>
      <c r="H116" s="758"/>
      <c r="I116" s="64"/>
      <c r="J116" s="4"/>
      <c r="K116" s="83"/>
      <c r="L116" s="1796"/>
      <c r="M116" s="428"/>
      <c r="N116" s="4"/>
      <c r="O116" s="141"/>
      <c r="P116" s="352"/>
      <c r="Q116" s="352"/>
      <c r="Y116" s="780"/>
      <c r="AA116" s="783"/>
    </row>
    <row r="117" spans="1:61" s="140" customFormat="1" ht="15" customHeight="1" x14ac:dyDescent="0.25">
      <c r="A117" s="18"/>
      <c r="B117" s="77" t="s">
        <v>570</v>
      </c>
      <c r="C117" s="21" t="s">
        <v>256</v>
      </c>
      <c r="D117" s="21"/>
      <c r="E117" s="21"/>
      <c r="F117" s="21"/>
      <c r="G117" s="21"/>
      <c r="H117" s="758"/>
      <c r="I117" s="64"/>
      <c r="J117" s="183" t="s">
        <v>256</v>
      </c>
      <c r="K117" s="95"/>
      <c r="L117" s="1754" t="s">
        <v>3042</v>
      </c>
      <c r="M117" s="1758">
        <v>8</v>
      </c>
      <c r="N117" s="129"/>
      <c r="O117" s="1774">
        <f>M117*S117*W117</f>
        <v>0</v>
      </c>
      <c r="P117" s="352" t="b">
        <v>1</v>
      </c>
      <c r="Q117" s="352" t="b">
        <v>0</v>
      </c>
      <c r="R117" s="140" t="b">
        <v>0</v>
      </c>
      <c r="S117" s="140" t="b">
        <f>OR(AZ33=3,AZ33=7)</f>
        <v>0</v>
      </c>
      <c r="T117" s="94" t="b">
        <f>AND(NOT(S117),W117=TRUE)</f>
        <v>0</v>
      </c>
      <c r="W117" s="25"/>
      <c r="X117" s="1757"/>
      <c r="Y117" s="780"/>
      <c r="AA117" s="783"/>
      <c r="AC117" s="140" t="b">
        <f>OR(AD117:AE117)</f>
        <v>0</v>
      </c>
      <c r="AD117" s="140" t="b">
        <f>T117</f>
        <v>0</v>
      </c>
      <c r="AL117" s="254" t="str">
        <f>SUBSTITUTE(SUBSTITUTE(SUBSTITUTE("dpa"&amp;$B117&amp;$C117&amp;$D117&amp;$E117,".","_"),"(","_"),")","")</f>
        <v>dpa602_1_4_2_1</v>
      </c>
      <c r="AM117" s="254">
        <f>M117</f>
        <v>8</v>
      </c>
      <c r="AN117" s="254" t="str">
        <f>SUBSTITUTE(SUBSTITUTE(SUBSTITUTE("dpc"&amp;$B117&amp;$C117&amp;$D117&amp;$E117,".","_"),"(","_"),")","")</f>
        <v>dpc602_1_4_2_1</v>
      </c>
      <c r="AO117" s="254">
        <f>O117</f>
        <v>0</v>
      </c>
      <c r="AP117" s="1130" t="str">
        <f>SUBSTITUTE(SUBSTITUTE(SUBSTITUTE("dch"&amp;$B117&amp;$C117&amp;$D117&amp;$E117,".","_"),"(","_"),")","")</f>
        <v>dch602_1_4_2_1</v>
      </c>
      <c r="AQ117" s="254" t="str">
        <f>IF(LEN(W117)=0,"",W117)</f>
        <v/>
      </c>
      <c r="AR117" s="1130" t="str">
        <f>SUBSTITUTE(SUBSTITUTE(SUBSTITUTE("dnt"&amp;$B117&amp;$C117&amp;$D117&amp;$E117,".","_"),"(","_"),")","")</f>
        <v>dnt602_1_4_2_1</v>
      </c>
      <c r="AS117" s="254" t="str">
        <f>IF(LEN(X117)=0,"",X117)</f>
        <v/>
      </c>
      <c r="AX117" s="63"/>
      <c r="AY117" s="63"/>
    </row>
    <row r="118" spans="1:61" s="140" customFormat="1" x14ac:dyDescent="0.25">
      <c r="A118" s="18"/>
      <c r="B118" s="77" t="s">
        <v>570</v>
      </c>
      <c r="C118" s="21" t="s">
        <v>256</v>
      </c>
      <c r="D118" s="21"/>
      <c r="E118" s="21"/>
      <c r="F118" s="21"/>
      <c r="G118" s="21"/>
      <c r="H118" s="758"/>
      <c r="I118" s="64"/>
      <c r="J118" s="210"/>
      <c r="K118" s="175"/>
      <c r="L118" s="1755"/>
      <c r="M118" s="1759"/>
      <c r="N118" s="210"/>
      <c r="O118" s="1764"/>
      <c r="P118" s="352"/>
      <c r="Q118" s="352"/>
      <c r="X118" s="1757"/>
      <c r="Y118" s="780"/>
      <c r="AA118" s="783"/>
      <c r="AX118" s="63"/>
      <c r="AY118" s="63"/>
    </row>
    <row r="119" spans="1:61" s="140" customFormat="1" x14ac:dyDescent="0.25">
      <c r="A119" s="18"/>
      <c r="B119" s="77" t="s">
        <v>570</v>
      </c>
      <c r="C119" s="21" t="s">
        <v>258</v>
      </c>
      <c r="D119" s="21"/>
      <c r="E119" s="21"/>
      <c r="F119" s="21"/>
      <c r="G119" s="21"/>
      <c r="H119" s="758"/>
      <c r="I119" s="64"/>
      <c r="J119" s="27" t="s">
        <v>258</v>
      </c>
      <c r="K119" s="83"/>
      <c r="L119" s="1779" t="s">
        <v>3043</v>
      </c>
      <c r="M119" s="1838" t="str">
        <f>IF(R119,"Mandatory","N/A")</f>
        <v>N/A</v>
      </c>
      <c r="N119" s="4"/>
      <c r="O119" s="141"/>
      <c r="P119" s="352" t="b">
        <v>1</v>
      </c>
      <c r="Q119" s="352" t="b">
        <v>0</v>
      </c>
      <c r="R119" s="140" t="b">
        <f>S119</f>
        <v>0</v>
      </c>
      <c r="S119" s="140" t="b">
        <f>OR(AZ33=3,AZ33=7)</f>
        <v>0</v>
      </c>
      <c r="T119" s="94" t="b">
        <f>AND(NOT(S119),LEN(W119)&gt;0)</f>
        <v>0</v>
      </c>
      <c r="U119" s="94" t="str">
        <f>SUBSTITUTE(SUBSTITUTE(SUBSTITUTE("dd"&amp;B119&amp;C119&amp;D119&amp;E119&amp;F119,".","_"),"(","_"),")","")</f>
        <v>dd602_1_4_2_2</v>
      </c>
      <c r="W119" s="12"/>
      <c r="X119" s="1757"/>
      <c r="Y119" s="780"/>
      <c r="AA119" s="783"/>
      <c r="AC119" s="140" t="b">
        <f>OR(AD119:AE119)</f>
        <v>0</v>
      </c>
      <c r="AD119" s="140" t="b">
        <f>T119</f>
        <v>0</v>
      </c>
      <c r="AE119" s="140" t="b">
        <f>AND(R119,NOT(W119="Met"),NOT(W119="N/A"))</f>
        <v>0</v>
      </c>
      <c r="AL119" s="254" t="str">
        <f>SUBSTITUTE(SUBSTITUTE(SUBSTITUTE("dpa"&amp;$B119&amp;$C119&amp;$D119&amp;$E119,".","_"),"(","_"),")","")</f>
        <v>dpa602_1_4_2_2</v>
      </c>
      <c r="AM119" s="254" t="str">
        <f>M119</f>
        <v>N/A</v>
      </c>
      <c r="AP119" s="1130" t="str">
        <f>SUBSTITUTE(SUBSTITUTE(SUBSTITUTE("dch"&amp;$B119&amp;$C119&amp;$D119&amp;$E119,".","_"),"(","_"),")","")</f>
        <v>dch602_1_4_2_2</v>
      </c>
      <c r="AQ119" s="254" t="str">
        <f>IF(LEN(W119)=0,"",W119)</f>
        <v/>
      </c>
      <c r="AR119" s="1130" t="str">
        <f>SUBSTITUTE(SUBSTITUTE(SUBSTITUTE("dnt"&amp;$B119&amp;$C119&amp;$D119&amp;$E119,".","_"),"(","_"),")","")</f>
        <v>dnt602_1_4_2_2</v>
      </c>
      <c r="AS119" s="254" t="str">
        <f>IF(LEN(X119)=0,"",X119)</f>
        <v/>
      </c>
      <c r="AX119" s="132"/>
      <c r="AY119" s="132"/>
      <c r="AZ119" s="63"/>
      <c r="BA119" s="63"/>
      <c r="BB119" s="63"/>
      <c r="BC119" s="63"/>
      <c r="BD119" s="63"/>
      <c r="BE119" s="63"/>
      <c r="BF119" s="63"/>
      <c r="BG119" s="63"/>
      <c r="BH119" s="63"/>
      <c r="BI119" s="63"/>
    </row>
    <row r="120" spans="1:61" ht="15.75" thickBot="1" x14ac:dyDescent="0.3">
      <c r="B120" s="77" t="s">
        <v>570</v>
      </c>
      <c r="C120" s="21" t="s">
        <v>258</v>
      </c>
      <c r="D120" s="21"/>
      <c r="E120" s="21"/>
      <c r="F120" s="21"/>
      <c r="G120" s="21"/>
      <c r="H120" s="758"/>
      <c r="I120" s="64"/>
      <c r="J120" s="4"/>
      <c r="K120" s="83"/>
      <c r="L120" s="1779"/>
      <c r="M120" s="1838"/>
      <c r="N120" s="4"/>
      <c r="O120" s="141"/>
      <c r="P120" s="352"/>
      <c r="Q120" s="352"/>
      <c r="R120"/>
      <c r="S120"/>
      <c r="T120"/>
      <c r="U120"/>
      <c r="V120"/>
      <c r="W120"/>
      <c r="X120" s="1798"/>
      <c r="Z120"/>
      <c r="AB120"/>
      <c r="AC120"/>
      <c r="AD120"/>
      <c r="AE120"/>
      <c r="AF120"/>
      <c r="AG120"/>
      <c r="AH120"/>
      <c r="AI120"/>
      <c r="AJ120"/>
      <c r="AK120"/>
      <c r="AL120"/>
      <c r="AM120"/>
      <c r="AN120"/>
      <c r="AO120"/>
      <c r="AP120"/>
      <c r="AQ120"/>
      <c r="AR120"/>
      <c r="AS120"/>
    </row>
    <row r="121" spans="1:61" ht="15.75" thickTop="1" x14ac:dyDescent="0.25">
      <c r="B121" s="77" t="s">
        <v>572</v>
      </c>
      <c r="C121" s="21"/>
      <c r="D121" s="21"/>
      <c r="E121" s="21"/>
      <c r="F121" s="21"/>
      <c r="G121" s="21"/>
      <c r="H121" s="758"/>
      <c r="I121" s="180" t="s">
        <v>572</v>
      </c>
      <c r="J121" s="181"/>
      <c r="K121" s="182"/>
      <c r="L121" s="1159" t="s">
        <v>573</v>
      </c>
      <c r="M121" s="423"/>
      <c r="N121" s="181"/>
      <c r="O121" s="500"/>
      <c r="P121" s="105"/>
      <c r="Q121" s="105"/>
      <c r="R121" s="105"/>
      <c r="S121" s="105"/>
      <c r="T121" s="105"/>
      <c r="U121" s="105"/>
      <c r="V121" s="105"/>
      <c r="W121" s="105" t="s">
        <v>1104</v>
      </c>
      <c r="X121" s="105"/>
      <c r="Z121"/>
      <c r="AB121"/>
      <c r="AC121"/>
      <c r="AD121"/>
      <c r="AE121"/>
      <c r="AF121"/>
      <c r="AG121"/>
      <c r="AH121"/>
      <c r="AI121"/>
      <c r="AJ121"/>
      <c r="AK121"/>
      <c r="AL121"/>
      <c r="AM121"/>
      <c r="AN121"/>
      <c r="AO121"/>
      <c r="AP121"/>
      <c r="AQ121"/>
      <c r="AR121"/>
      <c r="AS121"/>
      <c r="AZ121" s="132"/>
      <c r="BA121" s="132"/>
      <c r="BB121" s="132"/>
      <c r="BC121" s="132"/>
      <c r="BD121" s="132"/>
      <c r="BE121" s="132"/>
      <c r="BF121" s="132"/>
      <c r="BG121" s="132"/>
      <c r="BH121" s="132"/>
      <c r="BI121" s="132"/>
    </row>
    <row r="122" spans="1:61" s="132" customFormat="1" x14ac:dyDescent="0.25">
      <c r="A122" s="18"/>
      <c r="B122" s="77" t="s">
        <v>572</v>
      </c>
      <c r="C122" s="21"/>
      <c r="D122" s="21"/>
      <c r="E122" s="21"/>
      <c r="F122" s="21"/>
      <c r="G122" s="21"/>
      <c r="H122" s="758"/>
      <c r="I122" s="64"/>
      <c r="J122" s="4"/>
      <c r="K122" s="83"/>
      <c r="L122" s="1202" t="s">
        <v>3034</v>
      </c>
      <c r="M122" s="428"/>
      <c r="N122" s="4"/>
      <c r="O122" s="141"/>
      <c r="P122" s="352" t="b">
        <v>1</v>
      </c>
      <c r="Q122" s="352" t="b">
        <v>0</v>
      </c>
      <c r="R122" s="132" t="b">
        <v>0</v>
      </c>
      <c r="S122" s="132" t="b">
        <v>1</v>
      </c>
      <c r="T122" s="132" t="b">
        <v>0</v>
      </c>
      <c r="U122" s="94" t="str">
        <f>SUBSTITUTE(SUBSTITUTE(SUBSTITUTE("dd"&amp;B122&amp;C122&amp;D122&amp;E122&amp;F122,".","_"),"(","_"),")","")</f>
        <v>dd602_1_5</v>
      </c>
      <c r="W122" s="12"/>
      <c r="X122" s="1757"/>
      <c r="Y122" s="780"/>
      <c r="AA122" s="783"/>
      <c r="AP122" s="1130" t="str">
        <f>SUBSTITUTE(SUBSTITUTE(SUBSTITUTE("dch"&amp;$B122&amp;$C122&amp;$D122&amp;$E122,".","_"),"(","_"),")","")</f>
        <v>dch602_1_5</v>
      </c>
      <c r="AQ122" s="254" t="str">
        <f>IF(LEN(W122)=0,"",W122)</f>
        <v/>
      </c>
      <c r="AR122" s="1130" t="str">
        <f>SUBSTITUTE(SUBSTITUTE(SUBSTITUTE("dnt"&amp;$B122&amp;$C122&amp;$D122&amp;$E122,".","_"),"(","_"),")","")</f>
        <v>dnt602_1_5</v>
      </c>
      <c r="AS122" s="254" t="str">
        <f>IF(LEN(X122)=0,"",X122)</f>
        <v/>
      </c>
      <c r="AX122" s="63"/>
      <c r="AY122" s="63"/>
      <c r="AZ122" s="63"/>
      <c r="BA122" s="63"/>
      <c r="BB122" s="63"/>
      <c r="BC122" s="63"/>
      <c r="BD122" s="63"/>
      <c r="BE122" s="63"/>
      <c r="BF122" s="63"/>
      <c r="BG122" s="63"/>
      <c r="BH122" s="63"/>
      <c r="BI122" s="63"/>
    </row>
    <row r="123" spans="1:61" x14ac:dyDescent="0.25">
      <c r="B123" s="77" t="s">
        <v>572</v>
      </c>
      <c r="C123" s="21" t="s">
        <v>256</v>
      </c>
      <c r="D123" s="21"/>
      <c r="E123" s="21"/>
      <c r="F123" s="21"/>
      <c r="G123" s="21"/>
      <c r="H123" s="758"/>
      <c r="I123" s="64"/>
      <c r="J123" s="183" t="s">
        <v>256</v>
      </c>
      <c r="K123" s="95"/>
      <c r="L123" s="1754" t="s">
        <v>574</v>
      </c>
      <c r="M123" s="1758">
        <v>4</v>
      </c>
      <c r="N123" s="129"/>
      <c r="O123" s="1774">
        <f ca="1">M123*S123*W123</f>
        <v>0</v>
      </c>
      <c r="P123" s="352" t="b">
        <v>1</v>
      </c>
      <c r="Q123" s="352" t="b">
        <v>0</v>
      </c>
      <c r="R123" s="126" t="b">
        <v>0</v>
      </c>
      <c r="S123" s="132" t="b">
        <f ca="1">IF(IFERROR(MATCH(W122,INDIRECT(U122),0),0)=3,TRUE,FALSE)</f>
        <v>0</v>
      </c>
      <c r="T123" s="94" t="b">
        <f ca="1">AND(NOT(S123),W123=TRUE)</f>
        <v>0</v>
      </c>
      <c r="U123"/>
      <c r="V123"/>
      <c r="W123" s="25"/>
      <c r="X123" s="1757"/>
      <c r="Z123"/>
      <c r="AB123"/>
      <c r="AC123" s="140" t="b">
        <f ca="1">OR(AD123:AE123)</f>
        <v>0</v>
      </c>
      <c r="AD123" s="140" t="b">
        <f ca="1">T123</f>
        <v>0</v>
      </c>
      <c r="AE123" s="140" t="b">
        <v>0</v>
      </c>
      <c r="AF123"/>
      <c r="AG123"/>
      <c r="AH123"/>
      <c r="AI123"/>
      <c r="AJ123"/>
      <c r="AK123"/>
      <c r="AL123" s="254" t="str">
        <f>SUBSTITUTE(SUBSTITUTE(SUBSTITUTE("dpa"&amp;$B123&amp;$C123&amp;$D123&amp;$E123,".","_"),"(","_"),")","")</f>
        <v>dpa602_1_5_1</v>
      </c>
      <c r="AM123" s="254">
        <f>M123</f>
        <v>4</v>
      </c>
      <c r="AN123" s="254" t="str">
        <f>SUBSTITUTE(SUBSTITUTE(SUBSTITUTE("dpc"&amp;$B123&amp;$C123&amp;$D123&amp;$E123,".","_"),"(","_"),")","")</f>
        <v>dpc602_1_5_1</v>
      </c>
      <c r="AO123" s="254">
        <f ca="1">O123</f>
        <v>0</v>
      </c>
      <c r="AP123" s="1130" t="str">
        <f>SUBSTITUTE(SUBSTITUTE(SUBSTITUTE("dch"&amp;$B123&amp;$C123&amp;$D123&amp;$E123,".","_"),"(","_"),")","")</f>
        <v>dch602_1_5_1</v>
      </c>
      <c r="AQ123" s="254" t="str">
        <f>IF(LEN(W123)=0,"",W123)</f>
        <v/>
      </c>
      <c r="AR123"/>
      <c r="AS123"/>
    </row>
    <row r="124" spans="1:61" x14ac:dyDescent="0.25">
      <c r="B124" s="77" t="s">
        <v>572</v>
      </c>
      <c r="C124" s="21" t="s">
        <v>256</v>
      </c>
      <c r="D124" s="21"/>
      <c r="E124" s="21"/>
      <c r="F124" s="21"/>
      <c r="G124" s="21"/>
      <c r="H124" s="758"/>
      <c r="I124" s="64"/>
      <c r="J124" s="210"/>
      <c r="K124" s="175"/>
      <c r="L124" s="1755"/>
      <c r="M124" s="1759"/>
      <c r="N124" s="210"/>
      <c r="O124" s="1764"/>
      <c r="P124" s="352"/>
      <c r="Q124" s="352"/>
      <c r="R124"/>
      <c r="S124"/>
      <c r="T124"/>
      <c r="U124"/>
      <c r="V124"/>
      <c r="W124"/>
      <c r="X124" s="1757"/>
      <c r="Z124"/>
      <c r="AB124"/>
      <c r="AC124"/>
      <c r="AD124"/>
      <c r="AE124"/>
      <c r="AF124"/>
      <c r="AG124"/>
      <c r="AH124"/>
      <c r="AI124"/>
      <c r="AJ124"/>
      <c r="AK124"/>
      <c r="AL124"/>
      <c r="AM124"/>
      <c r="AN124"/>
      <c r="AO124"/>
      <c r="AP124"/>
      <c r="AQ124"/>
      <c r="AR124"/>
      <c r="AS124"/>
      <c r="AX124" s="159"/>
      <c r="AY124" s="159"/>
    </row>
    <row r="125" spans="1:61" x14ac:dyDescent="0.25">
      <c r="B125" s="77" t="s">
        <v>572</v>
      </c>
      <c r="C125" s="21" t="s">
        <v>258</v>
      </c>
      <c r="D125" s="21"/>
      <c r="E125" s="21"/>
      <c r="F125" s="21"/>
      <c r="G125" s="21"/>
      <c r="H125" s="758"/>
      <c r="I125" s="64"/>
      <c r="J125" s="27" t="s">
        <v>258</v>
      </c>
      <c r="K125" s="83"/>
      <c r="L125" s="1779" t="s">
        <v>575</v>
      </c>
      <c r="M125" s="1767">
        <v>4</v>
      </c>
      <c r="N125" s="4"/>
      <c r="O125" s="1780">
        <f ca="1">M125*S125*W125</f>
        <v>0</v>
      </c>
      <c r="P125" s="352" t="b">
        <v>1</v>
      </c>
      <c r="Q125" s="352" t="b">
        <v>0</v>
      </c>
      <c r="R125" s="126" t="b">
        <v>0</v>
      </c>
      <c r="S125" s="132" t="b">
        <f ca="1">IF(IFERROR(MATCH(W122,INDIRECT(U122),0),0)=4,TRUE,FALSE)</f>
        <v>0</v>
      </c>
      <c r="T125" s="94" t="b">
        <f ca="1">AND(NOT(S125),W125=TRUE)</f>
        <v>0</v>
      </c>
      <c r="U125"/>
      <c r="V125"/>
      <c r="W125" s="25"/>
      <c r="X125" s="1757"/>
      <c r="Z125"/>
      <c r="AB125"/>
      <c r="AC125" s="140" t="b">
        <f ca="1">OR(AD125:AE125)</f>
        <v>0</v>
      </c>
      <c r="AD125" s="140" t="b">
        <f ca="1">T125</f>
        <v>0</v>
      </c>
      <c r="AE125" s="140" t="b">
        <v>0</v>
      </c>
      <c r="AF125"/>
      <c r="AG125"/>
      <c r="AH125"/>
      <c r="AI125"/>
      <c r="AJ125"/>
      <c r="AK125"/>
      <c r="AL125" s="254" t="str">
        <f>SUBSTITUTE(SUBSTITUTE(SUBSTITUTE("dpa"&amp;$B125&amp;$C125&amp;$D125&amp;$E125,".","_"),"(","_"),")","")</f>
        <v>dpa602_1_5_2</v>
      </c>
      <c r="AM125" s="254">
        <f>M125</f>
        <v>4</v>
      </c>
      <c r="AN125" s="254" t="str">
        <f>SUBSTITUTE(SUBSTITUTE(SUBSTITUTE("dpc"&amp;$B125&amp;$C125&amp;$D125&amp;$E125,".","_"),"(","_"),")","")</f>
        <v>dpc602_1_5_2</v>
      </c>
      <c r="AO125" s="254">
        <f ca="1">O125</f>
        <v>0</v>
      </c>
      <c r="AP125" s="1130" t="str">
        <f>SUBSTITUTE(SUBSTITUTE(SUBSTITUTE("dch"&amp;$B125&amp;$C125&amp;$D125&amp;$E125,".","_"),"(","_"),")","")</f>
        <v>dch602_1_5_2</v>
      </c>
      <c r="AQ125" s="254" t="str">
        <f>IF(LEN(W125)=0,"",W125)</f>
        <v/>
      </c>
      <c r="AR125"/>
      <c r="AS125"/>
    </row>
    <row r="126" spans="1:61" x14ac:dyDescent="0.25">
      <c r="B126" s="77" t="s">
        <v>572</v>
      </c>
      <c r="C126" s="21" t="s">
        <v>258</v>
      </c>
      <c r="D126" s="21"/>
      <c r="E126" s="21"/>
      <c r="F126" s="21"/>
      <c r="G126" s="21"/>
      <c r="H126" s="758"/>
      <c r="I126" s="64"/>
      <c r="J126" s="4"/>
      <c r="K126" s="83"/>
      <c r="L126" s="1779"/>
      <c r="M126" s="1767"/>
      <c r="N126" s="4"/>
      <c r="O126" s="1780"/>
      <c r="P126" s="352"/>
      <c r="Q126" s="352"/>
      <c r="R126"/>
      <c r="S126"/>
      <c r="T126"/>
      <c r="U126"/>
      <c r="V126"/>
      <c r="W126"/>
      <c r="X126" s="1757"/>
      <c r="Z126"/>
      <c r="AB126"/>
      <c r="AC126"/>
      <c r="AD126"/>
      <c r="AE126"/>
      <c r="AF126"/>
      <c r="AG126"/>
      <c r="AH126"/>
      <c r="AI126"/>
      <c r="AJ126"/>
      <c r="AK126"/>
      <c r="AL126"/>
      <c r="AM126"/>
      <c r="AN126"/>
      <c r="AO126"/>
      <c r="AP126"/>
      <c r="AQ126"/>
      <c r="AR126"/>
      <c r="AS126"/>
      <c r="AX126" s="137"/>
      <c r="AY126" s="137"/>
      <c r="AZ126" s="159"/>
      <c r="BA126" s="159"/>
      <c r="BB126" s="159"/>
      <c r="BC126" s="159"/>
      <c r="BD126" s="159"/>
      <c r="BE126" s="159"/>
      <c r="BF126" s="159"/>
      <c r="BG126" s="159"/>
      <c r="BH126" s="159"/>
      <c r="BI126" s="159"/>
    </row>
    <row r="127" spans="1:61" s="159" customFormat="1" ht="15.75" thickBot="1" x14ac:dyDescent="0.3">
      <c r="A127" s="18"/>
      <c r="B127" s="77" t="s">
        <v>572</v>
      </c>
      <c r="C127" s="21" t="s">
        <v>258</v>
      </c>
      <c r="D127" s="21"/>
      <c r="E127" s="21"/>
      <c r="F127" s="21"/>
      <c r="G127" s="21"/>
      <c r="H127" s="758"/>
      <c r="I127" s="64"/>
      <c r="J127" s="4"/>
      <c r="K127" s="83"/>
      <c r="L127" s="1779"/>
      <c r="M127" s="1767"/>
      <c r="N127" s="4"/>
      <c r="O127" s="1780"/>
      <c r="P127" s="352"/>
      <c r="Q127" s="352"/>
      <c r="X127" s="1757"/>
      <c r="Y127" s="780"/>
      <c r="AA127" s="783"/>
      <c r="AX127" s="63"/>
      <c r="AY127" s="63"/>
      <c r="AZ127" s="63"/>
      <c r="BA127" s="63"/>
      <c r="BB127" s="63"/>
      <c r="BC127" s="63"/>
      <c r="BD127" s="63"/>
      <c r="BE127" s="63"/>
      <c r="BF127" s="63"/>
      <c r="BG127" s="63"/>
      <c r="BH127" s="63"/>
      <c r="BI127" s="63"/>
    </row>
    <row r="128" spans="1:61" ht="15" customHeight="1" thickTop="1" x14ac:dyDescent="0.25">
      <c r="B128" s="77" t="s">
        <v>576</v>
      </c>
      <c r="C128" s="21"/>
      <c r="D128" s="21"/>
      <c r="E128" s="21"/>
      <c r="F128" s="21"/>
      <c r="G128" s="21"/>
      <c r="H128" s="758"/>
      <c r="I128" s="180" t="s">
        <v>576</v>
      </c>
      <c r="J128" s="181"/>
      <c r="K128" s="182"/>
      <c r="L128" s="1781" t="s">
        <v>577</v>
      </c>
      <c r="M128" s="423"/>
      <c r="N128" s="181"/>
      <c r="O128" s="500"/>
      <c r="P128" s="105"/>
      <c r="Q128" s="105"/>
      <c r="R128" s="105"/>
      <c r="S128" s="105"/>
      <c r="T128" s="105"/>
      <c r="U128" s="105"/>
      <c r="V128" s="105"/>
      <c r="W128" s="105"/>
      <c r="X128" s="105"/>
      <c r="Z128"/>
      <c r="AB128"/>
      <c r="AC128"/>
      <c r="AD128"/>
      <c r="AE128"/>
      <c r="AF128"/>
      <c r="AG128"/>
      <c r="AH128"/>
      <c r="AI128"/>
      <c r="AJ128"/>
      <c r="AK128"/>
      <c r="AL128"/>
      <c r="AM128"/>
      <c r="AN128"/>
      <c r="AO128"/>
      <c r="AP128"/>
      <c r="AQ128"/>
      <c r="AR128"/>
      <c r="AS128"/>
      <c r="AZ128" s="137"/>
      <c r="BA128" s="137"/>
      <c r="BB128" s="137"/>
      <c r="BC128" s="137"/>
      <c r="BD128" s="137"/>
      <c r="BE128" s="137"/>
      <c r="BF128" s="137"/>
      <c r="BG128" s="137"/>
      <c r="BH128" s="137"/>
      <c r="BI128" s="137"/>
    </row>
    <row r="129" spans="1:61" s="137" customFormat="1" x14ac:dyDescent="0.25">
      <c r="A129" s="18"/>
      <c r="B129" s="77" t="s">
        <v>576</v>
      </c>
      <c r="C129" s="21"/>
      <c r="D129" s="21"/>
      <c r="E129" s="21"/>
      <c r="F129" s="21"/>
      <c r="G129" s="21"/>
      <c r="H129" s="758"/>
      <c r="I129" s="130"/>
      <c r="J129" s="129"/>
      <c r="K129" s="95"/>
      <c r="L129" s="1782"/>
      <c r="M129" s="424"/>
      <c r="N129" s="129"/>
      <c r="O129" s="239"/>
      <c r="P129" s="94"/>
      <c r="Q129" s="94"/>
      <c r="R129" s="94"/>
      <c r="S129" s="94"/>
      <c r="T129" s="94"/>
      <c r="U129" s="94"/>
      <c r="V129" s="94"/>
      <c r="W129" s="94"/>
      <c r="X129" s="94"/>
      <c r="Y129" s="780"/>
      <c r="AA129" s="783"/>
      <c r="AX129" s="63"/>
      <c r="AY129" s="63"/>
      <c r="AZ129" s="63"/>
      <c r="BA129" s="63"/>
      <c r="BB129" s="63"/>
      <c r="BC129" s="63"/>
      <c r="BD129" s="63"/>
      <c r="BE129" s="63"/>
      <c r="BF129" s="63"/>
      <c r="BG129" s="63"/>
      <c r="BH129" s="63"/>
      <c r="BI129" s="63"/>
    </row>
    <row r="130" spans="1:61" x14ac:dyDescent="0.25">
      <c r="B130" s="77" t="s">
        <v>576</v>
      </c>
      <c r="C130" s="21"/>
      <c r="D130" s="21"/>
      <c r="E130" s="21"/>
      <c r="F130" s="21"/>
      <c r="G130" s="21"/>
      <c r="H130" s="758"/>
      <c r="I130" s="64"/>
      <c r="J130" s="4"/>
      <c r="K130" s="83"/>
      <c r="L130" s="1202" t="s">
        <v>3034</v>
      </c>
      <c r="M130" s="428"/>
      <c r="N130" s="4"/>
      <c r="O130" s="141"/>
      <c r="P130" s="352"/>
      <c r="Q130" s="352"/>
      <c r="U130" s="94"/>
      <c r="V130"/>
      <c r="X130"/>
      <c r="Z130"/>
      <c r="AB130"/>
      <c r="AC130"/>
      <c r="AD130"/>
      <c r="AE130"/>
      <c r="AF130"/>
      <c r="AG130"/>
      <c r="AH130"/>
      <c r="AI130"/>
      <c r="AJ130"/>
      <c r="AK130"/>
      <c r="AL130"/>
      <c r="AM130"/>
      <c r="AN130"/>
      <c r="AO130"/>
      <c r="AP130"/>
      <c r="AQ130"/>
      <c r="AR130"/>
      <c r="AS130"/>
    </row>
    <row r="131" spans="1:61" x14ac:dyDescent="0.25">
      <c r="B131" s="77" t="s">
        <v>576</v>
      </c>
      <c r="C131" s="21" t="s">
        <v>256</v>
      </c>
      <c r="D131" s="21"/>
      <c r="E131" s="21"/>
      <c r="F131" s="21"/>
      <c r="G131" s="21"/>
      <c r="H131" s="758"/>
      <c r="I131" s="64"/>
      <c r="J131" s="183" t="s">
        <v>256</v>
      </c>
      <c r="K131" s="95"/>
      <c r="L131" s="1754" t="s">
        <v>578</v>
      </c>
      <c r="M131" s="1758">
        <v>2</v>
      </c>
      <c r="N131" s="129"/>
      <c r="O131" s="1774">
        <f ca="1">M131*S131*W131</f>
        <v>0</v>
      </c>
      <c r="P131" s="352" t="b">
        <v>1</v>
      </c>
      <c r="Q131" s="352" t="b">
        <v>1</v>
      </c>
      <c r="R131" s="126" t="b">
        <v>0</v>
      </c>
      <c r="S131" s="126" t="b">
        <f ca="1">IF(IFERROR(MATCH(W122,INDIRECT(U122),0),0)=2,TRUE,FALSE)</f>
        <v>0</v>
      </c>
      <c r="T131" s="94" t="b">
        <f ca="1">AND(NOT(S131),W131=TRUE)</f>
        <v>0</v>
      </c>
      <c r="U131"/>
      <c r="V131"/>
      <c r="W131" s="25"/>
      <c r="X131" s="1757"/>
      <c r="Z131"/>
      <c r="AB131"/>
      <c r="AC131" s="132" t="b">
        <f ca="1">OR(AD131:AE131)</f>
        <v>0</v>
      </c>
      <c r="AD131" s="132" t="b">
        <f ca="1">T131</f>
        <v>0</v>
      </c>
      <c r="AE131" s="132" t="b">
        <v>0</v>
      </c>
      <c r="AF131"/>
      <c r="AG131"/>
      <c r="AH131"/>
      <c r="AI131"/>
      <c r="AJ131"/>
      <c r="AK131"/>
      <c r="AL131" s="254" t="str">
        <f>SUBSTITUTE(SUBSTITUTE(SUBSTITUTE("dpa"&amp;$B131&amp;$C131&amp;$D131&amp;$E131,".","_"),"(","_"),")","")</f>
        <v>dpa602_1_6_1</v>
      </c>
      <c r="AM131" s="254">
        <f>M131</f>
        <v>2</v>
      </c>
      <c r="AN131" s="254" t="str">
        <f>SUBSTITUTE(SUBSTITUTE(SUBSTITUTE("dpc"&amp;$B131&amp;$C131&amp;$D131&amp;$E131,".","_"),"(","_"),")","")</f>
        <v>dpc602_1_6_1</v>
      </c>
      <c r="AO131" s="254">
        <f ca="1">O131</f>
        <v>0</v>
      </c>
      <c r="AP131" s="1130" t="str">
        <f>SUBSTITUTE(SUBSTITUTE(SUBSTITUTE("dch"&amp;$B131&amp;$C131&amp;$D131&amp;$E131,".","_"),"(","_"),")","")</f>
        <v>dch602_1_6_1</v>
      </c>
      <c r="AQ131" s="254" t="str">
        <f>IF(LEN(W131)=0,"",W131)</f>
        <v/>
      </c>
      <c r="AR131" s="1130" t="str">
        <f>SUBSTITUTE(SUBSTITUTE(SUBSTITUTE("dnt"&amp;$B131&amp;$C131&amp;$D131&amp;$E131,".","_"),"(","_"),")","")</f>
        <v>dnt602_1_6_1</v>
      </c>
      <c r="AS131" s="254" t="str">
        <f>IF(LEN(X131)=0,"",X131)</f>
        <v/>
      </c>
      <c r="AX131" s="132"/>
      <c r="AY131" s="132"/>
    </row>
    <row r="132" spans="1:61" x14ac:dyDescent="0.25">
      <c r="B132" s="77" t="s">
        <v>576</v>
      </c>
      <c r="C132" s="21" t="s">
        <v>256</v>
      </c>
      <c r="D132" s="21"/>
      <c r="E132" s="21"/>
      <c r="F132" s="21"/>
      <c r="G132" s="21"/>
      <c r="H132" s="758"/>
      <c r="I132" s="64"/>
      <c r="J132" s="129"/>
      <c r="K132" s="95"/>
      <c r="L132" s="1754"/>
      <c r="M132" s="1758"/>
      <c r="N132" s="129"/>
      <c r="O132" s="1774"/>
      <c r="P132" s="352"/>
      <c r="Q132" s="352"/>
      <c r="R132"/>
      <c r="S132"/>
      <c r="T132"/>
      <c r="U132"/>
      <c r="V132"/>
      <c r="W132"/>
      <c r="X132" s="1757"/>
      <c r="Z132"/>
      <c r="AB132"/>
      <c r="AC132"/>
      <c r="AD132"/>
      <c r="AE132"/>
      <c r="AF132"/>
      <c r="AG132"/>
      <c r="AH132"/>
      <c r="AI132"/>
      <c r="AJ132"/>
      <c r="AK132"/>
      <c r="AL132"/>
      <c r="AM132"/>
      <c r="AN132"/>
      <c r="AO132"/>
      <c r="AP132"/>
      <c r="AQ132"/>
      <c r="AR132"/>
      <c r="AS132"/>
    </row>
    <row r="133" spans="1:61" x14ac:dyDescent="0.25">
      <c r="B133" s="77" t="s">
        <v>576</v>
      </c>
      <c r="C133" s="21" t="s">
        <v>256</v>
      </c>
      <c r="D133" s="21"/>
      <c r="E133" s="21"/>
      <c r="F133" s="21"/>
      <c r="G133" s="21"/>
      <c r="H133" s="758"/>
      <c r="I133" s="64"/>
      <c r="J133" s="129"/>
      <c r="K133" s="95"/>
      <c r="L133" s="1754"/>
      <c r="M133" s="1758"/>
      <c r="N133" s="129"/>
      <c r="O133" s="1774"/>
      <c r="P133" s="352"/>
      <c r="Q133" s="352"/>
      <c r="R133"/>
      <c r="S133"/>
      <c r="T133"/>
      <c r="U133"/>
      <c r="V133"/>
      <c r="W133"/>
      <c r="X133" s="1757"/>
      <c r="Z133"/>
      <c r="AB133"/>
      <c r="AC133"/>
      <c r="AD133"/>
      <c r="AE133"/>
      <c r="AF133"/>
      <c r="AG133"/>
      <c r="AH133"/>
      <c r="AI133"/>
      <c r="AJ133"/>
      <c r="AK133"/>
      <c r="AL133"/>
      <c r="AM133"/>
      <c r="AN133"/>
      <c r="AO133"/>
      <c r="AP133"/>
      <c r="AQ133"/>
      <c r="AR133"/>
      <c r="AS133"/>
      <c r="AZ133" s="132"/>
      <c r="BA133" s="132"/>
      <c r="BB133" s="132"/>
      <c r="BC133" s="132"/>
      <c r="BD133" s="132"/>
      <c r="BE133" s="132"/>
      <c r="BF133" s="132"/>
      <c r="BG133" s="132"/>
      <c r="BH133" s="132"/>
      <c r="BI133" s="132"/>
    </row>
    <row r="134" spans="1:61" s="132" customFormat="1" x14ac:dyDescent="0.25">
      <c r="A134" s="18"/>
      <c r="B134" s="77" t="s">
        <v>576</v>
      </c>
      <c r="C134" s="21" t="s">
        <v>256</v>
      </c>
      <c r="D134" s="21"/>
      <c r="E134" s="21"/>
      <c r="F134" s="21"/>
      <c r="G134" s="21"/>
      <c r="H134" s="758"/>
      <c r="I134" s="64"/>
      <c r="J134" s="210"/>
      <c r="K134" s="175"/>
      <c r="L134" s="1755"/>
      <c r="M134" s="1759"/>
      <c r="N134" s="210"/>
      <c r="O134" s="1764"/>
      <c r="P134" s="352"/>
      <c r="Q134" s="352"/>
      <c r="X134" s="1757"/>
      <c r="Y134" s="780"/>
      <c r="AA134" s="783"/>
      <c r="AX134" s="63"/>
      <c r="AY134" s="63"/>
      <c r="AZ134" s="63"/>
      <c r="BA134" s="63"/>
      <c r="BB134" s="63"/>
      <c r="BC134" s="63"/>
      <c r="BD134" s="63"/>
      <c r="BE134" s="63"/>
      <c r="BF134" s="63"/>
      <c r="BG134" s="63"/>
      <c r="BH134" s="63"/>
      <c r="BI134" s="63"/>
    </row>
    <row r="135" spans="1:61" x14ac:dyDescent="0.25">
      <c r="B135" s="77" t="s">
        <v>576</v>
      </c>
      <c r="C135" s="21" t="s">
        <v>258</v>
      </c>
      <c r="D135" s="21"/>
      <c r="E135" s="21"/>
      <c r="F135" s="21"/>
      <c r="G135" s="21"/>
      <c r="H135" s="758"/>
      <c r="I135" s="64"/>
      <c r="J135" s="209" t="s">
        <v>258</v>
      </c>
      <c r="K135" s="194"/>
      <c r="L135" s="1778" t="s">
        <v>579</v>
      </c>
      <c r="M135" s="1762">
        <v>4</v>
      </c>
      <c r="N135" s="193"/>
      <c r="O135" s="1763">
        <f ca="1">M135*S135*W135</f>
        <v>0</v>
      </c>
      <c r="P135" s="352" t="b">
        <v>1</v>
      </c>
      <c r="Q135" s="352" t="b">
        <v>1</v>
      </c>
      <c r="R135" s="126" t="b">
        <v>0</v>
      </c>
      <c r="S135" s="132" t="b">
        <f ca="1">IF(IFERROR(MATCH(W122,INDIRECT(U122),0),0)=3,TRUE,FALSE)</f>
        <v>0</v>
      </c>
      <c r="T135" s="94" t="b">
        <f ca="1">AND(NOT(S135),W135=TRUE)</f>
        <v>0</v>
      </c>
      <c r="U135"/>
      <c r="V135"/>
      <c r="W135" s="25"/>
      <c r="X135" s="1757"/>
      <c r="Z135"/>
      <c r="AB135"/>
      <c r="AC135" s="132" t="b">
        <f ca="1">OR(AD135:AE135)</f>
        <v>0</v>
      </c>
      <c r="AD135" s="132" t="b">
        <f ca="1">T135</f>
        <v>0</v>
      </c>
      <c r="AE135" s="132" t="b">
        <v>0</v>
      </c>
      <c r="AF135"/>
      <c r="AG135"/>
      <c r="AH135"/>
      <c r="AI135"/>
      <c r="AJ135"/>
      <c r="AK135"/>
      <c r="AL135" s="254" t="str">
        <f>SUBSTITUTE(SUBSTITUTE(SUBSTITUTE("dpa"&amp;$B135&amp;$C135&amp;$D135&amp;$E135,".","_"),"(","_"),")","")</f>
        <v>dpa602_1_6_2</v>
      </c>
      <c r="AM135" s="254">
        <f>M135</f>
        <v>4</v>
      </c>
      <c r="AN135" s="254" t="str">
        <f>SUBSTITUTE(SUBSTITUTE(SUBSTITUTE("dpc"&amp;$B135&amp;$C135&amp;$D135&amp;$E135,".","_"),"(","_"),")","")</f>
        <v>dpc602_1_6_2</v>
      </c>
      <c r="AO135" s="254">
        <f ca="1">O135</f>
        <v>0</v>
      </c>
      <c r="AP135" s="1130" t="str">
        <f>SUBSTITUTE(SUBSTITUTE(SUBSTITUTE("dch"&amp;$B135&amp;$C135&amp;$D135&amp;$E135,".","_"),"(","_"),")","")</f>
        <v>dch602_1_6_2</v>
      </c>
      <c r="AQ135" s="254" t="str">
        <f>IF(LEN(W135)=0,"",W135)</f>
        <v/>
      </c>
      <c r="AR135"/>
      <c r="AS135"/>
      <c r="AX135" s="132"/>
      <c r="AY135" s="132"/>
    </row>
    <row r="136" spans="1:61" x14ac:dyDescent="0.25">
      <c r="B136" s="77" t="s">
        <v>576</v>
      </c>
      <c r="C136" s="21" t="s">
        <v>258</v>
      </c>
      <c r="D136" s="21"/>
      <c r="E136" s="21"/>
      <c r="F136" s="21"/>
      <c r="G136" s="21"/>
      <c r="H136" s="758"/>
      <c r="I136" s="64"/>
      <c r="J136" s="129"/>
      <c r="K136" s="95"/>
      <c r="L136" s="1754"/>
      <c r="M136" s="1758"/>
      <c r="N136" s="129"/>
      <c r="O136" s="1774"/>
      <c r="P136" s="352"/>
      <c r="Q136" s="352"/>
      <c r="R136"/>
      <c r="S136"/>
      <c r="T136"/>
      <c r="U136"/>
      <c r="V136"/>
      <c r="W136"/>
      <c r="X136" s="1757"/>
      <c r="Z136"/>
      <c r="AB136"/>
      <c r="AC136"/>
      <c r="AD136"/>
      <c r="AE136"/>
      <c r="AF136"/>
      <c r="AG136"/>
      <c r="AH136"/>
      <c r="AI136"/>
      <c r="AJ136"/>
      <c r="AK136"/>
      <c r="AL136"/>
      <c r="AM136"/>
      <c r="AN136"/>
      <c r="AO136"/>
      <c r="AP136"/>
      <c r="AQ136"/>
      <c r="AR136"/>
      <c r="AS136"/>
    </row>
    <row r="137" spans="1:61" x14ac:dyDescent="0.25">
      <c r="B137" s="77" t="s">
        <v>576</v>
      </c>
      <c r="C137" s="21" t="s">
        <v>258</v>
      </c>
      <c r="D137" s="21"/>
      <c r="E137" s="21"/>
      <c r="F137" s="21"/>
      <c r="G137" s="21"/>
      <c r="H137" s="758"/>
      <c r="I137" s="64"/>
      <c r="J137" s="129"/>
      <c r="K137" s="95"/>
      <c r="L137" s="1754"/>
      <c r="M137" s="1758"/>
      <c r="N137" s="129"/>
      <c r="O137" s="1774"/>
      <c r="P137" s="352"/>
      <c r="Q137" s="352"/>
      <c r="R137"/>
      <c r="S137"/>
      <c r="T137"/>
      <c r="U137"/>
      <c r="V137"/>
      <c r="W137"/>
      <c r="X137" s="1757"/>
      <c r="Z137"/>
      <c r="AB137"/>
      <c r="AC137"/>
      <c r="AD137"/>
      <c r="AE137"/>
      <c r="AF137"/>
      <c r="AG137"/>
      <c r="AH137"/>
      <c r="AI137"/>
      <c r="AJ137"/>
      <c r="AK137"/>
      <c r="AL137"/>
      <c r="AM137"/>
      <c r="AN137"/>
      <c r="AO137"/>
      <c r="AP137"/>
      <c r="AQ137"/>
      <c r="AR137"/>
      <c r="AS137"/>
      <c r="AZ137" s="132"/>
      <c r="BA137" s="132"/>
      <c r="BB137" s="132"/>
      <c r="BC137" s="132"/>
      <c r="BD137" s="132"/>
      <c r="BE137" s="132"/>
      <c r="BF137" s="132"/>
      <c r="BG137" s="132"/>
      <c r="BH137" s="132"/>
      <c r="BI137" s="132"/>
    </row>
    <row r="138" spans="1:61" s="132" customFormat="1" x14ac:dyDescent="0.25">
      <c r="A138" s="18"/>
      <c r="B138" s="77" t="s">
        <v>576</v>
      </c>
      <c r="C138" s="21" t="s">
        <v>258</v>
      </c>
      <c r="D138" s="21"/>
      <c r="E138" s="21"/>
      <c r="F138" s="21"/>
      <c r="G138" s="21"/>
      <c r="H138" s="758"/>
      <c r="I138" s="64"/>
      <c r="J138" s="210"/>
      <c r="K138" s="175"/>
      <c r="L138" s="1755"/>
      <c r="M138" s="1759"/>
      <c r="N138" s="210"/>
      <c r="O138" s="1764"/>
      <c r="P138" s="352"/>
      <c r="Q138" s="352"/>
      <c r="X138" s="1757"/>
      <c r="Y138" s="780"/>
      <c r="AA138" s="783"/>
      <c r="AX138" s="63"/>
      <c r="AY138" s="63"/>
      <c r="AZ138" s="63"/>
      <c r="BA138" s="63"/>
      <c r="BB138" s="63"/>
      <c r="BC138" s="63"/>
      <c r="BD138" s="63"/>
      <c r="BE138" s="63"/>
      <c r="BF138" s="63"/>
      <c r="BG138" s="63"/>
      <c r="BH138" s="63"/>
      <c r="BI138" s="63"/>
    </row>
    <row r="139" spans="1:61" x14ac:dyDescent="0.25">
      <c r="B139" s="77" t="s">
        <v>576</v>
      </c>
      <c r="C139" s="21" t="s">
        <v>260</v>
      </c>
      <c r="D139" s="21"/>
      <c r="E139" s="21"/>
      <c r="F139" s="21"/>
      <c r="G139" s="21"/>
      <c r="H139" s="758"/>
      <c r="I139" s="64"/>
      <c r="J139" s="27" t="s">
        <v>260</v>
      </c>
      <c r="K139" s="83"/>
      <c r="L139" s="1779" t="s">
        <v>580</v>
      </c>
      <c r="M139" s="1767">
        <v>6</v>
      </c>
      <c r="N139" s="4"/>
      <c r="O139" s="1780">
        <f ca="1">M139*S139*W139</f>
        <v>0</v>
      </c>
      <c r="P139" s="352" t="b">
        <v>1</v>
      </c>
      <c r="Q139" s="352" t="b">
        <v>1</v>
      </c>
      <c r="R139" s="126" t="b">
        <v>0</v>
      </c>
      <c r="S139" s="132" t="b">
        <f ca="1">IF(IFERROR(MATCH(W122,INDIRECT(U122),0),0)=4,TRUE,FALSE)</f>
        <v>0</v>
      </c>
      <c r="T139" s="94" t="b">
        <f ca="1">AND(NOT(S139),W139=TRUE)</f>
        <v>0</v>
      </c>
      <c r="U139"/>
      <c r="V139"/>
      <c r="W139" s="25"/>
      <c r="X139" s="1757"/>
      <c r="Z139"/>
      <c r="AB139"/>
      <c r="AC139" s="132" t="b">
        <f ca="1">OR(AD139:AE139)</f>
        <v>0</v>
      </c>
      <c r="AD139" s="132" t="b">
        <f ca="1">T139</f>
        <v>0</v>
      </c>
      <c r="AE139" s="132" t="b">
        <v>0</v>
      </c>
      <c r="AF139"/>
      <c r="AG139"/>
      <c r="AH139"/>
      <c r="AI139"/>
      <c r="AJ139"/>
      <c r="AK139"/>
      <c r="AL139" s="254" t="str">
        <f>SUBSTITUTE(SUBSTITUTE(SUBSTITUTE("dpa"&amp;$B139&amp;$C139&amp;$D139&amp;$E139,".","_"),"(","_"),")","")</f>
        <v>dpa602_1_6_3</v>
      </c>
      <c r="AM139" s="254">
        <f>M139</f>
        <v>6</v>
      </c>
      <c r="AN139" s="254" t="str">
        <f>SUBSTITUTE(SUBSTITUTE(SUBSTITUTE("dpc"&amp;$B139&amp;$C139&amp;$D139&amp;$E139,".","_"),"(","_"),")","")</f>
        <v>dpc602_1_6_3</v>
      </c>
      <c r="AO139" s="254">
        <f ca="1">O139</f>
        <v>0</v>
      </c>
      <c r="AP139" s="1130" t="str">
        <f>SUBSTITUTE(SUBSTITUTE(SUBSTITUTE("dch"&amp;$B139&amp;$C139&amp;$D139&amp;$E139,".","_"),"(","_"),")","")</f>
        <v>dch602_1_6_3</v>
      </c>
      <c r="AQ139" s="254" t="str">
        <f>IF(LEN(W139)=0,"",W139)</f>
        <v/>
      </c>
      <c r="AR139"/>
      <c r="AS139"/>
    </row>
    <row r="140" spans="1:61" x14ac:dyDescent="0.25">
      <c r="B140" s="77" t="s">
        <v>576</v>
      </c>
      <c r="C140" s="21" t="s">
        <v>260</v>
      </c>
      <c r="D140" s="21"/>
      <c r="E140" s="21"/>
      <c r="F140" s="21"/>
      <c r="G140" s="21"/>
      <c r="H140" s="758"/>
      <c r="I140" s="64"/>
      <c r="J140" s="4"/>
      <c r="K140" s="83"/>
      <c r="L140" s="1779"/>
      <c r="M140" s="1767"/>
      <c r="N140" s="4"/>
      <c r="O140" s="1780"/>
      <c r="P140" s="352"/>
      <c r="Q140" s="352"/>
      <c r="R140"/>
      <c r="S140"/>
      <c r="T140"/>
      <c r="U140"/>
      <c r="V140"/>
      <c r="W140"/>
      <c r="X140" s="1757"/>
      <c r="Z140"/>
      <c r="AB140"/>
      <c r="AC140"/>
      <c r="AD140"/>
      <c r="AE140"/>
      <c r="AF140"/>
      <c r="AG140"/>
      <c r="AH140"/>
      <c r="AI140"/>
      <c r="AJ140"/>
      <c r="AK140"/>
      <c r="AL140"/>
      <c r="AM140"/>
      <c r="AN140"/>
      <c r="AO140"/>
      <c r="AP140"/>
      <c r="AQ140"/>
      <c r="AR140"/>
      <c r="AS140"/>
    </row>
    <row r="141" spans="1:61" ht="15.75" thickBot="1" x14ac:dyDescent="0.3">
      <c r="B141" s="77" t="s">
        <v>576</v>
      </c>
      <c r="C141" s="21" t="s">
        <v>260</v>
      </c>
      <c r="D141" s="21"/>
      <c r="E141" s="21"/>
      <c r="F141" s="21"/>
      <c r="G141" s="21"/>
      <c r="H141" s="758"/>
      <c r="I141" s="64"/>
      <c r="J141" s="4"/>
      <c r="K141" s="83"/>
      <c r="L141" s="1779"/>
      <c r="M141" s="1767"/>
      <c r="N141" s="4"/>
      <c r="O141" s="1780"/>
      <c r="P141" s="352"/>
      <c r="Q141" s="352"/>
      <c r="R141"/>
      <c r="S141"/>
      <c r="T141"/>
      <c r="U141"/>
      <c r="V141"/>
      <c r="W141"/>
      <c r="X141" s="1798"/>
      <c r="Z141"/>
      <c r="AB141"/>
      <c r="AC141"/>
      <c r="AD141"/>
      <c r="AE141"/>
      <c r="AF141"/>
      <c r="AG141"/>
      <c r="AH141"/>
      <c r="AI141"/>
      <c r="AJ141"/>
      <c r="AK141"/>
      <c r="AL141"/>
      <c r="AM141"/>
      <c r="AN141"/>
      <c r="AO141"/>
      <c r="AP141"/>
      <c r="AQ141"/>
      <c r="AR141"/>
      <c r="AS141"/>
    </row>
    <row r="142" spans="1:61" ht="15.75" thickTop="1" x14ac:dyDescent="0.25">
      <c r="B142" s="77" t="s">
        <v>581</v>
      </c>
      <c r="C142" s="21"/>
      <c r="D142" s="21"/>
      <c r="E142" s="21"/>
      <c r="F142" s="21"/>
      <c r="G142" s="21"/>
      <c r="H142" s="758"/>
      <c r="I142" s="180" t="s">
        <v>581</v>
      </c>
      <c r="J142" s="181"/>
      <c r="K142" s="182"/>
      <c r="L142" s="1189" t="s">
        <v>582</v>
      </c>
      <c r="M142" s="423"/>
      <c r="N142" s="181"/>
      <c r="O142" s="500"/>
      <c r="P142" s="105"/>
      <c r="Q142" s="105"/>
      <c r="R142" s="105"/>
      <c r="S142" s="105"/>
      <c r="T142" s="105"/>
      <c r="U142" s="105"/>
      <c r="V142" s="105"/>
      <c r="W142" s="105"/>
      <c r="X142" s="105"/>
      <c r="Z142"/>
      <c r="AB142"/>
      <c r="AC142"/>
      <c r="AD142"/>
      <c r="AE142"/>
      <c r="AF142"/>
      <c r="AG142"/>
      <c r="AH142"/>
      <c r="AI142"/>
      <c r="AJ142"/>
      <c r="AK142"/>
      <c r="AL142"/>
      <c r="AM142"/>
      <c r="AN142"/>
      <c r="AO142"/>
      <c r="AP142"/>
      <c r="AQ142"/>
      <c r="AR142"/>
      <c r="AS142"/>
    </row>
    <row r="143" spans="1:61" x14ac:dyDescent="0.25">
      <c r="B143" s="679" t="s">
        <v>583</v>
      </c>
      <c r="C143" s="679"/>
      <c r="D143" s="21"/>
      <c r="E143" s="21"/>
      <c r="F143" s="21"/>
      <c r="G143" s="21"/>
      <c r="H143" s="758"/>
      <c r="I143" s="64" t="s">
        <v>583</v>
      </c>
      <c r="J143" s="4"/>
      <c r="K143" s="83"/>
      <c r="L143" s="1180" t="s">
        <v>584</v>
      </c>
      <c r="M143" s="428"/>
      <c r="N143" s="4"/>
      <c r="O143" s="141"/>
      <c r="P143" s="352"/>
      <c r="Q143" s="352"/>
      <c r="R143"/>
      <c r="S143"/>
      <c r="T143"/>
      <c r="U143"/>
      <c r="V143"/>
      <c r="W143"/>
      <c r="X143"/>
      <c r="Z143"/>
      <c r="AB143"/>
      <c r="AC143"/>
      <c r="AD143"/>
      <c r="AE143"/>
      <c r="AF143"/>
      <c r="AG143"/>
      <c r="AH143"/>
      <c r="AI143"/>
      <c r="AJ143"/>
      <c r="AK143"/>
      <c r="AL143"/>
      <c r="AM143"/>
      <c r="AN143"/>
      <c r="AO143"/>
      <c r="AP143"/>
      <c r="AQ143"/>
      <c r="AR143"/>
      <c r="AS143"/>
    </row>
    <row r="144" spans="1:61" x14ac:dyDescent="0.25">
      <c r="B144" s="679" t="s">
        <v>583</v>
      </c>
      <c r="C144" s="21" t="s">
        <v>256</v>
      </c>
      <c r="D144" s="21"/>
      <c r="E144" s="21"/>
      <c r="F144" s="21"/>
      <c r="G144" s="21"/>
      <c r="H144" s="758"/>
      <c r="I144" s="64"/>
      <c r="J144" s="183" t="s">
        <v>256</v>
      </c>
      <c r="K144" s="95"/>
      <c r="L144" s="1754" t="s">
        <v>585</v>
      </c>
      <c r="M144" s="1758">
        <v>2</v>
      </c>
      <c r="N144" s="129"/>
      <c r="O144" s="1774">
        <f>M144*S144*W144</f>
        <v>0</v>
      </c>
      <c r="P144" s="352" t="b">
        <v>1</v>
      </c>
      <c r="Q144" s="352" t="b">
        <v>0</v>
      </c>
      <c r="R144" s="126" t="b">
        <v>0</v>
      </c>
      <c r="S144" s="126" t="b">
        <v>1</v>
      </c>
      <c r="T144" s="126" t="b">
        <v>0</v>
      </c>
      <c r="U144"/>
      <c r="V144"/>
      <c r="W144" s="25"/>
      <c r="X144" s="1757"/>
      <c r="Z144"/>
      <c r="AB144"/>
      <c r="AC144"/>
      <c r="AD144"/>
      <c r="AE144"/>
      <c r="AF144"/>
      <c r="AG144"/>
      <c r="AH144"/>
      <c r="AI144"/>
      <c r="AJ144"/>
      <c r="AK144"/>
      <c r="AL144" s="254" t="str">
        <f>SUBSTITUTE(SUBSTITUTE(SUBSTITUTE("dpa"&amp;$B144&amp;$C144&amp;$D144&amp;$E144,".","_"),"(","_"),")","")</f>
        <v>dpa602_1_7_1_1</v>
      </c>
      <c r="AM144" s="254">
        <f>M144</f>
        <v>2</v>
      </c>
      <c r="AN144" s="254" t="str">
        <f>SUBSTITUTE(SUBSTITUTE(SUBSTITUTE("dpc"&amp;$B144&amp;$C144&amp;$D144&amp;$E144,".","_"),"(","_"),")","")</f>
        <v>dpc602_1_7_1_1</v>
      </c>
      <c r="AO144" s="254">
        <f>O144</f>
        <v>0</v>
      </c>
      <c r="AP144" s="1130" t="str">
        <f>SUBSTITUTE(SUBSTITUTE(SUBSTITUTE("dch"&amp;$B144&amp;$C144&amp;$D144&amp;$E144,".","_"),"(","_"),")","")</f>
        <v>dch602_1_7_1_1</v>
      </c>
      <c r="AQ144" s="254" t="str">
        <f>IF(LEN(W144)=0,"",W144)</f>
        <v/>
      </c>
      <c r="AR144" s="1130" t="str">
        <f>SUBSTITUTE(SUBSTITUTE(SUBSTITUTE("dnt"&amp;$B144&amp;$C144&amp;$D144&amp;$E144,".","_"),"(","_"),")","")</f>
        <v>dnt602_1_7_1_1</v>
      </c>
      <c r="AS144" s="254" t="str">
        <f>IF(LEN(X144)=0,"",X144)</f>
        <v/>
      </c>
    </row>
    <row r="145" spans="1:61" x14ac:dyDescent="0.25">
      <c r="B145" s="679" t="s">
        <v>583</v>
      </c>
      <c r="C145" s="21" t="s">
        <v>256</v>
      </c>
      <c r="D145" s="21"/>
      <c r="E145" s="21"/>
      <c r="F145" s="21"/>
      <c r="G145" s="21"/>
      <c r="H145" s="758"/>
      <c r="I145" s="64"/>
      <c r="J145" s="210"/>
      <c r="K145" s="175"/>
      <c r="L145" s="1755"/>
      <c r="M145" s="1759"/>
      <c r="N145" s="210"/>
      <c r="O145" s="1764"/>
      <c r="P145" s="352"/>
      <c r="Q145" s="352"/>
      <c r="R145"/>
      <c r="S145"/>
      <c r="T145"/>
      <c r="U145"/>
      <c r="V145"/>
      <c r="W145"/>
      <c r="X145" s="1757"/>
      <c r="Z145"/>
      <c r="AB145"/>
      <c r="AC145"/>
      <c r="AD145"/>
      <c r="AE145"/>
      <c r="AF145"/>
      <c r="AG145"/>
      <c r="AH145"/>
      <c r="AI145"/>
      <c r="AJ145"/>
      <c r="AK145"/>
      <c r="AL145"/>
      <c r="AM145"/>
      <c r="AN145"/>
      <c r="AO145"/>
      <c r="AP145"/>
      <c r="AQ145"/>
      <c r="AR145"/>
      <c r="AS145"/>
      <c r="AX145" s="132"/>
      <c r="AY145" s="132"/>
    </row>
    <row r="146" spans="1:61" x14ac:dyDescent="0.25">
      <c r="B146" s="679" t="s">
        <v>583</v>
      </c>
      <c r="C146" s="21" t="s">
        <v>258</v>
      </c>
      <c r="D146" s="21"/>
      <c r="E146" s="21"/>
      <c r="F146" s="21"/>
      <c r="G146" s="21"/>
      <c r="H146" s="758"/>
      <c r="I146" s="64"/>
      <c r="J146" s="183" t="s">
        <v>258</v>
      </c>
      <c r="K146" s="95"/>
      <c r="L146" s="1754" t="s">
        <v>586</v>
      </c>
      <c r="M146" s="1857" t="str">
        <f>IF(R146,"Mandatory
2","N/A")</f>
        <v>Mandatory
2</v>
      </c>
      <c r="N146" s="129"/>
      <c r="O146" s="1774">
        <f>IF(AND(S146,W146="Met"),2,0)</f>
        <v>0</v>
      </c>
      <c r="P146" s="352" t="b">
        <v>1</v>
      </c>
      <c r="Q146" s="352" t="b">
        <v>0</v>
      </c>
      <c r="R146" s="140" t="b">
        <f>S146</f>
        <v>1</v>
      </c>
      <c r="S146" s="126" t="b">
        <v>1</v>
      </c>
      <c r="T146" s="126" t="b">
        <v>0</v>
      </c>
      <c r="U146" s="94" t="str">
        <f>SUBSTITUTE(SUBSTITUTE(SUBSTITUTE("dd"&amp;B146&amp;C146&amp;D146&amp;E146&amp;F146,".","_"),"(","_"),")","")</f>
        <v>dd602_1_7_1_2</v>
      </c>
      <c r="V146"/>
      <c r="W146" s="12"/>
      <c r="X146" s="1757"/>
      <c r="Z146"/>
      <c r="AB146"/>
      <c r="AC146" s="132" t="b">
        <f>OR(AD146:AE146)</f>
        <v>1</v>
      </c>
      <c r="AD146" s="132" t="b">
        <v>0</v>
      </c>
      <c r="AE146" s="132" t="b">
        <f>OR(AND(R146,NOT(W146="Met"),NOT(W146="N/A")),AND(W146="N/A",ISBLANK(X146)))</f>
        <v>1</v>
      </c>
      <c r="AF146"/>
      <c r="AG146"/>
      <c r="AH146"/>
      <c r="AI146"/>
      <c r="AJ146"/>
      <c r="AK146"/>
      <c r="AL146" s="254" t="str">
        <f>SUBSTITUTE(SUBSTITUTE(SUBSTITUTE("dpa"&amp;$B146&amp;$C146&amp;$D146&amp;$E146,".","_"),"(","_"),")","")</f>
        <v>dpa602_1_7_1_2</v>
      </c>
      <c r="AM146" s="254" t="str">
        <f>M146</f>
        <v>Mandatory
2</v>
      </c>
      <c r="AN146" s="254" t="str">
        <f>SUBSTITUTE(SUBSTITUTE(SUBSTITUTE("dpc"&amp;$B146&amp;$C146&amp;$D146&amp;$E146,".","_"),"(","_"),")","")</f>
        <v>dpc602_1_7_1_2</v>
      </c>
      <c r="AO146" s="254">
        <f>O146</f>
        <v>0</v>
      </c>
      <c r="AP146" s="1130" t="str">
        <f>SUBSTITUTE(SUBSTITUTE(SUBSTITUTE("dch"&amp;$B146&amp;$C146&amp;$D146&amp;$E146,".","_"),"(","_"),")","")</f>
        <v>dch602_1_7_1_2</v>
      </c>
      <c r="AQ146" s="254" t="str">
        <f>IF(LEN(W146)=0,"",W146)</f>
        <v/>
      </c>
      <c r="AR146" s="1130" t="str">
        <f>SUBSTITUTE(SUBSTITUTE(SUBSTITUTE("dnt"&amp;$B146&amp;$C146&amp;$D146&amp;$E146,".","_"),"(","_"),")","")</f>
        <v>dnt602_1_7_1_2</v>
      </c>
      <c r="AS146" s="254" t="str">
        <f>IF(LEN(X146)=0,"",X146)</f>
        <v/>
      </c>
    </row>
    <row r="147" spans="1:61" x14ac:dyDescent="0.25">
      <c r="B147" s="679" t="s">
        <v>583</v>
      </c>
      <c r="C147" s="21" t="s">
        <v>258</v>
      </c>
      <c r="D147" s="21"/>
      <c r="E147" s="21"/>
      <c r="F147" s="21"/>
      <c r="G147" s="21"/>
      <c r="H147" s="758"/>
      <c r="I147" s="64"/>
      <c r="J147" s="129"/>
      <c r="K147" s="95"/>
      <c r="L147" s="1754"/>
      <c r="M147" s="1857"/>
      <c r="N147" s="129"/>
      <c r="O147" s="1774"/>
      <c r="P147" s="352"/>
      <c r="Q147" s="352"/>
      <c r="R147"/>
      <c r="S147"/>
      <c r="T147"/>
      <c r="U147"/>
      <c r="V147"/>
      <c r="W147"/>
      <c r="X147" s="1757"/>
      <c r="Z147"/>
      <c r="AB147"/>
      <c r="AC147" s="140"/>
      <c r="AD147" s="140"/>
      <c r="AE147" s="140"/>
      <c r="AF147"/>
      <c r="AG147"/>
      <c r="AH147"/>
      <c r="AI147"/>
      <c r="AJ147"/>
      <c r="AK147"/>
      <c r="AL147"/>
      <c r="AM147"/>
      <c r="AN147"/>
      <c r="AO147"/>
      <c r="AP147"/>
      <c r="AQ147"/>
      <c r="AR147"/>
      <c r="AS147"/>
      <c r="AZ147" s="132"/>
      <c r="BA147" s="132"/>
      <c r="BB147" s="132"/>
      <c r="BC147" s="132"/>
      <c r="BD147" s="132"/>
      <c r="BE147" s="132"/>
      <c r="BF147" s="132"/>
      <c r="BG147" s="132"/>
      <c r="BH147" s="132"/>
      <c r="BI147" s="132"/>
    </row>
    <row r="148" spans="1:61" s="132" customFormat="1" x14ac:dyDescent="0.25">
      <c r="A148" s="18"/>
      <c r="B148" s="679" t="s">
        <v>583</v>
      </c>
      <c r="C148" s="21" t="s">
        <v>258</v>
      </c>
      <c r="D148" s="21"/>
      <c r="E148" s="21"/>
      <c r="F148" s="21"/>
      <c r="G148" s="21"/>
      <c r="H148" s="758"/>
      <c r="I148" s="64"/>
      <c r="J148" s="210"/>
      <c r="K148" s="175"/>
      <c r="L148" s="1177" t="s">
        <v>1105</v>
      </c>
      <c r="M148" s="1858"/>
      <c r="N148" s="210"/>
      <c r="O148" s="1764"/>
      <c r="P148" s="352"/>
      <c r="Q148" s="352"/>
      <c r="X148" s="1757"/>
      <c r="Y148" s="780"/>
      <c r="AA148" s="783"/>
      <c r="AX148" s="63"/>
      <c r="AY148" s="63"/>
      <c r="AZ148" s="63"/>
      <c r="BA148" s="63"/>
      <c r="BB148" s="63"/>
      <c r="BC148" s="63"/>
      <c r="BD148" s="63"/>
      <c r="BE148" s="63"/>
      <c r="BF148" s="63"/>
      <c r="BG148" s="63"/>
      <c r="BH148" s="63"/>
      <c r="BI148" s="63"/>
    </row>
    <row r="149" spans="1:61" x14ac:dyDescent="0.25">
      <c r="B149" s="679" t="s">
        <v>583</v>
      </c>
      <c r="C149" s="21" t="s">
        <v>260</v>
      </c>
      <c r="D149" s="21"/>
      <c r="E149" s="21"/>
      <c r="F149" s="21"/>
      <c r="G149" s="21"/>
      <c r="H149" s="758"/>
      <c r="I149" s="130"/>
      <c r="J149" s="183" t="s">
        <v>260</v>
      </c>
      <c r="K149" s="95"/>
      <c r="L149" s="1754" t="s">
        <v>587</v>
      </c>
      <c r="M149" s="1788">
        <v>4</v>
      </c>
      <c r="N149" s="129"/>
      <c r="O149" s="1774">
        <f>M149*S149*W149</f>
        <v>0</v>
      </c>
      <c r="P149" s="352" t="b">
        <v>1</v>
      </c>
      <c r="Q149" s="352" t="b">
        <v>0</v>
      </c>
      <c r="R149" s="126" t="b">
        <v>0</v>
      </c>
      <c r="S149" s="126" t="b">
        <v>1</v>
      </c>
      <c r="T149" s="126" t="b">
        <v>0</v>
      </c>
      <c r="U149"/>
      <c r="V149"/>
      <c r="W149" s="25"/>
      <c r="X149" s="1757"/>
      <c r="Z149"/>
      <c r="AB149"/>
      <c r="AC149"/>
      <c r="AD149"/>
      <c r="AE149"/>
      <c r="AF149"/>
      <c r="AG149"/>
      <c r="AH149"/>
      <c r="AI149"/>
      <c r="AJ149"/>
      <c r="AK149"/>
      <c r="AL149" s="254" t="str">
        <f>SUBSTITUTE(SUBSTITUTE(SUBSTITUTE("dpa"&amp;$B149&amp;$C149&amp;$D149&amp;$E149,".","_"),"(","_"),")","")</f>
        <v>dpa602_1_7_1_3</v>
      </c>
      <c r="AM149" s="254">
        <f>M149</f>
        <v>4</v>
      </c>
      <c r="AN149" s="254" t="str">
        <f>SUBSTITUTE(SUBSTITUTE(SUBSTITUTE("dpc"&amp;$B149&amp;$C149&amp;$D149&amp;$E149,".","_"),"(","_"),")","")</f>
        <v>dpc602_1_7_1_3</v>
      </c>
      <c r="AO149" s="254">
        <f>O149</f>
        <v>0</v>
      </c>
      <c r="AP149" s="1130" t="str">
        <f>SUBSTITUTE(SUBSTITUTE(SUBSTITUTE("dch"&amp;$B149&amp;$C149&amp;$D149&amp;$E149,".","_"),"(","_"),")","")</f>
        <v>dch602_1_7_1_3</v>
      </c>
      <c r="AQ149" s="254" t="str">
        <f>IF(LEN(W149)=0,"",W149)</f>
        <v/>
      </c>
      <c r="AR149" s="1130" t="str">
        <f>SUBSTITUTE(SUBSTITUTE(SUBSTITUTE("dnt"&amp;$B149&amp;$C149&amp;$D149&amp;$E149,".","_"),"(","_"),")","")</f>
        <v>dnt602_1_7_1_3</v>
      </c>
      <c r="AS149" s="254" t="str">
        <f>IF(LEN(X149)=0,"",X149)</f>
        <v/>
      </c>
    </row>
    <row r="150" spans="1:61" x14ac:dyDescent="0.25">
      <c r="B150" s="679" t="s">
        <v>583</v>
      </c>
      <c r="C150" s="21" t="s">
        <v>260</v>
      </c>
      <c r="D150" s="21"/>
      <c r="E150" s="21"/>
      <c r="F150" s="21"/>
      <c r="G150" s="21"/>
      <c r="H150" s="758"/>
      <c r="I150" s="215"/>
      <c r="J150" s="210"/>
      <c r="K150" s="175"/>
      <c r="L150" s="1755"/>
      <c r="M150" s="1865"/>
      <c r="N150" s="210"/>
      <c r="O150" s="1764"/>
      <c r="P150" s="352"/>
      <c r="Q150" s="352"/>
      <c r="R150"/>
      <c r="S150"/>
      <c r="T150"/>
      <c r="U150"/>
      <c r="V150"/>
      <c r="W150"/>
      <c r="X150" s="1757"/>
      <c r="Z150"/>
      <c r="AB150"/>
      <c r="AC150"/>
      <c r="AD150"/>
      <c r="AE150"/>
      <c r="AF150"/>
      <c r="AG150"/>
      <c r="AH150"/>
      <c r="AI150"/>
      <c r="AJ150"/>
      <c r="AK150"/>
      <c r="AL150"/>
      <c r="AM150"/>
      <c r="AN150"/>
      <c r="AO150"/>
      <c r="AP150"/>
      <c r="AQ150"/>
      <c r="AR150"/>
      <c r="AS150"/>
    </row>
    <row r="151" spans="1:61" ht="15" customHeight="1" x14ac:dyDescent="0.25">
      <c r="B151" s="679" t="s">
        <v>588</v>
      </c>
      <c r="C151" s="679"/>
      <c r="D151" s="21"/>
      <c r="E151" s="21"/>
      <c r="F151" s="21"/>
      <c r="G151" s="21"/>
      <c r="H151" s="758"/>
      <c r="I151" s="192" t="s">
        <v>589</v>
      </c>
      <c r="J151" s="193"/>
      <c r="K151" s="194"/>
      <c r="L151" s="1864" t="s">
        <v>590</v>
      </c>
      <c r="M151" s="1762">
        <v>2</v>
      </c>
      <c r="N151" s="193"/>
      <c r="O151" s="1763">
        <f>M151*S151*W151</f>
        <v>0</v>
      </c>
      <c r="P151" s="352" t="b">
        <v>1</v>
      </c>
      <c r="Q151" s="352" t="b">
        <v>1</v>
      </c>
      <c r="R151" s="126" t="b">
        <v>0</v>
      </c>
      <c r="S151" s="126" t="b">
        <v>1</v>
      </c>
      <c r="T151" s="126" t="b">
        <v>0</v>
      </c>
      <c r="U151"/>
      <c r="V151"/>
      <c r="W151" s="25"/>
      <c r="X151" s="1757"/>
      <c r="Z151"/>
      <c r="AB151"/>
      <c r="AC151"/>
      <c r="AD151"/>
      <c r="AE151"/>
      <c r="AF151"/>
      <c r="AG151"/>
      <c r="AH151"/>
      <c r="AI151"/>
      <c r="AJ151"/>
      <c r="AK151"/>
      <c r="AL151" s="254" t="str">
        <f>SUBSTITUTE(SUBSTITUTE(SUBSTITUTE("dpa"&amp;$B151&amp;$C151&amp;$D151&amp;$E151,".","_"),"(","_"),")","")</f>
        <v>dpa602_1_7_2</v>
      </c>
      <c r="AM151" s="254">
        <f>M151</f>
        <v>2</v>
      </c>
      <c r="AN151" s="254" t="str">
        <f>SUBSTITUTE(SUBSTITUTE(SUBSTITUTE("dpc"&amp;$B151&amp;$C151&amp;$D151&amp;$E151,".","_"),"(","_"),")","")</f>
        <v>dpc602_1_7_2</v>
      </c>
      <c r="AO151" s="254">
        <f>O151</f>
        <v>0</v>
      </c>
      <c r="AP151" s="1130" t="str">
        <f>SUBSTITUTE(SUBSTITUTE(SUBSTITUTE("dch"&amp;$B151&amp;$C151&amp;$D151&amp;$E151,".","_"),"(","_"),")","")</f>
        <v>dch602_1_7_2</v>
      </c>
      <c r="AQ151" s="254" t="str">
        <f>IF(LEN(W151)=0,"",W151)</f>
        <v/>
      </c>
      <c r="AR151" s="1130" t="str">
        <f>SUBSTITUTE(SUBSTITUTE(SUBSTITUTE("dnt"&amp;$B151&amp;$C151&amp;$D151&amp;$E151,".","_"),"(","_"),")","")</f>
        <v>dnt602_1_7_2</v>
      </c>
      <c r="AS151" s="254" t="str">
        <f>IF(LEN(X151)=0,"",X151)</f>
        <v/>
      </c>
    </row>
    <row r="152" spans="1:61" x14ac:dyDescent="0.25">
      <c r="B152" s="77" t="s">
        <v>588</v>
      </c>
      <c r="C152" s="77"/>
      <c r="D152" s="21"/>
      <c r="E152" s="21"/>
      <c r="F152" s="21"/>
      <c r="G152" s="21"/>
      <c r="H152" s="758"/>
      <c r="I152" s="215"/>
      <c r="J152" s="210"/>
      <c r="K152" s="175"/>
      <c r="L152" s="1843"/>
      <c r="M152" s="1759"/>
      <c r="N152" s="210"/>
      <c r="O152" s="1764"/>
      <c r="P152" s="352"/>
      <c r="Q152" s="352"/>
      <c r="R152"/>
      <c r="S152"/>
      <c r="T152"/>
      <c r="U152"/>
      <c r="V152"/>
      <c r="W152"/>
      <c r="X152" s="1757"/>
      <c r="Z152"/>
      <c r="AB152"/>
      <c r="AC152"/>
      <c r="AD152"/>
      <c r="AE152"/>
      <c r="AF152"/>
      <c r="AG152"/>
      <c r="AH152"/>
      <c r="AI152"/>
      <c r="AJ152"/>
      <c r="AK152"/>
      <c r="AL152"/>
      <c r="AM152"/>
      <c r="AN152"/>
      <c r="AO152"/>
      <c r="AP152"/>
      <c r="AQ152"/>
      <c r="AR152"/>
      <c r="AS152"/>
    </row>
    <row r="153" spans="1:61" x14ac:dyDescent="0.25">
      <c r="B153" s="77" t="s">
        <v>591</v>
      </c>
      <c r="C153" s="77"/>
      <c r="D153" s="21"/>
      <c r="E153" s="21"/>
      <c r="F153" s="21"/>
      <c r="G153" s="21"/>
      <c r="H153" s="758"/>
      <c r="I153" s="64" t="s">
        <v>592</v>
      </c>
      <c r="J153" s="4"/>
      <c r="K153" s="83"/>
      <c r="L153" s="1796" t="s">
        <v>593</v>
      </c>
      <c r="M153" s="1767">
        <v>4</v>
      </c>
      <c r="N153" s="4"/>
      <c r="O153" s="1780">
        <f>M153*S153*W153</f>
        <v>0</v>
      </c>
      <c r="P153" s="352" t="b">
        <v>1</v>
      </c>
      <c r="Q153" s="352" t="b">
        <v>0</v>
      </c>
      <c r="R153" s="126" t="b">
        <v>0</v>
      </c>
      <c r="S153" s="126" t="b">
        <v>1</v>
      </c>
      <c r="T153" s="126" t="b">
        <v>0</v>
      </c>
      <c r="U153"/>
      <c r="V153"/>
      <c r="W153" s="25"/>
      <c r="X153" s="1757"/>
      <c r="Z153"/>
      <c r="AB153"/>
      <c r="AC153"/>
      <c r="AD153"/>
      <c r="AE153"/>
      <c r="AF153"/>
      <c r="AG153"/>
      <c r="AH153"/>
      <c r="AI153"/>
      <c r="AJ153"/>
      <c r="AK153"/>
      <c r="AL153" s="254" t="str">
        <f>SUBSTITUTE(SUBSTITUTE(SUBSTITUTE("dpa"&amp;$B153&amp;$C153&amp;$D153&amp;$E153,".","_"),"(","_"),")","")</f>
        <v>dpa602_1_7_3</v>
      </c>
      <c r="AM153" s="254">
        <f>M153</f>
        <v>4</v>
      </c>
      <c r="AN153" s="254" t="str">
        <f>SUBSTITUTE(SUBSTITUTE(SUBSTITUTE("dpc"&amp;$B153&amp;$C153&amp;$D153&amp;$E153,".","_"),"(","_"),")","")</f>
        <v>dpc602_1_7_3</v>
      </c>
      <c r="AO153" s="254">
        <f>O153</f>
        <v>0</v>
      </c>
      <c r="AP153" s="1130" t="str">
        <f>SUBSTITUTE(SUBSTITUTE(SUBSTITUTE("dch"&amp;$B153&amp;$C153&amp;$D153&amp;$E153,".","_"),"(","_"),")","")</f>
        <v>dch602_1_7_3</v>
      </c>
      <c r="AQ153" s="254" t="str">
        <f>IF(LEN(W153)=0,"",W153)</f>
        <v/>
      </c>
      <c r="AR153" s="1130" t="str">
        <f>SUBSTITUTE(SUBSTITUTE(SUBSTITUTE("dnt"&amp;$B153&amp;$C153&amp;$D153&amp;$E153,".","_"),"(","_"),")","")</f>
        <v>dnt602_1_7_3</v>
      </c>
      <c r="AS153" s="254" t="str">
        <f>IF(LEN(X153)=0,"",X153)</f>
        <v/>
      </c>
    </row>
    <row r="154" spans="1:61" x14ac:dyDescent="0.25">
      <c r="B154" s="77" t="s">
        <v>591</v>
      </c>
      <c r="C154" s="77"/>
      <c r="D154" s="21"/>
      <c r="E154" s="21"/>
      <c r="F154" s="21"/>
      <c r="G154" s="21"/>
      <c r="H154" s="758"/>
      <c r="I154" s="64"/>
      <c r="J154" s="4"/>
      <c r="K154" s="83"/>
      <c r="L154" s="1796"/>
      <c r="M154" s="1767"/>
      <c r="N154" s="4"/>
      <c r="O154" s="1780"/>
      <c r="P154" s="352"/>
      <c r="Q154" s="352"/>
      <c r="R154"/>
      <c r="S154"/>
      <c r="T154"/>
      <c r="U154"/>
      <c r="V154"/>
      <c r="W154"/>
      <c r="X154" s="1757"/>
      <c r="Z154"/>
      <c r="AB154"/>
      <c r="AC154"/>
      <c r="AD154"/>
      <c r="AE154"/>
      <c r="AF154"/>
      <c r="AG154"/>
      <c r="AH154"/>
      <c r="AI154"/>
      <c r="AJ154"/>
      <c r="AK154"/>
      <c r="AL154"/>
      <c r="AM154"/>
      <c r="AN154"/>
      <c r="AO154"/>
      <c r="AP154"/>
      <c r="AQ154"/>
      <c r="AR154"/>
      <c r="AS154"/>
    </row>
    <row r="155" spans="1:61" x14ac:dyDescent="0.25">
      <c r="B155" s="77" t="s">
        <v>591</v>
      </c>
      <c r="C155" s="77"/>
      <c r="D155" s="21"/>
      <c r="E155" s="21"/>
      <c r="F155" s="21"/>
      <c r="G155" s="21"/>
      <c r="H155" s="758"/>
      <c r="I155" s="64"/>
      <c r="J155" s="4"/>
      <c r="K155" s="83"/>
      <c r="L155" s="1796"/>
      <c r="M155" s="1767"/>
      <c r="N155" s="4"/>
      <c r="O155" s="1780"/>
      <c r="P155" s="352"/>
      <c r="Q155" s="352"/>
      <c r="R155"/>
      <c r="S155"/>
      <c r="T155"/>
      <c r="U155"/>
      <c r="V155"/>
      <c r="W155"/>
      <c r="X155" s="1757"/>
      <c r="Z155"/>
      <c r="AB155"/>
      <c r="AC155"/>
      <c r="AD155"/>
      <c r="AE155"/>
      <c r="AF155"/>
      <c r="AG155"/>
      <c r="AH155"/>
      <c r="AI155"/>
      <c r="AJ155"/>
      <c r="AK155"/>
      <c r="AL155"/>
      <c r="AM155"/>
      <c r="AN155"/>
      <c r="AO155"/>
      <c r="AP155"/>
      <c r="AQ155"/>
      <c r="AR155"/>
      <c r="AS155"/>
    </row>
    <row r="156" spans="1:61" ht="15.75" thickBot="1" x14ac:dyDescent="0.3">
      <c r="B156" s="77" t="s">
        <v>591</v>
      </c>
      <c r="C156" s="77"/>
      <c r="D156" s="21"/>
      <c r="E156" s="21"/>
      <c r="F156" s="21"/>
      <c r="G156" s="21"/>
      <c r="H156" s="758"/>
      <c r="I156" s="64"/>
      <c r="J156" s="4"/>
      <c r="K156" s="83"/>
      <c r="L156" s="1796"/>
      <c r="M156" s="1767"/>
      <c r="N156" s="4"/>
      <c r="O156" s="1780"/>
      <c r="P156" s="352"/>
      <c r="Q156" s="352"/>
      <c r="R156"/>
      <c r="S156"/>
      <c r="T156"/>
      <c r="U156"/>
      <c r="V156"/>
      <c r="W156" s="112"/>
      <c r="X156" s="1798"/>
      <c r="Z156"/>
      <c r="AB156"/>
      <c r="AC156"/>
      <c r="AD156"/>
      <c r="AE156"/>
      <c r="AF156"/>
      <c r="AG156"/>
      <c r="AH156"/>
      <c r="AI156"/>
      <c r="AJ156"/>
      <c r="AK156"/>
      <c r="AL156"/>
      <c r="AM156"/>
      <c r="AN156"/>
      <c r="AO156"/>
      <c r="AP156"/>
      <c r="AQ156"/>
      <c r="AR156"/>
      <c r="AS156"/>
      <c r="AX156" s="140"/>
      <c r="AY156" s="140"/>
    </row>
    <row r="157" spans="1:61" ht="15.75" thickTop="1" x14ac:dyDescent="0.25">
      <c r="B157" s="77" t="s">
        <v>594</v>
      </c>
      <c r="C157" s="21"/>
      <c r="D157" s="21"/>
      <c r="E157" s="21"/>
      <c r="F157" s="21"/>
      <c r="G157" s="21"/>
      <c r="H157" s="758"/>
      <c r="I157" s="180" t="s">
        <v>594</v>
      </c>
      <c r="J157" s="181"/>
      <c r="K157" s="182"/>
      <c r="L157" s="1781" t="s">
        <v>595</v>
      </c>
      <c r="M157" s="1856" t="str">
        <f>IF(R157,"Mandatory","N/A")</f>
        <v>Mandatory</v>
      </c>
      <c r="N157" s="181"/>
      <c r="O157" s="500"/>
      <c r="P157" s="352" t="b">
        <v>1</v>
      </c>
      <c r="Q157" s="352" t="b">
        <v>0</v>
      </c>
      <c r="R157" s="105" t="b">
        <f>S157</f>
        <v>1</v>
      </c>
      <c r="S157" s="105" t="b">
        <v>1</v>
      </c>
      <c r="T157" s="105" t="b">
        <v>0</v>
      </c>
      <c r="U157" s="105" t="str">
        <f>SUBSTITUTE(SUBSTITUTE(SUBSTITUTE("dd"&amp;B157&amp;C157&amp;D157&amp;E157&amp;F157,".","_"),"(","_"),")","")</f>
        <v>dd602_1_8</v>
      </c>
      <c r="V157" s="105"/>
      <c r="W157" s="255"/>
      <c r="X157" s="1784"/>
      <c r="Z157"/>
      <c r="AB157"/>
      <c r="AC157" s="132" t="b">
        <f>OR(AD157:AE157)</f>
        <v>1</v>
      </c>
      <c r="AD157" s="970" t="b">
        <v>0</v>
      </c>
      <c r="AE157" s="140" t="b">
        <f>OR(AND(R157,NOT(W157="Met"),NOT(W157="N/A")),AND(W157="N/A",ISBLANK(X157)))</f>
        <v>1</v>
      </c>
      <c r="AF157"/>
      <c r="AG157"/>
      <c r="AH157"/>
      <c r="AI157"/>
      <c r="AJ157"/>
      <c r="AK157"/>
      <c r="AL157" s="254" t="str">
        <f>SUBSTITUTE(SUBSTITUTE(SUBSTITUTE("dpa"&amp;$B157&amp;$C157&amp;$D157&amp;$E157,".","_"),"(","_"),")","")</f>
        <v>dpa602_1_8</v>
      </c>
      <c r="AM157" s="254" t="str">
        <f>M157</f>
        <v>Mandatory</v>
      </c>
      <c r="AN157"/>
      <c r="AO157"/>
      <c r="AP157" s="1130" t="str">
        <f>SUBSTITUTE(SUBSTITUTE(SUBSTITUTE("dch"&amp;$B157&amp;$C157&amp;$D157&amp;$E157,".","_"),"(","_"),")","")</f>
        <v>dch602_1_8</v>
      </c>
      <c r="AQ157" s="254" t="str">
        <f>IF(LEN(W157)=0,"",W157)</f>
        <v/>
      </c>
      <c r="AR157" s="1130" t="str">
        <f>SUBSTITUTE(SUBSTITUTE(SUBSTITUTE("dnt"&amp;$B157&amp;$C157&amp;$D157&amp;$E157,".","_"),"(","_"),")","")</f>
        <v>dnt602_1_8</v>
      </c>
      <c r="AS157" s="254" t="str">
        <f>IF(LEN(X157)=0,"",X157)</f>
        <v/>
      </c>
    </row>
    <row r="158" spans="1:61" x14ac:dyDescent="0.25">
      <c r="B158" s="77" t="s">
        <v>594</v>
      </c>
      <c r="C158" s="21"/>
      <c r="D158" s="21"/>
      <c r="E158" s="21"/>
      <c r="F158" s="21"/>
      <c r="G158" s="21"/>
      <c r="H158" s="758"/>
      <c r="I158" s="130"/>
      <c r="J158" s="129"/>
      <c r="K158" s="95"/>
      <c r="L158" s="1782"/>
      <c r="M158" s="1837"/>
      <c r="N158" s="129"/>
      <c r="O158" s="239"/>
      <c r="P158" s="94"/>
      <c r="Q158" s="94"/>
      <c r="R158" s="94"/>
      <c r="S158" s="94"/>
      <c r="T158" s="94"/>
      <c r="U158" s="94"/>
      <c r="V158" s="94"/>
      <c r="W158" s="94"/>
      <c r="X158" s="1770"/>
      <c r="Z158"/>
      <c r="AB158"/>
      <c r="AC158"/>
      <c r="AD158"/>
      <c r="AE158"/>
      <c r="AF158"/>
      <c r="AG158"/>
      <c r="AH158"/>
      <c r="AI158"/>
      <c r="AJ158"/>
      <c r="AK158"/>
      <c r="AL158"/>
      <c r="AM158"/>
      <c r="AN158"/>
      <c r="AO158"/>
      <c r="AP158"/>
      <c r="AQ158"/>
      <c r="AR158"/>
      <c r="AS158"/>
      <c r="AZ158" s="140"/>
      <c r="BA158" s="140"/>
      <c r="BB158" s="140"/>
      <c r="BC158" s="140"/>
      <c r="BD158" s="140"/>
      <c r="BE158" s="140"/>
      <c r="BF158" s="140"/>
      <c r="BG158" s="140"/>
      <c r="BH158" s="140"/>
      <c r="BI158" s="140"/>
    </row>
    <row r="159" spans="1:61" s="140" customFormat="1" ht="15.75" thickBot="1" x14ac:dyDescent="0.3">
      <c r="A159" s="18"/>
      <c r="B159" s="77" t="s">
        <v>594</v>
      </c>
      <c r="C159" s="21"/>
      <c r="D159" s="21"/>
      <c r="E159" s="21"/>
      <c r="F159" s="21"/>
      <c r="G159" s="21"/>
      <c r="H159" s="758"/>
      <c r="I159" s="130"/>
      <c r="J159" s="129"/>
      <c r="K159" s="95"/>
      <c r="L159" s="1172" t="s">
        <v>1105</v>
      </c>
      <c r="M159" s="1837"/>
      <c r="N159" s="129"/>
      <c r="O159" s="239"/>
      <c r="P159" s="94"/>
      <c r="Q159" s="94"/>
      <c r="R159" s="94"/>
      <c r="S159" s="94"/>
      <c r="T159" s="94"/>
      <c r="U159" s="94"/>
      <c r="V159" s="94"/>
      <c r="W159" s="94"/>
      <c r="X159" s="1798"/>
      <c r="Y159" s="780"/>
      <c r="AA159" s="783"/>
      <c r="AX159" s="63"/>
      <c r="AY159" s="63"/>
      <c r="AZ159" s="63"/>
      <c r="BA159" s="63"/>
      <c r="BB159" s="63"/>
      <c r="BC159" s="63"/>
      <c r="BD159" s="63"/>
      <c r="BE159" s="63"/>
      <c r="BF159" s="63"/>
      <c r="BG159" s="63"/>
      <c r="BH159" s="63"/>
      <c r="BI159" s="63"/>
    </row>
    <row r="160" spans="1:61" ht="15.75" thickTop="1" x14ac:dyDescent="0.25">
      <c r="B160" s="77" t="s">
        <v>596</v>
      </c>
      <c r="C160" s="21"/>
      <c r="D160" s="21"/>
      <c r="E160" s="21"/>
      <c r="F160" s="21"/>
      <c r="G160" s="21"/>
      <c r="H160" s="758"/>
      <c r="I160" s="180" t="s">
        <v>596</v>
      </c>
      <c r="J160" s="181"/>
      <c r="K160" s="182"/>
      <c r="L160" s="1781" t="s">
        <v>597</v>
      </c>
      <c r="M160" s="423"/>
      <c r="N160" s="181"/>
      <c r="O160" s="500"/>
      <c r="P160" s="105"/>
      <c r="Q160" s="105"/>
      <c r="R160" s="105"/>
      <c r="S160" s="105"/>
      <c r="T160" s="105"/>
      <c r="U160" s="105"/>
      <c r="V160" s="105"/>
      <c r="W160" s="105"/>
      <c r="X160" s="105"/>
      <c r="Z160"/>
      <c r="AB160"/>
      <c r="AC160"/>
      <c r="AD160"/>
      <c r="AE160"/>
      <c r="AF160"/>
      <c r="AG160"/>
      <c r="AH160"/>
      <c r="AI160"/>
      <c r="AJ160"/>
      <c r="AK160"/>
      <c r="AL160"/>
      <c r="AM160"/>
      <c r="AN160"/>
      <c r="AO160"/>
      <c r="AP160"/>
      <c r="AQ160"/>
      <c r="AR160"/>
      <c r="AS160"/>
    </row>
    <row r="161" spans="2:45" x14ac:dyDescent="0.25">
      <c r="B161" s="77" t="s">
        <v>596</v>
      </c>
      <c r="C161" s="21"/>
      <c r="D161" s="21"/>
      <c r="E161" s="21"/>
      <c r="F161" s="21"/>
      <c r="G161" s="21"/>
      <c r="H161" s="758"/>
      <c r="I161" s="130"/>
      <c r="J161" s="129"/>
      <c r="K161" s="95"/>
      <c r="L161" s="1782"/>
      <c r="M161" s="424"/>
      <c r="N161" s="129"/>
      <c r="O161" s="239"/>
      <c r="P161" s="94"/>
      <c r="Q161" s="94"/>
      <c r="R161" s="94"/>
      <c r="S161" s="94"/>
      <c r="T161" s="94"/>
      <c r="U161" s="94"/>
      <c r="V161" s="94"/>
      <c r="W161" s="94"/>
      <c r="X161" s="94"/>
      <c r="Z161"/>
      <c r="AB161"/>
      <c r="AC161"/>
      <c r="AD161"/>
      <c r="AE161"/>
      <c r="AF161"/>
      <c r="AG161"/>
      <c r="AH161"/>
      <c r="AI161"/>
      <c r="AJ161"/>
      <c r="AK161"/>
      <c r="AL161"/>
      <c r="AM161"/>
      <c r="AN161"/>
      <c r="AO161"/>
      <c r="AP161"/>
      <c r="AQ161"/>
      <c r="AR161"/>
      <c r="AS161"/>
    </row>
    <row r="162" spans="2:45" x14ac:dyDescent="0.25">
      <c r="B162" s="77" t="s">
        <v>596</v>
      </c>
      <c r="C162" s="21"/>
      <c r="D162" s="21"/>
      <c r="E162" s="21"/>
      <c r="F162" s="21"/>
      <c r="G162" s="21"/>
      <c r="H162" s="758"/>
      <c r="I162" s="130"/>
      <c r="J162" s="129"/>
      <c r="K162" s="95"/>
      <c r="L162" s="1782"/>
      <c r="M162" s="424"/>
      <c r="N162" s="129"/>
      <c r="O162" s="239"/>
      <c r="P162" s="94"/>
      <c r="Q162" s="94"/>
      <c r="R162" s="94"/>
      <c r="S162" s="94"/>
      <c r="T162" s="94"/>
      <c r="U162" s="94"/>
      <c r="V162" s="94"/>
      <c r="W162" s="94"/>
      <c r="X162" s="94"/>
      <c r="Z162"/>
      <c r="AB162"/>
      <c r="AC162"/>
      <c r="AD162"/>
      <c r="AE162"/>
      <c r="AF162"/>
      <c r="AG162"/>
      <c r="AH162"/>
      <c r="AI162"/>
      <c r="AJ162"/>
      <c r="AK162"/>
      <c r="AL162"/>
      <c r="AM162"/>
      <c r="AN162"/>
      <c r="AO162"/>
      <c r="AP162"/>
      <c r="AQ162"/>
      <c r="AR162"/>
      <c r="AS162"/>
    </row>
    <row r="163" spans="2:45" x14ac:dyDescent="0.25">
      <c r="B163" s="77" t="s">
        <v>596</v>
      </c>
      <c r="C163" s="21"/>
      <c r="D163" s="21"/>
      <c r="E163" s="21"/>
      <c r="F163" s="21"/>
      <c r="G163" s="21"/>
      <c r="H163" s="758"/>
      <c r="I163" s="130"/>
      <c r="J163" s="129"/>
      <c r="K163" s="95"/>
      <c r="L163" s="1782"/>
      <c r="M163" s="424"/>
      <c r="N163" s="129"/>
      <c r="O163" s="239"/>
      <c r="P163" s="94"/>
      <c r="Q163" s="94"/>
      <c r="R163" s="94"/>
      <c r="S163" s="94"/>
      <c r="T163" s="94"/>
      <c r="U163" s="94"/>
      <c r="V163" s="94"/>
      <c r="W163" s="94"/>
      <c r="X163" s="94"/>
      <c r="Z163"/>
      <c r="AB163"/>
      <c r="AC163"/>
      <c r="AD163"/>
      <c r="AE163"/>
      <c r="AF163"/>
      <c r="AG163"/>
      <c r="AH163"/>
      <c r="AI163"/>
      <c r="AJ163"/>
      <c r="AK163"/>
      <c r="AL163"/>
      <c r="AM163"/>
      <c r="AN163"/>
      <c r="AO163"/>
      <c r="AP163"/>
      <c r="AQ163"/>
      <c r="AR163"/>
      <c r="AS163"/>
    </row>
    <row r="164" spans="2:45" x14ac:dyDescent="0.25">
      <c r="B164" s="77" t="s">
        <v>596</v>
      </c>
      <c r="C164" s="21"/>
      <c r="D164" s="21"/>
      <c r="E164" s="21"/>
      <c r="F164" s="21"/>
      <c r="G164" s="21"/>
      <c r="H164" s="758"/>
      <c r="I164" s="130"/>
      <c r="J164" s="129"/>
      <c r="K164" s="95"/>
      <c r="L164" s="1782"/>
      <c r="M164" s="424"/>
      <c r="N164" s="129"/>
      <c r="O164" s="239"/>
      <c r="P164" s="94"/>
      <c r="Q164" s="94"/>
      <c r="R164" s="94"/>
      <c r="S164" s="94"/>
      <c r="T164" s="94"/>
      <c r="U164" s="94"/>
      <c r="V164" s="94"/>
      <c r="W164" s="94"/>
      <c r="X164" s="94"/>
      <c r="Z164"/>
      <c r="AB164"/>
      <c r="AC164"/>
      <c r="AD164"/>
      <c r="AE164"/>
      <c r="AF164"/>
      <c r="AG164"/>
      <c r="AH164"/>
      <c r="AI164"/>
      <c r="AJ164"/>
      <c r="AK164"/>
      <c r="AL164"/>
      <c r="AM164"/>
      <c r="AN164"/>
      <c r="AO164"/>
      <c r="AP164"/>
      <c r="AQ164"/>
      <c r="AR164"/>
      <c r="AS164"/>
    </row>
    <row r="165" spans="2:45" x14ac:dyDescent="0.25">
      <c r="B165" s="77" t="s">
        <v>596</v>
      </c>
      <c r="C165" s="21" t="s">
        <v>256</v>
      </c>
      <c r="D165" s="21"/>
      <c r="E165" s="21"/>
      <c r="F165" s="21"/>
      <c r="G165" s="21"/>
      <c r="H165" s="758"/>
      <c r="I165" s="64"/>
      <c r="J165" s="183" t="s">
        <v>256</v>
      </c>
      <c r="K165" s="95"/>
      <c r="L165" s="1162" t="s">
        <v>598</v>
      </c>
      <c r="M165" s="1837" t="str">
        <f>IF(R165,"Mandatory","N/A")</f>
        <v>Mandatory</v>
      </c>
      <c r="N165" s="4"/>
      <c r="O165" s="141"/>
      <c r="P165" s="352" t="b">
        <v>1</v>
      </c>
      <c r="Q165" s="352" t="b">
        <v>0</v>
      </c>
      <c r="R165" s="140" t="b">
        <f>S165</f>
        <v>1</v>
      </c>
      <c r="S165" s="126" t="b">
        <v>1</v>
      </c>
      <c r="T165" s="126" t="b">
        <v>0</v>
      </c>
      <c r="U165" s="94"/>
      <c r="V165"/>
      <c r="W165" s="25"/>
      <c r="X165" s="1757"/>
      <c r="Z165"/>
      <c r="AB165"/>
      <c r="AC165" s="132" t="b">
        <f>OR(AD165:AE165)</f>
        <v>1</v>
      </c>
      <c r="AD165" s="970" t="b">
        <v>0</v>
      </c>
      <c r="AE165" s="970" t="b">
        <f>AND(R165,NOT(W165))</f>
        <v>1</v>
      </c>
      <c r="AF165"/>
      <c r="AG165"/>
      <c r="AH165"/>
      <c r="AI165"/>
      <c r="AJ165"/>
      <c r="AK165"/>
      <c r="AL165" s="254" t="str">
        <f>SUBSTITUTE(SUBSTITUTE(SUBSTITUTE("dpa"&amp;$B165&amp;$C165&amp;$D165&amp;$E165,".","_"),"(","_"),")","")</f>
        <v>dpa602_1_9_1</v>
      </c>
      <c r="AM165" s="254" t="str">
        <f>M165</f>
        <v>Mandatory</v>
      </c>
      <c r="AN165"/>
      <c r="AO165"/>
      <c r="AP165" s="1130" t="str">
        <f>SUBSTITUTE(SUBSTITUTE(SUBSTITUTE("dch"&amp;$B165&amp;$C165&amp;$D165&amp;$E165,".","_"),"(","_"),")","")</f>
        <v>dch602_1_9_1</v>
      </c>
      <c r="AQ165" s="254" t="str">
        <f>IF(LEN(W165)=0,"",W165)</f>
        <v/>
      </c>
      <c r="AR165" s="1130" t="str">
        <f>SUBSTITUTE(SUBSTITUTE(SUBSTITUTE("dnt"&amp;$B165&amp;$C165&amp;$D165&amp;$E165,".","_"),"(","_"),")","")</f>
        <v>dnt602_1_9_1</v>
      </c>
      <c r="AS165" s="254" t="str">
        <f>IF(LEN(X165)=0,"",X165)</f>
        <v/>
      </c>
    </row>
    <row r="166" spans="2:45" x14ac:dyDescent="0.25">
      <c r="B166" s="77" t="s">
        <v>596</v>
      </c>
      <c r="C166" s="21" t="s">
        <v>256</v>
      </c>
      <c r="D166" s="21" t="s">
        <v>121</v>
      </c>
      <c r="E166" s="21"/>
      <c r="F166" s="21"/>
      <c r="G166" s="21"/>
      <c r="H166" s="758"/>
      <c r="I166" s="64"/>
      <c r="J166" s="129"/>
      <c r="K166" s="91" t="s">
        <v>121</v>
      </c>
      <c r="L166" s="1162" t="s">
        <v>599</v>
      </c>
      <c r="M166" s="1837"/>
      <c r="N166" s="4"/>
      <c r="O166" s="141"/>
      <c r="P166" s="352"/>
      <c r="Q166" s="352"/>
      <c r="R166"/>
      <c r="S166"/>
      <c r="T166"/>
      <c r="U166"/>
      <c r="V166"/>
      <c r="W166"/>
      <c r="X166" s="1757"/>
      <c r="Z166"/>
      <c r="AB166"/>
      <c r="AC166"/>
      <c r="AD166"/>
      <c r="AE166"/>
      <c r="AF166"/>
      <c r="AG166"/>
      <c r="AH166"/>
      <c r="AI166"/>
      <c r="AJ166"/>
      <c r="AK166"/>
      <c r="AL166"/>
      <c r="AM166"/>
      <c r="AN166"/>
      <c r="AO166"/>
      <c r="AP166"/>
      <c r="AQ166"/>
      <c r="AR166"/>
      <c r="AS166"/>
    </row>
    <row r="167" spans="2:45" x14ac:dyDescent="0.25">
      <c r="B167" s="77" t="s">
        <v>596</v>
      </c>
      <c r="C167" s="21" t="s">
        <v>256</v>
      </c>
      <c r="D167" s="21" t="s">
        <v>122</v>
      </c>
      <c r="E167" s="21"/>
      <c r="F167" s="21"/>
      <c r="G167" s="21"/>
      <c r="H167" s="758"/>
      <c r="I167" s="64"/>
      <c r="J167" s="129"/>
      <c r="K167" s="91" t="s">
        <v>122</v>
      </c>
      <c r="L167" s="1162" t="s">
        <v>600</v>
      </c>
      <c r="M167" s="1837"/>
      <c r="N167" s="4"/>
      <c r="O167" s="141"/>
      <c r="P167" s="352"/>
      <c r="Q167" s="352"/>
      <c r="R167"/>
      <c r="S167"/>
      <c r="T167"/>
      <c r="U167"/>
      <c r="V167"/>
      <c r="W167"/>
      <c r="X167" s="1757"/>
      <c r="Z167"/>
      <c r="AB167"/>
      <c r="AC167"/>
      <c r="AD167"/>
      <c r="AE167"/>
      <c r="AF167"/>
      <c r="AG167"/>
      <c r="AH167"/>
      <c r="AI167"/>
      <c r="AJ167"/>
      <c r="AK167"/>
      <c r="AL167"/>
      <c r="AM167"/>
      <c r="AN167"/>
      <c r="AO167"/>
      <c r="AP167"/>
      <c r="AQ167"/>
      <c r="AR167"/>
      <c r="AS167"/>
    </row>
    <row r="168" spans="2:45" x14ac:dyDescent="0.25">
      <c r="B168" s="77" t="s">
        <v>596</v>
      </c>
      <c r="C168" s="21" t="s">
        <v>256</v>
      </c>
      <c r="D168" s="26" t="s">
        <v>123</v>
      </c>
      <c r="E168" s="21"/>
      <c r="F168" s="26"/>
      <c r="G168" s="26"/>
      <c r="H168" s="759"/>
      <c r="I168" s="64"/>
      <c r="J168" s="129"/>
      <c r="K168" s="110" t="s">
        <v>123</v>
      </c>
      <c r="L168" s="1162" t="s">
        <v>601</v>
      </c>
      <c r="M168" s="1837"/>
      <c r="N168" s="4"/>
      <c r="O168" s="141"/>
      <c r="P168" s="352"/>
      <c r="Q168" s="352"/>
      <c r="R168"/>
      <c r="S168"/>
      <c r="T168"/>
      <c r="U168"/>
      <c r="V168"/>
      <c r="W168"/>
      <c r="X168" s="1757"/>
      <c r="Z168"/>
      <c r="AB168"/>
      <c r="AC168"/>
      <c r="AD168"/>
      <c r="AE168"/>
      <c r="AF168"/>
      <c r="AG168"/>
      <c r="AH168"/>
      <c r="AI168"/>
      <c r="AJ168"/>
      <c r="AK168"/>
      <c r="AL168"/>
      <c r="AM168"/>
      <c r="AN168"/>
      <c r="AO168"/>
      <c r="AP168"/>
      <c r="AQ168"/>
      <c r="AR168"/>
      <c r="AS168"/>
    </row>
    <row r="169" spans="2:45" x14ac:dyDescent="0.25">
      <c r="B169" s="77" t="s">
        <v>596</v>
      </c>
      <c r="C169" s="21" t="s">
        <v>256</v>
      </c>
      <c r="D169" s="21" t="s">
        <v>401</v>
      </c>
      <c r="E169" s="21"/>
      <c r="F169" s="21"/>
      <c r="G169" s="21"/>
      <c r="H169" s="758"/>
      <c r="I169" s="64"/>
      <c r="J169" s="129"/>
      <c r="K169" s="187" t="s">
        <v>401</v>
      </c>
      <c r="L169" s="1754" t="s">
        <v>602</v>
      </c>
      <c r="M169" s="1837"/>
      <c r="N169" s="4"/>
      <c r="O169" s="141"/>
      <c r="P169" s="352"/>
      <c r="Q169" s="352"/>
      <c r="R169"/>
      <c r="S169"/>
      <c r="T169"/>
      <c r="U169"/>
      <c r="V169"/>
      <c r="W169"/>
      <c r="X169" s="1757"/>
      <c r="Z169"/>
      <c r="AB169"/>
      <c r="AC169"/>
      <c r="AD169"/>
      <c r="AE169"/>
      <c r="AF169"/>
      <c r="AG169"/>
      <c r="AH169"/>
      <c r="AI169"/>
      <c r="AJ169"/>
      <c r="AK169"/>
      <c r="AL169"/>
      <c r="AM169"/>
      <c r="AN169"/>
      <c r="AO169"/>
      <c r="AP169"/>
      <c r="AQ169"/>
      <c r="AR169"/>
      <c r="AS169"/>
    </row>
    <row r="170" spans="2:45" x14ac:dyDescent="0.25">
      <c r="B170" s="77" t="s">
        <v>596</v>
      </c>
      <c r="C170" s="21" t="s">
        <v>256</v>
      </c>
      <c r="D170" s="21" t="s">
        <v>401</v>
      </c>
      <c r="E170" s="21"/>
      <c r="F170" s="21"/>
      <c r="G170" s="21"/>
      <c r="H170" s="758"/>
      <c r="I170" s="64"/>
      <c r="J170" s="129"/>
      <c r="K170" s="95"/>
      <c r="L170" s="1754"/>
      <c r="M170" s="1837"/>
      <c r="N170" s="4"/>
      <c r="O170" s="141"/>
      <c r="P170" s="352"/>
      <c r="Q170" s="352"/>
      <c r="R170"/>
      <c r="S170"/>
      <c r="T170"/>
      <c r="U170"/>
      <c r="V170"/>
      <c r="W170"/>
      <c r="X170" s="1757"/>
      <c r="Z170"/>
      <c r="AB170"/>
      <c r="AC170"/>
      <c r="AD170"/>
      <c r="AE170"/>
      <c r="AF170"/>
      <c r="AG170"/>
      <c r="AH170"/>
      <c r="AI170"/>
      <c r="AJ170"/>
      <c r="AK170"/>
      <c r="AL170"/>
      <c r="AM170"/>
      <c r="AN170"/>
      <c r="AO170"/>
      <c r="AP170"/>
      <c r="AQ170"/>
      <c r="AR170"/>
      <c r="AS170"/>
    </row>
    <row r="171" spans="2:45" x14ac:dyDescent="0.25">
      <c r="B171" s="77" t="s">
        <v>596</v>
      </c>
      <c r="C171" s="21" t="s">
        <v>256</v>
      </c>
      <c r="D171" s="21" t="s">
        <v>539</v>
      </c>
      <c r="E171" s="21"/>
      <c r="F171" s="21"/>
      <c r="G171" s="21"/>
      <c r="H171" s="758"/>
      <c r="I171" s="64"/>
      <c r="J171" s="129"/>
      <c r="K171" s="187" t="s">
        <v>539</v>
      </c>
      <c r="L171" s="1162" t="s">
        <v>603</v>
      </c>
      <c r="M171" s="1837"/>
      <c r="N171" s="4"/>
      <c r="O171" s="141"/>
      <c r="P171" s="352"/>
      <c r="Q171" s="352"/>
      <c r="R171"/>
      <c r="S171"/>
      <c r="T171"/>
      <c r="U171"/>
      <c r="V171"/>
      <c r="W171"/>
      <c r="X171" s="1757"/>
      <c r="Z171"/>
      <c r="AB171"/>
      <c r="AC171"/>
      <c r="AD171"/>
      <c r="AE171"/>
      <c r="AF171"/>
      <c r="AG171"/>
      <c r="AH171"/>
      <c r="AI171"/>
      <c r="AJ171"/>
      <c r="AK171"/>
      <c r="AL171"/>
      <c r="AM171"/>
      <c r="AN171"/>
      <c r="AO171"/>
      <c r="AP171"/>
      <c r="AQ171"/>
      <c r="AR171"/>
      <c r="AS171"/>
    </row>
    <row r="172" spans="2:45" x14ac:dyDescent="0.25">
      <c r="B172" s="77" t="s">
        <v>596</v>
      </c>
      <c r="C172" s="21" t="s">
        <v>256</v>
      </c>
      <c r="D172" s="26" t="s">
        <v>604</v>
      </c>
      <c r="E172" s="21"/>
      <c r="F172" s="26"/>
      <c r="G172" s="26"/>
      <c r="H172" s="759"/>
      <c r="I172" s="64"/>
      <c r="J172" s="129"/>
      <c r="K172" s="110" t="s">
        <v>604</v>
      </c>
      <c r="L172" s="1162" t="s">
        <v>605</v>
      </c>
      <c r="M172" s="1837"/>
      <c r="N172" s="4"/>
      <c r="O172" s="141"/>
      <c r="P172" s="352"/>
      <c r="Q172" s="352"/>
      <c r="R172"/>
      <c r="S172"/>
      <c r="T172"/>
      <c r="U172"/>
      <c r="V172"/>
      <c r="W172"/>
      <c r="X172" s="1757"/>
      <c r="Z172"/>
      <c r="AB172"/>
      <c r="AC172"/>
      <c r="AD172"/>
      <c r="AE172"/>
      <c r="AF172"/>
      <c r="AG172"/>
      <c r="AH172"/>
      <c r="AI172"/>
      <c r="AJ172"/>
      <c r="AK172"/>
      <c r="AL172"/>
      <c r="AM172"/>
      <c r="AN172"/>
      <c r="AO172"/>
      <c r="AP172"/>
      <c r="AQ172"/>
      <c r="AR172"/>
      <c r="AS172"/>
    </row>
    <row r="173" spans="2:45" x14ac:dyDescent="0.25">
      <c r="B173" s="77" t="s">
        <v>596</v>
      </c>
      <c r="C173" s="21" t="s">
        <v>256</v>
      </c>
      <c r="D173" s="21" t="s">
        <v>606</v>
      </c>
      <c r="E173" s="21"/>
      <c r="F173" s="21"/>
      <c r="G173" s="21"/>
      <c r="H173" s="758"/>
      <c r="I173" s="64"/>
      <c r="J173" s="129"/>
      <c r="K173" s="187" t="s">
        <v>606</v>
      </c>
      <c r="L173" s="1162" t="s">
        <v>607</v>
      </c>
      <c r="M173" s="1837"/>
      <c r="N173" s="4"/>
      <c r="O173" s="141"/>
      <c r="P173" s="352"/>
      <c r="Q173" s="352"/>
      <c r="R173"/>
      <c r="S173"/>
      <c r="T173"/>
      <c r="U173"/>
      <c r="V173"/>
      <c r="W173"/>
      <c r="X173" s="1757"/>
      <c r="Z173"/>
      <c r="AB173"/>
      <c r="AC173"/>
      <c r="AD173"/>
      <c r="AE173"/>
      <c r="AF173"/>
      <c r="AG173"/>
      <c r="AH173"/>
      <c r="AI173"/>
      <c r="AJ173"/>
      <c r="AK173"/>
      <c r="AL173"/>
      <c r="AM173"/>
      <c r="AN173"/>
      <c r="AO173"/>
      <c r="AP173"/>
      <c r="AQ173"/>
      <c r="AR173"/>
      <c r="AS173"/>
    </row>
    <row r="174" spans="2:45" x14ac:dyDescent="0.25">
      <c r="B174" s="77" t="s">
        <v>596</v>
      </c>
      <c r="C174" s="21" t="s">
        <v>256</v>
      </c>
      <c r="D174" s="21" t="s">
        <v>608</v>
      </c>
      <c r="E174" s="21"/>
      <c r="F174" s="21"/>
      <c r="G174" s="21"/>
      <c r="H174" s="758"/>
      <c r="I174" s="64"/>
      <c r="J174" s="210"/>
      <c r="K174" s="216" t="s">
        <v>608</v>
      </c>
      <c r="L174" s="1163" t="s">
        <v>609</v>
      </c>
      <c r="M174" s="1844"/>
      <c r="N174" s="4"/>
      <c r="O174" s="141"/>
      <c r="P174" s="352"/>
      <c r="Q174" s="352"/>
      <c r="R174"/>
      <c r="S174"/>
      <c r="T174"/>
      <c r="U174"/>
      <c r="V174"/>
      <c r="W174"/>
      <c r="X174" s="1757"/>
      <c r="Z174"/>
      <c r="AB174"/>
      <c r="AC174"/>
      <c r="AD174"/>
      <c r="AE174"/>
      <c r="AF174"/>
      <c r="AG174"/>
      <c r="AH174"/>
      <c r="AI174"/>
      <c r="AJ174"/>
      <c r="AK174"/>
      <c r="AL174"/>
      <c r="AM174"/>
      <c r="AN174"/>
      <c r="AO174"/>
      <c r="AP174"/>
      <c r="AQ174"/>
      <c r="AR174"/>
      <c r="AS174"/>
    </row>
    <row r="175" spans="2:45" x14ac:dyDescent="0.25">
      <c r="B175" s="77" t="s">
        <v>596</v>
      </c>
      <c r="C175" s="21" t="s">
        <v>258</v>
      </c>
      <c r="D175" s="77"/>
      <c r="E175" s="21"/>
      <c r="F175" s="77"/>
      <c r="G175" s="77"/>
      <c r="H175" s="761"/>
      <c r="I175" s="64"/>
      <c r="J175" s="183" t="s">
        <v>258</v>
      </c>
      <c r="K175" s="95"/>
      <c r="L175" s="1754" t="s">
        <v>610</v>
      </c>
      <c r="M175" s="1758">
        <v>2</v>
      </c>
      <c r="N175" s="129"/>
      <c r="O175" s="1774">
        <f>M175*S175*W175</f>
        <v>0</v>
      </c>
      <c r="P175" s="352" t="b">
        <v>1</v>
      </c>
      <c r="Q175" s="352" t="b">
        <v>0</v>
      </c>
      <c r="R175" s="126" t="b">
        <v>0</v>
      </c>
      <c r="S175" s="126" t="b">
        <v>1</v>
      </c>
      <c r="T175" s="126" t="b">
        <v>0</v>
      </c>
      <c r="U175"/>
      <c r="V175"/>
      <c r="W175" s="25"/>
      <c r="X175" s="1757"/>
      <c r="Z175"/>
      <c r="AB175"/>
      <c r="AC175"/>
      <c r="AD175"/>
      <c r="AE175"/>
      <c r="AF175"/>
      <c r="AG175"/>
      <c r="AH175"/>
      <c r="AI175"/>
      <c r="AJ175"/>
      <c r="AK175"/>
      <c r="AL175" s="254" t="str">
        <f>SUBSTITUTE(SUBSTITUTE(SUBSTITUTE("dpa"&amp;$B175&amp;$C175&amp;$D175&amp;$E175,".","_"),"(","_"),")","")</f>
        <v>dpa602_1_9_2</v>
      </c>
      <c r="AM175" s="254">
        <f>M175</f>
        <v>2</v>
      </c>
      <c r="AN175" s="254" t="str">
        <f>SUBSTITUTE(SUBSTITUTE(SUBSTITUTE("dpc"&amp;$B175&amp;$C175&amp;$D175&amp;$E175,".","_"),"(","_"),")","")</f>
        <v>dpc602_1_9_2</v>
      </c>
      <c r="AO175" s="254">
        <f>O175</f>
        <v>0</v>
      </c>
      <c r="AP175" s="1130" t="str">
        <f>SUBSTITUTE(SUBSTITUTE(SUBSTITUTE("dch"&amp;$B175&amp;$C175&amp;$D175&amp;$E175,".","_"),"(","_"),")","")</f>
        <v>dch602_1_9_2</v>
      </c>
      <c r="AQ175" s="254" t="str">
        <f>IF(LEN(W175)=0,"",W175)</f>
        <v/>
      </c>
      <c r="AR175" s="1130" t="str">
        <f>SUBSTITUTE(SUBSTITUTE(SUBSTITUTE("dnt"&amp;$B175&amp;$C175&amp;$D175&amp;$E175,".","_"),"(","_"),")","")</f>
        <v>dnt602_1_9_2</v>
      </c>
      <c r="AS175" s="254" t="str">
        <f>IF(LEN(X175)=0,"",X175)</f>
        <v/>
      </c>
    </row>
    <row r="176" spans="2:45" x14ac:dyDescent="0.25">
      <c r="B176" s="77" t="s">
        <v>596</v>
      </c>
      <c r="C176" s="21" t="s">
        <v>258</v>
      </c>
      <c r="D176" s="77"/>
      <c r="E176" s="21"/>
      <c r="F176" s="77"/>
      <c r="G176" s="77"/>
      <c r="H176" s="761"/>
      <c r="I176" s="64"/>
      <c r="J176" s="129"/>
      <c r="K176" s="95"/>
      <c r="L176" s="1754"/>
      <c r="M176" s="1758"/>
      <c r="N176" s="129"/>
      <c r="O176" s="1774"/>
      <c r="P176" s="352"/>
      <c r="Q176" s="352"/>
      <c r="R176"/>
      <c r="S176"/>
      <c r="T176"/>
      <c r="U176"/>
      <c r="V176"/>
      <c r="W176"/>
      <c r="X176" s="1757"/>
      <c r="Z176"/>
      <c r="AB176"/>
      <c r="AC176"/>
      <c r="AD176"/>
      <c r="AE176"/>
      <c r="AF176"/>
      <c r="AG176"/>
      <c r="AH176"/>
      <c r="AI176"/>
      <c r="AJ176"/>
      <c r="AK176"/>
      <c r="AL176"/>
      <c r="AM176"/>
      <c r="AN176"/>
      <c r="AO176"/>
      <c r="AP176"/>
      <c r="AQ176"/>
      <c r="AR176"/>
      <c r="AS176"/>
    </row>
    <row r="177" spans="1:61" x14ac:dyDescent="0.25">
      <c r="B177" s="77" t="s">
        <v>596</v>
      </c>
      <c r="C177" s="21" t="s">
        <v>258</v>
      </c>
      <c r="D177" s="77"/>
      <c r="E177" s="21"/>
      <c r="F177" s="77"/>
      <c r="G177" s="77"/>
      <c r="H177" s="761"/>
      <c r="I177" s="64"/>
      <c r="J177" s="210"/>
      <c r="K177" s="175"/>
      <c r="L177" s="1755"/>
      <c r="M177" s="1759"/>
      <c r="N177" s="210"/>
      <c r="O177" s="1764"/>
      <c r="P177" s="352"/>
      <c r="Q177" s="352"/>
      <c r="R177"/>
      <c r="S177"/>
      <c r="T177"/>
      <c r="U177"/>
      <c r="V177"/>
      <c r="W177"/>
      <c r="X177" s="1757"/>
      <c r="Z177"/>
      <c r="AB177"/>
      <c r="AC177"/>
      <c r="AD177"/>
      <c r="AE177"/>
      <c r="AF177"/>
      <c r="AG177"/>
      <c r="AH177"/>
      <c r="AI177"/>
      <c r="AJ177"/>
      <c r="AK177"/>
      <c r="AL177"/>
      <c r="AM177"/>
      <c r="AN177"/>
      <c r="AO177"/>
      <c r="AP177"/>
      <c r="AQ177"/>
      <c r="AR177"/>
      <c r="AS177"/>
    </row>
    <row r="178" spans="1:61" x14ac:dyDescent="0.25">
      <c r="B178" s="77" t="s">
        <v>596</v>
      </c>
      <c r="C178" s="21" t="s">
        <v>260</v>
      </c>
      <c r="D178" s="77"/>
      <c r="E178" s="21"/>
      <c r="F178" s="77"/>
      <c r="G178" s="77"/>
      <c r="H178" s="761"/>
      <c r="I178" s="64"/>
      <c r="J178" s="207" t="s">
        <v>260</v>
      </c>
      <c r="K178" s="208"/>
      <c r="L178" s="280" t="s">
        <v>611</v>
      </c>
      <c r="M178" s="438">
        <v>3</v>
      </c>
      <c r="N178" s="243"/>
      <c r="O178" s="437">
        <f>M178*S178*W178</f>
        <v>0</v>
      </c>
      <c r="P178" s="352" t="b">
        <v>1</v>
      </c>
      <c r="Q178" s="352" t="b">
        <v>0</v>
      </c>
      <c r="R178" s="126" t="b">
        <v>0</v>
      </c>
      <c r="S178" s="126" t="b">
        <v>1</v>
      </c>
      <c r="T178" s="126" t="b">
        <v>0</v>
      </c>
      <c r="U178"/>
      <c r="V178"/>
      <c r="W178" s="25"/>
      <c r="X178" s="160"/>
      <c r="Z178"/>
      <c r="AB178"/>
      <c r="AC178"/>
      <c r="AD178"/>
      <c r="AE178"/>
      <c r="AF178"/>
      <c r="AG178"/>
      <c r="AH178"/>
      <c r="AI178"/>
      <c r="AJ178"/>
      <c r="AK178"/>
      <c r="AL178" s="254" t="str">
        <f>SUBSTITUTE(SUBSTITUTE(SUBSTITUTE("dpa"&amp;$B178&amp;$C178&amp;$D178&amp;$E178,".","_"),"(","_"),")","")</f>
        <v>dpa602_1_9_3</v>
      </c>
      <c r="AM178" s="254">
        <f>M178</f>
        <v>3</v>
      </c>
      <c r="AN178" s="254" t="str">
        <f>SUBSTITUTE(SUBSTITUTE(SUBSTITUTE("dpc"&amp;$B178&amp;$C178&amp;$D178&amp;$E178,".","_"),"(","_"),")","")</f>
        <v>dpc602_1_9_3</v>
      </c>
      <c r="AO178" s="254">
        <f>O178</f>
        <v>0</v>
      </c>
      <c r="AP178" s="1130" t="str">
        <f>SUBSTITUTE(SUBSTITUTE(SUBSTITUTE("dch"&amp;$B178&amp;$C178&amp;$D178&amp;$E178,".","_"),"(","_"),")","")</f>
        <v>dch602_1_9_3</v>
      </c>
      <c r="AQ178" s="254" t="str">
        <f>IF(LEN(W178)=0,"",W178)</f>
        <v/>
      </c>
      <c r="AR178" s="1130" t="str">
        <f>SUBSTITUTE(SUBSTITUTE(SUBSTITUTE("dnt"&amp;$B178&amp;$C178&amp;$D178&amp;$E178,".","_"),"(","_"),")","")</f>
        <v>dnt602_1_9_3</v>
      </c>
      <c r="AS178" s="254" t="str">
        <f>IF(LEN(X178)=0,"",X178)</f>
        <v/>
      </c>
    </row>
    <row r="179" spans="1:61" x14ac:dyDescent="0.25">
      <c r="B179" s="77" t="s">
        <v>596</v>
      </c>
      <c r="C179" s="21" t="s">
        <v>269</v>
      </c>
      <c r="D179" s="77"/>
      <c r="E179" s="21"/>
      <c r="F179" s="77"/>
      <c r="G179" s="77"/>
      <c r="H179" s="761"/>
      <c r="I179" s="64"/>
      <c r="J179" s="209" t="s">
        <v>269</v>
      </c>
      <c r="K179" s="194"/>
      <c r="L179" s="1778" t="s">
        <v>612</v>
      </c>
      <c r="M179" s="1762">
        <v>3</v>
      </c>
      <c r="N179" s="193"/>
      <c r="O179" s="1763">
        <f>M179*S179*W179</f>
        <v>0</v>
      </c>
      <c r="P179" s="352" t="b">
        <v>1</v>
      </c>
      <c r="Q179" s="352" t="b">
        <v>0</v>
      </c>
      <c r="R179" s="126" t="b">
        <v>0</v>
      </c>
      <c r="S179" s="126" t="b">
        <v>1</v>
      </c>
      <c r="T179" s="126" t="b">
        <v>0</v>
      </c>
      <c r="U179"/>
      <c r="V179"/>
      <c r="W179" s="25"/>
      <c r="X179" s="1757"/>
      <c r="Z179"/>
      <c r="AB179"/>
      <c r="AC179"/>
      <c r="AD179"/>
      <c r="AE179"/>
      <c r="AF179"/>
      <c r="AG179"/>
      <c r="AH179"/>
      <c r="AI179"/>
      <c r="AJ179"/>
      <c r="AK179"/>
      <c r="AL179" s="254" t="str">
        <f>SUBSTITUTE(SUBSTITUTE(SUBSTITUTE("dpa"&amp;$B179&amp;$C179&amp;$D179&amp;$E179,".","_"),"(","_"),")","")</f>
        <v>dpa602_1_9_4</v>
      </c>
      <c r="AM179" s="254">
        <f>M179</f>
        <v>3</v>
      </c>
      <c r="AN179" s="254" t="str">
        <f>SUBSTITUTE(SUBSTITUTE(SUBSTITUTE("dpc"&amp;$B179&amp;$C179&amp;$D179&amp;$E179,".","_"),"(","_"),")","")</f>
        <v>dpc602_1_9_4</v>
      </c>
      <c r="AO179" s="254">
        <f>O179</f>
        <v>0</v>
      </c>
      <c r="AP179" s="1130" t="str">
        <f>SUBSTITUTE(SUBSTITUTE(SUBSTITUTE("dch"&amp;$B179&amp;$C179&amp;$D179&amp;$E179,".","_"),"(","_"),")","")</f>
        <v>dch602_1_9_4</v>
      </c>
      <c r="AQ179" s="254" t="str">
        <f>IF(LEN(W179)=0,"",W179)</f>
        <v/>
      </c>
      <c r="AR179" s="1130" t="str">
        <f>SUBSTITUTE(SUBSTITUTE(SUBSTITUTE("dnt"&amp;$B179&amp;$C179&amp;$D179&amp;$E179,".","_"),"(","_"),")","")</f>
        <v>dnt602_1_9_4</v>
      </c>
      <c r="AS179" s="254" t="str">
        <f>IF(LEN(X179)=0,"",X179)</f>
        <v/>
      </c>
    </row>
    <row r="180" spans="1:61" x14ac:dyDescent="0.25">
      <c r="B180" s="77" t="s">
        <v>596</v>
      </c>
      <c r="C180" s="21" t="s">
        <v>269</v>
      </c>
      <c r="D180" s="77"/>
      <c r="E180" s="21"/>
      <c r="F180" s="77"/>
      <c r="G180" s="77"/>
      <c r="H180" s="761"/>
      <c r="I180" s="64"/>
      <c r="J180" s="129"/>
      <c r="K180" s="95"/>
      <c r="L180" s="1754"/>
      <c r="M180" s="1758"/>
      <c r="N180" s="129"/>
      <c r="O180" s="1774"/>
      <c r="P180" s="352"/>
      <c r="Q180" s="352"/>
      <c r="R180"/>
      <c r="S180"/>
      <c r="T180"/>
      <c r="U180"/>
      <c r="V180"/>
      <c r="W180"/>
      <c r="X180" s="1757"/>
      <c r="Z180"/>
      <c r="AB180"/>
      <c r="AC180"/>
      <c r="AD180"/>
      <c r="AE180"/>
      <c r="AF180"/>
      <c r="AG180"/>
      <c r="AH180"/>
      <c r="AI180"/>
      <c r="AJ180"/>
      <c r="AK180"/>
      <c r="AL180"/>
      <c r="AM180"/>
      <c r="AN180"/>
      <c r="AO180"/>
      <c r="AP180"/>
      <c r="AQ180"/>
      <c r="AR180"/>
      <c r="AS180"/>
    </row>
    <row r="181" spans="1:61" x14ac:dyDescent="0.25">
      <c r="B181" s="77" t="s">
        <v>596</v>
      </c>
      <c r="C181" s="21" t="s">
        <v>269</v>
      </c>
      <c r="D181" s="77"/>
      <c r="E181" s="21"/>
      <c r="F181" s="77"/>
      <c r="G181" s="77"/>
      <c r="H181" s="761"/>
      <c r="I181" s="64"/>
      <c r="J181" s="129"/>
      <c r="K181" s="95"/>
      <c r="L181" s="1754"/>
      <c r="M181" s="1758"/>
      <c r="N181" s="129"/>
      <c r="O181" s="1774"/>
      <c r="P181" s="352"/>
      <c r="Q181" s="352"/>
      <c r="R181"/>
      <c r="S181"/>
      <c r="T181"/>
      <c r="U181"/>
      <c r="V181"/>
      <c r="W181"/>
      <c r="X181" s="1757"/>
      <c r="Z181"/>
      <c r="AB181"/>
      <c r="AC181"/>
      <c r="AD181"/>
      <c r="AE181"/>
      <c r="AF181"/>
      <c r="AG181"/>
      <c r="AH181"/>
      <c r="AI181"/>
      <c r="AJ181"/>
      <c r="AK181"/>
      <c r="AL181"/>
      <c r="AM181"/>
      <c r="AN181"/>
      <c r="AO181"/>
      <c r="AP181"/>
      <c r="AQ181"/>
      <c r="AR181"/>
      <c r="AS181"/>
    </row>
    <row r="182" spans="1:61" x14ac:dyDescent="0.25">
      <c r="B182" s="77" t="s">
        <v>596</v>
      </c>
      <c r="C182" s="21" t="s">
        <v>269</v>
      </c>
      <c r="D182" s="77"/>
      <c r="E182" s="21"/>
      <c r="F182" s="77"/>
      <c r="G182" s="77"/>
      <c r="H182" s="761"/>
      <c r="I182" s="64"/>
      <c r="J182" s="210"/>
      <c r="K182" s="175"/>
      <c r="L182" s="1755"/>
      <c r="M182" s="1759"/>
      <c r="N182" s="210"/>
      <c r="O182" s="1764"/>
      <c r="P182" s="352"/>
      <c r="Q182" s="352"/>
      <c r="R182"/>
      <c r="S182"/>
      <c r="T182"/>
      <c r="U182"/>
      <c r="V182"/>
      <c r="W182"/>
      <c r="X182" s="1757"/>
      <c r="Z182"/>
      <c r="AB182"/>
      <c r="AC182"/>
      <c r="AD182"/>
      <c r="AE182"/>
      <c r="AF182"/>
      <c r="AG182"/>
      <c r="AH182"/>
      <c r="AI182"/>
      <c r="AJ182"/>
      <c r="AK182"/>
      <c r="AL182"/>
      <c r="AM182"/>
      <c r="AN182"/>
      <c r="AO182"/>
      <c r="AP182"/>
      <c r="AQ182"/>
      <c r="AR182"/>
      <c r="AS182"/>
    </row>
    <row r="183" spans="1:61" x14ac:dyDescent="0.25">
      <c r="B183" s="77" t="s">
        <v>596</v>
      </c>
      <c r="C183" s="21" t="s">
        <v>275</v>
      </c>
      <c r="D183" s="77"/>
      <c r="E183" s="21"/>
      <c r="F183" s="77"/>
      <c r="G183" s="77"/>
      <c r="H183" s="761"/>
      <c r="I183" s="64"/>
      <c r="J183" s="27" t="s">
        <v>275</v>
      </c>
      <c r="K183" s="83"/>
      <c r="L183" s="1170" t="s">
        <v>613</v>
      </c>
      <c r="M183" s="428"/>
      <c r="N183" s="4"/>
      <c r="O183" s="141">
        <f ca="1">IFERROR(INDEX({4,2},MATCH(W183,INDIRECT(U183),0)),0)</f>
        <v>0</v>
      </c>
      <c r="P183" s="352" t="b">
        <v>1</v>
      </c>
      <c r="Q183" s="352" t="b">
        <v>0</v>
      </c>
      <c r="R183" s="126" t="b">
        <v>0</v>
      </c>
      <c r="S183" s="126" t="b">
        <v>1</v>
      </c>
      <c r="T183" s="126" t="b">
        <v>0</v>
      </c>
      <c r="U183" s="94" t="str">
        <f>SUBSTITUTE(SUBSTITUTE(SUBSTITUTE("dd"&amp;B183&amp;C183&amp;D183&amp;E183&amp;F183,".","_"),"(","_"),")","")</f>
        <v>dd602_1_9_5</v>
      </c>
      <c r="V183"/>
      <c r="W183" s="12"/>
      <c r="X183" s="1757"/>
      <c r="Z183"/>
      <c r="AB183"/>
      <c r="AC183"/>
      <c r="AD183"/>
      <c r="AE183"/>
      <c r="AF183"/>
      <c r="AG183"/>
      <c r="AH183"/>
      <c r="AI183"/>
      <c r="AJ183"/>
      <c r="AK183"/>
      <c r="AL183"/>
      <c r="AM183"/>
      <c r="AN183" s="254" t="str">
        <f>SUBSTITUTE(SUBSTITUTE(SUBSTITUTE("dpc"&amp;$B183&amp;$C183&amp;$D183&amp;$E183,".","_"),"(","_"),")","")</f>
        <v>dpc602_1_9_5</v>
      </c>
      <c r="AO183" s="254">
        <f ca="1">O183</f>
        <v>0</v>
      </c>
      <c r="AP183" s="1130" t="str">
        <f>SUBSTITUTE(SUBSTITUTE(SUBSTITUTE("dch"&amp;$B183&amp;$C183&amp;$D183&amp;$E183,".","_"),"(","_"),")","")</f>
        <v>dch602_1_9_5</v>
      </c>
      <c r="AQ183" s="254" t="str">
        <f>IF(LEN(W183)=0,"",W183)</f>
        <v/>
      </c>
      <c r="AR183" s="1130" t="str">
        <f>SUBSTITUTE(SUBSTITUTE(SUBSTITUTE("dnt"&amp;$B183&amp;$C183&amp;$D183&amp;$E183,".","_"),"(","_"),")","")</f>
        <v>dnt602_1_9_5</v>
      </c>
      <c r="AS183" s="254" t="str">
        <f>IF(LEN(X183)=0,"",X183)</f>
        <v/>
      </c>
      <c r="AX183" s="132"/>
      <c r="AY183" s="132"/>
    </row>
    <row r="184" spans="1:61" x14ac:dyDescent="0.25">
      <c r="B184" s="77" t="s">
        <v>596</v>
      </c>
      <c r="C184" s="21" t="s">
        <v>275</v>
      </c>
      <c r="D184" s="21" t="s">
        <v>121</v>
      </c>
      <c r="E184" s="21"/>
      <c r="F184" s="21"/>
      <c r="G184" s="21"/>
      <c r="H184" s="758"/>
      <c r="I184" s="64"/>
      <c r="J184" s="4"/>
      <c r="K184" s="91" t="s">
        <v>121</v>
      </c>
      <c r="L184" s="1754" t="s">
        <v>614</v>
      </c>
      <c r="M184" s="1758">
        <v>4</v>
      </c>
      <c r="N184" s="4"/>
      <c r="O184" s="141"/>
      <c r="P184" s="352"/>
      <c r="Q184" s="352"/>
      <c r="R184"/>
      <c r="S184"/>
      <c r="T184"/>
      <c r="U184"/>
      <c r="V184"/>
      <c r="W184"/>
      <c r="X184" s="1757"/>
      <c r="Z184"/>
      <c r="AB184"/>
      <c r="AC184"/>
      <c r="AD184"/>
      <c r="AE184"/>
      <c r="AF184"/>
      <c r="AG184"/>
      <c r="AH184"/>
      <c r="AI184"/>
      <c r="AJ184"/>
      <c r="AK184"/>
      <c r="AL184" s="254" t="str">
        <f>SUBSTITUTE(SUBSTITUTE(SUBSTITUTE("dpa"&amp;$B184&amp;$C184&amp;$D184&amp;$E184,".","_"),"(","_"),")","")</f>
        <v>dpa602_1_9_5_a</v>
      </c>
      <c r="AM184" s="254">
        <f>M184</f>
        <v>4</v>
      </c>
      <c r="AN184"/>
      <c r="AO184"/>
      <c r="AP184"/>
      <c r="AQ184"/>
      <c r="AR184"/>
      <c r="AS184"/>
    </row>
    <row r="185" spans="1:61" x14ac:dyDescent="0.25">
      <c r="B185" s="77" t="s">
        <v>596</v>
      </c>
      <c r="C185" s="21" t="s">
        <v>275</v>
      </c>
      <c r="D185" s="21" t="s">
        <v>121</v>
      </c>
      <c r="E185" s="21"/>
      <c r="F185" s="21"/>
      <c r="G185" s="21"/>
      <c r="H185" s="758"/>
      <c r="I185" s="64"/>
      <c r="J185" s="4"/>
      <c r="K185" s="91"/>
      <c r="L185" s="1754"/>
      <c r="M185" s="1758"/>
      <c r="N185" s="4"/>
      <c r="O185" s="141"/>
      <c r="P185" s="352"/>
      <c r="Q185" s="352"/>
      <c r="R185"/>
      <c r="S185"/>
      <c r="T185"/>
      <c r="U185"/>
      <c r="V185"/>
      <c r="W185"/>
      <c r="X185" s="1757"/>
      <c r="Z185"/>
      <c r="AB185"/>
      <c r="AC185"/>
      <c r="AD185"/>
      <c r="AE185"/>
      <c r="AF185"/>
      <c r="AG185"/>
      <c r="AH185"/>
      <c r="AI185"/>
      <c r="AJ185"/>
      <c r="AK185"/>
      <c r="AL185"/>
      <c r="AM185"/>
      <c r="AN185"/>
      <c r="AO185"/>
      <c r="AP185"/>
      <c r="AQ185"/>
      <c r="AR185"/>
      <c r="AS185"/>
      <c r="AZ185" s="132"/>
      <c r="BA185" s="132"/>
      <c r="BB185" s="132"/>
      <c r="BC185" s="132"/>
      <c r="BD185" s="132"/>
      <c r="BE185" s="132"/>
      <c r="BF185" s="132"/>
      <c r="BG185" s="132"/>
      <c r="BH185" s="132"/>
      <c r="BI185" s="132"/>
    </row>
    <row r="186" spans="1:61" s="132" customFormat="1" x14ac:dyDescent="0.25">
      <c r="A186" s="18"/>
      <c r="B186" s="77" t="s">
        <v>596</v>
      </c>
      <c r="C186" s="21" t="s">
        <v>275</v>
      </c>
      <c r="D186" s="21" t="s">
        <v>121</v>
      </c>
      <c r="E186" s="21"/>
      <c r="F186" s="21"/>
      <c r="G186" s="21"/>
      <c r="H186" s="758"/>
      <c r="I186" s="64"/>
      <c r="J186" s="4"/>
      <c r="K186" s="174"/>
      <c r="L186" s="1755"/>
      <c r="M186" s="1759"/>
      <c r="N186" s="4"/>
      <c r="O186" s="141"/>
      <c r="P186" s="352"/>
      <c r="Q186" s="352"/>
      <c r="X186" s="1757"/>
      <c r="Y186" s="780"/>
      <c r="AA186" s="783"/>
      <c r="AX186" s="63"/>
      <c r="AY186" s="63"/>
      <c r="AZ186" s="63"/>
      <c r="BA186" s="63"/>
      <c r="BB186" s="63"/>
      <c r="BC186" s="63"/>
      <c r="BD186" s="63"/>
      <c r="BE186" s="63"/>
      <c r="BF186" s="63"/>
      <c r="BG186" s="63"/>
      <c r="BH186" s="63"/>
      <c r="BI186" s="63"/>
    </row>
    <row r="187" spans="1:61" x14ac:dyDescent="0.25">
      <c r="B187" s="77" t="s">
        <v>596</v>
      </c>
      <c r="C187" s="21" t="s">
        <v>275</v>
      </c>
      <c r="D187" s="21" t="s">
        <v>122</v>
      </c>
      <c r="E187" s="21"/>
      <c r="F187" s="21"/>
      <c r="G187" s="21"/>
      <c r="H187" s="758"/>
      <c r="I187" s="64"/>
      <c r="J187" s="129"/>
      <c r="K187" s="91" t="s">
        <v>122</v>
      </c>
      <c r="L187" s="1754" t="s">
        <v>615</v>
      </c>
      <c r="M187" s="1758">
        <v>2</v>
      </c>
      <c r="N187" s="129"/>
      <c r="O187" s="239"/>
      <c r="P187" s="352"/>
      <c r="Q187" s="352"/>
      <c r="R187"/>
      <c r="S187"/>
      <c r="T187"/>
      <c r="U187"/>
      <c r="V187"/>
      <c r="W187"/>
      <c r="X187" s="1757"/>
      <c r="Z187"/>
      <c r="AB187"/>
      <c r="AC187"/>
      <c r="AD187"/>
      <c r="AE187"/>
      <c r="AF187"/>
      <c r="AG187"/>
      <c r="AH187"/>
      <c r="AI187"/>
      <c r="AJ187"/>
      <c r="AK187"/>
      <c r="AL187" s="254" t="str">
        <f>SUBSTITUTE(SUBSTITUTE(SUBSTITUTE("dpa"&amp;$B187&amp;$C187&amp;$D187&amp;$E187,".","_"),"(","_"),")","")</f>
        <v>dpa602_1_9_5_b</v>
      </c>
      <c r="AM187" s="254">
        <f>M187</f>
        <v>2</v>
      </c>
      <c r="AN187"/>
      <c r="AO187"/>
      <c r="AP187"/>
      <c r="AQ187"/>
      <c r="AR187"/>
      <c r="AS187"/>
    </row>
    <row r="188" spans="1:61" x14ac:dyDescent="0.25">
      <c r="B188" s="77" t="s">
        <v>596</v>
      </c>
      <c r="C188" s="21" t="s">
        <v>275</v>
      </c>
      <c r="D188" s="21" t="s">
        <v>122</v>
      </c>
      <c r="E188" s="21"/>
      <c r="F188" s="21"/>
      <c r="G188" s="21"/>
      <c r="H188" s="758"/>
      <c r="I188" s="64"/>
      <c r="J188" s="210"/>
      <c r="K188" s="175"/>
      <c r="L188" s="1755"/>
      <c r="M188" s="1759"/>
      <c r="N188" s="210"/>
      <c r="O188" s="501"/>
      <c r="P188" s="352"/>
      <c r="Q188" s="352"/>
      <c r="R188"/>
      <c r="S188"/>
      <c r="T188"/>
      <c r="U188"/>
      <c r="V188"/>
      <c r="W188"/>
      <c r="X188" s="1757"/>
      <c r="Z188"/>
      <c r="AB188"/>
      <c r="AC188"/>
      <c r="AD188"/>
      <c r="AE188"/>
      <c r="AF188"/>
      <c r="AG188"/>
      <c r="AH188"/>
      <c r="AI188"/>
      <c r="AJ188"/>
      <c r="AK188"/>
      <c r="AL188"/>
      <c r="AM188"/>
      <c r="AN188"/>
      <c r="AO188"/>
      <c r="AP188"/>
      <c r="AQ188"/>
      <c r="AR188"/>
      <c r="AS188"/>
    </row>
    <row r="189" spans="1:61" x14ac:dyDescent="0.25">
      <c r="B189" s="77" t="s">
        <v>596</v>
      </c>
      <c r="C189" s="21" t="s">
        <v>277</v>
      </c>
      <c r="D189" s="77"/>
      <c r="E189" s="21"/>
      <c r="F189" s="77"/>
      <c r="G189" s="77"/>
      <c r="H189" s="761"/>
      <c r="I189" s="64"/>
      <c r="J189" s="209" t="s">
        <v>277</v>
      </c>
      <c r="K189" s="194"/>
      <c r="L189" s="1778" t="s">
        <v>616</v>
      </c>
      <c r="M189" s="1762">
        <v>2</v>
      </c>
      <c r="N189" s="193"/>
      <c r="O189" s="1763">
        <f>M189*S189*W189</f>
        <v>0</v>
      </c>
      <c r="P189" s="352" t="b">
        <v>1</v>
      </c>
      <c r="Q189" s="352" t="b">
        <v>0</v>
      </c>
      <c r="R189" s="126" t="b">
        <v>0</v>
      </c>
      <c r="S189" s="126" t="b">
        <v>1</v>
      </c>
      <c r="T189" s="126" t="b">
        <v>0</v>
      </c>
      <c r="U189"/>
      <c r="V189"/>
      <c r="W189" s="25"/>
      <c r="X189" s="1757"/>
      <c r="Z189"/>
      <c r="AB189"/>
      <c r="AC189"/>
      <c r="AD189"/>
      <c r="AE189"/>
      <c r="AF189"/>
      <c r="AG189"/>
      <c r="AH189"/>
      <c r="AI189"/>
      <c r="AJ189"/>
      <c r="AK189"/>
      <c r="AL189" s="254" t="str">
        <f>SUBSTITUTE(SUBSTITUTE(SUBSTITUTE("dpa"&amp;$B189&amp;$C189&amp;$D189&amp;$E189,".","_"),"(","_"),")","")</f>
        <v>dpa602_1_9_6</v>
      </c>
      <c r="AM189" s="254">
        <f>M189</f>
        <v>2</v>
      </c>
      <c r="AN189" s="254" t="str">
        <f>SUBSTITUTE(SUBSTITUTE(SUBSTITUTE("dpc"&amp;$B189&amp;$C189&amp;$D189&amp;$E189,".","_"),"(","_"),")","")</f>
        <v>dpc602_1_9_6</v>
      </c>
      <c r="AO189" s="254">
        <f>O189</f>
        <v>0</v>
      </c>
      <c r="AP189" s="1130" t="str">
        <f>SUBSTITUTE(SUBSTITUTE(SUBSTITUTE("dch"&amp;$B189&amp;$C189&amp;$D189&amp;$E189,".","_"),"(","_"),")","")</f>
        <v>dch602_1_9_6</v>
      </c>
      <c r="AQ189" s="254" t="str">
        <f>IF(LEN(W189)=0,"",W189)</f>
        <v/>
      </c>
      <c r="AR189" s="1130" t="str">
        <f>SUBSTITUTE(SUBSTITUTE(SUBSTITUTE("dnt"&amp;$B189&amp;$C189&amp;$D189&amp;$E189,".","_"),"(","_"),")","")</f>
        <v>dnt602_1_9_6</v>
      </c>
      <c r="AS189" s="254" t="str">
        <f>IF(LEN(X189)=0,"",X189)</f>
        <v/>
      </c>
    </row>
    <row r="190" spans="1:61" x14ac:dyDescent="0.25">
      <c r="B190" s="77" t="s">
        <v>596</v>
      </c>
      <c r="C190" s="21" t="s">
        <v>277</v>
      </c>
      <c r="D190" s="77"/>
      <c r="E190" s="21"/>
      <c r="F190" s="77"/>
      <c r="G190" s="77"/>
      <c r="H190" s="761"/>
      <c r="I190" s="64"/>
      <c r="J190" s="210"/>
      <c r="K190" s="175"/>
      <c r="L190" s="1755"/>
      <c r="M190" s="1759"/>
      <c r="N190" s="210"/>
      <c r="O190" s="1764"/>
      <c r="P190" s="352"/>
      <c r="Q190" s="352"/>
      <c r="R190"/>
      <c r="S190"/>
      <c r="T190"/>
      <c r="U190"/>
      <c r="V190"/>
      <c r="W190"/>
      <c r="X190" s="1757"/>
      <c r="Z190"/>
      <c r="AB190"/>
      <c r="AC190"/>
      <c r="AD190"/>
      <c r="AE190"/>
      <c r="AF190"/>
      <c r="AG190"/>
      <c r="AH190"/>
      <c r="AI190"/>
      <c r="AJ190"/>
      <c r="AK190"/>
      <c r="AL190"/>
      <c r="AM190"/>
      <c r="AN190"/>
      <c r="AO190"/>
      <c r="AP190"/>
      <c r="AQ190"/>
      <c r="AR190"/>
      <c r="AS190"/>
    </row>
    <row r="191" spans="1:61" ht="15.75" thickBot="1" x14ac:dyDescent="0.3">
      <c r="B191" s="77" t="s">
        <v>596</v>
      </c>
      <c r="C191" s="21" t="s">
        <v>383</v>
      </c>
      <c r="D191" s="78"/>
      <c r="E191" s="21"/>
      <c r="F191" s="78"/>
      <c r="G191" s="78"/>
      <c r="H191" s="763"/>
      <c r="I191" s="64"/>
      <c r="J191" s="27" t="s">
        <v>383</v>
      </c>
      <c r="K191" s="83"/>
      <c r="L191" s="1170" t="s">
        <v>617</v>
      </c>
      <c r="M191" s="428">
        <v>2</v>
      </c>
      <c r="N191" s="4"/>
      <c r="O191" s="141">
        <f>M191*S191*W191</f>
        <v>0</v>
      </c>
      <c r="P191" s="352" t="b">
        <v>1</v>
      </c>
      <c r="Q191" s="352" t="b">
        <v>0</v>
      </c>
      <c r="R191" s="126" t="b">
        <v>0</v>
      </c>
      <c r="S191" s="126" t="b">
        <v>1</v>
      </c>
      <c r="T191" s="126" t="b">
        <v>0</v>
      </c>
      <c r="U191"/>
      <c r="V191"/>
      <c r="W191" s="25"/>
      <c r="X191" s="167"/>
      <c r="Z191"/>
      <c r="AB191"/>
      <c r="AC191"/>
      <c r="AD191"/>
      <c r="AE191"/>
      <c r="AF191"/>
      <c r="AG191"/>
      <c r="AH191"/>
      <c r="AI191"/>
      <c r="AJ191"/>
      <c r="AK191"/>
      <c r="AL191" s="254" t="str">
        <f>SUBSTITUTE(SUBSTITUTE(SUBSTITUTE("dpa"&amp;$B191&amp;$C191&amp;$D191&amp;$E191,".","_"),"(","_"),")","")</f>
        <v>dpa602_1_9_7</v>
      </c>
      <c r="AM191" s="254">
        <f>M191</f>
        <v>2</v>
      </c>
      <c r="AN191" s="254" t="str">
        <f>SUBSTITUTE(SUBSTITUTE(SUBSTITUTE("dpc"&amp;$B191&amp;$C191&amp;$D191&amp;$E191,".","_"),"(","_"),")","")</f>
        <v>dpc602_1_9_7</v>
      </c>
      <c r="AO191" s="254">
        <f>O191</f>
        <v>0</v>
      </c>
      <c r="AP191" s="1130" t="str">
        <f>SUBSTITUTE(SUBSTITUTE(SUBSTITUTE("dch"&amp;$B191&amp;$C191&amp;$D191&amp;$E191,".","_"),"(","_"),")","")</f>
        <v>dch602_1_9_7</v>
      </c>
      <c r="AQ191" s="254" t="str">
        <f>IF(LEN(W191)=0,"",W191)</f>
        <v/>
      </c>
      <c r="AR191" s="1130" t="str">
        <f>SUBSTITUTE(SUBSTITUTE(SUBSTITUTE("dnt"&amp;$B191&amp;$C191&amp;$D191&amp;$E191,".","_"),"(","_"),")","")</f>
        <v>dnt602_1_9_7</v>
      </c>
      <c r="AS191" s="254" t="str">
        <f>IF(LEN(X191)=0,"",X191)</f>
        <v/>
      </c>
    </row>
    <row r="192" spans="1:61" ht="15" customHeight="1" thickTop="1" x14ac:dyDescent="0.25">
      <c r="B192" s="679" t="s">
        <v>618</v>
      </c>
      <c r="C192" s="738"/>
      <c r="D192" s="21"/>
      <c r="E192" s="21"/>
      <c r="F192" s="21"/>
      <c r="G192" s="21"/>
      <c r="H192" s="758"/>
      <c r="I192" s="180" t="s">
        <v>619</v>
      </c>
      <c r="J192" s="181"/>
      <c r="K192" s="182"/>
      <c r="L192" s="1781" t="s">
        <v>5588</v>
      </c>
      <c r="M192" s="1866" t="s">
        <v>738</v>
      </c>
      <c r="N192" s="181"/>
      <c r="O192" s="1773">
        <f ca="1">IFERROR(INDEX({2,4,6},MATCH(W193,INDIRECT(U193),0)),0)</f>
        <v>0</v>
      </c>
      <c r="P192" s="105"/>
      <c r="Q192" s="105"/>
      <c r="R192" s="105"/>
      <c r="S192" s="105"/>
      <c r="T192" s="105"/>
      <c r="U192" s="105"/>
      <c r="V192" s="105"/>
      <c r="W192" s="105"/>
      <c r="X192" s="105"/>
      <c r="Z192"/>
      <c r="AB192"/>
      <c r="AC192"/>
      <c r="AD192"/>
      <c r="AE192"/>
      <c r="AF192"/>
      <c r="AG192"/>
      <c r="AH192"/>
      <c r="AI192"/>
      <c r="AJ192"/>
      <c r="AK192"/>
      <c r="AL192" s="254" t="str">
        <f>SUBSTITUTE(SUBSTITUTE(SUBSTITUTE("dpa"&amp;$B192&amp;$C192&amp;$D192&amp;$E192,".","_"),"(","_"),")","")</f>
        <v>dpa602_1_10</v>
      </c>
      <c r="AM192" s="254" t="str">
        <f>M192</f>
        <v>2 per exterior door
6 Max</v>
      </c>
      <c r="AN192" s="254" t="str">
        <f>SUBSTITUTE(SUBSTITUTE(SUBSTITUTE("dpc"&amp;$B192&amp;$C192&amp;$D192&amp;$E192,".","_"),"(","_"),")","")</f>
        <v>dpc602_1_10</v>
      </c>
      <c r="AO192" s="254">
        <f ca="1">O192</f>
        <v>0</v>
      </c>
      <c r="AP192"/>
      <c r="AQ192"/>
      <c r="AR192"/>
      <c r="AS192"/>
    </row>
    <row r="193" spans="1:61" ht="15" customHeight="1" x14ac:dyDescent="0.25">
      <c r="B193" s="679" t="s">
        <v>618</v>
      </c>
      <c r="C193" s="738"/>
      <c r="D193" s="21"/>
      <c r="E193" s="21"/>
      <c r="F193" s="21"/>
      <c r="G193" s="21"/>
      <c r="H193" s="758"/>
      <c r="I193" s="130"/>
      <c r="J193" s="129"/>
      <c r="K193" s="95"/>
      <c r="L193" s="1782"/>
      <c r="M193" s="1867"/>
      <c r="N193" s="129"/>
      <c r="O193" s="1774"/>
      <c r="P193" s="94" t="b">
        <v>1</v>
      </c>
      <c r="Q193" s="94" t="b">
        <v>1</v>
      </c>
      <c r="R193" s="94" t="b">
        <v>0</v>
      </c>
      <c r="S193" s="94" t="b">
        <v>1</v>
      </c>
      <c r="T193" s="94" t="b">
        <v>0</v>
      </c>
      <c r="U193" s="94" t="str">
        <f>SUBSTITUTE(SUBSTITUTE(SUBSTITUTE("dd"&amp;B193&amp;C193&amp;D193&amp;E193&amp;F193,".","_"),"(","_"),")","")</f>
        <v>dd602_1_10</v>
      </c>
      <c r="V193" s="94"/>
      <c r="W193" s="109"/>
      <c r="X193" s="1770"/>
      <c r="Z193"/>
      <c r="AB193"/>
      <c r="AC193"/>
      <c r="AD193"/>
      <c r="AE193"/>
      <c r="AF193"/>
      <c r="AG193"/>
      <c r="AH193"/>
      <c r="AI193"/>
      <c r="AJ193"/>
      <c r="AK193"/>
      <c r="AL193" s="254"/>
      <c r="AM193" s="254"/>
      <c r="AN193"/>
      <c r="AO193"/>
      <c r="AP193" s="1130" t="str">
        <f>SUBSTITUTE(SUBSTITUTE(SUBSTITUTE("dch"&amp;$B193&amp;$C193&amp;$D193&amp;$E193,".","_"),"(","_"),")","")</f>
        <v>dch602_1_10</v>
      </c>
      <c r="AQ193" s="254" t="str">
        <f>IF(LEN(W193)=0,"",W193)</f>
        <v/>
      </c>
      <c r="AR193" s="1130" t="str">
        <f>SUBSTITUTE(SUBSTITUTE(SUBSTITUTE("dnt"&amp;$B193&amp;$C193&amp;$D193&amp;$E193,".","_"),"(","_"),")","")</f>
        <v>dnt602_1_10</v>
      </c>
      <c r="AS193" s="254" t="str">
        <f>IF(LEN(X193)=0,"",X193)</f>
        <v/>
      </c>
    </row>
    <row r="194" spans="1:61" ht="15" customHeight="1" x14ac:dyDescent="0.25">
      <c r="B194" s="679" t="s">
        <v>618</v>
      </c>
      <c r="C194" s="738"/>
      <c r="D194" s="21"/>
      <c r="E194" s="21"/>
      <c r="F194" s="21"/>
      <c r="G194" s="21"/>
      <c r="H194" s="758"/>
      <c r="I194" s="130"/>
      <c r="J194" s="129"/>
      <c r="K194" s="95"/>
      <c r="L194" s="1782"/>
      <c r="M194" s="1867"/>
      <c r="N194" s="129"/>
      <c r="O194" s="1774"/>
      <c r="P194" s="94"/>
      <c r="Q194" s="94"/>
      <c r="R194" s="94"/>
      <c r="S194" s="94"/>
      <c r="T194" s="94"/>
      <c r="U194" s="94"/>
      <c r="V194" s="94"/>
      <c r="W194" s="94"/>
      <c r="X194" s="1770"/>
      <c r="Z194"/>
      <c r="AB194"/>
      <c r="AC194"/>
      <c r="AD194"/>
      <c r="AE194"/>
      <c r="AF194"/>
      <c r="AG194"/>
      <c r="AH194"/>
      <c r="AI194"/>
      <c r="AJ194"/>
      <c r="AK194"/>
      <c r="AL194"/>
      <c r="AM194"/>
      <c r="AN194"/>
      <c r="AO194"/>
      <c r="AP194"/>
      <c r="AQ194"/>
      <c r="AR194"/>
      <c r="AS194"/>
    </row>
    <row r="195" spans="1:61" ht="15" customHeight="1" x14ac:dyDescent="0.25">
      <c r="B195" s="679" t="s">
        <v>618</v>
      </c>
      <c r="C195" s="738"/>
      <c r="D195" s="21"/>
      <c r="E195" s="21"/>
      <c r="F195" s="21"/>
      <c r="G195" s="21"/>
      <c r="H195" s="758"/>
      <c r="I195" s="130"/>
      <c r="J195" s="129"/>
      <c r="K195" s="95"/>
      <c r="L195" s="1782"/>
      <c r="M195" s="1867"/>
      <c r="N195" s="129"/>
      <c r="O195" s="1774"/>
      <c r="P195" s="94"/>
      <c r="Q195" s="94"/>
      <c r="R195" s="94"/>
      <c r="S195" s="94"/>
      <c r="T195" s="94"/>
      <c r="U195" s="94"/>
      <c r="V195" s="94"/>
      <c r="W195" s="94"/>
      <c r="X195" s="1770"/>
      <c r="Z195"/>
      <c r="AB195"/>
      <c r="AC195"/>
      <c r="AD195"/>
      <c r="AE195"/>
      <c r="AF195"/>
      <c r="AG195"/>
      <c r="AH195"/>
      <c r="AI195"/>
      <c r="AJ195"/>
      <c r="AK195"/>
      <c r="AL195"/>
      <c r="AM195"/>
      <c r="AN195"/>
      <c r="AO195"/>
      <c r="AP195"/>
      <c r="AQ195"/>
      <c r="AR195"/>
      <c r="AS195"/>
      <c r="AX195" s="140"/>
      <c r="AY195" s="140"/>
    </row>
    <row r="196" spans="1:61" ht="15" customHeight="1" x14ac:dyDescent="0.25">
      <c r="B196" s="679" t="s">
        <v>618</v>
      </c>
      <c r="C196" s="738"/>
      <c r="D196" s="21"/>
      <c r="E196" s="21"/>
      <c r="F196" s="21"/>
      <c r="G196" s="21"/>
      <c r="H196" s="758"/>
      <c r="I196" s="130"/>
      <c r="J196" s="129"/>
      <c r="K196" s="95"/>
      <c r="L196" s="1782"/>
      <c r="M196" s="1867"/>
      <c r="N196" s="129"/>
      <c r="O196" s="1774"/>
      <c r="P196" s="94"/>
      <c r="Q196" s="94"/>
      <c r="R196" s="94"/>
      <c r="S196" s="94"/>
      <c r="T196" s="94"/>
      <c r="U196" s="94"/>
      <c r="V196" s="94"/>
      <c r="W196" s="94"/>
      <c r="X196" s="1770"/>
      <c r="Z196"/>
      <c r="AB196"/>
      <c r="AC196"/>
      <c r="AD196"/>
      <c r="AE196"/>
      <c r="AF196"/>
      <c r="AG196"/>
      <c r="AH196"/>
      <c r="AI196"/>
      <c r="AJ196"/>
      <c r="AK196"/>
      <c r="AL196"/>
      <c r="AM196"/>
      <c r="AN196"/>
      <c r="AO196"/>
      <c r="AP196"/>
      <c r="AQ196"/>
      <c r="AR196"/>
      <c r="AS196"/>
    </row>
    <row r="197" spans="1:61" ht="15" customHeight="1" x14ac:dyDescent="0.25">
      <c r="B197" s="679" t="s">
        <v>618</v>
      </c>
      <c r="C197" s="738"/>
      <c r="D197" s="21"/>
      <c r="E197" s="21"/>
      <c r="F197" s="21"/>
      <c r="G197" s="21"/>
      <c r="H197" s="758"/>
      <c r="I197" s="130"/>
      <c r="J197" s="129"/>
      <c r="K197" s="95"/>
      <c r="L197" s="1782"/>
      <c r="M197" s="1867"/>
      <c r="N197" s="129"/>
      <c r="O197" s="1774"/>
      <c r="P197" s="94"/>
      <c r="Q197" s="94"/>
      <c r="R197" s="94"/>
      <c r="S197" s="94"/>
      <c r="T197" s="94"/>
      <c r="U197" s="94"/>
      <c r="V197" s="94"/>
      <c r="W197" s="94"/>
      <c r="X197" s="1770"/>
      <c r="Z197"/>
      <c r="AB197"/>
      <c r="AC197"/>
      <c r="AD197"/>
      <c r="AE197"/>
      <c r="AF197"/>
      <c r="AG197"/>
      <c r="AH197"/>
      <c r="AI197"/>
      <c r="AJ197"/>
      <c r="AK197"/>
      <c r="AL197"/>
      <c r="AM197"/>
      <c r="AN197"/>
      <c r="AO197"/>
      <c r="AP197"/>
      <c r="AQ197"/>
      <c r="AR197"/>
      <c r="AS197"/>
      <c r="AZ197" s="140"/>
      <c r="BA197" s="140"/>
      <c r="BB197" s="140"/>
      <c r="BC197" s="140"/>
      <c r="BD197" s="140"/>
      <c r="BE197" s="140"/>
      <c r="BF197" s="140"/>
      <c r="BG197" s="140"/>
      <c r="BH197" s="140"/>
      <c r="BI197" s="140"/>
    </row>
    <row r="198" spans="1:61" s="140" customFormat="1" x14ac:dyDescent="0.25">
      <c r="A198" s="18"/>
      <c r="B198" s="679" t="s">
        <v>618</v>
      </c>
      <c r="C198" s="738"/>
      <c r="D198" s="21"/>
      <c r="E198" s="21"/>
      <c r="F198" s="21"/>
      <c r="G198" s="21"/>
      <c r="H198" s="758"/>
      <c r="I198" s="130"/>
      <c r="J198" s="129"/>
      <c r="K198" s="95"/>
      <c r="L198" s="1176" t="str">
        <f>"This Project's Climate Zone: "&amp;BF16</f>
        <v>This Project's Climate Zone: !!</v>
      </c>
      <c r="M198" s="1867"/>
      <c r="N198" s="129"/>
      <c r="O198" s="1774"/>
      <c r="P198" s="94"/>
      <c r="Q198" s="94"/>
      <c r="R198" s="94"/>
      <c r="S198" s="94"/>
      <c r="T198" s="94"/>
      <c r="U198" s="94"/>
      <c r="V198" s="94"/>
      <c r="W198" s="94"/>
      <c r="X198" s="1770"/>
      <c r="Y198" s="780"/>
      <c r="AA198" s="783"/>
      <c r="AX198" s="63"/>
      <c r="AY198" s="63"/>
      <c r="AZ198" s="63"/>
      <c r="BA198" s="63"/>
      <c r="BB198" s="63"/>
      <c r="BC198" s="63"/>
      <c r="BD198" s="63"/>
      <c r="BE198" s="63"/>
      <c r="BF198" s="63"/>
      <c r="BG198" s="63"/>
      <c r="BH198" s="63"/>
      <c r="BI198" s="63"/>
    </row>
    <row r="199" spans="1:61" ht="15" customHeight="1" x14ac:dyDescent="0.25">
      <c r="B199" s="679" t="s">
        <v>618</v>
      </c>
      <c r="C199" s="738"/>
      <c r="D199" s="21" t="s">
        <v>121</v>
      </c>
      <c r="E199" s="21"/>
      <c r="F199" s="21"/>
      <c r="G199" s="21"/>
      <c r="H199" s="758"/>
      <c r="I199" s="130"/>
      <c r="J199" s="129"/>
      <c r="K199" s="91" t="s">
        <v>121</v>
      </c>
      <c r="L199" s="1162" t="s">
        <v>620</v>
      </c>
      <c r="M199" s="1867"/>
      <c r="N199" s="129"/>
      <c r="O199" s="1774"/>
      <c r="P199" s="94"/>
      <c r="Q199" s="94"/>
      <c r="R199" s="94"/>
      <c r="S199" s="94"/>
      <c r="T199" s="94"/>
      <c r="U199" s="94"/>
      <c r="V199" s="94"/>
      <c r="W199" s="94"/>
      <c r="X199" s="1770"/>
      <c r="Z199"/>
      <c r="AB199"/>
      <c r="AC199"/>
      <c r="AD199"/>
      <c r="AE199"/>
      <c r="AF199"/>
      <c r="AG199"/>
      <c r="AH199"/>
      <c r="AI199"/>
      <c r="AJ199"/>
      <c r="AK199"/>
      <c r="AL199"/>
      <c r="AM199"/>
      <c r="AN199"/>
      <c r="AO199"/>
      <c r="AP199"/>
      <c r="AQ199"/>
      <c r="AR199"/>
      <c r="AS199"/>
    </row>
    <row r="200" spans="1:61" ht="15" customHeight="1" x14ac:dyDescent="0.25">
      <c r="B200" s="679" t="s">
        <v>618</v>
      </c>
      <c r="C200" s="738"/>
      <c r="D200" s="21" t="s">
        <v>122</v>
      </c>
      <c r="E200" s="21"/>
      <c r="F200" s="21"/>
      <c r="G200" s="21"/>
      <c r="H200" s="758"/>
      <c r="I200" s="130"/>
      <c r="J200" s="129"/>
      <c r="K200" s="91" t="s">
        <v>122</v>
      </c>
      <c r="L200" s="1162" t="s">
        <v>621</v>
      </c>
      <c r="M200" s="1867"/>
      <c r="N200" s="129"/>
      <c r="O200" s="1774"/>
      <c r="P200" s="94"/>
      <c r="Q200" s="94"/>
      <c r="R200" s="94"/>
      <c r="S200" s="94"/>
      <c r="T200" s="94"/>
      <c r="U200" s="94"/>
      <c r="V200" s="94"/>
      <c r="W200" s="94"/>
      <c r="X200" s="1770"/>
      <c r="Z200"/>
      <c r="AB200"/>
      <c r="AC200"/>
      <c r="AD200"/>
      <c r="AE200"/>
      <c r="AF200"/>
      <c r="AG200"/>
      <c r="AH200"/>
      <c r="AI200"/>
      <c r="AJ200"/>
      <c r="AK200"/>
      <c r="AL200"/>
      <c r="AM200"/>
      <c r="AN200"/>
      <c r="AO200"/>
      <c r="AP200"/>
      <c r="AQ200"/>
      <c r="AR200"/>
      <c r="AS200"/>
      <c r="AX200" s="140"/>
      <c r="AY200" s="140"/>
    </row>
    <row r="201" spans="1:61" ht="15" customHeight="1" x14ac:dyDescent="0.25">
      <c r="B201" s="679" t="s">
        <v>618</v>
      </c>
      <c r="C201" s="738"/>
      <c r="D201" s="21" t="s">
        <v>123</v>
      </c>
      <c r="E201" s="21"/>
      <c r="F201" s="21"/>
      <c r="G201" s="21"/>
      <c r="H201" s="758"/>
      <c r="I201" s="130"/>
      <c r="J201" s="129"/>
      <c r="K201" s="110" t="s">
        <v>123</v>
      </c>
      <c r="L201" s="1162" t="s">
        <v>622</v>
      </c>
      <c r="M201" s="1867"/>
      <c r="N201" s="129"/>
      <c r="O201" s="1774"/>
      <c r="P201" s="94"/>
      <c r="Q201" s="94"/>
      <c r="R201" s="94"/>
      <c r="S201" s="94"/>
      <c r="T201" s="94"/>
      <c r="U201" s="94"/>
      <c r="V201" s="94"/>
      <c r="W201" s="94"/>
      <c r="X201" s="1770"/>
      <c r="Z201"/>
      <c r="AB201"/>
      <c r="AC201"/>
      <c r="AD201"/>
      <c r="AE201"/>
      <c r="AF201"/>
      <c r="AG201"/>
      <c r="AH201"/>
      <c r="AI201"/>
      <c r="AJ201"/>
      <c r="AK201"/>
      <c r="AL201"/>
      <c r="AM201"/>
      <c r="AN201"/>
      <c r="AO201"/>
      <c r="AP201"/>
      <c r="AQ201"/>
      <c r="AR201"/>
      <c r="AS201"/>
      <c r="AX201" s="140"/>
      <c r="AY201" s="140"/>
    </row>
    <row r="202" spans="1:61" ht="15" customHeight="1" x14ac:dyDescent="0.25">
      <c r="B202" s="679" t="s">
        <v>618</v>
      </c>
      <c r="C202" s="738"/>
      <c r="D202" s="21" t="s">
        <v>401</v>
      </c>
      <c r="E202" s="21"/>
      <c r="F202" s="21"/>
      <c r="G202" s="21"/>
      <c r="H202" s="758"/>
      <c r="I202" s="130"/>
      <c r="J202" s="129"/>
      <c r="K202" s="187" t="s">
        <v>401</v>
      </c>
      <c r="L202" s="1162" t="s">
        <v>623</v>
      </c>
      <c r="M202" s="1867"/>
      <c r="N202" s="129"/>
      <c r="O202" s="1774"/>
      <c r="P202" s="94"/>
      <c r="Q202" s="94"/>
      <c r="R202" s="94"/>
      <c r="S202" s="94"/>
      <c r="T202" s="94"/>
      <c r="U202" s="94"/>
      <c r="V202" s="94"/>
      <c r="W202" s="94"/>
      <c r="X202" s="1770"/>
      <c r="Z202"/>
      <c r="AB202"/>
      <c r="AC202"/>
      <c r="AD202"/>
      <c r="AE202"/>
      <c r="AF202"/>
      <c r="AG202"/>
      <c r="AH202"/>
      <c r="AI202"/>
      <c r="AJ202"/>
      <c r="AK202"/>
      <c r="AL202"/>
      <c r="AM202"/>
      <c r="AN202"/>
      <c r="AO202"/>
      <c r="AP202"/>
      <c r="AQ202"/>
      <c r="AR202"/>
      <c r="AS202"/>
      <c r="AZ202" s="140"/>
      <c r="BA202" s="140"/>
      <c r="BB202" s="140"/>
      <c r="BC202" s="140"/>
      <c r="BD202" s="140"/>
      <c r="BE202" s="140"/>
      <c r="BF202" s="140"/>
      <c r="BG202" s="140"/>
      <c r="BH202" s="140"/>
      <c r="BI202" s="140"/>
    </row>
    <row r="203" spans="1:61" s="140" customFormat="1" x14ac:dyDescent="0.25">
      <c r="A203" s="18"/>
      <c r="B203" s="679" t="s">
        <v>618</v>
      </c>
      <c r="C203" s="738"/>
      <c r="D203" s="21"/>
      <c r="E203" s="21"/>
      <c r="F203" s="21"/>
      <c r="G203" s="21"/>
      <c r="H203" s="758"/>
      <c r="I203" s="130"/>
      <c r="J203" s="129"/>
      <c r="K203" s="187"/>
      <c r="L203" s="1855" t="s">
        <v>3051</v>
      </c>
      <c r="M203" s="1867"/>
      <c r="N203" s="129"/>
      <c r="O203" s="1774"/>
      <c r="P203" s="94"/>
      <c r="Q203" s="94"/>
      <c r="R203" s="94"/>
      <c r="S203" s="94"/>
      <c r="T203" s="94"/>
      <c r="U203" s="94"/>
      <c r="V203" s="94"/>
      <c r="W203" s="94"/>
      <c r="X203" s="1770"/>
      <c r="Y203" s="780"/>
      <c r="AA203" s="783"/>
      <c r="AX203" s="63"/>
      <c r="AY203" s="63"/>
    </row>
    <row r="204" spans="1:61" s="140" customFormat="1" ht="15.75" thickBot="1" x14ac:dyDescent="0.3">
      <c r="A204" s="18"/>
      <c r="B204" s="679" t="s">
        <v>618</v>
      </c>
      <c r="C204" s="738"/>
      <c r="D204" s="21"/>
      <c r="E204" s="21"/>
      <c r="F204" s="21"/>
      <c r="G204" s="21"/>
      <c r="H204" s="758"/>
      <c r="I204" s="130"/>
      <c r="J204" s="129"/>
      <c r="K204" s="187"/>
      <c r="L204" s="1849"/>
      <c r="M204" s="1867"/>
      <c r="N204" s="129"/>
      <c r="O204" s="1774"/>
      <c r="P204" s="94"/>
      <c r="Q204" s="94"/>
      <c r="R204" s="94"/>
      <c r="S204" s="94"/>
      <c r="T204" s="94"/>
      <c r="U204" s="94"/>
      <c r="V204" s="94"/>
      <c r="W204" s="112"/>
      <c r="X204" s="1798"/>
      <c r="Y204" s="780"/>
      <c r="AA204" s="783"/>
      <c r="AX204" s="63"/>
      <c r="AY204" s="63"/>
      <c r="AZ204" s="63"/>
      <c r="BA204" s="63"/>
      <c r="BB204" s="63"/>
      <c r="BC204" s="63"/>
      <c r="BD204" s="63"/>
      <c r="BE204" s="63"/>
      <c r="BF204" s="63"/>
      <c r="BG204" s="63"/>
      <c r="BH204" s="63"/>
      <c r="BI204" s="63"/>
    </row>
    <row r="205" spans="1:61" ht="15" customHeight="1" thickTop="1" x14ac:dyDescent="0.25">
      <c r="B205" s="679" t="s">
        <v>624</v>
      </c>
      <c r="C205" s="738"/>
      <c r="D205" s="21"/>
      <c r="E205" s="21"/>
      <c r="F205" s="21"/>
      <c r="G205" s="21"/>
      <c r="H205" s="758"/>
      <c r="I205" s="180" t="s">
        <v>625</v>
      </c>
      <c r="J205" s="181"/>
      <c r="K205" s="182"/>
      <c r="L205" s="1781" t="s">
        <v>626</v>
      </c>
      <c r="M205" s="1856" t="str">
        <f>IF(R205,"Mandatory","N/A")</f>
        <v>Mandatory</v>
      </c>
      <c r="N205" s="181"/>
      <c r="O205" s="500"/>
      <c r="P205" s="105" t="b">
        <v>1</v>
      </c>
      <c r="Q205" s="105" t="b">
        <v>1</v>
      </c>
      <c r="R205" s="105" t="b">
        <f>S205</f>
        <v>1</v>
      </c>
      <c r="S205" s="105" t="b">
        <v>1</v>
      </c>
      <c r="T205" s="105" t="b">
        <v>0</v>
      </c>
      <c r="U205" s="105" t="str">
        <f>SUBSTITUTE(SUBSTITUTE(SUBSTITUTE("dd"&amp;B205&amp;C205&amp;D205&amp;E205&amp;F205,".","_"),"(","_"),")","")</f>
        <v>dd602_1_11</v>
      </c>
      <c r="V205" s="105"/>
      <c r="W205" s="255"/>
      <c r="X205" s="1784"/>
      <c r="Z205"/>
      <c r="AB205"/>
      <c r="AC205" s="140" t="b">
        <f>OR(AD205:AE205)</f>
        <v>1</v>
      </c>
      <c r="AD205" s="970" t="b">
        <v>0</v>
      </c>
      <c r="AE205" s="140" t="b">
        <f>AND(R205,NOT(W205="Met"),NOT(W205="N/A"))</f>
        <v>1</v>
      </c>
      <c r="AF205"/>
      <c r="AG205"/>
      <c r="AH205"/>
      <c r="AI205"/>
      <c r="AJ205"/>
      <c r="AK205"/>
      <c r="AL205" s="254" t="str">
        <f>SUBSTITUTE(SUBSTITUTE(SUBSTITUTE("dpa"&amp;$B205&amp;$C205&amp;$D205&amp;$E205,".","_"),"(","_"),")","")</f>
        <v>dpa602_1_11</v>
      </c>
      <c r="AM205" s="254" t="str">
        <f>M205</f>
        <v>Mandatory</v>
      </c>
      <c r="AN205"/>
      <c r="AO205"/>
      <c r="AP205" s="1130" t="str">
        <f>SUBSTITUTE(SUBSTITUTE(SUBSTITUTE("dch"&amp;$B205&amp;$C205&amp;$D205&amp;$E205,".","_"),"(","_"),")","")</f>
        <v>dch602_1_11</v>
      </c>
      <c r="AQ205" s="254" t="str">
        <f>IF(LEN(W205)=0,"",W205)</f>
        <v/>
      </c>
      <c r="AR205" s="1130" t="str">
        <f>SUBSTITUTE(SUBSTITUTE(SUBSTITUTE("dnt"&amp;$B205&amp;$C205&amp;$D205&amp;$E205,".","_"),"(","_"),")","")</f>
        <v>dnt602_1_11</v>
      </c>
      <c r="AS205" s="254" t="str">
        <f>IF(LEN(X205)=0,"",X205)</f>
        <v/>
      </c>
    </row>
    <row r="206" spans="1:61" ht="15" customHeight="1" thickBot="1" x14ac:dyDescent="0.3">
      <c r="B206" s="679" t="s">
        <v>624</v>
      </c>
      <c r="C206" s="738"/>
      <c r="D206" s="21"/>
      <c r="E206" s="21"/>
      <c r="F206" s="21"/>
      <c r="G206" s="21"/>
      <c r="H206" s="758"/>
      <c r="I206" s="130"/>
      <c r="J206" s="129"/>
      <c r="K206" s="95"/>
      <c r="L206" s="1782"/>
      <c r="M206" s="1837"/>
      <c r="N206" s="129"/>
      <c r="O206" s="239"/>
      <c r="P206" s="94"/>
      <c r="Q206" s="94"/>
      <c r="R206" s="94"/>
      <c r="S206" s="94"/>
      <c r="T206" s="94"/>
      <c r="U206" s="94"/>
      <c r="V206" s="94"/>
      <c r="W206" s="256"/>
      <c r="X206" s="1798"/>
      <c r="Z206"/>
      <c r="AB206"/>
      <c r="AC206"/>
      <c r="AD206"/>
      <c r="AE206"/>
      <c r="AF206"/>
      <c r="AG206"/>
      <c r="AH206"/>
      <c r="AI206"/>
      <c r="AJ206"/>
      <c r="AK206"/>
      <c r="AL206"/>
      <c r="AM206"/>
      <c r="AN206"/>
      <c r="AO206"/>
      <c r="AP206"/>
      <c r="AQ206"/>
      <c r="AR206"/>
      <c r="AS206"/>
      <c r="AX206" s="137"/>
      <c r="AY206" s="137"/>
    </row>
    <row r="207" spans="1:61" ht="15" customHeight="1" thickTop="1" x14ac:dyDescent="0.25">
      <c r="B207" s="679" t="s">
        <v>627</v>
      </c>
      <c r="C207" s="738"/>
      <c r="D207" s="21"/>
      <c r="E207" s="21"/>
      <c r="F207" s="21"/>
      <c r="G207" s="21"/>
      <c r="H207" s="758"/>
      <c r="I207" s="180" t="s">
        <v>627</v>
      </c>
      <c r="J207" s="181"/>
      <c r="K207" s="182"/>
      <c r="L207" s="1781" t="s">
        <v>628</v>
      </c>
      <c r="M207" s="1772">
        <v>4</v>
      </c>
      <c r="N207" s="181"/>
      <c r="O207" s="1773">
        <f ca="1">M207*S207*hyptarg3</f>
        <v>0</v>
      </c>
      <c r="P207" s="352" t="b">
        <v>1</v>
      </c>
      <c r="Q207" s="352" t="b">
        <v>0</v>
      </c>
      <c r="R207" s="105" t="b">
        <v>0</v>
      </c>
      <c r="S207" s="105" t="b">
        <f ca="1">OR(W58="no stacked stories",W58=INDEX(INDIRECT(U58),1))</f>
        <v>1</v>
      </c>
      <c r="T207" s="94" t="b">
        <f ca="1">AND(NOT(S207),W207=TRUE)</f>
        <v>0</v>
      </c>
      <c r="U207" s="105"/>
      <c r="V207" s="105"/>
      <c r="W207" s="117"/>
      <c r="X207" s="1784"/>
      <c r="Z207"/>
      <c r="AB207"/>
      <c r="AC207" s="140" t="b">
        <f ca="1">OR(AD207:AE207)</f>
        <v>0</v>
      </c>
      <c r="AD207" s="140" t="b">
        <f ca="1">T207</f>
        <v>0</v>
      </c>
      <c r="AE207" s="140"/>
      <c r="AF207"/>
      <c r="AG207"/>
      <c r="AH207"/>
      <c r="AI207"/>
      <c r="AJ207"/>
      <c r="AK207"/>
      <c r="AL207" s="254" t="str">
        <f>SUBSTITUTE(SUBSTITUTE(SUBSTITUTE("dpa"&amp;$B207&amp;$C207&amp;$D207&amp;$E207,".","_"),"(","_"),")","")</f>
        <v>dpa602_1_12</v>
      </c>
      <c r="AM207" s="254">
        <f>M207</f>
        <v>4</v>
      </c>
      <c r="AN207" s="254" t="str">
        <f>SUBSTITUTE(SUBSTITUTE(SUBSTITUTE("dpc"&amp;$B207&amp;$C207&amp;$D207&amp;$E207,".","_"),"(","_"),")","")</f>
        <v>dpc602_1_12</v>
      </c>
      <c r="AO207" s="254">
        <f ca="1">O207</f>
        <v>0</v>
      </c>
      <c r="AP207" s="1130" t="str">
        <f>SUBSTITUTE(SUBSTITUTE(SUBSTITUTE("dch"&amp;$B207&amp;$C207&amp;$D207&amp;$E207,".","_"),"(","_"),")","")</f>
        <v>dch602_1_12</v>
      </c>
      <c r="AQ207" s="254" t="str">
        <f>IF(LEN(W207)=0,"",W207)</f>
        <v/>
      </c>
      <c r="AR207" s="1130" t="str">
        <f>SUBSTITUTE(SUBSTITUTE(SUBSTITUTE("dnt"&amp;$B207&amp;$C207&amp;$D207&amp;$E207,".","_"),"(","_"),")","")</f>
        <v>dnt602_1_12</v>
      </c>
      <c r="AS207" s="254" t="str">
        <f>IF(LEN(X207)=0,"",X207)</f>
        <v/>
      </c>
    </row>
    <row r="208" spans="1:61" ht="15" customHeight="1" x14ac:dyDescent="0.25">
      <c r="B208" s="679" t="s">
        <v>627</v>
      </c>
      <c r="C208" s="738"/>
      <c r="D208" s="21"/>
      <c r="E208" s="21"/>
      <c r="F208" s="21"/>
      <c r="G208" s="21"/>
      <c r="H208" s="758"/>
      <c r="I208" s="130"/>
      <c r="J208" s="129"/>
      <c r="K208" s="95"/>
      <c r="L208" s="1782"/>
      <c r="M208" s="1758"/>
      <c r="N208" s="129"/>
      <c r="O208" s="1774"/>
      <c r="P208" s="94"/>
      <c r="Q208" s="94"/>
      <c r="R208" s="94"/>
      <c r="S208" s="94"/>
      <c r="T208" s="94"/>
      <c r="U208" s="94"/>
      <c r="V208" s="94"/>
      <c r="W208" s="94"/>
      <c r="X208" s="1770"/>
      <c r="Z208"/>
      <c r="AB208"/>
      <c r="AC208"/>
      <c r="AD208"/>
      <c r="AE208"/>
      <c r="AF208"/>
      <c r="AG208"/>
      <c r="AH208"/>
      <c r="AI208"/>
      <c r="AJ208"/>
      <c r="AK208"/>
      <c r="AL208"/>
      <c r="AM208"/>
      <c r="AN208"/>
      <c r="AO208"/>
      <c r="AP208"/>
      <c r="AQ208"/>
      <c r="AR208"/>
      <c r="AS208"/>
      <c r="AZ208" s="137"/>
      <c r="BA208" s="137"/>
      <c r="BB208" s="137"/>
      <c r="BC208" s="137"/>
      <c r="BD208" s="137"/>
      <c r="BE208" s="137"/>
      <c r="BF208" s="137"/>
      <c r="BG208" s="137"/>
      <c r="BH208" s="137"/>
      <c r="BI208" s="137"/>
    </row>
    <row r="209" spans="1:61" s="137" customFormat="1" ht="15.75" thickBot="1" x14ac:dyDescent="0.3">
      <c r="A209" s="18"/>
      <c r="B209" s="679" t="s">
        <v>627</v>
      </c>
      <c r="C209" s="738"/>
      <c r="D209" s="21"/>
      <c r="E209" s="21"/>
      <c r="F209" s="21"/>
      <c r="G209" s="21"/>
      <c r="H209" s="758"/>
      <c r="I209" s="130"/>
      <c r="J209" s="129"/>
      <c r="K209" s="95"/>
      <c r="L209" s="1209" t="s">
        <v>3036</v>
      </c>
      <c r="M209" s="1758"/>
      <c r="N209" s="129"/>
      <c r="O209" s="1774"/>
      <c r="P209" s="94"/>
      <c r="Q209" s="94"/>
      <c r="R209" s="94"/>
      <c r="S209" s="94"/>
      <c r="T209" s="94"/>
      <c r="U209" s="94"/>
      <c r="V209" s="94"/>
      <c r="W209" s="112"/>
      <c r="X209" s="1798"/>
      <c r="Y209" s="780"/>
      <c r="AA209" s="783"/>
      <c r="AX209" s="63"/>
      <c r="AY209" s="63"/>
      <c r="AZ209" s="63"/>
      <c r="BA209" s="63"/>
      <c r="BB209" s="63"/>
      <c r="BC209" s="63"/>
      <c r="BD209" s="63"/>
      <c r="BE209" s="63"/>
      <c r="BF209" s="63"/>
      <c r="BG209" s="63"/>
      <c r="BH209" s="63"/>
      <c r="BI209" s="63"/>
    </row>
    <row r="210" spans="1:61" ht="15.75" thickTop="1" x14ac:dyDescent="0.25">
      <c r="B210" s="77" t="s">
        <v>629</v>
      </c>
      <c r="C210" s="77"/>
      <c r="D210" s="21"/>
      <c r="E210" s="21"/>
      <c r="F210" s="21"/>
      <c r="G210" s="21"/>
      <c r="H210" s="758"/>
      <c r="I210" s="180" t="s">
        <v>630</v>
      </c>
      <c r="J210" s="181"/>
      <c r="K210" s="182"/>
      <c r="L210" s="1781" t="s">
        <v>631</v>
      </c>
      <c r="M210" s="1856" t="str">
        <f>IF(R210,"Mandatory","N/A")</f>
        <v>Mandatory</v>
      </c>
      <c r="N210" s="181"/>
      <c r="O210" s="500"/>
      <c r="P210" s="105" t="b">
        <v>1</v>
      </c>
      <c r="Q210" s="105" t="b">
        <v>0</v>
      </c>
      <c r="R210" s="105" t="b">
        <f>S210</f>
        <v>1</v>
      </c>
      <c r="S210" s="105" t="b">
        <v>1</v>
      </c>
      <c r="T210" s="105" t="b">
        <v>0</v>
      </c>
      <c r="U210" s="105" t="str">
        <f>SUBSTITUTE(SUBSTITUTE(SUBSTITUTE("dd"&amp;B210&amp;C210&amp;D210&amp;E210&amp;F210,".","_"),"(","_"),")","")</f>
        <v>dd602_1_13</v>
      </c>
      <c r="V210" s="105"/>
      <c r="W210" s="255"/>
      <c r="X210" s="1784"/>
      <c r="Z210"/>
      <c r="AB210"/>
      <c r="AC210" s="140" t="b">
        <f>OR(AD210:AE210)</f>
        <v>1</v>
      </c>
      <c r="AD210" s="970" t="b">
        <v>0</v>
      </c>
      <c r="AE210" s="140" t="b">
        <f>AND(R210,NOT(W210="Met"),NOT(W210="N/A"))</f>
        <v>1</v>
      </c>
      <c r="AF210"/>
      <c r="AG210"/>
      <c r="AH210"/>
      <c r="AI210"/>
      <c r="AJ210"/>
      <c r="AK210"/>
      <c r="AL210" s="254" t="str">
        <f>SUBSTITUTE(SUBSTITUTE(SUBSTITUTE("dpa"&amp;$B210&amp;$C210&amp;$D210&amp;$E210,".","_"),"(","_"),")","")</f>
        <v>dpa602_1_13</v>
      </c>
      <c r="AM210" s="254" t="str">
        <f>M210</f>
        <v>Mandatory</v>
      </c>
      <c r="AN210"/>
      <c r="AO210"/>
      <c r="AP210" s="1130" t="str">
        <f>SUBSTITUTE(SUBSTITUTE(SUBSTITUTE("dch"&amp;$B210&amp;$C210&amp;$D210&amp;$E210,".","_"),"(","_"),")","")</f>
        <v>dch602_1_13</v>
      </c>
      <c r="AQ210" s="254" t="str">
        <f>IF(LEN(W210)=0,"",W210)</f>
        <v/>
      </c>
      <c r="AR210" s="1130" t="str">
        <f>SUBSTITUTE(SUBSTITUTE(SUBSTITUTE("dnt"&amp;$B210&amp;$C210&amp;$D210&amp;$E210,".","_"),"(","_"),")","")</f>
        <v>dnt602_1_13</v>
      </c>
      <c r="AS210" s="254" t="str">
        <f>IF(LEN(X210)=0,"",X210)</f>
        <v/>
      </c>
    </row>
    <row r="211" spans="1:61" x14ac:dyDescent="0.25">
      <c r="B211" s="77" t="s">
        <v>629</v>
      </c>
      <c r="C211" s="77"/>
      <c r="D211" s="21"/>
      <c r="E211" s="21"/>
      <c r="F211" s="21"/>
      <c r="G211" s="21"/>
      <c r="H211" s="758"/>
      <c r="I211" s="130"/>
      <c r="J211" s="129"/>
      <c r="K211" s="95"/>
      <c r="L211" s="1782"/>
      <c r="M211" s="1837"/>
      <c r="N211" s="129"/>
      <c r="O211" s="239"/>
      <c r="P211" s="94"/>
      <c r="Q211" s="94"/>
      <c r="R211" s="94"/>
      <c r="S211" s="94"/>
      <c r="T211" s="94"/>
      <c r="U211" s="94"/>
      <c r="V211" s="94"/>
      <c r="W211" s="94"/>
      <c r="X211" s="1770"/>
      <c r="Z211"/>
      <c r="AB211"/>
      <c r="AC211"/>
      <c r="AD211"/>
      <c r="AE211"/>
      <c r="AF211"/>
      <c r="AG211"/>
      <c r="AH211"/>
      <c r="AI211"/>
      <c r="AJ211"/>
      <c r="AK211"/>
      <c r="AL211"/>
      <c r="AM211"/>
      <c r="AN211"/>
      <c r="AO211"/>
      <c r="AP211"/>
      <c r="AQ211"/>
      <c r="AR211"/>
      <c r="AS211"/>
    </row>
    <row r="212" spans="1:61" x14ac:dyDescent="0.25">
      <c r="B212" s="77" t="s">
        <v>629</v>
      </c>
      <c r="C212" s="77"/>
      <c r="D212" s="21"/>
      <c r="E212" s="21"/>
      <c r="F212" s="21"/>
      <c r="G212" s="21"/>
      <c r="H212" s="758"/>
      <c r="I212" s="130"/>
      <c r="J212" s="129"/>
      <c r="K212" s="95"/>
      <c r="L212" s="1782"/>
      <c r="M212" s="1837"/>
      <c r="N212" s="129"/>
      <c r="O212" s="239"/>
      <c r="P212" s="94"/>
      <c r="Q212" s="94"/>
      <c r="R212" s="94"/>
      <c r="S212" s="94"/>
      <c r="T212" s="94"/>
      <c r="U212" s="94"/>
      <c r="V212" s="94"/>
      <c r="W212" s="94"/>
      <c r="X212" s="1770"/>
      <c r="Z212"/>
      <c r="AB212"/>
      <c r="AC212"/>
      <c r="AD212"/>
      <c r="AE212"/>
      <c r="AF212"/>
      <c r="AG212"/>
      <c r="AH212"/>
      <c r="AI212"/>
      <c r="AJ212"/>
      <c r="AK212"/>
      <c r="AL212"/>
      <c r="AM212"/>
      <c r="AN212"/>
      <c r="AO212"/>
      <c r="AP212"/>
      <c r="AQ212"/>
      <c r="AR212"/>
      <c r="AS212"/>
    </row>
    <row r="213" spans="1:61" ht="15.75" thickBot="1" x14ac:dyDescent="0.3">
      <c r="B213" s="77" t="s">
        <v>629</v>
      </c>
      <c r="C213" s="77"/>
      <c r="D213" s="21"/>
      <c r="E213" s="21"/>
      <c r="F213" s="21"/>
      <c r="G213" s="21"/>
      <c r="H213" s="758"/>
      <c r="I213" s="130"/>
      <c r="J213" s="129"/>
      <c r="K213" s="95"/>
      <c r="L213" s="1782"/>
      <c r="M213" s="1837"/>
      <c r="N213" s="129"/>
      <c r="O213" s="239"/>
      <c r="P213" s="94"/>
      <c r="Q213" s="94"/>
      <c r="R213" s="94"/>
      <c r="S213" s="94"/>
      <c r="T213" s="94"/>
      <c r="U213" s="94"/>
      <c r="V213" s="94"/>
      <c r="W213" s="94"/>
      <c r="X213" s="1798"/>
      <c r="Z213"/>
      <c r="AB213"/>
      <c r="AC213"/>
      <c r="AD213"/>
      <c r="AE213"/>
      <c r="AF213"/>
      <c r="AG213"/>
      <c r="AH213"/>
      <c r="AI213"/>
      <c r="AJ213"/>
      <c r="AK213"/>
      <c r="AL213"/>
      <c r="AM213"/>
      <c r="AN213"/>
      <c r="AO213"/>
      <c r="AP213"/>
      <c r="AQ213"/>
      <c r="AR213"/>
      <c r="AS213"/>
    </row>
    <row r="214" spans="1:61" ht="15.75" thickTop="1" x14ac:dyDescent="0.25">
      <c r="B214" s="77" t="s">
        <v>632</v>
      </c>
      <c r="C214" s="77"/>
      <c r="D214" s="21"/>
      <c r="E214" s="21"/>
      <c r="F214" s="21"/>
      <c r="G214" s="21"/>
      <c r="H214" s="758"/>
      <c r="I214" s="180" t="s">
        <v>632</v>
      </c>
      <c r="J214" s="181"/>
      <c r="K214" s="182"/>
      <c r="L214" s="1781" t="s">
        <v>633</v>
      </c>
      <c r="M214" s="423"/>
      <c r="N214" s="181"/>
      <c r="O214" s="500"/>
      <c r="P214" s="105"/>
      <c r="Q214" s="105"/>
      <c r="R214" s="105"/>
      <c r="S214" s="105"/>
      <c r="T214" s="105"/>
      <c r="U214" s="105"/>
      <c r="V214" s="105"/>
      <c r="W214" s="105"/>
      <c r="X214" s="105"/>
      <c r="Z214"/>
      <c r="AB214"/>
      <c r="AC214"/>
      <c r="AD214"/>
      <c r="AE214"/>
      <c r="AF214"/>
      <c r="AG214"/>
      <c r="AH214"/>
      <c r="AI214"/>
      <c r="AJ214"/>
      <c r="AK214"/>
      <c r="AL214"/>
      <c r="AM214"/>
      <c r="AN214"/>
      <c r="AO214"/>
      <c r="AP214"/>
      <c r="AQ214"/>
      <c r="AR214"/>
      <c r="AS214"/>
    </row>
    <row r="215" spans="1:61" x14ac:dyDescent="0.25">
      <c r="B215" s="77" t="s">
        <v>632</v>
      </c>
      <c r="C215" s="77"/>
      <c r="D215" s="21"/>
      <c r="E215" s="21"/>
      <c r="F215" s="21"/>
      <c r="G215" s="21"/>
      <c r="H215" s="758"/>
      <c r="I215" s="130"/>
      <c r="J215" s="129"/>
      <c r="K215" s="95"/>
      <c r="L215" s="1782"/>
      <c r="M215" s="424"/>
      <c r="N215" s="129"/>
      <c r="O215" s="239"/>
      <c r="P215" s="94"/>
      <c r="Q215" s="94"/>
      <c r="R215" s="94"/>
      <c r="S215" s="94"/>
      <c r="T215" s="94"/>
      <c r="U215" s="94"/>
      <c r="V215" s="94"/>
      <c r="W215" s="94"/>
      <c r="X215" s="94"/>
      <c r="Z215"/>
      <c r="AB215"/>
      <c r="AC215"/>
      <c r="AD215"/>
      <c r="AE215"/>
      <c r="AF215"/>
      <c r="AG215"/>
      <c r="AH215"/>
      <c r="AI215"/>
      <c r="AJ215"/>
      <c r="AK215"/>
      <c r="AL215"/>
      <c r="AM215"/>
      <c r="AN215"/>
      <c r="AO215"/>
      <c r="AP215"/>
      <c r="AQ215"/>
      <c r="AR215"/>
      <c r="AS215"/>
    </row>
    <row r="216" spans="1:61" x14ac:dyDescent="0.25">
      <c r="B216" s="77" t="s">
        <v>632</v>
      </c>
      <c r="C216" s="21" t="s">
        <v>256</v>
      </c>
      <c r="D216" s="21"/>
      <c r="E216" s="21"/>
      <c r="F216" s="21"/>
      <c r="G216" s="21"/>
      <c r="H216" s="758"/>
      <c r="I216" s="64"/>
      <c r="J216" s="183" t="s">
        <v>256</v>
      </c>
      <c r="K216" s="95"/>
      <c r="L216" s="1754" t="s">
        <v>634</v>
      </c>
      <c r="M216" s="1857" t="str">
        <f>IF(R216,"Mandatory
1","N/A")</f>
        <v>Mandatory
1</v>
      </c>
      <c r="N216" s="129"/>
      <c r="O216" s="1774">
        <f>IF(AND(S216,W216="Met"),1,0)</f>
        <v>0</v>
      </c>
      <c r="P216" s="352" t="b">
        <v>1</v>
      </c>
      <c r="Q216" s="352" t="b">
        <v>1</v>
      </c>
      <c r="R216" s="140" t="b">
        <f>S216</f>
        <v>1</v>
      </c>
      <c r="S216" s="126" t="b">
        <v>1</v>
      </c>
      <c r="T216" s="126" t="b">
        <v>0</v>
      </c>
      <c r="U216" s="94" t="str">
        <f>SUBSTITUTE(SUBSTITUTE(SUBSTITUTE("dd"&amp;B216&amp;C216&amp;D216&amp;E216&amp;F216,".","_"),"(","_"),")","")</f>
        <v>dd602_1_14_1</v>
      </c>
      <c r="V216"/>
      <c r="W216" s="12"/>
      <c r="X216" s="1757"/>
      <c r="Z216"/>
      <c r="AB216"/>
      <c r="AC216" s="140" t="b">
        <f>OR(AD216:AE216)</f>
        <v>1</v>
      </c>
      <c r="AD216" s="970" t="b">
        <v>0</v>
      </c>
      <c r="AE216" s="140" t="b">
        <f>AND(R216,NOT(W216="Met"),NOT(W216="N/A"))</f>
        <v>1</v>
      </c>
      <c r="AF216"/>
      <c r="AG216"/>
      <c r="AH216"/>
      <c r="AI216"/>
      <c r="AJ216"/>
      <c r="AK216"/>
      <c r="AL216" s="254" t="str">
        <f>SUBSTITUTE(SUBSTITUTE(SUBSTITUTE("dpa"&amp;$B216&amp;$C216&amp;$D216&amp;$E216,".","_"),"(","_"),")","")</f>
        <v>dpa602_1_14_1</v>
      </c>
      <c r="AM216" s="254" t="str">
        <f>M216</f>
        <v>Mandatory
1</v>
      </c>
      <c r="AN216" s="254" t="str">
        <f>SUBSTITUTE(SUBSTITUTE(SUBSTITUTE("dpc"&amp;$B216&amp;$C216&amp;$D216&amp;$E216,".","_"),"(","_"),")","")</f>
        <v>dpc602_1_14_1</v>
      </c>
      <c r="AO216" s="254">
        <f>O216</f>
        <v>0</v>
      </c>
      <c r="AP216" s="1130" t="str">
        <f>SUBSTITUTE(SUBSTITUTE(SUBSTITUTE("dch"&amp;$B216&amp;$C216&amp;$D216&amp;$E216,".","_"),"(","_"),")","")</f>
        <v>dch602_1_14_1</v>
      </c>
      <c r="AQ216" s="254" t="str">
        <f>IF(LEN(W216)=0,"",W216)</f>
        <v/>
      </c>
      <c r="AR216" s="1130" t="str">
        <f>SUBSTITUTE(SUBSTITUTE(SUBSTITUTE("dnt"&amp;$B216&amp;$C216&amp;$D216&amp;$E216,".","_"),"(","_"),")","")</f>
        <v>dnt602_1_14_1</v>
      </c>
      <c r="AS216" s="254" t="str">
        <f>IF(LEN(X216)=0,"",X216)</f>
        <v/>
      </c>
    </row>
    <row r="217" spans="1:61" x14ac:dyDescent="0.25">
      <c r="B217" s="77" t="s">
        <v>632</v>
      </c>
      <c r="C217" s="21" t="s">
        <v>256</v>
      </c>
      <c r="D217" s="21"/>
      <c r="E217" s="21"/>
      <c r="F217" s="21"/>
      <c r="G217" s="21"/>
      <c r="H217" s="758"/>
      <c r="I217" s="64"/>
      <c r="J217" s="210"/>
      <c r="K217" s="175"/>
      <c r="L217" s="1755"/>
      <c r="M217" s="1858"/>
      <c r="N217" s="210"/>
      <c r="O217" s="1764"/>
      <c r="P217" s="352"/>
      <c r="Q217" s="352"/>
      <c r="R217"/>
      <c r="S217"/>
      <c r="T217"/>
      <c r="U217"/>
      <c r="V217"/>
      <c r="W217"/>
      <c r="X217" s="1757"/>
      <c r="Z217"/>
      <c r="AB217"/>
      <c r="AC217"/>
      <c r="AD217"/>
      <c r="AE217"/>
      <c r="AF217"/>
      <c r="AG217"/>
      <c r="AH217"/>
      <c r="AI217"/>
      <c r="AJ217"/>
      <c r="AK217"/>
      <c r="AL217"/>
      <c r="AM217"/>
      <c r="AN217"/>
      <c r="AO217"/>
      <c r="AP217"/>
      <c r="AQ217"/>
      <c r="AR217"/>
      <c r="AS217"/>
    </row>
    <row r="218" spans="1:61" x14ac:dyDescent="0.25">
      <c r="B218" s="77" t="s">
        <v>632</v>
      </c>
      <c r="C218" s="21" t="s">
        <v>258</v>
      </c>
      <c r="D218" s="21"/>
      <c r="E218" s="21"/>
      <c r="F218" s="21"/>
      <c r="G218" s="21"/>
      <c r="H218" s="758"/>
      <c r="I218" s="64"/>
      <c r="J218" s="207" t="s">
        <v>258</v>
      </c>
      <c r="K218" s="208"/>
      <c r="L218" s="280" t="s">
        <v>635</v>
      </c>
      <c r="M218" s="438">
        <v>2</v>
      </c>
      <c r="N218" s="243"/>
      <c r="O218" s="437">
        <f>M218*S218*W218</f>
        <v>0</v>
      </c>
      <c r="P218" s="352" t="b">
        <v>1</v>
      </c>
      <c r="Q218" s="352" t="b">
        <v>1</v>
      </c>
      <c r="R218" s="126" t="b">
        <v>0</v>
      </c>
      <c r="S218" s="126" t="b">
        <v>1</v>
      </c>
      <c r="T218" s="126" t="b">
        <v>0</v>
      </c>
      <c r="U218"/>
      <c r="V218"/>
      <c r="W218" s="25"/>
      <c r="X218" s="160"/>
      <c r="Z218"/>
      <c r="AB218"/>
      <c r="AC218"/>
      <c r="AD218"/>
      <c r="AE218"/>
      <c r="AF218"/>
      <c r="AG218"/>
      <c r="AH218"/>
      <c r="AI218"/>
      <c r="AJ218"/>
      <c r="AK218"/>
      <c r="AL218" s="254" t="str">
        <f>SUBSTITUTE(SUBSTITUTE(SUBSTITUTE("dpa"&amp;$B218&amp;$C218&amp;$D218&amp;$E218,".","_"),"(","_"),")","")</f>
        <v>dpa602_1_14_2</v>
      </c>
      <c r="AM218" s="254">
        <f>M218</f>
        <v>2</v>
      </c>
      <c r="AN218" s="254" t="str">
        <f>SUBSTITUTE(SUBSTITUTE(SUBSTITUTE("dpc"&amp;$B218&amp;$C218&amp;$D218&amp;$E218,".","_"),"(","_"),")","")</f>
        <v>dpc602_1_14_2</v>
      </c>
      <c r="AO218" s="254">
        <f>O218</f>
        <v>0</v>
      </c>
      <c r="AP218" s="1130" t="str">
        <f>SUBSTITUTE(SUBSTITUTE(SUBSTITUTE("dch"&amp;$B218&amp;$C218&amp;$D218&amp;$E218,".","_"),"(","_"),")","")</f>
        <v>dch602_1_14_2</v>
      </c>
      <c r="AQ218" s="254" t="str">
        <f>IF(LEN(W218)=0,"",W218)</f>
        <v/>
      </c>
      <c r="AR218" s="1130" t="str">
        <f>SUBSTITUTE(SUBSTITUTE(SUBSTITUTE("dnt"&amp;$B218&amp;$C218&amp;$D218&amp;$E218,".","_"),"(","_"),")","")</f>
        <v>dnt602_1_14_2</v>
      </c>
      <c r="AS218" s="254" t="str">
        <f>IF(LEN(X218)=0,"",X218)</f>
        <v/>
      </c>
    </row>
    <row r="219" spans="1:61" ht="15.75" thickBot="1" x14ac:dyDescent="0.3">
      <c r="B219" s="77" t="s">
        <v>632</v>
      </c>
      <c r="C219" s="21" t="s">
        <v>260</v>
      </c>
      <c r="D219" s="21"/>
      <c r="E219" s="21"/>
      <c r="F219" s="21"/>
      <c r="G219" s="21"/>
      <c r="H219" s="758"/>
      <c r="I219" s="64"/>
      <c r="J219" s="190" t="s">
        <v>260</v>
      </c>
      <c r="K219" s="97"/>
      <c r="L219" s="1171" t="s">
        <v>636</v>
      </c>
      <c r="M219" s="796">
        <v>2</v>
      </c>
      <c r="N219" s="240"/>
      <c r="O219" s="798">
        <f>M219*S219*W219</f>
        <v>0</v>
      </c>
      <c r="P219" s="99" t="b">
        <v>1</v>
      </c>
      <c r="Q219" s="99" t="b">
        <v>1</v>
      </c>
      <c r="R219" s="99" t="b">
        <v>0</v>
      </c>
      <c r="S219" s="99" t="b">
        <v>1</v>
      </c>
      <c r="T219" s="99" t="b">
        <v>0</v>
      </c>
      <c r="U219" s="99"/>
      <c r="V219" s="99"/>
      <c r="W219" s="100"/>
      <c r="X219" s="793"/>
      <c r="Z219"/>
      <c r="AB219"/>
      <c r="AC219"/>
      <c r="AD219"/>
      <c r="AE219"/>
      <c r="AF219"/>
      <c r="AG219"/>
      <c r="AH219"/>
      <c r="AI219"/>
      <c r="AJ219"/>
      <c r="AK219"/>
      <c r="AL219" s="254" t="str">
        <f>SUBSTITUTE(SUBSTITUTE(SUBSTITUTE("dpa"&amp;$B219&amp;$C219&amp;$D219&amp;$E219,".","_"),"(","_"),")","")</f>
        <v>dpa602_1_14_3</v>
      </c>
      <c r="AM219" s="254">
        <f>M219</f>
        <v>2</v>
      </c>
      <c r="AN219" s="254" t="str">
        <f>SUBSTITUTE(SUBSTITUTE(SUBSTITUTE("dpc"&amp;$B219&amp;$C219&amp;$D219&amp;$E219,".","_"),"(","_"),")","")</f>
        <v>dpc602_1_14_3</v>
      </c>
      <c r="AO219" s="254">
        <f>O219</f>
        <v>0</v>
      </c>
      <c r="AP219" s="1130" t="str">
        <f>SUBSTITUTE(SUBSTITUTE(SUBSTITUTE("dch"&amp;$B219&amp;$C219&amp;$D219&amp;$E219,".","_"),"(","_"),")","")</f>
        <v>dch602_1_14_3</v>
      </c>
      <c r="AQ219" s="254" t="str">
        <f>IF(LEN(W219)=0,"",W219)</f>
        <v/>
      </c>
      <c r="AR219" s="1130" t="str">
        <f>SUBSTITUTE(SUBSTITUTE(SUBSTITUTE("dnt"&amp;$B219&amp;$C219&amp;$D219&amp;$E219,".","_"),"(","_"),")","")</f>
        <v>dnt602_1_14_3</v>
      </c>
      <c r="AS219" s="254" t="str">
        <f>IF(LEN(X219)=0,"",X219)</f>
        <v/>
      </c>
    </row>
    <row r="220" spans="1:61" customFormat="1" ht="15.75" thickTop="1" x14ac:dyDescent="0.25">
      <c r="B220" s="90" t="s">
        <v>4167</v>
      </c>
      <c r="I220" s="180" t="s">
        <v>4167</v>
      </c>
      <c r="L220" s="1836" t="s">
        <v>4168</v>
      </c>
      <c r="M220" s="1758">
        <v>2</v>
      </c>
      <c r="N220" s="129"/>
      <c r="O220" s="1774">
        <f>M220*S220*W220</f>
        <v>0</v>
      </c>
      <c r="P220" s="791" t="b">
        <v>0</v>
      </c>
      <c r="Q220" s="791" t="b">
        <v>1</v>
      </c>
      <c r="R220" s="791" t="b">
        <v>0</v>
      </c>
      <c r="S220" s="791" t="b">
        <v>1</v>
      </c>
      <c r="T220" s="791" t="b">
        <v>0</v>
      </c>
      <c r="W220" s="117"/>
      <c r="X220" s="1799"/>
      <c r="AC220" s="791" t="b">
        <f>OR(AD220:AE220)</f>
        <v>0</v>
      </c>
      <c r="AD220" s="970" t="b">
        <v>0</v>
      </c>
      <c r="AE220" s="791" t="b">
        <f>AND(W220=TRUE,LEN(X220)&lt;1)</f>
        <v>0</v>
      </c>
      <c r="AL220" s="254" t="str">
        <f>SUBSTITUTE(SUBSTITUTE(SUBSTITUTE("dpa"&amp;$B220&amp;$C220&amp;$D220&amp;$E220,".","_"),"(","_"),")","")</f>
        <v>dpa602_1_15</v>
      </c>
      <c r="AM220" s="254">
        <f>M220</f>
        <v>2</v>
      </c>
      <c r="AN220" s="254" t="str">
        <f>SUBSTITUTE(SUBSTITUTE(SUBSTITUTE("dpc"&amp;$B220&amp;$C220&amp;$D220&amp;$E220,".","_"),"(","_"),")","")</f>
        <v>dpc602_1_15</v>
      </c>
      <c r="AO220" s="254">
        <f>O220</f>
        <v>0</v>
      </c>
      <c r="AP220" s="1130" t="str">
        <f>SUBSTITUTE(SUBSTITUTE(SUBSTITUTE("dch"&amp;$B220&amp;$C220&amp;$D220&amp;$E220,".","_"),"(","_"),")","")</f>
        <v>dch602_1_15</v>
      </c>
      <c r="AQ220" s="254" t="str">
        <f>IF(LEN(W220)=0,"",W220)</f>
        <v/>
      </c>
      <c r="AR220" s="1130" t="str">
        <f>SUBSTITUTE(SUBSTITUTE(SUBSTITUTE("dnt"&amp;$B220&amp;$C220&amp;$D220&amp;$E220,".","_"),"(","_"),")","")</f>
        <v>dnt602_1_15</v>
      </c>
      <c r="AS220" s="254" t="str">
        <f>IF(LEN(X220)=0,"",X220)</f>
        <v/>
      </c>
      <c r="AZ220" s="63"/>
      <c r="BA220" s="63"/>
      <c r="BB220" s="63"/>
      <c r="BC220" s="63"/>
      <c r="BD220" s="63"/>
      <c r="BE220" s="63"/>
      <c r="BF220" s="63"/>
      <c r="BG220" s="63"/>
      <c r="BH220" s="63"/>
      <c r="BI220" s="63"/>
    </row>
    <row r="221" spans="1:61" customFormat="1" x14ac:dyDescent="0.25">
      <c r="B221" s="90" t="s">
        <v>4167</v>
      </c>
      <c r="L221" s="1836"/>
      <c r="M221" s="1767"/>
      <c r="N221" s="4"/>
      <c r="O221" s="1780"/>
      <c r="P221" s="791"/>
      <c r="Q221" s="791"/>
      <c r="R221" s="791"/>
      <c r="S221" s="791"/>
      <c r="T221" s="791"/>
      <c r="X221" s="1799"/>
    </row>
    <row r="222" spans="1:61" customFormat="1" ht="15.75" thickBot="1" x14ac:dyDescent="0.3">
      <c r="B222" s="90" t="s">
        <v>4167</v>
      </c>
      <c r="L222" s="1172" t="s">
        <v>4169</v>
      </c>
      <c r="M222" s="1768"/>
      <c r="N222" s="4"/>
      <c r="O222" s="1775"/>
      <c r="P222" s="791"/>
      <c r="Q222" s="791"/>
      <c r="R222" s="791"/>
      <c r="S222" s="791"/>
      <c r="T222" s="791"/>
      <c r="X222" s="1800"/>
    </row>
    <row r="223" spans="1:61" ht="15.75" thickTop="1" x14ac:dyDescent="0.25">
      <c r="B223" s="77">
        <v>602.20000000000005</v>
      </c>
      <c r="C223" s="21"/>
      <c r="D223" s="21"/>
      <c r="E223" s="21"/>
      <c r="F223" s="21"/>
      <c r="G223" s="21"/>
      <c r="H223" s="758"/>
      <c r="I223" s="180">
        <v>602.20000000000005</v>
      </c>
      <c r="J223" s="181"/>
      <c r="K223" s="182"/>
      <c r="L223" s="1781" t="s">
        <v>637</v>
      </c>
      <c r="M223" s="1772">
        <v>3</v>
      </c>
      <c r="N223" s="181"/>
      <c r="O223" s="1773">
        <f>IFERROR(OR(W227,W229,W230),0)*M223</f>
        <v>0</v>
      </c>
      <c r="P223" s="105"/>
      <c r="Q223" s="105"/>
      <c r="R223" s="105"/>
      <c r="S223" s="105"/>
      <c r="T223" s="105"/>
      <c r="U223" s="105"/>
      <c r="V223" s="105"/>
      <c r="W223" s="105"/>
      <c r="X223" s="105"/>
      <c r="Z223"/>
      <c r="AB223"/>
      <c r="AC223"/>
      <c r="AD223"/>
      <c r="AE223"/>
      <c r="AF223"/>
      <c r="AG223"/>
      <c r="AH223"/>
      <c r="AI223"/>
      <c r="AJ223"/>
      <c r="AK223"/>
      <c r="AL223" s="254" t="str">
        <f>SUBSTITUTE(SUBSTITUTE(SUBSTITUTE("dpa"&amp;$B223&amp;$C223&amp;$D223&amp;$E223,".","_"),"(","_"),")","")</f>
        <v>dpa602_2</v>
      </c>
      <c r="AM223" s="254">
        <f>M223</f>
        <v>3</v>
      </c>
      <c r="AN223" s="254" t="str">
        <f>SUBSTITUTE(SUBSTITUTE(SUBSTITUTE("dpc"&amp;$B223&amp;$C223&amp;$D223&amp;$E223,".","_"),"(","_"),")","")</f>
        <v>dpc602_2</v>
      </c>
      <c r="AO223" s="254">
        <f>O223</f>
        <v>0</v>
      </c>
      <c r="AP223"/>
      <c r="AQ223"/>
      <c r="AR223"/>
      <c r="AS223"/>
      <c r="AZ223"/>
      <c r="BA223"/>
      <c r="BB223"/>
      <c r="BC223"/>
      <c r="BD223"/>
      <c r="BE223"/>
      <c r="BF223"/>
      <c r="BG223"/>
      <c r="BH223"/>
      <c r="BI223"/>
    </row>
    <row r="224" spans="1:61" x14ac:dyDescent="0.25">
      <c r="B224" s="77">
        <v>602.20000000000005</v>
      </c>
      <c r="C224" s="21"/>
      <c r="D224" s="21"/>
      <c r="E224" s="21"/>
      <c r="F224" s="21"/>
      <c r="G224" s="21"/>
      <c r="H224" s="758"/>
      <c r="I224" s="130"/>
      <c r="J224" s="129"/>
      <c r="K224" s="95"/>
      <c r="L224" s="1782"/>
      <c r="M224" s="1758"/>
      <c r="N224" s="129"/>
      <c r="O224" s="1774"/>
      <c r="P224" s="94"/>
      <c r="Q224" s="94"/>
      <c r="R224" s="94"/>
      <c r="S224" s="94"/>
      <c r="T224" s="94"/>
      <c r="U224" s="94"/>
      <c r="V224" s="94"/>
      <c r="W224" s="94"/>
      <c r="X224" s="94"/>
      <c r="Z224"/>
      <c r="AB224"/>
      <c r="AC224"/>
      <c r="AD224"/>
      <c r="AE224"/>
      <c r="AF224"/>
      <c r="AG224"/>
      <c r="AH224"/>
      <c r="AI224"/>
      <c r="AJ224"/>
      <c r="AK224"/>
      <c r="AL224"/>
      <c r="AM224"/>
      <c r="AN224"/>
      <c r="AO224"/>
      <c r="AP224"/>
      <c r="AQ224"/>
      <c r="AR224"/>
      <c r="AS224"/>
    </row>
    <row r="225" spans="1:61" x14ac:dyDescent="0.25">
      <c r="B225" s="77">
        <v>602.20000000000005</v>
      </c>
      <c r="C225" s="21"/>
      <c r="D225" s="21"/>
      <c r="E225" s="21"/>
      <c r="F225" s="21"/>
      <c r="G225" s="21"/>
      <c r="H225" s="758"/>
      <c r="I225" s="130"/>
      <c r="J225" s="129"/>
      <c r="K225" s="95"/>
      <c r="L225" s="1782"/>
      <c r="M225" s="1758"/>
      <c r="N225" s="129"/>
      <c r="O225" s="1774"/>
      <c r="P225" s="94"/>
      <c r="Q225" s="94"/>
      <c r="R225" s="94"/>
      <c r="S225" s="94"/>
      <c r="T225" s="94"/>
      <c r="U225" s="94"/>
      <c r="V225" s="94"/>
      <c r="W225" s="94"/>
      <c r="X225" s="94"/>
      <c r="Z225"/>
      <c r="AB225"/>
      <c r="AC225"/>
      <c r="AD225"/>
      <c r="AE225"/>
      <c r="AF225"/>
      <c r="AG225"/>
      <c r="AH225"/>
      <c r="AI225"/>
      <c r="AJ225"/>
      <c r="AK225"/>
      <c r="AL225"/>
      <c r="AM225"/>
      <c r="AN225"/>
      <c r="AO225"/>
      <c r="AP225"/>
      <c r="AQ225"/>
      <c r="AR225"/>
      <c r="AS225"/>
      <c r="AX225" s="140"/>
      <c r="AY225" s="140"/>
    </row>
    <row r="226" spans="1:61" x14ac:dyDescent="0.25">
      <c r="B226" s="77">
        <v>602.20000000000005</v>
      </c>
      <c r="C226" s="21"/>
      <c r="D226" s="21"/>
      <c r="E226" s="21"/>
      <c r="F226" s="21"/>
      <c r="G226" s="21"/>
      <c r="H226" s="758"/>
      <c r="I226" s="130"/>
      <c r="J226" s="129"/>
      <c r="K226" s="95"/>
      <c r="L226" s="1782"/>
      <c r="M226" s="1758"/>
      <c r="N226" s="129"/>
      <c r="O226" s="1774"/>
      <c r="P226" s="94"/>
      <c r="Q226" s="94"/>
      <c r="R226" s="94"/>
      <c r="S226" s="94"/>
      <c r="T226" s="94"/>
      <c r="U226" s="94"/>
      <c r="V226" s="94"/>
      <c r="W226" s="94"/>
      <c r="X226" s="94"/>
      <c r="Z226"/>
      <c r="AB226"/>
      <c r="AC226"/>
      <c r="AD226"/>
      <c r="AE226"/>
      <c r="AF226"/>
      <c r="AG226"/>
      <c r="AH226"/>
      <c r="AI226"/>
      <c r="AJ226"/>
      <c r="AK226"/>
      <c r="AL226"/>
      <c r="AM226"/>
      <c r="AN226"/>
      <c r="AO226"/>
      <c r="AP226"/>
      <c r="AQ226"/>
      <c r="AR226"/>
      <c r="AS226"/>
    </row>
    <row r="227" spans="1:61" x14ac:dyDescent="0.25">
      <c r="B227" s="77">
        <v>602.20000000000005</v>
      </c>
      <c r="C227" s="21" t="s">
        <v>256</v>
      </c>
      <c r="D227" s="21"/>
      <c r="E227" s="21"/>
      <c r="F227" s="21"/>
      <c r="G227" s="21"/>
      <c r="H227" s="758"/>
      <c r="I227" s="64"/>
      <c r="J227" s="183" t="s">
        <v>256</v>
      </c>
      <c r="K227" s="95"/>
      <c r="L227" s="1793" t="s">
        <v>638</v>
      </c>
      <c r="M227" s="428"/>
      <c r="N227" s="4"/>
      <c r="O227" s="141"/>
      <c r="P227" s="352" t="b">
        <v>1</v>
      </c>
      <c r="Q227" s="352" t="b">
        <v>1</v>
      </c>
      <c r="R227" s="134" t="b">
        <v>0</v>
      </c>
      <c r="S227" s="134" t="b">
        <v>1</v>
      </c>
      <c r="T227" s="134" t="b">
        <v>0</v>
      </c>
      <c r="U227"/>
      <c r="V227"/>
      <c r="W227" s="25"/>
      <c r="X227" s="1757"/>
      <c r="Z227"/>
      <c r="AB227"/>
      <c r="AC227"/>
      <c r="AD227"/>
      <c r="AE227"/>
      <c r="AF227"/>
      <c r="AG227"/>
      <c r="AH227"/>
      <c r="AI227"/>
      <c r="AJ227"/>
      <c r="AK227"/>
      <c r="AL227"/>
      <c r="AM227"/>
      <c r="AN227"/>
      <c r="AO227"/>
      <c r="AP227" s="1130" t="str">
        <f>SUBSTITUTE(SUBSTITUTE(SUBSTITUTE("dch"&amp;$B227&amp;$C227&amp;$D227&amp;$E227,".","_"),"(","_"),")","")</f>
        <v>dch602_2_1</v>
      </c>
      <c r="AQ227" s="254" t="str">
        <f>IF(LEN(W227)=0,"",W227)</f>
        <v/>
      </c>
      <c r="AR227" s="1130" t="str">
        <f>SUBSTITUTE(SUBSTITUTE(SUBSTITUTE("dnt"&amp;$B227&amp;$C227&amp;$D227&amp;$E227,".","_"),"(","_"),")","")</f>
        <v>dnt602_2_1</v>
      </c>
      <c r="AS227" s="254" t="str">
        <f>IF(LEN(X227)=0,"",X227)</f>
        <v/>
      </c>
      <c r="AZ227" s="140"/>
      <c r="BA227" s="140"/>
      <c r="BB227" s="140"/>
      <c r="BC227" s="140"/>
      <c r="BD227" s="140"/>
      <c r="BE227" s="140"/>
      <c r="BF227" s="140"/>
      <c r="BG227" s="140"/>
      <c r="BH227" s="140"/>
      <c r="BI227" s="140"/>
    </row>
    <row r="228" spans="1:61" s="140" customFormat="1" x14ac:dyDescent="0.25">
      <c r="A228" s="18"/>
      <c r="B228" s="77">
        <v>602.20000000000005</v>
      </c>
      <c r="C228" s="21" t="s">
        <v>256</v>
      </c>
      <c r="D228" s="21"/>
      <c r="E228" s="21"/>
      <c r="F228" s="21"/>
      <c r="G228" s="21"/>
      <c r="H228" s="758"/>
      <c r="I228" s="64"/>
      <c r="J228" s="206"/>
      <c r="K228" s="175"/>
      <c r="L228" s="1761"/>
      <c r="M228" s="428"/>
      <c r="N228" s="4"/>
      <c r="O228" s="141"/>
      <c r="P228" s="352"/>
      <c r="Q228" s="352"/>
      <c r="W228"/>
      <c r="X228" s="1757"/>
      <c r="Y228" s="780"/>
      <c r="AA228" s="783"/>
      <c r="AX228" s="63"/>
      <c r="AY228" s="63"/>
      <c r="AZ228" s="63"/>
      <c r="BA228" s="63"/>
      <c r="BB228" s="63"/>
      <c r="BC228" s="63"/>
      <c r="BD228" s="63"/>
      <c r="BE228" s="63"/>
      <c r="BF228" s="63"/>
      <c r="BG228" s="63"/>
      <c r="BH228" s="63"/>
      <c r="BI228" s="63"/>
    </row>
    <row r="229" spans="1:61" x14ac:dyDescent="0.25">
      <c r="B229" s="77">
        <v>602.20000000000005</v>
      </c>
      <c r="C229" s="21" t="s">
        <v>258</v>
      </c>
      <c r="D229" s="21"/>
      <c r="E229" s="21"/>
      <c r="F229" s="21"/>
      <c r="G229" s="21"/>
      <c r="H229" s="758"/>
      <c r="I229" s="64"/>
      <c r="J229" s="207" t="s">
        <v>258</v>
      </c>
      <c r="K229" s="208"/>
      <c r="L229" s="280" t="s">
        <v>639</v>
      </c>
      <c r="M229" s="428"/>
      <c r="N229" s="4"/>
      <c r="O229" s="141"/>
      <c r="P229" s="352" t="b">
        <v>1</v>
      </c>
      <c r="Q229" s="352" t="b">
        <v>1</v>
      </c>
      <c r="R229" s="134" t="b">
        <v>0</v>
      </c>
      <c r="S229" s="134" t="b">
        <v>1</v>
      </c>
      <c r="T229" s="134" t="b">
        <v>0</v>
      </c>
      <c r="U229"/>
      <c r="V229"/>
      <c r="W229" s="25"/>
      <c r="X229" s="160"/>
      <c r="Z229"/>
      <c r="AB229"/>
      <c r="AC229"/>
      <c r="AD229"/>
      <c r="AE229"/>
      <c r="AF229"/>
      <c r="AG229"/>
      <c r="AH229"/>
      <c r="AI229"/>
      <c r="AJ229"/>
      <c r="AK229"/>
      <c r="AL229"/>
      <c r="AM229"/>
      <c r="AN229"/>
      <c r="AO229"/>
      <c r="AP229" s="1130" t="str">
        <f>SUBSTITUTE(SUBSTITUTE(SUBSTITUTE("dch"&amp;$B229&amp;$C229&amp;$D229&amp;$E229,".","_"),"(","_"),")","")</f>
        <v>dch602_2_2</v>
      </c>
      <c r="AQ229" s="254" t="str">
        <f>IF(LEN(W229)=0,"",W229)</f>
        <v/>
      </c>
      <c r="AR229" s="1130" t="str">
        <f>SUBSTITUTE(SUBSTITUTE(SUBSTITUTE("dnt"&amp;$B229&amp;$C229&amp;$D229&amp;$E229,".","_"),"(","_"),")","")</f>
        <v>dnt602_2_2</v>
      </c>
      <c r="AS229" s="254" t="str">
        <f>IF(LEN(X229)=0,"",X229)</f>
        <v/>
      </c>
    </row>
    <row r="230" spans="1:61" x14ac:dyDescent="0.25">
      <c r="B230" s="77">
        <v>602.20000000000005</v>
      </c>
      <c r="C230" s="21" t="s">
        <v>260</v>
      </c>
      <c r="D230" s="21"/>
      <c r="E230" s="21"/>
      <c r="F230" s="21"/>
      <c r="G230" s="21"/>
      <c r="H230" s="758"/>
      <c r="I230" s="64"/>
      <c r="J230" s="27" t="s">
        <v>260</v>
      </c>
      <c r="K230" s="83"/>
      <c r="L230" s="1779" t="s">
        <v>640</v>
      </c>
      <c r="M230" s="428"/>
      <c r="N230" s="4"/>
      <c r="O230" s="141"/>
      <c r="P230" s="352" t="b">
        <v>1</v>
      </c>
      <c r="Q230" s="352" t="b">
        <v>1</v>
      </c>
      <c r="R230" s="134" t="b">
        <v>0</v>
      </c>
      <c r="S230" s="134" t="b">
        <v>1</v>
      </c>
      <c r="T230" s="134" t="b">
        <v>0</v>
      </c>
      <c r="U230"/>
      <c r="V230"/>
      <c r="W230" s="25"/>
      <c r="X230" s="1757"/>
      <c r="Z230"/>
      <c r="AB230"/>
      <c r="AC230"/>
      <c r="AD230"/>
      <c r="AE230"/>
      <c r="AF230"/>
      <c r="AG230"/>
      <c r="AH230"/>
      <c r="AI230"/>
      <c r="AJ230"/>
      <c r="AK230"/>
      <c r="AL230"/>
      <c r="AM230"/>
      <c r="AN230"/>
      <c r="AO230"/>
      <c r="AP230" s="1130" t="str">
        <f>SUBSTITUTE(SUBSTITUTE(SUBSTITUTE("dch"&amp;$B230&amp;$C230&amp;$D230&amp;$E230,".","_"),"(","_"),")","")</f>
        <v>dch602_2_3</v>
      </c>
      <c r="AQ230" s="254" t="str">
        <f>IF(LEN(W230)=0,"",W230)</f>
        <v/>
      </c>
      <c r="AR230" s="1130" t="str">
        <f>SUBSTITUTE(SUBSTITUTE(SUBSTITUTE("dnt"&amp;$B230&amp;$C230&amp;$D230&amp;$E230,".","_"),"(","_"),")","")</f>
        <v>dnt602_2_3</v>
      </c>
      <c r="AS230" s="254" t="str">
        <f>IF(LEN(X230)=0,"",X230)</f>
        <v/>
      </c>
    </row>
    <row r="231" spans="1:61" x14ac:dyDescent="0.25">
      <c r="B231" s="77">
        <v>602.20000000000005</v>
      </c>
      <c r="C231" s="21" t="s">
        <v>260</v>
      </c>
      <c r="D231" s="21"/>
      <c r="E231" s="21"/>
      <c r="F231" s="21"/>
      <c r="G231" s="21"/>
      <c r="H231" s="758"/>
      <c r="I231" s="64"/>
      <c r="J231" s="4"/>
      <c r="K231" s="83"/>
      <c r="L231" s="1779"/>
      <c r="M231" s="428"/>
      <c r="N231" s="4"/>
      <c r="O231" s="141"/>
      <c r="P231" s="352"/>
      <c r="Q231" s="352"/>
      <c r="R231"/>
      <c r="S231"/>
      <c r="T231"/>
      <c r="U231"/>
      <c r="V231"/>
      <c r="W231"/>
      <c r="X231" s="1757"/>
      <c r="Z231"/>
      <c r="AB231"/>
      <c r="AC231"/>
      <c r="AD231"/>
      <c r="AE231"/>
      <c r="AF231"/>
      <c r="AG231"/>
      <c r="AH231"/>
      <c r="AI231"/>
      <c r="AJ231"/>
      <c r="AK231"/>
      <c r="AL231"/>
      <c r="AM231"/>
      <c r="AN231"/>
      <c r="AO231"/>
      <c r="AP231"/>
      <c r="AQ231"/>
      <c r="AR231"/>
      <c r="AS231"/>
    </row>
    <row r="232" spans="1:61" ht="15.75" thickBot="1" x14ac:dyDescent="0.3">
      <c r="B232" s="77">
        <v>602.20000000000005</v>
      </c>
      <c r="C232" s="21" t="s">
        <v>260</v>
      </c>
      <c r="D232" s="21"/>
      <c r="E232" s="21"/>
      <c r="F232" s="21"/>
      <c r="G232" s="21"/>
      <c r="H232" s="758"/>
      <c r="I232" s="64"/>
      <c r="J232" s="4"/>
      <c r="K232" s="83"/>
      <c r="L232" s="1779"/>
      <c r="M232" s="428"/>
      <c r="N232" s="4"/>
      <c r="O232" s="141"/>
      <c r="P232" s="352"/>
      <c r="Q232" s="352"/>
      <c r="R232"/>
      <c r="S232"/>
      <c r="T232"/>
      <c r="U232"/>
      <c r="V232"/>
      <c r="W232" s="112"/>
      <c r="X232" s="1798"/>
      <c r="Z232"/>
      <c r="AB232"/>
      <c r="AC232"/>
      <c r="AD232"/>
      <c r="AE232"/>
      <c r="AF232"/>
      <c r="AG232"/>
      <c r="AH232"/>
      <c r="AI232"/>
      <c r="AJ232"/>
      <c r="AK232"/>
      <c r="AL232"/>
      <c r="AM232"/>
      <c r="AN232"/>
      <c r="AO232"/>
      <c r="AP232"/>
      <c r="AQ232"/>
      <c r="AR232"/>
      <c r="AS232"/>
    </row>
    <row r="233" spans="1:61" ht="15.75" thickTop="1" x14ac:dyDescent="0.25">
      <c r="B233" s="77">
        <v>602.29999999999995</v>
      </c>
      <c r="C233" s="21"/>
      <c r="D233" s="21"/>
      <c r="E233" s="21"/>
      <c r="F233" s="21"/>
      <c r="G233" s="21"/>
      <c r="H233" s="758"/>
      <c r="I233" s="180">
        <v>602.29999999999995</v>
      </c>
      <c r="J233" s="181"/>
      <c r="K233" s="182"/>
      <c r="L233" s="1781" t="s">
        <v>641</v>
      </c>
      <c r="M233" s="1772">
        <v>4</v>
      </c>
      <c r="N233" s="181"/>
      <c r="O233" s="1773">
        <f>M233*S233*W233</f>
        <v>0</v>
      </c>
      <c r="P233" s="352" t="b">
        <v>0</v>
      </c>
      <c r="Q233" s="352" t="b">
        <v>1</v>
      </c>
      <c r="R233" s="105" t="b">
        <v>0</v>
      </c>
      <c r="S233" s="105" t="b">
        <v>1</v>
      </c>
      <c r="T233" s="105" t="b">
        <v>0</v>
      </c>
      <c r="U233" s="105"/>
      <c r="V233" s="105"/>
      <c r="W233" s="117"/>
      <c r="X233" s="1784"/>
      <c r="Z233"/>
      <c r="AB233"/>
      <c r="AC233"/>
      <c r="AD233"/>
      <c r="AE233"/>
      <c r="AF233"/>
      <c r="AG233"/>
      <c r="AH233"/>
      <c r="AI233"/>
      <c r="AJ233"/>
      <c r="AK233"/>
      <c r="AL233" s="254" t="str">
        <f>SUBSTITUTE(SUBSTITUTE(SUBSTITUTE("dpa"&amp;$B233&amp;$C233&amp;$D233&amp;$E233,".","_"),"(","_"),")","")</f>
        <v>dpa602_3</v>
      </c>
      <c r="AM233" s="254">
        <f>M233</f>
        <v>4</v>
      </c>
      <c r="AN233" s="254" t="str">
        <f>SUBSTITUTE(SUBSTITUTE(SUBSTITUTE("dpc"&amp;$B233&amp;$C233&amp;$D233&amp;$E233,".","_"),"(","_"),")","")</f>
        <v>dpc602_3</v>
      </c>
      <c r="AO233" s="254">
        <f>O233</f>
        <v>0</v>
      </c>
      <c r="AP233" s="1130" t="str">
        <f>SUBSTITUTE(SUBSTITUTE(SUBSTITUTE("dch"&amp;$B233&amp;$C233&amp;$D233&amp;$E233,".","_"),"(","_"),")","")</f>
        <v>dch602_3</v>
      </c>
      <c r="AQ233" s="254" t="str">
        <f>IF(LEN(W233)=0,"",W233)</f>
        <v/>
      </c>
      <c r="AR233" s="1130" t="str">
        <f>SUBSTITUTE(SUBSTITUTE(SUBSTITUTE("dnt"&amp;$B233&amp;$C233&amp;$D233&amp;$E233,".","_"),"(","_"),")","")</f>
        <v>dnt602_3</v>
      </c>
      <c r="AS233" s="254" t="str">
        <f>IF(LEN(X233)=0,"",X233)</f>
        <v/>
      </c>
    </row>
    <row r="234" spans="1:61" x14ac:dyDescent="0.25">
      <c r="B234" s="77">
        <v>602.29999999999995</v>
      </c>
      <c r="C234" s="21"/>
      <c r="D234" s="21"/>
      <c r="E234" s="21"/>
      <c r="F234" s="21"/>
      <c r="G234" s="21"/>
      <c r="H234" s="758"/>
      <c r="I234" s="130"/>
      <c r="J234" s="129"/>
      <c r="K234" s="95"/>
      <c r="L234" s="1782"/>
      <c r="M234" s="1758"/>
      <c r="N234" s="129"/>
      <c r="O234" s="1774"/>
      <c r="P234" s="94"/>
      <c r="Q234" s="94"/>
      <c r="R234" s="94"/>
      <c r="S234" s="94"/>
      <c r="T234" s="94"/>
      <c r="U234" s="94"/>
      <c r="V234" s="94"/>
      <c r="W234" s="94"/>
      <c r="X234" s="1770"/>
      <c r="Z234"/>
      <c r="AB234"/>
      <c r="AC234"/>
      <c r="AD234"/>
      <c r="AE234"/>
      <c r="AF234"/>
      <c r="AG234"/>
      <c r="AH234"/>
      <c r="AI234"/>
      <c r="AJ234"/>
      <c r="AK234"/>
      <c r="AL234"/>
      <c r="AM234"/>
      <c r="AN234"/>
      <c r="AO234"/>
      <c r="AP234"/>
      <c r="AQ234"/>
      <c r="AR234"/>
      <c r="AS234"/>
    </row>
    <row r="235" spans="1:61" ht="15.75" thickBot="1" x14ac:dyDescent="0.3">
      <c r="B235" s="77">
        <v>602.29999999999995</v>
      </c>
      <c r="C235" s="21"/>
      <c r="D235" s="21"/>
      <c r="E235" s="21"/>
      <c r="F235" s="21"/>
      <c r="G235" s="21"/>
      <c r="H235" s="758"/>
      <c r="I235" s="130"/>
      <c r="J235" s="129"/>
      <c r="K235" s="95"/>
      <c r="L235" s="1782"/>
      <c r="M235" s="1758"/>
      <c r="N235" s="129"/>
      <c r="O235" s="1774"/>
      <c r="P235" s="94"/>
      <c r="Q235" s="94"/>
      <c r="R235" s="94"/>
      <c r="S235" s="94"/>
      <c r="T235" s="94"/>
      <c r="U235" s="94"/>
      <c r="V235" s="94"/>
      <c r="W235" s="94"/>
      <c r="X235" s="1798"/>
      <c r="Z235"/>
      <c r="AB235"/>
      <c r="AC235"/>
      <c r="AD235"/>
      <c r="AE235"/>
      <c r="AF235"/>
      <c r="AG235"/>
      <c r="AH235"/>
      <c r="AI235"/>
      <c r="AJ235"/>
      <c r="AK235"/>
      <c r="AL235"/>
      <c r="AM235"/>
      <c r="AN235"/>
      <c r="AO235"/>
      <c r="AP235"/>
      <c r="AQ235"/>
      <c r="AR235"/>
      <c r="AS235"/>
    </row>
    <row r="236" spans="1:61" ht="15.75" thickTop="1" x14ac:dyDescent="0.25">
      <c r="B236" s="77">
        <v>602.4</v>
      </c>
      <c r="C236" s="21"/>
      <c r="D236" s="21"/>
      <c r="E236" s="21"/>
      <c r="F236" s="21"/>
      <c r="G236" s="21"/>
      <c r="H236" s="758"/>
      <c r="I236" s="180">
        <v>602.4</v>
      </c>
      <c r="J236" s="181"/>
      <c r="K236" s="182"/>
      <c r="L236" s="1189" t="s">
        <v>642</v>
      </c>
      <c r="M236" s="423"/>
      <c r="N236" s="181"/>
      <c r="O236" s="500"/>
      <c r="P236" s="105"/>
      <c r="Q236" s="105"/>
      <c r="R236" s="105"/>
      <c r="S236" s="105"/>
      <c r="T236" s="105"/>
      <c r="U236" s="105"/>
      <c r="V236" s="105"/>
      <c r="W236" s="105"/>
      <c r="X236" s="105"/>
      <c r="Z236"/>
      <c r="AB236"/>
      <c r="AC236"/>
      <c r="AD236"/>
      <c r="AE236"/>
      <c r="AF236"/>
      <c r="AG236"/>
      <c r="AH236"/>
      <c r="AI236"/>
      <c r="AJ236"/>
      <c r="AK236"/>
      <c r="AL236"/>
      <c r="AM236"/>
      <c r="AN236"/>
      <c r="AO236"/>
      <c r="AP236"/>
      <c r="AQ236"/>
      <c r="AR236"/>
      <c r="AS236"/>
    </row>
    <row r="237" spans="1:61" x14ac:dyDescent="0.25">
      <c r="B237" s="77" t="s">
        <v>643</v>
      </c>
      <c r="C237" s="21"/>
      <c r="D237" s="21"/>
      <c r="E237" s="21"/>
      <c r="F237" s="21"/>
      <c r="G237" s="21"/>
      <c r="H237" s="758"/>
      <c r="I237" s="130" t="s">
        <v>643</v>
      </c>
      <c r="J237" s="129"/>
      <c r="K237" s="95"/>
      <c r="L237" s="1782" t="s">
        <v>644</v>
      </c>
      <c r="M237" s="1837" t="str">
        <f>IF(R237,"Mandatory","N/A")</f>
        <v>Mandatory</v>
      </c>
      <c r="N237" s="4"/>
      <c r="O237" s="141"/>
      <c r="P237" s="352" t="b">
        <v>1</v>
      </c>
      <c r="Q237" s="352" t="b">
        <v>1</v>
      </c>
      <c r="R237" s="140" t="b">
        <f>S237</f>
        <v>1</v>
      </c>
      <c r="S237" s="126" t="b">
        <v>1</v>
      </c>
      <c r="T237" s="126" t="b">
        <v>0</v>
      </c>
      <c r="U237"/>
      <c r="V237"/>
      <c r="W237" s="25"/>
      <c r="X237" s="1757"/>
      <c r="Z237"/>
      <c r="AB237"/>
      <c r="AC237" s="134" t="b">
        <f>OR(AD237:AE237)</f>
        <v>1</v>
      </c>
      <c r="AD237" s="134" t="b">
        <f>T237</f>
        <v>0</v>
      </c>
      <c r="AE237" s="970" t="b">
        <f>AND(R237,NOT(W237))</f>
        <v>1</v>
      </c>
      <c r="AF237"/>
      <c r="AG237"/>
      <c r="AH237"/>
      <c r="AI237"/>
      <c r="AJ237"/>
      <c r="AK237"/>
      <c r="AL237" s="254" t="str">
        <f>SUBSTITUTE(SUBSTITUTE(SUBSTITUTE("dpa"&amp;$B237&amp;$C237&amp;$D237&amp;$E237,".","_"),"(","_"),")","")</f>
        <v>dpa602_4_1</v>
      </c>
      <c r="AM237" s="254" t="str">
        <f>M237</f>
        <v>Mandatory</v>
      </c>
      <c r="AN237"/>
      <c r="AO237"/>
      <c r="AP237" s="1130" t="str">
        <f>SUBSTITUTE(SUBSTITUTE(SUBSTITUTE("dch"&amp;$B237&amp;$C237&amp;$D237&amp;$E237,".","_"),"(","_"),")","")</f>
        <v>dch602_4_1</v>
      </c>
      <c r="AQ237" s="254" t="str">
        <f>IF(LEN(W237)=0,"",W237)</f>
        <v/>
      </c>
      <c r="AR237" s="1130" t="str">
        <f>SUBSTITUTE(SUBSTITUTE(SUBSTITUTE("dnt"&amp;$B237&amp;$C237&amp;$D237&amp;$E237,".","_"),"(","_"),")","")</f>
        <v>dnt602_4_1</v>
      </c>
      <c r="AS237" s="254" t="str">
        <f>IF(LEN(X237)=0,"",X237)</f>
        <v/>
      </c>
    </row>
    <row r="238" spans="1:61" x14ac:dyDescent="0.25">
      <c r="B238" s="77" t="s">
        <v>643</v>
      </c>
      <c r="C238" s="21"/>
      <c r="D238" s="21"/>
      <c r="E238" s="21"/>
      <c r="F238" s="21"/>
      <c r="G238" s="21"/>
      <c r="H238" s="758"/>
      <c r="I238" s="130"/>
      <c r="J238" s="129"/>
      <c r="K238" s="95"/>
      <c r="L238" s="1782"/>
      <c r="M238" s="1837"/>
      <c r="N238" s="4"/>
      <c r="O238" s="141"/>
      <c r="P238" s="352"/>
      <c r="Q238" s="352"/>
      <c r="R238"/>
      <c r="S238"/>
      <c r="T238"/>
      <c r="U238"/>
      <c r="V238"/>
      <c r="W238"/>
      <c r="X238" s="1757"/>
      <c r="Z238"/>
      <c r="AB238"/>
      <c r="AC238"/>
      <c r="AD238"/>
      <c r="AE238"/>
      <c r="AF238"/>
      <c r="AG238"/>
      <c r="AH238"/>
      <c r="AI238"/>
      <c r="AJ238"/>
      <c r="AK238"/>
      <c r="AL238"/>
      <c r="AM238"/>
      <c r="AN238"/>
      <c r="AO238"/>
      <c r="AP238"/>
      <c r="AQ238"/>
      <c r="AR238"/>
      <c r="AS238"/>
      <c r="AX238" s="134"/>
      <c r="AY238" s="134"/>
    </row>
    <row r="239" spans="1:61" x14ac:dyDescent="0.25">
      <c r="B239" s="77" t="s">
        <v>643</v>
      </c>
      <c r="C239" s="21"/>
      <c r="D239" s="21"/>
      <c r="E239" s="21"/>
      <c r="F239" s="21"/>
      <c r="G239" s="21"/>
      <c r="H239" s="758"/>
      <c r="I239" s="130"/>
      <c r="J239" s="129"/>
      <c r="K239" s="95"/>
      <c r="L239" s="1782"/>
      <c r="M239" s="1837"/>
      <c r="N239" s="4"/>
      <c r="O239" s="141"/>
      <c r="P239" s="352"/>
      <c r="Q239" s="352"/>
      <c r="R239"/>
      <c r="S239"/>
      <c r="T239"/>
      <c r="U239"/>
      <c r="V239"/>
      <c r="W239"/>
      <c r="X239" s="1757"/>
      <c r="Z239"/>
      <c r="AB239"/>
      <c r="AC239"/>
      <c r="AD239"/>
      <c r="AE239"/>
      <c r="AF239"/>
      <c r="AG239"/>
      <c r="AH239"/>
      <c r="AI239"/>
      <c r="AJ239"/>
      <c r="AK239"/>
      <c r="AL239"/>
      <c r="AM239"/>
      <c r="AN239"/>
      <c r="AO239"/>
      <c r="AP239"/>
      <c r="AQ239"/>
      <c r="AR239"/>
      <c r="AS239"/>
    </row>
    <row r="240" spans="1:61" x14ac:dyDescent="0.25">
      <c r="B240" s="77" t="s">
        <v>643</v>
      </c>
      <c r="C240" s="21"/>
      <c r="D240" s="21"/>
      <c r="E240" s="21"/>
      <c r="F240" s="21"/>
      <c r="G240" s="21"/>
      <c r="H240" s="758"/>
      <c r="I240" s="130"/>
      <c r="J240" s="129"/>
      <c r="K240" s="95"/>
      <c r="L240" s="1782"/>
      <c r="M240" s="1837"/>
      <c r="N240" s="4"/>
      <c r="O240" s="141"/>
      <c r="P240" s="352"/>
      <c r="Q240" s="352"/>
      <c r="R240"/>
      <c r="S240"/>
      <c r="T240"/>
      <c r="U240"/>
      <c r="V240"/>
      <c r="W240"/>
      <c r="X240" s="1757"/>
      <c r="Z240"/>
      <c r="AB240"/>
      <c r="AC240"/>
      <c r="AD240"/>
      <c r="AE240"/>
      <c r="AF240"/>
      <c r="AG240"/>
      <c r="AH240"/>
      <c r="AI240"/>
      <c r="AJ240"/>
      <c r="AK240"/>
      <c r="AL240"/>
      <c r="AM240"/>
      <c r="AN240"/>
      <c r="AO240"/>
      <c r="AP240"/>
      <c r="AQ240"/>
      <c r="AR240"/>
      <c r="AS240"/>
      <c r="AZ240" s="134"/>
      <c r="BA240" s="134"/>
      <c r="BB240" s="134"/>
      <c r="BC240" s="134"/>
      <c r="BD240" s="134"/>
      <c r="BE240" s="134"/>
      <c r="BF240" s="134"/>
      <c r="BG240" s="134"/>
      <c r="BH240" s="134"/>
      <c r="BI240" s="134"/>
    </row>
    <row r="241" spans="1:61" s="134" customFormat="1" x14ac:dyDescent="0.25">
      <c r="A241" s="18"/>
      <c r="B241" s="77" t="s">
        <v>643</v>
      </c>
      <c r="C241" s="21"/>
      <c r="D241" s="21"/>
      <c r="E241" s="21"/>
      <c r="F241" s="21"/>
      <c r="G241" s="21"/>
      <c r="H241" s="758"/>
      <c r="I241" s="215"/>
      <c r="J241" s="210"/>
      <c r="K241" s="175"/>
      <c r="L241" s="1843"/>
      <c r="M241" s="1844"/>
      <c r="N241" s="4"/>
      <c r="O241" s="141"/>
      <c r="P241" s="352"/>
      <c r="Q241" s="352"/>
      <c r="X241" s="1757"/>
      <c r="Y241" s="780"/>
      <c r="AA241" s="783"/>
      <c r="AX241" s="63"/>
      <c r="AY241" s="63"/>
      <c r="AZ241" s="63"/>
      <c r="BA241" s="63"/>
      <c r="BB241" s="63"/>
      <c r="BC241" s="63"/>
      <c r="BD241" s="63"/>
      <c r="BE241" s="63"/>
      <c r="BF241" s="63"/>
      <c r="BG241" s="63"/>
      <c r="BH241" s="63"/>
      <c r="BI241" s="63"/>
    </row>
    <row r="242" spans="1:61" x14ac:dyDescent="0.25">
      <c r="B242" s="77" t="s">
        <v>645</v>
      </c>
      <c r="C242" s="21"/>
      <c r="D242" s="21"/>
      <c r="E242" s="21"/>
      <c r="F242" s="21"/>
      <c r="G242" s="21"/>
      <c r="H242" s="758"/>
      <c r="I242" s="130" t="s">
        <v>645</v>
      </c>
      <c r="J242" s="129"/>
      <c r="K242" s="95"/>
      <c r="L242" s="1782" t="s">
        <v>646</v>
      </c>
      <c r="M242" s="1758">
        <v>1</v>
      </c>
      <c r="N242" s="129"/>
      <c r="O242" s="1774">
        <f>M242*S242*W242</f>
        <v>0</v>
      </c>
      <c r="P242" s="352" t="b">
        <v>1</v>
      </c>
      <c r="Q242" s="352" t="b">
        <v>1</v>
      </c>
      <c r="R242" s="126" t="b">
        <v>0</v>
      </c>
      <c r="S242" s="126" t="b">
        <v>1</v>
      </c>
      <c r="T242" s="126" t="b">
        <v>0</v>
      </c>
      <c r="U242"/>
      <c r="V242"/>
      <c r="W242" s="25"/>
      <c r="X242" s="1757"/>
      <c r="Z242"/>
      <c r="AB242"/>
      <c r="AC242"/>
      <c r="AD242"/>
      <c r="AE242"/>
      <c r="AF242"/>
      <c r="AG242"/>
      <c r="AH242"/>
      <c r="AI242"/>
      <c r="AJ242"/>
      <c r="AK242"/>
      <c r="AL242" s="254" t="str">
        <f>SUBSTITUTE(SUBSTITUTE(SUBSTITUTE("dpa"&amp;$B242&amp;$C242&amp;$D242&amp;$E242,".","_"),"(","_"),")","")</f>
        <v>dpa602_4_2</v>
      </c>
      <c r="AM242" s="254">
        <f>M242</f>
        <v>1</v>
      </c>
      <c r="AN242" s="254" t="str">
        <f>SUBSTITUTE(SUBSTITUTE(SUBSTITUTE("dpc"&amp;$B242&amp;$C242&amp;$D242&amp;$E242,".","_"),"(","_"),")","")</f>
        <v>dpc602_4_2</v>
      </c>
      <c r="AO242" s="254">
        <f>O242</f>
        <v>0</v>
      </c>
      <c r="AP242" s="1130" t="str">
        <f>SUBSTITUTE(SUBSTITUTE(SUBSTITUTE("dch"&amp;$B242&amp;$C242&amp;$D242&amp;$E242,".","_"),"(","_"),")","")</f>
        <v>dch602_4_2</v>
      </c>
      <c r="AQ242" s="254" t="str">
        <f>IF(LEN(W242)=0,"",W242)</f>
        <v/>
      </c>
      <c r="AR242" s="1130" t="str">
        <f>SUBSTITUTE(SUBSTITUTE(SUBSTITUTE("dnt"&amp;$B242&amp;$C242&amp;$D242&amp;$E242,".","_"),"(","_"),")","")</f>
        <v>dnt602_4_2</v>
      </c>
      <c r="AS242" s="254" t="str">
        <f>IF(LEN(X242)=0,"",X242)</f>
        <v/>
      </c>
    </row>
    <row r="243" spans="1:61" x14ac:dyDescent="0.25">
      <c r="B243" s="77" t="s">
        <v>645</v>
      </c>
      <c r="C243" s="21"/>
      <c r="D243" s="21"/>
      <c r="E243" s="21"/>
      <c r="F243" s="21"/>
      <c r="G243" s="21"/>
      <c r="H243" s="758"/>
      <c r="I243" s="215"/>
      <c r="J243" s="210"/>
      <c r="K243" s="175"/>
      <c r="L243" s="1843"/>
      <c r="M243" s="1759"/>
      <c r="N243" s="210"/>
      <c r="O243" s="1764"/>
      <c r="P243" s="352"/>
      <c r="Q243" s="352"/>
      <c r="R243"/>
      <c r="S243"/>
      <c r="T243"/>
      <c r="U243"/>
      <c r="V243"/>
      <c r="W243"/>
      <c r="X243" s="1757"/>
      <c r="Z243"/>
      <c r="AB243"/>
      <c r="AC243"/>
      <c r="AD243"/>
      <c r="AE243"/>
      <c r="AF243"/>
      <c r="AG243"/>
      <c r="AH243"/>
      <c r="AI243"/>
      <c r="AJ243"/>
      <c r="AK243"/>
      <c r="AL243"/>
      <c r="AM243"/>
      <c r="AN243"/>
      <c r="AO243"/>
      <c r="AP243"/>
      <c r="AQ243"/>
      <c r="AR243"/>
      <c r="AS243"/>
    </row>
    <row r="244" spans="1:61" ht="15" customHeight="1" x14ac:dyDescent="0.25">
      <c r="B244" s="77" t="s">
        <v>647</v>
      </c>
      <c r="C244" s="21"/>
      <c r="D244" s="21"/>
      <c r="E244" s="21"/>
      <c r="F244" s="21"/>
      <c r="G244" s="21"/>
      <c r="H244" s="758"/>
      <c r="I244" s="64" t="s">
        <v>647</v>
      </c>
      <c r="J244" s="4"/>
      <c r="K244" s="83"/>
      <c r="L244" s="1180" t="s">
        <v>648</v>
      </c>
      <c r="M244" s="428">
        <v>1</v>
      </c>
      <c r="N244" s="4"/>
      <c r="O244" s="141">
        <f>M244*S244*W244</f>
        <v>0</v>
      </c>
      <c r="P244" s="352" t="b">
        <v>1</v>
      </c>
      <c r="Q244" s="352" t="b">
        <v>1</v>
      </c>
      <c r="R244" s="126" t="b">
        <v>0</v>
      </c>
      <c r="S244" s="126" t="b">
        <v>1</v>
      </c>
      <c r="T244" s="126" t="b">
        <v>0</v>
      </c>
      <c r="U244"/>
      <c r="V244"/>
      <c r="W244" s="25"/>
      <c r="X244" s="160"/>
      <c r="Z244"/>
      <c r="AB244"/>
      <c r="AC244"/>
      <c r="AD244"/>
      <c r="AE244"/>
      <c r="AF244"/>
      <c r="AG244"/>
      <c r="AH244"/>
      <c r="AI244"/>
      <c r="AJ244"/>
      <c r="AK244"/>
      <c r="AL244" s="254" t="str">
        <f>SUBSTITUTE(SUBSTITUTE(SUBSTITUTE("dpa"&amp;$B244&amp;$C244&amp;$D244&amp;$E244,".","_"),"(","_"),")","")</f>
        <v>dpa602_4_3</v>
      </c>
      <c r="AM244" s="254">
        <f>M244</f>
        <v>1</v>
      </c>
      <c r="AN244" s="254" t="str">
        <f>SUBSTITUTE(SUBSTITUTE(SUBSTITUTE("dpc"&amp;$B244&amp;$C244&amp;$D244&amp;$E244,".","_"),"(","_"),")","")</f>
        <v>dpc602_4_3</v>
      </c>
      <c r="AO244" s="254">
        <f>O244</f>
        <v>0</v>
      </c>
      <c r="AP244" s="1130" t="str">
        <f>SUBSTITUTE(SUBSTITUTE(SUBSTITUTE("dch"&amp;$B244&amp;$C244&amp;$D244&amp;$E244,".","_"),"(","_"),")","")</f>
        <v>dch602_4_3</v>
      </c>
      <c r="AQ244" s="254" t="str">
        <f>IF(LEN(W244)=0,"",W244)</f>
        <v/>
      </c>
      <c r="AR244" s="1130" t="str">
        <f>SUBSTITUTE(SUBSTITUTE(SUBSTITUTE("dnt"&amp;$B244&amp;$C244&amp;$D244&amp;$E244,".","_"),"(","_"),")","")</f>
        <v>dnt602_4_3</v>
      </c>
      <c r="AS244" s="254" t="str">
        <f>IF(LEN(X244)=0,"",X244)</f>
        <v/>
      </c>
    </row>
    <row r="245" spans="1:61" ht="18.75" x14ac:dyDescent="0.3">
      <c r="B245" s="77">
        <v>603</v>
      </c>
      <c r="C245" s="21"/>
      <c r="D245" s="21"/>
      <c r="E245" s="21"/>
      <c r="F245" s="21"/>
      <c r="G245" s="21"/>
      <c r="H245" s="758"/>
      <c r="I245" s="69" t="s">
        <v>649</v>
      </c>
      <c r="J245" s="23"/>
      <c r="K245" s="82"/>
      <c r="L245" s="229"/>
      <c r="M245" s="390"/>
      <c r="N245" s="508"/>
      <c r="O245" s="498"/>
      <c r="P245" s="23"/>
      <c r="Q245" s="23"/>
      <c r="R245" s="23"/>
      <c r="S245" s="23"/>
      <c r="T245" s="23"/>
      <c r="U245" s="23"/>
      <c r="V245" s="23"/>
      <c r="W245" s="23"/>
      <c r="X245" s="23"/>
      <c r="Z245"/>
      <c r="AB245"/>
      <c r="AC245"/>
      <c r="AD245"/>
      <c r="AE245"/>
      <c r="AF245"/>
      <c r="AG245"/>
      <c r="AH245"/>
      <c r="AI245"/>
      <c r="AJ245"/>
      <c r="AK245"/>
      <c r="AL245"/>
      <c r="AM245"/>
      <c r="AN245"/>
      <c r="AO245"/>
      <c r="AP245"/>
      <c r="AQ245"/>
      <c r="AR245"/>
      <c r="AS245"/>
    </row>
    <row r="246" spans="1:61" x14ac:dyDescent="0.25">
      <c r="B246" s="77" t="s">
        <v>3983</v>
      </c>
      <c r="C246" s="21"/>
      <c r="D246" s="21"/>
      <c r="E246" s="21"/>
      <c r="F246" s="21"/>
      <c r="G246" s="21"/>
      <c r="H246" s="758"/>
      <c r="I246" s="667" t="s">
        <v>3983</v>
      </c>
      <c r="J246" s="4"/>
      <c r="K246" s="83"/>
      <c r="L246" s="1796" t="s">
        <v>650</v>
      </c>
      <c r="M246" s="428"/>
      <c r="N246" s="4"/>
      <c r="O246" s="141"/>
      <c r="P246" s="352"/>
      <c r="Q246" s="352"/>
      <c r="R246"/>
      <c r="S246"/>
      <c r="T246"/>
      <c r="U246"/>
      <c r="V246"/>
      <c r="W246"/>
      <c r="X246"/>
      <c r="Z246"/>
      <c r="AB246"/>
      <c r="AC246"/>
      <c r="AD246"/>
      <c r="AE246"/>
      <c r="AF246"/>
      <c r="AG246"/>
      <c r="AH246"/>
      <c r="AI246"/>
      <c r="AJ246"/>
      <c r="AK246"/>
      <c r="AL246"/>
      <c r="AM246"/>
      <c r="AN246"/>
      <c r="AO246"/>
      <c r="AP246"/>
      <c r="AQ246"/>
      <c r="AR246"/>
      <c r="AS246"/>
    </row>
    <row r="247" spans="1:61" ht="15.75" thickBot="1" x14ac:dyDescent="0.3">
      <c r="B247" s="77" t="s">
        <v>3983</v>
      </c>
      <c r="C247" s="21"/>
      <c r="D247" s="21"/>
      <c r="E247" s="21"/>
      <c r="F247" s="21"/>
      <c r="G247" s="21"/>
      <c r="H247" s="758"/>
      <c r="I247" s="64"/>
      <c r="J247" s="4"/>
      <c r="K247" s="83"/>
      <c r="L247" s="1796"/>
      <c r="M247" s="428"/>
      <c r="N247" s="4"/>
      <c r="O247" s="141"/>
      <c r="P247" s="352"/>
      <c r="Q247" s="352"/>
      <c r="R247"/>
      <c r="S247"/>
      <c r="T247"/>
      <c r="U247"/>
      <c r="V247"/>
      <c r="W247"/>
      <c r="X247"/>
      <c r="Z247"/>
      <c r="AB247"/>
      <c r="AC247"/>
      <c r="AD247"/>
      <c r="AE247"/>
      <c r="AF247"/>
      <c r="AG247"/>
      <c r="AH247"/>
      <c r="AI247"/>
      <c r="AJ247"/>
      <c r="AK247"/>
      <c r="AL247"/>
      <c r="AM247"/>
      <c r="AN247"/>
      <c r="AO247"/>
      <c r="AP247"/>
      <c r="AQ247"/>
      <c r="AR247"/>
      <c r="AS247"/>
    </row>
    <row r="248" spans="1:61" ht="15.75" thickTop="1" x14ac:dyDescent="0.25">
      <c r="B248" s="77">
        <v>603.1</v>
      </c>
      <c r="C248" s="21"/>
      <c r="D248" s="21"/>
      <c r="E248" s="21"/>
      <c r="F248" s="21"/>
      <c r="G248" s="21"/>
      <c r="H248" s="758"/>
      <c r="I248" s="180">
        <v>603.1</v>
      </c>
      <c r="J248" s="181"/>
      <c r="K248" s="182"/>
      <c r="L248" s="1781" t="s">
        <v>651</v>
      </c>
      <c r="M248" s="1848" t="s">
        <v>3054</v>
      </c>
      <c r="N248" s="181"/>
      <c r="O248" s="1773">
        <f>MIN(ROUNDDOWN(W248/200,0),12)</f>
        <v>0</v>
      </c>
      <c r="P248" s="105" t="b">
        <v>1</v>
      </c>
      <c r="Q248" s="105" t="b">
        <v>0</v>
      </c>
      <c r="R248" s="105" t="b">
        <v>0</v>
      </c>
      <c r="S248" s="105" t="b">
        <v>1</v>
      </c>
      <c r="T248" s="105" t="b">
        <v>0</v>
      </c>
      <c r="U248" s="105"/>
      <c r="V248" s="105"/>
      <c r="W248" s="191"/>
      <c r="X248" s="1815"/>
      <c r="Z248"/>
      <c r="AB248"/>
      <c r="AC248" s="157" t="b">
        <f>OR(AD248:AE248)</f>
        <v>0</v>
      </c>
      <c r="AD248" s="157" t="b">
        <v>0</v>
      </c>
      <c r="AE248" s="157" t="b">
        <f>AND(W248&gt;0,LEN(X248)=0)</f>
        <v>0</v>
      </c>
      <c r="AF248"/>
      <c r="AG248"/>
      <c r="AH248"/>
      <c r="AI248"/>
      <c r="AJ248"/>
      <c r="AK248"/>
      <c r="AL248" s="254" t="str">
        <f>SUBSTITUTE(SUBSTITUTE(SUBSTITUTE("dpa"&amp;$B248&amp;$C248&amp;$D248&amp;$E248,".","_"),"(","_"),")","")</f>
        <v>dpa603_1</v>
      </c>
      <c r="AM248" s="254" t="str">
        <f>M248</f>
        <v>1
12 Max</v>
      </c>
      <c r="AN248" s="254" t="str">
        <f>SUBSTITUTE(SUBSTITUTE(SUBSTITUTE("dpc"&amp;$B248&amp;$C248&amp;$D248&amp;$E248,".","_"),"(","_"),")","")</f>
        <v>dpc603_1</v>
      </c>
      <c r="AO248" s="254">
        <f>O248</f>
        <v>0</v>
      </c>
      <c r="AP248" s="1130" t="str">
        <f>SUBSTITUTE(SUBSTITUTE(SUBSTITUTE("dch"&amp;$B248&amp;$C248&amp;$D248&amp;$E248,".","_"),"(","_"),")","")</f>
        <v>dch603_1</v>
      </c>
      <c r="AQ248" s="254" t="str">
        <f>IF(LEN(W248)=0,"",W248)</f>
        <v/>
      </c>
      <c r="AR248" s="1130" t="str">
        <f>SUBSTITUTE(SUBSTITUTE(SUBSTITUTE("dnt"&amp;$B248&amp;$C248&amp;$D248&amp;$E248,".","_"),"(","_"),")","")</f>
        <v>dnt603_1</v>
      </c>
      <c r="AS248" s="254" t="str">
        <f>IF(LEN(X248)=0,"",X248)</f>
        <v/>
      </c>
      <c r="AX248" s="157"/>
      <c r="AY248" s="157"/>
    </row>
    <row r="249" spans="1:61" x14ac:dyDescent="0.25">
      <c r="B249" s="77">
        <v>603.1</v>
      </c>
      <c r="C249" s="21"/>
      <c r="D249" s="21"/>
      <c r="E249" s="21"/>
      <c r="F249" s="21"/>
      <c r="G249" s="21"/>
      <c r="H249" s="758"/>
      <c r="I249" s="130"/>
      <c r="J249" s="129"/>
      <c r="K249" s="95"/>
      <c r="L249" s="1782"/>
      <c r="M249" s="1788"/>
      <c r="N249" s="129"/>
      <c r="O249" s="1774"/>
      <c r="P249" s="94"/>
      <c r="Q249" s="94"/>
      <c r="R249" s="94"/>
      <c r="S249" s="94"/>
      <c r="T249" s="94"/>
      <c r="U249" s="94"/>
      <c r="V249" s="94"/>
      <c r="W249" s="94"/>
      <c r="X249" s="1799"/>
      <c r="Z249"/>
      <c r="AB249"/>
      <c r="AC249"/>
      <c r="AD249"/>
      <c r="AE249"/>
      <c r="AF249"/>
      <c r="AG249"/>
      <c r="AH249"/>
      <c r="AI249"/>
      <c r="AJ249"/>
      <c r="AK249"/>
      <c r="AL249"/>
      <c r="AM249"/>
      <c r="AN249"/>
      <c r="AO249"/>
      <c r="AP249"/>
      <c r="AQ249"/>
      <c r="AR249"/>
      <c r="AS249"/>
      <c r="AX249" s="157"/>
      <c r="AY249" s="157"/>
    </row>
    <row r="250" spans="1:61" x14ac:dyDescent="0.25">
      <c r="B250" s="77">
        <v>603.1</v>
      </c>
      <c r="C250" s="21"/>
      <c r="D250" s="21"/>
      <c r="E250" s="21"/>
      <c r="F250" s="21"/>
      <c r="G250" s="21"/>
      <c r="H250" s="758"/>
      <c r="I250" s="130"/>
      <c r="J250" s="129"/>
      <c r="K250" s="95"/>
      <c r="L250" s="1175" t="s">
        <v>652</v>
      </c>
      <c r="M250" s="1788"/>
      <c r="N250" s="129"/>
      <c r="O250" s="1774"/>
      <c r="P250" s="94"/>
      <c r="Q250" s="94"/>
      <c r="R250" s="94"/>
      <c r="S250" s="94"/>
      <c r="T250" s="94"/>
      <c r="U250" s="94"/>
      <c r="V250" s="94"/>
      <c r="W250" s="94"/>
      <c r="X250" s="1799"/>
      <c r="Z250"/>
      <c r="AB250"/>
      <c r="AC250"/>
      <c r="AD250"/>
      <c r="AE250"/>
      <c r="AF250"/>
      <c r="AG250"/>
      <c r="AH250"/>
      <c r="AI250"/>
      <c r="AJ250"/>
      <c r="AK250"/>
      <c r="AL250"/>
      <c r="AM250"/>
      <c r="AN250"/>
      <c r="AO250"/>
      <c r="AP250"/>
      <c r="AQ250"/>
      <c r="AR250"/>
      <c r="AS250"/>
      <c r="AX250" s="157"/>
      <c r="AY250" s="157"/>
      <c r="AZ250" s="157"/>
      <c r="BA250" s="157"/>
      <c r="BB250" s="157"/>
      <c r="BC250" s="157"/>
      <c r="BD250" s="157"/>
      <c r="BE250" s="157"/>
      <c r="BF250" s="157"/>
      <c r="BG250" s="157"/>
      <c r="BH250" s="157"/>
      <c r="BI250" s="157"/>
    </row>
    <row r="251" spans="1:61" s="157" customFormat="1" x14ac:dyDescent="0.25">
      <c r="A251" s="18"/>
      <c r="B251" s="77">
        <v>603.1</v>
      </c>
      <c r="C251" s="21"/>
      <c r="D251" s="21"/>
      <c r="E251" s="21"/>
      <c r="F251" s="21"/>
      <c r="G251" s="21"/>
      <c r="H251" s="758"/>
      <c r="I251" s="130"/>
      <c r="J251" s="129"/>
      <c r="K251" s="95"/>
      <c r="L251" s="1849" t="s">
        <v>3055</v>
      </c>
      <c r="M251" s="1788"/>
      <c r="N251" s="129"/>
      <c r="O251" s="1774"/>
      <c r="P251" s="94"/>
      <c r="Q251" s="94"/>
      <c r="R251" s="94"/>
      <c r="S251" s="94"/>
      <c r="T251" s="94"/>
      <c r="U251" s="94"/>
      <c r="V251" s="94"/>
      <c r="W251" s="94"/>
      <c r="X251" s="1799"/>
      <c r="Y251" s="780"/>
      <c r="AA251" s="783"/>
      <c r="AX251" s="63"/>
      <c r="AY251" s="63"/>
    </row>
    <row r="252" spans="1:61" s="157" customFormat="1" x14ac:dyDescent="0.25">
      <c r="A252" s="18"/>
      <c r="B252" s="77">
        <v>603.1</v>
      </c>
      <c r="C252" s="21"/>
      <c r="D252" s="21"/>
      <c r="E252" s="21"/>
      <c r="F252" s="21"/>
      <c r="G252" s="21"/>
      <c r="H252" s="758"/>
      <c r="I252" s="130"/>
      <c r="J252" s="129"/>
      <c r="K252" s="95"/>
      <c r="L252" s="1850"/>
      <c r="M252" s="1788"/>
      <c r="N252" s="129"/>
      <c r="O252" s="1774"/>
      <c r="P252" s="94"/>
      <c r="Q252" s="94"/>
      <c r="R252" s="94"/>
      <c r="S252" s="94"/>
      <c r="T252" s="94"/>
      <c r="U252" s="94"/>
      <c r="V252" s="94"/>
      <c r="W252" s="94"/>
      <c r="X252" s="1799"/>
      <c r="Y252" s="780"/>
      <c r="AA252" s="783"/>
      <c r="AX252" s="63"/>
      <c r="AY252" s="63"/>
    </row>
    <row r="253" spans="1:61" s="157" customFormat="1" ht="15.75" thickBot="1" x14ac:dyDescent="0.3">
      <c r="A253" s="18"/>
      <c r="B253" s="77">
        <v>603.1</v>
      </c>
      <c r="C253" s="21"/>
      <c r="D253" s="21"/>
      <c r="E253" s="21"/>
      <c r="F253" s="21"/>
      <c r="G253" s="21"/>
      <c r="H253" s="758"/>
      <c r="I253" s="130"/>
      <c r="J253" s="129"/>
      <c r="K253" s="95"/>
      <c r="L253" s="1850"/>
      <c r="M253" s="1788"/>
      <c r="N253" s="129"/>
      <c r="O253" s="1774"/>
      <c r="P253" s="94"/>
      <c r="Q253" s="94"/>
      <c r="R253" s="94"/>
      <c r="S253" s="94"/>
      <c r="T253" s="94"/>
      <c r="U253" s="94"/>
      <c r="V253" s="94"/>
      <c r="W253" s="94"/>
      <c r="X253" s="1799"/>
      <c r="Y253" s="780"/>
      <c r="AA253" s="783"/>
      <c r="AX253" s="63"/>
      <c r="AY253" s="63"/>
      <c r="AZ253" s="63"/>
      <c r="BA253" s="63"/>
      <c r="BB253" s="63"/>
      <c r="BC253" s="63"/>
      <c r="BD253" s="63"/>
      <c r="BE253" s="63"/>
      <c r="BF253" s="63"/>
      <c r="BG253" s="63"/>
      <c r="BH253" s="63"/>
      <c r="BI253" s="63"/>
    </row>
    <row r="254" spans="1:61" ht="15.75" thickTop="1" x14ac:dyDescent="0.25">
      <c r="B254" s="77">
        <v>603.20000000000005</v>
      </c>
      <c r="C254" s="21"/>
      <c r="D254" s="21"/>
      <c r="E254" s="21"/>
      <c r="F254" s="21"/>
      <c r="G254" s="21"/>
      <c r="H254" s="758"/>
      <c r="I254" s="180">
        <v>603.20000000000005</v>
      </c>
      <c r="J254" s="181"/>
      <c r="K254" s="182"/>
      <c r="L254" s="1781" t="s">
        <v>653</v>
      </c>
      <c r="M254" s="1848" t="s">
        <v>3056</v>
      </c>
      <c r="N254" s="181"/>
      <c r="O254" s="1773">
        <f>MIN(9,ROUNDDOWN(W254/0.01,0))</f>
        <v>0</v>
      </c>
      <c r="P254" s="105" t="b">
        <v>1</v>
      </c>
      <c r="Q254" s="105" t="b">
        <v>1</v>
      </c>
      <c r="R254" s="105" t="b">
        <v>0</v>
      </c>
      <c r="S254" s="105" t="b">
        <v>1</v>
      </c>
      <c r="T254" s="105" t="b">
        <v>0</v>
      </c>
      <c r="U254" s="105"/>
      <c r="V254" s="105"/>
      <c r="W254" s="196"/>
      <c r="X254" s="1784"/>
      <c r="Z254"/>
      <c r="AB254"/>
      <c r="AC254" s="157" t="b">
        <f>OR(AD254:AE254)</f>
        <v>0</v>
      </c>
      <c r="AD254" s="157" t="b">
        <v>0</v>
      </c>
      <c r="AE254" s="157" t="b">
        <f>AND(W254&gt;0,LEN(X254)=0)</f>
        <v>0</v>
      </c>
      <c r="AF254"/>
      <c r="AG254"/>
      <c r="AH254"/>
      <c r="AI254"/>
      <c r="AJ254"/>
      <c r="AK254"/>
      <c r="AL254" s="254" t="str">
        <f>SUBSTITUTE(SUBSTITUTE(SUBSTITUTE("dpa"&amp;$B254&amp;$C254&amp;$D254&amp;$E254,".","_"),"(","_"),")","")</f>
        <v>dpa603_2</v>
      </c>
      <c r="AM254" s="254" t="str">
        <f>M254</f>
        <v>1
9 Max</v>
      </c>
      <c r="AN254" s="254" t="str">
        <f>SUBSTITUTE(SUBSTITUTE(SUBSTITUTE("dpc"&amp;$B254&amp;$C254&amp;$D254&amp;$E254,".","_"),"(","_"),")","")</f>
        <v>dpc603_2</v>
      </c>
      <c r="AO254" s="254">
        <f>O254</f>
        <v>0</v>
      </c>
      <c r="AP254" s="1130" t="str">
        <f>SUBSTITUTE(SUBSTITUTE(SUBSTITUTE("dch"&amp;$B254&amp;$C254&amp;$D254&amp;$E254,".","_"),"(","_"),")","")</f>
        <v>dch603_2</v>
      </c>
      <c r="AQ254" s="254" t="str">
        <f>IF(LEN(W254)=0,"",W254)</f>
        <v/>
      </c>
      <c r="AR254" s="1130" t="str">
        <f>SUBSTITUTE(SUBSTITUTE(SUBSTITUTE("dnt"&amp;$B254&amp;$C254&amp;$D254&amp;$E254,".","_"),"(","_"),")","")</f>
        <v>dnt603_2</v>
      </c>
      <c r="AS254" s="254" t="str">
        <f>IF(LEN(X254)=0,"",X254)</f>
        <v/>
      </c>
    </row>
    <row r="255" spans="1:61" x14ac:dyDescent="0.25">
      <c r="B255" s="77">
        <v>603.20000000000005</v>
      </c>
      <c r="C255" s="21"/>
      <c r="D255" s="21"/>
      <c r="E255" s="21"/>
      <c r="F255" s="21"/>
      <c r="G255" s="21"/>
      <c r="H255" s="758"/>
      <c r="I255" s="130"/>
      <c r="J255" s="129"/>
      <c r="K255" s="95"/>
      <c r="L255" s="1782"/>
      <c r="M255" s="1788"/>
      <c r="N255" s="129"/>
      <c r="O255" s="1774"/>
      <c r="P255" s="94"/>
      <c r="Q255" s="94"/>
      <c r="R255" s="94"/>
      <c r="S255" s="94"/>
      <c r="T255" s="94"/>
      <c r="U255" s="94"/>
      <c r="V255" s="94"/>
      <c r="W255" s="94"/>
      <c r="X255" s="1770"/>
      <c r="Z255"/>
      <c r="AB255"/>
      <c r="AC255"/>
      <c r="AD255"/>
      <c r="AE255"/>
      <c r="AF255"/>
      <c r="AG255"/>
      <c r="AH255"/>
      <c r="AI255"/>
      <c r="AJ255"/>
      <c r="AK255"/>
      <c r="AL255"/>
      <c r="AM255"/>
      <c r="AN255"/>
      <c r="AO255"/>
      <c r="AP255"/>
      <c r="AQ255"/>
      <c r="AR255"/>
      <c r="AS255"/>
      <c r="AX255" s="157"/>
      <c r="AY255" s="157"/>
    </row>
    <row r="256" spans="1:61" x14ac:dyDescent="0.25">
      <c r="B256" s="77">
        <v>603.20000000000005</v>
      </c>
      <c r="C256" s="21"/>
      <c r="D256" s="21"/>
      <c r="E256" s="21"/>
      <c r="F256" s="21"/>
      <c r="G256" s="21"/>
      <c r="H256" s="758"/>
      <c r="I256" s="130"/>
      <c r="J256" s="129"/>
      <c r="K256" s="95"/>
      <c r="L256" s="1782"/>
      <c r="M256" s="1788"/>
      <c r="N256" s="129"/>
      <c r="O256" s="1774"/>
      <c r="P256" s="94"/>
      <c r="Q256" s="94"/>
      <c r="R256" s="94"/>
      <c r="S256" s="94"/>
      <c r="T256" s="94"/>
      <c r="U256" s="94"/>
      <c r="V256" s="94"/>
      <c r="W256" s="94"/>
      <c r="X256" s="1770"/>
      <c r="Z256"/>
      <c r="AB256"/>
      <c r="AC256"/>
      <c r="AD256"/>
      <c r="AE256"/>
      <c r="AF256"/>
      <c r="AG256"/>
      <c r="AH256"/>
      <c r="AI256"/>
      <c r="AJ256"/>
      <c r="AK256"/>
      <c r="AL256"/>
      <c r="AM256"/>
      <c r="AN256"/>
      <c r="AO256"/>
      <c r="AP256"/>
      <c r="AQ256"/>
      <c r="AR256"/>
      <c r="AS256"/>
      <c r="AX256" s="157"/>
      <c r="AY256" s="157"/>
    </row>
    <row r="257" spans="1:61" ht="15" customHeight="1" x14ac:dyDescent="0.25">
      <c r="B257" s="77">
        <v>603.20000000000005</v>
      </c>
      <c r="C257" s="21"/>
      <c r="D257" s="21"/>
      <c r="E257" s="21"/>
      <c r="F257" s="21"/>
      <c r="G257" s="21"/>
      <c r="H257" s="758"/>
      <c r="I257" s="130"/>
      <c r="J257" s="129"/>
      <c r="K257" s="95"/>
      <c r="L257" s="1193" t="s">
        <v>3057</v>
      </c>
      <c r="M257" s="1788"/>
      <c r="N257" s="129"/>
      <c r="O257" s="1774"/>
      <c r="P257" s="94"/>
      <c r="Q257" s="94"/>
      <c r="R257" s="94"/>
      <c r="S257" s="94"/>
      <c r="T257" s="94"/>
      <c r="U257" s="94"/>
      <c r="V257" s="94"/>
      <c r="W257" s="94"/>
      <c r="X257" s="1770"/>
      <c r="Z257"/>
      <c r="AB257"/>
      <c r="AC257"/>
      <c r="AD257"/>
      <c r="AE257"/>
      <c r="AF257"/>
      <c r="AG257"/>
      <c r="AH257"/>
      <c r="AI257"/>
      <c r="AJ257"/>
      <c r="AK257"/>
      <c r="AL257"/>
      <c r="AM257"/>
      <c r="AN257"/>
      <c r="AO257"/>
      <c r="AP257"/>
      <c r="AQ257"/>
      <c r="AR257"/>
      <c r="AS257"/>
      <c r="AZ257" s="157"/>
      <c r="BA257" s="157"/>
      <c r="BB257" s="157"/>
      <c r="BC257" s="157"/>
      <c r="BD257" s="157"/>
      <c r="BE257" s="157"/>
      <c r="BF257" s="157"/>
      <c r="BG257" s="157"/>
      <c r="BH257" s="157"/>
      <c r="BI257" s="157"/>
    </row>
    <row r="258" spans="1:61" s="157" customFormat="1" x14ac:dyDescent="0.25">
      <c r="A258" s="18"/>
      <c r="B258" s="77">
        <v>603.20000000000005</v>
      </c>
      <c r="C258" s="21"/>
      <c r="D258" s="21"/>
      <c r="E258" s="21"/>
      <c r="F258" s="21"/>
      <c r="G258" s="21"/>
      <c r="H258" s="758"/>
      <c r="I258" s="130"/>
      <c r="J258" s="129"/>
      <c r="K258" s="95"/>
      <c r="L258" s="1849" t="s">
        <v>3055</v>
      </c>
      <c r="M258" s="1788"/>
      <c r="N258" s="129"/>
      <c r="O258" s="1774"/>
      <c r="P258" s="94"/>
      <c r="Q258" s="94"/>
      <c r="R258" s="94"/>
      <c r="S258" s="94"/>
      <c r="T258" s="94"/>
      <c r="U258" s="94"/>
      <c r="V258" s="94"/>
      <c r="W258" s="94"/>
      <c r="X258" s="1770"/>
      <c r="Y258" s="780"/>
      <c r="AA258" s="783"/>
      <c r="AX258" s="63"/>
      <c r="AY258" s="63"/>
    </row>
    <row r="259" spans="1:61" s="157" customFormat="1" x14ac:dyDescent="0.25">
      <c r="A259" s="18"/>
      <c r="B259" s="77">
        <v>603.20000000000005</v>
      </c>
      <c r="C259" s="21"/>
      <c r="D259" s="21"/>
      <c r="E259" s="21"/>
      <c r="F259" s="21"/>
      <c r="G259" s="21"/>
      <c r="H259" s="758"/>
      <c r="I259" s="130"/>
      <c r="J259" s="129"/>
      <c r="K259" s="95"/>
      <c r="L259" s="1850"/>
      <c r="M259" s="1788"/>
      <c r="N259" s="129"/>
      <c r="O259" s="1774"/>
      <c r="P259" s="94"/>
      <c r="Q259" s="94"/>
      <c r="R259" s="94"/>
      <c r="S259" s="94"/>
      <c r="T259" s="94"/>
      <c r="U259" s="94"/>
      <c r="V259" s="94"/>
      <c r="W259" s="94"/>
      <c r="X259" s="1770"/>
      <c r="Y259" s="780"/>
      <c r="AA259" s="783"/>
      <c r="AZ259" s="63"/>
      <c r="BA259" s="63"/>
      <c r="BB259" s="63"/>
      <c r="BC259" s="63"/>
      <c r="BD259" s="63"/>
      <c r="BE259" s="63"/>
      <c r="BF259" s="63"/>
      <c r="BG259" s="63"/>
      <c r="BH259" s="63"/>
      <c r="BI259" s="63"/>
    </row>
    <row r="260" spans="1:61" ht="15.75" customHeight="1" thickBot="1" x14ac:dyDescent="0.3">
      <c r="B260" s="77">
        <v>603.20000000000005</v>
      </c>
      <c r="C260" s="21"/>
      <c r="D260" s="21"/>
      <c r="E260" s="21"/>
      <c r="F260" s="21"/>
      <c r="G260" s="21"/>
      <c r="H260" s="758"/>
      <c r="I260" s="130"/>
      <c r="J260" s="129"/>
      <c r="K260" s="95"/>
      <c r="L260" s="1850"/>
      <c r="M260" s="1788"/>
      <c r="N260" s="129"/>
      <c r="O260" s="1774"/>
      <c r="P260" s="94"/>
      <c r="Q260" s="94"/>
      <c r="R260" s="94"/>
      <c r="S260" s="94"/>
      <c r="T260" s="94"/>
      <c r="U260" s="94"/>
      <c r="V260" s="94"/>
      <c r="W260" s="112"/>
      <c r="X260" s="1798"/>
      <c r="Z260"/>
      <c r="AB260"/>
      <c r="AC260"/>
      <c r="AD260"/>
      <c r="AE260"/>
      <c r="AF260"/>
      <c r="AG260"/>
      <c r="AH260"/>
      <c r="AI260"/>
      <c r="AJ260"/>
      <c r="AK260"/>
      <c r="AL260"/>
      <c r="AM260"/>
      <c r="AN260"/>
      <c r="AO260"/>
      <c r="AP260"/>
      <c r="AQ260"/>
      <c r="AR260"/>
      <c r="AS260"/>
      <c r="AX260" s="157"/>
      <c r="AY260" s="157"/>
    </row>
    <row r="261" spans="1:61" ht="15.75" customHeight="1" thickTop="1" x14ac:dyDescent="0.25">
      <c r="B261" s="77">
        <v>603.29999999999995</v>
      </c>
      <c r="C261" s="21"/>
      <c r="D261" s="21"/>
      <c r="E261" s="21"/>
      <c r="F261" s="21"/>
      <c r="G261" s="21"/>
      <c r="H261" s="758"/>
      <c r="I261" s="180">
        <v>603.29999999999995</v>
      </c>
      <c r="J261" s="181"/>
      <c r="K261" s="182"/>
      <c r="L261" s="1781" t="s">
        <v>654</v>
      </c>
      <c r="M261" s="1772">
        <v>4</v>
      </c>
      <c r="N261" s="181"/>
      <c r="O261" s="1773">
        <f>M261*S261*W261</f>
        <v>0</v>
      </c>
      <c r="P261" s="105" t="b">
        <v>1</v>
      </c>
      <c r="Q261" s="105" t="b">
        <v>1</v>
      </c>
      <c r="R261" s="105" t="b">
        <v>0</v>
      </c>
      <c r="S261" s="105" t="b">
        <v>1</v>
      </c>
      <c r="T261" s="105" t="b">
        <v>0</v>
      </c>
      <c r="U261" s="105"/>
      <c r="V261" s="105"/>
      <c r="W261" s="117"/>
      <c r="X261" s="1784"/>
      <c r="Z261"/>
      <c r="AB261"/>
      <c r="AC261" s="157" t="b">
        <f>OR(AD261:AE261)</f>
        <v>0</v>
      </c>
      <c r="AD261" s="157" t="b">
        <v>0</v>
      </c>
      <c r="AE261" s="157" t="b">
        <f>AND(W261=TRUE,LEN(X261)=0)</f>
        <v>0</v>
      </c>
      <c r="AF261"/>
      <c r="AG261"/>
      <c r="AH261"/>
      <c r="AI261"/>
      <c r="AJ261"/>
      <c r="AK261"/>
      <c r="AL261" s="254" t="str">
        <f>SUBSTITUTE(SUBSTITUTE(SUBSTITUTE("dpa"&amp;$B261&amp;$C261&amp;$D261&amp;$E261,".","_"),"(","_"),")","")</f>
        <v>dpa603_3</v>
      </c>
      <c r="AM261" s="254">
        <f>M261</f>
        <v>4</v>
      </c>
      <c r="AN261" s="254" t="str">
        <f>SUBSTITUTE(SUBSTITUTE(SUBSTITUTE("dpc"&amp;$B261&amp;$C261&amp;$D261&amp;$E261,".","_"),"(","_"),")","")</f>
        <v>dpc603_3</v>
      </c>
      <c r="AO261" s="254">
        <f>O261</f>
        <v>0</v>
      </c>
      <c r="AP261" s="1130" t="str">
        <f>SUBSTITUTE(SUBSTITUTE(SUBSTITUTE("dch"&amp;$B261&amp;$C261&amp;$D261&amp;$E261,".","_"),"(","_"),")","")</f>
        <v>dch603_3</v>
      </c>
      <c r="AQ261" s="254" t="str">
        <f>IF(LEN(W261)=0,"",W261)</f>
        <v/>
      </c>
      <c r="AR261" s="1130" t="str">
        <f>SUBSTITUTE(SUBSTITUTE(SUBSTITUTE("dnt"&amp;$B261&amp;$C261&amp;$D261&amp;$E261,".","_"),"(","_"),")","")</f>
        <v>dnt603_3</v>
      </c>
      <c r="AS261" s="254" t="str">
        <f>IF(LEN(X261)=0,"",X261)</f>
        <v/>
      </c>
      <c r="AZ261" s="157"/>
      <c r="BA261" s="157"/>
      <c r="BB261" s="157"/>
      <c r="BC261" s="157"/>
      <c r="BD261" s="157"/>
      <c r="BE261" s="157"/>
      <c r="BF261" s="157"/>
      <c r="BG261" s="157"/>
      <c r="BH261" s="157"/>
      <c r="BI261" s="157"/>
    </row>
    <row r="262" spans="1:61" s="157" customFormat="1" x14ac:dyDescent="0.25">
      <c r="A262" s="18"/>
      <c r="B262" s="77">
        <v>603.29999999999995</v>
      </c>
      <c r="C262" s="21"/>
      <c r="D262" s="21"/>
      <c r="E262" s="21"/>
      <c r="F262" s="21"/>
      <c r="G262" s="21"/>
      <c r="H262" s="758"/>
      <c r="I262" s="130"/>
      <c r="J262" s="129"/>
      <c r="K262" s="95"/>
      <c r="L262" s="1782"/>
      <c r="M262" s="1758"/>
      <c r="N262" s="129"/>
      <c r="O262" s="1774"/>
      <c r="P262" s="94"/>
      <c r="Q262" s="94"/>
      <c r="R262" s="94"/>
      <c r="S262" s="94"/>
      <c r="T262" s="94"/>
      <c r="U262" s="94"/>
      <c r="V262" s="94"/>
      <c r="W262" s="94"/>
      <c r="X262" s="1770"/>
      <c r="Y262" s="780"/>
      <c r="AA262" s="783"/>
      <c r="AX262" s="63"/>
      <c r="AY262" s="63"/>
    </row>
    <row r="263" spans="1:61" s="157" customFormat="1" ht="15" customHeight="1" x14ac:dyDescent="0.25">
      <c r="A263" s="18"/>
      <c r="B263" s="77">
        <v>603.29999999999995</v>
      </c>
      <c r="C263" s="21"/>
      <c r="D263" s="21"/>
      <c r="E263" s="21"/>
      <c r="F263" s="21"/>
      <c r="G263" s="21"/>
      <c r="H263" s="758"/>
      <c r="I263" s="130"/>
      <c r="J263" s="129"/>
      <c r="K263" s="95"/>
      <c r="L263" s="1176" t="s">
        <v>3053</v>
      </c>
      <c r="M263" s="1758"/>
      <c r="N263" s="129"/>
      <c r="O263" s="1774"/>
      <c r="P263" s="94"/>
      <c r="Q263" s="94"/>
      <c r="R263" s="94"/>
      <c r="S263" s="94"/>
      <c r="T263" s="94"/>
      <c r="U263" s="94"/>
      <c r="V263" s="94"/>
      <c r="W263" s="94"/>
      <c r="X263" s="1770"/>
      <c r="Y263" s="780"/>
      <c r="AA263" s="783"/>
      <c r="AZ263" s="63"/>
      <c r="BA263" s="63"/>
      <c r="BB263" s="63"/>
      <c r="BC263" s="63"/>
      <c r="BD263" s="63"/>
      <c r="BE263" s="63"/>
      <c r="BF263" s="63"/>
      <c r="BG263" s="63"/>
      <c r="BH263" s="63"/>
      <c r="BI263" s="63"/>
    </row>
    <row r="264" spans="1:61" ht="18.75" x14ac:dyDescent="0.3">
      <c r="B264" s="77">
        <v>604</v>
      </c>
      <c r="C264" s="21"/>
      <c r="D264" s="21"/>
      <c r="E264" s="21"/>
      <c r="F264" s="21"/>
      <c r="G264" s="21"/>
      <c r="H264" s="758"/>
      <c r="I264" s="14" t="s">
        <v>655</v>
      </c>
      <c r="J264" s="23"/>
      <c r="K264" s="82"/>
      <c r="L264" s="229"/>
      <c r="M264" s="390"/>
      <c r="N264" s="508"/>
      <c r="O264" s="498"/>
      <c r="P264" s="23"/>
      <c r="Q264" s="23"/>
      <c r="R264" s="23"/>
      <c r="S264" s="23"/>
      <c r="T264" s="23"/>
      <c r="U264" s="23"/>
      <c r="V264" s="23"/>
      <c r="W264" s="23"/>
      <c r="X264" s="23"/>
      <c r="Z264"/>
      <c r="AB264"/>
      <c r="AC264"/>
      <c r="AD264"/>
      <c r="AE264"/>
      <c r="AF264"/>
      <c r="AG264"/>
      <c r="AH264"/>
      <c r="AI264"/>
      <c r="AJ264"/>
      <c r="AK264"/>
      <c r="AL264"/>
      <c r="AM264"/>
      <c r="AN264"/>
      <c r="AO264"/>
      <c r="AP264"/>
      <c r="AQ264"/>
      <c r="AR264"/>
      <c r="AS264"/>
      <c r="AX264" s="157"/>
      <c r="AY264" s="157"/>
    </row>
    <row r="265" spans="1:61" ht="15" customHeight="1" x14ac:dyDescent="0.25">
      <c r="B265" s="77">
        <v>604.1</v>
      </c>
      <c r="C265" s="21" t="s">
        <v>2971</v>
      </c>
      <c r="D265" s="21"/>
      <c r="E265" s="21"/>
      <c r="F265" s="21"/>
      <c r="G265" s="21"/>
      <c r="H265" s="758"/>
      <c r="I265" s="64">
        <v>604.1</v>
      </c>
      <c r="J265" s="4"/>
      <c r="K265" s="83"/>
      <c r="L265" s="1796" t="s">
        <v>656</v>
      </c>
      <c r="M265" s="1846" t="s">
        <v>3059</v>
      </c>
      <c r="N265" s="4"/>
      <c r="O265" s="1780">
        <f>IFERROR(INDEX({0,1,2,3},MATCH(MIN(W268+0,W266+0),{0,0.25,0.5,0.75},1)),0)+IFERROR(INDEX({0,2,4,6},MATCH(MIN(W270+0,W272+0),{0,0.25,0.5,0.75},1)),0)</f>
        <v>0</v>
      </c>
      <c r="P265" s="352"/>
      <c r="Q265" s="352"/>
      <c r="U265"/>
      <c r="V265"/>
      <c r="W265" t="s">
        <v>3060</v>
      </c>
      <c r="X265" s="1798"/>
      <c r="Z265"/>
      <c r="AB265"/>
      <c r="AC265"/>
      <c r="AD265"/>
      <c r="AE265"/>
      <c r="AF265"/>
      <c r="AG265"/>
      <c r="AH265"/>
      <c r="AI265"/>
      <c r="AJ265"/>
      <c r="AK265"/>
      <c r="AL265" s="254" t="str">
        <f>SUBSTITUTE(SUBSTITUTE(SUBSTITUTE("dpa"&amp;$B265&amp;$C265&amp;$D265&amp;$E265,".","_"),"(","_"),")","")</f>
        <v>dpa604_1a</v>
      </c>
      <c r="AM265" s="254" t="str">
        <f>M265</f>
        <v>per Table
604.1</v>
      </c>
      <c r="AN265" s="254" t="str">
        <f>SUBSTITUTE(SUBSTITUTE(SUBSTITUTE("dpc"&amp;$B265&amp;$C265&amp;$D265&amp;$E265,".","_"),"(","_"),")","")</f>
        <v>dpc604_1a</v>
      </c>
      <c r="AO265" s="254">
        <f>O265</f>
        <v>0</v>
      </c>
      <c r="AP265"/>
      <c r="AQ265"/>
      <c r="AR265" s="1130" t="str">
        <f>SUBSTITUTE(SUBSTITUTE(SUBSTITUTE("dnt"&amp;$B265&amp;$C265&amp;$D265&amp;$E265,".","_"),"(","_"),")","")</f>
        <v>dnt604_1a</v>
      </c>
      <c r="AS265" s="254" t="str">
        <f>IF(LEN(X265)=0,"",X265)</f>
        <v/>
      </c>
      <c r="AX265" s="157"/>
      <c r="AY265" s="157"/>
      <c r="AZ265" s="157"/>
      <c r="BA265" s="157"/>
      <c r="BB265" s="157"/>
      <c r="BC265" s="157"/>
      <c r="BD265" s="157"/>
      <c r="BE265" s="157"/>
      <c r="BF265" s="157"/>
      <c r="BG265" s="157"/>
      <c r="BH265" s="157"/>
      <c r="BI265" s="157"/>
    </row>
    <row r="266" spans="1:61" s="157" customFormat="1" x14ac:dyDescent="0.25">
      <c r="A266" s="18"/>
      <c r="B266" s="77">
        <v>604.1</v>
      </c>
      <c r="C266" s="21" t="s">
        <v>2971</v>
      </c>
      <c r="D266" s="21"/>
      <c r="E266" s="21"/>
      <c r="F266" s="21"/>
      <c r="G266" s="21"/>
      <c r="H266" s="758"/>
      <c r="I266" s="64"/>
      <c r="J266" s="4"/>
      <c r="K266" s="83"/>
      <c r="L266" s="1796"/>
      <c r="M266" s="1846"/>
      <c r="N266" s="4"/>
      <c r="O266" s="1780"/>
      <c r="P266" s="352" t="b">
        <v>1</v>
      </c>
      <c r="Q266" s="352" t="b">
        <v>1</v>
      </c>
      <c r="R266" s="126" t="b">
        <v>0</v>
      </c>
      <c r="S266" s="126" t="b">
        <v>1</v>
      </c>
      <c r="T266" s="126" t="b">
        <v>0</v>
      </c>
      <c r="U266" s="94"/>
      <c r="W266" s="168"/>
      <c r="X266" s="1756"/>
      <c r="Y266" s="780"/>
      <c r="AA266" s="783"/>
      <c r="AC266" s="157" t="b">
        <f>OR(AD266:AE266)</f>
        <v>0</v>
      </c>
      <c r="AD266" s="157" t="b">
        <v>0</v>
      </c>
      <c r="AE266" s="157" t="b">
        <f>AND(W266&gt;0,LEN(X265)=0)</f>
        <v>0</v>
      </c>
      <c r="AP266" s="1130" t="str">
        <f>SUBSTITUTE(SUBSTITUTE(SUBSTITUTE("dch"&amp;$B266&amp;$C266&amp;$D266&amp;$E266,".","_"),"(","_"),")","")</f>
        <v>dch604_1a</v>
      </c>
      <c r="AQ266" s="254" t="str">
        <f>IF(LEN(W266)=0,"",W266)</f>
        <v/>
      </c>
    </row>
    <row r="267" spans="1:61" s="157" customFormat="1" x14ac:dyDescent="0.25">
      <c r="A267" s="18"/>
      <c r="B267" s="77">
        <v>604.1</v>
      </c>
      <c r="C267" s="21" t="s">
        <v>2972</v>
      </c>
      <c r="D267" s="21"/>
      <c r="E267" s="21"/>
      <c r="F267" s="21"/>
      <c r="G267" s="21"/>
      <c r="H267" s="758"/>
      <c r="I267" s="64"/>
      <c r="J267" s="4"/>
      <c r="K267" s="83"/>
      <c r="L267" s="1179" t="s">
        <v>3067</v>
      </c>
      <c r="M267" s="1846"/>
      <c r="N267" s="4"/>
      <c r="O267" s="1780"/>
      <c r="P267" s="352"/>
      <c r="Q267" s="352"/>
      <c r="W267" s="157" t="s">
        <v>3061</v>
      </c>
      <c r="X267" s="1757"/>
      <c r="Y267" s="780"/>
      <c r="AA267" s="783"/>
      <c r="AR267" s="1130" t="str">
        <f>SUBSTITUTE(SUBSTITUTE(SUBSTITUTE("dnt"&amp;$B267&amp;$C267&amp;$D267&amp;$E267,".","_"),"(","_"),")","")</f>
        <v>dnt604_1b</v>
      </c>
      <c r="AS267" s="254" t="str">
        <f>IF(LEN(X267)=0,"",X267)</f>
        <v/>
      </c>
    </row>
    <row r="268" spans="1:61" s="157" customFormat="1" x14ac:dyDescent="0.25">
      <c r="A268" s="18"/>
      <c r="B268" s="77">
        <v>604.1</v>
      </c>
      <c r="C268" s="21" t="s">
        <v>2972</v>
      </c>
      <c r="D268" s="21"/>
      <c r="E268" s="21"/>
      <c r="F268" s="21"/>
      <c r="G268" s="21"/>
      <c r="H268" s="758"/>
      <c r="I268" s="64"/>
      <c r="J268" s="4"/>
      <c r="K268" s="83"/>
      <c r="L268" s="262" t="s">
        <v>3064</v>
      </c>
      <c r="M268" s="1846"/>
      <c r="N268" s="4"/>
      <c r="O268" s="1780"/>
      <c r="P268" s="352" t="b">
        <v>1</v>
      </c>
      <c r="Q268" s="352" t="b">
        <v>1</v>
      </c>
      <c r="R268" s="157" t="b">
        <v>0</v>
      </c>
      <c r="S268" s="157" t="b">
        <v>1</v>
      </c>
      <c r="T268" s="157" t="b">
        <v>0</v>
      </c>
      <c r="U268" s="94"/>
      <c r="W268" s="168"/>
      <c r="X268" s="1757"/>
      <c r="Y268" s="780"/>
      <c r="AA268" s="783"/>
      <c r="AC268" s="157" t="b">
        <f>OR(AD268:AE268)</f>
        <v>0</v>
      </c>
      <c r="AD268" s="157" t="b">
        <v>0</v>
      </c>
      <c r="AE268" s="157" t="b">
        <f>AND(W268&gt;0,LEN(X267)=0)</f>
        <v>0</v>
      </c>
      <c r="AP268" s="1130" t="str">
        <f>SUBSTITUTE(SUBSTITUTE(SUBSTITUTE("dch"&amp;$B268&amp;$C268&amp;$D268&amp;$E268,".","_"),"(","_"),")","")</f>
        <v>dch604_1b</v>
      </c>
      <c r="AQ268" s="254" t="str">
        <f>IF(LEN(W268)=0,"",W268)</f>
        <v/>
      </c>
    </row>
    <row r="269" spans="1:61" s="157" customFormat="1" x14ac:dyDescent="0.25">
      <c r="A269" s="18"/>
      <c r="B269" s="77">
        <v>604.1</v>
      </c>
      <c r="C269" s="21" t="s">
        <v>2973</v>
      </c>
      <c r="D269" s="21"/>
      <c r="E269" s="21"/>
      <c r="F269" s="21"/>
      <c r="G269" s="21"/>
      <c r="H269" s="758"/>
      <c r="I269" s="64"/>
      <c r="J269" s="4"/>
      <c r="K269" s="83"/>
      <c r="L269" s="1804" t="s">
        <v>3066</v>
      </c>
      <c r="M269" s="1846"/>
      <c r="N269" s="4"/>
      <c r="O269" s="1780"/>
      <c r="P269" s="352"/>
      <c r="Q269" s="352"/>
      <c r="W269" s="157" t="s">
        <v>3063</v>
      </c>
      <c r="X269" s="1757"/>
      <c r="Y269" s="780"/>
      <c r="AA269" s="783"/>
      <c r="AR269" s="1130" t="str">
        <f>SUBSTITUTE(SUBSTITUTE(SUBSTITUTE("dnt"&amp;$B269&amp;$C269&amp;$D269&amp;$E269,".","_"),"(","_"),")","")</f>
        <v>dnt604_1c</v>
      </c>
      <c r="AS269" s="254" t="str">
        <f>IF(LEN(X269)=0,"",X269)</f>
        <v/>
      </c>
    </row>
    <row r="270" spans="1:61" s="157" customFormat="1" x14ac:dyDescent="0.25">
      <c r="A270" s="18"/>
      <c r="B270" s="77">
        <v>604.1</v>
      </c>
      <c r="C270" s="21" t="s">
        <v>2973</v>
      </c>
      <c r="D270" s="21"/>
      <c r="E270" s="21"/>
      <c r="F270" s="21"/>
      <c r="G270" s="21"/>
      <c r="H270" s="758"/>
      <c r="I270" s="64"/>
      <c r="J270" s="4"/>
      <c r="K270" s="83"/>
      <c r="L270" s="1804"/>
      <c r="M270" s="1846"/>
      <c r="N270" s="4"/>
      <c r="O270" s="1780"/>
      <c r="P270" s="352" t="b">
        <v>1</v>
      </c>
      <c r="Q270" s="352" t="b">
        <v>1</v>
      </c>
      <c r="R270" s="157" t="b">
        <v>0</v>
      </c>
      <c r="S270" s="157" t="b">
        <v>1</v>
      </c>
      <c r="T270" s="157" t="b">
        <v>0</v>
      </c>
      <c r="U270" s="94"/>
      <c r="W270" s="168"/>
      <c r="X270" s="1757"/>
      <c r="Y270" s="780"/>
      <c r="AA270" s="783"/>
      <c r="AC270" s="157" t="b">
        <f>OR(AD270:AE270)</f>
        <v>0</v>
      </c>
      <c r="AD270" s="157" t="b">
        <v>0</v>
      </c>
      <c r="AE270" s="157" t="b">
        <f>AND(W270&gt;0,LEN(X269)=0)</f>
        <v>0</v>
      </c>
      <c r="AP270" s="1130" t="str">
        <f>SUBSTITUTE(SUBSTITUTE(SUBSTITUTE("dch"&amp;$B270&amp;$C270&amp;$D270&amp;$E270,".","_"),"(","_"),")","")</f>
        <v>dch604_1c</v>
      </c>
      <c r="AQ270" s="254" t="str">
        <f>IF(LEN(W270)=0,"",W270)</f>
        <v/>
      </c>
      <c r="AX270" s="63"/>
      <c r="AY270" s="63"/>
    </row>
    <row r="271" spans="1:61" s="157" customFormat="1" x14ac:dyDescent="0.25">
      <c r="A271" s="18"/>
      <c r="B271" s="77">
        <v>604.1</v>
      </c>
      <c r="C271" s="21" t="s">
        <v>2974</v>
      </c>
      <c r="D271" s="21"/>
      <c r="E271" s="21"/>
      <c r="F271" s="21"/>
      <c r="G271" s="21"/>
      <c r="H271" s="758"/>
      <c r="I271" s="64"/>
      <c r="J271" s="4"/>
      <c r="K271" s="83"/>
      <c r="L271" s="1148"/>
      <c r="M271" s="1846"/>
      <c r="N271" s="4"/>
      <c r="O271" s="1780"/>
      <c r="P271" s="352"/>
      <c r="Q271" s="352"/>
      <c r="W271" s="157" t="s">
        <v>3062</v>
      </c>
      <c r="X271" s="1757"/>
      <c r="Y271" s="780"/>
      <c r="AA271" s="783"/>
      <c r="AR271" s="1130" t="str">
        <f>SUBSTITUTE(SUBSTITUTE(SUBSTITUTE("dnt"&amp;$B271&amp;$C271&amp;$D271&amp;$E271,".","_"),"(","_"),")","")</f>
        <v>dnt604_1d</v>
      </c>
      <c r="AS271" s="254" t="str">
        <f>IF(LEN(X271)=0,"",X271)</f>
        <v/>
      </c>
      <c r="AX271" s="63"/>
      <c r="AY271" s="63"/>
    </row>
    <row r="272" spans="1:61" s="157" customFormat="1" x14ac:dyDescent="0.25">
      <c r="A272" s="18"/>
      <c r="B272" s="77">
        <v>604.1</v>
      </c>
      <c r="C272" s="21" t="s">
        <v>2974</v>
      </c>
      <c r="D272" s="21"/>
      <c r="E272" s="21"/>
      <c r="F272" s="21"/>
      <c r="G272" s="21"/>
      <c r="H272" s="758"/>
      <c r="I272" s="64"/>
      <c r="J272" s="4"/>
      <c r="K272" s="83"/>
      <c r="L272" s="1148"/>
      <c r="M272" s="1846"/>
      <c r="N272" s="4"/>
      <c r="O272" s="1780"/>
      <c r="P272" s="352" t="b">
        <v>1</v>
      </c>
      <c r="Q272" s="352" t="b">
        <v>1</v>
      </c>
      <c r="R272" s="157" t="b">
        <v>0</v>
      </c>
      <c r="S272" s="157" t="b">
        <v>1</v>
      </c>
      <c r="T272" s="157" t="b">
        <v>0</v>
      </c>
      <c r="U272" s="94"/>
      <c r="W272" s="168"/>
      <c r="X272" s="1757"/>
      <c r="Y272" s="780"/>
      <c r="AA272" s="783"/>
      <c r="AC272" s="157" t="b">
        <f>OR(AD272:AE272)</f>
        <v>0</v>
      </c>
      <c r="AD272" s="157" t="b">
        <v>0</v>
      </c>
      <c r="AE272" s="157" t="b">
        <f>AND(W272&gt;0,LEN(X271)=0)</f>
        <v>0</v>
      </c>
      <c r="AP272" s="1130" t="str">
        <f>SUBSTITUTE(SUBSTITUTE(SUBSTITUTE("dch"&amp;$B272&amp;$C272&amp;$D272&amp;$E272,".","_"),"(","_"),")","")</f>
        <v>dch604_1d</v>
      </c>
      <c r="AQ272" s="254" t="str">
        <f>IF(LEN(W272)=0,"",W272)</f>
        <v/>
      </c>
      <c r="AX272" s="63"/>
      <c r="AY272" s="63"/>
      <c r="AZ272" s="63"/>
      <c r="BA272" s="63"/>
      <c r="BB272" s="63"/>
      <c r="BC272" s="63"/>
      <c r="BD272" s="63"/>
      <c r="BE272" s="63"/>
      <c r="BF272" s="63"/>
      <c r="BG272" s="63"/>
      <c r="BH272" s="63"/>
      <c r="BI272" s="63"/>
    </row>
    <row r="273" spans="1:61" ht="18.75" x14ac:dyDescent="0.3">
      <c r="B273" s="77">
        <v>605</v>
      </c>
      <c r="C273" s="21"/>
      <c r="D273" s="21"/>
      <c r="E273" s="21"/>
      <c r="F273" s="21"/>
      <c r="G273" s="21"/>
      <c r="H273" s="758"/>
      <c r="I273" s="14" t="s">
        <v>657</v>
      </c>
      <c r="J273" s="23"/>
      <c r="K273" s="82"/>
      <c r="L273" s="228"/>
      <c r="M273" s="390"/>
      <c r="N273" s="508"/>
      <c r="O273" s="498"/>
      <c r="P273" s="23"/>
      <c r="Q273" s="23"/>
      <c r="R273" s="23"/>
      <c r="S273" s="23"/>
      <c r="T273" s="23"/>
      <c r="U273" s="23"/>
      <c r="V273" s="23"/>
      <c r="W273" s="23"/>
      <c r="X273" s="23"/>
      <c r="Z273"/>
      <c r="AB273"/>
      <c r="AC273"/>
      <c r="AD273"/>
      <c r="AE273"/>
      <c r="AF273"/>
      <c r="AG273"/>
      <c r="AH273"/>
      <c r="AI273"/>
      <c r="AJ273"/>
      <c r="AK273"/>
      <c r="AL273"/>
      <c r="AM273"/>
      <c r="AN273"/>
      <c r="AO273"/>
      <c r="AP273"/>
      <c r="AQ273"/>
      <c r="AR273"/>
      <c r="AS273"/>
    </row>
    <row r="274" spans="1:61" ht="15.75" thickBot="1" x14ac:dyDescent="0.3">
      <c r="B274" s="77" t="s">
        <v>3982</v>
      </c>
      <c r="C274" s="21"/>
      <c r="D274" s="21"/>
      <c r="E274" s="21"/>
      <c r="F274" s="21"/>
      <c r="G274" s="21"/>
      <c r="H274" s="758"/>
      <c r="I274" s="78" t="s">
        <v>3982</v>
      </c>
      <c r="J274" s="240"/>
      <c r="K274" s="97"/>
      <c r="L274" s="1166" t="s">
        <v>4170</v>
      </c>
      <c r="M274" s="796"/>
      <c r="N274" s="240"/>
      <c r="O274" s="798"/>
      <c r="P274" s="99"/>
      <c r="Q274" s="99"/>
      <c r="R274" s="99"/>
      <c r="S274" s="99"/>
      <c r="T274" s="99"/>
      <c r="U274" s="99"/>
      <c r="V274" s="99"/>
      <c r="W274" s="99"/>
      <c r="X274" s="99"/>
      <c r="Z274"/>
      <c r="AB274"/>
      <c r="AC274"/>
      <c r="AD274"/>
      <c r="AE274"/>
      <c r="AF274"/>
      <c r="AG274"/>
      <c r="AH274"/>
      <c r="AI274"/>
      <c r="AJ274"/>
      <c r="AK274"/>
      <c r="AL274"/>
      <c r="AM274"/>
      <c r="AN274"/>
      <c r="AO274"/>
      <c r="AP274"/>
      <c r="AQ274"/>
      <c r="AR274"/>
      <c r="AS274"/>
    </row>
    <row r="275" spans="1:61" s="791" customFormat="1" ht="15.75" thickTop="1" x14ac:dyDescent="0.25">
      <c r="A275" s="18"/>
      <c r="B275" s="77">
        <v>605.1</v>
      </c>
      <c r="C275" s="21"/>
      <c r="D275" s="21"/>
      <c r="E275" s="21"/>
      <c r="F275" s="21"/>
      <c r="G275" s="21"/>
      <c r="H275" s="758"/>
      <c r="I275" s="180">
        <v>605.1</v>
      </c>
      <c r="J275" s="4"/>
      <c r="K275" s="83"/>
      <c r="L275" s="1836" t="s">
        <v>4171</v>
      </c>
      <c r="M275" s="1837" t="str">
        <f>IF(R275,"Mandatory","N/A")</f>
        <v>Mandatory</v>
      </c>
      <c r="N275" s="129"/>
      <c r="O275" s="800"/>
      <c r="P275" s="859" t="b">
        <v>1</v>
      </c>
      <c r="Q275" s="859" t="b">
        <v>0</v>
      </c>
      <c r="R275" s="843" t="b">
        <f>S275</f>
        <v>1</v>
      </c>
      <c r="S275" s="843" t="b">
        <v>1</v>
      </c>
      <c r="T275" s="859" t="b">
        <v>0</v>
      </c>
      <c r="W275" s="117"/>
      <c r="X275" s="1756"/>
      <c r="AC275" s="334" t="b">
        <f>OR(AD275:AE275)</f>
        <v>1</v>
      </c>
      <c r="AD275" s="970" t="b">
        <v>0</v>
      </c>
      <c r="AE275" s="970" t="b">
        <f>AND(R275,NOT(W275))</f>
        <v>1</v>
      </c>
      <c r="AL275" s="254" t="str">
        <f>SUBSTITUTE(SUBSTITUTE(SUBSTITUTE("dpa"&amp;$B275&amp;$C275&amp;$D275&amp;$E275,".","_"),"(","_"),")","")</f>
        <v>dpa605_1</v>
      </c>
      <c r="AM275" s="254" t="str">
        <f>M275</f>
        <v>Mandatory</v>
      </c>
      <c r="AP275" s="1130" t="str">
        <f>SUBSTITUTE(SUBSTITUTE(SUBSTITUTE("dch"&amp;$B275&amp;$C275&amp;$D275&amp;$E275,".","_"),"(","_"),")","")</f>
        <v>dch605_1</v>
      </c>
      <c r="AQ275" s="254" t="str">
        <f>IF(LEN(W275)=0,"",W275)</f>
        <v/>
      </c>
      <c r="AR275" s="1130" t="str">
        <f>SUBSTITUTE(SUBSTITUTE(SUBSTITUTE("dnt"&amp;$B275&amp;$C275&amp;$D275&amp;$E275,".","_"),"(","_"),")","")</f>
        <v>dnt605_1</v>
      </c>
      <c r="AS275" s="254" t="str">
        <f>IF(LEN(X275)=0,"",X275)</f>
        <v/>
      </c>
      <c r="AZ275" s="63"/>
      <c r="BA275" s="63"/>
      <c r="BB275" s="63"/>
      <c r="BC275" s="63"/>
      <c r="BD275" s="63"/>
      <c r="BE275" s="63"/>
      <c r="BF275" s="63"/>
      <c r="BG275" s="63"/>
      <c r="BH275" s="63"/>
      <c r="BI275" s="63"/>
    </row>
    <row r="276" spans="1:61" s="791" customFormat="1" x14ac:dyDescent="0.25">
      <c r="A276" s="18"/>
      <c r="B276" s="77">
        <v>605.1</v>
      </c>
      <c r="C276" s="21"/>
      <c r="D276" s="21"/>
      <c r="E276" s="21"/>
      <c r="F276" s="21"/>
      <c r="G276" s="21"/>
      <c r="H276" s="758"/>
      <c r="I276" s="78"/>
      <c r="J276" s="4"/>
      <c r="K276" s="83"/>
      <c r="L276" s="1836"/>
      <c r="M276" s="1838"/>
      <c r="N276" s="4"/>
      <c r="O276" s="799"/>
      <c r="X276" s="1757"/>
    </row>
    <row r="277" spans="1:61" s="791" customFormat="1" ht="15.75" thickBot="1" x14ac:dyDescent="0.3">
      <c r="A277" s="18"/>
      <c r="B277" s="77">
        <v>605.1</v>
      </c>
      <c r="C277" s="21"/>
      <c r="D277" s="21"/>
      <c r="E277" s="21"/>
      <c r="F277" s="21"/>
      <c r="G277" s="21"/>
      <c r="H277" s="758"/>
      <c r="I277" s="78"/>
      <c r="J277" s="4"/>
      <c r="K277" s="83"/>
      <c r="L277" s="1836"/>
      <c r="M277" s="1839"/>
      <c r="N277" s="4"/>
      <c r="O277" s="799"/>
      <c r="W277" s="112"/>
      <c r="X277" s="1757"/>
    </row>
    <row r="278" spans="1:61" ht="15.75" thickTop="1" x14ac:dyDescent="0.25">
      <c r="B278" s="77">
        <v>605.20000000000005</v>
      </c>
      <c r="C278" s="21"/>
      <c r="D278" s="21"/>
      <c r="E278" s="21"/>
      <c r="F278" s="21"/>
      <c r="G278" s="21"/>
      <c r="H278" s="758"/>
      <c r="I278" s="180">
        <v>605.20000000000005</v>
      </c>
      <c r="J278" s="181"/>
      <c r="K278" s="182"/>
      <c r="L278" s="1781" t="s">
        <v>4172</v>
      </c>
      <c r="M278" s="1772">
        <v>6</v>
      </c>
      <c r="N278" s="181"/>
      <c r="O278" s="1773">
        <f>M278*S278*IFERROR(OR(W278,W291),0)</f>
        <v>0</v>
      </c>
      <c r="P278" s="94" t="b">
        <v>1</v>
      </c>
      <c r="Q278" s="94" t="b">
        <v>1</v>
      </c>
      <c r="R278" s="105" t="b">
        <v>0</v>
      </c>
      <c r="S278" s="105" t="b">
        <v>1</v>
      </c>
      <c r="T278" s="105" t="b">
        <v>0</v>
      </c>
      <c r="U278" s="105"/>
      <c r="V278" s="105"/>
      <c r="W278" s="117"/>
      <c r="X278" s="1784"/>
      <c r="Z278"/>
      <c r="AB278"/>
      <c r="AC278"/>
      <c r="AD278"/>
      <c r="AE278"/>
      <c r="AF278"/>
      <c r="AG278"/>
      <c r="AH278"/>
      <c r="AI278"/>
      <c r="AJ278"/>
      <c r="AK278"/>
      <c r="AL278" s="254" t="str">
        <f>SUBSTITUTE(SUBSTITUTE(SUBSTITUTE("dpa"&amp;$B278&amp;$C278&amp;$D278&amp;$E278,".","_"),"(","_"),")","")</f>
        <v>dpa605_2</v>
      </c>
      <c r="AM278" s="254">
        <f>M278</f>
        <v>6</v>
      </c>
      <c r="AN278" s="254" t="str">
        <f>SUBSTITUTE(SUBSTITUTE(SUBSTITUTE("dpc"&amp;$B278&amp;$C278&amp;$D278&amp;$E278,".","_"),"(","_"),")","")</f>
        <v>dpc605_2</v>
      </c>
      <c r="AO278" s="254">
        <f>O278</f>
        <v>0</v>
      </c>
      <c r="AP278" s="1130" t="str">
        <f>SUBSTITUTE(SUBSTITUTE(SUBSTITUTE("dch"&amp;$B278&amp;$C278&amp;$D278&amp;$E278,".","_"),"(","_"),")","")</f>
        <v>dch605_2</v>
      </c>
      <c r="AQ278" s="254" t="str">
        <f>IF(LEN(W278)=0,"",W278)</f>
        <v/>
      </c>
      <c r="AR278" s="1130" t="str">
        <f>SUBSTITUTE(SUBSTITUTE(SUBSTITUTE("dnt"&amp;$B278&amp;$C278&amp;$D278&amp;$E278,".","_"),"(","_"),")","")</f>
        <v>dnt605_2</v>
      </c>
      <c r="AS278" s="254" t="str">
        <f>IF(LEN(X278)=0,"",X278)</f>
        <v/>
      </c>
      <c r="AZ278" s="791"/>
      <c r="BA278" s="791"/>
      <c r="BB278" s="791"/>
      <c r="BC278" s="791"/>
      <c r="BD278" s="791"/>
      <c r="BE278" s="791"/>
      <c r="BF278" s="791"/>
      <c r="BG278" s="791"/>
      <c r="BH278" s="791"/>
      <c r="BI278" s="791"/>
    </row>
    <row r="279" spans="1:61" x14ac:dyDescent="0.25">
      <c r="B279" s="77">
        <v>605.20000000000005</v>
      </c>
      <c r="C279" s="21"/>
      <c r="D279" s="21"/>
      <c r="E279" s="21"/>
      <c r="F279" s="21"/>
      <c r="G279" s="21"/>
      <c r="H279" s="758"/>
      <c r="I279" s="130"/>
      <c r="J279" s="129"/>
      <c r="K279" s="95"/>
      <c r="L279" s="1782"/>
      <c r="M279" s="1758"/>
      <c r="N279" s="129"/>
      <c r="O279" s="1774"/>
      <c r="P279" s="94"/>
      <c r="Q279" s="94"/>
      <c r="R279" s="94"/>
      <c r="S279" s="94"/>
      <c r="T279" s="94"/>
      <c r="U279" s="94"/>
      <c r="V279" s="94"/>
      <c r="W279" s="94"/>
      <c r="X279" s="1770"/>
      <c r="Z279"/>
      <c r="AB279"/>
      <c r="AC279"/>
      <c r="AD279"/>
      <c r="AE279"/>
      <c r="AF279"/>
      <c r="AG279"/>
      <c r="AH279"/>
      <c r="AI279"/>
      <c r="AJ279"/>
      <c r="AK279"/>
      <c r="AL279"/>
      <c r="AM279"/>
      <c r="AN279"/>
      <c r="AO279"/>
      <c r="AP279"/>
      <c r="AQ279"/>
      <c r="AR279"/>
      <c r="AS279"/>
    </row>
    <row r="280" spans="1:61" x14ac:dyDescent="0.25">
      <c r="B280" s="77">
        <v>605.20000000000005</v>
      </c>
      <c r="C280" s="21"/>
      <c r="D280" s="21"/>
      <c r="E280" s="21"/>
      <c r="F280" s="21"/>
      <c r="G280" s="21"/>
      <c r="H280" s="758"/>
      <c r="I280" s="130"/>
      <c r="J280" s="129"/>
      <c r="K280" s="95"/>
      <c r="L280" s="1782"/>
      <c r="M280" s="1758"/>
      <c r="N280" s="129"/>
      <c r="O280" s="1774"/>
      <c r="P280" s="94"/>
      <c r="Q280" s="94"/>
      <c r="R280" s="94"/>
      <c r="S280" s="94"/>
      <c r="T280" s="94"/>
      <c r="U280" s="94"/>
      <c r="V280" s="94"/>
      <c r="W280" s="94"/>
      <c r="X280" s="1770"/>
      <c r="Z280"/>
      <c r="AB280"/>
      <c r="AC280"/>
      <c r="AD280"/>
      <c r="AE280"/>
      <c r="AF280"/>
      <c r="AG280"/>
      <c r="AH280"/>
      <c r="AI280"/>
      <c r="AJ280"/>
      <c r="AK280"/>
      <c r="AL280"/>
      <c r="AM280"/>
      <c r="AN280"/>
      <c r="AO280"/>
      <c r="AP280"/>
      <c r="AQ280"/>
      <c r="AR280"/>
      <c r="AS280"/>
    </row>
    <row r="281" spans="1:61" x14ac:dyDescent="0.25">
      <c r="B281" s="77">
        <v>605.20000000000005</v>
      </c>
      <c r="C281" s="21"/>
      <c r="D281" s="21"/>
      <c r="E281" s="21"/>
      <c r="F281" s="21"/>
      <c r="G281" s="21"/>
      <c r="H281" s="758"/>
      <c r="I281" s="130"/>
      <c r="J281" s="129"/>
      <c r="K281" s="95"/>
      <c r="L281" s="1782"/>
      <c r="M281" s="1758"/>
      <c r="N281" s="129"/>
      <c r="O281" s="1774"/>
      <c r="P281" s="94"/>
      <c r="Q281" s="94"/>
      <c r="R281" s="94"/>
      <c r="S281" s="94"/>
      <c r="T281" s="94"/>
      <c r="U281" s="94"/>
      <c r="V281" s="94"/>
      <c r="W281" s="94"/>
      <c r="X281" s="1770"/>
      <c r="Z281"/>
      <c r="AB281"/>
      <c r="AC281"/>
      <c r="AD281"/>
      <c r="AE281"/>
      <c r="AF281"/>
      <c r="AG281"/>
      <c r="AH281"/>
      <c r="AI281"/>
      <c r="AJ281"/>
      <c r="AK281"/>
      <c r="AL281"/>
      <c r="AM281"/>
      <c r="AN281"/>
      <c r="AO281"/>
      <c r="AP281"/>
      <c r="AQ281"/>
      <c r="AR281"/>
      <c r="AS281"/>
    </row>
    <row r="282" spans="1:61" x14ac:dyDescent="0.25">
      <c r="B282" s="77">
        <v>605.20000000000005</v>
      </c>
      <c r="C282" s="21"/>
      <c r="D282" s="21"/>
      <c r="E282" s="21"/>
      <c r="F282" s="21"/>
      <c r="G282" s="21"/>
      <c r="H282" s="758"/>
      <c r="I282" s="130"/>
      <c r="J282" s="129"/>
      <c r="K282" s="95"/>
      <c r="L282" s="1782"/>
      <c r="M282" s="1758"/>
      <c r="N282" s="129"/>
      <c r="O282" s="1774"/>
      <c r="P282" s="94"/>
      <c r="Q282" s="94"/>
      <c r="R282" s="94"/>
      <c r="S282" s="94"/>
      <c r="T282" s="94"/>
      <c r="U282" s="94"/>
      <c r="V282" s="94"/>
      <c r="W282" s="94"/>
      <c r="X282" s="1770"/>
      <c r="Z282"/>
      <c r="AB282"/>
      <c r="AC282"/>
      <c r="AD282"/>
      <c r="AE282"/>
      <c r="AF282"/>
      <c r="AG282"/>
      <c r="AH282"/>
      <c r="AI282"/>
      <c r="AJ282"/>
      <c r="AK282"/>
      <c r="AL282"/>
      <c r="AM282"/>
      <c r="AN282"/>
      <c r="AO282"/>
      <c r="AP282"/>
      <c r="AQ282"/>
      <c r="AR282"/>
      <c r="AS282"/>
    </row>
    <row r="283" spans="1:61" x14ac:dyDescent="0.25">
      <c r="B283" s="77">
        <v>605.20000000000005</v>
      </c>
      <c r="C283" s="21"/>
      <c r="D283" s="21"/>
      <c r="E283" s="21"/>
      <c r="F283" s="21"/>
      <c r="G283" s="21"/>
      <c r="H283" s="758"/>
      <c r="I283" s="130"/>
      <c r="J283" s="129"/>
      <c r="K283" s="95"/>
      <c r="L283" s="1782"/>
      <c r="M283" s="1758"/>
      <c r="N283" s="129"/>
      <c r="O283" s="1774"/>
      <c r="P283" s="94"/>
      <c r="Q283" s="94"/>
      <c r="R283" s="94"/>
      <c r="S283" s="94"/>
      <c r="T283" s="94"/>
      <c r="U283" s="94"/>
      <c r="V283" s="94"/>
      <c r="W283" s="94"/>
      <c r="X283" s="1770"/>
      <c r="Z283"/>
      <c r="AB283"/>
      <c r="AC283"/>
      <c r="AD283"/>
      <c r="AE283"/>
      <c r="AF283"/>
      <c r="AG283"/>
      <c r="AH283"/>
      <c r="AI283"/>
      <c r="AJ283"/>
      <c r="AK283"/>
      <c r="AL283"/>
      <c r="AM283"/>
      <c r="AN283"/>
      <c r="AO283"/>
      <c r="AP283"/>
      <c r="AQ283"/>
      <c r="AR283"/>
      <c r="AS283"/>
    </row>
    <row r="284" spans="1:61" x14ac:dyDescent="0.25">
      <c r="B284" s="77">
        <v>605.20000000000005</v>
      </c>
      <c r="C284" s="21"/>
      <c r="D284" s="21"/>
      <c r="E284" s="21"/>
      <c r="F284" s="21"/>
      <c r="G284" s="21"/>
      <c r="H284" s="758"/>
      <c r="I284" s="130"/>
      <c r="J284" s="129"/>
      <c r="K284" s="95"/>
      <c r="L284" s="1754" t="s">
        <v>4176</v>
      </c>
      <c r="M284" s="1758"/>
      <c r="N284" s="129"/>
      <c r="O284" s="1774"/>
      <c r="P284" s="94"/>
      <c r="Q284" s="94"/>
      <c r="R284" s="94"/>
      <c r="S284" s="94"/>
      <c r="T284" s="94"/>
      <c r="U284" s="94"/>
      <c r="V284" s="94"/>
      <c r="W284" s="94"/>
      <c r="X284" s="1770"/>
      <c r="Z284"/>
      <c r="AB284"/>
      <c r="AC284"/>
      <c r="AD284"/>
      <c r="AE284"/>
      <c r="AF284"/>
      <c r="AG284"/>
      <c r="AH284"/>
      <c r="AI284"/>
      <c r="AJ284"/>
      <c r="AK284"/>
      <c r="AL284"/>
      <c r="AM284"/>
      <c r="AN284"/>
      <c r="AO284"/>
      <c r="AP284"/>
      <c r="AQ284"/>
      <c r="AR284"/>
      <c r="AS284"/>
    </row>
    <row r="285" spans="1:61" x14ac:dyDescent="0.25">
      <c r="B285" s="77">
        <v>605.20000000000005</v>
      </c>
      <c r="C285" s="21"/>
      <c r="D285" s="21"/>
      <c r="E285" s="21"/>
      <c r="F285" s="21"/>
      <c r="G285" s="21"/>
      <c r="H285" s="758"/>
      <c r="I285" s="130"/>
      <c r="J285" s="129"/>
      <c r="K285" s="95"/>
      <c r="L285" s="1754"/>
      <c r="M285" s="1758"/>
      <c r="N285" s="129"/>
      <c r="O285" s="1774"/>
      <c r="P285" s="94"/>
      <c r="Q285" s="94"/>
      <c r="R285" s="94"/>
      <c r="S285" s="94"/>
      <c r="T285" s="94"/>
      <c r="U285" s="94"/>
      <c r="V285" s="94"/>
      <c r="W285" s="94"/>
      <c r="X285" s="1770"/>
      <c r="Z285"/>
      <c r="AB285"/>
      <c r="AC285"/>
      <c r="AD285"/>
      <c r="AE285"/>
      <c r="AF285"/>
      <c r="AG285"/>
      <c r="AH285"/>
      <c r="AI285"/>
      <c r="AJ285"/>
      <c r="AK285"/>
      <c r="AL285"/>
      <c r="AM285"/>
      <c r="AN285"/>
      <c r="AO285"/>
      <c r="AP285"/>
      <c r="AQ285"/>
      <c r="AR285"/>
      <c r="AS285"/>
    </row>
    <row r="286" spans="1:61" x14ac:dyDescent="0.25">
      <c r="B286" s="77">
        <v>605.20000000000005</v>
      </c>
      <c r="C286" s="21"/>
      <c r="D286" s="21"/>
      <c r="E286" s="21"/>
      <c r="F286" s="21"/>
      <c r="G286" s="21"/>
      <c r="H286" s="758"/>
      <c r="I286" s="130"/>
      <c r="J286" s="129"/>
      <c r="K286" s="95"/>
      <c r="L286" s="1754"/>
      <c r="M286" s="1758"/>
      <c r="N286" s="129"/>
      <c r="O286" s="1774"/>
      <c r="P286" s="94"/>
      <c r="Q286" s="94"/>
      <c r="R286" s="94"/>
      <c r="S286" s="94"/>
      <c r="T286" s="94"/>
      <c r="U286" s="94"/>
      <c r="V286" s="94"/>
      <c r="W286" s="94"/>
      <c r="X286" s="1770"/>
      <c r="Z286"/>
      <c r="AB286"/>
      <c r="AC286"/>
      <c r="AD286"/>
      <c r="AE286"/>
      <c r="AF286"/>
      <c r="AG286"/>
      <c r="AH286"/>
      <c r="AI286"/>
      <c r="AJ286"/>
      <c r="AK286"/>
      <c r="AL286"/>
      <c r="AM286"/>
      <c r="AN286"/>
      <c r="AO286"/>
      <c r="AP286"/>
      <c r="AQ286"/>
      <c r="AR286"/>
      <c r="AS286"/>
    </row>
    <row r="287" spans="1:61" x14ac:dyDescent="0.25">
      <c r="B287" s="77">
        <v>605.20000000000005</v>
      </c>
      <c r="C287" s="21"/>
      <c r="D287" s="21"/>
      <c r="E287" s="21"/>
      <c r="F287" s="21"/>
      <c r="G287" s="21"/>
      <c r="H287" s="758"/>
      <c r="I287" s="130"/>
      <c r="J287" s="129"/>
      <c r="K287" s="95"/>
      <c r="L287" s="1754"/>
      <c r="M287" s="1758"/>
      <c r="N287" s="129"/>
      <c r="O287" s="1774"/>
      <c r="P287" s="94"/>
      <c r="Q287" s="94"/>
      <c r="R287" s="94"/>
      <c r="S287" s="94"/>
      <c r="T287" s="94"/>
      <c r="U287" s="94"/>
      <c r="V287" s="94"/>
      <c r="W287" s="94"/>
      <c r="X287" s="1770"/>
      <c r="Z287"/>
      <c r="AB287"/>
      <c r="AC287"/>
      <c r="AD287"/>
      <c r="AE287"/>
      <c r="AF287"/>
      <c r="AG287"/>
      <c r="AH287"/>
      <c r="AI287"/>
      <c r="AJ287"/>
      <c r="AK287"/>
      <c r="AL287"/>
      <c r="AM287"/>
      <c r="AN287"/>
      <c r="AO287"/>
      <c r="AP287"/>
      <c r="AQ287"/>
      <c r="AR287"/>
      <c r="AS287"/>
    </row>
    <row r="288" spans="1:61" x14ac:dyDescent="0.25">
      <c r="B288" s="77">
        <v>605.20000000000005</v>
      </c>
      <c r="C288" s="21"/>
      <c r="D288" s="21"/>
      <c r="E288" s="21"/>
      <c r="F288" s="21"/>
      <c r="G288" s="21"/>
      <c r="H288" s="758"/>
      <c r="I288" s="130"/>
      <c r="J288" s="129"/>
      <c r="K288" s="95"/>
      <c r="L288" s="1181" t="s">
        <v>658</v>
      </c>
      <c r="M288" s="1758"/>
      <c r="N288" s="129"/>
      <c r="O288" s="1774"/>
      <c r="P288" s="94"/>
      <c r="Q288" s="94"/>
      <c r="R288" s="94"/>
      <c r="S288" s="94"/>
      <c r="T288" s="94"/>
      <c r="U288" s="94"/>
      <c r="V288" s="94"/>
      <c r="W288" s="94"/>
      <c r="X288" s="1770"/>
      <c r="Z288"/>
      <c r="AB288"/>
      <c r="AC288"/>
      <c r="AD288"/>
      <c r="AE288"/>
      <c r="AF288"/>
      <c r="AG288"/>
      <c r="AH288"/>
      <c r="AI288"/>
      <c r="AJ288"/>
      <c r="AK288"/>
      <c r="AL288"/>
      <c r="AM288"/>
      <c r="AN288"/>
      <c r="AO288"/>
      <c r="AP288"/>
      <c r="AQ288"/>
      <c r="AR288"/>
      <c r="AS288"/>
    </row>
    <row r="289" spans="1:61" x14ac:dyDescent="0.25">
      <c r="B289" s="77">
        <v>605.20000000000005</v>
      </c>
      <c r="C289" s="21" t="s">
        <v>256</v>
      </c>
      <c r="D289" s="21"/>
      <c r="E289" s="21"/>
      <c r="F289" s="21"/>
      <c r="G289" s="21"/>
      <c r="H289" s="758"/>
      <c r="I289" s="130"/>
      <c r="J289" s="183" t="s">
        <v>256</v>
      </c>
      <c r="K289" s="95"/>
      <c r="L289" s="1754" t="s">
        <v>4177</v>
      </c>
      <c r="M289" s="1758"/>
      <c r="N289" s="129"/>
      <c r="O289" s="1774"/>
      <c r="P289" s="94"/>
      <c r="Q289" s="94"/>
      <c r="R289" s="94"/>
      <c r="S289" s="94"/>
      <c r="T289" s="94"/>
      <c r="U289" s="94"/>
      <c r="V289" s="94"/>
      <c r="W289" s="94"/>
      <c r="X289" s="1770"/>
      <c r="Z289"/>
      <c r="AB289"/>
      <c r="AC289"/>
      <c r="AD289"/>
      <c r="AE289"/>
      <c r="AF289"/>
      <c r="AG289"/>
      <c r="AH289"/>
      <c r="AI289"/>
      <c r="AJ289"/>
      <c r="AK289"/>
      <c r="AL289"/>
      <c r="AM289"/>
      <c r="AN289"/>
      <c r="AO289"/>
      <c r="AP289"/>
      <c r="AQ289"/>
      <c r="AR289"/>
      <c r="AS289"/>
    </row>
    <row r="290" spans="1:61" x14ac:dyDescent="0.25">
      <c r="B290" s="77">
        <v>605.20000000000005</v>
      </c>
      <c r="C290" s="21" t="s">
        <v>256</v>
      </c>
      <c r="D290" s="21"/>
      <c r="E290" s="21"/>
      <c r="F290" s="21"/>
      <c r="G290" s="21"/>
      <c r="H290" s="758"/>
      <c r="I290" s="130"/>
      <c r="J290" s="129"/>
      <c r="K290" s="95"/>
      <c r="L290" s="1754"/>
      <c r="M290" s="1758"/>
      <c r="N290" s="129"/>
      <c r="O290" s="1774"/>
      <c r="P290" s="94"/>
      <c r="Q290" s="94"/>
      <c r="R290" s="94"/>
      <c r="S290" s="94"/>
      <c r="T290" s="94"/>
      <c r="U290" s="94"/>
      <c r="V290" s="94"/>
      <c r="W290" s="94"/>
      <c r="X290" s="1770"/>
      <c r="Z290"/>
      <c r="AB290"/>
      <c r="AC290"/>
      <c r="AD290"/>
      <c r="AE290"/>
      <c r="AF290"/>
      <c r="AG290"/>
      <c r="AH290"/>
      <c r="AI290"/>
      <c r="AJ290"/>
      <c r="AK290"/>
      <c r="AL290"/>
      <c r="AM290"/>
      <c r="AN290"/>
      <c r="AO290"/>
      <c r="AP290"/>
      <c r="AQ290"/>
      <c r="AR290"/>
      <c r="AS290"/>
    </row>
    <row r="291" spans="1:61" x14ac:dyDescent="0.25">
      <c r="B291" s="77">
        <v>605.20000000000005</v>
      </c>
      <c r="C291" s="21" t="s">
        <v>258</v>
      </c>
      <c r="D291" s="21"/>
      <c r="E291" s="21"/>
      <c r="F291" s="21"/>
      <c r="G291" s="21"/>
      <c r="H291" s="758"/>
      <c r="I291" s="130"/>
      <c r="J291" s="183" t="s">
        <v>258</v>
      </c>
      <c r="K291" s="95"/>
      <c r="L291" s="1754" t="s">
        <v>659</v>
      </c>
      <c r="M291" s="1758"/>
      <c r="N291" s="129"/>
      <c r="O291" s="1774"/>
      <c r="P291" s="94" t="b">
        <v>1</v>
      </c>
      <c r="Q291" s="94" t="b">
        <v>1</v>
      </c>
      <c r="R291" s="94" t="b">
        <v>0</v>
      </c>
      <c r="S291" s="94" t="b">
        <v>1</v>
      </c>
      <c r="T291" s="94" t="b">
        <v>0</v>
      </c>
      <c r="U291" s="94"/>
      <c r="V291" s="94"/>
      <c r="W291" s="25"/>
      <c r="X291" s="1770"/>
      <c r="Z291"/>
      <c r="AB291"/>
      <c r="AC291"/>
      <c r="AD291"/>
      <c r="AE291"/>
      <c r="AF291"/>
      <c r="AG291"/>
      <c r="AH291"/>
      <c r="AI291"/>
      <c r="AJ291"/>
      <c r="AK291"/>
      <c r="AL291"/>
      <c r="AM291"/>
      <c r="AN291"/>
      <c r="AO291"/>
      <c r="AP291" s="1130" t="str">
        <f>SUBSTITUTE(SUBSTITUTE(SUBSTITUTE("dch"&amp;$B291&amp;$C291&amp;$D291&amp;$E291,".","_"),"(","_"),")","")</f>
        <v>dch605_2_2</v>
      </c>
      <c r="AQ291" s="254" t="str">
        <f>IF(LEN(W291)=0,"",W291)</f>
        <v/>
      </c>
      <c r="AR291"/>
      <c r="AS291"/>
    </row>
    <row r="292" spans="1:61" ht="15.75" thickBot="1" x14ac:dyDescent="0.3">
      <c r="B292" s="77">
        <v>605.20000000000005</v>
      </c>
      <c r="C292" s="21" t="s">
        <v>258</v>
      </c>
      <c r="D292" s="21"/>
      <c r="E292" s="21"/>
      <c r="F292" s="21"/>
      <c r="G292" s="21"/>
      <c r="H292" s="758"/>
      <c r="I292" s="130"/>
      <c r="J292" s="129"/>
      <c r="K292" s="95"/>
      <c r="L292" s="1754"/>
      <c r="M292" s="1758"/>
      <c r="N292" s="129"/>
      <c r="O292" s="1774"/>
      <c r="P292" s="94"/>
      <c r="Q292" s="94"/>
      <c r="R292" s="94"/>
      <c r="S292" s="94"/>
      <c r="T292" s="94"/>
      <c r="U292" s="94"/>
      <c r="V292" s="94"/>
      <c r="W292" s="256"/>
      <c r="X292" s="1798"/>
      <c r="Z292"/>
      <c r="AB292"/>
      <c r="AC292"/>
      <c r="AD292"/>
      <c r="AE292"/>
      <c r="AF292"/>
      <c r="AG292"/>
      <c r="AH292"/>
      <c r="AI292"/>
      <c r="AJ292"/>
      <c r="AK292"/>
      <c r="AL292"/>
      <c r="AM292"/>
      <c r="AN292"/>
      <c r="AO292"/>
      <c r="AP292"/>
      <c r="AQ292"/>
      <c r="AR292"/>
      <c r="AS292"/>
    </row>
    <row r="293" spans="1:61" ht="15.75" thickTop="1" x14ac:dyDescent="0.25">
      <c r="B293" s="77">
        <v>605.29999999999995</v>
      </c>
      <c r="C293" s="21"/>
      <c r="D293" s="21"/>
      <c r="E293" s="21"/>
      <c r="F293" s="21"/>
      <c r="G293" s="21"/>
      <c r="H293" s="758"/>
      <c r="I293" s="180">
        <v>605.29999999999995</v>
      </c>
      <c r="J293" s="181"/>
      <c r="K293" s="182"/>
      <c r="L293" s="1781" t="s">
        <v>4173</v>
      </c>
      <c r="M293" s="1772">
        <v>7</v>
      </c>
      <c r="N293" s="181"/>
      <c r="O293" s="1773">
        <f>M293*S293*W293</f>
        <v>0</v>
      </c>
      <c r="P293" s="94" t="b">
        <v>1</v>
      </c>
      <c r="Q293" s="94" t="b">
        <v>1</v>
      </c>
      <c r="R293" s="105" t="b">
        <v>0</v>
      </c>
      <c r="S293" s="105" t="b">
        <v>1</v>
      </c>
      <c r="T293" s="105" t="b">
        <v>0</v>
      </c>
      <c r="U293" s="105"/>
      <c r="V293" s="105"/>
      <c r="W293" s="117"/>
      <c r="X293" s="1784"/>
      <c r="Z293"/>
      <c r="AB293"/>
      <c r="AC293"/>
      <c r="AD293"/>
      <c r="AE293"/>
      <c r="AF293"/>
      <c r="AG293"/>
      <c r="AH293"/>
      <c r="AI293"/>
      <c r="AJ293"/>
      <c r="AK293"/>
      <c r="AL293" s="254" t="str">
        <f>SUBSTITUTE(SUBSTITUTE(SUBSTITUTE("dpa"&amp;$B293&amp;$C293&amp;$D293&amp;$E293,".","_"),"(","_"),")","")</f>
        <v>dpa605_3</v>
      </c>
      <c r="AM293" s="254">
        <f>M293</f>
        <v>7</v>
      </c>
      <c r="AN293" s="254" t="str">
        <f>SUBSTITUTE(SUBSTITUTE(SUBSTITUTE("dpc"&amp;$B293&amp;$C293&amp;$D293&amp;$E293,".","_"),"(","_"),")","")</f>
        <v>dpc605_3</v>
      </c>
      <c r="AO293" s="254">
        <f>O293</f>
        <v>0</v>
      </c>
      <c r="AP293" s="1130" t="str">
        <f>SUBSTITUTE(SUBSTITUTE(SUBSTITUTE("dch"&amp;$B293&amp;$C293&amp;$D293&amp;$E293,".","_"),"(","_"),")","")</f>
        <v>dch605_3</v>
      </c>
      <c r="AQ293" s="254" t="str">
        <f>IF(LEN(W293)=0,"",W293)</f>
        <v/>
      </c>
      <c r="AR293" s="1130" t="str">
        <f>SUBSTITUTE(SUBSTITUTE(SUBSTITUTE("dnt"&amp;$B293&amp;$C293&amp;$D293&amp;$E293,".","_"),"(","_"),")","")</f>
        <v>dnt605_3</v>
      </c>
      <c r="AS293" s="254" t="str">
        <f>IF(LEN(X293)=0,"",X293)</f>
        <v/>
      </c>
    </row>
    <row r="294" spans="1:61" x14ac:dyDescent="0.25">
      <c r="B294" s="77">
        <v>605.29999999999995</v>
      </c>
      <c r="C294" s="21"/>
      <c r="D294" s="21"/>
      <c r="E294" s="21"/>
      <c r="F294" s="21"/>
      <c r="G294" s="21"/>
      <c r="H294" s="758"/>
      <c r="I294" s="130"/>
      <c r="J294" s="129"/>
      <c r="K294" s="95"/>
      <c r="L294" s="1782"/>
      <c r="M294" s="1758"/>
      <c r="N294" s="129"/>
      <c r="O294" s="1774"/>
      <c r="P294" s="94"/>
      <c r="Q294" s="94"/>
      <c r="R294" s="94"/>
      <c r="S294" s="94"/>
      <c r="T294" s="94"/>
      <c r="U294" s="94"/>
      <c r="V294" s="94"/>
      <c r="W294" s="94"/>
      <c r="X294" s="1770"/>
      <c r="Z294"/>
      <c r="AB294"/>
      <c r="AC294"/>
      <c r="AD294"/>
      <c r="AE294"/>
      <c r="AF294"/>
      <c r="AG294"/>
      <c r="AH294"/>
      <c r="AI294"/>
      <c r="AJ294"/>
      <c r="AK294"/>
      <c r="AL294"/>
      <c r="AM294"/>
      <c r="AN294"/>
      <c r="AO294"/>
      <c r="AP294"/>
      <c r="AQ294"/>
      <c r="AR294"/>
      <c r="AS294"/>
    </row>
    <row r="295" spans="1:61" x14ac:dyDescent="0.25">
      <c r="B295" s="77">
        <v>605.29999999999995</v>
      </c>
      <c r="C295" s="21"/>
      <c r="D295" s="21" t="s">
        <v>121</v>
      </c>
      <c r="E295" s="21"/>
      <c r="F295" s="21"/>
      <c r="G295" s="21"/>
      <c r="H295" s="758"/>
      <c r="I295" s="130"/>
      <c r="J295" s="129"/>
      <c r="K295" s="91" t="s">
        <v>121</v>
      </c>
      <c r="L295" s="1754" t="s">
        <v>660</v>
      </c>
      <c r="M295" s="424"/>
      <c r="N295" s="129"/>
      <c r="O295" s="239"/>
      <c r="P295" s="94"/>
      <c r="Q295" s="94"/>
      <c r="R295" s="94"/>
      <c r="S295" s="94"/>
      <c r="T295" s="94"/>
      <c r="U295" s="94"/>
      <c r="V295" s="94"/>
      <c r="W295" s="94"/>
      <c r="X295" s="1770"/>
      <c r="Z295"/>
      <c r="AB295"/>
      <c r="AC295"/>
      <c r="AD295"/>
      <c r="AE295"/>
      <c r="AF295"/>
      <c r="AG295"/>
      <c r="AH295"/>
      <c r="AI295"/>
      <c r="AJ295"/>
      <c r="AK295"/>
      <c r="AL295"/>
      <c r="AM295"/>
      <c r="AN295"/>
      <c r="AO295"/>
      <c r="AP295"/>
      <c r="AQ295"/>
      <c r="AR295"/>
      <c r="AS295"/>
    </row>
    <row r="296" spans="1:61" x14ac:dyDescent="0.25">
      <c r="B296" s="77">
        <v>605.29999999999995</v>
      </c>
      <c r="C296" s="21"/>
      <c r="D296" s="21" t="s">
        <v>121</v>
      </c>
      <c r="E296" s="21"/>
      <c r="F296" s="21"/>
      <c r="G296" s="21"/>
      <c r="H296" s="758"/>
      <c r="I296" s="130"/>
      <c r="J296" s="129"/>
      <c r="K296" s="95"/>
      <c r="L296" s="1754"/>
      <c r="M296" s="424"/>
      <c r="N296" s="129"/>
      <c r="O296" s="239"/>
      <c r="P296" s="94"/>
      <c r="Q296" s="94"/>
      <c r="R296" s="94"/>
      <c r="S296" s="94"/>
      <c r="T296" s="94"/>
      <c r="U296" s="94"/>
      <c r="V296" s="94"/>
      <c r="W296" s="94"/>
      <c r="X296" s="1770"/>
      <c r="Z296"/>
      <c r="AB296"/>
      <c r="AC296"/>
      <c r="AD296"/>
      <c r="AE296"/>
      <c r="AF296"/>
      <c r="AG296"/>
      <c r="AH296"/>
      <c r="AI296"/>
      <c r="AJ296"/>
      <c r="AK296"/>
      <c r="AL296"/>
      <c r="AM296"/>
      <c r="AN296"/>
      <c r="AO296"/>
      <c r="AP296"/>
      <c r="AQ296"/>
      <c r="AR296"/>
      <c r="AS296"/>
    </row>
    <row r="297" spans="1:61" x14ac:dyDescent="0.25">
      <c r="B297" s="77">
        <v>605.29999999999995</v>
      </c>
      <c r="C297" s="21"/>
      <c r="D297" s="21" t="s">
        <v>121</v>
      </c>
      <c r="E297" s="21"/>
      <c r="F297" s="21"/>
      <c r="G297" s="21"/>
      <c r="H297" s="758"/>
      <c r="I297" s="130"/>
      <c r="J297" s="129"/>
      <c r="K297" s="175"/>
      <c r="L297" s="1755"/>
      <c r="M297" s="424"/>
      <c r="N297" s="129"/>
      <c r="O297" s="239"/>
      <c r="P297" s="94"/>
      <c r="Q297" s="94"/>
      <c r="R297" s="94"/>
      <c r="S297" s="94"/>
      <c r="T297" s="94"/>
      <c r="U297" s="94"/>
      <c r="V297" s="94"/>
      <c r="W297" s="94"/>
      <c r="X297" s="1770"/>
      <c r="Z297"/>
      <c r="AB297"/>
      <c r="AC297"/>
      <c r="AD297"/>
      <c r="AE297"/>
      <c r="AF297"/>
      <c r="AG297"/>
      <c r="AH297"/>
      <c r="AI297"/>
      <c r="AJ297"/>
      <c r="AK297"/>
      <c r="AL297"/>
      <c r="AM297"/>
      <c r="AN297"/>
      <c r="AO297"/>
      <c r="AP297"/>
      <c r="AQ297"/>
      <c r="AR297"/>
      <c r="AS297"/>
    </row>
    <row r="298" spans="1:61" x14ac:dyDescent="0.25">
      <c r="B298" s="77">
        <v>605.29999999999995</v>
      </c>
      <c r="C298" s="21"/>
      <c r="D298" s="21" t="s">
        <v>122</v>
      </c>
      <c r="E298" s="21"/>
      <c r="F298" s="21"/>
      <c r="G298" s="21"/>
      <c r="H298" s="758"/>
      <c r="I298" s="130"/>
      <c r="J298" s="129"/>
      <c r="K298" s="212" t="s">
        <v>122</v>
      </c>
      <c r="L298" s="280" t="s">
        <v>661</v>
      </c>
      <c r="M298" s="424"/>
      <c r="N298" s="129"/>
      <c r="O298" s="239"/>
      <c r="P298" s="94"/>
      <c r="Q298" s="94"/>
      <c r="R298" s="94"/>
      <c r="S298" s="94"/>
      <c r="T298" s="94"/>
      <c r="U298" s="94"/>
      <c r="V298" s="94"/>
      <c r="W298" s="94"/>
      <c r="X298" s="1770"/>
      <c r="Z298"/>
      <c r="AB298"/>
      <c r="AC298"/>
      <c r="AD298"/>
      <c r="AE298"/>
      <c r="AF298"/>
      <c r="AG298"/>
      <c r="AH298"/>
      <c r="AI298"/>
      <c r="AJ298"/>
      <c r="AK298"/>
      <c r="AL298"/>
      <c r="AM298"/>
      <c r="AN298"/>
      <c r="AO298"/>
      <c r="AP298"/>
      <c r="AQ298"/>
      <c r="AR298"/>
      <c r="AS298"/>
    </row>
    <row r="299" spans="1:61" x14ac:dyDescent="0.25">
      <c r="B299" s="77">
        <v>605.29999999999995</v>
      </c>
      <c r="C299" s="21"/>
      <c r="D299" s="21" t="s">
        <v>123</v>
      </c>
      <c r="E299" s="21"/>
      <c r="F299" s="21"/>
      <c r="G299" s="21"/>
      <c r="H299" s="758"/>
      <c r="I299" s="130"/>
      <c r="J299" s="129"/>
      <c r="K299" s="110" t="s">
        <v>123</v>
      </c>
      <c r="L299" s="1754" t="s">
        <v>662</v>
      </c>
      <c r="M299" s="424"/>
      <c r="N299" s="129"/>
      <c r="O299" s="239"/>
      <c r="P299" s="94"/>
      <c r="Q299" s="94"/>
      <c r="R299" s="94"/>
      <c r="S299" s="94"/>
      <c r="T299" s="94"/>
      <c r="U299" s="94"/>
      <c r="V299" s="94"/>
      <c r="W299" s="94"/>
      <c r="X299" s="1770"/>
      <c r="Z299"/>
      <c r="AB299"/>
      <c r="AC299"/>
      <c r="AD299"/>
      <c r="AE299"/>
      <c r="AF299"/>
      <c r="AG299"/>
      <c r="AH299"/>
      <c r="AI299"/>
      <c r="AJ299"/>
      <c r="AK299"/>
      <c r="AL299"/>
      <c r="AM299"/>
      <c r="AN299"/>
      <c r="AO299"/>
      <c r="AP299"/>
      <c r="AQ299"/>
      <c r="AR299"/>
      <c r="AS299"/>
    </row>
    <row r="300" spans="1:61" x14ac:dyDescent="0.25">
      <c r="B300" s="77">
        <v>605.29999999999995</v>
      </c>
      <c r="C300" s="21"/>
      <c r="D300" s="21" t="s">
        <v>123</v>
      </c>
      <c r="E300" s="21"/>
      <c r="F300" s="21"/>
      <c r="G300" s="21"/>
      <c r="H300" s="758"/>
      <c r="I300" s="130"/>
      <c r="J300" s="129"/>
      <c r="K300" s="187"/>
      <c r="L300" s="1754"/>
      <c r="M300" s="424"/>
      <c r="N300" s="129"/>
      <c r="O300" s="239"/>
      <c r="P300" s="94"/>
      <c r="Q300" s="94"/>
      <c r="R300" s="94"/>
      <c r="S300" s="94"/>
      <c r="T300" s="94"/>
      <c r="U300" s="94"/>
      <c r="V300" s="94"/>
      <c r="W300" s="94"/>
      <c r="X300" s="1770"/>
      <c r="Z300"/>
      <c r="AB300"/>
      <c r="AC300"/>
      <c r="AD300"/>
      <c r="AE300"/>
      <c r="AF300"/>
      <c r="AG300"/>
      <c r="AH300"/>
      <c r="AI300"/>
      <c r="AJ300"/>
      <c r="AK300"/>
      <c r="AL300"/>
      <c r="AM300"/>
      <c r="AN300"/>
      <c r="AO300"/>
      <c r="AP300"/>
      <c r="AQ300"/>
      <c r="AR300"/>
      <c r="AS300"/>
    </row>
    <row r="301" spans="1:61" ht="15.75" thickBot="1" x14ac:dyDescent="0.3">
      <c r="B301" s="77">
        <v>605.29999999999995</v>
      </c>
      <c r="C301" s="21"/>
      <c r="D301" s="21" t="s">
        <v>123</v>
      </c>
      <c r="E301" s="21"/>
      <c r="F301" s="21"/>
      <c r="G301" s="21"/>
      <c r="H301" s="758"/>
      <c r="I301" s="130"/>
      <c r="J301" s="129"/>
      <c r="K301" s="95"/>
      <c r="L301" s="1754"/>
      <c r="M301" s="424"/>
      <c r="N301" s="129"/>
      <c r="O301" s="239"/>
      <c r="P301" s="94"/>
      <c r="Q301" s="94"/>
      <c r="R301" s="94"/>
      <c r="S301" s="94"/>
      <c r="T301" s="94"/>
      <c r="U301" s="94"/>
      <c r="V301" s="94"/>
      <c r="W301" s="94"/>
      <c r="X301" s="1798"/>
      <c r="Z301"/>
      <c r="AB301"/>
      <c r="AC301"/>
      <c r="AD301"/>
      <c r="AE301"/>
      <c r="AF301"/>
      <c r="AG301"/>
      <c r="AH301"/>
      <c r="AI301"/>
      <c r="AJ301"/>
      <c r="AK301"/>
      <c r="AL301"/>
      <c r="AM301"/>
      <c r="AN301"/>
      <c r="AO301"/>
      <c r="AP301"/>
      <c r="AQ301"/>
      <c r="AR301"/>
      <c r="AS301"/>
      <c r="AX301" s="157"/>
      <c r="AY301" s="157"/>
    </row>
    <row r="302" spans="1:61" ht="15.75" thickTop="1" x14ac:dyDescent="0.25">
      <c r="B302" s="77" t="s">
        <v>4175</v>
      </c>
      <c r="C302" s="21"/>
      <c r="D302" s="21"/>
      <c r="E302" s="21"/>
      <c r="F302" s="21"/>
      <c r="G302" s="21"/>
      <c r="H302" s="758"/>
      <c r="I302" s="180">
        <v>605.4</v>
      </c>
      <c r="J302" s="181"/>
      <c r="K302" s="182"/>
      <c r="L302" s="1781" t="s">
        <v>4174</v>
      </c>
      <c r="M302" s="1772" t="s">
        <v>663</v>
      </c>
      <c r="N302" s="181"/>
      <c r="O302" s="1773">
        <f>IF(COUNTIF(W306:W314,TRUE)&lt;2,0,MIN(6,(COUNTIF(W306:W314,TRUE)+1)))</f>
        <v>0</v>
      </c>
      <c r="P302" s="94" t="b">
        <v>1</v>
      </c>
      <c r="Q302" s="94" t="b">
        <v>1</v>
      </c>
      <c r="R302" s="105" t="b">
        <v>0</v>
      </c>
      <c r="S302" s="105" t="b">
        <v>1</v>
      </c>
      <c r="T302" s="105" t="b">
        <v>0</v>
      </c>
      <c r="U302" s="105"/>
      <c r="V302" s="105"/>
      <c r="W302" s="105"/>
      <c r="X302" s="105"/>
      <c r="Z302"/>
      <c r="AB302"/>
      <c r="AC302"/>
      <c r="AD302"/>
      <c r="AE302"/>
      <c r="AF302"/>
      <c r="AG302"/>
      <c r="AH302"/>
      <c r="AI302"/>
      <c r="AJ302"/>
      <c r="AK302"/>
      <c r="AL302" s="254" t="str">
        <f>SUBSTITUTE(SUBSTITUTE(SUBSTITUTE("dpa"&amp;$B302&amp;$C302&amp;$D302&amp;$E302,".","_"),"(","_"),")","")</f>
        <v>dpa605_4</v>
      </c>
      <c r="AM302" s="254" t="str">
        <f>M302</f>
        <v>6 Max</v>
      </c>
      <c r="AN302" s="254" t="str">
        <f>SUBSTITUTE(SUBSTITUTE(SUBSTITUTE("dpc"&amp;$B302&amp;$C302&amp;$D302&amp;$E302,".","_"),"(","_"),")","")</f>
        <v>dpc605_4</v>
      </c>
      <c r="AO302" s="254">
        <f>O302</f>
        <v>0</v>
      </c>
      <c r="AP302" s="254"/>
      <c r="AQ302" s="254"/>
      <c r="AR302"/>
      <c r="AS302"/>
      <c r="AX302" s="157"/>
      <c r="AY302" s="157"/>
    </row>
    <row r="303" spans="1:61" x14ac:dyDescent="0.25">
      <c r="B303" s="77" t="s">
        <v>4175</v>
      </c>
      <c r="C303" s="21"/>
      <c r="D303" s="21"/>
      <c r="E303" s="21"/>
      <c r="F303" s="21"/>
      <c r="G303" s="21"/>
      <c r="H303" s="758"/>
      <c r="I303" s="130"/>
      <c r="J303" s="129"/>
      <c r="K303" s="95"/>
      <c r="L303" s="1782"/>
      <c r="M303" s="1758"/>
      <c r="N303" s="129"/>
      <c r="O303" s="1774"/>
      <c r="P303" s="94"/>
      <c r="Q303" s="94"/>
      <c r="R303" s="94"/>
      <c r="S303" s="94"/>
      <c r="T303" s="94"/>
      <c r="U303" s="94"/>
      <c r="V303" s="94"/>
      <c r="W303" s="94"/>
      <c r="X303" s="94"/>
      <c r="Z303"/>
      <c r="AB303"/>
      <c r="AC303"/>
      <c r="AD303"/>
      <c r="AE303"/>
      <c r="AF303"/>
      <c r="AG303"/>
      <c r="AH303"/>
      <c r="AI303"/>
      <c r="AJ303"/>
      <c r="AK303"/>
      <c r="AL303"/>
      <c r="AM303"/>
      <c r="AN303"/>
      <c r="AO303"/>
      <c r="AP303"/>
      <c r="AQ303"/>
      <c r="AR303"/>
      <c r="AS303"/>
      <c r="AX303" s="157"/>
      <c r="AY303" s="157"/>
      <c r="AZ303" s="157"/>
      <c r="BA303" s="157"/>
      <c r="BB303" s="157"/>
      <c r="BC303" s="157"/>
      <c r="BD303" s="157"/>
      <c r="BE303" s="157"/>
      <c r="BF303" s="157"/>
      <c r="BG303" s="157"/>
      <c r="BH303" s="157"/>
      <c r="BI303" s="157"/>
    </row>
    <row r="304" spans="1:61" s="157" customFormat="1" x14ac:dyDescent="0.25">
      <c r="A304" s="18"/>
      <c r="B304" s="77" t="s">
        <v>4175</v>
      </c>
      <c r="C304" s="21" t="s">
        <v>256</v>
      </c>
      <c r="D304" s="21"/>
      <c r="E304" s="21"/>
      <c r="F304" s="21"/>
      <c r="G304" s="21"/>
      <c r="H304" s="758"/>
      <c r="I304" s="64"/>
      <c r="J304" s="206" t="s">
        <v>256</v>
      </c>
      <c r="K304" s="175"/>
      <c r="L304" s="1163" t="s">
        <v>664</v>
      </c>
      <c r="M304" s="426">
        <v>3</v>
      </c>
      <c r="N304" s="4"/>
      <c r="O304" s="141"/>
      <c r="P304" s="352"/>
      <c r="Q304" s="352"/>
      <c r="Y304" s="780"/>
      <c r="AA304" s="783"/>
      <c r="AL304" s="254" t="str">
        <f>SUBSTITUTE(SUBSTITUTE(SUBSTITUTE("dpa"&amp;$B304&amp;$C304&amp;$D304&amp;$E304,".","_"),"(","_"),")","")</f>
        <v>dpa605_4_1</v>
      </c>
      <c r="AM304" s="254">
        <f>M304</f>
        <v>3</v>
      </c>
    </row>
    <row r="305" spans="1:61" s="157" customFormat="1" x14ac:dyDescent="0.25">
      <c r="A305" s="18"/>
      <c r="B305" s="77" t="s">
        <v>4175</v>
      </c>
      <c r="C305" s="21" t="s">
        <v>258</v>
      </c>
      <c r="D305" s="21"/>
      <c r="E305" s="21"/>
      <c r="F305" s="21"/>
      <c r="G305" s="21"/>
      <c r="H305" s="758"/>
      <c r="I305" s="64"/>
      <c r="J305" s="27" t="s">
        <v>258</v>
      </c>
      <c r="K305" s="83"/>
      <c r="L305" s="1170" t="s">
        <v>665</v>
      </c>
      <c r="M305" s="428">
        <v>1</v>
      </c>
      <c r="N305" s="4"/>
      <c r="O305" s="141"/>
      <c r="P305" s="352"/>
      <c r="Q305" s="352"/>
      <c r="Y305" s="780"/>
      <c r="AA305" s="783"/>
      <c r="AL305" s="254" t="str">
        <f>SUBSTITUTE(SUBSTITUTE(SUBSTITUTE("dpa"&amp;$B305&amp;$C305&amp;$D305&amp;$E305,".","_"),"(","_"),")","")</f>
        <v>dpa605_4_2</v>
      </c>
      <c r="AM305" s="254">
        <f>M305</f>
        <v>1</v>
      </c>
    </row>
    <row r="306" spans="1:61" s="157" customFormat="1" x14ac:dyDescent="0.25">
      <c r="A306" s="18"/>
      <c r="B306" s="77" t="s">
        <v>4175</v>
      </c>
      <c r="C306" s="21" t="s">
        <v>258</v>
      </c>
      <c r="D306" s="21" t="s">
        <v>121</v>
      </c>
      <c r="E306" s="21"/>
      <c r="F306" s="21"/>
      <c r="G306" s="21"/>
      <c r="H306" s="758"/>
      <c r="I306" s="64"/>
      <c r="J306" s="4"/>
      <c r="K306" s="174" t="s">
        <v>121</v>
      </c>
      <c r="L306" s="1163" t="s">
        <v>3068</v>
      </c>
      <c r="M306" s="428"/>
      <c r="N306" s="4"/>
      <c r="O306" s="141"/>
      <c r="P306" s="94" t="b">
        <v>1</v>
      </c>
      <c r="Q306" s="94" t="b">
        <v>1</v>
      </c>
      <c r="R306" s="157" t="b">
        <v>0</v>
      </c>
      <c r="S306" s="157" t="b">
        <v>1</v>
      </c>
      <c r="T306" s="157" t="b">
        <v>0</v>
      </c>
      <c r="W306" s="25"/>
      <c r="X306" s="1757"/>
      <c r="Y306" s="780"/>
      <c r="AA306" s="783"/>
      <c r="AP306" s="1130" t="str">
        <f t="shared" ref="AP306:AP314" si="15">SUBSTITUTE(SUBSTITUTE(SUBSTITUTE("dch"&amp;$B306&amp;$C306&amp;$D306&amp;$E306,".","_"),"(","_"),")","")</f>
        <v>dch605_4_2_a</v>
      </c>
      <c r="AQ306" s="254" t="str">
        <f t="shared" ref="AQ306:AQ314" si="16">IF(LEN(W306)=0,"",W306)</f>
        <v/>
      </c>
      <c r="AR306" s="1130" t="str">
        <f>SUBSTITUTE(SUBSTITUTE(SUBSTITUTE("dnt"&amp;$B306&amp;$C306&amp;$D306&amp;$E306,".","_"),"(","_"),")","")</f>
        <v>dnt605_4_2_a</v>
      </c>
      <c r="AS306" s="254" t="str">
        <f>IF(LEN(X306)=0,"",X306)</f>
        <v/>
      </c>
    </row>
    <row r="307" spans="1:61" s="157" customFormat="1" x14ac:dyDescent="0.25">
      <c r="A307" s="18"/>
      <c r="B307" s="77" t="s">
        <v>4175</v>
      </c>
      <c r="C307" s="21" t="s">
        <v>258</v>
      </c>
      <c r="D307" s="21" t="s">
        <v>122</v>
      </c>
      <c r="E307" s="21"/>
      <c r="F307" s="21"/>
      <c r="G307" s="21"/>
      <c r="H307" s="758"/>
      <c r="I307" s="64"/>
      <c r="J307" s="4"/>
      <c r="K307" s="212" t="s">
        <v>122</v>
      </c>
      <c r="L307" s="280" t="s">
        <v>3069</v>
      </c>
      <c r="M307" s="428"/>
      <c r="N307" s="4"/>
      <c r="O307" s="141"/>
      <c r="P307" s="94" t="b">
        <v>1</v>
      </c>
      <c r="Q307" s="94" t="b">
        <v>1</v>
      </c>
      <c r="R307" s="157" t="b">
        <v>0</v>
      </c>
      <c r="S307" s="157" t="b">
        <v>1</v>
      </c>
      <c r="T307" s="157" t="b">
        <v>0</v>
      </c>
      <c r="W307" s="25"/>
      <c r="X307" s="1757"/>
      <c r="Y307" s="780"/>
      <c r="AA307" s="783"/>
      <c r="AP307" s="1130" t="str">
        <f t="shared" si="15"/>
        <v>dch605_4_2_b</v>
      </c>
      <c r="AQ307" s="254" t="str">
        <f t="shared" si="16"/>
        <v/>
      </c>
    </row>
    <row r="308" spans="1:61" s="157" customFormat="1" x14ac:dyDescent="0.25">
      <c r="A308" s="18"/>
      <c r="B308" s="77" t="s">
        <v>4175</v>
      </c>
      <c r="C308" s="21" t="s">
        <v>258</v>
      </c>
      <c r="D308" s="21" t="s">
        <v>123</v>
      </c>
      <c r="E308" s="21"/>
      <c r="F308" s="21"/>
      <c r="G308" s="21"/>
      <c r="H308" s="758"/>
      <c r="I308" s="64"/>
      <c r="J308" s="4"/>
      <c r="K308" s="217" t="s">
        <v>123</v>
      </c>
      <c r="L308" s="280" t="s">
        <v>3070</v>
      </c>
      <c r="M308" s="428"/>
      <c r="N308" s="4"/>
      <c r="O308" s="141"/>
      <c r="P308" s="94" t="b">
        <v>1</v>
      </c>
      <c r="Q308" s="94" t="b">
        <v>1</v>
      </c>
      <c r="R308" s="157" t="b">
        <v>0</v>
      </c>
      <c r="S308" s="157" t="b">
        <v>1</v>
      </c>
      <c r="T308" s="157" t="b">
        <v>0</v>
      </c>
      <c r="W308" s="25"/>
      <c r="X308" s="1757"/>
      <c r="Y308" s="780"/>
      <c r="AA308" s="783"/>
      <c r="AP308" s="1130" t="str">
        <f t="shared" si="15"/>
        <v>dch605_4_2_c</v>
      </c>
      <c r="AQ308" s="254" t="str">
        <f t="shared" si="16"/>
        <v/>
      </c>
    </row>
    <row r="309" spans="1:61" s="157" customFormat="1" x14ac:dyDescent="0.25">
      <c r="A309" s="18"/>
      <c r="B309" s="77" t="s">
        <v>4175</v>
      </c>
      <c r="C309" s="21" t="s">
        <v>258</v>
      </c>
      <c r="D309" s="21" t="s">
        <v>401</v>
      </c>
      <c r="E309" s="21"/>
      <c r="F309" s="21"/>
      <c r="G309" s="21"/>
      <c r="H309" s="758"/>
      <c r="I309" s="64"/>
      <c r="J309" s="4"/>
      <c r="K309" s="218" t="s">
        <v>401</v>
      </c>
      <c r="L309" s="280" t="s">
        <v>3071</v>
      </c>
      <c r="M309" s="428"/>
      <c r="N309" s="4"/>
      <c r="O309" s="141"/>
      <c r="P309" s="94" t="b">
        <v>1</v>
      </c>
      <c r="Q309" s="94" t="b">
        <v>1</v>
      </c>
      <c r="R309" s="157" t="b">
        <v>0</v>
      </c>
      <c r="S309" s="157" t="b">
        <v>1</v>
      </c>
      <c r="T309" s="157" t="b">
        <v>0</v>
      </c>
      <c r="W309" s="25"/>
      <c r="X309" s="1757"/>
      <c r="Y309" s="780"/>
      <c r="AA309" s="783"/>
      <c r="AP309" s="1130" t="str">
        <f t="shared" si="15"/>
        <v>dch605_4_2_d</v>
      </c>
      <c r="AQ309" s="254" t="str">
        <f t="shared" si="16"/>
        <v/>
      </c>
    </row>
    <row r="310" spans="1:61" s="157" customFormat="1" x14ac:dyDescent="0.25">
      <c r="A310" s="18"/>
      <c r="B310" s="77" t="s">
        <v>4175</v>
      </c>
      <c r="C310" s="21" t="s">
        <v>258</v>
      </c>
      <c r="D310" s="21" t="s">
        <v>539</v>
      </c>
      <c r="E310" s="21"/>
      <c r="F310" s="21"/>
      <c r="G310" s="21"/>
      <c r="H310" s="758"/>
      <c r="I310" s="64"/>
      <c r="J310" s="4"/>
      <c r="K310" s="212" t="s">
        <v>539</v>
      </c>
      <c r="L310" s="280" t="s">
        <v>3072</v>
      </c>
      <c r="M310" s="428"/>
      <c r="N310" s="4"/>
      <c r="O310" s="141"/>
      <c r="P310" s="94" t="b">
        <v>1</v>
      </c>
      <c r="Q310" s="94" t="b">
        <v>1</v>
      </c>
      <c r="R310" s="157" t="b">
        <v>0</v>
      </c>
      <c r="S310" s="157" t="b">
        <v>1</v>
      </c>
      <c r="T310" s="157" t="b">
        <v>0</v>
      </c>
      <c r="W310" s="25"/>
      <c r="X310" s="1757"/>
      <c r="Y310" s="780"/>
      <c r="AA310" s="783"/>
      <c r="AP310" s="1130" t="str">
        <f t="shared" si="15"/>
        <v>dch605_4_2_e</v>
      </c>
      <c r="AQ310" s="254" t="str">
        <f t="shared" si="16"/>
        <v/>
      </c>
      <c r="AX310" s="63"/>
      <c r="AY310" s="63"/>
    </row>
    <row r="311" spans="1:61" s="157" customFormat="1" x14ac:dyDescent="0.25">
      <c r="A311" s="18"/>
      <c r="B311" s="77" t="s">
        <v>4175</v>
      </c>
      <c r="C311" s="21" t="s">
        <v>258</v>
      </c>
      <c r="D311" s="21" t="s">
        <v>604</v>
      </c>
      <c r="E311" s="21"/>
      <c r="F311" s="21"/>
      <c r="G311" s="21"/>
      <c r="H311" s="758"/>
      <c r="I311" s="64"/>
      <c r="J311" s="4"/>
      <c r="K311" s="212" t="s">
        <v>604</v>
      </c>
      <c r="L311" s="280" t="s">
        <v>3073</v>
      </c>
      <c r="M311" s="428"/>
      <c r="N311" s="4"/>
      <c r="O311" s="141"/>
      <c r="P311" s="94" t="b">
        <v>1</v>
      </c>
      <c r="Q311" s="94" t="b">
        <v>1</v>
      </c>
      <c r="R311" s="157" t="b">
        <v>0</v>
      </c>
      <c r="S311" s="157" t="b">
        <v>1</v>
      </c>
      <c r="T311" s="157" t="b">
        <v>0</v>
      </c>
      <c r="W311" s="25"/>
      <c r="X311" s="1757"/>
      <c r="Y311" s="780"/>
      <c r="AA311" s="783"/>
      <c r="AP311" s="1130" t="str">
        <f t="shared" si="15"/>
        <v>dch605_4_2_f</v>
      </c>
      <c r="AQ311" s="254" t="str">
        <f t="shared" si="16"/>
        <v/>
      </c>
      <c r="AX311" s="63"/>
      <c r="AY311" s="63"/>
    </row>
    <row r="312" spans="1:61" s="157" customFormat="1" x14ac:dyDescent="0.25">
      <c r="A312" s="18"/>
      <c r="B312" s="77" t="s">
        <v>4175</v>
      </c>
      <c r="C312" s="21" t="s">
        <v>258</v>
      </c>
      <c r="D312" s="21" t="s">
        <v>606</v>
      </c>
      <c r="E312" s="21"/>
      <c r="F312" s="21"/>
      <c r="G312" s="21"/>
      <c r="H312" s="758"/>
      <c r="I312" s="64"/>
      <c r="J312" s="4"/>
      <c r="K312" s="217" t="s">
        <v>606</v>
      </c>
      <c r="L312" s="280" t="s">
        <v>3074</v>
      </c>
      <c r="M312" s="428"/>
      <c r="N312" s="4"/>
      <c r="O312" s="141"/>
      <c r="P312" s="94" t="b">
        <v>1</v>
      </c>
      <c r="Q312" s="94" t="b">
        <v>1</v>
      </c>
      <c r="R312" s="157" t="b">
        <v>0</v>
      </c>
      <c r="S312" s="157" t="b">
        <v>1</v>
      </c>
      <c r="T312" s="157" t="b">
        <v>0</v>
      </c>
      <c r="W312" s="25"/>
      <c r="X312" s="1757"/>
      <c r="Y312" s="780"/>
      <c r="AA312" s="783"/>
      <c r="AP312" s="1130" t="str">
        <f t="shared" si="15"/>
        <v>dch605_4_2_g</v>
      </c>
      <c r="AQ312" s="254" t="str">
        <f t="shared" si="16"/>
        <v/>
      </c>
      <c r="AZ312" s="63"/>
      <c r="BA312" s="63"/>
      <c r="BB312" s="63"/>
      <c r="BC312" s="63"/>
      <c r="BD312" s="63"/>
      <c r="BE312" s="63"/>
      <c r="BF312" s="63"/>
      <c r="BG312" s="63"/>
      <c r="BH312" s="63"/>
      <c r="BI312" s="63"/>
    </row>
    <row r="313" spans="1:61" x14ac:dyDescent="0.25">
      <c r="B313" s="77" t="s">
        <v>4175</v>
      </c>
      <c r="C313" s="21" t="s">
        <v>258</v>
      </c>
      <c r="D313" s="21" t="s">
        <v>608</v>
      </c>
      <c r="E313" s="21"/>
      <c r="F313" s="21"/>
      <c r="G313" s="21"/>
      <c r="H313" s="758"/>
      <c r="I313" s="64"/>
      <c r="K313" s="218" t="s">
        <v>608</v>
      </c>
      <c r="L313" s="280" t="s">
        <v>3075</v>
      </c>
      <c r="M313" s="66"/>
      <c r="N313" s="4"/>
      <c r="O313" s="141"/>
      <c r="P313" s="94" t="b">
        <v>1</v>
      </c>
      <c r="Q313" s="94" t="b">
        <v>1</v>
      </c>
      <c r="R313" s="157" t="b">
        <v>0</v>
      </c>
      <c r="S313" s="157" t="b">
        <v>1</v>
      </c>
      <c r="T313" s="157" t="b">
        <v>0</v>
      </c>
      <c r="U313"/>
      <c r="V313"/>
      <c r="W313" s="25"/>
      <c r="X313" s="158"/>
      <c r="Z313"/>
      <c r="AB313"/>
      <c r="AC313" s="157" t="b">
        <f>OR(AD313:AE313)</f>
        <v>0</v>
      </c>
      <c r="AD313" s="157" t="b">
        <v>0</v>
      </c>
      <c r="AE313" s="157" t="b">
        <f>AND(W313=TRUE,LEN(X313)=0)</f>
        <v>0</v>
      </c>
      <c r="AF313"/>
      <c r="AG313"/>
      <c r="AH313"/>
      <c r="AI313"/>
      <c r="AJ313"/>
      <c r="AK313"/>
      <c r="AL313"/>
      <c r="AM313"/>
      <c r="AN313"/>
      <c r="AO313"/>
      <c r="AP313" s="1130" t="str">
        <f t="shared" si="15"/>
        <v>dch605_4_2_h</v>
      </c>
      <c r="AQ313" s="254" t="str">
        <f t="shared" si="16"/>
        <v/>
      </c>
      <c r="AR313" s="1130" t="str">
        <f>SUBSTITUTE(SUBSTITUTE(SUBSTITUTE("dnt"&amp;$B313&amp;$C313&amp;$D313&amp;$E313,".","_"),"(","_"),")","")</f>
        <v>dnt605_4_2_h</v>
      </c>
      <c r="AS313" s="254" t="str">
        <f>IF(LEN(X313)=0,"",X313)</f>
        <v/>
      </c>
    </row>
    <row r="314" spans="1:61" x14ac:dyDescent="0.25">
      <c r="B314" s="77" t="s">
        <v>4175</v>
      </c>
      <c r="C314" s="21" t="s">
        <v>258</v>
      </c>
      <c r="D314" s="21" t="s">
        <v>844</v>
      </c>
      <c r="E314" s="21"/>
      <c r="F314" s="21"/>
      <c r="G314" s="21"/>
      <c r="H314" s="758"/>
      <c r="I314" s="64"/>
      <c r="K314" s="85" t="s">
        <v>844</v>
      </c>
      <c r="L314" s="1170" t="s">
        <v>3075</v>
      </c>
      <c r="M314" s="66"/>
      <c r="N314" s="4"/>
      <c r="O314" s="141"/>
      <c r="P314" s="94" t="b">
        <v>1</v>
      </c>
      <c r="Q314" s="94" t="b">
        <v>1</v>
      </c>
      <c r="R314" s="157" t="b">
        <v>0</v>
      </c>
      <c r="S314" s="157" t="b">
        <v>1</v>
      </c>
      <c r="T314" s="157" t="b">
        <v>0</v>
      </c>
      <c r="U314"/>
      <c r="V314"/>
      <c r="W314" s="25"/>
      <c r="X314" s="158"/>
      <c r="Z314"/>
      <c r="AB314"/>
      <c r="AC314" s="157" t="b">
        <f>OR(AD314:AE314)</f>
        <v>0</v>
      </c>
      <c r="AD314" s="157" t="b">
        <v>0</v>
      </c>
      <c r="AE314" s="157" t="b">
        <f>AND(W314=TRUE,LEN(X314)=0)</f>
        <v>0</v>
      </c>
      <c r="AF314"/>
      <c r="AG314"/>
      <c r="AH314"/>
      <c r="AI314"/>
      <c r="AJ314"/>
      <c r="AK314"/>
      <c r="AL314"/>
      <c r="AM314"/>
      <c r="AN314"/>
      <c r="AO314"/>
      <c r="AP314" s="1130" t="str">
        <f t="shared" si="15"/>
        <v>dch605_4_2_i</v>
      </c>
      <c r="AQ314" s="254" t="str">
        <f t="shared" si="16"/>
        <v/>
      </c>
      <c r="AR314" s="1130" t="str">
        <f>SUBSTITUTE(SUBSTITUTE(SUBSTITUTE("dnt"&amp;$B314&amp;$C314&amp;$D314&amp;$E314,".","_"),"(","_"),")","")</f>
        <v>dnt605_4_2_i</v>
      </c>
      <c r="AS314" s="254" t="str">
        <f>IF(LEN(X314)=0,"",X314)</f>
        <v/>
      </c>
      <c r="AZ314" s="157"/>
      <c r="BA314" s="157"/>
      <c r="BB314" s="157"/>
      <c r="BC314" s="157"/>
      <c r="BD314" s="157"/>
      <c r="BE314" s="157"/>
      <c r="BF314" s="157"/>
      <c r="BG314" s="157"/>
      <c r="BH314" s="157"/>
      <c r="BI314" s="157"/>
    </row>
    <row r="315" spans="1:61" s="157" customFormat="1" x14ac:dyDescent="0.25">
      <c r="A315" s="18"/>
      <c r="B315" s="77" t="s">
        <v>4175</v>
      </c>
      <c r="C315" s="21"/>
      <c r="D315" s="21"/>
      <c r="E315" s="21"/>
      <c r="F315" s="21"/>
      <c r="G315" s="21"/>
      <c r="H315" s="758"/>
      <c r="I315" s="64"/>
      <c r="K315" s="85"/>
      <c r="L315" s="1179" t="s">
        <v>3076</v>
      </c>
      <c r="M315" s="66"/>
      <c r="N315" s="4"/>
      <c r="O315" s="141"/>
      <c r="P315" s="352"/>
      <c r="Q315" s="352"/>
      <c r="W315"/>
      <c r="X315"/>
      <c r="Y315" s="780"/>
      <c r="AA315" s="783"/>
      <c r="AX315" s="63"/>
      <c r="AY315" s="63"/>
      <c r="AZ315" s="63"/>
      <c r="BA315" s="63"/>
      <c r="BB315" s="63"/>
      <c r="BC315" s="63"/>
      <c r="BD315" s="63"/>
      <c r="BE315" s="63"/>
      <c r="BF315" s="63"/>
      <c r="BG315" s="63"/>
      <c r="BH315" s="63"/>
      <c r="BI315" s="63"/>
    </row>
    <row r="316" spans="1:61" ht="18.75" x14ac:dyDescent="0.3">
      <c r="B316" s="77">
        <v>606</v>
      </c>
      <c r="C316" s="21"/>
      <c r="D316" s="21"/>
      <c r="E316" s="21"/>
      <c r="F316" s="21"/>
      <c r="G316" s="21"/>
      <c r="H316" s="758"/>
      <c r="I316" s="14" t="s">
        <v>666</v>
      </c>
      <c r="J316" s="23"/>
      <c r="K316" s="82"/>
      <c r="L316" s="229"/>
      <c r="M316" s="390"/>
      <c r="N316" s="508"/>
      <c r="O316" s="498"/>
      <c r="P316" s="23"/>
      <c r="Q316" s="23"/>
      <c r="R316" s="23"/>
      <c r="S316" s="23"/>
      <c r="T316" s="23"/>
      <c r="U316" s="23"/>
      <c r="V316" s="23"/>
      <c r="W316" s="23"/>
      <c r="X316" s="23"/>
      <c r="Z316"/>
      <c r="AB316"/>
      <c r="AC316"/>
      <c r="AD316"/>
      <c r="AE316"/>
      <c r="AF316"/>
      <c r="AG316"/>
      <c r="AH316"/>
      <c r="AI316"/>
      <c r="AJ316"/>
      <c r="AK316"/>
      <c r="AL316"/>
      <c r="AM316"/>
      <c r="AN316"/>
      <c r="AO316"/>
      <c r="AP316"/>
      <c r="AQ316"/>
      <c r="AR316"/>
      <c r="AS316"/>
    </row>
    <row r="317" spans="1:61" ht="15.75" thickBot="1" x14ac:dyDescent="0.3">
      <c r="B317" s="77" t="s">
        <v>3981</v>
      </c>
      <c r="C317" s="21"/>
      <c r="D317" s="21"/>
      <c r="E317" s="21"/>
      <c r="F317" s="21"/>
      <c r="G317" s="21"/>
      <c r="H317" s="758"/>
      <c r="I317" s="78" t="s">
        <v>3981</v>
      </c>
      <c r="J317" s="4"/>
      <c r="K317" s="83"/>
      <c r="L317" s="1180" t="s">
        <v>667</v>
      </c>
      <c r="M317" s="428"/>
      <c r="N317" s="4"/>
      <c r="O317" s="141"/>
      <c r="P317" s="352"/>
      <c r="Q317" s="352"/>
      <c r="R317"/>
      <c r="S317"/>
      <c r="T317"/>
      <c r="U317"/>
      <c r="V317"/>
      <c r="W317"/>
      <c r="X317"/>
      <c r="Z317"/>
      <c r="AB317"/>
      <c r="AC317"/>
      <c r="AD317"/>
      <c r="AE317"/>
      <c r="AF317"/>
      <c r="AG317"/>
      <c r="AH317"/>
      <c r="AI317"/>
      <c r="AJ317"/>
      <c r="AK317"/>
      <c r="AL317"/>
      <c r="AM317"/>
      <c r="AN317"/>
      <c r="AO317"/>
      <c r="AP317"/>
      <c r="AQ317"/>
      <c r="AR317"/>
      <c r="AS317"/>
    </row>
    <row r="318" spans="1:61" ht="15.75" thickTop="1" x14ac:dyDescent="0.25">
      <c r="B318" s="77">
        <v>606.1</v>
      </c>
      <c r="C318" s="21"/>
      <c r="D318" s="21"/>
      <c r="E318" s="21"/>
      <c r="F318" s="21"/>
      <c r="G318" s="21"/>
      <c r="H318" s="758"/>
      <c r="I318" s="180">
        <v>606.1</v>
      </c>
      <c r="J318" s="181"/>
      <c r="K318" s="182"/>
      <c r="L318" s="1189" t="s">
        <v>668</v>
      </c>
      <c r="M318" s="423"/>
      <c r="N318" s="181"/>
      <c r="O318" s="1773">
        <f ca="1">MIN(8,IF(R331&gt;1,6+R331+R329-2,IF(R331+R329&gt;1,3+MIN(2,R329+R331-2),0)))</f>
        <v>0</v>
      </c>
      <c r="P318" s="105"/>
      <c r="Q318" s="105"/>
      <c r="R318" s="105"/>
      <c r="S318" s="105"/>
      <c r="T318" s="105"/>
      <c r="U318" s="105"/>
      <c r="V318" s="105"/>
      <c r="W318" s="105"/>
      <c r="X318" s="105"/>
      <c r="Z318"/>
      <c r="AB318"/>
      <c r="AC318"/>
      <c r="AD318"/>
      <c r="AE318"/>
      <c r="AF318"/>
      <c r="AG318"/>
      <c r="AH318"/>
      <c r="AI318"/>
      <c r="AJ318"/>
      <c r="AK318"/>
      <c r="AL318"/>
      <c r="AM318"/>
      <c r="AN318" s="254" t="str">
        <f>SUBSTITUTE(SUBSTITUTE(SUBSTITUTE("dpc"&amp;$B318&amp;$C318&amp;$D318&amp;$E318,".","_"),"(","_"),")","")</f>
        <v>dpc606_1</v>
      </c>
      <c r="AO318" s="254">
        <f ca="1">O318</f>
        <v>0</v>
      </c>
      <c r="AP318"/>
      <c r="AQ318"/>
      <c r="AR318"/>
      <c r="AS318"/>
    </row>
    <row r="319" spans="1:61" x14ac:dyDescent="0.25">
      <c r="B319" s="77">
        <v>606.1</v>
      </c>
      <c r="C319" s="21"/>
      <c r="D319" s="21" t="s">
        <v>121</v>
      </c>
      <c r="E319" s="21"/>
      <c r="F319" s="21"/>
      <c r="G319" s="21"/>
      <c r="H319" s="758"/>
      <c r="I319" s="130"/>
      <c r="J319" s="129"/>
      <c r="K319" s="91" t="s">
        <v>121</v>
      </c>
      <c r="L319" s="1162" t="s">
        <v>669</v>
      </c>
      <c r="M319" s="424"/>
      <c r="N319" s="129"/>
      <c r="O319" s="1774"/>
      <c r="P319" s="94" t="b">
        <v>1</v>
      </c>
      <c r="Q319" s="94" t="b">
        <v>1</v>
      </c>
      <c r="R319" s="94" t="b">
        <v>0</v>
      </c>
      <c r="S319" s="94" t="b">
        <f>OR(NOT(ISBLANK(W350)),NOT(ISBLANK(W351)),NOT(ISBLANK(W353)),NOT(ISBLANK(W354)))</f>
        <v>0</v>
      </c>
      <c r="T319" s="94" t="b">
        <f>AND(NOT(S319),LEN(W319)&gt;0)</f>
        <v>0</v>
      </c>
      <c r="U319" s="94" t="str">
        <f t="shared" ref="U319:U326" si="17">SUBSTITUTE(SUBSTITUTE(SUBSTITUTE("dd"&amp;B319&amp;C319&amp;D319&amp;E319&amp;F319,".","_"),"(","_"),")","")</f>
        <v>dd606_1_a</v>
      </c>
      <c r="V319" s="94"/>
      <c r="W319" s="109"/>
      <c r="X319" s="1770"/>
      <c r="Z319"/>
      <c r="AB319"/>
      <c r="AC319" s="157" t="b">
        <f>OR(AD319:AE319)</f>
        <v>0</v>
      </c>
      <c r="AD319" s="157" t="b">
        <f>T319</f>
        <v>0</v>
      </c>
      <c r="AE319"/>
      <c r="AF319"/>
      <c r="AG319"/>
      <c r="AH319"/>
      <c r="AI319"/>
      <c r="AJ319"/>
      <c r="AK319"/>
      <c r="AL319"/>
      <c r="AM319"/>
      <c r="AN319"/>
      <c r="AO319"/>
      <c r="AP319" s="1130" t="str">
        <f t="shared" ref="AP319:AP326" si="18">SUBSTITUTE(SUBSTITUTE(SUBSTITUTE("dch"&amp;$B319&amp;$C319&amp;$D319&amp;$E319,".","_"),"(","_"),")","")</f>
        <v>dch606_1_a</v>
      </c>
      <c r="AQ319" s="254" t="str">
        <f t="shared" ref="AQ319:AQ326" si="19">IF(LEN(W319)=0,"",W319)</f>
        <v/>
      </c>
      <c r="AR319" s="1130" t="str">
        <f>SUBSTITUTE(SUBSTITUTE(SUBSTITUTE("dnt"&amp;$B319&amp;$C319&amp;$D319&amp;$E319,".","_"),"(","_"),")","")</f>
        <v>dnt606_1_a</v>
      </c>
      <c r="AS319" s="254" t="str">
        <f>IF(LEN(X319)=0,"",X319)</f>
        <v/>
      </c>
    </row>
    <row r="320" spans="1:61" x14ac:dyDescent="0.25">
      <c r="B320" s="77">
        <v>606.1</v>
      </c>
      <c r="C320" s="21"/>
      <c r="D320" s="21" t="s">
        <v>122</v>
      </c>
      <c r="E320" s="21"/>
      <c r="F320" s="21"/>
      <c r="G320" s="21"/>
      <c r="H320" s="758"/>
      <c r="I320" s="130"/>
      <c r="J320" s="129"/>
      <c r="K320" s="91" t="s">
        <v>122</v>
      </c>
      <c r="L320" s="1162" t="s">
        <v>670</v>
      </c>
      <c r="M320" s="424"/>
      <c r="N320" s="129"/>
      <c r="O320" s="1774"/>
      <c r="P320" s="94" t="b">
        <v>1</v>
      </c>
      <c r="Q320" s="94" t="b">
        <v>1</v>
      </c>
      <c r="R320" s="94" t="b">
        <v>0</v>
      </c>
      <c r="S320" s="94" t="b">
        <v>1</v>
      </c>
      <c r="T320" s="94" t="b">
        <v>0</v>
      </c>
      <c r="U320" s="94" t="str">
        <f t="shared" si="17"/>
        <v>dd606_1_b</v>
      </c>
      <c r="V320" s="94"/>
      <c r="W320" s="109"/>
      <c r="X320" s="1770"/>
      <c r="Z320"/>
      <c r="AB320"/>
      <c r="AC320"/>
      <c r="AD320"/>
      <c r="AE320"/>
      <c r="AF320"/>
      <c r="AG320"/>
      <c r="AH320"/>
      <c r="AI320"/>
      <c r="AJ320"/>
      <c r="AK320"/>
      <c r="AL320"/>
      <c r="AM320"/>
      <c r="AN320"/>
      <c r="AO320"/>
      <c r="AP320" s="1130" t="str">
        <f t="shared" si="18"/>
        <v>dch606_1_b</v>
      </c>
      <c r="AQ320" s="254" t="str">
        <f t="shared" si="19"/>
        <v/>
      </c>
      <c r="AR320"/>
      <c r="AS320"/>
    </row>
    <row r="321" spans="1:61" x14ac:dyDescent="0.25">
      <c r="B321" s="77">
        <v>606.1</v>
      </c>
      <c r="C321" s="21"/>
      <c r="D321" s="26" t="s">
        <v>123</v>
      </c>
      <c r="E321" s="21"/>
      <c r="F321" s="26"/>
      <c r="G321" s="26"/>
      <c r="H321" s="759"/>
      <c r="I321" s="130"/>
      <c r="J321" s="129"/>
      <c r="K321" s="110" t="s">
        <v>123</v>
      </c>
      <c r="L321" s="1162" t="s">
        <v>671</v>
      </c>
      <c r="M321" s="424"/>
      <c r="N321" s="129"/>
      <c r="O321" s="1774"/>
      <c r="P321" s="94" t="b">
        <v>1</v>
      </c>
      <c r="Q321" s="94" t="b">
        <v>1</v>
      </c>
      <c r="R321" s="94" t="b">
        <v>0</v>
      </c>
      <c r="S321" s="94" t="b">
        <v>1</v>
      </c>
      <c r="T321" s="94" t="b">
        <v>0</v>
      </c>
      <c r="U321" s="94" t="str">
        <f t="shared" si="17"/>
        <v>dd606_1_c</v>
      </c>
      <c r="V321" s="94"/>
      <c r="W321" s="109"/>
      <c r="X321" s="1770"/>
      <c r="Z321"/>
      <c r="AB321"/>
      <c r="AC321"/>
      <c r="AD321"/>
      <c r="AE321"/>
      <c r="AF321"/>
      <c r="AG321"/>
      <c r="AH321"/>
      <c r="AI321"/>
      <c r="AJ321"/>
      <c r="AK321"/>
      <c r="AL321"/>
      <c r="AM321"/>
      <c r="AN321"/>
      <c r="AO321"/>
      <c r="AP321" s="1130" t="str">
        <f t="shared" si="18"/>
        <v>dch606_1_c</v>
      </c>
      <c r="AQ321" s="254" t="str">
        <f t="shared" si="19"/>
        <v/>
      </c>
      <c r="AR321"/>
      <c r="AS321"/>
    </row>
    <row r="322" spans="1:61" x14ac:dyDescent="0.25">
      <c r="B322" s="77">
        <v>606.1</v>
      </c>
      <c r="C322" s="21"/>
      <c r="D322" s="21" t="s">
        <v>401</v>
      </c>
      <c r="E322" s="21"/>
      <c r="F322" s="21"/>
      <c r="G322" s="21"/>
      <c r="H322" s="758"/>
      <c r="I322" s="130"/>
      <c r="J322" s="129"/>
      <c r="K322" s="187" t="s">
        <v>401</v>
      </c>
      <c r="L322" s="1162" t="s">
        <v>672</v>
      </c>
      <c r="M322" s="424"/>
      <c r="N322" s="129"/>
      <c r="O322" s="1774"/>
      <c r="P322" s="94" t="b">
        <v>1</v>
      </c>
      <c r="Q322" s="94" t="b">
        <v>1</v>
      </c>
      <c r="R322" s="94" t="b">
        <v>0</v>
      </c>
      <c r="S322" s="94" t="b">
        <v>1</v>
      </c>
      <c r="T322" s="94" t="b">
        <v>0</v>
      </c>
      <c r="U322" s="94" t="str">
        <f t="shared" si="17"/>
        <v>dd606_1_d</v>
      </c>
      <c r="V322" s="94"/>
      <c r="W322" s="109"/>
      <c r="X322" s="1770"/>
      <c r="Z322"/>
      <c r="AB322"/>
      <c r="AC322"/>
      <c r="AD322"/>
      <c r="AE322"/>
      <c r="AF322"/>
      <c r="AG322"/>
      <c r="AH322"/>
      <c r="AI322"/>
      <c r="AJ322"/>
      <c r="AK322"/>
      <c r="AL322"/>
      <c r="AM322"/>
      <c r="AN322"/>
      <c r="AO322"/>
      <c r="AP322" s="1130" t="str">
        <f t="shared" si="18"/>
        <v>dch606_1_d</v>
      </c>
      <c r="AQ322" s="254" t="str">
        <f t="shared" si="19"/>
        <v/>
      </c>
      <c r="AR322"/>
      <c r="AS322"/>
    </row>
    <row r="323" spans="1:61" x14ac:dyDescent="0.25">
      <c r="B323" s="77">
        <v>606.1</v>
      </c>
      <c r="C323" s="21"/>
      <c r="D323" s="21" t="s">
        <v>539</v>
      </c>
      <c r="E323" s="21"/>
      <c r="F323" s="21"/>
      <c r="G323" s="21"/>
      <c r="H323" s="758"/>
      <c r="I323" s="130"/>
      <c r="J323" s="129"/>
      <c r="K323" s="91" t="s">
        <v>539</v>
      </c>
      <c r="L323" s="1162" t="s">
        <v>673</v>
      </c>
      <c r="M323" s="424"/>
      <c r="N323" s="129"/>
      <c r="O323" s="1774"/>
      <c r="P323" s="94" t="b">
        <v>1</v>
      </c>
      <c r="Q323" s="94" t="b">
        <v>1</v>
      </c>
      <c r="R323" s="94" t="b">
        <v>0</v>
      </c>
      <c r="S323" s="94" t="b">
        <v>1</v>
      </c>
      <c r="T323" s="94" t="b">
        <v>0</v>
      </c>
      <c r="U323" s="94" t="str">
        <f t="shared" si="17"/>
        <v>dd606_1_e</v>
      </c>
      <c r="V323" s="94"/>
      <c r="W323" s="109"/>
      <c r="X323" s="1770"/>
      <c r="Z323"/>
      <c r="AB323"/>
      <c r="AC323"/>
      <c r="AD323"/>
      <c r="AE323"/>
      <c r="AF323"/>
      <c r="AG323"/>
      <c r="AH323"/>
      <c r="AI323"/>
      <c r="AJ323"/>
      <c r="AK323"/>
      <c r="AL323"/>
      <c r="AM323"/>
      <c r="AN323"/>
      <c r="AO323"/>
      <c r="AP323" s="1130" t="str">
        <f t="shared" si="18"/>
        <v>dch606_1_e</v>
      </c>
      <c r="AQ323" s="254" t="str">
        <f t="shared" si="19"/>
        <v/>
      </c>
      <c r="AR323"/>
      <c r="AS323"/>
    </row>
    <row r="324" spans="1:61" x14ac:dyDescent="0.25">
      <c r="B324" s="77">
        <v>606.1</v>
      </c>
      <c r="C324" s="21"/>
      <c r="D324" s="21" t="s">
        <v>604</v>
      </c>
      <c r="E324" s="21"/>
      <c r="F324" s="21"/>
      <c r="G324" s="21"/>
      <c r="H324" s="758"/>
      <c r="I324" s="130"/>
      <c r="J324" s="129"/>
      <c r="K324" s="91" t="s">
        <v>604</v>
      </c>
      <c r="L324" s="1162" t="s">
        <v>674</v>
      </c>
      <c r="M324" s="424"/>
      <c r="N324" s="129"/>
      <c r="O324" s="1774"/>
      <c r="P324" s="94" t="b">
        <v>1</v>
      </c>
      <c r="Q324" s="94" t="b">
        <v>1</v>
      </c>
      <c r="R324" s="94" t="b">
        <v>0</v>
      </c>
      <c r="S324" s="94" t="b">
        <v>1</v>
      </c>
      <c r="T324" s="94" t="b">
        <v>0</v>
      </c>
      <c r="U324" s="94" t="str">
        <f t="shared" si="17"/>
        <v>dd606_1_f</v>
      </c>
      <c r="V324" s="94"/>
      <c r="W324" s="109"/>
      <c r="X324" s="1770"/>
      <c r="Z324"/>
      <c r="AB324"/>
      <c r="AC324"/>
      <c r="AD324"/>
      <c r="AE324"/>
      <c r="AF324"/>
      <c r="AG324"/>
      <c r="AH324"/>
      <c r="AI324"/>
      <c r="AJ324"/>
      <c r="AK324"/>
      <c r="AL324"/>
      <c r="AM324"/>
      <c r="AN324"/>
      <c r="AO324"/>
      <c r="AP324" s="1130" t="str">
        <f t="shared" si="18"/>
        <v>dch606_1_f</v>
      </c>
      <c r="AQ324" s="254" t="str">
        <f t="shared" si="19"/>
        <v/>
      </c>
      <c r="AR324"/>
      <c r="AS324"/>
    </row>
    <row r="325" spans="1:61" x14ac:dyDescent="0.25">
      <c r="B325" s="77">
        <v>606.1</v>
      </c>
      <c r="C325" s="21"/>
      <c r="D325" s="26" t="s">
        <v>606</v>
      </c>
      <c r="E325" s="21"/>
      <c r="F325" s="26"/>
      <c r="G325" s="26"/>
      <c r="H325" s="759"/>
      <c r="I325" s="130"/>
      <c r="J325" s="129"/>
      <c r="K325" s="110" t="s">
        <v>606</v>
      </c>
      <c r="L325" s="1162" t="s">
        <v>675</v>
      </c>
      <c r="M325" s="424"/>
      <c r="N325" s="129"/>
      <c r="O325" s="1774"/>
      <c r="P325" s="94" t="b">
        <v>1</v>
      </c>
      <c r="Q325" s="94" t="b">
        <v>1</v>
      </c>
      <c r="R325" s="94" t="b">
        <v>0</v>
      </c>
      <c r="S325" s="94" t="b">
        <v>1</v>
      </c>
      <c r="T325" s="94" t="b">
        <v>0</v>
      </c>
      <c r="U325" s="94" t="str">
        <f t="shared" si="17"/>
        <v>dd606_1_g</v>
      </c>
      <c r="V325" s="94"/>
      <c r="W325" s="109"/>
      <c r="X325" s="1770"/>
      <c r="Z325"/>
      <c r="AB325"/>
      <c r="AC325"/>
      <c r="AD325"/>
      <c r="AE325"/>
      <c r="AF325"/>
      <c r="AG325"/>
      <c r="AH325"/>
      <c r="AI325"/>
      <c r="AJ325"/>
      <c r="AK325"/>
      <c r="AL325"/>
      <c r="AM325"/>
      <c r="AN325"/>
      <c r="AO325"/>
      <c r="AP325" s="1130" t="str">
        <f t="shared" si="18"/>
        <v>dch606_1_g</v>
      </c>
      <c r="AQ325" s="254" t="str">
        <f t="shared" si="19"/>
        <v/>
      </c>
      <c r="AR325"/>
      <c r="AS325"/>
      <c r="AX325" s="134"/>
      <c r="AY325" s="134"/>
    </row>
    <row r="326" spans="1:61" x14ac:dyDescent="0.25">
      <c r="B326" s="77">
        <v>606.1</v>
      </c>
      <c r="C326" s="21"/>
      <c r="D326" s="21" t="s">
        <v>608</v>
      </c>
      <c r="E326" s="21"/>
      <c r="F326" s="21"/>
      <c r="G326" s="21"/>
      <c r="H326" s="758"/>
      <c r="I326" s="130"/>
      <c r="J326" s="129"/>
      <c r="K326" s="187" t="s">
        <v>608</v>
      </c>
      <c r="L326" s="1754" t="s">
        <v>676</v>
      </c>
      <c r="M326" s="424"/>
      <c r="N326" s="129"/>
      <c r="O326" s="1774"/>
      <c r="P326" s="94" t="b">
        <v>1</v>
      </c>
      <c r="Q326" s="94" t="b">
        <v>1</v>
      </c>
      <c r="R326" s="94" t="b">
        <v>0</v>
      </c>
      <c r="S326" s="94" t="b">
        <v>1</v>
      </c>
      <c r="T326" s="94" t="b">
        <v>0</v>
      </c>
      <c r="U326" s="94" t="str">
        <f t="shared" si="17"/>
        <v>dd606_1_h</v>
      </c>
      <c r="V326" s="94"/>
      <c r="W326" s="109"/>
      <c r="X326" s="1770"/>
      <c r="Z326"/>
      <c r="AB326"/>
      <c r="AC326" s="134" t="b">
        <f>OR(AD326:AE326)</f>
        <v>0</v>
      </c>
      <c r="AD326" s="134" t="b">
        <v>0</v>
      </c>
      <c r="AE326" s="134" t="b">
        <f>AND(NOT(ISBLANK(W326)),LEN(X319)=0)</f>
        <v>0</v>
      </c>
      <c r="AF326"/>
      <c r="AG326"/>
      <c r="AH326"/>
      <c r="AI326"/>
      <c r="AJ326"/>
      <c r="AK326"/>
      <c r="AL326"/>
      <c r="AM326"/>
      <c r="AN326"/>
      <c r="AO326"/>
      <c r="AP326" s="1130" t="str">
        <f t="shared" si="18"/>
        <v>dch606_1_h</v>
      </c>
      <c r="AQ326" s="254" t="str">
        <f t="shared" si="19"/>
        <v/>
      </c>
      <c r="AR326"/>
      <c r="AS326"/>
    </row>
    <row r="327" spans="1:61" x14ac:dyDescent="0.25">
      <c r="B327" s="77">
        <v>606.1</v>
      </c>
      <c r="C327" s="21"/>
      <c r="D327" s="21" t="s">
        <v>608</v>
      </c>
      <c r="E327" s="21"/>
      <c r="F327" s="21"/>
      <c r="G327" s="21"/>
      <c r="H327" s="758"/>
      <c r="I327" s="130"/>
      <c r="J327" s="129"/>
      <c r="K327" s="187"/>
      <c r="L327" s="1754"/>
      <c r="M327" s="424"/>
      <c r="N327" s="129"/>
      <c r="O327" s="1774"/>
      <c r="P327" s="94"/>
      <c r="Q327" s="94"/>
      <c r="R327" s="94"/>
      <c r="S327" s="94"/>
      <c r="T327" s="94"/>
      <c r="U327" s="94"/>
      <c r="V327" s="94"/>
      <c r="W327" s="94"/>
      <c r="X327" s="1770"/>
      <c r="Z327"/>
      <c r="AB327"/>
      <c r="AC327"/>
      <c r="AD327"/>
      <c r="AE327"/>
      <c r="AF327"/>
      <c r="AG327"/>
      <c r="AH327"/>
      <c r="AI327"/>
      <c r="AJ327"/>
      <c r="AK327"/>
      <c r="AL327"/>
      <c r="AM327"/>
      <c r="AN327"/>
      <c r="AO327"/>
      <c r="AP327"/>
      <c r="AQ327"/>
      <c r="AR327"/>
      <c r="AS327"/>
      <c r="AZ327" s="134"/>
      <c r="BA327" s="134"/>
      <c r="BB327" s="134"/>
      <c r="BC327" s="134"/>
      <c r="BD327" s="134"/>
      <c r="BE327" s="134"/>
      <c r="BF327" s="134"/>
      <c r="BG327" s="134"/>
      <c r="BH327" s="134"/>
      <c r="BI327" s="134"/>
    </row>
    <row r="328" spans="1:61" s="134" customFormat="1" x14ac:dyDescent="0.25">
      <c r="A328" s="18"/>
      <c r="B328" s="77">
        <v>606.1</v>
      </c>
      <c r="C328" s="21"/>
      <c r="D328" s="21"/>
      <c r="E328" s="21"/>
      <c r="F328" s="21"/>
      <c r="G328" s="21"/>
      <c r="H328" s="758"/>
      <c r="I328" s="130"/>
      <c r="J328" s="129"/>
      <c r="K328" s="187"/>
      <c r="L328" s="1176" t="s">
        <v>1106</v>
      </c>
      <c r="M328" s="424"/>
      <c r="N328" s="129"/>
      <c r="O328" s="239"/>
      <c r="P328" s="94"/>
      <c r="Q328" s="94"/>
      <c r="R328" s="94"/>
      <c r="S328" s="94"/>
      <c r="T328" s="94"/>
      <c r="U328" s="94"/>
      <c r="V328" s="94"/>
      <c r="W328" s="94"/>
      <c r="X328" s="1770"/>
      <c r="Y328" s="780"/>
      <c r="AA328" s="783"/>
      <c r="AX328" s="63"/>
      <c r="AY328" s="63"/>
      <c r="AZ328" s="63"/>
      <c r="BA328" s="63"/>
      <c r="BB328" s="63"/>
      <c r="BC328" s="63"/>
      <c r="BD328" s="63"/>
      <c r="BE328" s="63"/>
      <c r="BF328" s="63"/>
      <c r="BG328" s="63"/>
      <c r="BH328" s="63"/>
      <c r="BI328" s="63"/>
    </row>
    <row r="329" spans="1:61" x14ac:dyDescent="0.25">
      <c r="B329" s="77">
        <v>606.1</v>
      </c>
      <c r="C329" s="21" t="s">
        <v>256</v>
      </c>
      <c r="D329" s="21"/>
      <c r="E329" s="21"/>
      <c r="F329" s="21"/>
      <c r="G329" s="21"/>
      <c r="H329" s="758"/>
      <c r="I329" s="130"/>
      <c r="J329" s="183" t="s">
        <v>256</v>
      </c>
      <c r="K329" s="95"/>
      <c r="L329" s="1754" t="s">
        <v>677</v>
      </c>
      <c r="M329" s="1758">
        <v>3</v>
      </c>
      <c r="N329" s="129"/>
      <c r="O329" s="239"/>
      <c r="P329" s="94"/>
      <c r="Q329" s="94"/>
      <c r="R329" s="197">
        <f ca="1">COUNTIF(W320:W326,INDEX(INDIRECT(U319),1))+IF(AND(S319,W319=INDEX(INDIRECT(U319),1)),1,0)</f>
        <v>0</v>
      </c>
      <c r="S329" s="94"/>
      <c r="T329" s="94"/>
      <c r="U329" s="94"/>
      <c r="V329" s="94"/>
      <c r="W329" s="94"/>
      <c r="X329" s="1770"/>
      <c r="Z329"/>
      <c r="AB329"/>
      <c r="AC329"/>
      <c r="AD329"/>
      <c r="AE329"/>
      <c r="AF329"/>
      <c r="AG329"/>
      <c r="AH329"/>
      <c r="AI329"/>
      <c r="AJ329"/>
      <c r="AK329"/>
      <c r="AL329" s="254" t="str">
        <f>SUBSTITUTE(SUBSTITUTE(SUBSTITUTE("dpa"&amp;$B329&amp;$C329&amp;$D329&amp;$E329,".","_"),"(","_"),")","")</f>
        <v>dpa606_1_1</v>
      </c>
      <c r="AM329" s="254">
        <f>M329</f>
        <v>3</v>
      </c>
      <c r="AN329"/>
      <c r="AO329"/>
      <c r="AP329"/>
      <c r="AQ329"/>
      <c r="AR329"/>
      <c r="AS329"/>
    </row>
    <row r="330" spans="1:61" x14ac:dyDescent="0.25">
      <c r="B330" s="77">
        <v>606.1</v>
      </c>
      <c r="C330" s="21" t="s">
        <v>256</v>
      </c>
      <c r="D330" s="21"/>
      <c r="E330" s="21"/>
      <c r="F330" s="21"/>
      <c r="G330" s="21"/>
      <c r="H330" s="758"/>
      <c r="I330" s="130"/>
      <c r="J330" s="210"/>
      <c r="K330" s="175"/>
      <c r="L330" s="1755"/>
      <c r="M330" s="1759"/>
      <c r="N330" s="129"/>
      <c r="O330" s="239"/>
      <c r="P330" s="94"/>
      <c r="Q330" s="94"/>
      <c r="R330" s="94"/>
      <c r="S330" s="94"/>
      <c r="T330" s="94"/>
      <c r="U330" s="94"/>
      <c r="V330" s="94"/>
      <c r="W330" s="94"/>
      <c r="X330" s="1770"/>
      <c r="Z330"/>
      <c r="AB330"/>
      <c r="AC330"/>
      <c r="AD330"/>
      <c r="AE330"/>
      <c r="AF330"/>
      <c r="AG330"/>
      <c r="AH330"/>
      <c r="AI330"/>
      <c r="AJ330"/>
      <c r="AK330"/>
      <c r="AL330"/>
      <c r="AM330"/>
      <c r="AN330"/>
      <c r="AO330"/>
      <c r="AP330"/>
      <c r="AQ330"/>
      <c r="AR330"/>
      <c r="AS330"/>
    </row>
    <row r="331" spans="1:61" x14ac:dyDescent="0.25">
      <c r="B331" s="77">
        <v>606.1</v>
      </c>
      <c r="C331" s="21" t="s">
        <v>258</v>
      </c>
      <c r="D331" s="21"/>
      <c r="E331" s="21"/>
      <c r="F331" s="21"/>
      <c r="G331" s="21"/>
      <c r="H331" s="758"/>
      <c r="I331" s="130"/>
      <c r="J331" s="209" t="s">
        <v>258</v>
      </c>
      <c r="K331" s="194"/>
      <c r="L331" s="1778" t="s">
        <v>678</v>
      </c>
      <c r="M331" s="1762">
        <v>6</v>
      </c>
      <c r="N331" s="129"/>
      <c r="O331" s="239"/>
      <c r="P331" s="94"/>
      <c r="Q331" s="94"/>
      <c r="R331" s="197">
        <f ca="1">COUNTIF(W320:W326,INDEX(INDIRECT(U319),2))+IF(AND(S319,W319=INDEX(INDIRECT(U319),2)),1,0)</f>
        <v>0</v>
      </c>
      <c r="S331" s="94"/>
      <c r="T331" s="94"/>
      <c r="U331" s="94"/>
      <c r="V331" s="94"/>
      <c r="W331" s="94"/>
      <c r="X331" s="1770"/>
      <c r="Z331"/>
      <c r="AB331"/>
      <c r="AC331"/>
      <c r="AD331"/>
      <c r="AE331"/>
      <c r="AF331"/>
      <c r="AG331"/>
      <c r="AH331"/>
      <c r="AI331"/>
      <c r="AJ331"/>
      <c r="AK331"/>
      <c r="AL331" s="254" t="str">
        <f>SUBSTITUTE(SUBSTITUTE(SUBSTITUTE("dpa"&amp;$B331&amp;$C331&amp;$D331&amp;$E331,".","_"),"(","_"),")","")</f>
        <v>dpa606_1_2</v>
      </c>
      <c r="AM331" s="254">
        <f>M331</f>
        <v>6</v>
      </c>
      <c r="AN331"/>
      <c r="AO331"/>
      <c r="AP331"/>
      <c r="AQ331"/>
      <c r="AR331"/>
      <c r="AS331"/>
    </row>
    <row r="332" spans="1:61" x14ac:dyDescent="0.25">
      <c r="B332" s="77">
        <v>606.1</v>
      </c>
      <c r="C332" s="21" t="s">
        <v>258</v>
      </c>
      <c r="D332" s="21"/>
      <c r="E332" s="21"/>
      <c r="F332" s="21"/>
      <c r="G332" s="21"/>
      <c r="H332" s="758"/>
      <c r="I332" s="130"/>
      <c r="J332" s="210"/>
      <c r="K332" s="175"/>
      <c r="L332" s="1755"/>
      <c r="M332" s="1759"/>
      <c r="N332" s="129"/>
      <c r="O332" s="239"/>
      <c r="P332" s="94"/>
      <c r="Q332" s="94"/>
      <c r="R332" s="94"/>
      <c r="S332" s="94"/>
      <c r="T332" s="94"/>
      <c r="U332" s="94"/>
      <c r="V332" s="94"/>
      <c r="W332" s="94"/>
      <c r="X332" s="1770"/>
      <c r="Z332"/>
      <c r="AB332"/>
      <c r="AC332"/>
      <c r="AD332"/>
      <c r="AE332"/>
      <c r="AF332"/>
      <c r="AG332"/>
      <c r="AH332"/>
      <c r="AI332"/>
      <c r="AJ332"/>
      <c r="AK332"/>
      <c r="AL332"/>
      <c r="AM332"/>
      <c r="AN332"/>
      <c r="AO332"/>
      <c r="AP332"/>
      <c r="AQ332"/>
      <c r="AR332"/>
      <c r="AS332"/>
    </row>
    <row r="333" spans="1:61" x14ac:dyDescent="0.25">
      <c r="B333" s="77">
        <v>606.1</v>
      </c>
      <c r="C333" s="21" t="s">
        <v>260</v>
      </c>
      <c r="D333" s="21"/>
      <c r="E333" s="21"/>
      <c r="F333" s="21"/>
      <c r="G333" s="21"/>
      <c r="H333" s="758"/>
      <c r="I333" s="130"/>
      <c r="J333" s="183" t="s">
        <v>260</v>
      </c>
      <c r="K333" s="95"/>
      <c r="L333" s="1754" t="s">
        <v>679</v>
      </c>
      <c r="M333" s="1788" t="s">
        <v>3079</v>
      </c>
      <c r="N333" s="129"/>
      <c r="O333" s="239"/>
      <c r="P333" s="94"/>
      <c r="Q333" s="94"/>
      <c r="R333" s="94"/>
      <c r="S333" s="94"/>
      <c r="T333" s="94"/>
      <c r="U333" s="94"/>
      <c r="V333" s="94"/>
      <c r="W333" s="94"/>
      <c r="X333" s="1770"/>
      <c r="Z333"/>
      <c r="AB333"/>
      <c r="AC333"/>
      <c r="AD333"/>
      <c r="AE333"/>
      <c r="AF333"/>
      <c r="AG333"/>
      <c r="AH333"/>
      <c r="AI333"/>
      <c r="AJ333"/>
      <c r="AK333"/>
      <c r="AL333" s="254" t="str">
        <f>SUBSTITUTE(SUBSTITUTE(SUBSTITUTE("dpa"&amp;$B333&amp;$C333&amp;$D333&amp;$E333,".","_"),"(","_"),")","")</f>
        <v>dpa606_1_3</v>
      </c>
      <c r="AM333" s="254" t="str">
        <f>M333</f>
        <v>1
2 Max</v>
      </c>
      <c r="AN333"/>
      <c r="AO333"/>
      <c r="AP333"/>
      <c r="AQ333"/>
      <c r="AR333"/>
      <c r="AS333"/>
    </row>
    <row r="334" spans="1:61" ht="15.75" thickBot="1" x14ac:dyDescent="0.3">
      <c r="B334" s="77">
        <v>606.1</v>
      </c>
      <c r="C334" s="21" t="s">
        <v>260</v>
      </c>
      <c r="D334" s="21"/>
      <c r="E334" s="21"/>
      <c r="F334" s="21"/>
      <c r="G334" s="21"/>
      <c r="H334" s="758"/>
      <c r="I334" s="130"/>
      <c r="J334" s="129"/>
      <c r="K334" s="95"/>
      <c r="L334" s="1754"/>
      <c r="M334" s="1788"/>
      <c r="N334" s="129"/>
      <c r="O334" s="239"/>
      <c r="P334" s="94"/>
      <c r="Q334" s="94"/>
      <c r="R334" s="94"/>
      <c r="S334" s="94"/>
      <c r="T334" s="94"/>
      <c r="U334" s="94"/>
      <c r="V334" s="94"/>
      <c r="W334" s="94"/>
      <c r="X334" s="1798"/>
      <c r="Z334"/>
      <c r="AB334"/>
      <c r="AC334"/>
      <c r="AD334"/>
      <c r="AE334"/>
      <c r="AF334"/>
      <c r="AG334"/>
      <c r="AH334"/>
      <c r="AI334"/>
      <c r="AJ334"/>
      <c r="AK334"/>
      <c r="AL334"/>
      <c r="AM334"/>
      <c r="AN334"/>
      <c r="AO334"/>
      <c r="AP334"/>
      <c r="AQ334"/>
      <c r="AR334"/>
      <c r="AS334"/>
    </row>
    <row r="335" spans="1:61" ht="15.75" thickTop="1" x14ac:dyDescent="0.25">
      <c r="B335" s="77">
        <v>606.20000000000005</v>
      </c>
      <c r="C335" s="21"/>
      <c r="D335" s="21"/>
      <c r="E335" s="21"/>
      <c r="F335" s="21"/>
      <c r="G335" s="21"/>
      <c r="H335" s="758"/>
      <c r="I335" s="180">
        <v>606.20000000000005</v>
      </c>
      <c r="J335" s="181"/>
      <c r="K335" s="182"/>
      <c r="L335" s="1781" t="s">
        <v>4182</v>
      </c>
      <c r="M335" s="423"/>
      <c r="N335" s="181"/>
      <c r="O335" s="500"/>
      <c r="P335" s="105"/>
      <c r="Q335" s="105"/>
      <c r="R335" s="105"/>
      <c r="S335" s="105"/>
      <c r="T335" s="105"/>
      <c r="U335" s="105"/>
      <c r="V335" s="105"/>
      <c r="W335" s="105"/>
      <c r="X335" s="105"/>
      <c r="Z335"/>
      <c r="AB335"/>
      <c r="AC335"/>
      <c r="AD335"/>
      <c r="AE335"/>
      <c r="AF335"/>
      <c r="AG335"/>
      <c r="AH335"/>
      <c r="AI335"/>
      <c r="AJ335"/>
      <c r="AK335"/>
      <c r="AL335"/>
      <c r="AM335"/>
      <c r="AN335"/>
      <c r="AO335"/>
      <c r="AP335"/>
      <c r="AQ335"/>
      <c r="AR335"/>
      <c r="AS335"/>
    </row>
    <row r="336" spans="1:61" x14ac:dyDescent="0.25">
      <c r="B336" s="77">
        <v>606.20000000000005</v>
      </c>
      <c r="C336" s="21"/>
      <c r="D336" s="21"/>
      <c r="E336" s="21"/>
      <c r="F336" s="21"/>
      <c r="G336" s="21"/>
      <c r="H336" s="758"/>
      <c r="I336" s="130"/>
      <c r="J336" s="129"/>
      <c r="K336" s="95"/>
      <c r="L336" s="1782"/>
      <c r="M336" s="424"/>
      <c r="N336" s="129"/>
      <c r="O336" s="239"/>
      <c r="P336" s="94"/>
      <c r="Q336" s="94"/>
      <c r="R336" s="94"/>
      <c r="S336" s="94"/>
      <c r="T336" s="94"/>
      <c r="U336" s="94"/>
      <c r="V336" s="94"/>
      <c r="W336" s="94"/>
      <c r="X336" s="94"/>
      <c r="Z336"/>
      <c r="AB336"/>
      <c r="AC336"/>
      <c r="AD336"/>
      <c r="AE336"/>
      <c r="AF336"/>
      <c r="AG336"/>
      <c r="AH336"/>
      <c r="AI336"/>
      <c r="AJ336"/>
      <c r="AK336"/>
      <c r="AL336"/>
      <c r="AM336"/>
      <c r="AN336"/>
      <c r="AO336"/>
      <c r="AP336"/>
      <c r="AQ336"/>
      <c r="AR336"/>
      <c r="AS336"/>
    </row>
    <row r="337" spans="1:61" x14ac:dyDescent="0.25">
      <c r="B337" s="77">
        <v>606.20000000000005</v>
      </c>
      <c r="C337" s="21"/>
      <c r="D337" s="21" t="s">
        <v>121</v>
      </c>
      <c r="E337" s="21"/>
      <c r="F337" s="21"/>
      <c r="G337" s="21"/>
      <c r="H337" s="758"/>
      <c r="I337" s="64"/>
      <c r="J337" s="4"/>
      <c r="K337" s="87" t="s">
        <v>121</v>
      </c>
      <c r="L337" s="1170" t="s">
        <v>680</v>
      </c>
      <c r="M337" s="428"/>
      <c r="N337" s="4"/>
      <c r="O337" s="141"/>
      <c r="P337" s="352"/>
      <c r="Q337" s="352"/>
      <c r="R337"/>
      <c r="S337"/>
      <c r="T337"/>
      <c r="U337"/>
      <c r="V337"/>
      <c r="W337"/>
      <c r="X337"/>
      <c r="Z337"/>
      <c r="AB337"/>
      <c r="AC337"/>
      <c r="AD337"/>
      <c r="AE337"/>
      <c r="AF337"/>
      <c r="AG337"/>
      <c r="AH337"/>
      <c r="AI337"/>
      <c r="AJ337"/>
      <c r="AK337"/>
      <c r="AL337"/>
      <c r="AM337"/>
      <c r="AN337"/>
      <c r="AO337"/>
      <c r="AP337"/>
      <c r="AQ337"/>
      <c r="AR337"/>
      <c r="AS337"/>
    </row>
    <row r="338" spans="1:61" x14ac:dyDescent="0.25">
      <c r="B338" s="77">
        <v>606.20000000000005</v>
      </c>
      <c r="C338" s="21"/>
      <c r="D338" s="21" t="s">
        <v>122</v>
      </c>
      <c r="E338" s="21"/>
      <c r="F338" s="21"/>
      <c r="G338" s="21"/>
      <c r="H338" s="758"/>
      <c r="I338" s="64"/>
      <c r="J338" s="4"/>
      <c r="K338" s="87" t="s">
        <v>122</v>
      </c>
      <c r="L338" s="1779" t="s">
        <v>681</v>
      </c>
      <c r="M338" s="428"/>
      <c r="N338" s="4"/>
      <c r="O338" s="141"/>
      <c r="P338" s="352"/>
      <c r="Q338" s="352"/>
      <c r="R338"/>
      <c r="S338"/>
      <c r="T338"/>
      <c r="U338"/>
      <c r="V338"/>
      <c r="W338"/>
      <c r="X338"/>
      <c r="Z338"/>
      <c r="AB338"/>
      <c r="AC338"/>
      <c r="AD338"/>
      <c r="AE338"/>
      <c r="AF338"/>
      <c r="AG338"/>
      <c r="AH338"/>
      <c r="AI338"/>
      <c r="AJ338"/>
      <c r="AK338"/>
      <c r="AL338"/>
      <c r="AM338"/>
      <c r="AN338"/>
      <c r="AO338"/>
      <c r="AP338"/>
      <c r="AQ338"/>
      <c r="AR338"/>
      <c r="AS338"/>
    </row>
    <row r="339" spans="1:61" x14ac:dyDescent="0.25">
      <c r="B339" s="77">
        <v>606.20000000000005</v>
      </c>
      <c r="C339" s="21"/>
      <c r="D339" s="21" t="s">
        <v>122</v>
      </c>
      <c r="E339" s="21"/>
      <c r="F339" s="21"/>
      <c r="G339" s="21"/>
      <c r="H339" s="758"/>
      <c r="I339" s="64"/>
      <c r="J339" s="4"/>
      <c r="K339" s="87"/>
      <c r="L339" s="1779"/>
      <c r="M339" s="428"/>
      <c r="N339" s="4"/>
      <c r="O339" s="141"/>
      <c r="P339" s="352"/>
      <c r="Q339" s="352"/>
      <c r="R339"/>
      <c r="S339"/>
      <c r="T339"/>
      <c r="U339"/>
      <c r="V339"/>
      <c r="W339"/>
      <c r="X339"/>
      <c r="Z339"/>
      <c r="AB339"/>
      <c r="AC339"/>
      <c r="AD339"/>
      <c r="AE339"/>
      <c r="AF339"/>
      <c r="AG339"/>
      <c r="AH339"/>
      <c r="AI339"/>
      <c r="AJ339"/>
      <c r="AK339"/>
      <c r="AL339"/>
      <c r="AM339"/>
      <c r="AN339"/>
      <c r="AO339"/>
      <c r="AP339"/>
      <c r="AQ339"/>
      <c r="AR339"/>
      <c r="AS339"/>
    </row>
    <row r="340" spans="1:61" x14ac:dyDescent="0.25">
      <c r="B340" s="77">
        <v>606.20000000000005</v>
      </c>
      <c r="C340" s="21"/>
      <c r="D340" s="21" t="s">
        <v>123</v>
      </c>
      <c r="E340" s="21"/>
      <c r="F340" s="21"/>
      <c r="G340" s="21"/>
      <c r="H340" s="758"/>
      <c r="I340" s="64"/>
      <c r="J340" s="4"/>
      <c r="K340" s="87" t="s">
        <v>123</v>
      </c>
      <c r="L340" s="233" t="s">
        <v>682</v>
      </c>
      <c r="M340" s="428"/>
      <c r="N340" s="4"/>
      <c r="O340" s="141"/>
      <c r="P340" s="352"/>
      <c r="Q340" s="352"/>
      <c r="R340"/>
      <c r="S340"/>
      <c r="T340"/>
      <c r="U340"/>
      <c r="V340"/>
      <c r="W340"/>
      <c r="X340"/>
      <c r="Z340"/>
      <c r="AB340"/>
      <c r="AC340"/>
      <c r="AD340"/>
      <c r="AE340"/>
      <c r="AF340"/>
      <c r="AG340"/>
      <c r="AH340"/>
      <c r="AI340"/>
      <c r="AJ340"/>
      <c r="AK340"/>
      <c r="AL340"/>
      <c r="AM340"/>
      <c r="AN340"/>
      <c r="AO340"/>
      <c r="AP340"/>
      <c r="AQ340"/>
      <c r="AR340"/>
      <c r="AS340"/>
    </row>
    <row r="341" spans="1:61" x14ac:dyDescent="0.25">
      <c r="B341" s="77">
        <v>606.20000000000005</v>
      </c>
      <c r="C341" s="21"/>
      <c r="D341" s="26" t="s">
        <v>401</v>
      </c>
      <c r="E341" s="21"/>
      <c r="F341" s="26"/>
      <c r="G341" s="26"/>
      <c r="H341" s="759"/>
      <c r="I341" s="64"/>
      <c r="J341" s="4"/>
      <c r="K341" s="89" t="s">
        <v>401</v>
      </c>
      <c r="L341" s="233" t="s">
        <v>683</v>
      </c>
      <c r="M341" s="428"/>
      <c r="N341" s="4"/>
      <c r="O341" s="141"/>
      <c r="P341" s="352"/>
      <c r="Q341" s="352"/>
      <c r="R341"/>
      <c r="S341"/>
      <c r="T341"/>
      <c r="U341"/>
      <c r="V341"/>
      <c r="W341"/>
      <c r="X341"/>
      <c r="Z341"/>
      <c r="AB341"/>
      <c r="AC341"/>
      <c r="AD341"/>
      <c r="AE341"/>
      <c r="AF341"/>
      <c r="AG341"/>
      <c r="AH341"/>
      <c r="AI341"/>
      <c r="AJ341"/>
      <c r="AK341"/>
      <c r="AL341"/>
      <c r="AM341"/>
      <c r="AN341"/>
      <c r="AO341"/>
      <c r="AP341"/>
      <c r="AQ341"/>
      <c r="AR341"/>
      <c r="AS341"/>
      <c r="AX341" s="157"/>
      <c r="AY341" s="157"/>
    </row>
    <row r="342" spans="1:61" x14ac:dyDescent="0.25">
      <c r="B342" s="77">
        <v>606.20000000000005</v>
      </c>
      <c r="C342" s="21"/>
      <c r="D342" s="21" t="s">
        <v>539</v>
      </c>
      <c r="E342" s="21"/>
      <c r="F342" s="21"/>
      <c r="G342" s="21"/>
      <c r="H342" s="758"/>
      <c r="I342" s="64"/>
      <c r="J342" s="4"/>
      <c r="K342" s="85" t="s">
        <v>539</v>
      </c>
      <c r="L342" s="233" t="s">
        <v>684</v>
      </c>
      <c r="M342" s="428"/>
      <c r="N342" s="4"/>
      <c r="O342" s="141"/>
      <c r="P342" s="352"/>
      <c r="Q342" s="352"/>
      <c r="R342"/>
      <c r="S342"/>
      <c r="T342"/>
      <c r="U342"/>
      <c r="V342"/>
      <c r="W342"/>
      <c r="X342"/>
      <c r="Z342"/>
      <c r="AB342"/>
      <c r="AC342"/>
      <c r="AD342"/>
      <c r="AE342"/>
      <c r="AF342"/>
      <c r="AG342"/>
      <c r="AH342"/>
      <c r="AI342"/>
      <c r="AJ342"/>
      <c r="AK342"/>
      <c r="AL342"/>
      <c r="AM342"/>
      <c r="AN342"/>
      <c r="AO342"/>
      <c r="AP342"/>
      <c r="AQ342"/>
      <c r="AR342"/>
      <c r="AS342"/>
    </row>
    <row r="343" spans="1:61" x14ac:dyDescent="0.25">
      <c r="B343" s="77">
        <v>606.20000000000005</v>
      </c>
      <c r="C343" s="21"/>
      <c r="D343" s="21" t="s">
        <v>604</v>
      </c>
      <c r="E343" s="21"/>
      <c r="F343" s="21"/>
      <c r="G343" s="21"/>
      <c r="H343" s="758"/>
      <c r="I343" s="64"/>
      <c r="J343" s="4"/>
      <c r="K343" s="87" t="s">
        <v>604</v>
      </c>
      <c r="L343" s="1170" t="s">
        <v>685</v>
      </c>
      <c r="M343" s="428"/>
      <c r="N343" s="4"/>
      <c r="O343" s="141"/>
      <c r="P343" s="352"/>
      <c r="Q343" s="352"/>
      <c r="R343"/>
      <c r="S343"/>
      <c r="T343"/>
      <c r="U343"/>
      <c r="V343"/>
      <c r="W343"/>
      <c r="X343"/>
      <c r="Z343"/>
      <c r="AB343"/>
      <c r="AC343"/>
      <c r="AD343"/>
      <c r="AE343"/>
      <c r="AF343"/>
      <c r="AG343"/>
      <c r="AH343"/>
      <c r="AI343"/>
      <c r="AJ343"/>
      <c r="AK343"/>
      <c r="AL343"/>
      <c r="AM343"/>
      <c r="AN343"/>
      <c r="AO343"/>
      <c r="AP343"/>
      <c r="AQ343"/>
      <c r="AR343"/>
      <c r="AS343"/>
      <c r="AZ343" s="157"/>
      <c r="BA343" s="157"/>
      <c r="BB343" s="157"/>
      <c r="BC343" s="157"/>
      <c r="BD343" s="157"/>
      <c r="BE343" s="157"/>
      <c r="BF343" s="157"/>
      <c r="BG343" s="157"/>
      <c r="BH343" s="157"/>
      <c r="BI343" s="157"/>
    </row>
    <row r="344" spans="1:61" s="157" customFormat="1" x14ac:dyDescent="0.25">
      <c r="A344" s="18"/>
      <c r="B344" s="77">
        <v>606.20000000000005</v>
      </c>
      <c r="C344" s="21"/>
      <c r="D344" s="21" t="s">
        <v>606</v>
      </c>
      <c r="E344" s="21"/>
      <c r="F344" s="21"/>
      <c r="G344" s="21"/>
      <c r="H344" s="758"/>
      <c r="I344" s="64"/>
      <c r="J344" s="4"/>
      <c r="K344" s="87" t="s">
        <v>606</v>
      </c>
      <c r="L344" s="1170" t="s">
        <v>686</v>
      </c>
      <c r="M344" s="428"/>
      <c r="N344" s="4"/>
      <c r="O344" s="141"/>
      <c r="P344" s="352"/>
      <c r="Q344" s="352"/>
      <c r="Y344" s="780"/>
      <c r="AA344" s="783"/>
      <c r="AX344" s="63"/>
      <c r="AY344" s="63"/>
      <c r="AZ344" s="63"/>
      <c r="BA344" s="63"/>
      <c r="BB344" s="63"/>
      <c r="BC344" s="63"/>
      <c r="BD344" s="63"/>
      <c r="BE344" s="63"/>
      <c r="BF344" s="63"/>
      <c r="BG344" s="63"/>
      <c r="BH344" s="63"/>
      <c r="BI344" s="63"/>
    </row>
    <row r="345" spans="1:61" s="791" customFormat="1" x14ac:dyDescent="0.25">
      <c r="A345" s="18"/>
      <c r="B345" s="77">
        <v>606.20000000000005</v>
      </c>
      <c r="C345" s="21"/>
      <c r="D345" s="21" t="s">
        <v>608</v>
      </c>
      <c r="E345" s="21"/>
      <c r="F345" s="21"/>
      <c r="G345" s="21"/>
      <c r="H345" s="758"/>
      <c r="I345" s="64"/>
      <c r="J345" s="4"/>
      <c r="K345" s="87" t="s">
        <v>608</v>
      </c>
      <c r="L345" s="1840" t="s">
        <v>4178</v>
      </c>
      <c r="M345" s="797"/>
      <c r="N345" s="4"/>
      <c r="O345" s="799"/>
      <c r="AZ345" s="63"/>
      <c r="BA345" s="63"/>
      <c r="BB345" s="63"/>
      <c r="BC345" s="63"/>
      <c r="BD345" s="63"/>
      <c r="BE345" s="63"/>
      <c r="BF345" s="63"/>
      <c r="BG345" s="63"/>
      <c r="BH345" s="63"/>
      <c r="BI345" s="63"/>
    </row>
    <row r="346" spans="1:61" s="791" customFormat="1" x14ac:dyDescent="0.25">
      <c r="A346" s="18"/>
      <c r="B346" s="77">
        <v>606.20000000000005</v>
      </c>
      <c r="C346" s="21"/>
      <c r="D346" s="21" t="s">
        <v>608</v>
      </c>
      <c r="E346" s="21"/>
      <c r="F346" s="21"/>
      <c r="G346" s="21"/>
      <c r="H346" s="758"/>
      <c r="I346" s="64"/>
      <c r="J346" s="4"/>
      <c r="K346" s="87"/>
      <c r="L346" s="1840"/>
      <c r="M346" s="797"/>
      <c r="N346" s="4"/>
      <c r="O346" s="799"/>
    </row>
    <row r="347" spans="1:61" s="791" customFormat="1" x14ac:dyDescent="0.25">
      <c r="A347" s="18"/>
      <c r="B347" s="77">
        <v>606.20000000000005</v>
      </c>
      <c r="C347" s="21"/>
      <c r="D347" s="21" t="s">
        <v>608</v>
      </c>
      <c r="E347" s="21"/>
      <c r="F347" s="21"/>
      <c r="G347" s="21"/>
      <c r="H347" s="758"/>
      <c r="I347" s="64"/>
      <c r="J347" s="4"/>
      <c r="K347" s="87"/>
      <c r="L347" s="1840"/>
      <c r="M347" s="797"/>
      <c r="N347" s="4"/>
      <c r="O347" s="799"/>
    </row>
    <row r="348" spans="1:61" s="791" customFormat="1" x14ac:dyDescent="0.25">
      <c r="A348" s="18"/>
      <c r="B348" s="77">
        <v>606.20000000000005</v>
      </c>
      <c r="C348" s="21"/>
      <c r="D348" s="21" t="s">
        <v>608</v>
      </c>
      <c r="E348" s="21"/>
      <c r="F348" s="21"/>
      <c r="G348" s="21"/>
      <c r="H348" s="758"/>
      <c r="I348" s="64"/>
      <c r="J348" s="4"/>
      <c r="K348" s="87"/>
      <c r="L348" s="1840"/>
      <c r="M348" s="797"/>
      <c r="N348" s="4"/>
      <c r="O348" s="799"/>
    </row>
    <row r="349" spans="1:61" s="791" customFormat="1" x14ac:dyDescent="0.25">
      <c r="A349" s="18"/>
      <c r="B349" s="77">
        <v>606.20000000000005</v>
      </c>
      <c r="C349" s="21"/>
      <c r="D349" s="21" t="s">
        <v>608</v>
      </c>
      <c r="E349" s="21"/>
      <c r="F349" s="21"/>
      <c r="G349" s="21"/>
      <c r="H349" s="758"/>
      <c r="I349" s="64"/>
      <c r="J349" s="4"/>
      <c r="K349" s="87"/>
      <c r="L349" s="1840"/>
      <c r="M349" s="797"/>
      <c r="N349" s="4"/>
      <c r="O349" s="799"/>
      <c r="W349" t="s">
        <v>3080</v>
      </c>
    </row>
    <row r="350" spans="1:61" x14ac:dyDescent="0.25">
      <c r="B350" s="77">
        <v>606.20000000000005</v>
      </c>
      <c r="C350" s="21" t="s">
        <v>256</v>
      </c>
      <c r="D350" s="77" t="s">
        <v>2971</v>
      </c>
      <c r="E350" s="21"/>
      <c r="F350" s="77"/>
      <c r="G350" s="78"/>
      <c r="H350" s="763"/>
      <c r="I350" s="64"/>
      <c r="J350" s="183" t="s">
        <v>256</v>
      </c>
      <c r="K350" s="95"/>
      <c r="L350" s="1754" t="s">
        <v>4180</v>
      </c>
      <c r="M350" s="1758">
        <v>3</v>
      </c>
      <c r="N350" s="129"/>
      <c r="O350" s="1774">
        <f>IF(AND(S350,NOT(ISBLANK(W350)),NOT(ISBLANK(W351))),M350,0)</f>
        <v>0</v>
      </c>
      <c r="P350" s="352" t="b">
        <v>1</v>
      </c>
      <c r="Q350" s="352" t="b">
        <v>1</v>
      </c>
      <c r="R350" s="126" t="b">
        <v>0</v>
      </c>
      <c r="S350" s="126" t="b">
        <v>1</v>
      </c>
      <c r="T350" s="126" t="b">
        <v>0</v>
      </c>
      <c r="U350" s="94" t="str">
        <f t="shared" ref="U350:U356" si="20">SUBSTITUTE(SUBSTITUTE(SUBSTITUTE("dd"&amp;B350&amp;C350&amp;D350&amp;E350&amp;F350,".","_"),"(","_"),")","")</f>
        <v>dd606_2_1a</v>
      </c>
      <c r="V350"/>
      <c r="W350" s="12"/>
      <c r="X350" s="158"/>
      <c r="Z350"/>
      <c r="AB350"/>
      <c r="AC350" s="157" t="b">
        <f>OR(AD350:AE350)</f>
        <v>0</v>
      </c>
      <c r="AD350" s="157" t="b">
        <v>0</v>
      </c>
      <c r="AE350" s="157" t="b">
        <f>AND(NOT(ISBLANK(W350)),LEN(X350)=0)</f>
        <v>0</v>
      </c>
      <c r="AF350"/>
      <c r="AG350"/>
      <c r="AH350"/>
      <c r="AI350"/>
      <c r="AJ350"/>
      <c r="AK350"/>
      <c r="AL350" s="254" t="str">
        <f>SUBSTITUTE(SUBSTITUTE(SUBSTITUTE("dpa"&amp;$B350&amp;$C350&amp;$D350&amp;$E350,".","_"),"(","_"),")","")</f>
        <v>dpa606_2_1a</v>
      </c>
      <c r="AM350" s="254">
        <f>M350</f>
        <v>3</v>
      </c>
      <c r="AN350" s="254" t="str">
        <f>SUBSTITUTE(SUBSTITUTE(SUBSTITUTE("dpc"&amp;$B350&amp;$C350&amp;$D350&amp;$E350,".","_"),"(","_"),")","")</f>
        <v>dpc606_2_1a</v>
      </c>
      <c r="AO350" s="254">
        <f>O350</f>
        <v>0</v>
      </c>
      <c r="AP350" s="1130" t="str">
        <f>SUBSTITUTE(SUBSTITUTE(SUBSTITUTE("dch"&amp;$B350&amp;$C350&amp;$D350&amp;$E350,".","_"),"(","_"),")","")</f>
        <v>dch606_2_1a</v>
      </c>
      <c r="AQ350" s="254" t="str">
        <f>IF(LEN(W350)=0,"",W350)</f>
        <v/>
      </c>
      <c r="AR350" s="1130" t="str">
        <f>SUBSTITUTE(SUBSTITUTE(SUBSTITUTE("dnt"&amp;$B350&amp;$C350&amp;$D350&amp;$E350,".","_"),"(","_"),")","")</f>
        <v>dnt606_2_1a</v>
      </c>
      <c r="AS350" s="254" t="str">
        <f>IF(LEN(X350)=0,"",X350)</f>
        <v/>
      </c>
      <c r="AX350" s="157"/>
      <c r="AY350" s="157"/>
      <c r="AZ350" s="791"/>
      <c r="BA350" s="791"/>
      <c r="BB350" s="791"/>
      <c r="BC350" s="791"/>
      <c r="BD350" s="791"/>
      <c r="BE350" s="791"/>
      <c r="BF350" s="791"/>
      <c r="BG350" s="791"/>
      <c r="BH350" s="791"/>
      <c r="BI350" s="791"/>
    </row>
    <row r="351" spans="1:61" x14ac:dyDescent="0.25">
      <c r="B351" s="77">
        <v>606.20000000000005</v>
      </c>
      <c r="C351" s="21" t="s">
        <v>256</v>
      </c>
      <c r="D351" s="77" t="s">
        <v>2972</v>
      </c>
      <c r="E351" s="21"/>
      <c r="F351" s="77"/>
      <c r="G351" s="78"/>
      <c r="H351" s="763"/>
      <c r="I351" s="64"/>
      <c r="J351" s="183"/>
      <c r="K351" s="95"/>
      <c r="L351" s="1754"/>
      <c r="M351" s="1758"/>
      <c r="N351" s="129"/>
      <c r="O351" s="1774"/>
      <c r="P351" s="352" t="b">
        <v>1</v>
      </c>
      <c r="Q351" s="352" t="b">
        <v>1</v>
      </c>
      <c r="R351" s="157" t="b">
        <v>0</v>
      </c>
      <c r="S351" s="157" t="b">
        <v>1</v>
      </c>
      <c r="T351" s="157" t="b">
        <v>0</v>
      </c>
      <c r="U351" s="94" t="str">
        <f t="shared" si="20"/>
        <v>dd606_2_1b</v>
      </c>
      <c r="V351"/>
      <c r="W351" s="12"/>
      <c r="X351" s="1757"/>
      <c r="Z351"/>
      <c r="AB351"/>
      <c r="AC351" s="157" t="b">
        <f>OR(AD351:AE351)</f>
        <v>0</v>
      </c>
      <c r="AD351" s="157" t="b">
        <v>0</v>
      </c>
      <c r="AE351" s="157" t="b">
        <f>AND(NOT(ISBLANK(W351)),LEN(X351)=0)</f>
        <v>0</v>
      </c>
      <c r="AF351"/>
      <c r="AG351"/>
      <c r="AH351"/>
      <c r="AI351"/>
      <c r="AJ351"/>
      <c r="AK351"/>
      <c r="AL351"/>
      <c r="AM351"/>
      <c r="AN351"/>
      <c r="AO351"/>
      <c r="AP351" s="1130" t="str">
        <f>SUBSTITUTE(SUBSTITUTE(SUBSTITUTE("dch"&amp;$B351&amp;$C351&amp;$D351&amp;$E351,".","_"),"(","_"),")","")</f>
        <v>dch606_2_1b</v>
      </c>
      <c r="AQ351" s="254" t="str">
        <f>IF(LEN(W351)=0,"",W351)</f>
        <v/>
      </c>
      <c r="AR351" s="1130" t="str">
        <f>SUBSTITUTE(SUBSTITUTE(SUBSTITUTE("dnt"&amp;$B351&amp;$C351&amp;$D351&amp;$E351,".","_"),"(","_"),")","")</f>
        <v>dnt606_2_1b</v>
      </c>
      <c r="AS351" s="254" t="str">
        <f>IF(LEN(X351)=0,"",X351)</f>
        <v/>
      </c>
      <c r="AZ351" s="157"/>
      <c r="BA351" s="157"/>
      <c r="BB351" s="157"/>
      <c r="BC351" s="157"/>
      <c r="BD351" s="157"/>
      <c r="BE351" s="157"/>
      <c r="BF351" s="157"/>
      <c r="BG351" s="157"/>
      <c r="BH351" s="157"/>
      <c r="BI351" s="157"/>
    </row>
    <row r="352" spans="1:61" s="157" customFormat="1" x14ac:dyDescent="0.25">
      <c r="A352" s="18"/>
      <c r="B352" s="77">
        <v>606.20000000000005</v>
      </c>
      <c r="C352" s="21" t="s">
        <v>256</v>
      </c>
      <c r="D352" s="77"/>
      <c r="E352" s="21"/>
      <c r="F352" s="77"/>
      <c r="G352" s="78"/>
      <c r="H352" s="763"/>
      <c r="I352" s="64"/>
      <c r="J352" s="206"/>
      <c r="K352" s="175"/>
      <c r="L352" s="1177" t="s">
        <v>3081</v>
      </c>
      <c r="M352" s="1759"/>
      <c r="N352" s="210"/>
      <c r="O352" s="1764"/>
      <c r="P352" s="352"/>
      <c r="Q352" s="352"/>
      <c r="U352" s="94"/>
      <c r="W352"/>
      <c r="X352" s="1757"/>
      <c r="Y352" s="780"/>
      <c r="AA352" s="783"/>
      <c r="AZ352" s="63"/>
      <c r="BA352" s="63"/>
      <c r="BB352" s="63"/>
      <c r="BC352" s="63"/>
      <c r="BD352" s="63"/>
      <c r="BE352" s="63"/>
      <c r="BF352" s="63"/>
      <c r="BG352" s="63"/>
      <c r="BH352" s="63"/>
      <c r="BI352" s="63"/>
    </row>
    <row r="353" spans="1:61" x14ac:dyDescent="0.25">
      <c r="B353" s="77">
        <v>606.20000000000005</v>
      </c>
      <c r="C353" s="21" t="s">
        <v>258</v>
      </c>
      <c r="D353" s="77" t="s">
        <v>2971</v>
      </c>
      <c r="E353" s="21"/>
      <c r="F353" s="77"/>
      <c r="G353" s="78"/>
      <c r="H353" s="763"/>
      <c r="I353" s="64"/>
      <c r="J353" s="27" t="s">
        <v>258</v>
      </c>
      <c r="K353" s="83"/>
      <c r="L353" s="1779" t="s">
        <v>4181</v>
      </c>
      <c r="M353" s="1767">
        <v>4</v>
      </c>
      <c r="N353" s="4"/>
      <c r="O353" s="1780">
        <f>IF(AND(S353,NOT(ISBLANK(W353)),NOT(ISBLANK(W354))),M353,0)</f>
        <v>0</v>
      </c>
      <c r="P353" s="352" t="b">
        <v>1</v>
      </c>
      <c r="Q353" s="352" t="b">
        <v>1</v>
      </c>
      <c r="R353" s="126" t="b">
        <v>0</v>
      </c>
      <c r="S353" s="126" t="b">
        <v>1</v>
      </c>
      <c r="T353" s="126" t="b">
        <v>0</v>
      </c>
      <c r="U353" s="94" t="str">
        <f t="shared" si="20"/>
        <v>dd606_2_2a</v>
      </c>
      <c r="V353"/>
      <c r="W353" s="12"/>
      <c r="X353" s="158"/>
      <c r="Z353"/>
      <c r="AB353"/>
      <c r="AC353" s="157" t="b">
        <f>OR(AD353:AE353)</f>
        <v>0</v>
      </c>
      <c r="AD353" s="157" t="b">
        <v>0</v>
      </c>
      <c r="AE353" s="157" t="b">
        <f>AND(NOT(ISBLANK(W353)),LEN(X353)=0)</f>
        <v>0</v>
      </c>
      <c r="AF353"/>
      <c r="AG353"/>
      <c r="AH353"/>
      <c r="AI353"/>
      <c r="AJ353"/>
      <c r="AK353"/>
      <c r="AL353" s="254" t="str">
        <f>SUBSTITUTE(SUBSTITUTE(SUBSTITUTE("dpa"&amp;$B353&amp;$C353&amp;$D353&amp;$E353,".","_"),"(","_"),")","")</f>
        <v>dpa606_2_2a</v>
      </c>
      <c r="AM353" s="254">
        <f>M353</f>
        <v>4</v>
      </c>
      <c r="AN353" s="254" t="str">
        <f>SUBSTITUTE(SUBSTITUTE(SUBSTITUTE("dpc"&amp;$B353&amp;$C353&amp;$D353&amp;$E353,".","_"),"(","_"),")","")</f>
        <v>dpc606_2_2a</v>
      </c>
      <c r="AO353" s="254">
        <f>O353</f>
        <v>0</v>
      </c>
      <c r="AP353" s="1130" t="str">
        <f>SUBSTITUTE(SUBSTITUTE(SUBSTITUTE("dch"&amp;$B353&amp;$C353&amp;$D353&amp;$E353,".","_"),"(","_"),")","")</f>
        <v>dch606_2_2a</v>
      </c>
      <c r="AQ353" s="254" t="str">
        <f>IF(LEN(W353)=0,"",W353)</f>
        <v/>
      </c>
      <c r="AR353" s="1130" t="str">
        <f>SUBSTITUTE(SUBSTITUTE(SUBSTITUTE("dnt"&amp;$B353&amp;$C353&amp;$D353&amp;$E353,".","_"),"(","_"),")","")</f>
        <v>dnt606_2_2a</v>
      </c>
      <c r="AS353" s="254" t="str">
        <f>IF(LEN(X353)=0,"",X353)</f>
        <v/>
      </c>
    </row>
    <row r="354" spans="1:61" x14ac:dyDescent="0.25">
      <c r="B354" s="77">
        <v>606.20000000000005</v>
      </c>
      <c r="C354" s="21" t="s">
        <v>258</v>
      </c>
      <c r="D354" s="77" t="s">
        <v>2972</v>
      </c>
      <c r="E354" s="21"/>
      <c r="F354" s="77"/>
      <c r="G354" s="78"/>
      <c r="H354" s="763"/>
      <c r="I354" s="64"/>
      <c r="J354" s="4"/>
      <c r="K354" s="83"/>
      <c r="L354" s="1779"/>
      <c r="M354" s="1767"/>
      <c r="N354" s="4"/>
      <c r="O354" s="1780"/>
      <c r="P354" s="352" t="b">
        <v>1</v>
      </c>
      <c r="Q354" s="352" t="b">
        <v>1</v>
      </c>
      <c r="R354" s="157" t="b">
        <v>0</v>
      </c>
      <c r="S354" s="157" t="b">
        <v>1</v>
      </c>
      <c r="T354" s="157" t="b">
        <v>0</v>
      </c>
      <c r="U354" s="94" t="str">
        <f t="shared" si="20"/>
        <v>dd606_2_2b</v>
      </c>
      <c r="V354"/>
      <c r="W354" s="12"/>
      <c r="X354" s="1757"/>
      <c r="Z354"/>
      <c r="AB354"/>
      <c r="AC354" s="157" t="b">
        <f>OR(AD354:AE354)</f>
        <v>0</v>
      </c>
      <c r="AD354" s="157" t="b">
        <v>0</v>
      </c>
      <c r="AE354" s="157" t="b">
        <f>AND(NOT(ISBLANK(W354)),LEN(X354)=0)</f>
        <v>0</v>
      </c>
      <c r="AF354"/>
      <c r="AG354"/>
      <c r="AH354"/>
      <c r="AI354"/>
      <c r="AJ354"/>
      <c r="AK354"/>
      <c r="AL354"/>
      <c r="AM354"/>
      <c r="AN354"/>
      <c r="AO354"/>
      <c r="AP354" s="1130" t="str">
        <f>SUBSTITUTE(SUBSTITUTE(SUBSTITUTE("dch"&amp;$B354&amp;$C354&amp;$D354&amp;$E354,".","_"),"(","_"),")","")</f>
        <v>dch606_2_2b</v>
      </c>
      <c r="AQ354" s="254" t="str">
        <f>IF(LEN(W354)=0,"",W354)</f>
        <v/>
      </c>
      <c r="AR354" s="1130" t="str">
        <f>SUBSTITUTE(SUBSTITUTE(SUBSTITUTE("dnt"&amp;$B354&amp;$C354&amp;$D354&amp;$E354,".","_"),"(","_"),")","")</f>
        <v>dnt606_2_2b</v>
      </c>
      <c r="AS354" s="254" t="str">
        <f>IF(LEN(X354)=0,"",X354)</f>
        <v/>
      </c>
      <c r="AZ354" s="157"/>
      <c r="BA354" s="157"/>
      <c r="BB354" s="157"/>
      <c r="BC354" s="157"/>
      <c r="BD354" s="157"/>
      <c r="BE354" s="157"/>
      <c r="BF354" s="157"/>
      <c r="BG354" s="157"/>
      <c r="BH354" s="157"/>
      <c r="BI354" s="157"/>
    </row>
    <row r="355" spans="1:61" s="157" customFormat="1" ht="15.75" thickBot="1" x14ac:dyDescent="0.3">
      <c r="A355" s="18"/>
      <c r="B355" s="77">
        <v>606.20000000000005</v>
      </c>
      <c r="C355" s="21" t="s">
        <v>258</v>
      </c>
      <c r="D355" s="78"/>
      <c r="E355" s="21"/>
      <c r="F355" s="78"/>
      <c r="G355" s="78"/>
      <c r="H355" s="763"/>
      <c r="I355" s="64"/>
      <c r="J355" s="4"/>
      <c r="K355" s="83"/>
      <c r="L355" s="1172" t="s">
        <v>3081</v>
      </c>
      <c r="M355" s="1767"/>
      <c r="N355" s="4"/>
      <c r="O355" s="1780"/>
      <c r="P355" s="352"/>
      <c r="Q355" s="352"/>
      <c r="U355" s="94"/>
      <c r="W355"/>
      <c r="X355" s="1798"/>
      <c r="Y355" s="780"/>
      <c r="AA355" s="783"/>
      <c r="AX355" s="63"/>
      <c r="AY355" s="63"/>
      <c r="AZ355" s="63"/>
      <c r="BA355" s="63"/>
      <c r="BB355" s="63"/>
      <c r="BC355" s="63"/>
      <c r="BD355" s="63"/>
      <c r="BE355" s="63"/>
      <c r="BF355" s="63"/>
      <c r="BG355" s="63"/>
      <c r="BH355" s="63"/>
      <c r="BI355" s="63"/>
    </row>
    <row r="356" spans="1:61" ht="15.75" thickTop="1" x14ac:dyDescent="0.25">
      <c r="B356" s="77">
        <v>606.29999999999995</v>
      </c>
      <c r="C356" s="21"/>
      <c r="D356" s="21"/>
      <c r="E356" s="21"/>
      <c r="F356" s="21"/>
      <c r="G356" s="21"/>
      <c r="H356" s="758"/>
      <c r="I356" s="180">
        <v>606.29999999999995</v>
      </c>
      <c r="J356" s="181"/>
      <c r="K356" s="182"/>
      <c r="L356" s="1781" t="s">
        <v>687</v>
      </c>
      <c r="M356" s="1772" t="s">
        <v>663</v>
      </c>
      <c r="N356" s="181"/>
      <c r="O356" s="1773">
        <f ca="1">IFERROR(MATCH(W356,INDIRECT(U356),0),0)*2</f>
        <v>0</v>
      </c>
      <c r="P356" s="105" t="b">
        <v>1</v>
      </c>
      <c r="Q356" s="105" t="b">
        <v>1</v>
      </c>
      <c r="R356" s="105" t="b">
        <v>0</v>
      </c>
      <c r="S356" s="105" t="b">
        <v>1</v>
      </c>
      <c r="T356" s="105" t="b">
        <v>0</v>
      </c>
      <c r="U356" s="105" t="str">
        <f t="shared" si="20"/>
        <v>dd606_3</v>
      </c>
      <c r="V356" s="105"/>
      <c r="W356" s="188"/>
      <c r="X356" s="1815"/>
      <c r="Z356"/>
      <c r="AB356"/>
      <c r="AC356" s="157" t="b">
        <f>OR(AD356:AE356)</f>
        <v>0</v>
      </c>
      <c r="AD356" s="157" t="b">
        <v>0</v>
      </c>
      <c r="AE356" s="157" t="b">
        <f>AND(NOT(ISBLANK(W356)),LEN(X356)=0)</f>
        <v>0</v>
      </c>
      <c r="AF356"/>
      <c r="AG356"/>
      <c r="AH356"/>
      <c r="AI356"/>
      <c r="AJ356"/>
      <c r="AK356"/>
      <c r="AL356" s="254" t="str">
        <f>SUBSTITUTE(SUBSTITUTE(SUBSTITUTE("dpa"&amp;$B356&amp;$C356&amp;$D356&amp;$E356,".","_"),"(","_"),")","")</f>
        <v>dpa606_3</v>
      </c>
      <c r="AM356" s="254" t="str">
        <f>M356</f>
        <v>6 Max</v>
      </c>
      <c r="AN356" s="254" t="str">
        <f>SUBSTITUTE(SUBSTITUTE(SUBSTITUTE("dpc"&amp;$B356&amp;$C356&amp;$D356&amp;$E356,".","_"),"(","_"),")","")</f>
        <v>dpc606_3</v>
      </c>
      <c r="AO356" s="254">
        <f ca="1">O356</f>
        <v>0</v>
      </c>
      <c r="AP356" s="1130" t="str">
        <f>SUBSTITUTE(SUBSTITUTE(SUBSTITUTE("dch"&amp;$B356&amp;$C356&amp;$D356&amp;$E356,".","_"),"(","_"),")","")</f>
        <v>dch606_3</v>
      </c>
      <c r="AQ356" s="254" t="str">
        <f>IF(LEN(W356)=0,"",W356)</f>
        <v/>
      </c>
      <c r="AR356" s="1130" t="str">
        <f>SUBSTITUTE(SUBSTITUTE(SUBSTITUTE("dnt"&amp;$B356&amp;$C356&amp;$D356&amp;$E356,".","_"),"(","_"),")","")</f>
        <v>dnt606_3</v>
      </c>
      <c r="AS356" s="254" t="str">
        <f>IF(LEN(X356)=0,"",X356)</f>
        <v/>
      </c>
      <c r="AX356" s="134"/>
      <c r="AY356" s="134"/>
    </row>
    <row r="357" spans="1:61" x14ac:dyDescent="0.25">
      <c r="B357" s="77">
        <v>606.29999999999995</v>
      </c>
      <c r="C357" s="21"/>
      <c r="D357" s="21"/>
      <c r="E357" s="21"/>
      <c r="F357" s="21"/>
      <c r="G357" s="21"/>
      <c r="H357" s="758"/>
      <c r="I357" s="130"/>
      <c r="J357" s="129"/>
      <c r="K357" s="95"/>
      <c r="L357" s="1782"/>
      <c r="M357" s="1758"/>
      <c r="N357" s="129"/>
      <c r="O357" s="1774"/>
      <c r="P357" s="94"/>
      <c r="Q357" s="94"/>
      <c r="R357" s="94"/>
      <c r="S357" s="94"/>
      <c r="T357" s="94"/>
      <c r="U357" s="94"/>
      <c r="V357" s="94"/>
      <c r="W357" s="94"/>
      <c r="X357" s="1799"/>
      <c r="Z357"/>
      <c r="AB357"/>
      <c r="AC357"/>
      <c r="AD357"/>
      <c r="AE357"/>
      <c r="AF357"/>
      <c r="AG357"/>
      <c r="AH357"/>
      <c r="AI357"/>
      <c r="AJ357"/>
      <c r="AK357"/>
      <c r="AL357"/>
      <c r="AM357"/>
      <c r="AN357"/>
      <c r="AO357"/>
      <c r="AP357"/>
      <c r="AQ357"/>
      <c r="AR357"/>
      <c r="AS357"/>
    </row>
    <row r="358" spans="1:61" x14ac:dyDescent="0.25">
      <c r="B358" s="77">
        <v>606.29999999999995</v>
      </c>
      <c r="C358" s="21"/>
      <c r="D358" s="21"/>
      <c r="E358" s="21"/>
      <c r="F358" s="21"/>
      <c r="G358" s="21"/>
      <c r="H358" s="758"/>
      <c r="I358" s="130"/>
      <c r="J358" s="129"/>
      <c r="K358" s="95"/>
      <c r="L358" s="1782"/>
      <c r="M358" s="1758"/>
      <c r="N358" s="129"/>
      <c r="O358" s="1774"/>
      <c r="P358" s="94"/>
      <c r="Q358" s="94"/>
      <c r="R358" s="94"/>
      <c r="S358" s="94"/>
      <c r="T358" s="94"/>
      <c r="U358" s="94"/>
      <c r="V358" s="94"/>
      <c r="W358" s="94"/>
      <c r="X358" s="1799"/>
      <c r="Z358"/>
      <c r="AB358"/>
      <c r="AC358"/>
      <c r="AD358"/>
      <c r="AE358"/>
      <c r="AF358"/>
      <c r="AG358"/>
      <c r="AH358"/>
      <c r="AI358"/>
      <c r="AJ358"/>
      <c r="AK358"/>
      <c r="AL358"/>
      <c r="AM358"/>
      <c r="AN358"/>
      <c r="AO358"/>
      <c r="AP358"/>
      <c r="AQ358"/>
      <c r="AR358"/>
      <c r="AS358"/>
      <c r="AX358" s="157"/>
      <c r="AY358" s="157"/>
      <c r="AZ358" s="134"/>
      <c r="BA358" s="134"/>
      <c r="BB358" s="134"/>
      <c r="BC358" s="134"/>
      <c r="BD358" s="134"/>
      <c r="BE358" s="134"/>
      <c r="BF358" s="134"/>
      <c r="BG358" s="134"/>
      <c r="BH358" s="134"/>
      <c r="BI358" s="134"/>
    </row>
    <row r="359" spans="1:61" s="134" customFormat="1" x14ac:dyDescent="0.25">
      <c r="A359" s="18"/>
      <c r="B359" s="77">
        <v>606.29999999999995</v>
      </c>
      <c r="C359" s="21"/>
      <c r="D359" s="21"/>
      <c r="E359" s="21"/>
      <c r="F359" s="21"/>
      <c r="G359" s="21"/>
      <c r="H359" s="758"/>
      <c r="I359" s="130"/>
      <c r="J359" s="129"/>
      <c r="K359" s="95"/>
      <c r="L359" s="1782"/>
      <c r="M359" s="1758"/>
      <c r="N359" s="129"/>
      <c r="O359" s="1774"/>
      <c r="P359" s="94"/>
      <c r="Q359" s="94"/>
      <c r="R359" s="94"/>
      <c r="S359" s="94"/>
      <c r="T359" s="94"/>
      <c r="U359" s="94"/>
      <c r="V359" s="94"/>
      <c r="W359" s="94"/>
      <c r="X359" s="1799"/>
      <c r="Y359" s="780"/>
      <c r="AA359" s="783"/>
      <c r="AX359" s="63"/>
      <c r="AY359" s="63"/>
      <c r="AZ359" s="63"/>
      <c r="BA359" s="63"/>
      <c r="BB359" s="63"/>
      <c r="BC359" s="63"/>
      <c r="BD359" s="63"/>
      <c r="BE359" s="63"/>
      <c r="BF359" s="63"/>
      <c r="BG359" s="63"/>
      <c r="BH359" s="63"/>
      <c r="BI359" s="63"/>
    </row>
    <row r="360" spans="1:61" x14ac:dyDescent="0.25">
      <c r="B360" s="77">
        <v>606.29999999999995</v>
      </c>
      <c r="C360" s="21"/>
      <c r="D360" s="21"/>
      <c r="E360" s="21"/>
      <c r="F360" s="21"/>
      <c r="G360" s="21"/>
      <c r="H360" s="758"/>
      <c r="I360" s="130"/>
      <c r="J360" s="129"/>
      <c r="K360" s="95"/>
      <c r="L360" s="1175" t="s">
        <v>688</v>
      </c>
      <c r="M360" s="1758"/>
      <c r="N360" s="129"/>
      <c r="O360" s="1774"/>
      <c r="P360" s="94"/>
      <c r="Q360" s="94"/>
      <c r="R360" s="94"/>
      <c r="S360" s="94"/>
      <c r="T360" s="94"/>
      <c r="U360" s="94"/>
      <c r="V360" s="94"/>
      <c r="W360" s="94"/>
      <c r="X360" s="1799"/>
      <c r="Z360"/>
      <c r="AB360"/>
      <c r="AC360"/>
      <c r="AD360"/>
      <c r="AE360"/>
      <c r="AF360"/>
      <c r="AG360"/>
      <c r="AH360"/>
      <c r="AI360"/>
      <c r="AJ360"/>
      <c r="AK360"/>
      <c r="AL360"/>
      <c r="AM360"/>
      <c r="AN360"/>
      <c r="AO360"/>
      <c r="AP360"/>
      <c r="AQ360"/>
      <c r="AR360"/>
      <c r="AS360"/>
      <c r="AZ360" s="157"/>
      <c r="BA360" s="157"/>
      <c r="BB360" s="157"/>
      <c r="BC360" s="157"/>
      <c r="BD360" s="157"/>
      <c r="BE360" s="157"/>
      <c r="BF360" s="157"/>
      <c r="BG360" s="157"/>
      <c r="BH360" s="157"/>
      <c r="BI360" s="157"/>
    </row>
    <row r="361" spans="1:61" s="157" customFormat="1" x14ac:dyDescent="0.25">
      <c r="A361" s="18"/>
      <c r="B361" s="77">
        <v>606.29999999999995</v>
      </c>
      <c r="C361" s="21"/>
      <c r="D361" s="21"/>
      <c r="E361" s="21"/>
      <c r="F361" s="21"/>
      <c r="G361" s="21"/>
      <c r="H361" s="758"/>
      <c r="I361" s="130"/>
      <c r="J361" s="129"/>
      <c r="K361" s="95"/>
      <c r="L361" s="1176" t="s">
        <v>3085</v>
      </c>
      <c r="M361" s="1758"/>
      <c r="N361" s="129"/>
      <c r="O361" s="1774"/>
      <c r="P361" s="94"/>
      <c r="Q361" s="94"/>
      <c r="R361" s="94"/>
      <c r="S361" s="94"/>
      <c r="T361" s="94"/>
      <c r="U361" s="94"/>
      <c r="V361" s="94"/>
      <c r="W361" s="94"/>
      <c r="X361" s="1756"/>
      <c r="Y361" s="780"/>
      <c r="AA361" s="783"/>
      <c r="AX361" s="63"/>
      <c r="AY361" s="63"/>
      <c r="AZ361" s="63"/>
      <c r="BA361" s="63"/>
      <c r="BB361" s="63"/>
      <c r="BC361" s="63"/>
      <c r="BD361" s="63"/>
      <c r="BE361" s="63"/>
      <c r="BF361" s="63"/>
      <c r="BG361" s="63"/>
      <c r="BH361" s="63"/>
      <c r="BI361" s="63"/>
    </row>
    <row r="362" spans="1:61" ht="18.75" x14ac:dyDescent="0.3">
      <c r="B362" s="77">
        <v>607</v>
      </c>
      <c r="C362" s="21"/>
      <c r="D362" s="21"/>
      <c r="E362" s="21"/>
      <c r="F362" s="21"/>
      <c r="G362" s="21"/>
      <c r="H362" s="758"/>
      <c r="I362" s="14" t="s">
        <v>689</v>
      </c>
      <c r="J362" s="23"/>
      <c r="K362" s="82"/>
      <c r="L362" s="229"/>
      <c r="M362" s="390"/>
      <c r="N362" s="508"/>
      <c r="O362" s="498"/>
      <c r="P362" s="23"/>
      <c r="Q362" s="23"/>
      <c r="R362" s="23"/>
      <c r="S362" s="23"/>
      <c r="T362" s="23"/>
      <c r="U362" s="23"/>
      <c r="V362" s="23"/>
      <c r="W362" s="23"/>
      <c r="X362" s="23"/>
      <c r="Z362"/>
      <c r="AB362"/>
      <c r="AC362"/>
      <c r="AD362"/>
      <c r="AE362"/>
      <c r="AF362"/>
      <c r="AG362"/>
      <c r="AH362"/>
      <c r="AI362"/>
      <c r="AJ362"/>
      <c r="AK362"/>
      <c r="AL362"/>
      <c r="AM362"/>
      <c r="AN362"/>
      <c r="AO362"/>
      <c r="AP362"/>
      <c r="AQ362"/>
      <c r="AR362"/>
      <c r="AS362"/>
    </row>
    <row r="363" spans="1:61" x14ac:dyDescent="0.25">
      <c r="B363" s="77">
        <v>607.1</v>
      </c>
      <c r="C363" s="21"/>
      <c r="D363" s="21"/>
      <c r="E363" s="21"/>
      <c r="F363" s="21"/>
      <c r="G363" s="21"/>
      <c r="H363" s="758"/>
      <c r="I363" s="64">
        <v>607.1</v>
      </c>
      <c r="J363" s="4"/>
      <c r="K363" s="83"/>
      <c r="L363" s="1796" t="s">
        <v>690</v>
      </c>
      <c r="M363" s="428"/>
      <c r="N363" s="4"/>
      <c r="O363" s="141"/>
      <c r="P363" s="352"/>
      <c r="Q363" s="352"/>
      <c r="R363"/>
      <c r="S363"/>
      <c r="T363"/>
      <c r="U363"/>
      <c r="V363"/>
      <c r="W363"/>
      <c r="X363"/>
      <c r="Z363"/>
      <c r="AB363"/>
      <c r="AC363"/>
      <c r="AD363"/>
      <c r="AE363"/>
      <c r="AF363"/>
      <c r="AG363"/>
      <c r="AH363"/>
      <c r="AI363"/>
      <c r="AJ363"/>
      <c r="AK363"/>
      <c r="AL363"/>
      <c r="AM363"/>
      <c r="AN363"/>
      <c r="AO363"/>
      <c r="AP363"/>
      <c r="AQ363"/>
      <c r="AR363"/>
      <c r="AS363"/>
    </row>
    <row r="364" spans="1:61" x14ac:dyDescent="0.25">
      <c r="B364" s="77">
        <v>607.1</v>
      </c>
      <c r="C364" s="21"/>
      <c r="D364" s="21"/>
      <c r="E364" s="21"/>
      <c r="F364" s="21"/>
      <c r="G364" s="21"/>
      <c r="H364" s="758"/>
      <c r="I364" s="64"/>
      <c r="J364" s="4"/>
      <c r="K364" s="83"/>
      <c r="L364" s="1796"/>
      <c r="M364" s="428"/>
      <c r="N364" s="4"/>
      <c r="O364" s="141"/>
      <c r="P364" s="352"/>
      <c r="Q364" s="352"/>
      <c r="R364"/>
      <c r="S364"/>
      <c r="T364"/>
      <c r="U364"/>
      <c r="V364"/>
      <c r="W364"/>
      <c r="X364"/>
      <c r="Z364"/>
      <c r="AB364"/>
      <c r="AC364"/>
      <c r="AD364"/>
      <c r="AE364"/>
      <c r="AF364"/>
      <c r="AG364"/>
      <c r="AH364"/>
      <c r="AI364"/>
      <c r="AJ364"/>
      <c r="AK364"/>
      <c r="AL364"/>
      <c r="AM364"/>
      <c r="AN364"/>
      <c r="AO364"/>
      <c r="AP364"/>
      <c r="AQ364"/>
      <c r="AR364"/>
      <c r="AS364"/>
    </row>
    <row r="365" spans="1:61" x14ac:dyDescent="0.25">
      <c r="B365" s="77">
        <v>607.1</v>
      </c>
      <c r="C365" s="21" t="s">
        <v>256</v>
      </c>
      <c r="D365" s="21"/>
      <c r="E365" s="21"/>
      <c r="F365" s="21"/>
      <c r="G365" s="21"/>
      <c r="H365" s="758"/>
      <c r="I365" s="64"/>
      <c r="J365" s="183" t="s">
        <v>256</v>
      </c>
      <c r="K365" s="95"/>
      <c r="L365" s="1754" t="s">
        <v>4183</v>
      </c>
      <c r="M365" s="1758">
        <v>2</v>
      </c>
      <c r="N365" s="129"/>
      <c r="O365" s="1774">
        <f>M365*S365*W365</f>
        <v>0</v>
      </c>
      <c r="P365" s="352" t="b">
        <v>0</v>
      </c>
      <c r="Q365" s="352" t="b">
        <v>1</v>
      </c>
      <c r="R365" s="126" t="b">
        <v>0</v>
      </c>
      <c r="S365" s="126" t="b">
        <v>1</v>
      </c>
      <c r="T365" s="126" t="b">
        <v>0</v>
      </c>
      <c r="U365"/>
      <c r="V365"/>
      <c r="W365" s="25"/>
      <c r="X365" s="1757"/>
      <c r="Z365"/>
      <c r="AB365"/>
      <c r="AC365"/>
      <c r="AD365"/>
      <c r="AE365"/>
      <c r="AF365"/>
      <c r="AG365"/>
      <c r="AH365"/>
      <c r="AI365"/>
      <c r="AJ365"/>
      <c r="AK365"/>
      <c r="AL365" s="254" t="str">
        <f>SUBSTITUTE(SUBSTITUTE(SUBSTITUTE("dpa"&amp;$B365&amp;$C365&amp;$D365&amp;$E365,".","_"),"(","_"),")","")</f>
        <v>dpa607_1_1</v>
      </c>
      <c r="AM365" s="254">
        <f>M365</f>
        <v>2</v>
      </c>
      <c r="AN365" s="254" t="str">
        <f>SUBSTITUTE(SUBSTITUTE(SUBSTITUTE("dpc"&amp;$B365&amp;$C365&amp;$D365&amp;$E365,".","_"),"(","_"),")","")</f>
        <v>dpc607_1_1</v>
      </c>
      <c r="AO365" s="254">
        <f>O365</f>
        <v>0</v>
      </c>
      <c r="AP365" s="1130" t="str">
        <f>SUBSTITUTE(SUBSTITUTE(SUBSTITUTE("dch"&amp;$B365&amp;$C365&amp;$D365&amp;$E365,".","_"),"(","_"),")","")</f>
        <v>dch607_1_1</v>
      </c>
      <c r="AQ365" s="254" t="str">
        <f>IF(LEN(W365)=0,"",W365)</f>
        <v/>
      </c>
      <c r="AR365" s="1130" t="str">
        <f>SUBSTITUTE(SUBSTITUTE(SUBSTITUTE("dnt"&amp;$B365&amp;$C365&amp;$D365&amp;$E365,".","_"),"(","_"),")","")</f>
        <v>dnt607_1_1</v>
      </c>
      <c r="AS365" s="254" t="str">
        <f>IF(LEN(X365)=0,"",X365)</f>
        <v/>
      </c>
    </row>
    <row r="366" spans="1:61" s="791" customFormat="1" x14ac:dyDescent="0.25">
      <c r="A366" s="18"/>
      <c r="B366" s="77">
        <v>607.1</v>
      </c>
      <c r="C366" s="21" t="s">
        <v>256</v>
      </c>
      <c r="D366" s="21"/>
      <c r="E366" s="21"/>
      <c r="F366" s="21"/>
      <c r="G366" s="21"/>
      <c r="H366" s="758"/>
      <c r="I366" s="64"/>
      <c r="J366" s="183"/>
      <c r="K366" s="95"/>
      <c r="L366" s="1754"/>
      <c r="M366" s="1758"/>
      <c r="N366" s="129"/>
      <c r="O366" s="1774"/>
      <c r="W366"/>
      <c r="X366" s="1757"/>
      <c r="AL366" s="254"/>
      <c r="AM366" s="254"/>
      <c r="AN366" s="254"/>
      <c r="AO366" s="254"/>
      <c r="AP366" s="254"/>
      <c r="AQ366" s="254"/>
      <c r="AS366" s="254"/>
      <c r="AZ366" s="63"/>
      <c r="BA366" s="63"/>
      <c r="BB366" s="63"/>
      <c r="BC366" s="63"/>
      <c r="BD366" s="63"/>
      <c r="BE366" s="63"/>
      <c r="BF366" s="63"/>
      <c r="BG366" s="63"/>
      <c r="BH366" s="63"/>
      <c r="BI366" s="63"/>
    </row>
    <row r="367" spans="1:61" s="791" customFormat="1" x14ac:dyDescent="0.25">
      <c r="A367" s="18"/>
      <c r="B367" s="77">
        <v>607.1</v>
      </c>
      <c r="C367" s="21" t="s">
        <v>256</v>
      </c>
      <c r="D367" s="21"/>
      <c r="E367" s="21"/>
      <c r="F367" s="21"/>
      <c r="G367" s="21"/>
      <c r="H367" s="758"/>
      <c r="I367" s="64"/>
      <c r="J367" s="183"/>
      <c r="K367" s="95"/>
      <c r="L367" s="1754"/>
      <c r="M367" s="1758"/>
      <c r="N367" s="129"/>
      <c r="O367" s="1774"/>
      <c r="W367"/>
      <c r="X367" s="1757"/>
      <c r="AL367" s="254"/>
      <c r="AM367" s="254"/>
      <c r="AN367" s="254"/>
      <c r="AO367" s="254"/>
      <c r="AP367" s="254"/>
      <c r="AQ367" s="254"/>
      <c r="AS367" s="254"/>
    </row>
    <row r="368" spans="1:61" s="791" customFormat="1" x14ac:dyDescent="0.25">
      <c r="A368" s="18"/>
      <c r="B368" s="77">
        <v>607.1</v>
      </c>
      <c r="C368" s="21" t="s">
        <v>256</v>
      </c>
      <c r="D368" s="21"/>
      <c r="E368" s="21"/>
      <c r="F368" s="21"/>
      <c r="G368" s="21"/>
      <c r="H368" s="758"/>
      <c r="I368" s="64"/>
      <c r="J368" s="183"/>
      <c r="K368" s="95"/>
      <c r="L368" s="1754"/>
      <c r="M368" s="1758"/>
      <c r="N368" s="129"/>
      <c r="O368" s="1774"/>
      <c r="W368"/>
      <c r="X368" s="1757"/>
      <c r="AL368" s="254"/>
      <c r="AM368" s="254"/>
      <c r="AN368" s="254"/>
      <c r="AO368" s="254"/>
      <c r="AP368" s="254"/>
      <c r="AQ368" s="254"/>
      <c r="AS368" s="254"/>
    </row>
    <row r="369" spans="1:61" x14ac:dyDescent="0.25">
      <c r="B369" s="77">
        <v>607.1</v>
      </c>
      <c r="C369" s="21" t="s">
        <v>256</v>
      </c>
      <c r="D369" s="21"/>
      <c r="E369" s="21"/>
      <c r="F369" s="21"/>
      <c r="G369" s="21"/>
      <c r="H369" s="758"/>
      <c r="I369" s="64"/>
      <c r="J369" s="206"/>
      <c r="K369" s="175"/>
      <c r="L369" s="1755"/>
      <c r="M369" s="1759"/>
      <c r="N369" s="210"/>
      <c r="O369" s="1764"/>
      <c r="P369" s="352"/>
      <c r="Q369" s="352"/>
      <c r="R369"/>
      <c r="S369"/>
      <c r="T369"/>
      <c r="U369"/>
      <c r="V369"/>
      <c r="W369"/>
      <c r="X369" s="1757"/>
      <c r="Z369"/>
      <c r="AB369"/>
      <c r="AC369"/>
      <c r="AD369"/>
      <c r="AE369"/>
      <c r="AF369"/>
      <c r="AG369"/>
      <c r="AH369"/>
      <c r="AI369"/>
      <c r="AJ369"/>
      <c r="AK369"/>
      <c r="AL369"/>
      <c r="AM369"/>
      <c r="AN369"/>
      <c r="AO369"/>
      <c r="AP369"/>
      <c r="AQ369"/>
      <c r="AR369"/>
      <c r="AS369"/>
      <c r="AZ369" s="791"/>
      <c r="BA369" s="791"/>
      <c r="BB369" s="791"/>
      <c r="BC369" s="791"/>
      <c r="BD369" s="791"/>
      <c r="BE369" s="791"/>
      <c r="BF369" s="791"/>
      <c r="BG369" s="791"/>
      <c r="BH369" s="791"/>
      <c r="BI369" s="791"/>
    </row>
    <row r="370" spans="1:61" x14ac:dyDescent="0.25">
      <c r="B370" s="77">
        <v>607.1</v>
      </c>
      <c r="C370" s="21" t="s">
        <v>258</v>
      </c>
      <c r="D370" s="21"/>
      <c r="E370" s="21"/>
      <c r="F370" s="21"/>
      <c r="G370" s="21"/>
      <c r="H370" s="758"/>
      <c r="I370" s="64"/>
      <c r="J370" s="27" t="s">
        <v>258</v>
      </c>
      <c r="K370" s="83"/>
      <c r="L370" s="1760" t="s">
        <v>4184</v>
      </c>
      <c r="M370" s="1762">
        <v>4</v>
      </c>
      <c r="N370" s="4"/>
      <c r="O370" s="1763">
        <f>M370*S370*W370</f>
        <v>0</v>
      </c>
      <c r="P370" s="352" t="b">
        <v>0</v>
      </c>
      <c r="Q370" s="352" t="b">
        <v>1</v>
      </c>
      <c r="R370" s="126" t="b">
        <v>0</v>
      </c>
      <c r="S370" s="126" t="b">
        <v>1</v>
      </c>
      <c r="T370" s="126" t="b">
        <v>0</v>
      </c>
      <c r="U370"/>
      <c r="V370"/>
      <c r="W370" s="186"/>
      <c r="X370" s="1757"/>
      <c r="Z370"/>
      <c r="AB370"/>
      <c r="AC370"/>
      <c r="AD370"/>
      <c r="AE370"/>
      <c r="AF370"/>
      <c r="AG370"/>
      <c r="AH370"/>
      <c r="AI370"/>
      <c r="AJ370"/>
      <c r="AK370"/>
      <c r="AL370" s="254" t="str">
        <f>SUBSTITUTE(SUBSTITUTE(SUBSTITUTE("dpa"&amp;$B370&amp;$C370&amp;$D370&amp;$E370,".","_"),"(","_"),")","")</f>
        <v>dpa607_1_2</v>
      </c>
      <c r="AM370" s="254">
        <f>M370</f>
        <v>4</v>
      </c>
      <c r="AN370" s="254" t="str">
        <f>SUBSTITUTE(SUBSTITUTE(SUBSTITUTE("dpc"&amp;$B370&amp;$C370&amp;$D370&amp;$E370,".","_"),"(","_"),")","")</f>
        <v>dpc607_1_2</v>
      </c>
      <c r="AO370" s="254">
        <f>O370</f>
        <v>0</v>
      </c>
      <c r="AP370" s="1130" t="str">
        <f>SUBSTITUTE(SUBSTITUTE(SUBSTITUTE("dch"&amp;$B370&amp;$C370&amp;$D370&amp;$E370,".","_"),"(","_"),")","")</f>
        <v>dch607_1_2</v>
      </c>
      <c r="AQ370" s="254" t="str">
        <f>IF(LEN(W370)=0,"",W370)</f>
        <v/>
      </c>
      <c r="AR370" s="1130" t="str">
        <f>SUBSTITUTE(SUBSTITUTE(SUBSTITUTE("dnt"&amp;$B370&amp;$C370&amp;$D370&amp;$E370,".","_"),"(","_"),")","")</f>
        <v>dnt607_1_2</v>
      </c>
      <c r="AS370" s="254" t="str">
        <f>IF(LEN(X370)=0,"",X370)</f>
        <v/>
      </c>
    </row>
    <row r="371" spans="1:61" s="791" customFormat="1" x14ac:dyDescent="0.25">
      <c r="A371" s="18"/>
      <c r="B371" s="77">
        <v>607.1</v>
      </c>
      <c r="C371" s="21" t="s">
        <v>258</v>
      </c>
      <c r="D371" s="21"/>
      <c r="E371" s="21"/>
      <c r="F371" s="21"/>
      <c r="G371" s="21"/>
      <c r="H371" s="758"/>
      <c r="I371" s="64"/>
      <c r="J371" s="27"/>
      <c r="K371" s="83"/>
      <c r="L371" s="1841"/>
      <c r="M371" s="1767"/>
      <c r="N371" s="4"/>
      <c r="O371" s="1780"/>
      <c r="W371" s="539"/>
      <c r="X371" s="1757"/>
      <c r="AL371" s="254"/>
      <c r="AM371" s="254"/>
      <c r="AN371" s="254"/>
      <c r="AO371" s="254"/>
      <c r="AP371" s="254"/>
      <c r="AQ371" s="254"/>
      <c r="AS371" s="254"/>
      <c r="AZ371" s="63"/>
      <c r="BA371" s="63"/>
      <c r="BB371" s="63"/>
      <c r="BC371" s="63"/>
      <c r="BD371" s="63"/>
      <c r="BE371" s="63"/>
      <c r="BF371" s="63"/>
      <c r="BG371" s="63"/>
      <c r="BH371" s="63"/>
      <c r="BI371" s="63"/>
    </row>
    <row r="372" spans="1:61" s="791" customFormat="1" x14ac:dyDescent="0.25">
      <c r="A372" s="18"/>
      <c r="B372" s="77">
        <v>607.1</v>
      </c>
      <c r="C372" s="21" t="s">
        <v>258</v>
      </c>
      <c r="D372" s="21"/>
      <c r="E372" s="21"/>
      <c r="F372" s="21"/>
      <c r="G372" s="21"/>
      <c r="H372" s="758"/>
      <c r="I372" s="64"/>
      <c r="J372" s="27"/>
      <c r="K372" s="83"/>
      <c r="L372" s="1841"/>
      <c r="M372" s="1767"/>
      <c r="N372" s="4"/>
      <c r="O372" s="1780"/>
      <c r="W372"/>
      <c r="X372" s="1757"/>
      <c r="AL372" s="254"/>
      <c r="AM372" s="254"/>
      <c r="AN372" s="254"/>
      <c r="AO372" s="254"/>
      <c r="AP372" s="254"/>
      <c r="AQ372" s="254"/>
      <c r="AS372" s="254"/>
    </row>
    <row r="373" spans="1:61" s="791" customFormat="1" x14ac:dyDescent="0.25">
      <c r="A373" s="18"/>
      <c r="B373" s="77">
        <v>607.1</v>
      </c>
      <c r="C373" s="21" t="s">
        <v>258</v>
      </c>
      <c r="D373" s="21"/>
      <c r="E373" s="21"/>
      <c r="F373" s="21"/>
      <c r="G373" s="21"/>
      <c r="H373" s="758"/>
      <c r="I373" s="64"/>
      <c r="J373" s="27"/>
      <c r="K373" s="83"/>
      <c r="L373" s="1841"/>
      <c r="M373" s="1767"/>
      <c r="N373" s="4"/>
      <c r="O373" s="1780"/>
      <c r="W373"/>
      <c r="X373" s="1757"/>
      <c r="AL373" s="254"/>
      <c r="AM373" s="254"/>
      <c r="AN373" s="254"/>
      <c r="AO373" s="254"/>
      <c r="AP373" s="254"/>
      <c r="AQ373" s="254"/>
      <c r="AS373" s="254"/>
    </row>
    <row r="374" spans="1:61" s="791" customFormat="1" x14ac:dyDescent="0.25">
      <c r="A374" s="18"/>
      <c r="B374" s="77">
        <v>607.1</v>
      </c>
      <c r="C374" s="21" t="s">
        <v>258</v>
      </c>
      <c r="D374" s="21"/>
      <c r="E374" s="21"/>
      <c r="F374" s="21"/>
      <c r="G374" s="21"/>
      <c r="H374" s="758"/>
      <c r="I374" s="64"/>
      <c r="J374" s="27"/>
      <c r="K374" s="83"/>
      <c r="L374" s="1841"/>
      <c r="M374" s="1767"/>
      <c r="N374" s="4"/>
      <c r="O374" s="1780"/>
      <c r="W374"/>
      <c r="X374" s="1757"/>
      <c r="AL374" s="254"/>
      <c r="AM374" s="254"/>
      <c r="AN374" s="254"/>
      <c r="AO374" s="254"/>
      <c r="AP374" s="254"/>
      <c r="AQ374" s="254"/>
      <c r="AS374" s="254"/>
    </row>
    <row r="375" spans="1:61" s="791" customFormat="1" ht="15.75" thickBot="1" x14ac:dyDescent="0.3">
      <c r="A375" s="18"/>
      <c r="B375" s="77">
        <v>607.1</v>
      </c>
      <c r="C375" s="21" t="s">
        <v>258</v>
      </c>
      <c r="D375" s="21"/>
      <c r="E375" s="21"/>
      <c r="F375" s="21"/>
      <c r="G375" s="21"/>
      <c r="H375" s="758"/>
      <c r="I375" s="64"/>
      <c r="J375" s="27"/>
      <c r="K375" s="83"/>
      <c r="L375" s="1842"/>
      <c r="M375" s="1768"/>
      <c r="N375" s="4"/>
      <c r="O375" s="1775"/>
      <c r="W375" s="112"/>
      <c r="X375" s="1757"/>
      <c r="AL375" s="254"/>
      <c r="AM375" s="254"/>
      <c r="AN375" s="254"/>
      <c r="AO375" s="254"/>
      <c r="AP375" s="254"/>
      <c r="AQ375" s="254"/>
      <c r="AS375" s="254"/>
    </row>
    <row r="376" spans="1:61" ht="15.75" thickTop="1" x14ac:dyDescent="0.25">
      <c r="B376" s="77">
        <v>607.20000000000005</v>
      </c>
      <c r="C376" s="21"/>
      <c r="D376" s="21"/>
      <c r="E376" s="21"/>
      <c r="F376" s="21"/>
      <c r="G376" s="21"/>
      <c r="H376" s="758"/>
      <c r="I376" s="180">
        <v>607.20000000000005</v>
      </c>
      <c r="J376" s="181"/>
      <c r="K376" s="182"/>
      <c r="L376" s="1781" t="s">
        <v>691</v>
      </c>
      <c r="M376" s="1772">
        <v>1</v>
      </c>
      <c r="N376" s="181"/>
      <c r="O376" s="1773">
        <f>M376*S376*W376</f>
        <v>0</v>
      </c>
      <c r="P376" s="352" t="b">
        <v>0</v>
      </c>
      <c r="Q376" s="352" t="b">
        <v>1</v>
      </c>
      <c r="R376" s="105" t="b">
        <v>0</v>
      </c>
      <c r="S376" s="105" t="b">
        <v>1</v>
      </c>
      <c r="T376" s="105" t="b">
        <v>0</v>
      </c>
      <c r="U376" s="105"/>
      <c r="V376" s="105"/>
      <c r="W376" s="117"/>
      <c r="X376" s="1784"/>
      <c r="Z376"/>
      <c r="AB376"/>
      <c r="AC376"/>
      <c r="AD376"/>
      <c r="AE376"/>
      <c r="AF376"/>
      <c r="AG376"/>
      <c r="AH376"/>
      <c r="AI376"/>
      <c r="AJ376"/>
      <c r="AK376"/>
      <c r="AL376" s="254" t="str">
        <f>SUBSTITUTE(SUBSTITUTE(SUBSTITUTE("dpa"&amp;$B376&amp;$C376&amp;$D376&amp;$E376,".","_"),"(","_"),")","")</f>
        <v>dpa607_2</v>
      </c>
      <c r="AM376" s="254">
        <f>M376</f>
        <v>1</v>
      </c>
      <c r="AN376" s="254" t="str">
        <f>SUBSTITUTE(SUBSTITUTE(SUBSTITUTE("dpc"&amp;$B376&amp;$C376&amp;$D376&amp;$E376,".","_"),"(","_"),")","")</f>
        <v>dpc607_2</v>
      </c>
      <c r="AO376" s="254">
        <f>O376</f>
        <v>0</v>
      </c>
      <c r="AP376" s="1130" t="str">
        <f>SUBSTITUTE(SUBSTITUTE(SUBSTITUTE("dch"&amp;$B376&amp;$C376&amp;$D376&amp;$E376,".","_"),"(","_"),")","")</f>
        <v>dch607_2</v>
      </c>
      <c r="AQ376" s="254" t="str">
        <f>IF(LEN(W376)=0,"",W376)</f>
        <v/>
      </c>
      <c r="AR376" s="1130" t="str">
        <f>SUBSTITUTE(SUBSTITUTE(SUBSTITUTE("dnt"&amp;$B376&amp;$C376&amp;$D376&amp;$E376,".","_"),"(","_"),")","")</f>
        <v>dnt607_2</v>
      </c>
      <c r="AS376" s="254" t="str">
        <f>IF(LEN(X376)=0,"",X376)</f>
        <v/>
      </c>
      <c r="AZ376" s="791"/>
      <c r="BA376" s="791"/>
      <c r="BB376" s="791"/>
      <c r="BC376" s="791"/>
      <c r="BD376" s="791"/>
      <c r="BE376" s="791"/>
      <c r="BF376" s="791"/>
      <c r="BG376" s="791"/>
      <c r="BH376" s="791"/>
      <c r="BI376" s="791"/>
    </row>
    <row r="377" spans="1:61" x14ac:dyDescent="0.25">
      <c r="B377" s="77">
        <v>607.20000000000005</v>
      </c>
      <c r="C377" s="21"/>
      <c r="D377" s="21"/>
      <c r="E377" s="21"/>
      <c r="F377" s="21"/>
      <c r="G377" s="21"/>
      <c r="H377" s="758"/>
      <c r="I377" s="130"/>
      <c r="J377" s="129"/>
      <c r="K377" s="95"/>
      <c r="L377" s="1782"/>
      <c r="M377" s="1758"/>
      <c r="N377" s="129"/>
      <c r="O377" s="1774"/>
      <c r="P377" s="94"/>
      <c r="Q377" s="94"/>
      <c r="R377" s="94"/>
      <c r="S377" s="94"/>
      <c r="T377" s="94"/>
      <c r="U377" s="94"/>
      <c r="V377" s="94"/>
      <c r="W377" s="94"/>
      <c r="X377" s="1770"/>
      <c r="Z377"/>
      <c r="AB377"/>
      <c r="AC377"/>
      <c r="AD377"/>
      <c r="AE377"/>
      <c r="AF377"/>
      <c r="AG377"/>
      <c r="AH377"/>
      <c r="AI377"/>
      <c r="AJ377"/>
      <c r="AK377"/>
      <c r="AL377"/>
      <c r="AM377"/>
      <c r="AN377"/>
      <c r="AO377"/>
      <c r="AP377"/>
      <c r="AQ377"/>
      <c r="AR377"/>
      <c r="AS377"/>
    </row>
    <row r="378" spans="1:61" ht="18.75" x14ac:dyDescent="0.3">
      <c r="B378" s="77">
        <v>608</v>
      </c>
      <c r="C378" s="21"/>
      <c r="D378" s="21"/>
      <c r="E378" s="21"/>
      <c r="F378" s="21"/>
      <c r="G378" s="21"/>
      <c r="H378" s="758"/>
      <c r="I378" s="14" t="s">
        <v>692</v>
      </c>
      <c r="J378" s="23"/>
      <c r="K378" s="82"/>
      <c r="L378" s="229"/>
      <c r="M378" s="390"/>
      <c r="N378" s="508"/>
      <c r="O378" s="498"/>
      <c r="P378" s="23"/>
      <c r="Q378" s="23"/>
      <c r="R378" s="23"/>
      <c r="S378" s="23"/>
      <c r="T378" s="23"/>
      <c r="U378" s="23"/>
      <c r="V378" s="23"/>
      <c r="W378" s="23"/>
      <c r="X378" s="23"/>
      <c r="Z378"/>
      <c r="AB378"/>
      <c r="AC378"/>
      <c r="AD378"/>
      <c r="AE378"/>
      <c r="AF378"/>
      <c r="AG378"/>
      <c r="AH378"/>
      <c r="AI378"/>
      <c r="AJ378"/>
      <c r="AK378"/>
      <c r="AL378"/>
      <c r="AM378"/>
      <c r="AN378"/>
      <c r="AO378"/>
      <c r="AP378"/>
      <c r="AQ378"/>
      <c r="AR378"/>
      <c r="AS378"/>
    </row>
    <row r="379" spans="1:61" x14ac:dyDescent="0.25">
      <c r="B379" s="77">
        <v>608.1</v>
      </c>
      <c r="C379" s="21"/>
      <c r="D379" s="21"/>
      <c r="E379" s="21"/>
      <c r="F379" s="21"/>
      <c r="G379" s="21"/>
      <c r="H379" s="758"/>
      <c r="I379" s="64">
        <v>608.1</v>
      </c>
      <c r="J379" s="4"/>
      <c r="K379" s="83"/>
      <c r="L379" s="1796" t="s">
        <v>693</v>
      </c>
      <c r="M379" s="1845" t="s">
        <v>3086</v>
      </c>
      <c r="N379" s="4"/>
      <c r="O379" s="1780">
        <f ca="1">IFERROR(MATCH(W379,INDIRECT(U379),0),0)*3</f>
        <v>0</v>
      </c>
      <c r="P379" s="352" t="b">
        <v>1</v>
      </c>
      <c r="Q379" s="352" t="b">
        <v>1</v>
      </c>
      <c r="R379" s="157" t="b">
        <v>0</v>
      </c>
      <c r="S379" s="157" t="b">
        <v>1</v>
      </c>
      <c r="T379" s="157" t="b">
        <v>0</v>
      </c>
      <c r="U379" s="94" t="str">
        <f>SUBSTITUTE(SUBSTITUTE(SUBSTITUTE("dd"&amp;B379&amp;C379&amp;D379&amp;E379&amp;F379,".","_"),"(","_"),")","")</f>
        <v>dd608_1</v>
      </c>
      <c r="V379"/>
      <c r="W379" s="12"/>
      <c r="X379" s="1798"/>
      <c r="Z379"/>
      <c r="AB379"/>
      <c r="AC379" s="157" t="b">
        <f>OR(AD379:AE379)</f>
        <v>0</v>
      </c>
      <c r="AD379" s="157" t="b">
        <v>0</v>
      </c>
      <c r="AE379" s="157" t="b">
        <f>AND(NOT(ISBLANK(W379)),LEN(X379)=0)</f>
        <v>0</v>
      </c>
      <c r="AF379"/>
      <c r="AG379"/>
      <c r="AH379"/>
      <c r="AI379"/>
      <c r="AJ379"/>
      <c r="AK379"/>
      <c r="AL379" s="254" t="str">
        <f>SUBSTITUTE(SUBSTITUTE(SUBSTITUTE("dpa"&amp;$B379&amp;$C379&amp;$D379&amp;$E379,".","_"),"(","_"),")","")</f>
        <v>dpa608_1</v>
      </c>
      <c r="AM379" s="254" t="str">
        <f>M379</f>
        <v>9 Max
3 per material</v>
      </c>
      <c r="AN379" s="254" t="str">
        <f>SUBSTITUTE(SUBSTITUTE(SUBSTITUTE("dpc"&amp;$B379&amp;$C379&amp;$D379&amp;$E379,".","_"),"(","_"),")","")</f>
        <v>dpc608_1</v>
      </c>
      <c r="AO379" s="254">
        <f ca="1">O379</f>
        <v>0</v>
      </c>
      <c r="AP379" s="1130" t="str">
        <f>SUBSTITUTE(SUBSTITUTE(SUBSTITUTE("dch"&amp;$B379&amp;$C379&amp;$D379&amp;$E379,".","_"),"(","_"),")","")</f>
        <v>dch608_1</v>
      </c>
      <c r="AQ379" s="254" t="str">
        <f>IF(LEN(W379)=0,"",W379)</f>
        <v/>
      </c>
      <c r="AR379" s="1130" t="str">
        <f>SUBSTITUTE(SUBSTITUTE(SUBSTITUTE("dnt"&amp;$B379&amp;$C379&amp;$D379&amp;$E379,".","_"),"(","_"),")","")</f>
        <v>dnt608_1</v>
      </c>
      <c r="AS379" s="254" t="str">
        <f>IF(LEN(X379)=0,"",X379)</f>
        <v/>
      </c>
    </row>
    <row r="380" spans="1:61" x14ac:dyDescent="0.25">
      <c r="B380" s="77">
        <v>608.1</v>
      </c>
      <c r="C380" s="21"/>
      <c r="D380" s="21"/>
      <c r="E380" s="21"/>
      <c r="F380" s="21"/>
      <c r="G380" s="21"/>
      <c r="H380" s="758"/>
      <c r="I380" s="64"/>
      <c r="J380" s="4"/>
      <c r="K380" s="83"/>
      <c r="L380" s="1796"/>
      <c r="M380" s="1845"/>
      <c r="N380" s="4"/>
      <c r="O380" s="1780"/>
      <c r="P380" s="352"/>
      <c r="Q380" s="352"/>
      <c r="R380"/>
      <c r="S380"/>
      <c r="T380"/>
      <c r="U380"/>
      <c r="V380"/>
      <c r="W380"/>
      <c r="X380" s="1799"/>
      <c r="Z380"/>
      <c r="AB380"/>
      <c r="AC380"/>
      <c r="AD380"/>
      <c r="AE380"/>
      <c r="AF380"/>
      <c r="AG380"/>
      <c r="AH380"/>
      <c r="AI380"/>
      <c r="AJ380"/>
      <c r="AK380"/>
      <c r="AL380"/>
      <c r="AM380"/>
      <c r="AN380"/>
      <c r="AO380"/>
      <c r="AP380"/>
      <c r="AQ380"/>
      <c r="AR380"/>
      <c r="AS380"/>
    </row>
    <row r="381" spans="1:61" x14ac:dyDescent="0.25">
      <c r="B381" s="77">
        <v>608.1</v>
      </c>
      <c r="C381" s="21"/>
      <c r="D381" s="21"/>
      <c r="E381" s="21"/>
      <c r="F381" s="21"/>
      <c r="G381" s="21"/>
      <c r="H381" s="758"/>
      <c r="I381" s="64"/>
      <c r="J381" s="4"/>
      <c r="K381" s="83"/>
      <c r="L381" s="1796"/>
      <c r="M381" s="1845"/>
      <c r="N381" s="4"/>
      <c r="O381" s="1780"/>
      <c r="P381" s="352"/>
      <c r="Q381" s="352"/>
      <c r="R381"/>
      <c r="S381"/>
      <c r="T381"/>
      <c r="U381"/>
      <c r="V381"/>
      <c r="W381"/>
      <c r="X381" s="1799"/>
      <c r="Z381"/>
      <c r="AB381"/>
      <c r="AC381"/>
      <c r="AD381"/>
      <c r="AE381"/>
      <c r="AF381"/>
      <c r="AG381"/>
      <c r="AH381"/>
      <c r="AI381"/>
      <c r="AJ381"/>
      <c r="AK381"/>
      <c r="AL381"/>
      <c r="AM381"/>
      <c r="AN381"/>
      <c r="AO381"/>
      <c r="AP381"/>
      <c r="AQ381"/>
      <c r="AR381"/>
      <c r="AS381"/>
    </row>
    <row r="382" spans="1:61" x14ac:dyDescent="0.25">
      <c r="B382" s="77">
        <v>608.1</v>
      </c>
      <c r="C382" s="21" t="s">
        <v>256</v>
      </c>
      <c r="D382" s="21"/>
      <c r="E382" s="21"/>
      <c r="F382" s="21"/>
      <c r="G382" s="21"/>
      <c r="H382" s="758"/>
      <c r="I382" s="64"/>
      <c r="J382" s="27" t="s">
        <v>256</v>
      </c>
      <c r="K382" s="83"/>
      <c r="L382" s="1779" t="s">
        <v>694</v>
      </c>
      <c r="M382" s="1845"/>
      <c r="N382" s="4"/>
      <c r="O382" s="1780"/>
      <c r="P382" s="352"/>
      <c r="Q382" s="352"/>
      <c r="R382" s="126"/>
      <c r="S382" s="126"/>
      <c r="T382" s="126"/>
      <c r="U382"/>
      <c r="V382"/>
      <c r="W382"/>
      <c r="X382" s="1799"/>
      <c r="Z382"/>
      <c r="AB382"/>
      <c r="AC382"/>
      <c r="AD382"/>
      <c r="AE382"/>
      <c r="AF382"/>
      <c r="AG382"/>
      <c r="AH382"/>
      <c r="AI382"/>
      <c r="AJ382"/>
      <c r="AK382"/>
      <c r="AL382"/>
      <c r="AM382"/>
      <c r="AN382"/>
      <c r="AO382"/>
      <c r="AP382"/>
      <c r="AQ382"/>
      <c r="AR382"/>
      <c r="AS382"/>
    </row>
    <row r="383" spans="1:61" x14ac:dyDescent="0.25">
      <c r="B383" s="77">
        <v>608.1</v>
      </c>
      <c r="C383" s="21" t="s">
        <v>256</v>
      </c>
      <c r="D383" s="21"/>
      <c r="E383" s="21"/>
      <c r="F383" s="21"/>
      <c r="G383" s="21"/>
      <c r="H383" s="758"/>
      <c r="I383" s="64"/>
      <c r="J383" s="27"/>
      <c r="K383" s="83"/>
      <c r="L383" s="1779"/>
      <c r="M383" s="1845"/>
      <c r="N383" s="4"/>
      <c r="O383" s="1780"/>
      <c r="P383" s="352"/>
      <c r="Q383" s="352"/>
      <c r="R383"/>
      <c r="S383"/>
      <c r="T383"/>
      <c r="U383"/>
      <c r="V383"/>
      <c r="W383"/>
      <c r="X383" s="1799"/>
      <c r="Z383"/>
      <c r="AB383"/>
      <c r="AC383"/>
      <c r="AD383"/>
      <c r="AE383"/>
      <c r="AF383"/>
      <c r="AG383"/>
      <c r="AH383"/>
      <c r="AI383"/>
      <c r="AJ383"/>
      <c r="AK383"/>
      <c r="AL383"/>
      <c r="AM383"/>
      <c r="AN383"/>
      <c r="AO383"/>
      <c r="AP383"/>
      <c r="AQ383"/>
      <c r="AR383"/>
      <c r="AS383"/>
      <c r="AX383" s="157"/>
      <c r="AY383" s="157"/>
    </row>
    <row r="384" spans="1:61" x14ac:dyDescent="0.25">
      <c r="B384" s="77">
        <v>608.1</v>
      </c>
      <c r="C384" s="21" t="s">
        <v>258</v>
      </c>
      <c r="D384" s="21"/>
      <c r="E384" s="21"/>
      <c r="F384" s="21"/>
      <c r="G384" s="21"/>
      <c r="H384" s="758"/>
      <c r="I384" s="64"/>
      <c r="J384" s="27" t="s">
        <v>258</v>
      </c>
      <c r="K384" s="83"/>
      <c r="L384" s="1170" t="s">
        <v>695</v>
      </c>
      <c r="M384" s="1845"/>
      <c r="N384" s="4"/>
      <c r="O384" s="1780"/>
      <c r="P384" s="352"/>
      <c r="Q384" s="352"/>
      <c r="R384" s="126"/>
      <c r="S384" s="126"/>
      <c r="T384" s="126"/>
      <c r="U384"/>
      <c r="V384"/>
      <c r="W384"/>
      <c r="X384" s="1799"/>
      <c r="Z384"/>
      <c r="AB384"/>
      <c r="AC384"/>
      <c r="AD384"/>
      <c r="AE384"/>
      <c r="AF384"/>
      <c r="AG384"/>
      <c r="AH384"/>
      <c r="AI384"/>
      <c r="AJ384"/>
      <c r="AK384"/>
      <c r="AL384"/>
      <c r="AM384"/>
      <c r="AN384"/>
      <c r="AO384"/>
      <c r="AP384"/>
      <c r="AQ384"/>
      <c r="AR384"/>
      <c r="AS384"/>
    </row>
    <row r="385" spans="1:61" x14ac:dyDescent="0.25">
      <c r="B385" s="77">
        <v>608.1</v>
      </c>
      <c r="C385" s="21" t="s">
        <v>260</v>
      </c>
      <c r="D385" s="21"/>
      <c r="E385" s="21"/>
      <c r="F385" s="21"/>
      <c r="G385" s="21"/>
      <c r="H385" s="758"/>
      <c r="I385" s="64"/>
      <c r="J385" s="27" t="s">
        <v>260</v>
      </c>
      <c r="K385" s="83"/>
      <c r="L385" s="1170" t="s">
        <v>696</v>
      </c>
      <c r="M385" s="1845"/>
      <c r="N385" s="4"/>
      <c r="O385" s="1780"/>
      <c r="P385" s="352"/>
      <c r="Q385" s="352"/>
      <c r="R385" s="126"/>
      <c r="S385" s="126"/>
      <c r="T385" s="126"/>
      <c r="U385"/>
      <c r="V385"/>
      <c r="W385"/>
      <c r="X385" s="1799"/>
      <c r="Z385"/>
      <c r="AB385"/>
      <c r="AC385"/>
      <c r="AD385"/>
      <c r="AE385"/>
      <c r="AF385"/>
      <c r="AG385"/>
      <c r="AH385"/>
      <c r="AI385"/>
      <c r="AJ385"/>
      <c r="AK385"/>
      <c r="AL385"/>
      <c r="AM385"/>
      <c r="AN385"/>
      <c r="AO385"/>
      <c r="AP385"/>
      <c r="AQ385"/>
      <c r="AR385"/>
      <c r="AS385"/>
      <c r="AZ385" s="157"/>
      <c r="BA385" s="157"/>
      <c r="BB385" s="157"/>
      <c r="BC385" s="157"/>
      <c r="BD385" s="157"/>
      <c r="BE385" s="157"/>
      <c r="BF385" s="157"/>
      <c r="BG385" s="157"/>
      <c r="BH385" s="157"/>
      <c r="BI385" s="157"/>
    </row>
    <row r="386" spans="1:61" s="157" customFormat="1" ht="15" customHeight="1" x14ac:dyDescent="0.25">
      <c r="A386" s="18"/>
      <c r="B386" s="77">
        <v>608.1</v>
      </c>
      <c r="C386" s="21"/>
      <c r="D386" s="21"/>
      <c r="E386" s="21"/>
      <c r="F386" s="21"/>
      <c r="G386" s="21"/>
      <c r="H386" s="758"/>
      <c r="I386" s="64"/>
      <c r="J386" s="27"/>
      <c r="K386" s="83"/>
      <c r="L386" s="1179" t="s">
        <v>3090</v>
      </c>
      <c r="M386" s="1845"/>
      <c r="N386" s="4"/>
      <c r="O386" s="1780"/>
      <c r="P386" s="352"/>
      <c r="Q386" s="352"/>
      <c r="X386" s="1756"/>
      <c r="Y386" s="780"/>
      <c r="AA386" s="783"/>
      <c r="AX386" s="63"/>
      <c r="AY386" s="63"/>
      <c r="AZ386" s="63"/>
      <c r="BA386" s="63"/>
      <c r="BB386" s="63"/>
      <c r="BC386" s="63"/>
      <c r="BD386" s="63"/>
      <c r="BE386" s="63"/>
      <c r="BF386" s="63"/>
      <c r="BG386" s="63"/>
      <c r="BH386" s="63"/>
      <c r="BI386" s="63"/>
    </row>
    <row r="387" spans="1:61" ht="18.75" x14ac:dyDescent="0.3">
      <c r="B387" s="77">
        <v>609</v>
      </c>
      <c r="C387" s="21"/>
      <c r="D387" s="21"/>
      <c r="E387" s="21"/>
      <c r="F387" s="21"/>
      <c r="G387" s="21"/>
      <c r="H387" s="758"/>
      <c r="I387" s="14" t="s">
        <v>697</v>
      </c>
      <c r="J387" s="23"/>
      <c r="K387" s="82"/>
      <c r="L387" s="229"/>
      <c r="M387" s="390"/>
      <c r="N387" s="508"/>
      <c r="O387" s="498"/>
      <c r="P387" s="23"/>
      <c r="Q387" s="23"/>
      <c r="R387" s="23"/>
      <c r="S387" s="23"/>
      <c r="T387" s="23"/>
      <c r="U387" s="23"/>
      <c r="V387" s="23"/>
      <c r="W387" s="23"/>
      <c r="X387" s="23"/>
      <c r="Z387"/>
      <c r="AB387"/>
      <c r="AC387"/>
      <c r="AD387"/>
      <c r="AE387"/>
      <c r="AF387"/>
      <c r="AG387"/>
      <c r="AH387"/>
      <c r="AI387"/>
      <c r="AJ387"/>
      <c r="AK387"/>
      <c r="AL387"/>
      <c r="AM387"/>
      <c r="AN387"/>
      <c r="AO387"/>
      <c r="AP387"/>
      <c r="AQ387"/>
      <c r="AR387"/>
      <c r="AS387"/>
    </row>
    <row r="388" spans="1:61" ht="15" customHeight="1" x14ac:dyDescent="0.25">
      <c r="B388" s="77">
        <v>609.1</v>
      </c>
      <c r="C388" s="21"/>
      <c r="D388" s="21"/>
      <c r="E388" s="21"/>
      <c r="F388" s="21"/>
      <c r="G388" s="21"/>
      <c r="H388" s="758"/>
      <c r="I388" s="64">
        <v>609.1</v>
      </c>
      <c r="J388" s="4"/>
      <c r="K388" s="83"/>
      <c r="L388" s="1796" t="s">
        <v>698</v>
      </c>
      <c r="M388" s="1767" t="s">
        <v>699</v>
      </c>
      <c r="N388" s="4"/>
      <c r="O388" s="1780">
        <f ca="1">MIN(10,IFERROR(MATCH(W390,INDIRECT(U390),0),0)*2+IFERROR(MATCH(W392,INDIRECT(U392),0),0))</f>
        <v>0</v>
      </c>
      <c r="P388" s="352"/>
      <c r="Q388" s="352"/>
      <c r="U388"/>
      <c r="V388"/>
      <c r="Z388"/>
      <c r="AB388"/>
      <c r="AC388"/>
      <c r="AD388"/>
      <c r="AE388"/>
      <c r="AF388"/>
      <c r="AG388"/>
      <c r="AH388"/>
      <c r="AI388"/>
      <c r="AJ388"/>
      <c r="AK388"/>
      <c r="AL388" s="254" t="str">
        <f>SUBSTITUTE(SUBSTITUTE(SUBSTITUTE("dpa"&amp;$B388&amp;$C388&amp;$D388&amp;$E388,".","_"),"(","_"),")","")</f>
        <v>dpa609_1</v>
      </c>
      <c r="AM388" s="254" t="str">
        <f>M390</f>
        <v>2 per each component</v>
      </c>
      <c r="AN388" s="254" t="str">
        <f>SUBSTITUTE(SUBSTITUTE(SUBSTITUTE("dpc"&amp;$B388&amp;$C388&amp;$D388&amp;$E388,".","_"),"(","_"),")","")</f>
        <v>dpc609_1</v>
      </c>
      <c r="AO388" s="254">
        <f ca="1">O388</f>
        <v>0</v>
      </c>
      <c r="AP388"/>
      <c r="AQ388"/>
      <c r="AR388" s="735"/>
    </row>
    <row r="389" spans="1:61" x14ac:dyDescent="0.25">
      <c r="B389" s="77">
        <v>609.1</v>
      </c>
      <c r="C389" s="21"/>
      <c r="D389" s="21"/>
      <c r="E389" s="21"/>
      <c r="F389" s="21"/>
      <c r="G389" s="21"/>
      <c r="H389" s="758"/>
      <c r="I389" s="64"/>
      <c r="J389" s="4"/>
      <c r="K389" s="83"/>
      <c r="L389" s="1796"/>
      <c r="M389" s="1767"/>
      <c r="N389" s="4"/>
      <c r="O389" s="1780"/>
      <c r="U389" s="94"/>
      <c r="V389"/>
      <c r="W389" t="s">
        <v>3091</v>
      </c>
      <c r="X389"/>
      <c r="Z389"/>
      <c r="AB389"/>
      <c r="AF389"/>
      <c r="AG389"/>
      <c r="AH389"/>
      <c r="AI389"/>
      <c r="AJ389"/>
      <c r="AK389"/>
      <c r="AL389"/>
      <c r="AM389"/>
      <c r="AN389"/>
      <c r="AO389"/>
      <c r="AP389" s="254"/>
      <c r="AR389" s="1124"/>
      <c r="AS389"/>
      <c r="AX389" s="157"/>
      <c r="AY389" s="157"/>
    </row>
    <row r="390" spans="1:61" ht="15" customHeight="1" x14ac:dyDescent="0.25">
      <c r="B390" s="77">
        <v>609.1</v>
      </c>
      <c r="C390" s="21" t="s">
        <v>256</v>
      </c>
      <c r="D390" s="21"/>
      <c r="E390" s="21"/>
      <c r="F390" s="21"/>
      <c r="G390" s="21"/>
      <c r="H390" s="758"/>
      <c r="I390" s="64"/>
      <c r="J390" s="27" t="s">
        <v>256</v>
      </c>
      <c r="K390" s="83"/>
      <c r="L390" s="1198" t="s">
        <v>4880</v>
      </c>
      <c r="M390" s="1846" t="s">
        <v>4882</v>
      </c>
      <c r="N390" s="4"/>
      <c r="O390" s="1780"/>
      <c r="P390" s="352" t="b">
        <v>1</v>
      </c>
      <c r="Q390" s="352" t="b">
        <v>1</v>
      </c>
      <c r="R390" s="126" t="b">
        <v>0</v>
      </c>
      <c r="S390" s="126" t="b">
        <v>1</v>
      </c>
      <c r="T390" s="126" t="b">
        <v>0</v>
      </c>
      <c r="U390" s="94" t="str">
        <f>SUBSTITUTE(SUBSTITUTE(SUBSTITUTE("dd"&amp;B390&amp;C390&amp;D390&amp;E390&amp;F390,".","_"),"(","_"),")","")</f>
        <v>dd609_1_1</v>
      </c>
      <c r="V390"/>
      <c r="W390" s="12"/>
      <c r="X390" s="1757"/>
      <c r="AC390" s="157" t="b">
        <f>OR(AD390:AE390)</f>
        <v>0</v>
      </c>
      <c r="AD390" s="157" t="b">
        <v>0</v>
      </c>
      <c r="AE390" s="157" t="b">
        <f>AND(NOT(ISBLANK(W390)),LEN(X390)=0)</f>
        <v>0</v>
      </c>
      <c r="AL390" s="254" t="str">
        <f>SUBSTITUTE(SUBSTITUTE(SUBSTITUTE("dpa"&amp;$B390&amp;$C390&amp;$D390&amp;$E390,".","_"),"(","_"),")","")</f>
        <v>dpa609_1_1</v>
      </c>
      <c r="AM390" s="254" t="str">
        <f>M390</f>
        <v>2 per each component</v>
      </c>
      <c r="AP390" s="1130" t="str">
        <f>SUBSTITUTE(SUBSTITUTE(SUBSTITUTE("dch"&amp;$B390&amp;$C390&amp;$D390&amp;$E390,".","_"),"(","_"),")","")</f>
        <v>dch609_1_1</v>
      </c>
      <c r="AQ390" s="254" t="str">
        <f>IF(LEN(W390)=0,"",W390)</f>
        <v/>
      </c>
      <c r="AR390" s="1130" t="str">
        <f>SUBSTITUTE(SUBSTITUTE(SUBSTITUTE("dnt"&amp;$B390&amp;$C390&amp;$D390&amp;$E390,".","_"),"(","_"),")","")</f>
        <v>dnt609_1_1</v>
      </c>
      <c r="AS390" s="254" t="str">
        <f>IF(LEN(X390)=0,"",X390)</f>
        <v/>
      </c>
    </row>
    <row r="391" spans="1:61" s="1124" customFormat="1" ht="15" customHeight="1" x14ac:dyDescent="0.25">
      <c r="A391" s="18"/>
      <c r="B391" s="77">
        <v>609.1</v>
      </c>
      <c r="C391" s="21" t="s">
        <v>256</v>
      </c>
      <c r="D391" s="21"/>
      <c r="E391" s="21"/>
      <c r="F391" s="21"/>
      <c r="G391" s="21"/>
      <c r="H391" s="758"/>
      <c r="I391" s="64"/>
      <c r="J391" s="27"/>
      <c r="K391" s="1128"/>
      <c r="L391" s="1198"/>
      <c r="M391" s="1846"/>
      <c r="N391" s="4"/>
      <c r="O391" s="1780"/>
      <c r="W391" s="157" t="s">
        <v>3092</v>
      </c>
      <c r="X391" s="1757"/>
      <c r="AX391" s="157"/>
      <c r="AY391" s="157"/>
      <c r="AZ391" s="157"/>
      <c r="BA391" s="157"/>
      <c r="BB391" s="157"/>
      <c r="BC391" s="157"/>
      <c r="BD391" s="157"/>
      <c r="BE391" s="157"/>
      <c r="BF391" s="157"/>
      <c r="BG391" s="157"/>
      <c r="BH391" s="157"/>
      <c r="BI391" s="157"/>
    </row>
    <row r="392" spans="1:61" s="1124" customFormat="1" ht="15" customHeight="1" x14ac:dyDescent="0.25">
      <c r="A392" s="18"/>
      <c r="B392" s="77">
        <v>609.1</v>
      </c>
      <c r="C392" s="21" t="s">
        <v>258</v>
      </c>
      <c r="D392" s="21"/>
      <c r="E392" s="21"/>
      <c r="F392" s="21"/>
      <c r="G392" s="21"/>
      <c r="H392" s="758"/>
      <c r="I392" s="64"/>
      <c r="J392" s="27" t="s">
        <v>258</v>
      </c>
      <c r="K392" s="1128"/>
      <c r="L392" s="1198" t="s">
        <v>4881</v>
      </c>
      <c r="M392" s="1846" t="s">
        <v>4883</v>
      </c>
      <c r="N392" s="4"/>
      <c r="O392" s="1780"/>
      <c r="P392" s="352" t="b">
        <v>1</v>
      </c>
      <c r="Q392" s="352" t="b">
        <v>1</v>
      </c>
      <c r="R392" s="126" t="b">
        <v>0</v>
      </c>
      <c r="S392" s="126" t="b">
        <v>1</v>
      </c>
      <c r="T392" s="126" t="b">
        <v>0</v>
      </c>
      <c r="U392" s="94" t="str">
        <f>SUBSTITUTE(SUBSTITUTE(SUBSTITUTE("dd"&amp;B392&amp;C392&amp;D392&amp;E392&amp;F392,".","_"),"(","_"),")","")</f>
        <v>dd609_1_2</v>
      </c>
      <c r="W392" s="12"/>
      <c r="X392" s="1757"/>
      <c r="AC392" s="157" t="b">
        <f>OR(AD392:AE392)</f>
        <v>0</v>
      </c>
      <c r="AD392" s="157" t="b">
        <v>0</v>
      </c>
      <c r="AE392" s="157" t="b">
        <f>AND(NOT(ISBLANK(W392)),LEN(X392)=0)</f>
        <v>0</v>
      </c>
      <c r="AL392" s="254" t="str">
        <f>SUBSTITUTE(SUBSTITUTE(SUBSTITUTE("dpa"&amp;$B392&amp;$C392&amp;$D392&amp;$E392,".","_"),"(","_"),")","")</f>
        <v>dpa609_1_2</v>
      </c>
      <c r="AM392" s="254" t="str">
        <f>M392</f>
        <v>1 per each component</v>
      </c>
      <c r="AP392" s="1130" t="str">
        <f>SUBSTITUTE(SUBSTITUTE(SUBSTITUTE("dch"&amp;$B392&amp;$C392&amp;$D392&amp;$E392,".","_"),"(","_"),")","")</f>
        <v>dch609_1_2</v>
      </c>
      <c r="AQ392" s="254" t="str">
        <f>IF(LEN(W392)=0,"",W392)</f>
        <v/>
      </c>
      <c r="AR392" s="1130" t="str">
        <f>SUBSTITUTE(SUBSTITUTE(SUBSTITUTE("dnt"&amp;$B392&amp;$C392&amp;$D392&amp;$E392,".","_"),"(","_"),")","")</f>
        <v>dnt609_1_2</v>
      </c>
      <c r="AS392" s="254" t="str">
        <f>IF(LEN(X392)=0,"",X392)</f>
        <v/>
      </c>
    </row>
    <row r="393" spans="1:61" s="1124" customFormat="1" ht="15" customHeight="1" x14ac:dyDescent="0.25">
      <c r="A393" s="18"/>
      <c r="B393" s="77">
        <v>609.1</v>
      </c>
      <c r="C393" s="21" t="s">
        <v>258</v>
      </c>
      <c r="D393" s="21"/>
      <c r="E393" s="21"/>
      <c r="F393" s="21"/>
      <c r="G393" s="21"/>
      <c r="H393" s="758"/>
      <c r="I393" s="64"/>
      <c r="J393" s="27"/>
      <c r="K393" s="1128"/>
      <c r="L393" s="1198"/>
      <c r="M393" s="1846"/>
      <c r="N393" s="4"/>
      <c r="O393" s="1780"/>
      <c r="X393" s="1757"/>
      <c r="AP393" s="254"/>
    </row>
    <row r="394" spans="1:61" s="1124" customFormat="1" ht="15" customHeight="1" x14ac:dyDescent="0.25">
      <c r="A394" s="18"/>
      <c r="B394" s="77">
        <v>609.1</v>
      </c>
      <c r="C394" s="21"/>
      <c r="D394" s="21"/>
      <c r="E394" s="21"/>
      <c r="F394" s="21"/>
      <c r="G394" s="21"/>
      <c r="H394" s="758"/>
      <c r="I394" s="64"/>
      <c r="J394" s="4"/>
      <c r="K394" s="1128"/>
      <c r="L394" s="1851" t="s">
        <v>4879</v>
      </c>
      <c r="M394" s="1126"/>
      <c r="N394" s="4"/>
      <c r="O394" s="1125"/>
      <c r="X394"/>
      <c r="AP394" s="254"/>
    </row>
    <row r="395" spans="1:61" x14ac:dyDescent="0.25">
      <c r="B395" s="77">
        <v>609.1</v>
      </c>
      <c r="C395" s="21"/>
      <c r="D395" s="21"/>
      <c r="E395" s="21"/>
      <c r="F395" s="21"/>
      <c r="G395" s="21"/>
      <c r="H395" s="758"/>
      <c r="I395" s="64"/>
      <c r="J395" s="4"/>
      <c r="K395" s="83"/>
      <c r="L395" s="1851"/>
      <c r="M395" s="1126"/>
      <c r="N395" s="4"/>
      <c r="O395" s="1125"/>
      <c r="P395" s="352"/>
      <c r="Q395" s="352"/>
      <c r="U395"/>
      <c r="V395"/>
      <c r="X395"/>
      <c r="AP395" s="254"/>
      <c r="AR395" s="735"/>
      <c r="AX395" s="1124"/>
      <c r="AY395" s="1124"/>
      <c r="AZ395" s="1124"/>
      <c r="BA395" s="1124"/>
      <c r="BB395" s="1124"/>
      <c r="BC395" s="1124"/>
      <c r="BD395" s="1124"/>
      <c r="BE395" s="1124"/>
      <c r="BF395" s="1124"/>
      <c r="BG395" s="1124"/>
      <c r="BH395" s="1124"/>
      <c r="BI395" s="1124"/>
    </row>
    <row r="396" spans="1:61" s="157" customFormat="1" x14ac:dyDescent="0.25">
      <c r="A396" s="18"/>
      <c r="B396" s="77">
        <v>609.1</v>
      </c>
      <c r="C396" s="21"/>
      <c r="D396" s="21"/>
      <c r="E396" s="21"/>
      <c r="F396" s="21"/>
      <c r="G396" s="21"/>
      <c r="H396" s="758"/>
      <c r="I396" s="64"/>
      <c r="J396" s="4"/>
      <c r="K396" s="83"/>
      <c r="L396" s="1863"/>
      <c r="M396" s="1126"/>
      <c r="N396" s="4"/>
      <c r="O396" s="1125"/>
      <c r="U396" s="94"/>
      <c r="X396"/>
      <c r="Y396" s="780"/>
      <c r="AA396" s="783"/>
      <c r="AP396" s="254"/>
      <c r="AX396" s="63"/>
      <c r="AY396" s="63"/>
      <c r="AZ396" s="63"/>
      <c r="BA396" s="63"/>
      <c r="BB396" s="63"/>
      <c r="BC396" s="63"/>
      <c r="BD396" s="63"/>
      <c r="BE396" s="63"/>
      <c r="BF396" s="63"/>
      <c r="BG396" s="63"/>
      <c r="BH396" s="63"/>
      <c r="BI396" s="63"/>
    </row>
    <row r="397" spans="1:61" ht="15" customHeight="1" x14ac:dyDescent="0.25">
      <c r="B397" s="77">
        <v>609.1</v>
      </c>
      <c r="C397" s="21"/>
      <c r="D397" s="21"/>
      <c r="E397" s="21"/>
      <c r="F397" s="21"/>
      <c r="G397" s="21"/>
      <c r="H397" s="758"/>
      <c r="I397" s="64"/>
      <c r="J397" s="4"/>
      <c r="K397" s="83"/>
      <c r="L397" s="1849" t="s">
        <v>3104</v>
      </c>
      <c r="M397" s="1126"/>
      <c r="N397" s="4"/>
      <c r="O397" s="1125"/>
      <c r="P397" s="352"/>
      <c r="Q397" s="352"/>
      <c r="R397"/>
      <c r="S397"/>
      <c r="T397"/>
      <c r="U397"/>
      <c r="V397"/>
      <c r="W397"/>
      <c r="X397"/>
      <c r="AZ397" s="157"/>
      <c r="BA397" s="157"/>
      <c r="BB397" s="157"/>
      <c r="BC397" s="157"/>
      <c r="BD397" s="157"/>
      <c r="BE397" s="157"/>
      <c r="BF397" s="157"/>
      <c r="BG397" s="157"/>
      <c r="BH397" s="157"/>
      <c r="BI397" s="157"/>
    </row>
    <row r="398" spans="1:61" s="157" customFormat="1" ht="15" customHeight="1" x14ac:dyDescent="0.25">
      <c r="A398" s="18"/>
      <c r="B398" s="77">
        <v>609.1</v>
      </c>
      <c r="C398" s="21"/>
      <c r="D398" s="21"/>
      <c r="E398" s="21"/>
      <c r="F398" s="21"/>
      <c r="G398" s="21"/>
      <c r="H398" s="758"/>
      <c r="I398" s="64"/>
      <c r="J398" s="4"/>
      <c r="K398" s="83"/>
      <c r="L398" s="1859"/>
      <c r="M398" s="1126"/>
      <c r="N398" s="4"/>
      <c r="O398" s="1125"/>
      <c r="P398" s="352"/>
      <c r="Q398" s="352"/>
      <c r="X398"/>
      <c r="Y398" s="780"/>
      <c r="AA398" s="783"/>
      <c r="AX398" s="63"/>
      <c r="AY398" s="63"/>
      <c r="AZ398" s="63"/>
      <c r="BA398" s="63"/>
      <c r="BB398" s="63"/>
      <c r="BC398" s="63"/>
      <c r="BD398" s="63"/>
      <c r="BE398" s="63"/>
      <c r="BF398" s="63"/>
      <c r="BG398" s="63"/>
      <c r="BH398" s="63"/>
      <c r="BI398" s="63"/>
    </row>
    <row r="399" spans="1:61" ht="18.75" x14ac:dyDescent="0.3">
      <c r="B399" s="77">
        <v>610</v>
      </c>
      <c r="C399" s="21"/>
      <c r="D399" s="21"/>
      <c r="E399" s="21"/>
      <c r="F399" s="21"/>
      <c r="G399" s="21"/>
      <c r="H399" s="758"/>
      <c r="I399" s="14" t="s">
        <v>700</v>
      </c>
      <c r="J399" s="23"/>
      <c r="K399" s="82"/>
      <c r="L399" s="229"/>
      <c r="M399" s="390"/>
      <c r="N399" s="508"/>
      <c r="O399" s="498"/>
      <c r="P399" s="23"/>
      <c r="Q399" s="23"/>
      <c r="R399" s="23"/>
      <c r="S399" s="23"/>
      <c r="T399" s="23"/>
      <c r="U399" s="23"/>
      <c r="V399" s="23"/>
      <c r="W399" s="23"/>
      <c r="X399" s="23"/>
    </row>
    <row r="400" spans="1:61" ht="15" customHeight="1" x14ac:dyDescent="0.25">
      <c r="B400" s="77">
        <v>610.1</v>
      </c>
      <c r="C400" s="21"/>
      <c r="D400" s="21"/>
      <c r="E400" s="21"/>
      <c r="F400" s="21"/>
      <c r="G400" s="21"/>
      <c r="H400" s="758"/>
      <c r="I400" s="64">
        <v>610.1</v>
      </c>
      <c r="J400" s="4"/>
      <c r="K400" s="83"/>
      <c r="L400" s="1796" t="s">
        <v>701</v>
      </c>
      <c r="M400" s="66"/>
      <c r="N400" s="4"/>
      <c r="O400" s="141"/>
      <c r="P400" s="352"/>
      <c r="Q400" s="352"/>
      <c r="R400" t="b">
        <f ca="1">SUM(O409:O431)&gt;0</f>
        <v>0</v>
      </c>
      <c r="S400"/>
      <c r="T400"/>
      <c r="U400"/>
      <c r="V400"/>
      <c r="W400"/>
      <c r="X400" s="1757"/>
      <c r="AC400" s="1132" t="b">
        <f ca="1">OR(AD400:AE400)</f>
        <v>0</v>
      </c>
      <c r="AE400" s="1132" t="b">
        <f ca="1">AND(R400,LEN(X400)=0)</f>
        <v>0</v>
      </c>
      <c r="AR400" s="1132" t="str">
        <f>SUBSTITUTE(SUBSTITUTE(SUBSTITUTE("dnt"&amp;$B400&amp;$C400&amp;$D400&amp;$E400,".","_"),"(","_"),")","")</f>
        <v>dnt610_1</v>
      </c>
      <c r="AS400" s="254" t="str">
        <f>IF(LEN(X400)=0,"",X400)</f>
        <v/>
      </c>
    </row>
    <row r="401" spans="1:61" x14ac:dyDescent="0.25">
      <c r="B401" s="77">
        <v>610.1</v>
      </c>
      <c r="C401" s="21"/>
      <c r="D401" s="21"/>
      <c r="E401" s="21"/>
      <c r="F401" s="21"/>
      <c r="G401" s="21"/>
      <c r="H401" s="758"/>
      <c r="I401" s="64"/>
      <c r="J401" s="4"/>
      <c r="K401" s="83"/>
      <c r="L401" s="1796"/>
      <c r="M401" s="66"/>
      <c r="N401" s="4"/>
      <c r="O401" s="141"/>
      <c r="P401" s="352"/>
      <c r="Q401" s="352"/>
      <c r="R401"/>
      <c r="S401"/>
      <c r="T401"/>
      <c r="U401"/>
      <c r="V401"/>
      <c r="W401"/>
      <c r="X401" s="1757"/>
    </row>
    <row r="402" spans="1:61" x14ac:dyDescent="0.25">
      <c r="B402" s="77">
        <v>610.1</v>
      </c>
      <c r="C402" s="21"/>
      <c r="D402" s="21"/>
      <c r="E402" s="21"/>
      <c r="F402" s="21"/>
      <c r="G402" s="21"/>
      <c r="H402" s="758"/>
      <c r="I402" s="64"/>
      <c r="J402" s="4"/>
      <c r="K402" s="83"/>
      <c r="L402" s="1796"/>
      <c r="M402" s="66"/>
      <c r="N402" s="4"/>
      <c r="O402" s="141"/>
      <c r="P402" s="352"/>
      <c r="Q402" s="352"/>
      <c r="R402"/>
      <c r="S402"/>
      <c r="T402"/>
      <c r="U402"/>
      <c r="V402"/>
      <c r="W402"/>
      <c r="X402" s="1757"/>
    </row>
    <row r="403" spans="1:61" x14ac:dyDescent="0.25">
      <c r="B403" s="77">
        <v>610.1</v>
      </c>
      <c r="C403" s="21"/>
      <c r="D403" s="21"/>
      <c r="E403" s="21"/>
      <c r="F403" s="21"/>
      <c r="G403" s="21"/>
      <c r="H403" s="758"/>
      <c r="I403" s="64"/>
      <c r="J403" s="4"/>
      <c r="K403" s="83"/>
      <c r="L403" s="1796"/>
      <c r="M403" s="66"/>
      <c r="N403" s="4"/>
      <c r="O403" s="141"/>
      <c r="P403" s="352"/>
      <c r="Q403" s="352"/>
      <c r="X403" s="1757"/>
    </row>
    <row r="404" spans="1:61" s="1066" customFormat="1" x14ac:dyDescent="0.25">
      <c r="A404" s="18"/>
      <c r="B404" s="77">
        <v>610.1</v>
      </c>
      <c r="C404" s="21"/>
      <c r="D404" s="21"/>
      <c r="E404" s="21"/>
      <c r="F404" s="21"/>
      <c r="G404" s="21"/>
      <c r="H404" s="758"/>
      <c r="I404" s="64"/>
      <c r="J404" s="4"/>
      <c r="K404" s="1078"/>
      <c r="L404" s="1796"/>
      <c r="M404" s="66"/>
      <c r="N404" s="4"/>
      <c r="O404" s="1068"/>
      <c r="X404" s="1757"/>
      <c r="AX404" s="63"/>
      <c r="AY404" s="63"/>
      <c r="AZ404" s="63"/>
      <c r="BA404" s="63"/>
      <c r="BB404" s="63"/>
      <c r="BC404" s="63"/>
      <c r="BD404" s="63"/>
      <c r="BE404" s="63"/>
      <c r="BF404" s="63"/>
      <c r="BG404" s="63"/>
      <c r="BH404" s="63"/>
      <c r="BI404" s="63"/>
    </row>
    <row r="405" spans="1:61" x14ac:dyDescent="0.25">
      <c r="B405" s="77">
        <v>610.1</v>
      </c>
      <c r="C405" s="21"/>
      <c r="D405" s="21"/>
      <c r="E405" s="21"/>
      <c r="F405" s="21"/>
      <c r="G405" s="21"/>
      <c r="H405" s="758"/>
      <c r="I405" s="64"/>
      <c r="J405" s="4"/>
      <c r="K405" s="83"/>
      <c r="L405" s="1796"/>
      <c r="M405" s="66"/>
      <c r="N405" s="4"/>
      <c r="O405" s="141"/>
      <c r="P405" s="352"/>
      <c r="Q405" s="352"/>
      <c r="X405" s="1757"/>
      <c r="AX405" s="1066"/>
      <c r="AY405" s="1066"/>
      <c r="AZ405" s="1066"/>
      <c r="BA405" s="1066"/>
      <c r="BB405" s="1066"/>
      <c r="BC405" s="1066"/>
      <c r="BD405" s="1066"/>
      <c r="BE405" s="1066"/>
      <c r="BF405" s="1066"/>
      <c r="BG405" s="1066"/>
      <c r="BH405" s="1066"/>
      <c r="BI405" s="1066"/>
    </row>
    <row r="406" spans="1:61" ht="15.75" thickBot="1" x14ac:dyDescent="0.3">
      <c r="B406" s="77">
        <v>610.1</v>
      </c>
      <c r="C406" s="21"/>
      <c r="D406" s="21"/>
      <c r="E406" s="21"/>
      <c r="F406" s="21"/>
      <c r="G406" s="21"/>
      <c r="H406" s="758"/>
      <c r="I406" s="64"/>
      <c r="J406" s="4"/>
      <c r="K406" s="83"/>
      <c r="L406" s="1177" t="s">
        <v>4894</v>
      </c>
      <c r="M406" s="66"/>
      <c r="N406" s="4"/>
      <c r="O406" s="141"/>
      <c r="P406" s="352"/>
      <c r="Q406" s="352"/>
      <c r="X406" s="1757"/>
    </row>
    <row r="407" spans="1:61" ht="15.75" thickTop="1" x14ac:dyDescent="0.25">
      <c r="B407" s="77" t="s">
        <v>702</v>
      </c>
      <c r="C407" s="21"/>
      <c r="D407" s="21"/>
      <c r="E407" s="21"/>
      <c r="F407" s="21"/>
      <c r="G407" s="21"/>
      <c r="H407" s="758"/>
      <c r="I407" s="180" t="s">
        <v>702</v>
      </c>
      <c r="J407" s="181"/>
      <c r="K407" s="182"/>
      <c r="L407" s="1781" t="s">
        <v>703</v>
      </c>
      <c r="M407" s="509"/>
      <c r="N407" s="181"/>
      <c r="O407" s="500"/>
      <c r="P407" s="105"/>
      <c r="Q407" s="105"/>
      <c r="R407" s="105"/>
      <c r="S407" s="105"/>
      <c r="T407" s="105"/>
      <c r="U407" s="105"/>
      <c r="V407" s="105"/>
      <c r="W407" s="105"/>
      <c r="X407" s="105"/>
    </row>
    <row r="408" spans="1:61" x14ac:dyDescent="0.25">
      <c r="B408" s="77" t="s">
        <v>702</v>
      </c>
      <c r="C408" s="21"/>
      <c r="D408" s="21"/>
      <c r="E408" s="21"/>
      <c r="F408" s="21"/>
      <c r="G408" s="21"/>
      <c r="H408" s="758"/>
      <c r="I408" s="130"/>
      <c r="J408" s="129"/>
      <c r="K408" s="95"/>
      <c r="L408" s="1782"/>
      <c r="M408" s="510"/>
      <c r="N408" s="129"/>
      <c r="O408" s="239"/>
      <c r="P408" s="94"/>
      <c r="Q408" s="94"/>
      <c r="R408" s="94"/>
      <c r="S408" s="94"/>
      <c r="T408" s="94"/>
      <c r="U408" s="94"/>
      <c r="V408" s="94"/>
      <c r="W408" s="94"/>
      <c r="X408" s="94"/>
    </row>
    <row r="409" spans="1:61" x14ac:dyDescent="0.25">
      <c r="B409" s="77" t="s">
        <v>702</v>
      </c>
      <c r="C409" s="21" t="s">
        <v>256</v>
      </c>
      <c r="D409" s="78"/>
      <c r="E409" s="21"/>
      <c r="F409" s="78"/>
      <c r="G409" s="78"/>
      <c r="H409" s="763"/>
      <c r="I409" s="64"/>
      <c r="J409" s="183" t="s">
        <v>256</v>
      </c>
      <c r="K409" s="95"/>
      <c r="L409" s="1754" t="s">
        <v>704</v>
      </c>
      <c r="M409" s="1758">
        <v>8</v>
      </c>
      <c r="N409" s="129"/>
      <c r="O409" s="1774">
        <f>M409*S409*W409</f>
        <v>0</v>
      </c>
      <c r="P409" s="352" t="b">
        <v>1</v>
      </c>
      <c r="Q409" s="352" t="b">
        <v>0</v>
      </c>
      <c r="R409" s="126" t="b">
        <v>0</v>
      </c>
      <c r="S409" s="126" t="b">
        <f>NOT(OR(NOT(ISBLANK(W434)),NOT(ISBLANK(W441)),NOT(ISBLANK(W447)),NOT(ISBLANK(W454)),NOT(ISBLANK(W460)),NOT(ISBLANK(W466))))</f>
        <v>1</v>
      </c>
      <c r="T409" s="94" t="b">
        <f>AND(NOT(S409),W409=TRUE)</f>
        <v>0</v>
      </c>
      <c r="W409" s="25"/>
      <c r="X409" s="1757"/>
      <c r="AC409" s="159" t="b">
        <f>OR(AD409:AE409)</f>
        <v>0</v>
      </c>
      <c r="AD409" s="159" t="b">
        <f>T409</f>
        <v>0</v>
      </c>
      <c r="AL409" s="254" t="str">
        <f>SUBSTITUTE(SUBSTITUTE(SUBSTITUTE("dpa"&amp;$B409&amp;$C409&amp;$D409&amp;$E409,".","_"),"(","_"),")","")</f>
        <v>dpa610_1_1_1</v>
      </c>
      <c r="AM409" s="254">
        <f>M409</f>
        <v>8</v>
      </c>
      <c r="AN409" s="254" t="str">
        <f>SUBSTITUTE(SUBSTITUTE(SUBSTITUTE("dpc"&amp;$B409&amp;$C409&amp;$D409&amp;$E409,".","_"),"(","_"),")","")</f>
        <v>dpc610_1_1_1</v>
      </c>
      <c r="AO409" s="254">
        <f>O409</f>
        <v>0</v>
      </c>
      <c r="AP409" s="1130" t="str">
        <f>SUBSTITUTE(SUBSTITUTE(SUBSTITUTE("dch"&amp;$B409&amp;$C409&amp;$D409&amp;$E409,".","_"),"(","_"),")","")</f>
        <v>dch610_1_1_1</v>
      </c>
      <c r="AQ409" s="254" t="str">
        <f>IF(LEN(W409)=0,"",W409)</f>
        <v/>
      </c>
      <c r="AR409" s="1130" t="str">
        <f>SUBSTITUTE(SUBSTITUTE(SUBSTITUTE("dnt"&amp;$B409&amp;$C409&amp;$D409&amp;$E409,".","_"),"(","_"),")","")</f>
        <v>dnt610_1_1_1</v>
      </c>
      <c r="AS409" s="254" t="str">
        <f>IF(LEN(X409)=0,"",X409)</f>
        <v/>
      </c>
    </row>
    <row r="410" spans="1:61" x14ac:dyDescent="0.25">
      <c r="B410" s="77" t="s">
        <v>702</v>
      </c>
      <c r="C410" s="21" t="s">
        <v>256</v>
      </c>
      <c r="D410" s="78"/>
      <c r="E410" s="21"/>
      <c r="F410" s="78"/>
      <c r="G410" s="78"/>
      <c r="H410" s="763"/>
      <c r="I410" s="64"/>
      <c r="J410" s="129"/>
      <c r="K410" s="95"/>
      <c r="L410" s="1754"/>
      <c r="M410" s="1758"/>
      <c r="N410" s="129"/>
      <c r="O410" s="1774"/>
      <c r="P410" s="352"/>
      <c r="Q410" s="352"/>
      <c r="X410" s="1757"/>
    </row>
    <row r="411" spans="1:61" x14ac:dyDescent="0.25">
      <c r="B411" s="77" t="s">
        <v>702</v>
      </c>
      <c r="C411" s="21" t="s">
        <v>256</v>
      </c>
      <c r="D411" s="78"/>
      <c r="E411" s="21"/>
      <c r="F411" s="78"/>
      <c r="G411" s="78"/>
      <c r="H411" s="763"/>
      <c r="I411" s="64"/>
      <c r="J411" s="129"/>
      <c r="K411" s="95"/>
      <c r="L411" s="1754"/>
      <c r="M411" s="1758"/>
      <c r="N411" s="129"/>
      <c r="O411" s="1774"/>
      <c r="P411" s="352"/>
      <c r="Q411" s="352"/>
      <c r="X411" s="1757"/>
    </row>
    <row r="412" spans="1:61" x14ac:dyDescent="0.25">
      <c r="B412" s="77" t="s">
        <v>702</v>
      </c>
      <c r="C412" s="21" t="s">
        <v>256</v>
      </c>
      <c r="D412" s="21" t="s">
        <v>121</v>
      </c>
      <c r="E412" s="21"/>
      <c r="F412" s="21"/>
      <c r="G412" s="21"/>
      <c r="H412" s="758"/>
      <c r="I412" s="64"/>
      <c r="J412" s="129"/>
      <c r="K412" s="91" t="s">
        <v>121</v>
      </c>
      <c r="L412" s="1162" t="s">
        <v>705</v>
      </c>
      <c r="M412" s="1758"/>
      <c r="N412" s="129"/>
      <c r="O412" s="1774"/>
      <c r="P412" s="352"/>
      <c r="Q412" s="352"/>
      <c r="X412" s="1757"/>
    </row>
    <row r="413" spans="1:61" x14ac:dyDescent="0.25">
      <c r="B413" s="77" t="s">
        <v>702</v>
      </c>
      <c r="C413" s="21" t="s">
        <v>256</v>
      </c>
      <c r="D413" s="21" t="s">
        <v>122</v>
      </c>
      <c r="E413" s="21"/>
      <c r="F413" s="21"/>
      <c r="G413" s="21"/>
      <c r="H413" s="758"/>
      <c r="I413" s="64"/>
      <c r="J413" s="129"/>
      <c r="K413" s="91" t="s">
        <v>122</v>
      </c>
      <c r="L413" s="1162" t="s">
        <v>706</v>
      </c>
      <c r="M413" s="1758"/>
      <c r="N413" s="129"/>
      <c r="O413" s="1774"/>
      <c r="P413" s="352"/>
      <c r="Q413" s="352"/>
      <c r="X413" s="1757"/>
    </row>
    <row r="414" spans="1:61" x14ac:dyDescent="0.25">
      <c r="B414" s="77" t="s">
        <v>702</v>
      </c>
      <c r="C414" s="21" t="s">
        <v>256</v>
      </c>
      <c r="D414" s="21" t="s">
        <v>123</v>
      </c>
      <c r="E414" s="21"/>
      <c r="F414" s="21"/>
      <c r="G414" s="21"/>
      <c r="H414" s="758"/>
      <c r="I414" s="64"/>
      <c r="J414" s="129"/>
      <c r="K414" s="91" t="s">
        <v>123</v>
      </c>
      <c r="L414" s="1162" t="s">
        <v>707</v>
      </c>
      <c r="M414" s="1758"/>
      <c r="N414" s="129"/>
      <c r="O414" s="1774"/>
      <c r="P414" s="352"/>
      <c r="Q414" s="352"/>
      <c r="X414" s="1757"/>
    </row>
    <row r="415" spans="1:61" x14ac:dyDescent="0.25">
      <c r="B415" s="77" t="s">
        <v>702</v>
      </c>
      <c r="C415" s="21" t="s">
        <v>256</v>
      </c>
      <c r="D415" s="26" t="s">
        <v>401</v>
      </c>
      <c r="E415" s="21"/>
      <c r="F415" s="26"/>
      <c r="G415" s="26"/>
      <c r="H415" s="759"/>
      <c r="I415" s="64"/>
      <c r="J415" s="129"/>
      <c r="K415" s="110" t="s">
        <v>401</v>
      </c>
      <c r="L415" s="1162" t="s">
        <v>708</v>
      </c>
      <c r="M415" s="1758"/>
      <c r="N415" s="129"/>
      <c r="O415" s="1774"/>
      <c r="P415" s="352"/>
      <c r="Q415" s="352"/>
      <c r="X415" s="1757"/>
    </row>
    <row r="416" spans="1:61" x14ac:dyDescent="0.25">
      <c r="B416" s="77" t="s">
        <v>702</v>
      </c>
      <c r="C416" s="21" t="s">
        <v>256</v>
      </c>
      <c r="D416" s="21" t="s">
        <v>539</v>
      </c>
      <c r="E416" s="21"/>
      <c r="F416" s="21"/>
      <c r="G416" s="21"/>
      <c r="H416" s="758"/>
      <c r="I416" s="64"/>
      <c r="J416" s="129"/>
      <c r="K416" s="187" t="s">
        <v>539</v>
      </c>
      <c r="L416" s="1162" t="s">
        <v>709</v>
      </c>
      <c r="M416" s="1758"/>
      <c r="N416" s="129"/>
      <c r="O416" s="1774"/>
      <c r="P416" s="352"/>
      <c r="Q416" s="352"/>
      <c r="X416" s="1757"/>
    </row>
    <row r="417" spans="1:61" x14ac:dyDescent="0.25">
      <c r="B417" s="77" t="s">
        <v>702</v>
      </c>
      <c r="C417" s="21" t="s">
        <v>256</v>
      </c>
      <c r="D417" s="21" t="s">
        <v>604</v>
      </c>
      <c r="E417" s="21"/>
      <c r="F417" s="21"/>
      <c r="G417" s="21"/>
      <c r="H417" s="758"/>
      <c r="I417" s="64"/>
      <c r="J417" s="210"/>
      <c r="K417" s="174" t="s">
        <v>604</v>
      </c>
      <c r="L417" s="1163" t="s">
        <v>710</v>
      </c>
      <c r="M417" s="1759"/>
      <c r="N417" s="210"/>
      <c r="O417" s="1764"/>
      <c r="P417" s="352"/>
      <c r="Q417" s="352"/>
      <c r="X417" s="1757"/>
    </row>
    <row r="418" spans="1:61" x14ac:dyDescent="0.25">
      <c r="B418" s="77" t="s">
        <v>702</v>
      </c>
      <c r="C418" s="21" t="s">
        <v>258</v>
      </c>
      <c r="D418" s="78"/>
      <c r="E418" s="21"/>
      <c r="F418" s="78"/>
      <c r="G418" s="78"/>
      <c r="H418" s="763"/>
      <c r="I418" s="64"/>
      <c r="J418" s="209" t="s">
        <v>258</v>
      </c>
      <c r="K418" s="194"/>
      <c r="L418" s="1778" t="s">
        <v>711</v>
      </c>
      <c r="M418" s="1762">
        <v>5</v>
      </c>
      <c r="N418" s="193"/>
      <c r="O418" s="1763">
        <f>M418*S418*W418</f>
        <v>0</v>
      </c>
      <c r="P418" s="352" t="b">
        <v>1</v>
      </c>
      <c r="Q418" s="352" t="b">
        <v>0</v>
      </c>
      <c r="R418" s="126" t="b">
        <v>0</v>
      </c>
      <c r="S418" s="157" t="b">
        <f>NOT(OR(NOT(ISBLANK(W434)),NOT(ISBLANK(W441)),NOT(ISBLANK(W447)),NOT(ISBLANK(W454)),NOT(ISBLANK(W460)),NOT(ISBLANK(W466))))</f>
        <v>1</v>
      </c>
      <c r="T418" s="94" t="b">
        <f>AND(NOT(S418),W418=TRUE)</f>
        <v>0</v>
      </c>
      <c r="W418" s="25"/>
      <c r="X418" s="1757"/>
      <c r="AC418" s="159" t="b">
        <f>OR(AD418:AE418)</f>
        <v>0</v>
      </c>
      <c r="AD418" s="159" t="b">
        <f>T418</f>
        <v>0</v>
      </c>
      <c r="AL418" s="254" t="str">
        <f>SUBSTITUTE(SUBSTITUTE(SUBSTITUTE("dpa"&amp;$B418&amp;$C418&amp;$D418&amp;$E418,".","_"),"(","_"),")","")</f>
        <v>dpa610_1_1_2</v>
      </c>
      <c r="AM418" s="254">
        <f>M418</f>
        <v>5</v>
      </c>
      <c r="AN418" s="254" t="str">
        <f>SUBSTITUTE(SUBSTITUTE(SUBSTITUTE("dpc"&amp;$B418&amp;$C418&amp;$D418&amp;$E418,".","_"),"(","_"),")","")</f>
        <v>dpc610_1_1_2</v>
      </c>
      <c r="AO418" s="254">
        <f>O418</f>
        <v>0</v>
      </c>
      <c r="AP418" s="1130" t="str">
        <f>SUBSTITUTE(SUBSTITUTE(SUBSTITUTE("dch"&amp;$B418&amp;$C418&amp;$D418&amp;$E418,".","_"),"(","_"),")","")</f>
        <v>dch610_1_1_2</v>
      </c>
      <c r="AQ418" s="254" t="str">
        <f>IF(LEN(W418)=0,"",W418)</f>
        <v/>
      </c>
      <c r="AR418" s="1130" t="str">
        <f>SUBSTITUTE(SUBSTITUTE(SUBSTITUTE("dnt"&amp;$B418&amp;$C418&amp;$D418&amp;$E418,".","_"),"(","_"),")","")</f>
        <v>dnt610_1_1_2</v>
      </c>
      <c r="AS418" s="254" t="str">
        <f>IF(LEN(X418)=0,"",X418)</f>
        <v/>
      </c>
    </row>
    <row r="419" spans="1:61" x14ac:dyDescent="0.25">
      <c r="B419" s="77" t="s">
        <v>702</v>
      </c>
      <c r="C419" s="21" t="s">
        <v>258</v>
      </c>
      <c r="D419" s="78"/>
      <c r="E419" s="21"/>
      <c r="F419" s="78"/>
      <c r="G419" s="78"/>
      <c r="H419" s="763"/>
      <c r="I419" s="64"/>
      <c r="J419" s="129"/>
      <c r="K419" s="95"/>
      <c r="L419" s="1754"/>
      <c r="M419" s="1758"/>
      <c r="N419" s="129"/>
      <c r="O419" s="1774"/>
      <c r="P419" s="352"/>
      <c r="Q419" s="352"/>
      <c r="X419" s="1757"/>
    </row>
    <row r="420" spans="1:61" x14ac:dyDescent="0.25">
      <c r="B420" s="77" t="s">
        <v>702</v>
      </c>
      <c r="C420" s="21" t="s">
        <v>258</v>
      </c>
      <c r="D420" s="78"/>
      <c r="E420" s="21"/>
      <c r="F420" s="78"/>
      <c r="G420" s="78"/>
      <c r="H420" s="763"/>
      <c r="I420" s="64"/>
      <c r="J420" s="129"/>
      <c r="K420" s="95"/>
      <c r="L420" s="1754"/>
      <c r="M420" s="1758"/>
      <c r="N420" s="129"/>
      <c r="O420" s="1774"/>
      <c r="P420" s="352"/>
      <c r="Q420" s="352"/>
      <c r="X420" s="1757"/>
    </row>
    <row r="421" spans="1:61" x14ac:dyDescent="0.25">
      <c r="B421" s="77" t="s">
        <v>702</v>
      </c>
      <c r="C421" s="21" t="s">
        <v>258</v>
      </c>
      <c r="D421" s="78"/>
      <c r="E421" s="21"/>
      <c r="F421" s="78"/>
      <c r="G421" s="78"/>
      <c r="H421" s="763"/>
      <c r="I421" s="64"/>
      <c r="J421" s="129"/>
      <c r="K421" s="95"/>
      <c r="L421" s="1754"/>
      <c r="M421" s="1758"/>
      <c r="N421" s="129"/>
      <c r="O421" s="1774"/>
      <c r="P421" s="352"/>
      <c r="Q421" s="352"/>
      <c r="X421" s="1757"/>
    </row>
    <row r="422" spans="1:61" s="1066" customFormat="1" x14ac:dyDescent="0.25">
      <c r="A422" s="18"/>
      <c r="B422" s="77" t="s">
        <v>702</v>
      </c>
      <c r="C422" s="21" t="s">
        <v>258</v>
      </c>
      <c r="D422" s="78"/>
      <c r="E422" s="21"/>
      <c r="F422" s="78"/>
      <c r="G422" s="78"/>
      <c r="H422" s="763"/>
      <c r="I422" s="64"/>
      <c r="J422" s="129"/>
      <c r="K422" s="1072"/>
      <c r="L422" s="1754"/>
      <c r="M422" s="1758"/>
      <c r="N422" s="129"/>
      <c r="O422" s="1774"/>
      <c r="X422" s="1757"/>
      <c r="AX422" s="63"/>
      <c r="AY422" s="63"/>
      <c r="AZ422" s="63"/>
      <c r="BA422" s="63"/>
      <c r="BB422" s="63"/>
      <c r="BC422" s="63"/>
      <c r="BD422" s="63"/>
      <c r="BE422" s="63"/>
      <c r="BF422" s="63"/>
      <c r="BG422" s="63"/>
      <c r="BH422" s="63"/>
      <c r="BI422" s="63"/>
    </row>
    <row r="423" spans="1:61" x14ac:dyDescent="0.25">
      <c r="B423" s="77" t="s">
        <v>702</v>
      </c>
      <c r="C423" s="21" t="s">
        <v>258</v>
      </c>
      <c r="D423" s="78"/>
      <c r="E423" s="21"/>
      <c r="F423" s="78"/>
      <c r="G423" s="78"/>
      <c r="H423" s="763"/>
      <c r="I423" s="64"/>
      <c r="J423" s="129"/>
      <c r="K423" s="95"/>
      <c r="L423" s="1754"/>
      <c r="M423" s="1758"/>
      <c r="N423" s="129"/>
      <c r="O423" s="1774"/>
      <c r="P423" s="352"/>
      <c r="Q423" s="352"/>
      <c r="X423" s="1757"/>
      <c r="AX423" s="1066"/>
      <c r="AY423" s="1066"/>
      <c r="AZ423" s="1066"/>
      <c r="BA423" s="1066"/>
      <c r="BB423" s="1066"/>
      <c r="BC423" s="1066"/>
      <c r="BD423" s="1066"/>
      <c r="BE423" s="1066"/>
      <c r="BF423" s="1066"/>
      <c r="BG423" s="1066"/>
      <c r="BH423" s="1066"/>
      <c r="BI423" s="1066"/>
    </row>
    <row r="424" spans="1:61" x14ac:dyDescent="0.25">
      <c r="B424" s="77" t="s">
        <v>702</v>
      </c>
      <c r="C424" s="21" t="s">
        <v>258</v>
      </c>
      <c r="D424" s="78"/>
      <c r="E424" s="21"/>
      <c r="F424" s="78"/>
      <c r="G424" s="78"/>
      <c r="H424" s="763"/>
      <c r="I424" s="64"/>
      <c r="J424" s="129"/>
      <c r="K424" s="95"/>
      <c r="L424" s="1754"/>
      <c r="M424" s="1758"/>
      <c r="N424" s="129"/>
      <c r="O424" s="1774"/>
      <c r="P424" s="352"/>
      <c r="Q424" s="352"/>
      <c r="X424" s="1757"/>
    </row>
    <row r="425" spans="1:61" x14ac:dyDescent="0.25">
      <c r="B425" s="77" t="s">
        <v>702</v>
      </c>
      <c r="C425" s="21" t="s">
        <v>258</v>
      </c>
      <c r="D425" s="78"/>
      <c r="E425" s="21"/>
      <c r="F425" s="78"/>
      <c r="G425" s="78"/>
      <c r="H425" s="763"/>
      <c r="I425" s="64"/>
      <c r="J425" s="210"/>
      <c r="K425" s="175"/>
      <c r="L425" s="1755"/>
      <c r="M425" s="1759"/>
      <c r="N425" s="210"/>
      <c r="O425" s="1764"/>
      <c r="P425" s="352"/>
      <c r="Q425" s="352"/>
      <c r="X425" s="1757"/>
    </row>
    <row r="426" spans="1:61" x14ac:dyDescent="0.25">
      <c r="B426" s="77" t="s">
        <v>702</v>
      </c>
      <c r="C426" s="21" t="s">
        <v>260</v>
      </c>
      <c r="D426" s="78"/>
      <c r="E426" s="21"/>
      <c r="F426" s="78"/>
      <c r="G426" s="78"/>
      <c r="H426" s="763"/>
      <c r="I426" s="64"/>
      <c r="J426" s="27" t="s">
        <v>260</v>
      </c>
      <c r="K426" s="83"/>
      <c r="L426" s="1779" t="s">
        <v>712</v>
      </c>
      <c r="M426" s="1767">
        <v>2</v>
      </c>
      <c r="N426" s="4"/>
      <c r="O426" s="1780">
        <f>M426*S426*W426</f>
        <v>0</v>
      </c>
      <c r="P426" s="352" t="b">
        <v>1</v>
      </c>
      <c r="Q426" s="352" t="b">
        <v>0</v>
      </c>
      <c r="R426" s="126" t="b">
        <v>0</v>
      </c>
      <c r="S426" s="157" t="b">
        <f>NOT(OR(NOT(ISBLANK(W434)),NOT(ISBLANK(W441)),NOT(ISBLANK(W447)),NOT(ISBLANK(W454)),NOT(ISBLANK(W460)),NOT(ISBLANK(W466))))</f>
        <v>1</v>
      </c>
      <c r="T426" s="94" t="b">
        <f>AND(NOT(S426),W426=TRUE)</f>
        <v>0</v>
      </c>
      <c r="W426" s="25"/>
      <c r="X426" s="1798"/>
      <c r="AC426" s="159" t="b">
        <f>OR(AD426:AE426)</f>
        <v>0</v>
      </c>
      <c r="AD426" s="159" t="b">
        <f>T426</f>
        <v>0</v>
      </c>
      <c r="AL426" s="254" t="str">
        <f>SUBSTITUTE(SUBSTITUTE(SUBSTITUTE("dpa"&amp;$B426&amp;$C426&amp;$D426&amp;$E426,".","_"),"(","_"),")","")</f>
        <v>dpa610_1_1_3</v>
      </c>
      <c r="AM426" s="254">
        <f>M426</f>
        <v>2</v>
      </c>
      <c r="AN426" s="254" t="str">
        <f>SUBSTITUTE(SUBSTITUTE(SUBSTITUTE("dpc"&amp;$B426&amp;$C426&amp;$D426&amp;$E426,".","_"),"(","_"),")","")</f>
        <v>dpc610_1_1_3</v>
      </c>
      <c r="AO426" s="254">
        <f>O426</f>
        <v>0</v>
      </c>
      <c r="AP426" s="1130" t="str">
        <f>SUBSTITUTE(SUBSTITUTE(SUBSTITUTE("dch"&amp;$B426&amp;$C426&amp;$D426&amp;$E426,".","_"),"(","_"),")","")</f>
        <v>dch610_1_1_3</v>
      </c>
      <c r="AQ426" s="254" t="str">
        <f>IF(LEN(W426)=0,"",W426)</f>
        <v/>
      </c>
      <c r="AR426" s="1130" t="str">
        <f>SUBSTITUTE(SUBSTITUTE(SUBSTITUTE("dnt"&amp;$B426&amp;$C426&amp;$D426&amp;$E426,".","_"),"(","_"),")","")</f>
        <v>dnt610_1_1_3</v>
      </c>
      <c r="AS426" s="254" t="str">
        <f>IF(LEN(X426)=0,"",X426)</f>
        <v/>
      </c>
    </row>
    <row r="427" spans="1:61" ht="15.75" thickBot="1" x14ac:dyDescent="0.3">
      <c r="B427" s="77" t="s">
        <v>702</v>
      </c>
      <c r="C427" s="21" t="s">
        <v>260</v>
      </c>
      <c r="D427" s="78"/>
      <c r="E427" s="21"/>
      <c r="F427" s="78"/>
      <c r="G427" s="78"/>
      <c r="H427" s="763"/>
      <c r="I427" s="64"/>
      <c r="J427" s="4"/>
      <c r="K427" s="83"/>
      <c r="L427" s="1779"/>
      <c r="M427" s="1767"/>
      <c r="N427" s="4"/>
      <c r="O427" s="1780"/>
      <c r="P427" s="352"/>
      <c r="Q427" s="352"/>
      <c r="X427" s="1799"/>
    </row>
    <row r="428" spans="1:61" ht="15.75" thickTop="1" x14ac:dyDescent="0.25">
      <c r="B428" s="77" t="s">
        <v>713</v>
      </c>
      <c r="C428" s="21"/>
      <c r="D428" s="21"/>
      <c r="E428" s="21"/>
      <c r="F428" s="21"/>
      <c r="G428" s="21"/>
      <c r="H428" s="758"/>
      <c r="I428" s="180" t="s">
        <v>713</v>
      </c>
      <c r="J428" s="181"/>
      <c r="K428" s="182"/>
      <c r="L428" s="1781" t="s">
        <v>714</v>
      </c>
      <c r="M428" s="1772" t="s">
        <v>715</v>
      </c>
      <c r="N428" s="181"/>
      <c r="O428" s="1773">
        <f ca="1">MIN(10,(R435+R442)+IFERROR((INDEX({3,3,6,4,4,6,8,5,5,9,9,10},MATCH(R446*4+S446*5,{8,9,10,12,13,14,15,16,17,18,19,20},0))),0))</f>
        <v>0</v>
      </c>
      <c r="P428" s="105"/>
      <c r="Q428" s="105"/>
      <c r="R428" s="105"/>
      <c r="S428" s="105"/>
      <c r="T428" s="105"/>
      <c r="U428" s="105"/>
      <c r="V428" s="105"/>
      <c r="W428" s="105"/>
      <c r="X428" s="105"/>
      <c r="AL428" s="254" t="str">
        <f>SUBSTITUTE(SUBSTITUTE(SUBSTITUTE("dpa"&amp;$B428&amp;$C428&amp;$D428&amp;$E428,".","_"),"(","_"),")","")</f>
        <v>dpa610_1_2</v>
      </c>
      <c r="AM428" s="254" t="str">
        <f>M428</f>
        <v xml:space="preserve">10 Max </v>
      </c>
      <c r="AN428" s="254" t="str">
        <f>SUBSTITUTE(SUBSTITUTE(SUBSTITUTE("dpc"&amp;$B428&amp;$C428&amp;$D428&amp;$E428,".","_"),"(","_"),")","")</f>
        <v>dpc610_1_2</v>
      </c>
      <c r="AO428" s="254">
        <f ca="1">O428</f>
        <v>0</v>
      </c>
    </row>
    <row r="429" spans="1:61" x14ac:dyDescent="0.25">
      <c r="B429" s="77" t="s">
        <v>713</v>
      </c>
      <c r="C429" s="21"/>
      <c r="D429" s="21"/>
      <c r="E429" s="21"/>
      <c r="F429" s="21"/>
      <c r="G429" s="21"/>
      <c r="H429" s="758"/>
      <c r="I429" s="130"/>
      <c r="J429" s="129"/>
      <c r="K429" s="95"/>
      <c r="L429" s="1782"/>
      <c r="M429" s="1758"/>
      <c r="N429" s="129"/>
      <c r="O429" s="1774"/>
      <c r="P429" s="94"/>
      <c r="Q429" s="94"/>
      <c r="R429" s="94"/>
      <c r="S429" s="94"/>
      <c r="T429" s="94"/>
      <c r="U429" s="94"/>
      <c r="V429" s="94"/>
      <c r="W429" s="94"/>
      <c r="X429" s="94"/>
    </row>
    <row r="430" spans="1:61" x14ac:dyDescent="0.25">
      <c r="B430" s="77" t="s">
        <v>713</v>
      </c>
      <c r="C430" s="21"/>
      <c r="D430" s="21"/>
      <c r="E430" s="21"/>
      <c r="F430" s="21"/>
      <c r="G430" s="21"/>
      <c r="H430" s="758"/>
      <c r="I430" s="130"/>
      <c r="J430" s="129"/>
      <c r="K430" s="95"/>
      <c r="L430" s="1782"/>
      <c r="M430" s="1758"/>
      <c r="N430" s="129"/>
      <c r="O430" s="1774"/>
      <c r="P430" s="94"/>
      <c r="Q430" s="94"/>
      <c r="R430" s="94"/>
      <c r="S430" s="94"/>
      <c r="T430" s="94"/>
      <c r="U430" s="94"/>
      <c r="V430" s="94"/>
      <c r="W430" s="94"/>
      <c r="X430" s="94"/>
    </row>
    <row r="431" spans="1:61" x14ac:dyDescent="0.25">
      <c r="B431" s="77" t="s">
        <v>713</v>
      </c>
      <c r="C431" s="21"/>
      <c r="D431" s="21"/>
      <c r="E431" s="21"/>
      <c r="F431" s="21"/>
      <c r="G431" s="21"/>
      <c r="H431" s="758"/>
      <c r="I431" s="215"/>
      <c r="J431" s="210"/>
      <c r="K431" s="175"/>
      <c r="L431" s="1843"/>
      <c r="M431" s="1759"/>
      <c r="N431" s="210"/>
      <c r="O431" s="1764"/>
      <c r="P431" s="94"/>
      <c r="Q431" s="94"/>
      <c r="R431" s="94"/>
      <c r="S431" s="94"/>
      <c r="T431" s="94"/>
      <c r="U431" s="94"/>
      <c r="V431" s="94"/>
      <c r="W431" s="94"/>
      <c r="X431" s="94"/>
    </row>
    <row r="432" spans="1:61" x14ac:dyDescent="0.25">
      <c r="B432" s="77" t="s">
        <v>716</v>
      </c>
      <c r="C432" s="21"/>
      <c r="D432" s="21"/>
      <c r="E432" s="21"/>
      <c r="F432" s="21"/>
      <c r="G432" s="21"/>
      <c r="H432" s="758"/>
      <c r="I432" s="192" t="s">
        <v>716</v>
      </c>
      <c r="J432" s="193"/>
      <c r="K432" s="194"/>
      <c r="L432" s="1864" t="s">
        <v>717</v>
      </c>
      <c r="M432" s="1868" t="s">
        <v>3121</v>
      </c>
      <c r="N432" s="4"/>
      <c r="O432" s="141"/>
      <c r="P432" s="352"/>
      <c r="Q432" s="352"/>
      <c r="R432" s="126"/>
      <c r="S432" s="126"/>
      <c r="T432" s="126"/>
      <c r="W432" s="1699" t="s">
        <v>3108</v>
      </c>
      <c r="X432" s="1757"/>
      <c r="AL432" s="254" t="str">
        <f>SUBSTITUTE(SUBSTITUTE(SUBSTITUTE("dpa"&amp;$B432&amp;$C432&amp;$D432&amp;$E432,".","_"),"(","_"),")","")</f>
        <v>dpa610_1_2_1</v>
      </c>
      <c r="AM432" s="254" t="str">
        <f>M432</f>
        <v>per Table 610.1.2.1
10 Max</v>
      </c>
      <c r="AR432" s="1130" t="str">
        <f>SUBSTITUTE(SUBSTITUTE(SUBSTITUTE("dnt"&amp;$B432&amp;$C432&amp;$D432&amp;$E432,".","_"),"(","_"),")","")</f>
        <v>dnt610_1_2_1</v>
      </c>
      <c r="AS432" s="254" t="str">
        <f>IF(LEN(X432)=0,"",X432)</f>
        <v/>
      </c>
    </row>
    <row r="433" spans="1:61" x14ac:dyDescent="0.25">
      <c r="B433" s="77" t="s">
        <v>716</v>
      </c>
      <c r="C433" s="21"/>
      <c r="D433" s="21"/>
      <c r="E433" s="21"/>
      <c r="F433" s="21"/>
      <c r="G433" s="21"/>
      <c r="H433" s="758"/>
      <c r="I433" s="130"/>
      <c r="J433" s="129"/>
      <c r="K433" s="95"/>
      <c r="L433" s="1782"/>
      <c r="M433" s="1869"/>
      <c r="N433" s="4"/>
      <c r="O433" s="141"/>
      <c r="P433" s="352"/>
      <c r="Q433" s="352"/>
      <c r="U433" s="94"/>
      <c r="W433" s="1699"/>
      <c r="X433" s="1757"/>
    </row>
    <row r="434" spans="1:61" x14ac:dyDescent="0.25">
      <c r="B434" s="77" t="s">
        <v>716</v>
      </c>
      <c r="C434" s="21"/>
      <c r="D434" s="21"/>
      <c r="E434" s="21" t="s">
        <v>2971</v>
      </c>
      <c r="F434" s="21"/>
      <c r="G434" s="21"/>
      <c r="H434" s="758"/>
      <c r="I434" s="130"/>
      <c r="J434" s="129"/>
      <c r="K434" s="95"/>
      <c r="L434" s="1782"/>
      <c r="M434" s="1869"/>
      <c r="N434" s="4"/>
      <c r="O434" s="141"/>
      <c r="P434" s="352" t="b">
        <v>1</v>
      </c>
      <c r="Q434" s="352" t="b">
        <v>0</v>
      </c>
      <c r="R434" s="157" t="b">
        <v>0</v>
      </c>
      <c r="S434" s="157" t="b">
        <f>COUNTIF(W409:W426,TRUE)&lt;1</f>
        <v>1</v>
      </c>
      <c r="T434" s="94" t="b">
        <f>AND(NOT(S434),LEN(W434)&gt;0)</f>
        <v>0</v>
      </c>
      <c r="U434" s="94" t="str">
        <f>SUBSTITUTE(SUBSTITUTE(SUBSTITUTE("dd"&amp;B434&amp;C434&amp;D434&amp;E434&amp;F434,".","_"),"(","_"),")","")</f>
        <v>dd610_1_2_1a</v>
      </c>
      <c r="W434" s="12"/>
      <c r="X434" s="1757"/>
      <c r="AC434" s="157" t="b">
        <f>OR(AD434:AE434)</f>
        <v>0</v>
      </c>
      <c r="AD434" s="157" t="b">
        <f>T434</f>
        <v>0</v>
      </c>
      <c r="AE434" s="157" t="b">
        <f>AND(NOT(ISBLANK(W434)),LEN(X432)=0)</f>
        <v>0</v>
      </c>
      <c r="AP434" s="1130" t="str">
        <f>SUBSTITUTE(SUBSTITUTE(SUBSTITUTE("dch"&amp;$B434&amp;$C434&amp;$D434&amp;$E434,".","_"),"(","_"),")","")</f>
        <v>dch610_1_2_1a</v>
      </c>
      <c r="AQ434" s="254" t="str">
        <f>IF(LEN(W434)=0,"",W434)</f>
        <v/>
      </c>
    </row>
    <row r="435" spans="1:61" x14ac:dyDescent="0.25">
      <c r="B435" s="77" t="s">
        <v>716</v>
      </c>
      <c r="C435" s="21" t="s">
        <v>121</v>
      </c>
      <c r="D435" s="21"/>
      <c r="E435" s="21"/>
      <c r="F435" s="21"/>
      <c r="G435" s="21"/>
      <c r="H435" s="758"/>
      <c r="I435" s="130"/>
      <c r="J435" s="129"/>
      <c r="K435" s="91" t="s">
        <v>121</v>
      </c>
      <c r="L435" s="1162" t="s">
        <v>705</v>
      </c>
      <c r="M435" s="1869"/>
      <c r="N435" s="4"/>
      <c r="O435" s="141"/>
      <c r="P435" s="352"/>
      <c r="Q435" s="352"/>
      <c r="R435" s="1">
        <f ca="1">2*IFERROR(MATCH(W434,INDIRECT(U434),0),0)*S434</f>
        <v>0</v>
      </c>
      <c r="S435" s="157"/>
      <c r="T435" s="157"/>
      <c r="X435" s="1757"/>
    </row>
    <row r="436" spans="1:61" x14ac:dyDescent="0.25">
      <c r="B436" s="77" t="s">
        <v>716</v>
      </c>
      <c r="C436" s="21" t="s">
        <v>122</v>
      </c>
      <c r="D436" s="21"/>
      <c r="E436" s="21"/>
      <c r="F436" s="21"/>
      <c r="G436" s="21"/>
      <c r="H436" s="758"/>
      <c r="I436" s="130"/>
      <c r="J436" s="129"/>
      <c r="K436" s="91" t="s">
        <v>122</v>
      </c>
      <c r="L436" s="1162" t="s">
        <v>706</v>
      </c>
      <c r="M436" s="1869"/>
      <c r="N436" s="4"/>
      <c r="O436" s="141"/>
      <c r="P436" s="352"/>
      <c r="Q436" s="352"/>
      <c r="X436" s="1757"/>
    </row>
    <row r="437" spans="1:61" x14ac:dyDescent="0.25">
      <c r="B437" s="77" t="s">
        <v>716</v>
      </c>
      <c r="C437" s="21" t="s">
        <v>123</v>
      </c>
      <c r="D437" s="21"/>
      <c r="E437" s="21"/>
      <c r="F437" s="21"/>
      <c r="G437" s="21"/>
      <c r="H437" s="758"/>
      <c r="I437" s="130"/>
      <c r="J437" s="129"/>
      <c r="K437" s="91" t="s">
        <v>123</v>
      </c>
      <c r="L437" s="1162" t="s">
        <v>707</v>
      </c>
      <c r="M437" s="1869"/>
      <c r="N437" s="4"/>
      <c r="O437" s="141"/>
      <c r="P437" s="352"/>
      <c r="Q437" s="352"/>
      <c r="X437" s="1757"/>
    </row>
    <row r="438" spans="1:61" x14ac:dyDescent="0.25">
      <c r="B438" s="77" t="s">
        <v>716</v>
      </c>
      <c r="C438" s="26" t="s">
        <v>401</v>
      </c>
      <c r="D438" s="21"/>
      <c r="E438" s="21"/>
      <c r="F438" s="26"/>
      <c r="G438" s="26"/>
      <c r="H438" s="759"/>
      <c r="I438" s="130"/>
      <c r="J438" s="129"/>
      <c r="K438" s="110" t="s">
        <v>401</v>
      </c>
      <c r="L438" s="1162" t="s">
        <v>708</v>
      </c>
      <c r="M438" s="1869"/>
      <c r="N438" s="4"/>
      <c r="O438" s="141"/>
      <c r="P438" s="352"/>
      <c r="Q438" s="352"/>
      <c r="U438" s="94"/>
      <c r="X438" s="1757"/>
    </row>
    <row r="439" spans="1:61" ht="15" customHeight="1" x14ac:dyDescent="0.25">
      <c r="B439" s="77" t="s">
        <v>716</v>
      </c>
      <c r="C439" s="21" t="s">
        <v>539</v>
      </c>
      <c r="D439" s="21"/>
      <c r="E439" s="21"/>
      <c r="F439" s="21"/>
      <c r="G439" s="21"/>
      <c r="H439" s="758"/>
      <c r="I439" s="130"/>
      <c r="J439" s="129"/>
      <c r="K439" s="187" t="s">
        <v>539</v>
      </c>
      <c r="L439" s="1162" t="s">
        <v>709</v>
      </c>
      <c r="M439" s="1869"/>
      <c r="N439" s="4"/>
      <c r="O439" s="141"/>
      <c r="P439" s="352"/>
      <c r="Q439" s="352"/>
      <c r="W439" s="1699" t="s">
        <v>3107</v>
      </c>
      <c r="X439" s="1757"/>
      <c r="AR439" s="1130" t="str">
        <f>SUBSTITUTE(SUBSTITUTE(SUBSTITUTE("dnt"&amp;$B439&amp;$C439&amp;$D439&amp;$E439,".","_"),"(","_"),")","")</f>
        <v>dnt610_1_2_1_e</v>
      </c>
      <c r="AS439" s="254" t="str">
        <f>IF(LEN(X439)=0,"",X439)</f>
        <v/>
      </c>
    </row>
    <row r="440" spans="1:61" x14ac:dyDescent="0.25">
      <c r="B440" s="77" t="s">
        <v>716</v>
      </c>
      <c r="C440" s="21" t="s">
        <v>604</v>
      </c>
      <c r="D440" s="21"/>
      <c r="E440" s="21"/>
      <c r="F440" s="21"/>
      <c r="G440" s="21"/>
      <c r="H440" s="758"/>
      <c r="I440" s="130"/>
      <c r="J440" s="129"/>
      <c r="K440" s="91" t="s">
        <v>604</v>
      </c>
      <c r="L440" s="1162" t="s">
        <v>710</v>
      </c>
      <c r="M440" s="1869"/>
      <c r="N440" s="4"/>
      <c r="O440" s="141"/>
      <c r="P440" s="352"/>
      <c r="Q440" s="352"/>
      <c r="U440" s="94"/>
      <c r="W440" s="1699"/>
      <c r="X440" s="1757"/>
      <c r="AX440" s="157"/>
      <c r="AY440" s="157"/>
    </row>
    <row r="441" spans="1:61" ht="15" customHeight="1" x14ac:dyDescent="0.25">
      <c r="B441" s="77" t="s">
        <v>716</v>
      </c>
      <c r="C441" s="21"/>
      <c r="D441" s="21"/>
      <c r="E441" s="21" t="s">
        <v>2972</v>
      </c>
      <c r="F441" s="21"/>
      <c r="G441" s="21"/>
      <c r="H441" s="758"/>
      <c r="I441" s="130"/>
      <c r="J441" s="129"/>
      <c r="K441" s="94"/>
      <c r="L441" s="1860" t="s">
        <v>718</v>
      </c>
      <c r="M441" s="1869"/>
      <c r="N441" s="4"/>
      <c r="O441" s="141"/>
      <c r="P441" s="352" t="b">
        <v>1</v>
      </c>
      <c r="Q441" s="352" t="b">
        <v>0</v>
      </c>
      <c r="R441" s="157" t="b">
        <v>0</v>
      </c>
      <c r="S441" s="157" t="b">
        <f>COUNTIF(W409:W426,TRUE)&lt;1</f>
        <v>1</v>
      </c>
      <c r="T441" s="94" t="b">
        <f>AND(NOT(S441),LEN(W441)&gt;0)</f>
        <v>0</v>
      </c>
      <c r="U441" s="94" t="str">
        <f>SUBSTITUTE(SUBSTITUTE(SUBSTITUTE("dd"&amp;B441&amp;C441&amp;D441&amp;E441&amp;F441,".","_"),"(","_"),")","")</f>
        <v>dd610_1_2_1b</v>
      </c>
      <c r="W441" s="12"/>
      <c r="X441" s="1757"/>
      <c r="AC441" s="157" t="b">
        <f>OR(AD441:AE441)</f>
        <v>0</v>
      </c>
      <c r="AD441" s="159" t="b">
        <f>T441</f>
        <v>0</v>
      </c>
      <c r="AE441" s="157" t="b">
        <f>AND(NOT(ISBLANK(W441)),LEN(X439)=0)</f>
        <v>0</v>
      </c>
      <c r="AP441" s="1130" t="str">
        <f>SUBSTITUTE(SUBSTITUTE(SUBSTITUTE("dch"&amp;$B441&amp;$C441&amp;$D441&amp;$E441,".","_"),"(","_"),")","")</f>
        <v>dch610_1_2_1b</v>
      </c>
      <c r="AQ441" s="254" t="str">
        <f>IF(LEN(W441)=0,"",W441)</f>
        <v/>
      </c>
      <c r="AX441" s="157"/>
      <c r="AY441" s="157"/>
    </row>
    <row r="442" spans="1:61" x14ac:dyDescent="0.25">
      <c r="B442" s="77" t="s">
        <v>716</v>
      </c>
      <c r="C442" s="21"/>
      <c r="D442" s="21"/>
      <c r="E442" s="21"/>
      <c r="F442" s="21"/>
      <c r="G442" s="21"/>
      <c r="H442" s="758"/>
      <c r="I442" s="130"/>
      <c r="J442" s="129"/>
      <c r="K442" s="219"/>
      <c r="L442" s="1860"/>
      <c r="M442" s="1869"/>
      <c r="N442" s="4"/>
      <c r="O442" s="141"/>
      <c r="P442" s="352"/>
      <c r="Q442" s="352"/>
      <c r="R442" s="1">
        <f ca="1">3*IFERROR(MATCH(W441,INDIRECT(U441),0),0)*S441</f>
        <v>0</v>
      </c>
      <c r="X442" s="1757"/>
      <c r="AX442" s="157"/>
      <c r="AY442" s="157"/>
      <c r="AZ442" s="157"/>
      <c r="BA442" s="157"/>
      <c r="BB442" s="157"/>
      <c r="BC442" s="157"/>
      <c r="BD442" s="157"/>
      <c r="BE442" s="157"/>
      <c r="BF442" s="157"/>
      <c r="BG442" s="157"/>
      <c r="BH442" s="157"/>
      <c r="BI442" s="157"/>
    </row>
    <row r="443" spans="1:61" s="157" customFormat="1" x14ac:dyDescent="0.25">
      <c r="A443" s="18"/>
      <c r="B443" s="77" t="s">
        <v>716</v>
      </c>
      <c r="C443" s="21"/>
      <c r="D443" s="21"/>
      <c r="E443" s="21"/>
      <c r="F443" s="21"/>
      <c r="G443" s="21"/>
      <c r="H443" s="758"/>
      <c r="I443" s="130"/>
      <c r="J443" s="129"/>
      <c r="K443" s="219"/>
      <c r="L443" s="1860"/>
      <c r="M443" s="1869"/>
      <c r="N443" s="4"/>
      <c r="O443" s="141"/>
      <c r="P443" s="352"/>
      <c r="Q443" s="352"/>
      <c r="X443" s="1757"/>
      <c r="Y443" s="780"/>
      <c r="AA443" s="783"/>
      <c r="AX443" s="63"/>
      <c r="AY443" s="63"/>
    </row>
    <row r="444" spans="1:61" s="157" customFormat="1" x14ac:dyDescent="0.25">
      <c r="A444" s="18"/>
      <c r="B444" s="77" t="s">
        <v>716</v>
      </c>
      <c r="C444" s="21"/>
      <c r="D444" s="21"/>
      <c r="E444" s="21"/>
      <c r="F444" s="21"/>
      <c r="G444" s="21"/>
      <c r="H444" s="758"/>
      <c r="I444" s="130"/>
      <c r="J444" s="129"/>
      <c r="K444" s="219"/>
      <c r="L444" s="1855" t="s">
        <v>3106</v>
      </c>
      <c r="M444" s="1869"/>
      <c r="N444" s="4"/>
      <c r="O444" s="141"/>
      <c r="P444" s="352"/>
      <c r="Q444" s="352"/>
      <c r="X444" s="1757"/>
      <c r="Y444" s="780"/>
      <c r="AA444" s="783"/>
      <c r="AX444" s="63"/>
      <c r="AY444" s="63"/>
    </row>
    <row r="445" spans="1:61" s="157" customFormat="1" x14ac:dyDescent="0.25">
      <c r="A445" s="18"/>
      <c r="B445" s="77" t="s">
        <v>716</v>
      </c>
      <c r="C445" s="21"/>
      <c r="D445" s="21"/>
      <c r="E445" s="21"/>
      <c r="F445" s="21"/>
      <c r="G445" s="21"/>
      <c r="H445" s="758"/>
      <c r="I445" s="215"/>
      <c r="J445" s="210"/>
      <c r="K445" s="220"/>
      <c r="L445" s="1861"/>
      <c r="M445" s="1870"/>
      <c r="N445" s="4"/>
      <c r="O445" s="141"/>
      <c r="P445" s="352"/>
      <c r="Q445" s="352"/>
      <c r="X445" s="1757"/>
      <c r="Y445" s="780"/>
      <c r="AA445" s="783"/>
      <c r="AX445" s="63"/>
      <c r="AY445" s="63"/>
      <c r="AZ445" s="63"/>
      <c r="BA445" s="63"/>
      <c r="BB445" s="63"/>
      <c r="BC445" s="63"/>
      <c r="BD445" s="63"/>
      <c r="BE445" s="63"/>
      <c r="BF445" s="63"/>
      <c r="BG445" s="63"/>
      <c r="BH445" s="63"/>
      <c r="BI445" s="63"/>
    </row>
    <row r="446" spans="1:61" ht="15" customHeight="1" x14ac:dyDescent="0.25">
      <c r="B446" s="77" t="s">
        <v>719</v>
      </c>
      <c r="C446" s="21"/>
      <c r="D446" s="21"/>
      <c r="E446" s="21" t="s">
        <v>2971</v>
      </c>
      <c r="F446" s="21"/>
      <c r="G446" s="21"/>
      <c r="H446" s="758"/>
      <c r="I446" s="64" t="s">
        <v>719</v>
      </c>
      <c r="J446" s="4"/>
      <c r="K446" s="83"/>
      <c r="L446" s="1796" t="s">
        <v>720</v>
      </c>
      <c r="M446" s="1871" t="s">
        <v>3122</v>
      </c>
      <c r="N446" s="4"/>
      <c r="O446" s="141"/>
      <c r="P446" s="352"/>
      <c r="Q446" s="352"/>
      <c r="R446" s="126">
        <f ca="1">COUNTIF(W447:W466,INDEX(INDIRECT(U447),1))*S447</f>
        <v>0</v>
      </c>
      <c r="S446" s="157">
        <f ca="1">COUNTIF(W447:W466,INDEX(INDIRECT(U447),2))*S447</f>
        <v>0</v>
      </c>
      <c r="T446" s="126"/>
      <c r="W446" s="63" t="s">
        <v>3117</v>
      </c>
      <c r="X446" s="1757"/>
      <c r="AL446" s="254" t="str">
        <f>SUBSTITUTE(SUBSTITUTE(SUBSTITUTE("dpa"&amp;$B446&amp;$C446&amp;$D446&amp;$E446,".","_"),"(","_"),")","")</f>
        <v>dpa610_1_2_2a</v>
      </c>
      <c r="AM446" s="254" t="str">
        <f>M446</f>
        <v>per Table 610.1.2.2
10 Max</v>
      </c>
      <c r="AR446" s="1130" t="str">
        <f>SUBSTITUTE(SUBSTITUTE(SUBSTITUTE("dnt"&amp;$B446&amp;$C446&amp;$D446&amp;$E446,".","_"),"(","_"),")","")</f>
        <v>dnt610_1_2_2a</v>
      </c>
      <c r="AS446" s="254" t="str">
        <f>IF(LEN(X446)=0,"",X446)</f>
        <v/>
      </c>
    </row>
    <row r="447" spans="1:61" x14ac:dyDescent="0.25">
      <c r="B447" s="77" t="s">
        <v>719</v>
      </c>
      <c r="C447" s="21"/>
      <c r="D447" s="21"/>
      <c r="E447" s="21" t="s">
        <v>2971</v>
      </c>
      <c r="F447" s="21"/>
      <c r="G447" s="21"/>
      <c r="H447" s="758"/>
      <c r="I447" s="64"/>
      <c r="J447" s="4"/>
      <c r="K447" s="83"/>
      <c r="L447" s="1796"/>
      <c r="M447" s="1871"/>
      <c r="N447" s="4"/>
      <c r="O447" s="141"/>
      <c r="P447" s="352" t="b">
        <v>1</v>
      </c>
      <c r="Q447" s="352" t="b">
        <v>0</v>
      </c>
      <c r="R447" s="157" t="b">
        <v>0</v>
      </c>
      <c r="S447" s="157" t="b">
        <f>COUNTIF(W409:W426,TRUE)&lt;1</f>
        <v>1</v>
      </c>
      <c r="T447" s="94" t="b">
        <f>AND(NOT(S447),LEN(W447)&gt;0)</f>
        <v>0</v>
      </c>
      <c r="U447" s="94" t="str">
        <f>SUBSTITUTE(SUBSTITUTE(SUBSTITUTE("dd"&amp;B447&amp;C447&amp;D447&amp;E447&amp;F447,".","_"),"(","_"),")","")</f>
        <v>dd610_1_2_2a</v>
      </c>
      <c r="W447" s="12"/>
      <c r="X447" s="1757"/>
      <c r="AC447" s="157" t="b">
        <f>OR(AD447:AE447)</f>
        <v>0</v>
      </c>
      <c r="AD447" s="159" t="b">
        <f>T447</f>
        <v>0</v>
      </c>
      <c r="AE447" s="157" t="b">
        <f>AND(NOT(ISBLANK(W447)),LEN(X446)=0)</f>
        <v>0</v>
      </c>
      <c r="AP447" s="1130" t="str">
        <f>SUBSTITUTE(SUBSTITUTE(SUBSTITUTE("dch"&amp;$B447&amp;$C447&amp;$D447&amp;$E447,".","_"),"(","_"),")","")</f>
        <v>dch610_1_2_2a</v>
      </c>
      <c r="AQ447" s="254" t="str">
        <f>IF(LEN(W447)=0,"",W447)</f>
        <v/>
      </c>
    </row>
    <row r="448" spans="1:61" x14ac:dyDescent="0.25">
      <c r="B448" s="77" t="s">
        <v>719</v>
      </c>
      <c r="C448" s="21"/>
      <c r="D448" s="21"/>
      <c r="E448" s="21"/>
      <c r="F448" s="21"/>
      <c r="G448" s="21"/>
      <c r="H448" s="758"/>
      <c r="I448" s="64"/>
      <c r="J448" s="4"/>
      <c r="K448" s="83"/>
      <c r="L448" s="1796"/>
      <c r="M448" s="1871"/>
      <c r="N448" s="4"/>
      <c r="O448" s="141"/>
      <c r="P448" s="352"/>
      <c r="Q448" s="352"/>
      <c r="X448" s="1757"/>
    </row>
    <row r="449" spans="1:61" x14ac:dyDescent="0.25">
      <c r="B449" s="77" t="s">
        <v>719</v>
      </c>
      <c r="C449" s="21"/>
      <c r="D449" s="21"/>
      <c r="E449" s="21"/>
      <c r="F449" s="21"/>
      <c r="G449" s="21"/>
      <c r="H449" s="758"/>
      <c r="I449" s="64"/>
      <c r="J449" s="4"/>
      <c r="K449" s="83"/>
      <c r="L449" s="1796"/>
      <c r="M449" s="1871"/>
      <c r="N449" s="4"/>
      <c r="O449" s="141"/>
      <c r="P449" s="352"/>
      <c r="Q449" s="352"/>
      <c r="X449" s="1757"/>
    </row>
    <row r="450" spans="1:61" s="1066" customFormat="1" x14ac:dyDescent="0.25">
      <c r="A450" s="18"/>
      <c r="B450" s="77" t="s">
        <v>719</v>
      </c>
      <c r="C450" s="21"/>
      <c r="D450" s="21"/>
      <c r="E450" s="21"/>
      <c r="F450" s="21"/>
      <c r="G450" s="21"/>
      <c r="H450" s="758"/>
      <c r="I450" s="64"/>
      <c r="J450" s="4"/>
      <c r="K450" s="1078"/>
      <c r="L450" s="1796"/>
      <c r="M450" s="1871"/>
      <c r="N450" s="4"/>
      <c r="O450" s="1068"/>
      <c r="X450" s="1757"/>
      <c r="AX450" s="63"/>
      <c r="AY450" s="63"/>
      <c r="AZ450" s="63"/>
      <c r="BA450" s="63"/>
      <c r="BB450" s="63"/>
      <c r="BC450" s="63"/>
      <c r="BD450" s="63"/>
      <c r="BE450" s="63"/>
      <c r="BF450" s="63"/>
      <c r="BG450" s="63"/>
      <c r="BH450" s="63"/>
      <c r="BI450" s="63"/>
    </row>
    <row r="451" spans="1:61" x14ac:dyDescent="0.25">
      <c r="B451" s="77" t="s">
        <v>719</v>
      </c>
      <c r="C451" s="21"/>
      <c r="D451" s="21"/>
      <c r="E451" s="21"/>
      <c r="F451" s="21"/>
      <c r="G451" s="21"/>
      <c r="H451" s="758"/>
      <c r="I451" s="64"/>
      <c r="J451" s="4"/>
      <c r="K451" s="83"/>
      <c r="L451" s="1796"/>
      <c r="M451" s="1871"/>
      <c r="N451" s="4"/>
      <c r="O451" s="141"/>
      <c r="P451" s="352"/>
      <c r="Q451" s="352"/>
      <c r="X451" s="1757"/>
      <c r="AX451" s="1066"/>
      <c r="AY451" s="1066"/>
      <c r="AZ451" s="1066"/>
      <c r="BA451" s="1066"/>
      <c r="BB451" s="1066"/>
      <c r="BC451" s="1066"/>
      <c r="BD451" s="1066"/>
      <c r="BE451" s="1066"/>
      <c r="BF451" s="1066"/>
      <c r="BG451" s="1066"/>
      <c r="BH451" s="1066"/>
      <c r="BI451" s="1066"/>
    </row>
    <row r="452" spans="1:61" x14ac:dyDescent="0.25">
      <c r="B452" s="77" t="s">
        <v>719</v>
      </c>
      <c r="C452" s="21"/>
      <c r="D452" s="21"/>
      <c r="E452" s="21"/>
      <c r="F452" s="21"/>
      <c r="G452" s="21"/>
      <c r="H452" s="758"/>
      <c r="I452" s="64"/>
      <c r="J452" s="4"/>
      <c r="K452" s="83"/>
      <c r="L452" s="1796"/>
      <c r="M452" s="1871"/>
      <c r="N452" s="4"/>
      <c r="O452" s="141"/>
      <c r="P452" s="352"/>
      <c r="Q452" s="352"/>
      <c r="X452" s="1757"/>
    </row>
    <row r="453" spans="1:61" x14ac:dyDescent="0.25">
      <c r="B453" s="77" t="s">
        <v>719</v>
      </c>
      <c r="C453" s="21"/>
      <c r="D453" s="21"/>
      <c r="E453" s="21" t="s">
        <v>2972</v>
      </c>
      <c r="F453" s="21"/>
      <c r="G453" s="21"/>
      <c r="H453" s="758"/>
      <c r="I453" s="64"/>
      <c r="J453" s="4"/>
      <c r="K453" s="83"/>
      <c r="L453" s="1796"/>
      <c r="M453" s="1871"/>
      <c r="N453" s="4"/>
      <c r="O453" s="141"/>
      <c r="P453" s="352"/>
      <c r="Q453" s="352"/>
      <c r="W453" s="63" t="s">
        <v>3118</v>
      </c>
      <c r="X453" s="1757"/>
      <c r="AR453" s="1130" t="str">
        <f>SUBSTITUTE(SUBSTITUTE(SUBSTITUTE("dnt"&amp;$B453&amp;$C453&amp;$D453&amp;$E453,".","_"),"(","_"),")","")</f>
        <v>dnt610_1_2_2b</v>
      </c>
      <c r="AS453" s="254" t="str">
        <f>IF(LEN(X453)=0,"",X453)</f>
        <v/>
      </c>
    </row>
    <row r="454" spans="1:61" x14ac:dyDescent="0.25">
      <c r="B454" s="77" t="s">
        <v>719</v>
      </c>
      <c r="C454" s="21"/>
      <c r="D454" s="21"/>
      <c r="E454" s="21" t="s">
        <v>2972</v>
      </c>
      <c r="F454" s="21"/>
      <c r="G454" s="21"/>
      <c r="H454" s="758"/>
      <c r="I454" s="64"/>
      <c r="J454" s="4"/>
      <c r="K454" s="83"/>
      <c r="L454" s="1796"/>
      <c r="M454" s="1871"/>
      <c r="N454" s="4"/>
      <c r="O454" s="141"/>
      <c r="P454" s="352" t="b">
        <v>1</v>
      </c>
      <c r="Q454" s="352" t="b">
        <v>0</v>
      </c>
      <c r="R454" s="157" t="b">
        <v>0</v>
      </c>
      <c r="S454" s="157" t="b">
        <f>COUNTIF(W409:W426,TRUE)&lt;1</f>
        <v>1</v>
      </c>
      <c r="T454" s="94" t="b">
        <f>AND(NOT(S454),LEN(W454)&gt;0)</f>
        <v>0</v>
      </c>
      <c r="U454" s="94" t="str">
        <f>SUBSTITUTE(SUBSTITUTE(SUBSTITUTE("dd"&amp;B454&amp;C454&amp;D454&amp;E454&amp;F454,".","_"),"(","_"),")","")</f>
        <v>dd610_1_2_2b</v>
      </c>
      <c r="W454" s="12"/>
      <c r="X454" s="1757"/>
      <c r="AC454" s="157" t="b">
        <f>OR(AD454:AE454)</f>
        <v>0</v>
      </c>
      <c r="AD454" s="159" t="b">
        <f>T454</f>
        <v>0</v>
      </c>
      <c r="AE454" s="157" t="b">
        <f>AND(NOT(ISBLANK(W454)),LEN(X453)=0)</f>
        <v>0</v>
      </c>
      <c r="AP454" s="1130" t="str">
        <f>SUBSTITUTE(SUBSTITUTE(SUBSTITUTE("dch"&amp;$B454&amp;$C454&amp;$D454&amp;$E454,".","_"),"(","_"),")","")</f>
        <v>dch610_1_2_2b</v>
      </c>
      <c r="AQ454" s="254" t="str">
        <f>IF(LEN(W454)=0,"",W454)</f>
        <v/>
      </c>
    </row>
    <row r="455" spans="1:61" x14ac:dyDescent="0.25">
      <c r="B455" s="77" t="s">
        <v>719</v>
      </c>
      <c r="C455" s="21" t="s">
        <v>121</v>
      </c>
      <c r="D455" s="21"/>
      <c r="E455" s="21"/>
      <c r="F455" s="21"/>
      <c r="G455" s="21"/>
      <c r="H455" s="758"/>
      <c r="I455" s="64"/>
      <c r="J455" s="4"/>
      <c r="K455" s="87" t="s">
        <v>121</v>
      </c>
      <c r="L455" s="1170" t="s">
        <v>721</v>
      </c>
      <c r="M455" s="1871"/>
      <c r="N455" s="4"/>
      <c r="O455" s="141"/>
      <c r="P455" s="352"/>
      <c r="Q455" s="352"/>
      <c r="U455" s="94"/>
      <c r="X455" s="1757"/>
    </row>
    <row r="456" spans="1:61" x14ac:dyDescent="0.25">
      <c r="B456" s="77" t="s">
        <v>719</v>
      </c>
      <c r="C456" s="21" t="s">
        <v>122</v>
      </c>
      <c r="D456" s="21"/>
      <c r="E456" s="21"/>
      <c r="F456" s="21"/>
      <c r="G456" s="21"/>
      <c r="H456" s="758"/>
      <c r="I456" s="64"/>
      <c r="J456" s="4"/>
      <c r="K456" s="87" t="s">
        <v>122</v>
      </c>
      <c r="L456" s="1170" t="s">
        <v>722</v>
      </c>
      <c r="M456" s="1871"/>
      <c r="N456" s="4"/>
      <c r="O456" s="141"/>
      <c r="P456" s="352"/>
      <c r="Q456" s="352"/>
      <c r="U456" s="94"/>
      <c r="X456" s="1757"/>
    </row>
    <row r="457" spans="1:61" x14ac:dyDescent="0.25">
      <c r="B457" s="77" t="s">
        <v>719</v>
      </c>
      <c r="C457" s="21" t="s">
        <v>123</v>
      </c>
      <c r="D457" s="21"/>
      <c r="E457" s="21"/>
      <c r="F457" s="21"/>
      <c r="G457" s="21"/>
      <c r="H457" s="758"/>
      <c r="I457" s="64"/>
      <c r="J457" s="4"/>
      <c r="K457" s="87" t="s">
        <v>123</v>
      </c>
      <c r="L457" s="1170" t="s">
        <v>723</v>
      </c>
      <c r="M457" s="1871"/>
      <c r="N457" s="4"/>
      <c r="O457" s="141"/>
      <c r="P457" s="352"/>
      <c r="Q457" s="352"/>
      <c r="U457" s="94"/>
      <c r="X457" s="1757"/>
      <c r="AX457" s="157"/>
      <c r="AY457" s="157"/>
    </row>
    <row r="458" spans="1:61" x14ac:dyDescent="0.25">
      <c r="B458" s="77" t="s">
        <v>719</v>
      </c>
      <c r="C458" s="26" t="s">
        <v>401</v>
      </c>
      <c r="D458" s="21"/>
      <c r="E458" s="21"/>
      <c r="F458" s="26"/>
      <c r="G458" s="26"/>
      <c r="H458" s="759"/>
      <c r="I458" s="64"/>
      <c r="J458" s="4"/>
      <c r="K458" s="89" t="s">
        <v>401</v>
      </c>
      <c r="L458" s="1170" t="s">
        <v>724</v>
      </c>
      <c r="M458" s="1871"/>
      <c r="N458" s="4"/>
      <c r="O458" s="141"/>
      <c r="P458" s="352"/>
      <c r="Q458" s="352"/>
      <c r="U458" s="94"/>
      <c r="X458" s="1757"/>
    </row>
    <row r="459" spans="1:61" x14ac:dyDescent="0.25">
      <c r="B459" s="77" t="s">
        <v>719</v>
      </c>
      <c r="C459" s="21"/>
      <c r="D459" s="21"/>
      <c r="E459" s="21" t="s">
        <v>2973</v>
      </c>
      <c r="F459" s="21"/>
      <c r="G459" s="21"/>
      <c r="H459" s="758"/>
      <c r="I459" s="64"/>
      <c r="J459" s="4"/>
      <c r="K459" s="83"/>
      <c r="L459" s="1841" t="s">
        <v>725</v>
      </c>
      <c r="M459" s="1871"/>
      <c r="N459" s="4"/>
      <c r="O459" s="141"/>
      <c r="P459" s="352"/>
      <c r="Q459" s="352"/>
      <c r="W459" s="63" t="s">
        <v>3119</v>
      </c>
      <c r="X459" s="1757"/>
      <c r="AR459" s="1130" t="str">
        <f>SUBSTITUTE(SUBSTITUTE(SUBSTITUTE("dnt"&amp;$B459&amp;$C459&amp;$D459&amp;$E459,".","_"),"(","_"),")","")</f>
        <v>dnt610_1_2_2c</v>
      </c>
      <c r="AS459" s="254" t="str">
        <f>IF(LEN(X459)=0,"",X459)</f>
        <v/>
      </c>
      <c r="AZ459" s="157"/>
      <c r="BA459" s="157"/>
      <c r="BB459" s="157"/>
      <c r="BC459" s="157"/>
      <c r="BD459" s="157"/>
      <c r="BE459" s="157"/>
      <c r="BF459" s="157"/>
      <c r="BG459" s="157"/>
      <c r="BH459" s="157"/>
      <c r="BI459" s="157"/>
    </row>
    <row r="460" spans="1:61" s="157" customFormat="1" x14ac:dyDescent="0.25">
      <c r="A460" s="18"/>
      <c r="B460" s="77" t="s">
        <v>719</v>
      </c>
      <c r="C460" s="21"/>
      <c r="D460" s="21"/>
      <c r="E460" s="21" t="s">
        <v>2973</v>
      </c>
      <c r="F460" s="21"/>
      <c r="G460" s="21"/>
      <c r="H460" s="758"/>
      <c r="I460" s="64"/>
      <c r="J460" s="4"/>
      <c r="K460" s="83"/>
      <c r="L460" s="1841"/>
      <c r="M460" s="1871"/>
      <c r="N460" s="4"/>
      <c r="O460" s="141"/>
      <c r="P460" s="352" t="b">
        <v>1</v>
      </c>
      <c r="Q460" s="352" t="b">
        <v>0</v>
      </c>
      <c r="R460" s="157" t="b">
        <v>0</v>
      </c>
      <c r="S460" s="157" t="b">
        <f>COUNTIF(W409:W426,TRUE)&lt;1</f>
        <v>1</v>
      </c>
      <c r="T460" s="94" t="b">
        <f>AND(NOT(S460),LEN(W460)&gt;0)</f>
        <v>0</v>
      </c>
      <c r="U460" s="94" t="str">
        <f>SUBSTITUTE(SUBSTITUTE(SUBSTITUTE("dd"&amp;B460&amp;C460&amp;D460&amp;E460&amp;F460,".","_"),"(","_"),")","")</f>
        <v>dd610_1_2_2c</v>
      </c>
      <c r="W460" s="12"/>
      <c r="X460" s="1757"/>
      <c r="Y460" s="780"/>
      <c r="AA460" s="783"/>
      <c r="AC460" s="157" t="b">
        <f>OR(AD460:AE460)</f>
        <v>0</v>
      </c>
      <c r="AD460" s="159" t="b">
        <f>T460</f>
        <v>0</v>
      </c>
      <c r="AE460" s="157" t="b">
        <f>AND(NOT(ISBLANK(W460)),LEN(X459)=0)</f>
        <v>0</v>
      </c>
      <c r="AP460" s="1130" t="str">
        <f>SUBSTITUTE(SUBSTITUTE(SUBSTITUTE("dch"&amp;$B460&amp;$C460&amp;$D460&amp;$E460,".","_"),"(","_"),")","")</f>
        <v>dch610_1_2_2c</v>
      </c>
      <c r="AQ460" s="254" t="str">
        <f>IF(LEN(W460)=0,"",W460)</f>
        <v/>
      </c>
      <c r="AX460" s="63"/>
      <c r="AY460" s="63"/>
      <c r="AZ460" s="63"/>
      <c r="BA460" s="63"/>
      <c r="BB460" s="63"/>
      <c r="BC460" s="63"/>
      <c r="BD460" s="63"/>
      <c r="BE460" s="63"/>
      <c r="BF460" s="63"/>
      <c r="BG460" s="63"/>
      <c r="BH460" s="63"/>
      <c r="BI460" s="63"/>
    </row>
    <row r="461" spans="1:61" x14ac:dyDescent="0.25">
      <c r="B461" s="77" t="s">
        <v>719</v>
      </c>
      <c r="C461" s="21" t="s">
        <v>121</v>
      </c>
      <c r="D461" s="21"/>
      <c r="E461" s="21"/>
      <c r="F461" s="21"/>
      <c r="G461" s="21"/>
      <c r="H461" s="758"/>
      <c r="I461" s="64"/>
      <c r="J461" s="4"/>
      <c r="K461" s="87" t="s">
        <v>121</v>
      </c>
      <c r="L461" s="1170" t="s">
        <v>705</v>
      </c>
      <c r="M461" s="1871"/>
      <c r="N461" s="4"/>
      <c r="O461" s="141"/>
      <c r="P461" s="352"/>
      <c r="Q461" s="352"/>
      <c r="X461" s="1757"/>
    </row>
    <row r="462" spans="1:61" x14ac:dyDescent="0.25">
      <c r="B462" s="77" t="s">
        <v>719</v>
      </c>
      <c r="C462" s="21" t="s">
        <v>122</v>
      </c>
      <c r="D462" s="21"/>
      <c r="E462" s="21"/>
      <c r="F462" s="21"/>
      <c r="G462" s="21"/>
      <c r="H462" s="758"/>
      <c r="I462" s="64"/>
      <c r="J462" s="4"/>
      <c r="K462" s="87" t="s">
        <v>122</v>
      </c>
      <c r="L462" s="1170" t="s">
        <v>706</v>
      </c>
      <c r="M462" s="1871"/>
      <c r="N462" s="4"/>
      <c r="O462" s="141"/>
      <c r="P462" s="352"/>
      <c r="Q462" s="352"/>
      <c r="X462" s="1757"/>
    </row>
    <row r="463" spans="1:61" x14ac:dyDescent="0.25">
      <c r="B463" s="77" t="s">
        <v>719</v>
      </c>
      <c r="C463" s="21" t="s">
        <v>123</v>
      </c>
      <c r="D463" s="21"/>
      <c r="E463" s="21"/>
      <c r="F463" s="21"/>
      <c r="G463" s="21"/>
      <c r="H463" s="758"/>
      <c r="I463" s="64"/>
      <c r="J463" s="4"/>
      <c r="K463" s="87" t="s">
        <v>123</v>
      </c>
      <c r="L463" s="1170" t="s">
        <v>707</v>
      </c>
      <c r="M463" s="1871"/>
      <c r="N463" s="4"/>
      <c r="O463" s="141"/>
      <c r="P463" s="352"/>
      <c r="Q463" s="352"/>
      <c r="X463" s="1757"/>
    </row>
    <row r="464" spans="1:61" x14ac:dyDescent="0.25">
      <c r="B464" s="77" t="s">
        <v>719</v>
      </c>
      <c r="C464" s="26" t="s">
        <v>401</v>
      </c>
      <c r="D464" s="21"/>
      <c r="E464" s="21"/>
      <c r="F464" s="26"/>
      <c r="G464" s="26"/>
      <c r="H464" s="759"/>
      <c r="I464" s="64"/>
      <c r="J464" s="4"/>
      <c r="K464" s="89" t="s">
        <v>401</v>
      </c>
      <c r="L464" s="1170" t="s">
        <v>708</v>
      </c>
      <c r="M464" s="1871"/>
      <c r="N464" s="4"/>
      <c r="O464" s="141"/>
      <c r="P464" s="352"/>
      <c r="Q464" s="352"/>
      <c r="X464" s="1757"/>
    </row>
    <row r="465" spans="1:61" x14ac:dyDescent="0.25">
      <c r="B465" s="77" t="s">
        <v>719</v>
      </c>
      <c r="C465" s="21" t="s">
        <v>539</v>
      </c>
      <c r="D465" s="21"/>
      <c r="E465" s="21"/>
      <c r="F465" s="21"/>
      <c r="G465" s="21"/>
      <c r="H465" s="758"/>
      <c r="I465" s="64"/>
      <c r="J465" s="4"/>
      <c r="K465" s="85" t="s">
        <v>539</v>
      </c>
      <c r="L465" s="1170" t="s">
        <v>709</v>
      </c>
      <c r="M465" s="1871"/>
      <c r="N465" s="4"/>
      <c r="O465" s="141"/>
      <c r="P465" s="352"/>
      <c r="Q465" s="352"/>
      <c r="W465" s="63" t="s">
        <v>3120</v>
      </c>
      <c r="X465" s="1757"/>
      <c r="AR465" s="1130" t="str">
        <f>SUBSTITUTE(SUBSTITUTE(SUBSTITUTE("dnt"&amp;$B465&amp;$C465&amp;$D465&amp;$E465,".","_"),"(","_"),")","")</f>
        <v>dnt610_1_2_2_e</v>
      </c>
      <c r="AS465" s="254" t="str">
        <f>IF(LEN(X465)=0,"",X465)</f>
        <v/>
      </c>
    </row>
    <row r="466" spans="1:61" x14ac:dyDescent="0.25">
      <c r="B466" s="77" t="s">
        <v>719</v>
      </c>
      <c r="C466" s="21" t="s">
        <v>604</v>
      </c>
      <c r="D466" s="21"/>
      <c r="E466" s="21"/>
      <c r="F466" s="21"/>
      <c r="G466" s="21"/>
      <c r="H466" s="758"/>
      <c r="I466" s="64"/>
      <c r="J466" s="4"/>
      <c r="K466" s="87" t="s">
        <v>604</v>
      </c>
      <c r="L466" s="1170" t="s">
        <v>710</v>
      </c>
      <c r="M466" s="1871"/>
      <c r="N466" s="4"/>
      <c r="O466" s="141"/>
      <c r="P466" s="352" t="b">
        <v>1</v>
      </c>
      <c r="Q466" s="352" t="b">
        <v>0</v>
      </c>
      <c r="R466" s="157" t="b">
        <v>0</v>
      </c>
      <c r="S466" s="157" t="b">
        <f>COUNTIF(W409:W426,TRUE)&lt;1</f>
        <v>1</v>
      </c>
      <c r="T466" s="94" t="b">
        <f>AND(NOT(S466),LEN(W466)&gt;0)</f>
        <v>0</v>
      </c>
      <c r="U466" s="94" t="str">
        <f>SUBSTITUTE(SUBSTITUTE(SUBSTITUTE("dd"&amp;B466&amp;C466&amp;D466&amp;E466&amp;F466,".","_"),"(","_"),")","")</f>
        <v>dd610_1_2_2_f</v>
      </c>
      <c r="W466" s="12"/>
      <c r="X466" s="1757"/>
      <c r="AC466" s="157" t="b">
        <f>OR(AD466:AE466)</f>
        <v>0</v>
      </c>
      <c r="AD466" s="159" t="b">
        <f>T466</f>
        <v>0</v>
      </c>
      <c r="AE466" s="157" t="b">
        <f>AND(NOT(ISBLANK(W466)),LEN(X465)=0)</f>
        <v>0</v>
      </c>
      <c r="AP466" s="1130" t="str">
        <f>SUBSTITUTE(SUBSTITUTE(SUBSTITUTE("dch"&amp;$B466&amp;$C466&amp;$D466&amp;$E466,".","_"),"(","_"),")","")</f>
        <v>dch610_1_2_2_f</v>
      </c>
      <c r="AQ466" s="254" t="str">
        <f>IF(LEN(W466)=0,"",W466)</f>
        <v/>
      </c>
      <c r="AX466" s="157"/>
      <c r="AY466" s="157"/>
    </row>
    <row r="467" spans="1:61" x14ac:dyDescent="0.25">
      <c r="B467" s="77" t="s">
        <v>719</v>
      </c>
      <c r="C467" s="21"/>
      <c r="D467" s="21"/>
      <c r="E467" s="21"/>
      <c r="F467" s="21"/>
      <c r="G467" s="21"/>
      <c r="H467" s="758"/>
      <c r="I467" s="64"/>
      <c r="J467" s="4"/>
      <c r="K467" s="83"/>
      <c r="L467" s="1851" t="s">
        <v>726</v>
      </c>
      <c r="M467" s="1871"/>
      <c r="N467" s="4"/>
      <c r="O467" s="141"/>
      <c r="P467" s="352"/>
      <c r="Q467" s="352"/>
      <c r="X467" s="1757"/>
      <c r="AX467" s="157"/>
      <c r="AY467" s="157"/>
    </row>
    <row r="468" spans="1:61" x14ac:dyDescent="0.25">
      <c r="B468" s="77" t="s">
        <v>719</v>
      </c>
      <c r="C468" s="21"/>
      <c r="D468" s="21"/>
      <c r="E468" s="21"/>
      <c r="F468" s="21"/>
      <c r="G468" s="21"/>
      <c r="H468" s="758"/>
      <c r="I468" s="64"/>
      <c r="J468" s="4"/>
      <c r="K468" s="83"/>
      <c r="L468" s="1851"/>
      <c r="M468" s="1871"/>
      <c r="N468" s="4"/>
      <c r="O468" s="141"/>
      <c r="P468" s="352"/>
      <c r="Q468" s="352"/>
      <c r="X468" s="1757"/>
      <c r="AZ468" s="157"/>
      <c r="BA468" s="157"/>
      <c r="BB468" s="157"/>
      <c r="BC468" s="157"/>
      <c r="BD468" s="157"/>
      <c r="BE468" s="157"/>
      <c r="BF468" s="157"/>
      <c r="BG468" s="157"/>
      <c r="BH468" s="157"/>
      <c r="BI468" s="157"/>
    </row>
    <row r="469" spans="1:61" s="157" customFormat="1" x14ac:dyDescent="0.25">
      <c r="A469" s="18"/>
      <c r="B469" s="77" t="s">
        <v>719</v>
      </c>
      <c r="C469" s="21"/>
      <c r="D469" s="21"/>
      <c r="E469" s="21"/>
      <c r="F469" s="21"/>
      <c r="G469" s="21"/>
      <c r="H469" s="758"/>
      <c r="I469" s="64"/>
      <c r="J469" s="4"/>
      <c r="K469" s="83"/>
      <c r="L469" s="1849" t="s">
        <v>3114</v>
      </c>
      <c r="M469" s="1871"/>
      <c r="N469" s="4"/>
      <c r="O469" s="141"/>
      <c r="P469" s="352"/>
      <c r="Q469" s="352"/>
      <c r="X469" s="1757"/>
      <c r="Y469" s="780"/>
      <c r="AA469" s="783"/>
      <c r="AX469" s="63"/>
      <c r="AY469" s="63"/>
    </row>
    <row r="470" spans="1:61" s="157" customFormat="1" x14ac:dyDescent="0.25">
      <c r="A470" s="18"/>
      <c r="B470" s="77" t="s">
        <v>719</v>
      </c>
      <c r="C470" s="21"/>
      <c r="D470" s="21"/>
      <c r="E470" s="21"/>
      <c r="F470" s="21"/>
      <c r="G470" s="21"/>
      <c r="H470" s="758"/>
      <c r="I470" s="64"/>
      <c r="J470" s="4"/>
      <c r="K470" s="83"/>
      <c r="L470" s="1859"/>
      <c r="M470" s="1871"/>
      <c r="N470" s="4"/>
      <c r="O470" s="141"/>
      <c r="P470" s="352"/>
      <c r="Q470" s="352"/>
      <c r="X470" s="1757"/>
      <c r="Y470" s="780"/>
      <c r="AA470" s="783"/>
      <c r="AX470" s="63"/>
      <c r="AY470" s="63"/>
      <c r="AZ470" s="63"/>
      <c r="BA470" s="63"/>
      <c r="BB470" s="63"/>
      <c r="BC470" s="63"/>
      <c r="BD470" s="63"/>
      <c r="BE470" s="63"/>
      <c r="BF470" s="63"/>
      <c r="BG470" s="63"/>
      <c r="BH470" s="63"/>
      <c r="BI470" s="63"/>
    </row>
    <row r="471" spans="1:61" s="94" customFormat="1" ht="18.75" x14ac:dyDescent="0.3">
      <c r="A471" s="739"/>
      <c r="B471" s="957">
        <v>611</v>
      </c>
      <c r="C471" s="740"/>
      <c r="D471" s="740"/>
      <c r="E471" s="740"/>
      <c r="F471" s="740"/>
      <c r="G471" s="740"/>
      <c r="H471" s="762"/>
      <c r="I471" s="995" t="s">
        <v>4871</v>
      </c>
      <c r="J471" s="968"/>
      <c r="K471" s="996"/>
      <c r="L471" s="1001"/>
      <c r="M471" s="999"/>
      <c r="N471" s="1002"/>
      <c r="O471" s="1000"/>
      <c r="P471" s="968"/>
      <c r="Q471" s="968"/>
      <c r="R471" s="968"/>
      <c r="S471" s="968"/>
      <c r="T471" s="968"/>
      <c r="U471" s="968"/>
      <c r="V471" s="968"/>
      <c r="W471" s="968"/>
      <c r="X471" s="968"/>
      <c r="AX471" s="63"/>
      <c r="AY471" s="63"/>
      <c r="AZ471" s="63"/>
      <c r="BA471" s="63"/>
      <c r="BB471" s="63"/>
      <c r="BC471" s="63"/>
      <c r="BD471" s="63"/>
      <c r="BE471" s="63"/>
      <c r="BF471" s="63"/>
      <c r="BG471" s="63"/>
      <c r="BH471" s="63"/>
      <c r="BI471" s="63"/>
    </row>
    <row r="472" spans="1:61" x14ac:dyDescent="0.25">
      <c r="B472" s="77" t="s">
        <v>4583</v>
      </c>
      <c r="C472" s="21"/>
      <c r="D472" s="21"/>
      <c r="E472" s="21"/>
      <c r="F472" s="21"/>
      <c r="G472" s="21"/>
      <c r="H472" s="758"/>
      <c r="I472" s="130">
        <v>611.1</v>
      </c>
      <c r="J472" s="129"/>
      <c r="K472" s="982"/>
      <c r="L472" s="1782" t="s">
        <v>4189</v>
      </c>
      <c r="M472" s="1758">
        <v>5</v>
      </c>
      <c r="N472" s="129"/>
      <c r="O472" s="1774">
        <f>IF(W478+W489*2&gt;=10,5,0)</f>
        <v>0</v>
      </c>
      <c r="P472" s="94"/>
      <c r="Q472" s="94"/>
      <c r="R472" s="94"/>
      <c r="S472" s="94"/>
      <c r="T472" s="94"/>
      <c r="U472" s="94"/>
      <c r="V472" s="94"/>
      <c r="W472" s="94"/>
      <c r="X472" s="94"/>
      <c r="AL472" s="254" t="str">
        <f>SUBSTITUTE(SUBSTITUTE(SUBSTITUTE("dpa"&amp;$B472&amp;$C472&amp;$D472&amp;$E472,".","_"),"(","_"),")","")</f>
        <v>dpa611_1</v>
      </c>
      <c r="AM472" s="254">
        <f>M472</f>
        <v>5</v>
      </c>
      <c r="AN472" s="254" t="str">
        <f>SUBSTITUTE(SUBSTITUTE(SUBSTITUTE("dpc"&amp;$B472&amp;$C472&amp;$D472&amp;$E472,".","_"),"(","_"),")","")</f>
        <v>dpc611_1</v>
      </c>
      <c r="AO472" s="254">
        <f>O472</f>
        <v>0</v>
      </c>
      <c r="AX472" s="94"/>
      <c r="AY472" s="94"/>
      <c r="AZ472" s="94"/>
      <c r="BA472" s="94"/>
      <c r="BB472" s="94"/>
      <c r="BC472" s="94"/>
      <c r="BD472" s="94"/>
      <c r="BE472" s="94"/>
      <c r="BF472" s="94"/>
      <c r="BG472" s="94"/>
      <c r="BH472" s="94"/>
      <c r="BI472" s="94"/>
    </row>
    <row r="473" spans="1:61" x14ac:dyDescent="0.25">
      <c r="B473" s="77" t="s">
        <v>4583</v>
      </c>
      <c r="C473" s="21"/>
      <c r="D473" s="21"/>
      <c r="E473" s="21"/>
      <c r="F473" s="21"/>
      <c r="G473" s="21"/>
      <c r="H473" s="758"/>
      <c r="I473" s="130"/>
      <c r="J473" s="129"/>
      <c r="K473" s="95"/>
      <c r="L473" s="1782"/>
      <c r="M473" s="1758"/>
      <c r="N473" s="129"/>
      <c r="O473" s="1774"/>
      <c r="P473" s="94"/>
      <c r="Q473" s="94"/>
      <c r="R473" s="94"/>
      <c r="S473" s="94"/>
      <c r="T473" s="94"/>
      <c r="U473" s="94"/>
      <c r="V473" s="94"/>
      <c r="W473" s="94"/>
      <c r="X473" s="94"/>
    </row>
    <row r="474" spans="1:61" x14ac:dyDescent="0.25">
      <c r="B474" s="77" t="s">
        <v>4583</v>
      </c>
      <c r="C474" s="21"/>
      <c r="D474" s="21"/>
      <c r="E474" s="21"/>
      <c r="F474" s="21"/>
      <c r="G474" s="21"/>
      <c r="H474" s="758"/>
      <c r="I474" s="130"/>
      <c r="J474" s="129"/>
      <c r="K474" s="95"/>
      <c r="L474" s="1782"/>
      <c r="M474" s="1758"/>
      <c r="N474" s="129"/>
      <c r="O474" s="1774"/>
      <c r="P474" s="94"/>
      <c r="Q474" s="94"/>
      <c r="R474" s="94"/>
      <c r="S474" s="94"/>
      <c r="T474" s="94"/>
      <c r="U474" s="94"/>
      <c r="V474" s="94"/>
      <c r="W474" s="94"/>
      <c r="X474" s="94"/>
    </row>
    <row r="475" spans="1:61" x14ac:dyDescent="0.25">
      <c r="B475" s="77" t="s">
        <v>4583</v>
      </c>
      <c r="C475" s="21"/>
      <c r="D475" s="21"/>
      <c r="E475" s="21"/>
      <c r="F475" s="21"/>
      <c r="G475" s="21"/>
      <c r="H475" s="758"/>
      <c r="I475" s="130"/>
      <c r="J475" s="129"/>
      <c r="K475" s="95"/>
      <c r="L475" s="1782"/>
      <c r="M475" s="1758"/>
      <c r="N475" s="129"/>
      <c r="O475" s="1774"/>
      <c r="P475" s="94"/>
      <c r="Q475" s="94"/>
      <c r="R475" s="94"/>
      <c r="S475" s="94"/>
      <c r="T475" s="94"/>
      <c r="U475" s="94"/>
      <c r="V475" s="94"/>
      <c r="W475" s="94"/>
      <c r="X475" s="94"/>
    </row>
    <row r="476" spans="1:61" x14ac:dyDescent="0.25">
      <c r="B476" s="77" t="s">
        <v>4583</v>
      </c>
      <c r="C476" s="21"/>
      <c r="D476" s="21"/>
      <c r="E476" s="21"/>
      <c r="F476" s="21"/>
      <c r="G476" s="21"/>
      <c r="H476" s="758"/>
      <c r="I476" s="215"/>
      <c r="J476" s="210"/>
      <c r="K476" s="175"/>
      <c r="L476" s="1843"/>
      <c r="M476" s="1759"/>
      <c r="N476" s="210"/>
      <c r="O476" s="1764"/>
      <c r="P476" s="94"/>
      <c r="Q476" s="94"/>
      <c r="R476" s="94"/>
      <c r="S476" s="94"/>
      <c r="T476" s="94"/>
      <c r="U476" s="94"/>
      <c r="V476" s="94"/>
      <c r="W476" s="94"/>
      <c r="X476" s="94"/>
    </row>
    <row r="477" spans="1:61" ht="15" customHeight="1" x14ac:dyDescent="0.25">
      <c r="B477" s="77" t="s">
        <v>4190</v>
      </c>
      <c r="C477" s="21"/>
      <c r="D477" s="21"/>
      <c r="E477" s="21"/>
      <c r="F477" s="21"/>
      <c r="G477" s="21"/>
      <c r="H477" s="758"/>
      <c r="I477" s="64" t="s">
        <v>4190</v>
      </c>
      <c r="J477" s="4"/>
      <c r="K477" s="83"/>
      <c r="L477" s="1852" t="s">
        <v>4818</v>
      </c>
      <c r="M477" s="428"/>
      <c r="N477" s="4"/>
      <c r="O477" s="141"/>
      <c r="P477" s="352"/>
      <c r="Q477" s="352"/>
      <c r="R477" s="126"/>
      <c r="S477" s="126"/>
      <c r="T477" s="126"/>
      <c r="W477" s="63" t="s">
        <v>3136</v>
      </c>
      <c r="X477" s="1757"/>
      <c r="AR477" s="1130" t="str">
        <f>SUBSTITUTE(SUBSTITUTE(SUBSTITUTE("dnt"&amp;$B477&amp;$C477&amp;$D477&amp;$E477,".","_"),"(","_"),")","")</f>
        <v>dnt611_1_1</v>
      </c>
      <c r="AS477" s="254" t="str">
        <f>IF(LEN(X477)=0,"",X477)</f>
        <v/>
      </c>
    </row>
    <row r="478" spans="1:61" x14ac:dyDescent="0.25">
      <c r="B478" s="77" t="s">
        <v>4190</v>
      </c>
      <c r="C478" s="21"/>
      <c r="D478" s="21"/>
      <c r="E478" s="21"/>
      <c r="F478" s="21"/>
      <c r="G478" s="21"/>
      <c r="H478" s="758"/>
      <c r="I478" s="64"/>
      <c r="J478" s="4"/>
      <c r="K478" s="83"/>
      <c r="L478" s="1852"/>
      <c r="M478" s="428"/>
      <c r="N478" s="4"/>
      <c r="O478" s="141"/>
      <c r="P478" s="352" t="b">
        <v>0</v>
      </c>
      <c r="Q478" s="352" t="b">
        <v>1</v>
      </c>
      <c r="R478" s="159" t="b">
        <v>0</v>
      </c>
      <c r="S478" s="159" t="b">
        <v>1</v>
      </c>
      <c r="T478" s="159" t="b">
        <v>0</v>
      </c>
      <c r="W478" s="173"/>
      <c r="X478" s="1757"/>
      <c r="AC478" s="159" t="b">
        <f>OR(AD478:AE478)</f>
        <v>0</v>
      </c>
      <c r="AD478" s="159" t="b">
        <v>0</v>
      </c>
      <c r="AE478" s="159" t="b">
        <f>AND(W478&gt;0,LEN(X477)=0)</f>
        <v>0</v>
      </c>
      <c r="AP478" s="1130" t="str">
        <f>SUBSTITUTE(SUBSTITUTE(SUBSTITUTE("dch"&amp;$B478&amp;$C478&amp;$D478&amp;$E478,".","_"),"(","_"),")","")</f>
        <v>dch611_1_1</v>
      </c>
      <c r="AQ478" s="254" t="str">
        <f>IF(LEN(W478)=0,"",W478)</f>
        <v/>
      </c>
    </row>
    <row r="479" spans="1:61" x14ac:dyDescent="0.25">
      <c r="B479" s="77" t="s">
        <v>4190</v>
      </c>
      <c r="C479" s="21"/>
      <c r="D479" s="21"/>
      <c r="E479" s="21"/>
      <c r="F479" s="21"/>
      <c r="G479" s="21"/>
      <c r="H479" s="758"/>
      <c r="I479" s="64"/>
      <c r="J479" s="4"/>
      <c r="K479" s="83"/>
      <c r="L479" s="1852"/>
      <c r="M479" s="428"/>
      <c r="N479" s="4"/>
      <c r="O479" s="141"/>
      <c r="P479" s="352"/>
      <c r="Q479" s="352"/>
      <c r="R479" s="159"/>
      <c r="S479" s="159"/>
      <c r="T479" s="159"/>
      <c r="X479" s="1757"/>
    </row>
    <row r="480" spans="1:61" x14ac:dyDescent="0.25">
      <c r="B480" s="77" t="s">
        <v>4190</v>
      </c>
      <c r="C480" s="21"/>
      <c r="D480" s="21"/>
      <c r="E480" s="21"/>
      <c r="F480" s="21"/>
      <c r="G480" s="21"/>
      <c r="H480" s="758"/>
      <c r="I480" s="64"/>
      <c r="J480" s="4"/>
      <c r="K480" s="83"/>
      <c r="L480" s="1852"/>
      <c r="M480" s="428"/>
      <c r="N480" s="4"/>
      <c r="O480" s="141"/>
      <c r="P480" s="352"/>
      <c r="Q480" s="352"/>
      <c r="X480" s="1757"/>
    </row>
    <row r="481" spans="1:61" x14ac:dyDescent="0.25">
      <c r="B481" s="77" t="s">
        <v>4190</v>
      </c>
      <c r="C481" s="21"/>
      <c r="D481" s="21"/>
      <c r="E481" s="21"/>
      <c r="F481" s="21"/>
      <c r="G481" s="21"/>
      <c r="H481" s="758"/>
      <c r="I481" s="64"/>
      <c r="J481" s="4"/>
      <c r="K481" s="83"/>
      <c r="L481" s="1852"/>
      <c r="M481" s="428"/>
      <c r="N481" s="4"/>
      <c r="O481" s="141"/>
      <c r="P481" s="352"/>
      <c r="Q481" s="352"/>
      <c r="X481" s="1757"/>
    </row>
    <row r="482" spans="1:61" x14ac:dyDescent="0.25">
      <c r="B482" s="77" t="s">
        <v>4190</v>
      </c>
      <c r="C482" s="21"/>
      <c r="D482" s="21"/>
      <c r="E482" s="21"/>
      <c r="F482" s="21"/>
      <c r="G482" s="21"/>
      <c r="H482" s="758"/>
      <c r="I482" s="64"/>
      <c r="J482" s="4"/>
      <c r="K482" s="83"/>
      <c r="L482" s="1852"/>
      <c r="M482" s="428"/>
      <c r="N482" s="4"/>
      <c r="O482" s="141"/>
      <c r="P482" s="352"/>
      <c r="Q482" s="352"/>
      <c r="X482" s="1757"/>
      <c r="AX482" s="159"/>
      <c r="AY482" s="159"/>
    </row>
    <row r="483" spans="1:61" s="1066" customFormat="1" x14ac:dyDescent="0.25">
      <c r="A483" s="18"/>
      <c r="B483" s="77" t="s">
        <v>4190</v>
      </c>
      <c r="C483" s="21"/>
      <c r="D483" s="21"/>
      <c r="E483" s="21"/>
      <c r="F483" s="21"/>
      <c r="G483" s="21"/>
      <c r="H483" s="758"/>
      <c r="I483" s="64"/>
      <c r="J483" s="4"/>
      <c r="K483" s="1078"/>
      <c r="L483" s="1852"/>
      <c r="M483" s="1067"/>
      <c r="N483" s="4"/>
      <c r="O483" s="1068"/>
      <c r="X483" s="1757"/>
      <c r="AX483" s="63"/>
      <c r="AY483" s="63"/>
      <c r="AZ483" s="63"/>
      <c r="BA483" s="63"/>
      <c r="BB483" s="63"/>
      <c r="BC483" s="63"/>
      <c r="BD483" s="63"/>
      <c r="BE483" s="63"/>
      <c r="BF483" s="63"/>
      <c r="BG483" s="63"/>
      <c r="BH483" s="63"/>
      <c r="BI483" s="63"/>
    </row>
    <row r="484" spans="1:61" x14ac:dyDescent="0.25">
      <c r="B484" s="77" t="s">
        <v>4190</v>
      </c>
      <c r="C484" s="21"/>
      <c r="D484" s="21"/>
      <c r="E484" s="21"/>
      <c r="F484" s="21"/>
      <c r="G484" s="21"/>
      <c r="H484" s="758"/>
      <c r="I484" s="64"/>
      <c r="J484" s="4"/>
      <c r="K484" s="83"/>
      <c r="L484" s="1852"/>
      <c r="M484" s="428"/>
      <c r="N484" s="4"/>
      <c r="O484" s="141"/>
      <c r="P484" s="352"/>
      <c r="Q484" s="352"/>
      <c r="X484" s="1757"/>
      <c r="AX484" s="1066"/>
      <c r="AY484" s="1066"/>
      <c r="AZ484" s="1066"/>
      <c r="BA484" s="1066"/>
      <c r="BB484" s="1066"/>
      <c r="BC484" s="1066"/>
      <c r="BD484" s="1066"/>
      <c r="BE484" s="1066"/>
      <c r="BF484" s="1066"/>
      <c r="BG484" s="1066"/>
      <c r="BH484" s="1066"/>
      <c r="BI484" s="1066"/>
    </row>
    <row r="485" spans="1:61" x14ac:dyDescent="0.25">
      <c r="B485" s="77" t="s">
        <v>4190</v>
      </c>
      <c r="C485" s="21"/>
      <c r="D485" s="21"/>
      <c r="E485" s="21"/>
      <c r="F485" s="21"/>
      <c r="G485" s="21"/>
      <c r="H485" s="758"/>
      <c r="I485" s="64"/>
      <c r="J485" s="4"/>
      <c r="K485" s="83"/>
      <c r="L485" s="1852"/>
      <c r="M485" s="428"/>
      <c r="N485" s="4"/>
      <c r="O485" s="141"/>
      <c r="P485" s="352"/>
      <c r="Q485" s="352"/>
      <c r="X485" s="1757"/>
      <c r="AZ485" s="159"/>
      <c r="BA485" s="159"/>
      <c r="BB485" s="159"/>
      <c r="BC485" s="159"/>
      <c r="BD485" s="159"/>
      <c r="BE485" s="159"/>
      <c r="BF485" s="159"/>
      <c r="BG485" s="159"/>
      <c r="BH485" s="159"/>
      <c r="BI485" s="159"/>
    </row>
    <row r="486" spans="1:61" s="159" customFormat="1" x14ac:dyDescent="0.25">
      <c r="A486" s="18"/>
      <c r="B486" s="77" t="s">
        <v>4190</v>
      </c>
      <c r="C486" s="21"/>
      <c r="D486" s="21"/>
      <c r="E486" s="21"/>
      <c r="F486" s="21"/>
      <c r="G486" s="21"/>
      <c r="H486" s="758"/>
      <c r="I486" s="215"/>
      <c r="J486" s="210"/>
      <c r="K486" s="175"/>
      <c r="L486" s="1177" t="s">
        <v>3138</v>
      </c>
      <c r="M486" s="428"/>
      <c r="N486" s="4"/>
      <c r="O486" s="141"/>
      <c r="P486" s="352"/>
      <c r="Q486" s="352"/>
      <c r="X486" s="1757"/>
      <c r="Y486" s="780"/>
      <c r="AA486" s="783"/>
      <c r="AX486" s="63"/>
      <c r="AY486" s="63"/>
      <c r="AZ486" s="63"/>
      <c r="BA486" s="63"/>
      <c r="BB486" s="63"/>
      <c r="BC486" s="63"/>
      <c r="BD486" s="63"/>
      <c r="BE486" s="63"/>
      <c r="BF486" s="63"/>
      <c r="BG486" s="63"/>
      <c r="BH486" s="63"/>
      <c r="BI486" s="63"/>
    </row>
    <row r="487" spans="1:61" x14ac:dyDescent="0.25">
      <c r="B487" s="77" t="s">
        <v>4191</v>
      </c>
      <c r="C487" s="21"/>
      <c r="D487" s="21"/>
      <c r="E487" s="21"/>
      <c r="F487" s="21"/>
      <c r="G487" s="21"/>
      <c r="H487" s="758"/>
      <c r="I487" s="130" t="s">
        <v>4191</v>
      </c>
      <c r="J487" s="129"/>
      <c r="K487" s="95"/>
      <c r="L487" s="1862" t="s">
        <v>4819</v>
      </c>
      <c r="M487" s="424"/>
      <c r="N487" s="129"/>
      <c r="O487" s="239"/>
      <c r="P487" s="94"/>
      <c r="Q487" s="94"/>
      <c r="R487" s="94"/>
      <c r="S487" s="94"/>
      <c r="T487" s="94"/>
      <c r="U487" s="94"/>
      <c r="V487" s="94"/>
      <c r="W487" s="1847" t="s">
        <v>3137</v>
      </c>
      <c r="X487" s="1770"/>
      <c r="AR487" s="1130" t="str">
        <f>SUBSTITUTE(SUBSTITUTE(SUBSTITUTE("dnt"&amp;$B487&amp;$C487&amp;$D487&amp;$E487,".","_"),"(","_"),")","")</f>
        <v>dnt611_1_2</v>
      </c>
      <c r="AS487" s="254" t="str">
        <f>IF(LEN(X487)=0,"",X487)</f>
        <v/>
      </c>
    </row>
    <row r="488" spans="1:61" x14ac:dyDescent="0.25">
      <c r="B488" s="77" t="s">
        <v>4191</v>
      </c>
      <c r="C488" s="21"/>
      <c r="D488" s="21"/>
      <c r="E488" s="21"/>
      <c r="F488" s="21"/>
      <c r="G488" s="21"/>
      <c r="H488" s="758"/>
      <c r="I488" s="130"/>
      <c r="J488" s="129"/>
      <c r="K488" s="95"/>
      <c r="L488" s="1862"/>
      <c r="M488" s="424"/>
      <c r="N488" s="129"/>
      <c r="O488" s="239"/>
      <c r="P488" s="94"/>
      <c r="Q488" s="94"/>
      <c r="R488" s="94"/>
      <c r="S488" s="94"/>
      <c r="T488" s="94"/>
      <c r="U488" s="94"/>
      <c r="V488" s="94"/>
      <c r="W488" s="1847"/>
      <c r="X488" s="1770"/>
    </row>
    <row r="489" spans="1:61" x14ac:dyDescent="0.25">
      <c r="B489" s="77" t="s">
        <v>4191</v>
      </c>
      <c r="C489" s="21"/>
      <c r="D489" s="21"/>
      <c r="E489" s="21"/>
      <c r="F489" s="21"/>
      <c r="G489" s="21"/>
      <c r="H489" s="758"/>
      <c r="I489" s="130"/>
      <c r="J489" s="129"/>
      <c r="K489" s="95"/>
      <c r="L489" s="1862"/>
      <c r="M489" s="424"/>
      <c r="N489" s="129"/>
      <c r="O489" s="239"/>
      <c r="P489" s="352" t="b">
        <v>0</v>
      </c>
      <c r="Q489" s="352" t="b">
        <v>1</v>
      </c>
      <c r="R489" s="94" t="b">
        <v>0</v>
      </c>
      <c r="S489" s="94" t="b">
        <v>1</v>
      </c>
      <c r="T489" s="94" t="b">
        <v>0</v>
      </c>
      <c r="U489" s="94"/>
      <c r="V489" s="94"/>
      <c r="W489" s="199"/>
      <c r="X489" s="1770"/>
      <c r="AC489" s="159" t="b">
        <f>OR(AD489:AE489)</f>
        <v>0</v>
      </c>
      <c r="AD489" s="159" t="b">
        <v>0</v>
      </c>
      <c r="AE489" s="159" t="b">
        <f>AND(W489&gt;0,LEN(X487)=0)</f>
        <v>0</v>
      </c>
      <c r="AP489" s="1130" t="str">
        <f>SUBSTITUTE(SUBSTITUTE(SUBSTITUTE("dch"&amp;$B489&amp;$C489&amp;$D489&amp;$E489,".","_"),"(","_"),")","")</f>
        <v>dch611_1_2</v>
      </c>
      <c r="AQ489" s="254" t="str">
        <f>IF(LEN(W489)=0,"",W489)</f>
        <v/>
      </c>
    </row>
    <row r="490" spans="1:61" x14ac:dyDescent="0.25">
      <c r="B490" s="77" t="s">
        <v>4191</v>
      </c>
      <c r="C490" s="21"/>
      <c r="D490" s="21"/>
      <c r="E490" s="21"/>
      <c r="F490" s="21"/>
      <c r="G490" s="21"/>
      <c r="H490" s="758"/>
      <c r="I490" s="130"/>
      <c r="J490" s="129"/>
      <c r="K490" s="95"/>
      <c r="L490" s="1862"/>
      <c r="M490" s="424"/>
      <c r="N490" s="129"/>
      <c r="O490" s="239"/>
      <c r="P490" s="94"/>
      <c r="Q490" s="94"/>
      <c r="R490" s="94"/>
      <c r="S490" s="94"/>
      <c r="T490" s="94"/>
      <c r="U490" s="94"/>
      <c r="V490" s="94"/>
      <c r="W490" s="94"/>
      <c r="X490" s="1770"/>
    </row>
    <row r="491" spans="1:61" x14ac:dyDescent="0.25">
      <c r="B491" s="77" t="s">
        <v>4191</v>
      </c>
      <c r="C491" s="21"/>
      <c r="D491" s="21"/>
      <c r="E491" s="21"/>
      <c r="F491" s="21"/>
      <c r="G491" s="21"/>
      <c r="H491" s="758"/>
      <c r="I491" s="130"/>
      <c r="J491" s="129"/>
      <c r="K491" s="95"/>
      <c r="L491" s="1862"/>
      <c r="M491" s="424"/>
      <c r="N491" s="129"/>
      <c r="O491" s="239"/>
      <c r="P491" s="94"/>
      <c r="Q491" s="94"/>
      <c r="R491" s="94"/>
      <c r="S491" s="94"/>
      <c r="T491" s="94"/>
      <c r="U491" s="94"/>
      <c r="V491" s="94"/>
      <c r="W491" s="94"/>
      <c r="X491" s="1770"/>
    </row>
    <row r="492" spans="1:61" x14ac:dyDescent="0.25">
      <c r="B492" s="77" t="s">
        <v>4191</v>
      </c>
      <c r="C492" s="21"/>
      <c r="D492" s="21"/>
      <c r="E492" s="21"/>
      <c r="F492" s="21"/>
      <c r="G492" s="21"/>
      <c r="H492" s="758"/>
      <c r="I492" s="130"/>
      <c r="J492" s="129"/>
      <c r="K492" s="95"/>
      <c r="L492" s="1862"/>
      <c r="M492" s="424"/>
      <c r="N492" s="129"/>
      <c r="O492" s="239"/>
      <c r="P492" s="94"/>
      <c r="Q492" s="94"/>
      <c r="R492" s="94"/>
      <c r="S492" s="94"/>
      <c r="T492" s="94"/>
      <c r="U492" s="94"/>
      <c r="V492" s="94"/>
      <c r="W492" s="94"/>
      <c r="X492" s="1770"/>
    </row>
    <row r="493" spans="1:61" ht="15.75" thickBot="1" x14ac:dyDescent="0.3">
      <c r="B493" s="77" t="s">
        <v>4191</v>
      </c>
      <c r="H493" s="760"/>
      <c r="I493" s="99"/>
      <c r="J493" s="99"/>
      <c r="K493" s="99"/>
      <c r="L493" s="283" t="s">
        <v>3138</v>
      </c>
      <c r="M493" s="511"/>
      <c r="N493" s="240"/>
      <c r="O493" s="241"/>
      <c r="P493" s="99"/>
      <c r="Q493" s="99"/>
      <c r="R493" s="99"/>
      <c r="S493" s="99"/>
      <c r="T493" s="99"/>
      <c r="U493" s="99"/>
      <c r="V493" s="99"/>
      <c r="W493" s="99"/>
      <c r="X493" s="1771"/>
    </row>
    <row r="494" spans="1:61" s="791" customFormat="1" ht="19.5" thickTop="1" x14ac:dyDescent="0.3">
      <c r="A494" s="18"/>
      <c r="B494" s="77" t="s">
        <v>4187</v>
      </c>
      <c r="C494" s="21"/>
      <c r="D494" s="21"/>
      <c r="E494" s="21"/>
      <c r="F494" s="21"/>
      <c r="G494" s="21"/>
      <c r="H494" s="758"/>
      <c r="I494" s="14" t="s">
        <v>4185</v>
      </c>
      <c r="J494" s="23"/>
      <c r="K494" s="82"/>
      <c r="L494" s="229"/>
      <c r="M494" s="390"/>
      <c r="N494" s="508"/>
      <c r="O494" s="498"/>
      <c r="P494" s="23"/>
      <c r="Q494" s="23"/>
      <c r="R494" s="23"/>
      <c r="S494" s="23"/>
      <c r="T494" s="23"/>
      <c r="U494" s="23"/>
      <c r="V494" s="23"/>
      <c r="W494" s="23"/>
      <c r="X494" s="23"/>
      <c r="AZ494" s="63"/>
      <c r="BA494" s="63"/>
      <c r="BB494" s="63"/>
      <c r="BC494" s="63"/>
      <c r="BD494" s="63"/>
      <c r="BE494" s="63"/>
      <c r="BF494" s="63"/>
      <c r="BG494" s="63"/>
      <c r="BH494" s="63"/>
      <c r="BI494" s="63"/>
    </row>
    <row r="495" spans="1:61" x14ac:dyDescent="0.25">
      <c r="B495" s="77" t="s">
        <v>4188</v>
      </c>
      <c r="C495" s="21"/>
      <c r="D495" s="21"/>
      <c r="E495" s="21"/>
      <c r="F495" s="21"/>
      <c r="G495" s="21"/>
      <c r="H495" s="758"/>
      <c r="I495" s="64">
        <v>612.1</v>
      </c>
      <c r="J495" s="4"/>
      <c r="K495" s="83"/>
      <c r="L495" s="1796" t="s">
        <v>4186</v>
      </c>
      <c r="M495" s="1767" t="s">
        <v>699</v>
      </c>
      <c r="N495" s="4"/>
      <c r="O495" s="1780">
        <f ca="1">IFERROR(MATCH(W495,INDIRECT(U495),0),0)</f>
        <v>0</v>
      </c>
      <c r="P495" s="352" t="b">
        <v>1</v>
      </c>
      <c r="Q495" s="352" t="b">
        <v>1</v>
      </c>
      <c r="R495" s="126" t="b">
        <v>0</v>
      </c>
      <c r="S495" s="126" t="b">
        <v>1</v>
      </c>
      <c r="T495" s="126" t="b">
        <v>0</v>
      </c>
      <c r="U495" s="94" t="str">
        <f>SUBSTITUTE(SUBSTITUTE(SUBSTITUTE("dd"&amp;B495&amp;C495&amp;D495&amp;E495&amp;F495,".","_"),"(","_"),")","")</f>
        <v>dd612_1</v>
      </c>
      <c r="W495" s="12"/>
      <c r="X495" s="1757"/>
      <c r="AC495" s="159" t="b">
        <f>OR(AD495:AE495)</f>
        <v>0</v>
      </c>
      <c r="AD495" s="159" t="b">
        <v>0</v>
      </c>
      <c r="AE495" s="159" t="b">
        <f>AND(NOT(ISBLANK(W495)),LEN(X495)=0)</f>
        <v>0</v>
      </c>
      <c r="AL495" s="254" t="str">
        <f>SUBSTITUTE(SUBSTITUTE(SUBSTITUTE("dpa"&amp;$B495&amp;$C495&amp;$D495&amp;$E495,".","_"),"(","_"),")","")</f>
        <v>dpa612_1</v>
      </c>
      <c r="AM495" s="254" t="str">
        <f>M495</f>
        <v>10 Max</v>
      </c>
      <c r="AN495" s="254" t="str">
        <f>SUBSTITUTE(SUBSTITUTE(SUBSTITUTE("dpc"&amp;$B495&amp;$C495&amp;$D495&amp;$E495,".","_"),"(","_"),")","")</f>
        <v>dpc612_1</v>
      </c>
      <c r="AO495" s="254">
        <f ca="1">O495</f>
        <v>0</v>
      </c>
      <c r="AP495" s="1130" t="str">
        <f>SUBSTITUTE(SUBSTITUTE(SUBSTITUTE("dch"&amp;$B495&amp;$C495&amp;$D495&amp;$E495,".","_"),"(","_"),")","")</f>
        <v>dch612_1</v>
      </c>
      <c r="AQ495" s="254" t="str">
        <f>IF(LEN(W495)=0,"",W495)</f>
        <v/>
      </c>
      <c r="AR495" s="1130" t="str">
        <f>SUBSTITUTE(SUBSTITUTE(SUBSTITUTE("dnt"&amp;$B495&amp;$C495&amp;$D495&amp;$E495,".","_"),"(","_"),")","")</f>
        <v>dnt612_1</v>
      </c>
      <c r="AS495" s="254" t="str">
        <f>IF(LEN(X495)=0,"",X495)</f>
        <v/>
      </c>
      <c r="AZ495" s="791"/>
      <c r="BA495" s="791"/>
      <c r="BB495" s="791"/>
      <c r="BC495" s="791"/>
      <c r="BD495" s="791"/>
      <c r="BE495" s="791"/>
      <c r="BF495" s="791"/>
      <c r="BG495" s="791"/>
      <c r="BH495" s="791"/>
      <c r="BI495" s="791"/>
    </row>
    <row r="496" spans="1:61" x14ac:dyDescent="0.25">
      <c r="B496" s="77" t="s">
        <v>4188</v>
      </c>
      <c r="C496" s="21"/>
      <c r="D496" s="21"/>
      <c r="E496" s="21"/>
      <c r="F496" s="21"/>
      <c r="G496" s="21"/>
      <c r="H496" s="758"/>
      <c r="I496" s="64"/>
      <c r="J496" s="4"/>
      <c r="K496" s="83"/>
      <c r="L496" s="1796"/>
      <c r="M496" s="1767"/>
      <c r="N496" s="4"/>
      <c r="O496" s="1780"/>
      <c r="P496" s="352"/>
      <c r="Q496" s="352"/>
      <c r="X496" s="1757"/>
    </row>
    <row r="497" spans="1:61" x14ac:dyDescent="0.25">
      <c r="B497" s="77" t="s">
        <v>4188</v>
      </c>
      <c r="C497" s="21"/>
      <c r="D497" s="21"/>
      <c r="E497" s="21"/>
      <c r="F497" s="21"/>
      <c r="G497" s="21"/>
      <c r="H497" s="758"/>
      <c r="I497" s="64"/>
      <c r="J497" s="4"/>
      <c r="K497" s="83"/>
      <c r="L497" s="1796"/>
      <c r="M497" s="1767"/>
      <c r="N497" s="4"/>
      <c r="O497" s="1780"/>
      <c r="P497" s="352"/>
      <c r="Q497" s="352"/>
      <c r="X497" s="1757"/>
    </row>
    <row r="498" spans="1:61" x14ac:dyDescent="0.25">
      <c r="B498" s="77" t="s">
        <v>4188</v>
      </c>
      <c r="C498" s="21"/>
      <c r="D498" s="21"/>
      <c r="E498" s="21"/>
      <c r="F498" s="21"/>
      <c r="G498" s="21"/>
      <c r="H498" s="758"/>
      <c r="I498" s="64"/>
      <c r="J498" s="4"/>
      <c r="K498" s="83"/>
      <c r="L498" s="1796"/>
      <c r="M498" s="1767"/>
      <c r="N498" s="4"/>
      <c r="O498" s="1780"/>
      <c r="P498" s="352"/>
      <c r="Q498" s="352"/>
      <c r="X498" s="1757"/>
      <c r="AX498" s="159"/>
      <c r="AY498" s="159"/>
    </row>
    <row r="499" spans="1:61" x14ac:dyDescent="0.25">
      <c r="B499" s="77" t="s">
        <v>4188</v>
      </c>
      <c r="C499" s="21"/>
      <c r="D499" s="21"/>
      <c r="E499" s="21"/>
      <c r="F499" s="21"/>
      <c r="G499" s="21"/>
      <c r="H499" s="758"/>
      <c r="I499" s="64"/>
      <c r="J499" s="4"/>
      <c r="K499" s="83"/>
      <c r="L499" s="1796"/>
      <c r="M499" s="1767"/>
      <c r="N499" s="4"/>
      <c r="O499" s="1780"/>
      <c r="P499" s="352"/>
      <c r="Q499" s="352"/>
      <c r="X499" s="1757"/>
      <c r="AX499" s="159"/>
      <c r="AY499" s="159"/>
    </row>
    <row r="500" spans="1:61" x14ac:dyDescent="0.25">
      <c r="B500" s="77" t="s">
        <v>4188</v>
      </c>
      <c r="C500" s="21"/>
      <c r="D500" s="21"/>
      <c r="E500" s="21"/>
      <c r="F500" s="21"/>
      <c r="G500" s="21"/>
      <c r="H500" s="758"/>
      <c r="I500" s="64"/>
      <c r="J500" s="4"/>
      <c r="K500" s="83"/>
      <c r="L500" s="1185" t="s">
        <v>727</v>
      </c>
      <c r="M500" s="1767"/>
      <c r="N500" s="4"/>
      <c r="O500" s="1780"/>
      <c r="P500" s="352"/>
      <c r="Q500" s="352"/>
      <c r="X500" s="1757"/>
      <c r="AZ500" s="159"/>
      <c r="BA500" s="159"/>
      <c r="BB500" s="159"/>
      <c r="BC500" s="159"/>
      <c r="BD500" s="159"/>
      <c r="BE500" s="159"/>
      <c r="BF500" s="159"/>
      <c r="BG500" s="159"/>
      <c r="BH500" s="159"/>
      <c r="BI500" s="159"/>
    </row>
    <row r="501" spans="1:61" s="159" customFormat="1" x14ac:dyDescent="0.25">
      <c r="A501" s="18"/>
      <c r="B501" s="77" t="s">
        <v>4188</v>
      </c>
      <c r="C501" s="21"/>
      <c r="D501" s="21"/>
      <c r="E501" s="21"/>
      <c r="F501" s="21"/>
      <c r="G501" s="21"/>
      <c r="H501" s="758"/>
      <c r="I501" s="64"/>
      <c r="J501" s="4"/>
      <c r="K501" s="83"/>
      <c r="L501" s="1804" t="s">
        <v>4859</v>
      </c>
      <c r="M501" s="1767"/>
      <c r="N501" s="4"/>
      <c r="O501" s="1780"/>
      <c r="P501" s="352"/>
      <c r="Q501" s="352"/>
      <c r="X501" s="1757"/>
      <c r="Y501" s="780"/>
      <c r="AA501" s="783"/>
      <c r="AX501" s="63"/>
      <c r="AY501" s="63"/>
    </row>
    <row r="502" spans="1:61" s="159" customFormat="1" ht="15.75" thickBot="1" x14ac:dyDescent="0.3">
      <c r="A502" s="18"/>
      <c r="B502" s="77" t="s">
        <v>4188</v>
      </c>
      <c r="C502" s="21"/>
      <c r="D502" s="21"/>
      <c r="E502" s="21"/>
      <c r="F502" s="21"/>
      <c r="G502" s="21"/>
      <c r="H502" s="758"/>
      <c r="I502" s="64"/>
      <c r="J502" s="4"/>
      <c r="K502" s="83"/>
      <c r="L502" s="1849"/>
      <c r="M502" s="1767"/>
      <c r="N502" s="4"/>
      <c r="O502" s="1780"/>
      <c r="P502" s="352"/>
      <c r="Q502" s="352"/>
      <c r="X502" s="1798"/>
      <c r="Y502" s="780"/>
      <c r="AA502" s="783"/>
      <c r="AX502" s="63"/>
      <c r="AY502" s="63"/>
      <c r="AZ502" s="63"/>
      <c r="BA502" s="63"/>
      <c r="BB502" s="63"/>
      <c r="BC502" s="63"/>
      <c r="BD502" s="63"/>
      <c r="BE502" s="63"/>
      <c r="BF502" s="63"/>
      <c r="BG502" s="63"/>
      <c r="BH502" s="63"/>
      <c r="BI502" s="63"/>
    </row>
    <row r="503" spans="1:61" ht="15.75" thickTop="1" x14ac:dyDescent="0.25">
      <c r="B503" s="77" t="s">
        <v>4193</v>
      </c>
      <c r="C503" s="21"/>
      <c r="D503" s="21"/>
      <c r="E503" s="21"/>
      <c r="F503" s="21"/>
      <c r="G503" s="21"/>
      <c r="H503" s="758"/>
      <c r="I503" s="180">
        <v>612.20000000000005</v>
      </c>
      <c r="J503" s="181"/>
      <c r="K503" s="182"/>
      <c r="L503" s="1781" t="s">
        <v>4195</v>
      </c>
      <c r="M503" s="1772" t="s">
        <v>509</v>
      </c>
      <c r="N503" s="181"/>
      <c r="O503" s="1773">
        <f>MIN(9,M506*S506*W506+M507*S507*W507+M509*S509*W509+M511*S511*W511+M513*S513*W513+M515*S515*W515+M517*S517*W517)</f>
        <v>0</v>
      </c>
      <c r="P503" s="105"/>
      <c r="Q503" s="105"/>
      <c r="R503" s="105"/>
      <c r="S503" s="105"/>
      <c r="T503" s="105"/>
      <c r="U503" s="105"/>
      <c r="V503" s="105"/>
      <c r="W503" s="105"/>
      <c r="X503" s="105"/>
      <c r="AL503" s="254" t="str">
        <f>SUBSTITUTE(SUBSTITUTE(SUBSTITUTE("dpa"&amp;$B503&amp;$C503&amp;$D503&amp;$E503,".","_"),"(","_"),")","")</f>
        <v>dpa612_2</v>
      </c>
      <c r="AM503" s="254" t="str">
        <f>M503</f>
        <v>9 Max</v>
      </c>
      <c r="AN503" s="254" t="str">
        <f>SUBSTITUTE(SUBSTITUTE(SUBSTITUTE("dpc"&amp;$B503&amp;$C503&amp;$D503&amp;$E503,".","_"),"(","_"),")","")</f>
        <v>dpc612_2</v>
      </c>
      <c r="AO503" s="254">
        <f>O503</f>
        <v>0</v>
      </c>
    </row>
    <row r="504" spans="1:61" x14ac:dyDescent="0.25">
      <c r="B504" s="77" t="s">
        <v>4193</v>
      </c>
      <c r="C504" s="21"/>
      <c r="D504" s="21"/>
      <c r="E504" s="21"/>
      <c r="F504" s="21"/>
      <c r="G504" s="21"/>
      <c r="H504" s="758"/>
      <c r="I504" s="130"/>
      <c r="J504" s="129"/>
      <c r="K504" s="95"/>
      <c r="L504" s="1782"/>
      <c r="M504" s="1758"/>
      <c r="N504" s="129"/>
      <c r="O504" s="1774"/>
      <c r="P504" s="94"/>
      <c r="Q504" s="94"/>
      <c r="R504" s="94"/>
      <c r="S504" s="94"/>
      <c r="T504" s="94"/>
      <c r="U504" s="94"/>
      <c r="V504" s="94"/>
      <c r="W504" s="94"/>
      <c r="X504" s="94"/>
    </row>
    <row r="505" spans="1:61" x14ac:dyDescent="0.25">
      <c r="B505" s="77" t="s">
        <v>4193</v>
      </c>
      <c r="C505" s="21"/>
      <c r="D505" s="21"/>
      <c r="E505" s="21"/>
      <c r="F505" s="21"/>
      <c r="G505" s="21"/>
      <c r="H505" s="758"/>
      <c r="I505" s="130"/>
      <c r="J505" s="129"/>
      <c r="K505" s="95"/>
      <c r="L505" s="1782"/>
      <c r="M505" s="1758"/>
      <c r="N505" s="129"/>
      <c r="O505" s="1774"/>
      <c r="P505" s="94"/>
      <c r="Q505" s="94"/>
      <c r="R505" s="94"/>
      <c r="S505" s="94"/>
      <c r="T505" s="94"/>
      <c r="U505" s="94"/>
      <c r="V505" s="94"/>
      <c r="W505" s="94"/>
      <c r="X505" s="94"/>
    </row>
    <row r="506" spans="1:61" x14ac:dyDescent="0.25">
      <c r="B506" s="77" t="s">
        <v>4193</v>
      </c>
      <c r="C506" s="21" t="s">
        <v>256</v>
      </c>
      <c r="D506" s="21"/>
      <c r="E506" s="21"/>
      <c r="F506" s="21"/>
      <c r="G506" s="21"/>
      <c r="H506" s="758"/>
      <c r="I506" s="64"/>
      <c r="J506" s="206" t="s">
        <v>256</v>
      </c>
      <c r="K506" s="175"/>
      <c r="L506" s="1153" t="s">
        <v>4196</v>
      </c>
      <c r="M506" s="795">
        <v>3</v>
      </c>
      <c r="N506" s="4"/>
      <c r="O506" s="141"/>
      <c r="P506" s="352" t="b">
        <v>1</v>
      </c>
      <c r="Q506" s="352" t="b">
        <v>1</v>
      </c>
      <c r="R506" s="126" t="b">
        <v>0</v>
      </c>
      <c r="S506" s="137" t="b">
        <v>1</v>
      </c>
      <c r="T506" s="159" t="b">
        <v>0</v>
      </c>
      <c r="W506" s="25"/>
      <c r="X506" s="160"/>
      <c r="AC506" s="134"/>
      <c r="AD506" s="134"/>
      <c r="AE506" s="134"/>
      <c r="AL506" s="254" t="str">
        <f>SUBSTITUTE(SUBSTITUTE(SUBSTITUTE("dpa"&amp;$B506&amp;$C506&amp;$D506&amp;$E506,".","_"),"(","_"),")","")</f>
        <v>dpa612_2_1</v>
      </c>
      <c r="AM506" s="254">
        <f t="shared" ref="AM506:AM517" si="21">M506</f>
        <v>3</v>
      </c>
      <c r="AP506" s="1130" t="str">
        <f>SUBSTITUTE(SUBSTITUTE(SUBSTITUTE("dch"&amp;$B506&amp;$C506&amp;$D506&amp;$E506,".","_"),"(","_"),")","")</f>
        <v>dch612_2_1</v>
      </c>
      <c r="AQ506" s="254" t="str">
        <f>IF(LEN(W506)=0,"",W506)</f>
        <v/>
      </c>
      <c r="AR506" s="1130" t="str">
        <f>SUBSTITUTE(SUBSTITUTE(SUBSTITUTE("dnt"&amp;$B506&amp;$C506&amp;$D506&amp;$E506,".","_"),"(","_"),")","")</f>
        <v>dnt612_2_1</v>
      </c>
      <c r="AS506" s="254" t="str">
        <f>IF(LEN(X506)=0,"",X506)</f>
        <v/>
      </c>
    </row>
    <row r="507" spans="1:61" x14ac:dyDescent="0.25">
      <c r="B507" s="77" t="s">
        <v>4193</v>
      </c>
      <c r="C507" s="21" t="s">
        <v>258</v>
      </c>
      <c r="D507" s="21"/>
      <c r="E507" s="21"/>
      <c r="F507" s="21"/>
      <c r="G507" s="21"/>
      <c r="H507" s="758"/>
      <c r="I507" s="64"/>
      <c r="J507" s="209" t="s">
        <v>258</v>
      </c>
      <c r="K507" s="194"/>
      <c r="L507" s="1769" t="s">
        <v>4197</v>
      </c>
      <c r="M507" s="1762">
        <v>3</v>
      </c>
      <c r="N507" s="4"/>
      <c r="O507" s="141"/>
      <c r="P507" s="352" t="b">
        <v>1</v>
      </c>
      <c r="Q507" s="352" t="b">
        <v>1</v>
      </c>
      <c r="R507" s="126" t="b">
        <v>0</v>
      </c>
      <c r="S507" s="137" t="b">
        <v>1</v>
      </c>
      <c r="T507" s="159" t="b">
        <v>0</v>
      </c>
      <c r="W507" s="25"/>
      <c r="X507" s="1757"/>
      <c r="AC507" s="134"/>
      <c r="AD507" s="134"/>
      <c r="AE507" s="134"/>
      <c r="AL507" s="254" t="str">
        <f>SUBSTITUTE(SUBSTITUTE(SUBSTITUTE("dpa"&amp;$B507&amp;$C507&amp;$D507&amp;$E507,".","_"),"(","_"),")","")</f>
        <v>dpa612_2_2</v>
      </c>
      <c r="AM507" s="254">
        <f t="shared" si="21"/>
        <v>3</v>
      </c>
      <c r="AP507" s="1130" t="str">
        <f>SUBSTITUTE(SUBSTITUTE(SUBSTITUTE("dch"&amp;$B507&amp;$C507&amp;$D507&amp;$E507,".","_"),"(","_"),")","")</f>
        <v>dch612_2_2</v>
      </c>
      <c r="AQ507" s="254" t="str">
        <f>IF(LEN(W507)=0,"",W507)</f>
        <v/>
      </c>
      <c r="AR507" s="1130" t="str">
        <f>SUBSTITUTE(SUBSTITUTE(SUBSTITUTE("dnt"&amp;$B507&amp;$C507&amp;$D507&amp;$E507,".","_"),"(","_"),")","")</f>
        <v>dnt612_2_2</v>
      </c>
      <c r="AS507" s="254" t="str">
        <f>IF(LEN(X507)=0,"",X507)</f>
        <v/>
      </c>
    </row>
    <row r="508" spans="1:61" customFormat="1" x14ac:dyDescent="0.25">
      <c r="B508" s="77" t="s">
        <v>4193</v>
      </c>
      <c r="C508" s="21" t="s">
        <v>258</v>
      </c>
      <c r="E508" s="21"/>
      <c r="J508" s="178"/>
      <c r="K508" s="178"/>
      <c r="L508" s="1786"/>
      <c r="M508" s="1759"/>
      <c r="X508" s="1757"/>
      <c r="AZ508" s="63"/>
      <c r="BA508" s="63"/>
      <c r="BB508" s="63"/>
      <c r="BC508" s="63"/>
      <c r="BD508" s="63"/>
      <c r="BE508" s="63"/>
      <c r="BF508" s="63"/>
      <c r="BG508" s="63"/>
      <c r="BH508" s="63"/>
      <c r="BI508" s="63"/>
    </row>
    <row r="509" spans="1:61" x14ac:dyDescent="0.25">
      <c r="B509" s="77" t="s">
        <v>4193</v>
      </c>
      <c r="C509" s="21" t="s">
        <v>260</v>
      </c>
      <c r="D509" s="21"/>
      <c r="E509" s="21"/>
      <c r="F509" s="21"/>
      <c r="G509" s="21"/>
      <c r="H509" s="758"/>
      <c r="I509" s="64"/>
      <c r="J509" s="209" t="s">
        <v>260</v>
      </c>
      <c r="K509" s="194"/>
      <c r="L509" s="1769" t="s">
        <v>4198</v>
      </c>
      <c r="M509" s="1762">
        <v>3</v>
      </c>
      <c r="N509" s="4"/>
      <c r="O509" s="141"/>
      <c r="P509" s="352" t="b">
        <v>1</v>
      </c>
      <c r="Q509" s="352" t="b">
        <v>1</v>
      </c>
      <c r="R509" s="126" t="b">
        <v>0</v>
      </c>
      <c r="S509" s="137" t="b">
        <v>1</v>
      </c>
      <c r="T509" s="159" t="b">
        <v>0</v>
      </c>
      <c r="W509" s="25"/>
      <c r="X509" s="1757"/>
      <c r="AC509" s="134"/>
      <c r="AD509" s="134"/>
      <c r="AE509" s="134"/>
      <c r="AL509" s="254" t="str">
        <f>SUBSTITUTE(SUBSTITUTE(SUBSTITUTE("dpa"&amp;$B509&amp;$C509&amp;$D509&amp;$E509,".","_"),"(","_"),")","")</f>
        <v>dpa612_2_3</v>
      </c>
      <c r="AM509" s="254">
        <f t="shared" si="21"/>
        <v>3</v>
      </c>
      <c r="AP509" s="1130" t="str">
        <f>SUBSTITUTE(SUBSTITUTE(SUBSTITUTE("dch"&amp;$B509&amp;$C509&amp;$D509&amp;$E509,".","_"),"(","_"),")","")</f>
        <v>dch612_2_3</v>
      </c>
      <c r="AQ509" s="254" t="str">
        <f>IF(LEN(W509)=0,"",W509)</f>
        <v/>
      </c>
      <c r="AR509" s="1130" t="str">
        <f>SUBSTITUTE(SUBSTITUTE(SUBSTITUTE("dnt"&amp;$B509&amp;$C509&amp;$D509&amp;$E509,".","_"),"(","_"),")","")</f>
        <v>dnt612_2_3</v>
      </c>
      <c r="AS509" s="254" t="str">
        <f>IF(LEN(X509)=0,"",X509)</f>
        <v/>
      </c>
      <c r="AZ509"/>
      <c r="BA509"/>
      <c r="BB509"/>
      <c r="BC509"/>
      <c r="BD509"/>
      <c r="BE509"/>
      <c r="BF509"/>
      <c r="BG509"/>
      <c r="BH509"/>
      <c r="BI509"/>
    </row>
    <row r="510" spans="1:61" customFormat="1" x14ac:dyDescent="0.25">
      <c r="B510" s="77" t="s">
        <v>4193</v>
      </c>
      <c r="C510" s="21" t="s">
        <v>260</v>
      </c>
      <c r="E510" s="21"/>
      <c r="J510" s="178"/>
      <c r="K510" s="178"/>
      <c r="L510" s="1786"/>
      <c r="M510" s="1759"/>
      <c r="X510" s="1757"/>
      <c r="AZ510" s="63"/>
      <c r="BA510" s="63"/>
      <c r="BB510" s="63"/>
      <c r="BC510" s="63"/>
      <c r="BD510" s="63"/>
      <c r="BE510" s="63"/>
      <c r="BF510" s="63"/>
      <c r="BG510" s="63"/>
      <c r="BH510" s="63"/>
      <c r="BI510" s="63"/>
    </row>
    <row r="511" spans="1:61" x14ac:dyDescent="0.25">
      <c r="B511" s="77" t="s">
        <v>4193</v>
      </c>
      <c r="C511" s="21" t="s">
        <v>269</v>
      </c>
      <c r="D511" s="21"/>
      <c r="E511" s="21"/>
      <c r="F511" s="21"/>
      <c r="G511" s="21"/>
      <c r="H511" s="758"/>
      <c r="I511" s="64"/>
      <c r="J511" s="209" t="s">
        <v>269</v>
      </c>
      <c r="K511" s="194"/>
      <c r="L511" s="1769" t="s">
        <v>4199</v>
      </c>
      <c r="M511" s="1762">
        <v>3</v>
      </c>
      <c r="N511" s="4"/>
      <c r="O511" s="141"/>
      <c r="P511" s="352" t="b">
        <v>1</v>
      </c>
      <c r="Q511" s="352" t="b">
        <v>1</v>
      </c>
      <c r="R511" s="126" t="b">
        <v>0</v>
      </c>
      <c r="S511" s="137" t="b">
        <v>1</v>
      </c>
      <c r="T511" s="159" t="b">
        <v>0</v>
      </c>
      <c r="W511" s="25"/>
      <c r="X511" s="1757"/>
      <c r="AC511" s="134"/>
      <c r="AD511" s="134"/>
      <c r="AE511" s="134"/>
      <c r="AL511" s="254" t="str">
        <f>SUBSTITUTE(SUBSTITUTE(SUBSTITUTE("dpa"&amp;$B511&amp;$C511&amp;$D511&amp;$E511,".","_"),"(","_"),")","")</f>
        <v>dpa612_2_4</v>
      </c>
      <c r="AM511" s="254">
        <f t="shared" si="21"/>
        <v>3</v>
      </c>
      <c r="AP511" s="1130" t="str">
        <f>SUBSTITUTE(SUBSTITUTE(SUBSTITUTE("dch"&amp;$B511&amp;$C511&amp;$D511&amp;$E511,".","_"),"(","_"),")","")</f>
        <v>dch612_2_4</v>
      </c>
      <c r="AQ511" s="254" t="str">
        <f>IF(LEN(W511)=0,"",W511)</f>
        <v/>
      </c>
      <c r="AR511" s="1130" t="str">
        <f>SUBSTITUTE(SUBSTITUTE(SUBSTITUTE("dnt"&amp;$B511&amp;$C511&amp;$D511&amp;$E511,".","_"),"(","_"),")","")</f>
        <v>dnt612_2_4</v>
      </c>
      <c r="AS511" s="254" t="str">
        <f>IF(LEN(X511)=0,"",X511)</f>
        <v/>
      </c>
      <c r="AZ511"/>
      <c r="BA511"/>
      <c r="BB511"/>
      <c r="BC511"/>
      <c r="BD511"/>
      <c r="BE511"/>
      <c r="BF511"/>
      <c r="BG511"/>
      <c r="BH511"/>
      <c r="BI511"/>
    </row>
    <row r="512" spans="1:61" customFormat="1" x14ac:dyDescent="0.25">
      <c r="B512" s="77" t="s">
        <v>4193</v>
      </c>
      <c r="C512" s="21" t="s">
        <v>269</v>
      </c>
      <c r="E512" s="21"/>
      <c r="J512" s="178"/>
      <c r="K512" s="178"/>
      <c r="L512" s="1786"/>
      <c r="M512" s="1759"/>
      <c r="X512" s="1757"/>
      <c r="AZ512" s="63"/>
      <c r="BA512" s="63"/>
      <c r="BB512" s="63"/>
      <c r="BC512" s="63"/>
      <c r="BD512" s="63"/>
      <c r="BE512" s="63"/>
      <c r="BF512" s="63"/>
      <c r="BG512" s="63"/>
      <c r="BH512" s="63"/>
      <c r="BI512" s="63"/>
    </row>
    <row r="513" spans="1:61" x14ac:dyDescent="0.25">
      <c r="B513" s="77" t="s">
        <v>4193</v>
      </c>
      <c r="C513" s="21" t="s">
        <v>275</v>
      </c>
      <c r="D513" s="21"/>
      <c r="E513" s="21"/>
      <c r="F513" s="21"/>
      <c r="G513" s="21"/>
      <c r="H513" s="758"/>
      <c r="I513" s="64"/>
      <c r="J513" s="209" t="s">
        <v>275</v>
      </c>
      <c r="K513" s="194"/>
      <c r="L513" s="1769" t="s">
        <v>4200</v>
      </c>
      <c r="M513" s="1762">
        <v>3</v>
      </c>
      <c r="N513" s="4"/>
      <c r="O513" s="141"/>
      <c r="P513" s="352" t="b">
        <v>1</v>
      </c>
      <c r="Q513" s="352" t="b">
        <v>1</v>
      </c>
      <c r="R513" s="126" t="b">
        <v>0</v>
      </c>
      <c r="S513" s="137" t="b">
        <v>1</v>
      </c>
      <c r="T513" s="159" t="b">
        <v>0</v>
      </c>
      <c r="W513" s="25"/>
      <c r="X513" s="1757"/>
      <c r="AC513" s="134"/>
      <c r="AD513" s="134"/>
      <c r="AE513" s="134"/>
      <c r="AL513" s="254" t="str">
        <f>SUBSTITUTE(SUBSTITUTE(SUBSTITUTE("dpa"&amp;$B513&amp;$C513&amp;$D513&amp;$E513,".","_"),"(","_"),")","")</f>
        <v>dpa612_2_5</v>
      </c>
      <c r="AM513" s="254">
        <f t="shared" si="21"/>
        <v>3</v>
      </c>
      <c r="AP513" s="1130" t="str">
        <f>SUBSTITUTE(SUBSTITUTE(SUBSTITUTE("dch"&amp;$B513&amp;$C513&amp;$D513&amp;$E513,".","_"),"(","_"),")","")</f>
        <v>dch612_2_5</v>
      </c>
      <c r="AQ513" s="254" t="str">
        <f>IF(LEN(W513)=0,"",W513)</f>
        <v/>
      </c>
      <c r="AR513" s="1130" t="str">
        <f>SUBSTITUTE(SUBSTITUTE(SUBSTITUTE("dnt"&amp;$B513&amp;$C513&amp;$D513&amp;$E513,".","_"),"(","_"),")","")</f>
        <v>dnt612_2_5</v>
      </c>
      <c r="AS513" s="254" t="str">
        <f>IF(LEN(X513)=0,"",X513)</f>
        <v/>
      </c>
      <c r="AZ513"/>
      <c r="BA513"/>
      <c r="BB513"/>
      <c r="BC513"/>
      <c r="BD513"/>
      <c r="BE513"/>
      <c r="BF513"/>
      <c r="BG513"/>
      <c r="BH513"/>
      <c r="BI513"/>
    </row>
    <row r="514" spans="1:61" customFormat="1" x14ac:dyDescent="0.25">
      <c r="B514" s="77" t="s">
        <v>4193</v>
      </c>
      <c r="C514" s="21" t="s">
        <v>275</v>
      </c>
      <c r="E514" s="21"/>
      <c r="J514" s="178"/>
      <c r="K514" s="178"/>
      <c r="L514" s="1786"/>
      <c r="M514" s="1759"/>
      <c r="X514" s="1757"/>
      <c r="AZ514" s="63"/>
      <c r="BA514" s="63"/>
      <c r="BB514" s="63"/>
      <c r="BC514" s="63"/>
      <c r="BD514" s="63"/>
      <c r="BE514" s="63"/>
      <c r="BF514" s="63"/>
      <c r="BG514" s="63"/>
      <c r="BH514" s="63"/>
      <c r="BI514" s="63"/>
    </row>
    <row r="515" spans="1:61" x14ac:dyDescent="0.25">
      <c r="B515" s="77" t="s">
        <v>4193</v>
      </c>
      <c r="C515" s="21" t="s">
        <v>277</v>
      </c>
      <c r="D515" s="21"/>
      <c r="E515" s="21"/>
      <c r="F515" s="21"/>
      <c r="G515" s="21"/>
      <c r="H515" s="758"/>
      <c r="I515" s="64"/>
      <c r="J515" s="209" t="s">
        <v>277</v>
      </c>
      <c r="K515" s="194"/>
      <c r="L515" s="1769" t="s">
        <v>4201</v>
      </c>
      <c r="M515" s="1762">
        <v>3</v>
      </c>
      <c r="N515" s="4"/>
      <c r="O515" s="141"/>
      <c r="P515" s="352" t="b">
        <v>1</v>
      </c>
      <c r="Q515" s="352" t="b">
        <v>1</v>
      </c>
      <c r="R515" s="126" t="b">
        <v>0</v>
      </c>
      <c r="S515" s="137" t="b">
        <v>1</v>
      </c>
      <c r="T515" s="159" t="b">
        <v>0</v>
      </c>
      <c r="W515" s="25"/>
      <c r="X515" s="1757"/>
      <c r="AC515" s="134"/>
      <c r="AD515" s="134"/>
      <c r="AE515" s="134"/>
      <c r="AL515" s="254" t="str">
        <f>SUBSTITUTE(SUBSTITUTE(SUBSTITUTE("dpa"&amp;$B515&amp;$C515&amp;$D515&amp;$E515,".","_"),"(","_"),")","")</f>
        <v>dpa612_2_6</v>
      </c>
      <c r="AM515" s="254">
        <f t="shared" si="21"/>
        <v>3</v>
      </c>
      <c r="AP515" s="1130" t="str">
        <f>SUBSTITUTE(SUBSTITUTE(SUBSTITUTE("dch"&amp;$B515&amp;$C515&amp;$D515&amp;$E515,".","_"),"(","_"),")","")</f>
        <v>dch612_2_6</v>
      </c>
      <c r="AQ515" s="254" t="str">
        <f>IF(LEN(W515)=0,"",W515)</f>
        <v/>
      </c>
      <c r="AR515" s="1130" t="str">
        <f>SUBSTITUTE(SUBSTITUTE(SUBSTITUTE("dnt"&amp;$B515&amp;$C515&amp;$D515&amp;$E515,".","_"),"(","_"),")","")</f>
        <v>dnt612_2_6</v>
      </c>
      <c r="AS515" s="254" t="str">
        <f>IF(LEN(X515)=0,"",X515)</f>
        <v/>
      </c>
      <c r="AZ515"/>
      <c r="BA515"/>
      <c r="BB515"/>
      <c r="BC515"/>
      <c r="BD515"/>
      <c r="BE515"/>
      <c r="BF515"/>
      <c r="BG515"/>
      <c r="BH515"/>
      <c r="BI515"/>
    </row>
    <row r="516" spans="1:61" customFormat="1" x14ac:dyDescent="0.25">
      <c r="B516" s="77" t="s">
        <v>4193</v>
      </c>
      <c r="C516" s="21" t="s">
        <v>277</v>
      </c>
      <c r="E516" s="21"/>
      <c r="J516" s="178"/>
      <c r="K516" s="178"/>
      <c r="L516" s="1786"/>
      <c r="M516" s="1759"/>
      <c r="X516" s="1757"/>
      <c r="AZ516" s="63"/>
      <c r="BA516" s="63"/>
      <c r="BB516" s="63"/>
      <c r="BC516" s="63"/>
      <c r="BD516" s="63"/>
      <c r="BE516" s="63"/>
      <c r="BF516" s="63"/>
      <c r="BG516" s="63"/>
      <c r="BH516" s="63"/>
      <c r="BI516" s="63"/>
    </row>
    <row r="517" spans="1:61" ht="15" customHeight="1" x14ac:dyDescent="0.25">
      <c r="B517" s="77" t="s">
        <v>4193</v>
      </c>
      <c r="C517" s="21" t="s">
        <v>383</v>
      </c>
      <c r="D517" s="21"/>
      <c r="E517" s="21"/>
      <c r="F517" s="21"/>
      <c r="G517" s="21"/>
      <c r="H517" s="758"/>
      <c r="I517" s="64"/>
      <c r="J517" s="27" t="s">
        <v>383</v>
      </c>
      <c r="K517" s="83"/>
      <c r="L517" s="1769" t="s">
        <v>4202</v>
      </c>
      <c r="M517" s="1762">
        <v>3</v>
      </c>
      <c r="N517" s="4"/>
      <c r="O517" s="141"/>
      <c r="P517" s="352" t="b">
        <v>1</v>
      </c>
      <c r="Q517" s="352" t="b">
        <v>1</v>
      </c>
      <c r="R517" s="126" t="b">
        <v>0</v>
      </c>
      <c r="S517" s="137" t="b">
        <v>1</v>
      </c>
      <c r="T517" s="159" t="b">
        <v>0</v>
      </c>
      <c r="W517" s="25"/>
      <c r="X517" s="1757"/>
      <c r="AC517" s="134"/>
      <c r="AD517" s="134"/>
      <c r="AE517" s="134"/>
      <c r="AL517" s="254" t="str">
        <f>SUBSTITUTE(SUBSTITUTE(SUBSTITUTE("dpa"&amp;$B517&amp;$C517&amp;$D517&amp;$E517,".","_"),"(","_"),")","")</f>
        <v>dpa612_2_7</v>
      </c>
      <c r="AM517" s="254">
        <f t="shared" si="21"/>
        <v>3</v>
      </c>
      <c r="AP517" s="1130" t="str">
        <f>SUBSTITUTE(SUBSTITUTE(SUBSTITUTE("dch"&amp;$B517&amp;$C517&amp;$D517&amp;$E517,".","_"),"(","_"),")","")</f>
        <v>dch612_2_7</v>
      </c>
      <c r="AQ517" s="254" t="str">
        <f>IF(LEN(W517)=0,"",W517)</f>
        <v/>
      </c>
      <c r="AR517" s="1130" t="str">
        <f>SUBSTITUTE(SUBSTITUTE(SUBSTITUTE("dnt"&amp;$B517&amp;$C517&amp;$D517&amp;$E517,".","_"),"(","_"),")","")</f>
        <v>dnt612_2_7</v>
      </c>
      <c r="AS517" s="254" t="str">
        <f>IF(LEN(X517)=0,"",X517)</f>
        <v/>
      </c>
      <c r="AZ517"/>
      <c r="BA517"/>
      <c r="BB517"/>
      <c r="BC517"/>
      <c r="BD517"/>
      <c r="BE517"/>
      <c r="BF517"/>
      <c r="BG517"/>
      <c r="BH517"/>
      <c r="BI517"/>
    </row>
    <row r="518" spans="1:61" ht="15.75" thickBot="1" x14ac:dyDescent="0.3">
      <c r="B518" s="77" t="s">
        <v>4193</v>
      </c>
      <c r="C518" s="21" t="s">
        <v>383</v>
      </c>
      <c r="D518" s="21"/>
      <c r="E518" s="21"/>
      <c r="F518" s="21"/>
      <c r="G518" s="21"/>
      <c r="H518" s="758"/>
      <c r="I518" s="64"/>
      <c r="J518" s="27"/>
      <c r="K518" s="83"/>
      <c r="L518" s="1766"/>
      <c r="M518" s="1768"/>
      <c r="N518" s="4"/>
      <c r="O518" s="141"/>
      <c r="P518" s="352"/>
      <c r="Q518" s="352"/>
      <c r="X518" s="1798"/>
    </row>
    <row r="519" spans="1:61" ht="15.75" thickTop="1" x14ac:dyDescent="0.25">
      <c r="B519" s="77" t="s">
        <v>4194</v>
      </c>
      <c r="C519" s="21"/>
      <c r="D519" s="21"/>
      <c r="E519" s="21"/>
      <c r="F519" s="21"/>
      <c r="G519" s="21"/>
      <c r="H519" s="758"/>
      <c r="I519" s="180">
        <v>612.29999999999995</v>
      </c>
      <c r="J519" s="198"/>
      <c r="K519" s="182"/>
      <c r="L519" s="1781" t="s">
        <v>4192</v>
      </c>
      <c r="M519" s="1772" t="s">
        <v>532</v>
      </c>
      <c r="N519" s="181"/>
      <c r="O519" s="1773">
        <f ca="1">MIN(12,M521*S521*W521+M526*S526*W526+M530*S530*W530+M532*S532*W532+M534*S534*W534+M535*S535*W535+M536*S536*W536+M540*S540*W540+IFERROR(INDEX({1,2,3,4,5},MATCH(W542,INDIRECT(U542),0)),0)*S542)</f>
        <v>0</v>
      </c>
      <c r="P519" s="105"/>
      <c r="Q519" s="105"/>
      <c r="R519" s="105"/>
      <c r="S519" s="105"/>
      <c r="T519" s="105"/>
      <c r="U519" s="105"/>
      <c r="V519" s="105"/>
      <c r="W519" s="105"/>
      <c r="X519" s="105"/>
      <c r="AL519" s="254" t="str">
        <f>SUBSTITUTE(SUBSTITUTE(SUBSTITUTE("dpa"&amp;$B519&amp;$C519&amp;$D519&amp;$E519,".","_"),"(","_"),")","")</f>
        <v>dpa612_3</v>
      </c>
      <c r="AM519" s="254" t="str">
        <f>M519</f>
        <v>12 Max</v>
      </c>
      <c r="AN519" s="254" t="str">
        <f>SUBSTITUTE(SUBSTITUTE(SUBSTITUTE("dpc"&amp;$B519&amp;$C519&amp;$D519&amp;$E519,".","_"),"(","_"),")","")</f>
        <v>dpc612_3</v>
      </c>
      <c r="AO519" s="254">
        <f ca="1">O519</f>
        <v>0</v>
      </c>
    </row>
    <row r="520" spans="1:61" x14ac:dyDescent="0.25">
      <c r="B520" s="77" t="s">
        <v>4194</v>
      </c>
      <c r="C520" s="21"/>
      <c r="D520" s="21"/>
      <c r="E520" s="21"/>
      <c r="F520" s="21"/>
      <c r="G520" s="21"/>
      <c r="H520" s="758"/>
      <c r="I520" s="130"/>
      <c r="J520" s="129"/>
      <c r="K520" s="95"/>
      <c r="L520" s="1782"/>
      <c r="M520" s="1758"/>
      <c r="N520" s="129"/>
      <c r="O520" s="1780"/>
      <c r="P520" s="94"/>
      <c r="Q520" s="94"/>
      <c r="R520" s="94"/>
      <c r="S520" s="94"/>
      <c r="T520" s="94"/>
      <c r="U520" s="94"/>
      <c r="V520" s="94"/>
      <c r="W520" s="94"/>
      <c r="X520" s="94"/>
    </row>
    <row r="521" spans="1:61" x14ac:dyDescent="0.25">
      <c r="B521" s="77" t="s">
        <v>4194</v>
      </c>
      <c r="C521" s="21" t="s">
        <v>256</v>
      </c>
      <c r="D521" s="21"/>
      <c r="E521" s="21"/>
      <c r="F521" s="21"/>
      <c r="G521" s="21"/>
      <c r="H521" s="758"/>
      <c r="I521" s="64"/>
      <c r="J521" s="183" t="s">
        <v>256</v>
      </c>
      <c r="K521" s="95"/>
      <c r="L521" s="1754" t="s">
        <v>728</v>
      </c>
      <c r="M521" s="1758">
        <v>3</v>
      </c>
      <c r="N521" s="4"/>
      <c r="O521" s="141"/>
      <c r="P521" s="352" t="b">
        <v>1</v>
      </c>
      <c r="Q521" s="352" t="b">
        <v>1</v>
      </c>
      <c r="R521" s="126" t="b">
        <v>0</v>
      </c>
      <c r="S521" s="126" t="b">
        <v>1</v>
      </c>
      <c r="T521" s="126" t="b">
        <v>0</v>
      </c>
      <c r="W521" s="25"/>
      <c r="X521" s="1757"/>
      <c r="AL521" s="254" t="str">
        <f>SUBSTITUTE(SUBSTITUTE(SUBSTITUTE("dpa"&amp;$B521&amp;$C521&amp;$D521&amp;$E521,".","_"),"(","_"),")","")</f>
        <v>dpa612_3_1</v>
      </c>
      <c r="AM521" s="254">
        <f>M521</f>
        <v>3</v>
      </c>
      <c r="AP521" s="1130" t="str">
        <f>SUBSTITUTE(SUBSTITUTE(SUBSTITUTE("dch"&amp;$B521&amp;$C521&amp;$D521&amp;$E521,".","_"),"(","_"),")","")</f>
        <v>dch612_3_1</v>
      </c>
      <c r="AQ521" s="254" t="str">
        <f>IF(LEN(W521)=0,"",W521)</f>
        <v/>
      </c>
      <c r="AR521" s="1130" t="str">
        <f>SUBSTITUTE(SUBSTITUTE(SUBSTITUTE("dnt"&amp;$B521&amp;$C521&amp;$D521&amp;$E521,".","_"),"(","_"),")","")</f>
        <v>dnt612_3_1</v>
      </c>
      <c r="AS521" s="254" t="str">
        <f>IF(LEN(X521)=0,"",X521)</f>
        <v/>
      </c>
      <c r="AX521" s="159"/>
      <c r="AY521" s="159"/>
    </row>
    <row r="522" spans="1:61" x14ac:dyDescent="0.25">
      <c r="B522" s="77" t="s">
        <v>4194</v>
      </c>
      <c r="C522" s="21" t="s">
        <v>256</v>
      </c>
      <c r="D522" s="21"/>
      <c r="E522" s="21"/>
      <c r="F522" s="21"/>
      <c r="G522" s="21"/>
      <c r="H522" s="758"/>
      <c r="I522" s="64"/>
      <c r="J522" s="129"/>
      <c r="K522" s="95"/>
      <c r="L522" s="1754"/>
      <c r="M522" s="1758"/>
      <c r="N522" s="4"/>
      <c r="O522" s="141"/>
      <c r="P522" s="352"/>
      <c r="Q522" s="352"/>
      <c r="X522" s="1757"/>
    </row>
    <row r="523" spans="1:61" x14ac:dyDescent="0.25">
      <c r="B523" s="77" t="s">
        <v>4194</v>
      </c>
      <c r="C523" s="21" t="s">
        <v>256</v>
      </c>
      <c r="D523" s="21"/>
      <c r="E523" s="21"/>
      <c r="F523" s="21"/>
      <c r="G523" s="21"/>
      <c r="H523" s="758"/>
      <c r="I523" s="64"/>
      <c r="J523" s="129"/>
      <c r="K523" s="95"/>
      <c r="L523" s="1754"/>
      <c r="M523" s="1758"/>
      <c r="N523" s="4"/>
      <c r="O523" s="141"/>
      <c r="P523" s="352"/>
      <c r="Q523" s="352"/>
      <c r="X523" s="1757"/>
      <c r="AZ523" s="159"/>
      <c r="BA523" s="159"/>
      <c r="BB523" s="159"/>
      <c r="BC523" s="159"/>
      <c r="BD523" s="159"/>
      <c r="BE523" s="159"/>
      <c r="BF523" s="159"/>
      <c r="BG523" s="159"/>
      <c r="BH523" s="159"/>
      <c r="BI523" s="159"/>
    </row>
    <row r="524" spans="1:61" s="159" customFormat="1" x14ac:dyDescent="0.25">
      <c r="A524" s="18"/>
      <c r="B524" s="77" t="s">
        <v>4194</v>
      </c>
      <c r="C524" s="21" t="s">
        <v>256</v>
      </c>
      <c r="D524" s="21"/>
      <c r="E524" s="21"/>
      <c r="F524" s="21"/>
      <c r="G524" s="21"/>
      <c r="H524" s="758"/>
      <c r="I524" s="64"/>
      <c r="J524" s="129"/>
      <c r="K524" s="95"/>
      <c r="L524" s="1754"/>
      <c r="M524" s="1758"/>
      <c r="N524" s="4"/>
      <c r="O524" s="141"/>
      <c r="P524" s="352"/>
      <c r="Q524" s="352"/>
      <c r="X524" s="1757"/>
      <c r="Y524" s="780"/>
      <c r="AA524" s="783"/>
      <c r="AX524" s="63"/>
      <c r="AY524" s="63"/>
      <c r="AZ524" s="63"/>
      <c r="BA524" s="63"/>
      <c r="BB524" s="63"/>
      <c r="BC524" s="63"/>
      <c r="BD524" s="63"/>
      <c r="BE524" s="63"/>
      <c r="BF524" s="63"/>
      <c r="BG524" s="63"/>
      <c r="BH524" s="63"/>
      <c r="BI524" s="63"/>
    </row>
    <row r="525" spans="1:61" x14ac:dyDescent="0.25">
      <c r="B525" s="77" t="s">
        <v>4194</v>
      </c>
      <c r="C525" s="21" t="s">
        <v>256</v>
      </c>
      <c r="D525" s="21"/>
      <c r="E525" s="21"/>
      <c r="F525" s="21"/>
      <c r="G525" s="21"/>
      <c r="H525" s="758"/>
      <c r="I525" s="64"/>
      <c r="J525" s="210"/>
      <c r="K525" s="175"/>
      <c r="L525" s="1755"/>
      <c r="M525" s="1759"/>
      <c r="N525" s="4"/>
      <c r="O525" s="141"/>
      <c r="P525" s="352"/>
      <c r="Q525" s="352"/>
      <c r="X525" s="1757"/>
    </row>
    <row r="526" spans="1:61" x14ac:dyDescent="0.25">
      <c r="B526" s="77" t="s">
        <v>4194</v>
      </c>
      <c r="C526" s="21" t="s">
        <v>258</v>
      </c>
      <c r="D526" s="21"/>
      <c r="E526" s="21"/>
      <c r="F526" s="21"/>
      <c r="G526" s="21"/>
      <c r="H526" s="758"/>
      <c r="I526" s="64"/>
      <c r="J526" s="209" t="s">
        <v>258</v>
      </c>
      <c r="K526" s="194"/>
      <c r="L526" s="1778" t="s">
        <v>729</v>
      </c>
      <c r="M526" s="1762">
        <v>3</v>
      </c>
      <c r="N526" s="4"/>
      <c r="O526" s="141"/>
      <c r="P526" s="352" t="b">
        <v>1</v>
      </c>
      <c r="Q526" s="352" t="b">
        <v>1</v>
      </c>
      <c r="R526" s="126" t="b">
        <v>0</v>
      </c>
      <c r="S526" s="126" t="b">
        <f>IF(W521=TRUE,TRUE,FALSE)</f>
        <v>0</v>
      </c>
      <c r="T526" s="94" t="b">
        <f>AND(NOT(S526),W526=TRUE)</f>
        <v>0</v>
      </c>
      <c r="W526" s="25"/>
      <c r="X526" s="1757"/>
      <c r="AC526" s="159" t="b">
        <f>OR(AD526:AE526)</f>
        <v>0</v>
      </c>
      <c r="AD526" s="159" t="b">
        <f>T526</f>
        <v>0</v>
      </c>
      <c r="AL526" s="254" t="str">
        <f>SUBSTITUTE(SUBSTITUTE(SUBSTITUTE("dpa"&amp;$B526&amp;$C526&amp;$D526&amp;$E526,".","_"),"(","_"),")","")</f>
        <v>dpa612_3_2</v>
      </c>
      <c r="AM526" s="254">
        <f>M526</f>
        <v>3</v>
      </c>
      <c r="AP526" s="1130" t="str">
        <f>SUBSTITUTE(SUBSTITUTE(SUBSTITUTE("dch"&amp;$B526&amp;$C526&amp;$D526&amp;$E526,".","_"),"(","_"),")","")</f>
        <v>dch612_3_2</v>
      </c>
      <c r="AQ526" s="254" t="str">
        <f>IF(LEN(W526)=0,"",W526)</f>
        <v/>
      </c>
      <c r="AR526" s="1130" t="str">
        <f>SUBSTITUTE(SUBSTITUTE(SUBSTITUTE("dnt"&amp;$B526&amp;$C526&amp;$D526&amp;$E526,".","_"),"(","_"),")","")</f>
        <v>dnt612_3_2</v>
      </c>
      <c r="AS526" s="254" t="str">
        <f>IF(LEN(X526)=0,"",X526)</f>
        <v/>
      </c>
    </row>
    <row r="527" spans="1:61" x14ac:dyDescent="0.25">
      <c r="B527" s="77" t="s">
        <v>4194</v>
      </c>
      <c r="C527" s="21" t="s">
        <v>258</v>
      </c>
      <c r="D527" s="21"/>
      <c r="E527" s="21"/>
      <c r="F527" s="21"/>
      <c r="G527" s="21"/>
      <c r="H527" s="758"/>
      <c r="I527" s="64"/>
      <c r="J527" s="129"/>
      <c r="K527" s="95"/>
      <c r="L527" s="1754"/>
      <c r="M527" s="1758"/>
      <c r="N527" s="4"/>
      <c r="O527" s="141"/>
      <c r="P527" s="352"/>
      <c r="Q527" s="352"/>
      <c r="X527" s="1757"/>
    </row>
    <row r="528" spans="1:61" x14ac:dyDescent="0.25">
      <c r="B528" s="77" t="s">
        <v>4194</v>
      </c>
      <c r="C528" s="21" t="s">
        <v>258</v>
      </c>
      <c r="D528" s="21"/>
      <c r="E528" s="21"/>
      <c r="F528" s="21"/>
      <c r="G528" s="21"/>
      <c r="H528" s="758"/>
      <c r="I528" s="64"/>
      <c r="J528" s="129"/>
      <c r="K528" s="95"/>
      <c r="L528" s="1754"/>
      <c r="M528" s="1758"/>
      <c r="N528" s="4"/>
      <c r="O528" s="141"/>
      <c r="P528" s="352"/>
      <c r="Q528" s="352"/>
      <c r="X528" s="1757"/>
    </row>
    <row r="529" spans="1:61" x14ac:dyDescent="0.25">
      <c r="B529" s="77" t="s">
        <v>4194</v>
      </c>
      <c r="C529" s="21" t="s">
        <v>258</v>
      </c>
      <c r="D529" s="21"/>
      <c r="E529" s="21"/>
      <c r="F529" s="21"/>
      <c r="G529" s="21"/>
      <c r="H529" s="758"/>
      <c r="I529" s="64"/>
      <c r="J529" s="210"/>
      <c r="K529" s="175"/>
      <c r="L529" s="1755"/>
      <c r="M529" s="1759"/>
      <c r="N529" s="4"/>
      <c r="O529" s="141"/>
      <c r="P529" s="352"/>
      <c r="Q529" s="352"/>
      <c r="X529" s="1757"/>
    </row>
    <row r="530" spans="1:61" x14ac:dyDescent="0.25">
      <c r="B530" s="77" t="s">
        <v>4194</v>
      </c>
      <c r="C530" s="21" t="s">
        <v>260</v>
      </c>
      <c r="D530" s="21"/>
      <c r="E530" s="21"/>
      <c r="F530" s="21"/>
      <c r="G530" s="21"/>
      <c r="H530" s="758"/>
      <c r="I530" s="64"/>
      <c r="J530" s="209" t="s">
        <v>260</v>
      </c>
      <c r="K530" s="194"/>
      <c r="L530" s="1778" t="s">
        <v>730</v>
      </c>
      <c r="M530" s="1762">
        <v>3</v>
      </c>
      <c r="N530" s="4"/>
      <c r="O530" s="141"/>
      <c r="P530" s="352" t="b">
        <v>1</v>
      </c>
      <c r="Q530" s="352" t="b">
        <v>1</v>
      </c>
      <c r="R530" s="126" t="b">
        <v>0</v>
      </c>
      <c r="S530" s="159" t="b">
        <f>IF(W521=TRUE,TRUE,FALSE)</f>
        <v>0</v>
      </c>
      <c r="T530" s="94" t="b">
        <f>AND(NOT(S530),W530=TRUE)</f>
        <v>0</v>
      </c>
      <c r="W530" s="25"/>
      <c r="X530" s="1757"/>
      <c r="AC530" s="159" t="b">
        <f>OR(AD530:AE530)</f>
        <v>0</v>
      </c>
      <c r="AD530" s="159" t="b">
        <f>T530</f>
        <v>0</v>
      </c>
      <c r="AL530" s="254" t="str">
        <f>SUBSTITUTE(SUBSTITUTE(SUBSTITUTE("dpa"&amp;$B530&amp;$C530&amp;$D530&amp;$E530,".","_"),"(","_"),")","")</f>
        <v>dpa612_3_3</v>
      </c>
      <c r="AM530" s="254">
        <f>M530</f>
        <v>3</v>
      </c>
      <c r="AP530" s="1130" t="str">
        <f>SUBSTITUTE(SUBSTITUTE(SUBSTITUTE("dch"&amp;$B530&amp;$C530&amp;$D530&amp;$E530,".","_"),"(","_"),")","")</f>
        <v>dch612_3_3</v>
      </c>
      <c r="AQ530" s="254" t="str">
        <f>IF(LEN(W530)=0,"",W530)</f>
        <v/>
      </c>
      <c r="AR530" s="1130" t="str">
        <f>SUBSTITUTE(SUBSTITUTE(SUBSTITUTE("dnt"&amp;$B530&amp;$C530&amp;$D530&amp;$E530,".","_"),"(","_"),")","")</f>
        <v>dnt612_3_3</v>
      </c>
      <c r="AS530" s="254" t="str">
        <f>IF(LEN(X530)=0,"",X530)</f>
        <v/>
      </c>
    </row>
    <row r="531" spans="1:61" x14ac:dyDescent="0.25">
      <c r="B531" s="77" t="s">
        <v>4194</v>
      </c>
      <c r="C531" s="21" t="s">
        <v>260</v>
      </c>
      <c r="D531" s="21"/>
      <c r="E531" s="21"/>
      <c r="F531" s="21"/>
      <c r="G531" s="21"/>
      <c r="H531" s="758"/>
      <c r="I531" s="64"/>
      <c r="J531" s="210"/>
      <c r="K531" s="175"/>
      <c r="L531" s="1755"/>
      <c r="M531" s="1759"/>
      <c r="N531" s="4"/>
      <c r="O531" s="141"/>
      <c r="P531" s="352"/>
      <c r="Q531" s="352"/>
      <c r="X531" s="1757"/>
    </row>
    <row r="532" spans="1:61" x14ac:dyDescent="0.25">
      <c r="B532" s="77" t="s">
        <v>4194</v>
      </c>
      <c r="C532" s="21" t="s">
        <v>269</v>
      </c>
      <c r="D532" s="21"/>
      <c r="E532" s="21"/>
      <c r="F532" s="21"/>
      <c r="G532" s="21"/>
      <c r="H532" s="758"/>
      <c r="I532" s="64"/>
      <c r="J532" s="209" t="s">
        <v>269</v>
      </c>
      <c r="K532" s="194"/>
      <c r="L532" s="1778" t="s">
        <v>731</v>
      </c>
      <c r="M532" s="1762">
        <v>1</v>
      </c>
      <c r="N532" s="4"/>
      <c r="O532" s="141"/>
      <c r="P532" s="352" t="b">
        <v>1</v>
      </c>
      <c r="Q532" s="352" t="b">
        <v>0</v>
      </c>
      <c r="R532" s="126" t="b">
        <v>0</v>
      </c>
      <c r="S532" s="126" t="b">
        <v>1</v>
      </c>
      <c r="T532" s="126" t="b">
        <v>0</v>
      </c>
      <c r="W532" s="25"/>
      <c r="X532" s="1757"/>
      <c r="AL532" s="254" t="str">
        <f>SUBSTITUTE(SUBSTITUTE(SUBSTITUTE("dpa"&amp;$B532&amp;$C532&amp;$D532&amp;$E532,".","_"),"(","_"),")","")</f>
        <v>dpa612_3_4</v>
      </c>
      <c r="AM532" s="254">
        <f>M532</f>
        <v>1</v>
      </c>
      <c r="AP532" s="1130" t="str">
        <f>SUBSTITUTE(SUBSTITUTE(SUBSTITUTE("dch"&amp;$B532&amp;$C532&amp;$D532&amp;$E532,".","_"),"(","_"),")","")</f>
        <v>dch612_3_4</v>
      </c>
      <c r="AQ532" s="254" t="str">
        <f>IF(LEN(W532)=0,"",W532)</f>
        <v/>
      </c>
      <c r="AR532" s="1130" t="str">
        <f>SUBSTITUTE(SUBSTITUTE(SUBSTITUTE("dnt"&amp;$B532&amp;$C532&amp;$D532&amp;$E532,".","_"),"(","_"),")","")</f>
        <v>dnt612_3_4</v>
      </c>
      <c r="AS532" s="254" t="str">
        <f>IF(LEN(X532)=0,"",X532)</f>
        <v/>
      </c>
    </row>
    <row r="533" spans="1:61" x14ac:dyDescent="0.25">
      <c r="B533" s="77" t="s">
        <v>4194</v>
      </c>
      <c r="C533" s="21" t="s">
        <v>269</v>
      </c>
      <c r="D533" s="21"/>
      <c r="E533" s="21"/>
      <c r="F533" s="21"/>
      <c r="G533" s="21"/>
      <c r="H533" s="758"/>
      <c r="I533" s="64"/>
      <c r="J533" s="210"/>
      <c r="K533" s="175"/>
      <c r="L533" s="1755"/>
      <c r="M533" s="1759"/>
      <c r="N533" s="4"/>
      <c r="O533" s="141"/>
      <c r="P533" s="352"/>
      <c r="Q533" s="352"/>
      <c r="X533" s="1757"/>
    </row>
    <row r="534" spans="1:61" x14ac:dyDescent="0.25">
      <c r="B534" s="77" t="s">
        <v>4194</v>
      </c>
      <c r="C534" s="21" t="s">
        <v>275</v>
      </c>
      <c r="D534" s="21"/>
      <c r="E534" s="21"/>
      <c r="F534" s="21"/>
      <c r="G534" s="21"/>
      <c r="H534" s="758"/>
      <c r="I534" s="64"/>
      <c r="J534" s="207" t="s">
        <v>275</v>
      </c>
      <c r="K534" s="208"/>
      <c r="L534" s="280" t="s">
        <v>732</v>
      </c>
      <c r="M534" s="814">
        <v>1</v>
      </c>
      <c r="N534" s="4"/>
      <c r="O534" s="141"/>
      <c r="P534" s="352" t="b">
        <v>1</v>
      </c>
      <c r="Q534" s="352" t="b">
        <v>1</v>
      </c>
      <c r="R534" s="126" t="b">
        <v>0</v>
      </c>
      <c r="S534" s="126" t="b">
        <v>1</v>
      </c>
      <c r="T534" s="126" t="b">
        <v>0</v>
      </c>
      <c r="W534" s="25"/>
      <c r="X534" s="160"/>
      <c r="AL534" s="254" t="str">
        <f>SUBSTITUTE(SUBSTITUTE(SUBSTITUTE("dpa"&amp;$B534&amp;$C534&amp;$D534&amp;$E534,".","_"),"(","_"),")","")</f>
        <v>dpa612_3_5</v>
      </c>
      <c r="AM534" s="254">
        <f>M534</f>
        <v>1</v>
      </c>
      <c r="AP534" s="1130" t="str">
        <f>SUBSTITUTE(SUBSTITUTE(SUBSTITUTE("dch"&amp;$B534&amp;$C534&amp;$D534&amp;$E534,".","_"),"(","_"),")","")</f>
        <v>dch612_3_5</v>
      </c>
      <c r="AQ534" s="254" t="str">
        <f>IF(LEN(W534)=0,"",W534)</f>
        <v/>
      </c>
      <c r="AR534" s="1130" t="str">
        <f>SUBSTITUTE(SUBSTITUTE(SUBSTITUTE("dnt"&amp;$B534&amp;$C534&amp;$D534&amp;$E534,".","_"),"(","_"),")","")</f>
        <v>dnt612_3_5</v>
      </c>
      <c r="AS534" s="254" t="str">
        <f>IF(LEN(X534)=0,"",X534)</f>
        <v/>
      </c>
    </row>
    <row r="535" spans="1:61" x14ac:dyDescent="0.25">
      <c r="B535" s="77" t="s">
        <v>4194</v>
      </c>
      <c r="C535" s="21" t="s">
        <v>277</v>
      </c>
      <c r="D535" s="21"/>
      <c r="E535" s="21"/>
      <c r="F535" s="21"/>
      <c r="G535" s="21"/>
      <c r="H535" s="758"/>
      <c r="I535" s="64"/>
      <c r="J535" s="207" t="s">
        <v>277</v>
      </c>
      <c r="K535" s="208"/>
      <c r="L535" s="1152" t="s">
        <v>4203</v>
      </c>
      <c r="M535" s="814">
        <v>1</v>
      </c>
      <c r="N535" s="4"/>
      <c r="O535" s="141"/>
      <c r="P535" s="352" t="b">
        <v>1</v>
      </c>
      <c r="Q535" s="352" t="b">
        <v>1</v>
      </c>
      <c r="R535" s="126" t="b">
        <v>0</v>
      </c>
      <c r="S535" s="126" t="b">
        <v>1</v>
      </c>
      <c r="T535" s="126" t="b">
        <v>0</v>
      </c>
      <c r="W535" s="25"/>
      <c r="X535" s="160"/>
      <c r="AL535" s="254" t="str">
        <f>SUBSTITUTE(SUBSTITUTE(SUBSTITUTE("dpa"&amp;$B535&amp;$C535&amp;$D535&amp;$E535,".","_"),"(","_"),")","")</f>
        <v>dpa612_3_6</v>
      </c>
      <c r="AM535" s="254">
        <f>M535</f>
        <v>1</v>
      </c>
      <c r="AP535" s="1130" t="str">
        <f>SUBSTITUTE(SUBSTITUTE(SUBSTITUTE("dch"&amp;$B535&amp;$C535&amp;$D535&amp;$E535,".","_"),"(","_"),")","")</f>
        <v>dch612_3_6</v>
      </c>
      <c r="AQ535" s="254" t="str">
        <f>IF(LEN(W535)=0,"",W535)</f>
        <v/>
      </c>
      <c r="AR535" s="1130" t="str">
        <f>SUBSTITUTE(SUBSTITUTE(SUBSTITUTE("dnt"&amp;$B535&amp;$C535&amp;$D535&amp;$E535,".","_"),"(","_"),")","")</f>
        <v>dnt612_3_6</v>
      </c>
      <c r="AS535" s="254" t="str">
        <f>IF(LEN(X535)=0,"",X535)</f>
        <v/>
      </c>
    </row>
    <row r="536" spans="1:61" x14ac:dyDescent="0.25">
      <c r="B536" s="77" t="s">
        <v>4194</v>
      </c>
      <c r="C536" s="21" t="s">
        <v>383</v>
      </c>
      <c r="D536" s="21"/>
      <c r="E536" s="21"/>
      <c r="F536" s="21"/>
      <c r="G536" s="21"/>
      <c r="H536" s="758"/>
      <c r="I536" s="64"/>
      <c r="J536" s="209" t="s">
        <v>383</v>
      </c>
      <c r="K536" s="194"/>
      <c r="L536" s="1778" t="s">
        <v>733</v>
      </c>
      <c r="M536" s="1762">
        <v>1</v>
      </c>
      <c r="N536" s="4"/>
      <c r="O536" s="141"/>
      <c r="P536" s="352" t="b">
        <v>1</v>
      </c>
      <c r="Q536" s="352" t="b">
        <v>1</v>
      </c>
      <c r="R536" s="126" t="b">
        <v>0</v>
      </c>
      <c r="S536" s="126" t="b">
        <v>1</v>
      </c>
      <c r="T536" s="126" t="b">
        <v>0</v>
      </c>
      <c r="W536" s="25"/>
      <c r="X536" s="1757"/>
      <c r="AL536" s="254" t="str">
        <f>SUBSTITUTE(SUBSTITUTE(SUBSTITUTE("dpa"&amp;$B536&amp;$C536&amp;$D536&amp;$E536,".","_"),"(","_"),")","")</f>
        <v>dpa612_3_7</v>
      </c>
      <c r="AM536" s="254">
        <f>M536</f>
        <v>1</v>
      </c>
      <c r="AP536" s="1130" t="str">
        <f>SUBSTITUTE(SUBSTITUTE(SUBSTITUTE("dch"&amp;$B536&amp;$C536&amp;$D536&amp;$E536,".","_"),"(","_"),")","")</f>
        <v>dch612_3_7</v>
      </c>
      <c r="AQ536" s="254" t="str">
        <f>IF(LEN(W536)=0,"",W536)</f>
        <v/>
      </c>
      <c r="AR536" s="1130" t="str">
        <f>SUBSTITUTE(SUBSTITUTE(SUBSTITUTE("dnt"&amp;$B536&amp;$C536&amp;$D536&amp;$E536,".","_"),"(","_"),")","")</f>
        <v>dnt612_3_7</v>
      </c>
      <c r="AS536" s="254" t="str">
        <f>IF(LEN(X536)=0,"",X536)</f>
        <v/>
      </c>
    </row>
    <row r="537" spans="1:61" x14ac:dyDescent="0.25">
      <c r="B537" s="77" t="s">
        <v>4194</v>
      </c>
      <c r="C537" s="21" t="s">
        <v>383</v>
      </c>
      <c r="D537" s="21"/>
      <c r="E537" s="21"/>
      <c r="F537" s="21"/>
      <c r="G537" s="21"/>
      <c r="H537" s="758"/>
      <c r="I537" s="64"/>
      <c r="J537" s="129"/>
      <c r="K537" s="95"/>
      <c r="L537" s="1754"/>
      <c r="M537" s="1758"/>
      <c r="N537" s="4"/>
      <c r="O537" s="141"/>
      <c r="P537" s="352"/>
      <c r="Q537" s="352"/>
      <c r="X537" s="1757"/>
    </row>
    <row r="538" spans="1:61" x14ac:dyDescent="0.25">
      <c r="B538" s="77" t="s">
        <v>4194</v>
      </c>
      <c r="C538" s="21" t="s">
        <v>383</v>
      </c>
      <c r="D538" s="21"/>
      <c r="E538" s="21"/>
      <c r="F538" s="21"/>
      <c r="G538" s="21"/>
      <c r="H538" s="758"/>
      <c r="I538" s="64"/>
      <c r="J538" s="129"/>
      <c r="K538" s="95"/>
      <c r="L538" s="1754"/>
      <c r="M538" s="1758"/>
      <c r="N538" s="4"/>
      <c r="O538" s="141"/>
      <c r="P538" s="352"/>
      <c r="Q538" s="352"/>
      <c r="X538" s="1757"/>
    </row>
    <row r="539" spans="1:61" x14ac:dyDescent="0.25">
      <c r="B539" s="77" t="s">
        <v>4194</v>
      </c>
      <c r="C539" s="21" t="s">
        <v>383</v>
      </c>
      <c r="D539" s="21"/>
      <c r="E539" s="21"/>
      <c r="F539" s="21"/>
      <c r="G539" s="21"/>
      <c r="H539" s="758"/>
      <c r="I539" s="64"/>
      <c r="J539" s="210"/>
      <c r="K539" s="175"/>
      <c r="L539" s="1755"/>
      <c r="M539" s="1759"/>
      <c r="N539" s="4"/>
      <c r="O539" s="141"/>
      <c r="P539" s="352"/>
      <c r="Q539" s="352"/>
      <c r="X539" s="1757"/>
    </row>
    <row r="540" spans="1:61" x14ac:dyDescent="0.25">
      <c r="B540" s="77" t="s">
        <v>4194</v>
      </c>
      <c r="C540" s="21" t="s">
        <v>428</v>
      </c>
      <c r="D540" s="21"/>
      <c r="E540" s="21"/>
      <c r="F540" s="21"/>
      <c r="G540" s="21"/>
      <c r="H540" s="758"/>
      <c r="I540" s="64"/>
      <c r="J540" s="209" t="s">
        <v>428</v>
      </c>
      <c r="K540" s="194"/>
      <c r="L540" s="1778" t="s">
        <v>734</v>
      </c>
      <c r="M540" s="1762">
        <v>1</v>
      </c>
      <c r="N540" s="4"/>
      <c r="O540" s="141"/>
      <c r="P540" s="352" t="b">
        <v>1</v>
      </c>
      <c r="Q540" s="352" t="b">
        <v>1</v>
      </c>
      <c r="R540" s="126" t="b">
        <v>0</v>
      </c>
      <c r="S540" s="126" t="b">
        <v>1</v>
      </c>
      <c r="T540" s="126" t="b">
        <v>0</v>
      </c>
      <c r="W540" s="25"/>
      <c r="X540" s="1757"/>
      <c r="AL540" s="254" t="str">
        <f>SUBSTITUTE(SUBSTITUTE(SUBSTITUTE("dpa"&amp;$B540&amp;$C540&amp;$D540&amp;$E540,".","_"),"(","_"),")","")</f>
        <v>dpa612_3_8</v>
      </c>
      <c r="AM540" s="254">
        <f>M540</f>
        <v>1</v>
      </c>
      <c r="AP540" s="1130" t="str">
        <f>SUBSTITUTE(SUBSTITUTE(SUBSTITUTE("dch"&amp;$B540&amp;$C540&amp;$D540&amp;$E540,".","_"),"(","_"),")","")</f>
        <v>dch612_3_8</v>
      </c>
      <c r="AQ540" s="254" t="str">
        <f>IF(LEN(W540)=0,"",W540)</f>
        <v/>
      </c>
      <c r="AR540" s="1130" t="str">
        <f>SUBSTITUTE(SUBSTITUTE(SUBSTITUTE("dnt"&amp;$B540&amp;$C540&amp;$D540&amp;$E540,".","_"),"(","_"),")","")</f>
        <v>dnt612_3_8</v>
      </c>
      <c r="AS540" s="254" t="str">
        <f>IF(LEN(X540)=0,"",X540)</f>
        <v/>
      </c>
    </row>
    <row r="541" spans="1:61" x14ac:dyDescent="0.25">
      <c r="B541" s="77" t="s">
        <v>4194</v>
      </c>
      <c r="C541" s="21" t="s">
        <v>428</v>
      </c>
      <c r="D541" s="21"/>
      <c r="E541" s="21"/>
      <c r="F541" s="21"/>
      <c r="G541" s="21"/>
      <c r="H541" s="758"/>
      <c r="I541" s="64"/>
      <c r="J541" s="210"/>
      <c r="K541" s="175"/>
      <c r="L541" s="1755"/>
      <c r="M541" s="1759"/>
      <c r="N541" s="4"/>
      <c r="O541" s="141"/>
      <c r="P541" s="352"/>
      <c r="Q541" s="352"/>
      <c r="X541" s="1757"/>
    </row>
    <row r="542" spans="1:61" x14ac:dyDescent="0.25">
      <c r="B542" s="77" t="s">
        <v>4194</v>
      </c>
      <c r="C542" s="21" t="s">
        <v>430</v>
      </c>
      <c r="D542" s="21"/>
      <c r="E542" s="21"/>
      <c r="F542" s="21"/>
      <c r="G542" s="21"/>
      <c r="H542" s="758"/>
      <c r="I542" s="64"/>
      <c r="J542" s="27" t="s">
        <v>430</v>
      </c>
      <c r="K542" s="83"/>
      <c r="L542" s="1779" t="s">
        <v>735</v>
      </c>
      <c r="M542" s="1846" t="s">
        <v>4209</v>
      </c>
      <c r="N542" s="4"/>
      <c r="O542" s="141"/>
      <c r="P542" s="352" t="b">
        <v>1</v>
      </c>
      <c r="Q542" s="352" t="b">
        <v>1</v>
      </c>
      <c r="R542" s="126" t="b">
        <v>0</v>
      </c>
      <c r="S542" s="126" t="b">
        <v>1</v>
      </c>
      <c r="T542" s="126" t="b">
        <v>0</v>
      </c>
      <c r="U542" s="94" t="str">
        <f>SUBSTITUTE(SUBSTITUTE(SUBSTITUTE("dd"&amp;B542&amp;C542&amp;D542&amp;E542&amp;F542,".","_"),"(","_"),")","")</f>
        <v>dd612_3_9</v>
      </c>
      <c r="W542" s="109"/>
      <c r="X542" s="1770"/>
      <c r="AL542" s="254" t="str">
        <f>SUBSTITUTE(SUBSTITUTE(SUBSTITUTE("dpa"&amp;$B542&amp;$C542&amp;$D542&amp;$E542,".","_"),"(","_"),")","")</f>
        <v>dpa612_3_9</v>
      </c>
      <c r="AM542" s="254" t="str">
        <f>M542</f>
        <v>1 per system
[5 max]</v>
      </c>
      <c r="AP542" s="1130" t="str">
        <f>SUBSTITUTE(SUBSTITUTE(SUBSTITUTE("dch"&amp;$B542&amp;$C542&amp;$D542&amp;$E542,".","_"),"(","_"),")","")</f>
        <v>dch612_3_9</v>
      </c>
      <c r="AQ542" s="254" t="str">
        <f>IF(LEN(W542)=0,"",W542)</f>
        <v/>
      </c>
      <c r="AR542" s="1130" t="str">
        <f>SUBSTITUTE(SUBSTITUTE(SUBSTITUTE("dnt"&amp;$B542&amp;$C542&amp;$D542&amp;$E542,".","_"),"(","_"),")","")</f>
        <v>dnt612_3_9</v>
      </c>
      <c r="AS542" s="254" t="str">
        <f>IF(LEN(X542)=0,"",X542)</f>
        <v/>
      </c>
    </row>
    <row r="543" spans="1:61" s="791" customFormat="1" x14ac:dyDescent="0.25">
      <c r="A543" s="18"/>
      <c r="B543" s="77" t="s">
        <v>4194</v>
      </c>
      <c r="C543" s="21" t="s">
        <v>430</v>
      </c>
      <c r="D543" s="21"/>
      <c r="E543" s="21"/>
      <c r="F543" s="21"/>
      <c r="G543" s="21"/>
      <c r="H543" s="758"/>
      <c r="I543" s="64"/>
      <c r="J543" s="27"/>
      <c r="K543" s="83"/>
      <c r="L543" s="1779"/>
      <c r="M543" s="1846"/>
      <c r="N543" s="4"/>
      <c r="O543" s="799"/>
      <c r="W543" s="94"/>
      <c r="X543" s="1770"/>
      <c r="AL543" s="254"/>
      <c r="AM543" s="254"/>
      <c r="AP543" s="254"/>
      <c r="AQ543" s="254"/>
      <c r="AS543" s="254"/>
      <c r="AZ543" s="63"/>
      <c r="BA543" s="63"/>
      <c r="BB543" s="63"/>
      <c r="BC543" s="63"/>
      <c r="BD543" s="63"/>
      <c r="BE543" s="63"/>
      <c r="BF543" s="63"/>
      <c r="BG543" s="63"/>
      <c r="BH543" s="63"/>
      <c r="BI543" s="63"/>
    </row>
    <row r="544" spans="1:61" x14ac:dyDescent="0.25">
      <c r="B544" s="77" t="s">
        <v>4194</v>
      </c>
      <c r="C544" s="21" t="s">
        <v>430</v>
      </c>
      <c r="D544" s="21"/>
      <c r="E544" s="21"/>
      <c r="F544" s="21"/>
      <c r="G544" s="21"/>
      <c r="H544" s="758"/>
      <c r="I544" s="64"/>
      <c r="J544" s="4"/>
      <c r="K544" s="83"/>
      <c r="L544" s="1779"/>
      <c r="M544" s="1846"/>
      <c r="N544" s="4"/>
      <c r="O544" s="141"/>
      <c r="P544" s="352"/>
      <c r="Q544" s="352"/>
      <c r="W544" s="94"/>
      <c r="X544" s="1798"/>
      <c r="AZ544" s="791"/>
      <c r="BA544" s="791"/>
      <c r="BB544" s="791"/>
      <c r="BC544" s="791"/>
      <c r="BD544" s="791"/>
      <c r="BE544" s="791"/>
      <c r="BF544" s="791"/>
      <c r="BG544" s="791"/>
      <c r="BH544" s="791"/>
      <c r="BI544" s="791"/>
    </row>
    <row r="545" spans="1:61" s="1138" customFormat="1" ht="18.75" x14ac:dyDescent="0.3">
      <c r="A545" s="18"/>
      <c r="B545" s="77" t="s">
        <v>4903</v>
      </c>
      <c r="C545" s="21"/>
      <c r="D545" s="21"/>
      <c r="E545" s="21"/>
      <c r="F545" s="21"/>
      <c r="G545" s="21"/>
      <c r="H545" s="758"/>
      <c r="I545" s="1140" t="s">
        <v>4904</v>
      </c>
      <c r="J545" s="1141"/>
      <c r="K545" s="1142"/>
      <c r="L545" s="1143"/>
      <c r="M545" s="1144"/>
      <c r="N545" s="1145"/>
      <c r="O545" s="1146"/>
      <c r="P545" s="1141"/>
      <c r="Q545" s="1141"/>
      <c r="R545" s="1141"/>
      <c r="S545" s="1141"/>
      <c r="T545" s="1141"/>
      <c r="U545" s="1141"/>
      <c r="V545" s="1141"/>
      <c r="W545" s="1141"/>
      <c r="X545" s="1141"/>
      <c r="AX545" s="791"/>
      <c r="AY545" s="791"/>
      <c r="AZ545" s="63"/>
      <c r="BA545" s="63"/>
      <c r="BB545" s="63"/>
      <c r="BC545" s="63"/>
      <c r="BD545" s="63"/>
      <c r="BE545" s="63"/>
      <c r="BF545" s="63"/>
      <c r="BG545" s="63"/>
      <c r="BH545" s="63"/>
      <c r="BI545" s="63"/>
    </row>
    <row r="546" spans="1:61" s="791" customFormat="1" x14ac:dyDescent="0.25">
      <c r="A546" s="18"/>
      <c r="B546" s="77" t="s">
        <v>4217</v>
      </c>
      <c r="C546" s="21"/>
      <c r="D546" s="21"/>
      <c r="E546" s="21"/>
      <c r="F546" s="21"/>
      <c r="G546" s="21"/>
      <c r="H546" s="758"/>
      <c r="I546" s="130">
        <v>613.1</v>
      </c>
      <c r="J546" s="129"/>
      <c r="K546" s="1139"/>
      <c r="L546" s="1782" t="s">
        <v>4215</v>
      </c>
      <c r="M546" s="1758"/>
      <c r="N546" s="129"/>
      <c r="O546" s="1774">
        <f ca="1">IFERROR(INDEX({2,3,5,10,12,15},MATCH(W546,INDIRECT(U546),0)),0)</f>
        <v>0</v>
      </c>
      <c r="P546" s="791" t="b">
        <v>1</v>
      </c>
      <c r="Q546" s="791" t="b">
        <v>1</v>
      </c>
      <c r="R546" s="791" t="b">
        <v>0</v>
      </c>
      <c r="S546" s="791" t="b">
        <v>1</v>
      </c>
      <c r="T546" s="791" t="b">
        <v>0</v>
      </c>
      <c r="U546" s="791" t="str">
        <f>SUBSTITUTE(SUBSTITUTE(SUBSTITUTE("dd"&amp;B546&amp;C546&amp;D546&amp;E546&amp;F546,".","_"),"(","_"),")","")</f>
        <v>dd613_1</v>
      </c>
      <c r="W546" s="255"/>
      <c r="X546" s="1756"/>
      <c r="AN546" s="254" t="str">
        <f>SUBSTITUTE(SUBSTITUTE(SUBSTITUTE("dpc"&amp;$B546&amp;$C546&amp;$D546&amp;$E546,".","_"),"(","_"),")","")</f>
        <v>dpc613_1</v>
      </c>
      <c r="AO546" s="254">
        <f ca="1">O546</f>
        <v>0</v>
      </c>
      <c r="AP546" s="1130" t="str">
        <f>SUBSTITUTE(SUBSTITUTE(SUBSTITUTE("dch"&amp;$B546&amp;$C546&amp;$D546&amp;$E546,".","_"),"(","_"),")","")</f>
        <v>dch613_1</v>
      </c>
      <c r="AQ546" s="254" t="str">
        <f>IF(LEN(W546)=0,"",W546)</f>
        <v/>
      </c>
      <c r="AR546" s="1130" t="str">
        <f>SUBSTITUTE(SUBSTITUTE(SUBSTITUTE("dnt"&amp;$B546&amp;$C546&amp;$D546&amp;$E546,".","_"),"(","_"),")","")</f>
        <v>dnt613_1</v>
      </c>
      <c r="AS546" s="254" t="str">
        <f>IF(LEN(X546)=0,"",X546)</f>
        <v/>
      </c>
      <c r="AX546" s="1138"/>
      <c r="AY546" s="1138"/>
      <c r="AZ546" s="1138"/>
      <c r="BA546" s="1138"/>
      <c r="BB546" s="1138"/>
      <c r="BC546" s="1138"/>
      <c r="BD546" s="1138"/>
      <c r="BE546" s="1138"/>
      <c r="BF546" s="1138"/>
      <c r="BG546" s="1138"/>
      <c r="BH546" s="1138"/>
      <c r="BI546" s="1138"/>
    </row>
    <row r="547" spans="1:61" s="791" customFormat="1" x14ac:dyDescent="0.25">
      <c r="A547" s="18"/>
      <c r="B547" s="77" t="s">
        <v>4217</v>
      </c>
      <c r="C547" s="21"/>
      <c r="D547" s="21"/>
      <c r="E547" s="21"/>
      <c r="F547" s="21"/>
      <c r="G547" s="21"/>
      <c r="H547" s="758"/>
      <c r="I547" s="64"/>
      <c r="J547" s="4"/>
      <c r="K547" s="83"/>
      <c r="L547" s="1796"/>
      <c r="M547" s="1767"/>
      <c r="N547" s="4"/>
      <c r="O547" s="1780"/>
      <c r="X547" s="1757"/>
    </row>
    <row r="548" spans="1:61" s="791" customFormat="1" x14ac:dyDescent="0.25">
      <c r="A548" s="18"/>
      <c r="B548" s="77" t="s">
        <v>4217</v>
      </c>
      <c r="C548" s="21"/>
      <c r="D548" s="21"/>
      <c r="E548" s="21"/>
      <c r="F548" s="21"/>
      <c r="G548" s="21"/>
      <c r="H548" s="758"/>
      <c r="I548" s="64"/>
      <c r="J548" s="4"/>
      <c r="K548" s="83"/>
      <c r="L548" s="1796"/>
      <c r="M548" s="1767"/>
      <c r="N548" s="4"/>
      <c r="O548" s="1780"/>
      <c r="X548" s="1757"/>
    </row>
    <row r="549" spans="1:61" s="791" customFormat="1" x14ac:dyDescent="0.25">
      <c r="A549" s="18"/>
      <c r="B549" s="77" t="s">
        <v>4217</v>
      </c>
      <c r="C549" s="21"/>
      <c r="D549" s="21"/>
      <c r="E549" s="21"/>
      <c r="F549" s="21"/>
      <c r="G549" s="21"/>
      <c r="H549" s="758"/>
      <c r="I549" s="64"/>
      <c r="J549" s="4"/>
      <c r="K549" s="83"/>
      <c r="L549" s="1796"/>
      <c r="M549" s="797"/>
      <c r="N549" s="4"/>
      <c r="O549" s="1780"/>
      <c r="X549" s="1757"/>
    </row>
    <row r="550" spans="1:61" s="791" customFormat="1" x14ac:dyDescent="0.25">
      <c r="A550" s="18"/>
      <c r="B550" s="77" t="s">
        <v>4217</v>
      </c>
      <c r="C550" s="21"/>
      <c r="D550" s="21"/>
      <c r="E550" s="21"/>
      <c r="F550" s="21"/>
      <c r="G550" s="21"/>
      <c r="H550" s="758"/>
      <c r="I550" s="64"/>
      <c r="J550" s="4"/>
      <c r="K550" s="83"/>
      <c r="L550" s="1796"/>
      <c r="M550" s="797"/>
      <c r="N550" s="4"/>
      <c r="O550" s="1780"/>
      <c r="X550" s="1757"/>
    </row>
    <row r="551" spans="1:61" s="791" customFormat="1" x14ac:dyDescent="0.25">
      <c r="A551" s="18"/>
      <c r="B551" s="77" t="s">
        <v>4217</v>
      </c>
      <c r="C551" s="21" t="s">
        <v>121</v>
      </c>
      <c r="D551" s="21"/>
      <c r="E551" s="21"/>
      <c r="F551" s="21"/>
      <c r="G551" s="21"/>
      <c r="H551" s="758"/>
      <c r="I551" s="667"/>
      <c r="J551" s="845"/>
      <c r="K551" s="87" t="s">
        <v>121</v>
      </c>
      <c r="L551" s="1833" t="s">
        <v>4216</v>
      </c>
      <c r="M551" s="1767">
        <v>2</v>
      </c>
      <c r="N551" s="4"/>
      <c r="O551" s="799"/>
      <c r="X551" s="1757"/>
      <c r="AL551" s="254" t="str">
        <f>SUBSTITUTE(SUBSTITUTE(SUBSTITUTE("dpa"&amp;$B551&amp;$C551&amp;$D551&amp;$E551,".","_"),"(","_"),")","")</f>
        <v>dpa613_1_a</v>
      </c>
      <c r="AM551" s="254">
        <f>M551</f>
        <v>2</v>
      </c>
    </row>
    <row r="552" spans="1:61" s="791" customFormat="1" x14ac:dyDescent="0.25">
      <c r="A552" s="18"/>
      <c r="B552" s="77" t="s">
        <v>4217</v>
      </c>
      <c r="C552" s="21" t="s">
        <v>121</v>
      </c>
      <c r="D552" s="21"/>
      <c r="E552" s="21"/>
      <c r="F552" s="21"/>
      <c r="G552" s="21"/>
      <c r="H552" s="758"/>
      <c r="I552" s="679"/>
      <c r="J552" s="845"/>
      <c r="K552" s="178"/>
      <c r="L552" s="1834"/>
      <c r="M552" s="1759"/>
      <c r="N552" s="4"/>
      <c r="O552" s="799"/>
      <c r="X552" s="1757"/>
    </row>
    <row r="553" spans="1:61" s="791" customFormat="1" x14ac:dyDescent="0.25">
      <c r="A553" s="18"/>
      <c r="B553" s="77" t="s">
        <v>4217</v>
      </c>
      <c r="C553" s="21" t="s">
        <v>122</v>
      </c>
      <c r="D553" s="21"/>
      <c r="E553" s="21"/>
      <c r="F553" s="21"/>
      <c r="G553" s="21"/>
      <c r="H553" s="758"/>
      <c r="I553" s="667"/>
      <c r="J553" s="845"/>
      <c r="K553" s="846" t="s">
        <v>122</v>
      </c>
      <c r="L553" s="1835" t="s">
        <v>4210</v>
      </c>
      <c r="M553" s="1762">
        <v>3</v>
      </c>
      <c r="N553" s="4"/>
      <c r="O553" s="799"/>
      <c r="X553" s="1757"/>
      <c r="AL553" s="254" t="str">
        <f>SUBSTITUTE(SUBSTITUTE(SUBSTITUTE("dpa"&amp;$B553&amp;$C553&amp;$D553&amp;$E553,".","_"),"(","_"),")","")</f>
        <v>dpa613_1_b</v>
      </c>
      <c r="AM553" s="254">
        <f>M553</f>
        <v>3</v>
      </c>
    </row>
    <row r="554" spans="1:61" s="791" customFormat="1" x14ac:dyDescent="0.25">
      <c r="A554" s="18"/>
      <c r="B554" s="77" t="s">
        <v>4217</v>
      </c>
      <c r="C554" s="21" t="s">
        <v>122</v>
      </c>
      <c r="D554" s="21"/>
      <c r="E554" s="21"/>
      <c r="F554" s="21"/>
      <c r="G554" s="21"/>
      <c r="H554" s="758"/>
      <c r="I554" s="679"/>
      <c r="J554" s="845"/>
      <c r="L554" s="1833"/>
      <c r="M554" s="1767"/>
      <c r="N554" s="4"/>
      <c r="O554" s="799"/>
      <c r="X554" s="1757"/>
    </row>
    <row r="555" spans="1:61" s="791" customFormat="1" x14ac:dyDescent="0.25">
      <c r="A555" s="18"/>
      <c r="B555" s="77" t="s">
        <v>4217</v>
      </c>
      <c r="C555" s="21" t="s">
        <v>122</v>
      </c>
      <c r="D555" s="21"/>
      <c r="E555" s="21"/>
      <c r="F555" s="21"/>
      <c r="G555" s="21"/>
      <c r="H555" s="758"/>
      <c r="I555" s="679"/>
      <c r="J555" s="845"/>
      <c r="L555" s="1833"/>
      <c r="M555" s="1767"/>
      <c r="N555" s="4"/>
      <c r="O555" s="799"/>
      <c r="X555" s="1757"/>
    </row>
    <row r="556" spans="1:61" s="791" customFormat="1" x14ac:dyDescent="0.25">
      <c r="A556" s="18"/>
      <c r="B556" s="77" t="s">
        <v>4217</v>
      </c>
      <c r="C556" s="21" t="s">
        <v>122</v>
      </c>
      <c r="D556" s="21"/>
      <c r="E556" s="21"/>
      <c r="F556" s="21"/>
      <c r="G556" s="21"/>
      <c r="H556" s="758"/>
      <c r="I556" s="679"/>
      <c r="J556" s="845"/>
      <c r="K556" s="178"/>
      <c r="L556" s="1834"/>
      <c r="M556" s="1759"/>
      <c r="N556" s="4"/>
      <c r="O556" s="799"/>
      <c r="X556" s="1757"/>
    </row>
    <row r="557" spans="1:61" s="791" customFormat="1" x14ac:dyDescent="0.25">
      <c r="A557" s="18"/>
      <c r="B557" s="77" t="s">
        <v>4217</v>
      </c>
      <c r="C557" s="21" t="s">
        <v>123</v>
      </c>
      <c r="D557" s="21"/>
      <c r="E557" s="21"/>
      <c r="F557" s="21"/>
      <c r="G557" s="21"/>
      <c r="H557" s="758"/>
      <c r="I557" s="667"/>
      <c r="J557" s="845"/>
      <c r="K557" s="212" t="s">
        <v>123</v>
      </c>
      <c r="L557" s="860" t="s">
        <v>4211</v>
      </c>
      <c r="M557" s="814">
        <v>5</v>
      </c>
      <c r="N557" s="4"/>
      <c r="O557" s="799"/>
      <c r="X557" s="1757"/>
      <c r="AL557" s="254" t="str">
        <f>SUBSTITUTE(SUBSTITUTE(SUBSTITUTE("dpa"&amp;$B557&amp;$C557&amp;$D557&amp;$E557,".","_"),"(","_"),")","")</f>
        <v>dpa613_1_c</v>
      </c>
      <c r="AM557" s="254">
        <f>M557</f>
        <v>5</v>
      </c>
    </row>
    <row r="558" spans="1:61" s="791" customFormat="1" x14ac:dyDescent="0.25">
      <c r="A558" s="18"/>
      <c r="B558" s="77" t="s">
        <v>4217</v>
      </c>
      <c r="C558" s="26" t="s">
        <v>401</v>
      </c>
      <c r="D558" s="21"/>
      <c r="E558" s="21"/>
      <c r="F558" s="21"/>
      <c r="G558" s="26"/>
      <c r="H558" s="758"/>
      <c r="I558" s="667"/>
      <c r="J558" s="845"/>
      <c r="K558" s="217" t="s">
        <v>401</v>
      </c>
      <c r="L558" s="860" t="s">
        <v>4212</v>
      </c>
      <c r="M558" s="814">
        <v>10</v>
      </c>
      <c r="N558" s="4"/>
      <c r="O558" s="799"/>
      <c r="X558" s="1757"/>
      <c r="AL558" s="254" t="str">
        <f>SUBSTITUTE(SUBSTITUTE(SUBSTITUTE("dpa"&amp;$B558&amp;$C558&amp;$D558&amp;$E558,".","_"),"(","_"),")","")</f>
        <v>dpa613_1_d</v>
      </c>
      <c r="AM558" s="254">
        <f>M558</f>
        <v>10</v>
      </c>
    </row>
    <row r="559" spans="1:61" s="791" customFormat="1" x14ac:dyDescent="0.25">
      <c r="A559" s="18"/>
      <c r="B559" s="77" t="s">
        <v>4217</v>
      </c>
      <c r="C559" s="21" t="s">
        <v>539</v>
      </c>
      <c r="D559" s="21"/>
      <c r="E559" s="21"/>
      <c r="F559" s="21"/>
      <c r="G559" s="21"/>
      <c r="H559" s="758"/>
      <c r="I559" s="667"/>
      <c r="J559" s="845"/>
      <c r="K559" s="218" t="s">
        <v>539</v>
      </c>
      <c r="L559" s="860" t="s">
        <v>4213</v>
      </c>
      <c r="M559" s="814">
        <v>12</v>
      </c>
      <c r="N559" s="4"/>
      <c r="O559" s="799"/>
      <c r="X559" s="1757"/>
      <c r="AL559" s="254" t="str">
        <f>SUBSTITUTE(SUBSTITUTE(SUBSTITUTE("dpa"&amp;$B559&amp;$C559&amp;$D559&amp;$E559,".","_"),"(","_"),")","")</f>
        <v>dpa613_1_e</v>
      </c>
      <c r="AM559" s="254">
        <f>M559</f>
        <v>12</v>
      </c>
    </row>
    <row r="560" spans="1:61" s="791" customFormat="1" ht="15.75" thickBot="1" x14ac:dyDescent="0.3">
      <c r="A560" s="18"/>
      <c r="B560" s="77" t="s">
        <v>4217</v>
      </c>
      <c r="C560" s="21" t="s">
        <v>604</v>
      </c>
      <c r="D560" s="21"/>
      <c r="E560" s="21"/>
      <c r="F560" s="21"/>
      <c r="G560" s="21"/>
      <c r="H560" s="758"/>
      <c r="I560" s="667"/>
      <c r="J560" s="845"/>
      <c r="K560" s="87" t="s">
        <v>604</v>
      </c>
      <c r="L560" s="1168" t="s">
        <v>4214</v>
      </c>
      <c r="M560" s="797">
        <v>15</v>
      </c>
      <c r="N560" s="4"/>
      <c r="O560" s="799"/>
      <c r="X560" s="1757"/>
      <c r="AL560" s="254" t="str">
        <f>SUBSTITUTE(SUBSTITUTE(SUBSTITUTE("dpa"&amp;$B560&amp;$C560&amp;$D560&amp;$E560,".","_"),"(","_"),")","")</f>
        <v>dpa613_1_f</v>
      </c>
      <c r="AM560" s="254">
        <f>M560</f>
        <v>15</v>
      </c>
    </row>
    <row r="561" spans="9:61" ht="16.5" thickTop="1" thickBot="1" x14ac:dyDescent="0.3">
      <c r="I561" s="200" t="s">
        <v>3139</v>
      </c>
      <c r="J561" s="201"/>
      <c r="K561" s="201"/>
      <c r="L561" s="1213"/>
      <c r="M561" s="202"/>
      <c r="N561" s="201"/>
      <c r="O561" s="203"/>
      <c r="P561" s="201"/>
      <c r="Q561" s="201"/>
      <c r="R561" s="201"/>
      <c r="S561" s="201"/>
      <c r="T561" s="201"/>
      <c r="U561" s="201"/>
      <c r="V561" s="201"/>
      <c r="W561" s="201"/>
      <c r="X561" s="261" t="s">
        <v>3140</v>
      </c>
      <c r="AZ561" s="791"/>
      <c r="BA561" s="791"/>
      <c r="BB561" s="791"/>
      <c r="BC561" s="791"/>
      <c r="BD561" s="791"/>
      <c r="BE561" s="791"/>
      <c r="BF561" s="791"/>
      <c r="BG561" s="791"/>
      <c r="BH561" s="791"/>
      <c r="BI561" s="791"/>
    </row>
    <row r="562" spans="9:61" ht="15.75" thickTop="1" x14ac:dyDescent="0.25"/>
  </sheetData>
  <sheetProtection algorithmName="SHA-512" hashValue="JTSY1KkgS5/7qW5xdNhW/+wdFp+p6z02ULnoUR4z3IHgutkKWvD6cK1mO4GLedYo7XRA7KTdR27DybRMEXCFsw==" saltValue="w92qD56ecue0NxbH8YxBbQ==" spinCount="100000" sheet="1" objects="1" scenarios="1" selectLockedCells="1"/>
  <mergeCells count="393">
    <mergeCell ref="L184:L186"/>
    <mergeCell ref="M184:M186"/>
    <mergeCell ref="O175:O177"/>
    <mergeCell ref="O179:O182"/>
    <mergeCell ref="O98:O101"/>
    <mergeCell ref="H1:H7"/>
    <mergeCell ref="M432:M445"/>
    <mergeCell ref="X432:X438"/>
    <mergeCell ref="M446:M470"/>
    <mergeCell ref="W432:W433"/>
    <mergeCell ref="W439:W440"/>
    <mergeCell ref="M376:M377"/>
    <mergeCell ref="O365:O369"/>
    <mergeCell ref="O376:O377"/>
    <mergeCell ref="L78:L79"/>
    <mergeCell ref="X62:X79"/>
    <mergeCell ref="L265:L266"/>
    <mergeCell ref="L269:L270"/>
    <mergeCell ref="L261:L262"/>
    <mergeCell ref="X261:X263"/>
    <mergeCell ref="M278:M292"/>
    <mergeCell ref="O278:O292"/>
    <mergeCell ref="M261:M263"/>
    <mergeCell ref="L117:L118"/>
    <mergeCell ref="O96:O97"/>
    <mergeCell ref="O131:O134"/>
    <mergeCell ref="O135:O138"/>
    <mergeCell ref="M131:M134"/>
    <mergeCell ref="O139:O141"/>
    <mergeCell ref="L119:L120"/>
    <mergeCell ref="M151:M152"/>
    <mergeCell ref="L144:L145"/>
    <mergeCell ref="L146:L147"/>
    <mergeCell ref="L131:L134"/>
    <mergeCell ref="O125:O127"/>
    <mergeCell ref="M119:M120"/>
    <mergeCell ref="X80:X87"/>
    <mergeCell ref="M80:M87"/>
    <mergeCell ref="O123:O124"/>
    <mergeCell ref="O117:O118"/>
    <mergeCell ref="X146:X148"/>
    <mergeCell ref="X157:X159"/>
    <mergeCell ref="O189:O190"/>
    <mergeCell ref="M76:M77"/>
    <mergeCell ref="L135:L138"/>
    <mergeCell ref="L98:L99"/>
    <mergeCell ref="L108:L110"/>
    <mergeCell ref="L111:L112"/>
    <mergeCell ref="L123:L124"/>
    <mergeCell ref="L114:L116"/>
    <mergeCell ref="L128:L129"/>
    <mergeCell ref="M98:M101"/>
    <mergeCell ref="L103:L104"/>
    <mergeCell ref="L169:L170"/>
    <mergeCell ref="L175:L177"/>
    <mergeCell ref="M165:M174"/>
    <mergeCell ref="M175:M177"/>
    <mergeCell ref="L157:L158"/>
    <mergeCell ref="L160:L164"/>
    <mergeCell ref="M103:M104"/>
    <mergeCell ref="L246:L247"/>
    <mergeCell ref="L248:L249"/>
    <mergeCell ref="L242:L243"/>
    <mergeCell ref="M117:M118"/>
    <mergeCell ref="O105:O106"/>
    <mergeCell ref="O111:O112"/>
    <mergeCell ref="O153:O156"/>
    <mergeCell ref="M157:M159"/>
    <mergeCell ref="L149:L150"/>
    <mergeCell ref="M149:M150"/>
    <mergeCell ref="L151:L152"/>
    <mergeCell ref="L153:L156"/>
    <mergeCell ref="L105:L106"/>
    <mergeCell ref="L203:L204"/>
    <mergeCell ref="M192:M204"/>
    <mergeCell ref="L223:L226"/>
    <mergeCell ref="O192:O204"/>
    <mergeCell ref="O216:O217"/>
    <mergeCell ref="L227:L228"/>
    <mergeCell ref="L210:L213"/>
    <mergeCell ref="L214:L215"/>
    <mergeCell ref="L216:L217"/>
    <mergeCell ref="L125:L127"/>
    <mergeCell ref="M125:M127"/>
    <mergeCell ref="L400:L405"/>
    <mergeCell ref="L517:L518"/>
    <mergeCell ref="L530:L531"/>
    <mergeCell ref="L532:L533"/>
    <mergeCell ref="L536:L539"/>
    <mergeCell ref="L540:L541"/>
    <mergeCell ref="L542:L544"/>
    <mergeCell ref="M472:M476"/>
    <mergeCell ref="M517:M518"/>
    <mergeCell ref="M519:M520"/>
    <mergeCell ref="M521:M525"/>
    <mergeCell ref="M526:M529"/>
    <mergeCell ref="M530:M531"/>
    <mergeCell ref="M532:M533"/>
    <mergeCell ref="M536:M539"/>
    <mergeCell ref="M540:M541"/>
    <mergeCell ref="M542:M544"/>
    <mergeCell ref="L519:L520"/>
    <mergeCell ref="L521:L525"/>
    <mergeCell ref="L526:L529"/>
    <mergeCell ref="L472:L476"/>
    <mergeCell ref="L503:L505"/>
    <mergeCell ref="M495:M502"/>
    <mergeCell ref="M503:M505"/>
    <mergeCell ref="L446:L454"/>
    <mergeCell ref="L428:L431"/>
    <mergeCell ref="L432:L434"/>
    <mergeCell ref="L469:L470"/>
    <mergeCell ref="L459:L460"/>
    <mergeCell ref="L501:L502"/>
    <mergeCell ref="L407:L408"/>
    <mergeCell ref="L409:L411"/>
    <mergeCell ref="L418:L425"/>
    <mergeCell ref="L426:L427"/>
    <mergeCell ref="L397:L398"/>
    <mergeCell ref="L441:L443"/>
    <mergeCell ref="L444:L445"/>
    <mergeCell ref="L487:L492"/>
    <mergeCell ref="L394:L396"/>
    <mergeCell ref="X13:X28"/>
    <mergeCell ref="X31:X33"/>
    <mergeCell ref="M233:M235"/>
    <mergeCell ref="M205:M206"/>
    <mergeCell ref="M223:M226"/>
    <mergeCell ref="L179:L182"/>
    <mergeCell ref="L187:L188"/>
    <mergeCell ref="L189:L190"/>
    <mergeCell ref="M179:M182"/>
    <mergeCell ref="M187:M188"/>
    <mergeCell ref="M189:M190"/>
    <mergeCell ref="L230:L232"/>
    <mergeCell ref="L233:L235"/>
    <mergeCell ref="X34:X36"/>
    <mergeCell ref="X46:X48"/>
    <mergeCell ref="X57:X61"/>
    <mergeCell ref="X93:X95"/>
    <mergeCell ref="X96:X97"/>
    <mergeCell ref="M49:M51"/>
    <mergeCell ref="L46:L48"/>
    <mergeCell ref="O62:O63"/>
    <mergeCell ref="M210:M213"/>
    <mergeCell ref="M216:M217"/>
    <mergeCell ref="M46:M48"/>
    <mergeCell ref="O207:O209"/>
    <mergeCell ref="M153:M156"/>
    <mergeCell ref="L192:L197"/>
    <mergeCell ref="L205:L206"/>
    <mergeCell ref="L207:L208"/>
    <mergeCell ref="M207:M209"/>
    <mergeCell ref="O144:O145"/>
    <mergeCell ref="O149:O150"/>
    <mergeCell ref="O146:O148"/>
    <mergeCell ref="O151:O152"/>
    <mergeCell ref="L80:L84"/>
    <mergeCell ref="O57:O59"/>
    <mergeCell ref="O80:O87"/>
    <mergeCell ref="M135:M138"/>
    <mergeCell ref="M144:M145"/>
    <mergeCell ref="M139:M141"/>
    <mergeCell ref="L139:L141"/>
    <mergeCell ref="M146:M148"/>
    <mergeCell ref="L76:L77"/>
    <mergeCell ref="I1:L1"/>
    <mergeCell ref="M1:W5"/>
    <mergeCell ref="I2:L2"/>
    <mergeCell ref="I3:L3"/>
    <mergeCell ref="L85:L87"/>
    <mergeCell ref="L96:L97"/>
    <mergeCell ref="M34:M36"/>
    <mergeCell ref="M57:M59"/>
    <mergeCell ref="M62:M63"/>
    <mergeCell ref="M93:M95"/>
    <mergeCell ref="M96:M97"/>
    <mergeCell ref="L27:L28"/>
    <mergeCell ref="T6:T7"/>
    <mergeCell ref="U6:U7"/>
    <mergeCell ref="V6:V7"/>
    <mergeCell ref="W6:W7"/>
    <mergeCell ref="R6:R7"/>
    <mergeCell ref="O46:O48"/>
    <mergeCell ref="O34:O36"/>
    <mergeCell ref="L49:L51"/>
    <mergeCell ref="L73:L74"/>
    <mergeCell ref="M31:M33"/>
    <mergeCell ref="I4:L4"/>
    <mergeCell ref="I5:L5"/>
    <mergeCell ref="X4:X5"/>
    <mergeCell ref="I6:K7"/>
    <mergeCell ref="L6:L7"/>
    <mergeCell ref="M6:M7"/>
    <mergeCell ref="N6:N7"/>
    <mergeCell ref="P6:P7"/>
    <mergeCell ref="Q6:Q7"/>
    <mergeCell ref="L89:L90"/>
    <mergeCell ref="L93:L95"/>
    <mergeCell ref="L25:L26"/>
    <mergeCell ref="L71:L72"/>
    <mergeCell ref="L62:L63"/>
    <mergeCell ref="L57:L59"/>
    <mergeCell ref="L29:L30"/>
    <mergeCell ref="L34:L36"/>
    <mergeCell ref="L38:L40"/>
    <mergeCell ref="L67:L68"/>
    <mergeCell ref="X6:X7"/>
    <mergeCell ref="S6:S7"/>
    <mergeCell ref="O31:O33"/>
    <mergeCell ref="L10:L12"/>
    <mergeCell ref="L13:L18"/>
    <mergeCell ref="O13:O18"/>
    <mergeCell ref="L31:L33"/>
    <mergeCell ref="X542:X544"/>
    <mergeCell ref="X426:X427"/>
    <mergeCell ref="O503:O505"/>
    <mergeCell ref="O519:O520"/>
    <mergeCell ref="L477:L485"/>
    <mergeCell ref="L278:L283"/>
    <mergeCell ref="L284:L287"/>
    <mergeCell ref="L295:L297"/>
    <mergeCell ref="L299:L301"/>
    <mergeCell ref="L302:L303"/>
    <mergeCell ref="L326:L327"/>
    <mergeCell ref="L363:L364"/>
    <mergeCell ref="L365:L369"/>
    <mergeCell ref="L376:L377"/>
    <mergeCell ref="L289:L290"/>
    <mergeCell ref="L291:L292"/>
    <mergeCell ref="L293:L294"/>
    <mergeCell ref="L356:L359"/>
    <mergeCell ref="L329:L330"/>
    <mergeCell ref="L331:L332"/>
    <mergeCell ref="L333:L334"/>
    <mergeCell ref="L335:L336"/>
    <mergeCell ref="L338:L339"/>
    <mergeCell ref="L350:L351"/>
    <mergeCell ref="L379:L381"/>
    <mergeCell ref="L382:L383"/>
    <mergeCell ref="L388:L389"/>
    <mergeCell ref="M242:M243"/>
    <mergeCell ref="M293:M294"/>
    <mergeCell ref="M265:M272"/>
    <mergeCell ref="O495:O502"/>
    <mergeCell ref="X495:X502"/>
    <mergeCell ref="W487:W488"/>
    <mergeCell ref="O472:O476"/>
    <mergeCell ref="X477:X486"/>
    <mergeCell ref="X487:X493"/>
    <mergeCell ref="O242:O243"/>
    <mergeCell ref="O261:O263"/>
    <mergeCell ref="L353:L354"/>
    <mergeCell ref="M254:M260"/>
    <mergeCell ref="O254:O260"/>
    <mergeCell ref="L258:L260"/>
    <mergeCell ref="O265:O272"/>
    <mergeCell ref="L254:L256"/>
    <mergeCell ref="L467:L468"/>
    <mergeCell ref="L495:L499"/>
    <mergeCell ref="L251:L253"/>
    <mergeCell ref="M248:M253"/>
    <mergeCell ref="O302:O303"/>
    <mergeCell ref="O318:O327"/>
    <mergeCell ref="M333:M334"/>
    <mergeCell ref="M350:M352"/>
    <mergeCell ref="X98:X101"/>
    <mergeCell ref="X103:X104"/>
    <mergeCell ref="X105:X106"/>
    <mergeCell ref="X111:X112"/>
    <mergeCell ref="X117:X118"/>
    <mergeCell ref="X119:X120"/>
    <mergeCell ref="X165:X174"/>
    <mergeCell ref="X122:X127"/>
    <mergeCell ref="X131:X141"/>
    <mergeCell ref="X144:X145"/>
    <mergeCell ref="X149:X150"/>
    <mergeCell ref="X151:X152"/>
    <mergeCell ref="X153:X156"/>
    <mergeCell ref="M105:M106"/>
    <mergeCell ref="M111:M112"/>
    <mergeCell ref="M123:M124"/>
    <mergeCell ref="O350:O352"/>
    <mergeCell ref="O223:O226"/>
    <mergeCell ref="X175:X177"/>
    <mergeCell ref="X179:X182"/>
    <mergeCell ref="X356:X361"/>
    <mergeCell ref="X465:X470"/>
    <mergeCell ref="X183:X188"/>
    <mergeCell ref="X189:X190"/>
    <mergeCell ref="X418:X425"/>
    <mergeCell ref="X459:X464"/>
    <mergeCell ref="X453:X458"/>
    <mergeCell ref="X446:X452"/>
    <mergeCell ref="X216:X217"/>
    <mergeCell ref="X227:X228"/>
    <mergeCell ref="X193:X204"/>
    <mergeCell ref="X205:X206"/>
    <mergeCell ref="X207:X209"/>
    <mergeCell ref="X210:X213"/>
    <mergeCell ref="X230:X232"/>
    <mergeCell ref="X392:X393"/>
    <mergeCell ref="X390:X391"/>
    <mergeCell ref="X400:X406"/>
    <mergeCell ref="M418:M425"/>
    <mergeCell ref="M426:M427"/>
    <mergeCell ref="M428:M431"/>
    <mergeCell ref="M356:M361"/>
    <mergeCell ref="O356:O361"/>
    <mergeCell ref="M379:M386"/>
    <mergeCell ref="O379:O386"/>
    <mergeCell ref="M365:M369"/>
    <mergeCell ref="M409:M417"/>
    <mergeCell ref="O428:O431"/>
    <mergeCell ref="O409:O417"/>
    <mergeCell ref="O418:O425"/>
    <mergeCell ref="O426:O427"/>
    <mergeCell ref="M388:M389"/>
    <mergeCell ref="M390:M391"/>
    <mergeCell ref="M392:M393"/>
    <mergeCell ref="O388:O393"/>
    <mergeCell ref="X521:X525"/>
    <mergeCell ref="X526:X529"/>
    <mergeCell ref="X530:X531"/>
    <mergeCell ref="X532:X533"/>
    <mergeCell ref="X536:X539"/>
    <mergeCell ref="X540:X541"/>
    <mergeCell ref="X233:X235"/>
    <mergeCell ref="X237:X241"/>
    <mergeCell ref="X242:X243"/>
    <mergeCell ref="X278:X292"/>
    <mergeCell ref="X293:X301"/>
    <mergeCell ref="X306:X312"/>
    <mergeCell ref="X365:X369"/>
    <mergeCell ref="X376:X377"/>
    <mergeCell ref="X409:X417"/>
    <mergeCell ref="X319:X334"/>
    <mergeCell ref="X248:X253"/>
    <mergeCell ref="X254:X260"/>
    <mergeCell ref="X265:X266"/>
    <mergeCell ref="X267:X268"/>
    <mergeCell ref="X269:X270"/>
    <mergeCell ref="X271:X272"/>
    <mergeCell ref="X379:X386"/>
    <mergeCell ref="X439:X445"/>
    <mergeCell ref="L220:L221"/>
    <mergeCell ref="M220:M222"/>
    <mergeCell ref="O220:O222"/>
    <mergeCell ref="X220:X222"/>
    <mergeCell ref="L275:L277"/>
    <mergeCell ref="M275:M277"/>
    <mergeCell ref="X275:X277"/>
    <mergeCell ref="L345:L349"/>
    <mergeCell ref="X370:X375"/>
    <mergeCell ref="L370:L375"/>
    <mergeCell ref="M370:M375"/>
    <mergeCell ref="O370:O375"/>
    <mergeCell ref="M353:M355"/>
    <mergeCell ref="O353:O355"/>
    <mergeCell ref="M302:M303"/>
    <mergeCell ref="M329:M330"/>
    <mergeCell ref="M331:M332"/>
    <mergeCell ref="O293:O294"/>
    <mergeCell ref="X351:X352"/>
    <mergeCell ref="X354:X355"/>
    <mergeCell ref="L237:L241"/>
    <mergeCell ref="M237:M241"/>
    <mergeCell ref="O233:O235"/>
    <mergeCell ref="O248:O253"/>
    <mergeCell ref="L546:L550"/>
    <mergeCell ref="M546:M548"/>
    <mergeCell ref="O546:O550"/>
    <mergeCell ref="L551:L552"/>
    <mergeCell ref="M551:M552"/>
    <mergeCell ref="L553:L556"/>
    <mergeCell ref="M553:M556"/>
    <mergeCell ref="X546:X560"/>
    <mergeCell ref="X507:X508"/>
    <mergeCell ref="X509:X510"/>
    <mergeCell ref="X511:X512"/>
    <mergeCell ref="X513:X514"/>
    <mergeCell ref="X515:X516"/>
    <mergeCell ref="L507:L508"/>
    <mergeCell ref="L509:L510"/>
    <mergeCell ref="L511:L512"/>
    <mergeCell ref="L513:L514"/>
    <mergeCell ref="L515:L516"/>
    <mergeCell ref="M507:M508"/>
    <mergeCell ref="M509:M510"/>
    <mergeCell ref="M511:M512"/>
    <mergeCell ref="M513:M514"/>
    <mergeCell ref="M515:M516"/>
    <mergeCell ref="X517:X518"/>
  </mergeCells>
  <conditionalFormatting sqref="X2">
    <cfRule type="expression" dxfId="5456" priority="1086">
      <formula>$AG$3</formula>
    </cfRule>
  </conditionalFormatting>
  <conditionalFormatting sqref="X3">
    <cfRule type="expression" dxfId="5455" priority="1091">
      <formula>$AI$3</formula>
    </cfRule>
  </conditionalFormatting>
  <conditionalFormatting sqref="X319:X334">
    <cfRule type="expression" dxfId="5454" priority="857">
      <formula>NOT(ISBLANK(W326))</formula>
    </cfRule>
  </conditionalFormatting>
  <conditionalFormatting sqref="W65">
    <cfRule type="expression" dxfId="5453" priority="764">
      <formula>AND($R$65,$S$65)</formula>
    </cfRule>
  </conditionalFormatting>
  <conditionalFormatting sqref="W65">
    <cfRule type="expression" dxfId="5452" priority="763">
      <formula>AND(IF($R$65,$W$65,TRUE),LEN(TRIM($W$65))&gt;0)</formula>
    </cfRule>
  </conditionalFormatting>
  <conditionalFormatting sqref="W65">
    <cfRule type="expression" dxfId="5451" priority="762">
      <formula>$S$65 = FALSE</formula>
    </cfRule>
  </conditionalFormatting>
  <conditionalFormatting sqref="W65">
    <cfRule type="expression" dxfId="5450" priority="761">
      <formula>OR($T$65 = TRUE, AND(LEN(TRIM($W$65))&gt;0, $S$65 = FALSE))</formula>
    </cfRule>
  </conditionalFormatting>
  <conditionalFormatting sqref="W66">
    <cfRule type="expression" dxfId="5449" priority="760">
      <formula>AND($R$66,$S$66)</formula>
    </cfRule>
  </conditionalFormatting>
  <conditionalFormatting sqref="W66">
    <cfRule type="expression" dxfId="5448" priority="759">
      <formula>AND(IF($R$66,$W$66,TRUE),LEN(TRIM($W$66))&gt;0)</formula>
    </cfRule>
  </conditionalFormatting>
  <conditionalFormatting sqref="W66">
    <cfRule type="expression" dxfId="5447" priority="758">
      <formula>$S$66 = FALSE</formula>
    </cfRule>
  </conditionalFormatting>
  <conditionalFormatting sqref="W66">
    <cfRule type="expression" dxfId="5446" priority="757">
      <formula>OR($T$66 = TRUE, AND(LEN(TRIM($W$66))&gt;0, $S$66 = FALSE))</formula>
    </cfRule>
  </conditionalFormatting>
  <conditionalFormatting sqref="W67">
    <cfRule type="expression" dxfId="5445" priority="752">
      <formula>AND($R$67,$S$67)</formula>
    </cfRule>
  </conditionalFormatting>
  <conditionalFormatting sqref="W67">
    <cfRule type="expression" dxfId="5444" priority="751">
      <formula>AND(IF($R$67,$W$67,TRUE),LEN(TRIM($W$67))&gt;0)</formula>
    </cfRule>
  </conditionalFormatting>
  <conditionalFormatting sqref="W67">
    <cfRule type="expression" dxfId="5443" priority="750">
      <formula>$S$67 = FALSE</formula>
    </cfRule>
  </conditionalFormatting>
  <conditionalFormatting sqref="W67">
    <cfRule type="expression" dxfId="5442" priority="749">
      <formula>OR($T$67 = TRUE, AND(LEN(TRIM($W$67))&gt;0, $S$67 = FALSE))</formula>
    </cfRule>
  </conditionalFormatting>
  <conditionalFormatting sqref="W71">
    <cfRule type="expression" dxfId="5441" priority="748">
      <formula>AND($R$71,$S$71)</formula>
    </cfRule>
  </conditionalFormatting>
  <conditionalFormatting sqref="W71">
    <cfRule type="expression" dxfId="5440" priority="747">
      <formula>AND(IF($R$71,$W$71,TRUE),LEN(TRIM($W$71))&gt;0)</formula>
    </cfRule>
  </conditionalFormatting>
  <conditionalFormatting sqref="W71">
    <cfRule type="expression" dxfId="5439" priority="746">
      <formula>$S$71 = FALSE</formula>
    </cfRule>
  </conditionalFormatting>
  <conditionalFormatting sqref="W71">
    <cfRule type="expression" dxfId="5438" priority="745">
      <formula>OR($T$71 = TRUE, AND(LEN(TRIM($W$71))&gt;0, $S$71 = FALSE))</formula>
    </cfRule>
  </conditionalFormatting>
  <conditionalFormatting sqref="W73">
    <cfRule type="expression" dxfId="5437" priority="744">
      <formula>AND($R$73,$S$73)</formula>
    </cfRule>
  </conditionalFormatting>
  <conditionalFormatting sqref="W73">
    <cfRule type="expression" dxfId="5436" priority="743">
      <formula>AND(IF($R$73,$W$73,TRUE),LEN(TRIM($W$73))&gt;0)</formula>
    </cfRule>
  </conditionalFormatting>
  <conditionalFormatting sqref="W73">
    <cfRule type="expression" dxfId="5435" priority="742">
      <formula>$S$73 = FALSE</formula>
    </cfRule>
  </conditionalFormatting>
  <conditionalFormatting sqref="W73">
    <cfRule type="expression" dxfId="5434" priority="741">
      <formula>OR($T$73 = TRUE, AND(LEN(TRIM($W$73))&gt;0, $S$73 = FALSE))</formula>
    </cfRule>
  </conditionalFormatting>
  <conditionalFormatting sqref="X80">
    <cfRule type="expression" dxfId="5433" priority="736">
      <formula>W80=TRUE</formula>
    </cfRule>
  </conditionalFormatting>
  <conditionalFormatting sqref="W122">
    <cfRule type="expression" dxfId="5432" priority="690">
      <formula>AND($R$122,$S$122)</formula>
    </cfRule>
  </conditionalFormatting>
  <conditionalFormatting sqref="W122">
    <cfRule type="expression" dxfId="5431" priority="689">
      <formula>AND(IF($R$122,$W$122,TRUE),LEN(TRIM($W$122))&gt;0)</formula>
    </cfRule>
  </conditionalFormatting>
  <conditionalFormatting sqref="W122">
    <cfRule type="expression" dxfId="5430" priority="688">
      <formula>$S$122 = FALSE</formula>
    </cfRule>
  </conditionalFormatting>
  <conditionalFormatting sqref="W122">
    <cfRule type="expression" dxfId="5429" priority="687">
      <formula>OR($T$122 = TRUE, AND(LEN(TRIM($W$122))&gt;0, $S$122 = FALSE))</formula>
    </cfRule>
  </conditionalFormatting>
  <conditionalFormatting sqref="X146:X148">
    <cfRule type="expression" dxfId="5428" priority="654">
      <formula>W146="N/A"</formula>
    </cfRule>
  </conditionalFormatting>
  <conditionalFormatting sqref="X157">
    <cfRule type="expression" dxfId="5427" priority="653">
      <formula>W157="N/A"</formula>
    </cfRule>
  </conditionalFormatting>
  <conditionalFormatting sqref="W183">
    <cfRule type="expression" dxfId="5426" priority="652">
      <formula>AND($R$183,$S$183)</formula>
    </cfRule>
  </conditionalFormatting>
  <conditionalFormatting sqref="W183">
    <cfRule type="expression" dxfId="5425" priority="651">
      <formula>AND(IF($R$183,$W$183,TRUE),LEN(TRIM($W$183))&gt;0)</formula>
    </cfRule>
  </conditionalFormatting>
  <conditionalFormatting sqref="W183">
    <cfRule type="expression" dxfId="5424" priority="650">
      <formula>$S$183 = FALSE</formula>
    </cfRule>
  </conditionalFormatting>
  <conditionalFormatting sqref="W183">
    <cfRule type="expression" dxfId="5423" priority="649">
      <formula>OR($T$183 = TRUE, AND(LEN(TRIM($W$183))&gt;0, $S$183 = FALSE))</formula>
    </cfRule>
  </conditionalFormatting>
  <conditionalFormatting sqref="W193">
    <cfRule type="expression" dxfId="5422" priority="648">
      <formula>AND($R$193,$S$193)</formula>
    </cfRule>
  </conditionalFormatting>
  <conditionalFormatting sqref="W193">
    <cfRule type="expression" dxfId="5421" priority="647">
      <formula>AND(IF($R$193,$W$193,TRUE),LEN(TRIM($W$193))&gt;0)</formula>
    </cfRule>
  </conditionalFormatting>
  <conditionalFormatting sqref="W193">
    <cfRule type="expression" dxfId="5420" priority="646">
      <formula>$S$193 = FALSE</formula>
    </cfRule>
  </conditionalFormatting>
  <conditionalFormatting sqref="W193">
    <cfRule type="expression" dxfId="5419" priority="645">
      <formula>OR($T$193 = TRUE, AND(LEN(TRIM($W$193))&gt;0, $S$193 = FALSE))</formula>
    </cfRule>
  </conditionalFormatting>
  <conditionalFormatting sqref="X261:X263">
    <cfRule type="expression" dxfId="5418" priority="628">
      <formula>W261</formula>
    </cfRule>
  </conditionalFormatting>
  <conditionalFormatting sqref="W248">
    <cfRule type="expression" dxfId="5417" priority="627">
      <formula>AND($R$248,$S$248)</formula>
    </cfRule>
  </conditionalFormatting>
  <conditionalFormatting sqref="W248">
    <cfRule type="expression" dxfId="5416" priority="626">
      <formula>AND(IF($R$248,$W$248,TRUE),LEN(TRIM($W$248))&gt;0)</formula>
    </cfRule>
  </conditionalFormatting>
  <conditionalFormatting sqref="W248">
    <cfRule type="expression" dxfId="5415" priority="625">
      <formula>$S$248 = FALSE</formula>
    </cfRule>
  </conditionalFormatting>
  <conditionalFormatting sqref="W248">
    <cfRule type="expression" dxfId="5414" priority="624">
      <formula>OR($T$248 = TRUE, AND($W$248 = TRUE, $S$248 = FALSE))</formula>
    </cfRule>
  </conditionalFormatting>
  <conditionalFormatting sqref="X248 X254:X260">
    <cfRule type="expression" dxfId="5413" priority="619">
      <formula>W248&gt;0</formula>
    </cfRule>
  </conditionalFormatting>
  <conditionalFormatting sqref="W254">
    <cfRule type="expression" dxfId="5412" priority="618">
      <formula>AND(R254,S254)</formula>
    </cfRule>
  </conditionalFormatting>
  <conditionalFormatting sqref="W254">
    <cfRule type="expression" dxfId="5411" priority="617">
      <formula>AND(IF(R254,W254,TRUE),LEN(TRIM(W254))&gt;0)</formula>
    </cfRule>
  </conditionalFormatting>
  <conditionalFormatting sqref="W254">
    <cfRule type="expression" dxfId="5410" priority="616">
      <formula>S254 = FALSE</formula>
    </cfRule>
  </conditionalFormatting>
  <conditionalFormatting sqref="W254">
    <cfRule type="expression" dxfId="5409" priority="615">
      <formula>OR(T254 = TRUE, AND(W254 = TRUE, S254 = FALSE))</formula>
    </cfRule>
  </conditionalFormatting>
  <conditionalFormatting sqref="W266">
    <cfRule type="expression" dxfId="5408" priority="613">
      <formula>AND(R266,S266)</formula>
    </cfRule>
  </conditionalFormatting>
  <conditionalFormatting sqref="W266">
    <cfRule type="expression" dxfId="5407" priority="612">
      <formula>AND(IF(R266,W266,TRUE),LEN(TRIM(W266))&gt;0)</formula>
    </cfRule>
  </conditionalFormatting>
  <conditionalFormatting sqref="W266">
    <cfRule type="expression" dxfId="5406" priority="611">
      <formula>S266 = FALSE</formula>
    </cfRule>
  </conditionalFormatting>
  <conditionalFormatting sqref="W266">
    <cfRule type="expression" dxfId="5405" priority="610">
      <formula>OR(T266 = TRUE, AND(W266 = TRUE, S266 = FALSE))</formula>
    </cfRule>
  </conditionalFormatting>
  <conditionalFormatting sqref="W268">
    <cfRule type="expression" dxfId="5404" priority="609">
      <formula>AND(R268,S268)</formula>
    </cfRule>
  </conditionalFormatting>
  <conditionalFormatting sqref="W268">
    <cfRule type="expression" dxfId="5403" priority="608">
      <formula>AND(IF(R268,W268,TRUE),LEN(TRIM(W268))&gt;0)</formula>
    </cfRule>
  </conditionalFormatting>
  <conditionalFormatting sqref="W268">
    <cfRule type="expression" dxfId="5402" priority="607">
      <formula>S268 = FALSE</formula>
    </cfRule>
  </conditionalFormatting>
  <conditionalFormatting sqref="W268">
    <cfRule type="expression" dxfId="5401" priority="606">
      <formula>OR(T268 = TRUE, AND(W268 = TRUE, S268 = FALSE))</formula>
    </cfRule>
  </conditionalFormatting>
  <conditionalFormatting sqref="W270">
    <cfRule type="expression" dxfId="5400" priority="605">
      <formula>AND(R270,S270)</formula>
    </cfRule>
  </conditionalFormatting>
  <conditionalFormatting sqref="W270">
    <cfRule type="expression" dxfId="5399" priority="604">
      <formula>AND(IF(R270,W270,TRUE),LEN(TRIM(W270))&gt;0)</formula>
    </cfRule>
  </conditionalFormatting>
  <conditionalFormatting sqref="W270">
    <cfRule type="expression" dxfId="5398" priority="603">
      <formula>S270 = FALSE</formula>
    </cfRule>
  </conditionalFormatting>
  <conditionalFormatting sqref="W270">
    <cfRule type="expression" dxfId="5397" priority="602">
      <formula>OR(T270 = TRUE, AND(W270 = TRUE, S270 = FALSE))</formula>
    </cfRule>
  </conditionalFormatting>
  <conditionalFormatting sqref="W272">
    <cfRule type="expression" dxfId="5396" priority="601">
      <formula>AND(R272,S272)</formula>
    </cfRule>
  </conditionalFormatting>
  <conditionalFormatting sqref="W272">
    <cfRule type="expression" dxfId="5395" priority="600">
      <formula>AND(IF(R272,W272,TRUE),LEN(TRIM(W272))&gt;0)</formula>
    </cfRule>
  </conditionalFormatting>
  <conditionalFormatting sqref="W272">
    <cfRule type="expression" dxfId="5394" priority="599">
      <formula>S272 = FALSE</formula>
    </cfRule>
  </conditionalFormatting>
  <conditionalFormatting sqref="W272">
    <cfRule type="expression" dxfId="5393" priority="598">
      <formula>OR(T272 = TRUE, AND(W272 = TRUE, S272 = FALSE))</formula>
    </cfRule>
  </conditionalFormatting>
  <conditionalFormatting sqref="X265 X267 X269 X271 X477:X486">
    <cfRule type="expression" dxfId="5392" priority="597">
      <formula>W266&gt;0</formula>
    </cfRule>
  </conditionalFormatting>
  <conditionalFormatting sqref="X313">
    <cfRule type="expression" dxfId="5391" priority="548">
      <formula>W313</formula>
    </cfRule>
  </conditionalFormatting>
  <conditionalFormatting sqref="X314">
    <cfRule type="expression" dxfId="5390" priority="547">
      <formula>W314</formula>
    </cfRule>
  </conditionalFormatting>
  <conditionalFormatting sqref="W319">
    <cfRule type="expression" dxfId="5389" priority="546">
      <formula>AND($R$319,$S$319)</formula>
    </cfRule>
  </conditionalFormatting>
  <conditionalFormatting sqref="W319">
    <cfRule type="expression" dxfId="5388" priority="545">
      <formula>AND(IF($R$319,$W$319,TRUE),LEN(TRIM($W$319))&gt;0)</formula>
    </cfRule>
  </conditionalFormatting>
  <conditionalFormatting sqref="W319">
    <cfRule type="expression" dxfId="5387" priority="544">
      <formula>$S$319 = FALSE</formula>
    </cfRule>
  </conditionalFormatting>
  <conditionalFormatting sqref="W319">
    <cfRule type="expression" dxfId="5386" priority="543">
      <formula>OR($T$319 = TRUE, AND(LEN(TRIM($W$319))&gt;0, $S$319 = FALSE))</formula>
    </cfRule>
  </conditionalFormatting>
  <conditionalFormatting sqref="W320">
    <cfRule type="expression" dxfId="5385" priority="542">
      <formula>AND($R$320,$S$320)</formula>
    </cfRule>
  </conditionalFormatting>
  <conditionalFormatting sqref="W320">
    <cfRule type="expression" dxfId="5384" priority="541">
      <formula>AND(IF($R$320,$W$320,TRUE),LEN(TRIM($W$320))&gt;0)</formula>
    </cfRule>
  </conditionalFormatting>
  <conditionalFormatting sqref="W320">
    <cfRule type="expression" dxfId="5383" priority="540">
      <formula>$S$320 = FALSE</formula>
    </cfRule>
  </conditionalFormatting>
  <conditionalFormatting sqref="W320">
    <cfRule type="expression" dxfId="5382" priority="539">
      <formula>OR($T$320 = TRUE, AND(LEN(TRIM($W$320))&gt;0, $S$320 = FALSE))</formula>
    </cfRule>
  </conditionalFormatting>
  <conditionalFormatting sqref="W321">
    <cfRule type="expression" dxfId="5381" priority="538">
      <formula>AND($R$321,$S$321)</formula>
    </cfRule>
  </conditionalFormatting>
  <conditionalFormatting sqref="W321">
    <cfRule type="expression" dxfId="5380" priority="537">
      <formula>AND(IF($R$321,$W$321,TRUE),LEN(TRIM($W$321))&gt;0)</formula>
    </cfRule>
  </conditionalFormatting>
  <conditionalFormatting sqref="W321">
    <cfRule type="expression" dxfId="5379" priority="536">
      <formula>$S$321 = FALSE</formula>
    </cfRule>
  </conditionalFormatting>
  <conditionalFormatting sqref="W321">
    <cfRule type="expression" dxfId="5378" priority="535">
      <formula>OR($T$321 = TRUE, AND(LEN(TRIM($W$321))&gt;0, $S$321 = FALSE))</formula>
    </cfRule>
  </conditionalFormatting>
  <conditionalFormatting sqref="W322">
    <cfRule type="expression" dxfId="5377" priority="530">
      <formula>AND($R$322,$S$322)</formula>
    </cfRule>
  </conditionalFormatting>
  <conditionalFormatting sqref="W322">
    <cfRule type="expression" dxfId="5376" priority="529">
      <formula>AND(IF($R$322,$W$322,TRUE),LEN(TRIM($W$322))&gt;0)</formula>
    </cfRule>
  </conditionalFormatting>
  <conditionalFormatting sqref="W322">
    <cfRule type="expression" dxfId="5375" priority="528">
      <formula>$S$322 = FALSE</formula>
    </cfRule>
  </conditionalFormatting>
  <conditionalFormatting sqref="W322">
    <cfRule type="expression" dxfId="5374" priority="527">
      <formula>OR($T$322 = TRUE, AND(LEN(TRIM($W$322))&gt;0, $S$322 = FALSE))</formula>
    </cfRule>
  </conditionalFormatting>
  <conditionalFormatting sqref="W323">
    <cfRule type="expression" dxfId="5373" priority="526">
      <formula>AND($R$323,$S$323)</formula>
    </cfRule>
  </conditionalFormatting>
  <conditionalFormatting sqref="W323">
    <cfRule type="expression" dxfId="5372" priority="525">
      <formula>AND(IF($R$323,$W$323,TRUE),LEN(TRIM($W$323))&gt;0)</formula>
    </cfRule>
  </conditionalFormatting>
  <conditionalFormatting sqref="W323">
    <cfRule type="expression" dxfId="5371" priority="524">
      <formula>$S$323 = FALSE</formula>
    </cfRule>
  </conditionalFormatting>
  <conditionalFormatting sqref="W323">
    <cfRule type="expression" dxfId="5370" priority="523">
      <formula>OR($T$323 = TRUE, AND(LEN(TRIM($W$323))&gt;0, $S$323 = FALSE))</formula>
    </cfRule>
  </conditionalFormatting>
  <conditionalFormatting sqref="W324">
    <cfRule type="expression" dxfId="5369" priority="522">
      <formula>AND($R$324,$S$324)</formula>
    </cfRule>
  </conditionalFormatting>
  <conditionalFormatting sqref="W324">
    <cfRule type="expression" dxfId="5368" priority="521">
      <formula>AND(IF($R$324,$W$324,TRUE),LEN(TRIM($W$324))&gt;0)</formula>
    </cfRule>
  </conditionalFormatting>
  <conditionalFormatting sqref="W324">
    <cfRule type="expression" dxfId="5367" priority="520">
      <formula>$S$324 = FALSE</formula>
    </cfRule>
  </conditionalFormatting>
  <conditionalFormatting sqref="W324">
    <cfRule type="expression" dxfId="5366" priority="519">
      <formula>OR($T$324 = TRUE, AND(LEN(TRIM($W$324))&gt;0, $S$324 = FALSE))</formula>
    </cfRule>
  </conditionalFormatting>
  <conditionalFormatting sqref="W325">
    <cfRule type="expression" dxfId="5365" priority="518">
      <formula>AND($R$325,$S$325)</formula>
    </cfRule>
  </conditionalFormatting>
  <conditionalFormatting sqref="W325">
    <cfRule type="expression" dxfId="5364" priority="517">
      <formula>AND(IF($R$325,$W$325,TRUE),LEN(TRIM($W$325))&gt;0)</formula>
    </cfRule>
  </conditionalFormatting>
  <conditionalFormatting sqref="W325">
    <cfRule type="expression" dxfId="5363" priority="516">
      <formula>$S$325 = FALSE</formula>
    </cfRule>
  </conditionalFormatting>
  <conditionalFormatting sqref="W325">
    <cfRule type="expression" dxfId="5362" priority="515">
      <formula>OR($T$325 = TRUE, AND(LEN(TRIM($W$325))&gt;0, $S$325 = FALSE))</formula>
    </cfRule>
  </conditionalFormatting>
  <conditionalFormatting sqref="W326">
    <cfRule type="expression" dxfId="5361" priority="514">
      <formula>AND($R$326,$S$326)</formula>
    </cfRule>
  </conditionalFormatting>
  <conditionalFormatting sqref="W326">
    <cfRule type="expression" dxfId="5360" priority="513">
      <formula>AND(IF($R$326,$W$326,TRUE),LEN(TRIM($W$326))&gt;0)</formula>
    </cfRule>
  </conditionalFormatting>
  <conditionalFormatting sqref="W326">
    <cfRule type="expression" dxfId="5359" priority="512">
      <formula>$S$326 = FALSE</formula>
    </cfRule>
  </conditionalFormatting>
  <conditionalFormatting sqref="W326">
    <cfRule type="expression" dxfId="5358" priority="511">
      <formula>OR($T$326 = TRUE, AND(LEN(TRIM($W$326))&gt;0, $S$326 = FALSE))</formula>
    </cfRule>
  </conditionalFormatting>
  <conditionalFormatting sqref="W350">
    <cfRule type="expression" dxfId="5357" priority="510">
      <formula>AND($R$350,$S$350)</formula>
    </cfRule>
  </conditionalFormatting>
  <conditionalFormatting sqref="W350">
    <cfRule type="expression" dxfId="5356" priority="509">
      <formula>AND(IF($R$350,$W$350,TRUE),LEN(TRIM($W$350))&gt;0)</formula>
    </cfRule>
  </conditionalFormatting>
  <conditionalFormatting sqref="W350">
    <cfRule type="expression" dxfId="5355" priority="508">
      <formula>$S$350 = FALSE</formula>
    </cfRule>
  </conditionalFormatting>
  <conditionalFormatting sqref="W350">
    <cfRule type="expression" dxfId="5354" priority="507">
      <formula>OR($T$350 = TRUE, AND(LEN(TRIM($W$350))&gt;0, $S$350 = FALSE))</formula>
    </cfRule>
  </conditionalFormatting>
  <conditionalFormatting sqref="W351">
    <cfRule type="expression" dxfId="5353" priority="506">
      <formula>AND($R$351,$S$351)</formula>
    </cfRule>
  </conditionalFormatting>
  <conditionalFormatting sqref="W351">
    <cfRule type="expression" dxfId="5352" priority="505">
      <formula>AND(IF($R$351,$W$351,TRUE),LEN(TRIM($W$351))&gt;0)</formula>
    </cfRule>
  </conditionalFormatting>
  <conditionalFormatting sqref="W351">
    <cfRule type="expression" dxfId="5351" priority="504">
      <formula>$S$351 = FALSE</formula>
    </cfRule>
  </conditionalFormatting>
  <conditionalFormatting sqref="W351">
    <cfRule type="expression" dxfId="5350" priority="503">
      <formula>OR($T$351 = TRUE, AND(LEN(TRIM($W$351))&gt;0, $S$351 = FALSE))</formula>
    </cfRule>
  </conditionalFormatting>
  <conditionalFormatting sqref="W353">
    <cfRule type="expression" dxfId="5349" priority="502">
      <formula>AND($R$353,$S$353)</formula>
    </cfRule>
  </conditionalFormatting>
  <conditionalFormatting sqref="W353">
    <cfRule type="expression" dxfId="5348" priority="501">
      <formula>AND(IF($R$353,$W$353,TRUE),LEN(TRIM($W$353))&gt;0)</formula>
    </cfRule>
  </conditionalFormatting>
  <conditionalFormatting sqref="W353">
    <cfRule type="expression" dxfId="5347" priority="500">
      <formula>$S$353 = FALSE</formula>
    </cfRule>
  </conditionalFormatting>
  <conditionalFormatting sqref="W353">
    <cfRule type="expression" dxfId="5346" priority="499">
      <formula>OR($T$353 = TRUE, AND(LEN(TRIM($W$353))&gt;0, $S$353 = FALSE))</formula>
    </cfRule>
  </conditionalFormatting>
  <conditionalFormatting sqref="W354">
    <cfRule type="expression" dxfId="5345" priority="498">
      <formula>AND($R$354,$S$354)</formula>
    </cfRule>
  </conditionalFormatting>
  <conditionalFormatting sqref="W354">
    <cfRule type="expression" dxfId="5344" priority="497">
      <formula>AND(IF($R$354,$W$354,TRUE),LEN(TRIM($W$354))&gt;0)</formula>
    </cfRule>
  </conditionalFormatting>
  <conditionalFormatting sqref="W354">
    <cfRule type="expression" dxfId="5343" priority="496">
      <formula>$S$354 = FALSE</formula>
    </cfRule>
  </conditionalFormatting>
  <conditionalFormatting sqref="W354">
    <cfRule type="expression" dxfId="5342" priority="495">
      <formula>OR($T$354 = TRUE, AND(LEN(TRIM($W$354))&gt;0, $S$354 = FALSE))</formula>
    </cfRule>
  </conditionalFormatting>
  <conditionalFormatting sqref="X350:X351 X353:X354 X392 X390">
    <cfRule type="expression" dxfId="5341" priority="494">
      <formula>NOT(ISBLANK(W350))</formula>
    </cfRule>
  </conditionalFormatting>
  <conditionalFormatting sqref="W356">
    <cfRule type="expression" dxfId="5340" priority="493">
      <formula>AND($R$356,$S$356)</formula>
    </cfRule>
  </conditionalFormatting>
  <conditionalFormatting sqref="W356">
    <cfRule type="expression" dxfId="5339" priority="492">
      <formula>AND(IF($R$356,$W$356,TRUE),LEN(TRIM($W$356))&gt;0)</formula>
    </cfRule>
  </conditionalFormatting>
  <conditionalFormatting sqref="W356">
    <cfRule type="expression" dxfId="5338" priority="491">
      <formula>$S$356 = FALSE</formula>
    </cfRule>
  </conditionalFormatting>
  <conditionalFormatting sqref="W356">
    <cfRule type="expression" dxfId="5337" priority="490">
      <formula>OR($T$356 = TRUE, AND(LEN(TRIM($W$356))&gt;0, $S$356 = FALSE))</formula>
    </cfRule>
  </conditionalFormatting>
  <conditionalFormatting sqref="X356:X361">
    <cfRule type="expression" dxfId="5336" priority="489">
      <formula>NOT(ISBLANK(W356))</formula>
    </cfRule>
  </conditionalFormatting>
  <conditionalFormatting sqref="W379">
    <cfRule type="expression" dxfId="5335" priority="476">
      <formula>AND($R$379,$S$379)</formula>
    </cfRule>
  </conditionalFormatting>
  <conditionalFormatting sqref="W379">
    <cfRule type="expression" dxfId="5334" priority="475">
      <formula>AND(IF($R$379,$W$379,TRUE),LEN(TRIM($W$379))&gt;0)</formula>
    </cfRule>
  </conditionalFormatting>
  <conditionalFormatting sqref="W379">
    <cfRule type="expression" dxfId="5333" priority="474">
      <formula>$S$379 = FALSE</formula>
    </cfRule>
  </conditionalFormatting>
  <conditionalFormatting sqref="W379">
    <cfRule type="expression" dxfId="5332" priority="473">
      <formula>OR($T$379 = TRUE, AND(LEN(TRIM($W$379))&gt;0, $S$379 = FALSE))</formula>
    </cfRule>
  </conditionalFormatting>
  <conditionalFormatting sqref="X379:X386">
    <cfRule type="expression" dxfId="5331" priority="472">
      <formula>NOT(ISBLANK(W379))</formula>
    </cfRule>
  </conditionalFormatting>
  <conditionalFormatting sqref="X446:X452">
    <cfRule type="expression" dxfId="5330" priority="463">
      <formula>NOT(ISBLANK(W447))</formula>
    </cfRule>
  </conditionalFormatting>
  <conditionalFormatting sqref="W434">
    <cfRule type="expression" dxfId="5329" priority="461">
      <formula>AND($R$434,$S$434)</formula>
    </cfRule>
  </conditionalFormatting>
  <conditionalFormatting sqref="W434">
    <cfRule type="expression" dxfId="5328" priority="460">
      <formula>AND(IF($R$434,$W$434,TRUE),LEN(TRIM($W$434))&gt;0)</formula>
    </cfRule>
  </conditionalFormatting>
  <conditionalFormatting sqref="W434">
    <cfRule type="expression" dxfId="5327" priority="459">
      <formula>$S$434 = FALSE</formula>
    </cfRule>
  </conditionalFormatting>
  <conditionalFormatting sqref="W434">
    <cfRule type="expression" dxfId="5326" priority="458">
      <formula>OR($T$434 = TRUE, AND(LEN(TRIM($W$434))&gt;0, $S$434 = FALSE))</formula>
    </cfRule>
  </conditionalFormatting>
  <conditionalFormatting sqref="W441">
    <cfRule type="expression" dxfId="5325" priority="457">
      <formula>AND($R$441,$S$441)</formula>
    </cfRule>
  </conditionalFormatting>
  <conditionalFormatting sqref="W441">
    <cfRule type="expression" dxfId="5324" priority="456">
      <formula>AND(IF($R$441,$W$441,TRUE),LEN(TRIM($W$441))&gt;0)</formula>
    </cfRule>
  </conditionalFormatting>
  <conditionalFormatting sqref="W441">
    <cfRule type="expression" dxfId="5323" priority="455">
      <formula>$S$441 = FALSE</formula>
    </cfRule>
  </conditionalFormatting>
  <conditionalFormatting sqref="W441">
    <cfRule type="expression" dxfId="5322" priority="454">
      <formula>OR($T$441 = TRUE, AND(LEN(TRIM($W$441))&gt;0, $S$441 = FALSE))</formula>
    </cfRule>
  </conditionalFormatting>
  <conditionalFormatting sqref="X432:X438">
    <cfRule type="expression" dxfId="5321" priority="453">
      <formula>NOT(ISBLANK(W434))</formula>
    </cfRule>
  </conditionalFormatting>
  <conditionalFormatting sqref="X439:X445">
    <cfRule type="expression" dxfId="5320" priority="452">
      <formula>NOT(ISBLANK(W441))</formula>
    </cfRule>
  </conditionalFormatting>
  <conditionalFormatting sqref="W447">
    <cfRule type="expression" dxfId="5319" priority="451">
      <formula>AND($R$447,$S$447)</formula>
    </cfRule>
  </conditionalFormatting>
  <conditionalFormatting sqref="W447">
    <cfRule type="expression" dxfId="5318" priority="450">
      <formula>AND(IF($R$447,$W$447,TRUE),LEN(TRIM($W$447))&gt;0)</formula>
    </cfRule>
  </conditionalFormatting>
  <conditionalFormatting sqref="W447">
    <cfRule type="expression" dxfId="5317" priority="449">
      <formula>$S$447 = FALSE</formula>
    </cfRule>
  </conditionalFormatting>
  <conditionalFormatting sqref="W447">
    <cfRule type="expression" dxfId="5316" priority="448">
      <formula>OR($T$447 = TRUE, AND(LEN(TRIM($W$447))&gt;0, $S$447 = FALSE))</formula>
    </cfRule>
  </conditionalFormatting>
  <conditionalFormatting sqref="W454">
    <cfRule type="expression" dxfId="5315" priority="447">
      <formula>AND($R$454,$S$454)</formula>
    </cfRule>
  </conditionalFormatting>
  <conditionalFormatting sqref="W454">
    <cfRule type="expression" dxfId="5314" priority="446">
      <formula>AND(IF($R$454,$W$454,TRUE),LEN(TRIM($W$454))&gt;0)</formula>
    </cfRule>
  </conditionalFormatting>
  <conditionalFormatting sqref="W454">
    <cfRule type="expression" dxfId="5313" priority="445">
      <formula>$S$454 = FALSE</formula>
    </cfRule>
  </conditionalFormatting>
  <conditionalFormatting sqref="W454">
    <cfRule type="expression" dxfId="5312" priority="444">
      <formula>OR($T$454 = TRUE, AND(LEN(TRIM($W$454))&gt;0, $S$454 = FALSE))</formula>
    </cfRule>
  </conditionalFormatting>
  <conditionalFormatting sqref="W460">
    <cfRule type="expression" dxfId="5311" priority="443">
      <formula>AND($R$460,$S$460)</formula>
    </cfRule>
  </conditionalFormatting>
  <conditionalFormatting sqref="W460">
    <cfRule type="expression" dxfId="5310" priority="442">
      <formula>AND(IF($R$460,$W$460,TRUE),LEN(TRIM($W$460))&gt;0)</formula>
    </cfRule>
  </conditionalFormatting>
  <conditionalFormatting sqref="W460">
    <cfRule type="expression" dxfId="5309" priority="441">
      <formula>$S$460 = FALSE</formula>
    </cfRule>
  </conditionalFormatting>
  <conditionalFormatting sqref="W460">
    <cfRule type="expression" dxfId="5308" priority="440">
      <formula>OR($T$460 = TRUE, AND(LEN(TRIM($W$460))&gt;0, $S$460 = FALSE))</formula>
    </cfRule>
  </conditionalFormatting>
  <conditionalFormatting sqref="W466">
    <cfRule type="expression" dxfId="5307" priority="439">
      <formula>AND($R$466,$S$466)</formula>
    </cfRule>
  </conditionalFormatting>
  <conditionalFormatting sqref="W466">
    <cfRule type="expression" dxfId="5306" priority="438">
      <formula>AND(IF($R$466,$W$466,TRUE),LEN(TRIM($W$466))&gt;0)</formula>
    </cfRule>
  </conditionalFormatting>
  <conditionalFormatting sqref="W466">
    <cfRule type="expression" dxfId="5305" priority="437">
      <formula>$S$466 = FALSE</formula>
    </cfRule>
  </conditionalFormatting>
  <conditionalFormatting sqref="W466">
    <cfRule type="expression" dxfId="5304" priority="436">
      <formula>OR($T$466 = TRUE, AND(LEN(TRIM($W$466))&gt;0, $S$466 = FALSE))</formula>
    </cfRule>
  </conditionalFormatting>
  <conditionalFormatting sqref="X453:X458">
    <cfRule type="expression" dxfId="5303" priority="434">
      <formula>NOT(ISBLANK(W454))</formula>
    </cfRule>
  </conditionalFormatting>
  <conditionalFormatting sqref="X459:X464">
    <cfRule type="expression" dxfId="5302" priority="433">
      <formula>NOT(ISBLANK(W460))</formula>
    </cfRule>
  </conditionalFormatting>
  <conditionalFormatting sqref="X465:X470">
    <cfRule type="expression" dxfId="5301" priority="432">
      <formula>NOT(ISBLANK(W466))</formula>
    </cfRule>
  </conditionalFormatting>
  <conditionalFormatting sqref="W495">
    <cfRule type="expression" dxfId="5300" priority="425">
      <formula>$S$495 = FALSE</formula>
    </cfRule>
  </conditionalFormatting>
  <conditionalFormatting sqref="W495">
    <cfRule type="expression" dxfId="5299" priority="427">
      <formula>AND($R$495,$S$495)</formula>
    </cfRule>
  </conditionalFormatting>
  <conditionalFormatting sqref="W495">
    <cfRule type="expression" dxfId="5298" priority="426">
      <formula>AND(IF($R$495,$W$495,TRUE),LEN(TRIM($W$495))&gt;0)</formula>
    </cfRule>
  </conditionalFormatting>
  <conditionalFormatting sqref="W495">
    <cfRule type="expression" dxfId="5297" priority="424">
      <formula>OR($T$495 = TRUE, AND(LEN(TRIM($W$495))&gt;0, $S$495 = FALSE))</formula>
    </cfRule>
  </conditionalFormatting>
  <conditionalFormatting sqref="X495:X502">
    <cfRule type="expression" dxfId="5296" priority="423">
      <formula>NOT(ISBLANK(W495))</formula>
    </cfRule>
  </conditionalFormatting>
  <conditionalFormatting sqref="W478">
    <cfRule type="expression" dxfId="5295" priority="422">
      <formula>AND(R478,S478)</formula>
    </cfRule>
  </conditionalFormatting>
  <conditionalFormatting sqref="W478">
    <cfRule type="expression" dxfId="5294" priority="421">
      <formula>AND(IF(R478,W478,TRUE),LEN(TRIM(W478))&gt;0)</formula>
    </cfRule>
  </conditionalFormatting>
  <conditionalFormatting sqref="W478">
    <cfRule type="expression" dxfId="5293" priority="420">
      <formula>S478 = FALSE</formula>
    </cfRule>
  </conditionalFormatting>
  <conditionalFormatting sqref="W478">
    <cfRule type="expression" dxfId="5292" priority="419">
      <formula>OR(T478 = TRUE, AND(W478 = TRUE, S478 = FALSE))</formula>
    </cfRule>
  </conditionalFormatting>
  <conditionalFormatting sqref="W489">
    <cfRule type="expression" dxfId="5291" priority="410">
      <formula>AND(R489,S489)</formula>
    </cfRule>
  </conditionalFormatting>
  <conditionalFormatting sqref="W489">
    <cfRule type="expression" dxfId="5290" priority="409">
      <formula>AND(IF(R489,W489,TRUE),LEN(TRIM(W489))&gt;0)</formula>
    </cfRule>
  </conditionalFormatting>
  <conditionalFormatting sqref="W489">
    <cfRule type="expression" dxfId="5289" priority="408">
      <formula>S489 = FALSE</formula>
    </cfRule>
  </conditionalFormatting>
  <conditionalFormatting sqref="W489">
    <cfRule type="expression" dxfId="5288" priority="407">
      <formula>OR(T489 = TRUE, AND(W489 = TRUE, S489 = FALSE))</formula>
    </cfRule>
  </conditionalFormatting>
  <conditionalFormatting sqref="X487:X493">
    <cfRule type="expression" dxfId="5287" priority="405">
      <formula>W489&gt;0</formula>
    </cfRule>
  </conditionalFormatting>
  <conditionalFormatting sqref="W113">
    <cfRule type="expression" dxfId="5286" priority="400">
      <formula>AND($R$113,$S$113)</formula>
    </cfRule>
  </conditionalFormatting>
  <conditionalFormatting sqref="W113">
    <cfRule type="expression" dxfId="5285" priority="399">
      <formula>AND($W$113&lt;&gt;"Not Met",LEN(TRIM($W$113))&gt;0)</formula>
    </cfRule>
  </conditionalFormatting>
  <conditionalFormatting sqref="W113">
    <cfRule type="expression" dxfId="5284" priority="398">
      <formula>$S$113 = FALSE</formula>
    </cfRule>
  </conditionalFormatting>
  <conditionalFormatting sqref="W113">
    <cfRule type="expression" dxfId="5283" priority="397">
      <formula>OR($T$113 = TRUE, AND(LEN(TRIM($W$113))&gt;0, $S$113 = FALSE))</formula>
    </cfRule>
  </conditionalFormatting>
  <conditionalFormatting sqref="W119">
    <cfRule type="expression" dxfId="5282" priority="396">
      <formula>AND($R$119,$S$119)</formula>
    </cfRule>
  </conditionalFormatting>
  <conditionalFormatting sqref="W119">
    <cfRule type="expression" dxfId="5281" priority="395">
      <formula>AND($W$119&lt;&gt;"Not Met",LEN(TRIM($W$119))&gt;0)</formula>
    </cfRule>
  </conditionalFormatting>
  <conditionalFormatting sqref="W119">
    <cfRule type="expression" dxfId="5280" priority="394">
      <formula>$S$119 = FALSE</formula>
    </cfRule>
  </conditionalFormatting>
  <conditionalFormatting sqref="W119">
    <cfRule type="expression" dxfId="5279" priority="393">
      <formula>OR($T$119 = TRUE, AND(LEN(TRIM($W$119))&gt;0, $S$119 = FALSE))</formula>
    </cfRule>
  </conditionalFormatting>
  <conditionalFormatting sqref="W146">
    <cfRule type="expression" dxfId="5278" priority="392">
      <formula>AND($R$146,$S$146)</formula>
    </cfRule>
  </conditionalFormatting>
  <conditionalFormatting sqref="W146">
    <cfRule type="expression" dxfId="5277" priority="391">
      <formula>AND($W$146&lt;&gt;"Not Met",LEN(TRIM($W$146))&gt;0)</formula>
    </cfRule>
  </conditionalFormatting>
  <conditionalFormatting sqref="W146">
    <cfRule type="expression" dxfId="5276" priority="390">
      <formula>$S$146 = FALSE</formula>
    </cfRule>
  </conditionalFormatting>
  <conditionalFormatting sqref="W146">
    <cfRule type="expression" dxfId="5275" priority="389">
      <formula>OR($T$146 = TRUE, AND(LEN(TRIM($W$146))&gt;0, $S$146 = FALSE))</formula>
    </cfRule>
  </conditionalFormatting>
  <conditionalFormatting sqref="W157">
    <cfRule type="expression" dxfId="5274" priority="388">
      <formula>AND($R$157,$S$157)</formula>
    </cfRule>
  </conditionalFormatting>
  <conditionalFormatting sqref="W157">
    <cfRule type="expression" dxfId="5273" priority="387">
      <formula>AND($W$157&lt;&gt;"Not Met",LEN(TRIM($W$157))&gt;0)</formula>
    </cfRule>
  </conditionalFormatting>
  <conditionalFormatting sqref="W157">
    <cfRule type="expression" dxfId="5272" priority="386">
      <formula>$S$157 = FALSE</formula>
    </cfRule>
  </conditionalFormatting>
  <conditionalFormatting sqref="W157">
    <cfRule type="expression" dxfId="5271" priority="385">
      <formula>OR($T$157 = TRUE, AND(LEN(TRIM($W$157))&gt;0, $S$157 = FALSE))</formula>
    </cfRule>
  </conditionalFormatting>
  <conditionalFormatting sqref="W205">
    <cfRule type="expression" dxfId="5270" priority="384">
      <formula>AND($R$205,$S$205)</formula>
    </cfRule>
  </conditionalFormatting>
  <conditionalFormatting sqref="W205">
    <cfRule type="expression" dxfId="5269" priority="383">
      <formula>AND($W$205&lt;&gt;"Not Met",LEN(TRIM($W$205))&gt;0)</formula>
    </cfRule>
  </conditionalFormatting>
  <conditionalFormatting sqref="W205">
    <cfRule type="expression" dxfId="5268" priority="382">
      <formula>$S$205 = FALSE</formula>
    </cfRule>
  </conditionalFormatting>
  <conditionalFormatting sqref="W205">
    <cfRule type="expression" dxfId="5267" priority="381">
      <formula>OR($T$205 = TRUE, AND(LEN(TRIM($W$205))&gt;0, $S$205 = FALSE))</formula>
    </cfRule>
  </conditionalFormatting>
  <conditionalFormatting sqref="W210">
    <cfRule type="expression" dxfId="5266" priority="380">
      <formula>AND($R$210,$S$210)</formula>
    </cfRule>
  </conditionalFormatting>
  <conditionalFormatting sqref="W210">
    <cfRule type="expression" dxfId="5265" priority="379">
      <formula>AND($W$210&lt;&gt;"Not Met",LEN(TRIM($W$210))&gt;0)</formula>
    </cfRule>
  </conditionalFormatting>
  <conditionalFormatting sqref="W210">
    <cfRule type="expression" dxfId="5264" priority="378">
      <formula>$S$210 = FALSE</formula>
    </cfRule>
  </conditionalFormatting>
  <conditionalFormatting sqref="W210">
    <cfRule type="expression" dxfId="5263" priority="377">
      <formula>OR($T$210 = TRUE, AND(LEN(TRIM($W$210))&gt;0, $S$210 = FALSE))</formula>
    </cfRule>
  </conditionalFormatting>
  <conditionalFormatting sqref="W216">
    <cfRule type="expression" dxfId="5262" priority="376">
      <formula>AND($R$216,$S$216)</formula>
    </cfRule>
  </conditionalFormatting>
  <conditionalFormatting sqref="W216">
    <cfRule type="expression" dxfId="5261" priority="375">
      <formula>AND($W$216&lt;&gt;"Not Met",LEN(TRIM($W$216))&gt;0)</formula>
    </cfRule>
  </conditionalFormatting>
  <conditionalFormatting sqref="W216">
    <cfRule type="expression" dxfId="5260" priority="374">
      <formula>$S$216 = FALSE</formula>
    </cfRule>
  </conditionalFormatting>
  <conditionalFormatting sqref="W216">
    <cfRule type="expression" dxfId="5259" priority="373">
      <formula>OR($T$216 = TRUE, AND(LEN(TRIM($W$216))&gt;0, $S$216 = FALSE))</formula>
    </cfRule>
  </conditionalFormatting>
  <conditionalFormatting sqref="W31">
    <cfRule type="expression" dxfId="5258" priority="369">
      <formula>OR($T$31 = TRUE, AND($W$31 = TRUE, $S$31 = FALSE))</formula>
    </cfRule>
    <cfRule type="expression" dxfId="5257" priority="370">
      <formula>$S$31 = FALSE</formula>
    </cfRule>
    <cfRule type="expression" dxfId="5256" priority="371">
      <formula>AND(IF($R$31,$W$31,TRUE),LEN(TRIM($W$31))&gt;0)</formula>
    </cfRule>
    <cfRule type="expression" dxfId="5255" priority="372">
      <formula>AND($R$31,$S$31)</formula>
    </cfRule>
  </conditionalFormatting>
  <conditionalFormatting sqref="W34">
    <cfRule type="expression" dxfId="5254" priority="365">
      <formula>OR($T$34 = TRUE, AND($W$34 = TRUE, $S$34 = FALSE))</formula>
    </cfRule>
    <cfRule type="expression" dxfId="5253" priority="366">
      <formula>$S$34 = FALSE</formula>
    </cfRule>
    <cfRule type="expression" dxfId="5252" priority="367">
      <formula>AND(IF($R$34,$W$34,TRUE),LEN(TRIM($W$34))&gt;0)</formula>
    </cfRule>
    <cfRule type="expression" dxfId="5251" priority="368">
      <formula>AND($R$34,$S$34)</formula>
    </cfRule>
  </conditionalFormatting>
  <conditionalFormatting sqref="W37">
    <cfRule type="expression" dxfId="5250" priority="361">
      <formula>OR($T$37 = TRUE, AND($W$37 = TRUE, $S$37 = FALSE))</formula>
    </cfRule>
    <cfRule type="expression" dxfId="5249" priority="362">
      <formula>$S$37 = FALSE</formula>
    </cfRule>
    <cfRule type="expression" dxfId="5248" priority="363">
      <formula>AND(IF($R$37,$W$37,TRUE),LEN(TRIM($W$37))&gt;0)</formula>
    </cfRule>
    <cfRule type="expression" dxfId="5247" priority="364">
      <formula>AND($R$37,$S$37)</formula>
    </cfRule>
  </conditionalFormatting>
  <conditionalFormatting sqref="W41">
    <cfRule type="expression" dxfId="5246" priority="357">
      <formula>OR($T$41 = TRUE, AND($W$41 = TRUE, $S$41 = FALSE))</formula>
    </cfRule>
    <cfRule type="expression" dxfId="5245" priority="358">
      <formula>$S$41 = FALSE</formula>
    </cfRule>
    <cfRule type="expression" dxfId="5244" priority="359">
      <formula>AND(IF($R$41,$W$41,TRUE),LEN(TRIM($W$41))&gt;0)</formula>
    </cfRule>
    <cfRule type="expression" dxfId="5243" priority="360">
      <formula>AND($R$41,$S$41)</formula>
    </cfRule>
  </conditionalFormatting>
  <conditionalFormatting sqref="W42">
    <cfRule type="expression" dxfId="5242" priority="353">
      <formula>OR($T$42 = TRUE, AND($W$42 = TRUE, $S$42 = FALSE))</formula>
    </cfRule>
    <cfRule type="expression" dxfId="5241" priority="354">
      <formula>$S$42 = FALSE</formula>
    </cfRule>
    <cfRule type="expression" dxfId="5240" priority="355">
      <formula>AND(IF($R$42,$W$42,TRUE),LEN(TRIM($W$42))&gt;0)</formula>
    </cfRule>
    <cfRule type="expression" dxfId="5239" priority="356">
      <formula>AND($R$42,$S$42)</formula>
    </cfRule>
  </conditionalFormatting>
  <conditionalFormatting sqref="W43">
    <cfRule type="expression" dxfId="5238" priority="349">
      <formula>OR($T$43 = TRUE, AND($W$43 = TRUE, $S$43 = FALSE))</formula>
    </cfRule>
    <cfRule type="expression" dxfId="5237" priority="350">
      <formula>$S$43 = FALSE</formula>
    </cfRule>
    <cfRule type="expression" dxfId="5236" priority="351">
      <formula>AND(IF($R$43,$W$43,TRUE),LEN(TRIM($W$43))&gt;0)</formula>
    </cfRule>
    <cfRule type="expression" dxfId="5235" priority="352">
      <formula>AND($R$43,$S$43)</formula>
    </cfRule>
  </conditionalFormatting>
  <conditionalFormatting sqref="W44">
    <cfRule type="expression" dxfId="5234" priority="345">
      <formula>OR($T$44 = TRUE, AND($W$44 = TRUE, $S$44 = FALSE))</formula>
    </cfRule>
    <cfRule type="expression" dxfId="5233" priority="346">
      <formula>$S$44 = FALSE</formula>
    </cfRule>
    <cfRule type="expression" dxfId="5232" priority="347">
      <formula>AND(IF($R$44,$W$44,TRUE),LEN(TRIM($W$44))&gt;0)</formula>
    </cfRule>
    <cfRule type="expression" dxfId="5231" priority="348">
      <formula>AND($R$44,$S$44)</formula>
    </cfRule>
  </conditionalFormatting>
  <conditionalFormatting sqref="W45">
    <cfRule type="expression" dxfId="5230" priority="341">
      <formula>OR($T$45 = TRUE, AND($W$45 = TRUE, $S$45 = FALSE))</formula>
    </cfRule>
    <cfRule type="expression" dxfId="5229" priority="342">
      <formula>$S$45 = FALSE</formula>
    </cfRule>
    <cfRule type="expression" dxfId="5228" priority="343">
      <formula>AND(IF($R$45,$W$45,TRUE),LEN(TRIM($W$45))&gt;0)</formula>
    </cfRule>
    <cfRule type="expression" dxfId="5227" priority="344">
      <formula>AND($R$45,$S$45)</formula>
    </cfRule>
  </conditionalFormatting>
  <conditionalFormatting sqref="W46">
    <cfRule type="expression" dxfId="5226" priority="337">
      <formula>OR($T$46 = TRUE, AND($W$46 = TRUE, $S$46 = FALSE))</formula>
    </cfRule>
    <cfRule type="expression" dxfId="5225" priority="338">
      <formula>$S$46 = FALSE</formula>
    </cfRule>
    <cfRule type="expression" dxfId="5224" priority="339">
      <formula>AND(IF($R$46,$W$46,TRUE),LEN(TRIM($W$46))&gt;0)</formula>
    </cfRule>
    <cfRule type="expression" dxfId="5223" priority="340">
      <formula>AND($R$46,$S$46)</formula>
    </cfRule>
  </conditionalFormatting>
  <conditionalFormatting sqref="W52">
    <cfRule type="expression" dxfId="5222" priority="333">
      <formula>OR($T$52 = TRUE, AND($W$52 = TRUE, $S$52 = FALSE))</formula>
    </cfRule>
    <cfRule type="expression" dxfId="5221" priority="334">
      <formula>$S$52 = FALSE</formula>
    </cfRule>
    <cfRule type="expression" dxfId="5220" priority="335">
      <formula>AND(IF($R$52,$W$52,TRUE),LEN(TRIM($W$52))&gt;0)</formula>
    </cfRule>
    <cfRule type="expression" dxfId="5219" priority="336">
      <formula>AND($R$52,$S$52)</formula>
    </cfRule>
  </conditionalFormatting>
  <conditionalFormatting sqref="W53">
    <cfRule type="expression" dxfId="5218" priority="329">
      <formula>OR($T$53 = TRUE, AND($W$53 = TRUE, $S$53 = FALSE))</formula>
    </cfRule>
    <cfRule type="expression" dxfId="5217" priority="330">
      <formula>$S$53 = FALSE</formula>
    </cfRule>
    <cfRule type="expression" dxfId="5216" priority="331">
      <formula>AND(IF($R$53,$W$53,TRUE),LEN(TRIM($W$53))&gt;0)</formula>
    </cfRule>
    <cfRule type="expression" dxfId="5215" priority="332">
      <formula>AND($R$53,$S$53)</formula>
    </cfRule>
  </conditionalFormatting>
  <conditionalFormatting sqref="W54">
    <cfRule type="expression" dxfId="5214" priority="325">
      <formula>OR($T$54 = TRUE, AND($W$54 = TRUE, $S$54 = FALSE))</formula>
    </cfRule>
    <cfRule type="expression" dxfId="5213" priority="326">
      <formula>$S$54 = FALSE</formula>
    </cfRule>
    <cfRule type="expression" dxfId="5212" priority="327">
      <formula>AND(IF($R$54,$W$54,TRUE),LEN(TRIM($W$54))&gt;0)</formula>
    </cfRule>
    <cfRule type="expression" dxfId="5211" priority="328">
      <formula>AND($R$54,$S$54)</formula>
    </cfRule>
  </conditionalFormatting>
  <conditionalFormatting sqref="W55">
    <cfRule type="expression" dxfId="5210" priority="324">
      <formula>AND($R$55,$S$55)</formula>
    </cfRule>
  </conditionalFormatting>
  <conditionalFormatting sqref="W55">
    <cfRule type="expression" dxfId="5209" priority="323">
      <formula>AND(IF($R$55,$W$55,TRUE),LEN(TRIM($W$55))&gt;0)</formula>
    </cfRule>
  </conditionalFormatting>
  <conditionalFormatting sqref="W55">
    <cfRule type="expression" dxfId="5208" priority="322">
      <formula>$S$55 = FALSE</formula>
    </cfRule>
  </conditionalFormatting>
  <conditionalFormatting sqref="W55">
    <cfRule type="expression" dxfId="5207" priority="321">
      <formula>OR($T$55 = TRUE, AND($W$55 = TRUE, $S$55 = FALSE))</formula>
    </cfRule>
  </conditionalFormatting>
  <conditionalFormatting sqref="W56">
    <cfRule type="expression" dxfId="5206" priority="320">
      <formula>AND($R$56,$S$56)</formula>
    </cfRule>
  </conditionalFormatting>
  <conditionalFormatting sqref="W56">
    <cfRule type="expression" dxfId="5205" priority="319">
      <formula>AND(IF($R$56,$W$56,TRUE),LEN(TRIM($W$56))&gt;0)</formula>
    </cfRule>
  </conditionalFormatting>
  <conditionalFormatting sqref="W56">
    <cfRule type="expression" dxfId="5204" priority="318">
      <formula>$S$56 = FALSE</formula>
    </cfRule>
  </conditionalFormatting>
  <conditionalFormatting sqref="W56">
    <cfRule type="expression" dxfId="5203" priority="317">
      <formula>OR($T$56 = TRUE, AND($W$56 = TRUE, $S$56 = FALSE))</formula>
    </cfRule>
  </conditionalFormatting>
  <conditionalFormatting sqref="W80">
    <cfRule type="expression" dxfId="5202" priority="316">
      <formula>AND($R$80,$S$80)</formula>
    </cfRule>
  </conditionalFormatting>
  <conditionalFormatting sqref="W80">
    <cfRule type="expression" dxfId="5201" priority="315">
      <formula>AND(IF($R$80,$W$80,TRUE),LEN(TRIM($W$80))&gt;0)</formula>
    </cfRule>
  </conditionalFormatting>
  <conditionalFormatting sqref="W80">
    <cfRule type="expression" dxfId="5200" priority="314">
      <formula>$S$80 = FALSE</formula>
    </cfRule>
  </conditionalFormatting>
  <conditionalFormatting sqref="W80">
    <cfRule type="expression" dxfId="5199" priority="313">
      <formula>OR($T$80 = TRUE, AND($W$80 = TRUE, $S$80 = FALSE))</formula>
    </cfRule>
  </conditionalFormatting>
  <conditionalFormatting sqref="W96">
    <cfRule type="expression" dxfId="5198" priority="304">
      <formula>AND($R$96,$S$96)</formula>
    </cfRule>
  </conditionalFormatting>
  <conditionalFormatting sqref="W96">
    <cfRule type="expression" dxfId="5197" priority="303">
      <formula>AND(IF($R$96,$W$96,TRUE),LEN(TRIM($W$96))&gt;0)</formula>
    </cfRule>
  </conditionalFormatting>
  <conditionalFormatting sqref="W96">
    <cfRule type="expression" dxfId="5196" priority="302">
      <formula>$S$96 = FALSE</formula>
    </cfRule>
  </conditionalFormatting>
  <conditionalFormatting sqref="W96">
    <cfRule type="expression" dxfId="5195" priority="301">
      <formula>OR($T$96 = TRUE, AND($W$96 = TRUE, $S$96 = FALSE))</formula>
    </cfRule>
  </conditionalFormatting>
  <conditionalFormatting sqref="W100">
    <cfRule type="expression" dxfId="5194" priority="300">
      <formula>AND($R$100,$S$100)</formula>
    </cfRule>
  </conditionalFormatting>
  <conditionalFormatting sqref="W100">
    <cfRule type="expression" dxfId="5193" priority="299">
      <formula>AND(IF($R$100,$W$100,TRUE),LEN(TRIM($W$100))&gt;0)</formula>
    </cfRule>
  </conditionalFormatting>
  <conditionalFormatting sqref="W100">
    <cfRule type="expression" dxfId="5192" priority="298">
      <formula>$S$100 = FALSE</formula>
    </cfRule>
  </conditionalFormatting>
  <conditionalFormatting sqref="W100">
    <cfRule type="expression" dxfId="5191" priority="297">
      <formula>OR($T$100 = TRUE, AND($W$100 = TRUE, $S$100 = FALSE))</formula>
    </cfRule>
  </conditionalFormatting>
  <conditionalFormatting sqref="W101">
    <cfRule type="expression" dxfId="5190" priority="296">
      <formula>AND($R$101,$S$101)</formula>
    </cfRule>
  </conditionalFormatting>
  <conditionalFormatting sqref="W101">
    <cfRule type="expression" dxfId="5189" priority="295">
      <formula>AND(IF($R$101,$W$101,TRUE),LEN(TRIM($W$101))&gt;0)</formula>
    </cfRule>
  </conditionalFormatting>
  <conditionalFormatting sqref="W101">
    <cfRule type="expression" dxfId="5188" priority="294">
      <formula>$S$101 = FALSE</formula>
    </cfRule>
  </conditionalFormatting>
  <conditionalFormatting sqref="W101">
    <cfRule type="expression" dxfId="5187" priority="293">
      <formula>OR($T$101 = TRUE, AND($W$101 = TRUE, $S$101 = FALSE))</formula>
    </cfRule>
  </conditionalFormatting>
  <conditionalFormatting sqref="W103">
    <cfRule type="expression" dxfId="5186" priority="292">
      <formula>AND($R$103,$S$103)</formula>
    </cfRule>
  </conditionalFormatting>
  <conditionalFormatting sqref="W103">
    <cfRule type="expression" dxfId="5185" priority="291">
      <formula>AND(IF($R$103,$W$103,TRUE),LEN(TRIM($W$103))&gt;0)</formula>
    </cfRule>
  </conditionalFormatting>
  <conditionalFormatting sqref="W103">
    <cfRule type="expression" dxfId="5184" priority="290">
      <formula>$S$103 = FALSE</formula>
    </cfRule>
  </conditionalFormatting>
  <conditionalFormatting sqref="W103">
    <cfRule type="expression" dxfId="5183" priority="289">
      <formula>OR($T$103 = TRUE, AND($W$103 = TRUE, $S$103 = FALSE))</formula>
    </cfRule>
  </conditionalFormatting>
  <conditionalFormatting sqref="W105">
    <cfRule type="expression" dxfId="5182" priority="288">
      <formula>AND($R$105,$S$105)</formula>
    </cfRule>
  </conditionalFormatting>
  <conditionalFormatting sqref="W105">
    <cfRule type="expression" dxfId="5181" priority="287">
      <formula>AND(IF($R$105,$W$105,TRUE),LEN(TRIM($W$105))&gt;0)</formula>
    </cfRule>
  </conditionalFormatting>
  <conditionalFormatting sqref="W105">
    <cfRule type="expression" dxfId="5180" priority="286">
      <formula>$S$105 = FALSE</formula>
    </cfRule>
  </conditionalFormatting>
  <conditionalFormatting sqref="W105">
    <cfRule type="expression" dxfId="5179" priority="285">
      <formula>OR($T$105 = TRUE, AND($W$105 = TRUE, $S$105 = FALSE))</formula>
    </cfRule>
  </conditionalFormatting>
  <conditionalFormatting sqref="W111">
    <cfRule type="expression" dxfId="5178" priority="284">
      <formula>AND($R$111,$S$111)</formula>
    </cfRule>
  </conditionalFormatting>
  <conditionalFormatting sqref="W111">
    <cfRule type="expression" dxfId="5177" priority="283">
      <formula>AND(IF($R$111,$W$111,TRUE),LEN(TRIM($W$111))&gt;0)</formula>
    </cfRule>
  </conditionalFormatting>
  <conditionalFormatting sqref="W111">
    <cfRule type="expression" dxfId="5176" priority="282">
      <formula>$S$111 = FALSE</formula>
    </cfRule>
  </conditionalFormatting>
  <conditionalFormatting sqref="W111">
    <cfRule type="expression" dxfId="5175" priority="281">
      <formula>OR($T$111 = TRUE, AND($W$111 = TRUE, $S$111 = FALSE))</formula>
    </cfRule>
  </conditionalFormatting>
  <conditionalFormatting sqref="W117">
    <cfRule type="expression" dxfId="5174" priority="280">
      <formula>AND($R$117,$S$117)</formula>
    </cfRule>
  </conditionalFormatting>
  <conditionalFormatting sqref="W117">
    <cfRule type="expression" dxfId="5173" priority="279">
      <formula>AND(IF($R$117,$W$117,TRUE),LEN(TRIM($W$117))&gt;0)</formula>
    </cfRule>
  </conditionalFormatting>
  <conditionalFormatting sqref="W117">
    <cfRule type="expression" dxfId="5172" priority="278">
      <formula>$S$117 = FALSE</formula>
    </cfRule>
  </conditionalFormatting>
  <conditionalFormatting sqref="W117">
    <cfRule type="expression" dxfId="5171" priority="277">
      <formula>OR($T$117 = TRUE, AND($W$117 = TRUE, $S$117 = FALSE))</formula>
    </cfRule>
  </conditionalFormatting>
  <conditionalFormatting sqref="W123">
    <cfRule type="expression" dxfId="5170" priority="276">
      <formula>AND($R$123,$S$123)</formula>
    </cfRule>
  </conditionalFormatting>
  <conditionalFormatting sqref="W123">
    <cfRule type="expression" dxfId="5169" priority="275">
      <formula>AND(IF($R$123,$W$123,TRUE),LEN(TRIM($W$123))&gt;0)</formula>
    </cfRule>
  </conditionalFormatting>
  <conditionalFormatting sqref="W123">
    <cfRule type="expression" dxfId="5168" priority="274">
      <formula>$S$123 = FALSE</formula>
    </cfRule>
  </conditionalFormatting>
  <conditionalFormatting sqref="W123">
    <cfRule type="expression" dxfId="5167" priority="273">
      <formula>OR($T$123 = TRUE, AND($W$123 = TRUE, $S$123 = FALSE))</formula>
    </cfRule>
  </conditionalFormatting>
  <conditionalFormatting sqref="W125">
    <cfRule type="expression" dxfId="5166" priority="272">
      <formula>AND($R$125,$S$125)</formula>
    </cfRule>
  </conditionalFormatting>
  <conditionalFormatting sqref="W125">
    <cfRule type="expression" dxfId="5165" priority="271">
      <formula>AND(IF($R$125,$W$125,TRUE),LEN(TRIM($W$125))&gt;0)</formula>
    </cfRule>
  </conditionalFormatting>
  <conditionalFormatting sqref="W125">
    <cfRule type="expression" dxfId="5164" priority="270">
      <formula>$S$125 = FALSE</formula>
    </cfRule>
  </conditionalFormatting>
  <conditionalFormatting sqref="W125">
    <cfRule type="expression" dxfId="5163" priority="269">
      <formula>OR($T$125 = TRUE, AND($W$125 = TRUE, $S$125 = FALSE))</formula>
    </cfRule>
  </conditionalFormatting>
  <conditionalFormatting sqref="W131">
    <cfRule type="expression" dxfId="5162" priority="268">
      <formula>AND($R$131,$S$131)</formula>
    </cfRule>
  </conditionalFormatting>
  <conditionalFormatting sqref="W131">
    <cfRule type="expression" dxfId="5161" priority="267">
      <formula>AND(IF($R$131,$W$131,TRUE),LEN(TRIM($W$131))&gt;0)</formula>
    </cfRule>
  </conditionalFormatting>
  <conditionalFormatting sqref="W131">
    <cfRule type="expression" dxfId="5160" priority="266">
      <formula>$S$131 = FALSE</formula>
    </cfRule>
  </conditionalFormatting>
  <conditionalFormatting sqref="W131">
    <cfRule type="expression" dxfId="5159" priority="265">
      <formula>OR($T$131 = TRUE, AND($W$131 = TRUE, $S$131 = FALSE))</formula>
    </cfRule>
  </conditionalFormatting>
  <conditionalFormatting sqref="W135">
    <cfRule type="expression" dxfId="5158" priority="264">
      <formula>AND($R$135,$S$135)</formula>
    </cfRule>
  </conditionalFormatting>
  <conditionalFormatting sqref="W135">
    <cfRule type="expression" dxfId="5157" priority="263">
      <formula>AND(IF($R$135,$W$135,TRUE),LEN(TRIM($W$135))&gt;0)</formula>
    </cfRule>
  </conditionalFormatting>
  <conditionalFormatting sqref="W135">
    <cfRule type="expression" dxfId="5156" priority="262">
      <formula>$S$135 = FALSE</formula>
    </cfRule>
  </conditionalFormatting>
  <conditionalFormatting sqref="W135">
    <cfRule type="expression" dxfId="5155" priority="261">
      <formula>OR($T$135 = TRUE, AND($W$135 = TRUE, $S$135 = FALSE))</formula>
    </cfRule>
  </conditionalFormatting>
  <conditionalFormatting sqref="W139">
    <cfRule type="expression" dxfId="5154" priority="260">
      <formula>AND($R$139,$S$139)</formula>
    </cfRule>
  </conditionalFormatting>
  <conditionalFormatting sqref="W139">
    <cfRule type="expression" dxfId="5153" priority="259">
      <formula>AND(IF($R$139,$W$139,TRUE),LEN(TRIM($W$139))&gt;0)</formula>
    </cfRule>
  </conditionalFormatting>
  <conditionalFormatting sqref="W139">
    <cfRule type="expression" dxfId="5152" priority="258">
      <formula>$S$139 = FALSE</formula>
    </cfRule>
  </conditionalFormatting>
  <conditionalFormatting sqref="W139">
    <cfRule type="expression" dxfId="5151" priority="257">
      <formula>OR($T$139 = TRUE, AND($W$139 = TRUE, $S$139 = FALSE))</formula>
    </cfRule>
  </conditionalFormatting>
  <conditionalFormatting sqref="W144">
    <cfRule type="expression" dxfId="5150" priority="256">
      <formula>AND($R$144,$S$144)</formula>
    </cfRule>
  </conditionalFormatting>
  <conditionalFormatting sqref="W144">
    <cfRule type="expression" dxfId="5149" priority="255">
      <formula>AND(IF($R$144,$W$144,TRUE),LEN(TRIM($W$144))&gt;0)</formula>
    </cfRule>
  </conditionalFormatting>
  <conditionalFormatting sqref="W144">
    <cfRule type="expression" dxfId="5148" priority="254">
      <formula>$S$144 = FALSE</formula>
    </cfRule>
  </conditionalFormatting>
  <conditionalFormatting sqref="W144">
    <cfRule type="expression" dxfId="5147" priority="253">
      <formula>OR($T$144 = TRUE, AND($W$144 = TRUE, $S$144 = FALSE))</formula>
    </cfRule>
  </conditionalFormatting>
  <conditionalFormatting sqref="W149">
    <cfRule type="expression" dxfId="5146" priority="252">
      <formula>AND($R$149,$S$149)</formula>
    </cfRule>
  </conditionalFormatting>
  <conditionalFormatting sqref="W149">
    <cfRule type="expression" dxfId="5145" priority="251">
      <formula>AND(IF($R$149,$W$149,TRUE),LEN(TRIM($W$149))&gt;0)</formula>
    </cfRule>
  </conditionalFormatting>
  <conditionalFormatting sqref="W149">
    <cfRule type="expression" dxfId="5144" priority="250">
      <formula>$S$149 = FALSE</formula>
    </cfRule>
  </conditionalFormatting>
  <conditionalFormatting sqref="W149">
    <cfRule type="expression" dxfId="5143" priority="249">
      <formula>OR($T$149 = TRUE, AND($W$149 = TRUE, $S$149 = FALSE))</formula>
    </cfRule>
  </conditionalFormatting>
  <conditionalFormatting sqref="W151">
    <cfRule type="expression" dxfId="5142" priority="248">
      <formula>AND($R$151,$S$151)</formula>
    </cfRule>
  </conditionalFormatting>
  <conditionalFormatting sqref="W151">
    <cfRule type="expression" dxfId="5141" priority="247">
      <formula>AND(IF($R$151,$W$151,TRUE),LEN(TRIM($W$151))&gt;0)</formula>
    </cfRule>
  </conditionalFormatting>
  <conditionalFormatting sqref="W151">
    <cfRule type="expression" dxfId="5140" priority="246">
      <formula>$S$151 = FALSE</formula>
    </cfRule>
  </conditionalFormatting>
  <conditionalFormatting sqref="W151">
    <cfRule type="expression" dxfId="5139" priority="245">
      <formula>OR($T$151 = TRUE, AND($W$151 = TRUE, $S$151 = FALSE))</formula>
    </cfRule>
  </conditionalFormatting>
  <conditionalFormatting sqref="W153">
    <cfRule type="expression" dxfId="5138" priority="244">
      <formula>AND($R$153,$S$153)</formula>
    </cfRule>
  </conditionalFormatting>
  <conditionalFormatting sqref="W153">
    <cfRule type="expression" dxfId="5137" priority="243">
      <formula>AND(IF($R$153,$W$153,TRUE),LEN(TRIM($W$153))&gt;0)</formula>
    </cfRule>
  </conditionalFormatting>
  <conditionalFormatting sqref="W153">
    <cfRule type="expression" dxfId="5136" priority="242">
      <formula>$S$153 = FALSE</formula>
    </cfRule>
  </conditionalFormatting>
  <conditionalFormatting sqref="W153">
    <cfRule type="expression" dxfId="5135" priority="241">
      <formula>OR($T$153 = TRUE, AND($W$153 = TRUE, $S$153 = FALSE))</formula>
    </cfRule>
  </conditionalFormatting>
  <conditionalFormatting sqref="W165">
    <cfRule type="expression" dxfId="5134" priority="240">
      <formula>AND($R$165,$S$165)</formula>
    </cfRule>
  </conditionalFormatting>
  <conditionalFormatting sqref="W165">
    <cfRule type="expression" dxfId="5133" priority="239">
      <formula>AND(IF($R$165,$W$165,TRUE),LEN(TRIM($W$165))&gt;0)</formula>
    </cfRule>
  </conditionalFormatting>
  <conditionalFormatting sqref="W165">
    <cfRule type="expression" dxfId="5132" priority="238">
      <formula>$S$165 = FALSE</formula>
    </cfRule>
  </conditionalFormatting>
  <conditionalFormatting sqref="W165">
    <cfRule type="expression" dxfId="5131" priority="237">
      <formula>OR($T$165 = TRUE, AND($W$165 = TRUE, $S$165 = FALSE))</formula>
    </cfRule>
  </conditionalFormatting>
  <conditionalFormatting sqref="W175">
    <cfRule type="expression" dxfId="5130" priority="236">
      <formula>AND($R$175,$S$175)</formula>
    </cfRule>
  </conditionalFormatting>
  <conditionalFormatting sqref="W175">
    <cfRule type="expression" dxfId="5129" priority="235">
      <formula>AND(IF($R$175,$W$175,TRUE),LEN(TRIM($W$175))&gt;0)</formula>
    </cfRule>
  </conditionalFormatting>
  <conditionalFormatting sqref="W175">
    <cfRule type="expression" dxfId="5128" priority="234">
      <formula>$S$175 = FALSE</formula>
    </cfRule>
  </conditionalFormatting>
  <conditionalFormatting sqref="W175">
    <cfRule type="expression" dxfId="5127" priority="233">
      <formula>OR($T$175 = TRUE, AND($W$175 = TRUE, $S$175 = FALSE))</formula>
    </cfRule>
  </conditionalFormatting>
  <conditionalFormatting sqref="W178">
    <cfRule type="expression" dxfId="5126" priority="232">
      <formula>AND($R$178,$S$178)</formula>
    </cfRule>
  </conditionalFormatting>
  <conditionalFormatting sqref="W178">
    <cfRule type="expression" dxfId="5125" priority="231">
      <formula>AND(IF($R$178,$W$178,TRUE),LEN(TRIM($W$178))&gt;0)</formula>
    </cfRule>
  </conditionalFormatting>
  <conditionalFormatting sqref="W178">
    <cfRule type="expression" dxfId="5124" priority="230">
      <formula>$S$178 = FALSE</formula>
    </cfRule>
  </conditionalFormatting>
  <conditionalFormatting sqref="W178">
    <cfRule type="expression" dxfId="5123" priority="229">
      <formula>OR($T$178 = TRUE, AND($W$178 = TRUE, $S$178 = FALSE))</formula>
    </cfRule>
  </conditionalFormatting>
  <conditionalFormatting sqref="W179">
    <cfRule type="expression" dxfId="5122" priority="228">
      <formula>AND($R$179,$S$179)</formula>
    </cfRule>
  </conditionalFormatting>
  <conditionalFormatting sqref="W179">
    <cfRule type="expression" dxfId="5121" priority="227">
      <formula>AND(IF($R$179,$W$179,TRUE),LEN(TRIM($W$179))&gt;0)</formula>
    </cfRule>
  </conditionalFormatting>
  <conditionalFormatting sqref="W179">
    <cfRule type="expression" dxfId="5120" priority="226">
      <formula>$S$179 = FALSE</formula>
    </cfRule>
  </conditionalFormatting>
  <conditionalFormatting sqref="W179">
    <cfRule type="expression" dxfId="5119" priority="225">
      <formula>OR($T$179 = TRUE, AND($W$179 = TRUE, $S$179 = FALSE))</formula>
    </cfRule>
  </conditionalFormatting>
  <conditionalFormatting sqref="W189">
    <cfRule type="expression" dxfId="5118" priority="224">
      <formula>AND($R$189,$S$189)</formula>
    </cfRule>
  </conditionalFormatting>
  <conditionalFormatting sqref="W189">
    <cfRule type="expression" dxfId="5117" priority="223">
      <formula>AND(IF($R$189,$W$189,TRUE),LEN(TRIM($W$189))&gt;0)</formula>
    </cfRule>
  </conditionalFormatting>
  <conditionalFormatting sqref="W189">
    <cfRule type="expression" dxfId="5116" priority="222">
      <formula>$S$189 = FALSE</formula>
    </cfRule>
  </conditionalFormatting>
  <conditionalFormatting sqref="W189">
    <cfRule type="expression" dxfId="5115" priority="221">
      <formula>OR($T$189 = TRUE, AND($W$189 = TRUE, $S$189 = FALSE))</formula>
    </cfRule>
  </conditionalFormatting>
  <conditionalFormatting sqref="W191">
    <cfRule type="expression" dxfId="5114" priority="220">
      <formula>AND($R$191,$S$191)</formula>
    </cfRule>
  </conditionalFormatting>
  <conditionalFormatting sqref="W191">
    <cfRule type="expression" dxfId="5113" priority="219">
      <formula>AND(IF($R$191,$W$191,TRUE),LEN(TRIM($W$191))&gt;0)</formula>
    </cfRule>
  </conditionalFormatting>
  <conditionalFormatting sqref="W191">
    <cfRule type="expression" dxfId="5112" priority="218">
      <formula>$S$191 = FALSE</formula>
    </cfRule>
  </conditionalFormatting>
  <conditionalFormatting sqref="W191">
    <cfRule type="expression" dxfId="5111" priority="217">
      <formula>OR($T$191 = TRUE, AND($W$191 = TRUE, $S$191 = FALSE))</formula>
    </cfRule>
  </conditionalFormatting>
  <conditionalFormatting sqref="W207">
    <cfRule type="expression" dxfId="5110" priority="216">
      <formula>AND($R$207,$S$207)</formula>
    </cfRule>
  </conditionalFormatting>
  <conditionalFormatting sqref="W207">
    <cfRule type="expression" dxfId="5109" priority="215">
      <formula>AND(IF($R$207,$W$207,TRUE),LEN(TRIM($W$207))&gt;0)</formula>
    </cfRule>
  </conditionalFormatting>
  <conditionalFormatting sqref="W207">
    <cfRule type="expression" dxfId="5108" priority="214">
      <formula>$S$207 = FALSE</formula>
    </cfRule>
  </conditionalFormatting>
  <conditionalFormatting sqref="W207">
    <cfRule type="expression" dxfId="5107" priority="213">
      <formula>OR($T$207 = TRUE, AND($W$207 = TRUE, $S$207 = FALSE))</formula>
    </cfRule>
  </conditionalFormatting>
  <conditionalFormatting sqref="W218">
    <cfRule type="expression" dxfId="5106" priority="212">
      <formula>AND($R$218,$S$218)</formula>
    </cfRule>
  </conditionalFormatting>
  <conditionalFormatting sqref="W218">
    <cfRule type="expression" dxfId="5105" priority="211">
      <formula>AND(IF($R$218,$W$218,TRUE),LEN(TRIM($W$218))&gt;0)</formula>
    </cfRule>
  </conditionalFormatting>
  <conditionalFormatting sqref="W218">
    <cfRule type="expression" dxfId="5104" priority="210">
      <formula>$S$218 = FALSE</formula>
    </cfRule>
  </conditionalFormatting>
  <conditionalFormatting sqref="W218">
    <cfRule type="expression" dxfId="5103" priority="209">
      <formula>OR($T$218 = TRUE, AND($W$218 = TRUE, $S$218 = FALSE))</formula>
    </cfRule>
  </conditionalFormatting>
  <conditionalFormatting sqref="W219">
    <cfRule type="expression" dxfId="5102" priority="208">
      <formula>AND($R$219,$S$219)</formula>
    </cfRule>
  </conditionalFormatting>
  <conditionalFormatting sqref="W219">
    <cfRule type="expression" dxfId="5101" priority="207">
      <formula>AND(IF($R$219,$W$219,TRUE),LEN(TRIM($W$219))&gt;0)</formula>
    </cfRule>
  </conditionalFormatting>
  <conditionalFormatting sqref="W219">
    <cfRule type="expression" dxfId="5100" priority="206">
      <formula>$S$219 = FALSE</formula>
    </cfRule>
  </conditionalFormatting>
  <conditionalFormatting sqref="W219">
    <cfRule type="expression" dxfId="5099" priority="205">
      <formula>OR($T$219 = TRUE, AND($W$219 = TRUE, $S$219 = FALSE))</formula>
    </cfRule>
  </conditionalFormatting>
  <conditionalFormatting sqref="W227">
    <cfRule type="expression" dxfId="5098" priority="204">
      <formula>AND($R$227,$S$227)</formula>
    </cfRule>
  </conditionalFormatting>
  <conditionalFormatting sqref="W227">
    <cfRule type="expression" dxfId="5097" priority="203">
      <formula>AND(IF($R$227,$W$227,TRUE),LEN(TRIM($W$227))&gt;0)</formula>
    </cfRule>
  </conditionalFormatting>
  <conditionalFormatting sqref="W227">
    <cfRule type="expression" dxfId="5096" priority="202">
      <formula>$S$227 = FALSE</formula>
    </cfRule>
  </conditionalFormatting>
  <conditionalFormatting sqref="W227">
    <cfRule type="expression" dxfId="5095" priority="201">
      <formula>OR($T$227 = TRUE, AND($W$227 = TRUE, $S$227 = FALSE))</formula>
    </cfRule>
  </conditionalFormatting>
  <conditionalFormatting sqref="W229">
    <cfRule type="expression" dxfId="5094" priority="200">
      <formula>AND($R$229,$S$229)</formula>
    </cfRule>
  </conditionalFormatting>
  <conditionalFormatting sqref="W229">
    <cfRule type="expression" dxfId="5093" priority="199">
      <formula>AND(IF($R$229,$W$229,TRUE),LEN(TRIM($W$229))&gt;0)</formula>
    </cfRule>
  </conditionalFormatting>
  <conditionalFormatting sqref="W229">
    <cfRule type="expression" dxfId="5092" priority="198">
      <formula>$S$229 = FALSE</formula>
    </cfRule>
  </conditionalFormatting>
  <conditionalFormatting sqref="W229">
    <cfRule type="expression" dxfId="5091" priority="197">
      <formula>OR($T$229 = TRUE, AND($W$229 = TRUE, $S$229 = FALSE))</formula>
    </cfRule>
  </conditionalFormatting>
  <conditionalFormatting sqref="W230">
    <cfRule type="expression" dxfId="5090" priority="196">
      <formula>AND($R$230,$S$230)</formula>
    </cfRule>
  </conditionalFormatting>
  <conditionalFormatting sqref="W230">
    <cfRule type="expression" dxfId="5089" priority="195">
      <formula>AND(IF($R$230,$W$230,TRUE),LEN(TRIM($W$230))&gt;0)</formula>
    </cfRule>
  </conditionalFormatting>
  <conditionalFormatting sqref="W230">
    <cfRule type="expression" dxfId="5088" priority="194">
      <formula>$S$230 = FALSE</formula>
    </cfRule>
  </conditionalFormatting>
  <conditionalFormatting sqref="W230">
    <cfRule type="expression" dxfId="5087" priority="193">
      <formula>OR($T$230 = TRUE, AND($W$230 = TRUE, $S$230 = FALSE))</formula>
    </cfRule>
  </conditionalFormatting>
  <conditionalFormatting sqref="W233">
    <cfRule type="expression" dxfId="5086" priority="192">
      <formula>AND($R$233,$S$233)</formula>
    </cfRule>
  </conditionalFormatting>
  <conditionalFormatting sqref="W233">
    <cfRule type="expression" dxfId="5085" priority="191">
      <formula>AND(IF($R$233,$W$233,TRUE),LEN(TRIM($W$233))&gt;0)</formula>
    </cfRule>
  </conditionalFormatting>
  <conditionalFormatting sqref="W233">
    <cfRule type="expression" dxfId="5084" priority="190">
      <formula>$S$233 = FALSE</formula>
    </cfRule>
  </conditionalFormatting>
  <conditionalFormatting sqref="W233">
    <cfRule type="expression" dxfId="5083" priority="189">
      <formula>OR($T$233 = TRUE, AND($W$233 = TRUE, $S$233 = FALSE))</formula>
    </cfRule>
  </conditionalFormatting>
  <conditionalFormatting sqref="W237">
    <cfRule type="expression" dxfId="5082" priority="188">
      <formula>AND($R$237,$S$237)</formula>
    </cfRule>
  </conditionalFormatting>
  <conditionalFormatting sqref="W237">
    <cfRule type="expression" dxfId="5081" priority="187">
      <formula>AND(IF($R$237,$W$237,TRUE),LEN(TRIM($W$237))&gt;0)</formula>
    </cfRule>
  </conditionalFormatting>
  <conditionalFormatting sqref="W237">
    <cfRule type="expression" dxfId="5080" priority="186">
      <formula>$S$237 = FALSE</formula>
    </cfRule>
  </conditionalFormatting>
  <conditionalFormatting sqref="W237">
    <cfRule type="expression" dxfId="5079" priority="185">
      <formula>OR($T$237 = TRUE, AND($W$237 = TRUE, $S$237 = FALSE))</formula>
    </cfRule>
  </conditionalFormatting>
  <conditionalFormatting sqref="W242">
    <cfRule type="expression" dxfId="5078" priority="184">
      <formula>AND($R$242,$S$242)</formula>
    </cfRule>
  </conditionalFormatting>
  <conditionalFormatting sqref="W242">
    <cfRule type="expression" dxfId="5077" priority="183">
      <formula>AND(IF($R$242,$W$242,TRUE),LEN(TRIM($W$242))&gt;0)</formula>
    </cfRule>
  </conditionalFormatting>
  <conditionalFormatting sqref="W242">
    <cfRule type="expression" dxfId="5076" priority="182">
      <formula>$S$242 = FALSE</formula>
    </cfRule>
  </conditionalFormatting>
  <conditionalFormatting sqref="W242">
    <cfRule type="expression" dxfId="5075" priority="181">
      <formula>OR($T$242 = TRUE, AND($W$242 = TRUE, $S$242 = FALSE))</formula>
    </cfRule>
  </conditionalFormatting>
  <conditionalFormatting sqref="W244">
    <cfRule type="expression" dxfId="5074" priority="180">
      <formula>AND($R$244,$S$244)</formula>
    </cfRule>
  </conditionalFormatting>
  <conditionalFormatting sqref="W244">
    <cfRule type="expression" dxfId="5073" priority="179">
      <formula>AND(IF($R$244,$W$244,TRUE),LEN(TRIM($W$244))&gt;0)</formula>
    </cfRule>
  </conditionalFormatting>
  <conditionalFormatting sqref="W244">
    <cfRule type="expression" dxfId="5072" priority="178">
      <formula>$S$244 = FALSE</formula>
    </cfRule>
  </conditionalFormatting>
  <conditionalFormatting sqref="W244">
    <cfRule type="expression" dxfId="5071" priority="177">
      <formula>OR($T$244 = TRUE, AND($W$244 = TRUE, $S$244 = FALSE))</formula>
    </cfRule>
  </conditionalFormatting>
  <conditionalFormatting sqref="W261">
    <cfRule type="expression" dxfId="5070" priority="176">
      <formula>AND($R$261,$S$261)</formula>
    </cfRule>
  </conditionalFormatting>
  <conditionalFormatting sqref="W261">
    <cfRule type="expression" dxfId="5069" priority="175">
      <formula>AND(IF($R$261,$W$261,TRUE),LEN(TRIM($W$261))&gt;0)</formula>
    </cfRule>
  </conditionalFormatting>
  <conditionalFormatting sqref="W261">
    <cfRule type="expression" dxfId="5068" priority="174">
      <formula>$S$261 = FALSE</formula>
    </cfRule>
  </conditionalFormatting>
  <conditionalFormatting sqref="W261">
    <cfRule type="expression" dxfId="5067" priority="173">
      <formula>OR($T$261 = TRUE, AND($W$261 = TRUE, $S$261 = FALSE))</formula>
    </cfRule>
  </conditionalFormatting>
  <conditionalFormatting sqref="W278">
    <cfRule type="expression" dxfId="5066" priority="172">
      <formula>AND($R$278,$S$278)</formula>
    </cfRule>
  </conditionalFormatting>
  <conditionalFormatting sqref="W278">
    <cfRule type="expression" dxfId="5065" priority="171">
      <formula>AND(IF($R$278,$W$278,TRUE),LEN(TRIM($W$278))&gt;0)</formula>
    </cfRule>
  </conditionalFormatting>
  <conditionalFormatting sqref="W278">
    <cfRule type="expression" dxfId="5064" priority="170">
      <formula>$S$278 = FALSE</formula>
    </cfRule>
  </conditionalFormatting>
  <conditionalFormatting sqref="W278">
    <cfRule type="expression" dxfId="5063" priority="169">
      <formula>OR($T$278 = TRUE, AND($W$278 = TRUE, $S$278 = FALSE))</formula>
    </cfRule>
  </conditionalFormatting>
  <conditionalFormatting sqref="W291">
    <cfRule type="expression" dxfId="5062" priority="168">
      <formula>AND($R$291,$S$291)</formula>
    </cfRule>
  </conditionalFormatting>
  <conditionalFormatting sqref="W291">
    <cfRule type="expression" dxfId="5061" priority="167">
      <formula>AND(IF($R$291,$W$291,TRUE),LEN(TRIM($W$291))&gt;0)</formula>
    </cfRule>
  </conditionalFormatting>
  <conditionalFormatting sqref="W291">
    <cfRule type="expression" dxfId="5060" priority="166">
      <formula>$S$291 = FALSE</formula>
    </cfRule>
  </conditionalFormatting>
  <conditionalFormatting sqref="W291">
    <cfRule type="expression" dxfId="5059" priority="165">
      <formula>OR($T$291 = TRUE, AND($W$291 = TRUE, $S$291 = FALSE))</formula>
    </cfRule>
  </conditionalFormatting>
  <conditionalFormatting sqref="W293">
    <cfRule type="expression" dxfId="5058" priority="164">
      <formula>AND($R$293,$S$293)</formula>
    </cfRule>
  </conditionalFormatting>
  <conditionalFormatting sqref="W293">
    <cfRule type="expression" dxfId="5057" priority="163">
      <formula>AND(IF($R$293,$W$293,TRUE),LEN(TRIM($W$293))&gt;0)</formula>
    </cfRule>
  </conditionalFormatting>
  <conditionalFormatting sqref="W293">
    <cfRule type="expression" dxfId="5056" priority="162">
      <formula>$S$293 = FALSE</formula>
    </cfRule>
  </conditionalFormatting>
  <conditionalFormatting sqref="W293">
    <cfRule type="expression" dxfId="5055" priority="161">
      <formula>OR($T$293 = TRUE, AND($W$293 = TRUE, $S$293 = FALSE))</formula>
    </cfRule>
  </conditionalFormatting>
  <conditionalFormatting sqref="W306">
    <cfRule type="expression" dxfId="5054" priority="160">
      <formula>AND($R$306,$S$306)</formula>
    </cfRule>
  </conditionalFormatting>
  <conditionalFormatting sqref="W306">
    <cfRule type="expression" dxfId="5053" priority="159">
      <formula>AND(IF($R$306,$W$306,TRUE),LEN(TRIM($W$306))&gt;0)</formula>
    </cfRule>
  </conditionalFormatting>
  <conditionalFormatting sqref="W306">
    <cfRule type="expression" dxfId="5052" priority="158">
      <formula>$S$306 = FALSE</formula>
    </cfRule>
  </conditionalFormatting>
  <conditionalFormatting sqref="W306">
    <cfRule type="expression" dxfId="5051" priority="157">
      <formula>OR($T$306 = TRUE, AND($W$306 = TRUE, $S$306 = FALSE))</formula>
    </cfRule>
  </conditionalFormatting>
  <conditionalFormatting sqref="W307">
    <cfRule type="expression" dxfId="5050" priority="156">
      <formula>AND($R$307,$S$307)</formula>
    </cfRule>
  </conditionalFormatting>
  <conditionalFormatting sqref="W307">
    <cfRule type="expression" dxfId="5049" priority="155">
      <formula>AND(IF($R$307,$W$307,TRUE),LEN(TRIM($W$307))&gt;0)</formula>
    </cfRule>
  </conditionalFormatting>
  <conditionalFormatting sqref="W307">
    <cfRule type="expression" dxfId="5048" priority="154">
      <formula>$S$307 = FALSE</formula>
    </cfRule>
  </conditionalFormatting>
  <conditionalFormatting sqref="W307">
    <cfRule type="expression" dxfId="5047" priority="153">
      <formula>OR($T$307 = TRUE, AND($W$307 = TRUE, $S$307 = FALSE))</formula>
    </cfRule>
  </conditionalFormatting>
  <conditionalFormatting sqref="W308">
    <cfRule type="expression" dxfId="5046" priority="152">
      <formula>AND($R$308,$S$308)</formula>
    </cfRule>
  </conditionalFormatting>
  <conditionalFormatting sqref="W308">
    <cfRule type="expression" dxfId="5045" priority="151">
      <formula>AND(IF($R$308,$W$308,TRUE),LEN(TRIM($W$308))&gt;0)</formula>
    </cfRule>
  </conditionalFormatting>
  <conditionalFormatting sqref="W308">
    <cfRule type="expression" dxfId="5044" priority="150">
      <formula>$S$308 = FALSE</formula>
    </cfRule>
  </conditionalFormatting>
  <conditionalFormatting sqref="W308">
    <cfRule type="expression" dxfId="5043" priority="149">
      <formula>OR($T$308 = TRUE, AND($W$308 = TRUE, $S$308 = FALSE))</formula>
    </cfRule>
  </conditionalFormatting>
  <conditionalFormatting sqref="W309">
    <cfRule type="expression" dxfId="5042" priority="148">
      <formula>AND($R$309,$S$309)</formula>
    </cfRule>
  </conditionalFormatting>
  <conditionalFormatting sqref="W309">
    <cfRule type="expression" dxfId="5041" priority="147">
      <formula>AND(IF($R$309,$W$309,TRUE),LEN(TRIM($W$309))&gt;0)</formula>
    </cfRule>
  </conditionalFormatting>
  <conditionalFormatting sqref="W309">
    <cfRule type="expression" dxfId="5040" priority="146">
      <formula>$S$309 = FALSE</formula>
    </cfRule>
  </conditionalFormatting>
  <conditionalFormatting sqref="W309">
    <cfRule type="expression" dxfId="5039" priority="145">
      <formula>OR($T$309 = TRUE, AND($W$309 = TRUE, $S$309 = FALSE))</formula>
    </cfRule>
  </conditionalFormatting>
  <conditionalFormatting sqref="W310">
    <cfRule type="expression" dxfId="5038" priority="144">
      <formula>AND($R$310,$S$310)</formula>
    </cfRule>
  </conditionalFormatting>
  <conditionalFormatting sqref="W310">
    <cfRule type="expression" dxfId="5037" priority="143">
      <formula>AND(IF($R$310,$W$310,TRUE),LEN(TRIM($W$310))&gt;0)</formula>
    </cfRule>
  </conditionalFormatting>
  <conditionalFormatting sqref="W310">
    <cfRule type="expression" dxfId="5036" priority="142">
      <formula>$S$310 = FALSE</formula>
    </cfRule>
  </conditionalFormatting>
  <conditionalFormatting sqref="W310">
    <cfRule type="expression" dxfId="5035" priority="141">
      <formula>OR($T$310 = TRUE, AND($W$310 = TRUE, $S$310 = FALSE))</formula>
    </cfRule>
  </conditionalFormatting>
  <conditionalFormatting sqref="W311">
    <cfRule type="expression" dxfId="5034" priority="140">
      <formula>AND($R$311,$S$311)</formula>
    </cfRule>
  </conditionalFormatting>
  <conditionalFormatting sqref="W311">
    <cfRule type="expression" dxfId="5033" priority="139">
      <formula>AND(IF($R$311,$W$311,TRUE),LEN(TRIM($W$311))&gt;0)</formula>
    </cfRule>
  </conditionalFormatting>
  <conditionalFormatting sqref="W311">
    <cfRule type="expression" dxfId="5032" priority="138">
      <formula>$S$311 = FALSE</formula>
    </cfRule>
  </conditionalFormatting>
  <conditionalFormatting sqref="W311">
    <cfRule type="expression" dxfId="5031" priority="137">
      <formula>OR($T$311 = TRUE, AND($W$311 = TRUE, $S$311 = FALSE))</formula>
    </cfRule>
  </conditionalFormatting>
  <conditionalFormatting sqref="W312">
    <cfRule type="expression" dxfId="5030" priority="136">
      <formula>AND($R$312,$S$312)</formula>
    </cfRule>
  </conditionalFormatting>
  <conditionalFormatting sqref="W312">
    <cfRule type="expression" dxfId="5029" priority="135">
      <formula>AND(IF($R$312,$W$312,TRUE),LEN(TRIM($W$312))&gt;0)</formula>
    </cfRule>
  </conditionalFormatting>
  <conditionalFormatting sqref="W312">
    <cfRule type="expression" dxfId="5028" priority="134">
      <formula>$S$312 = FALSE</formula>
    </cfRule>
  </conditionalFormatting>
  <conditionalFormatting sqref="W312">
    <cfRule type="expression" dxfId="5027" priority="133">
      <formula>OR($T$312 = TRUE, AND($W$312 = TRUE, $S$312 = FALSE))</formula>
    </cfRule>
  </conditionalFormatting>
  <conditionalFormatting sqref="W313">
    <cfRule type="expression" dxfId="5026" priority="132">
      <formula>AND($R$313,$S$313)</formula>
    </cfRule>
  </conditionalFormatting>
  <conditionalFormatting sqref="W313">
    <cfRule type="expression" dxfId="5025" priority="131">
      <formula>AND(IF($R$313,$W$313,TRUE),LEN(TRIM($W$313))&gt;0)</formula>
    </cfRule>
  </conditionalFormatting>
  <conditionalFormatting sqref="W313">
    <cfRule type="expression" dxfId="5024" priority="130">
      <formula>$S$313 = FALSE</formula>
    </cfRule>
  </conditionalFormatting>
  <conditionalFormatting sqref="W313">
    <cfRule type="expression" dxfId="5023" priority="129">
      <formula>OR($T$313 = TRUE, AND($W$313 = TRUE, $S$313 = FALSE))</formula>
    </cfRule>
  </conditionalFormatting>
  <conditionalFormatting sqref="W314">
    <cfRule type="expression" dxfId="5022" priority="128">
      <formula>AND($R$314,$S$314)</formula>
    </cfRule>
  </conditionalFormatting>
  <conditionalFormatting sqref="W314">
    <cfRule type="expression" dxfId="5021" priority="127">
      <formula>AND(IF($R$314,$W$314,TRUE),LEN(TRIM($W$314))&gt;0)</formula>
    </cfRule>
  </conditionalFormatting>
  <conditionalFormatting sqref="W314">
    <cfRule type="expression" dxfId="5020" priority="126">
      <formula>$S$314 = FALSE</formula>
    </cfRule>
  </conditionalFormatting>
  <conditionalFormatting sqref="W314">
    <cfRule type="expression" dxfId="5019" priority="125">
      <formula>OR($T$314 = TRUE, AND($W$314 = TRUE, $S$314 = FALSE))</formula>
    </cfRule>
  </conditionalFormatting>
  <conditionalFormatting sqref="W365">
    <cfRule type="expression" dxfId="5018" priority="124">
      <formula>AND($R$365,$S$365)</formula>
    </cfRule>
  </conditionalFormatting>
  <conditionalFormatting sqref="W365">
    <cfRule type="expression" dxfId="5017" priority="123">
      <formula>AND(IF($R$365,$W$365,TRUE),LEN(TRIM($W$365))&gt;0)</formula>
    </cfRule>
  </conditionalFormatting>
  <conditionalFormatting sqref="W365">
    <cfRule type="expression" dxfId="5016" priority="122">
      <formula>$S$365 = FALSE</formula>
    </cfRule>
  </conditionalFormatting>
  <conditionalFormatting sqref="W365">
    <cfRule type="expression" dxfId="5015" priority="121">
      <formula>OR($T$365 = TRUE, AND($W$365 = TRUE, $S$365 = FALSE))</formula>
    </cfRule>
  </conditionalFormatting>
  <conditionalFormatting sqref="W370">
    <cfRule type="expression" dxfId="5014" priority="120">
      <formula>AND($R$370,$S$370)</formula>
    </cfRule>
  </conditionalFormatting>
  <conditionalFormatting sqref="W370">
    <cfRule type="expression" dxfId="5013" priority="119">
      <formula>AND(IF($R$370,$W$370,TRUE),LEN(TRIM($W$370))&gt;0)</formula>
    </cfRule>
  </conditionalFormatting>
  <conditionalFormatting sqref="W370">
    <cfRule type="expression" dxfId="5012" priority="118">
      <formula>$S$370 = FALSE</formula>
    </cfRule>
  </conditionalFormatting>
  <conditionalFormatting sqref="W370">
    <cfRule type="expression" dxfId="5011" priority="117">
      <formula>OR($T$370 = TRUE, AND($W$370 = TRUE, $S$370 = FALSE))</formula>
    </cfRule>
  </conditionalFormatting>
  <conditionalFormatting sqref="W376">
    <cfRule type="expression" dxfId="5010" priority="116">
      <formula>AND($R$376,$S$376)</formula>
    </cfRule>
  </conditionalFormatting>
  <conditionalFormatting sqref="W376">
    <cfRule type="expression" dxfId="5009" priority="115">
      <formula>AND(IF($R$376,$W$376,TRUE),LEN(TRIM($W$376))&gt;0)</formula>
    </cfRule>
  </conditionalFormatting>
  <conditionalFormatting sqref="W376">
    <cfRule type="expression" dxfId="5008" priority="114">
      <formula>$S$376 = FALSE</formula>
    </cfRule>
  </conditionalFormatting>
  <conditionalFormatting sqref="W376">
    <cfRule type="expression" dxfId="5007" priority="113">
      <formula>OR($T$376 = TRUE, AND($W$376 = TRUE, $S$376 = FALSE))</formula>
    </cfRule>
  </conditionalFormatting>
  <conditionalFormatting sqref="W409">
    <cfRule type="expression" dxfId="5006" priority="112">
      <formula>AND($R$409,$S$409)</formula>
    </cfRule>
  </conditionalFormatting>
  <conditionalFormatting sqref="W409">
    <cfRule type="expression" dxfId="5005" priority="111">
      <formula>AND(IF($R$409,$W$409,TRUE),LEN(TRIM($W$409))&gt;0)</formula>
    </cfRule>
  </conditionalFormatting>
  <conditionalFormatting sqref="W409">
    <cfRule type="expression" dxfId="5004" priority="110">
      <formula>$S$409 = FALSE</formula>
    </cfRule>
  </conditionalFormatting>
  <conditionalFormatting sqref="W409">
    <cfRule type="expression" dxfId="5003" priority="109">
      <formula>OR($T$409 = TRUE, AND($W$409 = TRUE, $S$409 = FALSE))</formula>
    </cfRule>
  </conditionalFormatting>
  <conditionalFormatting sqref="W418">
    <cfRule type="expression" dxfId="5002" priority="108">
      <formula>AND($R$418,$S$418)</formula>
    </cfRule>
  </conditionalFormatting>
  <conditionalFormatting sqref="W418">
    <cfRule type="expression" dxfId="5001" priority="107">
      <formula>AND(IF($R$418,$W$418,TRUE),LEN(TRIM($W$418))&gt;0)</formula>
    </cfRule>
  </conditionalFormatting>
  <conditionalFormatting sqref="W418">
    <cfRule type="expression" dxfId="5000" priority="106">
      <formula>$S$418 = FALSE</formula>
    </cfRule>
  </conditionalFormatting>
  <conditionalFormatting sqref="W418">
    <cfRule type="expression" dxfId="4999" priority="105">
      <formula>OR($T$418 = TRUE, AND($W$418 = TRUE, $S$418 = FALSE))</formula>
    </cfRule>
  </conditionalFormatting>
  <conditionalFormatting sqref="W426">
    <cfRule type="expression" dxfId="4998" priority="104">
      <formula>AND($R$426,$S$426)</formula>
    </cfRule>
  </conditionalFormatting>
  <conditionalFormatting sqref="W426">
    <cfRule type="expression" dxfId="4997" priority="103">
      <formula>AND(IF($R$426,$W$426,TRUE),LEN(TRIM($W$426))&gt;0)</formula>
    </cfRule>
  </conditionalFormatting>
  <conditionalFormatting sqref="W426">
    <cfRule type="expression" dxfId="4996" priority="102">
      <formula>$S$426 = FALSE</formula>
    </cfRule>
  </conditionalFormatting>
  <conditionalFormatting sqref="W426">
    <cfRule type="expression" dxfId="4995" priority="101">
      <formula>OR($T$426 = TRUE, AND($W$426 = TRUE, $S$426 = FALSE))</formula>
    </cfRule>
  </conditionalFormatting>
  <conditionalFormatting sqref="W506">
    <cfRule type="expression" dxfId="4994" priority="100">
      <formula>AND($R$506,$S$506)</formula>
    </cfRule>
  </conditionalFormatting>
  <conditionalFormatting sqref="W506">
    <cfRule type="expression" dxfId="4993" priority="99">
      <formula>AND(IF($R$506,$W$506,TRUE),LEN(TRIM($W$506))&gt;0)</formula>
    </cfRule>
  </conditionalFormatting>
  <conditionalFormatting sqref="W506">
    <cfRule type="expression" dxfId="4992" priority="98">
      <formula>$S$506 = FALSE</formula>
    </cfRule>
  </conditionalFormatting>
  <conditionalFormatting sqref="W506">
    <cfRule type="expression" dxfId="4991" priority="97">
      <formula>OR($T$506 = TRUE, AND($W$506 = TRUE, $S$506 = FALSE))</formula>
    </cfRule>
  </conditionalFormatting>
  <conditionalFormatting sqref="W507">
    <cfRule type="expression" dxfId="4990" priority="96">
      <formula>AND($R$507,$S$507)</formula>
    </cfRule>
  </conditionalFormatting>
  <conditionalFormatting sqref="W507">
    <cfRule type="expression" dxfId="4989" priority="95">
      <formula>AND(IF($R$507,$W$507,TRUE),LEN(TRIM($W$507))&gt;0)</formula>
    </cfRule>
  </conditionalFormatting>
  <conditionalFormatting sqref="W507">
    <cfRule type="expression" dxfId="4988" priority="94">
      <formula>$S$507 = FALSE</formula>
    </cfRule>
  </conditionalFormatting>
  <conditionalFormatting sqref="W507">
    <cfRule type="expression" dxfId="4987" priority="93">
      <formula>OR($T$507 = TRUE, AND($W$507 = TRUE, $S$507 = FALSE))</formula>
    </cfRule>
  </conditionalFormatting>
  <conditionalFormatting sqref="W509">
    <cfRule type="expression" dxfId="4986" priority="92">
      <formula>AND($R$509,$S$509)</formula>
    </cfRule>
  </conditionalFormatting>
  <conditionalFormatting sqref="W509">
    <cfRule type="expression" dxfId="4985" priority="91">
      <formula>AND(IF($R$509,$W$509,TRUE),LEN(TRIM($W$509))&gt;0)</formula>
    </cfRule>
  </conditionalFormatting>
  <conditionalFormatting sqref="W509">
    <cfRule type="expression" dxfId="4984" priority="90">
      <formula>$S$509 = FALSE</formula>
    </cfRule>
  </conditionalFormatting>
  <conditionalFormatting sqref="W509">
    <cfRule type="expression" dxfId="4983" priority="89">
      <formula>OR($T$509 = TRUE, AND($W$509 = TRUE, $S$509 = FALSE))</formula>
    </cfRule>
  </conditionalFormatting>
  <conditionalFormatting sqref="W511">
    <cfRule type="expression" dxfId="4982" priority="88">
      <formula>AND($R$511,$S$511)</formula>
    </cfRule>
  </conditionalFormatting>
  <conditionalFormatting sqref="W511">
    <cfRule type="expression" dxfId="4981" priority="87">
      <formula>AND(IF($R$511,$W$511,TRUE),LEN(TRIM($W$511))&gt;0)</formula>
    </cfRule>
  </conditionalFormatting>
  <conditionalFormatting sqref="W511">
    <cfRule type="expression" dxfId="4980" priority="86">
      <formula>$S$511 = FALSE</formula>
    </cfRule>
  </conditionalFormatting>
  <conditionalFormatting sqref="W511">
    <cfRule type="expression" dxfId="4979" priority="85">
      <formula>OR($T$511 = TRUE, AND($W$511 = TRUE, $S$511 = FALSE))</formula>
    </cfRule>
  </conditionalFormatting>
  <conditionalFormatting sqref="W513">
    <cfRule type="expression" dxfId="4978" priority="84">
      <formula>AND($R$513,$S$513)</formula>
    </cfRule>
  </conditionalFormatting>
  <conditionalFormatting sqref="W513">
    <cfRule type="expression" dxfId="4977" priority="83">
      <formula>AND(IF($R$513,$W$513,TRUE),LEN(TRIM($W$513))&gt;0)</formula>
    </cfRule>
  </conditionalFormatting>
  <conditionalFormatting sqref="W513">
    <cfRule type="expression" dxfId="4976" priority="82">
      <formula>$S$513 = FALSE</formula>
    </cfRule>
  </conditionalFormatting>
  <conditionalFormatting sqref="W513">
    <cfRule type="expression" dxfId="4975" priority="81">
      <formula>OR($T$513 = TRUE, AND($W$513 = TRUE, $S$513 = FALSE))</formula>
    </cfRule>
  </conditionalFormatting>
  <conditionalFormatting sqref="W515">
    <cfRule type="expression" dxfId="4974" priority="80">
      <formula>AND($R$515,$S$515)</formula>
    </cfRule>
  </conditionalFormatting>
  <conditionalFormatting sqref="W515">
    <cfRule type="expression" dxfId="4973" priority="79">
      <formula>AND(IF($R$515,$W$515,TRUE),LEN(TRIM($W$515))&gt;0)</formula>
    </cfRule>
  </conditionalFormatting>
  <conditionalFormatting sqref="W515">
    <cfRule type="expression" dxfId="4972" priority="78">
      <formula>$S$515 = FALSE</formula>
    </cfRule>
  </conditionalFormatting>
  <conditionalFormatting sqref="W515">
    <cfRule type="expression" dxfId="4971" priority="77">
      <formula>OR($T$515 = TRUE, AND($W$515 = TRUE, $S$515 = FALSE))</formula>
    </cfRule>
  </conditionalFormatting>
  <conditionalFormatting sqref="W517">
    <cfRule type="expression" dxfId="4970" priority="76">
      <formula>AND($R$517,$S$517)</formula>
    </cfRule>
  </conditionalFormatting>
  <conditionalFormatting sqref="W517">
    <cfRule type="expression" dxfId="4969" priority="75">
      <formula>AND(IF($R$517,$W$517,TRUE),LEN(TRIM($W$517))&gt;0)</formula>
    </cfRule>
  </conditionalFormatting>
  <conditionalFormatting sqref="W517">
    <cfRule type="expression" dxfId="4968" priority="74">
      <formula>$S$517 = FALSE</formula>
    </cfRule>
  </conditionalFormatting>
  <conditionalFormatting sqref="W517">
    <cfRule type="expression" dxfId="4967" priority="73">
      <formula>OR($T$517 = TRUE, AND($W$517 = TRUE, $S$517 = FALSE))</formula>
    </cfRule>
  </conditionalFormatting>
  <conditionalFormatting sqref="W521">
    <cfRule type="expression" dxfId="4966" priority="72">
      <formula>AND($R$521,$S$521)</formula>
    </cfRule>
  </conditionalFormatting>
  <conditionalFormatting sqref="W521">
    <cfRule type="expression" dxfId="4965" priority="71">
      <formula>AND(IF($R$521,$W$521,TRUE),LEN(TRIM($W$521))&gt;0)</formula>
    </cfRule>
  </conditionalFormatting>
  <conditionalFormatting sqref="W521">
    <cfRule type="expression" dxfId="4964" priority="70">
      <formula>$S$521 = FALSE</formula>
    </cfRule>
  </conditionalFormatting>
  <conditionalFormatting sqref="W521">
    <cfRule type="expression" dxfId="4963" priority="69">
      <formula>OR($T$521 = TRUE, AND($W$521 = TRUE, $S$521 = FALSE))</formula>
    </cfRule>
  </conditionalFormatting>
  <conditionalFormatting sqref="W526">
    <cfRule type="expression" dxfId="4962" priority="68">
      <formula>AND($R$526,$S$526)</formula>
    </cfRule>
  </conditionalFormatting>
  <conditionalFormatting sqref="W526">
    <cfRule type="expression" dxfId="4961" priority="67">
      <formula>AND(IF($R$526,$W$526,TRUE),LEN(TRIM($W$526))&gt;0)</formula>
    </cfRule>
  </conditionalFormatting>
  <conditionalFormatting sqref="W526">
    <cfRule type="expression" dxfId="4960" priority="66">
      <formula>$S$526 = FALSE</formula>
    </cfRule>
  </conditionalFormatting>
  <conditionalFormatting sqref="W526">
    <cfRule type="expression" dxfId="4959" priority="65">
      <formula>OR($T$526 = TRUE, AND($W$526 = TRUE, $S$526 = FALSE))</formula>
    </cfRule>
  </conditionalFormatting>
  <conditionalFormatting sqref="W530">
    <cfRule type="expression" dxfId="4958" priority="64">
      <formula>AND($R$530,$S$530)</formula>
    </cfRule>
  </conditionalFormatting>
  <conditionalFormatting sqref="W530">
    <cfRule type="expression" dxfId="4957" priority="63">
      <formula>AND(IF($R$530,$W$530,TRUE),LEN(TRIM($W$530))&gt;0)</formula>
    </cfRule>
  </conditionalFormatting>
  <conditionalFormatting sqref="W530">
    <cfRule type="expression" dxfId="4956" priority="62">
      <formula>$S$530 = FALSE</formula>
    </cfRule>
  </conditionalFormatting>
  <conditionalFormatting sqref="W530">
    <cfRule type="expression" dxfId="4955" priority="61">
      <formula>OR($T$530 = TRUE, AND($W$530 = TRUE, $S$530 = FALSE))</formula>
    </cfRule>
  </conditionalFormatting>
  <conditionalFormatting sqref="W532">
    <cfRule type="expression" dxfId="4954" priority="60">
      <formula>AND($R$532,$S$532)</formula>
    </cfRule>
  </conditionalFormatting>
  <conditionalFormatting sqref="W532">
    <cfRule type="expression" dxfId="4953" priority="59">
      <formula>AND(IF($R$532,$W$532,TRUE),LEN(TRIM($W$532))&gt;0)</formula>
    </cfRule>
  </conditionalFormatting>
  <conditionalFormatting sqref="W532">
    <cfRule type="expression" dxfId="4952" priority="58">
      <formula>$S$532 = FALSE</formula>
    </cfRule>
  </conditionalFormatting>
  <conditionalFormatting sqref="W532">
    <cfRule type="expression" dxfId="4951" priority="57">
      <formula>OR($T$532 = TRUE, AND($W$532 = TRUE, $S$532 = FALSE))</formula>
    </cfRule>
  </conditionalFormatting>
  <conditionalFormatting sqref="W534">
    <cfRule type="expression" dxfId="4950" priority="56">
      <formula>AND($R$534,$S$534)</formula>
    </cfRule>
  </conditionalFormatting>
  <conditionalFormatting sqref="W534">
    <cfRule type="expression" dxfId="4949" priority="55">
      <formula>AND(IF($R$534,$W$534,TRUE),LEN(TRIM($W$534))&gt;0)</formula>
    </cfRule>
  </conditionalFormatting>
  <conditionalFormatting sqref="W534">
    <cfRule type="expression" dxfId="4948" priority="54">
      <formula>$S$534 = FALSE</formula>
    </cfRule>
  </conditionalFormatting>
  <conditionalFormatting sqref="W534">
    <cfRule type="expression" dxfId="4947" priority="53">
      <formula>OR($T$534 = TRUE, AND($W$534 = TRUE, $S$534 = FALSE))</formula>
    </cfRule>
  </conditionalFormatting>
  <conditionalFormatting sqref="W535">
    <cfRule type="expression" dxfId="4946" priority="52">
      <formula>AND($R$535,$S$535)</formula>
    </cfRule>
  </conditionalFormatting>
  <conditionalFormatting sqref="W535">
    <cfRule type="expression" dxfId="4945" priority="51">
      <formula>AND(IF($R$535,$W$535,TRUE),LEN(TRIM($W$535))&gt;0)</formula>
    </cfRule>
  </conditionalFormatting>
  <conditionalFormatting sqref="W535">
    <cfRule type="expression" dxfId="4944" priority="50">
      <formula>$S$535 = FALSE</formula>
    </cfRule>
  </conditionalFormatting>
  <conditionalFormatting sqref="W535">
    <cfRule type="expression" dxfId="4943" priority="49">
      <formula>OR($T$535 = TRUE, AND($W$535 = TRUE, $S$535 = FALSE))</formula>
    </cfRule>
  </conditionalFormatting>
  <conditionalFormatting sqref="W536">
    <cfRule type="expression" dxfId="4942" priority="48">
      <formula>AND($R$536,$S$536)</formula>
    </cfRule>
  </conditionalFormatting>
  <conditionalFormatting sqref="W536">
    <cfRule type="expression" dxfId="4941" priority="47">
      <formula>AND(IF($R$536,$W$536,TRUE),LEN(TRIM($W$536))&gt;0)</formula>
    </cfRule>
  </conditionalFormatting>
  <conditionalFormatting sqref="W536">
    <cfRule type="expression" dxfId="4940" priority="46">
      <formula>$S$536 = FALSE</formula>
    </cfRule>
  </conditionalFormatting>
  <conditionalFormatting sqref="W536">
    <cfRule type="expression" dxfId="4939" priority="45">
      <formula>OR($T$536 = TRUE, AND($W$536 = TRUE, $S$536 = FALSE))</formula>
    </cfRule>
  </conditionalFormatting>
  <conditionalFormatting sqref="W540">
    <cfRule type="expression" dxfId="4938" priority="44">
      <formula>AND($R$540,$S$540)</formula>
    </cfRule>
  </conditionalFormatting>
  <conditionalFormatting sqref="W540">
    <cfRule type="expression" dxfId="4937" priority="43">
      <formula>AND(IF($R$540,$W$540,TRUE),LEN(TRIM($W$540))&gt;0)</formula>
    </cfRule>
  </conditionalFormatting>
  <conditionalFormatting sqref="W540">
    <cfRule type="expression" dxfId="4936" priority="42">
      <formula>$S$540 = FALSE</formula>
    </cfRule>
  </conditionalFormatting>
  <conditionalFormatting sqref="W540">
    <cfRule type="expression" dxfId="4935" priority="41">
      <formula>OR($T$540 = TRUE, AND($W$540 = TRUE, $S$540 = FALSE))</formula>
    </cfRule>
  </conditionalFormatting>
  <conditionalFormatting sqref="I1">
    <cfRule type="expression" dxfId="4934" priority="25">
      <formula>$AG$1="Gold"</formula>
    </cfRule>
    <cfRule type="expression" dxfId="4933" priority="26">
      <formula>$AG$1="Silver"</formula>
    </cfRule>
    <cfRule type="expression" dxfId="4932" priority="27">
      <formula>$AG$1="Bronze"</formula>
    </cfRule>
    <cfRule type="expression" dxfId="4931" priority="28">
      <formula>$AG$1="Emerald"</formula>
    </cfRule>
  </conditionalFormatting>
  <conditionalFormatting sqref="X1">
    <cfRule type="expression" dxfId="4930" priority="24">
      <formula>startError</formula>
    </cfRule>
  </conditionalFormatting>
  <conditionalFormatting sqref="X220:X221">
    <cfRule type="expression" dxfId="4929" priority="23">
      <formula>W220</formula>
    </cfRule>
  </conditionalFormatting>
  <conditionalFormatting sqref="W220">
    <cfRule type="expression" dxfId="4928" priority="22">
      <formula>AND($R$220,$S$220)</formula>
    </cfRule>
  </conditionalFormatting>
  <conditionalFormatting sqref="W220">
    <cfRule type="expression" dxfId="4927" priority="21">
      <formula>AND(IF($R$220,$W$220,TRUE),LEN(TRIM($W$220))&gt;0)</formula>
    </cfRule>
  </conditionalFormatting>
  <conditionalFormatting sqref="W220">
    <cfRule type="expression" dxfId="4926" priority="20">
      <formula>$S$220 = FALSE</formula>
    </cfRule>
  </conditionalFormatting>
  <conditionalFormatting sqref="W220">
    <cfRule type="expression" dxfId="4925" priority="19">
      <formula>OR($T$220 = TRUE, AND($W$220 = TRUE, $S$220 = FALSE))</formula>
    </cfRule>
  </conditionalFormatting>
  <conditionalFormatting sqref="W275">
    <cfRule type="expression" dxfId="4924" priority="18">
      <formula>AND($R$275,$S$275)</formula>
    </cfRule>
  </conditionalFormatting>
  <conditionalFormatting sqref="W275">
    <cfRule type="expression" dxfId="4923" priority="17">
      <formula>AND(IF($R$275,$W$275,TRUE),LEN(TRIM($W$275))&gt;0)</formula>
    </cfRule>
  </conditionalFormatting>
  <conditionalFormatting sqref="W275">
    <cfRule type="expression" dxfId="4922" priority="16">
      <formula>$S$275 = FALSE</formula>
    </cfRule>
  </conditionalFormatting>
  <conditionalFormatting sqref="W275">
    <cfRule type="expression" dxfId="4921" priority="15">
      <formula>OR($T$275 = TRUE, AND($W$275 = TRUE, $S$275 = FALSE))</formula>
    </cfRule>
  </conditionalFormatting>
  <conditionalFormatting sqref="W542">
    <cfRule type="expression" dxfId="4920" priority="14">
      <formula>AND($R$542,$S$542)</formula>
    </cfRule>
  </conditionalFormatting>
  <conditionalFormatting sqref="W542">
    <cfRule type="expression" dxfId="4919" priority="13">
      <formula>AND($W$542&lt;&gt;"Not Met",LEN(TRIM($W$542))&gt;0)</formula>
    </cfRule>
  </conditionalFormatting>
  <conditionalFormatting sqref="W542">
    <cfRule type="expression" dxfId="4918" priority="12">
      <formula>$S$542 = FALSE</formula>
    </cfRule>
  </conditionalFormatting>
  <conditionalFormatting sqref="W542">
    <cfRule type="expression" dxfId="4917" priority="11">
      <formula>OR($T$542 = TRUE, AND(LEN(TRIM($W$542))&gt;0, $S$542 = FALSE))</formula>
    </cfRule>
  </conditionalFormatting>
  <conditionalFormatting sqref="W546">
    <cfRule type="expression" dxfId="4916" priority="10">
      <formula>AND($R$546,$S$546)</formula>
    </cfRule>
  </conditionalFormatting>
  <conditionalFormatting sqref="W546">
    <cfRule type="expression" dxfId="4915" priority="9">
      <formula>AND($W$546&lt;&gt;"Not Met",LEN(TRIM($W$546))&gt;0)</formula>
    </cfRule>
  </conditionalFormatting>
  <conditionalFormatting sqref="W546">
    <cfRule type="expression" dxfId="4914" priority="8">
      <formula>$S$546 = FALSE</formula>
    </cfRule>
  </conditionalFormatting>
  <conditionalFormatting sqref="W546">
    <cfRule type="expression" dxfId="4913" priority="7">
      <formula>OR($T$546 = TRUE, AND(LEN(TRIM($W$546))&gt;0, $S$546 = FALSE))</formula>
    </cfRule>
  </conditionalFormatting>
  <conditionalFormatting sqref="L25:L26">
    <cfRule type="expression" dxfId="4912" priority="11613">
      <formula>AY26&gt;4099</formula>
    </cfRule>
  </conditionalFormatting>
  <conditionalFormatting sqref="M25:M26">
    <cfRule type="expression" dxfId="4911" priority="11614">
      <formula>$AY$26&gt;4099</formula>
    </cfRule>
  </conditionalFormatting>
  <conditionalFormatting sqref="W390">
    <cfRule type="expression" dxfId="4910" priority="11850">
      <formula>AND($R$390,$S$390)</formula>
    </cfRule>
  </conditionalFormatting>
  <conditionalFormatting sqref="W390">
    <cfRule type="expression" dxfId="4909" priority="11851">
      <formula>AND(IF($R$390,$W$390,TRUE),LEN(TRIM($W$390))&gt;0)</formula>
    </cfRule>
  </conditionalFormatting>
  <conditionalFormatting sqref="W390">
    <cfRule type="expression" dxfId="4908" priority="11852">
      <formula>$S$390 = FALSE</formula>
    </cfRule>
  </conditionalFormatting>
  <conditionalFormatting sqref="W390">
    <cfRule type="expression" dxfId="4907" priority="11853">
      <formula>OR($T$390 = TRUE, AND(LEN(TRIM($W$390))&gt;0, $S$390 = FALSE))</formula>
    </cfRule>
  </conditionalFormatting>
  <conditionalFormatting sqref="W392">
    <cfRule type="expression" dxfId="4906" priority="11854">
      <formula>AND($R$392,$S$392)</formula>
    </cfRule>
  </conditionalFormatting>
  <conditionalFormatting sqref="W392">
    <cfRule type="expression" dxfId="4905" priority="11855">
      <formula>AND(IF($R$392,$W$392,TRUE),LEN(TRIM($W$392))&gt;0)</formula>
    </cfRule>
  </conditionalFormatting>
  <conditionalFormatting sqref="W392">
    <cfRule type="expression" dxfId="4904" priority="11856">
      <formula>$S$392 = FALSE</formula>
    </cfRule>
  </conditionalFormatting>
  <conditionalFormatting sqref="W392">
    <cfRule type="expression" dxfId="4903" priority="11857">
      <formula>OR($T$392 = TRUE, AND(LEN(TRIM($W$392))&gt;0, $S$392 = FALSE))</formula>
    </cfRule>
  </conditionalFormatting>
  <conditionalFormatting sqref="X400:X406">
    <cfRule type="expression" dxfId="4902" priority="6">
      <formula>R400</formula>
    </cfRule>
  </conditionalFormatting>
  <conditionalFormatting sqref="W93">
    <cfRule type="expression" dxfId="4901" priority="5">
      <formula>AND($R$93,$S$93)</formula>
    </cfRule>
  </conditionalFormatting>
  <conditionalFormatting sqref="W93">
    <cfRule type="expression" dxfId="4900" priority="4">
      <formula>AND($W$93&lt;&gt;"Not Met",LEN(TRIM($W$93))&gt;0)</formula>
    </cfRule>
  </conditionalFormatting>
  <conditionalFormatting sqref="W93">
    <cfRule type="expression" dxfId="4899" priority="3">
      <formula>$S$93 = FALSE</formula>
    </cfRule>
  </conditionalFormatting>
  <conditionalFormatting sqref="W93">
    <cfRule type="expression" dxfId="4898" priority="2">
      <formula>OR($T$93 = TRUE, AND(LEN(TRIM($W$93))&gt;0, $S$93 = FALSE))</formula>
    </cfRule>
  </conditionalFormatting>
  <conditionalFormatting sqref="X93:X95">
    <cfRule type="expression" dxfId="4897" priority="1">
      <formula>(W93="N/A")</formula>
    </cfRule>
  </conditionalFormatting>
  <dataValidations count="45">
    <dataValidation type="list" allowBlank="1" showInputMessage="1" showErrorMessage="1" error="Please use the dropdown." sqref="W65" xr:uid="{00000000-0002-0000-0400-000001000000}">
      <formula1>INDIRECT($U$65)</formula1>
    </dataValidation>
    <dataValidation type="list" allowBlank="1" showInputMessage="1" showErrorMessage="1" error="Please use the dropdown." sqref="W66" xr:uid="{00000000-0002-0000-0400-000002000000}">
      <formula1>INDIRECT($U$66)</formula1>
    </dataValidation>
    <dataValidation type="list" allowBlank="1" showInputMessage="1" showErrorMessage="1" error="Please use the dropdown." sqref="W67" xr:uid="{00000000-0002-0000-0400-000003000000}">
      <formula1>INDIRECT($U$67)</formula1>
    </dataValidation>
    <dataValidation type="list" allowBlank="1" showInputMessage="1" showErrorMessage="1" error="Please use the dropdown." sqref="W71" xr:uid="{00000000-0002-0000-0400-000004000000}">
      <formula1>INDIRECT($U$71)</formula1>
    </dataValidation>
    <dataValidation type="list" allowBlank="1" showInputMessage="1" showErrorMessage="1" error="Please use the dropdown." sqref="W73" xr:uid="{00000000-0002-0000-0400-000005000000}">
      <formula1>INDIRECT($U$73)</formula1>
    </dataValidation>
    <dataValidation type="list" allowBlank="1" showInputMessage="1" showErrorMessage="1" error="Please use the dropdown." sqref="W122" xr:uid="{00000000-0002-0000-0400-000006000000}">
      <formula1>INDIRECT($U$122)</formula1>
    </dataValidation>
    <dataValidation type="list" allowBlank="1" showInputMessage="1" showErrorMessage="1" error="Please use the dropdown." sqref="W183" xr:uid="{00000000-0002-0000-0400-000007000000}">
      <formula1>INDIRECT($U$183)</formula1>
    </dataValidation>
    <dataValidation type="list" allowBlank="1" showInputMessage="1" showErrorMessage="1" error="Please use the dropdown." sqref="W193" xr:uid="{00000000-0002-0000-0400-000008000000}">
      <formula1>INDIRECT($U$193)</formula1>
    </dataValidation>
    <dataValidation type="whole" allowBlank="1" showDropDown="1" showInputMessage="1" showErrorMessage="1" error="Enter a number" prompt="Enter number of square feet" sqref="W248" xr:uid="{00000000-0002-0000-0400-000009000000}">
      <formula1>0</formula1>
      <formula2>10000</formula2>
    </dataValidation>
    <dataValidation type="decimal" allowBlank="1" showDropDown="1" showInputMessage="1" showErrorMessage="1" error="Enter a percentage" prompt="Enter a percentage" sqref="W254 W266 W268 W270 W272" xr:uid="{00000000-0002-0000-0400-00000A000000}">
      <formula1>0</formula1>
      <formula2>1</formula2>
    </dataValidation>
    <dataValidation type="list" allowBlank="1" showInputMessage="1" showErrorMessage="1" error="Please use the dropdown." sqref="W319" xr:uid="{00000000-0002-0000-0400-00000B000000}">
      <formula1>INDIRECT($U$319)</formula1>
    </dataValidation>
    <dataValidation type="list" allowBlank="1" showInputMessage="1" showErrorMessage="1" error="Please use the dropdown." sqref="W320" xr:uid="{00000000-0002-0000-0400-00000C000000}">
      <formula1>INDIRECT($U$320)</formula1>
    </dataValidation>
    <dataValidation type="list" allowBlank="1" showInputMessage="1" showErrorMessage="1" error="Please use the dropdown." sqref="W321" xr:uid="{00000000-0002-0000-0400-00000D000000}">
      <formula1>INDIRECT($U$321)</formula1>
    </dataValidation>
    <dataValidation type="list" allowBlank="1" showInputMessage="1" showErrorMessage="1" error="Please use the dropdown." sqref="W322" xr:uid="{00000000-0002-0000-0400-00000E000000}">
      <formula1>INDIRECT($U$322)</formula1>
    </dataValidation>
    <dataValidation type="list" allowBlank="1" showInputMessage="1" showErrorMessage="1" error="Please use the dropdown." sqref="W323" xr:uid="{00000000-0002-0000-0400-00000F000000}">
      <formula1>INDIRECT($U$323)</formula1>
    </dataValidation>
    <dataValidation type="list" allowBlank="1" showInputMessage="1" showErrorMessage="1" error="Please use the dropdown." sqref="W324" xr:uid="{00000000-0002-0000-0400-000010000000}">
      <formula1>INDIRECT($U$324)</formula1>
    </dataValidation>
    <dataValidation type="list" allowBlank="1" showInputMessage="1" showErrorMessage="1" error="Please use the dropdown." sqref="W325" xr:uid="{00000000-0002-0000-0400-000011000000}">
      <formula1>INDIRECT($U$325)</formula1>
    </dataValidation>
    <dataValidation type="list" allowBlank="1" showInputMessage="1" showErrorMessage="1" error="Please use the dropdown." sqref="W326" xr:uid="{00000000-0002-0000-0400-000012000000}">
      <formula1>INDIRECT($U$326)</formula1>
    </dataValidation>
    <dataValidation type="list" allowBlank="1" showInputMessage="1" showErrorMessage="1" error="Please use the dropdown." sqref="W350" xr:uid="{00000000-0002-0000-0400-000013000000}">
      <formula1>INDIRECT($U$350)</formula1>
    </dataValidation>
    <dataValidation type="list" allowBlank="1" showInputMessage="1" showErrorMessage="1" error="Please use the dropdown." sqref="W351" xr:uid="{00000000-0002-0000-0400-000014000000}">
      <formula1>INDIRECT($U$351)</formula1>
    </dataValidation>
    <dataValidation type="list" allowBlank="1" showInputMessage="1" showErrorMessage="1" error="Please use the dropdown." sqref="W353" xr:uid="{00000000-0002-0000-0400-000015000000}">
      <formula1>INDIRECT($U$353)</formula1>
    </dataValidation>
    <dataValidation type="list" allowBlank="1" showInputMessage="1" showErrorMessage="1" error="Please use the dropdown." sqref="W354" xr:uid="{00000000-0002-0000-0400-000016000000}">
      <formula1>INDIRECT($U$354)</formula1>
    </dataValidation>
    <dataValidation type="list" allowBlank="1" showInputMessage="1" showErrorMessage="1" error="Please use the dropdown." sqref="W356" xr:uid="{00000000-0002-0000-0400-000017000000}">
      <formula1>INDIRECT($U$356)</formula1>
    </dataValidation>
    <dataValidation type="list" allowBlank="1" showInputMessage="1" showErrorMessage="1" error="Please use the dropdown." sqref="W379" xr:uid="{00000000-0002-0000-0400-000018000000}">
      <formula1>INDIRECT($U$379)</formula1>
    </dataValidation>
    <dataValidation type="list" allowBlank="1" showInputMessage="1" showErrorMessage="1" error="Please use the dropdown." sqref="W390" xr:uid="{00000000-0002-0000-0400-000019000000}">
      <formula1>INDIRECT($U$390)</formula1>
    </dataValidation>
    <dataValidation type="list" allowBlank="1" showInputMessage="1" showErrorMessage="1" error="Please use the dropdown." sqref="W392" xr:uid="{00000000-0002-0000-0400-00001A000000}">
      <formula1>INDIRECT($U$392)</formula1>
    </dataValidation>
    <dataValidation type="list" allowBlank="1" showInputMessage="1" showErrorMessage="1" error="Please use the dropdown." sqref="W434" xr:uid="{00000000-0002-0000-0400-00001B000000}">
      <formula1>INDIRECT($U$434)</formula1>
    </dataValidation>
    <dataValidation type="list" allowBlank="1" showInputMessage="1" showErrorMessage="1" error="Please use the dropdown." sqref="W441" xr:uid="{00000000-0002-0000-0400-00001C000000}">
      <formula1>INDIRECT($U$441)</formula1>
    </dataValidation>
    <dataValidation type="list" allowBlank="1" showInputMessage="1" showErrorMessage="1" error="Please use the dropdown." sqref="W447" xr:uid="{00000000-0002-0000-0400-00001D000000}">
      <formula1>INDIRECT($U$447)</formula1>
    </dataValidation>
    <dataValidation type="list" allowBlank="1" showInputMessage="1" showErrorMessage="1" error="Please use the dropdown." sqref="W454" xr:uid="{00000000-0002-0000-0400-00001E000000}">
      <formula1>INDIRECT($U$454)</formula1>
    </dataValidation>
    <dataValidation type="list" allowBlank="1" showInputMessage="1" showErrorMessage="1" error="Please use the dropdown." sqref="W460" xr:uid="{00000000-0002-0000-0400-00001F000000}">
      <formula1>INDIRECT($U$460)</formula1>
    </dataValidation>
    <dataValidation type="list" allowBlank="1" showInputMessage="1" showErrorMessage="1" error="Please use the dropdown." sqref="W466" xr:uid="{00000000-0002-0000-0400-000020000000}">
      <formula1>INDIRECT($U$466)</formula1>
    </dataValidation>
    <dataValidation type="list" allowBlank="1" showInputMessage="1" showErrorMessage="1" error="Please use the dropdown." sqref="W495" xr:uid="{00000000-0002-0000-0400-000021000000}">
      <formula1>INDIRECT($U$495)</formula1>
    </dataValidation>
    <dataValidation type="whole" allowBlank="1" showDropDown="1" showInputMessage="1" showErrorMessage="1" error="Enter a whole number" prompt="Enter number of products" sqref="W489 W478" xr:uid="{00000000-0002-0000-0400-000022000000}">
      <formula1>0</formula1>
      <formula2>20</formula2>
    </dataValidation>
    <dataValidation type="list" allowBlank="1" showInputMessage="1" showErrorMessage="1" error="Please use the dropdown." sqref="W113" xr:uid="{00000000-0002-0000-0400-000023000000}">
      <formula1>INDIRECT($U$113)</formula1>
    </dataValidation>
    <dataValidation type="list" allowBlank="1" showInputMessage="1" showErrorMessage="1" error="Please use the dropdown." sqref="W119" xr:uid="{00000000-0002-0000-0400-000024000000}">
      <formula1>INDIRECT($U$119)</formula1>
    </dataValidation>
    <dataValidation type="list" allowBlank="1" showInputMessage="1" showErrorMessage="1" error="Please use the dropdown." sqref="W146" xr:uid="{00000000-0002-0000-0400-000025000000}">
      <formula1>INDIRECT($U$146)</formula1>
    </dataValidation>
    <dataValidation type="list" allowBlank="1" showInputMessage="1" showErrorMessage="1" error="Please use the dropdown." sqref="W157" xr:uid="{00000000-0002-0000-0400-000026000000}">
      <formula1>INDIRECT($U$157)</formula1>
    </dataValidation>
    <dataValidation type="list" allowBlank="1" showInputMessage="1" showErrorMessage="1" error="Please use the dropdown." sqref="W205" xr:uid="{00000000-0002-0000-0400-000027000000}">
      <formula1>INDIRECT($U$205)</formula1>
    </dataValidation>
    <dataValidation type="list" allowBlank="1" showInputMessage="1" showErrorMessage="1" error="Please use the dropdown." sqref="W210" xr:uid="{00000000-0002-0000-0400-000028000000}">
      <formula1>INDIRECT($U$210)</formula1>
    </dataValidation>
    <dataValidation type="list" allowBlank="1" showInputMessage="1" showErrorMessage="1" error="Please use the dropdown." sqref="W216" xr:uid="{00000000-0002-0000-0400-000029000000}">
      <formula1>INDIRECT($U$216)</formula1>
    </dataValidation>
    <dataValidation type="list" allowBlank="1" showDropDown="1" showInputMessage="1" showErrorMessage="1" error="Use Checkbox" prompt="Use Checkbox" sqref="W31 W517 W540 W534:W536 W532 W530 W526 W521 W376 W426 W418 W409 W365 W275 W306:W314 W293 W291 W278 W261 W244 W242 W237 W233 W229:W230 W227 W34 W207 W191 W189 W178:W179 W175 W165 W153 W151 W149 W144 W139 W135 W131 W125 W123 W117 W111 W105 W103 W100:W101 W96 W515 W80 W52:W56 W41:W46 W37 W218:W220 W370 W506:W507 W509 W511 W513" xr:uid="{00000000-0002-0000-0400-00002A000000}">
      <formula1>TorF</formula1>
    </dataValidation>
    <dataValidation type="list" allowBlank="1" showInputMessage="1" showErrorMessage="1" error="Please use the dropdown." sqref="W542" xr:uid="{9014BE07-DF4D-4DB8-8FCE-3E0A131CD13E}">
      <formula1>INDIRECT($U$542)</formula1>
    </dataValidation>
    <dataValidation type="list" allowBlank="1" showInputMessage="1" showErrorMessage="1" error="Please use the dropdown." sqref="W546" xr:uid="{227A8E32-A1C7-4E85-A51B-562F308899EC}">
      <formula1>INDIRECT($U$546)</formula1>
    </dataValidation>
    <dataValidation type="list" allowBlank="1" showInputMessage="1" showErrorMessage="1" error="Please use the dropdown." sqref="W93" xr:uid="{FF86BB94-4A3A-4A02-BCB2-69C094D1C7EA}">
      <formula1>INDIRECT($U$93)</formula1>
    </dataValidation>
  </dataValidations>
  <hyperlinks>
    <hyperlink ref="L130" location="'Figure 6(3)'!A1" display="See Figure 6(3)" xr:uid="{00000000-0004-0000-0400-000000000000}"/>
    <hyperlink ref="L122" location="'Figure 6(3)'!A1" display="See Figure 6(3)" xr:uid="{00000000-0004-0000-0400-000001000000}"/>
    <hyperlink ref="L209" location="'Table 602.1.12'!A1" display="See Table 602.1.12" xr:uid="{00000000-0004-0000-0400-000002000000}"/>
    <hyperlink ref="L268" location="'Table 604.1'!A1" display="See Table 604.1" xr:uid="{00000000-0004-0000-0400-000003000000}"/>
    <hyperlink ref="M432:M445" location="'Table 610.1.2.1'!A1" display="per Table 610.1.2.1           10 Max" xr:uid="{00000000-0004-0000-0400-000004000000}"/>
    <hyperlink ref="M446:M470" location="'Table 610.1.2.2'!A1" display="'Table 610.1.2.2'!A1" xr:uid="{00000000-0004-0000-0400-000005000000}"/>
    <hyperlink ref="X561" location="'Ch7'!A1" display="CLICK TO PROCEED TO CHAPTER 7 &gt;&gt;" xr:uid="{00000000-0004-0000-0400-000006000000}"/>
  </hyperlinks>
  <pageMargins left="0.7" right="0.7" top="0.75" bottom="0.75" header="0.3" footer="0.3"/>
  <pageSetup scale="44" fitToHeight="0" orientation="portrait" r:id="rId1"/>
  <rowBreaks count="5" manualBreakCount="5">
    <brk id="87" max="23" man="1"/>
    <brk id="191" max="23" man="1"/>
    <brk id="292" max="23" man="1"/>
    <brk id="386" max="23" man="1"/>
    <brk id="47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202" r:id="rId4" name="Check Box 106">
              <controlPr locked="0" defaultSize="0" autoFill="0" autoLine="0" autoPict="0">
                <anchor moveWithCells="1" sizeWithCells="1">
                  <from>
                    <xdr:col>22</xdr:col>
                    <xdr:colOff>0</xdr:colOff>
                    <xdr:row>30</xdr:row>
                    <xdr:rowOff>0</xdr:rowOff>
                  </from>
                  <to>
                    <xdr:col>22</xdr:col>
                    <xdr:colOff>180975</xdr:colOff>
                    <xdr:row>30</xdr:row>
                    <xdr:rowOff>180975</xdr:rowOff>
                  </to>
                </anchor>
              </controlPr>
            </control>
          </mc:Choice>
        </mc:AlternateContent>
        <mc:AlternateContent xmlns:mc="http://schemas.openxmlformats.org/markup-compatibility/2006">
          <mc:Choice Requires="x14">
            <control shapeId="4203" r:id="rId5" name="Check Box 107">
              <controlPr locked="0" defaultSize="0" autoFill="0" autoLine="0" autoPict="0">
                <anchor moveWithCells="1" sizeWithCells="1">
                  <from>
                    <xdr:col>22</xdr:col>
                    <xdr:colOff>0</xdr:colOff>
                    <xdr:row>33</xdr:row>
                    <xdr:rowOff>0</xdr:rowOff>
                  </from>
                  <to>
                    <xdr:col>22</xdr:col>
                    <xdr:colOff>180975</xdr:colOff>
                    <xdr:row>33</xdr:row>
                    <xdr:rowOff>180975</xdr:rowOff>
                  </to>
                </anchor>
              </controlPr>
            </control>
          </mc:Choice>
        </mc:AlternateContent>
        <mc:AlternateContent xmlns:mc="http://schemas.openxmlformats.org/markup-compatibility/2006">
          <mc:Choice Requires="x14">
            <control shapeId="4204" r:id="rId6" name="Check Box 108">
              <controlPr locked="0" defaultSize="0" autoFill="0" autoLine="0" autoPict="0">
                <anchor moveWithCells="1" sizeWithCells="1">
                  <from>
                    <xdr:col>22</xdr:col>
                    <xdr:colOff>0</xdr:colOff>
                    <xdr:row>36</xdr:row>
                    <xdr:rowOff>0</xdr:rowOff>
                  </from>
                  <to>
                    <xdr:col>22</xdr:col>
                    <xdr:colOff>180975</xdr:colOff>
                    <xdr:row>36</xdr:row>
                    <xdr:rowOff>180975</xdr:rowOff>
                  </to>
                </anchor>
              </controlPr>
            </control>
          </mc:Choice>
        </mc:AlternateContent>
        <mc:AlternateContent xmlns:mc="http://schemas.openxmlformats.org/markup-compatibility/2006">
          <mc:Choice Requires="x14">
            <control shapeId="4205" r:id="rId7" name="Check Box 109">
              <controlPr locked="0" defaultSize="0" autoFill="0" autoLine="0" autoPict="0">
                <anchor moveWithCells="1" siz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4206" r:id="rId8" name="Check Box 110">
              <controlPr locked="0" defaultSize="0" autoFill="0" autoLine="0" autoPict="0">
                <anchor moveWithCells="1" siz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4207" r:id="rId9" name="Check Box 111">
              <controlPr locked="0" defaultSize="0" autoFill="0" autoLine="0" autoPict="0">
                <anchor moveWithCells="1" sizeWithCells="1">
                  <from>
                    <xdr:col>22</xdr:col>
                    <xdr:colOff>0</xdr:colOff>
                    <xdr:row>42</xdr:row>
                    <xdr:rowOff>0</xdr:rowOff>
                  </from>
                  <to>
                    <xdr:col>22</xdr:col>
                    <xdr:colOff>180975</xdr:colOff>
                    <xdr:row>42</xdr:row>
                    <xdr:rowOff>180975</xdr:rowOff>
                  </to>
                </anchor>
              </controlPr>
            </control>
          </mc:Choice>
        </mc:AlternateContent>
        <mc:AlternateContent xmlns:mc="http://schemas.openxmlformats.org/markup-compatibility/2006">
          <mc:Choice Requires="x14">
            <control shapeId="4208" r:id="rId10" name="Check Box 112">
              <controlPr locked="0" defaultSize="0" autoFill="0" autoLine="0" autoPict="0">
                <anchor moveWithCells="1" sizeWithCells="1">
                  <from>
                    <xdr:col>22</xdr:col>
                    <xdr:colOff>0</xdr:colOff>
                    <xdr:row>43</xdr:row>
                    <xdr:rowOff>0</xdr:rowOff>
                  </from>
                  <to>
                    <xdr:col>22</xdr:col>
                    <xdr:colOff>180975</xdr:colOff>
                    <xdr:row>43</xdr:row>
                    <xdr:rowOff>180975</xdr:rowOff>
                  </to>
                </anchor>
              </controlPr>
            </control>
          </mc:Choice>
        </mc:AlternateContent>
        <mc:AlternateContent xmlns:mc="http://schemas.openxmlformats.org/markup-compatibility/2006">
          <mc:Choice Requires="x14">
            <control shapeId="4209" r:id="rId11" name="Check Box 113">
              <controlPr locked="0" defaultSize="0" autoFill="0" autoLine="0" autoPict="0">
                <anchor moveWithCells="1" sizeWithCells="1">
                  <from>
                    <xdr:col>22</xdr:col>
                    <xdr:colOff>0</xdr:colOff>
                    <xdr:row>44</xdr:row>
                    <xdr:rowOff>0</xdr:rowOff>
                  </from>
                  <to>
                    <xdr:col>22</xdr:col>
                    <xdr:colOff>180975</xdr:colOff>
                    <xdr:row>44</xdr:row>
                    <xdr:rowOff>180975</xdr:rowOff>
                  </to>
                </anchor>
              </controlPr>
            </control>
          </mc:Choice>
        </mc:AlternateContent>
        <mc:AlternateContent xmlns:mc="http://schemas.openxmlformats.org/markup-compatibility/2006">
          <mc:Choice Requires="x14">
            <control shapeId="4210" r:id="rId12" name="Check Box 114">
              <controlPr locked="0" defaultSize="0" autoFill="0" autoLine="0" autoPict="0">
                <anchor moveWithCells="1" sizeWithCells="1">
                  <from>
                    <xdr:col>22</xdr:col>
                    <xdr:colOff>0</xdr:colOff>
                    <xdr:row>45</xdr:row>
                    <xdr:rowOff>0</xdr:rowOff>
                  </from>
                  <to>
                    <xdr:col>22</xdr:col>
                    <xdr:colOff>180975</xdr:colOff>
                    <xdr:row>45</xdr:row>
                    <xdr:rowOff>180975</xdr:rowOff>
                  </to>
                </anchor>
              </controlPr>
            </control>
          </mc:Choice>
        </mc:AlternateContent>
        <mc:AlternateContent xmlns:mc="http://schemas.openxmlformats.org/markup-compatibility/2006">
          <mc:Choice Requires="x14">
            <control shapeId="4211" r:id="rId13" name="Check Box 115">
              <controlPr locked="0" defaultSize="0" autoFill="0" autoLine="0" autoPict="0">
                <anchor moveWithCells="1" sizeWithCells="1">
                  <from>
                    <xdr:col>22</xdr:col>
                    <xdr:colOff>0</xdr:colOff>
                    <xdr:row>51</xdr:row>
                    <xdr:rowOff>0</xdr:rowOff>
                  </from>
                  <to>
                    <xdr:col>22</xdr:col>
                    <xdr:colOff>180975</xdr:colOff>
                    <xdr:row>51</xdr:row>
                    <xdr:rowOff>180975</xdr:rowOff>
                  </to>
                </anchor>
              </controlPr>
            </control>
          </mc:Choice>
        </mc:AlternateContent>
        <mc:AlternateContent xmlns:mc="http://schemas.openxmlformats.org/markup-compatibility/2006">
          <mc:Choice Requires="x14">
            <control shapeId="4212" r:id="rId14" name="Check Box 116">
              <controlPr locked="0" defaultSize="0" autoFill="0" autoLine="0" autoPict="0">
                <anchor moveWithCells="1" sizeWithCells="1">
                  <from>
                    <xdr:col>22</xdr:col>
                    <xdr:colOff>0</xdr:colOff>
                    <xdr:row>52</xdr:row>
                    <xdr:rowOff>0</xdr:rowOff>
                  </from>
                  <to>
                    <xdr:col>22</xdr:col>
                    <xdr:colOff>180975</xdr:colOff>
                    <xdr:row>52</xdr:row>
                    <xdr:rowOff>180975</xdr:rowOff>
                  </to>
                </anchor>
              </controlPr>
            </control>
          </mc:Choice>
        </mc:AlternateContent>
        <mc:AlternateContent xmlns:mc="http://schemas.openxmlformats.org/markup-compatibility/2006">
          <mc:Choice Requires="x14">
            <control shapeId="4213" r:id="rId15" name="Check Box 117">
              <controlPr locked="0" defaultSize="0" autoFill="0" autoLine="0" autoPict="0">
                <anchor moveWithCells="1" sizeWithCells="1">
                  <from>
                    <xdr:col>22</xdr:col>
                    <xdr:colOff>0</xdr:colOff>
                    <xdr:row>53</xdr:row>
                    <xdr:rowOff>0</xdr:rowOff>
                  </from>
                  <to>
                    <xdr:col>22</xdr:col>
                    <xdr:colOff>180975</xdr:colOff>
                    <xdr:row>53</xdr:row>
                    <xdr:rowOff>180975</xdr:rowOff>
                  </to>
                </anchor>
              </controlPr>
            </control>
          </mc:Choice>
        </mc:AlternateContent>
        <mc:AlternateContent xmlns:mc="http://schemas.openxmlformats.org/markup-compatibility/2006">
          <mc:Choice Requires="x14">
            <control shapeId="4214" r:id="rId16" name="Check Box 118">
              <controlPr locked="0" defaultSize="0" autoFill="0" autoLine="0" autoPict="0">
                <anchor moveWithCells="1" siz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4215" r:id="rId17" name="Check Box 119">
              <controlPr locked="0" defaultSize="0" autoFill="0" autoLine="0" autoPict="0">
                <anchor moveWithCells="1" sizeWithCells="1">
                  <from>
                    <xdr:col>22</xdr:col>
                    <xdr:colOff>0</xdr:colOff>
                    <xdr:row>55</xdr:row>
                    <xdr:rowOff>0</xdr:rowOff>
                  </from>
                  <to>
                    <xdr:col>22</xdr:col>
                    <xdr:colOff>180975</xdr:colOff>
                    <xdr:row>55</xdr:row>
                    <xdr:rowOff>180975</xdr:rowOff>
                  </to>
                </anchor>
              </controlPr>
            </control>
          </mc:Choice>
        </mc:AlternateContent>
        <mc:AlternateContent xmlns:mc="http://schemas.openxmlformats.org/markup-compatibility/2006">
          <mc:Choice Requires="x14">
            <control shapeId="4216" r:id="rId18" name="Check Box 120">
              <controlPr locked="0" defaultSize="0" autoFill="0" autoLine="0" autoPict="0">
                <anchor moveWithCells="1" sizeWithCells="1">
                  <from>
                    <xdr:col>22</xdr:col>
                    <xdr:colOff>0</xdr:colOff>
                    <xdr:row>79</xdr:row>
                    <xdr:rowOff>0</xdr:rowOff>
                  </from>
                  <to>
                    <xdr:col>22</xdr:col>
                    <xdr:colOff>180975</xdr:colOff>
                    <xdr:row>79</xdr:row>
                    <xdr:rowOff>180975</xdr:rowOff>
                  </to>
                </anchor>
              </controlPr>
            </control>
          </mc:Choice>
        </mc:AlternateContent>
        <mc:AlternateContent xmlns:mc="http://schemas.openxmlformats.org/markup-compatibility/2006">
          <mc:Choice Requires="x14">
            <control shapeId="4219" r:id="rId19" name="Check Box 123">
              <controlPr locked="0" defaultSize="0" autoFill="0" autoLine="0" autoPict="0">
                <anchor moveWithCells="1" sizeWithCells="1">
                  <from>
                    <xdr:col>22</xdr:col>
                    <xdr:colOff>0</xdr:colOff>
                    <xdr:row>95</xdr:row>
                    <xdr:rowOff>0</xdr:rowOff>
                  </from>
                  <to>
                    <xdr:col>22</xdr:col>
                    <xdr:colOff>180975</xdr:colOff>
                    <xdr:row>95</xdr:row>
                    <xdr:rowOff>180975</xdr:rowOff>
                  </to>
                </anchor>
              </controlPr>
            </control>
          </mc:Choice>
        </mc:AlternateContent>
        <mc:AlternateContent xmlns:mc="http://schemas.openxmlformats.org/markup-compatibility/2006">
          <mc:Choice Requires="x14">
            <control shapeId="4220" r:id="rId20" name="Check Box 124">
              <controlPr locked="0" defaultSize="0" autoFill="0" autoLine="0" autoPict="0">
                <anchor moveWithCells="1" sizeWithCells="1">
                  <from>
                    <xdr:col>22</xdr:col>
                    <xdr:colOff>0</xdr:colOff>
                    <xdr:row>99</xdr:row>
                    <xdr:rowOff>0</xdr:rowOff>
                  </from>
                  <to>
                    <xdr:col>22</xdr:col>
                    <xdr:colOff>180975</xdr:colOff>
                    <xdr:row>99</xdr:row>
                    <xdr:rowOff>180975</xdr:rowOff>
                  </to>
                </anchor>
              </controlPr>
            </control>
          </mc:Choice>
        </mc:AlternateContent>
        <mc:AlternateContent xmlns:mc="http://schemas.openxmlformats.org/markup-compatibility/2006">
          <mc:Choice Requires="x14">
            <control shapeId="4221" r:id="rId21" name="Check Box 125">
              <controlPr locked="0" defaultSize="0" autoFill="0" autoLine="0" autoPict="0">
                <anchor moveWithCells="1" sizeWithCells="1">
                  <from>
                    <xdr:col>22</xdr:col>
                    <xdr:colOff>0</xdr:colOff>
                    <xdr:row>100</xdr:row>
                    <xdr:rowOff>0</xdr:rowOff>
                  </from>
                  <to>
                    <xdr:col>22</xdr:col>
                    <xdr:colOff>180975</xdr:colOff>
                    <xdr:row>100</xdr:row>
                    <xdr:rowOff>180975</xdr:rowOff>
                  </to>
                </anchor>
              </controlPr>
            </control>
          </mc:Choice>
        </mc:AlternateContent>
        <mc:AlternateContent xmlns:mc="http://schemas.openxmlformats.org/markup-compatibility/2006">
          <mc:Choice Requires="x14">
            <control shapeId="4222" r:id="rId22" name="Check Box 126">
              <controlPr locked="0" defaultSize="0" autoFill="0" autoLine="0" autoPict="0">
                <anchor moveWithCells="1" sizeWithCells="1">
                  <from>
                    <xdr:col>22</xdr:col>
                    <xdr:colOff>0</xdr:colOff>
                    <xdr:row>102</xdr:row>
                    <xdr:rowOff>0</xdr:rowOff>
                  </from>
                  <to>
                    <xdr:col>22</xdr:col>
                    <xdr:colOff>180975</xdr:colOff>
                    <xdr:row>102</xdr:row>
                    <xdr:rowOff>180975</xdr:rowOff>
                  </to>
                </anchor>
              </controlPr>
            </control>
          </mc:Choice>
        </mc:AlternateContent>
        <mc:AlternateContent xmlns:mc="http://schemas.openxmlformats.org/markup-compatibility/2006">
          <mc:Choice Requires="x14">
            <control shapeId="4223" r:id="rId23" name="Check Box 127">
              <controlPr locked="0" defaultSize="0" autoFill="0" autoLine="0" autoPict="0">
                <anchor moveWithCells="1" sizeWithCells="1">
                  <from>
                    <xdr:col>22</xdr:col>
                    <xdr:colOff>0</xdr:colOff>
                    <xdr:row>104</xdr:row>
                    <xdr:rowOff>0</xdr:rowOff>
                  </from>
                  <to>
                    <xdr:col>22</xdr:col>
                    <xdr:colOff>180975</xdr:colOff>
                    <xdr:row>104</xdr:row>
                    <xdr:rowOff>180975</xdr:rowOff>
                  </to>
                </anchor>
              </controlPr>
            </control>
          </mc:Choice>
        </mc:AlternateContent>
        <mc:AlternateContent xmlns:mc="http://schemas.openxmlformats.org/markup-compatibility/2006">
          <mc:Choice Requires="x14">
            <control shapeId="4224" r:id="rId24" name="Check Box 128">
              <controlPr locked="0" defaultSize="0" autoFill="0" autoLine="0" autoPict="0">
                <anchor moveWithCells="1" sizeWithCells="1">
                  <from>
                    <xdr:col>22</xdr:col>
                    <xdr:colOff>0</xdr:colOff>
                    <xdr:row>110</xdr:row>
                    <xdr:rowOff>0</xdr:rowOff>
                  </from>
                  <to>
                    <xdr:col>22</xdr:col>
                    <xdr:colOff>180975</xdr:colOff>
                    <xdr:row>110</xdr:row>
                    <xdr:rowOff>180975</xdr:rowOff>
                  </to>
                </anchor>
              </controlPr>
            </control>
          </mc:Choice>
        </mc:AlternateContent>
        <mc:AlternateContent xmlns:mc="http://schemas.openxmlformats.org/markup-compatibility/2006">
          <mc:Choice Requires="x14">
            <control shapeId="4225" r:id="rId25" name="Check Box 129">
              <controlPr locked="0" defaultSize="0" autoFill="0" autoLine="0" autoPict="0">
                <anchor moveWithCells="1" sizeWithCells="1">
                  <from>
                    <xdr:col>22</xdr:col>
                    <xdr:colOff>0</xdr:colOff>
                    <xdr:row>116</xdr:row>
                    <xdr:rowOff>0</xdr:rowOff>
                  </from>
                  <to>
                    <xdr:col>22</xdr:col>
                    <xdr:colOff>180975</xdr:colOff>
                    <xdr:row>116</xdr:row>
                    <xdr:rowOff>180975</xdr:rowOff>
                  </to>
                </anchor>
              </controlPr>
            </control>
          </mc:Choice>
        </mc:AlternateContent>
        <mc:AlternateContent xmlns:mc="http://schemas.openxmlformats.org/markup-compatibility/2006">
          <mc:Choice Requires="x14">
            <control shapeId="4226" r:id="rId26" name="Check Box 130">
              <controlPr locked="0" defaultSize="0" autoFill="0" autoLine="0" autoPict="0">
                <anchor moveWithCells="1" sizeWithCells="1">
                  <from>
                    <xdr:col>22</xdr:col>
                    <xdr:colOff>0</xdr:colOff>
                    <xdr:row>122</xdr:row>
                    <xdr:rowOff>0</xdr:rowOff>
                  </from>
                  <to>
                    <xdr:col>22</xdr:col>
                    <xdr:colOff>180975</xdr:colOff>
                    <xdr:row>122</xdr:row>
                    <xdr:rowOff>180975</xdr:rowOff>
                  </to>
                </anchor>
              </controlPr>
            </control>
          </mc:Choice>
        </mc:AlternateContent>
        <mc:AlternateContent xmlns:mc="http://schemas.openxmlformats.org/markup-compatibility/2006">
          <mc:Choice Requires="x14">
            <control shapeId="4227" r:id="rId27" name="Check Box 131">
              <controlPr locked="0" defaultSize="0" autoFill="0" autoLine="0" autoPict="0">
                <anchor moveWithCells="1" sizeWithCells="1">
                  <from>
                    <xdr:col>22</xdr:col>
                    <xdr:colOff>0</xdr:colOff>
                    <xdr:row>124</xdr:row>
                    <xdr:rowOff>0</xdr:rowOff>
                  </from>
                  <to>
                    <xdr:col>22</xdr:col>
                    <xdr:colOff>180975</xdr:colOff>
                    <xdr:row>124</xdr:row>
                    <xdr:rowOff>180975</xdr:rowOff>
                  </to>
                </anchor>
              </controlPr>
            </control>
          </mc:Choice>
        </mc:AlternateContent>
        <mc:AlternateContent xmlns:mc="http://schemas.openxmlformats.org/markup-compatibility/2006">
          <mc:Choice Requires="x14">
            <control shapeId="4228" r:id="rId28" name="Check Box 132">
              <controlPr locked="0" defaultSize="0" autoFill="0" autoLine="0" autoPict="0">
                <anchor moveWithCells="1" sizeWithCells="1">
                  <from>
                    <xdr:col>22</xdr:col>
                    <xdr:colOff>0</xdr:colOff>
                    <xdr:row>130</xdr:row>
                    <xdr:rowOff>0</xdr:rowOff>
                  </from>
                  <to>
                    <xdr:col>22</xdr:col>
                    <xdr:colOff>180975</xdr:colOff>
                    <xdr:row>130</xdr:row>
                    <xdr:rowOff>180975</xdr:rowOff>
                  </to>
                </anchor>
              </controlPr>
            </control>
          </mc:Choice>
        </mc:AlternateContent>
        <mc:AlternateContent xmlns:mc="http://schemas.openxmlformats.org/markup-compatibility/2006">
          <mc:Choice Requires="x14">
            <control shapeId="4229" r:id="rId29" name="Check Box 133">
              <controlPr locked="0" defaultSize="0" autoFill="0" autoLine="0" autoPict="0">
                <anchor moveWithCells="1" sizeWithCells="1">
                  <from>
                    <xdr:col>22</xdr:col>
                    <xdr:colOff>0</xdr:colOff>
                    <xdr:row>134</xdr:row>
                    <xdr:rowOff>0</xdr:rowOff>
                  </from>
                  <to>
                    <xdr:col>22</xdr:col>
                    <xdr:colOff>180975</xdr:colOff>
                    <xdr:row>134</xdr:row>
                    <xdr:rowOff>180975</xdr:rowOff>
                  </to>
                </anchor>
              </controlPr>
            </control>
          </mc:Choice>
        </mc:AlternateContent>
        <mc:AlternateContent xmlns:mc="http://schemas.openxmlformats.org/markup-compatibility/2006">
          <mc:Choice Requires="x14">
            <control shapeId="4230" r:id="rId30" name="Check Box 134">
              <controlPr locked="0" defaultSize="0" autoFill="0" autoLine="0" autoPict="0">
                <anchor moveWithCells="1" sizeWithCells="1">
                  <from>
                    <xdr:col>22</xdr:col>
                    <xdr:colOff>0</xdr:colOff>
                    <xdr:row>138</xdr:row>
                    <xdr:rowOff>0</xdr:rowOff>
                  </from>
                  <to>
                    <xdr:col>22</xdr:col>
                    <xdr:colOff>180975</xdr:colOff>
                    <xdr:row>138</xdr:row>
                    <xdr:rowOff>180975</xdr:rowOff>
                  </to>
                </anchor>
              </controlPr>
            </control>
          </mc:Choice>
        </mc:AlternateContent>
        <mc:AlternateContent xmlns:mc="http://schemas.openxmlformats.org/markup-compatibility/2006">
          <mc:Choice Requires="x14">
            <control shapeId="4231" r:id="rId31" name="Check Box 135">
              <controlPr locked="0" defaultSize="0" autoFill="0" autoLine="0" autoPict="0">
                <anchor moveWithCells="1" sizeWithCells="1">
                  <from>
                    <xdr:col>22</xdr:col>
                    <xdr:colOff>0</xdr:colOff>
                    <xdr:row>143</xdr:row>
                    <xdr:rowOff>0</xdr:rowOff>
                  </from>
                  <to>
                    <xdr:col>22</xdr:col>
                    <xdr:colOff>180975</xdr:colOff>
                    <xdr:row>143</xdr:row>
                    <xdr:rowOff>180975</xdr:rowOff>
                  </to>
                </anchor>
              </controlPr>
            </control>
          </mc:Choice>
        </mc:AlternateContent>
        <mc:AlternateContent xmlns:mc="http://schemas.openxmlformats.org/markup-compatibility/2006">
          <mc:Choice Requires="x14">
            <control shapeId="4232" r:id="rId32" name="Check Box 136">
              <controlPr locked="0" defaultSize="0" autoFill="0" autoLine="0" autoPict="0">
                <anchor moveWithCells="1" sizeWithCells="1">
                  <from>
                    <xdr:col>22</xdr:col>
                    <xdr:colOff>0</xdr:colOff>
                    <xdr:row>148</xdr:row>
                    <xdr:rowOff>0</xdr:rowOff>
                  </from>
                  <to>
                    <xdr:col>22</xdr:col>
                    <xdr:colOff>180975</xdr:colOff>
                    <xdr:row>148</xdr:row>
                    <xdr:rowOff>180975</xdr:rowOff>
                  </to>
                </anchor>
              </controlPr>
            </control>
          </mc:Choice>
        </mc:AlternateContent>
        <mc:AlternateContent xmlns:mc="http://schemas.openxmlformats.org/markup-compatibility/2006">
          <mc:Choice Requires="x14">
            <control shapeId="4233" r:id="rId33" name="Check Box 137">
              <controlPr locked="0" defaultSize="0" autoFill="0" autoLine="0" autoPict="0">
                <anchor moveWithCells="1" sizeWithCells="1">
                  <from>
                    <xdr:col>22</xdr:col>
                    <xdr:colOff>0</xdr:colOff>
                    <xdr:row>150</xdr:row>
                    <xdr:rowOff>0</xdr:rowOff>
                  </from>
                  <to>
                    <xdr:col>22</xdr:col>
                    <xdr:colOff>180975</xdr:colOff>
                    <xdr:row>150</xdr:row>
                    <xdr:rowOff>180975</xdr:rowOff>
                  </to>
                </anchor>
              </controlPr>
            </control>
          </mc:Choice>
        </mc:AlternateContent>
        <mc:AlternateContent xmlns:mc="http://schemas.openxmlformats.org/markup-compatibility/2006">
          <mc:Choice Requires="x14">
            <control shapeId="4234" r:id="rId34" name="Check Box 138">
              <controlPr locked="0" defaultSize="0" autoFill="0" autoLine="0" autoPict="0">
                <anchor moveWithCells="1" sizeWithCells="1">
                  <from>
                    <xdr:col>22</xdr:col>
                    <xdr:colOff>0</xdr:colOff>
                    <xdr:row>152</xdr:row>
                    <xdr:rowOff>0</xdr:rowOff>
                  </from>
                  <to>
                    <xdr:col>22</xdr:col>
                    <xdr:colOff>180975</xdr:colOff>
                    <xdr:row>152</xdr:row>
                    <xdr:rowOff>180975</xdr:rowOff>
                  </to>
                </anchor>
              </controlPr>
            </control>
          </mc:Choice>
        </mc:AlternateContent>
        <mc:AlternateContent xmlns:mc="http://schemas.openxmlformats.org/markup-compatibility/2006">
          <mc:Choice Requires="x14">
            <control shapeId="4235" r:id="rId35" name="Check Box 139">
              <controlPr locked="0" defaultSize="0" autoFill="0" autoLine="0" autoPict="0">
                <anchor moveWithCells="1" sizeWithCells="1">
                  <from>
                    <xdr:col>22</xdr:col>
                    <xdr:colOff>0</xdr:colOff>
                    <xdr:row>164</xdr:row>
                    <xdr:rowOff>0</xdr:rowOff>
                  </from>
                  <to>
                    <xdr:col>22</xdr:col>
                    <xdr:colOff>180975</xdr:colOff>
                    <xdr:row>164</xdr:row>
                    <xdr:rowOff>180975</xdr:rowOff>
                  </to>
                </anchor>
              </controlPr>
            </control>
          </mc:Choice>
        </mc:AlternateContent>
        <mc:AlternateContent xmlns:mc="http://schemas.openxmlformats.org/markup-compatibility/2006">
          <mc:Choice Requires="x14">
            <control shapeId="4236" r:id="rId36" name="Check Box 140">
              <controlPr locked="0" defaultSize="0" autoFill="0" autoLine="0" autoPict="0">
                <anchor moveWithCells="1" sizeWithCells="1">
                  <from>
                    <xdr:col>22</xdr:col>
                    <xdr:colOff>0</xdr:colOff>
                    <xdr:row>174</xdr:row>
                    <xdr:rowOff>0</xdr:rowOff>
                  </from>
                  <to>
                    <xdr:col>22</xdr:col>
                    <xdr:colOff>180975</xdr:colOff>
                    <xdr:row>174</xdr:row>
                    <xdr:rowOff>180975</xdr:rowOff>
                  </to>
                </anchor>
              </controlPr>
            </control>
          </mc:Choice>
        </mc:AlternateContent>
        <mc:AlternateContent xmlns:mc="http://schemas.openxmlformats.org/markup-compatibility/2006">
          <mc:Choice Requires="x14">
            <control shapeId="4237" r:id="rId37" name="Check Box 141">
              <controlPr locked="0" defaultSize="0" autoFill="0" autoLine="0" autoPict="0">
                <anchor moveWithCells="1" sizeWithCells="1">
                  <from>
                    <xdr:col>22</xdr:col>
                    <xdr:colOff>0</xdr:colOff>
                    <xdr:row>177</xdr:row>
                    <xdr:rowOff>0</xdr:rowOff>
                  </from>
                  <to>
                    <xdr:col>22</xdr:col>
                    <xdr:colOff>180975</xdr:colOff>
                    <xdr:row>177</xdr:row>
                    <xdr:rowOff>180975</xdr:rowOff>
                  </to>
                </anchor>
              </controlPr>
            </control>
          </mc:Choice>
        </mc:AlternateContent>
        <mc:AlternateContent xmlns:mc="http://schemas.openxmlformats.org/markup-compatibility/2006">
          <mc:Choice Requires="x14">
            <control shapeId="4238" r:id="rId38" name="Check Box 142">
              <controlPr locked="0" defaultSize="0" autoFill="0" autoLine="0" autoPict="0">
                <anchor moveWithCells="1" sizeWithCells="1">
                  <from>
                    <xdr:col>22</xdr:col>
                    <xdr:colOff>0</xdr:colOff>
                    <xdr:row>178</xdr:row>
                    <xdr:rowOff>0</xdr:rowOff>
                  </from>
                  <to>
                    <xdr:col>22</xdr:col>
                    <xdr:colOff>180975</xdr:colOff>
                    <xdr:row>178</xdr:row>
                    <xdr:rowOff>180975</xdr:rowOff>
                  </to>
                </anchor>
              </controlPr>
            </control>
          </mc:Choice>
        </mc:AlternateContent>
        <mc:AlternateContent xmlns:mc="http://schemas.openxmlformats.org/markup-compatibility/2006">
          <mc:Choice Requires="x14">
            <control shapeId="4239" r:id="rId39" name="Check Box 143">
              <controlPr locked="0" defaultSize="0" autoFill="0" autoLine="0" autoPict="0">
                <anchor moveWithCells="1" sizeWithCells="1">
                  <from>
                    <xdr:col>22</xdr:col>
                    <xdr:colOff>0</xdr:colOff>
                    <xdr:row>188</xdr:row>
                    <xdr:rowOff>0</xdr:rowOff>
                  </from>
                  <to>
                    <xdr:col>22</xdr:col>
                    <xdr:colOff>180975</xdr:colOff>
                    <xdr:row>188</xdr:row>
                    <xdr:rowOff>180975</xdr:rowOff>
                  </to>
                </anchor>
              </controlPr>
            </control>
          </mc:Choice>
        </mc:AlternateContent>
        <mc:AlternateContent xmlns:mc="http://schemas.openxmlformats.org/markup-compatibility/2006">
          <mc:Choice Requires="x14">
            <control shapeId="4240" r:id="rId40" name="Check Box 144">
              <controlPr locked="0" defaultSize="0" autoFill="0" autoLine="0" autoPict="0">
                <anchor moveWithCells="1" sizeWithCells="1">
                  <from>
                    <xdr:col>22</xdr:col>
                    <xdr:colOff>0</xdr:colOff>
                    <xdr:row>190</xdr:row>
                    <xdr:rowOff>0</xdr:rowOff>
                  </from>
                  <to>
                    <xdr:col>22</xdr:col>
                    <xdr:colOff>180975</xdr:colOff>
                    <xdr:row>190</xdr:row>
                    <xdr:rowOff>180975</xdr:rowOff>
                  </to>
                </anchor>
              </controlPr>
            </control>
          </mc:Choice>
        </mc:AlternateContent>
        <mc:AlternateContent xmlns:mc="http://schemas.openxmlformats.org/markup-compatibility/2006">
          <mc:Choice Requires="x14">
            <control shapeId="4241" r:id="rId41" name="Check Box 145">
              <controlPr locked="0" defaultSize="0" autoFill="0" autoLine="0" autoPict="0">
                <anchor moveWithCells="1" sizeWithCells="1">
                  <from>
                    <xdr:col>22</xdr:col>
                    <xdr:colOff>0</xdr:colOff>
                    <xdr:row>206</xdr:row>
                    <xdr:rowOff>0</xdr:rowOff>
                  </from>
                  <to>
                    <xdr:col>22</xdr:col>
                    <xdr:colOff>180975</xdr:colOff>
                    <xdr:row>206</xdr:row>
                    <xdr:rowOff>180975</xdr:rowOff>
                  </to>
                </anchor>
              </controlPr>
            </control>
          </mc:Choice>
        </mc:AlternateContent>
        <mc:AlternateContent xmlns:mc="http://schemas.openxmlformats.org/markup-compatibility/2006">
          <mc:Choice Requires="x14">
            <control shapeId="4242" r:id="rId42" name="Check Box 146">
              <controlPr locked="0" defaultSize="0" autoFill="0" autoLine="0" autoPict="0">
                <anchor moveWithCells="1" sizeWithCells="1">
                  <from>
                    <xdr:col>22</xdr:col>
                    <xdr:colOff>0</xdr:colOff>
                    <xdr:row>217</xdr:row>
                    <xdr:rowOff>0</xdr:rowOff>
                  </from>
                  <to>
                    <xdr:col>22</xdr:col>
                    <xdr:colOff>180975</xdr:colOff>
                    <xdr:row>217</xdr:row>
                    <xdr:rowOff>180975</xdr:rowOff>
                  </to>
                </anchor>
              </controlPr>
            </control>
          </mc:Choice>
        </mc:AlternateContent>
        <mc:AlternateContent xmlns:mc="http://schemas.openxmlformats.org/markup-compatibility/2006">
          <mc:Choice Requires="x14">
            <control shapeId="4243" r:id="rId43" name="Check Box 147">
              <controlPr locked="0" defaultSize="0" autoFill="0" autoLine="0" autoPict="0">
                <anchor moveWithCells="1" sizeWithCells="1">
                  <from>
                    <xdr:col>22</xdr:col>
                    <xdr:colOff>0</xdr:colOff>
                    <xdr:row>218</xdr:row>
                    <xdr:rowOff>0</xdr:rowOff>
                  </from>
                  <to>
                    <xdr:col>22</xdr:col>
                    <xdr:colOff>180975</xdr:colOff>
                    <xdr:row>218</xdr:row>
                    <xdr:rowOff>180975</xdr:rowOff>
                  </to>
                </anchor>
              </controlPr>
            </control>
          </mc:Choice>
        </mc:AlternateContent>
        <mc:AlternateContent xmlns:mc="http://schemas.openxmlformats.org/markup-compatibility/2006">
          <mc:Choice Requires="x14">
            <control shapeId="4244" r:id="rId44" name="Check Box 148">
              <controlPr locked="0" defaultSize="0" autoFill="0" autoLine="0" autoPict="0">
                <anchor moveWithCells="1" sizeWithCells="1">
                  <from>
                    <xdr:col>22</xdr:col>
                    <xdr:colOff>0</xdr:colOff>
                    <xdr:row>226</xdr:row>
                    <xdr:rowOff>0</xdr:rowOff>
                  </from>
                  <to>
                    <xdr:col>22</xdr:col>
                    <xdr:colOff>180975</xdr:colOff>
                    <xdr:row>226</xdr:row>
                    <xdr:rowOff>180975</xdr:rowOff>
                  </to>
                </anchor>
              </controlPr>
            </control>
          </mc:Choice>
        </mc:AlternateContent>
        <mc:AlternateContent xmlns:mc="http://schemas.openxmlformats.org/markup-compatibility/2006">
          <mc:Choice Requires="x14">
            <control shapeId="4245" r:id="rId45" name="Check Box 149">
              <controlPr locked="0" defaultSize="0" autoFill="0" autoLine="0" autoPict="0">
                <anchor moveWithCells="1" sizeWithCells="1">
                  <from>
                    <xdr:col>22</xdr:col>
                    <xdr:colOff>0</xdr:colOff>
                    <xdr:row>228</xdr:row>
                    <xdr:rowOff>0</xdr:rowOff>
                  </from>
                  <to>
                    <xdr:col>22</xdr:col>
                    <xdr:colOff>180975</xdr:colOff>
                    <xdr:row>228</xdr:row>
                    <xdr:rowOff>180975</xdr:rowOff>
                  </to>
                </anchor>
              </controlPr>
            </control>
          </mc:Choice>
        </mc:AlternateContent>
        <mc:AlternateContent xmlns:mc="http://schemas.openxmlformats.org/markup-compatibility/2006">
          <mc:Choice Requires="x14">
            <control shapeId="4246" r:id="rId46" name="Check Box 150">
              <controlPr locked="0" defaultSize="0" autoFill="0" autoLine="0" autoPict="0">
                <anchor moveWithCells="1" sizeWithCells="1">
                  <from>
                    <xdr:col>22</xdr:col>
                    <xdr:colOff>0</xdr:colOff>
                    <xdr:row>229</xdr:row>
                    <xdr:rowOff>0</xdr:rowOff>
                  </from>
                  <to>
                    <xdr:col>22</xdr:col>
                    <xdr:colOff>180975</xdr:colOff>
                    <xdr:row>229</xdr:row>
                    <xdr:rowOff>180975</xdr:rowOff>
                  </to>
                </anchor>
              </controlPr>
            </control>
          </mc:Choice>
        </mc:AlternateContent>
        <mc:AlternateContent xmlns:mc="http://schemas.openxmlformats.org/markup-compatibility/2006">
          <mc:Choice Requires="x14">
            <control shapeId="4247" r:id="rId47" name="Check Box 151">
              <controlPr locked="0" defaultSize="0" autoFill="0" autoLine="0" autoPict="0">
                <anchor moveWithCells="1" sizeWithCells="1">
                  <from>
                    <xdr:col>22</xdr:col>
                    <xdr:colOff>0</xdr:colOff>
                    <xdr:row>232</xdr:row>
                    <xdr:rowOff>0</xdr:rowOff>
                  </from>
                  <to>
                    <xdr:col>22</xdr:col>
                    <xdr:colOff>180975</xdr:colOff>
                    <xdr:row>232</xdr:row>
                    <xdr:rowOff>180975</xdr:rowOff>
                  </to>
                </anchor>
              </controlPr>
            </control>
          </mc:Choice>
        </mc:AlternateContent>
        <mc:AlternateContent xmlns:mc="http://schemas.openxmlformats.org/markup-compatibility/2006">
          <mc:Choice Requires="x14">
            <control shapeId="4248" r:id="rId48" name="Check Box 152">
              <controlPr locked="0" defaultSize="0" autoFill="0" autoLine="0" autoPict="0">
                <anchor moveWithCells="1" sizeWithCells="1">
                  <from>
                    <xdr:col>22</xdr:col>
                    <xdr:colOff>0</xdr:colOff>
                    <xdr:row>236</xdr:row>
                    <xdr:rowOff>0</xdr:rowOff>
                  </from>
                  <to>
                    <xdr:col>22</xdr:col>
                    <xdr:colOff>180975</xdr:colOff>
                    <xdr:row>236</xdr:row>
                    <xdr:rowOff>180975</xdr:rowOff>
                  </to>
                </anchor>
              </controlPr>
            </control>
          </mc:Choice>
        </mc:AlternateContent>
        <mc:AlternateContent xmlns:mc="http://schemas.openxmlformats.org/markup-compatibility/2006">
          <mc:Choice Requires="x14">
            <control shapeId="4249" r:id="rId49" name="Check Box 153">
              <controlPr locked="0" defaultSize="0" autoFill="0" autoLine="0" autoPict="0">
                <anchor moveWithCells="1" sizeWithCells="1">
                  <from>
                    <xdr:col>22</xdr:col>
                    <xdr:colOff>0</xdr:colOff>
                    <xdr:row>241</xdr:row>
                    <xdr:rowOff>0</xdr:rowOff>
                  </from>
                  <to>
                    <xdr:col>22</xdr:col>
                    <xdr:colOff>180975</xdr:colOff>
                    <xdr:row>241</xdr:row>
                    <xdr:rowOff>180975</xdr:rowOff>
                  </to>
                </anchor>
              </controlPr>
            </control>
          </mc:Choice>
        </mc:AlternateContent>
        <mc:AlternateContent xmlns:mc="http://schemas.openxmlformats.org/markup-compatibility/2006">
          <mc:Choice Requires="x14">
            <control shapeId="4250" r:id="rId50" name="Check Box 154">
              <controlPr locked="0" defaultSize="0" autoFill="0" autoLine="0" autoPict="0">
                <anchor moveWithCells="1" sizeWithCells="1">
                  <from>
                    <xdr:col>22</xdr:col>
                    <xdr:colOff>0</xdr:colOff>
                    <xdr:row>243</xdr:row>
                    <xdr:rowOff>0</xdr:rowOff>
                  </from>
                  <to>
                    <xdr:col>22</xdr:col>
                    <xdr:colOff>180975</xdr:colOff>
                    <xdr:row>243</xdr:row>
                    <xdr:rowOff>180975</xdr:rowOff>
                  </to>
                </anchor>
              </controlPr>
            </control>
          </mc:Choice>
        </mc:AlternateContent>
        <mc:AlternateContent xmlns:mc="http://schemas.openxmlformats.org/markup-compatibility/2006">
          <mc:Choice Requires="x14">
            <control shapeId="4251" r:id="rId51" name="Check Box 155">
              <controlPr locked="0" defaultSize="0" autoFill="0" autoLine="0" autoPict="0">
                <anchor moveWithCells="1" sizeWithCells="1">
                  <from>
                    <xdr:col>22</xdr:col>
                    <xdr:colOff>0</xdr:colOff>
                    <xdr:row>260</xdr:row>
                    <xdr:rowOff>0</xdr:rowOff>
                  </from>
                  <to>
                    <xdr:col>22</xdr:col>
                    <xdr:colOff>180975</xdr:colOff>
                    <xdr:row>260</xdr:row>
                    <xdr:rowOff>180975</xdr:rowOff>
                  </to>
                </anchor>
              </controlPr>
            </control>
          </mc:Choice>
        </mc:AlternateContent>
        <mc:AlternateContent xmlns:mc="http://schemas.openxmlformats.org/markup-compatibility/2006">
          <mc:Choice Requires="x14">
            <control shapeId="4252" r:id="rId52" name="Check Box 156">
              <controlPr locked="0" defaultSize="0" autoFill="0" autoLine="0" autoPict="0">
                <anchor moveWithCells="1" sizeWithCells="1">
                  <from>
                    <xdr:col>22</xdr:col>
                    <xdr:colOff>0</xdr:colOff>
                    <xdr:row>277</xdr:row>
                    <xdr:rowOff>0</xdr:rowOff>
                  </from>
                  <to>
                    <xdr:col>22</xdr:col>
                    <xdr:colOff>180975</xdr:colOff>
                    <xdr:row>277</xdr:row>
                    <xdr:rowOff>180975</xdr:rowOff>
                  </to>
                </anchor>
              </controlPr>
            </control>
          </mc:Choice>
        </mc:AlternateContent>
        <mc:AlternateContent xmlns:mc="http://schemas.openxmlformats.org/markup-compatibility/2006">
          <mc:Choice Requires="x14">
            <control shapeId="4253" r:id="rId53" name="Check Box 157">
              <controlPr locked="0" defaultSize="0" autoFill="0" autoLine="0" autoPict="0">
                <anchor moveWithCells="1" sizeWithCells="1">
                  <from>
                    <xdr:col>22</xdr:col>
                    <xdr:colOff>0</xdr:colOff>
                    <xdr:row>290</xdr:row>
                    <xdr:rowOff>0</xdr:rowOff>
                  </from>
                  <to>
                    <xdr:col>22</xdr:col>
                    <xdr:colOff>180975</xdr:colOff>
                    <xdr:row>290</xdr:row>
                    <xdr:rowOff>180975</xdr:rowOff>
                  </to>
                </anchor>
              </controlPr>
            </control>
          </mc:Choice>
        </mc:AlternateContent>
        <mc:AlternateContent xmlns:mc="http://schemas.openxmlformats.org/markup-compatibility/2006">
          <mc:Choice Requires="x14">
            <control shapeId="4254" r:id="rId54" name="Check Box 158">
              <controlPr locked="0" defaultSize="0" autoFill="0" autoLine="0" autoPict="0">
                <anchor moveWithCells="1" sizeWithCells="1">
                  <from>
                    <xdr:col>22</xdr:col>
                    <xdr:colOff>0</xdr:colOff>
                    <xdr:row>292</xdr:row>
                    <xdr:rowOff>0</xdr:rowOff>
                  </from>
                  <to>
                    <xdr:col>22</xdr:col>
                    <xdr:colOff>180975</xdr:colOff>
                    <xdr:row>292</xdr:row>
                    <xdr:rowOff>180975</xdr:rowOff>
                  </to>
                </anchor>
              </controlPr>
            </control>
          </mc:Choice>
        </mc:AlternateContent>
        <mc:AlternateContent xmlns:mc="http://schemas.openxmlformats.org/markup-compatibility/2006">
          <mc:Choice Requires="x14">
            <control shapeId="4255" r:id="rId55" name="Check Box 159">
              <controlPr locked="0" defaultSize="0" autoFill="0" autoLine="0" autoPict="0">
                <anchor moveWithCells="1" sizeWithCells="1">
                  <from>
                    <xdr:col>22</xdr:col>
                    <xdr:colOff>0</xdr:colOff>
                    <xdr:row>305</xdr:row>
                    <xdr:rowOff>0</xdr:rowOff>
                  </from>
                  <to>
                    <xdr:col>22</xdr:col>
                    <xdr:colOff>180975</xdr:colOff>
                    <xdr:row>305</xdr:row>
                    <xdr:rowOff>180975</xdr:rowOff>
                  </to>
                </anchor>
              </controlPr>
            </control>
          </mc:Choice>
        </mc:AlternateContent>
        <mc:AlternateContent xmlns:mc="http://schemas.openxmlformats.org/markup-compatibility/2006">
          <mc:Choice Requires="x14">
            <control shapeId="4256" r:id="rId56" name="Check Box 160">
              <controlPr locked="0" defaultSize="0" autoFill="0" autoLine="0" autoPict="0">
                <anchor moveWithCells="1" sizeWithCells="1">
                  <from>
                    <xdr:col>22</xdr:col>
                    <xdr:colOff>0</xdr:colOff>
                    <xdr:row>306</xdr:row>
                    <xdr:rowOff>0</xdr:rowOff>
                  </from>
                  <to>
                    <xdr:col>22</xdr:col>
                    <xdr:colOff>180975</xdr:colOff>
                    <xdr:row>306</xdr:row>
                    <xdr:rowOff>180975</xdr:rowOff>
                  </to>
                </anchor>
              </controlPr>
            </control>
          </mc:Choice>
        </mc:AlternateContent>
        <mc:AlternateContent xmlns:mc="http://schemas.openxmlformats.org/markup-compatibility/2006">
          <mc:Choice Requires="x14">
            <control shapeId="4257" r:id="rId57" name="Check Box 161">
              <controlPr locked="0" defaultSize="0" autoFill="0" autoLine="0" autoPict="0">
                <anchor moveWithCells="1" sizeWithCells="1">
                  <from>
                    <xdr:col>22</xdr:col>
                    <xdr:colOff>0</xdr:colOff>
                    <xdr:row>307</xdr:row>
                    <xdr:rowOff>0</xdr:rowOff>
                  </from>
                  <to>
                    <xdr:col>22</xdr:col>
                    <xdr:colOff>180975</xdr:colOff>
                    <xdr:row>307</xdr:row>
                    <xdr:rowOff>180975</xdr:rowOff>
                  </to>
                </anchor>
              </controlPr>
            </control>
          </mc:Choice>
        </mc:AlternateContent>
        <mc:AlternateContent xmlns:mc="http://schemas.openxmlformats.org/markup-compatibility/2006">
          <mc:Choice Requires="x14">
            <control shapeId="4258" r:id="rId58" name="Check Box 162">
              <controlPr locked="0" defaultSize="0" autoFill="0" autoLine="0" autoPict="0">
                <anchor moveWithCells="1" sizeWithCells="1">
                  <from>
                    <xdr:col>22</xdr:col>
                    <xdr:colOff>0</xdr:colOff>
                    <xdr:row>308</xdr:row>
                    <xdr:rowOff>0</xdr:rowOff>
                  </from>
                  <to>
                    <xdr:col>22</xdr:col>
                    <xdr:colOff>180975</xdr:colOff>
                    <xdr:row>308</xdr:row>
                    <xdr:rowOff>180975</xdr:rowOff>
                  </to>
                </anchor>
              </controlPr>
            </control>
          </mc:Choice>
        </mc:AlternateContent>
        <mc:AlternateContent xmlns:mc="http://schemas.openxmlformats.org/markup-compatibility/2006">
          <mc:Choice Requires="x14">
            <control shapeId="4259" r:id="rId59" name="Check Box 163">
              <controlPr locked="0" defaultSize="0" autoFill="0" autoLine="0" autoPict="0">
                <anchor moveWithCells="1" sizeWithCells="1">
                  <from>
                    <xdr:col>22</xdr:col>
                    <xdr:colOff>0</xdr:colOff>
                    <xdr:row>309</xdr:row>
                    <xdr:rowOff>0</xdr:rowOff>
                  </from>
                  <to>
                    <xdr:col>22</xdr:col>
                    <xdr:colOff>180975</xdr:colOff>
                    <xdr:row>309</xdr:row>
                    <xdr:rowOff>180975</xdr:rowOff>
                  </to>
                </anchor>
              </controlPr>
            </control>
          </mc:Choice>
        </mc:AlternateContent>
        <mc:AlternateContent xmlns:mc="http://schemas.openxmlformats.org/markup-compatibility/2006">
          <mc:Choice Requires="x14">
            <control shapeId="4260" r:id="rId60" name="Check Box 164">
              <controlPr locked="0" defaultSize="0" autoFill="0" autoLine="0" autoPict="0">
                <anchor moveWithCells="1" sizeWithCells="1">
                  <from>
                    <xdr:col>22</xdr:col>
                    <xdr:colOff>0</xdr:colOff>
                    <xdr:row>310</xdr:row>
                    <xdr:rowOff>0</xdr:rowOff>
                  </from>
                  <to>
                    <xdr:col>22</xdr:col>
                    <xdr:colOff>180975</xdr:colOff>
                    <xdr:row>310</xdr:row>
                    <xdr:rowOff>180975</xdr:rowOff>
                  </to>
                </anchor>
              </controlPr>
            </control>
          </mc:Choice>
        </mc:AlternateContent>
        <mc:AlternateContent xmlns:mc="http://schemas.openxmlformats.org/markup-compatibility/2006">
          <mc:Choice Requires="x14">
            <control shapeId="4261" r:id="rId61" name="Check Box 165">
              <controlPr locked="0" defaultSize="0" autoFill="0" autoLine="0" autoPict="0">
                <anchor moveWithCells="1" sizeWithCells="1">
                  <from>
                    <xdr:col>22</xdr:col>
                    <xdr:colOff>0</xdr:colOff>
                    <xdr:row>311</xdr:row>
                    <xdr:rowOff>0</xdr:rowOff>
                  </from>
                  <to>
                    <xdr:col>22</xdr:col>
                    <xdr:colOff>180975</xdr:colOff>
                    <xdr:row>311</xdr:row>
                    <xdr:rowOff>180975</xdr:rowOff>
                  </to>
                </anchor>
              </controlPr>
            </control>
          </mc:Choice>
        </mc:AlternateContent>
        <mc:AlternateContent xmlns:mc="http://schemas.openxmlformats.org/markup-compatibility/2006">
          <mc:Choice Requires="x14">
            <control shapeId="4262" r:id="rId62" name="Check Box 166">
              <controlPr locked="0" defaultSize="0" autoFill="0" autoLine="0" autoPict="0">
                <anchor moveWithCells="1" sizeWithCells="1">
                  <from>
                    <xdr:col>22</xdr:col>
                    <xdr:colOff>0</xdr:colOff>
                    <xdr:row>312</xdr:row>
                    <xdr:rowOff>0</xdr:rowOff>
                  </from>
                  <to>
                    <xdr:col>22</xdr:col>
                    <xdr:colOff>180975</xdr:colOff>
                    <xdr:row>312</xdr:row>
                    <xdr:rowOff>180975</xdr:rowOff>
                  </to>
                </anchor>
              </controlPr>
            </control>
          </mc:Choice>
        </mc:AlternateContent>
        <mc:AlternateContent xmlns:mc="http://schemas.openxmlformats.org/markup-compatibility/2006">
          <mc:Choice Requires="x14">
            <control shapeId="4263" r:id="rId63" name="Check Box 167">
              <controlPr locked="0" defaultSize="0" autoFill="0" autoLine="0" autoPict="0">
                <anchor moveWithCells="1" sizeWithCells="1">
                  <from>
                    <xdr:col>22</xdr:col>
                    <xdr:colOff>0</xdr:colOff>
                    <xdr:row>313</xdr:row>
                    <xdr:rowOff>0</xdr:rowOff>
                  </from>
                  <to>
                    <xdr:col>22</xdr:col>
                    <xdr:colOff>180975</xdr:colOff>
                    <xdr:row>313</xdr:row>
                    <xdr:rowOff>180975</xdr:rowOff>
                  </to>
                </anchor>
              </controlPr>
            </control>
          </mc:Choice>
        </mc:AlternateContent>
        <mc:AlternateContent xmlns:mc="http://schemas.openxmlformats.org/markup-compatibility/2006">
          <mc:Choice Requires="x14">
            <control shapeId="4264" r:id="rId64" name="Check Box 168">
              <controlPr locked="0" defaultSize="0" autoFill="0" autoLine="0" autoPict="0">
                <anchor moveWithCells="1" sizeWithCells="1">
                  <from>
                    <xdr:col>22</xdr:col>
                    <xdr:colOff>0</xdr:colOff>
                    <xdr:row>364</xdr:row>
                    <xdr:rowOff>0</xdr:rowOff>
                  </from>
                  <to>
                    <xdr:col>22</xdr:col>
                    <xdr:colOff>180975</xdr:colOff>
                    <xdr:row>364</xdr:row>
                    <xdr:rowOff>180975</xdr:rowOff>
                  </to>
                </anchor>
              </controlPr>
            </control>
          </mc:Choice>
        </mc:AlternateContent>
        <mc:AlternateContent xmlns:mc="http://schemas.openxmlformats.org/markup-compatibility/2006">
          <mc:Choice Requires="x14">
            <control shapeId="4265" r:id="rId65" name="Check Box 169">
              <controlPr locked="0" defaultSize="0" autoFill="0" autoLine="0" autoPict="0">
                <anchor moveWithCells="1" sizeWithCells="1">
                  <from>
                    <xdr:col>22</xdr:col>
                    <xdr:colOff>0</xdr:colOff>
                    <xdr:row>369</xdr:row>
                    <xdr:rowOff>0</xdr:rowOff>
                  </from>
                  <to>
                    <xdr:col>22</xdr:col>
                    <xdr:colOff>180975</xdr:colOff>
                    <xdr:row>369</xdr:row>
                    <xdr:rowOff>180975</xdr:rowOff>
                  </to>
                </anchor>
              </controlPr>
            </control>
          </mc:Choice>
        </mc:AlternateContent>
        <mc:AlternateContent xmlns:mc="http://schemas.openxmlformats.org/markup-compatibility/2006">
          <mc:Choice Requires="x14">
            <control shapeId="4266" r:id="rId66" name="Check Box 170">
              <controlPr locked="0" defaultSize="0" autoFill="0" autoLine="0" autoPict="0">
                <anchor moveWithCells="1" sizeWithCells="1">
                  <from>
                    <xdr:col>22</xdr:col>
                    <xdr:colOff>0</xdr:colOff>
                    <xdr:row>375</xdr:row>
                    <xdr:rowOff>0</xdr:rowOff>
                  </from>
                  <to>
                    <xdr:col>22</xdr:col>
                    <xdr:colOff>180975</xdr:colOff>
                    <xdr:row>375</xdr:row>
                    <xdr:rowOff>180975</xdr:rowOff>
                  </to>
                </anchor>
              </controlPr>
            </control>
          </mc:Choice>
        </mc:AlternateContent>
        <mc:AlternateContent xmlns:mc="http://schemas.openxmlformats.org/markup-compatibility/2006">
          <mc:Choice Requires="x14">
            <control shapeId="4267" r:id="rId67" name="Check Box 171">
              <controlPr locked="0" defaultSize="0" autoFill="0" autoLine="0" autoPict="0">
                <anchor moveWithCells="1" sizeWithCells="1">
                  <from>
                    <xdr:col>22</xdr:col>
                    <xdr:colOff>0</xdr:colOff>
                    <xdr:row>408</xdr:row>
                    <xdr:rowOff>0</xdr:rowOff>
                  </from>
                  <to>
                    <xdr:col>22</xdr:col>
                    <xdr:colOff>180975</xdr:colOff>
                    <xdr:row>408</xdr:row>
                    <xdr:rowOff>180975</xdr:rowOff>
                  </to>
                </anchor>
              </controlPr>
            </control>
          </mc:Choice>
        </mc:AlternateContent>
        <mc:AlternateContent xmlns:mc="http://schemas.openxmlformats.org/markup-compatibility/2006">
          <mc:Choice Requires="x14">
            <control shapeId="4268" r:id="rId68" name="Check Box 172">
              <controlPr locked="0" defaultSize="0" autoFill="0" autoLine="0" autoPict="0">
                <anchor moveWithCells="1" sizeWithCells="1">
                  <from>
                    <xdr:col>22</xdr:col>
                    <xdr:colOff>0</xdr:colOff>
                    <xdr:row>417</xdr:row>
                    <xdr:rowOff>0</xdr:rowOff>
                  </from>
                  <to>
                    <xdr:col>22</xdr:col>
                    <xdr:colOff>180975</xdr:colOff>
                    <xdr:row>417</xdr:row>
                    <xdr:rowOff>180975</xdr:rowOff>
                  </to>
                </anchor>
              </controlPr>
            </control>
          </mc:Choice>
        </mc:AlternateContent>
        <mc:AlternateContent xmlns:mc="http://schemas.openxmlformats.org/markup-compatibility/2006">
          <mc:Choice Requires="x14">
            <control shapeId="4269" r:id="rId69" name="Check Box 173">
              <controlPr locked="0" defaultSize="0" autoFill="0" autoLine="0" autoPict="0">
                <anchor moveWithCells="1" sizeWithCells="1">
                  <from>
                    <xdr:col>22</xdr:col>
                    <xdr:colOff>0</xdr:colOff>
                    <xdr:row>425</xdr:row>
                    <xdr:rowOff>0</xdr:rowOff>
                  </from>
                  <to>
                    <xdr:col>22</xdr:col>
                    <xdr:colOff>180975</xdr:colOff>
                    <xdr:row>425</xdr:row>
                    <xdr:rowOff>180975</xdr:rowOff>
                  </to>
                </anchor>
              </controlPr>
            </control>
          </mc:Choice>
        </mc:AlternateContent>
        <mc:AlternateContent xmlns:mc="http://schemas.openxmlformats.org/markup-compatibility/2006">
          <mc:Choice Requires="x14">
            <control shapeId="4270" r:id="rId70" name="Check Box 174">
              <controlPr locked="0" defaultSize="0" autoFill="0" autoLine="0" autoPict="0">
                <anchor moveWithCells="1" sizeWithCells="1">
                  <from>
                    <xdr:col>22</xdr:col>
                    <xdr:colOff>0</xdr:colOff>
                    <xdr:row>505</xdr:row>
                    <xdr:rowOff>0</xdr:rowOff>
                  </from>
                  <to>
                    <xdr:col>22</xdr:col>
                    <xdr:colOff>180975</xdr:colOff>
                    <xdr:row>505</xdr:row>
                    <xdr:rowOff>180975</xdr:rowOff>
                  </to>
                </anchor>
              </controlPr>
            </control>
          </mc:Choice>
        </mc:AlternateContent>
        <mc:AlternateContent xmlns:mc="http://schemas.openxmlformats.org/markup-compatibility/2006">
          <mc:Choice Requires="x14">
            <control shapeId="4271" r:id="rId71" name="Check Box 175">
              <controlPr locked="0" defaultSize="0" autoFill="0" autoLine="0" autoPict="0">
                <anchor moveWithCells="1" sizeWithCells="1">
                  <from>
                    <xdr:col>22</xdr:col>
                    <xdr:colOff>0</xdr:colOff>
                    <xdr:row>506</xdr:row>
                    <xdr:rowOff>0</xdr:rowOff>
                  </from>
                  <to>
                    <xdr:col>22</xdr:col>
                    <xdr:colOff>180975</xdr:colOff>
                    <xdr:row>506</xdr:row>
                    <xdr:rowOff>180975</xdr:rowOff>
                  </to>
                </anchor>
              </controlPr>
            </control>
          </mc:Choice>
        </mc:AlternateContent>
        <mc:AlternateContent xmlns:mc="http://schemas.openxmlformats.org/markup-compatibility/2006">
          <mc:Choice Requires="x14">
            <control shapeId="4272" r:id="rId72" name="Check Box 176">
              <controlPr locked="0" defaultSize="0" autoFill="0" autoLine="0" autoPict="0">
                <anchor moveWithCells="1" sizeWithCells="1">
                  <from>
                    <xdr:col>22</xdr:col>
                    <xdr:colOff>0</xdr:colOff>
                    <xdr:row>508</xdr:row>
                    <xdr:rowOff>0</xdr:rowOff>
                  </from>
                  <to>
                    <xdr:col>22</xdr:col>
                    <xdr:colOff>180975</xdr:colOff>
                    <xdr:row>508</xdr:row>
                    <xdr:rowOff>180975</xdr:rowOff>
                  </to>
                </anchor>
              </controlPr>
            </control>
          </mc:Choice>
        </mc:AlternateContent>
        <mc:AlternateContent xmlns:mc="http://schemas.openxmlformats.org/markup-compatibility/2006">
          <mc:Choice Requires="x14">
            <control shapeId="4273" r:id="rId73" name="Check Box 177">
              <controlPr locked="0" defaultSize="0" autoFill="0" autoLine="0" autoPict="0">
                <anchor moveWithCells="1" sizeWithCells="1">
                  <from>
                    <xdr:col>22</xdr:col>
                    <xdr:colOff>0</xdr:colOff>
                    <xdr:row>510</xdr:row>
                    <xdr:rowOff>0</xdr:rowOff>
                  </from>
                  <to>
                    <xdr:col>22</xdr:col>
                    <xdr:colOff>180975</xdr:colOff>
                    <xdr:row>510</xdr:row>
                    <xdr:rowOff>180975</xdr:rowOff>
                  </to>
                </anchor>
              </controlPr>
            </control>
          </mc:Choice>
        </mc:AlternateContent>
        <mc:AlternateContent xmlns:mc="http://schemas.openxmlformats.org/markup-compatibility/2006">
          <mc:Choice Requires="x14">
            <control shapeId="4274" r:id="rId74" name="Check Box 178">
              <controlPr locked="0" defaultSize="0" autoFill="0" autoLine="0" autoPict="0">
                <anchor moveWithCells="1" sizeWithCells="1">
                  <from>
                    <xdr:col>22</xdr:col>
                    <xdr:colOff>0</xdr:colOff>
                    <xdr:row>512</xdr:row>
                    <xdr:rowOff>0</xdr:rowOff>
                  </from>
                  <to>
                    <xdr:col>22</xdr:col>
                    <xdr:colOff>180975</xdr:colOff>
                    <xdr:row>512</xdr:row>
                    <xdr:rowOff>180975</xdr:rowOff>
                  </to>
                </anchor>
              </controlPr>
            </control>
          </mc:Choice>
        </mc:AlternateContent>
        <mc:AlternateContent xmlns:mc="http://schemas.openxmlformats.org/markup-compatibility/2006">
          <mc:Choice Requires="x14">
            <control shapeId="4275" r:id="rId75" name="Check Box 179">
              <controlPr locked="0" defaultSize="0" autoFill="0" autoLine="0" autoPict="0">
                <anchor moveWithCells="1" sizeWithCells="1">
                  <from>
                    <xdr:col>22</xdr:col>
                    <xdr:colOff>0</xdr:colOff>
                    <xdr:row>514</xdr:row>
                    <xdr:rowOff>0</xdr:rowOff>
                  </from>
                  <to>
                    <xdr:col>22</xdr:col>
                    <xdr:colOff>180975</xdr:colOff>
                    <xdr:row>514</xdr:row>
                    <xdr:rowOff>180975</xdr:rowOff>
                  </to>
                </anchor>
              </controlPr>
            </control>
          </mc:Choice>
        </mc:AlternateContent>
        <mc:AlternateContent xmlns:mc="http://schemas.openxmlformats.org/markup-compatibility/2006">
          <mc:Choice Requires="x14">
            <control shapeId="4276" r:id="rId76" name="Check Box 180">
              <controlPr locked="0" defaultSize="0" autoFill="0" autoLine="0" autoPict="0">
                <anchor moveWithCells="1" sizeWithCells="1">
                  <from>
                    <xdr:col>22</xdr:col>
                    <xdr:colOff>0</xdr:colOff>
                    <xdr:row>516</xdr:row>
                    <xdr:rowOff>0</xdr:rowOff>
                  </from>
                  <to>
                    <xdr:col>22</xdr:col>
                    <xdr:colOff>180975</xdr:colOff>
                    <xdr:row>516</xdr:row>
                    <xdr:rowOff>180975</xdr:rowOff>
                  </to>
                </anchor>
              </controlPr>
            </control>
          </mc:Choice>
        </mc:AlternateContent>
        <mc:AlternateContent xmlns:mc="http://schemas.openxmlformats.org/markup-compatibility/2006">
          <mc:Choice Requires="x14">
            <control shapeId="4277" r:id="rId77" name="Check Box 181">
              <controlPr locked="0" defaultSize="0" autoFill="0" autoLine="0" autoPict="0">
                <anchor moveWithCells="1" sizeWithCells="1">
                  <from>
                    <xdr:col>22</xdr:col>
                    <xdr:colOff>0</xdr:colOff>
                    <xdr:row>520</xdr:row>
                    <xdr:rowOff>0</xdr:rowOff>
                  </from>
                  <to>
                    <xdr:col>22</xdr:col>
                    <xdr:colOff>180975</xdr:colOff>
                    <xdr:row>520</xdr:row>
                    <xdr:rowOff>180975</xdr:rowOff>
                  </to>
                </anchor>
              </controlPr>
            </control>
          </mc:Choice>
        </mc:AlternateContent>
        <mc:AlternateContent xmlns:mc="http://schemas.openxmlformats.org/markup-compatibility/2006">
          <mc:Choice Requires="x14">
            <control shapeId="4278" r:id="rId78" name="Check Box 182">
              <controlPr locked="0" defaultSize="0" autoFill="0" autoLine="0" autoPict="0">
                <anchor moveWithCells="1" sizeWithCells="1">
                  <from>
                    <xdr:col>22</xdr:col>
                    <xdr:colOff>0</xdr:colOff>
                    <xdr:row>525</xdr:row>
                    <xdr:rowOff>0</xdr:rowOff>
                  </from>
                  <to>
                    <xdr:col>22</xdr:col>
                    <xdr:colOff>180975</xdr:colOff>
                    <xdr:row>525</xdr:row>
                    <xdr:rowOff>180975</xdr:rowOff>
                  </to>
                </anchor>
              </controlPr>
            </control>
          </mc:Choice>
        </mc:AlternateContent>
        <mc:AlternateContent xmlns:mc="http://schemas.openxmlformats.org/markup-compatibility/2006">
          <mc:Choice Requires="x14">
            <control shapeId="4279" r:id="rId79" name="Check Box 183">
              <controlPr locked="0" defaultSize="0" autoFill="0" autoLine="0" autoPict="0">
                <anchor moveWithCells="1" sizeWithCells="1">
                  <from>
                    <xdr:col>22</xdr:col>
                    <xdr:colOff>0</xdr:colOff>
                    <xdr:row>529</xdr:row>
                    <xdr:rowOff>0</xdr:rowOff>
                  </from>
                  <to>
                    <xdr:col>22</xdr:col>
                    <xdr:colOff>180975</xdr:colOff>
                    <xdr:row>529</xdr:row>
                    <xdr:rowOff>180975</xdr:rowOff>
                  </to>
                </anchor>
              </controlPr>
            </control>
          </mc:Choice>
        </mc:AlternateContent>
        <mc:AlternateContent xmlns:mc="http://schemas.openxmlformats.org/markup-compatibility/2006">
          <mc:Choice Requires="x14">
            <control shapeId="4280" r:id="rId80" name="Check Box 184">
              <controlPr locked="0" defaultSize="0" autoFill="0" autoLine="0" autoPict="0">
                <anchor moveWithCells="1" sizeWithCells="1">
                  <from>
                    <xdr:col>22</xdr:col>
                    <xdr:colOff>0</xdr:colOff>
                    <xdr:row>531</xdr:row>
                    <xdr:rowOff>0</xdr:rowOff>
                  </from>
                  <to>
                    <xdr:col>22</xdr:col>
                    <xdr:colOff>180975</xdr:colOff>
                    <xdr:row>531</xdr:row>
                    <xdr:rowOff>180975</xdr:rowOff>
                  </to>
                </anchor>
              </controlPr>
            </control>
          </mc:Choice>
        </mc:AlternateContent>
        <mc:AlternateContent xmlns:mc="http://schemas.openxmlformats.org/markup-compatibility/2006">
          <mc:Choice Requires="x14">
            <control shapeId="4281" r:id="rId81" name="Check Box 185">
              <controlPr locked="0" defaultSize="0" autoFill="0" autoLine="0" autoPict="0">
                <anchor moveWithCells="1" sizeWithCells="1">
                  <from>
                    <xdr:col>22</xdr:col>
                    <xdr:colOff>0</xdr:colOff>
                    <xdr:row>533</xdr:row>
                    <xdr:rowOff>0</xdr:rowOff>
                  </from>
                  <to>
                    <xdr:col>22</xdr:col>
                    <xdr:colOff>180975</xdr:colOff>
                    <xdr:row>533</xdr:row>
                    <xdr:rowOff>180975</xdr:rowOff>
                  </to>
                </anchor>
              </controlPr>
            </control>
          </mc:Choice>
        </mc:AlternateContent>
        <mc:AlternateContent xmlns:mc="http://schemas.openxmlformats.org/markup-compatibility/2006">
          <mc:Choice Requires="x14">
            <control shapeId="4282" r:id="rId82" name="Check Box 186">
              <controlPr locked="0" defaultSize="0" autoFill="0" autoLine="0" autoPict="0">
                <anchor moveWithCells="1" sizeWithCells="1">
                  <from>
                    <xdr:col>22</xdr:col>
                    <xdr:colOff>0</xdr:colOff>
                    <xdr:row>534</xdr:row>
                    <xdr:rowOff>0</xdr:rowOff>
                  </from>
                  <to>
                    <xdr:col>22</xdr:col>
                    <xdr:colOff>180975</xdr:colOff>
                    <xdr:row>534</xdr:row>
                    <xdr:rowOff>180975</xdr:rowOff>
                  </to>
                </anchor>
              </controlPr>
            </control>
          </mc:Choice>
        </mc:AlternateContent>
        <mc:AlternateContent xmlns:mc="http://schemas.openxmlformats.org/markup-compatibility/2006">
          <mc:Choice Requires="x14">
            <control shapeId="4283" r:id="rId83" name="Check Box 187">
              <controlPr locked="0" defaultSize="0" autoFill="0" autoLine="0" autoPict="0">
                <anchor moveWithCells="1" sizeWithCells="1">
                  <from>
                    <xdr:col>22</xdr:col>
                    <xdr:colOff>0</xdr:colOff>
                    <xdr:row>535</xdr:row>
                    <xdr:rowOff>0</xdr:rowOff>
                  </from>
                  <to>
                    <xdr:col>22</xdr:col>
                    <xdr:colOff>180975</xdr:colOff>
                    <xdr:row>535</xdr:row>
                    <xdr:rowOff>180975</xdr:rowOff>
                  </to>
                </anchor>
              </controlPr>
            </control>
          </mc:Choice>
        </mc:AlternateContent>
        <mc:AlternateContent xmlns:mc="http://schemas.openxmlformats.org/markup-compatibility/2006">
          <mc:Choice Requires="x14">
            <control shapeId="4284" r:id="rId84" name="Check Box 188">
              <controlPr locked="0" defaultSize="0" autoFill="0" autoLine="0" autoPict="0">
                <anchor moveWithCells="1" sizeWithCells="1">
                  <from>
                    <xdr:col>22</xdr:col>
                    <xdr:colOff>0</xdr:colOff>
                    <xdr:row>539</xdr:row>
                    <xdr:rowOff>0</xdr:rowOff>
                  </from>
                  <to>
                    <xdr:col>22</xdr:col>
                    <xdr:colOff>180975</xdr:colOff>
                    <xdr:row>539</xdr:row>
                    <xdr:rowOff>180975</xdr:rowOff>
                  </to>
                </anchor>
              </controlPr>
            </control>
          </mc:Choice>
        </mc:AlternateContent>
        <mc:AlternateContent xmlns:mc="http://schemas.openxmlformats.org/markup-compatibility/2006">
          <mc:Choice Requires="x14">
            <control shapeId="4287" r:id="rId85" name="Check Box 191">
              <controlPr locked="0" defaultSize="0" autoFill="0" autoLine="0" autoPict="0">
                <anchor moveWithCells="1" sizeWithCells="1">
                  <from>
                    <xdr:col>22</xdr:col>
                    <xdr:colOff>0</xdr:colOff>
                    <xdr:row>219</xdr:row>
                    <xdr:rowOff>0</xdr:rowOff>
                  </from>
                  <to>
                    <xdr:col>22</xdr:col>
                    <xdr:colOff>180975</xdr:colOff>
                    <xdr:row>219</xdr:row>
                    <xdr:rowOff>180975</xdr:rowOff>
                  </to>
                </anchor>
              </controlPr>
            </control>
          </mc:Choice>
        </mc:AlternateContent>
        <mc:AlternateContent xmlns:mc="http://schemas.openxmlformats.org/markup-compatibility/2006">
          <mc:Choice Requires="x14">
            <control shapeId="4289" r:id="rId86" name="Check Box 193">
              <controlPr locked="0" defaultSize="0" autoFill="0" autoLine="0" autoPict="0">
                <anchor moveWithCells="1" sizeWithCells="1">
                  <from>
                    <xdr:col>22</xdr:col>
                    <xdr:colOff>0</xdr:colOff>
                    <xdr:row>274</xdr:row>
                    <xdr:rowOff>0</xdr:rowOff>
                  </from>
                  <to>
                    <xdr:col>22</xdr:col>
                    <xdr:colOff>180975</xdr:colOff>
                    <xdr:row>274</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I769"/>
  <sheetViews>
    <sheetView showGridLines="0" topLeftCell="H1" zoomScaleNormal="100" workbookViewId="0">
      <pane ySplit="7" topLeftCell="A8" activePane="bottomLeft" state="frozen"/>
      <selection activeCell="E90" sqref="E90"/>
      <selection pane="bottomLeft" activeCell="W12" sqref="W12"/>
    </sheetView>
  </sheetViews>
  <sheetFormatPr defaultColWidth="9.140625" defaultRowHeight="15" x14ac:dyDescent="0.25"/>
  <cols>
    <col min="1" max="1" width="9.140625" style="18" hidden="1" customWidth="1"/>
    <col min="2" max="2" width="7.28515625" style="18" hidden="1" customWidth="1"/>
    <col min="3" max="7" width="3.85546875" style="18" hidden="1" customWidth="1"/>
    <col min="8" max="8" width="3.85546875" style="18" customWidth="1"/>
    <col min="9" max="9" width="10.42578125" style="76" customWidth="1"/>
    <col min="10" max="11" width="3.85546875" style="76" customWidth="1"/>
    <col min="12" max="12" width="71.7109375" style="76" customWidth="1"/>
    <col min="13" max="13" width="13.5703125" style="138" customWidth="1"/>
    <col min="14" max="14" width="7.7109375" style="76" hidden="1" customWidth="1"/>
    <col min="15" max="15" width="7.7109375" style="138" customWidth="1"/>
    <col min="16" max="21" width="8.85546875" style="76" hidden="1" customWidth="1"/>
    <col min="22" max="22" width="3" style="76" hidden="1" customWidth="1"/>
    <col min="23" max="23" width="21.42578125" style="76" customWidth="1"/>
    <col min="24" max="24" width="69" style="76" customWidth="1"/>
    <col min="25" max="25" width="34.85546875" style="780" hidden="1" customWidth="1"/>
    <col min="26" max="26" width="34.85546875" style="76" hidden="1" customWidth="1"/>
    <col min="27" max="27" width="9.140625" style="783" hidden="1" customWidth="1"/>
    <col min="28" max="28" width="9.140625" style="76" hidden="1" customWidth="1"/>
    <col min="29" max="29" width="8.5703125" style="76" hidden="1" customWidth="1"/>
    <col min="30" max="30" width="6.140625" style="76" hidden="1" customWidth="1"/>
    <col min="31" max="31" width="10.42578125" style="76" hidden="1" customWidth="1"/>
    <col min="32" max="37" width="9.140625" style="76" hidden="1" customWidth="1"/>
    <col min="38" max="38" width="19.140625" style="76" hidden="1" customWidth="1"/>
    <col min="39" max="39" width="2.140625" style="76" hidden="1" customWidth="1"/>
    <col min="40" max="40" width="16.28515625" style="76" hidden="1" customWidth="1"/>
    <col min="41" max="41" width="2.140625" style="76" hidden="1" customWidth="1"/>
    <col min="42" max="42" width="16.5703125" style="76" hidden="1" customWidth="1"/>
    <col min="43" max="43" width="2.140625" style="76" hidden="1" customWidth="1"/>
    <col min="44" max="44" width="18.7109375" style="76" hidden="1" customWidth="1"/>
    <col min="45" max="45" width="2.140625" style="76" hidden="1" customWidth="1"/>
    <col min="46" max="61" width="9.140625" style="76" hidden="1" customWidth="1"/>
    <col min="62" max="16384" width="9.140625" style="76"/>
  </cols>
  <sheetData>
    <row r="1" spans="1:61" x14ac:dyDescent="0.25">
      <c r="H1" s="1805" t="s">
        <v>4090</v>
      </c>
      <c r="I1" s="1818" t="str">
        <f ca="1">IF(OR(AG3,AI3),"Errors on page, no Level reached","Current Chapter level: "&amp;AG1&amp;"                                            Total Points: "&amp;AG2)</f>
        <v>Errors on page, no Level reached</v>
      </c>
      <c r="J1" s="1818"/>
      <c r="K1" s="1818"/>
      <c r="L1" s="1818"/>
      <c r="M1" s="1806"/>
      <c r="N1" s="1806"/>
      <c r="O1" s="1806"/>
      <c r="P1" s="1806"/>
      <c r="Q1" s="1806"/>
      <c r="R1" s="1806"/>
      <c r="S1" s="1806"/>
      <c r="T1" s="1806"/>
      <c r="U1" s="1806"/>
      <c r="V1" s="1806"/>
      <c r="W1" s="1806"/>
      <c r="X1" s="2344" t="s">
        <v>4064</v>
      </c>
      <c r="AF1" s="75" t="s">
        <v>742</v>
      </c>
      <c r="AG1" s="330" t="str">
        <f ca="1">IF(OR(AG3,AI3),"None",Ch7Level)</f>
        <v>None</v>
      </c>
    </row>
    <row r="2" spans="1:61" x14ac:dyDescent="0.25">
      <c r="H2" s="1805"/>
      <c r="I2" s="1819" t="str">
        <f ca="1">"Points away from:  Bronze: "&amp;MAX(Points!C17-Ch7Points,0)&amp;",  Silver: "&amp;IF(Points!N10&lt;2,"N/A",MAX(Points!D17-Ch7Points,0))&amp;",  Gold: "&amp;IF(Points!N10&lt;3,"N/A",MAX(Points!E17-Ch7Points,0))&amp;",  Emerald: "&amp;IF(Points!N10&lt;4,"N/A",MAX(Points!F17-Ch7Points,0))</f>
        <v>Points away from:  Bronze: 30,  Silver: 45,  Gold: 60,  Emerald: N/A</v>
      </c>
      <c r="J2" s="1819"/>
      <c r="K2" s="1819"/>
      <c r="L2" s="1819"/>
      <c r="M2" s="1806"/>
      <c r="N2" s="1806"/>
      <c r="O2" s="1806"/>
      <c r="P2" s="1806"/>
      <c r="Q2" s="1806"/>
      <c r="R2" s="1806"/>
      <c r="S2" s="1806"/>
      <c r="T2" s="1806"/>
      <c r="U2" s="1806"/>
      <c r="V2" s="1806"/>
      <c r="W2" s="1806"/>
      <c r="X2" s="2344" t="s">
        <v>3505</v>
      </c>
      <c r="AF2" s="75" t="s">
        <v>743</v>
      </c>
      <c r="AG2" s="76">
        <f ca="1">INDIRECT(AF2)</f>
        <v>0</v>
      </c>
      <c r="AH2" s="76" t="s">
        <v>745</v>
      </c>
      <c r="AI2" s="76">
        <f ca="1">INDIRECT(AH2)</f>
        <v>30</v>
      </c>
      <c r="AJ2"/>
      <c r="AK2"/>
    </row>
    <row r="3" spans="1:61" x14ac:dyDescent="0.25">
      <c r="H3" s="1805"/>
      <c r="I3" s="1819" t="str">
        <f ca="1">"Add'l pts earned above:  Bronze: "&amp; MAX(0,Ch7Points-Points!C17) &amp;",  Silver: " &amp; IF(Points!N10&lt;2,"N/A",MAX(0,Ch7Points-Points!D17)) &amp;",  Gold: " &amp; IF(Points!N10&lt;3,"N/A",MAX(0,Ch7Points-Points!E17)) &amp;",  Emerald: " &amp; IF(Points!N10&lt;4,"N/A",MAX(0,Ch7Points-Points!F17))</f>
        <v>Add'l pts earned above:  Bronze: 0,  Silver: 0,  Gold: 0,  Emerald: N/A</v>
      </c>
      <c r="J3" s="1819"/>
      <c r="K3" s="1819"/>
      <c r="L3" s="1819"/>
      <c r="M3" s="1806"/>
      <c r="N3" s="1806"/>
      <c r="O3" s="1806"/>
      <c r="P3" s="1806"/>
      <c r="Q3" s="1806"/>
      <c r="R3" s="1806"/>
      <c r="S3" s="1806"/>
      <c r="T3" s="1806"/>
      <c r="U3" s="1806"/>
      <c r="V3" s="1806"/>
      <c r="W3" s="1806"/>
      <c r="X3" s="2344" t="s">
        <v>3504</v>
      </c>
      <c r="AF3" s="75" t="s">
        <v>744</v>
      </c>
      <c r="AG3" s="76" t="b">
        <f ca="1">OR(AE:AE)</f>
        <v>1</v>
      </c>
      <c r="AH3" s="75" t="s">
        <v>751</v>
      </c>
      <c r="AI3" s="76" t="b">
        <f ca="1">OR(AD:AD)</f>
        <v>0</v>
      </c>
    </row>
    <row r="4" spans="1:61" x14ac:dyDescent="0.25">
      <c r="H4" s="1805"/>
      <c r="I4" s="1822" t="str">
        <f ca="1">"Total Chapter Points needed for:  Bronze: "&amp;Points!C17&amp;",  Silver: "&amp;IF(Points!N10&lt;2,"N/A",Points!D17)&amp;",  Gold: "&amp;IF(Points!N10&lt;3,"N/A",Points!E17)&amp;",  Emerald: "&amp;IF(Points!N10&lt;4,"N/A",Points!F17)</f>
        <v>Total Chapter Points needed for:  Bronze: 30,  Silver: 45,  Gold: 60,  Emerald: N/A</v>
      </c>
      <c r="J4" s="1823"/>
      <c r="K4" s="1823"/>
      <c r="L4" s="1824"/>
      <c r="M4" s="1806"/>
      <c r="N4" s="1806"/>
      <c r="O4" s="1806"/>
      <c r="P4" s="1806"/>
      <c r="Q4" s="1806"/>
      <c r="R4" s="1806"/>
      <c r="S4" s="1806"/>
      <c r="T4" s="1806"/>
      <c r="U4" s="1806"/>
      <c r="V4" s="1806"/>
      <c r="W4" s="1806"/>
      <c r="X4" s="1703" t="s">
        <v>4877</v>
      </c>
      <c r="AF4" s="75"/>
      <c r="AH4" s="75"/>
    </row>
    <row r="5" spans="1:61" x14ac:dyDescent="0.25">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AF5" s="75"/>
      <c r="AH5" s="75"/>
    </row>
    <row r="6" spans="1:61" x14ac:dyDescent="0.25">
      <c r="H6" s="1805"/>
      <c r="I6" s="1828" t="s">
        <v>248</v>
      </c>
      <c r="J6" s="1829"/>
      <c r="K6" s="1830"/>
      <c r="L6" s="1810" t="s">
        <v>1110</v>
      </c>
      <c r="M6" s="1896" t="s">
        <v>249</v>
      </c>
      <c r="N6" s="1810"/>
      <c r="O6" s="35" t="s">
        <v>318</v>
      </c>
      <c r="P6" s="1810" t="s">
        <v>4103</v>
      </c>
      <c r="Q6" s="1810" t="s">
        <v>309</v>
      </c>
      <c r="R6" s="1810" t="s">
        <v>250</v>
      </c>
      <c r="S6" s="1810" t="s">
        <v>251</v>
      </c>
      <c r="T6" s="1810" t="s">
        <v>0</v>
      </c>
      <c r="U6" s="1810" t="s">
        <v>4104</v>
      </c>
      <c r="V6" s="1810"/>
      <c r="W6" s="1810" t="s">
        <v>252</v>
      </c>
      <c r="X6" s="1820" t="s">
        <v>1</v>
      </c>
      <c r="AC6" s="74" t="s">
        <v>307</v>
      </c>
      <c r="AD6" s="74" t="s">
        <v>0</v>
      </c>
      <c r="AE6" s="74" t="s">
        <v>306</v>
      </c>
    </row>
    <row r="7" spans="1:61" x14ac:dyDescent="0.25">
      <c r="H7" s="1805"/>
      <c r="I7" s="1828"/>
      <c r="J7" s="1829"/>
      <c r="K7" s="1830"/>
      <c r="L7" s="1811"/>
      <c r="M7" s="1897"/>
      <c r="N7" s="1811"/>
      <c r="O7" s="35" t="s">
        <v>319</v>
      </c>
      <c r="P7" s="1811"/>
      <c r="Q7" s="1811"/>
      <c r="R7" s="1811"/>
      <c r="S7" s="1811"/>
      <c r="T7" s="1811"/>
      <c r="U7" s="1811"/>
      <c r="V7" s="1811"/>
      <c r="W7" s="1811"/>
      <c r="X7" s="1821"/>
      <c r="AC7" s="74" t="s">
        <v>307</v>
      </c>
      <c r="AD7" s="74" t="s">
        <v>0</v>
      </c>
      <c r="AE7" s="74" t="s">
        <v>306</v>
      </c>
    </row>
    <row r="8" spans="1:61" s="752" customFormat="1" hidden="1" x14ac:dyDescent="0.25">
      <c r="A8" s="18"/>
      <c r="B8" s="18"/>
      <c r="C8" s="18"/>
      <c r="D8" s="18"/>
      <c r="E8" s="18"/>
      <c r="F8" s="18"/>
      <c r="G8" s="18"/>
      <c r="H8" s="18"/>
      <c r="I8" s="754"/>
      <c r="J8" s="754"/>
      <c r="K8" s="754"/>
      <c r="L8" s="753"/>
      <c r="M8" s="755"/>
      <c r="N8" s="753"/>
      <c r="O8" s="35"/>
      <c r="P8" s="753"/>
      <c r="Q8" s="753"/>
      <c r="R8" s="753"/>
      <c r="S8" s="753"/>
      <c r="T8" s="753"/>
      <c r="U8" s="753"/>
      <c r="V8" s="753"/>
      <c r="W8" s="753"/>
      <c r="X8" s="754"/>
      <c r="Y8" s="780"/>
      <c r="AA8" s="783"/>
      <c r="AC8" s="751"/>
      <c r="AD8" s="751"/>
      <c r="AE8" s="751"/>
    </row>
    <row r="9" spans="1:61" ht="18.75" x14ac:dyDescent="0.3">
      <c r="A9" s="18" t="s">
        <v>247</v>
      </c>
      <c r="B9" s="18" t="s">
        <v>247</v>
      </c>
      <c r="C9" s="18" t="s">
        <v>247</v>
      </c>
      <c r="D9" s="18" t="s">
        <v>247</v>
      </c>
      <c r="E9" s="18" t="s">
        <v>247</v>
      </c>
      <c r="F9" s="18" t="s">
        <v>247</v>
      </c>
      <c r="G9" s="18" t="s">
        <v>247</v>
      </c>
      <c r="H9" s="760"/>
      <c r="I9" s="22" t="s">
        <v>813</v>
      </c>
      <c r="J9" s="22"/>
      <c r="K9" s="22"/>
      <c r="L9" s="23"/>
      <c r="M9" s="24"/>
      <c r="N9" s="76" t="s">
        <v>247</v>
      </c>
      <c r="O9" s="24"/>
      <c r="P9" s="76" t="s">
        <v>247</v>
      </c>
      <c r="Q9" s="76" t="s">
        <v>247</v>
      </c>
      <c r="R9" s="76" t="s">
        <v>247</v>
      </c>
      <c r="S9" s="76" t="s">
        <v>247</v>
      </c>
      <c r="T9" s="76" t="s">
        <v>247</v>
      </c>
      <c r="U9" s="76" t="s">
        <v>247</v>
      </c>
      <c r="V9" s="76" t="s">
        <v>247</v>
      </c>
      <c r="W9" s="23"/>
      <c r="X9" s="23"/>
      <c r="Y9" s="779" t="s">
        <v>247</v>
      </c>
      <c r="Z9" s="73" t="s">
        <v>247</v>
      </c>
      <c r="AA9" s="781" t="s">
        <v>247</v>
      </c>
      <c r="AB9" s="750" t="s">
        <v>247</v>
      </c>
      <c r="AC9" s="73" t="s">
        <v>247</v>
      </c>
      <c r="AD9" s="73" t="s">
        <v>247</v>
      </c>
      <c r="AE9" s="73" t="s">
        <v>247</v>
      </c>
      <c r="AF9" s="73" t="s">
        <v>247</v>
      </c>
      <c r="AG9" s="73" t="s">
        <v>247</v>
      </c>
      <c r="AH9" s="73" t="s">
        <v>247</v>
      </c>
      <c r="AI9" s="73" t="s">
        <v>247</v>
      </c>
      <c r="AJ9" s="73" t="s">
        <v>247</v>
      </c>
      <c r="AK9" s="73" t="s">
        <v>247</v>
      </c>
      <c r="AL9" s="73" t="s">
        <v>247</v>
      </c>
      <c r="AM9" s="73" t="s">
        <v>247</v>
      </c>
      <c r="AN9" s="73" t="s">
        <v>247</v>
      </c>
      <c r="AO9" s="73" t="s">
        <v>247</v>
      </c>
      <c r="AP9" s="73" t="s">
        <v>247</v>
      </c>
      <c r="AQ9" s="73" t="s">
        <v>247</v>
      </c>
      <c r="AR9" s="73" t="s">
        <v>247</v>
      </c>
      <c r="AS9" s="73" t="s">
        <v>247</v>
      </c>
      <c r="AT9" s="73" t="s">
        <v>247</v>
      </c>
      <c r="AU9" s="73" t="s">
        <v>247</v>
      </c>
      <c r="AV9" s="73" t="s">
        <v>247</v>
      </c>
      <c r="AW9" s="73" t="s">
        <v>247</v>
      </c>
      <c r="AX9" s="73" t="s">
        <v>247</v>
      </c>
      <c r="AY9" s="73" t="s">
        <v>247</v>
      </c>
      <c r="AZ9" s="73" t="s">
        <v>247</v>
      </c>
      <c r="BA9" s="73" t="s">
        <v>247</v>
      </c>
      <c r="BB9" s="73" t="s">
        <v>247</v>
      </c>
      <c r="BC9" s="73" t="s">
        <v>247</v>
      </c>
      <c r="BD9" s="73" t="s">
        <v>247</v>
      </c>
      <c r="BE9" s="73" t="s">
        <v>247</v>
      </c>
      <c r="BF9" s="73" t="s">
        <v>247</v>
      </c>
      <c r="BG9" s="73" t="s">
        <v>247</v>
      </c>
      <c r="BH9" s="73" t="s">
        <v>247</v>
      </c>
      <c r="BI9" s="328" t="s">
        <v>247</v>
      </c>
    </row>
    <row r="10" spans="1:61" x14ac:dyDescent="0.25">
      <c r="B10" s="679" t="s">
        <v>4079</v>
      </c>
      <c r="C10" s="90"/>
      <c r="D10" s="21"/>
      <c r="E10" s="21"/>
      <c r="F10" s="21"/>
      <c r="G10" s="21"/>
      <c r="H10" s="758"/>
      <c r="I10" s="130">
        <v>701.1</v>
      </c>
      <c r="J10" s="518"/>
      <c r="K10" s="448"/>
      <c r="L10" s="1782" t="s">
        <v>4855</v>
      </c>
      <c r="M10" s="452"/>
      <c r="N10" s="94"/>
      <c r="O10" s="445"/>
      <c r="P10" s="94"/>
      <c r="Q10" s="94"/>
      <c r="R10" s="94"/>
      <c r="S10" s="94"/>
      <c r="T10" s="94"/>
      <c r="U10" s="94"/>
      <c r="V10" s="94"/>
      <c r="W10" s="94"/>
      <c r="X10" s="94"/>
    </row>
    <row r="11" spans="1:61" x14ac:dyDescent="0.25">
      <c r="B11" s="679" t="s">
        <v>4079</v>
      </c>
      <c r="C11" s="90"/>
      <c r="D11" s="21"/>
      <c r="E11" s="21"/>
      <c r="F11" s="21"/>
      <c r="G11" s="21"/>
      <c r="H11" s="758"/>
      <c r="I11" s="130"/>
      <c r="J11" s="518"/>
      <c r="K11" s="448"/>
      <c r="L11" s="1782"/>
      <c r="M11" s="452"/>
      <c r="N11" s="94"/>
      <c r="O11" s="445"/>
      <c r="P11" s="94"/>
      <c r="Q11" s="94"/>
      <c r="R11" s="94"/>
      <c r="S11" s="94"/>
      <c r="T11" s="94"/>
      <c r="U11" s="94"/>
      <c r="V11" s="94"/>
      <c r="W11" s="94" t="s">
        <v>1107</v>
      </c>
      <c r="X11" s="94"/>
      <c r="AX11" s="75" t="str">
        <f>'Overview (Design)'!A10</f>
        <v>Builder Name:</v>
      </c>
      <c r="AY11" s="76">
        <f>'Overview (Design)'!G10</f>
        <v>0</v>
      </c>
    </row>
    <row r="12" spans="1:61" x14ac:dyDescent="0.25">
      <c r="B12" s="679" t="s">
        <v>4079</v>
      </c>
      <c r="C12" s="90"/>
      <c r="D12" s="21"/>
      <c r="E12" s="21"/>
      <c r="F12" s="21"/>
      <c r="G12" s="21"/>
      <c r="H12" s="758"/>
      <c r="I12" s="130"/>
      <c r="J12" s="518"/>
      <c r="K12" s="448"/>
      <c r="L12" s="1782"/>
      <c r="M12" s="452"/>
      <c r="N12" s="94"/>
      <c r="O12" s="445"/>
      <c r="P12" s="94" t="b">
        <v>1</v>
      </c>
      <c r="Q12" s="94" t="b">
        <v>0</v>
      </c>
      <c r="R12" s="94" t="b">
        <v>1</v>
      </c>
      <c r="S12" s="94" t="b">
        <v>1</v>
      </c>
      <c r="T12" s="94" t="b">
        <f ca="1">OR(AND(NOT(S12),LEN(W12)&gt;0),AND(S13=5,NOT(S19="Tropical")))</f>
        <v>0</v>
      </c>
      <c r="U12" s="94" t="str">
        <f>SUBSTITUTE(SUBSTITUTE(SUBSTITUTE("dd"&amp;B12&amp;C12&amp;D12&amp;E12&amp;F12,".","_"),"(","_"),")","")</f>
        <v>dd701_1</v>
      </c>
      <c r="V12" s="94"/>
      <c r="W12" s="109"/>
      <c r="X12" s="94"/>
      <c r="AC12" s="137" t="b">
        <f ca="1">OR(AD12:AE12)</f>
        <v>1</v>
      </c>
      <c r="AD12" s="137" t="b">
        <f ca="1">T12</f>
        <v>0</v>
      </c>
      <c r="AE12" s="137" t="b">
        <f>AND(R12,ISBLANK(W12))</f>
        <v>1</v>
      </c>
      <c r="AL12" s="254"/>
      <c r="AM12" s="254"/>
      <c r="AN12" s="254"/>
      <c r="AO12" s="254"/>
      <c r="AP12" s="254" t="str">
        <f>SUBSTITUTE(SUBSTITUTE(SUBSTITUTE("dch"&amp;$B12&amp;$C12&amp;$D12&amp;$E12,".","_"),"(","_"),")","")</f>
        <v>dch701_1</v>
      </c>
      <c r="AQ12" s="254" t="str">
        <f>IF(LEN(W12)=0,"",W12)</f>
        <v/>
      </c>
      <c r="AR12" s="254"/>
      <c r="AS12" s="254"/>
      <c r="AX12" s="75" t="str">
        <f>'Overview (Design)'!A11</f>
        <v>Physical Address of Home:</v>
      </c>
      <c r="AY12" s="76">
        <f>'Overview (Design)'!G11</f>
        <v>0</v>
      </c>
    </row>
    <row r="13" spans="1:61" x14ac:dyDescent="0.25">
      <c r="B13" s="679" t="s">
        <v>4079</v>
      </c>
      <c r="C13" s="90"/>
      <c r="D13" s="21"/>
      <c r="E13" s="21"/>
      <c r="F13" s="21"/>
      <c r="G13" s="21"/>
      <c r="H13" s="758"/>
      <c r="I13" s="130"/>
      <c r="J13" s="518"/>
      <c r="K13" s="1481"/>
      <c r="L13" s="1782"/>
      <c r="M13" s="1482"/>
      <c r="N13" s="94"/>
      <c r="O13" s="1485"/>
      <c r="P13" s="94"/>
      <c r="Q13" s="94"/>
      <c r="R13" s="197" t="s">
        <v>3381</v>
      </c>
      <c r="S13" s="197">
        <f ca="1">IFERROR(MATCH(W12,INDIRECT(U12),0),0)</f>
        <v>0</v>
      </c>
      <c r="T13" s="94"/>
      <c r="U13" s="94"/>
      <c r="V13" s="94"/>
      <c r="W13" t="s">
        <v>5600</v>
      </c>
      <c r="X13" s="94"/>
      <c r="AX13" s="75" t="str">
        <f>'Overview (Design)'!A12</f>
        <v>Community/Lot #:</v>
      </c>
      <c r="AY13" s="76">
        <f>'Overview (Design)'!G12</f>
        <v>0</v>
      </c>
    </row>
    <row r="14" spans="1:61" s="1480" customFormat="1" x14ac:dyDescent="0.25">
      <c r="A14" s="18"/>
      <c r="B14" s="679" t="s">
        <v>4079</v>
      </c>
      <c r="C14" s="90" t="s">
        <v>5105</v>
      </c>
      <c r="D14" s="21"/>
      <c r="E14" s="21"/>
      <c r="F14" s="21"/>
      <c r="G14" s="21"/>
      <c r="H14" s="758"/>
      <c r="I14" s="130"/>
      <c r="J14" s="518"/>
      <c r="K14" s="1481"/>
      <c r="L14" s="1905" t="s">
        <v>5628</v>
      </c>
      <c r="M14" s="1482"/>
      <c r="N14" s="94"/>
      <c r="O14" s="1485"/>
      <c r="P14" s="94" t="b">
        <v>1</v>
      </c>
      <c r="Q14" s="94" t="b">
        <v>0</v>
      </c>
      <c r="R14" t="b">
        <f ca="1">S14</f>
        <v>0</v>
      </c>
      <c r="S14" s="1497" t="b">
        <f ca="1">OR(S13=1,S13=3,IFERROR(MATCH(W28,INDIRECT(U28))=1,FALSE),AND(IFERROR(MATCH(W28,INDIRECT(U28))=2,FALSE),NOT(BI16="Tropical")))</f>
        <v>0</v>
      </c>
      <c r="T14" s="94" t="b">
        <f ca="1">AND(NOT(S14),LEN(W14)&gt;0)</f>
        <v>0</v>
      </c>
      <c r="U14" s="94" t="str">
        <f>SUBSTITUTE(SUBSTITUTE(SUBSTITUTE("dd"&amp;B14&amp;C14&amp;D14&amp;E14&amp;F14,".","_"),"(","_"),")","")</f>
        <v>dd701_1_</v>
      </c>
      <c r="V14" s="94"/>
      <c r="W14" s="1484"/>
      <c r="X14" s="1757"/>
      <c r="AC14" s="1480" t="b">
        <f ca="1">OR(AD14:AE14)</f>
        <v>0</v>
      </c>
      <c r="AD14" s="1480" t="b">
        <f ca="1">T14</f>
        <v>0</v>
      </c>
      <c r="AE14" s="1480" t="b">
        <f ca="1">AND(R14,OR(LEN(W14)=0,LEN(X14)=0))</f>
        <v>0</v>
      </c>
      <c r="AP14" s="254" t="str">
        <f>SUBSTITUTE(SUBSTITUTE(SUBSTITUTE("dch"&amp;$B14&amp;$C14&amp;$D14&amp;$E14,".","_"),"(","_"),")","")</f>
        <v>dch701_1_</v>
      </c>
      <c r="AQ14" s="254" t="str">
        <f>IF(LEN(W14)=0,"",W14)</f>
        <v/>
      </c>
      <c r="AR14" s="254" t="str">
        <f>SUBSTITUTE(SUBSTITUTE(SUBSTITUTE("dnt"&amp;$B14&amp;$C14&amp;$D14&amp;$E14,".","_"),"(","_"),")","")</f>
        <v>dnt701_1_</v>
      </c>
      <c r="AS14" s="254" t="str">
        <f>IF(LEN(X14)=0,"",X14)</f>
        <v/>
      </c>
      <c r="AX14" s="75" t="str">
        <f>'Overview (Design)'!A13</f>
        <v>City:</v>
      </c>
      <c r="AY14" s="76">
        <f>'Overview (Design)'!G13</f>
        <v>0</v>
      </c>
      <c r="AZ14" s="76"/>
      <c r="BA14" s="76"/>
      <c r="BB14" s="76"/>
      <c r="BC14" s="76"/>
      <c r="BD14" s="76"/>
      <c r="BE14" s="76"/>
      <c r="BF14" s="76"/>
      <c r="BG14" s="76"/>
      <c r="BH14" s="76"/>
      <c r="BI14" s="76"/>
    </row>
    <row r="15" spans="1:61" s="1508" customFormat="1" x14ac:dyDescent="0.25">
      <c r="A15" s="18"/>
      <c r="B15" s="679" t="s">
        <v>4079</v>
      </c>
      <c r="C15" s="90"/>
      <c r="D15" s="21"/>
      <c r="E15" s="21"/>
      <c r="F15" s="21"/>
      <c r="G15" s="21"/>
      <c r="H15" s="758"/>
      <c r="I15" s="130"/>
      <c r="J15" s="518"/>
      <c r="K15" s="1509"/>
      <c r="L15" s="1905"/>
      <c r="M15" s="1510"/>
      <c r="N15" s="94"/>
      <c r="O15" s="1512"/>
      <c r="P15" s="94"/>
      <c r="Q15" s="94"/>
      <c r="T15" s="94"/>
      <c r="U15" s="94"/>
      <c r="V15" s="94"/>
      <c r="W15"/>
      <c r="X15" s="1757"/>
      <c r="AP15" s="254"/>
      <c r="AQ15" s="254"/>
      <c r="AR15" s="254"/>
      <c r="AS15" s="254"/>
      <c r="AX15" s="75" t="str">
        <f>'Overview (Design)'!A14</f>
        <v>State:</v>
      </c>
      <c r="AY15" s="76">
        <f>'Overview (Design)'!G14</f>
        <v>0</v>
      </c>
      <c r="AZ15" s="76"/>
      <c r="BA15" s="76"/>
      <c r="BB15" s="76"/>
      <c r="BC15" s="76" t="str">
        <f>'Overview (Design)'!K14</f>
        <v>State</v>
      </c>
      <c r="BD15" s="76" t="str">
        <f>'Overview (Design)'!L14</f>
        <v>County</v>
      </c>
      <c r="BE15" s="76" t="str">
        <f>'Overview (Design)'!M14</f>
        <v>Radon</v>
      </c>
      <c r="BF15" s="76" t="str">
        <f>'Overview (Design)'!N14</f>
        <v>Climate</v>
      </c>
      <c r="BG15" s="76" t="str">
        <f>'Overview (Design)'!O14</f>
        <v>Moist</v>
      </c>
      <c r="BH15" s="76" t="str">
        <f>'Overview (Design)'!P14</f>
        <v>WarmHumid</v>
      </c>
      <c r="BI15" s="330" t="str">
        <f>'Overview (Design)'!Q14</f>
        <v>Tropical</v>
      </c>
    </row>
    <row r="16" spans="1:61" s="1480" customFormat="1" x14ac:dyDescent="0.25">
      <c r="A16" s="18"/>
      <c r="B16" s="679" t="s">
        <v>4079</v>
      </c>
      <c r="C16" s="90"/>
      <c r="D16" s="21"/>
      <c r="E16" s="21"/>
      <c r="F16" s="21"/>
      <c r="G16" s="21"/>
      <c r="H16" s="758"/>
      <c r="I16" s="130"/>
      <c r="J16" s="518"/>
      <c r="K16" s="1481"/>
      <c r="L16" s="1905"/>
      <c r="M16" s="1482"/>
      <c r="N16" s="94"/>
      <c r="O16" s="1485"/>
      <c r="P16" s="94"/>
      <c r="Q16" s="94"/>
      <c r="R16"/>
      <c r="S16"/>
      <c r="T16" s="94"/>
      <c r="U16" s="94"/>
      <c r="V16" s="94"/>
      <c r="W16" s="94"/>
      <c r="X16" s="1757"/>
      <c r="AX16" s="75" t="str">
        <f>'Overview (Design)'!A15</f>
        <v>County:</v>
      </c>
      <c r="AY16" s="76">
        <f>'Overview (Design)'!G15</f>
        <v>0</v>
      </c>
      <c r="AZ16" s="76"/>
      <c r="BA16" s="76"/>
      <c r="BB16" s="76"/>
      <c r="BC16" s="76">
        <f>'Overview (Design)'!K15</f>
        <v>0</v>
      </c>
      <c r="BD16" s="76" t="str">
        <f>'Overview (Design)'!L15</f>
        <v/>
      </c>
      <c r="BE16" s="76" t="str">
        <f>'Overview (Design)'!M15</f>
        <v>!!</v>
      </c>
      <c r="BF16" s="76" t="str">
        <f>'Overview (Design)'!N15</f>
        <v>!!</v>
      </c>
      <c r="BG16" s="76" t="str">
        <f>'Overview (Design)'!O15</f>
        <v>!!</v>
      </c>
      <c r="BH16" s="76" t="str">
        <f>'Overview (Design)'!P15</f>
        <v>!!</v>
      </c>
      <c r="BI16" s="330" t="str">
        <f>'Overview (Design)'!Q15</f>
        <v>!!</v>
      </c>
    </row>
    <row r="17" spans="1:61" ht="15" customHeight="1" x14ac:dyDescent="0.25">
      <c r="B17" s="679" t="s">
        <v>814</v>
      </c>
      <c r="C17" s="90"/>
      <c r="D17" s="21"/>
      <c r="E17" s="21"/>
      <c r="F17" s="21"/>
      <c r="G17" s="21"/>
      <c r="H17" s="758"/>
      <c r="I17" s="192" t="s">
        <v>814</v>
      </c>
      <c r="J17" s="461"/>
      <c r="K17" s="461"/>
      <c r="L17" s="1864" t="s">
        <v>5123</v>
      </c>
      <c r="M17" s="1893" t="s">
        <v>4226</v>
      </c>
      <c r="N17" s="193"/>
      <c r="O17" s="505"/>
      <c r="P17" s="195" t="b">
        <v>0</v>
      </c>
      <c r="Q17" s="195" t="b">
        <v>1</v>
      </c>
      <c r="R17" s="531" t="s">
        <v>3382</v>
      </c>
      <c r="S17" s="531">
        <f ca="1">COUNTIF(O557:O615,"&gt;0")+MIN(1,O623+O626)+COUNTIF(O629:O662,"&gt;0")</f>
        <v>0</v>
      </c>
      <c r="T17" s="195"/>
      <c r="U17" s="195"/>
      <c r="V17" s="195"/>
      <c r="W17" s="195"/>
      <c r="X17" s="1770"/>
      <c r="AC17" s="266" t="b">
        <f ca="1">OR(AD17:AE17)</f>
        <v>0</v>
      </c>
      <c r="AD17" s="266" t="b">
        <v>0</v>
      </c>
      <c r="AE17" s="266" t="b">
        <f ca="1">IF(AND(OR(S13=1,S13=2,S13=3),OR(S17&lt;1,(S17+S18)&lt;2)),TRUE,FALSE)</f>
        <v>0</v>
      </c>
      <c r="AR17" s="254" t="str">
        <f>SUBSTITUTE(SUBSTITUTE(SUBSTITUTE("dnt"&amp;$B17&amp;$C17&amp;$D17&amp;$E17,".","_"),"(","_"),")","")</f>
        <v>dnt701_1_1</v>
      </c>
      <c r="AS17" s="254" t="str">
        <f>IF(LEN(X17)=0,"",X17)</f>
        <v/>
      </c>
      <c r="AX17" s="75" t="str">
        <f>'Overview (Design)'!A16</f>
        <v>Zip:</v>
      </c>
      <c r="AY17" s="76">
        <f>'Overview (Design)'!G16</f>
        <v>0</v>
      </c>
    </row>
    <row r="18" spans="1:61" s="1346" customFormat="1" x14ac:dyDescent="0.25">
      <c r="A18" s="18"/>
      <c r="B18" s="679" t="s">
        <v>814</v>
      </c>
      <c r="C18" s="90"/>
      <c r="D18" s="21"/>
      <c r="E18" s="21"/>
      <c r="F18" s="21"/>
      <c r="G18" s="21"/>
      <c r="H18" s="758"/>
      <c r="I18" s="130"/>
      <c r="J18" s="1348"/>
      <c r="K18" s="1348"/>
      <c r="L18" s="1782"/>
      <c r="M18" s="1894"/>
      <c r="N18" s="129"/>
      <c r="O18" s="1347"/>
      <c r="P18" s="94"/>
      <c r="Q18" s="94"/>
      <c r="R18" s="531" t="s">
        <v>4225</v>
      </c>
      <c r="S18" s="197">
        <f ca="1">COUNTIF(O664:O743,"&gt;0")</f>
        <v>0</v>
      </c>
      <c r="T18" s="94"/>
      <c r="U18" s="94"/>
      <c r="V18" s="94"/>
      <c r="W18" s="94"/>
      <c r="X18" s="1770"/>
      <c r="AR18" s="254"/>
      <c r="AS18" s="254"/>
      <c r="AX18" s="1345"/>
    </row>
    <row r="19" spans="1:61" x14ac:dyDescent="0.25">
      <c r="B19" s="679" t="s">
        <v>814</v>
      </c>
      <c r="C19" s="90"/>
      <c r="D19" s="21"/>
      <c r="E19" s="21"/>
      <c r="F19" s="21"/>
      <c r="G19" s="21"/>
      <c r="H19" s="758"/>
      <c r="I19" s="210"/>
      <c r="J19" s="449"/>
      <c r="K19" s="449"/>
      <c r="L19" s="1843"/>
      <c r="M19" s="1894"/>
      <c r="N19" s="129"/>
      <c r="O19" s="502"/>
      <c r="P19" s="94"/>
      <c r="Q19" s="94"/>
      <c r="R19" s="385" t="s">
        <v>4244</v>
      </c>
      <c r="S19" s="1" t="str">
        <f>BI16</f>
        <v>!!</v>
      </c>
      <c r="T19" s="94"/>
      <c r="U19" s="94"/>
      <c r="V19" s="94"/>
      <c r="W19" s="94"/>
      <c r="X19" s="1770"/>
      <c r="AX19" s="75" t="str">
        <f>'Overview (Design)'!A18</f>
        <v>Single-Family or Multifamily:</v>
      </c>
      <c r="AY19" s="76" t="str">
        <f>'Overview (Design)'!G18</f>
        <v>Single-Family</v>
      </c>
    </row>
    <row r="20" spans="1:61" ht="15" customHeight="1" x14ac:dyDescent="0.25">
      <c r="B20" s="679" t="s">
        <v>815</v>
      </c>
      <c r="C20" s="90"/>
      <c r="D20" s="21"/>
      <c r="E20" s="21"/>
      <c r="F20" s="21"/>
      <c r="G20" s="21"/>
      <c r="H20" s="758"/>
      <c r="I20" s="192" t="s">
        <v>815</v>
      </c>
      <c r="J20" s="461"/>
      <c r="K20" s="461"/>
      <c r="L20" s="1864" t="s">
        <v>5124</v>
      </c>
      <c r="M20" s="1894"/>
      <c r="N20" s="129"/>
      <c r="O20" s="502"/>
      <c r="P20" s="94"/>
      <c r="Q20" s="94"/>
      <c r="T20" s="94"/>
      <c r="U20" s="94"/>
      <c r="V20" s="94"/>
      <c r="W20" s="94"/>
      <c r="X20" s="1770"/>
      <c r="AR20" s="254" t="str">
        <f>SUBSTITUTE(SUBSTITUTE(SUBSTITUTE("dnt"&amp;$B20&amp;$C20&amp;$D20&amp;$E20,".","_"),"(","_"),")","")</f>
        <v>dnt701_1_2</v>
      </c>
      <c r="AS20" s="254" t="str">
        <f>IF(LEN(X20)=0,"",X20)</f>
        <v/>
      </c>
      <c r="AX20" s="75" t="str">
        <f>'Overview (Design)'!A19</f>
        <v>Number of Units:</v>
      </c>
      <c r="AY20" s="76">
        <f>'Overview (Design)'!G19</f>
        <v>0</v>
      </c>
    </row>
    <row r="21" spans="1:61" x14ac:dyDescent="0.25">
      <c r="B21" s="679" t="s">
        <v>815</v>
      </c>
      <c r="C21" s="90"/>
      <c r="D21" s="21"/>
      <c r="E21" s="21"/>
      <c r="F21" s="21"/>
      <c r="G21" s="21"/>
      <c r="H21" s="758"/>
      <c r="I21" s="129"/>
      <c r="J21" s="448"/>
      <c r="K21" s="448"/>
      <c r="L21" s="1782"/>
      <c r="M21" s="1894"/>
      <c r="N21" s="129"/>
      <c r="O21" s="502"/>
      <c r="P21" s="94"/>
      <c r="Q21" s="94"/>
      <c r="R21" s="94"/>
      <c r="S21" s="94"/>
      <c r="T21" s="94"/>
      <c r="U21" s="94"/>
      <c r="V21" s="94"/>
      <c r="W21" s="94"/>
      <c r="X21" s="1770"/>
      <c r="AX21" s="1100" t="str">
        <f>'Overview (Design)'!A20</f>
        <v>Building includes commercial space pursuing Commercial Space certification?</v>
      </c>
      <c r="AY21" s="1101">
        <f>'Overview (Design)'!G20</f>
        <v>0</v>
      </c>
    </row>
    <row r="22" spans="1:61" s="1346" customFormat="1" x14ac:dyDescent="0.25">
      <c r="A22" s="18"/>
      <c r="B22" s="679" t="s">
        <v>815</v>
      </c>
      <c r="C22" s="90"/>
      <c r="D22" s="21"/>
      <c r="E22" s="21"/>
      <c r="F22" s="21"/>
      <c r="G22" s="21"/>
      <c r="H22" s="758"/>
      <c r="I22" s="129"/>
      <c r="J22" s="1348"/>
      <c r="K22" s="1348"/>
      <c r="L22" s="1782"/>
      <c r="M22" s="1894"/>
      <c r="N22" s="129"/>
      <c r="O22" s="1347"/>
      <c r="P22" s="94"/>
      <c r="Q22" s="94"/>
      <c r="R22" s="94"/>
      <c r="S22" s="94"/>
      <c r="T22" s="94"/>
      <c r="U22" s="94"/>
      <c r="V22" s="94"/>
      <c r="W22" s="94"/>
      <c r="X22" s="1770"/>
      <c r="AX22" s="76"/>
      <c r="AY22" s="76"/>
      <c r="AZ22" s="76"/>
      <c r="BA22" s="76"/>
      <c r="BB22" s="76"/>
      <c r="BC22" s="76"/>
      <c r="BD22" s="76"/>
      <c r="BE22" s="76"/>
      <c r="BF22" s="76"/>
      <c r="BG22" s="76"/>
      <c r="BH22" s="76"/>
      <c r="BI22" s="76"/>
    </row>
    <row r="23" spans="1:61" x14ac:dyDescent="0.25">
      <c r="B23" s="679" t="s">
        <v>815</v>
      </c>
      <c r="C23" s="90"/>
      <c r="D23" s="21"/>
      <c r="E23" s="21"/>
      <c r="F23" s="21"/>
      <c r="G23" s="21"/>
      <c r="H23" s="758"/>
      <c r="I23" s="210"/>
      <c r="J23" s="449"/>
      <c r="K23" s="449"/>
      <c r="L23" s="1843"/>
      <c r="M23" s="1894"/>
      <c r="N23" s="129"/>
      <c r="O23" s="502"/>
      <c r="P23" s="94"/>
      <c r="Q23" s="94"/>
      <c r="R23" s="94"/>
      <c r="S23" s="94"/>
      <c r="T23" s="94"/>
      <c r="U23" s="94"/>
      <c r="V23" s="94"/>
      <c r="W23" s="94"/>
      <c r="X23" s="1770"/>
    </row>
    <row r="24" spans="1:61" ht="15" customHeight="1" x14ac:dyDescent="0.25">
      <c r="B24" s="679" t="s">
        <v>816</v>
      </c>
      <c r="C24" s="90"/>
      <c r="D24" s="21"/>
      <c r="E24" s="21"/>
      <c r="F24" s="21"/>
      <c r="G24" s="21"/>
      <c r="H24" s="758"/>
      <c r="I24" s="130" t="s">
        <v>816</v>
      </c>
      <c r="J24" s="448"/>
      <c r="K24" s="448"/>
      <c r="L24" s="1782" t="s">
        <v>5125</v>
      </c>
      <c r="M24" s="1894"/>
      <c r="N24"/>
      <c r="O24" s="502"/>
      <c r="P24" s="94"/>
      <c r="Q24" s="94"/>
      <c r="R24" s="94"/>
      <c r="S24" s="94"/>
      <c r="T24" s="94"/>
      <c r="U24" s="94"/>
      <c r="V24" s="94"/>
      <c r="W24" s="94"/>
      <c r="X24" s="1770"/>
      <c r="AR24" s="254" t="str">
        <f>SUBSTITUTE(SUBSTITUTE(SUBSTITUTE("dnt"&amp;$B24&amp;$C24&amp;$D24&amp;$E24,".","_"),"(","_"),")","")</f>
        <v>dnt701_1_3</v>
      </c>
      <c r="AS24" s="254" t="str">
        <f>IF(LEN(X24)=0,"",X24)</f>
        <v/>
      </c>
      <c r="AX24" s="75" t="str">
        <f>'Overview (Design)'!A23</f>
        <v>Project Name:</v>
      </c>
      <c r="AY24" s="76">
        <f>'Overview (Design)'!G23</f>
        <v>0</v>
      </c>
    </row>
    <row r="25" spans="1:61" x14ac:dyDescent="0.25">
      <c r="B25" s="679" t="s">
        <v>816</v>
      </c>
      <c r="C25" s="90"/>
      <c r="D25" s="21"/>
      <c r="E25" s="21"/>
      <c r="F25" s="21"/>
      <c r="G25" s="21"/>
      <c r="H25" s="758"/>
      <c r="I25" s="129"/>
      <c r="J25" s="448"/>
      <c r="K25" s="448"/>
      <c r="L25" s="1782"/>
      <c r="M25" s="1894"/>
      <c r="N25"/>
      <c r="O25" s="502"/>
      <c r="P25" s="94"/>
      <c r="Q25" s="94"/>
      <c r="R25" s="94"/>
      <c r="S25" s="94"/>
      <c r="T25" s="94"/>
      <c r="U25" s="94"/>
      <c r="V25" s="94"/>
      <c r="W25" s="94"/>
      <c r="X25" s="1770"/>
      <c r="AX25" s="75"/>
    </row>
    <row r="26" spans="1:61" x14ac:dyDescent="0.25">
      <c r="B26" s="679" t="s">
        <v>816</v>
      </c>
      <c r="C26" s="90"/>
      <c r="D26" s="21"/>
      <c r="E26" s="21"/>
      <c r="F26" s="21"/>
      <c r="G26" s="21"/>
      <c r="H26" s="758"/>
      <c r="I26" s="210"/>
      <c r="J26" s="449"/>
      <c r="K26" s="449"/>
      <c r="L26" s="1843"/>
      <c r="M26" s="1895"/>
      <c r="N26" s="210"/>
      <c r="O26" s="503"/>
      <c r="P26" s="178"/>
      <c r="Q26" s="178"/>
      <c r="R26" s="178"/>
      <c r="S26" s="178"/>
      <c r="T26" s="178"/>
      <c r="U26" s="178"/>
      <c r="V26" s="178"/>
      <c r="W26" s="178"/>
      <c r="X26" s="1770"/>
      <c r="AX26" s="75" t="str">
        <f>'Overview (Design)'!A25</f>
        <v>Above grade plane finished floor area:</v>
      </c>
      <c r="AY26" s="76">
        <f>'Overview (Design)'!G25</f>
        <v>0</v>
      </c>
    </row>
    <row r="27" spans="1:61" x14ac:dyDescent="0.25">
      <c r="B27" s="679" t="s">
        <v>817</v>
      </c>
      <c r="C27" s="90"/>
      <c r="D27" s="21"/>
      <c r="E27" s="21"/>
      <c r="F27" s="21"/>
      <c r="G27" s="21"/>
      <c r="H27" s="758"/>
      <c r="I27" s="510" t="s">
        <v>817</v>
      </c>
      <c r="J27" s="448"/>
      <c r="K27" s="448"/>
      <c r="L27" s="1782" t="s">
        <v>4892</v>
      </c>
      <c r="M27" s="452"/>
      <c r="N27" s="129"/>
      <c r="O27" s="1774">
        <f ca="1">IFERROR(MATCH(W28,INDIRECT(U28),0)*15+15,0)*S28</f>
        <v>0</v>
      </c>
      <c r="P27" s="94"/>
      <c r="Q27" s="94"/>
      <c r="R27" s="94"/>
      <c r="S27" s="94"/>
      <c r="T27" s="94"/>
      <c r="U27" s="94"/>
      <c r="V27" s="94"/>
      <c r="W27" s="94" t="s">
        <v>2996</v>
      </c>
      <c r="X27" s="1757"/>
      <c r="AN27" s="254" t="str">
        <f>SUBSTITUTE(SUBSTITUTE(SUBSTITUTE("dpc"&amp;$B27&amp;$C27&amp;$D27&amp;$E27,".","_"),"(","_"),")","")</f>
        <v>dpc701_1_4</v>
      </c>
      <c r="AO27" s="254">
        <f ca="1">O27</f>
        <v>0</v>
      </c>
      <c r="AR27" s="254" t="str">
        <f>SUBSTITUTE(SUBSTITUTE(SUBSTITUTE("dnt"&amp;$B27&amp;$C27&amp;$D27&amp;$E27,".","_"),"(","_"),")","")</f>
        <v>dnt701_1_4</v>
      </c>
      <c r="AS27" s="254" t="str">
        <f>IF(LEN(X27)=0,"",X27)</f>
        <v/>
      </c>
      <c r="AX27" s="75" t="str">
        <f>'Overview (Design)'!A26</f>
        <v>Total conditioned floor area:</v>
      </c>
      <c r="AY27" s="76">
        <f>'Overview (Design)'!G26</f>
        <v>0</v>
      </c>
    </row>
    <row r="28" spans="1:61" x14ac:dyDescent="0.25">
      <c r="B28" s="679" t="s">
        <v>817</v>
      </c>
      <c r="C28" s="90"/>
      <c r="D28" s="21"/>
      <c r="E28" s="21"/>
      <c r="F28" s="21"/>
      <c r="G28" s="21"/>
      <c r="H28" s="758"/>
      <c r="I28" s="129"/>
      <c r="J28" s="448"/>
      <c r="K28" s="448"/>
      <c r="L28" s="1782"/>
      <c r="M28" s="452"/>
      <c r="N28" s="129"/>
      <c r="O28" s="1774"/>
      <c r="P28" s="94" t="b">
        <v>0</v>
      </c>
      <c r="Q28" s="94" t="b">
        <v>1</v>
      </c>
      <c r="R28" s="94" t="b">
        <f ca="1">S28</f>
        <v>0</v>
      </c>
      <c r="S28" s="94" t="b">
        <f ca="1">IFERROR(S13=4,FALSE)</f>
        <v>0</v>
      </c>
      <c r="T28" s="94" t="b">
        <f ca="1">AND(NOT(S28),LEN(W28)&gt;0)</f>
        <v>0</v>
      </c>
      <c r="U28" s="94" t="str">
        <f>SUBSTITUTE(SUBSTITUTE(SUBSTITUTE("dd"&amp;B27&amp;C27&amp;D27&amp;E27&amp;F27,".","_"),"(","_"),")","")</f>
        <v>dd701_1_4</v>
      </c>
      <c r="V28" s="94"/>
      <c r="W28" s="109"/>
      <c r="X28" s="1757"/>
      <c r="AC28" s="137" t="b">
        <f ca="1">OR(AD28:AE28)</f>
        <v>0</v>
      </c>
      <c r="AD28" s="137" t="b">
        <f ca="1">T28</f>
        <v>0</v>
      </c>
      <c r="AE28" s="137" t="b">
        <f ca="1">AND(R28,ISBLANK(W28))</f>
        <v>0</v>
      </c>
      <c r="AP28" s="254" t="str">
        <f>SUBSTITUTE(SUBSTITUTE(SUBSTITUTE("dch"&amp;$B28&amp;$C28&amp;$D28&amp;$E28,".","_"),"(","_"),")","")</f>
        <v>dch701_1_4</v>
      </c>
      <c r="AQ28" s="254" t="str">
        <f>IF(LEN(W28)=0,"",W28)</f>
        <v/>
      </c>
      <c r="AX28" s="329" t="str">
        <f>'Overview (Design)'!A27</f>
        <v>Stories above grade:</v>
      </c>
      <c r="AY28" s="330">
        <f>'Overview (Design)'!G27</f>
        <v>0</v>
      </c>
      <c r="AZ28" s="1066"/>
      <c r="BA28" s="1066"/>
      <c r="BB28" s="1066"/>
      <c r="BC28" s="1066"/>
      <c r="BD28" s="1066"/>
      <c r="BE28" s="1066"/>
      <c r="BF28" s="1066"/>
      <c r="BG28" s="1066"/>
      <c r="BH28" s="1066"/>
      <c r="BI28" s="1066"/>
    </row>
    <row r="29" spans="1:61" x14ac:dyDescent="0.25">
      <c r="B29" s="679" t="s">
        <v>817</v>
      </c>
      <c r="C29" s="90"/>
      <c r="D29" s="21"/>
      <c r="E29" s="21"/>
      <c r="F29" s="21"/>
      <c r="G29" s="21"/>
      <c r="H29" s="758"/>
      <c r="I29" s="129"/>
      <c r="J29" s="448"/>
      <c r="K29" s="448"/>
      <c r="L29" s="1782"/>
      <c r="M29" s="452"/>
      <c r="N29" s="129"/>
      <c r="O29" s="1774"/>
      <c r="P29" s="94"/>
      <c r="Q29" s="94"/>
      <c r="R29" s="94"/>
      <c r="S29" s="94"/>
      <c r="T29" s="94"/>
      <c r="U29" s="94"/>
      <c r="V29" s="94"/>
      <c r="W29" s="94" t="s">
        <v>5676</v>
      </c>
      <c r="X29" s="1757"/>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1:61" x14ac:dyDescent="0.25">
      <c r="B30" s="679" t="s">
        <v>817</v>
      </c>
      <c r="C30" s="90" t="s">
        <v>5105</v>
      </c>
      <c r="D30" s="21"/>
      <c r="E30" s="21"/>
      <c r="F30" s="21"/>
      <c r="G30" s="21"/>
      <c r="H30" s="758"/>
      <c r="I30" s="129"/>
      <c r="J30" s="448"/>
      <c r="K30" s="448"/>
      <c r="L30" s="1782"/>
      <c r="M30" s="452"/>
      <c r="N30" s="129"/>
      <c r="O30" s="1774"/>
      <c r="P30" s="94" t="b">
        <v>0</v>
      </c>
      <c r="Q30" s="94" t="b">
        <v>1</v>
      </c>
      <c r="R30" s="94" t="b">
        <f>S30</f>
        <v>0</v>
      </c>
      <c r="S30" s="94" t="b">
        <f>LEN(W28)&gt;0</f>
        <v>0</v>
      </c>
      <c r="T30" s="94" t="b">
        <f ca="1">AND(LEN(W30)&gt;0,IFERROR(COUNTIF(INDIRECT(U30),W30)=0,TRUE))</f>
        <v>0</v>
      </c>
      <c r="U30" s="197" t="str" cm="1">
        <f t="array" aca="1" ref="U30" ca="1">IFERROR(INDEX({"ddAltBronze","ddAltSilver"},MATCH(W28,INDIRECT(U28),0)),"XXX")</f>
        <v>XXX</v>
      </c>
      <c r="V30" s="94"/>
      <c r="W30" s="1484"/>
      <c r="X30" s="1757"/>
      <c r="AC30" s="1606" t="b">
        <f ca="1">OR(AD30:AE30)</f>
        <v>0</v>
      </c>
      <c r="AD30" s="1606" t="b">
        <f ca="1">T30</f>
        <v>0</v>
      </c>
      <c r="AE30" s="1606" t="b">
        <f>AND(R30,ISBLANK(W30))</f>
        <v>0</v>
      </c>
      <c r="AP30" s="254" t="str">
        <f>SUBSTITUTE(SUBSTITUTE(SUBSTITUTE("dch"&amp;$B30&amp;$C30&amp;$D30&amp;$E30,".","_"),"(","_"),")","")</f>
        <v>dch701_1_4_</v>
      </c>
      <c r="AQ30" s="254" t="str">
        <f>IF(LEN(W30)=0,"",W30)</f>
        <v/>
      </c>
      <c r="AX30" s="1065"/>
      <c r="AY30" s="1066"/>
    </row>
    <row r="31" spans="1:61" s="1066" customFormat="1" x14ac:dyDescent="0.25">
      <c r="A31" s="18"/>
      <c r="B31" s="679" t="s">
        <v>817</v>
      </c>
      <c r="C31" s="90"/>
      <c r="D31" s="21"/>
      <c r="E31" s="21"/>
      <c r="F31" s="21"/>
      <c r="G31" s="21"/>
      <c r="H31" s="758"/>
      <c r="I31" s="129"/>
      <c r="J31" s="1071"/>
      <c r="K31" s="1071"/>
      <c r="L31" s="1782"/>
      <c r="M31" s="1069"/>
      <c r="N31" s="129"/>
      <c r="O31" s="1774"/>
      <c r="P31" s="94"/>
      <c r="Q31" s="94"/>
      <c r="R31" s="94"/>
      <c r="S31" s="94"/>
      <c r="T31" s="94"/>
      <c r="U31" s="94"/>
      <c r="V31" s="94"/>
      <c r="W31" s="94"/>
      <c r="X31" s="1757"/>
      <c r="AX31" s="75" t="str">
        <f>'Overview (Design)'!A30</f>
        <v xml:space="preserve">Project Description (optional): </v>
      </c>
      <c r="AY31" s="76">
        <f>'Overview (Design)'!G30</f>
        <v>0</v>
      </c>
      <c r="AZ31" s="76"/>
      <c r="BA31" s="76"/>
      <c r="BB31" s="76"/>
      <c r="BC31" s="76"/>
      <c r="BD31" s="76"/>
      <c r="BE31" s="76"/>
      <c r="BF31" s="76"/>
      <c r="BG31" s="76"/>
      <c r="BH31" s="76"/>
      <c r="BI31" s="76"/>
    </row>
    <row r="32" spans="1:61" x14ac:dyDescent="0.25">
      <c r="B32" s="679" t="s">
        <v>817</v>
      </c>
      <c r="C32" s="90"/>
      <c r="D32" s="21"/>
      <c r="E32" s="21"/>
      <c r="F32" s="21"/>
      <c r="G32" s="21"/>
      <c r="H32" s="758"/>
      <c r="I32" s="129"/>
      <c r="J32" s="448"/>
      <c r="K32" s="448"/>
      <c r="L32" s="1782"/>
      <c r="M32" s="452"/>
      <c r="N32" s="129"/>
      <c r="O32" s="1774"/>
      <c r="P32" s="94"/>
      <c r="Q32" s="94"/>
      <c r="R32" s="94"/>
      <c r="S32" s="94"/>
      <c r="T32" s="94"/>
      <c r="U32" s="94"/>
      <c r="V32" s="94"/>
      <c r="W32" s="94"/>
      <c r="X32" s="1757"/>
      <c r="AX32" s="329"/>
      <c r="AY32" s="330"/>
    </row>
    <row r="33" spans="1:61" x14ac:dyDescent="0.25">
      <c r="B33" s="679" t="s">
        <v>817</v>
      </c>
      <c r="C33" s="90"/>
      <c r="D33" s="21"/>
      <c r="E33" s="21"/>
      <c r="F33" s="21"/>
      <c r="G33" s="21"/>
      <c r="H33" s="758"/>
      <c r="I33" s="129"/>
      <c r="J33" s="448"/>
      <c r="K33" s="448"/>
      <c r="L33" s="1782"/>
      <c r="M33" s="452"/>
      <c r="N33" s="129"/>
      <c r="O33" s="1774"/>
      <c r="P33" s="94"/>
      <c r="Q33" s="94"/>
      <c r="R33" s="94"/>
      <c r="S33" s="94"/>
      <c r="T33" s="94"/>
      <c r="U33" s="94"/>
      <c r="V33" s="94"/>
      <c r="W33" s="94"/>
      <c r="X33" s="1757"/>
      <c r="AX33" s="75" t="str">
        <f>'Overview (Design)'!A32</f>
        <v>Foundation Type:</v>
      </c>
      <c r="AY33" s="76">
        <f>'Overview (Design)'!G32</f>
        <v>0</v>
      </c>
    </row>
    <row r="34" spans="1:61" x14ac:dyDescent="0.25">
      <c r="B34" s="679" t="s">
        <v>817</v>
      </c>
      <c r="C34" s="90"/>
      <c r="D34" s="21"/>
      <c r="E34" s="21"/>
      <c r="F34" s="21"/>
      <c r="G34" s="21"/>
      <c r="H34" s="758"/>
      <c r="I34" s="129"/>
      <c r="J34" s="448"/>
      <c r="K34" s="448"/>
      <c r="L34" s="1782"/>
      <c r="M34" s="452"/>
      <c r="N34" s="129"/>
      <c r="O34" s="1774"/>
      <c r="P34" s="94"/>
      <c r="Q34" s="94"/>
      <c r="R34" s="94"/>
      <c r="S34" s="94"/>
      <c r="T34" s="94"/>
      <c r="U34" s="94"/>
      <c r="V34" s="94"/>
      <c r="W34" s="94"/>
      <c r="X34" s="1757"/>
      <c r="AX34" s="329"/>
      <c r="AY34" s="330"/>
      <c r="AZ34" s="791"/>
      <c r="BA34" s="791"/>
      <c r="BB34" s="791"/>
      <c r="BC34" s="791"/>
      <c r="BD34" s="791"/>
      <c r="BE34" s="791"/>
      <c r="BF34" s="791"/>
      <c r="BG34" s="791"/>
      <c r="BH34" s="791"/>
      <c r="BI34" s="791"/>
    </row>
    <row r="35" spans="1:61" x14ac:dyDescent="0.25">
      <c r="B35" s="679" t="s">
        <v>817</v>
      </c>
      <c r="C35" s="90"/>
      <c r="D35" s="21"/>
      <c r="E35" s="21"/>
      <c r="F35" s="21"/>
      <c r="G35" s="21"/>
      <c r="H35" s="758"/>
      <c r="I35" s="129"/>
      <c r="J35" s="1607"/>
      <c r="K35" s="1607"/>
      <c r="L35" s="1782"/>
      <c r="M35" s="1610"/>
      <c r="N35" s="129"/>
      <c r="O35" s="1774"/>
      <c r="P35" s="94"/>
      <c r="Q35" s="94"/>
      <c r="R35" s="94"/>
      <c r="S35" s="94"/>
      <c r="T35" s="94"/>
      <c r="U35" s="94"/>
      <c r="V35" s="94"/>
      <c r="W35" s="94"/>
      <c r="X35" s="1757"/>
      <c r="AX35" s="75" t="str">
        <f>'Overview (Design)'!A34</f>
        <v>Type of Heating System (main system):</v>
      </c>
      <c r="AY35" s="76">
        <f>'Overview (Design)'!G34</f>
        <v>0</v>
      </c>
      <c r="AZ35" s="791"/>
      <c r="BA35" s="791"/>
      <c r="BB35" s="791"/>
      <c r="BC35" s="791"/>
      <c r="BD35" s="791"/>
      <c r="BE35" s="791"/>
      <c r="BF35" s="791"/>
      <c r="BG35" s="791"/>
      <c r="BH35" s="791"/>
      <c r="BI35" s="791"/>
    </row>
    <row r="36" spans="1:61" s="1606" customFormat="1" ht="15.75" thickBot="1" x14ac:dyDescent="0.3">
      <c r="A36" s="18"/>
      <c r="B36" s="679" t="s">
        <v>817</v>
      </c>
      <c r="C36" s="90"/>
      <c r="D36" s="21"/>
      <c r="E36" s="21"/>
      <c r="F36" s="21"/>
      <c r="G36" s="21"/>
      <c r="H36" s="758"/>
      <c r="I36" s="240"/>
      <c r="J36" s="1615"/>
      <c r="K36" s="1615"/>
      <c r="L36" s="2347" t="s">
        <v>5677</v>
      </c>
      <c r="M36" s="1613"/>
      <c r="N36" s="240"/>
      <c r="O36" s="1614"/>
      <c r="P36" s="99"/>
      <c r="Q36" s="99"/>
      <c r="R36" s="99"/>
      <c r="S36" s="99"/>
      <c r="T36" s="99"/>
      <c r="U36" s="99"/>
      <c r="V36" s="99"/>
      <c r="W36" s="99"/>
      <c r="X36" s="99"/>
      <c r="AX36" s="75" t="str">
        <f>'Overview (Design)'!A35</f>
        <v>Type of Heating System (system 2):</v>
      </c>
      <c r="AY36" s="76">
        <f>'Overview (Design)'!G35</f>
        <v>0</v>
      </c>
    </row>
    <row r="37" spans="1:61" s="791" customFormat="1" ht="15.75" thickTop="1" x14ac:dyDescent="0.25">
      <c r="A37" s="18"/>
      <c r="B37" s="679" t="s">
        <v>4227</v>
      </c>
      <c r="C37" s="90"/>
      <c r="D37" s="21"/>
      <c r="E37" s="21"/>
      <c r="F37" s="21"/>
      <c r="G37" s="21"/>
      <c r="H37" s="758"/>
      <c r="I37" s="87" t="s">
        <v>4227</v>
      </c>
      <c r="J37" s="845"/>
      <c r="K37" s="845"/>
      <c r="L37" s="1836" t="s">
        <v>4228</v>
      </c>
      <c r="M37" s="794"/>
      <c r="N37" s="129"/>
      <c r="O37" s="1774"/>
      <c r="P37" s="94"/>
      <c r="Q37" s="94"/>
      <c r="R37" s="94"/>
      <c r="S37" s="94"/>
      <c r="T37" s="94"/>
      <c r="U37" s="94"/>
      <c r="V37" s="94"/>
      <c r="W37" s="94"/>
      <c r="X37"/>
      <c r="AX37" s="75" t="str">
        <f>'Overview (Design)'!A36</f>
        <v>Type of Heating System (system 3):</v>
      </c>
      <c r="AY37" s="76">
        <f>'Overview (Design)'!G36</f>
        <v>0</v>
      </c>
    </row>
    <row r="38" spans="1:61" s="791" customFormat="1" x14ac:dyDescent="0.25">
      <c r="A38" s="18"/>
      <c r="B38" s="679" t="s">
        <v>4227</v>
      </c>
      <c r="C38" s="90"/>
      <c r="D38" s="21"/>
      <c r="E38" s="21"/>
      <c r="F38" s="21"/>
      <c r="G38" s="21"/>
      <c r="H38" s="758"/>
      <c r="I38" s="90"/>
      <c r="J38" s="845"/>
      <c r="K38" s="845"/>
      <c r="L38" s="1836"/>
      <c r="M38" s="794"/>
      <c r="N38" s="129"/>
      <c r="O38" s="1774"/>
      <c r="P38" s="94"/>
      <c r="Q38" s="94"/>
      <c r="R38" s="94"/>
      <c r="S38" s="94"/>
      <c r="T38" s="94"/>
      <c r="U38" s="94"/>
      <c r="V38" s="94"/>
      <c r="W38" s="94"/>
      <c r="X38"/>
      <c r="AX38" s="75" t="str">
        <f>'Overview (Design)'!A37</f>
        <v>Primary Heating Fuel:</v>
      </c>
      <c r="AY38" s="76">
        <f>'Overview (Design)'!G37</f>
        <v>0</v>
      </c>
    </row>
    <row r="39" spans="1:61" s="791" customFormat="1" x14ac:dyDescent="0.25">
      <c r="A39" s="18"/>
      <c r="B39" s="679" t="s">
        <v>4227</v>
      </c>
      <c r="C39" s="90"/>
      <c r="D39" s="21"/>
      <c r="E39" s="21"/>
      <c r="F39" s="21"/>
      <c r="G39" s="21"/>
      <c r="H39" s="758"/>
      <c r="I39" s="90"/>
      <c r="J39" s="845"/>
      <c r="K39" s="845"/>
      <c r="L39" s="1836"/>
      <c r="M39" s="794"/>
      <c r="N39" s="129"/>
      <c r="O39" s="1774"/>
      <c r="P39" s="94"/>
      <c r="Q39" s="94"/>
      <c r="R39" s="94"/>
      <c r="S39" s="94"/>
      <c r="T39" s="94"/>
      <c r="U39" s="94"/>
      <c r="V39" s="94"/>
      <c r="W39" s="94"/>
      <c r="X39"/>
      <c r="AX39" s="329" t="str">
        <f>'Overview (Design)'!A38</f>
        <v>Heating Ducts:</v>
      </c>
      <c r="AY39" s="330">
        <f>'Overview (Design)'!G38</f>
        <v>0</v>
      </c>
    </row>
    <row r="40" spans="1:61" s="1606" customFormat="1" x14ac:dyDescent="0.25">
      <c r="A40" s="18"/>
      <c r="B40" s="679" t="s">
        <v>4227</v>
      </c>
      <c r="C40" s="90"/>
      <c r="D40" s="21"/>
      <c r="E40" s="21"/>
      <c r="F40" s="21"/>
      <c r="G40" s="21"/>
      <c r="H40" s="758"/>
      <c r="I40" s="90"/>
      <c r="J40" s="845"/>
      <c r="K40" s="845"/>
      <c r="L40" s="2348" t="s">
        <v>5677</v>
      </c>
      <c r="M40" s="1610"/>
      <c r="N40" s="129"/>
      <c r="O40" s="1608"/>
      <c r="P40" s="94"/>
      <c r="Q40" s="94"/>
      <c r="R40" s="94"/>
      <c r="S40" s="94"/>
      <c r="T40" s="94"/>
      <c r="U40" s="94"/>
      <c r="V40" s="94"/>
      <c r="W40" s="94"/>
      <c r="AX40" s="329" t="str">
        <f>'Overview (Design)'!A39</f>
        <v>Type of Cooling System (main system):</v>
      </c>
      <c r="AY40" s="330">
        <f>'Overview (Design)'!G39</f>
        <v>0</v>
      </c>
    </row>
    <row r="41" spans="1:61" s="791" customFormat="1" x14ac:dyDescent="0.25">
      <c r="A41" s="18"/>
      <c r="B41" s="679" t="s">
        <v>4227</v>
      </c>
      <c r="C41" s="845" t="s">
        <v>256</v>
      </c>
      <c r="D41" s="845"/>
      <c r="E41" s="21"/>
      <c r="F41" s="21"/>
      <c r="G41" s="21"/>
      <c r="H41" s="758"/>
      <c r="I41" s="90"/>
      <c r="J41" s="684" t="s">
        <v>256</v>
      </c>
      <c r="K41" s="863"/>
      <c r="L41" s="978" t="s">
        <v>4229</v>
      </c>
      <c r="M41" s="984" t="str">
        <f ca="1">IF(R41,"Mandatory","N/A")</f>
        <v>N/A</v>
      </c>
      <c r="N41" s="210"/>
      <c r="O41" s="916"/>
      <c r="P41" s="178" t="b">
        <v>1</v>
      </c>
      <c r="Q41" s="178" t="b">
        <v>1</v>
      </c>
      <c r="R41" s="178" t="b">
        <f ca="1">S41</f>
        <v>0</v>
      </c>
      <c r="S41" s="178" t="b">
        <f ca="1">IFERROR(S13=5,FALSE)</f>
        <v>0</v>
      </c>
      <c r="T41" s="178" t="b">
        <f ca="1">AND(NOT(S41),W41=TRUE)</f>
        <v>0</v>
      </c>
      <c r="U41" s="178"/>
      <c r="V41" s="538"/>
      <c r="W41" s="25"/>
      <c r="X41" s="918"/>
      <c r="AC41" s="791" t="b">
        <f ca="1">OR(AD41:AE41)</f>
        <v>0</v>
      </c>
      <c r="AD41" s="791" t="b">
        <f ca="1">T41</f>
        <v>0</v>
      </c>
      <c r="AE41" s="791" t="b">
        <f ca="1">AND(R41,NOT(W41))</f>
        <v>0</v>
      </c>
      <c r="AL41" s="254" t="str">
        <f>SUBSTITUTE(SUBSTITUTE(SUBSTITUTE("dpa"&amp;$B41&amp;$C41&amp;$D41&amp;$E41,".","_"),"(","_"),")","")</f>
        <v>dpa701_1_6_1</v>
      </c>
      <c r="AM41" s="254" t="str">
        <f ca="1">M41</f>
        <v>N/A</v>
      </c>
      <c r="AN41" s="1129"/>
      <c r="AP41" s="254" t="str">
        <f>SUBSTITUTE(SUBSTITUTE(SUBSTITUTE("dch"&amp;$B41&amp;$C41&amp;$D41&amp;$E41,".","_"),"(","_"),")","")</f>
        <v>dch701_1_6_1</v>
      </c>
      <c r="AQ41" s="254" t="str">
        <f>IF(LEN(W41)=0,"",W41)</f>
        <v/>
      </c>
      <c r="AR41" s="254" t="str">
        <f>SUBSTITUTE(SUBSTITUTE(SUBSTITUTE("dnt"&amp;$B41&amp;$C41&amp;$D41&amp;$E41,".","_"),"(","_"),")","")</f>
        <v>dnt701_1_6_1</v>
      </c>
      <c r="AS41" s="254" t="str">
        <f>IF(LEN(X41)=0,"",X41)</f>
        <v/>
      </c>
      <c r="AX41" s="329" t="str">
        <f>'Overview (Design)'!A40</f>
        <v>Type of Cooling System (system 2):</v>
      </c>
      <c r="AY41" s="330">
        <f>'Overview (Design)'!G40</f>
        <v>0</v>
      </c>
    </row>
    <row r="42" spans="1:61" s="791" customFormat="1" x14ac:dyDescent="0.25">
      <c r="A42" s="18"/>
      <c r="B42" s="679" t="s">
        <v>4227</v>
      </c>
      <c r="C42" s="845" t="s">
        <v>258</v>
      </c>
      <c r="D42" s="845"/>
      <c r="E42" s="21"/>
      <c r="F42" s="21"/>
      <c r="G42" s="21"/>
      <c r="H42" s="758"/>
      <c r="I42" s="90"/>
      <c r="J42" s="693" t="s">
        <v>258</v>
      </c>
      <c r="K42" s="993"/>
      <c r="L42" s="1769" t="s">
        <v>4230</v>
      </c>
      <c r="M42" s="1872" t="str">
        <f ca="1">IF(R42,"Mandatory","N/A")</f>
        <v>N/A</v>
      </c>
      <c r="N42" s="193"/>
      <c r="O42" s="921"/>
      <c r="P42" s="195" t="b">
        <v>1</v>
      </c>
      <c r="Q42" s="195" t="b">
        <v>1</v>
      </c>
      <c r="R42" s="195" t="b">
        <f ca="1">S42</f>
        <v>0</v>
      </c>
      <c r="S42" s="195" t="b">
        <f ca="1">IFERROR(S13=5,FALSE)</f>
        <v>0</v>
      </c>
      <c r="T42" s="195" t="b">
        <f ca="1">AND(NOT(S42),W42=TRUE)</f>
        <v>0</v>
      </c>
      <c r="U42" s="195"/>
      <c r="V42" s="195"/>
      <c r="W42" s="25"/>
      <c r="X42" s="1798"/>
      <c r="AC42" s="791" t="b">
        <f ca="1">OR(AD42:AE42)</f>
        <v>0</v>
      </c>
      <c r="AD42" s="791" t="b">
        <f ca="1">T42</f>
        <v>0</v>
      </c>
      <c r="AE42" s="791" t="b">
        <f ca="1">AND(R42,NOT(W42))</f>
        <v>0</v>
      </c>
      <c r="AL42" s="254" t="str">
        <f>SUBSTITUTE(SUBSTITUTE(SUBSTITUTE("dpa"&amp;$B42&amp;$C42&amp;$D42&amp;$E42,".","_"),"(","_"),")","")</f>
        <v>dpa701_1_6_2</v>
      </c>
      <c r="AM42" s="254" t="str">
        <f ca="1">M42</f>
        <v>N/A</v>
      </c>
      <c r="AN42" s="1129"/>
      <c r="AP42" s="254" t="str">
        <f>SUBSTITUTE(SUBSTITUTE(SUBSTITUTE("dch"&amp;$B42&amp;$C42&amp;$D42&amp;$E42,".","_"),"(","_"),")","")</f>
        <v>dch701_1_6_2</v>
      </c>
      <c r="AQ42" s="254" t="str">
        <f>IF(LEN(W42)=0,"",W42)</f>
        <v/>
      </c>
      <c r="AR42" s="254" t="str">
        <f>SUBSTITUTE(SUBSTITUTE(SUBSTITUTE("dnt"&amp;$B42&amp;$C42&amp;$D42&amp;$E42,".","_"),"(","_"),")","")</f>
        <v>dnt701_1_6_2</v>
      </c>
      <c r="AS42" s="254" t="str">
        <f>IF(LEN(X42)=0,"",X42)</f>
        <v/>
      </c>
      <c r="AX42" s="329" t="str">
        <f>'Overview (Design)'!A41</f>
        <v>Type of Cooling System (system 3):</v>
      </c>
      <c r="AY42" s="330">
        <f>'Overview (Design)'!G41</f>
        <v>0</v>
      </c>
    </row>
    <row r="43" spans="1:61" s="791" customFormat="1" x14ac:dyDescent="0.25">
      <c r="A43" s="18"/>
      <c r="B43" s="679" t="s">
        <v>4227</v>
      </c>
      <c r="C43" s="845" t="s">
        <v>258</v>
      </c>
      <c r="D43" s="845"/>
      <c r="E43" s="21"/>
      <c r="F43" s="21"/>
      <c r="G43" s="21"/>
      <c r="H43" s="758"/>
      <c r="I43" s="90"/>
      <c r="J43" s="684"/>
      <c r="K43" s="863"/>
      <c r="L43" s="1786"/>
      <c r="M43" s="1844"/>
      <c r="N43" s="210"/>
      <c r="O43" s="916"/>
      <c r="P43" s="210"/>
      <c r="Q43" s="210"/>
      <c r="R43" s="178"/>
      <c r="S43" s="178"/>
      <c r="T43" s="178"/>
      <c r="U43" s="178"/>
      <c r="V43" s="178"/>
      <c r="W43" s="94"/>
      <c r="X43" s="1756"/>
      <c r="AX43" s="329" t="str">
        <f>'Overview (Design)'!A42</f>
        <v>Cooling Ducts:</v>
      </c>
      <c r="AY43" s="330">
        <f>'Overview (Design)'!G42</f>
        <v>0</v>
      </c>
    </row>
    <row r="44" spans="1:61" s="791" customFormat="1" x14ac:dyDescent="0.25">
      <c r="A44" s="18"/>
      <c r="B44" s="679" t="s">
        <v>4227</v>
      </c>
      <c r="C44" s="845" t="s">
        <v>260</v>
      </c>
      <c r="D44" s="845"/>
      <c r="E44" s="21"/>
      <c r="F44" s="21"/>
      <c r="G44" s="21"/>
      <c r="H44" s="758"/>
      <c r="I44" s="90"/>
      <c r="J44" s="691" t="s">
        <v>260</v>
      </c>
      <c r="K44" s="994"/>
      <c r="L44" s="858" t="s">
        <v>4231</v>
      </c>
      <c r="M44" s="766" t="str">
        <f ca="1">IF(R44,"Mandatory","N/A")</f>
        <v>N/A</v>
      </c>
      <c r="N44" s="243"/>
      <c r="O44" s="924"/>
      <c r="P44" s="211" t="b">
        <v>1</v>
      </c>
      <c r="Q44" s="211" t="b">
        <v>1</v>
      </c>
      <c r="R44" s="211" t="b">
        <f ca="1">S44</f>
        <v>0</v>
      </c>
      <c r="S44" s="211" t="b">
        <f ca="1">IFERROR(S13=5,FALSE)</f>
        <v>0</v>
      </c>
      <c r="T44" s="211" t="b">
        <f ca="1">AND(NOT(S44),LEN(W44)&gt;0)</f>
        <v>0</v>
      </c>
      <c r="U44" s="211" t="str">
        <f>SUBSTITUTE(SUBSTITUTE(SUBSTITUTE("dd"&amp;B43&amp;C43&amp;D43&amp;E43&amp;F43,".","_"),"(","_"),")","")</f>
        <v>dd701_1_6_2</v>
      </c>
      <c r="V44" s="934"/>
      <c r="W44" s="12"/>
      <c r="X44" s="918"/>
      <c r="AC44" s="791" t="b">
        <f ca="1">OR(AD44:AE44)</f>
        <v>0</v>
      </c>
      <c r="AD44" s="791" t="b">
        <f ca="1">T44</f>
        <v>0</v>
      </c>
      <c r="AE44" s="791" t="b">
        <f ca="1">AND(R44,OR(W44="Not Met",W44=""))</f>
        <v>0</v>
      </c>
      <c r="AL44" s="254" t="str">
        <f>SUBSTITUTE(SUBSTITUTE(SUBSTITUTE("dpa"&amp;$B44&amp;$C44&amp;$D44&amp;$E44,".","_"),"(","_"),")","")</f>
        <v>dpa701_1_6_3</v>
      </c>
      <c r="AM44" s="254" t="str">
        <f ca="1">M44</f>
        <v>N/A</v>
      </c>
      <c r="AN44" s="1129"/>
      <c r="AP44" s="254" t="str">
        <f>SUBSTITUTE(SUBSTITUTE(SUBSTITUTE("dch"&amp;$B44&amp;$C44&amp;$D44&amp;$E44,".","_"),"(","_"),")","")</f>
        <v>dch701_1_6_3</v>
      </c>
      <c r="AQ44" s="254" t="str">
        <f>IF(LEN(W44)=0,"",W44)</f>
        <v/>
      </c>
      <c r="AR44" s="254" t="str">
        <f>SUBSTITUTE(SUBSTITUTE(SUBSTITUTE("dnt"&amp;$B44&amp;$C44&amp;$D44&amp;$E44,".","_"),"(","_"),")","")</f>
        <v>dnt701_1_6_3</v>
      </c>
      <c r="AS44" s="254" t="str">
        <f>IF(LEN(X44)=0,"",X44)</f>
        <v/>
      </c>
      <c r="AX44" s="329"/>
      <c r="AY44" s="330"/>
    </row>
    <row r="45" spans="1:61" s="791" customFormat="1" x14ac:dyDescent="0.25">
      <c r="A45" s="18"/>
      <c r="B45" s="679" t="s">
        <v>4227</v>
      </c>
      <c r="C45" s="845" t="s">
        <v>269</v>
      </c>
      <c r="D45" s="845"/>
      <c r="E45" s="21"/>
      <c r="F45" s="21"/>
      <c r="G45" s="21"/>
      <c r="H45" s="758"/>
      <c r="I45" s="90"/>
      <c r="J45" s="693" t="s">
        <v>269</v>
      </c>
      <c r="K45" s="993"/>
      <c r="L45" s="1769" t="s">
        <v>4232</v>
      </c>
      <c r="M45" s="1837" t="str">
        <f ca="1">IF(R45,"Mandatory","N/A")</f>
        <v>N/A</v>
      </c>
      <c r="N45" s="4"/>
      <c r="O45" s="917"/>
      <c r="P45" s="911" t="b">
        <v>1</v>
      </c>
      <c r="Q45" s="911" t="b">
        <v>1</v>
      </c>
      <c r="R45" s="911" t="b">
        <f ca="1">S45</f>
        <v>0</v>
      </c>
      <c r="S45" s="911" t="b">
        <f ca="1">IFERROR(S13=5,FALSE)</f>
        <v>0</v>
      </c>
      <c r="T45" s="911" t="b">
        <f ca="1">AND(NOT(S45),W45=TRUE)</f>
        <v>0</v>
      </c>
      <c r="U45" s="911"/>
      <c r="V45" s="911"/>
      <c r="W45" s="25"/>
      <c r="X45" s="1798"/>
      <c r="AC45" s="791" t="b">
        <f ca="1">OR(AD45:AE45)</f>
        <v>0</v>
      </c>
      <c r="AD45" s="791" t="b">
        <f ca="1">T45</f>
        <v>0</v>
      </c>
      <c r="AE45" s="791" t="b">
        <f ca="1">AND(R45,NOT(W45))</f>
        <v>0</v>
      </c>
      <c r="AL45" s="254" t="str">
        <f>SUBSTITUTE(SUBSTITUTE(SUBSTITUTE("dpa"&amp;$B45&amp;$C45&amp;$D45&amp;$E45,".","_"),"(","_"),")","")</f>
        <v>dpa701_1_6_4</v>
      </c>
      <c r="AM45" s="254" t="str">
        <f ca="1">M45</f>
        <v>N/A</v>
      </c>
      <c r="AN45" s="1129"/>
      <c r="AP45" s="254" t="str">
        <f>SUBSTITUTE(SUBSTITUTE(SUBSTITUTE("dch"&amp;$B45&amp;$C45&amp;$D45&amp;$E45,".","_"),"(","_"),")","")</f>
        <v>dch701_1_6_4</v>
      </c>
      <c r="AQ45" s="254" t="str">
        <f>IF(LEN(W45)=0,"",W45)</f>
        <v/>
      </c>
      <c r="AR45" s="254" t="str">
        <f>SUBSTITUTE(SUBSTITUTE(SUBSTITUTE("dnt"&amp;$B45&amp;$C45&amp;$D45&amp;$E45,".","_"),"(","_"),")","")</f>
        <v>dnt701_1_6_4</v>
      </c>
      <c r="AS45" s="254" t="str">
        <f>IF(LEN(X45)=0,"",X45)</f>
        <v/>
      </c>
      <c r="AX45" s="329" t="str">
        <f>'Overview (Design)'!A44</f>
        <v>Maximum window and door SHGC:</v>
      </c>
      <c r="AY45" s="330">
        <f>'Overview (Design)'!G44</f>
        <v>0</v>
      </c>
    </row>
    <row r="46" spans="1:61" s="791" customFormat="1" x14ac:dyDescent="0.25">
      <c r="A46" s="18"/>
      <c r="B46" s="679" t="s">
        <v>4227</v>
      </c>
      <c r="C46" s="845" t="s">
        <v>269</v>
      </c>
      <c r="D46" s="845"/>
      <c r="E46" s="21"/>
      <c r="F46" s="21"/>
      <c r="G46" s="21"/>
      <c r="H46" s="758"/>
      <c r="I46" s="90"/>
      <c r="J46" s="684"/>
      <c r="K46" s="863"/>
      <c r="L46" s="1786"/>
      <c r="M46" s="1844"/>
      <c r="N46" s="210"/>
      <c r="O46" s="916"/>
      <c r="P46" s="210"/>
      <c r="Q46" s="210"/>
      <c r="R46" s="178"/>
      <c r="S46" s="178"/>
      <c r="T46" s="178"/>
      <c r="U46" s="178"/>
      <c r="V46" s="178"/>
      <c r="W46" s="94"/>
      <c r="X46" s="1756"/>
      <c r="AX46" s="329" t="str">
        <f>'Overview (Design)'!A45</f>
        <v>Maximum skylight SHGC:</v>
      </c>
      <c r="AY46" s="330">
        <f>'Overview (Design)'!G45</f>
        <v>0</v>
      </c>
    </row>
    <row r="47" spans="1:61" s="791" customFormat="1" x14ac:dyDescent="0.25">
      <c r="A47" s="18"/>
      <c r="B47" s="679" t="s">
        <v>4227</v>
      </c>
      <c r="C47" s="845" t="s">
        <v>275</v>
      </c>
      <c r="D47" s="845"/>
      <c r="E47" s="21"/>
      <c r="F47" s="21"/>
      <c r="G47" s="21"/>
      <c r="H47" s="758"/>
      <c r="I47" s="90"/>
      <c r="J47" s="693" t="s">
        <v>275</v>
      </c>
      <c r="K47" s="993"/>
      <c r="L47" s="1769" t="s">
        <v>4233</v>
      </c>
      <c r="M47" s="1872" t="str">
        <f ca="1">IF(R47,"Mandatory","N/A")</f>
        <v>N/A</v>
      </c>
      <c r="N47" s="4"/>
      <c r="O47" s="917"/>
      <c r="P47" s="911" t="b">
        <v>1</v>
      </c>
      <c r="Q47" s="911" t="b">
        <v>1</v>
      </c>
      <c r="R47" s="911" t="b">
        <f ca="1">S47</f>
        <v>0</v>
      </c>
      <c r="S47" s="911" t="b">
        <f ca="1">IFERROR(S13=5,FALSE)</f>
        <v>0</v>
      </c>
      <c r="T47" s="911" t="b">
        <f ca="1">AND(NOT(S47),LEN(W47)&gt;0)</f>
        <v>0</v>
      </c>
      <c r="U47" s="911" t="str">
        <f>SUBSTITUTE(SUBSTITUTE(SUBSTITUTE("dd"&amp;B46&amp;C46&amp;D46&amp;E46&amp;F46,".","_"),"(","_"),")","")</f>
        <v>dd701_1_6_4</v>
      </c>
      <c r="V47" s="911"/>
      <c r="W47" s="12"/>
      <c r="X47" s="1798"/>
      <c r="AC47" s="791" t="b">
        <f ca="1">OR(AD47:AE47)</f>
        <v>0</v>
      </c>
      <c r="AD47" s="791" t="b">
        <f ca="1">T47</f>
        <v>0</v>
      </c>
      <c r="AE47" s="791" t="b">
        <f ca="1">AND(R47,OR(W47="Not Met",W47=""))</f>
        <v>0</v>
      </c>
      <c r="AL47" s="254" t="str">
        <f>SUBSTITUTE(SUBSTITUTE(SUBSTITUTE("dpa"&amp;$B47&amp;$C47&amp;$D47&amp;$E47,".","_"),"(","_"),")","")</f>
        <v>dpa701_1_6_5</v>
      </c>
      <c r="AM47" s="254" t="str">
        <f ca="1">M47</f>
        <v>N/A</v>
      </c>
      <c r="AN47" s="1129"/>
      <c r="AP47" s="254" t="str">
        <f>SUBSTITUTE(SUBSTITUTE(SUBSTITUTE("dch"&amp;$B47&amp;$C47&amp;$D47&amp;$E47,".","_"),"(","_"),")","")</f>
        <v>dch701_1_6_5</v>
      </c>
      <c r="AQ47" s="254" t="str">
        <f>IF(LEN(W47)=0,"",W47)</f>
        <v/>
      </c>
      <c r="AR47" s="254" t="str">
        <f>SUBSTITUTE(SUBSTITUTE(SUBSTITUTE("dnt"&amp;$B47&amp;$C47&amp;$D47&amp;$E47,".","_"),"(","_"),")","")</f>
        <v>dnt701_1_6_5</v>
      </c>
      <c r="AS47" s="254" t="str">
        <f>IF(LEN(X47)=0,"",X47)</f>
        <v/>
      </c>
      <c r="AX47" s="329" t="str">
        <f>'Overview (Design)'!A46</f>
        <v>Maximum window and door U-value:</v>
      </c>
      <c r="AY47" s="330">
        <f>'Overview (Design)'!G46</f>
        <v>0</v>
      </c>
    </row>
    <row r="48" spans="1:61" s="791" customFormat="1" x14ac:dyDescent="0.25">
      <c r="A48" s="18"/>
      <c r="B48" s="679" t="s">
        <v>4227</v>
      </c>
      <c r="C48" s="845" t="s">
        <v>275</v>
      </c>
      <c r="D48" s="845"/>
      <c r="E48" s="21"/>
      <c r="F48" s="21"/>
      <c r="G48" s="21"/>
      <c r="H48" s="758"/>
      <c r="I48" s="90"/>
      <c r="J48" s="684"/>
      <c r="K48" s="863"/>
      <c r="L48" s="1786"/>
      <c r="M48" s="1837"/>
      <c r="N48" s="4"/>
      <c r="O48" s="917"/>
      <c r="P48" s="4"/>
      <c r="Q48" s="4"/>
      <c r="R48" s="911"/>
      <c r="S48" s="911"/>
      <c r="T48" s="911"/>
      <c r="U48" s="911"/>
      <c r="V48" s="911"/>
      <c r="W48" s="94"/>
      <c r="X48" s="1756"/>
      <c r="AX48" s="329" t="str">
        <f>'Overview (Design)'!A47</f>
        <v>Maximum skylight U-value:</v>
      </c>
      <c r="AY48" s="330">
        <f>'Overview (Design)'!G47</f>
        <v>0</v>
      </c>
    </row>
    <row r="49" spans="1:61" s="791" customFormat="1" x14ac:dyDescent="0.25">
      <c r="A49" s="18"/>
      <c r="B49" s="679" t="s">
        <v>4227</v>
      </c>
      <c r="C49" s="845" t="s">
        <v>277</v>
      </c>
      <c r="D49" s="845"/>
      <c r="E49" s="21"/>
      <c r="F49" s="21"/>
      <c r="G49" s="21"/>
      <c r="H49" s="758"/>
      <c r="I49" s="90"/>
      <c r="J49" s="667" t="s">
        <v>277</v>
      </c>
      <c r="K49" s="862"/>
      <c r="L49" s="977" t="s">
        <v>4234</v>
      </c>
      <c r="M49" s="980"/>
      <c r="N49" s="4"/>
      <c r="O49" s="917"/>
      <c r="P49" s="4"/>
      <c r="Q49" s="4"/>
      <c r="R49" s="911"/>
      <c r="S49" s="911"/>
      <c r="T49" s="911"/>
      <c r="U49" s="911"/>
      <c r="V49" s="911"/>
      <c r="W49" s="94"/>
      <c r="X49"/>
      <c r="AX49" s="75" t="str">
        <f>'Overview (Design)'!A48</f>
        <v>Renewable Energy:</v>
      </c>
      <c r="AY49" s="76">
        <f>'Overview (Design)'!G48</f>
        <v>0</v>
      </c>
    </row>
    <row r="50" spans="1:61" s="791" customFormat="1" x14ac:dyDescent="0.25">
      <c r="A50" s="18"/>
      <c r="B50" s="679" t="s">
        <v>4227</v>
      </c>
      <c r="C50" s="845" t="s">
        <v>277</v>
      </c>
      <c r="D50" s="845" t="s">
        <v>121</v>
      </c>
      <c r="E50" s="21"/>
      <c r="F50" s="21"/>
      <c r="G50" s="21"/>
      <c r="H50" s="758"/>
      <c r="I50" s="90"/>
      <c r="J50" s="667"/>
      <c r="K50" s="863" t="s">
        <v>121</v>
      </c>
      <c r="L50" s="978" t="s">
        <v>4235</v>
      </c>
      <c r="M50" s="984" t="str">
        <f ca="1">IF(R50,"Mandatory","N/A")</f>
        <v>N/A</v>
      </c>
      <c r="N50" s="210"/>
      <c r="O50" s="916"/>
      <c r="P50" s="178" t="b">
        <v>1</v>
      </c>
      <c r="Q50" s="178" t="b">
        <v>0</v>
      </c>
      <c r="R50" s="178" t="b">
        <f ca="1">S50</f>
        <v>0</v>
      </c>
      <c r="S50" s="178" t="b">
        <f ca="1">IFERROR(S13=5,FALSE)</f>
        <v>0</v>
      </c>
      <c r="T50" s="178" t="b">
        <f ca="1">AND(NOT(S50),W50=TRUE)</f>
        <v>0</v>
      </c>
      <c r="U50" s="178"/>
      <c r="V50" s="538"/>
      <c r="W50" s="25"/>
      <c r="X50" s="918"/>
      <c r="AC50" s="791" t="b">
        <f ca="1">OR(AD50:AE50)</f>
        <v>0</v>
      </c>
      <c r="AD50" s="791" t="b">
        <f ca="1">T50</f>
        <v>0</v>
      </c>
      <c r="AE50" s="791" t="b">
        <f ca="1">AND(R50,NOT(W50))</f>
        <v>0</v>
      </c>
      <c r="AL50" s="254" t="str">
        <f>SUBSTITUTE(SUBSTITUTE(SUBSTITUTE("dpa"&amp;$B50&amp;$C50&amp;$D50&amp;$E50,".","_"),"(","_"),")","")</f>
        <v>dpa701_1_6_6_a</v>
      </c>
      <c r="AM50" s="254" t="str">
        <f ca="1">M50</f>
        <v>N/A</v>
      </c>
      <c r="AN50" s="1129"/>
      <c r="AP50" s="254" t="str">
        <f>SUBSTITUTE(SUBSTITUTE(SUBSTITUTE("dch"&amp;$B50&amp;$C50&amp;$D50&amp;$E50,".","_"),"(","_"),")","")</f>
        <v>dch701_1_6_6_a</v>
      </c>
      <c r="AQ50" s="254" t="str">
        <f>IF(LEN(W50)=0,"",W50)</f>
        <v/>
      </c>
      <c r="AR50" s="254" t="str">
        <f>SUBSTITUTE(SUBSTITUTE(SUBSTITUTE("dnt"&amp;$B50&amp;$C50&amp;$D50&amp;$E50,".","_"),"(","_"),")","")</f>
        <v>dnt701_1_6_6_a</v>
      </c>
      <c r="AS50" s="254" t="str">
        <f>IF(LEN(X50)=0,"",X50)</f>
        <v/>
      </c>
      <c r="AX50" s="75" t="str">
        <f>'Overview (Design)'!A49</f>
        <v>Thermal Envelope Insulation:</v>
      </c>
      <c r="AY50" s="76">
        <f>'Overview (Design)'!G49</f>
        <v>0</v>
      </c>
    </row>
    <row r="51" spans="1:61" s="791" customFormat="1" x14ac:dyDescent="0.25">
      <c r="A51" s="18"/>
      <c r="B51" s="679" t="s">
        <v>4227</v>
      </c>
      <c r="C51" s="845" t="s">
        <v>277</v>
      </c>
      <c r="D51" s="845" t="s">
        <v>122</v>
      </c>
      <c r="E51" s="21"/>
      <c r="F51" s="21"/>
      <c r="G51" s="21"/>
      <c r="H51" s="758"/>
      <c r="I51" s="90"/>
      <c r="J51" s="667"/>
      <c r="K51" s="994" t="s">
        <v>122</v>
      </c>
      <c r="L51" s="858" t="s">
        <v>4236</v>
      </c>
      <c r="M51" s="766" t="str">
        <f ca="1">IF(R51,"Mandatory","N/A")</f>
        <v>N/A</v>
      </c>
      <c r="N51" s="243"/>
      <c r="O51" s="924"/>
      <c r="P51" s="211" t="b">
        <v>1</v>
      </c>
      <c r="Q51" s="211" t="b">
        <v>0</v>
      </c>
      <c r="R51" s="211" t="b">
        <f ca="1">S51</f>
        <v>0</v>
      </c>
      <c r="S51" s="211" t="b">
        <f ca="1">IFERROR(S13=5,FALSE)</f>
        <v>0</v>
      </c>
      <c r="T51" s="211" t="b">
        <f ca="1">AND(NOT(S51),W51=TRUE)</f>
        <v>0</v>
      </c>
      <c r="U51" s="211"/>
      <c r="V51" s="934"/>
      <c r="W51" s="25"/>
      <c r="X51" s="918"/>
      <c r="AC51" s="791" t="b">
        <f ca="1">OR(AD51:AE51)</f>
        <v>0</v>
      </c>
      <c r="AD51" s="791" t="b">
        <f ca="1">T51</f>
        <v>0</v>
      </c>
      <c r="AE51" s="791" t="b">
        <f ca="1">AND(R51,NOT(W51))</f>
        <v>0</v>
      </c>
      <c r="AL51" s="254" t="str">
        <f>SUBSTITUTE(SUBSTITUTE(SUBSTITUTE("dpa"&amp;$B51&amp;$C51&amp;$D51&amp;$E51,".","_"),"(","_"),")","")</f>
        <v>dpa701_1_6_6_b</v>
      </c>
      <c r="AM51" s="254" t="str">
        <f ca="1">M51</f>
        <v>N/A</v>
      </c>
      <c r="AN51" s="1129"/>
      <c r="AP51" s="254" t="str">
        <f>SUBSTITUTE(SUBSTITUTE(SUBSTITUTE("dch"&amp;$B51&amp;$C51&amp;$D51&amp;$E51,".","_"),"(","_"),")","")</f>
        <v>dch701_1_6_6_b</v>
      </c>
      <c r="AQ51" s="254" t="str">
        <f>IF(LEN(W51)=0,"",W51)</f>
        <v/>
      </c>
      <c r="AR51" s="254" t="str">
        <f>SUBSTITUTE(SUBSTITUTE(SUBSTITUTE("dnt"&amp;$B51&amp;$C51&amp;$D51&amp;$E51,".","_"),"(","_"),")","")</f>
        <v>dnt701_1_6_6_b</v>
      </c>
      <c r="AS51" s="254" t="str">
        <f>IF(LEN(X51)=0,"",X51)</f>
        <v/>
      </c>
      <c r="AX51" s="75" t="str">
        <f>'Overview (Design)'!A50</f>
        <v>Attic Type:</v>
      </c>
      <c r="AY51" s="76">
        <f>'Overview (Design)'!G50</f>
        <v>0</v>
      </c>
    </row>
    <row r="52" spans="1:61" s="791" customFormat="1" x14ac:dyDescent="0.25">
      <c r="A52" s="18"/>
      <c r="B52" s="679" t="s">
        <v>4227</v>
      </c>
      <c r="C52" s="845" t="s">
        <v>277</v>
      </c>
      <c r="D52" s="845" t="s">
        <v>123</v>
      </c>
      <c r="E52" s="21"/>
      <c r="F52" s="21"/>
      <c r="G52" s="21"/>
      <c r="H52" s="758"/>
      <c r="I52" s="90"/>
      <c r="J52" s="684"/>
      <c r="K52" s="863" t="s">
        <v>123</v>
      </c>
      <c r="L52" s="978" t="s">
        <v>4237</v>
      </c>
      <c r="M52" s="985" t="str">
        <f ca="1">IF(R52,"Mandatory","N/A")</f>
        <v>N/A</v>
      </c>
      <c r="N52" s="4"/>
      <c r="O52" s="917"/>
      <c r="P52" s="911" t="b">
        <v>1</v>
      </c>
      <c r="Q52" s="911" t="b">
        <v>0</v>
      </c>
      <c r="R52" s="911" t="b">
        <f ca="1">S52</f>
        <v>0</v>
      </c>
      <c r="S52" s="911" t="b">
        <f ca="1">IFERROR(S13=5,FALSE)</f>
        <v>0</v>
      </c>
      <c r="T52" s="911" t="b">
        <f ca="1">AND(NOT(S52),W52=TRUE)</f>
        <v>0</v>
      </c>
      <c r="U52" s="911"/>
      <c r="V52" s="911"/>
      <c r="W52" s="25"/>
      <c r="X52" s="918"/>
      <c r="AC52" s="791" t="b">
        <f ca="1">OR(AD52:AE52)</f>
        <v>0</v>
      </c>
      <c r="AD52" s="791" t="b">
        <f ca="1">T52</f>
        <v>0</v>
      </c>
      <c r="AE52" s="791" t="b">
        <f ca="1">AND(R52,NOT(W52))</f>
        <v>0</v>
      </c>
      <c r="AL52" s="254" t="str">
        <f>SUBSTITUTE(SUBSTITUTE(SUBSTITUTE("dpa"&amp;$B52&amp;$C52&amp;$D52&amp;$E52,".","_"),"(","_"),")","")</f>
        <v>dpa701_1_6_6_c</v>
      </c>
      <c r="AM52" s="254" t="str">
        <f ca="1">M52</f>
        <v>N/A</v>
      </c>
      <c r="AN52" s="1129"/>
      <c r="AP52" s="254" t="str">
        <f>SUBSTITUTE(SUBSTITUTE(SUBSTITUTE("dch"&amp;$B52&amp;$C52&amp;$D52&amp;$E52,".","_"),"(","_"),")","")</f>
        <v>dch701_1_6_6_c</v>
      </c>
      <c r="AQ52" s="254" t="str">
        <f>IF(LEN(W52)=0,"",W52)</f>
        <v/>
      </c>
      <c r="AR52" s="254" t="str">
        <f>SUBSTITUTE(SUBSTITUTE(SUBSTITUTE("dnt"&amp;$B52&amp;$C52&amp;$D52&amp;$E52,".","_"),"(","_"),")","")</f>
        <v>dnt701_1_6_6_c</v>
      </c>
      <c r="AS52" s="254" t="str">
        <f>IF(LEN(X52)=0,"",X52)</f>
        <v/>
      </c>
      <c r="AX52" s="75" t="str">
        <f>'Overview (Design)'!A51</f>
        <v>Attached Garage:</v>
      </c>
      <c r="AY52" s="76">
        <f>'Overview (Design)'!G51</f>
        <v>0</v>
      </c>
    </row>
    <row r="53" spans="1:61" s="791" customFormat="1" x14ac:dyDescent="0.25">
      <c r="A53" s="18"/>
      <c r="B53" s="679" t="s">
        <v>4227</v>
      </c>
      <c r="C53" s="845" t="s">
        <v>383</v>
      </c>
      <c r="D53" s="845"/>
      <c r="E53" s="21"/>
      <c r="F53" s="21"/>
      <c r="G53" s="21"/>
      <c r="H53" s="758"/>
      <c r="I53" s="90"/>
      <c r="J53" s="667" t="s">
        <v>383</v>
      </c>
      <c r="K53" s="862"/>
      <c r="L53" s="977" t="s">
        <v>4238</v>
      </c>
      <c r="M53" s="980"/>
      <c r="N53" s="4"/>
      <c r="O53" s="917"/>
      <c r="P53" s="4"/>
      <c r="Q53" s="4"/>
      <c r="R53" s="911"/>
      <c r="S53" s="911"/>
      <c r="T53" s="911"/>
      <c r="U53" s="911"/>
      <c r="V53" s="911"/>
      <c r="W53" s="94"/>
      <c r="X53"/>
      <c r="AX53" s="75" t="str">
        <f>'Overview (Design)'!A52</f>
        <v>Recessed Lighting:</v>
      </c>
      <c r="AY53" s="76">
        <f>'Overview (Design)'!G52</f>
        <v>0</v>
      </c>
    </row>
    <row r="54" spans="1:61" s="791" customFormat="1" x14ac:dyDescent="0.25">
      <c r="A54" s="18"/>
      <c r="B54" s="679" t="s">
        <v>4227</v>
      </c>
      <c r="C54" s="845" t="s">
        <v>383</v>
      </c>
      <c r="D54" s="845" t="s">
        <v>121</v>
      </c>
      <c r="E54" s="21"/>
      <c r="F54" s="21"/>
      <c r="G54" s="21"/>
      <c r="H54" s="758"/>
      <c r="I54" s="90"/>
      <c r="J54" s="667"/>
      <c r="K54" s="863" t="s">
        <v>121</v>
      </c>
      <c r="L54" s="978" t="s">
        <v>4239</v>
      </c>
      <c r="M54" s="984" t="str">
        <f ca="1">IF(R54,"Mandatory","N/A")</f>
        <v>N/A</v>
      </c>
      <c r="N54" s="210"/>
      <c r="O54" s="916"/>
      <c r="P54" s="178" t="b">
        <v>1</v>
      </c>
      <c r="Q54" s="178" t="b">
        <v>1</v>
      </c>
      <c r="R54" s="178" t="b">
        <f ca="1">S54</f>
        <v>0</v>
      </c>
      <c r="S54" s="178" t="b">
        <f ca="1">IFERROR(S13=5,FALSE)</f>
        <v>0</v>
      </c>
      <c r="T54" s="178" t="b">
        <f ca="1">AND(NOT(S54),W54=TRUE)</f>
        <v>0</v>
      </c>
      <c r="U54" s="178"/>
      <c r="V54" s="538"/>
      <c r="W54" s="25"/>
      <c r="X54" s="918"/>
      <c r="AC54" s="791" t="b">
        <f ca="1">OR(AD54:AE54)</f>
        <v>0</v>
      </c>
      <c r="AD54" s="791" t="b">
        <f ca="1">T54</f>
        <v>0</v>
      </c>
      <c r="AE54" s="791" t="b">
        <f ca="1">AND(R54,NOT(W54))</f>
        <v>0</v>
      </c>
      <c r="AL54" s="254" t="str">
        <f>SUBSTITUTE(SUBSTITUTE(SUBSTITUTE("dpa"&amp;$B54&amp;$C54&amp;$D54&amp;$E54,".","_"),"(","_"),")","")</f>
        <v>dpa701_1_6_7_a</v>
      </c>
      <c r="AM54" s="254" t="str">
        <f ca="1">M54</f>
        <v>N/A</v>
      </c>
      <c r="AN54" s="1129"/>
      <c r="AP54" s="254" t="str">
        <f>SUBSTITUTE(SUBSTITUTE(SUBSTITUTE("dch"&amp;$B54&amp;$C54&amp;$D54&amp;$E54,".","_"),"(","_"),")","")</f>
        <v>dch701_1_6_7_a</v>
      </c>
      <c r="AQ54" s="254" t="str">
        <f>IF(LEN(W54)=0,"",W54)</f>
        <v/>
      </c>
      <c r="AR54" s="254" t="str">
        <f>SUBSTITUTE(SUBSTITUTE(SUBSTITUTE("dnt"&amp;$B54&amp;$C54&amp;$D54&amp;$E54,".","_"),"(","_"),")","")</f>
        <v>dnt701_1_6_7_a</v>
      </c>
      <c r="AS54" s="254" t="str">
        <f>IF(LEN(X54)=0,"",X54)</f>
        <v/>
      </c>
      <c r="AX54" s="75"/>
      <c r="AY54" s="76"/>
    </row>
    <row r="55" spans="1:61" s="791" customFormat="1" x14ac:dyDescent="0.25">
      <c r="A55" s="18"/>
      <c r="B55" s="679" t="s">
        <v>4227</v>
      </c>
      <c r="C55" s="845" t="s">
        <v>383</v>
      </c>
      <c r="D55" s="845" t="s">
        <v>122</v>
      </c>
      <c r="E55" s="21"/>
      <c r="F55" s="21"/>
      <c r="G55" s="21"/>
      <c r="H55" s="758"/>
      <c r="I55" s="90"/>
      <c r="J55" s="667"/>
      <c r="K55" s="994" t="s">
        <v>122</v>
      </c>
      <c r="L55" s="858" t="s">
        <v>4240</v>
      </c>
      <c r="M55" s="766" t="str">
        <f ca="1">IF(R55,"Mandatory","N/A")</f>
        <v>N/A</v>
      </c>
      <c r="N55" s="210"/>
      <c r="O55" s="916"/>
      <c r="P55" s="178" t="b">
        <v>1</v>
      </c>
      <c r="Q55" s="178" t="b">
        <v>0</v>
      </c>
      <c r="R55" s="178" t="b">
        <f ca="1">S55</f>
        <v>0</v>
      </c>
      <c r="S55" s="178" t="b">
        <f ca="1">IFERROR(S13=5,FALSE)</f>
        <v>0</v>
      </c>
      <c r="T55" s="178" t="b">
        <f ca="1">AND(NOT(S55),W55=TRUE)</f>
        <v>0</v>
      </c>
      <c r="U55" s="178"/>
      <c r="V55" s="538"/>
      <c r="W55" s="25"/>
      <c r="X55" s="918"/>
      <c r="AC55" s="791" t="b">
        <f ca="1">OR(AD55:AE55)</f>
        <v>0</v>
      </c>
      <c r="AD55" s="791" t="b">
        <f ca="1">T55</f>
        <v>0</v>
      </c>
      <c r="AE55" s="791" t="b">
        <f ca="1">AND(R55,NOT(W55))</f>
        <v>0</v>
      </c>
      <c r="AL55" s="254" t="str">
        <f>SUBSTITUTE(SUBSTITUTE(SUBSTITUTE("dpa"&amp;$B55&amp;$C55&amp;$D55&amp;$E55,".","_"),"(","_"),")","")</f>
        <v>dpa701_1_6_7_b</v>
      </c>
      <c r="AM55" s="254" t="str">
        <f ca="1">M55</f>
        <v>N/A</v>
      </c>
      <c r="AN55" s="1129"/>
      <c r="AP55" s="254" t="str">
        <f>SUBSTITUTE(SUBSTITUTE(SUBSTITUTE("dch"&amp;$B55&amp;$C55&amp;$D55&amp;$E55,".","_"),"(","_"),")","")</f>
        <v>dch701_1_6_7_b</v>
      </c>
      <c r="AQ55" s="254" t="str">
        <f>IF(LEN(W55)=0,"",W55)</f>
        <v/>
      </c>
      <c r="AR55" s="254" t="str">
        <f>SUBSTITUTE(SUBSTITUTE(SUBSTITUTE("dnt"&amp;$B55&amp;$C55&amp;$D55&amp;$E55,".","_"),"(","_"),")","")</f>
        <v>dnt701_1_6_7_b</v>
      </c>
      <c r="AS55" s="254" t="str">
        <f>IF(LEN(X55)=0,"",X55)</f>
        <v/>
      </c>
      <c r="AX55" s="75" t="str">
        <f>'Overview (Design)'!A54</f>
        <v>Special Design Features:</v>
      </c>
      <c r="AY55" s="76">
        <f>'Overview (Design)'!G54</f>
        <v>0</v>
      </c>
    </row>
    <row r="56" spans="1:61" s="791" customFormat="1" x14ac:dyDescent="0.25">
      <c r="A56" s="18"/>
      <c r="B56" s="679" t="s">
        <v>4227</v>
      </c>
      <c r="C56" s="845" t="s">
        <v>383</v>
      </c>
      <c r="D56" s="845" t="s">
        <v>123</v>
      </c>
      <c r="E56" s="21"/>
      <c r="F56" s="21"/>
      <c r="G56" s="21"/>
      <c r="H56" s="758"/>
      <c r="I56" s="90"/>
      <c r="J56" s="684"/>
      <c r="K56" s="863" t="s">
        <v>123</v>
      </c>
      <c r="L56" s="978" t="s">
        <v>4241</v>
      </c>
      <c r="M56" s="766" t="str">
        <f ca="1">IF(R56,"Mandatory","N/A")</f>
        <v>N/A</v>
      </c>
      <c r="N56" s="210"/>
      <c r="O56" s="916"/>
      <c r="P56" s="178" t="b">
        <v>1</v>
      </c>
      <c r="Q56" s="178" t="b">
        <v>0</v>
      </c>
      <c r="R56" s="178" t="b">
        <f ca="1">S56</f>
        <v>0</v>
      </c>
      <c r="S56" s="178" t="b">
        <f ca="1">IFERROR(S13=5,FALSE)</f>
        <v>0</v>
      </c>
      <c r="T56" s="178" t="b">
        <f ca="1">AND(NOT(S56),W56=TRUE)</f>
        <v>0</v>
      </c>
      <c r="U56" s="178"/>
      <c r="V56" s="538"/>
      <c r="W56" s="25"/>
      <c r="X56" s="918"/>
      <c r="AC56" s="791" t="b">
        <f ca="1">OR(AD56:AE56)</f>
        <v>0</v>
      </c>
      <c r="AD56" s="791" t="b">
        <f ca="1">T56</f>
        <v>0</v>
      </c>
      <c r="AE56" s="791" t="b">
        <f ca="1">AND(R56,NOT(W56))</f>
        <v>0</v>
      </c>
      <c r="AL56" s="254" t="str">
        <f>SUBSTITUTE(SUBSTITUTE(SUBSTITUTE("dpa"&amp;$B56&amp;$C56&amp;$D56&amp;$E56,".","_"),"(","_"),")","")</f>
        <v>dpa701_1_6_7_c</v>
      </c>
      <c r="AM56" s="254" t="str">
        <f ca="1">M56</f>
        <v>N/A</v>
      </c>
      <c r="AN56" s="1129"/>
      <c r="AP56" s="254" t="str">
        <f>SUBSTITUTE(SUBSTITUTE(SUBSTITUTE("dch"&amp;$B56&amp;$C56&amp;$D56&amp;$E56,".","_"),"(","_"),")","")</f>
        <v>dch701_1_6_7_c</v>
      </c>
      <c r="AQ56" s="254" t="str">
        <f>IF(LEN(W56)=0,"",W56)</f>
        <v/>
      </c>
      <c r="AR56" s="254" t="str">
        <f>SUBSTITUTE(SUBSTITUTE(SUBSTITUTE("dnt"&amp;$B56&amp;$C56&amp;$D56&amp;$E56,".","_"),"(","_"),")","")</f>
        <v>dnt701_1_6_7_c</v>
      </c>
      <c r="AS56" s="254" t="str">
        <f>IF(LEN(X56)=0,"",X56)</f>
        <v/>
      </c>
      <c r="AX56" s="75" t="str">
        <f>'Overview (Design)'!A55</f>
        <v>Passive Solar:</v>
      </c>
      <c r="AY56" s="76">
        <f>'Overview (Design)'!G55</f>
        <v>0</v>
      </c>
    </row>
    <row r="57" spans="1:61" s="791" customFormat="1" x14ac:dyDescent="0.25">
      <c r="A57" s="18"/>
      <c r="B57" s="679" t="s">
        <v>4227</v>
      </c>
      <c r="C57" s="845" t="s">
        <v>428</v>
      </c>
      <c r="D57" s="845"/>
      <c r="E57" s="21"/>
      <c r="F57" s="21"/>
      <c r="G57" s="21"/>
      <c r="H57" s="758"/>
      <c r="I57" s="90"/>
      <c r="J57" s="693" t="s">
        <v>428</v>
      </c>
      <c r="K57" s="993"/>
      <c r="L57" s="1769" t="s">
        <v>4242</v>
      </c>
      <c r="M57" s="1872" t="str">
        <f ca="1">IF(R57,"Mandatory","N/A")</f>
        <v>N/A</v>
      </c>
      <c r="N57" s="4"/>
      <c r="O57" s="917"/>
      <c r="P57" s="911" t="b">
        <v>0</v>
      </c>
      <c r="Q57" s="911" t="b">
        <v>1</v>
      </c>
      <c r="R57" s="911" t="b">
        <f ca="1">S57</f>
        <v>0</v>
      </c>
      <c r="S57" s="911" t="b">
        <f ca="1">IFERROR(S13=5,FALSE)</f>
        <v>0</v>
      </c>
      <c r="T57" s="911" t="b">
        <f ca="1">AND(NOT(S57),W57=TRUE)</f>
        <v>0</v>
      </c>
      <c r="U57" s="911"/>
      <c r="V57" s="911"/>
      <c r="W57" s="25"/>
      <c r="X57" s="1798"/>
      <c r="AC57" s="791" t="b">
        <f ca="1">OR(AD57:AE57)</f>
        <v>0</v>
      </c>
      <c r="AD57" s="791" t="b">
        <f ca="1">T57</f>
        <v>0</v>
      </c>
      <c r="AE57" s="791" t="b">
        <f ca="1">AND(R57,NOT(W57))</f>
        <v>0</v>
      </c>
      <c r="AL57" s="254" t="str">
        <f>SUBSTITUTE(SUBSTITUTE(SUBSTITUTE("dpa"&amp;$B57&amp;$C57&amp;$D57&amp;$E57,".","_"),"(","_"),")","")</f>
        <v>dpa701_1_6_8</v>
      </c>
      <c r="AM57" s="254" t="str">
        <f ca="1">M57</f>
        <v>N/A</v>
      </c>
      <c r="AN57" s="1129"/>
      <c r="AP57" s="254" t="str">
        <f>SUBSTITUTE(SUBSTITUTE(SUBSTITUTE("dch"&amp;$B57&amp;$C57&amp;$D57&amp;$E57,".","_"),"(","_"),")","")</f>
        <v>dch701_1_6_8</v>
      </c>
      <c r="AQ57" s="254" t="str">
        <f>IF(LEN(W57)=0,"",W57)</f>
        <v/>
      </c>
      <c r="AR57" s="254" t="str">
        <f>SUBSTITUTE(SUBSTITUTE(SUBSTITUTE("dnt"&amp;$B57&amp;$C57&amp;$D57&amp;$E57,".","_"),"(","_"),")","")</f>
        <v>dnt701_1_6_8</v>
      </c>
      <c r="AS57" s="254" t="str">
        <f>IF(LEN(X57)=0,"",X57)</f>
        <v/>
      </c>
      <c r="AX57" s="75" t="str">
        <f>'Overview (Design)'!A56</f>
        <v>Mass Walls:</v>
      </c>
      <c r="AY57" s="76">
        <f>'Overview (Design)'!G56</f>
        <v>0</v>
      </c>
    </row>
    <row r="58" spans="1:61" s="791" customFormat="1" x14ac:dyDescent="0.25">
      <c r="A58" s="18"/>
      <c r="B58" s="679" t="s">
        <v>4227</v>
      </c>
      <c r="C58" s="845" t="s">
        <v>428</v>
      </c>
      <c r="D58" s="845"/>
      <c r="E58" s="21"/>
      <c r="F58" s="21"/>
      <c r="G58" s="21"/>
      <c r="H58" s="758"/>
      <c r="I58" s="90"/>
      <c r="J58" s="684"/>
      <c r="K58" s="863"/>
      <c r="L58" s="1786"/>
      <c r="M58" s="1844"/>
      <c r="N58" s="210"/>
      <c r="O58" s="916"/>
      <c r="P58" s="210"/>
      <c r="Q58" s="210"/>
      <c r="R58" s="178"/>
      <c r="S58" s="178"/>
      <c r="T58" s="178"/>
      <c r="U58" s="178"/>
      <c r="V58" s="178"/>
      <c r="W58" s="94"/>
      <c r="X58" s="1756"/>
      <c r="AX58" s="75" t="str">
        <f>'Overview (Design)'!A57</f>
        <v>Radiant/Hydronic:</v>
      </c>
      <c r="AY58" s="76">
        <f>'Overview (Design)'!G57</f>
        <v>0</v>
      </c>
    </row>
    <row r="59" spans="1:61" s="791" customFormat="1" x14ac:dyDescent="0.25">
      <c r="A59" s="18"/>
      <c r="B59" s="679" t="s">
        <v>4227</v>
      </c>
      <c r="C59" s="845" t="s">
        <v>430</v>
      </c>
      <c r="D59" s="845"/>
      <c r="E59" s="21"/>
      <c r="F59" s="21"/>
      <c r="G59" s="21"/>
      <c r="H59" s="758"/>
      <c r="I59" s="90"/>
      <c r="J59" s="667" t="s">
        <v>430</v>
      </c>
      <c r="K59" s="862"/>
      <c r="L59" s="1765" t="s">
        <v>4243</v>
      </c>
      <c r="M59" s="1872" t="str">
        <f ca="1">IF(R59,"Mandatory","N/A")</f>
        <v>N/A</v>
      </c>
      <c r="N59" s="4"/>
      <c r="O59" s="917"/>
      <c r="P59" s="911" t="b">
        <v>0</v>
      </c>
      <c r="Q59" s="911" t="b">
        <v>1</v>
      </c>
      <c r="R59" s="911" t="b">
        <f ca="1">S59</f>
        <v>0</v>
      </c>
      <c r="S59" s="911" t="b">
        <f ca="1">IFERROR(S13=5,FALSE)</f>
        <v>0</v>
      </c>
      <c r="T59" s="911" t="b">
        <f ca="1">AND(NOT(S59),W59=TRUE)</f>
        <v>0</v>
      </c>
      <c r="U59" s="911"/>
      <c r="V59" s="911"/>
      <c r="W59" s="25"/>
      <c r="X59" s="1798"/>
      <c r="AC59" s="791" t="b">
        <f ca="1">OR(AD59:AE59)</f>
        <v>0</v>
      </c>
      <c r="AD59" s="791" t="b">
        <f ca="1">T59</f>
        <v>0</v>
      </c>
      <c r="AE59" s="791" t="b">
        <f ca="1">AND(R59,NOT(W59))</f>
        <v>0</v>
      </c>
      <c r="AL59" s="254" t="str">
        <f>SUBSTITUTE(SUBSTITUTE(SUBSTITUTE("dpa"&amp;$B59&amp;$C59&amp;$D59&amp;$E59,".","_"),"(","_"),")","")</f>
        <v>dpa701_1_6_9</v>
      </c>
      <c r="AM59" s="254" t="str">
        <f ca="1">M59</f>
        <v>N/A</v>
      </c>
      <c r="AN59" s="1129"/>
      <c r="AP59" s="254" t="str">
        <f>SUBSTITUTE(SUBSTITUTE(SUBSTITUTE("dch"&amp;$B59&amp;$C59&amp;$D59&amp;$E59,".","_"),"(","_"),")","")</f>
        <v>dch701_1_6_9</v>
      </c>
      <c r="AQ59" s="254" t="str">
        <f>IF(LEN(W59)=0,"",W59)</f>
        <v/>
      </c>
      <c r="AR59" s="254" t="str">
        <f>SUBSTITUTE(SUBSTITUTE(SUBSTITUTE("dnt"&amp;$B59&amp;$C59&amp;$D59&amp;$E59,".","_"),"(","_"),")","")</f>
        <v>dnt701_1_6_9</v>
      </c>
      <c r="AS59" s="254" t="str">
        <f>IF(LEN(X59)=0,"",X59)</f>
        <v/>
      </c>
      <c r="AX59" s="75" t="str">
        <f>'Overview (Design)'!A58</f>
        <v>Tankless Water Heater:</v>
      </c>
      <c r="AY59" s="76">
        <f>'Overview (Design)'!G58</f>
        <v>0</v>
      </c>
      <c r="AZ59" s="76"/>
      <c r="BA59" s="76"/>
      <c r="BB59" s="76"/>
      <c r="BC59" s="76"/>
      <c r="BD59" s="76"/>
      <c r="BE59" s="76"/>
      <c r="BF59" s="76"/>
      <c r="BG59" s="76"/>
      <c r="BH59" s="76"/>
      <c r="BI59" s="76"/>
    </row>
    <row r="60" spans="1:61" s="791" customFormat="1" ht="15.75" thickBot="1" x14ac:dyDescent="0.3">
      <c r="A60" s="18"/>
      <c r="B60" s="679" t="s">
        <v>4227</v>
      </c>
      <c r="C60" s="845" t="s">
        <v>430</v>
      </c>
      <c r="D60" s="845"/>
      <c r="E60" s="21"/>
      <c r="F60" s="21"/>
      <c r="G60" s="21"/>
      <c r="H60" s="758"/>
      <c r="I60" s="90"/>
      <c r="J60" s="845"/>
      <c r="K60" s="845"/>
      <c r="L60" s="1766"/>
      <c r="M60" s="1839"/>
      <c r="N60" s="4"/>
      <c r="O60" s="917"/>
      <c r="P60" s="911"/>
      <c r="Q60" s="911"/>
      <c r="R60" s="911"/>
      <c r="S60" s="911"/>
      <c r="T60" s="911"/>
      <c r="U60" s="911"/>
      <c r="V60" s="911"/>
      <c r="W60" s="94"/>
      <c r="X60" s="1800"/>
      <c r="AX60" s="75" t="str">
        <f>'Overview (Design)'!A59</f>
        <v>Composting Toilet:</v>
      </c>
      <c r="AY60" s="76">
        <f>'Overview (Design)'!G59</f>
        <v>0</v>
      </c>
      <c r="AZ60" s="76"/>
      <c r="BA60" s="76"/>
      <c r="BB60" s="76"/>
      <c r="BC60" s="76"/>
      <c r="BD60" s="76"/>
      <c r="BE60" s="76"/>
      <c r="BF60" s="76"/>
      <c r="BG60" s="76"/>
      <c r="BH60" s="76"/>
      <c r="BI60" s="76"/>
    </row>
    <row r="61" spans="1:61" ht="15.75" thickTop="1" x14ac:dyDescent="0.25">
      <c r="B61" s="679">
        <v>701.2</v>
      </c>
      <c r="C61" s="90"/>
      <c r="D61" s="21"/>
      <c r="E61" s="21"/>
      <c r="F61" s="21"/>
      <c r="G61" s="21"/>
      <c r="H61" s="758"/>
      <c r="I61" s="180">
        <v>701.2</v>
      </c>
      <c r="J61" s="520"/>
      <c r="K61" s="520"/>
      <c r="L61" s="1781" t="s">
        <v>4856</v>
      </c>
      <c r="M61" s="1891" t="s">
        <v>2993</v>
      </c>
      <c r="N61" s="181"/>
      <c r="O61" s="506"/>
      <c r="P61" s="105"/>
      <c r="Q61" s="105"/>
      <c r="R61" s="105"/>
      <c r="S61" s="105"/>
      <c r="T61" s="105"/>
      <c r="U61" s="105"/>
      <c r="V61" s="105"/>
      <c r="W61" s="105"/>
      <c r="X61" s="105"/>
      <c r="AX61" s="75"/>
    </row>
    <row r="62" spans="1:61" ht="15.75" thickBot="1" x14ac:dyDescent="0.3">
      <c r="B62" s="679">
        <v>701.2</v>
      </c>
      <c r="C62" s="90"/>
      <c r="D62" s="21"/>
      <c r="E62" s="21"/>
      <c r="F62" s="21"/>
      <c r="G62" s="21"/>
      <c r="H62" s="758"/>
      <c r="I62" s="240"/>
      <c r="J62" s="462"/>
      <c r="K62" s="462"/>
      <c r="L62" s="1797"/>
      <c r="M62" s="1892"/>
      <c r="N62" s="240"/>
      <c r="O62" s="504"/>
      <c r="P62" s="99"/>
      <c r="Q62" s="99"/>
      <c r="R62" s="99"/>
      <c r="S62" s="99"/>
      <c r="T62" s="99"/>
      <c r="U62" s="99"/>
      <c r="V62" s="99"/>
      <c r="W62" s="99"/>
      <c r="X62" s="99"/>
      <c r="AX62" s="75" t="str">
        <f>'Overview (Design)'!A61</f>
        <v>Local Energy Code:</v>
      </c>
      <c r="AY62" s="76">
        <f>'Overview (Design)'!G61</f>
        <v>0</v>
      </c>
    </row>
    <row r="63" spans="1:61" ht="15.75" thickTop="1" x14ac:dyDescent="0.25">
      <c r="B63" s="679">
        <v>701.3</v>
      </c>
      <c r="C63" s="90"/>
      <c r="D63" s="21"/>
      <c r="E63" s="21"/>
      <c r="F63" s="21"/>
      <c r="G63" s="21"/>
      <c r="H63" s="758"/>
      <c r="I63" s="180">
        <v>701.3</v>
      </c>
      <c r="J63" s="520"/>
      <c r="K63" s="520"/>
      <c r="L63" s="1781" t="s">
        <v>818</v>
      </c>
      <c r="M63" s="451"/>
      <c r="N63" s="181"/>
      <c r="O63" s="506"/>
      <c r="P63" s="94" t="b">
        <v>0</v>
      </c>
      <c r="Q63" s="94" t="b">
        <v>1</v>
      </c>
      <c r="R63" s="105" t="b">
        <f ca="1">IF(S13=4,FALSE,TRUE)</f>
        <v>1</v>
      </c>
      <c r="S63" s="105" t="b">
        <f ca="1">NOT(OR(S13=4,S13=5))</f>
        <v>1</v>
      </c>
      <c r="T63" s="105" t="b">
        <f ca="1">AND(NOT(S63),W63=TRUE)</f>
        <v>0</v>
      </c>
      <c r="U63" s="105"/>
      <c r="V63" s="105"/>
      <c r="W63" s="367"/>
      <c r="X63" s="1784"/>
      <c r="AC63" s="268" t="b">
        <f ca="1">OR(AD63:AE63)</f>
        <v>1</v>
      </c>
      <c r="AD63" s="268" t="b">
        <f ca="1">T63</f>
        <v>0</v>
      </c>
      <c r="AE63" s="712" t="b">
        <f ca="1">OR(AND(R63,NOT(W63)),AND(W63=TRUE,LEN(X63)=0))</f>
        <v>1</v>
      </c>
      <c r="AP63" s="254" t="str">
        <f>SUBSTITUTE(SUBSTITUTE(SUBSTITUTE("dch"&amp;$B63&amp;$C63&amp;$D63&amp;$E63,".","_"),"(","_"),")","")</f>
        <v>dch701_3</v>
      </c>
      <c r="AQ63" s="254" t="str">
        <f>IF(LEN(W63)=0,"",W63)</f>
        <v/>
      </c>
      <c r="AR63" s="254" t="str">
        <f>SUBSTITUTE(SUBSTITUTE(SUBSTITUTE("dnt"&amp;$B63&amp;$C63&amp;$D63&amp;$E63,".","_"),"(","_"),")","")</f>
        <v>dnt701_3</v>
      </c>
      <c r="AS63" s="254" t="str">
        <f>IF(LEN(X63)=0,"",X63)</f>
        <v/>
      </c>
      <c r="AX63" s="75" t="str">
        <f>'Overview (Design)'!A62</f>
        <v>Local Building Code:</v>
      </c>
      <c r="AY63" s="76">
        <f>'Overview (Design)'!G62</f>
        <v>0</v>
      </c>
    </row>
    <row r="64" spans="1:61" x14ac:dyDescent="0.25">
      <c r="B64" s="679">
        <v>701.3</v>
      </c>
      <c r="C64" s="90"/>
      <c r="D64" s="21"/>
      <c r="E64" s="21"/>
      <c r="F64" s="21"/>
      <c r="G64" s="21"/>
      <c r="H64" s="758"/>
      <c r="I64" s="129"/>
      <c r="J64" s="448"/>
      <c r="K64" s="448"/>
      <c r="L64" s="1782"/>
      <c r="M64" s="452"/>
      <c r="N64" s="129"/>
      <c r="O64" s="502"/>
      <c r="P64" s="94"/>
      <c r="Q64" s="94"/>
      <c r="R64" s="94"/>
      <c r="S64" s="94"/>
      <c r="T64" s="94"/>
      <c r="U64" s="94"/>
      <c r="V64" s="94"/>
      <c r="W64" s="94"/>
      <c r="X64" s="1770"/>
    </row>
    <row r="65" spans="2:51" ht="15.75" thickBot="1" x14ac:dyDescent="0.3">
      <c r="B65" s="679">
        <v>701.3</v>
      </c>
      <c r="C65" s="90"/>
      <c r="D65" s="21"/>
      <c r="E65" s="21"/>
      <c r="F65" s="21"/>
      <c r="G65" s="21"/>
      <c r="H65" s="758"/>
      <c r="I65" s="240"/>
      <c r="J65" s="462"/>
      <c r="K65" s="462"/>
      <c r="L65" s="465" t="s">
        <v>3383</v>
      </c>
      <c r="M65" s="460"/>
      <c r="N65" s="240"/>
      <c r="O65" s="504"/>
      <c r="P65" s="99"/>
      <c r="Q65" s="99"/>
      <c r="R65" s="99"/>
      <c r="S65" s="99"/>
      <c r="T65" s="99"/>
      <c r="U65" s="99"/>
      <c r="V65" s="99"/>
      <c r="W65" s="99"/>
      <c r="X65" s="1771"/>
      <c r="Z65" s="266"/>
      <c r="AB65" s="266"/>
      <c r="AC65" s="266"/>
      <c r="AD65" s="266"/>
      <c r="AE65" s="266"/>
      <c r="AF65" s="266"/>
      <c r="AG65" s="266"/>
      <c r="AH65" s="266"/>
      <c r="AI65" s="266"/>
      <c r="AJ65" s="266"/>
      <c r="AK65" s="266"/>
      <c r="AL65" s="266"/>
      <c r="AM65" s="266"/>
      <c r="AN65" s="266"/>
      <c r="AO65" s="266"/>
      <c r="AP65" s="266"/>
      <c r="AQ65" s="266"/>
      <c r="AR65" s="266"/>
      <c r="AS65" s="266"/>
      <c r="AT65" s="266"/>
      <c r="AU65" s="266"/>
    </row>
    <row r="66" spans="2:51" ht="15.75" thickTop="1" x14ac:dyDescent="0.25">
      <c r="B66" s="679">
        <v>701.4</v>
      </c>
      <c r="C66" s="90"/>
      <c r="D66" s="21"/>
      <c r="E66" s="21"/>
      <c r="F66" s="21"/>
      <c r="G66" s="21"/>
      <c r="H66" s="758"/>
      <c r="I66" s="180">
        <v>701.4</v>
      </c>
      <c r="J66" s="520"/>
      <c r="K66" s="520"/>
      <c r="L66" s="466" t="s">
        <v>819</v>
      </c>
      <c r="M66" s="451"/>
      <c r="N66" s="181"/>
      <c r="O66" s="506"/>
      <c r="P66" s="105"/>
      <c r="Q66" s="105"/>
      <c r="R66" s="105"/>
      <c r="S66" s="105"/>
      <c r="T66" s="105"/>
      <c r="U66" s="105"/>
      <c r="V66" s="105"/>
      <c r="W66" s="105"/>
      <c r="X66" s="105"/>
      <c r="AV66" s="266"/>
      <c r="AW66" s="266"/>
    </row>
    <row r="67" spans="2:51" x14ac:dyDescent="0.25">
      <c r="B67" s="679" t="s">
        <v>820</v>
      </c>
      <c r="C67" s="90"/>
      <c r="D67" s="21"/>
      <c r="E67" s="21"/>
      <c r="F67" s="21"/>
      <c r="G67" s="21"/>
      <c r="H67" s="758"/>
      <c r="I67" s="215" t="s">
        <v>820</v>
      </c>
      <c r="J67" s="449"/>
      <c r="K67" s="449"/>
      <c r="L67" s="532" t="s">
        <v>821</v>
      </c>
      <c r="M67" s="453"/>
      <c r="N67" s="210"/>
      <c r="O67" s="503"/>
      <c r="P67" s="178"/>
      <c r="Q67" s="178"/>
      <c r="R67" s="178"/>
      <c r="S67" s="178"/>
      <c r="T67" s="178"/>
      <c r="U67" s="178"/>
      <c r="V67" s="178"/>
      <c r="W67" s="178"/>
      <c r="X67" s="178"/>
    </row>
    <row r="68" spans="2:51" x14ac:dyDescent="0.25">
      <c r="B68" s="679" t="s">
        <v>822</v>
      </c>
      <c r="C68" s="679"/>
      <c r="D68" s="21"/>
      <c r="E68" s="21"/>
      <c r="F68" s="21"/>
      <c r="G68" s="21"/>
      <c r="H68" s="758"/>
      <c r="I68" s="192" t="s">
        <v>822</v>
      </c>
      <c r="J68" s="461"/>
      <c r="K68" s="461"/>
      <c r="L68" s="1864" t="s">
        <v>823</v>
      </c>
      <c r="M68" s="1872" t="str">
        <f ca="1">IF(R68,"Mandatory","N/A")</f>
        <v>Mandatory</v>
      </c>
      <c r="N68" s="193"/>
      <c r="O68" s="505"/>
      <c r="P68" s="94" t="b">
        <v>1</v>
      </c>
      <c r="Q68" s="94" t="b">
        <v>0</v>
      </c>
      <c r="R68" s="195" t="b">
        <f ca="1">S68</f>
        <v>1</v>
      </c>
      <c r="S68" s="195" t="b">
        <f ca="1">NOT(OR(S13=4,S13=5))</f>
        <v>1</v>
      </c>
      <c r="T68" s="195" t="b">
        <f ca="1">AND(NOT(S68),W68=TRUE)</f>
        <v>0</v>
      </c>
      <c r="U68" s="195"/>
      <c r="V68" s="195"/>
      <c r="W68" s="360"/>
      <c r="X68" s="1770"/>
      <c r="AC68" s="268" t="b">
        <f ca="1">OR(AD68:AE68)</f>
        <v>1</v>
      </c>
      <c r="AD68" s="268" t="b">
        <f ca="1">T68</f>
        <v>0</v>
      </c>
      <c r="AE68" s="268" t="b">
        <f ca="1">AND(R68,NOT(W68))</f>
        <v>1</v>
      </c>
      <c r="AL68" s="254" t="str">
        <f>SUBSTITUTE(SUBSTITUTE(SUBSTITUTE("dpa"&amp;$B68&amp;$C68&amp;$D68&amp;$E68,".","_"),"(","_"),")","")</f>
        <v>dpa701_4_1_1</v>
      </c>
      <c r="AM68" s="254" t="str">
        <f ca="1">M68</f>
        <v>Mandatory</v>
      </c>
      <c r="AP68" s="254" t="str">
        <f>SUBSTITUTE(SUBSTITUTE(SUBSTITUTE("dch"&amp;$B68&amp;$C68&amp;$D68&amp;$E68,".","_"),"(","_"),")","")</f>
        <v>dch701_4_1_1</v>
      </c>
      <c r="AQ68" s="254" t="str">
        <f>IF(LEN(W68)=0,"",W68)</f>
        <v/>
      </c>
      <c r="AR68" s="254" t="str">
        <f>SUBSTITUTE(SUBSTITUTE(SUBSTITUTE("dnt"&amp;$B68&amp;$C68&amp;$D68&amp;$E68,".","_"),"(","_"),")","")</f>
        <v>dnt701_4_1_1</v>
      </c>
      <c r="AS68" s="254" t="str">
        <f>IF(LEN(X68)=0,"",X68)</f>
        <v/>
      </c>
    </row>
    <row r="69" spans="2:51" x14ac:dyDescent="0.25">
      <c r="B69" s="679" t="s">
        <v>822</v>
      </c>
      <c r="C69" s="679"/>
      <c r="D69" s="21"/>
      <c r="E69" s="21"/>
      <c r="F69" s="21"/>
      <c r="G69" s="21"/>
      <c r="H69" s="758"/>
      <c r="I69" s="129"/>
      <c r="J69" s="448"/>
      <c r="K69" s="448"/>
      <c r="L69" s="1782"/>
      <c r="M69" s="1837"/>
      <c r="N69" s="129"/>
      <c r="O69" s="502"/>
      <c r="P69" s="94"/>
      <c r="Q69" s="94"/>
      <c r="R69" s="94"/>
      <c r="S69" s="94"/>
      <c r="T69" s="94"/>
      <c r="U69" s="94"/>
      <c r="V69" s="94"/>
      <c r="W69" s="94"/>
      <c r="X69" s="1770"/>
    </row>
    <row r="70" spans="2:51" x14ac:dyDescent="0.25">
      <c r="B70" s="679" t="s">
        <v>822</v>
      </c>
      <c r="C70" s="679"/>
      <c r="D70" s="21"/>
      <c r="E70" s="21"/>
      <c r="F70" s="21"/>
      <c r="G70" s="21"/>
      <c r="H70" s="758"/>
      <c r="I70" s="210"/>
      <c r="J70" s="449"/>
      <c r="K70" s="449"/>
      <c r="L70" s="1843"/>
      <c r="M70" s="1844"/>
      <c r="N70" s="210"/>
      <c r="O70" s="503"/>
      <c r="P70" s="178"/>
      <c r="Q70" s="178"/>
      <c r="R70" s="178"/>
      <c r="S70" s="178"/>
      <c r="T70" s="178"/>
      <c r="U70" s="178"/>
      <c r="V70" s="178"/>
      <c r="W70" s="178"/>
      <c r="X70" s="1770"/>
    </row>
    <row r="71" spans="2:51" x14ac:dyDescent="0.25">
      <c r="B71" s="679" t="s">
        <v>824</v>
      </c>
      <c r="C71" s="679"/>
      <c r="D71" s="21"/>
      <c r="E71" s="21"/>
      <c r="F71" s="21"/>
      <c r="G71" s="21"/>
      <c r="H71" s="758"/>
      <c r="I71" s="533" t="s">
        <v>824</v>
      </c>
      <c r="J71" s="461"/>
      <c r="K71" s="461"/>
      <c r="L71" s="1864" t="s">
        <v>825</v>
      </c>
      <c r="M71" s="1872" t="str">
        <f ca="1">IF(R71,"Mandatory","N/A")</f>
        <v>Mandatory</v>
      </c>
      <c r="N71" s="193"/>
      <c r="O71" s="505"/>
      <c r="P71" s="94" t="b">
        <v>1</v>
      </c>
      <c r="Q71" s="94" t="b">
        <v>0</v>
      </c>
      <c r="R71" s="195" t="b">
        <f ca="1">S71</f>
        <v>1</v>
      </c>
      <c r="S71" s="195" t="b">
        <f ca="1">NOT(OR(S13=4,S13=5))</f>
        <v>1</v>
      </c>
      <c r="T71" s="195" t="b">
        <f ca="1">AND(NOT(S71),LEN(W71)&gt;0)</f>
        <v>0</v>
      </c>
      <c r="U71" s="195" t="str">
        <f>SUBSTITUTE(SUBSTITUTE(SUBSTITUTE("dd"&amp;B71&amp;C71&amp;D71&amp;E71&amp;F71,".","_"),"(","_"),")","")</f>
        <v>dd701_4_1_2</v>
      </c>
      <c r="V71" s="195"/>
      <c r="W71" s="109"/>
      <c r="X71" s="1770"/>
      <c r="AC71" s="268" t="b">
        <f ca="1">OR(AD71:AE71)</f>
        <v>1</v>
      </c>
      <c r="AD71" s="268" t="b">
        <f ca="1">T71</f>
        <v>0</v>
      </c>
      <c r="AE71" s="268" t="b">
        <f ca="1">AND(R71,OR(W71="Not Met",W71=""))</f>
        <v>1</v>
      </c>
      <c r="AL71" s="254" t="str">
        <f>SUBSTITUTE(SUBSTITUTE(SUBSTITUTE("dpa"&amp;$B71&amp;$C71&amp;$D71&amp;$E71,".","_"),"(","_"),")","")</f>
        <v>dpa701_4_1_2</v>
      </c>
      <c r="AM71" s="254" t="str">
        <f ca="1">M71</f>
        <v>Mandatory</v>
      </c>
      <c r="AP71" s="254" t="str">
        <f>SUBSTITUTE(SUBSTITUTE(SUBSTITUTE("dch"&amp;$B71&amp;$C71&amp;$D71&amp;$E71,".","_"),"(","_"),")","")</f>
        <v>dch701_4_1_2</v>
      </c>
      <c r="AQ71" s="254" t="str">
        <f>IF(LEN(W71)=0,"",W71)</f>
        <v/>
      </c>
      <c r="AR71" s="254" t="str">
        <f>SUBSTITUTE(SUBSTITUTE(SUBSTITUTE("dnt"&amp;$B71&amp;$C71&amp;$D71&amp;$E71,".","_"),"(","_"),")","")</f>
        <v>dnt701_4_1_2</v>
      </c>
      <c r="AS71" s="254" t="str">
        <f>IF(LEN(X71)=0,"",X71)</f>
        <v/>
      </c>
    </row>
    <row r="72" spans="2:51" x14ac:dyDescent="0.25">
      <c r="B72" s="679" t="s">
        <v>824</v>
      </c>
      <c r="C72" s="679"/>
      <c r="D72" s="21"/>
      <c r="E72" s="21"/>
      <c r="F72" s="21"/>
      <c r="G72" s="21"/>
      <c r="H72" s="758"/>
      <c r="I72" s="129"/>
      <c r="J72" s="448"/>
      <c r="K72" s="448"/>
      <c r="L72" s="1782"/>
      <c r="M72" s="1837"/>
      <c r="N72" s="129"/>
      <c r="O72" s="502"/>
      <c r="P72" s="94"/>
      <c r="Q72" s="94"/>
      <c r="R72" s="94"/>
      <c r="S72" s="94"/>
      <c r="T72" s="94"/>
      <c r="U72" s="94"/>
      <c r="V72" s="94"/>
      <c r="W72" s="94"/>
      <c r="X72" s="1770"/>
    </row>
    <row r="73" spans="2:51" x14ac:dyDescent="0.25">
      <c r="B73" s="679" t="s">
        <v>824</v>
      </c>
      <c r="C73" s="679"/>
      <c r="D73" s="21"/>
      <c r="E73" s="21"/>
      <c r="F73" s="21"/>
      <c r="G73" s="21"/>
      <c r="H73" s="758"/>
      <c r="I73" s="129"/>
      <c r="J73" s="448"/>
      <c r="K73" s="448"/>
      <c r="L73" s="1782"/>
      <c r="M73" s="1837"/>
      <c r="N73" s="129"/>
      <c r="O73" s="502"/>
      <c r="P73" s="94"/>
      <c r="Q73" s="94"/>
      <c r="R73" s="94"/>
      <c r="S73" s="94"/>
      <c r="T73" s="94"/>
      <c r="U73" s="94"/>
      <c r="V73" s="94"/>
      <c r="W73" s="94"/>
      <c r="X73" s="1770"/>
    </row>
    <row r="74" spans="2:51" x14ac:dyDescent="0.25">
      <c r="B74" s="679" t="s">
        <v>824</v>
      </c>
      <c r="C74" s="679"/>
      <c r="D74" s="21"/>
      <c r="E74" s="21"/>
      <c r="F74" s="21"/>
      <c r="G74" s="21"/>
      <c r="H74" s="758"/>
      <c r="I74" s="129"/>
      <c r="J74" s="448"/>
      <c r="K74" s="448"/>
      <c r="L74" s="1782"/>
      <c r="M74" s="1837"/>
      <c r="N74" s="129"/>
      <c r="O74" s="502"/>
      <c r="P74" s="94"/>
      <c r="Q74" s="94"/>
      <c r="R74" s="94"/>
      <c r="S74" s="94"/>
      <c r="T74" s="94"/>
      <c r="U74" s="94"/>
      <c r="V74" s="94"/>
      <c r="W74" s="94"/>
      <c r="X74" s="1770"/>
    </row>
    <row r="75" spans="2:51" x14ac:dyDescent="0.25">
      <c r="B75" s="679" t="s">
        <v>824</v>
      </c>
      <c r="C75" s="679"/>
      <c r="D75" s="21"/>
      <c r="E75" s="21"/>
      <c r="F75" s="21"/>
      <c r="G75" s="21"/>
      <c r="H75" s="758"/>
      <c r="I75" s="210"/>
      <c r="J75" s="449"/>
      <c r="K75" s="449"/>
      <c r="L75" s="1843"/>
      <c r="M75" s="1844"/>
      <c r="N75" s="210"/>
      <c r="O75" s="503"/>
      <c r="P75" s="178"/>
      <c r="Q75" s="178"/>
      <c r="R75" s="178"/>
      <c r="S75" s="178"/>
      <c r="T75" s="178"/>
      <c r="U75" s="178"/>
      <c r="V75" s="178"/>
      <c r="W75" s="178"/>
      <c r="X75" s="1770"/>
    </row>
    <row r="76" spans="2:51" x14ac:dyDescent="0.25">
      <c r="B76" s="679" t="s">
        <v>826</v>
      </c>
      <c r="C76" s="679"/>
      <c r="D76" s="21"/>
      <c r="E76" s="21"/>
      <c r="F76" s="21"/>
      <c r="G76" s="21"/>
      <c r="H76" s="758"/>
      <c r="I76" s="533" t="s">
        <v>826</v>
      </c>
      <c r="J76" s="461"/>
      <c r="K76" s="461"/>
      <c r="L76" s="529" t="s">
        <v>827</v>
      </c>
      <c r="M76" s="454"/>
      <c r="N76" s="193"/>
      <c r="O76" s="505"/>
      <c r="P76" s="195"/>
      <c r="Q76" s="195"/>
      <c r="R76" s="195"/>
      <c r="S76" s="195"/>
      <c r="T76" s="195"/>
      <c r="U76" s="195"/>
      <c r="V76" s="195"/>
      <c r="W76" s="195"/>
      <c r="X76" s="195"/>
      <c r="AX76" s="791"/>
      <c r="AY76" s="791"/>
    </row>
    <row r="77" spans="2:51" x14ac:dyDescent="0.25">
      <c r="B77" s="679" t="s">
        <v>820</v>
      </c>
      <c r="C77" s="679"/>
      <c r="D77" s="21"/>
      <c r="E77" s="21"/>
      <c r="F77" s="21"/>
      <c r="G77" s="21"/>
      <c r="H77" s="758"/>
      <c r="I77" s="510" t="s">
        <v>3809</v>
      </c>
      <c r="J77" s="448"/>
      <c r="K77" s="448"/>
      <c r="L77" s="1782" t="s">
        <v>828</v>
      </c>
      <c r="M77" s="1837" t="str">
        <f ca="1">IF(R77,"Mandatory","N/A")</f>
        <v>Mandatory</v>
      </c>
      <c r="N77" s="129"/>
      <c r="O77" s="502"/>
      <c r="P77" s="94" t="b">
        <v>1</v>
      </c>
      <c r="Q77" s="94" t="b">
        <v>0</v>
      </c>
      <c r="R77" s="94" t="b">
        <f ca="1">S77</f>
        <v>1</v>
      </c>
      <c r="S77" s="94" t="b">
        <f ca="1">AND(NOT(OR(S13=4,S13=5)),NOT(AND(OR(AY39=INDEX(INDIRECT('Overview (Design)'!$E$38),2),AY39=INDEX(INDIRECT('Overview (Design)'!$E$38),3)),OR(AY43=INDEX(INDIRECT('Overview (Design)'!$E$42),2),AY43=INDEX(INDIRECT('Overview (Design)'!$E$42),3)))))</f>
        <v>1</v>
      </c>
      <c r="T77" s="94" t="b">
        <f ca="1">AND(NOT(S77),W77=TRUE)</f>
        <v>0</v>
      </c>
      <c r="U77" s="94"/>
      <c r="V77" s="94"/>
      <c r="W77" s="25"/>
      <c r="X77" s="1757"/>
      <c r="AC77" s="330" t="b">
        <f ca="1">OR(AD77:AE77)</f>
        <v>1</v>
      </c>
      <c r="AD77" s="330" t="b">
        <f ca="1">T77</f>
        <v>0</v>
      </c>
      <c r="AE77" s="330" t="b">
        <f ca="1">AND(R77,NOT(W77))</f>
        <v>1</v>
      </c>
      <c r="AL77" s="254" t="str">
        <f>SUBSTITUTE(SUBSTITUTE(SUBSTITUTE("dpa"&amp;$B77&amp;$C77&amp;$D77&amp;$E77,".","_"),"(","_"),")","")</f>
        <v>dpa701_4_1</v>
      </c>
      <c r="AM77" s="254" t="str">
        <f ca="1">M77</f>
        <v>Mandatory</v>
      </c>
      <c r="AP77" s="254" t="str">
        <f>SUBSTITUTE(SUBSTITUTE(SUBSTITUTE("dch"&amp;$B77&amp;$C77&amp;$D77&amp;$E77,".","_"),"(","_"),")","")</f>
        <v>dch701_4_1</v>
      </c>
      <c r="AQ77" s="254" t="str">
        <f>IF(LEN(W77)=0,"",W77)</f>
        <v/>
      </c>
      <c r="AR77" s="254" t="str">
        <f>SUBSTITUTE(SUBSTITUTE(SUBSTITUTE("dnt"&amp;$B77&amp;$C77&amp;$D77&amp;$E77,".","_"),"(","_"),")","")</f>
        <v>dnt701_4_1</v>
      </c>
      <c r="AS77" s="254" t="str">
        <f>IF(LEN(X77)=0,"",X77)</f>
        <v/>
      </c>
    </row>
    <row r="78" spans="2:51" x14ac:dyDescent="0.25">
      <c r="B78" s="679" t="s">
        <v>820</v>
      </c>
      <c r="C78" s="679"/>
      <c r="D78" s="21"/>
      <c r="E78" s="21"/>
      <c r="F78" s="21"/>
      <c r="G78" s="21"/>
      <c r="H78" s="758"/>
      <c r="I78" s="510"/>
      <c r="J78" s="448"/>
      <c r="K78" s="448"/>
      <c r="L78" s="1782"/>
      <c r="M78" s="1837"/>
      <c r="N78" s="129"/>
      <c r="O78" s="502"/>
      <c r="P78" s="94"/>
      <c r="Q78" s="94"/>
      <c r="R78" s="94"/>
      <c r="S78" s="94"/>
      <c r="T78" s="94"/>
      <c r="U78" s="94"/>
      <c r="V78" s="94"/>
      <c r="W78" s="94"/>
      <c r="X78" s="1757"/>
    </row>
    <row r="79" spans="2:51" ht="15" customHeight="1" x14ac:dyDescent="0.25">
      <c r="B79" s="679" t="s">
        <v>820</v>
      </c>
      <c r="C79" s="679"/>
      <c r="D79" s="21"/>
      <c r="E79" s="21"/>
      <c r="F79" s="21"/>
      <c r="G79" s="21"/>
      <c r="H79" s="758"/>
      <c r="I79" s="534"/>
      <c r="J79" s="449"/>
      <c r="K79" s="449"/>
      <c r="L79" s="1843"/>
      <c r="M79" s="1844"/>
      <c r="N79" s="210"/>
      <c r="O79" s="503"/>
      <c r="P79" s="178"/>
      <c r="Q79" s="178"/>
      <c r="R79" s="178"/>
      <c r="S79" s="178"/>
      <c r="T79" s="178"/>
      <c r="U79" s="178"/>
      <c r="V79" s="178"/>
      <c r="W79" s="178"/>
      <c r="X79" s="1757"/>
    </row>
    <row r="80" spans="2:51" ht="15" customHeight="1" x14ac:dyDescent="0.25">
      <c r="B80" s="679" t="s">
        <v>829</v>
      </c>
      <c r="C80" s="679"/>
      <c r="D80" s="21"/>
      <c r="E80" s="21"/>
      <c r="F80" s="21"/>
      <c r="G80" s="21"/>
      <c r="H80" s="758"/>
      <c r="I80" s="535" t="s">
        <v>829</v>
      </c>
      <c r="J80" s="280"/>
      <c r="K80" s="280"/>
      <c r="L80" s="536" t="s">
        <v>830</v>
      </c>
      <c r="M80" s="766" t="str">
        <f ca="1">IF(R80,"Mandatory","N/A")</f>
        <v>Mandatory</v>
      </c>
      <c r="N80" s="243"/>
      <c r="O80" s="474"/>
      <c r="P80" s="94" t="b">
        <v>1</v>
      </c>
      <c r="Q80" s="94" t="b">
        <v>0</v>
      </c>
      <c r="R80" s="211" t="b">
        <f ca="1">S80</f>
        <v>1</v>
      </c>
      <c r="S80" s="211" t="b">
        <f ca="1">AND(NOT(OR(S13=4,S13=5)),NOT(AND(OR(AY39=INDEX(INDIRECT('Overview (Design)'!$E$38),2),AY39=INDEX(INDIRECT('Overview (Design)'!$E$38),3)),OR(AY43=INDEX(INDIRECT('Overview (Design)'!$E$42),2),AY43=INDEX(INDIRECT('Overview (Design)'!$E$42),3)))))</f>
        <v>1</v>
      </c>
      <c r="T80" s="211" t="b">
        <f ca="1">AND(NOT(S80),W80=TRUE)</f>
        <v>0</v>
      </c>
      <c r="U80" s="211"/>
      <c r="V80" s="211"/>
      <c r="W80" s="360"/>
      <c r="X80" s="443"/>
      <c r="AC80" s="330" t="b">
        <f ca="1">OR(AD80:AE80)</f>
        <v>1</v>
      </c>
      <c r="AD80" s="330" t="b">
        <f ca="1">T80</f>
        <v>0</v>
      </c>
      <c r="AE80" s="330" t="b">
        <f ca="1">AND(R80,NOT(W80))</f>
        <v>1</v>
      </c>
      <c r="AL80" s="254" t="str">
        <f>SUBSTITUTE(SUBSTITUTE(SUBSTITUTE("dpa"&amp;$B80&amp;$C80&amp;$D80&amp;$E80,".","_"),"(","_"),")","")</f>
        <v>dpa701_4_2_2</v>
      </c>
      <c r="AM80" s="254" t="str">
        <f ca="1">M80</f>
        <v>Mandatory</v>
      </c>
      <c r="AP80" s="254" t="str">
        <f>SUBSTITUTE(SUBSTITUTE(SUBSTITUTE("dch"&amp;$B80&amp;$C80&amp;$D80&amp;$E80,".","_"),"(","_"),")","")</f>
        <v>dch701_4_2_2</v>
      </c>
      <c r="AQ80" s="254" t="str">
        <f>IF(LEN(W80)=0,"",W80)</f>
        <v/>
      </c>
      <c r="AR80" s="254" t="str">
        <f>SUBSTITUTE(SUBSTITUTE(SUBSTITUTE("dnt"&amp;$B80&amp;$C80&amp;$D80&amp;$E80,".","_"),"(","_"),")","")</f>
        <v>dnt701_4_2_2</v>
      </c>
      <c r="AS80" s="254" t="str">
        <f>IF(LEN(X80)=0,"",X80)</f>
        <v/>
      </c>
      <c r="AX80" s="791"/>
      <c r="AY80" s="791"/>
    </row>
    <row r="81" spans="2:45" x14ac:dyDescent="0.25">
      <c r="B81" s="679" t="s">
        <v>831</v>
      </c>
      <c r="C81" s="679"/>
      <c r="D81" s="21"/>
      <c r="E81" s="21"/>
      <c r="F81" s="21"/>
      <c r="G81" s="21"/>
      <c r="H81" s="758"/>
      <c r="I81" s="533" t="s">
        <v>831</v>
      </c>
      <c r="J81" s="461"/>
      <c r="K81" s="461"/>
      <c r="L81" s="1864" t="s">
        <v>832</v>
      </c>
      <c r="M81" s="1872" t="str">
        <f ca="1">IF(R81,"Mandatory","N/A")</f>
        <v>Mandatory</v>
      </c>
      <c r="N81" s="193"/>
      <c r="O81" s="505"/>
      <c r="P81" s="94" t="b">
        <v>1</v>
      </c>
      <c r="Q81" s="94" t="b">
        <v>0</v>
      </c>
      <c r="R81" s="195" t="b">
        <f ca="1">S81</f>
        <v>1</v>
      </c>
      <c r="S81" s="195" t="b">
        <f ca="1">AND(NOT(OR(S13=4,S13=5)),NOT(AND(OR(AY39=INDEX(INDIRECT('Overview (Design)'!$E$38),2),AY39=INDEX(INDIRECT('Overview (Design)'!$E$38),3)),OR(AY43=INDEX(INDIRECT('Overview (Design)'!$E$42),2),AY43=INDEX(INDIRECT('Overview (Design)'!$E$42),3)))))</f>
        <v>1</v>
      </c>
      <c r="T81" s="195" t="b">
        <f ca="1">AND(NOT(S81),W81=TRUE)</f>
        <v>0</v>
      </c>
      <c r="U81" s="195"/>
      <c r="V81" s="195"/>
      <c r="W81" s="360"/>
      <c r="X81" s="1770"/>
      <c r="AC81" s="330" t="b">
        <f ca="1">OR(AD81:AE81)</f>
        <v>1</v>
      </c>
      <c r="AD81" s="330" t="b">
        <f ca="1">T81</f>
        <v>0</v>
      </c>
      <c r="AE81" s="330" t="b">
        <f ca="1">AND(R81,NOT(W81))</f>
        <v>1</v>
      </c>
      <c r="AL81" s="254" t="str">
        <f>SUBSTITUTE(SUBSTITUTE(SUBSTITUTE("dpa"&amp;$B81&amp;$C81&amp;$D81&amp;$E81,".","_"),"(","_"),")","")</f>
        <v>dpa701_4_2_3</v>
      </c>
      <c r="AM81" s="254" t="str">
        <f ca="1">M81</f>
        <v>Mandatory</v>
      </c>
      <c r="AP81" s="254" t="str">
        <f>SUBSTITUTE(SUBSTITUTE(SUBSTITUTE("dch"&amp;$B81&amp;$C81&amp;$D81&amp;$E81,".","_"),"(","_"),")","")</f>
        <v>dch701_4_2_3</v>
      </c>
      <c r="AQ81" s="254" t="str">
        <f>IF(LEN(W81)=0,"",W81)</f>
        <v/>
      </c>
      <c r="AR81" s="254" t="str">
        <f>SUBSTITUTE(SUBSTITUTE(SUBSTITUTE("dnt"&amp;$B81&amp;$C81&amp;$D81&amp;$E81,".","_"),"(","_"),")","")</f>
        <v>dnt701_4_2_3</v>
      </c>
      <c r="AS81" s="254" t="str">
        <f>IF(LEN(X81)=0,"",X81)</f>
        <v/>
      </c>
    </row>
    <row r="82" spans="2:45" x14ac:dyDescent="0.25">
      <c r="B82" s="679" t="s">
        <v>831</v>
      </c>
      <c r="C82" s="679"/>
      <c r="D82" s="21"/>
      <c r="E82" s="21"/>
      <c r="F82" s="21"/>
      <c r="G82" s="21"/>
      <c r="H82" s="758"/>
      <c r="I82" s="534"/>
      <c r="J82" s="449"/>
      <c r="K82" s="449"/>
      <c r="L82" s="1843"/>
      <c r="M82" s="1844"/>
      <c r="N82" s="210"/>
      <c r="O82" s="503"/>
      <c r="P82" s="178"/>
      <c r="Q82" s="178"/>
      <c r="R82" s="178"/>
      <c r="S82" s="178"/>
      <c r="T82" s="178"/>
      <c r="U82" s="178"/>
      <c r="V82" s="178"/>
      <c r="W82" s="178"/>
      <c r="X82" s="1770"/>
    </row>
    <row r="83" spans="2:45" x14ac:dyDescent="0.25">
      <c r="B83" s="679" t="s">
        <v>833</v>
      </c>
      <c r="C83" s="679"/>
      <c r="D83" s="21"/>
      <c r="E83" s="21"/>
      <c r="F83" s="21"/>
      <c r="G83" s="21"/>
      <c r="H83" s="758"/>
      <c r="I83" s="533" t="s">
        <v>833</v>
      </c>
      <c r="J83" s="461"/>
      <c r="K83" s="461"/>
      <c r="L83" s="529" t="s">
        <v>834</v>
      </c>
      <c r="M83" s="454"/>
      <c r="N83" s="193"/>
      <c r="O83" s="505"/>
      <c r="P83" s="195"/>
      <c r="Q83" s="195"/>
      <c r="R83" s="195"/>
      <c r="S83" s="195"/>
      <c r="T83" s="195"/>
      <c r="U83" s="195"/>
      <c r="V83" s="195"/>
      <c r="W83" s="195"/>
      <c r="X83" s="195"/>
    </row>
    <row r="84" spans="2:45" x14ac:dyDescent="0.25">
      <c r="B84" s="679" t="s">
        <v>835</v>
      </c>
      <c r="C84" s="679"/>
      <c r="D84" s="21"/>
      <c r="E84" s="21"/>
      <c r="F84" s="21"/>
      <c r="G84" s="21"/>
      <c r="H84" s="758"/>
      <c r="I84" s="66" t="s">
        <v>835</v>
      </c>
      <c r="J84" s="161"/>
      <c r="K84" s="161"/>
      <c r="L84" s="1796" t="s">
        <v>836</v>
      </c>
      <c r="N84" s="4"/>
      <c r="O84" s="141"/>
      <c r="P84"/>
      <c r="Q84"/>
      <c r="U84"/>
      <c r="V84"/>
      <c r="W84" t="s">
        <v>3414</v>
      </c>
      <c r="X84" s="1757"/>
      <c r="AL84" s="254" t="str">
        <f>SUBSTITUTE(SUBSTITUTE(SUBSTITUTE("dpa"&amp;$B84&amp;$C84&amp;$D84&amp;$E84,".","_"),"(","_"),")","")</f>
        <v>dpa701_4_3_1</v>
      </c>
      <c r="AM84" s="254" t="str">
        <f ca="1">M88</f>
        <v>Mandatory</v>
      </c>
      <c r="AR84" s="254" t="str">
        <f>SUBSTITUTE(SUBSTITUTE(SUBSTITUTE("dnt"&amp;$B84&amp;$C84&amp;$D84&amp;$E84,".","_"),"(","_"),")","")</f>
        <v>dnt701_4_3_1</v>
      </c>
      <c r="AS84" s="254" t="str">
        <f>IF(LEN(X84)=0,"",X84)</f>
        <v/>
      </c>
    </row>
    <row r="85" spans="2:45" x14ac:dyDescent="0.25">
      <c r="B85" s="679" t="s">
        <v>835</v>
      </c>
      <c r="C85" s="679"/>
      <c r="D85" s="21"/>
      <c r="E85" s="21"/>
      <c r="F85" s="21"/>
      <c r="G85" s="21"/>
      <c r="H85" s="758"/>
      <c r="I85" s="4"/>
      <c r="J85" s="161"/>
      <c r="K85" s="161"/>
      <c r="L85" s="1796"/>
      <c r="N85" s="4"/>
      <c r="O85" s="141"/>
      <c r="P85" s="94" t="b">
        <v>1</v>
      </c>
      <c r="Q85" s="94" t="b">
        <v>1</v>
      </c>
      <c r="R85" s="273" t="b">
        <v>0</v>
      </c>
      <c r="S85" s="273" t="b">
        <f ca="1">AND(NOT(OR(S13=4,S13=5)),AY28&gt;3,AY19=INDEX(INDIRECT('Overview (Design)'!$E$18),2))</f>
        <v>0</v>
      </c>
      <c r="T85" s="94" t="b">
        <f ca="1">AND(NOT(S85),W85=TRUE)</f>
        <v>0</v>
      </c>
      <c r="U85"/>
      <c r="V85"/>
      <c r="W85" s="25"/>
      <c r="X85" s="1757"/>
      <c r="AC85" s="970" t="b">
        <f ca="1">OR(AD85:AE85)</f>
        <v>0</v>
      </c>
      <c r="AD85" s="970" t="b">
        <f ca="1">T85</f>
        <v>0</v>
      </c>
      <c r="AP85" s="254" t="str">
        <f>SUBSTITUTE(SUBSTITUTE(SUBSTITUTE("dch"&amp;$B85&amp;$C85&amp;$D85&amp;$E85,".","_"),"(","_"),")","")</f>
        <v>dch701_4_3_1</v>
      </c>
      <c r="AQ85" s="254" t="str">
        <f>IF(LEN(W85)=0,"",W85)</f>
        <v/>
      </c>
    </row>
    <row r="86" spans="2:45" x14ac:dyDescent="0.25">
      <c r="B86" s="679" t="s">
        <v>835</v>
      </c>
      <c r="C86" s="679"/>
      <c r="D86" s="21"/>
      <c r="E86" s="21"/>
      <c r="F86" s="21"/>
      <c r="G86" s="21"/>
      <c r="H86" s="758"/>
      <c r="I86" s="4"/>
      <c r="J86" s="161"/>
      <c r="K86" s="161"/>
      <c r="L86" s="1796"/>
      <c r="N86" s="4"/>
      <c r="O86" s="141"/>
      <c r="P86"/>
      <c r="Q86"/>
      <c r="R86"/>
      <c r="S86"/>
      <c r="T86"/>
      <c r="U86" s="94"/>
      <c r="V86"/>
      <c r="W86"/>
      <c r="X86" s="1757"/>
    </row>
    <row r="87" spans="2:45" x14ac:dyDescent="0.25">
      <c r="B87" s="679" t="s">
        <v>835</v>
      </c>
      <c r="C87" s="679"/>
      <c r="D87" s="21"/>
      <c r="E87" s="21"/>
      <c r="F87" s="21"/>
      <c r="G87" s="21"/>
      <c r="H87" s="758"/>
      <c r="I87" s="4"/>
      <c r="J87" s="161"/>
      <c r="K87" s="161"/>
      <c r="L87" s="1796"/>
      <c r="N87" s="4"/>
      <c r="O87" s="141"/>
      <c r="P87"/>
      <c r="Q87"/>
      <c r="R87"/>
      <c r="S87"/>
      <c r="T87"/>
      <c r="U87" s="94"/>
      <c r="V87"/>
      <c r="W87"/>
      <c r="X87" s="1757"/>
      <c r="AC87" s="273"/>
      <c r="AD87" s="273"/>
      <c r="AE87" s="273"/>
      <c r="AP87" s="254"/>
      <c r="AQ87" s="254"/>
    </row>
    <row r="88" spans="2:45" x14ac:dyDescent="0.25">
      <c r="B88" s="679" t="s">
        <v>835</v>
      </c>
      <c r="C88" s="679"/>
      <c r="D88" s="21" t="s">
        <v>121</v>
      </c>
      <c r="E88" s="21"/>
      <c r="F88" s="21"/>
      <c r="G88" s="21"/>
      <c r="H88" s="758"/>
      <c r="I88" s="4"/>
      <c r="J88" s="161"/>
      <c r="K88" s="230" t="s">
        <v>121</v>
      </c>
      <c r="L88" s="1653" t="s">
        <v>837</v>
      </c>
      <c r="M88" s="1837" t="str">
        <f ca="1">IF(R88,"Mandatory","N/A")</f>
        <v>Mandatory</v>
      </c>
      <c r="N88" s="4"/>
      <c r="O88" s="141"/>
      <c r="P88" s="94" t="b">
        <v>1</v>
      </c>
      <c r="Q88" s="94" t="b">
        <v>1</v>
      </c>
      <c r="R88" s="1101" t="b">
        <f t="shared" ref="R88:R100" ca="1" si="0">S88</f>
        <v>1</v>
      </c>
      <c r="S88" s="1101" t="b">
        <f ca="1">AND(NOT(OR(S13=4,S13=5)),NOT(W85))</f>
        <v>1</v>
      </c>
      <c r="T88" s="94" t="b">
        <f t="shared" ref="T88:T100" ca="1" si="1">IF(AND(NOT(S88),LEN(W88)&gt;0),TRUE,FALSE)</f>
        <v>0</v>
      </c>
      <c r="U88" s="94" t="str">
        <f t="shared" ref="U88:U100" si="2">SUBSTITUTE(SUBSTITUTE(SUBSTITUTE("dd"&amp;B88&amp;C88&amp;D88&amp;E88&amp;F88,".","_"),"(","_"),")","")</f>
        <v>dd701_4_3_1_a</v>
      </c>
      <c r="V88"/>
      <c r="W88" s="12"/>
      <c r="X88" s="418"/>
      <c r="AC88" s="1101" t="b">
        <f t="shared" ref="AC88:AC100" ca="1" si="3">OR(AD88:AE88)</f>
        <v>1</v>
      </c>
      <c r="AD88" s="1101" t="b">
        <f t="shared" ref="AD88:AD100" ca="1" si="4">T88</f>
        <v>0</v>
      </c>
      <c r="AE88" s="1147" t="b">
        <f t="shared" ref="AE88:AE100" ca="1" si="5">AND(R88,OR(W88="Not Met",W88=""))</f>
        <v>1</v>
      </c>
      <c r="AP88" s="254" t="str">
        <f t="shared" ref="AP88:AP100" si="6">SUBSTITUTE(SUBSTITUTE(SUBSTITUTE("dch"&amp;$B88&amp;$C88&amp;$D88&amp;$E88,".","_"),"(","_"),")","")</f>
        <v>dch701_4_3_1_a</v>
      </c>
      <c r="AQ88" s="254" t="str">
        <f t="shared" ref="AQ88:AQ100" si="7">IF(LEN(W88)=0,"",W88)</f>
        <v/>
      </c>
      <c r="AR88" s="254" t="str">
        <f t="shared" ref="AR88:AR100" si="8">SUBSTITUTE(SUBSTITUTE(SUBSTITUTE("dnt"&amp;$B88&amp;$C88&amp;$D88&amp;$E88,".","_"),"(","_"),")","")</f>
        <v>dnt701_4_3_1_a</v>
      </c>
      <c r="AS88" s="254" t="str">
        <f>IF(LEN(X88)=0,"",X88)</f>
        <v/>
      </c>
    </row>
    <row r="89" spans="2:45" ht="15" customHeight="1" x14ac:dyDescent="0.25">
      <c r="B89" s="679" t="s">
        <v>835</v>
      </c>
      <c r="C89" s="679"/>
      <c r="D89" s="21" t="s">
        <v>122</v>
      </c>
      <c r="E89" s="21"/>
      <c r="F89" s="21"/>
      <c r="G89" s="21"/>
      <c r="H89" s="758"/>
      <c r="I89" s="4"/>
      <c r="J89" s="161"/>
      <c r="K89" s="230" t="s">
        <v>122</v>
      </c>
      <c r="L89" s="1653" t="s">
        <v>838</v>
      </c>
      <c r="M89" s="1837"/>
      <c r="N89" s="4"/>
      <c r="O89" s="141"/>
      <c r="P89" s="94" t="b">
        <v>1</v>
      </c>
      <c r="Q89" s="94" t="b">
        <v>1</v>
      </c>
      <c r="R89" s="1101" t="b">
        <f t="shared" ca="1" si="0"/>
        <v>1</v>
      </c>
      <c r="S89" s="1101" t="b">
        <f ca="1">AND(NOT(OR(S13=4,S13=5)),NOT(W85))</f>
        <v>1</v>
      </c>
      <c r="T89" s="94" t="b">
        <f t="shared" ca="1" si="1"/>
        <v>0</v>
      </c>
      <c r="U89" s="94" t="str">
        <f t="shared" si="2"/>
        <v>dd701_4_3_1_b</v>
      </c>
      <c r="V89"/>
      <c r="W89" s="12"/>
      <c r="X89" s="418"/>
      <c r="AC89" s="1101" t="b">
        <f t="shared" ca="1" si="3"/>
        <v>1</v>
      </c>
      <c r="AD89" s="1101" t="b">
        <f t="shared" ca="1" si="4"/>
        <v>0</v>
      </c>
      <c r="AE89" s="1147" t="b">
        <f t="shared" ca="1" si="5"/>
        <v>1</v>
      </c>
      <c r="AP89" s="254" t="str">
        <f t="shared" si="6"/>
        <v>dch701_4_3_1_b</v>
      </c>
      <c r="AQ89" s="254" t="str">
        <f t="shared" si="7"/>
        <v/>
      </c>
      <c r="AR89" s="254" t="str">
        <f t="shared" si="8"/>
        <v>dnt701_4_3_1_b</v>
      </c>
      <c r="AS89" s="254" t="str">
        <f t="shared" ref="AS89:AS99" si="9">IF(LEN(X89)=0,"",X89)</f>
        <v/>
      </c>
    </row>
    <row r="90" spans="2:45" ht="15" customHeight="1" x14ac:dyDescent="0.25">
      <c r="B90" s="679" t="s">
        <v>835</v>
      </c>
      <c r="C90" s="679"/>
      <c r="D90" s="26" t="s">
        <v>123</v>
      </c>
      <c r="E90" s="26"/>
      <c r="F90" s="26"/>
      <c r="G90" s="26"/>
      <c r="H90" s="759"/>
      <c r="I90" s="4"/>
      <c r="J90" s="161"/>
      <c r="K90" s="231" t="s">
        <v>123</v>
      </c>
      <c r="L90" s="1653" t="s">
        <v>839</v>
      </c>
      <c r="M90" s="1837"/>
      <c r="N90" s="4"/>
      <c r="O90" s="141"/>
      <c r="P90" s="94" t="b">
        <v>1</v>
      </c>
      <c r="Q90" s="94" t="b">
        <v>1</v>
      </c>
      <c r="R90" s="1101" t="b">
        <f t="shared" ca="1" si="0"/>
        <v>1</v>
      </c>
      <c r="S90" s="1101" t="b">
        <f ca="1">AND(NOT(OR(S13=4,S13=5)),NOT(W85))</f>
        <v>1</v>
      </c>
      <c r="T90" s="94" t="b">
        <f t="shared" ca="1" si="1"/>
        <v>0</v>
      </c>
      <c r="U90" s="94" t="str">
        <f t="shared" si="2"/>
        <v>dd701_4_3_1_c</v>
      </c>
      <c r="V90"/>
      <c r="W90" s="12"/>
      <c r="X90" s="418"/>
      <c r="AC90" s="1101" t="b">
        <f t="shared" ca="1" si="3"/>
        <v>1</v>
      </c>
      <c r="AD90" s="1101" t="b">
        <f t="shared" ca="1" si="4"/>
        <v>0</v>
      </c>
      <c r="AE90" s="1147" t="b">
        <f t="shared" ca="1" si="5"/>
        <v>1</v>
      </c>
      <c r="AP90" s="254" t="str">
        <f t="shared" si="6"/>
        <v>dch701_4_3_1_c</v>
      </c>
      <c r="AQ90" s="254" t="str">
        <f t="shared" si="7"/>
        <v/>
      </c>
      <c r="AR90" s="254" t="str">
        <f t="shared" si="8"/>
        <v>dnt701_4_3_1_c</v>
      </c>
      <c r="AS90" s="254" t="str">
        <f t="shared" si="9"/>
        <v/>
      </c>
    </row>
    <row r="91" spans="2:45" x14ac:dyDescent="0.25">
      <c r="B91" s="679" t="s">
        <v>835</v>
      </c>
      <c r="C91" s="679"/>
      <c r="D91" s="21" t="s">
        <v>401</v>
      </c>
      <c r="E91" s="21"/>
      <c r="F91" s="21"/>
      <c r="G91" s="21"/>
      <c r="H91" s="758"/>
      <c r="I91" s="4"/>
      <c r="J91" s="161"/>
      <c r="K91" s="166" t="s">
        <v>401</v>
      </c>
      <c r="L91" s="1653" t="s">
        <v>840</v>
      </c>
      <c r="M91" s="1837"/>
      <c r="N91" s="4"/>
      <c r="O91" s="141"/>
      <c r="P91" s="94" t="b">
        <v>1</v>
      </c>
      <c r="Q91" s="94" t="b">
        <v>1</v>
      </c>
      <c r="R91" s="1101" t="b">
        <f t="shared" ca="1" si="0"/>
        <v>1</v>
      </c>
      <c r="S91" s="1101" t="b">
        <f ca="1">AND(NOT(OR(S13=4,S13=5)),NOT(W85))</f>
        <v>1</v>
      </c>
      <c r="T91" s="94" t="b">
        <f t="shared" ca="1" si="1"/>
        <v>0</v>
      </c>
      <c r="U91" s="94" t="str">
        <f t="shared" si="2"/>
        <v>dd701_4_3_1_d</v>
      </c>
      <c r="V91"/>
      <c r="W91" s="12"/>
      <c r="X91" s="418"/>
      <c r="AC91" s="1101" t="b">
        <f t="shared" ca="1" si="3"/>
        <v>1</v>
      </c>
      <c r="AD91" s="1101" t="b">
        <f t="shared" ca="1" si="4"/>
        <v>0</v>
      </c>
      <c r="AE91" s="1147" t="b">
        <f t="shared" ca="1" si="5"/>
        <v>1</v>
      </c>
      <c r="AP91" s="254" t="str">
        <f t="shared" si="6"/>
        <v>dch701_4_3_1_d</v>
      </c>
      <c r="AQ91" s="254" t="str">
        <f t="shared" si="7"/>
        <v/>
      </c>
      <c r="AR91" s="254" t="str">
        <f t="shared" si="8"/>
        <v>dnt701_4_3_1_d</v>
      </c>
      <c r="AS91" s="254" t="str">
        <f t="shared" si="9"/>
        <v/>
      </c>
    </row>
    <row r="92" spans="2:45" x14ac:dyDescent="0.25">
      <c r="B92" s="679" t="s">
        <v>835</v>
      </c>
      <c r="C92" s="679"/>
      <c r="D92" s="21" t="s">
        <v>539</v>
      </c>
      <c r="E92" s="21"/>
      <c r="F92" s="21"/>
      <c r="G92" s="21"/>
      <c r="H92" s="758"/>
      <c r="I92" s="4"/>
      <c r="J92" s="161"/>
      <c r="K92" s="166" t="s">
        <v>539</v>
      </c>
      <c r="L92" s="1653" t="s">
        <v>841</v>
      </c>
      <c r="M92" s="1837"/>
      <c r="N92" s="4"/>
      <c r="O92" s="141"/>
      <c r="P92" s="94" t="b">
        <v>1</v>
      </c>
      <c r="Q92" s="94" t="b">
        <v>1</v>
      </c>
      <c r="R92" s="1101" t="b">
        <f t="shared" ca="1" si="0"/>
        <v>1</v>
      </c>
      <c r="S92" s="1101" t="b">
        <f ca="1">AND(NOT(OR(S13=4,S13=5)),NOT(W85))</f>
        <v>1</v>
      </c>
      <c r="T92" s="94" t="b">
        <f t="shared" ca="1" si="1"/>
        <v>0</v>
      </c>
      <c r="U92" s="94" t="str">
        <f t="shared" si="2"/>
        <v>dd701_4_3_1_e</v>
      </c>
      <c r="V92"/>
      <c r="W92" s="12"/>
      <c r="X92" s="418"/>
      <c r="AC92" s="1101" t="b">
        <f t="shared" ca="1" si="3"/>
        <v>1</v>
      </c>
      <c r="AD92" s="1101" t="b">
        <f t="shared" ca="1" si="4"/>
        <v>0</v>
      </c>
      <c r="AE92" s="1147" t="b">
        <f t="shared" ca="1" si="5"/>
        <v>1</v>
      </c>
      <c r="AP92" s="254" t="str">
        <f t="shared" si="6"/>
        <v>dch701_4_3_1_e</v>
      </c>
      <c r="AQ92" s="254" t="str">
        <f t="shared" si="7"/>
        <v/>
      </c>
      <c r="AR92" s="254" t="str">
        <f t="shared" si="8"/>
        <v>dnt701_4_3_1_e</v>
      </c>
      <c r="AS92" s="254" t="str">
        <f t="shared" si="9"/>
        <v/>
      </c>
    </row>
    <row r="93" spans="2:45" x14ac:dyDescent="0.25">
      <c r="B93" s="679" t="s">
        <v>835</v>
      </c>
      <c r="C93" s="679"/>
      <c r="D93" s="26" t="s">
        <v>604</v>
      </c>
      <c r="E93" s="26"/>
      <c r="F93" s="26"/>
      <c r="G93" s="26"/>
      <c r="H93" s="759"/>
      <c r="I93" s="4"/>
      <c r="J93" s="161"/>
      <c r="K93" s="231" t="s">
        <v>604</v>
      </c>
      <c r="L93" s="1653" t="s">
        <v>842</v>
      </c>
      <c r="M93" s="1837"/>
      <c r="N93" s="4"/>
      <c r="O93" s="141"/>
      <c r="P93" s="94" t="b">
        <v>1</v>
      </c>
      <c r="Q93" s="94" t="b">
        <v>1</v>
      </c>
      <c r="R93" s="1101" t="b">
        <f t="shared" ca="1" si="0"/>
        <v>1</v>
      </c>
      <c r="S93" s="1101" t="b">
        <f ca="1">AND(NOT(OR(S13=4,S13=5)),NOT(W85))</f>
        <v>1</v>
      </c>
      <c r="T93" s="94" t="b">
        <f t="shared" ca="1" si="1"/>
        <v>0</v>
      </c>
      <c r="U93" s="94" t="str">
        <f t="shared" si="2"/>
        <v>dd701_4_3_1_f</v>
      </c>
      <c r="V93"/>
      <c r="W93" s="12"/>
      <c r="X93" s="418"/>
      <c r="AC93" s="1101" t="b">
        <f t="shared" ca="1" si="3"/>
        <v>1</v>
      </c>
      <c r="AD93" s="1101" t="b">
        <f t="shared" ca="1" si="4"/>
        <v>0</v>
      </c>
      <c r="AE93" s="1147" t="b">
        <f t="shared" ca="1" si="5"/>
        <v>1</v>
      </c>
      <c r="AP93" s="254" t="str">
        <f t="shared" si="6"/>
        <v>dch701_4_3_1_f</v>
      </c>
      <c r="AQ93" s="254" t="str">
        <f t="shared" si="7"/>
        <v/>
      </c>
      <c r="AR93" s="254" t="str">
        <f t="shared" si="8"/>
        <v>dnt701_4_3_1_f</v>
      </c>
      <c r="AS93" s="254" t="str">
        <f t="shared" si="9"/>
        <v/>
      </c>
    </row>
    <row r="94" spans="2:45" x14ac:dyDescent="0.25">
      <c r="B94" s="679" t="s">
        <v>835</v>
      </c>
      <c r="C94" s="679"/>
      <c r="D94" s="21" t="s">
        <v>606</v>
      </c>
      <c r="E94" s="21"/>
      <c r="F94" s="21"/>
      <c r="G94" s="21"/>
      <c r="H94" s="758"/>
      <c r="I94" s="4"/>
      <c r="J94" s="161"/>
      <c r="K94" s="166" t="s">
        <v>606</v>
      </c>
      <c r="L94" s="1655" t="s">
        <v>4246</v>
      </c>
      <c r="M94" s="1837"/>
      <c r="N94" s="4"/>
      <c r="O94" s="141"/>
      <c r="P94" s="94" t="b">
        <v>1</v>
      </c>
      <c r="Q94" s="94" t="b">
        <v>1</v>
      </c>
      <c r="R94" s="1101" t="b">
        <f t="shared" ca="1" si="0"/>
        <v>1</v>
      </c>
      <c r="S94" s="1101" t="b">
        <f ca="1">AND(NOT(OR(S13=4,S13=5)),NOT(W85))</f>
        <v>1</v>
      </c>
      <c r="T94" s="94" t="b">
        <f t="shared" ca="1" si="1"/>
        <v>0</v>
      </c>
      <c r="U94" s="94" t="str">
        <f t="shared" si="2"/>
        <v>dd701_4_3_1_g</v>
      </c>
      <c r="V94"/>
      <c r="W94" s="12"/>
      <c r="X94" s="418"/>
      <c r="AC94" s="1101" t="b">
        <f t="shared" ca="1" si="3"/>
        <v>1</v>
      </c>
      <c r="AD94" s="1101" t="b">
        <f t="shared" ca="1" si="4"/>
        <v>0</v>
      </c>
      <c r="AE94" s="1147" t="b">
        <f t="shared" ca="1" si="5"/>
        <v>1</v>
      </c>
      <c r="AP94" s="254" t="str">
        <f t="shared" si="6"/>
        <v>dch701_4_3_1_g</v>
      </c>
      <c r="AQ94" s="254" t="str">
        <f t="shared" si="7"/>
        <v/>
      </c>
      <c r="AR94" s="254" t="str">
        <f t="shared" si="8"/>
        <v>dnt701_4_3_1_g</v>
      </c>
      <c r="AS94" s="254" t="str">
        <f t="shared" si="9"/>
        <v/>
      </c>
    </row>
    <row r="95" spans="2:45" x14ac:dyDescent="0.25">
      <c r="B95" s="679" t="s">
        <v>835</v>
      </c>
      <c r="C95" s="679"/>
      <c r="D95" s="21" t="s">
        <v>608</v>
      </c>
      <c r="E95" s="21"/>
      <c r="F95" s="21"/>
      <c r="G95" s="21"/>
      <c r="H95" s="758"/>
      <c r="I95" s="4"/>
      <c r="J95" s="161"/>
      <c r="K95" s="166" t="s">
        <v>608</v>
      </c>
      <c r="L95" s="1653" t="s">
        <v>843</v>
      </c>
      <c r="M95" s="1837"/>
      <c r="N95" s="4"/>
      <c r="O95" s="141"/>
      <c r="P95" s="94" t="b">
        <v>1</v>
      </c>
      <c r="Q95" s="94" t="b">
        <v>1</v>
      </c>
      <c r="R95" s="1101" t="b">
        <f t="shared" ca="1" si="0"/>
        <v>1</v>
      </c>
      <c r="S95" s="1101" t="b">
        <f ca="1">AND(NOT(OR(S13=4,S13=5)),NOT(W85))</f>
        <v>1</v>
      </c>
      <c r="T95" s="94" t="b">
        <f t="shared" ca="1" si="1"/>
        <v>0</v>
      </c>
      <c r="U95" s="94" t="str">
        <f t="shared" si="2"/>
        <v>dd701_4_3_1_h</v>
      </c>
      <c r="V95"/>
      <c r="W95" s="12"/>
      <c r="X95" s="418"/>
      <c r="AC95" s="1101" t="b">
        <f t="shared" ca="1" si="3"/>
        <v>1</v>
      </c>
      <c r="AD95" s="1101" t="b">
        <f t="shared" ca="1" si="4"/>
        <v>0</v>
      </c>
      <c r="AE95" s="1147" t="b">
        <f t="shared" ca="1" si="5"/>
        <v>1</v>
      </c>
      <c r="AP95" s="254" t="str">
        <f t="shared" si="6"/>
        <v>dch701_4_3_1_h</v>
      </c>
      <c r="AQ95" s="254" t="str">
        <f t="shared" si="7"/>
        <v/>
      </c>
      <c r="AR95" s="254" t="str">
        <f t="shared" si="8"/>
        <v>dnt701_4_3_1_h</v>
      </c>
      <c r="AS95" s="254" t="str">
        <f t="shared" si="9"/>
        <v/>
      </c>
    </row>
    <row r="96" spans="2:45" x14ac:dyDescent="0.25">
      <c r="B96" s="679" t="s">
        <v>835</v>
      </c>
      <c r="C96" s="679"/>
      <c r="D96" s="21" t="s">
        <v>844</v>
      </c>
      <c r="E96" s="21"/>
      <c r="F96" s="21"/>
      <c r="G96" s="21"/>
      <c r="H96" s="758"/>
      <c r="I96" s="4"/>
      <c r="J96" s="161"/>
      <c r="K96" s="166" t="s">
        <v>844</v>
      </c>
      <c r="L96" s="1655" t="s">
        <v>4247</v>
      </c>
      <c r="M96" s="1837"/>
      <c r="N96" s="4"/>
      <c r="O96" s="141"/>
      <c r="P96" s="94" t="b">
        <v>1</v>
      </c>
      <c r="Q96" s="94" t="b">
        <v>1</v>
      </c>
      <c r="R96" s="1101" t="b">
        <f t="shared" ca="1" si="0"/>
        <v>1</v>
      </c>
      <c r="S96" s="1101" t="b">
        <f ca="1">AND(NOT(OR(S13=4,S13=5)),NOT(W85))</f>
        <v>1</v>
      </c>
      <c r="T96" s="94" t="b">
        <f t="shared" ca="1" si="1"/>
        <v>0</v>
      </c>
      <c r="U96" s="94" t="str">
        <f t="shared" si="2"/>
        <v>dd701_4_3_1_i</v>
      </c>
      <c r="V96"/>
      <c r="W96" s="12"/>
      <c r="X96" s="418"/>
      <c r="AC96" s="1101" t="b">
        <f t="shared" ca="1" si="3"/>
        <v>1</v>
      </c>
      <c r="AD96" s="1101" t="b">
        <f t="shared" ca="1" si="4"/>
        <v>0</v>
      </c>
      <c r="AE96" s="1147" t="b">
        <f t="shared" ca="1" si="5"/>
        <v>1</v>
      </c>
      <c r="AP96" s="254" t="str">
        <f t="shared" si="6"/>
        <v>dch701_4_3_1_i</v>
      </c>
      <c r="AQ96" s="254" t="str">
        <f t="shared" si="7"/>
        <v/>
      </c>
      <c r="AR96" s="254" t="str">
        <f t="shared" si="8"/>
        <v>dnt701_4_3_1_i</v>
      </c>
      <c r="AS96" s="254" t="str">
        <f t="shared" si="9"/>
        <v/>
      </c>
    </row>
    <row r="97" spans="1:61" x14ac:dyDescent="0.25">
      <c r="B97" s="679" t="s">
        <v>835</v>
      </c>
      <c r="C97" s="679"/>
      <c r="D97" s="21" t="s">
        <v>845</v>
      </c>
      <c r="E97" s="21"/>
      <c r="F97" s="21"/>
      <c r="G97" s="21"/>
      <c r="H97" s="758"/>
      <c r="I97" s="4"/>
      <c r="J97" s="161"/>
      <c r="K97" s="166" t="s">
        <v>845</v>
      </c>
      <c r="L97" s="1653" t="s">
        <v>846</v>
      </c>
      <c r="M97" s="1837"/>
      <c r="N97" s="4"/>
      <c r="O97" s="141"/>
      <c r="P97" s="94" t="b">
        <v>1</v>
      </c>
      <c r="Q97" s="94" t="b">
        <v>1</v>
      </c>
      <c r="R97" s="1101" t="b">
        <f t="shared" ca="1" si="0"/>
        <v>1</v>
      </c>
      <c r="S97" s="1101" t="b">
        <f ca="1">AND(NOT(OR(S13=4,S13=5)),NOT(W85))</f>
        <v>1</v>
      </c>
      <c r="T97" s="94" t="b">
        <f t="shared" ca="1" si="1"/>
        <v>0</v>
      </c>
      <c r="U97" s="94" t="str">
        <f t="shared" si="2"/>
        <v>dd701_4_3_1_j</v>
      </c>
      <c r="V97"/>
      <c r="W97" s="12"/>
      <c r="X97" s="418"/>
      <c r="AC97" s="1101" t="b">
        <f t="shared" ca="1" si="3"/>
        <v>1</v>
      </c>
      <c r="AD97" s="1101" t="b">
        <f t="shared" ca="1" si="4"/>
        <v>0</v>
      </c>
      <c r="AE97" s="1147" t="b">
        <f t="shared" ca="1" si="5"/>
        <v>1</v>
      </c>
      <c r="AP97" s="254" t="str">
        <f t="shared" si="6"/>
        <v>dch701_4_3_1_j</v>
      </c>
      <c r="AQ97" s="254" t="str">
        <f t="shared" si="7"/>
        <v/>
      </c>
      <c r="AR97" s="254" t="str">
        <f t="shared" si="8"/>
        <v>dnt701_4_3_1_j</v>
      </c>
      <c r="AS97" s="254" t="str">
        <f t="shared" si="9"/>
        <v/>
      </c>
    </row>
    <row r="98" spans="1:61" x14ac:dyDescent="0.25">
      <c r="B98" s="679" t="s">
        <v>835</v>
      </c>
      <c r="C98" s="679"/>
      <c r="D98" s="21" t="s">
        <v>847</v>
      </c>
      <c r="E98" s="21"/>
      <c r="F98" s="21"/>
      <c r="G98" s="21"/>
      <c r="H98" s="758"/>
      <c r="I98" s="129"/>
      <c r="J98" s="448"/>
      <c r="K98" s="282" t="s">
        <v>847</v>
      </c>
      <c r="L98" s="1655" t="s">
        <v>4248</v>
      </c>
      <c r="M98" s="1837"/>
      <c r="N98" s="129"/>
      <c r="O98" s="502"/>
      <c r="P98" s="94" t="b">
        <v>1</v>
      </c>
      <c r="Q98" s="94" t="b">
        <v>1</v>
      </c>
      <c r="R98" s="1101" t="b">
        <f t="shared" ca="1" si="0"/>
        <v>1</v>
      </c>
      <c r="S98" s="94" t="b">
        <f ca="1">AND(NOT(OR(S13=4,S13=5)),NOT(W85))</f>
        <v>1</v>
      </c>
      <c r="T98" s="94" t="b">
        <f t="shared" ca="1" si="1"/>
        <v>0</v>
      </c>
      <c r="U98" s="94" t="str">
        <f t="shared" si="2"/>
        <v>dd701_4_3_1_k</v>
      </c>
      <c r="V98" s="94"/>
      <c r="W98" s="12"/>
      <c r="X98" s="443"/>
      <c r="AC98" s="1101" t="b">
        <f t="shared" ca="1" si="3"/>
        <v>1</v>
      </c>
      <c r="AD98" s="1101" t="b">
        <f t="shared" ca="1" si="4"/>
        <v>0</v>
      </c>
      <c r="AE98" s="1147" t="b">
        <f t="shared" ca="1" si="5"/>
        <v>1</v>
      </c>
      <c r="AP98" s="254" t="str">
        <f t="shared" si="6"/>
        <v>dch701_4_3_1_k</v>
      </c>
      <c r="AQ98" s="254" t="str">
        <f t="shared" si="7"/>
        <v/>
      </c>
      <c r="AR98" s="254" t="str">
        <f t="shared" si="8"/>
        <v>dnt701_4_3_1_k</v>
      </c>
      <c r="AS98" s="254" t="str">
        <f t="shared" si="9"/>
        <v/>
      </c>
    </row>
    <row r="99" spans="1:61" s="791" customFormat="1" x14ac:dyDescent="0.25">
      <c r="A99" s="18"/>
      <c r="B99" s="679" t="s">
        <v>835</v>
      </c>
      <c r="C99" s="679"/>
      <c r="D99" s="21" t="s">
        <v>848</v>
      </c>
      <c r="E99" s="21"/>
      <c r="F99" s="21"/>
      <c r="G99" s="21"/>
      <c r="H99" s="758"/>
      <c r="I99" s="129"/>
      <c r="J99" s="805"/>
      <c r="K99" s="810" t="s">
        <v>848</v>
      </c>
      <c r="L99" s="1655" t="s">
        <v>4249</v>
      </c>
      <c r="M99" s="1837"/>
      <c r="N99" s="129"/>
      <c r="O99" s="800"/>
      <c r="P99" s="94" t="b">
        <v>1</v>
      </c>
      <c r="Q99" s="94" t="b">
        <v>1</v>
      </c>
      <c r="R99" s="1101" t="b">
        <f t="shared" ca="1" si="0"/>
        <v>1</v>
      </c>
      <c r="S99" s="94" t="b">
        <f ca="1">AND(NOT(OR(S13=4,S13=5)),NOT(W85))</f>
        <v>1</v>
      </c>
      <c r="T99" s="94" t="b">
        <f t="shared" ca="1" si="1"/>
        <v>0</v>
      </c>
      <c r="U99" s="94" t="str">
        <f t="shared" si="2"/>
        <v>dd701_4_3_1_l</v>
      </c>
      <c r="V99" s="94"/>
      <c r="W99" s="12"/>
      <c r="X99" s="792"/>
      <c r="AC99" s="1101" t="b">
        <f t="shared" ca="1" si="3"/>
        <v>1</v>
      </c>
      <c r="AD99" s="1101" t="b">
        <f t="shared" ca="1" si="4"/>
        <v>0</v>
      </c>
      <c r="AE99" s="1147" t="b">
        <f t="shared" ca="1" si="5"/>
        <v>1</v>
      </c>
      <c r="AP99" s="254" t="str">
        <f t="shared" si="6"/>
        <v>dch701_4_3_1_l</v>
      </c>
      <c r="AQ99" s="254" t="str">
        <f t="shared" si="7"/>
        <v/>
      </c>
      <c r="AR99" s="254" t="str">
        <f t="shared" si="8"/>
        <v>dnt701_4_3_1_l</v>
      </c>
      <c r="AS99" s="254" t="str">
        <f t="shared" si="9"/>
        <v/>
      </c>
      <c r="AX99" s="76"/>
      <c r="AY99" s="76"/>
      <c r="AZ99" s="76"/>
      <c r="BA99" s="76"/>
      <c r="BB99" s="76"/>
      <c r="BC99" s="76"/>
      <c r="BD99" s="76"/>
      <c r="BE99" s="76"/>
      <c r="BF99" s="76"/>
      <c r="BG99" s="76"/>
      <c r="BH99" s="76"/>
      <c r="BI99" s="76"/>
    </row>
    <row r="100" spans="1:61" x14ac:dyDescent="0.25">
      <c r="B100" s="679" t="s">
        <v>835</v>
      </c>
      <c r="C100" s="679"/>
      <c r="D100" s="21" t="s">
        <v>3969</v>
      </c>
      <c r="E100" s="21"/>
      <c r="F100" s="21"/>
      <c r="G100" s="21"/>
      <c r="H100" s="758"/>
      <c r="I100" s="210"/>
      <c r="J100" s="449"/>
      <c r="K100" s="532" t="s">
        <v>3969</v>
      </c>
      <c r="L100" s="1654" t="s">
        <v>849</v>
      </c>
      <c r="M100" s="1844"/>
      <c r="N100" s="210"/>
      <c r="O100" s="503"/>
      <c r="P100" s="94" t="b">
        <v>1</v>
      </c>
      <c r="Q100" s="94" t="b">
        <v>1</v>
      </c>
      <c r="R100" s="1101" t="b">
        <f t="shared" ca="1" si="0"/>
        <v>1</v>
      </c>
      <c r="S100" s="178" t="b">
        <f ca="1">AND(NOT(OR(S13=4,S13=5)),NOT(W85))</f>
        <v>1</v>
      </c>
      <c r="T100" s="94" t="b">
        <f t="shared" ca="1" si="1"/>
        <v>0</v>
      </c>
      <c r="U100" s="178" t="str">
        <f t="shared" si="2"/>
        <v>dd701_4_3_1_m</v>
      </c>
      <c r="V100" s="178"/>
      <c r="W100" s="12"/>
      <c r="X100" s="443"/>
      <c r="AC100" s="1101" t="b">
        <f t="shared" ca="1" si="3"/>
        <v>1</v>
      </c>
      <c r="AD100" s="1101" t="b">
        <f t="shared" ca="1" si="4"/>
        <v>0</v>
      </c>
      <c r="AE100" s="1147" t="b">
        <f t="shared" ca="1" si="5"/>
        <v>1</v>
      </c>
      <c r="AP100" s="254" t="str">
        <f t="shared" si="6"/>
        <v>dch701_4_3_1_m</v>
      </c>
      <c r="AQ100" s="254" t="str">
        <f t="shared" si="7"/>
        <v/>
      </c>
      <c r="AR100" s="254" t="str">
        <f t="shared" si="8"/>
        <v>dnt701_4_3_1_m</v>
      </c>
      <c r="AS100" s="254" t="str">
        <f>IF(LEN(X100)=0,"",X100)</f>
        <v/>
      </c>
      <c r="AX100" s="273"/>
      <c r="AY100" s="273"/>
      <c r="AZ100" s="791"/>
      <c r="BA100" s="791"/>
      <c r="BB100" s="791"/>
      <c r="BC100" s="791"/>
      <c r="BD100" s="791"/>
      <c r="BE100" s="791"/>
      <c r="BF100" s="791"/>
      <c r="BG100" s="791"/>
      <c r="BH100" s="791"/>
      <c r="BI100" s="791"/>
    </row>
    <row r="101" spans="1:61" ht="15" customHeight="1" x14ac:dyDescent="0.25">
      <c r="B101" s="679" t="s">
        <v>850</v>
      </c>
      <c r="C101" s="679"/>
      <c r="D101" s="21"/>
      <c r="E101" s="21"/>
      <c r="F101" s="21"/>
      <c r="G101" s="21"/>
      <c r="H101" s="758"/>
      <c r="I101" s="66" t="s">
        <v>850</v>
      </c>
      <c r="J101" s="161"/>
      <c r="K101" s="161"/>
      <c r="L101" s="1835" t="s">
        <v>4250</v>
      </c>
      <c r="M101" s="1872" t="str">
        <f ca="1">IF(OR(R105,R108),"Mandatory","N/A")</f>
        <v>Mandatory</v>
      </c>
      <c r="N101" s="4"/>
      <c r="O101" s="141"/>
      <c r="P101"/>
      <c r="Q101"/>
      <c r="U101" s="94"/>
      <c r="AL101" s="254" t="str">
        <f>SUBSTITUTE(SUBSTITUTE(SUBSTITUTE("dpa"&amp;$B101&amp;$C101&amp;$D101&amp;$E101,".","_"),"(","_"),")","")</f>
        <v>dpa701_4_3_2</v>
      </c>
      <c r="AM101" s="254" t="str">
        <f ca="1">M101</f>
        <v>Mandatory</v>
      </c>
    </row>
    <row r="102" spans="1:61" x14ac:dyDescent="0.25">
      <c r="B102" s="679" t="s">
        <v>850</v>
      </c>
      <c r="C102" s="679"/>
      <c r="D102" s="21"/>
      <c r="E102" s="21"/>
      <c r="F102" s="21"/>
      <c r="G102" s="21"/>
      <c r="H102" s="758"/>
      <c r="I102" s="4"/>
      <c r="J102" s="161"/>
      <c r="K102" s="161"/>
      <c r="L102" s="1877"/>
      <c r="M102" s="1837"/>
      <c r="N102" s="4"/>
      <c r="O102" s="141"/>
      <c r="P102"/>
      <c r="Q102"/>
      <c r="R102"/>
      <c r="S102"/>
      <c r="T102"/>
      <c r="U102"/>
      <c r="V102"/>
      <c r="W102"/>
      <c r="X102"/>
      <c r="AX102"/>
      <c r="AY102"/>
    </row>
    <row r="103" spans="1:61" s="791" customFormat="1" x14ac:dyDescent="0.25">
      <c r="A103" s="18"/>
      <c r="B103" s="679" t="s">
        <v>850</v>
      </c>
      <c r="C103" s="679"/>
      <c r="D103" s="21"/>
      <c r="E103" s="21"/>
      <c r="F103" s="21"/>
      <c r="G103" s="21"/>
      <c r="H103" s="758"/>
      <c r="I103" s="4"/>
      <c r="J103" s="808"/>
      <c r="K103" s="808"/>
      <c r="L103" s="1877"/>
      <c r="M103" s="1837"/>
      <c r="N103" s="4"/>
      <c r="O103" s="799"/>
      <c r="AX103"/>
      <c r="AY103"/>
      <c r="AZ103" s="76"/>
      <c r="BA103" s="76"/>
      <c r="BB103" s="76"/>
      <c r="BC103" s="76"/>
      <c r="BD103" s="76"/>
      <c r="BE103" s="76"/>
      <c r="BF103" s="76"/>
      <c r="BG103" s="76"/>
      <c r="BH103" s="76"/>
      <c r="BI103" s="76"/>
    </row>
    <row r="104" spans="1:61" x14ac:dyDescent="0.25">
      <c r="B104" s="679" t="s">
        <v>850</v>
      </c>
      <c r="C104" s="679"/>
      <c r="D104" s="21"/>
      <c r="E104" s="21"/>
      <c r="F104" s="21"/>
      <c r="G104" s="21"/>
      <c r="H104" s="758"/>
      <c r="I104" s="4"/>
      <c r="J104" s="161"/>
      <c r="K104" s="161"/>
      <c r="L104" s="1877"/>
      <c r="M104" s="1837"/>
      <c r="N104" s="4"/>
      <c r="O104" s="141"/>
      <c r="P104"/>
      <c r="Q104"/>
      <c r="W104" s="76" t="s">
        <v>3763</v>
      </c>
      <c r="X104"/>
      <c r="AX104"/>
      <c r="AY104"/>
      <c r="AZ104" s="791"/>
      <c r="BA104" s="791"/>
      <c r="BB104" s="791"/>
      <c r="BC104" s="791"/>
      <c r="BD104" s="791"/>
      <c r="BE104" s="791"/>
      <c r="BF104" s="791"/>
      <c r="BG104" s="791"/>
      <c r="BH104" s="791"/>
      <c r="BI104" s="791"/>
    </row>
    <row r="105" spans="1:61" x14ac:dyDescent="0.25">
      <c r="B105" s="679" t="s">
        <v>850</v>
      </c>
      <c r="C105" s="21" t="s">
        <v>4083</v>
      </c>
      <c r="D105" s="21"/>
      <c r="E105" s="21"/>
      <c r="F105" s="21"/>
      <c r="G105" s="21"/>
      <c r="H105" s="758"/>
      <c r="I105" s="4"/>
      <c r="J105" s="230" t="s">
        <v>256</v>
      </c>
      <c r="K105" s="161"/>
      <c r="L105" s="1796" t="s">
        <v>851</v>
      </c>
      <c r="M105" s="428"/>
      <c r="N105" s="4"/>
      <c r="O105" s="141"/>
      <c r="P105" s="94" t="b">
        <v>1</v>
      </c>
      <c r="Q105" s="94" t="b">
        <v>1</v>
      </c>
      <c r="R105" s="330" t="b">
        <f ca="1">AND(S105,NOT(OR(AND(BF16=2,BG16="Dry"),BI16="Tropical")))</f>
        <v>1</v>
      </c>
      <c r="S105" s="330" t="b">
        <f ca="1">AND(NOT(OR(S13=4,S13=5)),NOT(W85),NOT(LEN(W108)&gt;0))</f>
        <v>1</v>
      </c>
      <c r="T105" s="94" t="b">
        <f ca="1">AND(OR(NOT(S105),AND(W211=TRUE,BF16&lt;=2,W105&gt;5),AND(W211=TRUE,BF16&gt;=3,W105&gt;3)),LEN(W105)&gt;0)</f>
        <v>0</v>
      </c>
      <c r="U105"/>
      <c r="V105"/>
      <c r="W105" s="384"/>
      <c r="X105" s="1798"/>
      <c r="AC105" s="330" t="b">
        <f ca="1">OR(AD105:AE105)</f>
        <v>1</v>
      </c>
      <c r="AD105" s="330" t="b">
        <f ca="1">T105</f>
        <v>0</v>
      </c>
      <c r="AE105" s="330" t="b">
        <f ca="1">AND(R105,LEN(W105)=0)</f>
        <v>1</v>
      </c>
      <c r="AP105" s="254" t="str">
        <f>SUBSTITUTE(SUBSTITUTE(SUBSTITUTE("dch"&amp;$B105&amp;$C105&amp;$D105&amp;$E105,".","_"),"(","_"),")","")</f>
        <v>dch701_4_3_2_1_</v>
      </c>
      <c r="AQ105" s="254" t="str">
        <f>IF(LEN(W105)=0,"",W105)</f>
        <v/>
      </c>
      <c r="AR105" s="254" t="str">
        <f>SUBSTITUTE(SUBSTITUTE(SUBSTITUTE("dnt"&amp;$B105&amp;$C105&amp;$D105&amp;$E105,".","_"),"(","_"),")","")</f>
        <v>dnt701_4_3_2_1_</v>
      </c>
      <c r="AS105" s="254" t="str">
        <f>IF(LEN(X105)=0,"",X105)</f>
        <v/>
      </c>
    </row>
    <row r="106" spans="1:61" x14ac:dyDescent="0.25">
      <c r="B106" s="679" t="s">
        <v>850</v>
      </c>
      <c r="C106" s="21" t="s">
        <v>256</v>
      </c>
      <c r="D106" s="21"/>
      <c r="E106" s="21"/>
      <c r="F106" s="21"/>
      <c r="G106" s="21"/>
      <c r="H106" s="758"/>
      <c r="I106" s="4"/>
      <c r="J106" s="161"/>
      <c r="K106" s="161"/>
      <c r="L106" s="1796"/>
      <c r="M106" s="428"/>
      <c r="N106" s="4"/>
      <c r="O106" s="141"/>
      <c r="P106"/>
      <c r="Q106"/>
      <c r="R106"/>
      <c r="S106"/>
      <c r="T106"/>
      <c r="U106"/>
      <c r="V106"/>
      <c r="W106"/>
      <c r="X106" s="1799"/>
    </row>
    <row r="107" spans="1:61" x14ac:dyDescent="0.25">
      <c r="B107" s="679" t="s">
        <v>850</v>
      </c>
      <c r="C107" s="21" t="s">
        <v>256</v>
      </c>
      <c r="D107" s="21"/>
      <c r="E107" s="21"/>
      <c r="F107" s="21"/>
      <c r="G107" s="21"/>
      <c r="H107" s="758"/>
      <c r="I107" s="4"/>
      <c r="J107" s="161"/>
      <c r="K107" s="161"/>
      <c r="L107" s="1796"/>
      <c r="M107" s="428"/>
      <c r="N107" s="4"/>
      <c r="O107" s="141"/>
      <c r="P107" s="94"/>
      <c r="Q107" s="94"/>
      <c r="R107"/>
      <c r="S107"/>
      <c r="T107"/>
      <c r="U107"/>
      <c r="V107"/>
      <c r="W107" t="s">
        <v>4089</v>
      </c>
      <c r="X107" s="1756"/>
    </row>
    <row r="108" spans="1:61" x14ac:dyDescent="0.25">
      <c r="B108" s="679" t="s">
        <v>850</v>
      </c>
      <c r="C108" s="21" t="s">
        <v>2975</v>
      </c>
      <c r="D108" s="21"/>
      <c r="E108" s="21"/>
      <c r="F108" s="21"/>
      <c r="G108" s="21"/>
      <c r="H108" s="758"/>
      <c r="I108" s="4"/>
      <c r="J108" s="161"/>
      <c r="K108" s="161"/>
      <c r="L108" s="1796"/>
      <c r="M108" s="428"/>
      <c r="N108" s="4"/>
      <c r="O108" s="141"/>
      <c r="P108" s="94" t="b">
        <v>1</v>
      </c>
      <c r="Q108" s="94" t="b">
        <v>1</v>
      </c>
      <c r="R108" t="b">
        <f ca="1">AND(S108,NOT(OR(AND(BF16=2,BG16="Dry"),BI16="Tropical")))</f>
        <v>1</v>
      </c>
      <c r="S108" s="757" t="b">
        <f ca="1">AND(NOT(OR(S13=4,S13=5)),NOT(W85),NOT(LEN(W105)&gt;0))</f>
        <v>1</v>
      </c>
      <c r="T108" s="94" t="b">
        <f ca="1">AND(OR(NOT(S108),AND(W211=TRUE,BF16&lt;=2,W108&gt;0.33),AND(W211=TRUE,BF16&gt;=3,W108&gt;0.23)),LEN(W108)&gt;0)</f>
        <v>0</v>
      </c>
      <c r="U108"/>
      <c r="V108"/>
      <c r="W108" s="384"/>
      <c r="X108" s="1798"/>
      <c r="AC108" s="757" t="b">
        <f ca="1">OR(AD108:AE108)</f>
        <v>0</v>
      </c>
      <c r="AD108" s="757" t="b">
        <f ca="1">T108</f>
        <v>0</v>
      </c>
      <c r="AE108" s="757"/>
      <c r="AP108" s="254" t="str">
        <f>SUBSTITUTE(SUBSTITUTE(SUBSTITUTE("dch"&amp;$B108&amp;$C108&amp;$D108&amp;$E108,".","_"),"(","_"),")","")</f>
        <v>dch701_4_3_2e</v>
      </c>
      <c r="AQ108" s="254" t="str">
        <f>IF(LEN(W108)=0,"",W108)</f>
        <v/>
      </c>
      <c r="AR108" s="254" t="str">
        <f>SUBSTITUTE(SUBSTITUTE(SUBSTITUTE("dnt"&amp;$B108&amp;$C108&amp;$D108&amp;$E108,".","_"),"(","_"),")","")</f>
        <v>dnt701_4_3_2e</v>
      </c>
      <c r="AS108" s="254" t="str">
        <f>IF(LEN(X108)=0,"",X108)</f>
        <v/>
      </c>
    </row>
    <row r="109" spans="1:61" x14ac:dyDescent="0.25">
      <c r="B109" s="679" t="s">
        <v>850</v>
      </c>
      <c r="C109" s="21" t="s">
        <v>256</v>
      </c>
      <c r="D109" s="21"/>
      <c r="E109" s="21"/>
      <c r="F109" s="21"/>
      <c r="G109" s="21"/>
      <c r="H109" s="758"/>
      <c r="I109" s="4"/>
      <c r="J109" s="161"/>
      <c r="K109" s="161"/>
      <c r="L109" s="1796"/>
      <c r="M109" s="428"/>
      <c r="N109" s="4"/>
      <c r="O109" s="141"/>
      <c r="P109"/>
      <c r="Q109"/>
      <c r="R109"/>
      <c r="S109"/>
      <c r="T109"/>
      <c r="U109"/>
      <c r="V109"/>
      <c r="W109"/>
      <c r="X109" s="1756"/>
    </row>
    <row r="110" spans="1:61" x14ac:dyDescent="0.25">
      <c r="B110" s="679" t="s">
        <v>850</v>
      </c>
      <c r="C110" s="21" t="s">
        <v>256</v>
      </c>
      <c r="D110" s="21" t="s">
        <v>121</v>
      </c>
      <c r="E110" s="21"/>
      <c r="F110" s="21"/>
      <c r="G110" s="21"/>
      <c r="H110" s="758"/>
      <c r="I110" s="4"/>
      <c r="J110" s="161"/>
      <c r="K110" s="230" t="s">
        <v>121</v>
      </c>
      <c r="L110" s="161" t="s">
        <v>852</v>
      </c>
      <c r="M110" s="428"/>
      <c r="N110" s="4"/>
      <c r="O110" s="141"/>
      <c r="P110"/>
      <c r="Q110"/>
      <c r="R110"/>
      <c r="S110"/>
      <c r="T110"/>
      <c r="U110"/>
      <c r="V110"/>
      <c r="W110"/>
      <c r="X110" s="418"/>
      <c r="AR110" s="254" t="str">
        <f>SUBSTITUTE(SUBSTITUTE(SUBSTITUTE("dnt"&amp;$B110&amp;$C110&amp;$D110&amp;$E110,".","_"),"(","_"),")","")</f>
        <v>dnt701_4_3_2_1_a</v>
      </c>
      <c r="AS110" s="254" t="str">
        <f>IF(LEN(X110)=0,"",X110)</f>
        <v/>
      </c>
    </row>
    <row r="111" spans="1:61" x14ac:dyDescent="0.25">
      <c r="B111" s="679" t="s">
        <v>850</v>
      </c>
      <c r="C111" s="21" t="s">
        <v>256</v>
      </c>
      <c r="D111" s="21" t="s">
        <v>122</v>
      </c>
      <c r="E111" s="21"/>
      <c r="F111" s="21"/>
      <c r="G111" s="21"/>
      <c r="H111" s="758"/>
      <c r="I111" s="4"/>
      <c r="J111" s="161"/>
      <c r="K111" s="230" t="s">
        <v>122</v>
      </c>
      <c r="L111" s="1779" t="s">
        <v>853</v>
      </c>
      <c r="M111" s="428"/>
      <c r="N111" s="4"/>
      <c r="O111" s="141"/>
      <c r="P111"/>
      <c r="Q111"/>
      <c r="R111"/>
      <c r="S111"/>
      <c r="T111"/>
      <c r="U111"/>
      <c r="V111"/>
      <c r="W111"/>
      <c r="X111" s="1757"/>
      <c r="AR111" s="254" t="str">
        <f>SUBSTITUTE(SUBSTITUTE(SUBSTITUTE("dnt"&amp;$B111&amp;$C111&amp;$D111&amp;$E111,".","_"),"(","_"),")","")</f>
        <v>dnt701_4_3_2_1_b</v>
      </c>
      <c r="AS111" s="254" t="str">
        <f>IF(LEN(X111)=0,"",X111)</f>
        <v/>
      </c>
    </row>
    <row r="112" spans="1:61" x14ac:dyDescent="0.25">
      <c r="B112" s="679" t="s">
        <v>850</v>
      </c>
      <c r="C112" s="21" t="s">
        <v>256</v>
      </c>
      <c r="D112" s="21" t="s">
        <v>122</v>
      </c>
      <c r="E112" s="21"/>
      <c r="F112" s="21"/>
      <c r="G112" s="21"/>
      <c r="H112" s="758"/>
      <c r="I112" s="4"/>
      <c r="J112" s="161"/>
      <c r="K112" s="230"/>
      <c r="L112" s="1779"/>
      <c r="M112" s="428"/>
      <c r="N112" s="4"/>
      <c r="O112" s="141"/>
      <c r="P112"/>
      <c r="Q112"/>
      <c r="R112"/>
      <c r="S112"/>
      <c r="T112"/>
      <c r="U112"/>
      <c r="V112"/>
      <c r="W112"/>
      <c r="X112" s="1757"/>
    </row>
    <row r="113" spans="1:61" x14ac:dyDescent="0.25">
      <c r="B113" s="679" t="s">
        <v>850</v>
      </c>
      <c r="C113" s="21" t="s">
        <v>256</v>
      </c>
      <c r="D113" s="26" t="s">
        <v>123</v>
      </c>
      <c r="E113" s="26"/>
      <c r="F113" s="26"/>
      <c r="G113" s="26"/>
      <c r="H113" s="759"/>
      <c r="I113" s="4"/>
      <c r="J113" s="161"/>
      <c r="K113" s="231" t="s">
        <v>123</v>
      </c>
      <c r="L113" s="161" t="s">
        <v>854</v>
      </c>
      <c r="M113" s="428"/>
      <c r="N113" s="4"/>
      <c r="O113" s="141"/>
      <c r="P113"/>
      <c r="Q113"/>
      <c r="R113"/>
      <c r="S113"/>
      <c r="T113"/>
      <c r="U113"/>
      <c r="V113"/>
      <c r="W113"/>
      <c r="X113" s="418"/>
      <c r="AR113" s="254" t="str">
        <f>SUBSTITUTE(SUBSTITUTE(SUBSTITUTE("dnt"&amp;$B113&amp;$C113&amp;$D113&amp;$E113,".","_"),"(","_"),")","")</f>
        <v>dnt701_4_3_2_1_c</v>
      </c>
      <c r="AS113" s="254" t="str">
        <f>IF(LEN(X113)=0,"",X113)</f>
        <v/>
      </c>
    </row>
    <row r="114" spans="1:61" x14ac:dyDescent="0.25">
      <c r="B114" s="679" t="s">
        <v>850</v>
      </c>
      <c r="C114" s="21" t="s">
        <v>256</v>
      </c>
      <c r="D114" s="21" t="s">
        <v>401</v>
      </c>
      <c r="E114" s="21"/>
      <c r="F114" s="21"/>
      <c r="G114" s="21"/>
      <c r="H114" s="758"/>
      <c r="I114" s="4"/>
      <c r="J114" s="161"/>
      <c r="K114" s="166" t="s">
        <v>401</v>
      </c>
      <c r="L114" s="1779" t="s">
        <v>855</v>
      </c>
      <c r="M114" s="428"/>
      <c r="N114" s="4"/>
      <c r="O114" s="141"/>
      <c r="P114"/>
      <c r="Q114"/>
      <c r="R114"/>
      <c r="S114"/>
      <c r="T114"/>
      <c r="U114"/>
      <c r="V114"/>
      <c r="W114"/>
      <c r="X114" s="1757"/>
      <c r="AR114" s="254" t="str">
        <f>SUBSTITUTE(SUBSTITUTE(SUBSTITUTE("dnt"&amp;$B114&amp;$C114&amp;$D114&amp;$E114,".","_"),"(","_"),")","")</f>
        <v>dnt701_4_3_2_1_d</v>
      </c>
      <c r="AS114" s="254" t="str">
        <f>IF(LEN(X114)=0,"",X114)</f>
        <v/>
      </c>
    </row>
    <row r="115" spans="1:61" x14ac:dyDescent="0.25">
      <c r="B115" s="679" t="s">
        <v>850</v>
      </c>
      <c r="C115" s="21" t="s">
        <v>256</v>
      </c>
      <c r="D115" s="21" t="s">
        <v>401</v>
      </c>
      <c r="E115" s="21"/>
      <c r="F115" s="21"/>
      <c r="G115" s="21"/>
      <c r="H115" s="758"/>
      <c r="I115" s="4"/>
      <c r="J115" s="161"/>
      <c r="K115" s="166"/>
      <c r="L115" s="1779"/>
      <c r="M115" s="428"/>
      <c r="N115" s="4"/>
      <c r="O115" s="141"/>
      <c r="P115"/>
      <c r="Q115"/>
      <c r="R115"/>
      <c r="S115"/>
      <c r="T115"/>
      <c r="U115"/>
      <c r="V115"/>
      <c r="W115"/>
      <c r="X115" s="1757"/>
    </row>
    <row r="116" spans="1:61" x14ac:dyDescent="0.25">
      <c r="B116" s="679" t="s">
        <v>850</v>
      </c>
      <c r="C116" s="21" t="s">
        <v>256</v>
      </c>
      <c r="D116" s="21" t="s">
        <v>539</v>
      </c>
      <c r="E116" s="21"/>
      <c r="F116" s="21"/>
      <c r="G116" s="21"/>
      <c r="H116" s="758"/>
      <c r="I116" s="4"/>
      <c r="J116" s="161"/>
      <c r="K116" s="166" t="s">
        <v>539</v>
      </c>
      <c r="L116" s="161" t="s">
        <v>856</v>
      </c>
      <c r="M116" s="428"/>
      <c r="N116" s="4"/>
      <c r="O116" s="141"/>
      <c r="P116"/>
      <c r="Q116"/>
      <c r="R116"/>
      <c r="S116"/>
      <c r="T116"/>
      <c r="U116"/>
      <c r="V116"/>
      <c r="W116"/>
      <c r="X116" s="418"/>
      <c r="AR116" s="254" t="str">
        <f>SUBSTITUTE(SUBSTITUTE(SUBSTITUTE("dnt"&amp;$B116&amp;$C116&amp;$D116&amp;$E116,".","_"),"(","_"),")","")</f>
        <v>dnt701_4_3_2_1_e</v>
      </c>
      <c r="AS116" s="254" t="str">
        <f>IF(LEN(X116)=0,"",X116)</f>
        <v/>
      </c>
    </row>
    <row r="117" spans="1:61" x14ac:dyDescent="0.25">
      <c r="B117" s="679" t="s">
        <v>850</v>
      </c>
      <c r="C117" s="21" t="s">
        <v>256</v>
      </c>
      <c r="D117" s="26" t="s">
        <v>604</v>
      </c>
      <c r="E117" s="26"/>
      <c r="F117" s="26"/>
      <c r="G117" s="26"/>
      <c r="H117" s="759"/>
      <c r="I117" s="4"/>
      <c r="J117" s="161"/>
      <c r="K117" s="231" t="s">
        <v>604</v>
      </c>
      <c r="L117" s="161" t="s">
        <v>857</v>
      </c>
      <c r="M117" s="428"/>
      <c r="N117" s="4"/>
      <c r="O117" s="141"/>
      <c r="P117"/>
      <c r="Q117"/>
      <c r="R117"/>
      <c r="S117"/>
      <c r="T117"/>
      <c r="U117"/>
      <c r="V117"/>
      <c r="W117"/>
      <c r="X117" s="418"/>
      <c r="AR117" s="254" t="str">
        <f>SUBSTITUTE(SUBSTITUTE(SUBSTITUTE("dnt"&amp;$B117&amp;$C117&amp;$D117&amp;$E117,".","_"),"(","_"),")","")</f>
        <v>dnt701_4_3_2_1_f</v>
      </c>
      <c r="AS117" s="254" t="str">
        <f>IF(LEN(X117)=0,"",X117)</f>
        <v/>
      </c>
    </row>
    <row r="118" spans="1:61" ht="15" customHeight="1" x14ac:dyDescent="0.25">
      <c r="B118" s="679" t="s">
        <v>850</v>
      </c>
      <c r="C118" s="21" t="s">
        <v>256</v>
      </c>
      <c r="D118" s="21" t="s">
        <v>606</v>
      </c>
      <c r="E118" s="21"/>
      <c r="F118" s="21"/>
      <c r="G118" s="21"/>
      <c r="H118" s="758"/>
      <c r="I118" s="4"/>
      <c r="J118" s="161"/>
      <c r="K118" s="166" t="s">
        <v>606</v>
      </c>
      <c r="L118" s="161" t="s">
        <v>858</v>
      </c>
      <c r="M118" s="428"/>
      <c r="N118" s="4"/>
      <c r="O118" s="141"/>
      <c r="P118"/>
      <c r="Q118"/>
      <c r="R118"/>
      <c r="S118"/>
      <c r="T118"/>
      <c r="U118"/>
      <c r="V118"/>
      <c r="W118"/>
      <c r="X118" s="418"/>
      <c r="AR118" s="254" t="str">
        <f>SUBSTITUTE(SUBSTITUTE(SUBSTITUTE("dnt"&amp;$B118&amp;$C118&amp;$D118&amp;$E118,".","_"),"(","_"),")","")</f>
        <v>dnt701_4_3_2_1_g</v>
      </c>
      <c r="AS118" s="254" t="str">
        <f>IF(LEN(X118)=0,"",X118)</f>
        <v/>
      </c>
    </row>
    <row r="119" spans="1:61" x14ac:dyDescent="0.25">
      <c r="B119" s="679" t="s">
        <v>850</v>
      </c>
      <c r="C119" s="21" t="s">
        <v>256</v>
      </c>
      <c r="D119" s="21" t="s">
        <v>608</v>
      </c>
      <c r="E119" s="21"/>
      <c r="F119" s="21"/>
      <c r="G119" s="21"/>
      <c r="H119" s="758"/>
      <c r="I119" s="4"/>
      <c r="J119" s="448"/>
      <c r="K119" s="547"/>
      <c r="L119" s="1882" t="s">
        <v>4251</v>
      </c>
      <c r="M119" s="428"/>
      <c r="N119" s="4"/>
      <c r="O119" s="141"/>
      <c r="P119"/>
      <c r="Q119"/>
      <c r="R119"/>
      <c r="S119"/>
      <c r="T119"/>
      <c r="U119"/>
      <c r="V119"/>
      <c r="W119"/>
      <c r="X119" s="1757"/>
      <c r="AR119" s="254" t="str">
        <f>SUBSTITUTE(SUBSTITUTE(SUBSTITUTE("dnt"&amp;$B119&amp;$C119&amp;$D119&amp;$E119,".","_"),"(","_"),")","")</f>
        <v>dnt701_4_3_2_1_h</v>
      </c>
      <c r="AS119" s="254" t="str">
        <f>IF(LEN(X119)=0,"",X119)</f>
        <v/>
      </c>
    </row>
    <row r="120" spans="1:61" x14ac:dyDescent="0.25">
      <c r="B120" s="679" t="s">
        <v>850</v>
      </c>
      <c r="C120" s="21" t="s">
        <v>256</v>
      </c>
      <c r="D120" s="21"/>
      <c r="E120" s="21"/>
      <c r="F120" s="21"/>
      <c r="G120" s="21"/>
      <c r="H120" s="758"/>
      <c r="I120" s="4"/>
      <c r="J120" s="449"/>
      <c r="K120" s="548"/>
      <c r="L120" s="1883"/>
      <c r="M120" s="428"/>
      <c r="N120" s="4"/>
      <c r="O120" s="141"/>
      <c r="P120"/>
      <c r="Q120"/>
      <c r="R120"/>
      <c r="S120"/>
      <c r="T120"/>
      <c r="U120"/>
      <c r="V120"/>
      <c r="W120"/>
      <c r="X120" s="1757"/>
    </row>
    <row r="121" spans="1:61" x14ac:dyDescent="0.25">
      <c r="B121" s="679" t="s">
        <v>850</v>
      </c>
      <c r="C121" s="21" t="s">
        <v>258</v>
      </c>
      <c r="D121" s="21"/>
      <c r="E121" s="21"/>
      <c r="F121" s="21"/>
      <c r="G121" s="21"/>
      <c r="H121" s="758"/>
      <c r="I121" s="129"/>
      <c r="J121" s="518" t="s">
        <v>258</v>
      </c>
      <c r="K121" s="448"/>
      <c r="L121" s="1782" t="s">
        <v>859</v>
      </c>
      <c r="M121" s="452"/>
      <c r="N121" s="129"/>
      <c r="O121" s="502"/>
      <c r="P121" s="94" t="b">
        <v>1</v>
      </c>
      <c r="Q121" s="94" t="b">
        <v>0</v>
      </c>
      <c r="R121" s="94" t="b">
        <f ca="1">S121</f>
        <v>1</v>
      </c>
      <c r="S121" s="94" t="b">
        <f ca="1">AND(NOT(OR(S13=4,S13=5)),NOT(W85))</f>
        <v>1</v>
      </c>
      <c r="T121" s="94" t="b">
        <f ca="1">AND(NOT(S121),W121=TRUE)</f>
        <v>0</v>
      </c>
      <c r="U121" s="94"/>
      <c r="V121" s="94"/>
      <c r="W121" s="360"/>
      <c r="X121" s="1770"/>
      <c r="AC121" s="330" t="b">
        <f ca="1">OR(AD121:AE121)</f>
        <v>1</v>
      </c>
      <c r="AD121" s="330" t="b">
        <f ca="1">T121</f>
        <v>0</v>
      </c>
      <c r="AE121" s="330" t="b">
        <f ca="1">AND(R121,NOT(W121))</f>
        <v>1</v>
      </c>
      <c r="AP121" s="254" t="str">
        <f>SUBSTITUTE(SUBSTITUTE(SUBSTITUTE("dch"&amp;$B121&amp;$C121&amp;$D121&amp;$E121,".","_"),"(","_"),")","")</f>
        <v>dch701_4_3_2_2</v>
      </c>
      <c r="AQ121" s="254" t="str">
        <f>IF(LEN(W121)=0,"",W121)</f>
        <v/>
      </c>
      <c r="AR121" s="254" t="str">
        <f>SUBSTITUTE(SUBSTITUTE(SUBSTITUTE("dnt"&amp;$B121&amp;$C121&amp;$D121&amp;$E121,".","_"),"(","_"),")","")</f>
        <v>dnt701_4_3_2_2</v>
      </c>
      <c r="AS121" s="254" t="str">
        <f>IF(LEN(X121)=0,"",X121)</f>
        <v/>
      </c>
    </row>
    <row r="122" spans="1:61" x14ac:dyDescent="0.25">
      <c r="B122" s="679" t="s">
        <v>850</v>
      </c>
      <c r="C122" s="21" t="s">
        <v>258</v>
      </c>
      <c r="D122" s="21"/>
      <c r="E122" s="21"/>
      <c r="F122" s="21"/>
      <c r="G122" s="21"/>
      <c r="H122" s="758"/>
      <c r="I122" s="129"/>
      <c r="J122" s="448"/>
      <c r="K122" s="448"/>
      <c r="L122" s="1782"/>
      <c r="M122" s="452"/>
      <c r="N122" s="129"/>
      <c r="O122" s="502"/>
      <c r="P122" s="94"/>
      <c r="Q122" s="94"/>
      <c r="R122" s="94"/>
      <c r="S122" s="94"/>
      <c r="T122" s="94"/>
      <c r="U122" s="94"/>
      <c r="V122" s="94"/>
      <c r="W122" s="94"/>
      <c r="X122" s="1770"/>
    </row>
    <row r="123" spans="1:61" s="273" customFormat="1" x14ac:dyDescent="0.25">
      <c r="A123" s="18"/>
      <c r="B123" s="679" t="s">
        <v>850</v>
      </c>
      <c r="C123" s="21" t="s">
        <v>258</v>
      </c>
      <c r="D123" s="21"/>
      <c r="E123" s="21"/>
      <c r="F123" s="21"/>
      <c r="G123" s="21"/>
      <c r="H123" s="758"/>
      <c r="I123" s="210"/>
      <c r="J123" s="449"/>
      <c r="K123" s="449"/>
      <c r="L123" s="527" t="s">
        <v>3415</v>
      </c>
      <c r="M123" s="453"/>
      <c r="N123" s="210"/>
      <c r="O123" s="503"/>
      <c r="P123" s="178"/>
      <c r="Q123" s="178"/>
      <c r="R123" s="178"/>
      <c r="S123" s="178"/>
      <c r="T123" s="178"/>
      <c r="U123" s="178"/>
      <c r="V123" s="178"/>
      <c r="W123" s="178"/>
      <c r="X123" s="1770"/>
      <c r="Y123" s="780"/>
      <c r="AA123" s="783"/>
      <c r="AZ123" s="76"/>
      <c r="BA123" s="76"/>
      <c r="BB123" s="76"/>
      <c r="BC123" s="76"/>
      <c r="BD123" s="76"/>
      <c r="BE123" s="76"/>
      <c r="BF123" s="76"/>
      <c r="BG123" s="76"/>
      <c r="BH123" s="76"/>
      <c r="BI123" s="76"/>
    </row>
    <row r="124" spans="1:61" x14ac:dyDescent="0.25">
      <c r="B124" s="679" t="s">
        <v>860</v>
      </c>
      <c r="C124" s="679"/>
      <c r="D124" s="21"/>
      <c r="E124" s="21"/>
      <c r="F124" s="21"/>
      <c r="G124" s="21"/>
      <c r="H124" s="758"/>
      <c r="I124" s="66" t="s">
        <v>860</v>
      </c>
      <c r="J124" s="161"/>
      <c r="K124" s="809"/>
      <c r="L124" s="1835" t="s">
        <v>4252</v>
      </c>
      <c r="M124" s="1872" t="str">
        <f ca="1">IF(R124,"Mandatory","N/A")</f>
        <v>Mandatory</v>
      </c>
      <c r="N124" s="4"/>
      <c r="O124" s="141"/>
      <c r="P124" s="94" t="b">
        <v>1</v>
      </c>
      <c r="Q124" s="94" t="b">
        <v>0</v>
      </c>
      <c r="R124" s="137" t="b">
        <f ca="1">S124</f>
        <v>1</v>
      </c>
      <c r="S124" s="330" t="b">
        <f ca="1">AND(NOT(OR(S13=4,S13=5)),NOT(W85))</f>
        <v>1</v>
      </c>
      <c r="T124" s="94" t="b">
        <f ca="1">AND(NOT(S124),W124=TRUE)</f>
        <v>0</v>
      </c>
      <c r="U124"/>
      <c r="V124"/>
      <c r="W124" s="117"/>
      <c r="X124"/>
      <c r="AC124" s="330" t="b">
        <f ca="1">OR(AD124:AE124)</f>
        <v>1</v>
      </c>
      <c r="AD124" s="330" t="b">
        <f ca="1">T124</f>
        <v>0</v>
      </c>
      <c r="AE124" s="330" t="b">
        <f ca="1">AND(R124,NOT(W124))</f>
        <v>1</v>
      </c>
      <c r="AL124" s="254" t="str">
        <f>SUBSTITUTE(SUBSTITUTE(SUBSTITUTE("dpa"&amp;$B124&amp;$C124&amp;$D124&amp;$E124,".","_"),"(","_"),")","")</f>
        <v>dpa701_4_3_2_1</v>
      </c>
      <c r="AM124" s="254" t="str">
        <f ca="1">M124</f>
        <v>Mandatory</v>
      </c>
      <c r="AP124" s="254" t="str">
        <f>SUBSTITUTE(SUBSTITUTE(SUBSTITUTE("dch"&amp;$B124&amp;$C124&amp;$D124&amp;$E124,".","_"),"(","_"),")","")</f>
        <v>dch701_4_3_2_1</v>
      </c>
      <c r="AQ124" s="254" t="str">
        <f>IF(LEN(W124)=0,"",W124)</f>
        <v/>
      </c>
      <c r="AZ124" s="273"/>
      <c r="BA124" s="273"/>
      <c r="BB124" s="273"/>
      <c r="BC124" s="273"/>
      <c r="BD124" s="273"/>
      <c r="BE124" s="273"/>
      <c r="BF124" s="273"/>
      <c r="BG124" s="273"/>
      <c r="BH124" s="273"/>
      <c r="BI124" s="273"/>
    </row>
    <row r="125" spans="1:61" customFormat="1" x14ac:dyDescent="0.25">
      <c r="B125" s="679" t="s">
        <v>860</v>
      </c>
      <c r="K125" s="94"/>
      <c r="L125" s="1877"/>
      <c r="M125" s="1837"/>
      <c r="AX125" s="76"/>
      <c r="AY125" s="76"/>
      <c r="AZ125" s="76"/>
      <c r="BA125" s="76"/>
      <c r="BB125" s="76"/>
      <c r="BC125" s="76"/>
      <c r="BD125" s="76"/>
      <c r="BE125" s="76"/>
      <c r="BF125" s="76"/>
      <c r="BG125" s="76"/>
      <c r="BH125" s="76"/>
      <c r="BI125" s="76"/>
    </row>
    <row r="126" spans="1:61" customFormat="1" x14ac:dyDescent="0.25">
      <c r="B126" s="679" t="s">
        <v>860</v>
      </c>
      <c r="K126" s="94"/>
      <c r="L126" s="1877"/>
      <c r="M126" s="1837"/>
      <c r="AX126" s="76"/>
      <c r="AY126" s="76"/>
    </row>
    <row r="127" spans="1:61" customFormat="1" x14ac:dyDescent="0.25">
      <c r="B127" s="679" t="s">
        <v>860</v>
      </c>
      <c r="J127" s="178"/>
      <c r="K127" s="178"/>
      <c r="L127" s="1834"/>
      <c r="M127" s="1837"/>
      <c r="AX127" s="76"/>
      <c r="AY127" s="76"/>
    </row>
    <row r="128" spans="1:61" x14ac:dyDescent="0.25">
      <c r="B128" s="679" t="s">
        <v>860</v>
      </c>
      <c r="C128" s="845" t="s">
        <v>256</v>
      </c>
      <c r="D128" s="845"/>
      <c r="E128" s="21"/>
      <c r="F128" s="21"/>
      <c r="G128" s="21"/>
      <c r="H128" s="758"/>
      <c r="I128" s="4"/>
      <c r="J128" s="863" t="s">
        <v>256</v>
      </c>
      <c r="K128" s="806"/>
      <c r="L128" s="806" t="s">
        <v>861</v>
      </c>
      <c r="M128" s="428"/>
      <c r="N128" s="4"/>
      <c r="O128" s="141"/>
      <c r="P128"/>
      <c r="Q128"/>
      <c r="R128"/>
      <c r="S128"/>
      <c r="T128"/>
      <c r="U128"/>
      <c r="V128"/>
      <c r="W128"/>
      <c r="X128" s="418"/>
      <c r="AR128" s="254" t="str">
        <f>SUBSTITUTE(SUBSTITUTE(SUBSTITUTE("dnt"&amp;$B128&amp;$C128&amp;$D128&amp;$E128,".","_"),"(","_"),")","")</f>
        <v>dnt701_4_3_2_1_1</v>
      </c>
      <c r="AS128" s="254" t="str">
        <f>IF(LEN(X128)=0,"",X128)</f>
        <v/>
      </c>
      <c r="AZ128"/>
      <c r="BA128"/>
      <c r="BB128"/>
      <c r="BC128"/>
      <c r="BD128"/>
      <c r="BE128"/>
      <c r="BF128"/>
      <c r="BG128"/>
      <c r="BH128"/>
      <c r="BI128"/>
    </row>
    <row r="129" spans="2:51" ht="15" customHeight="1" x14ac:dyDescent="0.25">
      <c r="B129" s="679" t="s">
        <v>860</v>
      </c>
      <c r="C129" s="845" t="s">
        <v>258</v>
      </c>
      <c r="D129" s="845"/>
      <c r="E129" s="21"/>
      <c r="F129" s="21"/>
      <c r="G129" s="21"/>
      <c r="H129" s="758"/>
      <c r="I129" s="4"/>
      <c r="J129" s="862" t="s">
        <v>258</v>
      </c>
      <c r="K129" s="805"/>
      <c r="L129" s="1754" t="s">
        <v>862</v>
      </c>
      <c r="M129" s="428"/>
      <c r="N129" s="4"/>
      <c r="O129" s="141"/>
      <c r="P129"/>
      <c r="Q129"/>
      <c r="R129"/>
      <c r="S129"/>
      <c r="T129"/>
      <c r="U129"/>
      <c r="V129"/>
      <c r="W129"/>
      <c r="X129" s="1757"/>
      <c r="AR129" s="254" t="str">
        <f>SUBSTITUTE(SUBSTITUTE(SUBSTITUTE("dnt"&amp;$B129&amp;$C129&amp;$D129&amp;$E129,".","_"),"(","_"),")","")</f>
        <v>dnt701_4_3_2_1_2</v>
      </c>
      <c r="AS129" s="254" t="str">
        <f>IF(LEN(X129)=0,"",X129)</f>
        <v/>
      </c>
      <c r="AX129" s="791"/>
      <c r="AY129" s="791"/>
    </row>
    <row r="130" spans="2:51" x14ac:dyDescent="0.25">
      <c r="B130" s="679" t="s">
        <v>860</v>
      </c>
      <c r="C130" s="845" t="s">
        <v>258</v>
      </c>
      <c r="D130" s="845"/>
      <c r="E130" s="21"/>
      <c r="F130" s="21"/>
      <c r="G130" s="21"/>
      <c r="H130" s="758"/>
      <c r="I130" s="4"/>
      <c r="J130" s="862"/>
      <c r="K130" s="805"/>
      <c r="L130" s="1754"/>
      <c r="M130" s="428"/>
      <c r="N130" s="4"/>
      <c r="O130" s="141"/>
      <c r="P130"/>
      <c r="Q130"/>
      <c r="R130"/>
      <c r="S130"/>
      <c r="T130"/>
      <c r="U130"/>
      <c r="V130"/>
      <c r="W130"/>
      <c r="X130" s="1757"/>
      <c r="AX130" s="791"/>
      <c r="AY130" s="791"/>
    </row>
    <row r="131" spans="2:51" x14ac:dyDescent="0.25">
      <c r="B131" s="679" t="s">
        <v>860</v>
      </c>
      <c r="C131" s="845" t="s">
        <v>258</v>
      </c>
      <c r="D131" s="845"/>
      <c r="E131" s="21"/>
      <c r="F131" s="21"/>
      <c r="G131" s="21"/>
      <c r="H131" s="758"/>
      <c r="I131" s="4"/>
      <c r="J131" s="862"/>
      <c r="K131" s="805"/>
      <c r="L131" s="1754"/>
      <c r="M131" s="428"/>
      <c r="N131" s="4"/>
      <c r="O131" s="141"/>
      <c r="P131"/>
      <c r="Q131"/>
      <c r="R131"/>
      <c r="S131"/>
      <c r="T131"/>
      <c r="U131"/>
      <c r="V131"/>
      <c r="W131"/>
      <c r="X131" s="1757"/>
      <c r="AX131" s="791"/>
      <c r="AY131" s="791"/>
    </row>
    <row r="132" spans="2:51" x14ac:dyDescent="0.25">
      <c r="B132" s="679" t="s">
        <v>860</v>
      </c>
      <c r="C132" s="845" t="s">
        <v>258</v>
      </c>
      <c r="D132" s="845"/>
      <c r="E132" s="21"/>
      <c r="F132" s="21"/>
      <c r="G132" s="21"/>
      <c r="H132" s="758"/>
      <c r="I132" s="4"/>
      <c r="J132" s="863"/>
      <c r="K132" s="806"/>
      <c r="L132" s="1755"/>
      <c r="M132" s="428"/>
      <c r="N132" s="4"/>
      <c r="O132" s="141"/>
      <c r="P132"/>
      <c r="Q132"/>
      <c r="R132"/>
      <c r="S132"/>
      <c r="T132"/>
      <c r="U132"/>
      <c r="V132"/>
      <c r="W132"/>
      <c r="X132" s="1757"/>
      <c r="AX132" s="791"/>
      <c r="AY132" s="791"/>
    </row>
    <row r="133" spans="2:51" ht="15" customHeight="1" x14ac:dyDescent="0.25">
      <c r="B133" s="679" t="s">
        <v>860</v>
      </c>
      <c r="C133" s="845" t="s">
        <v>260</v>
      </c>
      <c r="D133" s="845"/>
      <c r="E133" s="21"/>
      <c r="F133" s="21"/>
      <c r="G133" s="21"/>
      <c r="H133" s="758"/>
      <c r="I133" s="4"/>
      <c r="J133" s="862" t="s">
        <v>260</v>
      </c>
      <c r="K133" s="448"/>
      <c r="L133" s="1754" t="s">
        <v>863</v>
      </c>
      <c r="M133" s="428"/>
      <c r="N133" s="4"/>
      <c r="O133" s="141"/>
      <c r="P133"/>
      <c r="Q133"/>
      <c r="R133"/>
      <c r="S133"/>
      <c r="T133"/>
      <c r="U133"/>
      <c r="V133"/>
      <c r="W133"/>
      <c r="X133" s="1757"/>
      <c r="AR133" s="254" t="str">
        <f>SUBSTITUTE(SUBSTITUTE(SUBSTITUTE("dnt"&amp;$B133&amp;$C133&amp;$D133&amp;$E133,".","_"),"(","_"),")","")</f>
        <v>dnt701_4_3_2_1_3</v>
      </c>
      <c r="AS133" s="254" t="str">
        <f>IF(LEN(X133)=0,"",X133)</f>
        <v/>
      </c>
    </row>
    <row r="134" spans="2:51" x14ac:dyDescent="0.25">
      <c r="B134" s="679" t="s">
        <v>860</v>
      </c>
      <c r="C134" s="845" t="s">
        <v>260</v>
      </c>
      <c r="D134" s="845"/>
      <c r="E134" s="21"/>
      <c r="F134" s="21"/>
      <c r="G134" s="21"/>
      <c r="H134" s="758"/>
      <c r="I134" s="4"/>
      <c r="J134" s="863"/>
      <c r="K134" s="449"/>
      <c r="L134" s="1755"/>
      <c r="M134" s="428"/>
      <c r="N134" s="4"/>
      <c r="O134" s="141"/>
      <c r="P134"/>
      <c r="Q134"/>
      <c r="R134"/>
      <c r="S134"/>
      <c r="T134"/>
      <c r="U134"/>
      <c r="V134"/>
      <c r="W134"/>
      <c r="X134" s="1757"/>
    </row>
    <row r="135" spans="2:51" ht="15" customHeight="1" x14ac:dyDescent="0.25">
      <c r="B135" s="679" t="s">
        <v>860</v>
      </c>
      <c r="C135" s="845" t="s">
        <v>269</v>
      </c>
      <c r="D135" s="845"/>
      <c r="E135" s="21"/>
      <c r="F135" s="21"/>
      <c r="G135" s="21"/>
      <c r="H135" s="758"/>
      <c r="I135" s="4"/>
      <c r="J135" s="862" t="s">
        <v>269</v>
      </c>
      <c r="K135" s="461"/>
      <c r="L135" s="1778" t="s">
        <v>864</v>
      </c>
      <c r="M135" s="428"/>
      <c r="N135" s="4"/>
      <c r="O135" s="141"/>
      <c r="P135"/>
      <c r="Q135"/>
      <c r="R135"/>
      <c r="S135"/>
      <c r="T135"/>
      <c r="U135"/>
      <c r="V135"/>
      <c r="W135"/>
      <c r="X135" s="1757"/>
      <c r="AR135" s="254" t="str">
        <f>SUBSTITUTE(SUBSTITUTE(SUBSTITUTE("dnt"&amp;$B135&amp;$C135&amp;$D135&amp;$E135,".","_"),"(","_"),")","")</f>
        <v>dnt701_4_3_2_1_4</v>
      </c>
      <c r="AS135" s="254" t="str">
        <f>IF(LEN(X135)=0,"",X135)</f>
        <v/>
      </c>
    </row>
    <row r="136" spans="2:51" x14ac:dyDescent="0.25">
      <c r="B136" s="679" t="s">
        <v>860</v>
      </c>
      <c r="C136" s="845" t="s">
        <v>269</v>
      </c>
      <c r="D136" s="845"/>
      <c r="E136" s="21"/>
      <c r="F136" s="21"/>
      <c r="G136" s="21"/>
      <c r="H136" s="758"/>
      <c r="I136" s="4"/>
      <c r="J136" s="862"/>
      <c r="K136" s="448"/>
      <c r="L136" s="1754"/>
      <c r="M136" s="428"/>
      <c r="N136" s="4"/>
      <c r="O136" s="141"/>
      <c r="P136"/>
      <c r="Q136"/>
      <c r="R136"/>
      <c r="S136"/>
      <c r="T136"/>
      <c r="U136"/>
      <c r="V136"/>
      <c r="W136"/>
      <c r="X136" s="1757"/>
      <c r="AX136" s="273"/>
      <c r="AY136" s="273"/>
    </row>
    <row r="137" spans="2:51" x14ac:dyDescent="0.25">
      <c r="B137" s="679" t="s">
        <v>860</v>
      </c>
      <c r="C137" s="845" t="s">
        <v>269</v>
      </c>
      <c r="D137" s="845"/>
      <c r="E137" s="21"/>
      <c r="F137" s="21"/>
      <c r="G137" s="21"/>
      <c r="H137" s="758"/>
      <c r="I137" s="4"/>
      <c r="J137" s="863"/>
      <c r="K137" s="449"/>
      <c r="L137" s="1755"/>
      <c r="M137" s="428"/>
      <c r="N137" s="4"/>
      <c r="O137" s="141"/>
      <c r="P137"/>
      <c r="Q137"/>
      <c r="R137"/>
      <c r="S137"/>
      <c r="T137"/>
      <c r="U137"/>
      <c r="V137"/>
      <c r="W137"/>
      <c r="X137" s="1757"/>
    </row>
    <row r="138" spans="2:51" ht="15" customHeight="1" x14ac:dyDescent="0.25">
      <c r="B138" s="679" t="s">
        <v>860</v>
      </c>
      <c r="C138" s="845" t="s">
        <v>275</v>
      </c>
      <c r="D138" s="845"/>
      <c r="E138" s="21"/>
      <c r="F138" s="21"/>
      <c r="G138" s="21"/>
      <c r="H138" s="758"/>
      <c r="I138" s="4"/>
      <c r="J138" s="862" t="s">
        <v>275</v>
      </c>
      <c r="K138" s="461"/>
      <c r="L138" s="1778" t="s">
        <v>865</v>
      </c>
      <c r="M138" s="428"/>
      <c r="N138" s="4"/>
      <c r="O138" s="141"/>
      <c r="P138"/>
      <c r="Q138"/>
      <c r="R138"/>
      <c r="S138"/>
      <c r="T138"/>
      <c r="U138"/>
      <c r="V138"/>
      <c r="W138"/>
      <c r="X138" s="1757"/>
      <c r="AR138" s="254" t="str">
        <f>SUBSTITUTE(SUBSTITUTE(SUBSTITUTE("dnt"&amp;$B138&amp;$C138&amp;$D138&amp;$E138,".","_"),"(","_"),")","")</f>
        <v>dnt701_4_3_2_1_5</v>
      </c>
      <c r="AS138" s="254" t="str">
        <f>IF(LEN(X138)=0,"",X138)</f>
        <v/>
      </c>
    </row>
    <row r="139" spans="2:51" ht="15" customHeight="1" x14ac:dyDescent="0.25">
      <c r="B139" s="679" t="s">
        <v>860</v>
      </c>
      <c r="C139" s="845" t="s">
        <v>275</v>
      </c>
      <c r="D139" s="845"/>
      <c r="E139" s="21"/>
      <c r="F139" s="21"/>
      <c r="G139" s="21"/>
      <c r="H139" s="758"/>
      <c r="I139" s="4"/>
      <c r="J139" s="863"/>
      <c r="K139" s="449"/>
      <c r="L139" s="1755"/>
      <c r="M139" s="428"/>
      <c r="N139" s="4"/>
      <c r="O139" s="141"/>
      <c r="P139"/>
      <c r="Q139"/>
      <c r="R139"/>
      <c r="S139"/>
      <c r="T139"/>
      <c r="U139"/>
      <c r="V139"/>
      <c r="W139"/>
      <c r="X139" s="1757"/>
    </row>
    <row r="140" spans="2:51" ht="15" customHeight="1" x14ac:dyDescent="0.25">
      <c r="B140" s="679" t="s">
        <v>860</v>
      </c>
      <c r="C140" s="845" t="s">
        <v>277</v>
      </c>
      <c r="D140" s="845"/>
      <c r="E140" s="21"/>
      <c r="F140" s="21"/>
      <c r="G140" s="21"/>
      <c r="H140" s="758"/>
      <c r="I140" s="4"/>
      <c r="J140" s="863" t="s">
        <v>277</v>
      </c>
      <c r="K140" s="280"/>
      <c r="L140" s="280" t="s">
        <v>866</v>
      </c>
      <c r="M140" s="428"/>
      <c r="N140" s="4"/>
      <c r="O140" s="141"/>
      <c r="P140"/>
      <c r="Q140"/>
      <c r="R140"/>
      <c r="S140"/>
      <c r="T140"/>
      <c r="U140"/>
      <c r="V140"/>
      <c r="W140"/>
      <c r="X140" s="418"/>
      <c r="AR140" s="254" t="str">
        <f>SUBSTITUTE(SUBSTITUTE(SUBSTITUTE("dnt"&amp;$B140&amp;$C140&amp;$D140&amp;$E140,".","_"),"(","_"),")","")</f>
        <v>dnt701_4_3_2_1_6</v>
      </c>
      <c r="AS140" s="254" t="str">
        <f>IF(LEN(X140)=0,"",X140)</f>
        <v/>
      </c>
    </row>
    <row r="141" spans="2:51" ht="15" customHeight="1" x14ac:dyDescent="0.25">
      <c r="B141" s="679" t="s">
        <v>860</v>
      </c>
      <c r="C141" s="845" t="s">
        <v>383</v>
      </c>
      <c r="D141" s="845"/>
      <c r="E141" s="21"/>
      <c r="F141" s="21"/>
      <c r="G141" s="21"/>
      <c r="H141" s="758"/>
      <c r="I141" s="4"/>
      <c r="J141" s="863" t="s">
        <v>383</v>
      </c>
      <c r="K141" s="280"/>
      <c r="L141" s="280" t="s">
        <v>867</v>
      </c>
      <c r="M141" s="428"/>
      <c r="N141" s="4"/>
      <c r="O141" s="141"/>
      <c r="P141"/>
      <c r="Q141"/>
      <c r="R141"/>
      <c r="S141"/>
      <c r="T141"/>
      <c r="U141"/>
      <c r="V141"/>
      <c r="W141"/>
      <c r="X141" s="418"/>
      <c r="AR141" s="254" t="str">
        <f>SUBSTITUTE(SUBSTITUTE(SUBSTITUTE("dnt"&amp;$B141&amp;$C141&amp;$D141&amp;$E141,".","_"),"(","_"),")","")</f>
        <v>dnt701_4_3_2_1_7</v>
      </c>
      <c r="AS141" s="254" t="str">
        <f>IF(LEN(X141)=0,"",X141)</f>
        <v/>
      </c>
      <c r="AX141" s="791"/>
      <c r="AY141" s="791"/>
    </row>
    <row r="142" spans="2:51" ht="15" customHeight="1" x14ac:dyDescent="0.25">
      <c r="B142" s="679" t="s">
        <v>860</v>
      </c>
      <c r="C142" s="845" t="s">
        <v>428</v>
      </c>
      <c r="D142" s="845"/>
      <c r="E142" s="21"/>
      <c r="F142" s="21"/>
      <c r="G142" s="21"/>
      <c r="H142" s="758"/>
      <c r="I142" s="4"/>
      <c r="J142" s="862" t="s">
        <v>428</v>
      </c>
      <c r="K142" s="461"/>
      <c r="L142" s="1778" t="s">
        <v>868</v>
      </c>
      <c r="M142" s="428"/>
      <c r="N142" s="4"/>
      <c r="O142" s="141"/>
      <c r="P142"/>
      <c r="Q142"/>
      <c r="R142"/>
      <c r="S142"/>
      <c r="T142"/>
      <c r="U142"/>
      <c r="V142"/>
      <c r="W142"/>
      <c r="X142" s="1757"/>
      <c r="AR142" s="254" t="str">
        <f>SUBSTITUTE(SUBSTITUTE(SUBSTITUTE("dnt"&amp;$B142&amp;$C142&amp;$D142&amp;$E142,".","_"),"(","_"),")","")</f>
        <v>dnt701_4_3_2_1_8</v>
      </c>
      <c r="AS142" s="254" t="str">
        <f>IF(LEN(X142)=0,"",X142)</f>
        <v/>
      </c>
    </row>
    <row r="143" spans="2:51" x14ac:dyDescent="0.25">
      <c r="B143" s="679" t="s">
        <v>860</v>
      </c>
      <c r="C143" s="845" t="s">
        <v>428</v>
      </c>
      <c r="D143" s="845"/>
      <c r="E143" s="21"/>
      <c r="F143" s="21"/>
      <c r="G143" s="21"/>
      <c r="H143" s="758"/>
      <c r="I143" s="4"/>
      <c r="J143" s="862"/>
      <c r="K143" s="448"/>
      <c r="L143" s="1754"/>
      <c r="M143" s="428"/>
      <c r="N143" s="4"/>
      <c r="O143" s="141"/>
      <c r="P143"/>
      <c r="Q143"/>
      <c r="R143"/>
      <c r="S143"/>
      <c r="T143"/>
      <c r="U143"/>
      <c r="V143"/>
      <c r="W143"/>
      <c r="X143" s="1757"/>
    </row>
    <row r="144" spans="2:51" ht="15" customHeight="1" x14ac:dyDescent="0.25">
      <c r="B144" s="679" t="s">
        <v>860</v>
      </c>
      <c r="C144" s="845" t="s">
        <v>428</v>
      </c>
      <c r="D144" s="845"/>
      <c r="E144" s="21"/>
      <c r="F144" s="21"/>
      <c r="G144" s="21"/>
      <c r="H144" s="758"/>
      <c r="I144" s="4"/>
      <c r="J144" s="863"/>
      <c r="K144" s="449"/>
      <c r="L144" s="1755"/>
      <c r="M144" s="428"/>
      <c r="N144" s="4"/>
      <c r="O144" s="141"/>
      <c r="P144"/>
      <c r="Q144"/>
      <c r="R144"/>
      <c r="S144"/>
      <c r="T144"/>
      <c r="U144"/>
      <c r="V144"/>
      <c r="W144"/>
      <c r="X144" s="1757"/>
    </row>
    <row r="145" spans="1:61" ht="15" customHeight="1" x14ac:dyDescent="0.25">
      <c r="B145" s="679" t="s">
        <v>860</v>
      </c>
      <c r="C145" s="845" t="s">
        <v>430</v>
      </c>
      <c r="D145" s="845"/>
      <c r="E145" s="21"/>
      <c r="F145" s="21"/>
      <c r="G145" s="21"/>
      <c r="H145" s="758"/>
      <c r="I145" s="129"/>
      <c r="J145" s="862" t="s">
        <v>430</v>
      </c>
      <c r="K145" s="448"/>
      <c r="L145" s="1787" t="s">
        <v>4253</v>
      </c>
      <c r="M145" s="452"/>
      <c r="N145" s="129"/>
      <c r="O145" s="502"/>
      <c r="P145" s="94"/>
      <c r="Q145" s="94"/>
      <c r="R145" s="94"/>
      <c r="S145" s="94"/>
      <c r="T145" s="94"/>
      <c r="U145" s="94"/>
      <c r="V145" s="94"/>
      <c r="W145" s="94"/>
      <c r="X145" s="1770"/>
      <c r="AR145" s="254" t="str">
        <f>SUBSTITUTE(SUBSTITUTE(SUBSTITUTE("dnt"&amp;$B145&amp;$C145&amp;$D145&amp;$E145,".","_"),"(","_"),")","")</f>
        <v>dnt701_4_3_2_1_9</v>
      </c>
      <c r="AS145" s="254" t="str">
        <f>IF(LEN(X145)=0,"",X145)</f>
        <v/>
      </c>
    </row>
    <row r="146" spans="1:61" s="273" customFormat="1" x14ac:dyDescent="0.25">
      <c r="A146" s="18"/>
      <c r="B146" s="679" t="s">
        <v>860</v>
      </c>
      <c r="C146" s="845" t="s">
        <v>430</v>
      </c>
      <c r="D146" s="845"/>
      <c r="E146" s="21"/>
      <c r="F146" s="21"/>
      <c r="G146" s="21"/>
      <c r="H146" s="758"/>
      <c r="I146" s="129"/>
      <c r="J146" s="518"/>
      <c r="K146" s="448"/>
      <c r="L146" s="1787"/>
      <c r="M146" s="452"/>
      <c r="N146" s="129"/>
      <c r="O146" s="502"/>
      <c r="P146" s="94"/>
      <c r="Q146" s="94"/>
      <c r="R146" s="94"/>
      <c r="S146" s="94"/>
      <c r="T146" s="94"/>
      <c r="U146" s="94"/>
      <c r="V146" s="94"/>
      <c r="W146" s="94"/>
      <c r="X146" s="1770"/>
      <c r="Y146" s="780"/>
      <c r="AA146" s="783"/>
      <c r="AX146" s="76"/>
      <c r="AY146" s="76"/>
      <c r="AZ146" s="76"/>
      <c r="BA146" s="76"/>
      <c r="BB146" s="76"/>
      <c r="BC146" s="76"/>
      <c r="BD146" s="76"/>
      <c r="BE146" s="76"/>
      <c r="BF146" s="76"/>
      <c r="BG146" s="76"/>
      <c r="BH146" s="76"/>
      <c r="BI146" s="76"/>
    </row>
    <row r="147" spans="1:61" x14ac:dyDescent="0.25">
      <c r="B147" s="679" t="s">
        <v>869</v>
      </c>
      <c r="C147" s="679"/>
      <c r="D147" s="21"/>
      <c r="E147" s="21"/>
      <c r="F147" s="21"/>
      <c r="G147" s="21"/>
      <c r="H147" s="758"/>
      <c r="I147" s="192" t="s">
        <v>869</v>
      </c>
      <c r="J147" s="461"/>
      <c r="K147" s="461"/>
      <c r="L147" s="1864" t="s">
        <v>4373</v>
      </c>
      <c r="M147" s="454"/>
      <c r="N147" s="193"/>
      <c r="O147" s="505"/>
      <c r="P147" s="195"/>
      <c r="Q147" s="195"/>
      <c r="R147" s="195"/>
      <c r="S147" s="195"/>
      <c r="T147" s="195"/>
      <c r="U147" s="195"/>
      <c r="V147" s="195"/>
      <c r="W147" s="195" t="s">
        <v>5818</v>
      </c>
      <c r="X147" s="1770"/>
      <c r="AR147" s="254" t="str">
        <f>SUBSTITUTE(SUBSTITUTE(SUBSTITUTE("dnt"&amp;$B147&amp;$C147&amp;$D147&amp;$E147,".","_"),"(","_"),")","")</f>
        <v>dnt701_4_3_3</v>
      </c>
      <c r="AS147" s="254" t="str">
        <f>IF(LEN(X147)=0,"",X147)</f>
        <v/>
      </c>
      <c r="AZ147" s="273"/>
      <c r="BA147" s="273"/>
      <c r="BB147" s="273"/>
      <c r="BC147" s="273"/>
      <c r="BD147" s="273"/>
      <c r="BE147" s="273"/>
      <c r="BF147" s="273"/>
      <c r="BG147" s="273"/>
      <c r="BH147" s="273"/>
      <c r="BI147" s="273"/>
    </row>
    <row r="148" spans="1:61" x14ac:dyDescent="0.25">
      <c r="B148" s="679" t="s">
        <v>869</v>
      </c>
      <c r="C148" s="679"/>
      <c r="D148" s="21"/>
      <c r="E148" s="21"/>
      <c r="F148" s="21"/>
      <c r="G148" s="21"/>
      <c r="H148" s="758"/>
      <c r="I148" s="130"/>
      <c r="J148" s="448"/>
      <c r="K148" s="448"/>
      <c r="L148" s="1782"/>
      <c r="M148" s="452"/>
      <c r="N148" s="129"/>
      <c r="O148" s="502"/>
      <c r="P148" s="94"/>
      <c r="Q148" s="94"/>
      <c r="R148" s="94"/>
      <c r="S148" s="94"/>
      <c r="T148" s="94"/>
      <c r="U148" s="94"/>
      <c r="V148" s="94"/>
      <c r="W148" s="94"/>
      <c r="X148" s="1770"/>
    </row>
    <row r="149" spans="1:61" x14ac:dyDescent="0.25">
      <c r="B149" s="679" t="s">
        <v>869</v>
      </c>
      <c r="C149" s="679"/>
      <c r="D149" s="21"/>
      <c r="E149" s="21"/>
      <c r="F149" s="21"/>
      <c r="G149" s="21"/>
      <c r="H149" s="758"/>
      <c r="I149" s="215"/>
      <c r="J149" s="449"/>
      <c r="K149" s="449"/>
      <c r="L149" s="1843"/>
      <c r="M149" s="453"/>
      <c r="N149" s="210"/>
      <c r="O149" s="503"/>
      <c r="P149" s="178"/>
      <c r="Q149" s="178"/>
      <c r="R149" s="178"/>
      <c r="S149" s="178"/>
      <c r="T149" s="178"/>
      <c r="U149" s="178"/>
      <c r="V149" s="178"/>
      <c r="W149" s="178"/>
      <c r="X149" s="1770"/>
    </row>
    <row r="150" spans="1:61" ht="15" customHeight="1" x14ac:dyDescent="0.25">
      <c r="B150" s="679" t="s">
        <v>870</v>
      </c>
      <c r="C150" s="679"/>
      <c r="D150" s="21"/>
      <c r="E150" s="21"/>
      <c r="F150" s="21"/>
      <c r="G150" s="21"/>
      <c r="H150" s="758"/>
      <c r="I150" s="192" t="s">
        <v>870</v>
      </c>
      <c r="J150" s="461"/>
      <c r="K150" s="461"/>
      <c r="L150" s="1864" t="s">
        <v>4254</v>
      </c>
      <c r="M150" s="1872" t="str">
        <f ca="1">IF(R150,"Mandatory","N/A")</f>
        <v>Mandatory</v>
      </c>
      <c r="N150" s="193"/>
      <c r="O150" s="505"/>
      <c r="P150" s="94" t="b">
        <v>1</v>
      </c>
      <c r="Q150" s="94" t="b">
        <v>1</v>
      </c>
      <c r="R150" s="195" t="b">
        <f ca="1">S150</f>
        <v>1</v>
      </c>
      <c r="S150" s="195" t="b">
        <f ca="1">NOT(OR(S13=4,S13=5))</f>
        <v>1</v>
      </c>
      <c r="T150" s="195" t="b">
        <f ca="1">AND(NOT(S150),W150=TRUE)</f>
        <v>0</v>
      </c>
      <c r="U150" s="195"/>
      <c r="V150" s="195"/>
      <c r="W150" s="360"/>
      <c r="X150" s="1770"/>
      <c r="AC150" s="273" t="b">
        <f ca="1">OR(AD150:AE150)</f>
        <v>1</v>
      </c>
      <c r="AD150" s="273" t="b">
        <f ca="1">T150</f>
        <v>0</v>
      </c>
      <c r="AE150" s="273" t="b">
        <f ca="1">AND(R150,NOT(W150))</f>
        <v>1</v>
      </c>
      <c r="AL150" s="254" t="str">
        <f>SUBSTITUTE(SUBSTITUTE(SUBSTITUTE("dpa"&amp;$B150&amp;$C150&amp;$D150&amp;$E150,".","_"),"(","_"),")","")</f>
        <v>dpa701_4_3_4</v>
      </c>
      <c r="AM150" s="254" t="str">
        <f ca="1">M150</f>
        <v>Mandatory</v>
      </c>
      <c r="AP150" s="254" t="str">
        <f>SUBSTITUTE(SUBSTITUTE(SUBSTITUTE("dch"&amp;$B150&amp;$C150&amp;$D150&amp;$E150,".","_"),"(","_"),")","")</f>
        <v>dch701_4_3_4</v>
      </c>
      <c r="AQ150" s="254" t="str">
        <f>IF(LEN(W150)=0,"",W150)</f>
        <v/>
      </c>
      <c r="AR150" s="254" t="str">
        <f>SUBSTITUTE(SUBSTITUTE(SUBSTITUTE("dnt"&amp;$B150&amp;$C150&amp;$D150&amp;$E150,".","_"),"(","_"),")","")</f>
        <v>dnt701_4_3_4</v>
      </c>
      <c r="AS150" s="254" t="str">
        <f>IF(LEN(X150)=0,"",X150)</f>
        <v/>
      </c>
      <c r="AX150"/>
      <c r="AY150"/>
    </row>
    <row r="151" spans="1:61" x14ac:dyDescent="0.25">
      <c r="B151" s="679" t="s">
        <v>870</v>
      </c>
      <c r="C151" s="679"/>
      <c r="D151" s="21"/>
      <c r="E151" s="21"/>
      <c r="F151" s="21"/>
      <c r="G151" s="21"/>
      <c r="H151" s="758"/>
      <c r="I151" s="129"/>
      <c r="J151" s="448"/>
      <c r="K151" s="448"/>
      <c r="L151" s="1782"/>
      <c r="M151" s="1837"/>
      <c r="N151" s="129"/>
      <c r="O151" s="502"/>
      <c r="P151" s="94"/>
      <c r="Q151" s="94"/>
      <c r="R151" s="94"/>
      <c r="S151" s="94"/>
      <c r="T151" s="94"/>
      <c r="U151" s="94"/>
      <c r="V151" s="94"/>
      <c r="W151" s="94"/>
      <c r="X151" s="1770"/>
    </row>
    <row r="152" spans="1:61" s="791" customFormat="1" x14ac:dyDescent="0.25">
      <c r="A152" s="18"/>
      <c r="B152" s="679" t="s">
        <v>870</v>
      </c>
      <c r="C152" s="679"/>
      <c r="D152" s="21"/>
      <c r="E152" s="21"/>
      <c r="F152" s="21"/>
      <c r="G152" s="21"/>
      <c r="H152" s="758"/>
      <c r="I152" s="129"/>
      <c r="J152" s="805"/>
      <c r="K152" s="805"/>
      <c r="L152" s="1782"/>
      <c r="M152" s="1837"/>
      <c r="N152" s="129"/>
      <c r="O152" s="800"/>
      <c r="P152" s="94"/>
      <c r="Q152" s="94"/>
      <c r="R152" s="94"/>
      <c r="S152" s="94"/>
      <c r="T152" s="94"/>
      <c r="U152" s="94"/>
      <c r="V152" s="94"/>
      <c r="W152" s="94"/>
      <c r="X152" s="1770"/>
      <c r="AX152" s="76"/>
      <c r="AY152" s="76"/>
      <c r="AZ152" s="76"/>
      <c r="BA152" s="76"/>
      <c r="BB152" s="76"/>
      <c r="BC152" s="76"/>
      <c r="BD152" s="76"/>
      <c r="BE152" s="76"/>
      <c r="BF152" s="76"/>
      <c r="BG152" s="76"/>
      <c r="BH152" s="76"/>
      <c r="BI152" s="76"/>
    </row>
    <row r="153" spans="1:61" s="791" customFormat="1" x14ac:dyDescent="0.25">
      <c r="A153" s="18"/>
      <c r="B153" s="679" t="s">
        <v>870</v>
      </c>
      <c r="C153" s="679"/>
      <c r="D153" s="21"/>
      <c r="E153" s="21"/>
      <c r="F153" s="21"/>
      <c r="G153" s="21"/>
      <c r="H153" s="758"/>
      <c r="I153" s="129"/>
      <c r="J153" s="805"/>
      <c r="K153" s="805"/>
      <c r="L153" s="1782"/>
      <c r="M153" s="1837"/>
      <c r="N153" s="129"/>
      <c r="O153" s="800"/>
      <c r="P153" s="94"/>
      <c r="Q153" s="94"/>
      <c r="R153" s="94"/>
      <c r="S153" s="94"/>
      <c r="T153" s="94"/>
      <c r="U153" s="94"/>
      <c r="V153" s="94"/>
      <c r="W153" s="94"/>
      <c r="X153" s="1770"/>
      <c r="AX153" s="76"/>
      <c r="AY153" s="76"/>
    </row>
    <row r="154" spans="1:61" s="791" customFormat="1" x14ac:dyDescent="0.25">
      <c r="A154" s="18"/>
      <c r="B154" s="679" t="s">
        <v>870</v>
      </c>
      <c r="C154" s="679"/>
      <c r="D154" s="21"/>
      <c r="E154" s="21"/>
      <c r="F154" s="21"/>
      <c r="G154" s="21"/>
      <c r="H154" s="758"/>
      <c r="I154" s="129"/>
      <c r="J154" s="805"/>
      <c r="K154" s="805"/>
      <c r="L154" s="1782"/>
      <c r="M154" s="1837"/>
      <c r="N154" s="129"/>
      <c r="O154" s="800"/>
      <c r="P154" s="94"/>
      <c r="Q154" s="94"/>
      <c r="R154" s="94"/>
      <c r="S154" s="94"/>
      <c r="T154" s="94"/>
      <c r="U154" s="94"/>
      <c r="V154" s="94"/>
      <c r="W154" s="94"/>
      <c r="X154" s="1770"/>
      <c r="AX154" s="76"/>
      <c r="AY154" s="76"/>
    </row>
    <row r="155" spans="1:61" s="791" customFormat="1" x14ac:dyDescent="0.25">
      <c r="A155" s="18"/>
      <c r="B155" s="679" t="s">
        <v>870</v>
      </c>
      <c r="C155" s="679"/>
      <c r="D155" s="21"/>
      <c r="E155" s="21"/>
      <c r="F155" s="21"/>
      <c r="G155" s="21"/>
      <c r="H155" s="758"/>
      <c r="I155" s="129"/>
      <c r="J155" s="805"/>
      <c r="K155" s="805"/>
      <c r="L155" s="1782"/>
      <c r="M155" s="1837"/>
      <c r="N155" s="129"/>
      <c r="O155" s="800"/>
      <c r="P155" s="94"/>
      <c r="Q155" s="94"/>
      <c r="R155" s="94"/>
      <c r="S155" s="94"/>
      <c r="T155" s="94"/>
      <c r="U155" s="94"/>
      <c r="V155" s="94"/>
      <c r="W155" s="94"/>
      <c r="X155" s="1770"/>
      <c r="AX155" s="76"/>
      <c r="AY155" s="76"/>
    </row>
    <row r="156" spans="1:61" x14ac:dyDescent="0.25">
      <c r="B156" s="679" t="s">
        <v>870</v>
      </c>
      <c r="C156" s="679"/>
      <c r="D156" s="21"/>
      <c r="E156" s="21"/>
      <c r="F156" s="21"/>
      <c r="G156" s="21"/>
      <c r="H156" s="758"/>
      <c r="I156" s="129"/>
      <c r="J156" s="448"/>
      <c r="K156" s="448"/>
      <c r="L156" s="1782"/>
      <c r="M156" s="1837"/>
      <c r="N156" s="129"/>
      <c r="O156" s="502"/>
      <c r="P156" s="94"/>
      <c r="Q156" s="94"/>
      <c r="R156" s="94"/>
      <c r="S156" s="94"/>
      <c r="T156" s="94"/>
      <c r="U156" s="94"/>
      <c r="V156" s="94"/>
      <c r="W156" s="94"/>
      <c r="X156" s="1770"/>
      <c r="AZ156" s="791"/>
      <c r="BA156" s="791"/>
      <c r="BB156" s="791"/>
      <c r="BC156" s="791"/>
      <c r="BD156" s="791"/>
      <c r="BE156" s="791"/>
      <c r="BF156" s="791"/>
      <c r="BG156" s="791"/>
      <c r="BH156" s="791"/>
      <c r="BI156" s="791"/>
    </row>
    <row r="157" spans="1:61" x14ac:dyDescent="0.25">
      <c r="B157" s="679" t="s">
        <v>870</v>
      </c>
      <c r="C157" s="679"/>
      <c r="D157" s="21"/>
      <c r="E157" s="21"/>
      <c r="F157" s="21"/>
      <c r="G157" s="21"/>
      <c r="H157" s="758"/>
      <c r="I157" s="129"/>
      <c r="J157" s="448"/>
      <c r="K157" s="448"/>
      <c r="L157" s="1782" t="s">
        <v>4255</v>
      </c>
      <c r="M157" s="1837"/>
      <c r="N157" s="129"/>
      <c r="O157" s="502"/>
      <c r="P157" s="94"/>
      <c r="Q157" s="94"/>
      <c r="R157" s="94"/>
      <c r="S157" s="94"/>
      <c r="T157" s="94"/>
      <c r="U157" s="94"/>
      <c r="V157" s="94"/>
      <c r="W157" s="94"/>
      <c r="X157" s="1770"/>
    </row>
    <row r="158" spans="1:61" x14ac:dyDescent="0.25">
      <c r="B158" s="679" t="s">
        <v>870</v>
      </c>
      <c r="C158" s="679"/>
      <c r="D158" s="21"/>
      <c r="E158" s="21"/>
      <c r="F158" s="21"/>
      <c r="G158" s="21"/>
      <c r="H158" s="758"/>
      <c r="I158" s="129"/>
      <c r="J158" s="448"/>
      <c r="K158" s="448"/>
      <c r="L158" s="1782"/>
      <c r="M158" s="1837"/>
      <c r="N158" s="129"/>
      <c r="O158" s="502"/>
      <c r="P158" s="94"/>
      <c r="Q158" s="94"/>
      <c r="R158" s="94"/>
      <c r="S158" s="94"/>
      <c r="T158" s="94"/>
      <c r="U158" s="94"/>
      <c r="V158" s="94"/>
      <c r="W158" s="94"/>
      <c r="X158" s="1770"/>
    </row>
    <row r="159" spans="1:61" s="273" customFormat="1" x14ac:dyDescent="0.25">
      <c r="A159" s="18"/>
      <c r="B159" s="679" t="s">
        <v>870</v>
      </c>
      <c r="C159" s="679"/>
      <c r="D159" s="21"/>
      <c r="E159" s="21"/>
      <c r="F159" s="21"/>
      <c r="G159" s="21"/>
      <c r="H159" s="758"/>
      <c r="I159" s="210"/>
      <c r="J159" s="449"/>
      <c r="K159" s="449"/>
      <c r="L159" s="1843"/>
      <c r="M159" s="1844"/>
      <c r="N159" s="210"/>
      <c r="O159" s="503"/>
      <c r="P159" s="178"/>
      <c r="Q159" s="178"/>
      <c r="R159" s="178"/>
      <c r="S159" s="178"/>
      <c r="T159" s="178"/>
      <c r="U159" s="178"/>
      <c r="V159" s="178"/>
      <c r="W159" s="178"/>
      <c r="X159" s="1770"/>
      <c r="Y159" s="780"/>
      <c r="AA159" s="783"/>
      <c r="AX159" s="76"/>
      <c r="AY159" s="76"/>
      <c r="AZ159" s="76"/>
      <c r="BA159" s="76"/>
      <c r="BB159" s="76"/>
      <c r="BC159" s="76"/>
      <c r="BD159" s="76"/>
      <c r="BE159" s="76"/>
      <c r="BF159" s="76"/>
      <c r="BG159" s="76"/>
      <c r="BH159" s="76"/>
      <c r="BI159" s="76"/>
    </row>
    <row r="160" spans="1:61" ht="15" customHeight="1" x14ac:dyDescent="0.25">
      <c r="B160" s="679" t="s">
        <v>871</v>
      </c>
      <c r="C160" s="679"/>
      <c r="D160" s="21"/>
      <c r="E160" s="21"/>
      <c r="F160" s="21"/>
      <c r="G160" s="21"/>
      <c r="H160" s="758"/>
      <c r="I160" s="192" t="s">
        <v>871</v>
      </c>
      <c r="J160" s="461"/>
      <c r="K160" s="461"/>
      <c r="L160" s="1835" t="s">
        <v>4256</v>
      </c>
      <c r="M160" s="1872" t="str">
        <f ca="1">IF(R160,"Mandatory","N/A")</f>
        <v>Mandatory</v>
      </c>
      <c r="N160" s="193"/>
      <c r="O160" s="505"/>
      <c r="P160" s="94" t="b">
        <v>1</v>
      </c>
      <c r="Q160" s="94" t="b">
        <v>1</v>
      </c>
      <c r="R160" s="195" t="b">
        <f ca="1">S160</f>
        <v>1</v>
      </c>
      <c r="S160" s="195" t="b">
        <f ca="1">NOT(OR(S13=4,S13=5))</f>
        <v>1</v>
      </c>
      <c r="T160" s="195" t="b">
        <f ca="1">AND(NOT(S160),LEN(W160)&gt;0)</f>
        <v>0</v>
      </c>
      <c r="U160" s="195" t="str">
        <f>SUBSTITUTE(SUBSTITUTE(SUBSTITUTE("dd"&amp;B160&amp;C160&amp;D160&amp;E160&amp;F160,".","_"),"(","_"),")","")</f>
        <v>dd701_4_3_5</v>
      </c>
      <c r="V160" s="195"/>
      <c r="W160" s="109"/>
      <c r="X160" s="1770"/>
      <c r="AC160" s="330" t="b">
        <f ca="1">OR(AD160:AE160)</f>
        <v>1</v>
      </c>
      <c r="AD160" s="330" t="b">
        <f ca="1">T160</f>
        <v>0</v>
      </c>
      <c r="AE160" s="330" t="b">
        <f ca="1">AND(R160,OR(W160="Not Met",W160=""))</f>
        <v>1</v>
      </c>
      <c r="AL160" s="254" t="str">
        <f>SUBSTITUTE(SUBSTITUTE(SUBSTITUTE("dpa"&amp;$B160&amp;$C160&amp;$D160&amp;$E160,".","_"),"(","_"),")","")</f>
        <v>dpa701_4_3_5</v>
      </c>
      <c r="AM160" s="254" t="str">
        <f ca="1">M160</f>
        <v>Mandatory</v>
      </c>
      <c r="AP160" s="254" t="str">
        <f>SUBSTITUTE(SUBSTITUTE(SUBSTITUTE("dch"&amp;$B160&amp;$C160&amp;$D160&amp;$E160,".","_"),"(","_"),")","")</f>
        <v>dch701_4_3_5</v>
      </c>
      <c r="AQ160" s="254" t="str">
        <f>IF(LEN(W160)=0,"",W160)</f>
        <v/>
      </c>
      <c r="AR160" s="254" t="str">
        <f>SUBSTITUTE(SUBSTITUTE(SUBSTITUTE("dnt"&amp;$B160&amp;$C160&amp;$D160&amp;$E160,".","_"),"(","_"),")","")</f>
        <v>dnt701_4_3_5</v>
      </c>
      <c r="AS160" s="254" t="str">
        <f>IF(LEN(X160)=0,"",X160)</f>
        <v/>
      </c>
      <c r="AZ160" s="273"/>
      <c r="BA160" s="273"/>
      <c r="BB160" s="273"/>
      <c r="BC160" s="273"/>
      <c r="BD160" s="273"/>
      <c r="BE160" s="273"/>
      <c r="BF160" s="273"/>
      <c r="BG160" s="273"/>
      <c r="BH160" s="273"/>
      <c r="BI160" s="273"/>
    </row>
    <row r="161" spans="1:61" x14ac:dyDescent="0.25">
      <c r="B161" s="679" t="s">
        <v>871</v>
      </c>
      <c r="C161" s="679"/>
      <c r="D161" s="21"/>
      <c r="E161" s="21"/>
      <c r="F161" s="21"/>
      <c r="G161" s="21"/>
      <c r="H161" s="758"/>
      <c r="I161" s="129"/>
      <c r="J161" s="448"/>
      <c r="K161" s="448"/>
      <c r="L161" s="1877"/>
      <c r="M161" s="1837"/>
      <c r="N161" s="129"/>
      <c r="O161" s="502"/>
      <c r="P161" s="94"/>
      <c r="Q161" s="94"/>
      <c r="R161" s="94"/>
      <c r="S161" s="94"/>
      <c r="T161" s="94"/>
      <c r="U161" s="94"/>
      <c r="V161" s="94"/>
      <c r="W161" s="94"/>
      <c r="X161" s="1770"/>
    </row>
    <row r="162" spans="1:61" s="1060" customFormat="1" x14ac:dyDescent="0.25">
      <c r="A162" s="18"/>
      <c r="B162" s="679" t="s">
        <v>871</v>
      </c>
      <c r="C162" s="679"/>
      <c r="D162" s="21"/>
      <c r="E162" s="21"/>
      <c r="F162" s="21"/>
      <c r="G162" s="21"/>
      <c r="H162" s="758"/>
      <c r="I162" s="129"/>
      <c r="J162" s="1061"/>
      <c r="K162" s="1061"/>
      <c r="L162" s="1877"/>
      <c r="M162" s="1837"/>
      <c r="N162" s="129"/>
      <c r="O162" s="1062"/>
      <c r="P162" s="94"/>
      <c r="Q162" s="94"/>
      <c r="R162" s="94"/>
      <c r="S162" s="94"/>
      <c r="T162" s="94"/>
      <c r="U162" s="94"/>
      <c r="V162" s="94"/>
      <c r="W162" s="94"/>
      <c r="X162" s="1770"/>
      <c r="AX162" s="137"/>
      <c r="AY162" s="137"/>
      <c r="AZ162" s="76"/>
      <c r="BA162" s="76"/>
      <c r="BB162" s="76"/>
      <c r="BC162" s="76"/>
      <c r="BD162" s="76"/>
      <c r="BE162" s="76"/>
      <c r="BF162" s="76"/>
      <c r="BG162" s="76"/>
      <c r="BH162" s="76"/>
      <c r="BI162" s="76"/>
    </row>
    <row r="163" spans="1:61" x14ac:dyDescent="0.25">
      <c r="B163" s="679" t="s">
        <v>871</v>
      </c>
      <c r="C163" s="679"/>
      <c r="D163" s="21"/>
      <c r="E163" s="21"/>
      <c r="F163" s="21"/>
      <c r="G163" s="21"/>
      <c r="H163" s="758"/>
      <c r="I163" s="129"/>
      <c r="J163" s="448"/>
      <c r="K163" s="448"/>
      <c r="L163" s="1877"/>
      <c r="M163" s="1837"/>
      <c r="N163" s="129"/>
      <c r="O163" s="502"/>
      <c r="P163" s="94"/>
      <c r="Q163" s="94"/>
      <c r="R163" s="94"/>
      <c r="S163" s="94"/>
      <c r="T163" s="94"/>
      <c r="U163" s="94"/>
      <c r="V163" s="94"/>
      <c r="W163" s="94"/>
      <c r="X163" s="1770"/>
      <c r="AX163" s="1060"/>
      <c r="AY163" s="1060"/>
      <c r="AZ163" s="1060"/>
      <c r="BA163" s="1060"/>
      <c r="BB163" s="1060"/>
      <c r="BC163" s="1060"/>
      <c r="BD163" s="1060"/>
      <c r="BE163" s="1060"/>
      <c r="BF163" s="1060"/>
      <c r="BG163" s="1060"/>
      <c r="BH163" s="1060"/>
      <c r="BI163" s="1060"/>
    </row>
    <row r="164" spans="1:61" x14ac:dyDescent="0.25">
      <c r="B164" s="679" t="s">
        <v>871</v>
      </c>
      <c r="C164" s="679"/>
      <c r="D164" s="21"/>
      <c r="E164" s="21"/>
      <c r="F164" s="21"/>
      <c r="G164" s="21"/>
      <c r="H164" s="758"/>
      <c r="I164" s="129"/>
      <c r="J164" s="448"/>
      <c r="K164" s="448"/>
      <c r="L164" s="1877"/>
      <c r="M164" s="1837"/>
      <c r="N164" s="129"/>
      <c r="O164" s="502"/>
      <c r="P164" s="94"/>
      <c r="Q164" s="94"/>
      <c r="R164" s="94"/>
      <c r="S164" s="94"/>
      <c r="T164" s="94"/>
      <c r="U164" s="94"/>
      <c r="V164" s="94"/>
      <c r="W164" s="94"/>
      <c r="X164" s="1770"/>
    </row>
    <row r="165" spans="1:61" s="791" customFormat="1" x14ac:dyDescent="0.25">
      <c r="A165" s="18"/>
      <c r="B165" s="679" t="s">
        <v>871</v>
      </c>
      <c r="C165" s="679"/>
      <c r="D165" s="21"/>
      <c r="E165" s="21"/>
      <c r="F165" s="21"/>
      <c r="G165" s="21"/>
      <c r="H165" s="758"/>
      <c r="I165" s="129"/>
      <c r="J165" s="805"/>
      <c r="K165" s="805"/>
      <c r="L165" s="1877"/>
      <c r="M165" s="1837"/>
      <c r="N165" s="129"/>
      <c r="O165" s="800"/>
      <c r="P165" s="94"/>
      <c r="Q165" s="94"/>
      <c r="R165" s="94"/>
      <c r="S165" s="94"/>
      <c r="T165" s="94"/>
      <c r="U165" s="94"/>
      <c r="V165" s="94"/>
      <c r="W165" s="94"/>
      <c r="X165" s="1770"/>
      <c r="AX165" s="76"/>
      <c r="AY165" s="76"/>
      <c r="AZ165" s="76"/>
      <c r="BA165" s="76"/>
      <c r="BB165" s="76"/>
      <c r="BC165" s="76"/>
      <c r="BD165" s="76"/>
      <c r="BE165" s="76"/>
      <c r="BF165" s="76"/>
      <c r="BG165" s="76"/>
      <c r="BH165" s="76"/>
      <c r="BI165" s="76"/>
    </row>
    <row r="166" spans="1:61" x14ac:dyDescent="0.25">
      <c r="B166" s="679" t="s">
        <v>871</v>
      </c>
      <c r="C166" s="679"/>
      <c r="D166" s="21"/>
      <c r="E166" s="21"/>
      <c r="F166" s="21"/>
      <c r="G166" s="21"/>
      <c r="H166" s="758"/>
      <c r="I166" s="129"/>
      <c r="J166" s="448"/>
      <c r="K166" s="448"/>
      <c r="L166" s="1877"/>
      <c r="M166" s="1837"/>
      <c r="N166" s="129"/>
      <c r="O166" s="502"/>
      <c r="P166" s="94"/>
      <c r="Q166" s="94"/>
      <c r="R166" s="94"/>
      <c r="S166" s="94"/>
      <c r="T166" s="94"/>
      <c r="U166" s="94"/>
      <c r="V166" s="94"/>
      <c r="W166" s="94"/>
      <c r="X166" s="1770"/>
      <c r="AZ166" s="791"/>
      <c r="BA166" s="791"/>
      <c r="BB166" s="791"/>
      <c r="BC166" s="791"/>
      <c r="BD166" s="791"/>
      <c r="BE166" s="791"/>
      <c r="BF166" s="791"/>
      <c r="BG166" s="791"/>
      <c r="BH166" s="791"/>
      <c r="BI166" s="791"/>
    </row>
    <row r="167" spans="1:61" x14ac:dyDescent="0.25">
      <c r="B167" s="679" t="s">
        <v>871</v>
      </c>
      <c r="C167" s="679"/>
      <c r="D167" s="21"/>
      <c r="E167" s="21"/>
      <c r="F167" s="21"/>
      <c r="G167" s="21"/>
      <c r="H167" s="758"/>
      <c r="I167" s="210"/>
      <c r="J167" s="449"/>
      <c r="K167" s="449"/>
      <c r="L167" s="1834"/>
      <c r="M167" s="1844"/>
      <c r="N167" s="210"/>
      <c r="O167" s="503"/>
      <c r="P167" s="178"/>
      <c r="Q167" s="178"/>
      <c r="R167" s="178"/>
      <c r="S167" s="178"/>
      <c r="T167" s="178"/>
      <c r="U167" s="178"/>
      <c r="V167" s="178"/>
      <c r="W167" s="178"/>
      <c r="X167" s="1770"/>
    </row>
    <row r="168" spans="1:61" ht="15" customHeight="1" x14ac:dyDescent="0.25">
      <c r="B168" s="679" t="s">
        <v>872</v>
      </c>
      <c r="C168" s="90"/>
      <c r="D168" s="21"/>
      <c r="E168" s="21"/>
      <c r="F168" s="21"/>
      <c r="G168" s="21"/>
      <c r="H168" s="758"/>
      <c r="I168" s="64" t="s">
        <v>872</v>
      </c>
      <c r="J168" s="161"/>
      <c r="K168" s="161"/>
      <c r="L168" s="1833" t="s">
        <v>4257</v>
      </c>
      <c r="M168" s="1837" t="str">
        <f ca="1">IF(S170,"Mandatory","N/A")</f>
        <v>Mandatory</v>
      </c>
      <c r="N168" s="4"/>
      <c r="O168" s="141"/>
      <c r="P168"/>
      <c r="Q168"/>
      <c r="U168"/>
      <c r="V168"/>
      <c r="W168"/>
      <c r="X168"/>
      <c r="AL168" s="254" t="str">
        <f>SUBSTITUTE(SUBSTITUTE(SUBSTITUTE("dpa"&amp;$B168&amp;$C168&amp;$D168&amp;$E168,".","_"),"(","_"),")","")</f>
        <v>dpa701_4_4</v>
      </c>
      <c r="AM168" s="254" t="str">
        <f ca="1">M168</f>
        <v>Mandatory</v>
      </c>
    </row>
    <row r="169" spans="1:61" x14ac:dyDescent="0.25">
      <c r="B169" s="679" t="s">
        <v>872</v>
      </c>
      <c r="C169" s="90"/>
      <c r="D169" s="21"/>
      <c r="E169" s="21"/>
      <c r="F169" s="21"/>
      <c r="G169" s="21"/>
      <c r="H169" s="758"/>
      <c r="I169" s="4"/>
      <c r="J169" s="161"/>
      <c r="K169" s="161"/>
      <c r="L169" s="1833"/>
      <c r="M169" s="1837"/>
      <c r="N169" s="4"/>
      <c r="O169" s="141"/>
      <c r="P169"/>
      <c r="Q169"/>
      <c r="R169"/>
      <c r="S169"/>
      <c r="T169"/>
      <c r="U169"/>
      <c r="V169"/>
      <c r="W169"/>
      <c r="X169"/>
    </row>
    <row r="170" spans="1:61" x14ac:dyDescent="0.25">
      <c r="B170" s="679" t="s">
        <v>872</v>
      </c>
      <c r="C170" s="21" t="s">
        <v>256</v>
      </c>
      <c r="D170" s="27"/>
      <c r="E170" s="21"/>
      <c r="F170" s="21"/>
      <c r="G170" s="21"/>
      <c r="H170" s="758"/>
      <c r="I170" s="4"/>
      <c r="J170" s="518" t="s">
        <v>256</v>
      </c>
      <c r="K170" s="448"/>
      <c r="L170" s="1754" t="s">
        <v>873</v>
      </c>
      <c r="M170" s="428"/>
      <c r="N170" s="4"/>
      <c r="O170" s="141"/>
      <c r="P170" s="94" t="b">
        <v>1</v>
      </c>
      <c r="Q170" s="94" t="b">
        <v>1</v>
      </c>
      <c r="R170" s="137" t="b">
        <f ca="1">AND(S170,NOT(W172))</f>
        <v>1</v>
      </c>
      <c r="S170" s="137" t="b">
        <f ca="1">NOT(OR(S13=4,S13=5))</f>
        <v>1</v>
      </c>
      <c r="T170" s="94" t="b">
        <f ca="1">AND(NOT(S170),W170=TRUE)</f>
        <v>0</v>
      </c>
      <c r="U170"/>
      <c r="V170"/>
      <c r="W170" s="25"/>
      <c r="X170" s="1757"/>
      <c r="AC170" s="273" t="b">
        <f ca="1">OR(AD170:AE170)</f>
        <v>1</v>
      </c>
      <c r="AD170" s="273" t="b">
        <f ca="1">T170</f>
        <v>0</v>
      </c>
      <c r="AE170" s="273" t="b">
        <f ca="1">AND(R170,NOT(W170))</f>
        <v>1</v>
      </c>
      <c r="AP170" s="254" t="str">
        <f>SUBSTITUTE(SUBSTITUTE(SUBSTITUTE("dch"&amp;$B170&amp;$C170&amp;$D170&amp;$E170,".","_"),"(","_"),")","")</f>
        <v>dch701_4_4_1</v>
      </c>
      <c r="AQ170" s="254" t="str">
        <f>IF(LEN(W170)=0,"",W170)</f>
        <v/>
      </c>
      <c r="AR170" s="254" t="str">
        <f>SUBSTITUTE(SUBSTITUTE(SUBSTITUTE("dnt"&amp;$B170&amp;$C170&amp;$D170&amp;$E170,".","_"),"(","_"),")","")</f>
        <v>dnt701_4_4_1</v>
      </c>
      <c r="AS170" s="254" t="str">
        <f>IF(LEN(X170)=0,"",X170)</f>
        <v/>
      </c>
    </row>
    <row r="171" spans="1:61" x14ac:dyDescent="0.25">
      <c r="B171" s="679" t="s">
        <v>872</v>
      </c>
      <c r="C171" s="21" t="s">
        <v>256</v>
      </c>
      <c r="D171" s="27"/>
      <c r="E171" s="21"/>
      <c r="F171" s="21"/>
      <c r="G171" s="21"/>
      <c r="H171" s="758"/>
      <c r="I171" s="4"/>
      <c r="J171" s="530"/>
      <c r="K171" s="449"/>
      <c r="L171" s="1755"/>
      <c r="M171" s="428"/>
      <c r="N171" s="4"/>
      <c r="O171" s="141"/>
      <c r="P171"/>
      <c r="Q171"/>
      <c r="R171"/>
      <c r="S171"/>
      <c r="T171"/>
      <c r="U171"/>
      <c r="V171"/>
      <c r="W171"/>
      <c r="X171" s="1757"/>
    </row>
    <row r="172" spans="1:61" x14ac:dyDescent="0.25">
      <c r="B172" s="679" t="s">
        <v>872</v>
      </c>
      <c r="C172" s="21" t="s">
        <v>258</v>
      </c>
      <c r="D172" s="27"/>
      <c r="E172" s="21"/>
      <c r="F172" s="21"/>
      <c r="G172" s="21"/>
      <c r="H172" s="758"/>
      <c r="I172" s="210"/>
      <c r="J172" s="530" t="s">
        <v>258</v>
      </c>
      <c r="K172" s="449"/>
      <c r="L172" s="449" t="s">
        <v>874</v>
      </c>
      <c r="M172" s="453"/>
      <c r="N172" s="210"/>
      <c r="O172" s="503"/>
      <c r="P172" s="94" t="b">
        <v>1</v>
      </c>
      <c r="Q172" s="94" t="b">
        <v>1</v>
      </c>
      <c r="R172" s="178" t="b">
        <f ca="1">AND(S172,NOT(W170))</f>
        <v>1</v>
      </c>
      <c r="S172" s="178" t="b">
        <f ca="1">NOT(OR(S13=4,S13=5))</f>
        <v>1</v>
      </c>
      <c r="T172" s="178" t="b">
        <f ca="1">AND(NOT(S172),W172=TRUE)</f>
        <v>0</v>
      </c>
      <c r="U172" s="178"/>
      <c r="V172" s="178"/>
      <c r="W172" s="360"/>
      <c r="X172" s="443"/>
      <c r="AC172" s="273" t="b">
        <f ca="1">OR(AD172:AE172)</f>
        <v>1</v>
      </c>
      <c r="AD172" s="273" t="b">
        <f ca="1">T172</f>
        <v>0</v>
      </c>
      <c r="AE172" s="273" t="b">
        <f ca="1">AND(R172,NOT(W172))</f>
        <v>1</v>
      </c>
      <c r="AP172" s="254" t="str">
        <f>SUBSTITUTE(SUBSTITUTE(SUBSTITUTE("dch"&amp;$B172&amp;$C172&amp;$D172&amp;$E172,".","_"),"(","_"),")","")</f>
        <v>dch701_4_4_2</v>
      </c>
      <c r="AQ172" s="254" t="str">
        <f>IF(LEN(W172)=0,"",W172)</f>
        <v/>
      </c>
      <c r="AR172" s="254" t="str">
        <f>SUBSTITUTE(SUBSTITUTE(SUBSTITUTE("dnt"&amp;$B172&amp;$C172&amp;$D172&amp;$E172,".","_"),"(","_"),")","")</f>
        <v>dnt701_4_4_2</v>
      </c>
      <c r="AS172" s="254" t="str">
        <f>IF(LEN(X172)=0,"",X172)</f>
        <v/>
      </c>
    </row>
    <row r="173" spans="1:61" x14ac:dyDescent="0.25">
      <c r="B173" s="679" t="s">
        <v>875</v>
      </c>
      <c r="C173" s="90"/>
      <c r="D173" s="21"/>
      <c r="E173" s="21"/>
      <c r="F173" s="21"/>
      <c r="G173" s="21"/>
      <c r="H173" s="758"/>
      <c r="I173" s="64" t="s">
        <v>875</v>
      </c>
      <c r="J173" s="161"/>
      <c r="K173" s="161"/>
      <c r="L173" s="1833" t="s">
        <v>4258</v>
      </c>
      <c r="M173" s="1872" t="str">
        <f ca="1">IF(R173,"Mandatory","N/A")</f>
        <v>N/A</v>
      </c>
      <c r="N173" s="4"/>
      <c r="O173" s="141"/>
      <c r="P173" s="94" t="b">
        <v>1</v>
      </c>
      <c r="Q173" s="94" t="b">
        <v>0</v>
      </c>
      <c r="R173" s="137" t="b">
        <f ca="1">S173</f>
        <v>0</v>
      </c>
      <c r="S173" s="137" t="b">
        <f ca="1">AND(NOT(OR(S13=4,S13=5)),OR(AY35=INDEX(INDIRECT('Overview (Design)'!$E$34),2),AY36=INDEX(INDIRECT('Overview (Design)'!$E$34),2),AY37=INDEX(INDIRECT('Overview (Design)'!$E$34),2)))</f>
        <v>0</v>
      </c>
      <c r="T173" s="94" t="b">
        <f ca="1">AND(NOT(S173),W173=TRUE)</f>
        <v>0</v>
      </c>
      <c r="U173"/>
      <c r="V173"/>
      <c r="W173" s="117"/>
      <c r="X173" s="1757"/>
      <c r="AC173" s="970" t="b">
        <f ca="1">OR(AD173:AE173)</f>
        <v>0</v>
      </c>
      <c r="AD173" s="970" t="b">
        <f ca="1">T173</f>
        <v>0</v>
      </c>
      <c r="AE173" s="970" t="b">
        <f ca="1">AND(R173,NOT(W173))</f>
        <v>0</v>
      </c>
      <c r="AL173" s="254" t="str">
        <f>SUBSTITUTE(SUBSTITUTE(SUBSTITUTE("dpa"&amp;$B173&amp;$C173&amp;$D173&amp;$E173,".","_"),"(","_"),")","")</f>
        <v>dpa701_4_5</v>
      </c>
      <c r="AM173" s="254" t="str">
        <f ca="1">M173</f>
        <v>N/A</v>
      </c>
      <c r="AP173" s="254" t="str">
        <f>SUBSTITUTE(SUBSTITUTE(SUBSTITUTE("dch"&amp;$B173&amp;$C173&amp;$D173&amp;$E173,".","_"),"(","_"),")","")</f>
        <v>dch701_4_5</v>
      </c>
      <c r="AQ173" s="254" t="str">
        <f>IF(LEN(W173)=0,"",W173)</f>
        <v/>
      </c>
      <c r="AR173" s="254" t="str">
        <f>SUBSTITUTE(SUBSTITUTE(SUBSTITUTE("dnt"&amp;$B173&amp;$C173&amp;$D173&amp;$E173,".","_"),"(","_"),")","")</f>
        <v>dnt701_4_5</v>
      </c>
      <c r="AS173" s="254" t="str">
        <f>IF(LEN(X173)=0,"",X173)</f>
        <v/>
      </c>
    </row>
    <row r="174" spans="1:61" customFormat="1" x14ac:dyDescent="0.25">
      <c r="B174" s="679" t="s">
        <v>875</v>
      </c>
      <c r="L174" s="1833"/>
      <c r="M174" s="1837"/>
      <c r="X174" s="1757"/>
      <c r="AX174" s="76"/>
      <c r="AY174" s="76"/>
      <c r="AZ174" s="76"/>
      <c r="BA174" s="76"/>
      <c r="BB174" s="76"/>
      <c r="BC174" s="76"/>
      <c r="BD174" s="76"/>
      <c r="BE174" s="76"/>
      <c r="BF174" s="76"/>
      <c r="BG174" s="76"/>
      <c r="BH174" s="76"/>
      <c r="BI174" s="76"/>
    </row>
    <row r="175" spans="1:61" ht="18.75" customHeight="1" x14ac:dyDescent="0.3">
      <c r="B175" s="679">
        <v>702</v>
      </c>
      <c r="C175" s="90"/>
      <c r="D175" s="21"/>
      <c r="E175" s="21"/>
      <c r="F175" s="21"/>
      <c r="G175" s="21"/>
      <c r="H175" s="758"/>
      <c r="I175" s="14" t="s">
        <v>876</v>
      </c>
      <c r="J175" s="84"/>
      <c r="K175" s="84"/>
      <c r="L175" s="84"/>
      <c r="M175" s="390"/>
      <c r="N175" s="508"/>
      <c r="O175" s="498"/>
      <c r="P175" s="23"/>
      <c r="Q175" s="23"/>
      <c r="R175" s="23"/>
      <c r="S175" s="23"/>
      <c r="T175" s="23"/>
      <c r="U175" s="23"/>
      <c r="V175" s="23"/>
      <c r="W175" s="23"/>
      <c r="X175" s="23"/>
      <c r="AZ175"/>
      <c r="BA175"/>
      <c r="BB175"/>
      <c r="BC175"/>
      <c r="BD175"/>
      <c r="BE175"/>
      <c r="BF175"/>
      <c r="BG175"/>
      <c r="BH175"/>
      <c r="BI175"/>
    </row>
    <row r="176" spans="1:61" ht="15" customHeight="1" x14ac:dyDescent="0.25">
      <c r="B176" s="679">
        <v>702.1</v>
      </c>
      <c r="C176" s="90"/>
      <c r="D176" s="21"/>
      <c r="E176" s="21"/>
      <c r="F176" s="21"/>
      <c r="G176" s="21"/>
      <c r="H176" s="758"/>
      <c r="I176" s="130">
        <v>702.1</v>
      </c>
      <c r="J176" s="448"/>
      <c r="K176" s="448"/>
      <c r="L176" s="1782" t="s">
        <v>4857</v>
      </c>
      <c r="M176" s="455"/>
      <c r="N176" s="129"/>
      <c r="O176" s="502"/>
      <c r="P176" s="94"/>
      <c r="Q176" s="94"/>
      <c r="R176" s="94"/>
      <c r="S176" s="94"/>
      <c r="T176" s="94"/>
      <c r="U176" s="94"/>
      <c r="V176" s="94"/>
      <c r="W176" s="94"/>
      <c r="X176" s="94"/>
      <c r="AC176" s="273"/>
      <c r="AD176" s="273"/>
      <c r="AE176" s="273"/>
    </row>
    <row r="177" spans="1:61" ht="15.75" thickBot="1" x14ac:dyDescent="0.3">
      <c r="B177" s="679">
        <v>702.1</v>
      </c>
      <c r="C177" s="90"/>
      <c r="D177" s="21"/>
      <c r="E177" s="21"/>
      <c r="F177" s="21"/>
      <c r="G177" s="21"/>
      <c r="H177" s="758"/>
      <c r="I177" s="240"/>
      <c r="J177" s="462"/>
      <c r="K177" s="462"/>
      <c r="L177" s="1797"/>
      <c r="M177" s="522"/>
      <c r="N177" s="240"/>
      <c r="O177" s="504"/>
      <c r="P177" s="99"/>
      <c r="Q177" s="99"/>
      <c r="R177" s="99"/>
      <c r="S177" s="99"/>
      <c r="T177" s="99"/>
      <c r="U177" s="99"/>
      <c r="V177" s="99"/>
      <c r="W177" s="99"/>
      <c r="X177" s="99"/>
    </row>
    <row r="178" spans="1:61" ht="15.75" thickTop="1" x14ac:dyDescent="0.25">
      <c r="B178" s="679">
        <v>702.2</v>
      </c>
      <c r="C178" s="90"/>
      <c r="D178" s="21"/>
      <c r="E178" s="21"/>
      <c r="F178" s="21"/>
      <c r="G178" s="21"/>
      <c r="H178" s="758"/>
      <c r="I178" s="180">
        <v>702.2</v>
      </c>
      <c r="J178" s="520"/>
      <c r="K178" s="520"/>
      <c r="L178" s="466" t="s">
        <v>877</v>
      </c>
      <c r="M178" s="451"/>
      <c r="N178" s="181"/>
      <c r="O178" s="506"/>
      <c r="P178" s="105"/>
      <c r="Q178" s="105"/>
      <c r="R178" s="105"/>
      <c r="S178" s="105"/>
      <c r="T178" s="105"/>
      <c r="U178" s="105"/>
      <c r="V178" s="105"/>
      <c r="W178" s="105"/>
      <c r="X178" s="105"/>
    </row>
    <row r="179" spans="1:61" ht="15" customHeight="1" x14ac:dyDescent="0.25">
      <c r="B179" s="679" t="s">
        <v>878</v>
      </c>
      <c r="C179" s="90"/>
      <c r="D179" s="21"/>
      <c r="E179" s="21"/>
      <c r="F179" s="21"/>
      <c r="G179" s="21"/>
      <c r="H179" s="758"/>
      <c r="I179" s="510" t="s">
        <v>878</v>
      </c>
      <c r="J179" s="448"/>
      <c r="K179" s="448"/>
      <c r="L179" s="1782" t="s">
        <v>879</v>
      </c>
      <c r="M179" s="1837" t="str">
        <f ca="1">IF(R179,"Mandatory","N/A")</f>
        <v>N/A</v>
      </c>
      <c r="N179" s="129"/>
      <c r="O179" s="502"/>
      <c r="P179" s="94" t="b">
        <v>0</v>
      </c>
      <c r="Q179" s="94" t="b">
        <v>1</v>
      </c>
      <c r="R179" s="94" t="b">
        <f ca="1">S179</f>
        <v>0</v>
      </c>
      <c r="S179" s="94" t="b">
        <f ca="1">(S13=1)</f>
        <v>0</v>
      </c>
      <c r="T179" s="94" t="b">
        <f ca="1">AND(NOT(S179),W179=TRUE)</f>
        <v>0</v>
      </c>
      <c r="U179" s="94"/>
      <c r="V179" s="94"/>
      <c r="W179" s="360"/>
      <c r="X179" s="1770"/>
      <c r="AC179" s="273" t="b">
        <f ca="1">OR(AD179:AE179)</f>
        <v>0</v>
      </c>
      <c r="AD179" s="273" t="b">
        <f ca="1">T179</f>
        <v>0</v>
      </c>
      <c r="AE179" s="273" t="b">
        <f ca="1">AND(R179,NOT(W179))</f>
        <v>0</v>
      </c>
      <c r="AL179" s="254" t="str">
        <f>SUBSTITUTE(SUBSTITUTE(SUBSTITUTE("dpa"&amp;$B179&amp;$C179&amp;$D179&amp;$E179,".","_"),"(","_"),")","")</f>
        <v>dpa702_2_1</v>
      </c>
      <c r="AM179" s="254" t="str">
        <f ca="1">M179</f>
        <v>N/A</v>
      </c>
      <c r="AP179" s="254" t="str">
        <f>SUBSTITUTE(SUBSTITUTE(SUBSTITUTE("dch"&amp;$B179&amp;$C179&amp;$D179&amp;$E179,".","_"),"(","_"),")","")</f>
        <v>dch702_2_1</v>
      </c>
      <c r="AQ179" s="254" t="str">
        <f>IF(LEN(W179)=0,"",W179)</f>
        <v/>
      </c>
      <c r="AR179" s="254" t="str">
        <f>SUBSTITUTE(SUBSTITUTE(SUBSTITUTE("dnt"&amp;$B179&amp;$C179&amp;$D179&amp;$E179,".","_"),"(","_"),")","")</f>
        <v>dnt702_2_1</v>
      </c>
      <c r="AS179" s="254" t="str">
        <f>IF(LEN(X179)=0,"",X179)</f>
        <v/>
      </c>
      <c r="AX179" s="791"/>
      <c r="AY179" s="791"/>
    </row>
    <row r="180" spans="1:61" x14ac:dyDescent="0.25">
      <c r="B180" s="679" t="s">
        <v>878</v>
      </c>
      <c r="C180" s="90"/>
      <c r="D180" s="21"/>
      <c r="E180" s="21"/>
      <c r="F180" s="21"/>
      <c r="G180" s="21"/>
      <c r="H180" s="758"/>
      <c r="I180" s="129"/>
      <c r="J180" s="448"/>
      <c r="K180" s="448"/>
      <c r="L180" s="1782"/>
      <c r="M180" s="1837"/>
      <c r="N180" s="129"/>
      <c r="O180" s="502"/>
      <c r="P180" s="94"/>
      <c r="Q180" s="94"/>
      <c r="R180" s="94"/>
      <c r="S180" s="94"/>
      <c r="T180" s="94"/>
      <c r="U180" s="94"/>
      <c r="V180" s="94"/>
      <c r="W180" s="94"/>
      <c r="X180" s="1770"/>
    </row>
    <row r="181" spans="1:61" x14ac:dyDescent="0.25">
      <c r="B181" s="679" t="s">
        <v>878</v>
      </c>
      <c r="C181" s="90"/>
      <c r="D181" s="21"/>
      <c r="E181" s="21"/>
      <c r="F181" s="21"/>
      <c r="G181" s="21"/>
      <c r="H181" s="758"/>
      <c r="I181" s="129"/>
      <c r="J181" s="448"/>
      <c r="K181" s="448"/>
      <c r="L181" s="1782"/>
      <c r="M181" s="1837"/>
      <c r="N181" s="129"/>
      <c r="O181" s="502"/>
      <c r="P181" s="94"/>
      <c r="Q181" s="94"/>
      <c r="R181" s="94"/>
      <c r="S181" s="94"/>
      <c r="T181" s="94"/>
      <c r="U181" s="94"/>
      <c r="V181" s="94"/>
      <c r="W181" s="94"/>
      <c r="X181" s="1770"/>
    </row>
    <row r="182" spans="1:61" x14ac:dyDescent="0.25">
      <c r="B182" s="679" t="s">
        <v>878</v>
      </c>
      <c r="C182" s="90"/>
      <c r="D182" s="21"/>
      <c r="E182" s="21"/>
      <c r="F182" s="21"/>
      <c r="G182" s="21"/>
      <c r="H182" s="758"/>
      <c r="I182" s="210"/>
      <c r="J182" s="449"/>
      <c r="K182" s="449"/>
      <c r="L182" s="1843"/>
      <c r="M182" s="1844"/>
      <c r="N182" s="210"/>
      <c r="O182" s="503"/>
      <c r="P182" s="178"/>
      <c r="Q182" s="178"/>
      <c r="R182" s="178"/>
      <c r="S182" s="178"/>
      <c r="T182" s="178"/>
      <c r="U182" s="178"/>
      <c r="V182" s="178"/>
      <c r="W182" s="178"/>
      <c r="X182" s="1770"/>
    </row>
    <row r="183" spans="1:61" x14ac:dyDescent="0.25">
      <c r="B183" s="679" t="s">
        <v>880</v>
      </c>
      <c r="C183" s="90"/>
      <c r="D183" s="21"/>
      <c r="E183" s="21"/>
      <c r="F183" s="21"/>
      <c r="G183" s="21"/>
      <c r="H183" s="758"/>
      <c r="I183" s="66" t="s">
        <v>880</v>
      </c>
      <c r="J183" s="161"/>
      <c r="K183" s="161"/>
      <c r="L183" s="1796" t="s">
        <v>4259</v>
      </c>
      <c r="M183" s="1846" t="s">
        <v>3500</v>
      </c>
      <c r="N183" s="4"/>
      <c r="O183" s="1780">
        <f ca="1">ROUNDDOWN(S185*IF(NOT(W185=""),30+(W185*200),0),0)</f>
        <v>0</v>
      </c>
      <c r="P183"/>
      <c r="Q183"/>
      <c r="W183" s="1699" t="s">
        <v>5119</v>
      </c>
      <c r="X183" s="1756"/>
      <c r="AL183" s="254" t="str">
        <f>SUBSTITUTE(SUBSTITUTE(SUBSTITUTE("dpa"&amp;$B183&amp;$C183&amp;$D183&amp;$E183,".","_"),"(","_"),")","")</f>
        <v>dpa702_2_2</v>
      </c>
      <c r="AM183" s="254" t="str">
        <f>M183</f>
        <v>Points per formula</v>
      </c>
      <c r="AN183" s="254" t="str">
        <f>SUBSTITUTE(SUBSTITUTE(SUBSTITUTE("dpc"&amp;$B183&amp;$C183&amp;$D183&amp;$E183,".","_"),"(","_"),")","")</f>
        <v>dpc702_2_2</v>
      </c>
      <c r="AO183" s="254">
        <f ca="1">O183</f>
        <v>0</v>
      </c>
      <c r="AR183" s="254" t="str">
        <f>SUBSTITUTE(SUBSTITUTE(SUBSTITUTE("dnt"&amp;$B183&amp;$C183&amp;$D183&amp;$E183,".","_"),"(","_"),")","")</f>
        <v>dnt702_2_2</v>
      </c>
      <c r="AS183" s="254" t="str">
        <f>IF(LEN(X183)=0,"",X183)</f>
        <v/>
      </c>
    </row>
    <row r="184" spans="1:61" x14ac:dyDescent="0.25">
      <c r="B184" s="679" t="s">
        <v>880</v>
      </c>
      <c r="C184" s="90"/>
      <c r="D184" s="21"/>
      <c r="E184" s="21"/>
      <c r="F184" s="21"/>
      <c r="G184" s="21"/>
      <c r="H184" s="758"/>
      <c r="I184" s="4"/>
      <c r="J184" s="161"/>
      <c r="K184" s="161"/>
      <c r="L184" s="1796"/>
      <c r="M184" s="1846"/>
      <c r="N184" s="4"/>
      <c r="O184" s="1780"/>
      <c r="P184"/>
      <c r="Q184"/>
      <c r="U184"/>
      <c r="V184"/>
      <c r="W184" s="1699"/>
      <c r="X184" s="1757"/>
    </row>
    <row r="185" spans="1:61" x14ac:dyDescent="0.25">
      <c r="B185" s="679" t="s">
        <v>880</v>
      </c>
      <c r="C185" s="90"/>
      <c r="D185" s="21"/>
      <c r="E185" s="21"/>
      <c r="F185" s="21"/>
      <c r="G185" s="21"/>
      <c r="H185" s="758"/>
      <c r="I185" s="4"/>
      <c r="J185" s="161"/>
      <c r="K185" s="161"/>
      <c r="L185" s="1796"/>
      <c r="M185" s="1846"/>
      <c r="N185" s="4"/>
      <c r="O185" s="1780"/>
      <c r="P185" s="94" t="b">
        <v>0</v>
      </c>
      <c r="Q185" s="94" t="b">
        <v>1</v>
      </c>
      <c r="R185" s="273" t="b">
        <f ca="1">S185</f>
        <v>0</v>
      </c>
      <c r="S185" s="273" t="b">
        <f ca="1">(S13=1)</f>
        <v>0</v>
      </c>
      <c r="T185" s="94" t="b">
        <f ca="1">AND(NOT(S185),LEN(W185)&gt;0)</f>
        <v>0</v>
      </c>
      <c r="U185"/>
      <c r="V185"/>
      <c r="W185" s="320"/>
      <c r="X185" s="1757"/>
      <c r="AC185" s="273" t="b">
        <f ca="1">OR(AD185:AE185)</f>
        <v>0</v>
      </c>
      <c r="AD185" s="273" t="b">
        <f ca="1">T185</f>
        <v>0</v>
      </c>
      <c r="AE185" s="273" t="b">
        <f ca="1">AND(R185,ISBLANK(W185))</f>
        <v>0</v>
      </c>
      <c r="AP185" s="254" t="str">
        <f>SUBSTITUTE(SUBSTITUTE(SUBSTITUTE("dch"&amp;$B185&amp;$C185&amp;$D185&amp;$E185,".","_"),"(","_"),")","")</f>
        <v>dch702_2_2</v>
      </c>
      <c r="AQ185" s="254" t="str">
        <f>IF(LEN(W185)=0,"",W185)</f>
        <v/>
      </c>
    </row>
    <row r="186" spans="1:61" s="137" customFormat="1" x14ac:dyDescent="0.25">
      <c r="A186" s="18"/>
      <c r="B186" s="679" t="s">
        <v>880</v>
      </c>
      <c r="C186" s="90"/>
      <c r="D186" s="21"/>
      <c r="E186" s="21"/>
      <c r="F186" s="21"/>
      <c r="G186" s="21"/>
      <c r="H186" s="758"/>
      <c r="I186" s="4"/>
      <c r="J186" s="161"/>
      <c r="K186" s="161"/>
      <c r="L186" s="1796"/>
      <c r="M186" s="1846"/>
      <c r="N186" s="4"/>
      <c r="O186" s="1780"/>
      <c r="P186"/>
      <c r="Q186"/>
      <c r="R186"/>
      <c r="S186"/>
      <c r="T186"/>
      <c r="U186"/>
      <c r="V186"/>
      <c r="W186"/>
      <c r="X186" s="1757"/>
      <c r="Y186" s="780"/>
      <c r="Z186" s="76"/>
      <c r="AA186" s="783"/>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row>
    <row r="187" spans="1:61" x14ac:dyDescent="0.25">
      <c r="B187" s="679" t="s">
        <v>880</v>
      </c>
      <c r="C187" s="90"/>
      <c r="D187" s="21"/>
      <c r="E187" s="21"/>
      <c r="F187" s="21"/>
      <c r="G187" s="21"/>
      <c r="H187" s="758"/>
      <c r="I187" s="4"/>
      <c r="J187" s="161"/>
      <c r="K187" s="161"/>
      <c r="L187" s="1796"/>
      <c r="M187" s="1846"/>
      <c r="N187" s="4"/>
      <c r="O187" s="1780"/>
      <c r="P187" s="137"/>
      <c r="Q187" s="137"/>
      <c r="R187" s="137"/>
      <c r="S187" s="137"/>
      <c r="T187" s="137"/>
      <c r="U187" s="137"/>
      <c r="V187" s="137"/>
      <c r="W187" s="137"/>
      <c r="X187" s="1757"/>
      <c r="Z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Z187" s="137"/>
      <c r="BA187" s="137"/>
      <c r="BB187" s="137"/>
      <c r="BC187" s="137"/>
      <c r="BD187" s="137"/>
      <c r="BE187" s="137"/>
      <c r="BF187" s="137"/>
      <c r="BG187" s="137"/>
      <c r="BH187" s="137"/>
      <c r="BI187" s="137"/>
    </row>
    <row r="188" spans="1:61" x14ac:dyDescent="0.25">
      <c r="B188" s="679" t="s">
        <v>880</v>
      </c>
      <c r="C188" s="90"/>
      <c r="D188" s="21"/>
      <c r="E188" s="21"/>
      <c r="F188" s="21"/>
      <c r="G188" s="21"/>
      <c r="H188" s="758"/>
      <c r="I188" s="4"/>
      <c r="J188" s="161"/>
      <c r="K188" s="161"/>
      <c r="L188" s="166" t="s">
        <v>5120</v>
      </c>
      <c r="M188" s="428"/>
      <c r="N188" s="4"/>
      <c r="O188" s="141"/>
      <c r="P188"/>
      <c r="Q188"/>
      <c r="R188"/>
      <c r="S188"/>
      <c r="T188"/>
      <c r="U188"/>
      <c r="V188"/>
      <c r="W188"/>
      <c r="X188" s="1757"/>
    </row>
    <row r="189" spans="1:61" x14ac:dyDescent="0.25">
      <c r="B189" s="679" t="s">
        <v>880</v>
      </c>
      <c r="C189" s="90"/>
      <c r="D189" s="21" t="s">
        <v>3969</v>
      </c>
      <c r="E189" s="21"/>
      <c r="F189" s="21"/>
      <c r="G189" s="21"/>
      <c r="H189" s="758"/>
      <c r="I189" s="129"/>
      <c r="J189" s="448"/>
      <c r="K189" s="448"/>
      <c r="L189" s="1855" t="s">
        <v>2998</v>
      </c>
      <c r="M189" s="452"/>
      <c r="N189" s="129"/>
      <c r="O189" s="502"/>
      <c r="P189" s="94"/>
      <c r="Q189" s="94"/>
      <c r="R189" s="94"/>
      <c r="S189" s="94"/>
      <c r="T189" s="94"/>
      <c r="U189" s="94"/>
      <c r="V189" s="94"/>
      <c r="W189" s="94"/>
      <c r="X189" s="1770"/>
      <c r="AR189" s="254" t="str">
        <f>SUBSTITUTE(SUBSTITUTE(SUBSTITUTE("dnt"&amp;$B189&amp;$C189&amp;$D189&amp;$E189,".","_"),"(","_"),")","")</f>
        <v>dnt702_2_2_m</v>
      </c>
      <c r="AS189" s="254" t="str">
        <f>IF(LEN(X189)=0,"",X189)</f>
        <v/>
      </c>
    </row>
    <row r="190" spans="1:61" x14ac:dyDescent="0.25">
      <c r="B190" s="679" t="s">
        <v>880</v>
      </c>
      <c r="C190" s="90"/>
      <c r="D190" s="21"/>
      <c r="E190" s="21"/>
      <c r="F190" s="21"/>
      <c r="G190" s="21"/>
      <c r="H190" s="758"/>
      <c r="I190" s="129"/>
      <c r="J190" s="448"/>
      <c r="K190" s="448"/>
      <c r="L190" s="1855"/>
      <c r="M190" s="452"/>
      <c r="N190" s="129"/>
      <c r="O190" s="502"/>
      <c r="P190" s="94"/>
      <c r="Q190" s="94"/>
      <c r="R190" s="94"/>
      <c r="S190" s="94"/>
      <c r="T190" s="94"/>
      <c r="U190" s="94"/>
      <c r="V190" s="94"/>
      <c r="W190" s="94"/>
      <c r="X190" s="1770"/>
    </row>
    <row r="191" spans="1:61" x14ac:dyDescent="0.25">
      <c r="B191" s="679" t="s">
        <v>880</v>
      </c>
      <c r="C191" s="90"/>
      <c r="D191" s="21"/>
      <c r="E191" s="21"/>
      <c r="F191" s="21"/>
      <c r="G191" s="21"/>
      <c r="H191" s="758"/>
      <c r="I191" s="210"/>
      <c r="J191" s="449"/>
      <c r="K191" s="449"/>
      <c r="L191" s="1861"/>
      <c r="M191" s="537"/>
      <c r="N191" s="129"/>
      <c r="O191" s="502"/>
      <c r="P191" s="94"/>
      <c r="Q191" s="94"/>
      <c r="R191" s="94"/>
      <c r="S191" s="94"/>
      <c r="T191" s="94"/>
      <c r="U191" s="94"/>
      <c r="V191" s="94"/>
      <c r="W191" s="113"/>
      <c r="X191" s="1770"/>
    </row>
    <row r="192" spans="1:61" x14ac:dyDescent="0.25">
      <c r="B192" s="679" t="s">
        <v>881</v>
      </c>
      <c r="C192" s="90"/>
      <c r="D192" s="21"/>
      <c r="E192" s="21"/>
      <c r="F192" s="21"/>
      <c r="G192" s="21"/>
      <c r="H192" s="758"/>
      <c r="I192" s="66" t="s">
        <v>881</v>
      </c>
      <c r="J192" s="161"/>
      <c r="K192" s="161"/>
      <c r="L192" s="1796" t="s">
        <v>882</v>
      </c>
      <c r="M192" s="428"/>
      <c r="N192" s="4"/>
      <c r="O192" s="141"/>
      <c r="P192"/>
      <c r="Q192"/>
      <c r="R192"/>
      <c r="S192"/>
      <c r="T192"/>
      <c r="U192"/>
      <c r="V192"/>
      <c r="W192"/>
      <c r="X192" s="1756"/>
      <c r="AR192" s="254" t="str">
        <f>SUBSTITUTE(SUBSTITUTE(SUBSTITUTE("dnt"&amp;$B192&amp;$C192&amp;$D192&amp;$E192,".","_"),"(","_"),")","")</f>
        <v>dnt702_2_3</v>
      </c>
      <c r="AS192" s="254" t="str">
        <f>IF(LEN(X192)=0,"",X192)</f>
        <v/>
      </c>
    </row>
    <row r="193" spans="1:61" x14ac:dyDescent="0.25">
      <c r="B193" s="679" t="s">
        <v>881</v>
      </c>
      <c r="C193" s="90"/>
      <c r="D193" s="21"/>
      <c r="E193" s="21"/>
      <c r="F193" s="21"/>
      <c r="G193" s="21"/>
      <c r="H193" s="758"/>
      <c r="I193" s="4"/>
      <c r="J193" s="161"/>
      <c r="K193" s="161"/>
      <c r="L193" s="1796"/>
      <c r="M193" s="428"/>
      <c r="N193" s="4"/>
      <c r="O193" s="141"/>
      <c r="P193"/>
      <c r="Q193"/>
      <c r="R193"/>
      <c r="S193"/>
      <c r="T193"/>
      <c r="U193"/>
      <c r="V193"/>
      <c r="W193"/>
      <c r="X193" s="1757"/>
    </row>
    <row r="194" spans="1:61" ht="18.75" x14ac:dyDescent="0.3">
      <c r="B194" s="679">
        <v>703</v>
      </c>
      <c r="C194" s="90"/>
      <c r="D194" s="21"/>
      <c r="E194" s="21"/>
      <c r="F194" s="21"/>
      <c r="G194" s="21"/>
      <c r="H194" s="758"/>
      <c r="I194" s="14" t="s">
        <v>883</v>
      </c>
      <c r="J194" s="84"/>
      <c r="K194" s="84"/>
      <c r="L194" s="84"/>
      <c r="M194" s="390"/>
      <c r="N194" s="508"/>
      <c r="O194" s="498"/>
      <c r="P194" s="23"/>
      <c r="Q194" s="23"/>
      <c r="R194" s="23"/>
      <c r="S194" s="23"/>
      <c r="T194" s="23"/>
      <c r="U194" s="23"/>
      <c r="V194" s="23"/>
      <c r="W194" s="23"/>
      <c r="X194" s="23"/>
    </row>
    <row r="195" spans="1:61" ht="15" customHeight="1" x14ac:dyDescent="0.25">
      <c r="B195" s="679">
        <v>703.1</v>
      </c>
      <c r="C195" s="90"/>
      <c r="D195" s="21"/>
      <c r="E195" s="21"/>
      <c r="F195" s="21"/>
      <c r="G195" s="21"/>
      <c r="H195" s="758"/>
      <c r="I195" s="64">
        <v>703.1</v>
      </c>
      <c r="J195" s="161"/>
      <c r="K195" s="161"/>
      <c r="L195" s="166" t="s">
        <v>884</v>
      </c>
      <c r="M195" s="428">
        <v>30</v>
      </c>
      <c r="N195" s="4"/>
      <c r="O195" s="428">
        <f ca="1">30*AND((W211=TRUE),(W196=TRUE),LEN(W214)&gt;0)*S196</f>
        <v>0</v>
      </c>
      <c r="P195"/>
      <c r="Q195"/>
      <c r="R195"/>
      <c r="S195"/>
      <c r="T195"/>
      <c r="U195"/>
      <c r="V195"/>
      <c r="W195"/>
      <c r="X195"/>
      <c r="AL195" s="254" t="str">
        <f>SUBSTITUTE(SUBSTITUTE(SUBSTITUTE("dpa"&amp;$B195&amp;$C195&amp;$D195&amp;$E195,".","_"),"(","_"),")","")</f>
        <v>dpa703_1</v>
      </c>
      <c r="AM195" s="254">
        <f>M195</f>
        <v>30</v>
      </c>
      <c r="AN195" s="254" t="str">
        <f>SUBSTITUTE(SUBSTITUTE(SUBSTITUTE("dpc"&amp;$B195&amp;$C195&amp;$D195&amp;$E195,".","_"),"(","_"),")","")</f>
        <v>dpc703_1</v>
      </c>
      <c r="AO195" s="254">
        <f ca="1">O195</f>
        <v>0</v>
      </c>
    </row>
    <row r="196" spans="1:61" ht="15" customHeight="1" x14ac:dyDescent="0.25">
      <c r="B196" s="679" t="s">
        <v>885</v>
      </c>
      <c r="C196" s="90"/>
      <c r="D196" s="21"/>
      <c r="E196" s="21"/>
      <c r="F196" s="21"/>
      <c r="G196" s="21"/>
      <c r="H196" s="758"/>
      <c r="I196" s="66" t="s">
        <v>885</v>
      </c>
      <c r="J196" s="161"/>
      <c r="K196" s="161"/>
      <c r="L196" s="1833" t="s">
        <v>4260</v>
      </c>
      <c r="M196" s="1837" t="str">
        <f ca="1">IF(R196,"Mandatory","N/A")</f>
        <v>N/A</v>
      </c>
      <c r="N196" s="4"/>
      <c r="O196" s="141"/>
      <c r="P196" s="94" t="b">
        <v>0</v>
      </c>
      <c r="Q196" s="94" t="b">
        <v>1</v>
      </c>
      <c r="R196" s="137" t="b">
        <f ca="1">AND(S196,NOT(BI16="Tropical"))</f>
        <v>0</v>
      </c>
      <c r="S196" s="137" t="b">
        <f ca="1">(S13=2)</f>
        <v>0</v>
      </c>
      <c r="T196" s="94" t="b">
        <f ca="1">AND(NOT(S196),W196=TRUE)</f>
        <v>0</v>
      </c>
      <c r="U196"/>
      <c r="V196"/>
      <c r="W196" s="25"/>
      <c r="X196" s="1757"/>
      <c r="AC196" s="332" t="b">
        <f ca="1">OR(AD196:AE196)</f>
        <v>0</v>
      </c>
      <c r="AD196" s="332" t="b">
        <f ca="1">T196</f>
        <v>0</v>
      </c>
      <c r="AE196" s="332" t="b">
        <f ca="1">AND(R196,NOT(W196))</f>
        <v>0</v>
      </c>
      <c r="AL196" s="254" t="str">
        <f>SUBSTITUTE(SUBSTITUTE(SUBSTITUTE("dpa"&amp;$B196&amp;$C196&amp;$D196&amp;$E196,".","_"),"(","_"),")","")</f>
        <v>dpa703_1_1</v>
      </c>
      <c r="AM196" s="254" t="str">
        <f ca="1">M196</f>
        <v>N/A</v>
      </c>
      <c r="AP196" s="254" t="str">
        <f>SUBSTITUTE(SUBSTITUTE(SUBSTITUTE("dch"&amp;$B196&amp;$C196&amp;$D196&amp;$E196,".","_"),"(","_"),")","")</f>
        <v>dch703_1_1</v>
      </c>
      <c r="AQ196" s="254" t="str">
        <f>IF(LEN(W196)=0,"",W196)</f>
        <v/>
      </c>
      <c r="AR196" s="254" t="str">
        <f>SUBSTITUTE(SUBSTITUTE(SUBSTITUTE("dnt"&amp;$B196&amp;$C196&amp;$D196&amp;$E196,".","_"),"(","_"),")","")</f>
        <v>dnt703_1_1</v>
      </c>
      <c r="AS196" s="254" t="str">
        <f>IF(LEN(X196)=0,"",X196)</f>
        <v/>
      </c>
    </row>
    <row r="197" spans="1:61" x14ac:dyDescent="0.25">
      <c r="B197" s="679" t="s">
        <v>885</v>
      </c>
      <c r="C197" s="90"/>
      <c r="D197" s="21"/>
      <c r="E197" s="21"/>
      <c r="F197" s="21"/>
      <c r="G197" s="21"/>
      <c r="H197" s="758"/>
      <c r="I197" s="4"/>
      <c r="J197" s="161"/>
      <c r="K197" s="161"/>
      <c r="L197" s="1833"/>
      <c r="M197" s="1837"/>
      <c r="N197" s="4"/>
      <c r="O197" s="141"/>
      <c r="P197"/>
      <c r="Q197"/>
      <c r="R197"/>
      <c r="S197"/>
      <c r="T197"/>
      <c r="U197"/>
      <c r="V197"/>
      <c r="W197"/>
      <c r="X197" s="1757"/>
    </row>
    <row r="198" spans="1:61" x14ac:dyDescent="0.25">
      <c r="B198" s="679" t="s">
        <v>885</v>
      </c>
      <c r="C198" s="90"/>
      <c r="D198" s="21"/>
      <c r="E198" s="21"/>
      <c r="F198" s="21"/>
      <c r="G198" s="21"/>
      <c r="H198" s="758"/>
      <c r="I198" s="210"/>
      <c r="J198" s="449"/>
      <c r="K198" s="449"/>
      <c r="L198" s="458" t="s">
        <v>2999</v>
      </c>
      <c r="M198" s="428"/>
      <c r="N198" s="4"/>
      <c r="O198" s="141"/>
      <c r="P198"/>
      <c r="Q198"/>
      <c r="R198"/>
      <c r="S198"/>
      <c r="T198"/>
      <c r="U198"/>
      <c r="V198"/>
      <c r="W198"/>
      <c r="X198" s="1757"/>
    </row>
    <row r="199" spans="1:61" ht="15" customHeight="1" x14ac:dyDescent="0.25">
      <c r="B199" s="679" t="s">
        <v>886</v>
      </c>
      <c r="C199" s="679"/>
      <c r="D199" s="21"/>
      <c r="E199" s="21"/>
      <c r="F199" s="21"/>
      <c r="G199" s="21"/>
      <c r="H199" s="758"/>
      <c r="I199" s="533" t="s">
        <v>886</v>
      </c>
      <c r="J199" s="461"/>
      <c r="K199" s="461"/>
      <c r="L199" s="1835" t="s">
        <v>4261</v>
      </c>
      <c r="M199" s="428"/>
      <c r="N199" s="4"/>
      <c r="O199" s="141"/>
      <c r="P199"/>
      <c r="Q199"/>
      <c r="R199"/>
      <c r="S199"/>
      <c r="T199"/>
      <c r="U199"/>
      <c r="V199"/>
      <c r="W199"/>
      <c r="X199" s="1757"/>
      <c r="AX199" s="332"/>
      <c r="AY199" s="332"/>
    </row>
    <row r="200" spans="1:61" x14ac:dyDescent="0.25">
      <c r="B200" s="679" t="s">
        <v>886</v>
      </c>
      <c r="C200" s="679"/>
      <c r="D200" s="21"/>
      <c r="E200" s="21"/>
      <c r="F200" s="21"/>
      <c r="G200" s="21"/>
      <c r="H200" s="758"/>
      <c r="I200" s="129"/>
      <c r="J200" s="448"/>
      <c r="K200" s="448"/>
      <c r="L200" s="1877"/>
      <c r="M200" s="428"/>
      <c r="N200" s="4"/>
      <c r="O200" s="141"/>
      <c r="P200"/>
      <c r="Q200"/>
      <c r="R200"/>
      <c r="S200"/>
      <c r="T200"/>
      <c r="U200"/>
      <c r="V200"/>
      <c r="W200"/>
      <c r="X200" s="1757"/>
    </row>
    <row r="201" spans="1:61" x14ac:dyDescent="0.25">
      <c r="B201" s="679" t="s">
        <v>886</v>
      </c>
      <c r="C201" s="679"/>
      <c r="D201" s="21"/>
      <c r="E201" s="21"/>
      <c r="F201" s="21"/>
      <c r="G201" s="21"/>
      <c r="H201" s="758"/>
      <c r="I201" s="129"/>
      <c r="J201" s="448"/>
      <c r="K201" s="448"/>
      <c r="L201" s="1877"/>
      <c r="M201" s="428"/>
      <c r="N201" s="4"/>
      <c r="O201" s="141"/>
      <c r="P201"/>
      <c r="Q201"/>
      <c r="R201"/>
      <c r="S201"/>
      <c r="T201"/>
      <c r="U201"/>
      <c r="V201"/>
      <c r="W201"/>
      <c r="X201" s="1757"/>
    </row>
    <row r="202" spans="1:61" s="1066" customFormat="1" x14ac:dyDescent="0.25">
      <c r="A202" s="18"/>
      <c r="B202" s="679" t="s">
        <v>886</v>
      </c>
      <c r="C202" s="679"/>
      <c r="D202" s="21"/>
      <c r="E202" s="21"/>
      <c r="F202" s="21"/>
      <c r="G202" s="21"/>
      <c r="H202" s="758"/>
      <c r="I202" s="129"/>
      <c r="J202" s="1071"/>
      <c r="K202" s="1071"/>
      <c r="L202" s="1877"/>
      <c r="M202" s="1067"/>
      <c r="N202" s="4"/>
      <c r="O202" s="1068"/>
      <c r="X202" s="1757"/>
      <c r="AX202" s="76"/>
      <c r="AY202" s="76"/>
      <c r="AZ202" s="76"/>
      <c r="BA202" s="76"/>
      <c r="BB202" s="76"/>
      <c r="BC202" s="76"/>
      <c r="BD202" s="76"/>
      <c r="BE202" s="76"/>
      <c r="BF202" s="76"/>
      <c r="BG202" s="76"/>
      <c r="BH202" s="76"/>
      <c r="BI202" s="76"/>
    </row>
    <row r="203" spans="1:61" s="791" customFormat="1" x14ac:dyDescent="0.25">
      <c r="A203" s="18"/>
      <c r="B203" s="679" t="s">
        <v>886</v>
      </c>
      <c r="C203" s="679"/>
      <c r="D203" s="21"/>
      <c r="E203" s="21"/>
      <c r="F203" s="21"/>
      <c r="G203" s="21"/>
      <c r="H203" s="758"/>
      <c r="I203" s="129"/>
      <c r="J203" s="805"/>
      <c r="K203" s="805"/>
      <c r="L203" s="1877"/>
      <c r="M203" s="797"/>
      <c r="N203" s="4"/>
      <c r="O203" s="799"/>
      <c r="X203" s="1757"/>
      <c r="AX203" s="1066"/>
      <c r="AY203" s="1066"/>
      <c r="AZ203" s="1066"/>
      <c r="BA203" s="1066"/>
      <c r="BB203" s="1066"/>
      <c r="BC203" s="1066"/>
      <c r="BD203" s="1066"/>
      <c r="BE203" s="1066"/>
      <c r="BF203" s="1066"/>
      <c r="BG203" s="1066"/>
      <c r="BH203" s="1066"/>
      <c r="BI203" s="1066"/>
    </row>
    <row r="204" spans="1:61" x14ac:dyDescent="0.25">
      <c r="B204" s="679" t="s">
        <v>886</v>
      </c>
      <c r="C204" s="679"/>
      <c r="D204" s="21"/>
      <c r="E204" s="21"/>
      <c r="F204" s="21"/>
      <c r="G204" s="21"/>
      <c r="H204" s="758"/>
      <c r="I204" s="129"/>
      <c r="J204" s="448"/>
      <c r="K204" s="448"/>
      <c r="L204" s="1877"/>
      <c r="M204" s="428"/>
      <c r="N204" s="4"/>
      <c r="O204" s="141"/>
      <c r="P204"/>
      <c r="Q204"/>
      <c r="R204"/>
      <c r="S204"/>
      <c r="T204"/>
      <c r="U204"/>
      <c r="V204"/>
      <c r="W204"/>
      <c r="X204" s="1757"/>
      <c r="AZ204" s="791"/>
      <c r="BA204" s="791"/>
      <c r="BB204" s="791"/>
      <c r="BC204" s="791"/>
      <c r="BD204" s="791"/>
      <c r="BE204" s="791"/>
      <c r="BF204" s="791"/>
      <c r="BG204" s="791"/>
      <c r="BH204" s="791"/>
      <c r="BI204" s="791"/>
    </row>
    <row r="205" spans="1:61" x14ac:dyDescent="0.25">
      <c r="B205" s="679" t="s">
        <v>886</v>
      </c>
      <c r="C205" s="679"/>
      <c r="D205" s="21"/>
      <c r="E205" s="21"/>
      <c r="F205" s="21"/>
      <c r="G205" s="21"/>
      <c r="H205" s="758"/>
      <c r="I205" s="129"/>
      <c r="J205" s="448"/>
      <c r="K205" s="448"/>
      <c r="L205" s="1877"/>
      <c r="M205" s="428"/>
      <c r="N205" s="4"/>
      <c r="O205" s="141"/>
      <c r="P205"/>
      <c r="Q205"/>
      <c r="R205"/>
      <c r="S205"/>
      <c r="T205"/>
      <c r="U205"/>
      <c r="V205"/>
      <c r="W205"/>
      <c r="X205" s="1757"/>
    </row>
    <row r="206" spans="1:61" x14ac:dyDescent="0.25">
      <c r="B206" s="679" t="s">
        <v>886</v>
      </c>
      <c r="C206" s="679"/>
      <c r="D206" s="21"/>
      <c r="E206" s="21"/>
      <c r="F206" s="21"/>
      <c r="G206" s="21"/>
      <c r="H206" s="758"/>
      <c r="I206" s="210"/>
      <c r="J206" s="449"/>
      <c r="K206" s="449"/>
      <c r="L206" s="1834"/>
      <c r="M206" s="428"/>
      <c r="N206" s="4"/>
      <c r="O206" s="141"/>
      <c r="P206"/>
      <c r="Q206"/>
      <c r="R206"/>
      <c r="S206"/>
      <c r="T206"/>
      <c r="U206"/>
      <c r="V206"/>
      <c r="W206"/>
      <c r="X206" s="1757"/>
    </row>
    <row r="207" spans="1:61" ht="15" customHeight="1" x14ac:dyDescent="0.25">
      <c r="B207" s="679" t="s">
        <v>887</v>
      </c>
      <c r="C207" s="679"/>
      <c r="D207" s="21"/>
      <c r="E207" s="21"/>
      <c r="F207" s="21"/>
      <c r="G207" s="21"/>
      <c r="H207" s="758"/>
      <c r="I207" s="533" t="s">
        <v>887</v>
      </c>
      <c r="J207" s="461"/>
      <c r="K207" s="461"/>
      <c r="L207" s="1835" t="s">
        <v>4262</v>
      </c>
      <c r="M207" s="428"/>
      <c r="N207" s="4"/>
      <c r="O207" s="141"/>
      <c r="P207"/>
      <c r="Q207"/>
      <c r="R207"/>
      <c r="S207"/>
      <c r="T207"/>
      <c r="U207"/>
      <c r="V207"/>
      <c r="W207"/>
      <c r="X207" s="1757"/>
    </row>
    <row r="208" spans="1:61" x14ac:dyDescent="0.25">
      <c r="B208" s="679" t="s">
        <v>887</v>
      </c>
      <c r="C208" s="679"/>
      <c r="D208" s="21"/>
      <c r="E208" s="21"/>
      <c r="F208" s="21"/>
      <c r="G208" s="21"/>
      <c r="H208" s="758"/>
      <c r="I208" s="129"/>
      <c r="J208" s="448"/>
      <c r="K208" s="448"/>
      <c r="L208" s="1877"/>
      <c r="M208" s="428"/>
      <c r="N208" s="4"/>
      <c r="O208" s="141"/>
      <c r="P208"/>
      <c r="Q208"/>
      <c r="R208"/>
      <c r="S208"/>
      <c r="T208"/>
      <c r="U208"/>
      <c r="V208"/>
      <c r="W208"/>
      <c r="X208" s="1757"/>
    </row>
    <row r="209" spans="1:51" x14ac:dyDescent="0.25">
      <c r="B209" s="679" t="s">
        <v>887</v>
      </c>
      <c r="C209" s="679"/>
      <c r="D209" s="21"/>
      <c r="E209" s="21"/>
      <c r="F209" s="21"/>
      <c r="G209" s="21"/>
      <c r="H209" s="758"/>
      <c r="I209" s="129"/>
      <c r="J209" s="448"/>
      <c r="K209" s="448"/>
      <c r="L209" s="1877"/>
      <c r="M209" s="428"/>
      <c r="N209" s="4"/>
      <c r="O209" s="141"/>
      <c r="P209"/>
      <c r="Q209"/>
      <c r="R209"/>
      <c r="S209"/>
      <c r="T209"/>
      <c r="U209"/>
      <c r="V209"/>
      <c r="W209"/>
      <c r="X209" s="1757"/>
    </row>
    <row r="210" spans="1:51" x14ac:dyDescent="0.25">
      <c r="B210" s="679" t="s">
        <v>887</v>
      </c>
      <c r="C210" s="679"/>
      <c r="D210" s="21"/>
      <c r="E210" s="21"/>
      <c r="F210" s="21"/>
      <c r="G210" s="21"/>
      <c r="H210" s="758"/>
      <c r="I210" s="210"/>
      <c r="J210" s="449"/>
      <c r="K210" s="449"/>
      <c r="L210" s="1834"/>
      <c r="M210" s="453"/>
      <c r="N210" s="210"/>
      <c r="O210" s="1080"/>
      <c r="P210" s="178"/>
      <c r="Q210" s="178"/>
      <c r="R210" s="178"/>
      <c r="S210" s="178"/>
      <c r="T210" s="178"/>
      <c r="U210" s="178"/>
      <c r="V210" s="178"/>
      <c r="W210"/>
      <c r="X210" s="1757"/>
    </row>
    <row r="211" spans="1:51" ht="15" customHeight="1" x14ac:dyDescent="0.25">
      <c r="B211" s="679" t="s">
        <v>888</v>
      </c>
      <c r="C211" s="90"/>
      <c r="D211" s="21"/>
      <c r="E211" s="21"/>
      <c r="F211" s="21"/>
      <c r="G211" s="21"/>
      <c r="H211" s="758"/>
      <c r="I211" s="66" t="s">
        <v>888</v>
      </c>
      <c r="J211" s="161"/>
      <c r="K211" s="161"/>
      <c r="L211" s="1833" t="s">
        <v>4263</v>
      </c>
      <c r="M211" s="1837" t="str">
        <f ca="1">IF(R211,"Mandatory","N/A")</f>
        <v>N/A</v>
      </c>
      <c r="N211" s="4"/>
      <c r="O211" s="141"/>
      <c r="P211" s="94" t="b">
        <v>0</v>
      </c>
      <c r="Q211" s="94" t="b">
        <v>1</v>
      </c>
      <c r="R211" s="330" t="b">
        <f ca="1">AND(S211,NOT(BI16="Tropical"))</f>
        <v>0</v>
      </c>
      <c r="S211" s="1079" t="b">
        <f ca="1">(S13=2)</f>
        <v>0</v>
      </c>
      <c r="T211" s="94" t="b">
        <f ca="1">AND(OR(NOT(S211),AND(BF16&lt;=2,OR(MAX(W105,W623)&gt;5,MAX(W108,W625)&gt;0.33)),AND(BF16&gt;=3,OR(MAX(W105,W623)&gt;3,MAX(W108,W625)&gt;0.23))),W211=TRUE)</f>
        <v>0</v>
      </c>
      <c r="U211"/>
      <c r="V211"/>
      <c r="W211" s="25"/>
      <c r="X211" s="1757"/>
      <c r="AC211" s="332" t="b">
        <f ca="1">OR(AD211:AE211)</f>
        <v>0</v>
      </c>
      <c r="AD211" s="332" t="b">
        <f ca="1">T211</f>
        <v>0</v>
      </c>
      <c r="AE211" s="332"/>
      <c r="AL211" s="254" t="str">
        <f>SUBSTITUTE(SUBSTITUTE(SUBSTITUTE("dpa"&amp;$B211&amp;$C211&amp;$D211&amp;$E211,".","_"),"(","_"),")","")</f>
        <v>dpa703_1_2</v>
      </c>
      <c r="AM211" s="254" t="str">
        <f ca="1">M211</f>
        <v>N/A</v>
      </c>
      <c r="AP211" s="254" t="str">
        <f>SUBSTITUTE(SUBSTITUTE(SUBSTITUTE("dch"&amp;$B211&amp;$C211&amp;$D211&amp;$E211,".","_"),"(","_"),")","")</f>
        <v>dch703_1_2</v>
      </c>
      <c r="AQ211" s="254" t="str">
        <f>IF(LEN(W211)=0,"",W211)</f>
        <v/>
      </c>
      <c r="AR211" s="254" t="str">
        <f>SUBSTITUTE(SUBSTITUTE(SUBSTITUTE("dnt"&amp;$B211&amp;$C211&amp;$D211&amp;$E211,".","_"),"(","_"),")","")</f>
        <v>dnt703_1_2</v>
      </c>
      <c r="AS211" s="254" t="str">
        <f>IF(LEN(X211)=0,"",X211)</f>
        <v/>
      </c>
    </row>
    <row r="212" spans="1:51" x14ac:dyDescent="0.25">
      <c r="B212" s="679" t="s">
        <v>888</v>
      </c>
      <c r="C212" s="90"/>
      <c r="D212" s="21"/>
      <c r="E212" s="21"/>
      <c r="F212" s="21"/>
      <c r="G212" s="21"/>
      <c r="H212" s="758"/>
      <c r="I212" s="4"/>
      <c r="J212" s="161"/>
      <c r="K212" s="161"/>
      <c r="L212" s="1833"/>
      <c r="M212" s="1837"/>
      <c r="N212" s="4"/>
      <c r="O212" s="141"/>
      <c r="P212"/>
      <c r="Q212"/>
      <c r="R212"/>
      <c r="S212"/>
      <c r="U212"/>
      <c r="V212"/>
      <c r="W212"/>
      <c r="X212" s="1757"/>
      <c r="AD212"/>
    </row>
    <row r="213" spans="1:51" x14ac:dyDescent="0.25">
      <c r="B213" s="679" t="s">
        <v>888</v>
      </c>
      <c r="C213" s="90"/>
      <c r="D213" s="21"/>
      <c r="E213" s="21"/>
      <c r="F213" s="21"/>
      <c r="G213" s="21"/>
      <c r="H213" s="758"/>
      <c r="I213" s="210"/>
      <c r="J213" s="449"/>
      <c r="K213" s="449"/>
      <c r="L213" s="472" t="s">
        <v>3531</v>
      </c>
      <c r="M213" s="453"/>
      <c r="N213" s="210"/>
      <c r="O213" s="1080"/>
      <c r="P213" s="178"/>
      <c r="Q213" s="178"/>
      <c r="R213" s="178"/>
      <c r="S213" s="178"/>
      <c r="T213" s="178"/>
      <c r="U213" s="178"/>
      <c r="V213" s="178"/>
      <c r="W213"/>
      <c r="X213" s="1757"/>
    </row>
    <row r="214" spans="1:51" ht="15" customHeight="1" x14ac:dyDescent="0.25">
      <c r="B214" s="679" t="s">
        <v>889</v>
      </c>
      <c r="C214" s="90"/>
      <c r="D214" s="21"/>
      <c r="E214" s="21"/>
      <c r="F214" s="21"/>
      <c r="G214" s="21"/>
      <c r="H214" s="758"/>
      <c r="I214" s="510" t="s">
        <v>889</v>
      </c>
      <c r="J214" s="448"/>
      <c r="K214" s="448"/>
      <c r="L214" s="1782" t="s">
        <v>5122</v>
      </c>
      <c r="M214" s="1837" t="str">
        <f ca="1">IF(R214,"Mandatory","N/A")</f>
        <v>N/A</v>
      </c>
      <c r="N214" s="129"/>
      <c r="O214" s="502"/>
      <c r="P214" s="94" t="b">
        <v>1</v>
      </c>
      <c r="Q214" s="94" t="b">
        <v>1</v>
      </c>
      <c r="R214" s="94" t="b">
        <f ca="1">AND(S214,NOT(AND(AY19="Multifamily",AY28&gt;3)),NOT(BI16="Tropical"))</f>
        <v>0</v>
      </c>
      <c r="S214" s="94" t="b">
        <f ca="1">AND(S13=2,NOT(AND(AY39=INDEX(INDIRECT('Overview (Design)'!$E$38),3),AY43=INDEX(INDIRECT('Overview (Design)'!$E$42),3))))</f>
        <v>0</v>
      </c>
      <c r="T214" s="94" t="b">
        <f ca="1">AND(NOT(S214),LEN(W214)&gt;0)</f>
        <v>0</v>
      </c>
      <c r="U214" s="195" t="str">
        <f>SUBSTITUTE(SUBSTITUTE(SUBSTITUTE("dd"&amp;B214&amp;C214&amp;D214&amp;E214&amp;F214,".","_"),"(","_"),")","")</f>
        <v>dd703_1_3</v>
      </c>
      <c r="V214" s="94"/>
      <c r="W214" s="1484"/>
      <c r="X214" s="1770"/>
      <c r="AC214" s="332" t="b">
        <f ca="1">OR(AD214:AE214)</f>
        <v>0</v>
      </c>
      <c r="AD214" s="332" t="b">
        <f ca="1">T214</f>
        <v>0</v>
      </c>
      <c r="AE214" s="332"/>
      <c r="AL214" s="254" t="str">
        <f>SUBSTITUTE(SUBSTITUTE(SUBSTITUTE("dpa"&amp;$B214&amp;$C214&amp;$D214&amp;$E214,".","_"),"(","_"),")","")</f>
        <v>dpa703_1_3</v>
      </c>
      <c r="AM214" s="254" t="str">
        <f ca="1">M214</f>
        <v>N/A</v>
      </c>
      <c r="AP214" s="254" t="str">
        <f>SUBSTITUTE(SUBSTITUTE(SUBSTITUTE("dch"&amp;$B214&amp;$C214&amp;$D214&amp;$E214,".","_"),"(","_"),")","")</f>
        <v>dch703_1_3</v>
      </c>
      <c r="AQ214" s="254" t="str">
        <f>IF(LEN(W214)=0,"",W214)</f>
        <v/>
      </c>
      <c r="AR214" s="254" t="str">
        <f>SUBSTITUTE(SUBSTITUTE(SUBSTITUTE("dnt"&amp;$B214&amp;$C214&amp;$D214&amp;$E214,".","_"),"(","_"),")","")</f>
        <v>dnt703_1_3</v>
      </c>
      <c r="AS214" s="254" t="str">
        <f>IF(LEN(X214)=0,"",X214)</f>
        <v/>
      </c>
    </row>
    <row r="215" spans="1:51" s="1657" customFormat="1" ht="15" customHeight="1" x14ac:dyDescent="0.25">
      <c r="A215" s="18"/>
      <c r="B215" s="679" t="s">
        <v>889</v>
      </c>
      <c r="C215" s="90"/>
      <c r="D215" s="21"/>
      <c r="E215" s="21"/>
      <c r="F215" s="21"/>
      <c r="G215" s="21"/>
      <c r="H215" s="758"/>
      <c r="I215" s="510"/>
      <c r="J215" s="1658"/>
      <c r="K215" s="1658"/>
      <c r="L215" s="1782"/>
      <c r="M215" s="1837"/>
      <c r="N215" s="129"/>
      <c r="O215" s="1659"/>
      <c r="P215" s="94"/>
      <c r="Q215" s="94"/>
      <c r="R215" s="94"/>
      <c r="S215" s="94"/>
      <c r="T215" s="94"/>
      <c r="U215" s="94"/>
      <c r="V215" s="94"/>
      <c r="W215" t="s">
        <v>5742</v>
      </c>
      <c r="X215" s="1798"/>
      <c r="AL215" s="254"/>
      <c r="AM215" s="254"/>
      <c r="AP215" s="254"/>
      <c r="AQ215" s="254"/>
      <c r="AR215" s="254"/>
      <c r="AS215" s="254"/>
    </row>
    <row r="216" spans="1:51" s="1657" customFormat="1" ht="15" customHeight="1" x14ac:dyDescent="0.25">
      <c r="A216" s="18"/>
      <c r="B216" s="679" t="s">
        <v>889</v>
      </c>
      <c r="C216" s="90" t="s">
        <v>4860</v>
      </c>
      <c r="D216" s="21"/>
      <c r="E216" s="21"/>
      <c r="F216" s="21"/>
      <c r="G216" s="21"/>
      <c r="H216" s="758"/>
      <c r="I216" s="510"/>
      <c r="J216" s="1658"/>
      <c r="K216" s="1658"/>
      <c r="L216" s="1782"/>
      <c r="M216" s="1837"/>
      <c r="N216" s="129"/>
      <c r="O216" s="1659"/>
      <c r="P216" s="94" t="b">
        <v>1</v>
      </c>
      <c r="Q216" s="94" t="b">
        <v>0</v>
      </c>
      <c r="R216" s="94" t="b">
        <f ca="1">W214=INDEX(INDIRECT(U214),1)</f>
        <v>0</v>
      </c>
      <c r="S216" s="94" t="b">
        <f ca="1">S214</f>
        <v>0</v>
      </c>
      <c r="T216" s="94" t="b">
        <f ca="1">AND(NOT(S216),LEN(W216)&gt;0)</f>
        <v>0</v>
      </c>
      <c r="U216" s="94"/>
      <c r="V216" s="94"/>
      <c r="W216" s="487"/>
      <c r="X216" s="1798"/>
      <c r="AC216" s="1657" t="b">
        <f ca="1">OR(AD216:AE216)</f>
        <v>0</v>
      </c>
      <c r="AD216" s="1657" t="b">
        <f ca="1">T216</f>
        <v>0</v>
      </c>
      <c r="AL216" s="254"/>
      <c r="AM216" s="254"/>
      <c r="AP216" s="254" t="str">
        <f>SUBSTITUTE(SUBSTITUTE(SUBSTITUTE("dch"&amp;$B216&amp;$C216&amp;$D216&amp;$E216,".","_"),"(","_"),")","")</f>
        <v>dch703_1_3_1</v>
      </c>
      <c r="AQ216" s="254" t="str">
        <f>IF(LEN(W216)=0,"",W216)</f>
        <v/>
      </c>
      <c r="AR216" s="254"/>
      <c r="AS216" s="254"/>
    </row>
    <row r="217" spans="1:51" s="1657" customFormat="1" ht="15" customHeight="1" x14ac:dyDescent="0.25">
      <c r="A217" s="18"/>
      <c r="B217" s="679" t="s">
        <v>889</v>
      </c>
      <c r="C217" s="90"/>
      <c r="D217" s="21"/>
      <c r="E217" s="21"/>
      <c r="F217" s="21"/>
      <c r="G217" s="21"/>
      <c r="H217" s="758"/>
      <c r="I217" s="510"/>
      <c r="J217" s="1658"/>
      <c r="K217" s="1658"/>
      <c r="L217" s="1782"/>
      <c r="M217" s="1837"/>
      <c r="N217" s="129"/>
      <c r="O217" s="1659"/>
      <c r="P217" s="94"/>
      <c r="Q217" s="94"/>
      <c r="R217" s="94"/>
      <c r="S217" s="94"/>
      <c r="T217" s="94"/>
      <c r="U217" s="94"/>
      <c r="V217" s="94"/>
      <c r="W217" t="s">
        <v>5743</v>
      </c>
      <c r="X217" s="1798"/>
      <c r="AL217" s="254"/>
      <c r="AM217" s="254"/>
      <c r="AP217" s="254"/>
      <c r="AQ217" s="254"/>
      <c r="AR217" s="254"/>
      <c r="AS217" s="254"/>
    </row>
    <row r="218" spans="1:51" ht="15.75" thickBot="1" x14ac:dyDescent="0.3">
      <c r="B218" s="679" t="s">
        <v>889</v>
      </c>
      <c r="C218" s="90" t="s">
        <v>4861</v>
      </c>
      <c r="D218" s="21"/>
      <c r="E218" s="21"/>
      <c r="F218" s="21"/>
      <c r="G218" s="21"/>
      <c r="H218" s="758"/>
      <c r="I218" s="240"/>
      <c r="J218" s="462"/>
      <c r="K218" s="462"/>
      <c r="L218" s="1797"/>
      <c r="M218" s="1839"/>
      <c r="N218" s="240"/>
      <c r="O218" s="504"/>
      <c r="P218" s="99" t="b">
        <v>0</v>
      </c>
      <c r="Q218" s="99" t="b">
        <v>1</v>
      </c>
      <c r="R218" s="99" t="b">
        <f ca="1">W214=INDEX(INDIRECT(U214),1)</f>
        <v>0</v>
      </c>
      <c r="S218" s="99" t="b">
        <f ca="1">S214</f>
        <v>0</v>
      </c>
      <c r="T218" s="94" t="b">
        <f ca="1">AND(NOT(S218),LEN(W218)&gt;0)</f>
        <v>0</v>
      </c>
      <c r="U218" s="99"/>
      <c r="V218" s="99"/>
      <c r="W218" s="1663"/>
      <c r="X218" s="1771"/>
      <c r="AC218" s="1657" t="b">
        <f ca="1">OR(AD218:AE218)</f>
        <v>0</v>
      </c>
      <c r="AD218" s="1657" t="b">
        <f ca="1">T218</f>
        <v>0</v>
      </c>
      <c r="AP218" s="254" t="str">
        <f>SUBSTITUTE(SUBSTITUTE(SUBSTITUTE("dch"&amp;$B218&amp;$C218&amp;$D218&amp;$E218,".","_"),"(","_"),")","")</f>
        <v>dch703_1_3_2</v>
      </c>
      <c r="AQ218" s="254" t="str">
        <f>IF(LEN(W218)=0,"",W218)</f>
        <v/>
      </c>
    </row>
    <row r="219" spans="1:51" ht="15.75" thickTop="1" x14ac:dyDescent="0.25">
      <c r="B219" s="679">
        <v>703.2</v>
      </c>
      <c r="C219" s="90"/>
      <c r="D219" s="21"/>
      <c r="E219" s="21"/>
      <c r="F219" s="21"/>
      <c r="G219" s="21"/>
      <c r="H219" s="758"/>
      <c r="I219" s="64">
        <v>703.2</v>
      </c>
      <c r="J219" s="161"/>
      <c r="K219" s="161"/>
      <c r="L219" s="166" t="s">
        <v>890</v>
      </c>
      <c r="M219" s="428"/>
      <c r="N219" s="4"/>
      <c r="O219" s="141"/>
      <c r="P219"/>
      <c r="Q219"/>
      <c r="R219"/>
      <c r="S219"/>
      <c r="T219"/>
      <c r="U219"/>
      <c r="V219"/>
      <c r="W219"/>
      <c r="X219"/>
      <c r="AX219" s="417"/>
      <c r="AY219" s="417"/>
    </row>
    <row r="220" spans="1:51" ht="15" customHeight="1" x14ac:dyDescent="0.25">
      <c r="B220" s="679" t="s">
        <v>891</v>
      </c>
      <c r="C220" s="90"/>
      <c r="D220" s="21"/>
      <c r="E220" s="21"/>
      <c r="F220" s="21"/>
      <c r="G220" s="21"/>
      <c r="H220" s="758"/>
      <c r="I220" s="64" t="s">
        <v>891</v>
      </c>
      <c r="J220" s="161"/>
      <c r="K220" s="161"/>
      <c r="L220" s="1833" t="s">
        <v>4264</v>
      </c>
      <c r="M220" s="1720" t="s">
        <v>892</v>
      </c>
      <c r="N220" s="4"/>
      <c r="O220" s="1780">
        <f>W220*IFERROR(Formulas!$C$19,0)</f>
        <v>0</v>
      </c>
      <c r="P220" s="94" t="b">
        <v>0</v>
      </c>
      <c r="Q220" s="94" t="b">
        <v>1</v>
      </c>
      <c r="R220" s="134" t="b">
        <v>0</v>
      </c>
      <c r="S220" s="137" t="b">
        <f ca="1">(S13=2)</f>
        <v>0</v>
      </c>
      <c r="T220" s="94" t="b">
        <f ca="1">AND(NOT(S220),W220=TRUE)</f>
        <v>0</v>
      </c>
      <c r="U220"/>
      <c r="V220"/>
      <c r="W220" s="25"/>
      <c r="X220" s="1757"/>
      <c r="AC220" s="332" t="b">
        <f ca="1">OR(AD220:AE220)</f>
        <v>0</v>
      </c>
      <c r="AD220" s="332" t="b">
        <f ca="1">T220</f>
        <v>0</v>
      </c>
      <c r="AE220" s="332"/>
      <c r="AL220" s="254" t="str">
        <f>SUBSTITUTE(SUBSTITUTE(SUBSTITUTE("dpa"&amp;$B220&amp;$C220&amp;$D220&amp;$E220,".","_"),"(","_"),")","")</f>
        <v>dpa703_2_1</v>
      </c>
      <c r="AM220" s="254" t="str">
        <f>M220</f>
        <v>Per Table 703.2.1(b)</v>
      </c>
      <c r="AN220" s="254" t="str">
        <f>SUBSTITUTE(SUBSTITUTE(SUBSTITUTE("dpc"&amp;$B220&amp;$C220&amp;$D220&amp;$E220,".","_"),"(","_"),")","")</f>
        <v>dpc703_2_1</v>
      </c>
      <c r="AO220" s="254">
        <f>O220</f>
        <v>0</v>
      </c>
      <c r="AP220" s="254" t="str">
        <f>SUBSTITUTE(SUBSTITUTE(SUBSTITUTE("dch"&amp;$B220&amp;$C220&amp;$D220&amp;$E220,".","_"),"(","_"),")","")</f>
        <v>dch703_2_1</v>
      </c>
      <c r="AQ220" s="254" t="str">
        <f>IF(LEN(W220)=0,"",W220)</f>
        <v/>
      </c>
      <c r="AR220" s="254" t="str">
        <f>SUBSTITUTE(SUBSTITUTE(SUBSTITUTE("dnt"&amp;$B220&amp;$C220&amp;$D220&amp;$E220,".","_"),"(","_"),")","")</f>
        <v>dnt703_2_1</v>
      </c>
      <c r="AS220" s="254" t="str">
        <f>IF(LEN(X220)=0,"",X220)</f>
        <v/>
      </c>
    </row>
    <row r="221" spans="1:51" x14ac:dyDescent="0.25">
      <c r="B221" s="679" t="s">
        <v>891</v>
      </c>
      <c r="C221" s="90"/>
      <c r="D221" s="21"/>
      <c r="E221" s="21"/>
      <c r="F221" s="21"/>
      <c r="G221" s="21"/>
      <c r="H221" s="758"/>
      <c r="I221" s="4"/>
      <c r="J221" s="161"/>
      <c r="K221" s="161"/>
      <c r="L221" s="1833"/>
      <c r="M221" s="1720"/>
      <c r="N221" s="4"/>
      <c r="O221" s="1780"/>
      <c r="P221"/>
      <c r="Q221"/>
      <c r="R221"/>
      <c r="S221"/>
      <c r="T221"/>
      <c r="U221"/>
      <c r="V221"/>
      <c r="W221" t="s">
        <v>3534</v>
      </c>
      <c r="X221" s="1757"/>
    </row>
    <row r="222" spans="1:51" x14ac:dyDescent="0.25">
      <c r="B222" s="679" t="s">
        <v>891</v>
      </c>
      <c r="C222" s="21" t="s">
        <v>258</v>
      </c>
      <c r="D222" s="27"/>
      <c r="E222" s="21"/>
      <c r="F222" s="21"/>
      <c r="G222" s="21"/>
      <c r="H222" s="758"/>
      <c r="I222" s="4"/>
      <c r="J222" s="161"/>
      <c r="K222" s="161"/>
      <c r="L222" s="1833"/>
      <c r="M222" s="1720"/>
      <c r="N222" s="4"/>
      <c r="O222" s="1780"/>
      <c r="P222" s="94" t="b">
        <v>0</v>
      </c>
      <c r="Q222" s="94" t="b">
        <v>1</v>
      </c>
      <c r="R222" s="332" t="b">
        <v>0</v>
      </c>
      <c r="S222" s="332" t="b">
        <f ca="1">(S13=2)</f>
        <v>0</v>
      </c>
      <c r="T222" s="94" t="b">
        <f ca="1">AND(NOT(S222),LEN(W222)&gt;0)</f>
        <v>0</v>
      </c>
      <c r="U222"/>
      <c r="V222"/>
      <c r="W222" s="320"/>
      <c r="X222" s="1757"/>
      <c r="AC222" s="332" t="b">
        <f ca="1">OR(AD222:AE222)</f>
        <v>0</v>
      </c>
      <c r="AD222" s="332" t="b">
        <f ca="1">T222</f>
        <v>0</v>
      </c>
      <c r="AE222" s="332"/>
      <c r="AP222" s="254" t="str">
        <f>SUBSTITUTE(SUBSTITUTE(SUBSTITUTE("dch"&amp;$B222&amp;$C222&amp;$D222&amp;$E222,".","_"),"(","_"),")","")</f>
        <v>dch703_2_1_2</v>
      </c>
      <c r="AQ222" s="254" t="str">
        <f>IF(LEN(W222)=0,"",W222)</f>
        <v/>
      </c>
    </row>
    <row r="223" spans="1:51" x14ac:dyDescent="0.25">
      <c r="B223" s="679" t="s">
        <v>891</v>
      </c>
      <c r="C223" s="90"/>
      <c r="D223" s="21"/>
      <c r="E223" s="21"/>
      <c r="F223" s="21"/>
      <c r="G223" s="21"/>
      <c r="H223" s="758"/>
      <c r="I223" s="4"/>
      <c r="J223" s="161"/>
      <c r="K223" s="161"/>
      <c r="L223" s="1833"/>
      <c r="M223" s="1720"/>
      <c r="N223" s="4"/>
      <c r="O223" s="1780"/>
      <c r="P223"/>
      <c r="Q223"/>
      <c r="R223"/>
      <c r="S223"/>
      <c r="T223"/>
      <c r="U223"/>
      <c r="V223"/>
      <c r="W223"/>
      <c r="X223" s="1757"/>
    </row>
    <row r="224" spans="1:51" x14ac:dyDescent="0.25">
      <c r="B224" s="679" t="s">
        <v>891</v>
      </c>
      <c r="C224" s="90"/>
      <c r="D224" s="21"/>
      <c r="E224" s="21"/>
      <c r="F224" s="21"/>
      <c r="G224" s="21"/>
      <c r="H224" s="758"/>
      <c r="I224" s="4"/>
      <c r="J224" s="161"/>
      <c r="K224" s="161"/>
      <c r="L224" s="1833"/>
      <c r="M224" s="1720"/>
      <c r="N224" s="4"/>
      <c r="O224" s="1780"/>
      <c r="P224"/>
      <c r="Q224"/>
      <c r="R224"/>
      <c r="S224"/>
      <c r="T224"/>
      <c r="U224"/>
      <c r="V224"/>
      <c r="W224"/>
      <c r="X224" s="1757"/>
    </row>
    <row r="225" spans="1:61" x14ac:dyDescent="0.25">
      <c r="B225" s="679" t="s">
        <v>891</v>
      </c>
      <c r="C225" s="90"/>
      <c r="D225" s="21"/>
      <c r="E225" s="21"/>
      <c r="F225" s="21"/>
      <c r="G225" s="21"/>
      <c r="H225" s="758"/>
      <c r="I225" s="4"/>
      <c r="J225" s="161"/>
      <c r="K225" s="161"/>
      <c r="L225" s="1833"/>
      <c r="M225" s="1720"/>
      <c r="N225" s="4"/>
      <c r="O225" s="1780"/>
      <c r="P225"/>
      <c r="Q225"/>
      <c r="R225"/>
      <c r="S225"/>
      <c r="T225"/>
      <c r="U225"/>
      <c r="V225"/>
      <c r="W225"/>
      <c r="X225" s="1757"/>
    </row>
    <row r="226" spans="1:61" s="332" customFormat="1" x14ac:dyDescent="0.25">
      <c r="A226" s="18"/>
      <c r="B226" s="679" t="s">
        <v>891</v>
      </c>
      <c r="C226" s="90"/>
      <c r="D226" s="21"/>
      <c r="E226" s="21"/>
      <c r="F226" s="21"/>
      <c r="G226" s="21"/>
      <c r="H226" s="758"/>
      <c r="I226" s="210"/>
      <c r="J226" s="449"/>
      <c r="K226" s="449"/>
      <c r="L226" s="527" t="s">
        <v>3532</v>
      </c>
      <c r="M226" s="459"/>
      <c r="N226" s="210"/>
      <c r="O226" s="503"/>
      <c r="P226" s="178"/>
      <c r="Q226" s="178"/>
      <c r="R226" s="178"/>
      <c r="S226" s="178"/>
      <c r="T226" s="178"/>
      <c r="U226" s="178"/>
      <c r="V226" s="178"/>
      <c r="W226" s="538"/>
      <c r="X226" s="1757"/>
      <c r="Y226" s="780"/>
      <c r="AA226" s="783"/>
      <c r="AX226" s="76"/>
      <c r="AY226" s="76"/>
      <c r="AZ226" s="76"/>
      <c r="BA226" s="76"/>
      <c r="BB226" s="76"/>
      <c r="BC226" s="76"/>
      <c r="BD226" s="76"/>
      <c r="BE226" s="76"/>
      <c r="BF226" s="76"/>
      <c r="BG226" s="76"/>
      <c r="BH226" s="76"/>
      <c r="BI226" s="76"/>
    </row>
    <row r="227" spans="1:61" x14ac:dyDescent="0.25">
      <c r="B227" s="679" t="s">
        <v>893</v>
      </c>
      <c r="C227" s="90"/>
      <c r="D227" s="21"/>
      <c r="E227" s="21"/>
      <c r="F227" s="21"/>
      <c r="G227" s="21"/>
      <c r="H227" s="758"/>
      <c r="I227" s="192" t="s">
        <v>893</v>
      </c>
      <c r="J227" s="461"/>
      <c r="K227" s="461"/>
      <c r="L227" s="1864" t="s">
        <v>894</v>
      </c>
      <c r="M227" s="1878" t="s">
        <v>895</v>
      </c>
      <c r="N227" s="193"/>
      <c r="O227" s="1763">
        <f>IF(ROUND(W228,0)&gt;=6,INDEX({3,3,3,3,2,2,0,0},BF16),IF(ROUND(W228,0)&gt;=3,INDEX({1,1,1,1,0,0,0,0},BF16),0))</f>
        <v>0</v>
      </c>
      <c r="P227" s="195"/>
      <c r="Q227" s="195"/>
      <c r="R227" s="195"/>
      <c r="S227" s="195"/>
      <c r="T227" s="195"/>
      <c r="U227" s="195"/>
      <c r="V227" s="195"/>
      <c r="W227" s="539" t="s">
        <v>3541</v>
      </c>
      <c r="X227" s="1757"/>
      <c r="AL227" s="254" t="str">
        <f>SUBSTITUTE(SUBSTITUTE(SUBSTITUTE("dpa"&amp;$B227&amp;$C227&amp;$D227&amp;$E227,".","_"),"(","_"),")","")</f>
        <v>dpa703_2_2</v>
      </c>
      <c r="AM227" s="254" t="str">
        <f>M227</f>
        <v>Per Table 703.2.2</v>
      </c>
      <c r="AN227" s="254" t="str">
        <f>SUBSTITUTE(SUBSTITUTE(SUBSTITUTE("dpc"&amp;$B227&amp;$C227&amp;$D227&amp;$E227,".","_"),"(","_"),")","")</f>
        <v>dpc703_2_2</v>
      </c>
      <c r="AO227" s="254">
        <f>O227</f>
        <v>0</v>
      </c>
      <c r="AR227" s="254" t="str">
        <f>SUBSTITUTE(SUBSTITUTE(SUBSTITUTE("dnt"&amp;$B227&amp;$C227&amp;$D227&amp;$E227,".","_"),"(","_"),")","")</f>
        <v>dnt703_2_2</v>
      </c>
      <c r="AS227" s="254" t="str">
        <f>IF(LEN(X227)=0,"",X227)</f>
        <v/>
      </c>
      <c r="AZ227" s="332"/>
      <c r="BA227" s="332"/>
      <c r="BB227" s="332"/>
      <c r="BC227" s="332"/>
      <c r="BD227" s="332"/>
      <c r="BE227" s="332"/>
      <c r="BF227" s="332"/>
      <c r="BG227" s="332"/>
      <c r="BH227" s="332"/>
      <c r="BI227" s="332"/>
    </row>
    <row r="228" spans="1:61" x14ac:dyDescent="0.25">
      <c r="B228" s="679" t="s">
        <v>893</v>
      </c>
      <c r="C228" s="90"/>
      <c r="D228" s="21"/>
      <c r="E228" s="21"/>
      <c r="F228" s="21"/>
      <c r="G228" s="21"/>
      <c r="H228" s="758"/>
      <c r="I228" s="210"/>
      <c r="J228" s="449"/>
      <c r="K228" s="449"/>
      <c r="L228" s="1843"/>
      <c r="M228" s="1879"/>
      <c r="N228" s="210"/>
      <c r="O228" s="1764"/>
      <c r="P228" s="94" t="b">
        <v>1</v>
      </c>
      <c r="Q228" s="94" t="b">
        <v>1</v>
      </c>
      <c r="R228" s="178" t="b">
        <v>0</v>
      </c>
      <c r="S228" s="178" t="b">
        <f ca="1">AND(S13=2,NOT(AY57="No"))</f>
        <v>0</v>
      </c>
      <c r="T228" s="178" t="b">
        <f ca="1">AND(NOT(S228),LEN(W228)&gt;0)</f>
        <v>0</v>
      </c>
      <c r="U228" s="178"/>
      <c r="V228" s="178"/>
      <c r="W228" s="336"/>
      <c r="X228" s="1757"/>
      <c r="AC228" s="332" t="b">
        <f ca="1">OR(AD228:AE228)</f>
        <v>0</v>
      </c>
      <c r="AD228" s="332" t="b">
        <f ca="1">T228</f>
        <v>0</v>
      </c>
      <c r="AE228" s="332"/>
      <c r="AP228" s="254" t="str">
        <f>SUBSTITUTE(SUBSTITUTE(SUBSTITUTE("dch"&amp;$B228&amp;$C228&amp;$D228&amp;$E228,".","_"),"(","_"),")","")</f>
        <v>dch703_2_2</v>
      </c>
      <c r="AQ228" s="254" t="str">
        <f>IF(LEN(W228)=0,"",W228)</f>
        <v/>
      </c>
    </row>
    <row r="229" spans="1:61" x14ac:dyDescent="0.25">
      <c r="B229" s="679" t="s">
        <v>896</v>
      </c>
      <c r="C229" s="90"/>
      <c r="D229" s="21"/>
      <c r="E229" s="21"/>
      <c r="F229" s="21"/>
      <c r="G229" s="21"/>
      <c r="H229" s="758"/>
      <c r="I229" s="192" t="s">
        <v>896</v>
      </c>
      <c r="J229" s="461"/>
      <c r="K229" s="461"/>
      <c r="L229" s="1864" t="s">
        <v>897</v>
      </c>
      <c r="M229" s="1880">
        <f>IFERROR(MIN(IF(AND(AY19=INDEX(ddSingleOrMulti,2),AY28&gt;3,BF16&lt;4),1,3),IF(BI16="Tropical",3,INDEX({2,3,3,1,1,0,0},BF16))),0)</f>
        <v>0</v>
      </c>
      <c r="N229" s="193"/>
      <c r="O229" s="1763">
        <f ca="1">M229*S229*W229</f>
        <v>0</v>
      </c>
      <c r="P229" s="94" t="b">
        <v>1</v>
      </c>
      <c r="Q229" s="94" t="b">
        <v>1</v>
      </c>
      <c r="R229" s="195" t="b">
        <v>0</v>
      </c>
      <c r="S229" s="195" t="b">
        <f ca="1">(S13=2)</f>
        <v>0</v>
      </c>
      <c r="T229" s="195" t="b">
        <f ca="1">AND(NOT(S229),W229=TRUE)</f>
        <v>0</v>
      </c>
      <c r="U229" s="195"/>
      <c r="V229" s="195"/>
      <c r="W229" s="360"/>
      <c r="X229" s="1757"/>
      <c r="AC229" s="378" t="b">
        <f ca="1">OR(AD229:AE229)</f>
        <v>0</v>
      </c>
      <c r="AD229" s="378" t="b">
        <f ca="1">T229</f>
        <v>0</v>
      </c>
      <c r="AE229" s="378"/>
      <c r="AL229" s="254" t="str">
        <f>SUBSTITUTE(SUBSTITUTE(SUBSTITUTE("dpa"&amp;$B229&amp;$C229&amp;$D229&amp;$E229,".","_"),"(","_"),")","")</f>
        <v>dpa703_2_3</v>
      </c>
      <c r="AM229" s="254">
        <f>M229</f>
        <v>0</v>
      </c>
      <c r="AN229" s="254" t="str">
        <f>SUBSTITUTE(SUBSTITUTE(SUBSTITUTE("dpc"&amp;$B229&amp;$C229&amp;$D229&amp;$E229,".","_"),"(","_"),")","")</f>
        <v>dpc703_2_3</v>
      </c>
      <c r="AO229" s="254">
        <f ca="1">O229</f>
        <v>0</v>
      </c>
      <c r="AP229" s="254" t="str">
        <f>SUBSTITUTE(SUBSTITUTE(SUBSTITUTE("dch"&amp;$B229&amp;$C229&amp;$D229&amp;$E229,".","_"),"(","_"),")","")</f>
        <v>dch703_2_3</v>
      </c>
      <c r="AQ229" s="254" t="str">
        <f>IF(LEN(W229)=0,"",W229)</f>
        <v/>
      </c>
      <c r="AR229" s="254" t="str">
        <f>SUBSTITUTE(SUBSTITUTE(SUBSTITUTE("dnt"&amp;$B229&amp;$C229&amp;$D229&amp;$E229,".","_"),"(","_"),")","")</f>
        <v>dnt703_2_3</v>
      </c>
      <c r="AS229" s="254" t="str">
        <f>IF(LEN(X229)=0,"",X229)</f>
        <v/>
      </c>
    </row>
    <row r="230" spans="1:61" x14ac:dyDescent="0.25">
      <c r="B230" s="679" t="s">
        <v>896</v>
      </c>
      <c r="C230" s="90"/>
      <c r="D230" s="21"/>
      <c r="E230" s="21"/>
      <c r="F230" s="21"/>
      <c r="G230" s="21"/>
      <c r="H230" s="758"/>
      <c r="I230" s="129"/>
      <c r="J230" s="448"/>
      <c r="K230" s="448"/>
      <c r="L230" s="1782"/>
      <c r="M230" s="1788"/>
      <c r="N230" s="129"/>
      <c r="O230" s="1774"/>
      <c r="P230" s="94"/>
      <c r="Q230" s="94"/>
      <c r="R230" s="94"/>
      <c r="S230" s="94"/>
      <c r="T230" s="94"/>
      <c r="U230" s="94"/>
      <c r="V230" s="94"/>
      <c r="W230" s="113"/>
      <c r="X230" s="1757"/>
    </row>
    <row r="231" spans="1:61" x14ac:dyDescent="0.25">
      <c r="B231" s="679" t="s">
        <v>896</v>
      </c>
      <c r="C231" s="90"/>
      <c r="D231" s="21"/>
      <c r="E231" s="21"/>
      <c r="F231" s="21"/>
      <c r="G231" s="21"/>
      <c r="H231" s="758"/>
      <c r="I231" s="210"/>
      <c r="J231" s="449"/>
      <c r="K231" s="449"/>
      <c r="L231" s="1843"/>
      <c r="M231" s="1865"/>
      <c r="N231" s="210"/>
      <c r="O231" s="1764"/>
      <c r="P231" s="178"/>
      <c r="Q231" s="178"/>
      <c r="R231" s="178"/>
      <c r="S231" s="178"/>
      <c r="T231" s="178"/>
      <c r="U231" s="178"/>
      <c r="V231" s="178"/>
      <c r="W231" s="538"/>
      <c r="X231" s="1757"/>
    </row>
    <row r="232" spans="1:61" ht="15" customHeight="1" x14ac:dyDescent="0.25">
      <c r="B232" s="679" t="s">
        <v>898</v>
      </c>
      <c r="C232" s="90"/>
      <c r="D232" s="21"/>
      <c r="E232" s="21"/>
      <c r="F232" s="21"/>
      <c r="G232" s="21"/>
      <c r="H232" s="758"/>
      <c r="I232" s="192" t="s">
        <v>898</v>
      </c>
      <c r="J232" s="461"/>
      <c r="K232" s="461"/>
      <c r="L232" s="1864" t="s">
        <v>4272</v>
      </c>
      <c r="M232" s="1878" t="s">
        <v>4273</v>
      </c>
      <c r="N232" s="193"/>
      <c r="O232" s="1763">
        <f ca="1">MAX(S232:T232)*S233</f>
        <v>0</v>
      </c>
      <c r="P232"/>
      <c r="Q232"/>
      <c r="R232" s="1" t="s">
        <v>4092</v>
      </c>
      <c r="S232" s="1">
        <f>Formulas!N$19</f>
        <v>0</v>
      </c>
      <c r="T232" s="1">
        <f>Formulas!O$19</f>
        <v>0</v>
      </c>
      <c r="U232"/>
      <c r="V232"/>
      <c r="W232" s="1727" t="s">
        <v>4867</v>
      </c>
      <c r="X232" s="1757"/>
      <c r="AL232" s="254" t="str">
        <f>SUBSTITUTE(SUBSTITUTE(SUBSTITUTE("dpa"&amp;$B232&amp;$C232&amp;$D232&amp;$E232,".","_"),"(","_"),")","")</f>
        <v>dpa703_2_4</v>
      </c>
      <c r="AM232" s="254" t="str">
        <f>M232</f>
        <v>Per Table 703.2.4a or 703.2.4b</v>
      </c>
      <c r="AN232" s="254" t="str">
        <f>SUBSTITUTE(SUBSTITUTE(SUBSTITUTE("dpc"&amp;$B232&amp;$C232&amp;$D232&amp;$E232,".","_"),"(","_"),")","")</f>
        <v>dpc703_2_4</v>
      </c>
      <c r="AO232" s="254">
        <f ca="1">O232</f>
        <v>0</v>
      </c>
      <c r="AR232" s="254" t="str">
        <f>SUBSTITUTE(SUBSTITUTE(SUBSTITUTE("dnt"&amp;$B232&amp;$C232&amp;$D232&amp;$E232,".","_"),"(","_"),")","")</f>
        <v>dnt703_2_4</v>
      </c>
      <c r="AS232" s="254" t="str">
        <f>IF(LEN(X232)=0,"",X232)</f>
        <v/>
      </c>
    </row>
    <row r="233" spans="1:61" x14ac:dyDescent="0.25">
      <c r="B233" s="679" t="s">
        <v>898</v>
      </c>
      <c r="C233" s="90"/>
      <c r="D233" s="21"/>
      <c r="E233" s="21"/>
      <c r="F233" s="21"/>
      <c r="G233" s="21"/>
      <c r="H233" s="758"/>
      <c r="I233" s="129"/>
      <c r="J233" s="448"/>
      <c r="K233" s="448"/>
      <c r="L233" s="1782"/>
      <c r="M233" s="1881"/>
      <c r="N233" s="129"/>
      <c r="O233" s="1774"/>
      <c r="P233"/>
      <c r="Q233"/>
      <c r="R233" s="134" t="b">
        <v>0</v>
      </c>
      <c r="S233" s="137" t="b">
        <f ca="1">(S13=2)</f>
        <v>0</v>
      </c>
      <c r="T233" s="134" t="b">
        <v>0</v>
      </c>
      <c r="U233"/>
      <c r="V233"/>
      <c r="W233" s="1729"/>
      <c r="X233" s="1757"/>
      <c r="AX233" s="417"/>
      <c r="AY233" s="417"/>
    </row>
    <row r="234" spans="1:61" x14ac:dyDescent="0.25">
      <c r="B234" s="679" t="s">
        <v>898</v>
      </c>
      <c r="C234" s="90"/>
      <c r="D234" s="21"/>
      <c r="E234" s="21"/>
      <c r="F234" s="21"/>
      <c r="G234" s="21"/>
      <c r="H234" s="758"/>
      <c r="I234" s="210"/>
      <c r="J234" s="449"/>
      <c r="K234" s="449"/>
      <c r="L234" s="1843"/>
      <c r="M234" s="1879"/>
      <c r="N234" s="210"/>
      <c r="O234" s="1764"/>
      <c r="P234"/>
      <c r="Q234"/>
      <c r="R234" s="1" t="s">
        <v>4862</v>
      </c>
      <c r="S234" s="1006">
        <f>Formulas!N6</f>
        <v>0</v>
      </c>
      <c r="T234" s="1006">
        <f>Formulas!O6</f>
        <v>0</v>
      </c>
      <c r="U234"/>
      <c r="V234"/>
      <c r="W234" s="1106">
        <f>IF(S232&gt;=T232,S234,T234)</f>
        <v>0</v>
      </c>
      <c r="X234" s="1757"/>
      <c r="AX234" s="417"/>
      <c r="AY234" s="417"/>
    </row>
    <row r="235" spans="1:61" x14ac:dyDescent="0.25">
      <c r="B235" s="90" t="s">
        <v>899</v>
      </c>
      <c r="C235" s="90"/>
      <c r="D235" s="21"/>
      <c r="E235" s="21"/>
      <c r="F235" s="21"/>
      <c r="G235" s="21"/>
      <c r="H235" s="758"/>
      <c r="I235" s="66" t="s">
        <v>899</v>
      </c>
      <c r="J235" s="161"/>
      <c r="K235" s="161"/>
      <c r="L235" s="166" t="s">
        <v>900</v>
      </c>
      <c r="M235" s="428"/>
      <c r="N235" s="4"/>
      <c r="O235" s="141"/>
      <c r="P235"/>
      <c r="Q235"/>
      <c r="R235"/>
      <c r="S235"/>
      <c r="T235"/>
      <c r="U235"/>
      <c r="V235"/>
      <c r="W235"/>
      <c r="X235"/>
      <c r="AX235" s="417"/>
      <c r="AY235" s="417"/>
    </row>
    <row r="236" spans="1:61" ht="15" customHeight="1" x14ac:dyDescent="0.25">
      <c r="B236" s="679" t="s">
        <v>901</v>
      </c>
      <c r="C236" s="90"/>
      <c r="D236" s="21"/>
      <c r="E236" s="21"/>
      <c r="F236" s="21"/>
      <c r="G236" s="21"/>
      <c r="H236" s="758"/>
      <c r="I236" s="510" t="s">
        <v>901</v>
      </c>
      <c r="J236" s="448"/>
      <c r="K236" s="448"/>
      <c r="L236" s="1754" t="s">
        <v>902</v>
      </c>
      <c r="M236" s="1837" t="str">
        <f ca="1">IF(R236,"Mandatory","N/A")</f>
        <v>N/A</v>
      </c>
      <c r="N236" s="4"/>
      <c r="O236" s="141"/>
      <c r="P236" s="94" t="b">
        <v>1</v>
      </c>
      <c r="Q236" s="94" t="b">
        <v>1</v>
      </c>
      <c r="R236" s="1656" t="b">
        <f ca="1">AND(S236,NOT(BI16="Tropical"))</f>
        <v>0</v>
      </c>
      <c r="S236" s="137" t="b">
        <f ca="1">(S13=2)</f>
        <v>0</v>
      </c>
      <c r="T236" s="94" t="b">
        <f ca="1">AND(NOT(S236),LEN(W236)&gt;0)</f>
        <v>0</v>
      </c>
      <c r="U236" s="94" t="str">
        <f>SUBSTITUTE(SUBSTITUTE(SUBSTITUTE("dd"&amp;B236&amp;C236&amp;D236&amp;E236&amp;F236,".","_"),"(","_"),")","")</f>
        <v>dd703_2_5_1</v>
      </c>
      <c r="V236"/>
      <c r="W236" s="12"/>
      <c r="X236" s="1757"/>
      <c r="AC236" s="417" t="b">
        <f ca="1">OR(AD236:AE236)</f>
        <v>0</v>
      </c>
      <c r="AD236" s="417" t="b">
        <f ca="1">T236</f>
        <v>0</v>
      </c>
      <c r="AE236" s="1352" t="b">
        <f ca="1">AND(R236,OR(W236="Not Met",W236=""))</f>
        <v>0</v>
      </c>
      <c r="AL236" s="254" t="str">
        <f>SUBSTITUTE(SUBSTITUTE(SUBSTITUTE("dpa"&amp;$B236&amp;$C236&amp;$D236&amp;$E236,".","_"),"(","_"),")","")</f>
        <v>dpa703_2_5_1</v>
      </c>
      <c r="AM236" s="254" t="str">
        <f ca="1">M236</f>
        <v>N/A</v>
      </c>
      <c r="AP236" s="254" t="str">
        <f>SUBSTITUTE(SUBSTITUTE(SUBSTITUTE("dch"&amp;$B236&amp;$C236&amp;$D236&amp;$E236,".","_"),"(","_"),")","")</f>
        <v>dch703_2_5_1</v>
      </c>
      <c r="AQ236" s="254" t="str">
        <f>IF(LEN(W236)=0,"",W236)</f>
        <v/>
      </c>
      <c r="AR236" s="254" t="str">
        <f>SUBSTITUTE(SUBSTITUTE(SUBSTITUTE("dnt"&amp;$B236&amp;$C236&amp;$D236&amp;$E236,".","_"),"(","_"),")","")</f>
        <v>dnt703_2_5_1</v>
      </c>
      <c r="AS236" s="254" t="str">
        <f>IF(LEN(X236)=0,"",X236)</f>
        <v/>
      </c>
    </row>
    <row r="237" spans="1:61" x14ac:dyDescent="0.25">
      <c r="B237" s="679" t="s">
        <v>901</v>
      </c>
      <c r="C237" s="90"/>
      <c r="D237" s="21"/>
      <c r="E237" s="21"/>
      <c r="F237" s="21"/>
      <c r="G237" s="21"/>
      <c r="H237" s="758"/>
      <c r="I237" s="129"/>
      <c r="J237" s="448"/>
      <c r="K237" s="448"/>
      <c r="L237" s="1754"/>
      <c r="M237" s="1837"/>
      <c r="N237" s="4"/>
      <c r="O237" s="141"/>
      <c r="P237"/>
      <c r="Q237"/>
      <c r="R237" s="1656"/>
      <c r="S237"/>
      <c r="T237"/>
      <c r="U237"/>
      <c r="V237"/>
      <c r="W237"/>
      <c r="X237" s="1757"/>
    </row>
    <row r="238" spans="1:61" s="1066" customFormat="1" x14ac:dyDescent="0.25">
      <c r="A238" s="18"/>
      <c r="B238" s="679" t="s">
        <v>901</v>
      </c>
      <c r="C238" s="90"/>
      <c r="D238" s="21"/>
      <c r="E238" s="21"/>
      <c r="F238" s="21"/>
      <c r="G238" s="21"/>
      <c r="H238" s="758"/>
      <c r="I238" s="129"/>
      <c r="J238" s="1071"/>
      <c r="K238" s="1071"/>
      <c r="L238" s="1754"/>
      <c r="M238" s="1837"/>
      <c r="N238" s="4"/>
      <c r="O238" s="1068"/>
      <c r="R238" s="1656"/>
      <c r="X238" s="1757"/>
      <c r="AX238" s="76"/>
      <c r="AY238" s="76"/>
      <c r="AZ238" s="76"/>
      <c r="BA238" s="76"/>
      <c r="BB238" s="76"/>
      <c r="BC238" s="76"/>
      <c r="BD238" s="76"/>
      <c r="BE238" s="76"/>
      <c r="BF238" s="76"/>
      <c r="BG238" s="76"/>
      <c r="BH238" s="76"/>
      <c r="BI238" s="76"/>
    </row>
    <row r="239" spans="1:61" x14ac:dyDescent="0.25">
      <c r="B239" s="679" t="s">
        <v>901</v>
      </c>
      <c r="C239" s="90"/>
      <c r="D239" s="21"/>
      <c r="E239" s="21"/>
      <c r="F239" s="21"/>
      <c r="G239" s="21"/>
      <c r="H239" s="758"/>
      <c r="I239" s="129"/>
      <c r="J239" s="448"/>
      <c r="K239" s="448"/>
      <c r="L239" s="1754"/>
      <c r="M239" s="1837"/>
      <c r="N239" s="4"/>
      <c r="O239" s="141"/>
      <c r="P239"/>
      <c r="Q239"/>
      <c r="R239" s="1656"/>
      <c r="S239"/>
      <c r="T239"/>
      <c r="U239"/>
      <c r="V239"/>
      <c r="W239"/>
      <c r="X239" s="1757"/>
      <c r="AX239" s="1066"/>
      <c r="AY239" s="1066"/>
      <c r="AZ239" s="1066"/>
      <c r="BA239" s="1066"/>
      <c r="BB239" s="1066"/>
      <c r="BC239" s="1066"/>
      <c r="BD239" s="1066"/>
      <c r="BE239" s="1066"/>
      <c r="BF239" s="1066"/>
      <c r="BG239" s="1066"/>
      <c r="BH239" s="1066"/>
      <c r="BI239" s="1066"/>
    </row>
    <row r="240" spans="1:61" x14ac:dyDescent="0.25">
      <c r="B240" s="679" t="s">
        <v>901</v>
      </c>
      <c r="C240" s="90"/>
      <c r="D240" s="21"/>
      <c r="E240" s="21"/>
      <c r="F240" s="21"/>
      <c r="G240" s="21"/>
      <c r="H240" s="758"/>
      <c r="I240" s="129"/>
      <c r="J240" s="448"/>
      <c r="K240" s="448"/>
      <c r="L240" s="1754"/>
      <c r="M240" s="1837"/>
      <c r="N240" s="4"/>
      <c r="O240" s="141"/>
      <c r="P240"/>
      <c r="Q240"/>
      <c r="R240" s="1656"/>
      <c r="S240"/>
      <c r="T240"/>
      <c r="U240"/>
      <c r="V240"/>
      <c r="W240"/>
      <c r="X240" s="1757"/>
    </row>
    <row r="241" spans="1:61" x14ac:dyDescent="0.25">
      <c r="B241" s="679" t="s">
        <v>901</v>
      </c>
      <c r="C241" s="90"/>
      <c r="D241" s="21"/>
      <c r="E241" s="21"/>
      <c r="F241" s="21"/>
      <c r="G241" s="21"/>
      <c r="H241" s="758"/>
      <c r="I241" s="129"/>
      <c r="J241" s="448"/>
      <c r="K241" s="448"/>
      <c r="L241" s="1754"/>
      <c r="M241" s="1837"/>
      <c r="N241" s="4"/>
      <c r="O241" s="141"/>
      <c r="P241"/>
      <c r="Q241"/>
      <c r="R241" s="1656"/>
      <c r="S241"/>
      <c r="T241"/>
      <c r="U241"/>
      <c r="V241"/>
      <c r="W241"/>
      <c r="X241" s="1757"/>
    </row>
    <row r="242" spans="1:61" x14ac:dyDescent="0.25">
      <c r="B242" s="679" t="s">
        <v>901</v>
      </c>
      <c r="C242" s="90"/>
      <c r="D242" s="21"/>
      <c r="E242" s="21"/>
      <c r="F242" s="21"/>
      <c r="G242" s="21"/>
      <c r="H242" s="758"/>
      <c r="I242" s="129"/>
      <c r="J242" s="448"/>
      <c r="K242" s="448"/>
      <c r="L242" s="1754"/>
      <c r="M242" s="1837"/>
      <c r="N242" s="4"/>
      <c r="O242" s="141"/>
      <c r="P242"/>
      <c r="Q242"/>
      <c r="R242" s="1656"/>
      <c r="S242"/>
      <c r="T242"/>
      <c r="U242"/>
      <c r="V242"/>
      <c r="W242"/>
      <c r="X242" s="1757"/>
    </row>
    <row r="243" spans="1:61" s="417" customFormat="1" x14ac:dyDescent="0.25">
      <c r="A243" s="18"/>
      <c r="B243" s="679" t="s">
        <v>901</v>
      </c>
      <c r="C243" s="90"/>
      <c r="D243" s="21"/>
      <c r="E243" s="21"/>
      <c r="F243" s="21"/>
      <c r="G243" s="21"/>
      <c r="H243" s="758"/>
      <c r="I243" s="210"/>
      <c r="J243" s="449"/>
      <c r="K243" s="449"/>
      <c r="L243" s="527" t="s">
        <v>3779</v>
      </c>
      <c r="M243" s="427"/>
      <c r="N243" s="4"/>
      <c r="O243" s="141"/>
      <c r="R243" s="1656"/>
      <c r="X243" s="1757"/>
      <c r="Y243" s="780"/>
      <c r="AA243" s="783"/>
      <c r="AX243" s="76"/>
      <c r="AY243" s="76"/>
      <c r="AZ243" s="76"/>
      <c r="BA243" s="76"/>
      <c r="BB243" s="76"/>
      <c r="BC243" s="76"/>
      <c r="BD243" s="76"/>
      <c r="BE243" s="76"/>
      <c r="BF243" s="76"/>
      <c r="BG243" s="76"/>
      <c r="BH243" s="76"/>
      <c r="BI243" s="76"/>
    </row>
    <row r="244" spans="1:61" x14ac:dyDescent="0.25">
      <c r="B244" s="679" t="s">
        <v>903</v>
      </c>
      <c r="C244" s="90"/>
      <c r="D244" s="21"/>
      <c r="E244" s="21"/>
      <c r="F244" s="21"/>
      <c r="G244" s="21"/>
      <c r="H244" s="758"/>
      <c r="I244" s="533" t="s">
        <v>903</v>
      </c>
      <c r="J244" s="461"/>
      <c r="K244" s="461"/>
      <c r="L244" s="1864" t="s">
        <v>904</v>
      </c>
      <c r="M244" s="428"/>
      <c r="N244" s="4"/>
      <c r="O244" s="141"/>
      <c r="P244" s="94" t="b">
        <v>1</v>
      </c>
      <c r="Q244" s="94" t="b">
        <v>1</v>
      </c>
      <c r="R244" s="1656" t="b">
        <f ca="1">AND(S244,NOT(BI16="Tropical"))</f>
        <v>0</v>
      </c>
      <c r="S244" s="417" t="b">
        <f ca="1">(S13=2)</f>
        <v>0</v>
      </c>
      <c r="T244" s="94" t="b">
        <f ca="1">AND(NOT(S244),LEN(W244)&gt;0)</f>
        <v>0</v>
      </c>
      <c r="U244" s="94" t="str">
        <f>SUBSTITUTE(SUBSTITUTE(SUBSTITUTE("dd"&amp;B244&amp;C244&amp;D244&amp;E244&amp;F244,".","_"),"(","_"),")","")</f>
        <v>dd703_2_5_1_1</v>
      </c>
      <c r="V244"/>
      <c r="W244" s="12"/>
      <c r="X244" s="1757"/>
      <c r="AC244" s="417" t="b">
        <f ca="1">OR(AD244:AE244)</f>
        <v>0</v>
      </c>
      <c r="AD244" s="417" t="b">
        <f ca="1">T244</f>
        <v>0</v>
      </c>
      <c r="AE244" s="417" t="b">
        <f ca="1">AND(R244,OR(W244="Not Met",W244=""))</f>
        <v>0</v>
      </c>
      <c r="AP244" s="254" t="str">
        <f>SUBSTITUTE(SUBSTITUTE(SUBSTITUTE("dch"&amp;$B244&amp;$C244&amp;$D244&amp;$E244,".","_"),"(","_"),")","")</f>
        <v>dch703_2_5_1_1</v>
      </c>
      <c r="AQ244" s="254" t="str">
        <f>IF(LEN(W244)=0,"",W244)</f>
        <v/>
      </c>
      <c r="AR244" s="254" t="str">
        <f>SUBSTITUTE(SUBSTITUTE(SUBSTITUTE("dnt"&amp;$B244&amp;$C244&amp;$D244&amp;$E244,".","_"),"(","_"),")","")</f>
        <v>dnt703_2_5_1_1</v>
      </c>
      <c r="AS244" s="254" t="str">
        <f>IF(LEN(X244)=0,"",X244)</f>
        <v/>
      </c>
      <c r="AZ244" s="417"/>
      <c r="BA244" s="417"/>
      <c r="BB244" s="417"/>
      <c r="BC244" s="417"/>
      <c r="BD244" s="417"/>
      <c r="BE244" s="417"/>
      <c r="BF244" s="417"/>
      <c r="BG244" s="417"/>
      <c r="BH244" s="417"/>
      <c r="BI244" s="417"/>
    </row>
    <row r="245" spans="1:61" x14ac:dyDescent="0.25">
      <c r="B245" s="679" t="s">
        <v>903</v>
      </c>
      <c r="C245" s="90"/>
      <c r="D245" s="21"/>
      <c r="E245" s="21"/>
      <c r="F245" s="21"/>
      <c r="G245" s="21"/>
      <c r="H245" s="758"/>
      <c r="I245" s="129"/>
      <c r="J245" s="448"/>
      <c r="K245" s="448"/>
      <c r="L245" s="1782"/>
      <c r="M245" s="428"/>
      <c r="N245" s="4"/>
      <c r="O245" s="141"/>
      <c r="P245"/>
      <c r="Q245"/>
      <c r="R245"/>
      <c r="S245"/>
      <c r="T245"/>
      <c r="U245"/>
      <c r="V245"/>
      <c r="W245"/>
      <c r="X245" s="1757"/>
    </row>
    <row r="246" spans="1:61" x14ac:dyDescent="0.25">
      <c r="B246" s="679" t="s">
        <v>903</v>
      </c>
      <c r="C246" s="90"/>
      <c r="D246" s="21"/>
      <c r="E246" s="21"/>
      <c r="F246" s="21"/>
      <c r="G246" s="21"/>
      <c r="H246" s="758"/>
      <c r="I246" s="129"/>
      <c r="J246" s="448"/>
      <c r="K246" s="448"/>
      <c r="L246" s="1782"/>
      <c r="M246" s="428"/>
      <c r="N246" s="4"/>
      <c r="O246" s="141"/>
      <c r="P246"/>
      <c r="Q246"/>
      <c r="R246"/>
      <c r="S246"/>
      <c r="T246"/>
      <c r="U246"/>
      <c r="V246"/>
      <c r="W246"/>
      <c r="X246" s="1757"/>
    </row>
    <row r="247" spans="1:61" x14ac:dyDescent="0.25">
      <c r="B247" s="679" t="s">
        <v>903</v>
      </c>
      <c r="C247" s="90"/>
      <c r="D247" s="21"/>
      <c r="E247" s="21"/>
      <c r="F247" s="21"/>
      <c r="G247" s="21"/>
      <c r="H247" s="758"/>
      <c r="I247" s="129"/>
      <c r="J247" s="448"/>
      <c r="K247" s="448"/>
      <c r="L247" s="1782"/>
      <c r="M247" s="428"/>
      <c r="N247" s="4"/>
      <c r="O247" s="141"/>
      <c r="P247"/>
      <c r="Q247"/>
      <c r="R247"/>
      <c r="S247"/>
      <c r="T247"/>
      <c r="U247"/>
      <c r="V247"/>
      <c r="W247"/>
      <c r="X247" s="1757"/>
    </row>
    <row r="248" spans="1:61" x14ac:dyDescent="0.25">
      <c r="B248" s="679" t="s">
        <v>903</v>
      </c>
      <c r="C248" s="90"/>
      <c r="D248" s="21"/>
      <c r="E248" s="21"/>
      <c r="F248" s="21"/>
      <c r="G248" s="21"/>
      <c r="H248" s="758"/>
      <c r="I248" s="129"/>
      <c r="J248" s="448"/>
      <c r="K248" s="448"/>
      <c r="L248" s="1782"/>
      <c r="M248" s="428"/>
      <c r="N248" s="4"/>
      <c r="O248" s="141"/>
      <c r="P248"/>
      <c r="Q248"/>
      <c r="R248"/>
      <c r="S248"/>
      <c r="T248"/>
      <c r="U248"/>
      <c r="V248"/>
      <c r="W248"/>
      <c r="X248" s="1757"/>
    </row>
    <row r="249" spans="1:61" x14ac:dyDescent="0.25">
      <c r="B249" s="679" t="s">
        <v>903</v>
      </c>
      <c r="C249" s="90"/>
      <c r="D249" s="21"/>
      <c r="E249" s="21"/>
      <c r="F249" s="21"/>
      <c r="G249" s="21"/>
      <c r="H249" s="758"/>
      <c r="I249" s="129"/>
      <c r="J249" s="448"/>
      <c r="K249" s="448"/>
      <c r="L249" s="1782"/>
      <c r="M249" s="428"/>
      <c r="N249" s="4"/>
      <c r="O249" s="141"/>
      <c r="P249"/>
      <c r="Q249"/>
      <c r="R249"/>
      <c r="S249"/>
      <c r="T249"/>
      <c r="U249"/>
      <c r="V249"/>
      <c r="W249"/>
      <c r="X249" s="1757"/>
    </row>
    <row r="250" spans="1:61" x14ac:dyDescent="0.25">
      <c r="B250" s="679" t="s">
        <v>903</v>
      </c>
      <c r="C250" s="90"/>
      <c r="D250" s="21"/>
      <c r="E250" s="21"/>
      <c r="F250" s="21"/>
      <c r="G250" s="21"/>
      <c r="H250" s="758"/>
      <c r="I250" s="129"/>
      <c r="J250" s="448"/>
      <c r="K250" s="448"/>
      <c r="L250" s="1782"/>
      <c r="M250" s="428"/>
      <c r="N250" s="4"/>
      <c r="O250" s="141"/>
      <c r="P250"/>
      <c r="Q250"/>
      <c r="R250"/>
      <c r="S250"/>
      <c r="T250"/>
      <c r="U250"/>
      <c r="V250"/>
      <c r="W250"/>
      <c r="X250" s="1757"/>
    </row>
    <row r="251" spans="1:61" x14ac:dyDescent="0.25">
      <c r="B251" s="679" t="s">
        <v>903</v>
      </c>
      <c r="C251" s="90"/>
      <c r="D251" s="21"/>
      <c r="E251" s="21"/>
      <c r="F251" s="21"/>
      <c r="G251" s="21"/>
      <c r="H251" s="758"/>
      <c r="I251" s="210"/>
      <c r="J251" s="449"/>
      <c r="K251" s="449"/>
      <c r="L251" s="1843"/>
      <c r="M251" s="453"/>
      <c r="N251" s="4"/>
      <c r="O251" s="141"/>
      <c r="P251"/>
      <c r="Q251"/>
      <c r="R251"/>
      <c r="S251"/>
      <c r="T251"/>
      <c r="U251"/>
      <c r="V251"/>
      <c r="W251"/>
      <c r="X251" s="1757"/>
    </row>
    <row r="252" spans="1:61" ht="15" customHeight="1" x14ac:dyDescent="0.25">
      <c r="B252" s="679" t="s">
        <v>905</v>
      </c>
      <c r="C252" s="90"/>
      <c r="D252" s="21"/>
      <c r="E252" s="21"/>
      <c r="F252" s="21"/>
      <c r="G252" s="21"/>
      <c r="H252" s="758"/>
      <c r="I252" s="66" t="s">
        <v>905</v>
      </c>
      <c r="J252" s="161"/>
      <c r="K252" s="161"/>
      <c r="L252" s="1796" t="s">
        <v>906</v>
      </c>
      <c r="M252" s="1720" t="s">
        <v>3781</v>
      </c>
      <c r="N252" s="4"/>
      <c r="O252" s="1780">
        <f ca="1">IFERROR(INDEX(M257:M259,MATCH(W252,INDIRECT(U252),0)),0)*S252</f>
        <v>0</v>
      </c>
      <c r="P252" s="94" t="b">
        <v>1</v>
      </c>
      <c r="Q252" s="94" t="b">
        <v>1</v>
      </c>
      <c r="R252" s="134" t="b">
        <v>0</v>
      </c>
      <c r="S252" s="137" t="b">
        <f ca="1">AND(S13=2,OR(W260="Met",W260="N/A"))</f>
        <v>0</v>
      </c>
      <c r="T252" s="94" t="b">
        <f ca="1">AND(NOT(S252),LEN(W252)&gt;0)</f>
        <v>0</v>
      </c>
      <c r="U252" s="94" t="str">
        <f>SUBSTITUTE(SUBSTITUTE(SUBSTITUTE("dd"&amp;B252&amp;C252&amp;D252&amp;E252&amp;F252,".","_"),"(","_"),")","")</f>
        <v>dd703_2_5_2</v>
      </c>
      <c r="V252"/>
      <c r="W252" s="12"/>
      <c r="X252" s="1757"/>
      <c r="AC252" s="417" t="b">
        <f ca="1">OR(AD252:AE252)</f>
        <v>0</v>
      </c>
      <c r="AD252" s="417" t="b">
        <f ca="1">T252</f>
        <v>0</v>
      </c>
      <c r="AE252" s="417"/>
      <c r="AL252" s="254" t="str">
        <f>SUBSTITUTE(SUBSTITUTE(SUBSTITUTE("dpa"&amp;$B252&amp;$C252&amp;$D252&amp;$E252,".","_"),"(","_"),")","")</f>
        <v>dpa703_2_5_2</v>
      </c>
      <c r="AM252" s="254" t="str">
        <f>M252</f>
        <v>Per Table 703.2.5.2(a) or
703.2.5.2(b) or 
703.2.5.2(c)</v>
      </c>
      <c r="AN252" s="254" t="str">
        <f>SUBSTITUTE(SUBSTITUTE(SUBSTITUTE("dpc"&amp;$B252&amp;$C252&amp;$D252&amp;$E252,".","_"),"(","_"),")","")</f>
        <v>dpc703_2_5_2</v>
      </c>
      <c r="AO252" s="254">
        <f ca="1">O252</f>
        <v>0</v>
      </c>
      <c r="AP252" s="254" t="str">
        <f>SUBSTITUTE(SUBSTITUTE(SUBSTITUTE("dch"&amp;$B252&amp;$C252&amp;$D252&amp;$E252,".","_"),"(","_"),")","")</f>
        <v>dch703_2_5_2</v>
      </c>
      <c r="AQ252" s="254" t="str">
        <f>IF(LEN(W252)=0,"",W252)</f>
        <v/>
      </c>
      <c r="AR252" s="254" t="str">
        <f>SUBSTITUTE(SUBSTITUTE(SUBSTITUTE("dnt"&amp;$B252&amp;$C252&amp;$D252&amp;$E252,".","_"),"(","_"),")","")</f>
        <v>dnt703_2_5_2</v>
      </c>
      <c r="AS252" s="254" t="str">
        <f>IF(LEN(X252)=0,"",X252)</f>
        <v/>
      </c>
    </row>
    <row r="253" spans="1:61" x14ac:dyDescent="0.25">
      <c r="B253" s="679" t="s">
        <v>905</v>
      </c>
      <c r="C253" s="90"/>
      <c r="D253" s="21"/>
      <c r="E253" s="21"/>
      <c r="F253" s="21"/>
      <c r="G253" s="21"/>
      <c r="H253" s="758"/>
      <c r="I253" s="4"/>
      <c r="J253" s="161"/>
      <c r="K253" s="161"/>
      <c r="L253" s="1796"/>
      <c r="M253" s="1720"/>
      <c r="N253" s="4"/>
      <c r="O253" s="1780"/>
      <c r="P253"/>
      <c r="Q253"/>
      <c r="R253"/>
      <c r="S253"/>
      <c r="T253"/>
      <c r="U253"/>
      <c r="V253"/>
      <c r="W253"/>
      <c r="X253" s="1757"/>
    </row>
    <row r="254" spans="1:61" x14ac:dyDescent="0.25">
      <c r="B254" s="679" t="s">
        <v>905</v>
      </c>
      <c r="C254" s="90"/>
      <c r="D254" s="21"/>
      <c r="E254" s="21"/>
      <c r="F254" s="21"/>
      <c r="G254" s="21"/>
      <c r="H254" s="758"/>
      <c r="I254" s="4"/>
      <c r="J254" s="161"/>
      <c r="K254" s="161"/>
      <c r="L254" s="1796"/>
      <c r="M254" s="1720"/>
      <c r="N254" s="4"/>
      <c r="O254" s="1780"/>
      <c r="P254"/>
      <c r="Q254"/>
      <c r="R254"/>
      <c r="S254"/>
      <c r="T254"/>
      <c r="U254"/>
      <c r="V254"/>
      <c r="W254"/>
      <c r="X254" s="1757"/>
    </row>
    <row r="255" spans="1:61" x14ac:dyDescent="0.25">
      <c r="B255" s="679" t="s">
        <v>905</v>
      </c>
      <c r="C255" s="90"/>
      <c r="D255" s="21"/>
      <c r="E255" s="21"/>
      <c r="F255" s="21"/>
      <c r="G255" s="21"/>
      <c r="H255" s="758"/>
      <c r="I255" s="4"/>
      <c r="J255" s="161"/>
      <c r="K255" s="161"/>
      <c r="L255" s="1796"/>
      <c r="M255" s="1720"/>
      <c r="N255" s="4"/>
      <c r="O255" s="1780"/>
      <c r="P255"/>
      <c r="Q255"/>
      <c r="R255"/>
      <c r="S255"/>
      <c r="T255"/>
      <c r="U255"/>
      <c r="V255"/>
      <c r="W255"/>
      <c r="X255" s="1757"/>
    </row>
    <row r="256" spans="1:61" ht="15" customHeight="1" x14ac:dyDescent="0.25">
      <c r="B256" s="679" t="s">
        <v>905</v>
      </c>
      <c r="C256" s="90"/>
      <c r="D256" s="21"/>
      <c r="E256" s="21"/>
      <c r="F256" s="21"/>
      <c r="G256" s="21"/>
      <c r="H256" s="758"/>
      <c r="I256" s="4"/>
      <c r="J256" s="161"/>
      <c r="K256" s="161"/>
      <c r="L256" s="1796"/>
      <c r="M256" s="1720"/>
      <c r="N256" s="4"/>
      <c r="O256" s="1780"/>
      <c r="P256"/>
      <c r="Q256"/>
      <c r="R256"/>
      <c r="S256"/>
      <c r="T256"/>
      <c r="U256"/>
      <c r="V256"/>
      <c r="W256"/>
      <c r="X256" s="1757"/>
    </row>
    <row r="257" spans="1:61" s="417" customFormat="1" ht="15" customHeight="1" x14ac:dyDescent="0.25">
      <c r="A257" s="18"/>
      <c r="B257" s="679" t="s">
        <v>905</v>
      </c>
      <c r="C257" s="90"/>
      <c r="D257" s="21" t="s">
        <v>121</v>
      </c>
      <c r="E257" s="21"/>
      <c r="F257" s="21"/>
      <c r="G257" s="21"/>
      <c r="H257" s="758"/>
      <c r="I257" s="4"/>
      <c r="J257" s="430"/>
      <c r="K257" s="530" t="s">
        <v>121</v>
      </c>
      <c r="L257" s="447" t="s">
        <v>3480</v>
      </c>
      <c r="M257" s="473">
        <f>IFERROR(INDEX({1,1,2,3,3,4,4,4},T286),0)</f>
        <v>0</v>
      </c>
      <c r="N257" s="4"/>
      <c r="O257" s="141"/>
      <c r="X257" s="1757"/>
      <c r="Y257" s="780"/>
      <c r="AA257" s="783"/>
      <c r="AL257" s="254" t="str">
        <f>SUBSTITUTE(SUBSTITUTE(SUBSTITUTE("dpa"&amp;$B257&amp;$C257&amp;$D257&amp;$E257,".","_"),"(","_"),")","")</f>
        <v>dpa703_2_5_2_a</v>
      </c>
      <c r="AM257" s="254">
        <f>M257</f>
        <v>0</v>
      </c>
      <c r="AX257" s="76"/>
      <c r="AY257" s="76"/>
      <c r="AZ257" s="76"/>
      <c r="BA257" s="76"/>
      <c r="BB257" s="76"/>
      <c r="BC257" s="76"/>
      <c r="BD257" s="76"/>
      <c r="BE257" s="76"/>
      <c r="BF257" s="76"/>
      <c r="BG257" s="76"/>
      <c r="BH257" s="76"/>
      <c r="BI257" s="76"/>
    </row>
    <row r="258" spans="1:61" s="417" customFormat="1" ht="15" customHeight="1" x14ac:dyDescent="0.25">
      <c r="A258" s="18"/>
      <c r="B258" s="679" t="s">
        <v>905</v>
      </c>
      <c r="C258" s="90"/>
      <c r="D258" s="21" t="s">
        <v>122</v>
      </c>
      <c r="E258" s="21"/>
      <c r="F258" s="21"/>
      <c r="G258" s="21"/>
      <c r="H258" s="758"/>
      <c r="I258" s="4"/>
      <c r="J258" s="430"/>
      <c r="K258" s="530" t="s">
        <v>122</v>
      </c>
      <c r="L258" s="447" t="s">
        <v>3479</v>
      </c>
      <c r="M258" s="473">
        <f>IFERROR(INDEX({2,3,4,4,4,5,5,4},T286),0)</f>
        <v>0</v>
      </c>
      <c r="N258" s="4"/>
      <c r="O258" s="141"/>
      <c r="X258" s="1757"/>
      <c r="Y258" s="780"/>
      <c r="AA258" s="783"/>
      <c r="AL258" s="254" t="str">
        <f>SUBSTITUTE(SUBSTITUTE(SUBSTITUTE("dpa"&amp;$B258&amp;$C258&amp;$D258&amp;$E258,".","_"),"(","_"),")","")</f>
        <v>dpa703_2_5_2_b</v>
      </c>
      <c r="AM258" s="254">
        <f>M258</f>
        <v>0</v>
      </c>
      <c r="AX258" s="76"/>
      <c r="AY258" s="76"/>
    </row>
    <row r="259" spans="1:61" s="417" customFormat="1" ht="15" customHeight="1" x14ac:dyDescent="0.25">
      <c r="A259" s="18"/>
      <c r="B259" s="679" t="s">
        <v>905</v>
      </c>
      <c r="C259" s="90"/>
      <c r="D259" s="21" t="s">
        <v>123</v>
      </c>
      <c r="E259" s="21"/>
      <c r="F259" s="21"/>
      <c r="G259" s="21"/>
      <c r="H259" s="758"/>
      <c r="I259" s="210"/>
      <c r="J259" s="449"/>
      <c r="K259" s="551" t="s">
        <v>123</v>
      </c>
      <c r="L259" s="279" t="s">
        <v>3478</v>
      </c>
      <c r="M259" s="144">
        <f>IF(T287,3,1)*IFERROR(INDEX({0,0,0,6,6,6,6,6},T286),0)</f>
        <v>0</v>
      </c>
      <c r="N259" s="4"/>
      <c r="O259" s="141"/>
      <c r="X259" s="1757"/>
      <c r="Y259" s="780"/>
      <c r="AA259" s="783"/>
      <c r="AL259" s="254" t="str">
        <f>SUBSTITUTE(SUBSTITUTE(SUBSTITUTE("dpa"&amp;$B259&amp;$C259&amp;$D259&amp;$E259,".","_"),"(","_"),")","")</f>
        <v>dpa703_2_5_2_c</v>
      </c>
      <c r="AM259" s="254">
        <f>M259</f>
        <v>0</v>
      </c>
      <c r="AX259" s="76"/>
      <c r="AY259" s="76"/>
    </row>
    <row r="260" spans="1:61" x14ac:dyDescent="0.25">
      <c r="B260" s="679" t="s">
        <v>907</v>
      </c>
      <c r="C260" s="90"/>
      <c r="D260" s="21"/>
      <c r="E260" s="21"/>
      <c r="F260" s="21"/>
      <c r="G260" s="21"/>
      <c r="H260" s="758"/>
      <c r="I260" s="510" t="s">
        <v>907</v>
      </c>
      <c r="J260" s="448"/>
      <c r="K260" s="94"/>
      <c r="L260" s="1782" t="s">
        <v>908</v>
      </c>
      <c r="M260" s="456"/>
      <c r="N260" s="129"/>
      <c r="O260" s="502"/>
      <c r="P260" s="94" t="b">
        <v>1</v>
      </c>
      <c r="Q260" s="94" t="b">
        <v>1</v>
      </c>
      <c r="R260" s="94" t="b">
        <v>0</v>
      </c>
      <c r="S260" s="94" t="b">
        <f ca="1">(S13=2)</f>
        <v>0</v>
      </c>
      <c r="T260" s="94" t="b">
        <f ca="1">AND(NOT(S260),LEN(W260)&gt;0)</f>
        <v>0</v>
      </c>
      <c r="U260" s="94" t="str">
        <f>SUBSTITUTE(SUBSTITUTE(SUBSTITUTE("dd"&amp;B260&amp;C260&amp;D260&amp;E260&amp;F260,".","_"),"(","_"),")","")</f>
        <v>dd703_2_5_2_1</v>
      </c>
      <c r="V260" s="94"/>
      <c r="W260" s="109"/>
      <c r="X260" s="1770"/>
      <c r="AC260" s="417" t="b">
        <f ca="1">OR(AD260:AE260)</f>
        <v>0</v>
      </c>
      <c r="AD260" s="417" t="b">
        <f ca="1">T260</f>
        <v>0</v>
      </c>
      <c r="AE260" s="417"/>
      <c r="AP260" s="254" t="str">
        <f>SUBSTITUTE(SUBSTITUTE(SUBSTITUTE("dch"&amp;$B260&amp;$C260&amp;$D260&amp;$E260,".","_"),"(","_"),")","")</f>
        <v>dch703_2_5_2_1</v>
      </c>
      <c r="AQ260" s="254" t="str">
        <f>IF(LEN(W260)=0,"",W260)</f>
        <v/>
      </c>
      <c r="AR260" s="254" t="str">
        <f>SUBSTITUTE(SUBSTITUTE(SUBSTITUTE("dnt"&amp;$B260&amp;$C260&amp;$D260&amp;$E260,".","_"),"(","_"),")","")</f>
        <v>dnt703_2_5_2_1</v>
      </c>
      <c r="AS260" s="254" t="str">
        <f>IF(LEN(X260)=0,"",X260)</f>
        <v/>
      </c>
      <c r="AZ260" s="417"/>
      <c r="BA260" s="417"/>
      <c r="BB260" s="417"/>
      <c r="BC260" s="417"/>
      <c r="BD260" s="417"/>
      <c r="BE260" s="417"/>
      <c r="BF260" s="417"/>
      <c r="BG260" s="417"/>
      <c r="BH260" s="417"/>
      <c r="BI260" s="417"/>
    </row>
    <row r="261" spans="1:61" x14ac:dyDescent="0.25">
      <c r="B261" s="679" t="s">
        <v>907</v>
      </c>
      <c r="C261" s="90"/>
      <c r="D261" s="21"/>
      <c r="E261" s="21"/>
      <c r="F261" s="21"/>
      <c r="G261" s="21"/>
      <c r="H261" s="758"/>
      <c r="I261" s="129"/>
      <c r="J261" s="448"/>
      <c r="K261" s="448"/>
      <c r="L261" s="1782"/>
      <c r="M261" s="456"/>
      <c r="N261" s="129"/>
      <c r="O261" s="502"/>
      <c r="P261" s="94"/>
      <c r="Q261" s="94"/>
      <c r="R261" s="94"/>
      <c r="S261" s="94"/>
      <c r="T261" s="94"/>
      <c r="U261" s="94"/>
      <c r="V261" s="94"/>
      <c r="W261" s="94"/>
      <c r="X261" s="1770"/>
    </row>
    <row r="262" spans="1:61" x14ac:dyDescent="0.25">
      <c r="B262" s="679" t="s">
        <v>907</v>
      </c>
      <c r="C262" s="90"/>
      <c r="D262" s="21"/>
      <c r="E262" s="21"/>
      <c r="F262" s="21"/>
      <c r="G262" s="21"/>
      <c r="H262" s="758"/>
      <c r="I262" s="129"/>
      <c r="J262" s="448"/>
      <c r="K262" s="448"/>
      <c r="L262" s="1782"/>
      <c r="M262" s="456"/>
      <c r="N262" s="129"/>
      <c r="O262" s="502"/>
      <c r="P262" s="94"/>
      <c r="Q262" s="94"/>
      <c r="R262" s="94"/>
      <c r="S262" s="94"/>
      <c r="T262" s="94"/>
      <c r="U262" s="94"/>
      <c r="V262" s="94"/>
      <c r="W262" s="94"/>
      <c r="X262" s="1770"/>
    </row>
    <row r="263" spans="1:61" s="1066" customFormat="1" x14ac:dyDescent="0.25">
      <c r="A263" s="18"/>
      <c r="B263" s="679" t="s">
        <v>907</v>
      </c>
      <c r="C263" s="90"/>
      <c r="D263" s="21"/>
      <c r="E263" s="21"/>
      <c r="F263" s="21"/>
      <c r="G263" s="21"/>
      <c r="H263" s="758"/>
      <c r="I263" s="129"/>
      <c r="J263" s="1071"/>
      <c r="K263" s="1071"/>
      <c r="L263" s="1782"/>
      <c r="M263" s="1074"/>
      <c r="N263" s="129"/>
      <c r="O263" s="1070"/>
      <c r="P263" s="94"/>
      <c r="Q263" s="94"/>
      <c r="R263" s="94"/>
      <c r="S263" s="94"/>
      <c r="T263" s="94"/>
      <c r="U263" s="94"/>
      <c r="V263" s="94"/>
      <c r="W263" s="94"/>
      <c r="X263" s="1770"/>
      <c r="AX263" s="76"/>
      <c r="AY263" s="76"/>
      <c r="AZ263" s="76"/>
      <c r="BA263" s="76"/>
      <c r="BB263" s="76"/>
      <c r="BC263" s="76"/>
      <c r="BD263" s="76"/>
      <c r="BE263" s="76"/>
      <c r="BF263" s="76"/>
      <c r="BG263" s="76"/>
      <c r="BH263" s="76"/>
      <c r="BI263" s="76"/>
    </row>
    <row r="264" spans="1:61" x14ac:dyDescent="0.25">
      <c r="B264" s="679" t="s">
        <v>907</v>
      </c>
      <c r="C264" s="90"/>
      <c r="D264" s="21"/>
      <c r="E264" s="21"/>
      <c r="F264" s="21"/>
      <c r="G264" s="21"/>
      <c r="H264" s="758"/>
      <c r="I264" s="129"/>
      <c r="J264" s="448"/>
      <c r="K264" s="448"/>
      <c r="L264" s="1782"/>
      <c r="M264" s="456"/>
      <c r="N264" s="129"/>
      <c r="O264" s="502"/>
      <c r="P264" s="94"/>
      <c r="Q264" s="94"/>
      <c r="R264" s="94"/>
      <c r="S264" s="94"/>
      <c r="T264" s="94"/>
      <c r="U264" s="94"/>
      <c r="V264" s="94"/>
      <c r="W264" s="94"/>
      <c r="X264" s="1770"/>
      <c r="AX264" s="1066"/>
      <c r="AY264" s="1066"/>
      <c r="AZ264" s="1066"/>
      <c r="BA264" s="1066"/>
      <c r="BB264" s="1066"/>
      <c r="BC264" s="1066"/>
      <c r="BD264" s="1066"/>
      <c r="BE264" s="1066"/>
      <c r="BF264" s="1066"/>
      <c r="BG264" s="1066"/>
      <c r="BH264" s="1066"/>
      <c r="BI264" s="1066"/>
    </row>
    <row r="265" spans="1:61" x14ac:dyDescent="0.25">
      <c r="B265" s="679" t="s">
        <v>907</v>
      </c>
      <c r="C265" s="90"/>
      <c r="D265" s="21"/>
      <c r="E265" s="21"/>
      <c r="F265" s="21"/>
      <c r="G265" s="21"/>
      <c r="H265" s="758"/>
      <c r="I265" s="129"/>
      <c r="J265" s="448"/>
      <c r="K265" s="448"/>
      <c r="L265" s="1782"/>
      <c r="M265" s="456"/>
      <c r="N265" s="129"/>
      <c r="O265" s="502"/>
      <c r="P265" s="94"/>
      <c r="Q265" s="94"/>
      <c r="R265" s="94"/>
      <c r="S265" s="94"/>
      <c r="T265" s="94"/>
      <c r="U265" s="94"/>
      <c r="V265" s="94"/>
      <c r="W265" s="94"/>
      <c r="X265" s="1770"/>
    </row>
    <row r="266" spans="1:61" x14ac:dyDescent="0.25">
      <c r="B266" s="679" t="s">
        <v>907</v>
      </c>
      <c r="C266" s="90"/>
      <c r="D266" s="21"/>
      <c r="E266" s="21"/>
      <c r="F266" s="21"/>
      <c r="G266" s="21"/>
      <c r="H266" s="758"/>
      <c r="I266" s="129"/>
      <c r="J266" s="448"/>
      <c r="K266" s="448"/>
      <c r="L266" s="1782"/>
      <c r="M266" s="456"/>
      <c r="N266" s="129"/>
      <c r="O266" s="502"/>
      <c r="P266" s="94"/>
      <c r="Q266" s="94"/>
      <c r="R266" s="94"/>
      <c r="S266" s="94"/>
      <c r="T266" s="94"/>
      <c r="U266" s="94"/>
      <c r="V266" s="94"/>
      <c r="W266" s="94"/>
      <c r="X266" s="1770"/>
    </row>
    <row r="267" spans="1:61" x14ac:dyDescent="0.25">
      <c r="B267" s="679" t="s">
        <v>907</v>
      </c>
      <c r="C267" s="90"/>
      <c r="D267" s="21"/>
      <c r="E267" s="21"/>
      <c r="F267" s="21"/>
      <c r="G267" s="21"/>
      <c r="H267" s="758"/>
      <c r="I267" s="129"/>
      <c r="J267" s="448"/>
      <c r="K267" s="448"/>
      <c r="L267" s="1782"/>
      <c r="M267" s="456"/>
      <c r="N267" s="129"/>
      <c r="O267" s="502"/>
      <c r="P267" s="94"/>
      <c r="Q267" s="94"/>
      <c r="R267" s="94"/>
      <c r="S267" s="94"/>
      <c r="T267" s="94"/>
      <c r="U267" s="94"/>
      <c r="V267" s="94"/>
      <c r="W267" s="94"/>
      <c r="X267" s="1770"/>
      <c r="AX267" s="394"/>
      <c r="AY267" s="394"/>
    </row>
    <row r="268" spans="1:61" ht="15.75" thickBot="1" x14ac:dyDescent="0.3">
      <c r="B268" s="679" t="s">
        <v>907</v>
      </c>
      <c r="C268" s="90"/>
      <c r="D268" s="21"/>
      <c r="E268" s="21"/>
      <c r="F268" s="21"/>
      <c r="G268" s="21"/>
      <c r="H268" s="758"/>
      <c r="I268" s="240"/>
      <c r="J268" s="462"/>
      <c r="K268" s="462"/>
      <c r="L268" s="1797"/>
      <c r="M268" s="522"/>
      <c r="N268" s="240"/>
      <c r="O268" s="504"/>
      <c r="P268" s="99"/>
      <c r="Q268" s="99"/>
      <c r="R268" s="99"/>
      <c r="S268" s="99"/>
      <c r="T268" s="99"/>
      <c r="U268" s="99"/>
      <c r="V268" s="99"/>
      <c r="W268" s="99"/>
      <c r="X268" s="1771"/>
      <c r="AX268" s="394"/>
      <c r="AY268" s="394"/>
    </row>
    <row r="269" spans="1:61" ht="15.75" thickTop="1" x14ac:dyDescent="0.25">
      <c r="B269" s="679" t="s">
        <v>4582</v>
      </c>
      <c r="C269" s="90"/>
      <c r="D269" s="21"/>
      <c r="E269" s="21"/>
      <c r="F269" s="21"/>
      <c r="G269" s="21"/>
      <c r="H269" s="758"/>
      <c r="I269" s="27">
        <v>703.3</v>
      </c>
      <c r="J269" s="161"/>
      <c r="K269" s="161"/>
      <c r="L269" s="166" t="s">
        <v>910</v>
      </c>
      <c r="M269" s="428"/>
      <c r="N269" s="4"/>
      <c r="O269" s="141"/>
      <c r="P269"/>
      <c r="Q269"/>
      <c r="R269"/>
      <c r="S269"/>
      <c r="T269"/>
      <c r="U269"/>
      <c r="V269"/>
      <c r="W269"/>
      <c r="X269"/>
      <c r="AX269" s="394"/>
      <c r="AY269" s="394"/>
    </row>
    <row r="270" spans="1:61" x14ac:dyDescent="0.25">
      <c r="B270" s="679" t="s">
        <v>909</v>
      </c>
      <c r="C270" s="21" t="s">
        <v>256</v>
      </c>
      <c r="D270" s="21"/>
      <c r="E270" s="21"/>
      <c r="F270" s="21"/>
      <c r="G270" s="21"/>
      <c r="H270" s="758"/>
      <c r="I270" s="66" t="s">
        <v>909</v>
      </c>
      <c r="J270" s="161"/>
      <c r="K270" s="161"/>
      <c r="L270" s="1796" t="s">
        <v>911</v>
      </c>
      <c r="M270" s="428"/>
      <c r="N270" s="4"/>
      <c r="O270" s="141"/>
      <c r="P270"/>
      <c r="Q270"/>
      <c r="R270"/>
      <c r="S270"/>
      <c r="T270"/>
      <c r="U270"/>
      <c r="V270"/>
      <c r="W270" t="s">
        <v>3768</v>
      </c>
      <c r="X270" s="1757"/>
      <c r="AR270" s="254" t="str">
        <f>SUBSTITUTE(SUBSTITUTE(SUBSTITUTE("dnt"&amp;$B270&amp;$C270&amp;$D270&amp;$E270,".","_"),"(","_"),")","")</f>
        <v>dnt703_3_0_1</v>
      </c>
      <c r="AS270" s="254" t="str">
        <f>IF(LEN(X270)=0,"",X270)</f>
        <v/>
      </c>
      <c r="AX270" s="394"/>
      <c r="AY270" s="394"/>
    </row>
    <row r="271" spans="1:61" x14ac:dyDescent="0.25">
      <c r="B271" s="679" t="s">
        <v>909</v>
      </c>
      <c r="C271" s="21" t="s">
        <v>256</v>
      </c>
      <c r="D271" s="21"/>
      <c r="E271" s="21"/>
      <c r="F271" s="21"/>
      <c r="G271" s="21"/>
      <c r="H271" s="758"/>
      <c r="I271" s="4"/>
      <c r="J271" s="161"/>
      <c r="K271" s="161"/>
      <c r="L271" s="1796"/>
      <c r="M271" s="428"/>
      <c r="N271" s="4"/>
      <c r="O271" s="141"/>
      <c r="P271" s="94" t="b">
        <v>1</v>
      </c>
      <c r="Q271" s="94" t="b">
        <v>1</v>
      </c>
      <c r="R271" s="394" t="b">
        <v>0</v>
      </c>
      <c r="S271" s="394" t="b">
        <f ca="1">(S13=2)</f>
        <v>0</v>
      </c>
      <c r="T271" s="94" t="b">
        <f ca="1">AND(NOT(S271),LEN(W271)&gt;0)</f>
        <v>0</v>
      </c>
      <c r="U271" s="94" t="str">
        <f>SUBSTITUTE(SUBSTITUTE(SUBSTITUTE("dd"&amp;B271&amp;C271&amp;D271&amp;E271&amp;F271,".","_"),"(","_"),")","")</f>
        <v>dd703_3_0_1</v>
      </c>
      <c r="V271"/>
      <c r="W271" s="12"/>
      <c r="X271" s="1757"/>
      <c r="AC271" s="626" t="b">
        <f ca="1">OR(AD271:AE271)</f>
        <v>0</v>
      </c>
      <c r="AD271" s="626" t="b">
        <f ca="1">T271</f>
        <v>0</v>
      </c>
      <c r="AE271" s="626" t="b">
        <f ca="1">AND(W271=INDEX(INDIRECT(U271),1),LEN(X270)=0)</f>
        <v>0</v>
      </c>
      <c r="AP271" s="254" t="str">
        <f>SUBSTITUTE(SUBSTITUTE(SUBSTITUTE("dch"&amp;$B271&amp;$C271&amp;$D271&amp;$E271,".","_"),"(","_"),")","")</f>
        <v>dch703_3_0_1</v>
      </c>
      <c r="AQ271" s="254" t="str">
        <f>IF(LEN(W271)=0,"",W271)</f>
        <v/>
      </c>
    </row>
    <row r="272" spans="1:61" x14ac:dyDescent="0.25">
      <c r="B272" s="679" t="s">
        <v>909</v>
      </c>
      <c r="C272" s="21"/>
      <c r="D272" s="21"/>
      <c r="E272" s="21"/>
      <c r="F272" s="21"/>
      <c r="G272" s="21"/>
      <c r="H272" s="758"/>
      <c r="I272" s="4"/>
      <c r="J272" s="161"/>
      <c r="K272" s="161"/>
      <c r="L272" s="1796"/>
      <c r="M272" s="428"/>
      <c r="N272" s="4"/>
      <c r="O272" s="141"/>
      <c r="P272"/>
      <c r="Q272"/>
      <c r="X272" s="1757"/>
    </row>
    <row r="273" spans="1:61" x14ac:dyDescent="0.25">
      <c r="B273" s="679" t="s">
        <v>909</v>
      </c>
      <c r="C273" s="21"/>
      <c r="D273" s="21"/>
      <c r="E273" s="21"/>
      <c r="F273" s="21"/>
      <c r="G273" s="21"/>
      <c r="H273" s="758"/>
      <c r="I273" s="4"/>
      <c r="J273" s="161"/>
      <c r="K273" s="161"/>
      <c r="L273" s="1796"/>
      <c r="M273" s="428"/>
      <c r="N273" s="4"/>
      <c r="O273" s="141"/>
      <c r="P273"/>
      <c r="Q273"/>
      <c r="X273" s="1757"/>
      <c r="AX273" s="394"/>
      <c r="AY273" s="394"/>
    </row>
    <row r="274" spans="1:61" s="1066" customFormat="1" x14ac:dyDescent="0.25">
      <c r="A274" s="18"/>
      <c r="B274" s="679" t="s">
        <v>909</v>
      </c>
      <c r="C274" s="21"/>
      <c r="D274" s="21"/>
      <c r="E274" s="21"/>
      <c r="F274" s="21"/>
      <c r="G274" s="21"/>
      <c r="H274" s="758"/>
      <c r="I274" s="4"/>
      <c r="J274" s="1073"/>
      <c r="K274" s="1073"/>
      <c r="L274" s="1796"/>
      <c r="M274" s="1067"/>
      <c r="N274" s="4"/>
      <c r="O274" s="1068"/>
      <c r="X274" s="1757"/>
      <c r="AX274" s="76"/>
      <c r="AY274" s="76"/>
      <c r="AZ274" s="76"/>
      <c r="BA274" s="76"/>
      <c r="BB274" s="76"/>
      <c r="BC274" s="76"/>
      <c r="BD274" s="76"/>
      <c r="BE274" s="76"/>
      <c r="BF274" s="76"/>
      <c r="BG274" s="76"/>
      <c r="BH274" s="76"/>
      <c r="BI274" s="76"/>
    </row>
    <row r="275" spans="1:61" x14ac:dyDescent="0.25">
      <c r="B275" s="679" t="s">
        <v>909</v>
      </c>
      <c r="C275" s="21"/>
      <c r="D275" s="21"/>
      <c r="E275" s="21"/>
      <c r="F275" s="21"/>
      <c r="G275" s="21"/>
      <c r="H275" s="758"/>
      <c r="I275" s="4"/>
      <c r="J275" s="161"/>
      <c r="K275" s="161"/>
      <c r="L275" s="1796"/>
      <c r="M275" s="428"/>
      <c r="N275" s="4"/>
      <c r="O275" s="141"/>
      <c r="P275"/>
      <c r="Q275"/>
      <c r="R275"/>
      <c r="S275"/>
      <c r="T275"/>
      <c r="U275"/>
      <c r="V275"/>
      <c r="W275"/>
      <c r="X275" s="1757"/>
      <c r="AX275" s="1066"/>
      <c r="AY275" s="1066"/>
      <c r="AZ275" s="1066"/>
      <c r="BA275" s="1066"/>
      <c r="BB275" s="1066"/>
      <c r="BC275" s="1066"/>
      <c r="BD275" s="1066"/>
      <c r="BE275" s="1066"/>
      <c r="BF275" s="1066"/>
      <c r="BG275" s="1066"/>
      <c r="BH275" s="1066"/>
      <c r="BI275" s="1066"/>
    </row>
    <row r="276" spans="1:61" x14ac:dyDescent="0.25">
      <c r="B276" s="679" t="s">
        <v>909</v>
      </c>
      <c r="C276" s="21"/>
      <c r="D276" s="21"/>
      <c r="E276" s="21"/>
      <c r="F276" s="21"/>
      <c r="G276" s="21"/>
      <c r="H276" s="758"/>
      <c r="I276" s="4"/>
      <c r="J276" s="161"/>
      <c r="K276" s="161"/>
      <c r="L276" s="1796"/>
      <c r="M276" s="428"/>
      <c r="N276" s="4"/>
      <c r="O276" s="141"/>
      <c r="P276"/>
      <c r="Q276"/>
      <c r="R276"/>
      <c r="S276"/>
      <c r="T276"/>
      <c r="U276"/>
      <c r="V276"/>
      <c r="X276" s="1757"/>
    </row>
    <row r="277" spans="1:61" x14ac:dyDescent="0.25">
      <c r="B277" s="679" t="s">
        <v>909</v>
      </c>
      <c r="C277" s="21" t="s">
        <v>258</v>
      </c>
      <c r="D277" s="21"/>
      <c r="E277" s="21"/>
      <c r="F277" s="21"/>
      <c r="G277" s="21"/>
      <c r="H277" s="758"/>
      <c r="I277" s="4"/>
      <c r="J277" s="161"/>
      <c r="K277" s="161"/>
      <c r="L277" s="1796"/>
      <c r="M277" s="428"/>
      <c r="N277" s="4"/>
      <c r="O277" s="141"/>
      <c r="P277"/>
      <c r="Q277"/>
      <c r="V277"/>
      <c r="W277" s="394" t="s">
        <v>3769</v>
      </c>
      <c r="X277" s="1757"/>
      <c r="AR277" s="254" t="str">
        <f>SUBSTITUTE(SUBSTITUTE(SUBSTITUTE("dnt"&amp;$B277&amp;$C277&amp;$D277&amp;$E277,".","_"),"(","_"),")","")</f>
        <v>dnt703_3_0_2</v>
      </c>
      <c r="AS277" s="254" t="str">
        <f>IF(LEN(X277)=0,"",X277)</f>
        <v/>
      </c>
      <c r="AX277" s="394"/>
      <c r="AY277" s="394"/>
    </row>
    <row r="278" spans="1:61" x14ac:dyDescent="0.25">
      <c r="B278" s="679" t="s">
        <v>909</v>
      </c>
      <c r="C278" s="21" t="s">
        <v>258</v>
      </c>
      <c r="D278" s="21"/>
      <c r="E278" s="21"/>
      <c r="F278" s="21"/>
      <c r="G278" s="21"/>
      <c r="H278" s="758"/>
      <c r="I278" s="4"/>
      <c r="J278" s="161"/>
      <c r="K278" s="161"/>
      <c r="L278" s="1796"/>
      <c r="M278" s="428"/>
      <c r="N278" s="4"/>
      <c r="O278" s="141"/>
      <c r="P278" s="94" t="b">
        <v>1</v>
      </c>
      <c r="Q278" s="94" t="b">
        <v>1</v>
      </c>
      <c r="R278" s="394" t="b">
        <v>0</v>
      </c>
      <c r="S278" s="394" t="b">
        <f ca="1">(S13=2)</f>
        <v>0</v>
      </c>
      <c r="T278" s="94" t="b">
        <f ca="1">AND(NOT(S278),LEN(W278)&gt;0)</f>
        <v>0</v>
      </c>
      <c r="U278" s="94" t="str">
        <f>SUBSTITUTE(SUBSTITUTE(SUBSTITUTE("dd"&amp;B278&amp;C278&amp;D278&amp;E278&amp;F278,".","_"),"(","_"),")","")</f>
        <v>dd703_3_0_2</v>
      </c>
      <c r="V278"/>
      <c r="W278" s="12"/>
      <c r="X278" s="1757"/>
      <c r="AC278" s="626" t="b">
        <f ca="1">OR(AD278:AE278)</f>
        <v>0</v>
      </c>
      <c r="AD278" s="626" t="b">
        <f ca="1">T278</f>
        <v>0</v>
      </c>
      <c r="AE278" s="626" t="b">
        <f ca="1">AND(W278=INDEX(INDIRECT(U278),1),LEN(X277)=0)</f>
        <v>0</v>
      </c>
      <c r="AP278" s="254" t="str">
        <f>SUBSTITUTE(SUBSTITUTE(SUBSTITUTE("dch"&amp;$B278&amp;$C278&amp;$D278&amp;$E278,".","_"),"(","_"),")","")</f>
        <v>dch703_3_0_2</v>
      </c>
      <c r="AQ278" s="254" t="str">
        <f>IF(LEN(W278)=0,"",W278)</f>
        <v/>
      </c>
      <c r="AX278" s="394"/>
      <c r="AY278" s="394"/>
    </row>
    <row r="279" spans="1:61" x14ac:dyDescent="0.25">
      <c r="B279" s="679" t="s">
        <v>909</v>
      </c>
      <c r="C279" s="90"/>
      <c r="D279" s="21"/>
      <c r="E279" s="21"/>
      <c r="F279" s="21"/>
      <c r="G279" s="21"/>
      <c r="H279" s="758"/>
      <c r="I279" s="4"/>
      <c r="J279" s="161"/>
      <c r="K279" s="161"/>
      <c r="L279" s="1898" t="s">
        <v>1101</v>
      </c>
      <c r="M279" s="428"/>
      <c r="N279" s="4"/>
      <c r="O279" s="141"/>
      <c r="P279"/>
      <c r="Q279"/>
      <c r="R279"/>
      <c r="S279"/>
      <c r="T279"/>
      <c r="U279"/>
      <c r="V279"/>
      <c r="W279"/>
      <c r="X279" s="1757"/>
      <c r="AX279" s="394"/>
      <c r="AY279" s="394"/>
    </row>
    <row r="280" spans="1:61" x14ac:dyDescent="0.25">
      <c r="B280" s="679" t="s">
        <v>909</v>
      </c>
      <c r="C280" s="90"/>
      <c r="D280" s="21"/>
      <c r="E280" s="21"/>
      <c r="F280" s="21"/>
      <c r="G280" s="21"/>
      <c r="H280" s="758"/>
      <c r="I280" s="4"/>
      <c r="J280" s="161"/>
      <c r="K280" s="161"/>
      <c r="L280" s="1898"/>
      <c r="M280" s="428"/>
      <c r="N280" s="4"/>
      <c r="O280" s="141"/>
      <c r="P280"/>
      <c r="Q280"/>
      <c r="R280"/>
      <c r="S280"/>
      <c r="T280"/>
      <c r="U280"/>
      <c r="V280"/>
      <c r="W280"/>
      <c r="X280" s="1757"/>
    </row>
    <row r="281" spans="1:61" x14ac:dyDescent="0.25">
      <c r="B281" s="679" t="s">
        <v>909</v>
      </c>
      <c r="C281" s="90"/>
      <c r="D281" s="21"/>
      <c r="E281" s="21"/>
      <c r="F281" s="21"/>
      <c r="G281" s="21"/>
      <c r="H281" s="758"/>
      <c r="I281" s="4"/>
      <c r="J281" s="161"/>
      <c r="K281" s="161"/>
      <c r="L281" s="232" t="s">
        <v>912</v>
      </c>
      <c r="M281" s="428"/>
      <c r="N281" s="4"/>
      <c r="O281" s="141"/>
      <c r="P281"/>
      <c r="Q281"/>
      <c r="R281"/>
      <c r="S281"/>
      <c r="T281"/>
      <c r="U281"/>
      <c r="V281"/>
      <c r="W281"/>
      <c r="X281" s="1757"/>
    </row>
    <row r="282" spans="1:61" x14ac:dyDescent="0.25">
      <c r="B282" s="679" t="s">
        <v>909</v>
      </c>
      <c r="C282" s="90"/>
      <c r="D282" s="21"/>
      <c r="E282" s="21"/>
      <c r="F282" s="21"/>
      <c r="G282" s="21"/>
      <c r="H282" s="758"/>
      <c r="I282" s="129"/>
      <c r="J282" s="448"/>
      <c r="K282" s="448"/>
      <c r="L282" s="540" t="s">
        <v>913</v>
      </c>
      <c r="M282" s="428"/>
      <c r="N282" s="4"/>
      <c r="O282" s="141"/>
      <c r="P282"/>
      <c r="Q282"/>
      <c r="R282"/>
      <c r="S282"/>
      <c r="T282"/>
      <c r="U282"/>
      <c r="V282"/>
      <c r="W282"/>
      <c r="X282" s="1757"/>
      <c r="AX282" s="394"/>
      <c r="AY282" s="394"/>
    </row>
    <row r="283" spans="1:61" x14ac:dyDescent="0.25">
      <c r="B283" s="679" t="s">
        <v>909</v>
      </c>
      <c r="C283" s="90"/>
      <c r="D283" s="21"/>
      <c r="E283" s="21"/>
      <c r="F283" s="21"/>
      <c r="G283" s="21"/>
      <c r="H283" s="758"/>
      <c r="I283" s="210"/>
      <c r="J283" s="449"/>
      <c r="K283" s="449"/>
      <c r="L283" s="541" t="s">
        <v>914</v>
      </c>
      <c r="M283" s="428"/>
      <c r="N283" s="4"/>
      <c r="O283" s="141"/>
      <c r="P283"/>
      <c r="Q283"/>
      <c r="R283"/>
      <c r="S283"/>
      <c r="T283"/>
      <c r="U283"/>
      <c r="V283"/>
      <c r="W283"/>
      <c r="X283" s="1757"/>
    </row>
    <row r="284" spans="1:61" ht="15" customHeight="1" x14ac:dyDescent="0.25">
      <c r="B284" s="679" t="s">
        <v>915</v>
      </c>
      <c r="C284" s="90"/>
      <c r="D284" s="21"/>
      <c r="E284" s="21"/>
      <c r="F284" s="21"/>
      <c r="G284" s="21"/>
      <c r="H284" s="758"/>
      <c r="I284" s="510" t="s">
        <v>915</v>
      </c>
      <c r="J284" s="448"/>
      <c r="K284" s="448"/>
      <c r="L284" s="1835" t="s">
        <v>4277</v>
      </c>
      <c r="M284" s="1788">
        <v>4</v>
      </c>
      <c r="N284" s="129"/>
      <c r="O284" s="1774">
        <f ca="1">M284*S284*W284</f>
        <v>0</v>
      </c>
      <c r="P284" s="94" t="b">
        <v>1</v>
      </c>
      <c r="Q284" s="94" t="b">
        <v>1</v>
      </c>
      <c r="R284" s="134" t="b">
        <v>0</v>
      </c>
      <c r="S284" s="137" t="b">
        <f ca="1">(S13=2)</f>
        <v>0</v>
      </c>
      <c r="T284" s="94" t="b">
        <f ca="1">AND(NOT(S284),W284=TRUE)</f>
        <v>0</v>
      </c>
      <c r="U284"/>
      <c r="V284"/>
      <c r="W284" s="25"/>
      <c r="X284" s="1757"/>
      <c r="AC284" s="417" t="b">
        <f ca="1">OR(AD284:AE284)</f>
        <v>0</v>
      </c>
      <c r="AD284" s="417" t="b">
        <f ca="1">T284</f>
        <v>0</v>
      </c>
      <c r="AE284" s="417"/>
      <c r="AL284" s="254" t="str">
        <f>SUBSTITUTE(SUBSTITUTE(SUBSTITUTE("dpa"&amp;$B284&amp;$C284&amp;$D284&amp;$E284,".","_"),"(","_"),")","")</f>
        <v>dpa703_3_1</v>
      </c>
      <c r="AM284" s="254">
        <f>M284</f>
        <v>4</v>
      </c>
      <c r="AN284" s="254" t="str">
        <f>SUBSTITUTE(SUBSTITUTE(SUBSTITUTE("dpc"&amp;$B284&amp;$C284&amp;$D284&amp;$E284,".","_"),"(","_"),")","")</f>
        <v>dpc703_3_1</v>
      </c>
      <c r="AO284" s="254">
        <f ca="1">O284</f>
        <v>0</v>
      </c>
      <c r="AP284" s="254" t="str">
        <f>SUBSTITUTE(SUBSTITUTE(SUBSTITUTE("dch"&amp;$B284&amp;$C284&amp;$D284&amp;$E284,".","_"),"(","_"),")","")</f>
        <v>dch703_3_1</v>
      </c>
      <c r="AQ284" s="254" t="str">
        <f>IF(LEN(W284)=0,"",W284)</f>
        <v/>
      </c>
      <c r="AR284" s="254" t="str">
        <f>SUBSTITUTE(SUBSTITUTE(SUBSTITUTE("dnt"&amp;$B284&amp;$C284&amp;$D284&amp;$E284,".","_"),"(","_"),")","")</f>
        <v>dnt703_3_1</v>
      </c>
      <c r="AS284" s="254" t="str">
        <f>IF(LEN(X284)=0,"",X284)</f>
        <v/>
      </c>
    </row>
    <row r="285" spans="1:61" x14ac:dyDescent="0.25">
      <c r="B285" s="679" t="s">
        <v>915</v>
      </c>
      <c r="C285" s="90"/>
      <c r="D285" s="21"/>
      <c r="E285" s="21"/>
      <c r="F285" s="21"/>
      <c r="G285" s="21"/>
      <c r="H285" s="758"/>
      <c r="I285" s="129"/>
      <c r="J285" s="448"/>
      <c r="K285" s="448"/>
      <c r="L285" s="1877"/>
      <c r="M285" s="1788"/>
      <c r="N285" s="129"/>
      <c r="O285" s="1774"/>
      <c r="P285"/>
      <c r="Q285"/>
      <c r="U285"/>
      <c r="V285"/>
      <c r="W285"/>
      <c r="X285" s="1757"/>
    </row>
    <row r="286" spans="1:61" x14ac:dyDescent="0.25">
      <c r="B286" s="679" t="s">
        <v>915</v>
      </c>
      <c r="C286" s="90"/>
      <c r="D286" s="21"/>
      <c r="E286" s="21"/>
      <c r="F286" s="21"/>
      <c r="G286" s="21"/>
      <c r="H286" s="758"/>
      <c r="I286" s="129"/>
      <c r="J286" s="448"/>
      <c r="K286" s="448"/>
      <c r="L286" s="1877"/>
      <c r="M286" s="1788"/>
      <c r="N286" s="129"/>
      <c r="O286" s="1774"/>
      <c r="P286"/>
      <c r="Q286"/>
      <c r="S286" s="385" t="s">
        <v>3776</v>
      </c>
      <c r="T286" s="1" t="str">
        <f>BF16</f>
        <v>!!</v>
      </c>
      <c r="U286"/>
      <c r="V286"/>
      <c r="W286"/>
      <c r="X286" s="1757"/>
    </row>
    <row r="287" spans="1:61" x14ac:dyDescent="0.25">
      <c r="B287" s="679" t="s">
        <v>915</v>
      </c>
      <c r="C287" s="90"/>
      <c r="D287" s="21"/>
      <c r="E287" s="21"/>
      <c r="F287" s="21"/>
      <c r="G287" s="21"/>
      <c r="H287" s="758"/>
      <c r="I287" s="129"/>
      <c r="J287" s="448"/>
      <c r="K287" s="448"/>
      <c r="L287" s="1877"/>
      <c r="M287" s="1788"/>
      <c r="N287" s="129"/>
      <c r="O287" s="1774"/>
      <c r="P287"/>
      <c r="Q287"/>
      <c r="R287" s="1"/>
      <c r="S287" s="385" t="s">
        <v>5797</v>
      </c>
      <c r="T287" s="1" t="b">
        <f>AND(AY28&gt;3,AY19=INDEX(ddSingleOrMulti,2))</f>
        <v>0</v>
      </c>
      <c r="U287"/>
      <c r="V287"/>
      <c r="W287"/>
      <c r="X287" s="1757"/>
      <c r="AX287" s="417"/>
      <c r="AY287" s="417"/>
    </row>
    <row r="288" spans="1:61" x14ac:dyDescent="0.25">
      <c r="B288" s="679" t="s">
        <v>915</v>
      </c>
      <c r="C288" s="90"/>
      <c r="D288" s="21"/>
      <c r="E288" s="21"/>
      <c r="F288" s="21"/>
      <c r="G288" s="21"/>
      <c r="H288" s="758"/>
      <c r="I288" s="210"/>
      <c r="J288" s="449"/>
      <c r="K288" s="449"/>
      <c r="L288" s="1834"/>
      <c r="M288" s="1865"/>
      <c r="N288" s="210"/>
      <c r="O288" s="1764"/>
      <c r="P288"/>
      <c r="Q288"/>
      <c r="R288"/>
      <c r="S288"/>
      <c r="T288"/>
      <c r="U288"/>
      <c r="V288"/>
      <c r="W288"/>
      <c r="X288" s="1757"/>
      <c r="AX288" s="417"/>
      <c r="AY288" s="417"/>
    </row>
    <row r="289" spans="1:61" x14ac:dyDescent="0.25">
      <c r="B289" s="679" t="s">
        <v>916</v>
      </c>
      <c r="C289" s="90"/>
      <c r="D289" s="21"/>
      <c r="E289" s="21"/>
      <c r="F289" s="21"/>
      <c r="G289" s="21"/>
      <c r="H289" s="758"/>
      <c r="I289" s="66" t="s">
        <v>916</v>
      </c>
      <c r="J289" s="161"/>
      <c r="K289" s="161"/>
      <c r="L289" s="166" t="s">
        <v>917</v>
      </c>
      <c r="M289" s="431"/>
      <c r="N289" s="4"/>
      <c r="O289" s="141"/>
      <c r="P289"/>
      <c r="Q289"/>
      <c r="X289"/>
      <c r="AX289" s="417"/>
      <c r="AY289" s="417"/>
    </row>
    <row r="290" spans="1:61" x14ac:dyDescent="0.25">
      <c r="B290" s="679" t="s">
        <v>916</v>
      </c>
      <c r="C290" s="21" t="s">
        <v>256</v>
      </c>
      <c r="D290" s="21"/>
      <c r="E290" s="21"/>
      <c r="F290" s="21"/>
      <c r="G290" s="21"/>
      <c r="H290" s="758"/>
      <c r="I290" s="4"/>
      <c r="J290" s="230" t="s">
        <v>256</v>
      </c>
      <c r="K290" s="161"/>
      <c r="L290" s="161" t="s">
        <v>918</v>
      </c>
      <c r="M290" s="428"/>
      <c r="N290" s="4"/>
      <c r="O290" s="141">
        <f ca="1">IFERROR(INDEX(M291:M295,MATCH(W291,{0.9,0.92,0.94,0.96,0.98},1)),0)*S291</f>
        <v>0</v>
      </c>
      <c r="P290"/>
      <c r="Q290"/>
      <c r="U290"/>
      <c r="V290"/>
      <c r="W290" t="s">
        <v>3785</v>
      </c>
      <c r="X290" s="1757"/>
      <c r="AN290" s="254" t="str">
        <f>SUBSTITUTE(SUBSTITUTE(SUBSTITUTE("dpc"&amp;$B290&amp;$C290&amp;$D290&amp;$E290,".","_"),"(","_"),")","")</f>
        <v>dpc703_3_2 _1</v>
      </c>
      <c r="AO290" s="254">
        <f ca="1">O290</f>
        <v>0</v>
      </c>
      <c r="AR290" s="254" t="str">
        <f>SUBSTITUTE(SUBSTITUTE(SUBSTITUTE("dnt"&amp;$B290&amp;$C290&amp;$D290&amp;$E290,".","_"),"(","_"),")","")</f>
        <v>dnt703_3_2 _1</v>
      </c>
      <c r="AS290" s="254" t="str">
        <f>IF(LEN(X290)=0,"",X290)</f>
        <v/>
      </c>
      <c r="AX290" s="417"/>
      <c r="AY290" s="417"/>
    </row>
    <row r="291" spans="1:61" s="394" customFormat="1" x14ac:dyDescent="0.25">
      <c r="A291" s="18"/>
      <c r="B291" s="679" t="s">
        <v>916</v>
      </c>
      <c r="C291" s="21" t="s">
        <v>256</v>
      </c>
      <c r="D291" s="21" t="s">
        <v>256</v>
      </c>
      <c r="E291" s="21"/>
      <c r="F291" s="21"/>
      <c r="G291" s="21"/>
      <c r="H291" s="758"/>
      <c r="I291" s="4"/>
      <c r="J291" s="230"/>
      <c r="K291" s="395"/>
      <c r="L291" s="395" t="s">
        <v>3770</v>
      </c>
      <c r="M291" s="428">
        <f>IF(T287,IFERROR(INDEX({0,4,4,8,8,10,11,13},T286),0),IFERROR(INDEX({0,2,3,6,6,9,10,12},T286),0))</f>
        <v>0</v>
      </c>
      <c r="N291" s="4"/>
      <c r="O291" s="141"/>
      <c r="P291" s="94" t="b">
        <v>1</v>
      </c>
      <c r="Q291" s="94" t="b">
        <v>1</v>
      </c>
      <c r="R291" s="417" t="b">
        <v>0</v>
      </c>
      <c r="S291" s="417" t="b">
        <f ca="1">AND(S13=2,LEN(W297)=0,LEN(W300)=0,LEN(W305)=0,LEN(W311)=0,LEN(W318)=0,NOT(W331=TRUE),LEN(W336)=0)</f>
        <v>0</v>
      </c>
      <c r="T291" s="94" t="b">
        <f ca="1">AND(NOT(S291),LEN(W291)&gt;0)</f>
        <v>0</v>
      </c>
      <c r="U291"/>
      <c r="V291"/>
      <c r="W291" s="487"/>
      <c r="X291" s="1757"/>
      <c r="Y291" s="780"/>
      <c r="AA291" s="783"/>
      <c r="AC291" s="417" t="b">
        <f ca="1">OR(AD291:AE291)</f>
        <v>0</v>
      </c>
      <c r="AD291" s="417" t="b">
        <f ca="1">T291</f>
        <v>0</v>
      </c>
      <c r="AE291" s="417"/>
      <c r="AL291" s="254" t="str">
        <f>SUBSTITUTE(SUBSTITUTE(SUBSTITUTE("dpa"&amp;$B291&amp;$C291&amp;$D291&amp;$E291,".","_"),"(","_"),")","")</f>
        <v>dpa703_3_2 _1_1</v>
      </c>
      <c r="AM291" s="254">
        <f>M291</f>
        <v>0</v>
      </c>
      <c r="AP291" s="254" t="str">
        <f>SUBSTITUTE(SUBSTITUTE(SUBSTITUTE("dch"&amp;$B291&amp;$C291&amp;$D291&amp;$E291,".","_"),"(","_"),")","")</f>
        <v>dch703_3_2 _1_1</v>
      </c>
      <c r="AQ291" s="254" t="str">
        <f>IF(LEN(W291)=0,"",W291)</f>
        <v/>
      </c>
      <c r="AX291" s="791"/>
      <c r="AY291" s="791"/>
      <c r="AZ291" s="76"/>
      <c r="BA291" s="76"/>
      <c r="BB291" s="76"/>
      <c r="BC291" s="76"/>
      <c r="BD291" s="76"/>
      <c r="BE291" s="76"/>
      <c r="BF291" s="76"/>
      <c r="BG291" s="76"/>
      <c r="BH291" s="76"/>
      <c r="BI291" s="76"/>
    </row>
    <row r="292" spans="1:61" s="394" customFormat="1" x14ac:dyDescent="0.25">
      <c r="A292" s="18"/>
      <c r="B292" s="679" t="s">
        <v>916</v>
      </c>
      <c r="C292" s="21" t="s">
        <v>256</v>
      </c>
      <c r="D292" s="21" t="s">
        <v>258</v>
      </c>
      <c r="E292" s="21"/>
      <c r="F292" s="21"/>
      <c r="G292" s="21"/>
      <c r="H292" s="758"/>
      <c r="I292" s="4"/>
      <c r="J292" s="230"/>
      <c r="K292" s="395"/>
      <c r="L292" s="395" t="s">
        <v>3771</v>
      </c>
      <c r="M292" s="428">
        <f>IF(T287,IFERROR(INDEX({0,4,4,9,10,11,12,14},T286),0),IFERROR(INDEX({0,2,4,7,8,10,12,14},T286),0))</f>
        <v>0</v>
      </c>
      <c r="N292" s="4"/>
      <c r="O292" s="141"/>
      <c r="X292" s="1757"/>
      <c r="Y292" s="780"/>
      <c r="AA292" s="783"/>
      <c r="AL292" s="254" t="str">
        <f>SUBSTITUTE(SUBSTITUTE(SUBSTITUTE("dpa"&amp;$B292&amp;$C292&amp;$D292&amp;$E292,".","_"),"(","_"),")","")</f>
        <v>dpa703_3_2 _1_2</v>
      </c>
      <c r="AM292" s="254">
        <f>M292</f>
        <v>0</v>
      </c>
      <c r="AX292" s="417"/>
      <c r="AY292" s="417"/>
    </row>
    <row r="293" spans="1:61" s="394" customFormat="1" x14ac:dyDescent="0.25">
      <c r="A293" s="18"/>
      <c r="B293" s="679" t="s">
        <v>916</v>
      </c>
      <c r="C293" s="21" t="s">
        <v>256</v>
      </c>
      <c r="D293" s="21" t="s">
        <v>260</v>
      </c>
      <c r="E293" s="21"/>
      <c r="F293" s="21"/>
      <c r="G293" s="21"/>
      <c r="H293" s="758"/>
      <c r="I293" s="4"/>
      <c r="J293" s="230"/>
      <c r="K293" s="395"/>
      <c r="L293" s="395" t="s">
        <v>3772</v>
      </c>
      <c r="M293" s="428">
        <f>IF(T287,IFERROR(INDEX({0,5,5,10,11,12,14,16},T286),0),IFERROR(INDEX({0,3,4,9,9,12,14,16},T286),0))</f>
        <v>0</v>
      </c>
      <c r="N293" s="4"/>
      <c r="O293" s="141"/>
      <c r="X293" s="1757"/>
      <c r="Y293" s="780"/>
      <c r="AA293" s="783"/>
      <c r="AL293" s="254" t="str">
        <f>SUBSTITUTE(SUBSTITUTE(SUBSTITUTE("dpa"&amp;$B293&amp;$C293&amp;$D293&amp;$E293,".","_"),"(","_"),")","")</f>
        <v>dpa703_3_2 _1_3</v>
      </c>
      <c r="AM293" s="254">
        <f>M293</f>
        <v>0</v>
      </c>
      <c r="AX293" s="76"/>
      <c r="AY293" s="76"/>
    </row>
    <row r="294" spans="1:61" s="394" customFormat="1" x14ac:dyDescent="0.25">
      <c r="A294" s="18"/>
      <c r="B294" s="679" t="s">
        <v>916</v>
      </c>
      <c r="C294" s="21" t="s">
        <v>256</v>
      </c>
      <c r="D294" s="21" t="s">
        <v>269</v>
      </c>
      <c r="E294" s="21"/>
      <c r="F294" s="21"/>
      <c r="G294" s="21"/>
      <c r="H294" s="758"/>
      <c r="I294" s="4"/>
      <c r="J294" s="230"/>
      <c r="K294" s="395"/>
      <c r="L294" s="395" t="s">
        <v>3773</v>
      </c>
      <c r="M294" s="428">
        <f>IF(T287,IFERROR(INDEX({0,5,5,12,12,13,15,17},T286),0),IFERROR(INDEX({1,3,5,10,10,14,16,19},T286),0))</f>
        <v>0</v>
      </c>
      <c r="N294" s="4"/>
      <c r="O294" s="141"/>
      <c r="X294" s="1757"/>
      <c r="Y294" s="780"/>
      <c r="AA294" s="783"/>
      <c r="AL294" s="254" t="str">
        <f>SUBSTITUTE(SUBSTITUTE(SUBSTITUTE("dpa"&amp;$B294&amp;$C294&amp;$D294&amp;$E294,".","_"),"(","_"),")","")</f>
        <v>dpa703_3_2 _1_4</v>
      </c>
      <c r="AM294" s="254">
        <f>M294</f>
        <v>0</v>
      </c>
      <c r="AX294" s="76"/>
      <c r="AY294" s="76"/>
    </row>
    <row r="295" spans="1:61" x14ac:dyDescent="0.25">
      <c r="B295" s="679" t="s">
        <v>916</v>
      </c>
      <c r="C295" s="21" t="s">
        <v>256</v>
      </c>
      <c r="D295" s="21" t="s">
        <v>275</v>
      </c>
      <c r="E295" s="21"/>
      <c r="F295" s="21"/>
      <c r="G295" s="21"/>
      <c r="H295" s="758"/>
      <c r="I295" s="4"/>
      <c r="J295" s="449"/>
      <c r="K295" s="449"/>
      <c r="L295" s="449" t="s">
        <v>3774</v>
      </c>
      <c r="M295" s="453">
        <f>IF(T287,IFERROR(INDEX({0,6,6,13,13,14,16,18},T286),0),IFERROR(INDEX({1,3,6,11,12,16,18,21},T286),0))</f>
        <v>0</v>
      </c>
      <c r="N295" s="210"/>
      <c r="O295" s="503"/>
      <c r="P295"/>
      <c r="Q295"/>
      <c r="R295" s="394"/>
      <c r="S295" s="394"/>
      <c r="T295" s="394"/>
      <c r="U295" s="394"/>
      <c r="V295" s="394"/>
      <c r="W295" s="394"/>
      <c r="X295" s="1757"/>
      <c r="AL295" s="254" t="str">
        <f>SUBSTITUTE(SUBSTITUTE(SUBSTITUTE("dpa"&amp;$B295&amp;$C295&amp;$D295&amp;$E295,".","_"),"(","_"),")","")</f>
        <v>dpa703_3_2 _1_5</v>
      </c>
      <c r="AM295" s="254">
        <f>M295</f>
        <v>0</v>
      </c>
      <c r="AZ295" s="394"/>
      <c r="BA295" s="394"/>
      <c r="BB295" s="394"/>
      <c r="BC295" s="394"/>
      <c r="BD295" s="394"/>
      <c r="BE295" s="394"/>
      <c r="BF295" s="394"/>
      <c r="BG295" s="394"/>
      <c r="BH295" s="394"/>
      <c r="BI295" s="394"/>
    </row>
    <row r="296" spans="1:61" x14ac:dyDescent="0.25">
      <c r="B296" s="679" t="s">
        <v>916</v>
      </c>
      <c r="C296" s="21" t="s">
        <v>258</v>
      </c>
      <c r="D296" s="21"/>
      <c r="E296" s="21"/>
      <c r="F296" s="21"/>
      <c r="G296" s="21"/>
      <c r="H296" s="758"/>
      <c r="I296" s="4"/>
      <c r="J296" s="230" t="s">
        <v>258</v>
      </c>
      <c r="K296" s="161"/>
      <c r="L296" s="161" t="s">
        <v>919</v>
      </c>
      <c r="M296" s="428"/>
      <c r="N296" s="4"/>
      <c r="O296" s="141">
        <f ca="1">IFERROR(INDEX(M297:M298,MATCH(W297,{0.85,0.9},1)),0)*S297</f>
        <v>0</v>
      </c>
      <c r="P296"/>
      <c r="Q296"/>
      <c r="R296"/>
      <c r="S296"/>
      <c r="T296"/>
      <c r="U296"/>
      <c r="V296"/>
      <c r="W296" s="417" t="s">
        <v>3785</v>
      </c>
      <c r="X296" s="1757"/>
      <c r="AN296" s="254" t="str">
        <f>SUBSTITUTE(SUBSTITUTE(SUBSTITUTE("dpc"&amp;$B296&amp;$C296&amp;$D296&amp;$E296,".","_"),"(","_"),")","")</f>
        <v>dpc703_3_2 _2</v>
      </c>
      <c r="AO296" s="254">
        <f ca="1">O296</f>
        <v>0</v>
      </c>
      <c r="AR296" s="254" t="str">
        <f>SUBSTITUTE(SUBSTITUTE(SUBSTITUTE("dnt"&amp;$B296&amp;$C296&amp;$D296&amp;$E296,".","_"),"(","_"),")","")</f>
        <v>dnt703_3_2 _2</v>
      </c>
      <c r="AS296" s="254" t="str">
        <f>IF(LEN(X296)=0,"",X296)</f>
        <v/>
      </c>
    </row>
    <row r="297" spans="1:61" s="394" customFormat="1" x14ac:dyDescent="0.25">
      <c r="A297" s="18"/>
      <c r="B297" s="679" t="s">
        <v>916</v>
      </c>
      <c r="C297" s="21" t="s">
        <v>258</v>
      </c>
      <c r="D297" s="21" t="s">
        <v>256</v>
      </c>
      <c r="E297" s="21"/>
      <c r="F297" s="21"/>
      <c r="G297" s="21"/>
      <c r="H297" s="758"/>
      <c r="I297" s="4"/>
      <c r="J297" s="230"/>
      <c r="K297" s="395"/>
      <c r="L297" s="395" t="s">
        <v>3775</v>
      </c>
      <c r="M297" s="428">
        <f>IFERROR(INDEX({0,1,2,3,3,4,5,6},T286),0)</f>
        <v>0</v>
      </c>
      <c r="N297" s="4"/>
      <c r="O297" s="141"/>
      <c r="P297" s="94" t="b">
        <v>1</v>
      </c>
      <c r="Q297" s="94" t="b">
        <v>1</v>
      </c>
      <c r="R297" s="417" t="b">
        <v>0</v>
      </c>
      <c r="S297" s="417" t="b">
        <f ca="1">AND(S13=2,LEN(W291)=0,LEN(W300)=0,LEN(W305)=0,LEN(W311)=0,LEN(W316)=0,LEN(W318)=0,NOT(W331=TRUE),LEN(W336)=0)</f>
        <v>0</v>
      </c>
      <c r="T297" s="94" t="b">
        <f ca="1">AND(NOT(S297),LEN(W297)&gt;0)</f>
        <v>0</v>
      </c>
      <c r="U297"/>
      <c r="V297"/>
      <c r="W297" s="487"/>
      <c r="X297" s="1757"/>
      <c r="Y297" s="780"/>
      <c r="AA297" s="783"/>
      <c r="AC297" s="417" t="b">
        <f ca="1">OR(AD297:AE297)</f>
        <v>0</v>
      </c>
      <c r="AD297" s="417" t="b">
        <f ca="1">T297</f>
        <v>0</v>
      </c>
      <c r="AE297" s="417"/>
      <c r="AL297" s="254" t="str">
        <f>SUBSTITUTE(SUBSTITUTE(SUBSTITUTE("dpa"&amp;$B297&amp;$C297&amp;$D297&amp;$E297,".","_"),"(","_"),")","")</f>
        <v>dpa703_3_2 _2_1</v>
      </c>
      <c r="AM297" s="254">
        <f>M297</f>
        <v>0</v>
      </c>
      <c r="AP297" s="254" t="str">
        <f>SUBSTITUTE(SUBSTITUTE(SUBSTITUTE("dch"&amp;$B297&amp;$C297&amp;$D297&amp;$E297,".","_"),"(","_"),")","")</f>
        <v>dch703_3_2 _2_1</v>
      </c>
      <c r="AQ297" s="254" t="str">
        <f>IF(LEN(W297)=0,"",W297)</f>
        <v/>
      </c>
      <c r="AX297" s="417"/>
      <c r="AY297" s="417"/>
      <c r="AZ297" s="76"/>
      <c r="BA297" s="76"/>
      <c r="BB297" s="76"/>
      <c r="BC297" s="76"/>
      <c r="BD297" s="76"/>
      <c r="BE297" s="76"/>
      <c r="BF297" s="76"/>
      <c r="BG297" s="76"/>
      <c r="BH297" s="76"/>
      <c r="BI297" s="76"/>
    </row>
    <row r="298" spans="1:61" x14ac:dyDescent="0.25">
      <c r="B298" s="679" t="s">
        <v>916</v>
      </c>
      <c r="C298" s="21" t="s">
        <v>258</v>
      </c>
      <c r="D298" s="21" t="s">
        <v>258</v>
      </c>
      <c r="E298" s="21"/>
      <c r="F298" s="21"/>
      <c r="G298" s="21"/>
      <c r="H298" s="758"/>
      <c r="I298" s="4"/>
      <c r="J298" s="449"/>
      <c r="K298" s="449"/>
      <c r="L298" s="449" t="s">
        <v>3770</v>
      </c>
      <c r="M298" s="453">
        <f>IFERROR(INDEX({0,2,3,6,6,9,10,12},T286),0)</f>
        <v>0</v>
      </c>
      <c r="N298" s="210"/>
      <c r="O298" s="503"/>
      <c r="P298"/>
      <c r="Q298"/>
      <c r="R298" s="394"/>
      <c r="S298" s="394"/>
      <c r="T298" s="394"/>
      <c r="U298" s="394"/>
      <c r="V298" s="394"/>
      <c r="W298" s="394"/>
      <c r="X298" s="1757"/>
      <c r="AC298" s="394"/>
      <c r="AD298" s="394"/>
      <c r="AE298" s="394"/>
      <c r="AL298" s="254" t="str">
        <f>SUBSTITUTE(SUBSTITUTE(SUBSTITUTE("dpa"&amp;$B298&amp;$C298&amp;$D298&amp;$E298,".","_"),"(","_"),")","")</f>
        <v>dpa703_3_2 _2_2</v>
      </c>
      <c r="AM298" s="254">
        <f>M298</f>
        <v>0</v>
      </c>
      <c r="AX298" s="417"/>
      <c r="AY298" s="417"/>
      <c r="AZ298" s="394"/>
      <c r="BA298" s="394"/>
      <c r="BB298" s="394"/>
      <c r="BC298" s="394"/>
      <c r="BD298" s="394"/>
      <c r="BE298" s="394"/>
      <c r="BF298" s="394"/>
      <c r="BG298" s="394"/>
      <c r="BH298" s="394"/>
      <c r="BI298" s="394"/>
    </row>
    <row r="299" spans="1:61" x14ac:dyDescent="0.25">
      <c r="B299" s="679" t="s">
        <v>916</v>
      </c>
      <c r="C299" s="21" t="s">
        <v>260</v>
      </c>
      <c r="D299" s="21"/>
      <c r="E299" s="21"/>
      <c r="F299" s="21"/>
      <c r="G299" s="21"/>
      <c r="H299" s="758"/>
      <c r="I299" s="4"/>
      <c r="J299" s="230" t="s">
        <v>260</v>
      </c>
      <c r="K299" s="161"/>
      <c r="L299" s="161" t="s">
        <v>920</v>
      </c>
      <c r="M299" s="428"/>
      <c r="N299" s="4"/>
      <c r="O299" s="141">
        <f ca="1">IFERROR(INDEX(M300:M303,MATCH(W300,{0.85,0.9,0.94,0.96},1)),0)*S300</f>
        <v>0</v>
      </c>
      <c r="P299"/>
      <c r="Q299"/>
      <c r="R299"/>
      <c r="S299"/>
      <c r="T299"/>
      <c r="U299"/>
      <c r="V299"/>
      <c r="W299" s="417" t="s">
        <v>3785</v>
      </c>
      <c r="X299" s="1757"/>
      <c r="AN299" s="254" t="str">
        <f>SUBSTITUTE(SUBSTITUTE(SUBSTITUTE("dpc"&amp;$B299&amp;$C299&amp;$D299&amp;$E299,".","_"),"(","_"),")","")</f>
        <v>dpc703_3_2 _3</v>
      </c>
      <c r="AO299" s="254">
        <f ca="1">O299</f>
        <v>0</v>
      </c>
      <c r="AR299" s="254" t="str">
        <f>SUBSTITUTE(SUBSTITUTE(SUBSTITUTE("dnt"&amp;$B299&amp;$C299&amp;$D299&amp;$E299,".","_"),"(","_"),")","")</f>
        <v>dnt703_3_2 _3</v>
      </c>
      <c r="AS299" s="254" t="str">
        <f>IF(LEN(X299)=0,"",X299)</f>
        <v/>
      </c>
      <c r="AX299" s="417"/>
      <c r="AY299" s="417"/>
    </row>
    <row r="300" spans="1:61" s="394" customFormat="1" x14ac:dyDescent="0.25">
      <c r="A300" s="18"/>
      <c r="B300" s="679" t="s">
        <v>916</v>
      </c>
      <c r="C300" s="21" t="s">
        <v>260</v>
      </c>
      <c r="D300" s="21" t="s">
        <v>256</v>
      </c>
      <c r="E300" s="21"/>
      <c r="F300" s="21"/>
      <c r="G300" s="21"/>
      <c r="H300" s="758"/>
      <c r="I300" s="4"/>
      <c r="J300" s="230"/>
      <c r="K300" s="395"/>
      <c r="L300" s="395" t="s">
        <v>3775</v>
      </c>
      <c r="M300" s="428">
        <f>IFERROR(INDEX({0,1,1,2,3,4,4,4},T286),0)</f>
        <v>0</v>
      </c>
      <c r="N300" s="4"/>
      <c r="O300" s="141"/>
      <c r="P300" s="94" t="b">
        <v>1</v>
      </c>
      <c r="Q300" s="94" t="b">
        <v>1</v>
      </c>
      <c r="R300" s="417" t="b">
        <v>0</v>
      </c>
      <c r="S300" s="417" t="b">
        <f ca="1">AND(S13=2,LEN(W291)=0,LEN(W297)=0,LEN(W305)=0,LEN(W311)=0,LEN(W316)=0,LEN(W318)=0,NOT(W331=TRUE),LEN(W336)=0)</f>
        <v>0</v>
      </c>
      <c r="T300" s="94" t="b">
        <f ca="1">AND(NOT(S300),LEN(W300)&gt;0)</f>
        <v>0</v>
      </c>
      <c r="U300"/>
      <c r="V300"/>
      <c r="W300" s="487"/>
      <c r="X300" s="1757"/>
      <c r="Y300" s="780"/>
      <c r="AA300" s="783"/>
      <c r="AC300" s="417" t="b">
        <f ca="1">OR(AD300:AE300)</f>
        <v>0</v>
      </c>
      <c r="AD300" s="417" t="b">
        <f ca="1">T300</f>
        <v>0</v>
      </c>
      <c r="AE300" s="417"/>
      <c r="AL300" s="254" t="str">
        <f>SUBSTITUTE(SUBSTITUTE(SUBSTITUTE("dpa"&amp;$B300&amp;$C300&amp;$D300&amp;$E300,".","_"),"(","_"),")","")</f>
        <v>dpa703_3_2 _3_1</v>
      </c>
      <c r="AM300" s="254">
        <f>M300</f>
        <v>0</v>
      </c>
      <c r="AP300" s="254" t="str">
        <f>SUBSTITUTE(SUBSTITUTE(SUBSTITUTE("dch"&amp;$B300&amp;$C300&amp;$D300&amp;$E300,".","_"),"(","_"),")","")</f>
        <v>dch703_3_2 _3_1</v>
      </c>
      <c r="AQ300" s="254" t="str">
        <f>IF(LEN(W300)=0,"",W300)</f>
        <v/>
      </c>
      <c r="AX300" s="417"/>
      <c r="AY300" s="417"/>
      <c r="AZ300" s="76"/>
      <c r="BA300" s="76"/>
      <c r="BB300" s="76"/>
      <c r="BC300" s="76"/>
      <c r="BD300" s="76"/>
      <c r="BE300" s="76"/>
      <c r="BF300" s="76"/>
      <c r="BG300" s="76"/>
      <c r="BH300" s="76"/>
      <c r="BI300" s="76"/>
    </row>
    <row r="301" spans="1:61" s="394" customFormat="1" x14ac:dyDescent="0.25">
      <c r="A301" s="18"/>
      <c r="B301" s="679" t="s">
        <v>916</v>
      </c>
      <c r="C301" s="21" t="s">
        <v>260</v>
      </c>
      <c r="D301" s="21" t="s">
        <v>258</v>
      </c>
      <c r="E301" s="21"/>
      <c r="F301" s="21"/>
      <c r="G301" s="21"/>
      <c r="H301" s="758"/>
      <c r="I301" s="4"/>
      <c r="J301" s="230"/>
      <c r="K301" s="395"/>
      <c r="L301" s="395" t="s">
        <v>3770</v>
      </c>
      <c r="M301" s="428">
        <f>IFERROR(INDEX({0,1,2,4,6,7,8,6},T286),0)</f>
        <v>0</v>
      </c>
      <c r="N301" s="4"/>
      <c r="O301" s="141"/>
      <c r="X301" s="1757"/>
      <c r="Y301" s="780"/>
      <c r="AA301" s="783"/>
      <c r="AL301" s="254" t="str">
        <f>SUBSTITUTE(SUBSTITUTE(SUBSTITUTE("dpa"&amp;$B301&amp;$C301&amp;$D301&amp;$E301,".","_"),"(","_"),")","")</f>
        <v>dpa703_3_2 _3_2</v>
      </c>
      <c r="AM301" s="254">
        <f>M301</f>
        <v>0</v>
      </c>
      <c r="AX301" s="816"/>
      <c r="AY301" s="816"/>
    </row>
    <row r="302" spans="1:61" s="394" customFormat="1" x14ac:dyDescent="0.25">
      <c r="A302" s="18"/>
      <c r="B302" s="679" t="s">
        <v>916</v>
      </c>
      <c r="C302" s="21" t="s">
        <v>260</v>
      </c>
      <c r="D302" s="21" t="s">
        <v>260</v>
      </c>
      <c r="E302" s="21"/>
      <c r="F302" s="21"/>
      <c r="G302" s="21"/>
      <c r="H302" s="758"/>
      <c r="I302" s="4"/>
      <c r="J302" s="230"/>
      <c r="K302" s="395"/>
      <c r="L302" s="395" t="s">
        <v>3772</v>
      </c>
      <c r="M302" s="428">
        <f>IFERROR(INDEX({0,2,3,5,8,9,10,8},T286),0)</f>
        <v>0</v>
      </c>
      <c r="N302" s="4"/>
      <c r="O302" s="141"/>
      <c r="X302" s="1757"/>
      <c r="Y302" s="780"/>
      <c r="AA302" s="783"/>
      <c r="AL302" s="254" t="str">
        <f>SUBSTITUTE(SUBSTITUTE(SUBSTITUTE("dpa"&amp;$B302&amp;$C302&amp;$D302&amp;$E302,".","_"),"(","_"),")","")</f>
        <v>dpa703_3_2 _3_3</v>
      </c>
      <c r="AM302" s="254">
        <f>M302</f>
        <v>0</v>
      </c>
      <c r="AX302" s="417"/>
      <c r="AY302" s="417"/>
    </row>
    <row r="303" spans="1:61" x14ac:dyDescent="0.25">
      <c r="B303" s="679" t="s">
        <v>916</v>
      </c>
      <c r="C303" s="21" t="s">
        <v>260</v>
      </c>
      <c r="D303" s="21" t="s">
        <v>269</v>
      </c>
      <c r="E303" s="21"/>
      <c r="F303" s="21"/>
      <c r="G303" s="21"/>
      <c r="H303" s="758"/>
      <c r="I303" s="4"/>
      <c r="J303" s="449"/>
      <c r="K303" s="449"/>
      <c r="L303" s="449" t="s">
        <v>3773</v>
      </c>
      <c r="M303" s="453">
        <f>IFERROR(INDEX({0,2,4,6,9,11,12,10},T286),0)</f>
        <v>0</v>
      </c>
      <c r="N303" s="210"/>
      <c r="O303" s="503"/>
      <c r="P303"/>
      <c r="Q303"/>
      <c r="R303" s="394"/>
      <c r="S303" s="394"/>
      <c r="T303" s="394"/>
      <c r="U303" s="394"/>
      <c r="V303" s="394"/>
      <c r="W303" s="394"/>
      <c r="X303" s="1757"/>
      <c r="AC303" s="394"/>
      <c r="AD303" s="394"/>
      <c r="AE303" s="394"/>
      <c r="AL303" s="254" t="str">
        <f>SUBSTITUTE(SUBSTITUTE(SUBSTITUTE("dpa"&amp;$B303&amp;$C303&amp;$D303&amp;$E303,".","_"),"(","_"),")","")</f>
        <v>dpa703_3_2 _3_4</v>
      </c>
      <c r="AM303" s="254">
        <f>M303</f>
        <v>0</v>
      </c>
      <c r="AX303" s="417"/>
      <c r="AY303" s="417"/>
      <c r="AZ303" s="394"/>
      <c r="BA303" s="394"/>
      <c r="BB303" s="394"/>
      <c r="BC303" s="394"/>
      <c r="BD303" s="394"/>
      <c r="BE303" s="394"/>
      <c r="BF303" s="394"/>
      <c r="BG303" s="394"/>
      <c r="BH303" s="394"/>
      <c r="BI303" s="394"/>
    </row>
    <row r="304" spans="1:61" x14ac:dyDescent="0.25">
      <c r="B304" s="679" t="s">
        <v>916</v>
      </c>
      <c r="C304" s="21" t="s">
        <v>269</v>
      </c>
      <c r="D304" s="21"/>
      <c r="E304" s="21"/>
      <c r="F304" s="21"/>
      <c r="G304" s="21"/>
      <c r="H304" s="758"/>
      <c r="I304" s="4"/>
      <c r="J304" s="230" t="s">
        <v>269</v>
      </c>
      <c r="K304" s="161"/>
      <c r="L304" s="161" t="s">
        <v>921</v>
      </c>
      <c r="M304" s="428"/>
      <c r="N304" s="4"/>
      <c r="O304" s="141">
        <f ca="1">IFERROR(INDEX(M305:M306,MATCH(W305,{0.85,0.9},1)),0)*S305</f>
        <v>0</v>
      </c>
      <c r="P304"/>
      <c r="Q304"/>
      <c r="R304"/>
      <c r="S304"/>
      <c r="T304"/>
      <c r="U304"/>
      <c r="V304"/>
      <c r="W304" s="417" t="s">
        <v>3785</v>
      </c>
      <c r="X304" s="1757"/>
      <c r="AN304" s="254" t="str">
        <f>SUBSTITUTE(SUBSTITUTE(SUBSTITUTE("dpc"&amp;$B304&amp;$C304&amp;$D304&amp;$E304,".","_"),"(","_"),")","")</f>
        <v>dpc703_3_2 _4</v>
      </c>
      <c r="AO304" s="254">
        <f ca="1">O304</f>
        <v>0</v>
      </c>
      <c r="AR304" s="254" t="str">
        <f>SUBSTITUTE(SUBSTITUTE(SUBSTITUTE("dnt"&amp;$B304&amp;$C304&amp;$D304&amp;$E304,".","_"),"(","_"),")","")</f>
        <v>dnt703_3_2 _4</v>
      </c>
      <c r="AS304" s="254" t="str">
        <f>IF(LEN(X304)=0,"",X304)</f>
        <v/>
      </c>
      <c r="AX304" s="417"/>
      <c r="AY304" s="417"/>
    </row>
    <row r="305" spans="1:61" s="394" customFormat="1" x14ac:dyDescent="0.25">
      <c r="A305" s="18"/>
      <c r="B305" s="679" t="s">
        <v>916</v>
      </c>
      <c r="C305" s="21" t="s">
        <v>269</v>
      </c>
      <c r="D305" s="21" t="s">
        <v>256</v>
      </c>
      <c r="E305" s="21"/>
      <c r="F305" s="21"/>
      <c r="G305" s="21"/>
      <c r="H305" s="758"/>
      <c r="I305" s="4"/>
      <c r="J305" s="230"/>
      <c r="K305" s="395"/>
      <c r="L305" s="395" t="s">
        <v>3775</v>
      </c>
      <c r="M305" s="428">
        <f>IFERROR(INDEX({0,1,1,3,3,4,4,5},T286),0)</f>
        <v>0</v>
      </c>
      <c r="N305" s="4"/>
      <c r="O305" s="141"/>
      <c r="P305" s="94" t="b">
        <v>1</v>
      </c>
      <c r="Q305" s="94" t="b">
        <v>1</v>
      </c>
      <c r="R305" s="417" t="b">
        <v>0</v>
      </c>
      <c r="S305" s="417" t="b">
        <f ca="1">AND(S13=2,LEN(W291)=0,LEN(W297)=0,LEN(W300)=0,LEN(W311)=0,LEN(W316)=0,LEN(W318)=0,NOT(W331=TRUE),LEN(W336)=0)</f>
        <v>0</v>
      </c>
      <c r="T305" s="94" t="b">
        <f ca="1">AND(NOT(S305),LEN(W305)&gt;0)</f>
        <v>0</v>
      </c>
      <c r="U305"/>
      <c r="V305"/>
      <c r="W305" s="487"/>
      <c r="X305" s="1757"/>
      <c r="Y305" s="780"/>
      <c r="AA305" s="783"/>
      <c r="AC305" s="417" t="b">
        <f ca="1">OR(AD305:AE305)</f>
        <v>0</v>
      </c>
      <c r="AD305" s="417" t="b">
        <f ca="1">T305</f>
        <v>0</v>
      </c>
      <c r="AE305" s="417"/>
      <c r="AL305" s="254" t="str">
        <f>SUBSTITUTE(SUBSTITUTE(SUBSTITUTE("dpa"&amp;$B305&amp;$C305&amp;$D305&amp;$E305,".","_"),"(","_"),")","")</f>
        <v>dpa703_3_2 _4_1</v>
      </c>
      <c r="AM305" s="254">
        <f>M305</f>
        <v>0</v>
      </c>
      <c r="AP305" s="254" t="str">
        <f>SUBSTITUTE(SUBSTITUTE(SUBSTITUTE("dch"&amp;$B305&amp;$C305&amp;$D305&amp;$E305,".","_"),"(","_"),")","")</f>
        <v>dch703_3_2 _4_1</v>
      </c>
      <c r="AQ305" s="254" t="str">
        <f>IF(LEN(W305)=0,"",W305)</f>
        <v/>
      </c>
      <c r="AX305" s="76"/>
      <c r="AY305" s="76"/>
      <c r="AZ305" s="76"/>
      <c r="BA305" s="76"/>
      <c r="BB305" s="76"/>
      <c r="BC305" s="76"/>
      <c r="BD305" s="76"/>
      <c r="BE305" s="76"/>
      <c r="BF305" s="76"/>
      <c r="BG305" s="76"/>
      <c r="BH305" s="76"/>
      <c r="BI305" s="76"/>
    </row>
    <row r="306" spans="1:61" x14ac:dyDescent="0.25">
      <c r="B306" s="679" t="s">
        <v>916</v>
      </c>
      <c r="C306" s="21" t="s">
        <v>269</v>
      </c>
      <c r="D306" s="21" t="s">
        <v>258</v>
      </c>
      <c r="E306" s="21"/>
      <c r="F306" s="21"/>
      <c r="G306" s="21"/>
      <c r="H306" s="758"/>
      <c r="I306" s="210"/>
      <c r="J306" s="449"/>
      <c r="K306" s="449"/>
      <c r="L306" s="449" t="s">
        <v>3770</v>
      </c>
      <c r="M306" s="453">
        <f>IFERROR(INDEX({1,2,3,5,6,7,9,10},T286),0)</f>
        <v>0</v>
      </c>
      <c r="N306" s="4"/>
      <c r="O306" s="141"/>
      <c r="P306"/>
      <c r="Q306"/>
      <c r="R306"/>
      <c r="S306"/>
      <c r="T306"/>
      <c r="U306"/>
      <c r="V306"/>
      <c r="W306"/>
      <c r="X306" s="1757"/>
      <c r="AL306" s="254" t="str">
        <f>SUBSTITUTE(SUBSTITUTE(SUBSTITUTE("dpa"&amp;$B306&amp;$C306&amp;$D306&amp;$E306,".","_"),"(","_"),")","")</f>
        <v>dpa703_3_2 _4_2</v>
      </c>
      <c r="AM306" s="254">
        <f>M306</f>
        <v>0</v>
      </c>
      <c r="AZ306" s="394"/>
      <c r="BA306" s="394"/>
      <c r="BB306" s="394"/>
      <c r="BC306" s="394"/>
      <c r="BD306" s="394"/>
      <c r="BE306" s="394"/>
      <c r="BF306" s="394"/>
      <c r="BG306" s="394"/>
      <c r="BH306" s="394"/>
      <c r="BI306" s="394"/>
    </row>
    <row r="307" spans="1:61" x14ac:dyDescent="0.25">
      <c r="B307" s="90" t="s">
        <v>922</v>
      </c>
      <c r="C307" s="90"/>
      <c r="D307" s="21"/>
      <c r="E307" s="21"/>
      <c r="F307" s="21"/>
      <c r="G307" s="21"/>
      <c r="H307" s="758"/>
      <c r="I307" s="66" t="s">
        <v>922</v>
      </c>
      <c r="J307" s="161"/>
      <c r="K307" s="161"/>
      <c r="L307" s="1796" t="s">
        <v>923</v>
      </c>
      <c r="M307" s="428"/>
      <c r="N307" s="4"/>
      <c r="O307" s="141"/>
      <c r="P307"/>
      <c r="Q307"/>
      <c r="R307"/>
      <c r="S307"/>
      <c r="T307"/>
      <c r="U307"/>
      <c r="V307"/>
      <c r="W307"/>
      <c r="X307"/>
    </row>
    <row r="308" spans="1:61" x14ac:dyDescent="0.25">
      <c r="B308" s="90" t="s">
        <v>922</v>
      </c>
      <c r="C308" s="90"/>
      <c r="D308" s="21"/>
      <c r="E308" s="21"/>
      <c r="F308" s="21"/>
      <c r="G308" s="21"/>
      <c r="H308" s="758"/>
      <c r="I308" s="4"/>
      <c r="J308" s="161"/>
      <c r="K308" s="161"/>
      <c r="L308" s="1796"/>
      <c r="M308" s="428"/>
      <c r="N308" s="4"/>
      <c r="O308" s="141"/>
      <c r="P308"/>
      <c r="Q308"/>
      <c r="R308"/>
      <c r="S308"/>
      <c r="T308"/>
      <c r="U308"/>
      <c r="V308"/>
      <c r="W308"/>
      <c r="X308"/>
    </row>
    <row r="309" spans="1:61" x14ac:dyDescent="0.25">
      <c r="B309" s="90" t="s">
        <v>922</v>
      </c>
      <c r="C309" s="90"/>
      <c r="D309" s="21"/>
      <c r="E309" s="21"/>
      <c r="F309" s="21"/>
      <c r="G309" s="21"/>
      <c r="H309" s="758"/>
      <c r="I309" s="4"/>
      <c r="J309" s="161"/>
      <c r="K309" s="161"/>
      <c r="L309" s="1796"/>
      <c r="M309" s="428"/>
      <c r="N309" s="4"/>
      <c r="O309" s="141"/>
      <c r="P309"/>
      <c r="Q309"/>
      <c r="X309"/>
    </row>
    <row r="310" spans="1:61" s="417" customFormat="1" x14ac:dyDescent="0.25">
      <c r="A310" s="18"/>
      <c r="B310" s="90" t="s">
        <v>922</v>
      </c>
      <c r="C310" s="21" t="s">
        <v>256</v>
      </c>
      <c r="D310" s="21"/>
      <c r="E310" s="21"/>
      <c r="F310" s="21"/>
      <c r="G310" s="21"/>
      <c r="H310" s="758"/>
      <c r="I310" s="4"/>
      <c r="J310" s="230" t="s">
        <v>256</v>
      </c>
      <c r="K310" s="430"/>
      <c r="L310" s="420" t="s">
        <v>3481</v>
      </c>
      <c r="M310" s="428"/>
      <c r="N310" s="4"/>
      <c r="O310" s="141">
        <f ca="1">IFERROR(INDEX(M311:M315,MATCH(W311,{8.5,9,9.5,10,12},1)),0)*S311</f>
        <v>0</v>
      </c>
      <c r="R310"/>
      <c r="S310"/>
      <c r="T310"/>
      <c r="U310"/>
      <c r="V310"/>
      <c r="W310" s="417" t="s">
        <v>3792</v>
      </c>
      <c r="X310" s="1757"/>
      <c r="Y310" s="780"/>
      <c r="AA310" s="783"/>
      <c r="AN310" s="254" t="str">
        <f>SUBSTITUTE(SUBSTITUTE(SUBSTITUTE("dpc"&amp;$B310&amp;$C310&amp;$D310&amp;$E310,".","_"),"(","_"),")","")</f>
        <v>dpc703_3_3 _1</v>
      </c>
      <c r="AO310" s="254">
        <f ca="1">O310</f>
        <v>0</v>
      </c>
      <c r="AR310" s="254" t="str">
        <f>SUBSTITUTE(SUBSTITUTE(SUBSTITUTE("dnt"&amp;$B310&amp;$C310&amp;$D310&amp;$E310,".","_"),"(","_"),")","")</f>
        <v>dnt703_3_3 _1</v>
      </c>
      <c r="AS310" s="254" t="str">
        <f>IF(LEN(X310)=0,"",X310)</f>
        <v/>
      </c>
      <c r="AX310" s="76"/>
      <c r="AY310" s="76"/>
      <c r="AZ310" s="76"/>
      <c r="BA310" s="76"/>
      <c r="BB310" s="76"/>
      <c r="BC310" s="76"/>
      <c r="BD310" s="76"/>
      <c r="BE310" s="76"/>
      <c r="BF310" s="76"/>
      <c r="BG310" s="76"/>
      <c r="BH310" s="76"/>
      <c r="BI310" s="76"/>
    </row>
    <row r="311" spans="1:61" s="417" customFormat="1" x14ac:dyDescent="0.25">
      <c r="A311" s="18"/>
      <c r="B311" s="90" t="s">
        <v>922</v>
      </c>
      <c r="C311" s="21" t="s">
        <v>256</v>
      </c>
      <c r="D311" s="21" t="s">
        <v>256</v>
      </c>
      <c r="E311" s="21"/>
      <c r="F311" s="21"/>
      <c r="G311" s="21"/>
      <c r="H311" s="758"/>
      <c r="I311" s="4"/>
      <c r="J311" s="230"/>
      <c r="K311" s="430"/>
      <c r="L311" s="430" t="s">
        <v>3786</v>
      </c>
      <c r="M311" s="428">
        <f>IF(T287,IFERROR(INDEX({0,3,4,8,11,13,13,13},T286),0),IFERROR(INDEX({0,1,1,2,2,2,2,2},T286),0))</f>
        <v>0</v>
      </c>
      <c r="N311" s="4"/>
      <c r="O311" s="141"/>
      <c r="P311" s="94" t="b">
        <v>1</v>
      </c>
      <c r="Q311" s="94" t="b">
        <v>1</v>
      </c>
      <c r="R311" s="417" t="b">
        <v>0</v>
      </c>
      <c r="S311" s="417" t="b">
        <f ca="1">AND(S13=2,LEN(W291)=0,LEN(W297)=0,LEN(W300)=0,LEN(W305)=0,LEN(W316)=0,LEN(W318)=0,NOT(W331=TRUE),LEN(W336)=0)</f>
        <v>0</v>
      </c>
      <c r="T311" s="94" t="b">
        <f ca="1">AND(NOT(S311),LEN(W311)&gt;0)</f>
        <v>0</v>
      </c>
      <c r="W311" s="488"/>
      <c r="X311" s="1757"/>
      <c r="Y311" s="780"/>
      <c r="AA311" s="783"/>
      <c r="AC311" s="417" t="b">
        <f ca="1">OR(AD311:AE311)</f>
        <v>0</v>
      </c>
      <c r="AD311" s="417" t="b">
        <f ca="1">T311</f>
        <v>0</v>
      </c>
      <c r="AL311" s="254" t="str">
        <f t="shared" ref="AL311:AL316" si="10">SUBSTITUTE(SUBSTITUTE(SUBSTITUTE("dpa"&amp;$B311&amp;$C311&amp;$D311&amp;$E311,".","_"),"(","_"),")","")</f>
        <v>dpa703_3_3 _1_1</v>
      </c>
      <c r="AM311" s="254">
        <f t="shared" ref="AM311:AM316" si="11">M311</f>
        <v>0</v>
      </c>
      <c r="AP311" s="254" t="str">
        <f>SUBSTITUTE(SUBSTITUTE(SUBSTITUTE("dch"&amp;$B311&amp;$C311&amp;$D311&amp;$E311,".","_"),"(","_"),")","")</f>
        <v>dch703_3_3 _1_1</v>
      </c>
      <c r="AQ311" s="254" t="str">
        <f>IF(LEN(W311)=0,"",W311)</f>
        <v/>
      </c>
      <c r="AX311" s="76"/>
      <c r="AY311" s="76"/>
    </row>
    <row r="312" spans="1:61" s="417" customFormat="1" x14ac:dyDescent="0.25">
      <c r="A312" s="18"/>
      <c r="B312" s="90" t="s">
        <v>922</v>
      </c>
      <c r="C312" s="21" t="s">
        <v>256</v>
      </c>
      <c r="D312" s="21" t="s">
        <v>258</v>
      </c>
      <c r="E312" s="21"/>
      <c r="F312" s="21"/>
      <c r="G312" s="21"/>
      <c r="H312" s="758"/>
      <c r="I312" s="4"/>
      <c r="J312" s="230"/>
      <c r="K312" s="430"/>
      <c r="L312" s="430" t="s">
        <v>3787</v>
      </c>
      <c r="M312" s="428">
        <f>IF(T287,IFERROR(INDEX({0,3,4,8,11,13,13,13},T286),0),IFERROR(INDEX({0,2,4,5,6,10,10,10},T286),0))</f>
        <v>0</v>
      </c>
      <c r="N312" s="4"/>
      <c r="O312" s="141"/>
      <c r="X312" s="1757"/>
      <c r="Y312" s="780"/>
      <c r="AA312" s="783"/>
      <c r="AL312" s="254" t="str">
        <f t="shared" si="10"/>
        <v>dpa703_3_3 _1_2</v>
      </c>
      <c r="AM312" s="254">
        <f t="shared" si="11"/>
        <v>0</v>
      </c>
      <c r="AX312" s="76"/>
      <c r="AY312" s="76"/>
    </row>
    <row r="313" spans="1:61" s="417" customFormat="1" x14ac:dyDescent="0.25">
      <c r="A313" s="18"/>
      <c r="B313" s="90" t="s">
        <v>922</v>
      </c>
      <c r="C313" s="21" t="s">
        <v>256</v>
      </c>
      <c r="D313" s="21" t="s">
        <v>260</v>
      </c>
      <c r="E313" s="21"/>
      <c r="F313" s="21"/>
      <c r="G313" s="21"/>
      <c r="H313" s="758"/>
      <c r="I313" s="4"/>
      <c r="J313" s="230"/>
      <c r="K313" s="430"/>
      <c r="L313" s="430" t="s">
        <v>3788</v>
      </c>
      <c r="M313" s="428">
        <f>IF(T287,IFERROR(INDEX({0,3,4,8,11,13,13,13},T286),0),IFERROR(INDEX({0,3,7,7,11,18,18,18},T286),0))</f>
        <v>0</v>
      </c>
      <c r="N313" s="4"/>
      <c r="O313" s="141"/>
      <c r="X313" s="1757"/>
      <c r="Y313" s="780"/>
      <c r="AA313" s="783"/>
      <c r="AL313" s="254" t="str">
        <f t="shared" si="10"/>
        <v>dpa703_3_3 _1_3</v>
      </c>
      <c r="AM313" s="254">
        <f t="shared" si="11"/>
        <v>0</v>
      </c>
    </row>
    <row r="314" spans="1:61" s="791" customFormat="1" x14ac:dyDescent="0.25">
      <c r="A314" s="18"/>
      <c r="B314" s="90" t="s">
        <v>922</v>
      </c>
      <c r="C314" s="21" t="s">
        <v>256</v>
      </c>
      <c r="D314" s="21" t="s">
        <v>269</v>
      </c>
      <c r="E314" s="21"/>
      <c r="F314" s="21"/>
      <c r="G314" s="21"/>
      <c r="H314" s="758"/>
      <c r="I314" s="4"/>
      <c r="J314" s="230"/>
      <c r="K314" s="808"/>
      <c r="L314" s="805" t="s">
        <v>3789</v>
      </c>
      <c r="M314" s="797">
        <f>IF(T287,IFERROR(INDEX({0,3,4,8,11,13,13,13},T286),0),IFERROR(INDEX({1,5,10,10,15,26,26,26},T286),0))</f>
        <v>0</v>
      </c>
      <c r="N314" s="4"/>
      <c r="O314" s="799"/>
      <c r="X314" s="1757"/>
      <c r="AL314" s="254" t="str">
        <f t="shared" si="10"/>
        <v>dpa703_3_3 _1_4</v>
      </c>
      <c r="AM314" s="254">
        <f t="shared" si="11"/>
        <v>0</v>
      </c>
      <c r="AX314" s="417"/>
      <c r="AY314" s="417"/>
      <c r="AZ314" s="417"/>
      <c r="BA314" s="417"/>
      <c r="BB314" s="417"/>
      <c r="BC314" s="417"/>
      <c r="BD314" s="417"/>
      <c r="BE314" s="417"/>
      <c r="BF314" s="417"/>
      <c r="BG314" s="417"/>
      <c r="BH314" s="417"/>
      <c r="BI314" s="417"/>
    </row>
    <row r="315" spans="1:61" s="417" customFormat="1" x14ac:dyDescent="0.25">
      <c r="A315" s="18"/>
      <c r="B315" s="90" t="s">
        <v>922</v>
      </c>
      <c r="C315" s="21" t="s">
        <v>256</v>
      </c>
      <c r="D315" s="21" t="s">
        <v>275</v>
      </c>
      <c r="E315" s="21"/>
      <c r="F315" s="21"/>
      <c r="G315" s="21"/>
      <c r="H315" s="758"/>
      <c r="I315" s="4"/>
      <c r="J315" s="530"/>
      <c r="K315" s="449"/>
      <c r="L315" s="449" t="s">
        <v>4278</v>
      </c>
      <c r="M315" s="453">
        <f>IF(T287,IFERROR(INDEX({0,3,4,8,11,13,13,13},T286),0),IFERROR(INDEX({1,6,11,11,17,28,28,28},T286),0))</f>
        <v>0</v>
      </c>
      <c r="N315" s="210"/>
      <c r="O315" s="503"/>
      <c r="W315" s="1108" t="s">
        <v>3792</v>
      </c>
      <c r="X315" s="1757"/>
      <c r="Y315" s="780"/>
      <c r="AA315" s="783"/>
      <c r="AL315" s="254" t="str">
        <f t="shared" si="10"/>
        <v>dpa703_3_3 _1_5</v>
      </c>
      <c r="AM315" s="254">
        <f t="shared" si="11"/>
        <v>0</v>
      </c>
      <c r="AX315" s="76"/>
      <c r="AY315" s="76"/>
      <c r="AZ315" s="791"/>
      <c r="BA315" s="791"/>
      <c r="BB315" s="791"/>
      <c r="BC315" s="791"/>
      <c r="BD315" s="791"/>
      <c r="BE315" s="791"/>
      <c r="BF315" s="791"/>
      <c r="BG315" s="791"/>
      <c r="BH315" s="791"/>
      <c r="BI315" s="791"/>
    </row>
    <row r="316" spans="1:61" customFormat="1" x14ac:dyDescent="0.25">
      <c r="B316" s="90" t="s">
        <v>922</v>
      </c>
      <c r="C316" s="21" t="s">
        <v>258</v>
      </c>
      <c r="D316" s="1129"/>
      <c r="J316" s="667" t="s">
        <v>258</v>
      </c>
      <c r="K316" s="667"/>
      <c r="L316" s="1110" t="s">
        <v>4868</v>
      </c>
      <c r="M316" s="1767">
        <f>IFERROR(INDEX({0,3,4,8,11,13,13,13},T286),0)</f>
        <v>0</v>
      </c>
      <c r="N316" s="4"/>
      <c r="O316" s="1780">
        <f ca="1">IF(AND(S316,W316&gt;=8.5),M316,0)</f>
        <v>0</v>
      </c>
      <c r="P316" t="b">
        <v>1</v>
      </c>
      <c r="Q316" t="b">
        <v>1</v>
      </c>
      <c r="R316" t="b">
        <v>0</v>
      </c>
      <c r="S316" t="b">
        <f ca="1">AND(S13=2,T287,LEN(W291)=0,LEN(W297)=0,LEN(W300)=0,LEN(W305)=0,LEN(W311)=0,LEN(W318)=0,NOT(W331=TRUE),LEN(W336)=0)</f>
        <v>0</v>
      </c>
      <c r="T316" s="94" t="b">
        <f ca="1">AND(NOT(S316),LEN(W316)&gt;0)</f>
        <v>0</v>
      </c>
      <c r="W316" s="488"/>
      <c r="X316" s="1757"/>
      <c r="AC316" s="1108" t="b">
        <f ca="1">OR(AD316:AE316)</f>
        <v>0</v>
      </c>
      <c r="AD316" s="1108" t="b">
        <f ca="1">T316</f>
        <v>0</v>
      </c>
      <c r="AL316" s="254" t="str">
        <f t="shared" si="10"/>
        <v>dpa703_3_3 _2</v>
      </c>
      <c r="AM316" s="254">
        <f t="shared" si="11"/>
        <v>0</v>
      </c>
      <c r="AN316" s="254" t="str">
        <f>SUBSTITUTE(SUBSTITUTE(SUBSTITUTE("dpc"&amp;$B316&amp;$C316&amp;$D316&amp;$E316,".","_"),"(","_"),")","")</f>
        <v>dpc703_3_3 _2</v>
      </c>
      <c r="AO316" s="254">
        <f ca="1">O316</f>
        <v>0</v>
      </c>
      <c r="AP316" s="254" t="str">
        <f>SUBSTITUTE(SUBSTITUTE(SUBSTITUTE("dch"&amp;$B316&amp;$C316&amp;$D316&amp;$E316,".","_"),"(","_"),")","")</f>
        <v>dch703_3_3 _2</v>
      </c>
      <c r="AQ316" s="254" t="str">
        <f>IF(LEN(W316)=0,"",W316)</f>
        <v/>
      </c>
      <c r="AR316" s="254" t="str">
        <f>SUBSTITUTE(SUBSTITUTE(SUBSTITUTE("dnt"&amp;$B316&amp;$C316&amp;$D316&amp;$E316,".","_"),"(","_"),")","")</f>
        <v>dnt703_3_3 _2</v>
      </c>
      <c r="AS316" s="254" t="str">
        <f>IF(LEN(X316)=0,"",X316)</f>
        <v/>
      </c>
      <c r="AX316" s="76"/>
      <c r="AY316" s="76"/>
      <c r="AZ316" s="417"/>
      <c r="BA316" s="417"/>
      <c r="BB316" s="417"/>
      <c r="BC316" s="417"/>
      <c r="BD316" s="417"/>
      <c r="BE316" s="417"/>
      <c r="BF316" s="417"/>
      <c r="BG316" s="417"/>
      <c r="BH316" s="417"/>
      <c r="BI316" s="417"/>
    </row>
    <row r="317" spans="1:61" customFormat="1" x14ac:dyDescent="0.25">
      <c r="B317" s="90" t="s">
        <v>922</v>
      </c>
      <c r="C317" s="21" t="s">
        <v>258</v>
      </c>
      <c r="D317" s="1129"/>
      <c r="J317" s="684"/>
      <c r="K317" s="684"/>
      <c r="L317" s="1109"/>
      <c r="M317" s="1759"/>
      <c r="N317" s="178"/>
      <c r="O317" s="1764"/>
      <c r="W317" s="417" t="s">
        <v>3791</v>
      </c>
      <c r="X317" s="1757"/>
    </row>
    <row r="318" spans="1:61" x14ac:dyDescent="0.25">
      <c r="B318" s="90" t="s">
        <v>922</v>
      </c>
      <c r="C318" s="21" t="s">
        <v>260</v>
      </c>
      <c r="D318" s="21"/>
      <c r="E318" s="21"/>
      <c r="F318" s="21"/>
      <c r="G318" s="21"/>
      <c r="H318" s="758"/>
      <c r="I318" s="210"/>
      <c r="J318" s="530" t="s">
        <v>260</v>
      </c>
      <c r="K318" s="449"/>
      <c r="L318" s="447" t="s">
        <v>3790</v>
      </c>
      <c r="M318" s="453">
        <f>IFERROR(INDEX({2,7,11,14,16,18,18,18},T286),0)</f>
        <v>0</v>
      </c>
      <c r="N318" s="210"/>
      <c r="O318" s="503">
        <f ca="1">IF(AND(S318,W318&gt;=1.3),M318,0)</f>
        <v>0</v>
      </c>
      <c r="P318" s="94" t="b">
        <v>1</v>
      </c>
      <c r="Q318" s="94" t="b">
        <v>1</v>
      </c>
      <c r="R318" s="178" t="b">
        <v>0</v>
      </c>
      <c r="S318" s="178" t="b">
        <f ca="1">AND(S13=2,LEN(W291)=0,LEN(W297)=0,LEN(W300)=0,LEN(W305)=0,LEN(W311)=0,LEN(W316)=0,NOT(W331=TRUE),LEN(W336)=0)</f>
        <v>0</v>
      </c>
      <c r="T318" s="178" t="b">
        <f ca="1">AND(NOT(S318),LEN(W318)&gt;0)</f>
        <v>0</v>
      </c>
      <c r="U318" s="178"/>
      <c r="V318" s="178"/>
      <c r="W318" s="488"/>
      <c r="X318" s="418"/>
      <c r="AC318" s="417" t="b">
        <f ca="1">OR(AD318:AE318)</f>
        <v>0</v>
      </c>
      <c r="AD318" s="417" t="b">
        <f ca="1">T318</f>
        <v>0</v>
      </c>
      <c r="AE318" s="417"/>
      <c r="AL318" s="254" t="str">
        <f>SUBSTITUTE(SUBSTITUTE(SUBSTITUTE("dpa"&amp;$B318&amp;$C318&amp;$D318&amp;$E318,".","_"),"(","_"),")","")</f>
        <v>dpa703_3_3 _3</v>
      </c>
      <c r="AM318" s="254">
        <f>M318</f>
        <v>0</v>
      </c>
      <c r="AN318" s="254" t="str">
        <f>SUBSTITUTE(SUBSTITUTE(SUBSTITUTE("dpc"&amp;$B318&amp;$C318&amp;$D318&amp;$E318,".","_"),"(","_"),")","")</f>
        <v>dpc703_3_3 _3</v>
      </c>
      <c r="AO318" s="254">
        <f ca="1">O318</f>
        <v>0</v>
      </c>
      <c r="AP318" s="254" t="str">
        <f>SUBSTITUTE(SUBSTITUTE(SUBSTITUTE("dch"&amp;$B318&amp;$C318&amp;$D318&amp;$E318,".","_"),"(","_"),")","")</f>
        <v>dch703_3_3 _3</v>
      </c>
      <c r="AQ318" s="254" t="str">
        <f>IF(LEN(W318)=0,"",W318)</f>
        <v/>
      </c>
      <c r="AR318" s="254" t="str">
        <f>SUBSTITUTE(SUBSTITUTE(SUBSTITUTE("dnt"&amp;$B318&amp;$C318&amp;$D318&amp;$E318,".","_"),"(","_"),")","")</f>
        <v>dnt703_3_3 _3</v>
      </c>
      <c r="AS318" s="254" t="str">
        <f>IF(LEN(X318)=0,"",X318)</f>
        <v/>
      </c>
      <c r="AX318"/>
      <c r="AY318"/>
      <c r="AZ318"/>
      <c r="BA318"/>
      <c r="BB318"/>
      <c r="BC318"/>
      <c r="BD318"/>
      <c r="BE318"/>
      <c r="BF318"/>
      <c r="BG318"/>
      <c r="BH318"/>
      <c r="BI318"/>
    </row>
    <row r="319" spans="1:61" x14ac:dyDescent="0.25">
      <c r="B319" s="90" t="s">
        <v>924</v>
      </c>
      <c r="C319" s="90"/>
      <c r="D319" s="21"/>
      <c r="E319" s="21"/>
      <c r="F319" s="21"/>
      <c r="G319" s="21"/>
      <c r="H319" s="758"/>
      <c r="I319" s="66" t="s">
        <v>924</v>
      </c>
      <c r="J319" s="161"/>
      <c r="K319" s="161"/>
      <c r="L319" s="1884" t="s">
        <v>925</v>
      </c>
      <c r="M319" s="428"/>
      <c r="N319" s="4"/>
      <c r="O319" s="141"/>
      <c r="P319"/>
      <c r="Q319"/>
      <c r="R319"/>
      <c r="S319"/>
      <c r="T319"/>
      <c r="U319"/>
      <c r="V319"/>
      <c r="W319"/>
      <c r="X319"/>
    </row>
    <row r="320" spans="1:61" x14ac:dyDescent="0.25">
      <c r="B320" s="90" t="s">
        <v>924</v>
      </c>
      <c r="C320" s="90"/>
      <c r="D320" s="21"/>
      <c r="E320" s="21"/>
      <c r="F320" s="21"/>
      <c r="G320" s="21"/>
      <c r="H320" s="758"/>
      <c r="I320" s="4"/>
      <c r="J320" s="161"/>
      <c r="K320" s="161"/>
      <c r="L320" s="1884"/>
      <c r="M320" s="428"/>
      <c r="N320" s="4"/>
      <c r="O320" s="141"/>
      <c r="P320"/>
      <c r="Q320"/>
      <c r="R320"/>
      <c r="S320"/>
      <c r="T320"/>
      <c r="U320"/>
      <c r="V320"/>
      <c r="W320"/>
      <c r="X320"/>
    </row>
    <row r="321" spans="1:61" x14ac:dyDescent="0.25">
      <c r="B321" s="90" t="s">
        <v>924</v>
      </c>
      <c r="C321" s="90"/>
      <c r="D321" s="21"/>
      <c r="E321" s="21"/>
      <c r="F321" s="21"/>
      <c r="G321" s="21"/>
      <c r="H321" s="758"/>
      <c r="I321" s="4"/>
      <c r="J321" s="161"/>
      <c r="K321" s="161"/>
      <c r="L321" s="1884"/>
      <c r="M321" s="428"/>
      <c r="N321" s="4"/>
      <c r="O321" s="141"/>
      <c r="P321"/>
      <c r="Q321"/>
      <c r="X321"/>
    </row>
    <row r="322" spans="1:61" s="417" customFormat="1" x14ac:dyDescent="0.25">
      <c r="A322" s="18"/>
      <c r="B322" s="90" t="s">
        <v>924</v>
      </c>
      <c r="C322" s="21" t="s">
        <v>256</v>
      </c>
      <c r="D322" s="21"/>
      <c r="E322" s="21"/>
      <c r="F322" s="21"/>
      <c r="G322" s="21"/>
      <c r="H322" s="758"/>
      <c r="I322" s="4"/>
      <c r="J322" s="230" t="s">
        <v>256</v>
      </c>
      <c r="K322" s="430"/>
      <c r="L322" s="420" t="s">
        <v>3799</v>
      </c>
      <c r="M322" s="428"/>
      <c r="N322" s="4"/>
      <c r="O322" s="141">
        <f ca="1">IFERROR(INDEX(M323:M327,MATCH(W323,{15,17,19,21,25},1)),0)*S323</f>
        <v>0</v>
      </c>
      <c r="R322"/>
      <c r="S322"/>
      <c r="T322"/>
      <c r="U322"/>
      <c r="V322"/>
      <c r="W322" s="417" t="s">
        <v>3801</v>
      </c>
      <c r="X322" s="1757"/>
      <c r="Y322" s="780"/>
      <c r="AA322" s="783"/>
      <c r="AN322" s="254" t="str">
        <f>SUBSTITUTE(SUBSTITUTE(SUBSTITUTE("dpc"&amp;$B322&amp;$C322&amp;$D322&amp;$E322,".","_"),"(","_"),")","")</f>
        <v>dpc703_3_4_1</v>
      </c>
      <c r="AO322" s="254">
        <f ca="1">O322</f>
        <v>0</v>
      </c>
      <c r="AR322" s="254" t="str">
        <f>SUBSTITUTE(SUBSTITUTE(SUBSTITUTE("dnt"&amp;$B322&amp;$C322&amp;$D322&amp;$E322,".","_"),"(","_"),")","")</f>
        <v>dnt703_3_4_1</v>
      </c>
      <c r="AS322" s="254" t="str">
        <f>IF(LEN(X322)=0,"",X322)</f>
        <v/>
      </c>
      <c r="AX322" s="76"/>
      <c r="AY322" s="76"/>
      <c r="AZ322" s="76"/>
      <c r="BA322" s="76"/>
      <c r="BB322" s="76"/>
      <c r="BC322" s="76"/>
      <c r="BD322" s="76"/>
      <c r="BE322" s="76"/>
      <c r="BF322" s="76"/>
      <c r="BG322" s="76"/>
      <c r="BH322" s="76"/>
      <c r="BI322" s="76"/>
    </row>
    <row r="323" spans="1:61" s="417" customFormat="1" x14ac:dyDescent="0.25">
      <c r="A323" s="18"/>
      <c r="B323" s="90" t="s">
        <v>924</v>
      </c>
      <c r="C323" s="21" t="s">
        <v>256</v>
      </c>
      <c r="D323" s="21" t="s">
        <v>256</v>
      </c>
      <c r="E323" s="21"/>
      <c r="F323" s="21"/>
      <c r="G323" s="21"/>
      <c r="H323" s="758"/>
      <c r="I323" s="4"/>
      <c r="J323" s="230"/>
      <c r="K323" s="430"/>
      <c r="L323" s="430" t="s">
        <v>3793</v>
      </c>
      <c r="M323" s="428">
        <f>IFERROR(INDEX({6,4,2,1,1,1,1,0},T286),0)</f>
        <v>0</v>
      </c>
      <c r="N323" s="4"/>
      <c r="O323" s="141"/>
      <c r="P323" s="94" t="b">
        <v>1</v>
      </c>
      <c r="Q323" s="94" t="b">
        <v>1</v>
      </c>
      <c r="R323" s="417" t="b">
        <v>0</v>
      </c>
      <c r="S323" s="417" t="b">
        <f ca="1">AND(S13=2,NOT(W328=TRUE),LEN(W330)=0,NOT(W331=TRUE),LEN(W336)=0)</f>
        <v>0</v>
      </c>
      <c r="T323" s="94" t="b">
        <f ca="1">AND(NOT(S323),LEN(W323)&gt;0)</f>
        <v>0</v>
      </c>
      <c r="W323" s="488"/>
      <c r="X323" s="1757"/>
      <c r="Y323" s="780"/>
      <c r="AA323" s="783"/>
      <c r="AC323" s="417" t="b">
        <f ca="1">OR(AD323:AE323)</f>
        <v>0</v>
      </c>
      <c r="AD323" s="417" t="b">
        <f ca="1">T323</f>
        <v>0</v>
      </c>
      <c r="AL323" s="254" t="str">
        <f t="shared" ref="AL323:AL328" si="12">SUBSTITUTE(SUBSTITUTE(SUBSTITUTE("dpa"&amp;$B323&amp;$C323&amp;$D323&amp;$E323,".","_"),"(","_"),")","")</f>
        <v>dpa703_3_4_1_1</v>
      </c>
      <c r="AM323" s="254">
        <f t="shared" ref="AM323:AM330" si="13">M323</f>
        <v>0</v>
      </c>
      <c r="AP323" s="254" t="str">
        <f>SUBSTITUTE(SUBSTITUTE(SUBSTITUTE("dch"&amp;$B323&amp;$C323&amp;$D323&amp;$E323,".","_"),"(","_"),")","")</f>
        <v>dch703_3_4_1_1</v>
      </c>
      <c r="AQ323" s="254" t="str">
        <f>IF(LEN(W323)=0,"",W323)</f>
        <v/>
      </c>
      <c r="AX323" s="76"/>
      <c r="AY323" s="76"/>
    </row>
    <row r="324" spans="1:61" s="417" customFormat="1" x14ac:dyDescent="0.25">
      <c r="A324" s="18"/>
      <c r="B324" s="90" t="s">
        <v>924</v>
      </c>
      <c r="C324" s="21" t="s">
        <v>256</v>
      </c>
      <c r="D324" s="21" t="s">
        <v>258</v>
      </c>
      <c r="E324" s="21"/>
      <c r="F324" s="21"/>
      <c r="G324" s="21"/>
      <c r="H324" s="758"/>
      <c r="I324" s="4"/>
      <c r="J324" s="230"/>
      <c r="K324" s="430"/>
      <c r="L324" s="430" t="s">
        <v>3794</v>
      </c>
      <c r="M324" s="428">
        <f>IFERROR(INDEX({11,9,7,3,3,2,2,0},T286),0)</f>
        <v>0</v>
      </c>
      <c r="N324" s="4"/>
      <c r="O324" s="141"/>
      <c r="X324" s="1757"/>
      <c r="Y324" s="780"/>
      <c r="AA324" s="783"/>
      <c r="AL324" s="254" t="str">
        <f t="shared" si="12"/>
        <v>dpa703_3_4_1_2</v>
      </c>
      <c r="AM324" s="254">
        <f t="shared" si="13"/>
        <v>0</v>
      </c>
    </row>
    <row r="325" spans="1:61" s="417" customFormat="1" x14ac:dyDescent="0.25">
      <c r="A325" s="18"/>
      <c r="B325" s="90" t="s">
        <v>924</v>
      </c>
      <c r="C325" s="21" t="s">
        <v>256</v>
      </c>
      <c r="D325" s="21" t="s">
        <v>260</v>
      </c>
      <c r="E325" s="21"/>
      <c r="F325" s="21"/>
      <c r="G325" s="21"/>
      <c r="H325" s="758"/>
      <c r="I325" s="4"/>
      <c r="J325" s="230"/>
      <c r="K325" s="430"/>
      <c r="L325" s="430" t="s">
        <v>3795</v>
      </c>
      <c r="M325" s="428">
        <f>IFERROR(INDEX({19,12,10,6,4,4,4,0},T286),0)</f>
        <v>0</v>
      </c>
      <c r="N325" s="4"/>
      <c r="O325" s="141"/>
      <c r="X325" s="1757"/>
      <c r="Y325" s="780"/>
      <c r="AA325" s="783"/>
      <c r="AL325" s="254" t="str">
        <f t="shared" si="12"/>
        <v>dpa703_3_4_1_3</v>
      </c>
      <c r="AM325" s="254">
        <f t="shared" si="13"/>
        <v>0</v>
      </c>
      <c r="AX325" s="76"/>
      <c r="AY325" s="76"/>
    </row>
    <row r="326" spans="1:61" s="816" customFormat="1" x14ac:dyDescent="0.25">
      <c r="A326" s="18"/>
      <c r="B326" s="90" t="s">
        <v>924</v>
      </c>
      <c r="C326" s="21" t="s">
        <v>256</v>
      </c>
      <c r="D326" s="21" t="s">
        <v>269</v>
      </c>
      <c r="E326" s="21"/>
      <c r="F326" s="21"/>
      <c r="G326" s="21"/>
      <c r="H326" s="758"/>
      <c r="I326" s="4"/>
      <c r="J326" s="230"/>
      <c r="K326" s="834"/>
      <c r="L326" s="834" t="s">
        <v>3796</v>
      </c>
      <c r="M326" s="831">
        <f>IFERROR(INDEX({26,15,14,8,6,6,5,0},T286),0)</f>
        <v>0</v>
      </c>
      <c r="N326" s="4"/>
      <c r="O326" s="824"/>
      <c r="X326" s="1757"/>
      <c r="AL326" s="254" t="str">
        <f t="shared" si="12"/>
        <v>dpa703_3_4_1_4</v>
      </c>
      <c r="AM326" s="254">
        <f>M326</f>
        <v>0</v>
      </c>
      <c r="AX326" s="76"/>
      <c r="AY326" s="76"/>
      <c r="AZ326" s="417"/>
      <c r="BA326" s="417"/>
      <c r="BB326" s="417"/>
      <c r="BC326" s="417"/>
      <c r="BD326" s="417"/>
      <c r="BE326" s="417"/>
      <c r="BF326" s="417"/>
      <c r="BG326" s="417"/>
      <c r="BH326" s="417"/>
      <c r="BI326" s="417"/>
    </row>
    <row r="327" spans="1:61" s="417" customFormat="1" x14ac:dyDescent="0.25">
      <c r="A327" s="18"/>
      <c r="B327" s="90" t="s">
        <v>924</v>
      </c>
      <c r="C327" s="21" t="s">
        <v>256</v>
      </c>
      <c r="D327" s="26" t="s">
        <v>275</v>
      </c>
      <c r="E327" s="21"/>
      <c r="F327" s="21"/>
      <c r="G327" s="21"/>
      <c r="H327" s="758"/>
      <c r="I327" s="4"/>
      <c r="J327" s="230"/>
      <c r="K327" s="430"/>
      <c r="L327" s="430" t="s">
        <v>4279</v>
      </c>
      <c r="M327" s="428">
        <f>IFERROR(INDEX({29,18,17,10,8,8,6,0},T286),0)</f>
        <v>0</v>
      </c>
      <c r="N327" s="4"/>
      <c r="O327" s="141"/>
      <c r="X327" s="1757"/>
      <c r="Y327" s="780"/>
      <c r="AA327" s="783"/>
      <c r="AL327" s="254" t="str">
        <f t="shared" si="12"/>
        <v>dpa703_3_4_1_5</v>
      </c>
      <c r="AM327" s="254">
        <f t="shared" si="13"/>
        <v>0</v>
      </c>
      <c r="AX327" s="76"/>
      <c r="AY327" s="76"/>
      <c r="AZ327" s="816"/>
      <c r="BA327" s="816"/>
      <c r="BB327" s="816"/>
      <c r="BC327" s="816"/>
      <c r="BD327" s="816"/>
      <c r="BE327" s="816"/>
      <c r="BF327" s="816"/>
      <c r="BG327" s="816"/>
      <c r="BH327" s="816"/>
      <c r="BI327" s="816"/>
    </row>
    <row r="328" spans="1:61" s="417" customFormat="1" x14ac:dyDescent="0.25">
      <c r="A328" s="18"/>
      <c r="B328" s="90" t="s">
        <v>924</v>
      </c>
      <c r="C328" s="21" t="s">
        <v>256</v>
      </c>
      <c r="D328" s="26" t="s">
        <v>277</v>
      </c>
      <c r="E328" s="21"/>
      <c r="F328" s="21"/>
      <c r="G328" s="21"/>
      <c r="H328" s="758"/>
      <c r="I328" s="4"/>
      <c r="J328" s="94"/>
      <c r="K328" s="518" t="s">
        <v>3798</v>
      </c>
      <c r="L328" s="1793" t="s">
        <v>3797</v>
      </c>
      <c r="M328" s="1758">
        <v>20</v>
      </c>
      <c r="N328" s="129"/>
      <c r="O328" s="1774">
        <f ca="1">M328*S328*W328</f>
        <v>0</v>
      </c>
      <c r="P328" s="94" t="b">
        <v>1</v>
      </c>
      <c r="Q328" s="94" t="b">
        <v>1</v>
      </c>
      <c r="R328" s="417" t="b">
        <v>0</v>
      </c>
      <c r="S328" s="334" t="b">
        <f ca="1">AND(S13=2,BI16="Tropical",LEN(W323)=0,LEN(W330)=0,NOT(W331=TRUE),LEN(W336)=0)</f>
        <v>0</v>
      </c>
      <c r="T328" s="94" t="b">
        <f ca="1">AND(NOT(S328),W328=TRUE)</f>
        <v>0</v>
      </c>
      <c r="W328" s="25"/>
      <c r="X328" s="1757"/>
      <c r="Y328" s="780"/>
      <c r="AA328" s="783"/>
      <c r="AC328" s="417" t="b">
        <f ca="1">OR(AD328:AE328)</f>
        <v>0</v>
      </c>
      <c r="AD328" s="417" t="b">
        <f ca="1">T328</f>
        <v>0</v>
      </c>
      <c r="AL328" s="254" t="str">
        <f t="shared" si="12"/>
        <v>dpa703_3_4_1_6</v>
      </c>
      <c r="AM328" s="254">
        <f t="shared" si="13"/>
        <v>20</v>
      </c>
      <c r="AN328" s="254" t="str">
        <f>SUBSTITUTE(SUBSTITUTE(SUBSTITUTE("dpc"&amp;$B328&amp;$C328&amp;$D328&amp;$E328,".","_"),"(","_"),")","")</f>
        <v>dpc703_3_4_1_6</v>
      </c>
      <c r="AO328" s="254">
        <f ca="1">O328</f>
        <v>0</v>
      </c>
      <c r="AP328" s="254" t="str">
        <f>SUBSTITUTE(SUBSTITUTE(SUBSTITUTE("dch"&amp;$B328&amp;$C328&amp;$D328&amp;$E328,".","_"),"(","_"),")","")</f>
        <v>dch703_3_4_1_6</v>
      </c>
      <c r="AQ328" s="254" t="str">
        <f>IF(LEN(W328)=0,"",W328)</f>
        <v/>
      </c>
      <c r="AR328" s="254" t="str">
        <f>SUBSTITUTE(SUBSTITUTE(SUBSTITUTE("dnt"&amp;$B328&amp;$C328&amp;$D328&amp;$E328,".","_"),"(","_"),")","")</f>
        <v>dnt703_3_4_1_6</v>
      </c>
      <c r="AS328" s="254" t="str">
        <f>IF(LEN(X328)=0,"",X328)</f>
        <v/>
      </c>
    </row>
    <row r="329" spans="1:61" s="417" customFormat="1" x14ac:dyDescent="0.25">
      <c r="A329" s="18"/>
      <c r="B329" s="90" t="s">
        <v>924</v>
      </c>
      <c r="C329" s="21" t="s">
        <v>256</v>
      </c>
      <c r="D329" s="21"/>
      <c r="E329" s="21"/>
      <c r="F329" s="21"/>
      <c r="G329" s="21"/>
      <c r="H329" s="758"/>
      <c r="I329" s="4"/>
      <c r="J329" s="530"/>
      <c r="K329" s="449"/>
      <c r="L329" s="1761"/>
      <c r="M329" s="1759"/>
      <c r="N329" s="210"/>
      <c r="O329" s="1764"/>
      <c r="W329" s="417" t="s">
        <v>3791</v>
      </c>
      <c r="X329" s="1757"/>
      <c r="Y329" s="780"/>
      <c r="AA329" s="783"/>
      <c r="AL329" s="254"/>
      <c r="AM329" s="254"/>
      <c r="AX329" s="76"/>
      <c r="AY329" s="76"/>
    </row>
    <row r="330" spans="1:61" x14ac:dyDescent="0.25">
      <c r="B330" s="90" t="s">
        <v>924</v>
      </c>
      <c r="C330" s="21" t="s">
        <v>258</v>
      </c>
      <c r="D330" s="21"/>
      <c r="E330" s="21"/>
      <c r="F330" s="21"/>
      <c r="G330" s="21"/>
      <c r="H330" s="758"/>
      <c r="I330" s="210"/>
      <c r="J330" s="530" t="s">
        <v>258</v>
      </c>
      <c r="K330" s="449"/>
      <c r="L330" s="447" t="s">
        <v>3800</v>
      </c>
      <c r="M330" s="453">
        <f>IFERROR(INDEX({3,6,3,1,1,0,0,0},T286),0)</f>
        <v>0</v>
      </c>
      <c r="N330" s="210"/>
      <c r="O330" s="503">
        <f ca="1">IF(AND(S330,W330&gt;=1.2),M330,0)</f>
        <v>0</v>
      </c>
      <c r="P330" s="94" t="b">
        <v>1</v>
      </c>
      <c r="Q330" s="94" t="b">
        <v>1</v>
      </c>
      <c r="R330" s="417" t="b">
        <v>0</v>
      </c>
      <c r="S330" s="417" t="b">
        <f ca="1">AND(S13=2,LEN(W323)=0,NOT(W328=TRUE),NOT(W331=TRUE),LEN(W336)=0)</f>
        <v>0</v>
      </c>
      <c r="T330" s="94" t="b">
        <f ca="1">AND(NOT(S330),LEN(W330)&gt;0)</f>
        <v>0</v>
      </c>
      <c r="U330"/>
      <c r="V330"/>
      <c r="W330" s="488"/>
      <c r="X330" s="418"/>
      <c r="AC330" s="417" t="b">
        <f ca="1">OR(AD330:AE330)</f>
        <v>0</v>
      </c>
      <c r="AD330" s="417" t="b">
        <f ca="1">T330</f>
        <v>0</v>
      </c>
      <c r="AE330" s="417"/>
      <c r="AL330" s="254" t="str">
        <f>SUBSTITUTE(SUBSTITUTE(SUBSTITUTE("dpa"&amp;$B330&amp;$C330&amp;$D330&amp;$E330,".","_"),"(","_"),")","")</f>
        <v>dpa703_3_4_2</v>
      </c>
      <c r="AM330" s="254">
        <f t="shared" si="13"/>
        <v>0</v>
      </c>
      <c r="AN330" s="254" t="str">
        <f>SUBSTITUTE(SUBSTITUTE(SUBSTITUTE("dpc"&amp;$B330&amp;$C330&amp;$D330&amp;$E330,".","_"),"(","_"),")","")</f>
        <v>dpc703_3_4_2</v>
      </c>
      <c r="AO330" s="254">
        <f ca="1">O330</f>
        <v>0</v>
      </c>
      <c r="AP330" s="254" t="str">
        <f>SUBSTITUTE(SUBSTITUTE(SUBSTITUTE("dch"&amp;$B330&amp;$C330&amp;$D330&amp;$E330,".","_"),"(","_"),")","")</f>
        <v>dch703_3_4_2</v>
      </c>
      <c r="AQ330" s="254" t="str">
        <f>IF(LEN(W330)=0,"",W330)</f>
        <v/>
      </c>
      <c r="AR330" s="254" t="str">
        <f>SUBSTITUTE(SUBSTITUTE(SUBSTITUTE("dnt"&amp;$B330&amp;$C330&amp;$D330&amp;$E330,".","_"),"(","_"),")","")</f>
        <v>dnt703_3_4_2</v>
      </c>
      <c r="AS330" s="254" t="str">
        <f>IF(LEN(X330)=0,"",X330)</f>
        <v/>
      </c>
      <c r="AZ330" s="417"/>
      <c r="BA330" s="417"/>
      <c r="BB330" s="417"/>
      <c r="BC330" s="417"/>
      <c r="BD330" s="417"/>
      <c r="BE330" s="417"/>
      <c r="BF330" s="417"/>
      <c r="BG330" s="417"/>
      <c r="BH330" s="417"/>
      <c r="BI330" s="417"/>
    </row>
    <row r="331" spans="1:61" x14ac:dyDescent="0.25">
      <c r="B331" s="90" t="s">
        <v>926</v>
      </c>
      <c r="C331" s="90"/>
      <c r="D331" s="21"/>
      <c r="E331" s="21"/>
      <c r="F331" s="21"/>
      <c r="G331" s="21"/>
      <c r="H331" s="758"/>
      <c r="I331" s="533" t="s">
        <v>926</v>
      </c>
      <c r="J331" s="461"/>
      <c r="K331" s="461"/>
      <c r="L331" s="1864" t="s">
        <v>927</v>
      </c>
      <c r="M331" s="1762">
        <f>IFERROR(INDEX({14,18,22,30,37,37,37,37},T286),0)</f>
        <v>0</v>
      </c>
      <c r="N331" s="193"/>
      <c r="O331" s="1763">
        <f ca="1">M331*S331*W331</f>
        <v>0</v>
      </c>
      <c r="P331" s="94" t="b">
        <v>1</v>
      </c>
      <c r="Q331" s="94" t="b">
        <v>1</v>
      </c>
      <c r="R331" s="417" t="b">
        <v>0</v>
      </c>
      <c r="S331" s="417" t="b">
        <f ca="1">AND(S13=2,LEN(W291)=0,LEN(W297)=0,LEN(W300)=0,LEN(W305)=0,LEN(W311)=0,LEN(W316)=0,LEN(W318)=0,LEN(W323)=0,NOT(W328=TRUE),LEN(W330)=0,LEN(W336)=0)</f>
        <v>0</v>
      </c>
      <c r="T331" s="94" t="b">
        <f ca="1">AND(NOT(S331),W331=TRUE)</f>
        <v>0</v>
      </c>
      <c r="U331"/>
      <c r="V331"/>
      <c r="W331" s="25"/>
      <c r="X331" s="1757"/>
      <c r="AC331" s="417" t="b">
        <f ca="1">OR(AD331:AE331)</f>
        <v>0</v>
      </c>
      <c r="AD331" s="417" t="b">
        <f ca="1">T331</f>
        <v>0</v>
      </c>
      <c r="AE331" s="417"/>
      <c r="AL331" s="254" t="str">
        <f>SUBSTITUTE(SUBSTITUTE(SUBSTITUTE("dpa"&amp;$B331&amp;$C331&amp;$D331&amp;$E331,".","_"),"(","_"),")","")</f>
        <v>dpa703_3_5</v>
      </c>
      <c r="AM331" s="254">
        <f>M331</f>
        <v>0</v>
      </c>
      <c r="AN331" s="254" t="str">
        <f>SUBSTITUTE(SUBSTITUTE(SUBSTITUTE("dpc"&amp;$B331&amp;$C331&amp;$D331&amp;$E331,".","_"),"(","_"),")","")</f>
        <v>dpc703_3_5</v>
      </c>
      <c r="AO331" s="254">
        <f ca="1">O331</f>
        <v>0</v>
      </c>
      <c r="AP331" s="254" t="str">
        <f>SUBSTITUTE(SUBSTITUTE(SUBSTITUTE("dch"&amp;$B331&amp;$C331&amp;$D331&amp;$E331,".","_"),"(","_"),")","")</f>
        <v>dch703_3_5</v>
      </c>
      <c r="AQ331" s="254" t="str">
        <f>IF(LEN(W331)=0,"",W331)</f>
        <v/>
      </c>
      <c r="AR331" s="254" t="str">
        <f>SUBSTITUTE(SUBSTITUTE(SUBSTITUTE("dnt"&amp;$B331&amp;$C331&amp;$D331&amp;$E331,".","_"),"(","_"),")","")</f>
        <v>dnt703_3_5</v>
      </c>
      <c r="AS331" s="254" t="str">
        <f>IF(LEN(X331)=0,"",X331)</f>
        <v/>
      </c>
    </row>
    <row r="332" spans="1:61" x14ac:dyDescent="0.25">
      <c r="B332" s="90" t="s">
        <v>926</v>
      </c>
      <c r="C332" s="90"/>
      <c r="D332" s="21"/>
      <c r="E332" s="21"/>
      <c r="F332" s="21"/>
      <c r="G332" s="21"/>
      <c r="H332" s="758"/>
      <c r="I332" s="129"/>
      <c r="J332" s="448"/>
      <c r="K332" s="448"/>
      <c r="L332" s="1782"/>
      <c r="M332" s="1758"/>
      <c r="N332" s="129"/>
      <c r="O332" s="1774"/>
      <c r="P332"/>
      <c r="Q332"/>
      <c r="R332"/>
      <c r="S332"/>
      <c r="T332"/>
      <c r="U332"/>
      <c r="V332"/>
      <c r="W332"/>
      <c r="X332" s="1757"/>
    </row>
    <row r="333" spans="1:61" x14ac:dyDescent="0.25">
      <c r="B333" s="90" t="s">
        <v>926</v>
      </c>
      <c r="C333" s="90"/>
      <c r="D333" s="21"/>
      <c r="E333" s="21"/>
      <c r="F333" s="21"/>
      <c r="G333" s="21"/>
      <c r="H333" s="758"/>
      <c r="I333" s="129"/>
      <c r="J333" s="448"/>
      <c r="K333" s="448"/>
      <c r="L333" s="1782"/>
      <c r="M333" s="1758"/>
      <c r="N333" s="129"/>
      <c r="O333" s="1774"/>
      <c r="P333"/>
      <c r="Q333"/>
      <c r="R333"/>
      <c r="S333"/>
      <c r="T333"/>
      <c r="U333"/>
      <c r="V333"/>
      <c r="W333"/>
      <c r="X333" s="1757"/>
    </row>
    <row r="334" spans="1:61" x14ac:dyDescent="0.25">
      <c r="B334" s="90" t="s">
        <v>926</v>
      </c>
      <c r="C334" s="90"/>
      <c r="D334" s="21"/>
      <c r="E334" s="21"/>
      <c r="F334" s="21"/>
      <c r="G334" s="21"/>
      <c r="H334" s="758"/>
      <c r="I334" s="210"/>
      <c r="J334" s="449"/>
      <c r="K334" s="449"/>
      <c r="L334" s="449" t="s">
        <v>3802</v>
      </c>
      <c r="M334" s="1759"/>
      <c r="N334" s="210"/>
      <c r="O334" s="1764"/>
      <c r="P334"/>
      <c r="Q334"/>
      <c r="R334"/>
      <c r="S334"/>
      <c r="T334"/>
      <c r="U334"/>
      <c r="V334"/>
      <c r="W334"/>
      <c r="X334" s="1757"/>
    </row>
    <row r="335" spans="1:61" x14ac:dyDescent="0.25">
      <c r="B335" s="90" t="s">
        <v>928</v>
      </c>
      <c r="C335" s="90"/>
      <c r="D335" s="21"/>
      <c r="E335" s="21"/>
      <c r="F335" s="21"/>
      <c r="G335" s="21"/>
      <c r="H335" s="758"/>
      <c r="I335" s="66" t="s">
        <v>928</v>
      </c>
      <c r="J335" s="161"/>
      <c r="K335" s="161"/>
      <c r="L335" s="1884" t="s">
        <v>3836</v>
      </c>
      <c r="M335" s="428"/>
      <c r="N335" s="4"/>
      <c r="O335" s="1780">
        <f ca="1">IFERROR(INDEX(M338:M340,MATCH(W336,{16,24,28},1)),0)*S336</f>
        <v>0</v>
      </c>
      <c r="P335"/>
      <c r="Q335"/>
      <c r="R335" s="417"/>
      <c r="S335" s="417"/>
      <c r="T335" s="417"/>
      <c r="U335" s="417"/>
      <c r="V335" s="417"/>
      <c r="W335" s="417" t="s">
        <v>3806</v>
      </c>
      <c r="X335" s="1757"/>
      <c r="AN335" s="254" t="str">
        <f>SUBSTITUTE(SUBSTITUTE(SUBSTITUTE("dpc"&amp;$B335&amp;$C335&amp;$D335&amp;$E335,".","_"),"(","_"),")","")</f>
        <v>dpc703_3_6</v>
      </c>
      <c r="AO335" s="254">
        <f ca="1">O335</f>
        <v>0</v>
      </c>
      <c r="AR335" s="254" t="str">
        <f>SUBSTITUTE(SUBSTITUTE(SUBSTITUTE("dnt"&amp;$B335&amp;$C335&amp;$D335&amp;$E335,".","_"),"(","_"),")","")</f>
        <v>dnt703_3_6</v>
      </c>
      <c r="AS335" s="254" t="str">
        <f>IF(LEN(X335)=0,"",X335)</f>
        <v/>
      </c>
    </row>
    <row r="336" spans="1:61" x14ac:dyDescent="0.25">
      <c r="B336" s="90" t="s">
        <v>928</v>
      </c>
      <c r="C336" s="90"/>
      <c r="D336" s="21"/>
      <c r="E336" s="21"/>
      <c r="F336" s="21"/>
      <c r="G336" s="21"/>
      <c r="H336" s="758"/>
      <c r="I336" s="4"/>
      <c r="J336" s="161"/>
      <c r="K336" s="161"/>
      <c r="L336" s="1884"/>
      <c r="M336" s="428"/>
      <c r="N336" s="4"/>
      <c r="O336" s="1780"/>
      <c r="P336" s="94" t="b">
        <v>1</v>
      </c>
      <c r="Q336" s="94" t="b">
        <v>1</v>
      </c>
      <c r="R336" s="417" t="b">
        <v>0</v>
      </c>
      <c r="S336" s="417" t="b">
        <f ca="1">AND(S13=2,LEN(W291)=0,LEN(W297)=0,LEN(W300)=0,LEN(W305)=0,LEN(W311)=0,LEN(W316)=0,LEN(W318)=0,LEN(W323)=0,NOT(W328=TRUE),LEN(W330)=0,NOT(W331=TRUE))</f>
        <v>0</v>
      </c>
      <c r="T336" s="94" t="b">
        <f ca="1">AND(NOT(S336),LEN(W336)&gt;0)</f>
        <v>0</v>
      </c>
      <c r="U336" s="417"/>
      <c r="V336" s="417"/>
      <c r="W336" s="488"/>
      <c r="X336" s="1757"/>
      <c r="AC336" s="417" t="b">
        <f ca="1">OR(AD336:AE336)</f>
        <v>0</v>
      </c>
      <c r="AD336" s="417" t="b">
        <f ca="1">T336</f>
        <v>0</v>
      </c>
      <c r="AE336" s="417"/>
      <c r="AP336" s="254" t="str">
        <f>SUBSTITUTE(SUBSTITUTE(SUBSTITUTE("dch"&amp;$B336&amp;$C336&amp;$D336&amp;$E336,".","_"),"(","_"),")","")</f>
        <v>dch703_3_6</v>
      </c>
      <c r="AQ336" s="254" t="str">
        <f>IF(LEN(W336)=0,"",W336)</f>
        <v/>
      </c>
    </row>
    <row r="337" spans="1:61" x14ac:dyDescent="0.25">
      <c r="B337" s="90" t="s">
        <v>928</v>
      </c>
      <c r="C337" s="90"/>
      <c r="D337" s="21"/>
      <c r="E337" s="21"/>
      <c r="F337" s="21"/>
      <c r="G337" s="21"/>
      <c r="H337" s="758"/>
      <c r="I337" s="4"/>
      <c r="J337" s="161"/>
      <c r="K337" s="161"/>
      <c r="L337" s="1884"/>
      <c r="M337" s="428"/>
      <c r="N337" s="4"/>
      <c r="O337" s="1780"/>
      <c r="P337"/>
      <c r="Q337"/>
      <c r="R337"/>
      <c r="S337"/>
      <c r="T337"/>
      <c r="U337"/>
      <c r="V337"/>
      <c r="W337"/>
      <c r="X337" s="1757"/>
    </row>
    <row r="338" spans="1:61" s="417" customFormat="1" x14ac:dyDescent="0.25">
      <c r="A338" s="18"/>
      <c r="B338" s="90" t="s">
        <v>928</v>
      </c>
      <c r="C338" s="21" t="s">
        <v>256</v>
      </c>
      <c r="D338" s="21"/>
      <c r="E338" s="21"/>
      <c r="F338" s="21"/>
      <c r="G338" s="21"/>
      <c r="H338" s="758"/>
      <c r="I338" s="4"/>
      <c r="J338" s="430"/>
      <c r="K338" s="430"/>
      <c r="L338" s="430" t="s">
        <v>3803</v>
      </c>
      <c r="M338" s="428">
        <f>IFERROR(INDEX({1,1,2,16,22,22,22,22},T286),0)</f>
        <v>0</v>
      </c>
      <c r="N338" s="4"/>
      <c r="O338" s="141"/>
      <c r="X338" s="1757"/>
      <c r="Y338" s="780"/>
      <c r="AA338" s="783"/>
      <c r="AL338" s="254" t="str">
        <f>SUBSTITUTE(SUBSTITUTE(SUBSTITUTE("dpa"&amp;$B338&amp;$C338&amp;$D338&amp;$E338,".","_"),"(","_"),")","")</f>
        <v>dpa703_3_6_1</v>
      </c>
      <c r="AM338" s="254">
        <f>M338</f>
        <v>0</v>
      </c>
      <c r="AX338" s="76"/>
      <c r="AY338" s="76"/>
      <c r="AZ338" s="76"/>
      <c r="BA338" s="76"/>
      <c r="BB338" s="76"/>
      <c r="BC338" s="76"/>
      <c r="BD338" s="76"/>
      <c r="BE338" s="76"/>
      <c r="BF338" s="76"/>
      <c r="BG338" s="76"/>
      <c r="BH338" s="76"/>
      <c r="BI338" s="76"/>
    </row>
    <row r="339" spans="1:61" s="417" customFormat="1" x14ac:dyDescent="0.25">
      <c r="A339" s="18"/>
      <c r="B339" s="90" t="s">
        <v>928</v>
      </c>
      <c r="C339" s="21" t="s">
        <v>258</v>
      </c>
      <c r="D339" s="21"/>
      <c r="E339" s="21"/>
      <c r="F339" s="21"/>
      <c r="G339" s="21"/>
      <c r="H339" s="758"/>
      <c r="I339" s="4"/>
      <c r="J339" s="430"/>
      <c r="K339" s="430"/>
      <c r="L339" s="430" t="s">
        <v>3804</v>
      </c>
      <c r="M339" s="428">
        <f>IFERROR(INDEX({24,29,22,31,35,35,35,35},T286),0)</f>
        <v>0</v>
      </c>
      <c r="N339" s="4"/>
      <c r="O339" s="141"/>
      <c r="X339" s="1757"/>
      <c r="Y339" s="780"/>
      <c r="AA339" s="783"/>
      <c r="AL339" s="254" t="str">
        <f>SUBSTITUTE(SUBSTITUTE(SUBSTITUTE("dpa"&amp;$B339&amp;$C339&amp;$D339&amp;$E339,".","_"),"(","_"),")","")</f>
        <v>dpa703_3_6_2</v>
      </c>
      <c r="AM339" s="254">
        <f>M339</f>
        <v>0</v>
      </c>
      <c r="AX339" s="76"/>
      <c r="AY339" s="76"/>
    </row>
    <row r="340" spans="1:61" x14ac:dyDescent="0.25">
      <c r="B340" s="90" t="s">
        <v>928</v>
      </c>
      <c r="C340" s="21" t="s">
        <v>260</v>
      </c>
      <c r="D340" s="21"/>
      <c r="E340" s="21"/>
      <c r="F340" s="21"/>
      <c r="G340" s="21"/>
      <c r="H340" s="758"/>
      <c r="I340" s="210"/>
      <c r="J340" s="449"/>
      <c r="K340" s="449"/>
      <c r="L340" s="449" t="s">
        <v>3805</v>
      </c>
      <c r="M340" s="453">
        <f>IFERROR(INDEX({42,46,35,42,44,44,44,44},T286),0)</f>
        <v>0</v>
      </c>
      <c r="N340" s="210"/>
      <c r="O340" s="503"/>
      <c r="P340"/>
      <c r="Q340"/>
      <c r="R340"/>
      <c r="S340"/>
      <c r="T340"/>
      <c r="U340"/>
      <c r="V340"/>
      <c r="W340"/>
      <c r="X340" s="1757"/>
      <c r="AL340" s="254" t="str">
        <f>SUBSTITUTE(SUBSTITUTE(SUBSTITUTE("dpa"&amp;$B340&amp;$C340&amp;$D340&amp;$E340,".","_"),"(","_"),")","")</f>
        <v>dpa703_3_6_3</v>
      </c>
      <c r="AM340" s="254">
        <f>M340</f>
        <v>0</v>
      </c>
      <c r="AZ340" s="417"/>
      <c r="BA340" s="417"/>
      <c r="BB340" s="417"/>
      <c r="BC340" s="417"/>
      <c r="BD340" s="417"/>
      <c r="BE340" s="417"/>
      <c r="BF340" s="417"/>
      <c r="BG340" s="417"/>
      <c r="BH340" s="417"/>
      <c r="BI340" s="417"/>
    </row>
    <row r="341" spans="1:61" x14ac:dyDescent="0.25">
      <c r="B341" s="90" t="s">
        <v>929</v>
      </c>
      <c r="C341" s="21" t="s">
        <v>256</v>
      </c>
      <c r="D341" s="21"/>
      <c r="E341" s="21"/>
      <c r="F341" s="21"/>
      <c r="G341" s="21"/>
      <c r="H341" s="758"/>
      <c r="I341" s="66" t="s">
        <v>929</v>
      </c>
      <c r="J341" s="161"/>
      <c r="K341" s="161"/>
      <c r="L341" s="166" t="s">
        <v>930</v>
      </c>
      <c r="M341" s="428">
        <v>1</v>
      </c>
      <c r="N341" s="4"/>
      <c r="O341" s="141">
        <f ca="1">IF(AND(S343,W343&gt;0),MIN(8,W343),M341*S341*W341)</f>
        <v>0</v>
      </c>
      <c r="P341" s="94" t="b">
        <v>0</v>
      </c>
      <c r="Q341" s="94" t="b">
        <v>1</v>
      </c>
      <c r="R341" s="134" t="b">
        <v>0</v>
      </c>
      <c r="S341" s="137" t="b">
        <f ca="1">AND(S13=2,NOT(W348))</f>
        <v>0</v>
      </c>
      <c r="T341" s="94" t="b">
        <f ca="1">AND(NOT(S341),W341=TRUE)</f>
        <v>0</v>
      </c>
      <c r="U341"/>
      <c r="V341"/>
      <c r="W341" s="25"/>
      <c r="X341" s="1757"/>
      <c r="AC341" s="417" t="b">
        <f ca="1">OR(AD341:AE341)</f>
        <v>0</v>
      </c>
      <c r="AD341" s="417" t="b">
        <f ca="1">T341</f>
        <v>0</v>
      </c>
      <c r="AE341" s="417"/>
      <c r="AL341" s="254" t="str">
        <f>SUBSTITUTE(SUBSTITUTE(SUBSTITUTE("dpa"&amp;$B341&amp;$C341&amp;$D341&amp;$E341,".","_"),"(","_"),")","")</f>
        <v>dpa703_3_7_1</v>
      </c>
      <c r="AM341" s="254">
        <f>M341</f>
        <v>1</v>
      </c>
      <c r="AN341" s="254" t="str">
        <f>SUBSTITUTE(SUBSTITUTE(SUBSTITUTE("dpc"&amp;$B341&amp;$C341&amp;$D341&amp;$E341,".","_"),"(","_"),")","")</f>
        <v>dpc703_3_7_1</v>
      </c>
      <c r="AO341" s="254">
        <f ca="1">O341</f>
        <v>0</v>
      </c>
      <c r="AP341" s="254" t="str">
        <f>SUBSTITUTE(SUBSTITUTE(SUBSTITUTE("dch"&amp;$B341&amp;$C341&amp;$D341&amp;$E341,".","_"),"(","_"),")","")</f>
        <v>dch703_3_7_1</v>
      </c>
      <c r="AQ341" s="254" t="str">
        <f>IF(LEN(W341)=0,"",W341)</f>
        <v/>
      </c>
      <c r="AR341" s="254" t="str">
        <f>SUBSTITUTE(SUBSTITUTE(SUBSTITUTE("dnt"&amp;$B341&amp;$C341&amp;$D341&amp;$E341,".","_"),"(","_"),")","")</f>
        <v>dnt703_3_7_1</v>
      </c>
      <c r="AS341" s="254" t="str">
        <f>IF(LEN(X341)=0,"",X341)</f>
        <v/>
      </c>
    </row>
    <row r="342" spans="1:61" x14ac:dyDescent="0.25">
      <c r="B342" s="90" t="s">
        <v>929</v>
      </c>
      <c r="C342" s="21"/>
      <c r="D342" s="21"/>
      <c r="E342" s="21"/>
      <c r="F342" s="21"/>
      <c r="G342" s="21"/>
      <c r="H342" s="758"/>
      <c r="I342" s="4"/>
      <c r="J342" s="161"/>
      <c r="K342" s="161"/>
      <c r="L342" s="162" t="s">
        <v>931</v>
      </c>
      <c r="M342" s="428"/>
      <c r="N342" s="4"/>
      <c r="O342" s="141"/>
      <c r="P342"/>
      <c r="Q342"/>
      <c r="R342"/>
      <c r="S342"/>
      <c r="T342"/>
      <c r="U342"/>
      <c r="V342"/>
      <c r="W342" t="s">
        <v>3762</v>
      </c>
      <c r="X342" s="1757"/>
    </row>
    <row r="343" spans="1:61" x14ac:dyDescent="0.25">
      <c r="B343" s="90" t="s">
        <v>929</v>
      </c>
      <c r="C343" s="21" t="s">
        <v>258</v>
      </c>
      <c r="D343" s="21"/>
      <c r="E343" s="21"/>
      <c r="F343" s="21"/>
      <c r="G343" s="21"/>
      <c r="H343" s="758"/>
      <c r="I343" s="4"/>
      <c r="J343" s="161"/>
      <c r="K343" s="161"/>
      <c r="L343" s="1884" t="s">
        <v>4280</v>
      </c>
      <c r="M343" s="428"/>
      <c r="N343" s="4"/>
      <c r="O343" s="141"/>
      <c r="P343" s="94" t="b">
        <v>0</v>
      </c>
      <c r="Q343" s="94" t="b">
        <v>1</v>
      </c>
      <c r="R343" s="417" t="b">
        <v>0</v>
      </c>
      <c r="S343" t="b">
        <f ca="1">AND(S13=2,NOT(W348),W341=TRUE,OR(BI16="Tropical",AND(BG16="Dry",OR(BF16=2,BF16=3,BF16=4))))</f>
        <v>0</v>
      </c>
      <c r="T343" s="94" t="b">
        <f ca="1">AND(NOT(S343),LEN(W343)&gt;0)</f>
        <v>0</v>
      </c>
      <c r="U343"/>
      <c r="V343"/>
      <c r="W343" s="513"/>
      <c r="X343" s="1757"/>
      <c r="AC343" s="417" t="b">
        <f ca="1">OR(AD343:AE343)</f>
        <v>0</v>
      </c>
      <c r="AD343" s="417" t="b">
        <f ca="1">T343</f>
        <v>0</v>
      </c>
      <c r="AE343" s="417"/>
      <c r="AP343" s="254" t="str">
        <f>SUBSTITUTE(SUBSTITUTE(SUBSTITUTE("dch"&amp;$B343&amp;$C343&amp;$D343&amp;$E343,".","_"),"(","_"),")","")</f>
        <v>dch703_3_7_2</v>
      </c>
      <c r="AQ343" s="254" t="str">
        <f>IF(LEN(W343)=0,"",W343)</f>
        <v/>
      </c>
    </row>
    <row r="344" spans="1:61" x14ac:dyDescent="0.25">
      <c r="B344" s="90" t="s">
        <v>929</v>
      </c>
      <c r="C344" s="90"/>
      <c r="D344" s="21"/>
      <c r="E344" s="21"/>
      <c r="F344" s="21"/>
      <c r="G344" s="21"/>
      <c r="H344" s="758"/>
      <c r="I344" s="4"/>
      <c r="J344" s="161"/>
      <c r="K344" s="161"/>
      <c r="L344" s="1884"/>
      <c r="M344" s="428"/>
      <c r="N344" s="4"/>
      <c r="O344" s="141"/>
      <c r="P344"/>
      <c r="Q344"/>
      <c r="R344"/>
      <c r="S344"/>
      <c r="T344"/>
      <c r="U344"/>
      <c r="V344"/>
      <c r="W344"/>
      <c r="X344" s="1757"/>
      <c r="AX344" s="159"/>
      <c r="AY344" s="159"/>
    </row>
    <row r="345" spans="1:61" x14ac:dyDescent="0.25">
      <c r="B345" s="90" t="s">
        <v>929</v>
      </c>
      <c r="C345" s="90"/>
      <c r="D345" s="21"/>
      <c r="E345" s="21"/>
      <c r="F345" s="21"/>
      <c r="G345" s="21"/>
      <c r="H345" s="758"/>
      <c r="I345" s="4"/>
      <c r="J345" s="161"/>
      <c r="K345" s="161"/>
      <c r="L345" s="1884"/>
      <c r="M345" s="428"/>
      <c r="N345" s="4"/>
      <c r="O345" s="141"/>
      <c r="P345"/>
      <c r="Q345"/>
      <c r="R345"/>
      <c r="S345"/>
      <c r="T345"/>
      <c r="U345"/>
      <c r="V345"/>
      <c r="W345"/>
      <c r="X345" s="1757"/>
    </row>
    <row r="346" spans="1:61" x14ac:dyDescent="0.25">
      <c r="B346" s="90" t="s">
        <v>929</v>
      </c>
      <c r="C346" s="90"/>
      <c r="D346" s="21"/>
      <c r="E346" s="21"/>
      <c r="F346" s="21"/>
      <c r="G346" s="21"/>
      <c r="H346" s="758"/>
      <c r="I346" s="4"/>
      <c r="J346" s="161"/>
      <c r="K346" s="161"/>
      <c r="L346" s="1884"/>
      <c r="M346" s="428"/>
      <c r="N346" s="4"/>
      <c r="O346" s="141"/>
      <c r="P346"/>
      <c r="Q346"/>
      <c r="R346"/>
      <c r="S346"/>
      <c r="T346"/>
      <c r="U346"/>
      <c r="V346"/>
      <c r="W346"/>
      <c r="X346" s="1757"/>
    </row>
    <row r="347" spans="1:61" s="417" customFormat="1" x14ac:dyDescent="0.25">
      <c r="A347" s="18"/>
      <c r="B347" s="90" t="s">
        <v>929</v>
      </c>
      <c r="C347" s="90"/>
      <c r="D347" s="21"/>
      <c r="E347" s="21"/>
      <c r="F347" s="21"/>
      <c r="G347" s="21"/>
      <c r="H347" s="758"/>
      <c r="I347" s="210"/>
      <c r="J347" s="449"/>
      <c r="K347" s="449"/>
      <c r="L347" s="472" t="s">
        <v>3778</v>
      </c>
      <c r="M347" s="453"/>
      <c r="N347" s="210"/>
      <c r="O347" s="503"/>
      <c r="P347" s="178"/>
      <c r="Q347" s="178"/>
      <c r="R347" s="178"/>
      <c r="S347" s="178"/>
      <c r="T347" s="178"/>
      <c r="U347" s="178"/>
      <c r="V347" s="178"/>
      <c r="W347" s="538"/>
      <c r="X347" s="1757"/>
      <c r="Y347" s="780"/>
      <c r="AA347" s="783"/>
      <c r="AX347" s="383"/>
      <c r="AY347" s="383"/>
      <c r="AZ347" s="76"/>
      <c r="BA347" s="76"/>
      <c r="BB347" s="76"/>
      <c r="BC347" s="76"/>
      <c r="BD347" s="76"/>
      <c r="BE347" s="76"/>
      <c r="BF347" s="76"/>
      <c r="BG347" s="76"/>
      <c r="BH347" s="76"/>
      <c r="BI347" s="76"/>
    </row>
    <row r="348" spans="1:61" x14ac:dyDescent="0.25">
      <c r="B348" s="90" t="s">
        <v>932</v>
      </c>
      <c r="C348" s="90"/>
      <c r="D348" s="21"/>
      <c r="E348" s="21"/>
      <c r="F348" s="21"/>
      <c r="G348" s="21"/>
      <c r="H348" s="758"/>
      <c r="I348" s="533" t="s">
        <v>932</v>
      </c>
      <c r="J348" s="461"/>
      <c r="K348" s="461"/>
      <c r="L348" s="1887" t="s">
        <v>4281</v>
      </c>
      <c r="M348" s="1762">
        <f>IFERROR(INDEX({4,4,4,3,3,3,0,0},BF16),0)</f>
        <v>0</v>
      </c>
      <c r="N348" s="193"/>
      <c r="O348" s="1763">
        <f ca="1">M348*S348*W348</f>
        <v>0</v>
      </c>
      <c r="P348" s="94" t="b">
        <v>1</v>
      </c>
      <c r="Q348" s="94" t="b">
        <v>1</v>
      </c>
      <c r="R348" s="195" t="b">
        <v>0</v>
      </c>
      <c r="S348" s="195" t="b">
        <f ca="1">(S13=2)</f>
        <v>0</v>
      </c>
      <c r="T348" s="195" t="b">
        <f ca="1">AND(NOT(S348),W348=TRUE)</f>
        <v>0</v>
      </c>
      <c r="U348" s="195"/>
      <c r="V348" s="195"/>
      <c r="W348" s="360"/>
      <c r="X348" s="1770"/>
      <c r="AC348" s="417" t="b">
        <f ca="1">OR(AD348:AE348)</f>
        <v>0</v>
      </c>
      <c r="AD348" s="417" t="b">
        <f ca="1">T348</f>
        <v>0</v>
      </c>
      <c r="AE348" s="417"/>
      <c r="AL348" s="254" t="str">
        <f>SUBSTITUTE(SUBSTITUTE(SUBSTITUTE("dpa"&amp;$B348&amp;$C348&amp;$D348&amp;$E348,".","_"),"(","_"),")","")</f>
        <v>dpa703_3_8</v>
      </c>
      <c r="AM348" s="254">
        <f>M348</f>
        <v>0</v>
      </c>
      <c r="AN348" s="254" t="str">
        <f>SUBSTITUTE(SUBSTITUTE(SUBSTITUTE("dpc"&amp;$B348&amp;$C348&amp;$D348&amp;$E348,".","_"),"(","_"),")","")</f>
        <v>dpc703_3_8</v>
      </c>
      <c r="AO348" s="254">
        <f ca="1">O348</f>
        <v>0</v>
      </c>
      <c r="AP348" s="254" t="str">
        <f>SUBSTITUTE(SUBSTITUTE(SUBSTITUTE("dch"&amp;$B348&amp;$C348&amp;$D348&amp;$E348,".","_"),"(","_"),")","")</f>
        <v>dch703_3_8</v>
      </c>
      <c r="AQ348" s="254" t="str">
        <f>IF(LEN(W348)=0,"",W348)</f>
        <v/>
      </c>
      <c r="AR348" s="254" t="str">
        <f>SUBSTITUTE(SUBSTITUTE(SUBSTITUTE("dnt"&amp;$B348&amp;$C348&amp;$D348&amp;$E348,".","_"),"(","_"),")","")</f>
        <v>dnt703_3_8</v>
      </c>
      <c r="AS348" s="254" t="str">
        <f>IF(LEN(X348)=0,"",X348)</f>
        <v/>
      </c>
      <c r="AX348" s="383"/>
      <c r="AY348" s="383"/>
      <c r="AZ348" s="417"/>
      <c r="BA348" s="417"/>
      <c r="BB348" s="417"/>
      <c r="BC348" s="417"/>
      <c r="BD348" s="417"/>
      <c r="BE348" s="417"/>
      <c r="BF348" s="417"/>
      <c r="BG348" s="417"/>
      <c r="BH348" s="417"/>
      <c r="BI348" s="417"/>
    </row>
    <row r="349" spans="1:61" x14ac:dyDescent="0.25">
      <c r="B349" s="90" t="s">
        <v>932</v>
      </c>
      <c r="C349" s="90"/>
      <c r="D349" s="21"/>
      <c r="E349" s="21"/>
      <c r="F349" s="21"/>
      <c r="G349" s="21"/>
      <c r="H349" s="758"/>
      <c r="I349" s="129"/>
      <c r="J349" s="448"/>
      <c r="K349" s="448"/>
      <c r="L349" s="1885"/>
      <c r="M349" s="1758"/>
      <c r="N349" s="129"/>
      <c r="O349" s="1774"/>
      <c r="P349" s="94"/>
      <c r="Q349" s="94"/>
      <c r="R349" s="94"/>
      <c r="S349" s="94"/>
      <c r="T349" s="94"/>
      <c r="U349" s="94"/>
      <c r="V349" s="94"/>
      <c r="W349" s="94"/>
      <c r="X349" s="1770"/>
      <c r="AX349" s="383"/>
      <c r="AY349" s="383"/>
    </row>
    <row r="350" spans="1:61" x14ac:dyDescent="0.25">
      <c r="B350" s="90" t="s">
        <v>932</v>
      </c>
      <c r="C350" s="90"/>
      <c r="D350" s="21"/>
      <c r="E350" s="21"/>
      <c r="F350" s="21"/>
      <c r="G350" s="21"/>
      <c r="H350" s="758"/>
      <c r="I350" s="129"/>
      <c r="J350" s="448"/>
      <c r="K350" s="448"/>
      <c r="L350" s="457" t="s">
        <v>931</v>
      </c>
      <c r="M350" s="452"/>
      <c r="N350" s="129"/>
      <c r="O350" s="502"/>
      <c r="P350" s="94"/>
      <c r="Q350" s="94"/>
      <c r="R350" s="94"/>
      <c r="S350" s="94"/>
      <c r="T350" s="94"/>
      <c r="U350" s="94"/>
      <c r="V350" s="94"/>
      <c r="W350" s="94"/>
      <c r="X350" s="1770"/>
    </row>
    <row r="351" spans="1:61" s="417" customFormat="1" x14ac:dyDescent="0.25">
      <c r="A351" s="18"/>
      <c r="B351" s="90" t="s">
        <v>932</v>
      </c>
      <c r="C351" s="90"/>
      <c r="D351" s="21"/>
      <c r="E351" s="21"/>
      <c r="F351" s="21"/>
      <c r="G351" s="21"/>
      <c r="H351" s="758"/>
      <c r="I351" s="129"/>
      <c r="J351" s="448"/>
      <c r="K351" s="448"/>
      <c r="L351" s="1882" t="s">
        <v>3777</v>
      </c>
      <c r="M351" s="452"/>
      <c r="N351" s="129"/>
      <c r="O351" s="502"/>
      <c r="P351" s="94"/>
      <c r="Q351" s="94"/>
      <c r="R351" s="94"/>
      <c r="S351" s="94"/>
      <c r="T351" s="94"/>
      <c r="U351" s="94"/>
      <c r="V351" s="94"/>
      <c r="W351" s="94"/>
      <c r="X351" s="1770"/>
      <c r="Y351" s="780"/>
      <c r="AA351" s="783"/>
      <c r="AX351" s="76"/>
      <c r="AY351" s="76"/>
      <c r="AZ351" s="76"/>
      <c r="BA351" s="76"/>
      <c r="BB351" s="76"/>
      <c r="BC351" s="76"/>
      <c r="BD351" s="76"/>
      <c r="BE351" s="76"/>
      <c r="BF351" s="76"/>
      <c r="BG351" s="76"/>
      <c r="BH351" s="76"/>
      <c r="BI351" s="76"/>
    </row>
    <row r="352" spans="1:61" ht="15.75" thickBot="1" x14ac:dyDescent="0.3">
      <c r="B352" s="90" t="s">
        <v>932</v>
      </c>
      <c r="C352" s="90"/>
      <c r="D352" s="21"/>
      <c r="E352" s="21"/>
      <c r="F352" s="21"/>
      <c r="G352" s="21"/>
      <c r="H352" s="758"/>
      <c r="I352" s="240"/>
      <c r="J352" s="462"/>
      <c r="K352" s="462"/>
      <c r="L352" s="1888"/>
      <c r="M352" s="460"/>
      <c r="N352" s="240"/>
      <c r="O352" s="504"/>
      <c r="P352" s="99"/>
      <c r="Q352" s="99"/>
      <c r="R352" s="99"/>
      <c r="S352" s="99"/>
      <c r="T352" s="99"/>
      <c r="U352" s="99"/>
      <c r="V352" s="99"/>
      <c r="W352" s="99"/>
      <c r="X352" s="1771"/>
      <c r="AZ352" s="417"/>
      <c r="BA352" s="417"/>
      <c r="BB352" s="417"/>
      <c r="BC352" s="417"/>
      <c r="BD352" s="417"/>
      <c r="BE352" s="417"/>
      <c r="BF352" s="417"/>
      <c r="BG352" s="417"/>
      <c r="BH352" s="417"/>
      <c r="BI352" s="417"/>
    </row>
    <row r="353" spans="1:61" ht="15.75" thickTop="1" x14ac:dyDescent="0.25">
      <c r="B353" s="679">
        <v>703.4</v>
      </c>
      <c r="C353" s="90"/>
      <c r="D353" s="21"/>
      <c r="E353" s="21"/>
      <c r="F353" s="21"/>
      <c r="G353" s="21"/>
      <c r="H353" s="758"/>
      <c r="I353" s="64">
        <v>703.4</v>
      </c>
      <c r="J353" s="161"/>
      <c r="K353" s="161"/>
      <c r="L353" s="166" t="s">
        <v>933</v>
      </c>
      <c r="M353" s="428"/>
      <c r="N353" s="4"/>
      <c r="O353" s="141"/>
      <c r="P353"/>
      <c r="Q353"/>
      <c r="R353" s="1"/>
      <c r="S353" s="385" t="s">
        <v>3644</v>
      </c>
      <c r="T353" s="1" t="b">
        <f>AND(AY28&gt;4,AY19=INDEX(ddSingleOrMulti,2))</f>
        <v>0</v>
      </c>
      <c r="U353"/>
      <c r="V353"/>
      <c r="W353"/>
      <c r="X353"/>
      <c r="AX353" s="816"/>
      <c r="AY353" s="816"/>
    </row>
    <row r="354" spans="1:61" x14ac:dyDescent="0.25">
      <c r="B354" s="679" t="s">
        <v>934</v>
      </c>
      <c r="C354" s="90"/>
      <c r="D354" s="21"/>
      <c r="E354" s="21"/>
      <c r="F354" s="21"/>
      <c r="G354" s="21"/>
      <c r="H354" s="758"/>
      <c r="I354" s="130" t="s">
        <v>934</v>
      </c>
      <c r="J354" s="448"/>
      <c r="K354" s="448"/>
      <c r="L354" s="282" t="s">
        <v>935</v>
      </c>
      <c r="M354" s="1758">
        <f>IFERROR(INDEX({0,2,4,6,8,8,8,8},BF16),0)</f>
        <v>0</v>
      </c>
      <c r="N354" s="129"/>
      <c r="O354" s="1774">
        <f ca="1">M354*S354*W354</f>
        <v>0</v>
      </c>
      <c r="P354" s="94" t="b">
        <v>1</v>
      </c>
      <c r="Q354" s="94" t="b">
        <v>1</v>
      </c>
      <c r="R354" s="383" t="b">
        <v>0</v>
      </c>
      <c r="S354" s="383" t="b">
        <f ca="1">AND(S13=2,NOT(T353),AY39=INDEX(ddHDucts,2))</f>
        <v>0</v>
      </c>
      <c r="T354" s="94" t="b">
        <f ca="1">AND(NOT(S354),W354=TRUE)</f>
        <v>0</v>
      </c>
      <c r="U354"/>
      <c r="V354"/>
      <c r="W354" s="25"/>
      <c r="X354" s="1757"/>
      <c r="AC354" s="417" t="b">
        <f ca="1">OR(AD354:AE354)</f>
        <v>0</v>
      </c>
      <c r="AD354" s="417" t="b">
        <f ca="1">T354</f>
        <v>0</v>
      </c>
      <c r="AE354" s="417"/>
      <c r="AL354" s="254" t="str">
        <f>SUBSTITUTE(SUBSTITUTE(SUBSTITUTE("dpa"&amp;$B354&amp;$C354&amp;$D354&amp;$E354,".","_"),"(","_"),")","")</f>
        <v>dpa703_4_1</v>
      </c>
      <c r="AM354" s="254">
        <f>M354</f>
        <v>0</v>
      </c>
      <c r="AN354" s="254" t="str">
        <f>SUBSTITUTE(SUBSTITUTE(SUBSTITUTE("dpc"&amp;$B354&amp;$C354&amp;$D354&amp;$E354,".","_"),"(","_"),")","")</f>
        <v>dpc703_4_1</v>
      </c>
      <c r="AO354" s="254">
        <f ca="1">O354</f>
        <v>0</v>
      </c>
      <c r="AP354" s="254" t="str">
        <f>SUBSTITUTE(SUBSTITUTE(SUBSTITUTE("dch"&amp;$B354&amp;$C354&amp;$D354&amp;$E354,".","_"),"(","_"),")","")</f>
        <v>dch703_4_1</v>
      </c>
      <c r="AQ354" s="254" t="str">
        <f>IF(LEN(W354)=0,"",W354)</f>
        <v/>
      </c>
      <c r="AR354" s="254" t="str">
        <f>SUBSTITUTE(SUBSTITUTE(SUBSTITUTE("dnt"&amp;$B354&amp;$C354&amp;$D354&amp;$E354,".","_"),"(","_"),")","")</f>
        <v>dnt703_4_1</v>
      </c>
      <c r="AS354" s="254" t="str">
        <f>IF(LEN(X354)=0,"",X354)</f>
        <v/>
      </c>
      <c r="AX354" s="816"/>
      <c r="AY354" s="816"/>
    </row>
    <row r="355" spans="1:61" x14ac:dyDescent="0.25">
      <c r="B355" s="679" t="s">
        <v>934</v>
      </c>
      <c r="C355" s="90"/>
      <c r="D355" s="21"/>
      <c r="E355" s="21"/>
      <c r="F355" s="21"/>
      <c r="G355" s="21"/>
      <c r="H355" s="758"/>
      <c r="I355" s="210"/>
      <c r="J355" s="449"/>
      <c r="K355" s="449"/>
      <c r="L355" s="472" t="s">
        <v>936</v>
      </c>
      <c r="M355" s="1759"/>
      <c r="N355" s="210"/>
      <c r="O355" s="1764"/>
      <c r="P355"/>
      <c r="Q355"/>
      <c r="R355"/>
      <c r="S355"/>
      <c r="T355"/>
      <c r="U355"/>
      <c r="V355"/>
      <c r="W355"/>
      <c r="X355" s="1757"/>
      <c r="AX355" s="816"/>
      <c r="AY355" s="816"/>
    </row>
    <row r="356" spans="1:61" x14ac:dyDescent="0.25">
      <c r="B356" s="679" t="s">
        <v>937</v>
      </c>
      <c r="C356" s="90"/>
      <c r="D356" s="21"/>
      <c r="E356" s="21"/>
      <c r="F356" s="21"/>
      <c r="G356" s="21"/>
      <c r="H356" s="758"/>
      <c r="I356" s="192" t="s">
        <v>937</v>
      </c>
      <c r="J356" s="461"/>
      <c r="K356" s="461"/>
      <c r="L356" s="529" t="s">
        <v>938</v>
      </c>
      <c r="M356" s="1762">
        <f>IFERROR(INDEX({8,8,4,2,1,0,0,0},BF16),0)</f>
        <v>0</v>
      </c>
      <c r="N356" s="193"/>
      <c r="O356" s="1763">
        <f ca="1">M356*S356*W356</f>
        <v>0</v>
      </c>
      <c r="P356" s="94" t="b">
        <v>1</v>
      </c>
      <c r="Q356" s="94" t="b">
        <v>1</v>
      </c>
      <c r="R356" s="383" t="b">
        <v>0</v>
      </c>
      <c r="S356" s="383" t="b">
        <f ca="1">AND(S13=2,NOT(T353),AY43=INDEX(ddCDucts,2))</f>
        <v>0</v>
      </c>
      <c r="T356" s="94" t="b">
        <f ca="1">AND(NOT(S356),W356=TRUE)</f>
        <v>0</v>
      </c>
      <c r="U356"/>
      <c r="V356"/>
      <c r="W356" s="25"/>
      <c r="X356" s="1757"/>
      <c r="AC356" s="417" t="b">
        <f ca="1">OR(AD356:AE356)</f>
        <v>0</v>
      </c>
      <c r="AD356" s="417" t="b">
        <f ca="1">T356</f>
        <v>0</v>
      </c>
      <c r="AE356" s="417"/>
      <c r="AL356" s="254" t="str">
        <f>SUBSTITUTE(SUBSTITUTE(SUBSTITUTE("dpa"&amp;$B356&amp;$C356&amp;$D356&amp;$E356,".","_"),"(","_"),")","")</f>
        <v>dpa703_4_2</v>
      </c>
      <c r="AM356" s="254">
        <f>M356</f>
        <v>0</v>
      </c>
      <c r="AN356" s="254" t="str">
        <f>SUBSTITUTE(SUBSTITUTE(SUBSTITUTE("dpc"&amp;$B356&amp;$C356&amp;$D356&amp;$E356,".","_"),"(","_"),")","")</f>
        <v>dpc703_4_2</v>
      </c>
      <c r="AO356" s="254">
        <f ca="1">O356</f>
        <v>0</v>
      </c>
      <c r="AP356" s="254" t="str">
        <f>SUBSTITUTE(SUBSTITUTE(SUBSTITUTE("dch"&amp;$B356&amp;$C356&amp;$D356&amp;$E356,".","_"),"(","_"),")","")</f>
        <v>dch703_4_2</v>
      </c>
      <c r="AQ356" s="254" t="str">
        <f>IF(LEN(W356)=0,"",W356)</f>
        <v/>
      </c>
      <c r="AR356" s="254" t="str">
        <f>SUBSTITUTE(SUBSTITUTE(SUBSTITUTE("dnt"&amp;$B356&amp;$C356&amp;$D356&amp;$E356,".","_"),"(","_"),")","")</f>
        <v>dnt703_4_2</v>
      </c>
      <c r="AS356" s="254" t="str">
        <f>IF(LEN(X356)=0,"",X356)</f>
        <v/>
      </c>
      <c r="AX356" s="816"/>
      <c r="AY356" s="816"/>
    </row>
    <row r="357" spans="1:61" x14ac:dyDescent="0.25">
      <c r="B357" s="679" t="s">
        <v>937</v>
      </c>
      <c r="C357" s="90"/>
      <c r="D357" s="21"/>
      <c r="E357" s="21"/>
      <c r="F357" s="21"/>
      <c r="G357" s="21"/>
      <c r="H357" s="758"/>
      <c r="I357" s="210"/>
      <c r="J357" s="449"/>
      <c r="K357" s="449"/>
      <c r="L357" s="472" t="s">
        <v>936</v>
      </c>
      <c r="M357" s="1759"/>
      <c r="N357" s="210"/>
      <c r="O357" s="1764"/>
      <c r="P357"/>
      <c r="Q357"/>
      <c r="R357"/>
      <c r="S357"/>
      <c r="T357"/>
      <c r="U357"/>
      <c r="V357"/>
      <c r="W357"/>
      <c r="X357" s="1757"/>
      <c r="AX357" s="816"/>
      <c r="AY357" s="816"/>
    </row>
    <row r="358" spans="1:61" x14ac:dyDescent="0.25">
      <c r="B358" s="679" t="s">
        <v>939</v>
      </c>
      <c r="C358" s="90"/>
      <c r="D358" s="21"/>
      <c r="E358" s="21"/>
      <c r="F358" s="21"/>
      <c r="G358" s="21"/>
      <c r="H358" s="758"/>
      <c r="I358" s="64" t="s">
        <v>939</v>
      </c>
      <c r="J358" s="161"/>
      <c r="K358" s="161"/>
      <c r="L358" s="166" t="s">
        <v>940</v>
      </c>
      <c r="M358" s="428">
        <f>IFERROR(INDEX({8,10,8,8,8,4,4,4},BF16),0)</f>
        <v>0</v>
      </c>
      <c r="N358" s="4"/>
      <c r="O358" s="141">
        <f ca="1">M358*S359*S360*S362*W359*W360*W362</f>
        <v>0</v>
      </c>
      <c r="P358"/>
      <c r="Q358"/>
      <c r="R358"/>
      <c r="S358"/>
      <c r="T358"/>
      <c r="U358"/>
      <c r="V358"/>
      <c r="W358"/>
      <c r="X358"/>
      <c r="AL358" s="254" t="str">
        <f>SUBSTITUTE(SUBSTITUTE(SUBSTITUTE("dpa"&amp;$B358&amp;$C358&amp;$D358&amp;$E358,".","_"),"(","_"),")","")</f>
        <v>dpa703_4_3</v>
      </c>
      <c r="AM358" s="254">
        <f>M358</f>
        <v>0</v>
      </c>
      <c r="AN358" s="254" t="str">
        <f>SUBSTITUTE(SUBSTITUTE(SUBSTITUTE("dpc"&amp;$B358&amp;$C358&amp;$D358&amp;$E358,".","_"),"(","_"),")","")</f>
        <v>dpc703_4_3</v>
      </c>
      <c r="AO358" s="254">
        <f ca="1">O358</f>
        <v>0</v>
      </c>
    </row>
    <row r="359" spans="1:61" x14ac:dyDescent="0.25">
      <c r="B359" s="679" t="s">
        <v>939</v>
      </c>
      <c r="C359" s="21" t="s">
        <v>256</v>
      </c>
      <c r="D359" s="21"/>
      <c r="E359" s="21"/>
      <c r="F359" s="21"/>
      <c r="G359" s="21"/>
      <c r="H359" s="758"/>
      <c r="I359" s="4"/>
      <c r="J359" s="530" t="s">
        <v>256</v>
      </c>
      <c r="K359" s="449"/>
      <c r="L359" s="449" t="s">
        <v>941</v>
      </c>
      <c r="M359" s="428"/>
      <c r="N359" s="4"/>
      <c r="O359" s="141"/>
      <c r="P359" s="94" t="b">
        <v>1</v>
      </c>
      <c r="Q359" s="94" t="b">
        <v>0</v>
      </c>
      <c r="R359" s="383" t="b">
        <v>0</v>
      </c>
      <c r="S359" s="383" t="b">
        <f ca="1">AND(S13=2,NOT(T353),OR(AY39&lt;&gt;INDEX(ddHDucts,2),AY43&lt;&gt;INDEX(ddCDucts,2)))</f>
        <v>0</v>
      </c>
      <c r="T359" s="94" t="b">
        <f ca="1">AND(NOT(S359),W359=TRUE)</f>
        <v>0</v>
      </c>
      <c r="U359"/>
      <c r="V359"/>
      <c r="W359" s="25"/>
      <c r="X359" s="418"/>
      <c r="AC359" s="417" t="b">
        <f ca="1">OR(AD359:AE359)</f>
        <v>0</v>
      </c>
      <c r="AD359" s="417" t="b">
        <f ca="1">T359</f>
        <v>0</v>
      </c>
      <c r="AE359" s="417"/>
      <c r="AP359" s="254" t="str">
        <f>SUBSTITUTE(SUBSTITUTE(SUBSTITUTE("dch"&amp;$B359&amp;$C359&amp;$D359&amp;$E359,".","_"),"(","_"),")","")</f>
        <v>dch703_4_3_1</v>
      </c>
      <c r="AQ359" s="254" t="str">
        <f>IF(LEN(W359)=0,"",W359)</f>
        <v/>
      </c>
      <c r="AR359" s="254" t="str">
        <f>SUBSTITUTE(SUBSTITUTE(SUBSTITUTE("dnt"&amp;$B359&amp;$C359&amp;$D359&amp;$E359,".","_"),"(","_"),")","")</f>
        <v>dnt703_4_3_1</v>
      </c>
      <c r="AS359" s="254" t="str">
        <f>IF(LEN(X359)=0,"",X359)</f>
        <v/>
      </c>
      <c r="AX359" s="381"/>
      <c r="AY359" s="381"/>
    </row>
    <row r="360" spans="1:61" x14ac:dyDescent="0.25">
      <c r="B360" s="679" t="s">
        <v>939</v>
      </c>
      <c r="C360" s="21" t="s">
        <v>258</v>
      </c>
      <c r="D360" s="21"/>
      <c r="E360" s="21"/>
      <c r="F360" s="21"/>
      <c r="G360" s="21"/>
      <c r="H360" s="758"/>
      <c r="I360" s="4"/>
      <c r="J360" s="549" t="s">
        <v>258</v>
      </c>
      <c r="K360" s="461"/>
      <c r="L360" s="1778" t="s">
        <v>942</v>
      </c>
      <c r="M360" s="428"/>
      <c r="N360" s="4"/>
      <c r="O360" s="141"/>
      <c r="P360" s="94" t="b">
        <v>1</v>
      </c>
      <c r="Q360" s="94" t="b">
        <v>0</v>
      </c>
      <c r="R360" s="383" t="b">
        <v>0</v>
      </c>
      <c r="S360" s="383" t="b">
        <f ca="1">AND(S13=2,NOT(T353),OR(AY39&lt;&gt;INDEX(ddHDucts,2),AY43&lt;&gt;INDEX(ddCDucts,2)),W364&lt;&gt;INDEX(INDIRECT(U364),1),W364&lt;&gt;INDEX(INDIRECT(U364),3))</f>
        <v>0</v>
      </c>
      <c r="T360" s="94" t="b">
        <f ca="1">AND(NOT(S360),W360=TRUE)</f>
        <v>0</v>
      </c>
      <c r="U360"/>
      <c r="V360"/>
      <c r="W360" s="25"/>
      <c r="X360" s="1757"/>
      <c r="AC360" s="417" t="b">
        <f ca="1">OR(AD360:AE360)</f>
        <v>0</v>
      </c>
      <c r="AD360" s="417" t="b">
        <f ca="1">T360</f>
        <v>0</v>
      </c>
      <c r="AE360" s="417"/>
      <c r="AP360" s="254" t="str">
        <f>SUBSTITUTE(SUBSTITUTE(SUBSTITUTE("dch"&amp;$B360&amp;$C360&amp;$D360&amp;$E360,".","_"),"(","_"),")","")</f>
        <v>dch703_4_3_2</v>
      </c>
      <c r="AQ360" s="254" t="str">
        <f>IF(LEN(W360)=0,"",W360)</f>
        <v/>
      </c>
      <c r="AR360" s="254" t="str">
        <f>SUBSTITUTE(SUBSTITUTE(SUBSTITUTE("dnt"&amp;$B360&amp;$C360&amp;$D360&amp;$E360,".","_"),"(","_"),")","")</f>
        <v>dnt703_4_3_2</v>
      </c>
      <c r="AS360" s="254" t="str">
        <f>IF(LEN(X360)=0,"",X360)</f>
        <v/>
      </c>
      <c r="AX360" s="381"/>
      <c r="AY360" s="381"/>
    </row>
    <row r="361" spans="1:61" x14ac:dyDescent="0.25">
      <c r="B361" s="679" t="s">
        <v>939</v>
      </c>
      <c r="C361" s="21" t="s">
        <v>258</v>
      </c>
      <c r="D361" s="21"/>
      <c r="E361" s="21"/>
      <c r="F361" s="21"/>
      <c r="G361" s="21"/>
      <c r="H361" s="758"/>
      <c r="I361" s="4"/>
      <c r="J361" s="449"/>
      <c r="K361" s="449"/>
      <c r="L361" s="1755"/>
      <c r="M361" s="428"/>
      <c r="N361" s="4"/>
      <c r="O361" s="141"/>
      <c r="P361"/>
      <c r="Q361"/>
      <c r="R361"/>
      <c r="S361"/>
      <c r="T361"/>
      <c r="U361"/>
      <c r="V361"/>
      <c r="W361"/>
      <c r="X361" s="1757"/>
      <c r="AX361" s="381"/>
      <c r="AY361" s="381"/>
    </row>
    <row r="362" spans="1:61" x14ac:dyDescent="0.25">
      <c r="B362" s="679" t="s">
        <v>939</v>
      </c>
      <c r="C362" s="21" t="s">
        <v>260</v>
      </c>
      <c r="D362" s="21"/>
      <c r="E362" s="21"/>
      <c r="F362" s="21"/>
      <c r="G362" s="21"/>
      <c r="H362" s="758"/>
      <c r="I362" s="129"/>
      <c r="J362" s="518" t="s">
        <v>260</v>
      </c>
      <c r="K362" s="448"/>
      <c r="L362" s="448" t="s">
        <v>943</v>
      </c>
      <c r="M362" s="428"/>
      <c r="N362" s="4"/>
      <c r="O362" s="141"/>
      <c r="P362" s="94" t="b">
        <v>1</v>
      </c>
      <c r="Q362" s="94" t="b">
        <v>0</v>
      </c>
      <c r="R362" s="383" t="b">
        <v>0</v>
      </c>
      <c r="S362" s="383" t="b">
        <f ca="1">AND(S13=2,NOT(T353),OR(AY39&lt;&gt;INDEX(ddHDucts,2),AY43&lt;&gt;INDEX(ddCDucts,2)))</f>
        <v>0</v>
      </c>
      <c r="T362" s="94" t="b">
        <f ca="1">AND(NOT(S362),W362=TRUE)</f>
        <v>0</v>
      </c>
      <c r="U362"/>
      <c r="V362"/>
      <c r="W362" s="25"/>
      <c r="X362" s="1757"/>
      <c r="AC362" s="417" t="b">
        <f ca="1">OR(AD362:AE362)</f>
        <v>0</v>
      </c>
      <c r="AD362" s="417" t="b">
        <f ca="1">T362</f>
        <v>0</v>
      </c>
      <c r="AE362" s="417"/>
      <c r="AP362" s="254" t="str">
        <f>SUBSTITUTE(SUBSTITUTE(SUBSTITUTE("dch"&amp;$B362&amp;$C362&amp;$D362&amp;$E362,".","_"),"(","_"),")","")</f>
        <v>dch703_4_3_3</v>
      </c>
      <c r="AQ362" s="254" t="str">
        <f>IF(LEN(W362)=0,"",W362)</f>
        <v/>
      </c>
      <c r="AR362" s="254" t="str">
        <f>SUBSTITUTE(SUBSTITUTE(SUBSTITUTE("dnt"&amp;$B362&amp;$C362&amp;$D362&amp;$E362,".","_"),"(","_"),")","")</f>
        <v>dnt703_4_3_3</v>
      </c>
      <c r="AS362" s="254" t="str">
        <f>IF(LEN(X362)=0,"",X362)</f>
        <v/>
      </c>
      <c r="AX362" s="816"/>
      <c r="AY362" s="816"/>
    </row>
    <row r="363" spans="1:61" x14ac:dyDescent="0.25">
      <c r="B363" s="679" t="s">
        <v>939</v>
      </c>
      <c r="C363" s="21" t="s">
        <v>260</v>
      </c>
      <c r="D363" s="21"/>
      <c r="E363" s="21"/>
      <c r="F363" s="21"/>
      <c r="G363" s="21"/>
      <c r="H363" s="758"/>
      <c r="I363" s="210"/>
      <c r="J363" s="449"/>
      <c r="K363" s="449"/>
      <c r="L363" s="472" t="s">
        <v>936</v>
      </c>
      <c r="M363" s="428"/>
      <c r="N363" s="4"/>
      <c r="O363" s="141"/>
      <c r="P363"/>
      <c r="Q363"/>
      <c r="R363"/>
      <c r="S363"/>
      <c r="T363"/>
      <c r="U363"/>
      <c r="V363"/>
      <c r="W363"/>
      <c r="X363" s="1757"/>
      <c r="AX363" s="816"/>
      <c r="AY363" s="816"/>
    </row>
    <row r="364" spans="1:61" x14ac:dyDescent="0.25">
      <c r="B364" s="679" t="s">
        <v>944</v>
      </c>
      <c r="C364" s="90"/>
      <c r="D364" s="21"/>
      <c r="E364" s="21"/>
      <c r="F364" s="21"/>
      <c r="G364" s="21"/>
      <c r="H364" s="758"/>
      <c r="I364" s="130" t="s">
        <v>944</v>
      </c>
      <c r="J364" s="448"/>
      <c r="K364" s="448"/>
      <c r="L364" s="1782" t="s">
        <v>945</v>
      </c>
      <c r="M364" s="452"/>
      <c r="N364" s="129"/>
      <c r="O364" s="1774">
        <f ca="1">IFERROR(INDEX(M370:M372,MATCH(W364,INDIRECT(U364),0)),0)*S364</f>
        <v>0</v>
      </c>
      <c r="P364" s="94" t="b">
        <v>0</v>
      </c>
      <c r="Q364" s="94" t="b">
        <v>1</v>
      </c>
      <c r="R364" s="94" t="b">
        <f ca="1">AND(S364,R214)</f>
        <v>0</v>
      </c>
      <c r="S364" s="94" t="b">
        <f ca="1">AND(S13=2,OR(AY39&lt;&gt;INDEX(ddHDucts,2),AY43&lt;&gt;INDEX(ddCDucts,2)),W360&lt;&gt;TRUE,LEN(W637)=0)</f>
        <v>0</v>
      </c>
      <c r="T364" s="94" t="b">
        <f ca="1">AND(NOT(S364),LEN(W364)&gt;0)</f>
        <v>0</v>
      </c>
      <c r="U364" s="94" t="str">
        <f>SUBSTITUTE(SUBSTITUTE(SUBSTITUTE("dd"&amp;B365&amp;C365&amp;D365&amp;E365&amp;F365,".","_"),"(","_"),")","")</f>
        <v>dd703_4_4</v>
      </c>
      <c r="V364" s="94"/>
      <c r="W364" s="109"/>
      <c r="X364" s="1770"/>
      <c r="AC364" s="417" t="b">
        <f ca="1">OR(AD364:AE364)</f>
        <v>0</v>
      </c>
      <c r="AD364" s="417" t="b">
        <f ca="1">T364</f>
        <v>0</v>
      </c>
      <c r="AE364" s="417"/>
      <c r="AN364" s="254" t="str">
        <f>SUBSTITUTE(SUBSTITUTE(SUBSTITUTE("dpc"&amp;$B364&amp;$C364&amp;$D364&amp;$E364,".","_"),"(","_"),")","")</f>
        <v>dpc703_4_4</v>
      </c>
      <c r="AO364" s="254">
        <f ca="1">O364</f>
        <v>0</v>
      </c>
      <c r="AP364" s="254" t="str">
        <f>SUBSTITUTE(SUBSTITUTE(SUBSTITUTE("dch"&amp;$B364&amp;$C364&amp;$D364&amp;$E364,".","_"),"(","_"),")","")</f>
        <v>dch703_4_4</v>
      </c>
      <c r="AQ364" s="254" t="str">
        <f>IF(LEN(W364)=0,"",W364)</f>
        <v/>
      </c>
      <c r="AR364" s="254" t="str">
        <f>SUBSTITUTE(SUBSTITUTE(SUBSTITUTE("dnt"&amp;$B364&amp;$C364&amp;$D364&amp;$E364,".","_"),"(","_"),")","")</f>
        <v>dnt703_4_4</v>
      </c>
      <c r="AS364" s="254" t="str">
        <f>IF(LEN(X364)=0,"",X364)</f>
        <v/>
      </c>
      <c r="AX364" s="816"/>
      <c r="AY364" s="816"/>
    </row>
    <row r="365" spans="1:61" x14ac:dyDescent="0.25">
      <c r="B365" s="679" t="s">
        <v>944</v>
      </c>
      <c r="C365" s="90"/>
      <c r="D365" s="21"/>
      <c r="E365" s="21"/>
      <c r="F365" s="21"/>
      <c r="G365" s="21"/>
      <c r="H365" s="758"/>
      <c r="I365" s="129"/>
      <c r="J365" s="448"/>
      <c r="K365" s="448"/>
      <c r="L365" s="1782"/>
      <c r="M365" s="452"/>
      <c r="N365" s="129"/>
      <c r="O365" s="1774"/>
      <c r="P365" s="94"/>
      <c r="Q365" s="94"/>
      <c r="R365" s="94"/>
      <c r="S365" s="94"/>
      <c r="T365" s="94"/>
      <c r="U365" s="94"/>
      <c r="V365" s="94"/>
      <c r="W365" s="94"/>
      <c r="X365" s="1770"/>
      <c r="AX365" s="816"/>
      <c r="AY365" s="816"/>
    </row>
    <row r="366" spans="1:61" x14ac:dyDescent="0.25">
      <c r="B366" s="679" t="s">
        <v>944</v>
      </c>
      <c r="C366" s="90"/>
      <c r="D366" s="21"/>
      <c r="E366" s="21"/>
      <c r="F366" s="21"/>
      <c r="G366" s="21"/>
      <c r="H366" s="758"/>
      <c r="I366" s="129"/>
      <c r="J366" s="448"/>
      <c r="K366" s="448"/>
      <c r="L366" s="1782"/>
      <c r="M366" s="452"/>
      <c r="N366" s="129"/>
      <c r="O366" s="1774"/>
      <c r="P366" s="94"/>
      <c r="Q366" s="94"/>
      <c r="R366" s="94"/>
      <c r="S366" s="94"/>
      <c r="T366" s="94"/>
      <c r="U366" s="94"/>
      <c r="V366" s="94"/>
      <c r="W366" s="94"/>
      <c r="X366" s="1770"/>
      <c r="AX366" s="816"/>
      <c r="AY366" s="816"/>
    </row>
    <row r="367" spans="1:61" s="159" customFormat="1" x14ac:dyDescent="0.25">
      <c r="A367" s="18"/>
      <c r="B367" s="679" t="s">
        <v>944</v>
      </c>
      <c r="C367" s="90"/>
      <c r="D367" s="21"/>
      <c r="E367" s="21"/>
      <c r="F367" s="21"/>
      <c r="G367" s="21"/>
      <c r="H367" s="758"/>
      <c r="I367" s="129"/>
      <c r="J367" s="448"/>
      <c r="K367" s="448"/>
      <c r="L367" s="1782"/>
      <c r="M367" s="452"/>
      <c r="N367" s="129"/>
      <c r="O367" s="1774"/>
      <c r="P367" s="94"/>
      <c r="Q367" s="94"/>
      <c r="R367" s="94"/>
      <c r="S367" s="94"/>
      <c r="T367" s="94"/>
      <c r="U367" s="94"/>
      <c r="V367" s="94"/>
      <c r="W367" s="94"/>
      <c r="X367" s="1770"/>
      <c r="Y367" s="780"/>
      <c r="Z367" s="76"/>
      <c r="AA367" s="783"/>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816"/>
      <c r="AY367" s="816"/>
      <c r="AZ367" s="76"/>
      <c r="BA367" s="76"/>
      <c r="BB367" s="76"/>
      <c r="BC367" s="76"/>
      <c r="BD367" s="76"/>
      <c r="BE367" s="76"/>
      <c r="BF367" s="76"/>
      <c r="BG367" s="76"/>
      <c r="BH367" s="76"/>
      <c r="BI367" s="76"/>
    </row>
    <row r="368" spans="1:61" x14ac:dyDescent="0.25">
      <c r="B368" s="679" t="s">
        <v>944</v>
      </c>
      <c r="C368" s="90"/>
      <c r="D368" s="21"/>
      <c r="E368" s="21"/>
      <c r="F368" s="21"/>
      <c r="G368" s="21"/>
      <c r="H368" s="758"/>
      <c r="I368" s="129"/>
      <c r="J368" s="448"/>
      <c r="K368" s="448"/>
      <c r="L368" s="1782"/>
      <c r="M368" s="452"/>
      <c r="N368" s="129"/>
      <c r="O368" s="1774"/>
      <c r="P368" s="94"/>
      <c r="Q368" s="94"/>
      <c r="R368" s="94"/>
      <c r="S368" s="94"/>
      <c r="T368" s="94"/>
      <c r="U368" s="94"/>
      <c r="V368" s="94"/>
      <c r="W368" s="94"/>
      <c r="X368" s="1770"/>
      <c r="Z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816"/>
      <c r="AY368" s="816"/>
      <c r="AZ368" s="159"/>
      <c r="BA368" s="159"/>
      <c r="BB368" s="159"/>
      <c r="BC368" s="159"/>
      <c r="BD368" s="159"/>
      <c r="BE368" s="159"/>
      <c r="BF368" s="159"/>
      <c r="BG368" s="159"/>
      <c r="BH368" s="159"/>
      <c r="BI368" s="159"/>
    </row>
    <row r="369" spans="1:61" x14ac:dyDescent="0.25">
      <c r="B369" s="679" t="s">
        <v>944</v>
      </c>
      <c r="C369" s="90"/>
      <c r="D369" s="21"/>
      <c r="E369" s="21"/>
      <c r="F369" s="21"/>
      <c r="G369" s="21"/>
      <c r="H369" s="758"/>
      <c r="I369" s="129"/>
      <c r="J369" s="448"/>
      <c r="K369" s="448"/>
      <c r="L369" s="457" t="s">
        <v>946</v>
      </c>
      <c r="M369" s="452"/>
      <c r="N369" s="129"/>
      <c r="O369" s="502"/>
      <c r="P369" s="94"/>
      <c r="Q369" s="94"/>
      <c r="R369" s="94"/>
      <c r="S369" s="94"/>
      <c r="T369" s="94"/>
      <c r="U369" s="94"/>
      <c r="V369" s="94"/>
      <c r="W369" s="94"/>
      <c r="X369" s="1770"/>
      <c r="AX369" s="816"/>
      <c r="AY369" s="816"/>
    </row>
    <row r="370" spans="1:61" s="383" customFormat="1" x14ac:dyDescent="0.25">
      <c r="A370" s="18"/>
      <c r="B370" s="679" t="s">
        <v>944</v>
      </c>
      <c r="C370" s="21" t="s">
        <v>256</v>
      </c>
      <c r="D370" s="21"/>
      <c r="E370" s="21"/>
      <c r="F370" s="21"/>
      <c r="G370" s="21"/>
      <c r="H370" s="758"/>
      <c r="I370" s="129"/>
      <c r="J370" s="530" t="s">
        <v>256</v>
      </c>
      <c r="K370" s="449"/>
      <c r="L370" s="449" t="s">
        <v>3642</v>
      </c>
      <c r="M370" s="453">
        <f>IFERROR(INDEX({4,5,4,3,2,1,1,1},BF16),0)</f>
        <v>0</v>
      </c>
      <c r="N370" s="129"/>
      <c r="O370" s="502"/>
      <c r="P370" s="94"/>
      <c r="Q370" s="94"/>
      <c r="R370" s="94"/>
      <c r="S370" s="94"/>
      <c r="T370" s="94"/>
      <c r="U370" s="94"/>
      <c r="V370" s="94"/>
      <c r="W370" s="94"/>
      <c r="X370" s="1770"/>
      <c r="Y370" s="780"/>
      <c r="AA370" s="783"/>
      <c r="AL370" s="254" t="str">
        <f>SUBSTITUTE(SUBSTITUTE(SUBSTITUTE("dpa"&amp;$B370&amp;$C370&amp;$D370&amp;$E370,".","_"),"(","_"),")","")</f>
        <v>dpa703_4_4_1</v>
      </c>
      <c r="AM370" s="254">
        <f>M370</f>
        <v>0</v>
      </c>
      <c r="AX370" s="816"/>
      <c r="AY370" s="816"/>
      <c r="AZ370" s="76"/>
      <c r="BA370" s="76"/>
      <c r="BB370" s="76"/>
      <c r="BC370" s="76"/>
      <c r="BD370" s="76"/>
      <c r="BE370" s="76"/>
      <c r="BF370" s="76"/>
      <c r="BG370" s="76"/>
      <c r="BH370" s="76"/>
      <c r="BI370" s="76"/>
    </row>
    <row r="371" spans="1:61" s="383" customFormat="1" x14ac:dyDescent="0.25">
      <c r="A371" s="18"/>
      <c r="B371" s="679" t="s">
        <v>944</v>
      </c>
      <c r="C371" s="21" t="s">
        <v>258</v>
      </c>
      <c r="D371" s="21"/>
      <c r="E371" s="21"/>
      <c r="F371" s="21"/>
      <c r="G371" s="21"/>
      <c r="H371" s="758"/>
      <c r="I371" s="129"/>
      <c r="J371" s="550" t="s">
        <v>258</v>
      </c>
      <c r="K371" s="280"/>
      <c r="L371" s="280" t="s">
        <v>4838</v>
      </c>
      <c r="M371" s="475">
        <f>IFERROR(INDEX({1,1,1,1,1,1,1,1},BF16),0)</f>
        <v>0</v>
      </c>
      <c r="N371" s="129"/>
      <c r="O371" s="502"/>
      <c r="P371" s="94"/>
      <c r="Q371" s="94"/>
      <c r="R371" s="94"/>
      <c r="S371" s="94"/>
      <c r="T371" s="94"/>
      <c r="U371" s="94"/>
      <c r="V371" s="94"/>
      <c r="W371" s="94"/>
      <c r="X371" s="1770"/>
      <c r="Y371" s="780"/>
      <c r="AA371" s="783"/>
      <c r="AL371" s="254" t="str">
        <f>SUBSTITUTE(SUBSTITUTE(SUBSTITUTE("dpa"&amp;$B371&amp;$C371&amp;$D371&amp;$E371,".","_"),"(","_"),")","")</f>
        <v>dpa703_4_4_2</v>
      </c>
      <c r="AM371" s="254">
        <f>M371</f>
        <v>0</v>
      </c>
      <c r="AX371" s="816"/>
      <c r="AY371" s="816"/>
    </row>
    <row r="372" spans="1:61" s="383" customFormat="1" ht="15.75" thickBot="1" x14ac:dyDescent="0.3">
      <c r="A372" s="18"/>
      <c r="B372" s="679" t="s">
        <v>944</v>
      </c>
      <c r="C372" s="21" t="s">
        <v>260</v>
      </c>
      <c r="D372" s="21"/>
      <c r="E372" s="21"/>
      <c r="F372" s="21"/>
      <c r="G372" s="21"/>
      <c r="H372" s="758"/>
      <c r="I372" s="240"/>
      <c r="J372" s="519" t="s">
        <v>260</v>
      </c>
      <c r="K372" s="462"/>
      <c r="L372" s="462" t="s">
        <v>3643</v>
      </c>
      <c r="M372" s="460">
        <f>IFERROR(INDEX({3,4,3,2,1,1,1,1},BF16),0)</f>
        <v>0</v>
      </c>
      <c r="N372" s="240"/>
      <c r="O372" s="504"/>
      <c r="P372" s="99"/>
      <c r="Q372" s="99"/>
      <c r="R372" s="99"/>
      <c r="S372" s="99"/>
      <c r="T372" s="99"/>
      <c r="U372" s="99"/>
      <c r="V372" s="99"/>
      <c r="W372" s="99"/>
      <c r="X372" s="1771"/>
      <c r="Y372" s="780"/>
      <c r="AA372" s="783"/>
      <c r="AL372" s="254" t="str">
        <f>SUBSTITUTE(SUBSTITUTE(SUBSTITUTE("dpa"&amp;$B372&amp;$C372&amp;$D372&amp;$E372,".","_"),"(","_"),")","")</f>
        <v>dpa703_4_4_3</v>
      </c>
      <c r="AM372" s="254">
        <f>M372</f>
        <v>0</v>
      </c>
      <c r="AX372" s="816"/>
      <c r="AY372" s="816"/>
    </row>
    <row r="373" spans="1:61" ht="15.75" thickTop="1" x14ac:dyDescent="0.25">
      <c r="B373" s="679">
        <v>703.5</v>
      </c>
      <c r="C373" s="90"/>
      <c r="D373" s="21"/>
      <c r="E373" s="21"/>
      <c r="F373" s="21"/>
      <c r="G373" s="21"/>
      <c r="H373" s="758"/>
      <c r="I373" s="64">
        <v>703.5</v>
      </c>
      <c r="J373" s="161"/>
      <c r="K373" s="161"/>
      <c r="L373" s="166" t="s">
        <v>947</v>
      </c>
      <c r="M373" s="428"/>
      <c r="N373" s="4"/>
      <c r="O373" s="141"/>
      <c r="P373"/>
      <c r="Q373"/>
      <c r="R373"/>
      <c r="S373"/>
      <c r="T373"/>
      <c r="U373"/>
      <c r="V373"/>
      <c r="W373"/>
      <c r="X373"/>
      <c r="AZ373" s="383"/>
      <c r="BA373" s="383"/>
      <c r="BB373" s="383"/>
      <c r="BC373" s="383"/>
      <c r="BD373" s="383"/>
      <c r="BE373" s="383"/>
      <c r="BF373" s="383"/>
      <c r="BG373" s="383"/>
      <c r="BH373" s="383"/>
      <c r="BI373" s="383"/>
    </row>
    <row r="374" spans="1:61" x14ac:dyDescent="0.25">
      <c r="B374" s="679" t="s">
        <v>948</v>
      </c>
      <c r="C374" s="90"/>
      <c r="D374" s="21"/>
      <c r="E374" s="21"/>
      <c r="F374" s="21"/>
      <c r="G374" s="21"/>
      <c r="H374" s="758"/>
      <c r="I374" s="64" t="s">
        <v>948</v>
      </c>
      <c r="J374" s="161"/>
      <c r="K374" s="161"/>
      <c r="L374" s="166" t="s">
        <v>4282</v>
      </c>
      <c r="M374" s="428"/>
      <c r="N374" s="4"/>
      <c r="O374" s="4"/>
      <c r="P374"/>
      <c r="Q374"/>
      <c r="R374"/>
      <c r="S374"/>
      <c r="T374"/>
      <c r="U374"/>
      <c r="V374"/>
      <c r="W374" t="s">
        <v>3636</v>
      </c>
      <c r="X374" s="1757"/>
      <c r="AR374" s="254" t="str">
        <f>SUBSTITUTE(SUBSTITUTE(SUBSTITUTE("dnt"&amp;$B374&amp;$C374&amp;$D374&amp;$E374,".","_"),"(","_"),")","")</f>
        <v>dnt703_5_1</v>
      </c>
      <c r="AS374" s="254" t="str">
        <f>IF(LEN(X374)=0,"",X374)</f>
        <v/>
      </c>
      <c r="AX374" s="381"/>
      <c r="AY374" s="381"/>
    </row>
    <row r="375" spans="1:61" x14ac:dyDescent="0.25">
      <c r="B375" s="679" t="s">
        <v>948</v>
      </c>
      <c r="C375" s="90"/>
      <c r="D375" s="21"/>
      <c r="E375" s="21"/>
      <c r="F375" s="21"/>
      <c r="G375" s="21"/>
      <c r="H375" s="758"/>
      <c r="I375" s="4"/>
      <c r="J375" s="161"/>
      <c r="K375" s="161"/>
      <c r="L375" s="1889" t="s">
        <v>4283</v>
      </c>
      <c r="M375" s="428"/>
      <c r="N375" s="4"/>
      <c r="O375" s="4"/>
      <c r="P375" s="94" t="b">
        <v>1</v>
      </c>
      <c r="Q375" s="94" t="b">
        <v>1</v>
      </c>
      <c r="R375" s="381" t="b">
        <v>0</v>
      </c>
      <c r="S375" s="381" t="b">
        <f ca="1">AND(S13=2,LEN(W431)=0)</f>
        <v>0</v>
      </c>
      <c r="T375" s="94" t="b">
        <f ca="1">AND(NOT(S375),LEN(W375)&gt;0)</f>
        <v>0</v>
      </c>
      <c r="U375" s="94" t="str">
        <f>SUBSTITUTE(SUBSTITUTE(SUBSTITUTE("dd"&amp;B375&amp;C375&amp;D375&amp;E375&amp;F375,".","_"),"(","_"),")","")</f>
        <v>dd703_5_1</v>
      </c>
      <c r="V375"/>
      <c r="W375" s="12"/>
      <c r="X375" s="1757"/>
      <c r="AC375" s="417" t="b">
        <f ca="1">OR(AD375:AE375)</f>
        <v>0</v>
      </c>
      <c r="AD375" s="417" t="b">
        <f ca="1">T375</f>
        <v>0</v>
      </c>
      <c r="AE375" s="417"/>
      <c r="AP375" s="254" t="str">
        <f>SUBSTITUTE(SUBSTITUTE(SUBSTITUTE("dch"&amp;$B375&amp;$C375&amp;$D375&amp;$E375,".","_"),"(","_"),")","")</f>
        <v>dch703_5_1</v>
      </c>
      <c r="AQ375" s="254" t="str">
        <f>IF(LEN(W375)=0,"",W375)</f>
        <v/>
      </c>
      <c r="AX375" s="381"/>
      <c r="AY375" s="381"/>
    </row>
    <row r="376" spans="1:61" s="816" customFormat="1" x14ac:dyDescent="0.25">
      <c r="A376" s="18"/>
      <c r="B376" s="679" t="s">
        <v>948</v>
      </c>
      <c r="C376" s="90"/>
      <c r="D376" s="21"/>
      <c r="E376" s="21"/>
      <c r="F376" s="21"/>
      <c r="G376" s="21"/>
      <c r="H376" s="758"/>
      <c r="I376" s="4"/>
      <c r="J376" s="834"/>
      <c r="K376" s="834"/>
      <c r="L376" s="1890"/>
      <c r="M376" s="831"/>
      <c r="N376" s="4"/>
      <c r="O376" s="4"/>
      <c r="P376"/>
      <c r="Q376"/>
      <c r="R376" s="1" t="s">
        <v>4839</v>
      </c>
      <c r="S376" s="1">
        <f ca="1">IFERROR(MATCH(W375,INDIRECT(U375),0),0)</f>
        <v>0</v>
      </c>
      <c r="T376"/>
      <c r="U376"/>
      <c r="V376"/>
      <c r="W376"/>
      <c r="X376" s="1757"/>
      <c r="AP376" s="254"/>
      <c r="AQ376" s="254"/>
      <c r="AX376" s="381"/>
      <c r="AY376" s="381"/>
      <c r="AZ376" s="76"/>
      <c r="BA376" s="76"/>
      <c r="BB376" s="76"/>
      <c r="BC376" s="76"/>
      <c r="BD376" s="76"/>
      <c r="BE376" s="76"/>
      <c r="BF376" s="76"/>
      <c r="BG376" s="76"/>
      <c r="BH376" s="76"/>
      <c r="BI376" s="76"/>
    </row>
    <row r="377" spans="1:61" s="816" customFormat="1" x14ac:dyDescent="0.25">
      <c r="A377" s="18"/>
      <c r="B377" s="679" t="s">
        <v>948</v>
      </c>
      <c r="C377" s="90"/>
      <c r="D377" s="21" t="s">
        <v>2971</v>
      </c>
      <c r="E377" s="21"/>
      <c r="F377" s="21"/>
      <c r="G377" s="21"/>
      <c r="H377" s="758"/>
      <c r="I377" s="4"/>
      <c r="J377" s="834"/>
      <c r="K377" s="834"/>
      <c r="L377" s="1889" t="s">
        <v>4284</v>
      </c>
      <c r="M377" s="831"/>
      <c r="N377" s="4"/>
      <c r="O377" s="4"/>
      <c r="P377"/>
      <c r="Q377"/>
      <c r="R377"/>
      <c r="S377"/>
      <c r="T377"/>
      <c r="U377"/>
      <c r="V377"/>
      <c r="W377"/>
      <c r="X377" s="1757"/>
      <c r="AC377" s="417"/>
      <c r="AD377" s="417"/>
      <c r="AE377" s="417"/>
      <c r="AP377" s="254"/>
      <c r="AQ377" s="254"/>
      <c r="AX377" s="76"/>
      <c r="AY377" s="76"/>
    </row>
    <row r="378" spans="1:61" s="816" customFormat="1" x14ac:dyDescent="0.25">
      <c r="A378" s="18"/>
      <c r="B378" s="679" t="s">
        <v>948</v>
      </c>
      <c r="C378" s="90"/>
      <c r="D378" s="21"/>
      <c r="E378" s="21"/>
      <c r="F378" s="21"/>
      <c r="G378" s="21"/>
      <c r="H378" s="758"/>
      <c r="I378" s="4"/>
      <c r="J378" s="834"/>
      <c r="K378" s="834"/>
      <c r="L378" s="1890"/>
      <c r="M378" s="831"/>
      <c r="N378" s="4"/>
      <c r="O378" s="4"/>
      <c r="P378" s="94"/>
      <c r="Q378" s="94"/>
      <c r="T378" s="94"/>
      <c r="U378" s="94"/>
      <c r="X378" s="1757"/>
      <c r="AP378" s="254"/>
      <c r="AQ378" s="254"/>
    </row>
    <row r="379" spans="1:61" s="816" customFormat="1" x14ac:dyDescent="0.25">
      <c r="A379" s="18"/>
      <c r="B379" s="679" t="s">
        <v>948</v>
      </c>
      <c r="C379" s="90"/>
      <c r="D379" s="21"/>
      <c r="E379" s="21"/>
      <c r="F379" s="21"/>
      <c r="G379" s="21"/>
      <c r="H379" s="758"/>
      <c r="I379" s="4"/>
      <c r="J379" s="834"/>
      <c r="K379" s="834"/>
      <c r="L379" s="1905" t="s">
        <v>4285</v>
      </c>
      <c r="M379" s="831"/>
      <c r="N379" s="4"/>
      <c r="O379" s="4"/>
      <c r="P379" s="94"/>
      <c r="Q379" s="94"/>
      <c r="T379" s="94"/>
      <c r="U379" s="94"/>
      <c r="X379" s="1757"/>
      <c r="AP379" s="254"/>
      <c r="AQ379" s="254"/>
    </row>
    <row r="380" spans="1:61" s="816" customFormat="1" x14ac:dyDescent="0.25">
      <c r="A380" s="18"/>
      <c r="B380" s="679" t="s">
        <v>948</v>
      </c>
      <c r="C380" s="90"/>
      <c r="D380" s="21"/>
      <c r="E380" s="21"/>
      <c r="F380" s="21"/>
      <c r="G380" s="21"/>
      <c r="H380" s="758"/>
      <c r="I380" s="4"/>
      <c r="J380" s="834"/>
      <c r="K380" s="834"/>
      <c r="L380" s="1905"/>
      <c r="M380" s="831"/>
      <c r="N380" s="4"/>
      <c r="O380" s="4"/>
      <c r="P380" s="94"/>
      <c r="Q380" s="94"/>
      <c r="T380" s="94"/>
      <c r="U380" s="94"/>
      <c r="W380" s="1090" t="s">
        <v>3636</v>
      </c>
      <c r="X380" s="1757"/>
      <c r="AP380" s="254"/>
      <c r="AQ380" s="254"/>
    </row>
    <row r="381" spans="1:61" x14ac:dyDescent="0.25">
      <c r="B381" s="679" t="s">
        <v>948</v>
      </c>
      <c r="C381" s="21" t="s">
        <v>256</v>
      </c>
      <c r="D381" s="21"/>
      <c r="E381" s="21"/>
      <c r="F381" s="21"/>
      <c r="G381" s="21"/>
      <c r="H381" s="758"/>
      <c r="I381" s="4"/>
      <c r="J381" s="230" t="s">
        <v>256</v>
      </c>
      <c r="K381" s="161"/>
      <c r="L381" s="161" t="s">
        <v>949</v>
      </c>
      <c r="M381" s="428"/>
      <c r="N381" s="4"/>
      <c r="O381" s="141"/>
      <c r="P381" s="94" t="b">
        <v>1</v>
      </c>
      <c r="Q381" s="94" t="b">
        <v>1</v>
      </c>
      <c r="R381" s="1090" t="b">
        <v>0</v>
      </c>
      <c r="S381" s="1090" t="b">
        <f ca="1">AND(S13=2,LEN(W431)=0,S376=1)</f>
        <v>0</v>
      </c>
      <c r="T381" s="94" t="b">
        <f ca="1">AND(NOT(S381),LEN(W381)&gt;0)</f>
        <v>0</v>
      </c>
      <c r="U381" s="94" t="str">
        <f>SUBSTITUTE(SUBSTITUTE(SUBSTITUTE("dd"&amp;B381&amp;C381&amp;D381&amp;E381&amp;F381,".","_"),"(","_"),")","")</f>
        <v>dd703_5_1_1</v>
      </c>
      <c r="W381" s="12"/>
      <c r="X381" s="1757"/>
      <c r="AC381" s="1090" t="b">
        <f ca="1">OR(AD381:AE381)</f>
        <v>0</v>
      </c>
      <c r="AD381" s="1090" t="b">
        <f ca="1">T381</f>
        <v>0</v>
      </c>
      <c r="AP381" s="254" t="str">
        <f>SUBSTITUTE(SUBSTITUTE(SUBSTITUTE("dch"&amp;$B381&amp;$C381&amp;$D381&amp;$E381,".","_"),"(","_"),")","")</f>
        <v>dch703_5_1_1</v>
      </c>
      <c r="AQ381" s="254" t="str">
        <f>IF(LEN(W381)=0,"",W381)</f>
        <v/>
      </c>
      <c r="AX381" s="816"/>
      <c r="AY381" s="816"/>
      <c r="AZ381" s="816"/>
      <c r="BA381" s="816"/>
      <c r="BB381" s="816"/>
      <c r="BC381" s="816"/>
      <c r="BD381" s="816"/>
      <c r="BE381" s="816"/>
      <c r="BF381" s="816"/>
      <c r="BG381" s="816"/>
      <c r="BH381" s="816"/>
      <c r="BI381" s="816"/>
    </row>
    <row r="382" spans="1:61" s="381" customFormat="1" x14ac:dyDescent="0.25">
      <c r="A382" s="18"/>
      <c r="B382" s="679" t="s">
        <v>948</v>
      </c>
      <c r="C382" s="21" t="s">
        <v>256</v>
      </c>
      <c r="D382" s="21" t="s">
        <v>121</v>
      </c>
      <c r="E382" s="21"/>
      <c r="F382" s="21"/>
      <c r="G382" s="21"/>
      <c r="H382" s="758"/>
      <c r="I382" s="4"/>
      <c r="J382" s="230"/>
      <c r="K382" s="667" t="s">
        <v>121</v>
      </c>
      <c r="L382" s="1787" t="s">
        <v>4286</v>
      </c>
      <c r="M382" s="428"/>
      <c r="N382" s="4"/>
      <c r="O382" s="1780">
        <f ca="1">IFERROR(INDEX(M384:M385,MATCH(W383,{0.65,0.78},1))*AND(S381,MATCH(W381,INDIRECT(U381),0)=1),0)</f>
        <v>0</v>
      </c>
      <c r="S382"/>
      <c r="W382" s="1090" t="s">
        <v>3635</v>
      </c>
      <c r="X382" s="1757"/>
      <c r="Y382" s="780"/>
      <c r="AA382" s="783"/>
      <c r="AN382" s="254" t="str">
        <f>SUBSTITUTE(SUBSTITUTE(SUBSTITUTE("dpc"&amp;$B382&amp;$C382&amp;$D382&amp;$E382,".","_"),"(","_"),")","")</f>
        <v>dpc703_5_1_1_a</v>
      </c>
      <c r="AO382" s="254">
        <f ca="1">O382</f>
        <v>0</v>
      </c>
      <c r="AX382" s="816"/>
      <c r="AY382" s="816"/>
      <c r="AZ382" s="76"/>
      <c r="BA382" s="76"/>
      <c r="BB382" s="76"/>
      <c r="BC382" s="76"/>
      <c r="BD382" s="76"/>
      <c r="BE382" s="76"/>
      <c r="BF382" s="76"/>
      <c r="BG382" s="76"/>
      <c r="BH382" s="76"/>
      <c r="BI382" s="76"/>
    </row>
    <row r="383" spans="1:61" s="381" customFormat="1" x14ac:dyDescent="0.25">
      <c r="A383" s="18"/>
      <c r="B383" s="679" t="s">
        <v>948</v>
      </c>
      <c r="C383" s="21" t="s">
        <v>256</v>
      </c>
      <c r="D383" s="21" t="s">
        <v>121</v>
      </c>
      <c r="E383" s="21"/>
      <c r="F383" s="21"/>
      <c r="G383" s="21"/>
      <c r="H383" s="758"/>
      <c r="I383" s="4"/>
      <c r="J383" s="230"/>
      <c r="K383" s="667"/>
      <c r="L383" s="1787"/>
      <c r="N383" s="4"/>
      <c r="O383" s="1780"/>
      <c r="P383" s="94" t="b">
        <v>1</v>
      </c>
      <c r="Q383" s="94" t="b">
        <v>1</v>
      </c>
      <c r="R383" s="1090" t="b">
        <v>0</v>
      </c>
      <c r="S383" t="b">
        <f ca="1">S381</f>
        <v>0</v>
      </c>
      <c r="T383" s="94" t="b">
        <f ca="1">AND(NOT(S383),LEN(W383)&gt;0)</f>
        <v>0</v>
      </c>
      <c r="W383" s="384"/>
      <c r="X383" s="1757"/>
      <c r="Y383" s="780"/>
      <c r="AA383" s="783"/>
      <c r="AC383" s="1090" t="b">
        <f ca="1">OR(AD383:AE383)</f>
        <v>0</v>
      </c>
      <c r="AD383" s="1090" t="b">
        <f ca="1">T383</f>
        <v>0</v>
      </c>
      <c r="AL383" s="254"/>
      <c r="AM383" s="254"/>
      <c r="AP383" s="254" t="str">
        <f>SUBSTITUTE(SUBSTITUTE(SUBSTITUTE("dch"&amp;$B383&amp;$C383&amp;$D383&amp;$E383,".","_"),"(","_"),")","")</f>
        <v>dch703_5_1_1_a</v>
      </c>
      <c r="AQ383" s="254" t="str">
        <f>IF(LEN(W383)=0,"",W383)</f>
        <v/>
      </c>
      <c r="AX383" s="816"/>
      <c r="AY383" s="816"/>
    </row>
    <row r="384" spans="1:61" s="381" customFormat="1" x14ac:dyDescent="0.25">
      <c r="A384" s="18"/>
      <c r="B384" s="90" t="s">
        <v>948</v>
      </c>
      <c r="C384" s="21" t="s">
        <v>256</v>
      </c>
      <c r="D384" s="21" t="s">
        <v>121</v>
      </c>
      <c r="E384" s="21" t="s">
        <v>256</v>
      </c>
      <c r="F384" s="21"/>
      <c r="G384" s="21"/>
      <c r="H384" s="758"/>
      <c r="I384" s="4"/>
      <c r="J384" s="230"/>
      <c r="K384" s="101"/>
      <c r="L384" s="977" t="s">
        <v>5106</v>
      </c>
      <c r="M384" s="980">
        <f>IFERROR(INDEX({2,2,2,2,2,2,2,1},BF16),0)</f>
        <v>0</v>
      </c>
      <c r="N384" s="129"/>
      <c r="O384" s="979"/>
      <c r="S384"/>
      <c r="X384" s="1757"/>
      <c r="Y384" s="780"/>
      <c r="AA384" s="783"/>
      <c r="AL384" s="254" t="str">
        <f>SUBSTITUTE(SUBSTITUTE(SUBSTITUTE("dpa"&amp;$B384&amp;$C384&amp;$D384&amp;$E384,".","_"),"(","_"),")","")</f>
        <v>dpa703_5_1_1_a_1</v>
      </c>
      <c r="AM384" s="254">
        <f>M384</f>
        <v>0</v>
      </c>
      <c r="AX384" s="816"/>
      <c r="AY384" s="816"/>
    </row>
    <row r="385" spans="1:61" s="816" customFormat="1" x14ac:dyDescent="0.25">
      <c r="A385" s="18"/>
      <c r="B385" s="90" t="s">
        <v>948</v>
      </c>
      <c r="C385" s="21" t="s">
        <v>256</v>
      </c>
      <c r="D385" s="21" t="s">
        <v>121</v>
      </c>
      <c r="E385" s="21" t="s">
        <v>258</v>
      </c>
      <c r="F385" s="21"/>
      <c r="G385" s="21"/>
      <c r="H385" s="758"/>
      <c r="I385" s="4"/>
      <c r="J385" s="230"/>
      <c r="K385" s="669"/>
      <c r="L385" s="978" t="s">
        <v>5107</v>
      </c>
      <c r="M385" s="972">
        <f>IFERROR(INDEX({3,3,3,3,3,3,3,2},BF16),0)</f>
        <v>0</v>
      </c>
      <c r="N385" s="210"/>
      <c r="O385" s="973"/>
      <c r="S385"/>
      <c r="X385" s="1757"/>
      <c r="AL385" s="254" t="str">
        <f>SUBSTITUTE(SUBSTITUTE(SUBSTITUTE("dpa"&amp;$B385&amp;$C385&amp;$D385&amp;$E385,".","_"),"(","_"),")","")</f>
        <v>dpa703_5_1_1_a_2</v>
      </c>
      <c r="AM385" s="254">
        <f>M385</f>
        <v>0</v>
      </c>
      <c r="AZ385" s="381"/>
      <c r="BA385" s="381"/>
      <c r="BB385" s="381"/>
      <c r="BC385" s="381"/>
      <c r="BD385" s="381"/>
      <c r="BE385" s="381"/>
      <c r="BF385" s="381"/>
      <c r="BG385" s="381"/>
      <c r="BH385" s="381"/>
      <c r="BI385" s="381"/>
    </row>
    <row r="386" spans="1:61" s="816" customFormat="1" x14ac:dyDescent="0.25">
      <c r="A386" s="18"/>
      <c r="B386" s="90" t="s">
        <v>948</v>
      </c>
      <c r="C386" s="21" t="s">
        <v>256</v>
      </c>
      <c r="D386" s="21" t="s">
        <v>122</v>
      </c>
      <c r="E386" s="21"/>
      <c r="F386" s="21"/>
      <c r="G386" s="21"/>
      <c r="H386" s="758"/>
      <c r="I386" s="4"/>
      <c r="J386" s="230"/>
      <c r="K386" s="668" t="s">
        <v>122</v>
      </c>
      <c r="L386" s="1765" t="s">
        <v>4289</v>
      </c>
      <c r="M386" s="1758">
        <v>1</v>
      </c>
      <c r="N386" s="129"/>
      <c r="O386" s="1774">
        <f ca="1">IFERROR((W383&gt;0.78)*M386*AND(S381,MATCH(W381,INDIRECT(U381),0)=2),0)</f>
        <v>0</v>
      </c>
      <c r="S386"/>
      <c r="X386" s="1757"/>
      <c r="AL386" s="254" t="str">
        <f>SUBSTITUTE(SUBSTITUTE(SUBSTITUTE("dpa"&amp;$B386&amp;$C386&amp;$D386&amp;$E386,".","_"),"(","_"),")","")</f>
        <v>dpa703_5_1_1_b</v>
      </c>
      <c r="AM386" s="254">
        <f>M386</f>
        <v>1</v>
      </c>
      <c r="AN386" s="254" t="str">
        <f>SUBSTITUTE(SUBSTITUTE(SUBSTITUTE("dpc"&amp;$B386&amp;$C386&amp;$D386&amp;$E386,".","_"),"(","_"),")","")</f>
        <v>dpc703_5_1_1_b</v>
      </c>
      <c r="AO386" s="254">
        <f ca="1">O386</f>
        <v>0</v>
      </c>
    </row>
    <row r="387" spans="1:61" s="816" customFormat="1" x14ac:dyDescent="0.25">
      <c r="A387" s="18"/>
      <c r="B387" s="90" t="s">
        <v>948</v>
      </c>
      <c r="C387" s="21" t="s">
        <v>256</v>
      </c>
      <c r="D387" s="21" t="s">
        <v>122</v>
      </c>
      <c r="E387" s="21"/>
      <c r="F387" s="21"/>
      <c r="G387" s="21"/>
      <c r="H387" s="758"/>
      <c r="I387" s="4"/>
      <c r="J387" s="230"/>
      <c r="K387" s="684"/>
      <c r="L387" s="1786"/>
      <c r="M387" s="1759"/>
      <c r="N387" s="210"/>
      <c r="O387" s="1764"/>
      <c r="S387"/>
      <c r="X387" s="1757"/>
      <c r="AL387" s="254"/>
      <c r="AM387" s="254"/>
    </row>
    <row r="388" spans="1:61" s="816" customFormat="1" x14ac:dyDescent="0.25">
      <c r="A388" s="18"/>
      <c r="B388" s="90" t="s">
        <v>948</v>
      </c>
      <c r="C388" s="21" t="s">
        <v>256</v>
      </c>
      <c r="D388" s="21" t="s">
        <v>123</v>
      </c>
      <c r="E388" s="21"/>
      <c r="F388" s="21"/>
      <c r="G388" s="21"/>
      <c r="H388" s="758"/>
      <c r="I388" s="4"/>
      <c r="J388" s="230"/>
      <c r="K388" s="667" t="s">
        <v>123</v>
      </c>
      <c r="L388" s="848" t="s">
        <v>4290</v>
      </c>
      <c r="M388" s="831"/>
      <c r="N388" s="4"/>
      <c r="O388" s="824">
        <f ca="1">IFERROR(INDEX(M389:M390,MATCH(W383,{0.9,0.95},1))*AND(S381,MATCH(W381,INDIRECT(U381),0)=3),0)</f>
        <v>0</v>
      </c>
      <c r="S388"/>
      <c r="X388" s="1757"/>
      <c r="AL388" s="254"/>
      <c r="AM388" s="254"/>
    </row>
    <row r="389" spans="1:61" s="816" customFormat="1" x14ac:dyDescent="0.25">
      <c r="A389" s="18"/>
      <c r="B389" s="90" t="s">
        <v>948</v>
      </c>
      <c r="C389" s="21" t="s">
        <v>256</v>
      </c>
      <c r="D389" s="21" t="s">
        <v>123</v>
      </c>
      <c r="E389" s="21" t="s">
        <v>256</v>
      </c>
      <c r="F389" s="21"/>
      <c r="G389" s="21"/>
      <c r="H389" s="758"/>
      <c r="I389" s="4"/>
      <c r="J389" s="230"/>
      <c r="K389" s="667"/>
      <c r="L389" s="848" t="s">
        <v>4291</v>
      </c>
      <c r="M389" s="831">
        <f>IFERROR(INDEX({6,6,5,3,3,3,3,2},BF16),0)</f>
        <v>0</v>
      </c>
      <c r="N389" s="4"/>
      <c r="O389" s="824"/>
      <c r="S389"/>
      <c r="X389" s="1757"/>
      <c r="AL389" s="254" t="str">
        <f>SUBSTITUTE(SUBSTITUTE(SUBSTITUTE("dpa"&amp;$B389&amp;$C389&amp;$D389&amp;$E389,".","_"),"(","_"),")","")</f>
        <v>dpa703_5_1_1_c_1</v>
      </c>
      <c r="AM389" s="254">
        <f>M389</f>
        <v>0</v>
      </c>
    </row>
    <row r="390" spans="1:61" s="816" customFormat="1" x14ac:dyDescent="0.25">
      <c r="A390" s="18"/>
      <c r="B390" s="90" t="s">
        <v>948</v>
      </c>
      <c r="C390" s="21" t="s">
        <v>256</v>
      </c>
      <c r="D390" s="21" t="s">
        <v>123</v>
      </c>
      <c r="E390" s="21" t="s">
        <v>258</v>
      </c>
      <c r="F390" s="21"/>
      <c r="G390" s="21"/>
      <c r="H390" s="758"/>
      <c r="I390" s="4"/>
      <c r="J390" s="230"/>
      <c r="K390" s="669"/>
      <c r="L390" s="978" t="s">
        <v>4292</v>
      </c>
      <c r="M390" s="972">
        <f>IFERROR(INDEX({7,7,5,4,4,4,4,2},BF16),0)</f>
        <v>0</v>
      </c>
      <c r="N390" s="210"/>
      <c r="O390" s="973"/>
      <c r="S390"/>
      <c r="X390" s="1757"/>
      <c r="AL390" s="254" t="str">
        <f>SUBSTITUTE(SUBSTITUTE(SUBSTITUTE("dpa"&amp;$B390&amp;$C390&amp;$D390&amp;$E390,".","_"),"(","_"),")","")</f>
        <v>dpa703_5_1_1_c_2</v>
      </c>
      <c r="AM390" s="254">
        <f>M390</f>
        <v>0</v>
      </c>
    </row>
    <row r="391" spans="1:61" s="816" customFormat="1" x14ac:dyDescent="0.25">
      <c r="A391" s="18"/>
      <c r="B391" s="90" t="s">
        <v>948</v>
      </c>
      <c r="C391" s="21" t="s">
        <v>256</v>
      </c>
      <c r="D391" s="21" t="s">
        <v>401</v>
      </c>
      <c r="E391" s="21"/>
      <c r="F391" s="21"/>
      <c r="G391" s="21"/>
      <c r="H391" s="758"/>
      <c r="I391" s="4"/>
      <c r="J391" s="230"/>
      <c r="K391" s="667" t="s">
        <v>401</v>
      </c>
      <c r="L391" s="1787" t="s">
        <v>4293</v>
      </c>
      <c r="M391" s="831"/>
      <c r="N391" s="4"/>
      <c r="O391" s="1780">
        <f ca="1">IFERROR(INDEX(M394:M395,MATCH(W383,{0.92,0.95},1))*AND(S381,MATCH(W381,INDIRECT(U381),0)=4),0)</f>
        <v>0</v>
      </c>
      <c r="S391"/>
      <c r="X391" s="1757"/>
      <c r="AL391" s="254"/>
      <c r="AM391" s="254"/>
      <c r="AN391" s="254" t="str">
        <f>SUBSTITUTE(SUBSTITUTE(SUBSTITUTE("dpc"&amp;$B391&amp;$C391&amp;$D391&amp;$E391,".","_"),"(","_"),")","")</f>
        <v>dpc703_5_1_1_d</v>
      </c>
      <c r="AO391" s="254">
        <f ca="1">O391</f>
        <v>0</v>
      </c>
    </row>
    <row r="392" spans="1:61" s="816" customFormat="1" x14ac:dyDescent="0.25">
      <c r="A392" s="18"/>
      <c r="B392" s="90" t="s">
        <v>948</v>
      </c>
      <c r="C392" s="21" t="s">
        <v>256</v>
      </c>
      <c r="D392" s="21" t="s">
        <v>401</v>
      </c>
      <c r="E392" s="21"/>
      <c r="F392" s="21"/>
      <c r="G392" s="21"/>
      <c r="H392" s="758"/>
      <c r="I392" s="4"/>
      <c r="J392" s="230"/>
      <c r="K392" s="667"/>
      <c r="L392" s="1787"/>
      <c r="M392" s="831"/>
      <c r="N392" s="4"/>
      <c r="O392" s="1780"/>
      <c r="S392"/>
      <c r="X392" s="1757"/>
      <c r="AL392" s="254"/>
      <c r="AM392" s="254"/>
    </row>
    <row r="393" spans="1:61" s="816" customFormat="1" x14ac:dyDescent="0.25">
      <c r="A393" s="18"/>
      <c r="B393" s="90" t="s">
        <v>948</v>
      </c>
      <c r="C393" s="21" t="s">
        <v>256</v>
      </c>
      <c r="D393" s="21" t="s">
        <v>401</v>
      </c>
      <c r="E393" s="21"/>
      <c r="F393" s="21"/>
      <c r="G393" s="21"/>
      <c r="H393" s="758"/>
      <c r="I393" s="4"/>
      <c r="J393" s="230"/>
      <c r="K393" s="667"/>
      <c r="L393" s="1787"/>
      <c r="M393" s="831"/>
      <c r="N393" s="4"/>
      <c r="O393" s="1780"/>
      <c r="S393"/>
      <c r="X393" s="1757"/>
      <c r="AL393" s="254"/>
      <c r="AM393" s="254"/>
    </row>
    <row r="394" spans="1:61" s="816" customFormat="1" x14ac:dyDescent="0.25">
      <c r="A394" s="18"/>
      <c r="B394" s="90" t="s">
        <v>948</v>
      </c>
      <c r="C394" s="21" t="s">
        <v>256</v>
      </c>
      <c r="D394" s="21" t="s">
        <v>401</v>
      </c>
      <c r="E394" s="21" t="s">
        <v>256</v>
      </c>
      <c r="F394" s="21"/>
      <c r="G394" s="21"/>
      <c r="H394" s="758"/>
      <c r="I394" s="4"/>
      <c r="J394" s="230"/>
      <c r="K394" s="139"/>
      <c r="L394" s="848" t="s">
        <v>4294</v>
      </c>
      <c r="M394" s="831">
        <v>1</v>
      </c>
      <c r="N394" s="4"/>
      <c r="O394" s="824"/>
      <c r="S394"/>
      <c r="X394" s="1757"/>
      <c r="AL394" s="254" t="str">
        <f>SUBSTITUTE(SUBSTITUTE(SUBSTITUTE("dpa"&amp;$B394&amp;$C394&amp;$D394&amp;$E394,".","_"),"(","_"),")","")</f>
        <v>dpa703_5_1_1_d_1</v>
      </c>
      <c r="AM394" s="254">
        <f>M394</f>
        <v>1</v>
      </c>
    </row>
    <row r="395" spans="1:61" s="816" customFormat="1" x14ac:dyDescent="0.25">
      <c r="A395" s="18"/>
      <c r="B395" s="90" t="s">
        <v>948</v>
      </c>
      <c r="C395" s="21" t="s">
        <v>256</v>
      </c>
      <c r="D395" s="21" t="s">
        <v>401</v>
      </c>
      <c r="E395" s="21" t="s">
        <v>258</v>
      </c>
      <c r="F395" s="21"/>
      <c r="G395" s="21"/>
      <c r="H395" s="758"/>
      <c r="I395" s="4"/>
      <c r="J395" s="230"/>
      <c r="K395" s="684"/>
      <c r="L395" s="978" t="s">
        <v>4292</v>
      </c>
      <c r="M395" s="972">
        <f>IFERROR(INDEX({2,2,2,2,2,2,2,1},BF16),0)</f>
        <v>0</v>
      </c>
      <c r="N395" s="210"/>
      <c r="O395" s="973"/>
      <c r="S395"/>
      <c r="X395" s="1757"/>
      <c r="AL395" s="254" t="str">
        <f>SUBSTITUTE(SUBSTITUTE(SUBSTITUTE("dpa"&amp;$B395&amp;$C395&amp;$D395&amp;$E395,".","_"),"(","_"),")","")</f>
        <v>dpa703_5_1_1_d_2</v>
      </c>
      <c r="AM395" s="254">
        <f>M395</f>
        <v>0</v>
      </c>
      <c r="AX395" s="381"/>
      <c r="AY395" s="381"/>
    </row>
    <row r="396" spans="1:61" ht="15" customHeight="1" x14ac:dyDescent="0.25">
      <c r="B396" s="90" t="s">
        <v>948</v>
      </c>
      <c r="C396" s="21" t="s">
        <v>256</v>
      </c>
      <c r="D396" s="21" t="s">
        <v>539</v>
      </c>
      <c r="E396" s="21"/>
      <c r="F396" s="21"/>
      <c r="G396" s="21"/>
      <c r="H396" s="758"/>
      <c r="I396" s="4"/>
      <c r="J396" s="161"/>
      <c r="K396" s="667" t="s">
        <v>539</v>
      </c>
      <c r="L396" s="1787" t="s">
        <v>4295</v>
      </c>
      <c r="M396" s="428"/>
      <c r="N396" s="4"/>
      <c r="O396" s="1780">
        <f ca="1">IFERROR(INDEX(M398:M399,MATCH(W383,{0.89,0.94},1))*AND(S381,MATCH(W381,INDIRECT(U381),0)=5),0)</f>
        <v>0</v>
      </c>
      <c r="P396"/>
      <c r="Q396"/>
      <c r="R396"/>
      <c r="S396"/>
      <c r="T396"/>
      <c r="U396"/>
      <c r="V396"/>
      <c r="W396"/>
      <c r="X396" s="1757"/>
      <c r="AN396" s="254" t="str">
        <f>SUBSTITUTE(SUBSTITUTE(SUBSTITUTE("dpc"&amp;$B396&amp;$C396&amp;$D396&amp;$E396,".","_"),"(","_"),")","")</f>
        <v>dpc703_5_1_1_e</v>
      </c>
      <c r="AO396" s="254">
        <f ca="1">O396</f>
        <v>0</v>
      </c>
      <c r="AX396" s="816"/>
      <c r="AY396" s="816"/>
      <c r="AZ396" s="816"/>
      <c r="BA396" s="816"/>
      <c r="BB396" s="816"/>
      <c r="BC396" s="816"/>
      <c r="BD396" s="816"/>
      <c r="BE396" s="816"/>
      <c r="BF396" s="816"/>
      <c r="BG396" s="816"/>
      <c r="BH396" s="816"/>
      <c r="BI396" s="816"/>
    </row>
    <row r="397" spans="1:61" s="381" customFormat="1" x14ac:dyDescent="0.25">
      <c r="A397" s="18"/>
      <c r="B397" s="90" t="s">
        <v>948</v>
      </c>
      <c r="C397" s="21" t="s">
        <v>256</v>
      </c>
      <c r="D397" s="21" t="s">
        <v>539</v>
      </c>
      <c r="E397" s="21"/>
      <c r="F397" s="21"/>
      <c r="G397" s="21"/>
      <c r="H397" s="758"/>
      <c r="I397" s="4"/>
      <c r="J397" s="382"/>
      <c r="K397" s="679"/>
      <c r="L397" s="1787"/>
      <c r="M397" s="428"/>
      <c r="N397" s="4"/>
      <c r="O397" s="1780"/>
      <c r="S397"/>
      <c r="X397" s="1757"/>
      <c r="Y397" s="780"/>
      <c r="AA397" s="783"/>
      <c r="AX397" s="76"/>
      <c r="AY397" s="76"/>
      <c r="AZ397" s="76"/>
      <c r="BA397" s="76"/>
      <c r="BB397" s="76"/>
      <c r="BC397" s="76"/>
      <c r="BD397" s="76"/>
      <c r="BE397" s="76"/>
      <c r="BF397" s="76"/>
      <c r="BG397" s="76"/>
      <c r="BH397" s="76"/>
      <c r="BI397" s="76"/>
    </row>
    <row r="398" spans="1:61" s="381" customFormat="1" x14ac:dyDescent="0.25">
      <c r="A398" s="18"/>
      <c r="B398" s="90" t="s">
        <v>948</v>
      </c>
      <c r="C398" s="21" t="s">
        <v>256</v>
      </c>
      <c r="D398" s="21" t="s">
        <v>539</v>
      </c>
      <c r="E398" s="21" t="s">
        <v>256</v>
      </c>
      <c r="F398" s="21"/>
      <c r="G398" s="21"/>
      <c r="H398" s="758"/>
      <c r="I398" s="4"/>
      <c r="J398" s="382"/>
      <c r="K398" s="845"/>
      <c r="L398" s="848" t="s">
        <v>5108</v>
      </c>
      <c r="M398" s="428">
        <f>IFERROR(INDEX({2,2,2,1,1,1,1,1},BF16),0)</f>
        <v>0</v>
      </c>
      <c r="N398" s="4"/>
      <c r="O398" s="141"/>
      <c r="S398"/>
      <c r="X398" s="1757"/>
      <c r="Y398" s="780"/>
      <c r="AA398" s="783"/>
      <c r="AL398" s="254" t="str">
        <f>SUBSTITUTE(SUBSTITUTE(SUBSTITUTE("dpa"&amp;$B398&amp;$C398&amp;$D398&amp;$E398,".","_"),"(","_"),")","")</f>
        <v>dpa703_5_1_1_e_1</v>
      </c>
      <c r="AM398" s="254">
        <f>M398</f>
        <v>0</v>
      </c>
      <c r="AX398" s="816"/>
      <c r="AY398" s="816"/>
    </row>
    <row r="399" spans="1:61" s="381" customFormat="1" x14ac:dyDescent="0.25">
      <c r="A399" s="18"/>
      <c r="B399" s="90" t="s">
        <v>948</v>
      </c>
      <c r="C399" s="21" t="s">
        <v>256</v>
      </c>
      <c r="D399" s="21" t="s">
        <v>539</v>
      </c>
      <c r="E399" s="21" t="s">
        <v>258</v>
      </c>
      <c r="F399" s="21"/>
      <c r="G399" s="21"/>
      <c r="H399" s="758"/>
      <c r="I399" s="4"/>
      <c r="J399" s="449"/>
      <c r="K399" s="851"/>
      <c r="L399" s="857" t="s">
        <v>5109</v>
      </c>
      <c r="M399" s="453">
        <f>IFERROR(INDEX({3,3,2,2,2,2,2,1},BF16),0)</f>
        <v>0</v>
      </c>
      <c r="N399" s="210"/>
      <c r="O399" s="973"/>
      <c r="P399" s="178"/>
      <c r="Q399" s="178"/>
      <c r="R399" s="178"/>
      <c r="S399" s="178"/>
      <c r="T399" s="178"/>
      <c r="U399" s="178"/>
      <c r="V399" s="178"/>
      <c r="W399" s="1090" t="s">
        <v>3636</v>
      </c>
      <c r="X399" s="1757"/>
      <c r="Y399" s="780"/>
      <c r="AA399" s="783"/>
      <c r="AL399" s="254" t="str">
        <f>SUBSTITUTE(SUBSTITUTE(SUBSTITUTE("dpa"&amp;$B399&amp;$C399&amp;$D399&amp;$E399,".","_"),"(","_"),")","")</f>
        <v>dpa703_5_1_1_e_2</v>
      </c>
      <c r="AM399" s="254">
        <f>M399</f>
        <v>0</v>
      </c>
      <c r="AX399" s="76"/>
      <c r="AY399" s="76"/>
    </row>
    <row r="400" spans="1:61" x14ac:dyDescent="0.25">
      <c r="B400" s="90" t="s">
        <v>948</v>
      </c>
      <c r="C400" s="737" t="s">
        <v>258</v>
      </c>
      <c r="D400" s="845"/>
      <c r="E400" s="21"/>
      <c r="F400" s="21"/>
      <c r="G400" s="21"/>
      <c r="H400" s="758"/>
      <c r="I400" s="4"/>
      <c r="J400" s="230" t="s">
        <v>258</v>
      </c>
      <c r="K400" s="161"/>
      <c r="L400" s="161" t="s">
        <v>950</v>
      </c>
      <c r="M400" s="428"/>
      <c r="N400" s="4"/>
      <c r="O400" s="141"/>
      <c r="P400" s="94" t="b">
        <v>1</v>
      </c>
      <c r="Q400" s="94" t="b">
        <v>1</v>
      </c>
      <c r="R400" s="1090" t="b">
        <v>0</v>
      </c>
      <c r="S400" s="1090" t="b">
        <f ca="1">AND(S13=2,LEN(W431)=0,S376=2)</f>
        <v>0</v>
      </c>
      <c r="T400" s="94" t="b">
        <f ca="1">AND(NOT(S400),LEN(W400)&gt;0)</f>
        <v>0</v>
      </c>
      <c r="U400" s="94" t="str">
        <f>SUBSTITUTE(SUBSTITUTE(SUBSTITUTE("dd"&amp;B400&amp;C400&amp;D400&amp;E400&amp;F400,".","_"),"(","_"),")","")</f>
        <v>dd703_5_1_2</v>
      </c>
      <c r="V400"/>
      <c r="W400" s="12"/>
      <c r="X400" s="1757"/>
      <c r="AC400" s="1090" t="b">
        <f ca="1">OR(AD400:AE400)</f>
        <v>0</v>
      </c>
      <c r="AD400" s="1090" t="b">
        <f ca="1">T400</f>
        <v>0</v>
      </c>
      <c r="AP400" s="254" t="str">
        <f>SUBSTITUTE(SUBSTITUTE(SUBSTITUTE("dch"&amp;$B400&amp;$C400&amp;$D400&amp;$E400,".","_"),"(","_"),")","")</f>
        <v>dch703_5_1_2</v>
      </c>
      <c r="AQ400" s="254" t="str">
        <f>IF(LEN(W400)=0,"",W400)</f>
        <v/>
      </c>
      <c r="AX400" s="159"/>
      <c r="AY400" s="159"/>
      <c r="AZ400" s="381"/>
      <c r="BA400" s="381"/>
      <c r="BB400" s="381"/>
      <c r="BC400" s="381"/>
      <c r="BD400" s="381"/>
      <c r="BE400" s="381"/>
      <c r="BF400" s="381"/>
      <c r="BG400" s="381"/>
      <c r="BH400" s="381"/>
      <c r="BI400" s="381"/>
    </row>
    <row r="401" spans="1:61" s="816" customFormat="1" x14ac:dyDescent="0.25">
      <c r="A401" s="18"/>
      <c r="B401" s="90" t="s">
        <v>948</v>
      </c>
      <c r="C401" s="737" t="s">
        <v>258</v>
      </c>
      <c r="D401" s="679" t="s">
        <v>121</v>
      </c>
      <c r="E401" s="21"/>
      <c r="F401" s="21"/>
      <c r="G401" s="21"/>
      <c r="H401" s="758"/>
      <c r="I401" s="4"/>
      <c r="J401" s="230"/>
      <c r="K401" s="667" t="s">
        <v>121</v>
      </c>
      <c r="L401" s="1787" t="s">
        <v>4298</v>
      </c>
      <c r="M401" s="831"/>
      <c r="N401" s="4"/>
      <c r="O401" s="1780">
        <f ca="1">IFERROR(INDEX(M403:M409,MATCH(W402,{0.94,1,1.5,2,2.2,2.5,3},1))*AND(S400,MATCH(W400,INDIRECT(U400),0)=1),0)</f>
        <v>0</v>
      </c>
      <c r="S401"/>
      <c r="W401" s="1090" t="s">
        <v>3635</v>
      </c>
      <c r="X401" s="1757"/>
      <c r="AN401" s="254" t="str">
        <f>SUBSTITUTE(SUBSTITUTE(SUBSTITUTE("dpc"&amp;$B401&amp;$C401&amp;$D401&amp;$E401,".","_"),"(","_"),")","")</f>
        <v>dpc703_5_1_2_a</v>
      </c>
      <c r="AO401" s="254">
        <f ca="1">O401</f>
        <v>0</v>
      </c>
      <c r="AX401" s="76"/>
      <c r="AY401" s="76"/>
      <c r="AZ401" s="76"/>
      <c r="BA401" s="76"/>
      <c r="BB401" s="76"/>
      <c r="BC401" s="76"/>
      <c r="BD401" s="76"/>
      <c r="BE401" s="76"/>
      <c r="BF401" s="76"/>
      <c r="BG401" s="76"/>
      <c r="BH401" s="76"/>
      <c r="BI401" s="76"/>
    </row>
    <row r="402" spans="1:61" s="816" customFormat="1" x14ac:dyDescent="0.25">
      <c r="A402" s="18"/>
      <c r="B402" s="90" t="s">
        <v>948</v>
      </c>
      <c r="C402" s="737" t="s">
        <v>258</v>
      </c>
      <c r="D402" s="679" t="s">
        <v>121</v>
      </c>
      <c r="E402" s="21"/>
      <c r="F402" s="21"/>
      <c r="G402" s="21"/>
      <c r="H402" s="758"/>
      <c r="I402" s="4"/>
      <c r="J402" s="230"/>
      <c r="K402" s="667"/>
      <c r="L402" s="1787"/>
      <c r="M402" s="831"/>
      <c r="N402" s="4"/>
      <c r="O402" s="1780"/>
      <c r="P402" s="94" t="b">
        <v>1</v>
      </c>
      <c r="Q402" s="94" t="b">
        <v>1</v>
      </c>
      <c r="R402" s="1090" t="b">
        <v>0</v>
      </c>
      <c r="S402" s="1090" t="b">
        <f ca="1">S400</f>
        <v>0</v>
      </c>
      <c r="T402" s="94" t="b">
        <f ca="1">AND(NOT(S402),LEN(W402)&gt;0)</f>
        <v>0</v>
      </c>
      <c r="W402" s="384"/>
      <c r="X402" s="1757"/>
      <c r="AC402" s="1090" t="b">
        <f ca="1">OR(AD402:AE402)</f>
        <v>0</v>
      </c>
      <c r="AD402" s="1090" t="b">
        <f ca="1">T402</f>
        <v>0</v>
      </c>
      <c r="AP402" s="254" t="str">
        <f>SUBSTITUTE(SUBSTITUTE(SUBSTITUTE("dch"&amp;$B402&amp;$C402&amp;$D402&amp;$E402,".","_"),"(","_"),")","")</f>
        <v>dch703_5_1_2_a</v>
      </c>
      <c r="AQ402" s="254" t="str">
        <f>IF(LEN(W402)=0,"",W402)</f>
        <v/>
      </c>
      <c r="AX402" s="76"/>
      <c r="AY402" s="76"/>
    </row>
    <row r="403" spans="1:61" s="816" customFormat="1" x14ac:dyDescent="0.25">
      <c r="A403" s="18"/>
      <c r="B403" s="90" t="s">
        <v>948</v>
      </c>
      <c r="C403" s="737" t="s">
        <v>258</v>
      </c>
      <c r="D403" s="679" t="s">
        <v>121</v>
      </c>
      <c r="E403" s="21" t="s">
        <v>256</v>
      </c>
      <c r="F403" s="21"/>
      <c r="G403" s="21"/>
      <c r="H403" s="758"/>
      <c r="I403" s="4"/>
      <c r="J403" s="230"/>
      <c r="K403" s="139"/>
      <c r="L403" s="848" t="s">
        <v>5110</v>
      </c>
      <c r="M403" s="831">
        <v>1</v>
      </c>
      <c r="N403" s="4"/>
      <c r="O403" s="824"/>
      <c r="S403"/>
      <c r="X403" s="1757"/>
      <c r="AL403" s="254" t="str">
        <f t="shared" ref="AL403:AL409" si="14">SUBSTITUTE(SUBSTITUTE(SUBSTITUTE("dpa"&amp;$B403&amp;$C403&amp;$D403&amp;$E403,".","_"),"(","_"),")","")</f>
        <v>dpa703_5_1_2_a_1</v>
      </c>
      <c r="AM403" s="254">
        <f t="shared" ref="AM403:AM409" si="15">M403</f>
        <v>1</v>
      </c>
      <c r="AX403" s="76"/>
      <c r="AY403" s="76"/>
    </row>
    <row r="404" spans="1:61" s="816" customFormat="1" x14ac:dyDescent="0.25">
      <c r="A404" s="18"/>
      <c r="B404" s="90" t="s">
        <v>948</v>
      </c>
      <c r="C404" s="737" t="s">
        <v>258</v>
      </c>
      <c r="D404" s="679" t="s">
        <v>121</v>
      </c>
      <c r="E404" s="21" t="s">
        <v>258</v>
      </c>
      <c r="F404" s="21"/>
      <c r="G404" s="21"/>
      <c r="H404" s="758"/>
      <c r="I404" s="4"/>
      <c r="J404" s="230"/>
      <c r="K404" s="139"/>
      <c r="L404" s="848" t="s">
        <v>5111</v>
      </c>
      <c r="M404" s="831">
        <f>IFERROR(INDEX({4,2,2,2,1,1,1,1},BF16),0)</f>
        <v>0</v>
      </c>
      <c r="N404" s="4"/>
      <c r="O404" s="824"/>
      <c r="S404"/>
      <c r="X404" s="1757"/>
      <c r="AL404" s="254" t="str">
        <f t="shared" si="14"/>
        <v>dpa703_5_1_2_a_2</v>
      </c>
      <c r="AM404" s="254">
        <f t="shared" si="15"/>
        <v>0</v>
      </c>
      <c r="AX404" s="76"/>
      <c r="AY404" s="76"/>
    </row>
    <row r="405" spans="1:61" s="816" customFormat="1" x14ac:dyDescent="0.25">
      <c r="A405" s="18"/>
      <c r="B405" s="90" t="s">
        <v>948</v>
      </c>
      <c r="C405" s="737" t="s">
        <v>258</v>
      </c>
      <c r="D405" s="679" t="s">
        <v>121</v>
      </c>
      <c r="E405" s="21" t="s">
        <v>260</v>
      </c>
      <c r="F405" s="21"/>
      <c r="G405" s="21"/>
      <c r="H405" s="758"/>
      <c r="I405" s="4"/>
      <c r="J405" s="230"/>
      <c r="K405" s="85"/>
      <c r="L405" s="848" t="s">
        <v>5112</v>
      </c>
      <c r="M405" s="831">
        <f>IFERROR(INDEX({7,4,3,2,2,2,1,1},BF16),0)</f>
        <v>0</v>
      </c>
      <c r="N405" s="4"/>
      <c r="O405" s="824"/>
      <c r="S405"/>
      <c r="X405" s="1757"/>
      <c r="AL405" s="254" t="str">
        <f t="shared" si="14"/>
        <v>dpa703_5_1_2_a_3</v>
      </c>
      <c r="AM405" s="254">
        <f t="shared" si="15"/>
        <v>0</v>
      </c>
      <c r="AX405" s="76"/>
      <c r="AY405" s="76"/>
    </row>
    <row r="406" spans="1:61" s="816" customFormat="1" x14ac:dyDescent="0.25">
      <c r="A406" s="18"/>
      <c r="B406" s="90" t="s">
        <v>948</v>
      </c>
      <c r="C406" s="737" t="s">
        <v>258</v>
      </c>
      <c r="D406" s="679" t="s">
        <v>121</v>
      </c>
      <c r="E406" s="21" t="s">
        <v>269</v>
      </c>
      <c r="F406" s="21"/>
      <c r="G406" s="21"/>
      <c r="H406" s="758"/>
      <c r="I406" s="4"/>
      <c r="J406" s="230"/>
      <c r="K406" s="85"/>
      <c r="L406" s="83" t="s">
        <v>5113</v>
      </c>
      <c r="M406" s="831">
        <f>IFERROR(INDEX({14,8,7,5,4,4,2,2},BF16),0)</f>
        <v>0</v>
      </c>
      <c r="N406" s="4"/>
      <c r="O406" s="824"/>
      <c r="S406"/>
      <c r="X406" s="1757"/>
      <c r="AL406" s="254" t="str">
        <f t="shared" si="14"/>
        <v>dpa703_5_1_2_a_4</v>
      </c>
      <c r="AM406" s="254">
        <f t="shared" si="15"/>
        <v>0</v>
      </c>
      <c r="AX406" s="76"/>
      <c r="AY406" s="76"/>
    </row>
    <row r="407" spans="1:61" s="816" customFormat="1" x14ac:dyDescent="0.25">
      <c r="A407" s="18"/>
      <c r="B407" s="90" t="s">
        <v>948</v>
      </c>
      <c r="C407" s="737" t="s">
        <v>258</v>
      </c>
      <c r="D407" s="679" t="s">
        <v>121</v>
      </c>
      <c r="E407" s="21" t="s">
        <v>275</v>
      </c>
      <c r="F407" s="21"/>
      <c r="G407" s="21"/>
      <c r="H407" s="758"/>
      <c r="I407" s="4"/>
      <c r="J407" s="230"/>
      <c r="K407" s="85"/>
      <c r="L407" s="83" t="s">
        <v>5114</v>
      </c>
      <c r="M407" s="831">
        <f>IFERROR(INDEX({17,9,8,6,5,4,3,3},BF16),0)</f>
        <v>0</v>
      </c>
      <c r="N407" s="4"/>
      <c r="O407" s="824"/>
      <c r="S407"/>
      <c r="X407" s="1757"/>
      <c r="AL407" s="254" t="str">
        <f t="shared" si="14"/>
        <v>dpa703_5_1_2_a_5</v>
      </c>
      <c r="AM407" s="254">
        <f t="shared" si="15"/>
        <v>0</v>
      </c>
      <c r="AX407" s="76"/>
      <c r="AY407" s="76"/>
    </row>
    <row r="408" spans="1:61" s="816" customFormat="1" x14ac:dyDescent="0.25">
      <c r="A408" s="18"/>
      <c r="B408" s="90" t="s">
        <v>948</v>
      </c>
      <c r="C408" s="737" t="s">
        <v>258</v>
      </c>
      <c r="D408" s="679" t="s">
        <v>121</v>
      </c>
      <c r="E408" s="21" t="s">
        <v>277</v>
      </c>
      <c r="F408" s="21"/>
      <c r="G408" s="21"/>
      <c r="H408" s="758"/>
      <c r="I408" s="4"/>
      <c r="J408" s="230"/>
      <c r="K408" s="85"/>
      <c r="L408" s="848" t="s">
        <v>5115</v>
      </c>
      <c r="M408" s="831">
        <f>IFERROR(INDEX({18,12,10,8,6,6,3,3},BF16),0)</f>
        <v>0</v>
      </c>
      <c r="N408" s="4"/>
      <c r="O408" s="824"/>
      <c r="S408"/>
      <c r="X408" s="1757"/>
      <c r="AL408" s="254" t="str">
        <f t="shared" si="14"/>
        <v>dpa703_5_1_2_a_6</v>
      </c>
      <c r="AM408" s="254">
        <f t="shared" si="15"/>
        <v>0</v>
      </c>
    </row>
    <row r="409" spans="1:61" s="816" customFormat="1" x14ac:dyDescent="0.25">
      <c r="A409" s="18"/>
      <c r="B409" s="90" t="s">
        <v>948</v>
      </c>
      <c r="C409" s="737" t="s">
        <v>258</v>
      </c>
      <c r="D409" s="679" t="s">
        <v>121</v>
      </c>
      <c r="E409" s="21" t="s">
        <v>383</v>
      </c>
      <c r="F409" s="21"/>
      <c r="G409" s="21"/>
      <c r="H409" s="758"/>
      <c r="I409" s="4"/>
      <c r="J409" s="230"/>
      <c r="K409" s="216"/>
      <c r="L409" s="175" t="s">
        <v>5116</v>
      </c>
      <c r="M409" s="972">
        <f>IFERROR(INDEX({22,16,13,11,8,8,4,3},BF16),0)</f>
        <v>0</v>
      </c>
      <c r="N409" s="210"/>
      <c r="O409" s="973"/>
      <c r="S409"/>
      <c r="X409" s="1757"/>
      <c r="AL409" s="254" t="str">
        <f t="shared" si="14"/>
        <v>dpa703_5_1_2_a_7</v>
      </c>
      <c r="AM409" s="254">
        <f t="shared" si="15"/>
        <v>0</v>
      </c>
    </row>
    <row r="410" spans="1:61" s="816" customFormat="1" x14ac:dyDescent="0.25">
      <c r="A410" s="18"/>
      <c r="B410" s="90" t="s">
        <v>948</v>
      </c>
      <c r="C410" s="737" t="s">
        <v>258</v>
      </c>
      <c r="D410" s="679" t="s">
        <v>122</v>
      </c>
      <c r="E410" s="21"/>
      <c r="F410" s="21"/>
      <c r="G410" s="21"/>
      <c r="H410" s="758"/>
      <c r="I410" s="4"/>
      <c r="J410" s="230"/>
      <c r="K410" s="667" t="s">
        <v>122</v>
      </c>
      <c r="L410" s="1787" t="s">
        <v>4306</v>
      </c>
      <c r="M410" s="831"/>
      <c r="N410" s="4"/>
      <c r="O410" s="1763">
        <f ca="1">IFERROR(INDEX(M412:M415,MATCH(W402,{2.2,2.5,3,3.5},1))*AND(S400,MATCH(W400,INDIRECT(U400),0)=2),0)</f>
        <v>0</v>
      </c>
      <c r="S410"/>
      <c r="X410" s="1757"/>
      <c r="AN410" s="254" t="str">
        <f>SUBSTITUTE(SUBSTITUTE(SUBSTITUTE("dpc"&amp;$B410&amp;$C410&amp;$D410&amp;$E410,".","_"),"(","_"),")","")</f>
        <v>dpc703_5_1_2_b</v>
      </c>
      <c r="AO410" s="254">
        <f ca="1">O410</f>
        <v>0</v>
      </c>
      <c r="AX410" s="381"/>
      <c r="AY410" s="381"/>
    </row>
    <row r="411" spans="1:61" s="816" customFormat="1" x14ac:dyDescent="0.25">
      <c r="A411" s="18"/>
      <c r="B411" s="90" t="s">
        <v>948</v>
      </c>
      <c r="C411" s="737" t="s">
        <v>258</v>
      </c>
      <c r="D411" s="679" t="s">
        <v>122</v>
      </c>
      <c r="E411" s="21"/>
      <c r="F411" s="21"/>
      <c r="G411" s="21"/>
      <c r="H411" s="758"/>
      <c r="I411" s="4"/>
      <c r="J411" s="230"/>
      <c r="K411" s="667"/>
      <c r="L411" s="1787"/>
      <c r="M411" s="831"/>
      <c r="N411" s="4"/>
      <c r="O411" s="1780"/>
      <c r="S411"/>
      <c r="X411" s="1757"/>
      <c r="AX411" s="381"/>
      <c r="AY411" s="381"/>
    </row>
    <row r="412" spans="1:61" s="816" customFormat="1" x14ac:dyDescent="0.25">
      <c r="A412" s="18"/>
      <c r="B412" s="90" t="s">
        <v>948</v>
      </c>
      <c r="C412" s="737" t="s">
        <v>258</v>
      </c>
      <c r="D412" s="679" t="s">
        <v>122</v>
      </c>
      <c r="E412" s="21" t="s">
        <v>256</v>
      </c>
      <c r="F412" s="21"/>
      <c r="G412" s="21"/>
      <c r="H412" s="758"/>
      <c r="I412" s="4"/>
      <c r="J412" s="230"/>
      <c r="K412" s="85"/>
      <c r="L412" s="83" t="s">
        <v>5114</v>
      </c>
      <c r="M412" s="831">
        <f>IFERROR(INDEX({6,4,3,3,2,2,1,1},BF16),0)</f>
        <v>0</v>
      </c>
      <c r="N412" s="4"/>
      <c r="O412" s="824"/>
      <c r="S412"/>
      <c r="X412" s="1757"/>
      <c r="AL412" s="254" t="str">
        <f>SUBSTITUTE(SUBSTITUTE(SUBSTITUTE("dpa"&amp;$B412&amp;$C412&amp;$D412&amp;$E412,".","_"),"(","_"),")","")</f>
        <v>dpa703_5_1_2_b_1</v>
      </c>
      <c r="AM412" s="254">
        <f>M412</f>
        <v>0</v>
      </c>
      <c r="AX412" s="381"/>
      <c r="AY412" s="381"/>
    </row>
    <row r="413" spans="1:61" s="816" customFormat="1" x14ac:dyDescent="0.25">
      <c r="A413" s="18"/>
      <c r="B413" s="90" t="s">
        <v>948</v>
      </c>
      <c r="C413" s="737" t="s">
        <v>258</v>
      </c>
      <c r="D413" s="679" t="s">
        <v>122</v>
      </c>
      <c r="E413" s="21" t="s">
        <v>258</v>
      </c>
      <c r="F413" s="21"/>
      <c r="G413" s="21"/>
      <c r="H413" s="758"/>
      <c r="I413" s="4"/>
      <c r="J413" s="230"/>
      <c r="K413" s="667"/>
      <c r="L413" s="83" t="s">
        <v>5115</v>
      </c>
      <c r="M413" s="831">
        <f>IFERROR(INDEX({7,5,4,3,3,3,2,2},BF16),0)</f>
        <v>0</v>
      </c>
      <c r="N413" s="4"/>
      <c r="O413" s="824"/>
      <c r="S413"/>
      <c r="X413" s="1757"/>
      <c r="AL413" s="254" t="str">
        <f>SUBSTITUTE(SUBSTITUTE(SUBSTITUTE("dpa"&amp;$B413&amp;$C413&amp;$D413&amp;$E413,".","_"),"(","_"),")","")</f>
        <v>dpa703_5_1_2_b_2</v>
      </c>
      <c r="AM413" s="254">
        <f>M413</f>
        <v>0</v>
      </c>
      <c r="AX413" s="381"/>
      <c r="AY413" s="381"/>
    </row>
    <row r="414" spans="1:61" s="816" customFormat="1" x14ac:dyDescent="0.25">
      <c r="A414" s="18"/>
      <c r="B414" s="90" t="s">
        <v>948</v>
      </c>
      <c r="C414" s="737" t="s">
        <v>258</v>
      </c>
      <c r="D414" s="679" t="s">
        <v>122</v>
      </c>
      <c r="E414" s="21" t="s">
        <v>260</v>
      </c>
      <c r="F414" s="21"/>
      <c r="G414" s="21"/>
      <c r="H414" s="758"/>
      <c r="I414" s="4"/>
      <c r="J414" s="230"/>
      <c r="K414" s="139"/>
      <c r="L414" s="848" t="s">
        <v>5117</v>
      </c>
      <c r="M414" s="831">
        <f>IFERROR(INDEX({8,5,5,4,3,3,3,2},BF16),0)</f>
        <v>0</v>
      </c>
      <c r="N414" s="4"/>
      <c r="O414" s="824"/>
      <c r="S414"/>
      <c r="X414" s="1757"/>
      <c r="AL414" s="254" t="str">
        <f>SUBSTITUTE(SUBSTITUTE(SUBSTITUTE("dpa"&amp;$B414&amp;$C414&amp;$D414&amp;$E414,".","_"),"(","_"),")","")</f>
        <v>dpa703_5_1_2_b_3</v>
      </c>
      <c r="AM414" s="254">
        <f>M414</f>
        <v>0</v>
      </c>
      <c r="AX414" s="381"/>
      <c r="AY414" s="381"/>
    </row>
    <row r="415" spans="1:61" s="816" customFormat="1" x14ac:dyDescent="0.25">
      <c r="A415" s="18"/>
      <c r="B415" s="90" t="s">
        <v>948</v>
      </c>
      <c r="C415" s="737" t="s">
        <v>258</v>
      </c>
      <c r="D415" s="679" t="s">
        <v>122</v>
      </c>
      <c r="E415" s="21" t="s">
        <v>269</v>
      </c>
      <c r="F415" s="21"/>
      <c r="G415" s="21"/>
      <c r="H415" s="758"/>
      <c r="I415" s="4"/>
      <c r="J415" s="230"/>
      <c r="K415" s="216"/>
      <c r="L415" s="175" t="s">
        <v>5118</v>
      </c>
      <c r="M415" s="972">
        <f>IFERROR(INDEX({9,6,6,5,4,4,3,2},BF16),0)</f>
        <v>0</v>
      </c>
      <c r="N415" s="210"/>
      <c r="O415" s="973"/>
      <c r="S415"/>
      <c r="X415" s="1757"/>
      <c r="AL415" s="254" t="str">
        <f>SUBSTITUTE(SUBSTITUTE(SUBSTITUTE("dpa"&amp;$B415&amp;$C415&amp;$D415&amp;$E415,".","_"),"(","_"),")","")</f>
        <v>dpa703_5_1_2_b_4</v>
      </c>
      <c r="AM415" s="254">
        <f>M415</f>
        <v>0</v>
      </c>
    </row>
    <row r="416" spans="1:61" s="816" customFormat="1" x14ac:dyDescent="0.25">
      <c r="A416" s="18"/>
      <c r="B416" s="90" t="s">
        <v>948</v>
      </c>
      <c r="C416" s="737" t="s">
        <v>258</v>
      </c>
      <c r="D416" s="679" t="s">
        <v>123</v>
      </c>
      <c r="E416" s="21"/>
      <c r="F416" s="21"/>
      <c r="G416" s="21"/>
      <c r="H416" s="758"/>
      <c r="I416" s="4"/>
      <c r="J416" s="230"/>
      <c r="K416" s="668" t="s">
        <v>123</v>
      </c>
      <c r="L416" s="1765" t="s">
        <v>4309</v>
      </c>
      <c r="M416" s="1758">
        <v>1</v>
      </c>
      <c r="N416" s="129"/>
      <c r="O416" s="1774">
        <f ca="1">IFERROR(M416*AND(S400,MATCH(W400,INDIRECT(U400),0)=3,W402&gt;=0.91),0)</f>
        <v>0</v>
      </c>
      <c r="S416"/>
      <c r="X416" s="1757"/>
      <c r="AL416" s="254" t="str">
        <f>SUBSTITUTE(SUBSTITUTE(SUBSTITUTE("dpa"&amp;$B416&amp;$C416&amp;$D416&amp;$E416,".","_"),"(","_"),")","")</f>
        <v>dpa703_5_1_2_c</v>
      </c>
      <c r="AM416" s="254">
        <f>M416</f>
        <v>1</v>
      </c>
      <c r="AN416" s="254" t="str">
        <f>SUBSTITUTE(SUBSTITUTE(SUBSTITUTE("dpc"&amp;$B416&amp;$C416&amp;$D416&amp;$E416,".","_"),"(","_"),")","")</f>
        <v>dpc703_5_1_2_c</v>
      </c>
      <c r="AO416" s="254">
        <f ca="1">O416</f>
        <v>0</v>
      </c>
    </row>
    <row r="417" spans="1:61" s="816" customFormat="1" x14ac:dyDescent="0.25">
      <c r="A417" s="18"/>
      <c r="B417" s="90" t="s">
        <v>948</v>
      </c>
      <c r="C417" s="737" t="s">
        <v>258</v>
      </c>
      <c r="D417" s="679" t="s">
        <v>123</v>
      </c>
      <c r="E417" s="21"/>
      <c r="F417" s="21"/>
      <c r="G417" s="21"/>
      <c r="H417" s="758"/>
      <c r="I417" s="4"/>
      <c r="J417" s="230"/>
      <c r="K417" s="684"/>
      <c r="L417" s="1786"/>
      <c r="M417" s="1759"/>
      <c r="N417" s="210"/>
      <c r="O417" s="1764"/>
      <c r="S417"/>
      <c r="X417" s="1757"/>
    </row>
    <row r="418" spans="1:61" s="381" customFormat="1" x14ac:dyDescent="0.25">
      <c r="A418" s="18"/>
      <c r="B418" s="90" t="s">
        <v>948</v>
      </c>
      <c r="C418" s="737" t="s">
        <v>258</v>
      </c>
      <c r="D418" s="679" t="s">
        <v>401</v>
      </c>
      <c r="E418" s="21"/>
      <c r="F418" s="21"/>
      <c r="G418" s="21"/>
      <c r="H418" s="758"/>
      <c r="I418" s="4"/>
      <c r="J418" s="230"/>
      <c r="K418" s="668" t="s">
        <v>401</v>
      </c>
      <c r="L418" s="1765" t="s">
        <v>4310</v>
      </c>
      <c r="M418" s="1758">
        <v>1</v>
      </c>
      <c r="N418" s="129"/>
      <c r="O418" s="1774">
        <f ca="1">IFERROR(M418*AND(S400,MATCH(W400,INDIRECT(U400),0)=4,W402&gt;=0.97),0)</f>
        <v>0</v>
      </c>
      <c r="S418"/>
      <c r="X418" s="1757"/>
      <c r="Y418" s="780"/>
      <c r="AA418" s="783"/>
      <c r="AL418" s="254" t="str">
        <f>SUBSTITUTE(SUBSTITUTE(SUBSTITUTE("dpa"&amp;$B418&amp;$C418&amp;$D418&amp;$E418,".","_"),"(","_"),")","")</f>
        <v>dpa703_5_1_2_d</v>
      </c>
      <c r="AM418" s="254">
        <f>M418</f>
        <v>1</v>
      </c>
      <c r="AN418" s="254" t="str">
        <f>SUBSTITUTE(SUBSTITUTE(SUBSTITUTE("dpc"&amp;$B418&amp;$C418&amp;$D418&amp;$E418,".","_"),"(","_"),")","")</f>
        <v>dpc703_5_1_2_d</v>
      </c>
      <c r="AO418" s="254">
        <f ca="1">O418</f>
        <v>0</v>
      </c>
      <c r="AX418" s="816"/>
      <c r="AY418" s="816"/>
      <c r="AZ418" s="816"/>
      <c r="BA418" s="816"/>
      <c r="BB418" s="816"/>
      <c r="BC418" s="816"/>
      <c r="BD418" s="816"/>
      <c r="BE418" s="816"/>
      <c r="BF418" s="816"/>
      <c r="BG418" s="816"/>
      <c r="BH418" s="816"/>
      <c r="BI418" s="816"/>
    </row>
    <row r="419" spans="1:61" s="816" customFormat="1" x14ac:dyDescent="0.25">
      <c r="A419" s="18"/>
      <c r="B419" s="90" t="s">
        <v>948</v>
      </c>
      <c r="C419" s="737" t="s">
        <v>258</v>
      </c>
      <c r="D419" s="679" t="s">
        <v>401</v>
      </c>
      <c r="E419" s="21"/>
      <c r="F419" s="21"/>
      <c r="G419" s="21"/>
      <c r="H419" s="758"/>
      <c r="I419" s="4"/>
      <c r="J419" s="230"/>
      <c r="K419" s="684"/>
      <c r="L419" s="1786"/>
      <c r="M419" s="1759"/>
      <c r="N419" s="210"/>
      <c r="O419" s="1764"/>
      <c r="S419"/>
      <c r="X419" s="1757"/>
      <c r="AL419" s="254"/>
      <c r="AM419" s="254"/>
      <c r="AN419" s="254"/>
      <c r="AO419" s="254"/>
      <c r="AZ419" s="381"/>
      <c r="BA419" s="381"/>
      <c r="BB419" s="381"/>
      <c r="BC419" s="381"/>
      <c r="BD419" s="381"/>
      <c r="BE419" s="381"/>
      <c r="BF419" s="381"/>
      <c r="BG419" s="381"/>
      <c r="BH419" s="381"/>
      <c r="BI419" s="381"/>
    </row>
    <row r="420" spans="1:61" x14ac:dyDescent="0.25">
      <c r="B420" s="90" t="s">
        <v>948</v>
      </c>
      <c r="C420" s="737" t="s">
        <v>258</v>
      </c>
      <c r="D420" s="679" t="s">
        <v>539</v>
      </c>
      <c r="E420" s="21"/>
      <c r="F420" s="21"/>
      <c r="G420" s="21"/>
      <c r="H420" s="758"/>
      <c r="I420" s="4"/>
      <c r="J420" s="817"/>
      <c r="K420" s="667" t="s">
        <v>539</v>
      </c>
      <c r="L420" s="1765" t="s">
        <v>4311</v>
      </c>
      <c r="M420" s="1758">
        <v>2</v>
      </c>
      <c r="N420" s="129"/>
      <c r="O420" s="1774">
        <f ca="1">IFERROR(M420*AND(S400,MATCH(W400,INDIRECT(U400),0)=5,W402&gt;=0.95),0)</f>
        <v>0</v>
      </c>
      <c r="P420"/>
      <c r="Q420"/>
      <c r="R420"/>
      <c r="S420"/>
      <c r="T420"/>
      <c r="U420"/>
      <c r="V420"/>
      <c r="W420"/>
      <c r="X420" s="1757"/>
      <c r="AL420" s="254" t="str">
        <f>SUBSTITUTE(SUBSTITUTE(SUBSTITUTE("dpa"&amp;$B420&amp;$C420&amp;$D420&amp;$E420,".","_"),"(","_"),")","")</f>
        <v>dpa703_5_1_2_e</v>
      </c>
      <c r="AM420" s="254">
        <f>M420</f>
        <v>2</v>
      </c>
      <c r="AN420" s="254" t="str">
        <f>SUBSTITUTE(SUBSTITUTE(SUBSTITUTE("dpc"&amp;$B420&amp;$C420&amp;$D420&amp;$E420,".","_"),"(","_"),")","")</f>
        <v>dpc703_5_1_2_e</v>
      </c>
      <c r="AO420" s="254">
        <f ca="1">O420</f>
        <v>0</v>
      </c>
      <c r="AX420" s="816"/>
      <c r="AY420" s="816"/>
      <c r="AZ420" s="816"/>
      <c r="BA420" s="816"/>
      <c r="BB420" s="816"/>
      <c r="BC420" s="816"/>
      <c r="BD420" s="816"/>
      <c r="BE420" s="816"/>
      <c r="BF420" s="816"/>
      <c r="BG420" s="816"/>
      <c r="BH420" s="816"/>
      <c r="BI420" s="816"/>
    </row>
    <row r="421" spans="1:61" s="816" customFormat="1" x14ac:dyDescent="0.25">
      <c r="A421" s="18"/>
      <c r="B421" s="90" t="s">
        <v>948</v>
      </c>
      <c r="C421" s="737" t="s">
        <v>258</v>
      </c>
      <c r="D421" s="679" t="s">
        <v>539</v>
      </c>
      <c r="E421" s="21"/>
      <c r="F421" s="21"/>
      <c r="G421" s="21"/>
      <c r="H421" s="758"/>
      <c r="I421" s="4"/>
      <c r="J421" s="818"/>
      <c r="K421" s="845"/>
      <c r="L421" s="1786"/>
      <c r="M421" s="1759"/>
      <c r="N421" s="210"/>
      <c r="O421" s="1764"/>
      <c r="P421" s="178"/>
      <c r="Q421" s="178"/>
      <c r="R421" s="178"/>
      <c r="S421" s="178"/>
      <c r="T421" s="178"/>
      <c r="U421" s="178"/>
      <c r="V421" s="178"/>
      <c r="W421" s="1090" t="s">
        <v>3635</v>
      </c>
      <c r="X421" s="1757"/>
      <c r="AL421" s="254"/>
      <c r="AM421" s="254"/>
      <c r="AN421" s="254"/>
      <c r="AO421" s="254"/>
      <c r="AZ421" s="76"/>
      <c r="BA421" s="76"/>
      <c r="BB421" s="76"/>
      <c r="BC421" s="76"/>
      <c r="BD421" s="76"/>
      <c r="BE421" s="76"/>
      <c r="BF421" s="76"/>
      <c r="BG421" s="76"/>
      <c r="BH421" s="76"/>
      <c r="BI421" s="76"/>
    </row>
    <row r="422" spans="1:61" x14ac:dyDescent="0.25">
      <c r="B422" s="679" t="s">
        <v>948</v>
      </c>
      <c r="C422" s="21" t="s">
        <v>260</v>
      </c>
      <c r="D422" s="21"/>
      <c r="E422" s="21"/>
      <c r="F422" s="21"/>
      <c r="G422" s="21"/>
      <c r="H422" s="758"/>
      <c r="I422" s="210"/>
      <c r="J422" s="550" t="s">
        <v>260</v>
      </c>
      <c r="K422" s="280"/>
      <c r="L422" s="858" t="s">
        <v>4312</v>
      </c>
      <c r="M422" s="842">
        <v>1</v>
      </c>
      <c r="N422" s="243"/>
      <c r="O422" s="474">
        <f ca="1">M422*AND(S422,W422&gt;=0.62)</f>
        <v>0</v>
      </c>
      <c r="P422" s="178" t="b">
        <v>1</v>
      </c>
      <c r="Q422" s="178" t="b">
        <v>1</v>
      </c>
      <c r="R422" s="178" t="b">
        <v>0</v>
      </c>
      <c r="S422" s="178" t="b">
        <f ca="1">AND(S13=2,LEN(W431)=0,S376=3)</f>
        <v>0</v>
      </c>
      <c r="T422" s="178" t="b">
        <f ca="1">AND(NOT(S422),LEN(W422)&gt;0)</f>
        <v>0</v>
      </c>
      <c r="U422" s="178"/>
      <c r="V422" s="538"/>
      <c r="W422" s="384"/>
      <c r="X422" s="1757"/>
      <c r="AC422" s="1090" t="b">
        <f ca="1">OR(AD422:AE422)</f>
        <v>0</v>
      </c>
      <c r="AD422" s="1090" t="b">
        <f ca="1">T422</f>
        <v>0</v>
      </c>
      <c r="AL422" s="254" t="str">
        <f>SUBSTITUTE(SUBSTITUTE(SUBSTITUTE("dpa"&amp;$B422&amp;$C422&amp;$D422&amp;$E422,".","_"),"(","_"),")","")</f>
        <v>dpa703_5_1_3</v>
      </c>
      <c r="AM422" s="254">
        <f>M422</f>
        <v>1</v>
      </c>
      <c r="AN422" s="254" t="str">
        <f>SUBSTITUTE(SUBSTITUTE(SUBSTITUTE("dpc"&amp;$B422&amp;$C422&amp;$D422&amp;$E422,".","_"),"(","_"),")","")</f>
        <v>dpc703_5_1_3</v>
      </c>
      <c r="AO422" s="254">
        <f ca="1">O422</f>
        <v>0</v>
      </c>
      <c r="AP422" s="254" t="str">
        <f>SUBSTITUTE(SUBSTITUTE(SUBSTITUTE("dch"&amp;$B422&amp;$C422&amp;$D422&amp;$E422,".","_"),"(","_"),")","")</f>
        <v>dch703_5_1_3</v>
      </c>
      <c r="AQ422" s="254" t="str">
        <f>IF(LEN(W422)=0,"",W422)</f>
        <v/>
      </c>
      <c r="AZ422" s="816"/>
      <c r="BA422" s="816"/>
      <c r="BB422" s="816"/>
      <c r="BC422" s="816"/>
      <c r="BD422" s="816"/>
      <c r="BE422" s="816"/>
      <c r="BF422" s="816"/>
      <c r="BG422" s="816"/>
      <c r="BH422" s="816"/>
      <c r="BI422" s="816"/>
    </row>
    <row r="423" spans="1:61" s="159" customFormat="1" x14ac:dyDescent="0.25">
      <c r="A423" s="18"/>
      <c r="B423" s="679" t="s">
        <v>951</v>
      </c>
      <c r="C423" s="90"/>
      <c r="D423" s="21"/>
      <c r="E423" s="21"/>
      <c r="F423" s="21"/>
      <c r="G423" s="21"/>
      <c r="H423" s="758"/>
      <c r="I423" s="510" t="s">
        <v>951</v>
      </c>
      <c r="J423" s="448"/>
      <c r="K423" s="448"/>
      <c r="L423" s="1885" t="s">
        <v>952</v>
      </c>
      <c r="M423" s="1875">
        <f>IFERROR(INDEX({23,17,9,7,5,4,2,2},BF16),0)</f>
        <v>0</v>
      </c>
      <c r="N423" s="129"/>
      <c r="O423" s="1774">
        <f ca="1">M423*S423*W423</f>
        <v>0</v>
      </c>
      <c r="P423" s="94" t="b">
        <v>1</v>
      </c>
      <c r="Q423" s="94" t="b">
        <v>1</v>
      </c>
      <c r="R423" s="94" t="b">
        <v>0</v>
      </c>
      <c r="S423" s="94" t="b">
        <f ca="1">(S13=2)</f>
        <v>0</v>
      </c>
      <c r="T423" s="94" t="b">
        <f ca="1">AND(NOT(S423),W423=TRUE)</f>
        <v>0</v>
      </c>
      <c r="U423" s="94"/>
      <c r="V423" s="94"/>
      <c r="W423" s="360"/>
      <c r="X423" s="1757"/>
      <c r="Y423" s="780"/>
      <c r="Z423" s="76"/>
      <c r="AA423" s="783"/>
      <c r="AB423" s="76"/>
      <c r="AC423" s="417" t="b">
        <f ca="1">OR(AD423:AE423)</f>
        <v>0</v>
      </c>
      <c r="AD423" s="417" t="b">
        <f ca="1">T423</f>
        <v>0</v>
      </c>
      <c r="AE423" s="417"/>
      <c r="AF423" s="76"/>
      <c r="AG423" s="76"/>
      <c r="AH423" s="76"/>
      <c r="AI423" s="76"/>
      <c r="AJ423" s="76"/>
      <c r="AK423" s="76"/>
      <c r="AL423" s="254" t="str">
        <f>SUBSTITUTE(SUBSTITUTE(SUBSTITUTE("dpa"&amp;$B423&amp;$C423&amp;$D423&amp;$E423,".","_"),"(","_"),")","")</f>
        <v>dpa703_5_2</v>
      </c>
      <c r="AM423" s="254">
        <f>M423</f>
        <v>0</v>
      </c>
      <c r="AN423" s="254" t="str">
        <f>SUBSTITUTE(SUBSTITUTE(SUBSTITUTE("dpc"&amp;$B423&amp;$C423&amp;$D423&amp;$E423,".","_"),"(","_"),")","")</f>
        <v>dpc703_5_2</v>
      </c>
      <c r="AO423" s="254">
        <f ca="1">O423</f>
        <v>0</v>
      </c>
      <c r="AP423" s="254" t="str">
        <f>SUBSTITUTE(SUBSTITUTE(SUBSTITUTE("dch"&amp;$B423&amp;$C423&amp;$D423&amp;$E423,".","_"),"(","_"),")","")</f>
        <v>dch703_5_2</v>
      </c>
      <c r="AQ423" s="254" t="str">
        <f>IF(LEN(W423)=0,"",W423)</f>
        <v/>
      </c>
      <c r="AR423" s="254" t="str">
        <f>SUBSTITUTE(SUBSTITUTE(SUBSTITUTE("dnt"&amp;$B423&amp;$C423&amp;$D423&amp;$E423,".","_"),"(","_"),")","")</f>
        <v>dnt703_5_2</v>
      </c>
      <c r="AS423" s="254" t="str">
        <f>IF(LEN(X423)=0,"",X423)</f>
        <v/>
      </c>
      <c r="AT423" s="76"/>
      <c r="AU423" s="76"/>
      <c r="AV423" s="76"/>
      <c r="AW423" s="76"/>
      <c r="AZ423" s="76"/>
      <c r="BA423" s="76"/>
      <c r="BB423" s="76"/>
      <c r="BC423" s="76"/>
      <c r="BD423" s="76"/>
      <c r="BE423" s="76"/>
      <c r="BF423" s="76"/>
      <c r="BG423" s="76"/>
      <c r="BH423" s="76"/>
      <c r="BI423" s="76"/>
    </row>
    <row r="424" spans="1:61" x14ac:dyDescent="0.25">
      <c r="B424" s="679" t="s">
        <v>951</v>
      </c>
      <c r="C424" s="90"/>
      <c r="D424" s="21"/>
      <c r="E424" s="21"/>
      <c r="F424" s="21"/>
      <c r="G424" s="21"/>
      <c r="H424" s="758"/>
      <c r="I424" s="534"/>
      <c r="J424" s="449"/>
      <c r="K424" s="449"/>
      <c r="L424" s="1886"/>
      <c r="M424" s="1876"/>
      <c r="N424" s="210"/>
      <c r="O424" s="1764"/>
      <c r="P424" s="178"/>
      <c r="Q424" s="178"/>
      <c r="R424" s="178"/>
      <c r="S424" s="178"/>
      <c r="T424" s="178"/>
      <c r="U424" s="178"/>
      <c r="V424" s="178"/>
      <c r="W424" s="538"/>
      <c r="X424" s="1757"/>
      <c r="Z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Z424" s="159"/>
      <c r="BA424" s="159"/>
      <c r="BB424" s="159"/>
      <c r="BC424" s="159"/>
      <c r="BD424" s="159"/>
      <c r="BE424" s="159"/>
      <c r="BF424" s="159"/>
      <c r="BG424" s="159"/>
      <c r="BH424" s="159"/>
      <c r="BI424" s="159"/>
    </row>
    <row r="425" spans="1:61" x14ac:dyDescent="0.25">
      <c r="B425" s="679" t="s">
        <v>953</v>
      </c>
      <c r="C425" s="90"/>
      <c r="D425" s="21"/>
      <c r="E425" s="21"/>
      <c r="F425" s="21"/>
      <c r="G425" s="21"/>
      <c r="H425" s="758"/>
      <c r="I425" s="66" t="s">
        <v>953</v>
      </c>
      <c r="J425" s="161"/>
      <c r="K425" s="161"/>
      <c r="L425" s="166" t="s">
        <v>954</v>
      </c>
      <c r="M425" s="432">
        <v>2</v>
      </c>
      <c r="N425" s="4"/>
      <c r="O425" s="141">
        <f ca="1">M425*S425*W425</f>
        <v>0</v>
      </c>
      <c r="P425" s="94" t="b">
        <v>1</v>
      </c>
      <c r="Q425" s="94" t="b">
        <v>1</v>
      </c>
      <c r="R425" s="134" t="b">
        <v>0</v>
      </c>
      <c r="S425" s="137" t="b">
        <f ca="1">(S13=2)</f>
        <v>0</v>
      </c>
      <c r="T425" s="94" t="b">
        <f ca="1">AND(NOT(S425),W425=TRUE)</f>
        <v>0</v>
      </c>
      <c r="U425"/>
      <c r="V425"/>
      <c r="W425" s="117"/>
      <c r="X425" s="1757"/>
      <c r="AC425" s="417" t="b">
        <f ca="1">OR(AD425:AE425)</f>
        <v>0</v>
      </c>
      <c r="AD425" s="417" t="b">
        <f ca="1">T425</f>
        <v>0</v>
      </c>
      <c r="AE425" s="417"/>
      <c r="AL425" s="254" t="str">
        <f>SUBSTITUTE(SUBSTITUTE(SUBSTITUTE("dpa"&amp;$B425&amp;$C425&amp;$D425&amp;$E425,".","_"),"(","_"),")","")</f>
        <v>dpa703_5_3</v>
      </c>
      <c r="AM425" s="254">
        <f>M425</f>
        <v>2</v>
      </c>
      <c r="AN425" s="254" t="str">
        <f>SUBSTITUTE(SUBSTITUTE(SUBSTITUTE("dpc"&amp;$B425&amp;$C425&amp;$D425&amp;$E425,".","_"),"(","_"),")","")</f>
        <v>dpc703_5_3</v>
      </c>
      <c r="AO425" s="254">
        <f ca="1">O425</f>
        <v>0</v>
      </c>
      <c r="AP425" s="254" t="str">
        <f>SUBSTITUTE(SUBSTITUTE(SUBSTITUTE("dch"&amp;$B425&amp;$C425&amp;$D425&amp;$E425,".","_"),"(","_"),")","")</f>
        <v>dch703_5_3</v>
      </c>
      <c r="AQ425" s="254" t="str">
        <f>IF(LEN(W425)=0,"",W425)</f>
        <v/>
      </c>
      <c r="AR425" s="254" t="str">
        <f>SUBSTITUTE(SUBSTITUTE(SUBSTITUTE("dnt"&amp;$B425&amp;$C425&amp;$D425&amp;$E425,".","_"),"(","_"),")","")</f>
        <v>dnt703_5_3</v>
      </c>
      <c r="AS425" s="254" t="str">
        <f>IF(LEN(X425)=0,"",X425)</f>
        <v/>
      </c>
    </row>
    <row r="426" spans="1:61" ht="15" customHeight="1" x14ac:dyDescent="0.25">
      <c r="B426" s="679" t="s">
        <v>953</v>
      </c>
      <c r="C426" s="90"/>
      <c r="D426" s="21"/>
      <c r="E426" s="21"/>
      <c r="F426" s="21"/>
      <c r="G426" s="21"/>
      <c r="H426" s="758"/>
      <c r="I426" s="178"/>
      <c r="J426" s="449"/>
      <c r="K426" s="449"/>
      <c r="L426" s="464" t="s">
        <v>931</v>
      </c>
      <c r="M426" s="453"/>
      <c r="N426" s="210"/>
      <c r="O426" s="503"/>
      <c r="P426"/>
      <c r="Q426"/>
      <c r="R426"/>
      <c r="S426"/>
      <c r="T426"/>
      <c r="U426"/>
      <c r="V426"/>
      <c r="W426"/>
      <c r="X426" s="1757"/>
    </row>
    <row r="427" spans="1:61" ht="15" customHeight="1" x14ac:dyDescent="0.25">
      <c r="B427" s="679" t="s">
        <v>3634</v>
      </c>
      <c r="C427" s="90"/>
      <c r="D427" s="21"/>
      <c r="E427" s="21"/>
      <c r="F427" s="21"/>
      <c r="G427" s="21"/>
      <c r="H427" s="758"/>
      <c r="I427" s="534" t="s">
        <v>3634</v>
      </c>
      <c r="J427" s="449"/>
      <c r="K427" s="449"/>
      <c r="L427" s="532" t="s">
        <v>955</v>
      </c>
      <c r="M427" s="542">
        <v>1</v>
      </c>
      <c r="N427" s="210"/>
      <c r="O427" s="503">
        <f ca="1">M427*S427*W427</f>
        <v>0</v>
      </c>
      <c r="P427" s="94" t="b">
        <v>1</v>
      </c>
      <c r="Q427" s="94" t="b">
        <v>1</v>
      </c>
      <c r="R427" s="178" t="b">
        <v>0</v>
      </c>
      <c r="S427" s="178" t="b">
        <f ca="1">AND(S13=2,OR(AY35=INDEX(ddHeat1,2),AY36=INDEX(ddHeat2,2),AY37=INDEX(ddHeat3,2)))</f>
        <v>0</v>
      </c>
      <c r="T427" s="178" t="b">
        <f ca="1">AND(NOT(S427),W427=TRUE)</f>
        <v>0</v>
      </c>
      <c r="U427" s="178"/>
      <c r="V427" s="178"/>
      <c r="W427" s="360"/>
      <c r="X427" s="418"/>
      <c r="AC427" s="417" t="b">
        <f ca="1">OR(AD427:AE427)</f>
        <v>0</v>
      </c>
      <c r="AD427" s="417" t="b">
        <f ca="1">T427</f>
        <v>0</v>
      </c>
      <c r="AE427" s="417"/>
      <c r="AL427" s="254" t="str">
        <f>SUBSTITUTE(SUBSTITUTE(SUBSTITUTE("dpa"&amp;$B427&amp;$C427&amp;$D427&amp;$E427,".","_"),"(","_"),")","")</f>
        <v>dpa703_5_4</v>
      </c>
      <c r="AM427" s="254">
        <f>M427</f>
        <v>1</v>
      </c>
      <c r="AN427" s="254" t="str">
        <f>SUBSTITUTE(SUBSTITUTE(SUBSTITUTE("dpc"&amp;$B427&amp;$C427&amp;$D427&amp;$E427,".","_"),"(","_"),")","")</f>
        <v>dpc703_5_4</v>
      </c>
      <c r="AO427" s="254">
        <f ca="1">O427</f>
        <v>0</v>
      </c>
      <c r="AP427" s="254" t="str">
        <f>SUBSTITUTE(SUBSTITUTE(SUBSTITUTE("dch"&amp;$B427&amp;$C427&amp;$D427&amp;$E427,".","_"),"(","_"),")","")</f>
        <v>dch703_5_4</v>
      </c>
      <c r="AQ427" s="254" t="str">
        <f>IF(LEN(W427)=0,"",W427)</f>
        <v/>
      </c>
      <c r="AR427" s="254" t="str">
        <f>SUBSTITUTE(SUBSTITUTE(SUBSTITUTE("dnt"&amp;$B427&amp;$C427&amp;$D427&amp;$E427,".","_"),"(","_"),")","")</f>
        <v>dnt703_5_4</v>
      </c>
      <c r="AS427" s="254" t="str">
        <f>IF(LEN(X427)=0,"",X427)</f>
        <v/>
      </c>
    </row>
    <row r="428" spans="1:61" ht="15" customHeight="1" x14ac:dyDescent="0.25">
      <c r="B428" s="679" t="s">
        <v>956</v>
      </c>
      <c r="C428" s="90"/>
      <c r="D428" s="21"/>
      <c r="E428" s="21"/>
      <c r="F428" s="21"/>
      <c r="G428" s="21"/>
      <c r="H428" s="758"/>
      <c r="I428" s="533" t="s">
        <v>956</v>
      </c>
      <c r="J428" s="832"/>
      <c r="K428" s="832"/>
      <c r="L428" s="1877" t="s">
        <v>4315</v>
      </c>
      <c r="M428" s="828"/>
      <c r="N428" s="193"/>
      <c r="O428" s="76"/>
      <c r="P428" s="94"/>
      <c r="Q428" s="94"/>
      <c r="R428" s="94"/>
      <c r="S428" s="94"/>
      <c r="T428" s="94"/>
      <c r="U428" s="94"/>
      <c r="V428" s="94"/>
      <c r="W428" s="94" t="s">
        <v>3636</v>
      </c>
      <c r="X428" s="1770"/>
      <c r="AN428" s="254"/>
      <c r="AO428" s="254"/>
      <c r="AR428" s="254" t="str">
        <f>SUBSTITUTE(SUBSTITUTE(SUBSTITUTE("dnt"&amp;$B428&amp;$C428&amp;$D428&amp;$E428,".","_"),"(","_"),")","")</f>
        <v>dnt703_5_5</v>
      </c>
      <c r="AS428" s="254" t="str">
        <f>IF(LEN(X428)=0,"",X428)</f>
        <v/>
      </c>
    </row>
    <row r="429" spans="1:61" x14ac:dyDescent="0.25">
      <c r="B429" s="679" t="s">
        <v>956</v>
      </c>
      <c r="C429" s="90"/>
      <c r="D429" s="21"/>
      <c r="E429" s="21"/>
      <c r="F429" s="21"/>
      <c r="G429" s="21"/>
      <c r="H429" s="758"/>
      <c r="I429" s="129"/>
      <c r="J429" s="817"/>
      <c r="K429" s="817"/>
      <c r="L429" s="1877"/>
      <c r="M429" s="826"/>
      <c r="N429" s="129"/>
      <c r="O429" s="76"/>
      <c r="P429" s="94" t="b">
        <v>1</v>
      </c>
      <c r="Q429" s="94" t="b">
        <v>1</v>
      </c>
      <c r="R429" s="94" t="b">
        <v>0</v>
      </c>
      <c r="S429" s="94" t="b">
        <f ca="1">AND(S13=2,LEN(W375)=0,LEN(W377)=0)</f>
        <v>0</v>
      </c>
      <c r="T429" s="94" t="b">
        <f ca="1">AND(NOT(S429),LEN(W429)&gt;0)</f>
        <v>0</v>
      </c>
      <c r="U429" s="94" t="str">
        <f>SUBSTITUTE(SUBSTITUTE(SUBSTITUTE("dd"&amp;B429&amp;C429&amp;D429&amp;E429&amp;F429,".","_"),"(","_"),")","")</f>
        <v>dd703_5_5</v>
      </c>
      <c r="V429" s="94"/>
      <c r="W429" s="12"/>
      <c r="X429" s="1770"/>
      <c r="AC429" s="816" t="b">
        <f ca="1">OR(AD429:AE429)</f>
        <v>0</v>
      </c>
      <c r="AD429" s="816" t="b">
        <f ca="1">T429</f>
        <v>0</v>
      </c>
      <c r="AP429" s="254" t="str">
        <f>SUBSTITUTE(SUBSTITUTE(SUBSTITUTE("dch"&amp;$B429&amp;$C429&amp;$D429&amp;$E429,".","_"),"(","_"),")","")</f>
        <v>dch703_5_5</v>
      </c>
      <c r="AQ429" s="254" t="str">
        <f>IF(LEN(W429)=0,"",W429)</f>
        <v/>
      </c>
    </row>
    <row r="430" spans="1:61" x14ac:dyDescent="0.25">
      <c r="B430" s="679" t="s">
        <v>956</v>
      </c>
      <c r="C430" s="90"/>
      <c r="D430" s="21"/>
      <c r="E430" s="21"/>
      <c r="F430" s="21"/>
      <c r="G430" s="21"/>
      <c r="H430" s="758"/>
      <c r="I430" s="129"/>
      <c r="J430" s="817"/>
      <c r="K430" s="817"/>
      <c r="L430" s="1877"/>
      <c r="M430" s="826"/>
      <c r="N430" s="129"/>
      <c r="O430" s="94"/>
      <c r="P430" s="94"/>
      <c r="Q430" s="94"/>
      <c r="R430" s="94"/>
      <c r="S430" s="94"/>
      <c r="T430" s="94"/>
      <c r="U430" s="94"/>
      <c r="V430" s="94"/>
      <c r="W430" s="195" t="s">
        <v>3633</v>
      </c>
      <c r="X430" s="1770"/>
    </row>
    <row r="431" spans="1:61" s="816" customFormat="1" x14ac:dyDescent="0.25">
      <c r="A431" s="18"/>
      <c r="B431" s="679" t="s">
        <v>956</v>
      </c>
      <c r="C431" s="679" t="s">
        <v>121</v>
      </c>
      <c r="D431" s="21"/>
      <c r="E431" s="21"/>
      <c r="F431" s="21"/>
      <c r="G431" s="21"/>
      <c r="H431" s="758"/>
      <c r="I431" s="129"/>
      <c r="J431" s="817"/>
      <c r="K431" s="668" t="s">
        <v>121</v>
      </c>
      <c r="L431" s="1765" t="s">
        <v>4313</v>
      </c>
      <c r="M431" s="826"/>
      <c r="N431" s="129"/>
      <c r="O431" s="1774">
        <f ca="1">IFERROR(INDEX(M433:M437,MATCH(W431,{1.3,1.51,1.81,2.31,3.01},1)),0)*S432</f>
        <v>0</v>
      </c>
      <c r="P431" s="94" t="b">
        <v>1</v>
      </c>
      <c r="Q431" s="94" t="b">
        <v>1</v>
      </c>
      <c r="R431" s="94" t="b">
        <v>0</v>
      </c>
      <c r="S431" s="94" t="b">
        <f ca="1">AND(S13=2,LEN(W375)=0,LEN(W377)=0)</f>
        <v>0</v>
      </c>
      <c r="T431" s="94" t="b">
        <f ca="1">AND(NOT(S431),LEN(W431)&gt;0)</f>
        <v>0</v>
      </c>
      <c r="U431" s="94"/>
      <c r="V431" s="94"/>
      <c r="W431" s="384"/>
      <c r="X431" s="1770"/>
      <c r="AC431" s="417" t="b">
        <f ca="1">OR(AD431:AE431)</f>
        <v>0</v>
      </c>
      <c r="AD431" s="417" t="b">
        <f ca="1">T431</f>
        <v>0</v>
      </c>
      <c r="AE431" s="417"/>
      <c r="AN431" s="254" t="str">
        <f>SUBSTITUTE(SUBSTITUTE(SUBSTITUTE("dpc"&amp;$B431&amp;$C431&amp;$D431&amp;$E431,".","_"),"(","_"),")","")</f>
        <v>dpc703_5_5_a</v>
      </c>
      <c r="AO431" s="254">
        <f ca="1">O431</f>
        <v>0</v>
      </c>
      <c r="AP431" s="254" t="str">
        <f>SUBSTITUTE(SUBSTITUTE(SUBSTITUTE("dch"&amp;$B431&amp;$C431&amp;$D431&amp;$E431,".","_"),"(","_"),")","")</f>
        <v>dch703_5_5_a</v>
      </c>
      <c r="AQ431" s="254" t="str">
        <f>IF(LEN(W431)=0,"",W431)</f>
        <v/>
      </c>
      <c r="AX431" s="76"/>
      <c r="AY431" s="76"/>
      <c r="AZ431" s="76"/>
      <c r="BA431" s="76"/>
      <c r="BB431" s="76"/>
      <c r="BC431" s="76"/>
      <c r="BD431" s="76"/>
      <c r="BE431" s="76"/>
      <c r="BF431" s="76"/>
      <c r="BG431" s="76"/>
      <c r="BH431" s="76"/>
      <c r="BI431" s="76"/>
    </row>
    <row r="432" spans="1:61" s="816" customFormat="1" x14ac:dyDescent="0.25">
      <c r="A432" s="18"/>
      <c r="B432" s="679" t="s">
        <v>956</v>
      </c>
      <c r="C432" s="679" t="s">
        <v>121</v>
      </c>
      <c r="D432" s="21"/>
      <c r="E432" s="21"/>
      <c r="F432" s="21"/>
      <c r="G432" s="21"/>
      <c r="H432" s="758"/>
      <c r="I432" s="129"/>
      <c r="J432" s="817"/>
      <c r="K432" s="668"/>
      <c r="L432" s="1765"/>
      <c r="M432" s="826"/>
      <c r="N432" s="129"/>
      <c r="O432" s="1774"/>
      <c r="P432" s="94"/>
      <c r="Q432" s="94"/>
      <c r="R432" s="94"/>
      <c r="S432" s="1" t="b">
        <f ca="1">W429=INDEX(INDIRECT(U429),1)</f>
        <v>0</v>
      </c>
      <c r="T432" s="94"/>
      <c r="U432" s="94"/>
      <c r="V432" s="94"/>
      <c r="W432" s="94"/>
      <c r="X432" s="1770"/>
      <c r="AX432" s="76"/>
      <c r="AY432" s="76"/>
    </row>
    <row r="433" spans="1:61" s="381" customFormat="1" x14ac:dyDescent="0.25">
      <c r="A433" s="18"/>
      <c r="B433" s="679" t="s">
        <v>956</v>
      </c>
      <c r="C433" s="679" t="s">
        <v>121</v>
      </c>
      <c r="D433" s="21" t="s">
        <v>256</v>
      </c>
      <c r="E433" s="21"/>
      <c r="F433" s="21"/>
      <c r="G433" s="21"/>
      <c r="H433" s="758"/>
      <c r="I433" s="129"/>
      <c r="J433" s="94"/>
      <c r="K433" s="101"/>
      <c r="L433" s="978" t="s">
        <v>3637</v>
      </c>
      <c r="M433" s="837">
        <f>IFERROR(INDEX({1,2,3,5,6,7,6,6},BF16),0)</f>
        <v>0</v>
      </c>
      <c r="N433" s="129"/>
      <c r="O433" s="822"/>
      <c r="P433" s="94"/>
      <c r="Q433" s="94"/>
      <c r="R433" s="94"/>
      <c r="S433" s="94"/>
      <c r="T433" s="94"/>
      <c r="U433" s="94"/>
      <c r="V433" s="94"/>
      <c r="W433" s="94"/>
      <c r="X433" s="1770"/>
      <c r="Y433" s="780"/>
      <c r="AA433" s="783"/>
      <c r="AL433" s="254" t="str">
        <f>SUBSTITUTE(SUBSTITUTE(SUBSTITUTE("dpa"&amp;$B433&amp;$C433&amp;$D433&amp;$E433,".","_"),"(","_"),")","")</f>
        <v>dpa703_5_5_a_1</v>
      </c>
      <c r="AM433" s="254">
        <f>M433</f>
        <v>0</v>
      </c>
      <c r="AX433" s="76"/>
      <c r="AY433" s="76"/>
      <c r="AZ433" s="816"/>
      <c r="BA433" s="816"/>
      <c r="BB433" s="816"/>
      <c r="BC433" s="816"/>
      <c r="BD433" s="816"/>
      <c r="BE433" s="816"/>
      <c r="BF433" s="816"/>
      <c r="BG433" s="816"/>
      <c r="BH433" s="816"/>
      <c r="BI433" s="816"/>
    </row>
    <row r="434" spans="1:61" s="381" customFormat="1" x14ac:dyDescent="0.25">
      <c r="A434" s="18"/>
      <c r="B434" s="679" t="s">
        <v>956</v>
      </c>
      <c r="C434" s="679" t="s">
        <v>121</v>
      </c>
      <c r="D434" s="21" t="s">
        <v>258</v>
      </c>
      <c r="E434" s="21"/>
      <c r="F434" s="21"/>
      <c r="G434" s="21"/>
      <c r="H434" s="758"/>
      <c r="I434" s="129"/>
      <c r="J434" s="94"/>
      <c r="K434" s="101"/>
      <c r="L434" s="858" t="s">
        <v>3638</v>
      </c>
      <c r="M434" s="553">
        <f>IFERROR(INDEX({2,2,4,6,9,10,10,10},BF16),0)</f>
        <v>0</v>
      </c>
      <c r="N434" s="129"/>
      <c r="O434" s="822"/>
      <c r="P434" s="94"/>
      <c r="Q434" s="94"/>
      <c r="R434" s="94"/>
      <c r="S434" s="94"/>
      <c r="T434" s="94"/>
      <c r="U434" s="94"/>
      <c r="V434" s="94"/>
      <c r="W434" s="94"/>
      <c r="X434" s="1770"/>
      <c r="Y434" s="780"/>
      <c r="AA434" s="783"/>
      <c r="AL434" s="254" t="str">
        <f>SUBSTITUTE(SUBSTITUTE(SUBSTITUTE("dpa"&amp;$B434&amp;$C434&amp;$D434&amp;$E434,".","_"),"(","_"),")","")</f>
        <v>dpa703_5_5_a_2</v>
      </c>
      <c r="AM434" s="254">
        <f>M434</f>
        <v>0</v>
      </c>
      <c r="AX434" s="76"/>
      <c r="AY434" s="76"/>
    </row>
    <row r="435" spans="1:61" s="381" customFormat="1" x14ac:dyDescent="0.25">
      <c r="A435" s="18"/>
      <c r="B435" s="679" t="s">
        <v>956</v>
      </c>
      <c r="C435" s="679" t="s">
        <v>121</v>
      </c>
      <c r="D435" s="21" t="s">
        <v>260</v>
      </c>
      <c r="E435" s="21"/>
      <c r="F435" s="21"/>
      <c r="G435" s="21"/>
      <c r="H435" s="758"/>
      <c r="I435" s="129"/>
      <c r="J435" s="94"/>
      <c r="K435" s="187"/>
      <c r="L435" s="858" t="s">
        <v>3639</v>
      </c>
      <c r="M435" s="553">
        <f>IFERROR(INDEX({2,3,5,9,13,14,14,14},BF16),0)</f>
        <v>0</v>
      </c>
      <c r="N435" s="129"/>
      <c r="O435" s="822"/>
      <c r="P435" s="94"/>
      <c r="Q435" s="94"/>
      <c r="R435" s="94"/>
      <c r="S435" s="94"/>
      <c r="T435" s="94"/>
      <c r="U435" s="94"/>
      <c r="V435" s="94"/>
      <c r="W435" s="94"/>
      <c r="X435" s="1770"/>
      <c r="Y435" s="780"/>
      <c r="AA435" s="783"/>
      <c r="AL435" s="254" t="str">
        <f>SUBSTITUTE(SUBSTITUTE(SUBSTITUTE("dpa"&amp;$B435&amp;$C435&amp;$D435&amp;$E435,".","_"),"(","_"),")","")</f>
        <v>dpa703_5_5_a_3</v>
      </c>
      <c r="AM435" s="254">
        <f>M435</f>
        <v>0</v>
      </c>
      <c r="AX435" s="378"/>
      <c r="AY435" s="378"/>
    </row>
    <row r="436" spans="1:61" s="381" customFormat="1" x14ac:dyDescent="0.25">
      <c r="A436" s="18"/>
      <c r="B436" s="679" t="s">
        <v>956</v>
      </c>
      <c r="C436" s="679" t="s">
        <v>121</v>
      </c>
      <c r="D436" s="21" t="s">
        <v>269</v>
      </c>
      <c r="E436" s="21"/>
      <c r="F436" s="21"/>
      <c r="G436" s="21"/>
      <c r="H436" s="758"/>
      <c r="I436" s="129"/>
      <c r="J436" s="94"/>
      <c r="K436" s="187"/>
      <c r="L436" s="858" t="s">
        <v>3640</v>
      </c>
      <c r="M436" s="553">
        <f>IFERROR(INDEX({4,5,8,14,19,21,20,20},BF16),0)</f>
        <v>0</v>
      </c>
      <c r="N436" s="129"/>
      <c r="O436" s="822"/>
      <c r="P436" s="94"/>
      <c r="Q436" s="94"/>
      <c r="R436" s="94"/>
      <c r="S436" s="94"/>
      <c r="T436" s="94"/>
      <c r="U436" s="94"/>
      <c r="V436" s="94"/>
      <c r="W436" s="94"/>
      <c r="X436" s="1770"/>
      <c r="Y436" s="780"/>
      <c r="AA436" s="783"/>
      <c r="AL436" s="254" t="str">
        <f>SUBSTITUTE(SUBSTITUTE(SUBSTITUTE("dpa"&amp;$B436&amp;$C436&amp;$D436&amp;$E436,".","_"),"(","_"),")","")</f>
        <v>dpa703_5_5_a_4</v>
      </c>
      <c r="AM436" s="254">
        <f>M436</f>
        <v>0</v>
      </c>
      <c r="AX436" s="76"/>
      <c r="AY436" s="76"/>
    </row>
    <row r="437" spans="1:61" s="381" customFormat="1" x14ac:dyDescent="0.25">
      <c r="A437" s="18"/>
      <c r="B437" s="679" t="s">
        <v>956</v>
      </c>
      <c r="C437" s="679" t="s">
        <v>121</v>
      </c>
      <c r="D437" s="21" t="s">
        <v>275</v>
      </c>
      <c r="E437" s="21"/>
      <c r="F437" s="21"/>
      <c r="G437" s="21"/>
      <c r="H437" s="758"/>
      <c r="I437" s="129"/>
      <c r="J437" s="94"/>
      <c r="K437" s="216"/>
      <c r="L437" s="978" t="s">
        <v>3641</v>
      </c>
      <c r="M437" s="986">
        <f>IFERROR(INDEX({6,8,12,23,30,34,33,33},BF16),0)</f>
        <v>0</v>
      </c>
      <c r="N437" s="210"/>
      <c r="O437" s="973"/>
      <c r="P437" s="94"/>
      <c r="Q437" s="94"/>
      <c r="R437" s="94"/>
      <c r="S437" s="94"/>
      <c r="T437" s="94"/>
      <c r="U437" s="94"/>
      <c r="V437" s="94"/>
      <c r="W437" s="94"/>
      <c r="X437" s="1770"/>
      <c r="Y437" s="780"/>
      <c r="AA437" s="783"/>
      <c r="AL437" s="254" t="str">
        <f>SUBSTITUTE(SUBSTITUTE(SUBSTITUTE("dpa"&amp;$B437&amp;$C437&amp;$D437&amp;$E437,".","_"),"(","_"),")","")</f>
        <v>dpa703_5_5_a_5</v>
      </c>
      <c r="AM437" s="254">
        <f>M437</f>
        <v>0</v>
      </c>
      <c r="AX437" s="76"/>
      <c r="AY437" s="76"/>
    </row>
    <row r="438" spans="1:61" s="816" customFormat="1" x14ac:dyDescent="0.25">
      <c r="A438" s="18"/>
      <c r="B438" s="679" t="s">
        <v>956</v>
      </c>
      <c r="C438" s="680" t="s">
        <v>122</v>
      </c>
      <c r="D438" s="21"/>
      <c r="E438" s="21"/>
      <c r="F438" s="21"/>
      <c r="G438" s="21"/>
      <c r="H438" s="758"/>
      <c r="I438" s="129"/>
      <c r="J438" s="94"/>
      <c r="K438" s="668" t="s">
        <v>122</v>
      </c>
      <c r="L438" s="1765" t="s">
        <v>4314</v>
      </c>
      <c r="M438" s="836"/>
      <c r="N438" s="129"/>
      <c r="O438" s="1774">
        <f ca="1">IFERROR(INDEX(M440:M444,MATCH(W431,{1.3,1.51,1.81,2.31,3.01},1)),0)*S438</f>
        <v>0</v>
      </c>
      <c r="P438" s="94"/>
      <c r="Q438" s="94"/>
      <c r="R438" s="94"/>
      <c r="S438" s="1" t="b">
        <f ca="1">W429=INDEX(INDIRECT(U429),2)</f>
        <v>0</v>
      </c>
      <c r="T438" s="94"/>
      <c r="U438" s="94"/>
      <c r="V438" s="94"/>
      <c r="W438" s="94"/>
      <c r="X438" s="1770"/>
      <c r="AL438" s="254"/>
      <c r="AM438" s="254"/>
      <c r="AN438" s="254" t="str">
        <f>SUBSTITUTE(SUBSTITUTE(SUBSTITUTE("dpc"&amp;$B438&amp;$C438&amp;$D438&amp;$E438,".","_"),"(","_"),")","")</f>
        <v>dpc703_5_5_b</v>
      </c>
      <c r="AO438" s="254">
        <f ca="1">O438</f>
        <v>0</v>
      </c>
      <c r="AX438" s="76"/>
      <c r="AY438" s="76"/>
      <c r="AZ438" s="381"/>
      <c r="BA438" s="381"/>
      <c r="BB438" s="381"/>
      <c r="BC438" s="381"/>
      <c r="BD438" s="381"/>
      <c r="BE438" s="381"/>
      <c r="BF438" s="381"/>
      <c r="BG438" s="381"/>
      <c r="BH438" s="381"/>
      <c r="BI438" s="381"/>
    </row>
    <row r="439" spans="1:61" s="816" customFormat="1" x14ac:dyDescent="0.25">
      <c r="A439" s="18"/>
      <c r="B439" s="679" t="s">
        <v>956</v>
      </c>
      <c r="C439" s="680" t="s">
        <v>122</v>
      </c>
      <c r="D439" s="21"/>
      <c r="E439" s="21"/>
      <c r="F439" s="21"/>
      <c r="G439" s="21"/>
      <c r="H439" s="758"/>
      <c r="I439" s="129"/>
      <c r="J439" s="94"/>
      <c r="K439" s="187"/>
      <c r="L439" s="1765"/>
      <c r="M439" s="836"/>
      <c r="N439" s="129"/>
      <c r="O439" s="1774"/>
      <c r="P439" s="94"/>
      <c r="Q439" s="94"/>
      <c r="R439" s="94"/>
      <c r="S439" s="94"/>
      <c r="T439" s="94"/>
      <c r="U439" s="94"/>
      <c r="V439" s="94"/>
      <c r="W439" s="94"/>
      <c r="X439" s="1770"/>
      <c r="AL439" s="254"/>
      <c r="AM439" s="254"/>
      <c r="AX439" s="76"/>
      <c r="AY439" s="76"/>
    </row>
    <row r="440" spans="1:61" s="816" customFormat="1" x14ac:dyDescent="0.25">
      <c r="A440" s="18"/>
      <c r="B440" s="679" t="s">
        <v>956</v>
      </c>
      <c r="C440" s="680" t="s">
        <v>122</v>
      </c>
      <c r="D440" s="21" t="s">
        <v>256</v>
      </c>
      <c r="E440" s="21"/>
      <c r="F440" s="21"/>
      <c r="G440" s="21"/>
      <c r="H440" s="758"/>
      <c r="I440" s="129"/>
      <c r="J440" s="94"/>
      <c r="K440" s="844"/>
      <c r="L440" s="978" t="s">
        <v>3637</v>
      </c>
      <c r="M440" s="837">
        <f>IFERROR(INDEX({1,2,3,5,7,8,7,7},BF16),0)</f>
        <v>0</v>
      </c>
      <c r="N440" s="129"/>
      <c r="O440" s="822"/>
      <c r="P440" s="94"/>
      <c r="Q440" s="94"/>
      <c r="R440" s="94"/>
      <c r="S440" s="94"/>
      <c r="T440" s="94"/>
      <c r="U440" s="94"/>
      <c r="V440" s="94"/>
      <c r="W440" s="94"/>
      <c r="X440" s="1770"/>
      <c r="AL440" s="254" t="str">
        <f>SUBSTITUTE(SUBSTITUTE(SUBSTITUTE("dpa"&amp;$B440&amp;$C440&amp;$D440&amp;$E440,".","_"),"(","_"),")","")</f>
        <v>dpa703_5_5_b_1</v>
      </c>
      <c r="AM440" s="254">
        <f>M440</f>
        <v>0</v>
      </c>
      <c r="AX440" s="76"/>
      <c r="AY440" s="76"/>
    </row>
    <row r="441" spans="1:61" s="816" customFormat="1" x14ac:dyDescent="0.25">
      <c r="A441" s="18"/>
      <c r="B441" s="679" t="s">
        <v>956</v>
      </c>
      <c r="C441" s="680" t="s">
        <v>122</v>
      </c>
      <c r="D441" s="21" t="s">
        <v>258</v>
      </c>
      <c r="E441" s="21"/>
      <c r="F441" s="21"/>
      <c r="G441" s="21"/>
      <c r="H441" s="758"/>
      <c r="I441" s="129"/>
      <c r="J441" s="94"/>
      <c r="K441" s="850"/>
      <c r="L441" s="858" t="s">
        <v>3638</v>
      </c>
      <c r="M441" s="553">
        <f>IFERROR(INDEX({2,2,4,7,10,11,11,11},BF16),0)</f>
        <v>0</v>
      </c>
      <c r="N441" s="129"/>
      <c r="O441" s="822"/>
      <c r="P441" s="94"/>
      <c r="Q441" s="94"/>
      <c r="R441" s="94"/>
      <c r="S441" s="94"/>
      <c r="T441" s="94"/>
      <c r="U441" s="94"/>
      <c r="V441" s="94"/>
      <c r="W441" s="94"/>
      <c r="X441" s="1770"/>
      <c r="AL441" s="254" t="str">
        <f>SUBSTITUTE(SUBSTITUTE(SUBSTITUTE("dpa"&amp;$B441&amp;$C441&amp;$D441&amp;$E441,".","_"),"(","_"),")","")</f>
        <v>dpa703_5_5_b_2</v>
      </c>
      <c r="AM441" s="254">
        <f>M441</f>
        <v>0</v>
      </c>
      <c r="AX441" s="76"/>
      <c r="AY441" s="76"/>
    </row>
    <row r="442" spans="1:61" s="816" customFormat="1" x14ac:dyDescent="0.25">
      <c r="A442" s="18"/>
      <c r="B442" s="679" t="s">
        <v>956</v>
      </c>
      <c r="C442" s="680" t="s">
        <v>122</v>
      </c>
      <c r="D442" s="21" t="s">
        <v>260</v>
      </c>
      <c r="E442" s="21"/>
      <c r="F442" s="21"/>
      <c r="G442" s="21"/>
      <c r="H442" s="758"/>
      <c r="I442" s="129"/>
      <c r="J442" s="94"/>
      <c r="K442" s="850"/>
      <c r="L442" s="858" t="s">
        <v>3639</v>
      </c>
      <c r="M442" s="553">
        <f>IFERROR(INDEX({2,3,6,10,14,16,15,15},BF16),0)</f>
        <v>0</v>
      </c>
      <c r="N442" s="129"/>
      <c r="O442" s="822"/>
      <c r="P442" s="94"/>
      <c r="Q442" s="94"/>
      <c r="R442" s="94"/>
      <c r="S442" s="94"/>
      <c r="T442" s="94"/>
      <c r="U442" s="94"/>
      <c r="V442" s="94"/>
      <c r="W442" s="94"/>
      <c r="X442" s="1770"/>
      <c r="AL442" s="254" t="str">
        <f>SUBSTITUTE(SUBSTITUTE(SUBSTITUTE("dpa"&amp;$B442&amp;$C442&amp;$D442&amp;$E442,".","_"),"(","_"),")","")</f>
        <v>dpa703_5_5_b_3</v>
      </c>
      <c r="AM442" s="254">
        <f>M442</f>
        <v>0</v>
      </c>
      <c r="AX442" s="76"/>
      <c r="AY442" s="76"/>
    </row>
    <row r="443" spans="1:61" s="816" customFormat="1" x14ac:dyDescent="0.25">
      <c r="A443" s="18"/>
      <c r="B443" s="679" t="s">
        <v>956</v>
      </c>
      <c r="C443" s="680" t="s">
        <v>122</v>
      </c>
      <c r="D443" s="21" t="s">
        <v>269</v>
      </c>
      <c r="E443" s="21"/>
      <c r="F443" s="21"/>
      <c r="G443" s="21"/>
      <c r="H443" s="758"/>
      <c r="I443" s="129"/>
      <c r="J443" s="94"/>
      <c r="K443" s="850"/>
      <c r="L443" s="858" t="s">
        <v>3640</v>
      </c>
      <c r="M443" s="553">
        <f>IFERROR(INDEX({4,5,9,16,21,23,22,22},BF16),0)</f>
        <v>0</v>
      </c>
      <c r="N443" s="129"/>
      <c r="O443" s="822"/>
      <c r="P443" s="94"/>
      <c r="Q443" s="94"/>
      <c r="R443" s="94"/>
      <c r="S443" s="94"/>
      <c r="T443" s="94"/>
      <c r="U443" s="94"/>
      <c r="V443" s="94"/>
      <c r="W443" s="94"/>
      <c r="X443" s="1770"/>
      <c r="AL443" s="254" t="str">
        <f>SUBSTITUTE(SUBSTITUTE(SUBSTITUTE("dpa"&amp;$B443&amp;$C443&amp;$D443&amp;$E443,".","_"),"(","_"),")","")</f>
        <v>dpa703_5_5_b_4</v>
      </c>
      <c r="AM443" s="254">
        <f>M443</f>
        <v>0</v>
      </c>
      <c r="AX443" s="76"/>
      <c r="AY443" s="76"/>
    </row>
    <row r="444" spans="1:61" s="816" customFormat="1" ht="15.75" thickBot="1" x14ac:dyDescent="0.3">
      <c r="A444" s="18"/>
      <c r="B444" s="679" t="s">
        <v>956</v>
      </c>
      <c r="C444" s="680" t="s">
        <v>122</v>
      </c>
      <c r="D444" s="21" t="s">
        <v>275</v>
      </c>
      <c r="E444" s="21"/>
      <c r="F444" s="21"/>
      <c r="G444" s="21"/>
      <c r="H444" s="758"/>
      <c r="I444" s="240"/>
      <c r="J444" s="99"/>
      <c r="K444" s="852"/>
      <c r="L444" s="853" t="s">
        <v>3641</v>
      </c>
      <c r="M444" s="900">
        <f>IFERROR(INDEX({6,8,12,23,30,34,33,33},BF16),0)</f>
        <v>0</v>
      </c>
      <c r="N444" s="240"/>
      <c r="O444" s="825"/>
      <c r="P444" s="99"/>
      <c r="Q444" s="99"/>
      <c r="R444" s="99"/>
      <c r="S444" s="99"/>
      <c r="T444" s="99"/>
      <c r="U444" s="99"/>
      <c r="V444" s="99"/>
      <c r="W444" s="99"/>
      <c r="X444" s="1771"/>
      <c r="AL444" s="254" t="str">
        <f>SUBSTITUTE(SUBSTITUTE(SUBSTITUTE("dpa"&amp;$B444&amp;$C444&amp;$D444&amp;$E444,".","_"),"(","_"),")","")</f>
        <v>dpa703_5_5_b_5</v>
      </c>
      <c r="AM444" s="254">
        <f>M444</f>
        <v>0</v>
      </c>
      <c r="AX444" s="76"/>
      <c r="AY444" s="76"/>
    </row>
    <row r="445" spans="1:61" ht="15.75" thickTop="1" x14ac:dyDescent="0.25">
      <c r="B445" s="679">
        <v>703.6</v>
      </c>
      <c r="C445" s="90"/>
      <c r="D445" s="21"/>
      <c r="E445" s="21"/>
      <c r="F445" s="21"/>
      <c r="G445" s="21"/>
      <c r="H445" s="758"/>
      <c r="I445" s="64">
        <v>703.6</v>
      </c>
      <c r="J445" s="161"/>
      <c r="K445" s="161"/>
      <c r="L445" s="166" t="s">
        <v>957</v>
      </c>
      <c r="M445" s="428"/>
      <c r="N445" s="4"/>
      <c r="O445" s="141"/>
      <c r="P445"/>
      <c r="Q445"/>
      <c r="R445"/>
      <c r="S445"/>
      <c r="T445"/>
      <c r="U445"/>
      <c r="V445"/>
      <c r="W445"/>
      <c r="X445"/>
      <c r="AZ445" s="816"/>
      <c r="BA445" s="816"/>
      <c r="BB445" s="816"/>
      <c r="BC445" s="816"/>
      <c r="BD445" s="816"/>
      <c r="BE445" s="816"/>
      <c r="BF445" s="816"/>
      <c r="BG445" s="816"/>
      <c r="BH445" s="816"/>
      <c r="BI445" s="816"/>
    </row>
    <row r="446" spans="1:61" s="159" customFormat="1" x14ac:dyDescent="0.25">
      <c r="A446" s="18"/>
      <c r="B446" s="679" t="s">
        <v>958</v>
      </c>
      <c r="C446" s="90"/>
      <c r="D446" s="21"/>
      <c r="E446" s="21"/>
      <c r="F446" s="21"/>
      <c r="G446" s="21"/>
      <c r="H446" s="758"/>
      <c r="I446" s="64" t="s">
        <v>958</v>
      </c>
      <c r="J446" s="161"/>
      <c r="K446" s="161"/>
      <c r="L446" s="1884" t="s">
        <v>959</v>
      </c>
      <c r="M446" s="428"/>
      <c r="N446" s="4"/>
      <c r="O446" s="141"/>
      <c r="P446"/>
      <c r="Q446"/>
      <c r="R446" s="134"/>
      <c r="S446" s="137"/>
      <c r="T446" s="134"/>
      <c r="U446"/>
      <c r="V446"/>
      <c r="W446"/>
      <c r="X446"/>
      <c r="Y446" s="780"/>
      <c r="Z446" s="76"/>
      <c r="AA446" s="783"/>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row>
    <row r="447" spans="1:61" x14ac:dyDescent="0.25">
      <c r="B447" s="679" t="s">
        <v>958</v>
      </c>
      <c r="C447" s="90"/>
      <c r="D447" s="21"/>
      <c r="E447" s="21"/>
      <c r="F447" s="21"/>
      <c r="G447" s="21"/>
      <c r="H447" s="758"/>
      <c r="I447" s="64"/>
      <c r="J447" s="161"/>
      <c r="K447" s="161"/>
      <c r="L447" s="1884"/>
      <c r="M447" s="428"/>
      <c r="N447" s="4"/>
      <c r="O447" s="141"/>
      <c r="P447" s="159"/>
      <c r="Q447" s="159"/>
      <c r="R447" s="159"/>
      <c r="S447" s="159"/>
      <c r="T447" s="159"/>
      <c r="U447" s="159"/>
      <c r="V447" s="159"/>
      <c r="W447" s="159"/>
      <c r="X447" s="159"/>
      <c r="Z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Z447" s="159"/>
      <c r="BA447" s="159"/>
      <c r="BB447" s="159"/>
      <c r="BC447" s="159"/>
      <c r="BD447" s="159"/>
      <c r="BE447" s="159"/>
      <c r="BF447" s="159"/>
      <c r="BG447" s="159"/>
      <c r="BH447" s="159"/>
      <c r="BI447" s="159"/>
    </row>
    <row r="448" spans="1:61" ht="15" customHeight="1" x14ac:dyDescent="0.25">
      <c r="B448" s="679" t="s">
        <v>958</v>
      </c>
      <c r="C448" s="21" t="s">
        <v>256</v>
      </c>
      <c r="D448" s="21"/>
      <c r="E448" s="21"/>
      <c r="F448" s="21"/>
      <c r="G448" s="21"/>
      <c r="H448" s="758"/>
      <c r="I448" s="4"/>
      <c r="J448" s="518" t="s">
        <v>256</v>
      </c>
      <c r="K448" s="448"/>
      <c r="L448" s="1765" t="s">
        <v>5236</v>
      </c>
      <c r="M448" s="1758">
        <f>IFERROR(INDEX({3,3,3,2,2,2,2,2},BF16),0)</f>
        <v>0</v>
      </c>
      <c r="N448" s="129"/>
      <c r="O448" s="1774">
        <f ca="1">M448*S448*W448</f>
        <v>0</v>
      </c>
      <c r="P448" s="94" t="b">
        <v>0</v>
      </c>
      <c r="Q448" s="94" t="b">
        <v>1</v>
      </c>
      <c r="R448" s="134" t="b">
        <v>0</v>
      </c>
      <c r="S448" s="137" t="b">
        <f ca="1">AND(S13=2,NOT(W452),NOT(W450))</f>
        <v>0</v>
      </c>
      <c r="T448" s="94" t="b">
        <f ca="1">AND(NOT(S448),W448=TRUE)</f>
        <v>0</v>
      </c>
      <c r="U448"/>
      <c r="V448"/>
      <c r="W448" s="25"/>
      <c r="X448" s="1757"/>
      <c r="AC448" s="378" t="b">
        <f ca="1">OR(AD448:AE448)</f>
        <v>0</v>
      </c>
      <c r="AD448" s="378" t="b">
        <f ca="1">T448</f>
        <v>0</v>
      </c>
      <c r="AE448" s="378"/>
      <c r="AL448" s="254" t="str">
        <f>SUBSTITUTE(SUBSTITUTE(SUBSTITUTE("dpa"&amp;$B448&amp;$C448&amp;$D448&amp;$E448,".","_"),"(","_"),")","")</f>
        <v>dpa703_6_1_1</v>
      </c>
      <c r="AM448" s="254">
        <f>M448</f>
        <v>0</v>
      </c>
      <c r="AN448" s="254" t="str">
        <f>SUBSTITUTE(SUBSTITUTE(SUBSTITUTE("dpc"&amp;$B448&amp;$C448&amp;$D448&amp;$E448,".","_"),"(","_"),")","")</f>
        <v>dpc703_6_1_1</v>
      </c>
      <c r="AO448" s="254">
        <f ca="1">O448</f>
        <v>0</v>
      </c>
      <c r="AP448" s="254" t="str">
        <f>SUBSTITUTE(SUBSTITUTE(SUBSTITUTE("dch"&amp;$B448&amp;$C448&amp;$D448&amp;$E448,".","_"),"(","_"),")","")</f>
        <v>dch703_6_1_1</v>
      </c>
      <c r="AQ448" s="254" t="str">
        <f>IF(LEN(W448)=0,"",W448)</f>
        <v/>
      </c>
      <c r="AR448" s="254" t="str">
        <f>SUBSTITUTE(SUBSTITUTE(SUBSTITUTE("dnt"&amp;$B448&amp;$C448&amp;$D448&amp;$E448,".","_"),"(","_"),")","")</f>
        <v>dnt703_6_1_1</v>
      </c>
      <c r="AS448" s="254" t="str">
        <f>IF(LEN(X448)=0,"",X448)</f>
        <v/>
      </c>
    </row>
    <row r="449" spans="1:61" x14ac:dyDescent="0.25">
      <c r="B449" s="679" t="s">
        <v>958</v>
      </c>
      <c r="C449" s="21" t="s">
        <v>256</v>
      </c>
      <c r="D449" s="21"/>
      <c r="E449" s="21"/>
      <c r="F449" s="21"/>
      <c r="G449" s="21"/>
      <c r="H449" s="758"/>
      <c r="I449" s="4"/>
      <c r="J449" s="530"/>
      <c r="K449" s="449"/>
      <c r="L449" s="1786"/>
      <c r="M449" s="1759"/>
      <c r="N449" s="210"/>
      <c r="O449" s="1764"/>
      <c r="P449"/>
      <c r="Q449"/>
      <c r="R449"/>
      <c r="S449"/>
      <c r="T449"/>
      <c r="U449"/>
      <c r="V449"/>
      <c r="W449"/>
      <c r="X449" s="1757"/>
    </row>
    <row r="450" spans="1:61" ht="15" customHeight="1" x14ac:dyDescent="0.25">
      <c r="B450" s="679" t="s">
        <v>958</v>
      </c>
      <c r="C450" s="21" t="s">
        <v>258</v>
      </c>
      <c r="D450" s="21"/>
      <c r="E450" s="21"/>
      <c r="F450" s="21"/>
      <c r="G450" s="21"/>
      <c r="H450" s="758"/>
      <c r="I450" s="4"/>
      <c r="J450" s="549" t="s">
        <v>258</v>
      </c>
      <c r="K450" s="461"/>
      <c r="L450" s="1765" t="s">
        <v>4316</v>
      </c>
      <c r="M450" s="1762">
        <v>1</v>
      </c>
      <c r="N450" s="193"/>
      <c r="O450" s="1763">
        <f ca="1">M450*S450*W450</f>
        <v>0</v>
      </c>
      <c r="P450" s="94" t="b">
        <v>0</v>
      </c>
      <c r="Q450" s="94" t="b">
        <v>1</v>
      </c>
      <c r="R450" s="134" t="b">
        <v>0</v>
      </c>
      <c r="S450" s="137" t="b">
        <f ca="1">AND(S13=2,NOT(W452),NOT(W448))</f>
        <v>0</v>
      </c>
      <c r="T450" s="94" t="b">
        <f ca="1">AND(NOT(S450),W450=TRUE)</f>
        <v>0</v>
      </c>
      <c r="U450"/>
      <c r="V450"/>
      <c r="W450" s="25"/>
      <c r="X450" s="1757"/>
      <c r="AC450" s="378" t="b">
        <f ca="1">OR(AD450:AE450)</f>
        <v>0</v>
      </c>
      <c r="AD450" s="378" t="b">
        <f ca="1">T450</f>
        <v>0</v>
      </c>
      <c r="AE450" s="378"/>
      <c r="AL450" s="254" t="str">
        <f>SUBSTITUTE(SUBSTITUTE(SUBSTITUTE("dpa"&amp;$B450&amp;$C450&amp;$D450&amp;$E450,".","_"),"(","_"),")","")</f>
        <v>dpa703_6_1_2</v>
      </c>
      <c r="AM450" s="254">
        <f>M450</f>
        <v>1</v>
      </c>
      <c r="AN450" s="254" t="str">
        <f>SUBSTITUTE(SUBSTITUTE(SUBSTITUTE("dpc"&amp;$B450&amp;$C450&amp;$D450&amp;$E450,".","_"),"(","_"),")","")</f>
        <v>dpc703_6_1_2</v>
      </c>
      <c r="AO450" s="254">
        <f ca="1">O450</f>
        <v>0</v>
      </c>
      <c r="AP450" s="254" t="str">
        <f>SUBSTITUTE(SUBSTITUTE(SUBSTITUTE("dch"&amp;$B450&amp;$C450&amp;$D450&amp;$E450,".","_"),"(","_"),")","")</f>
        <v>dch703_6_1_2</v>
      </c>
      <c r="AQ450" s="254" t="str">
        <f>IF(LEN(W450)=0,"",W450)</f>
        <v/>
      </c>
      <c r="AR450" s="254" t="str">
        <f>SUBSTITUTE(SUBSTITUTE(SUBSTITUTE("dnt"&amp;$B450&amp;$C450&amp;$D450&amp;$E450,".","_"),"(","_"),")","")</f>
        <v>dnt703_6_1_2</v>
      </c>
      <c r="AS450" s="254" t="str">
        <f>IF(LEN(X450)=0,"",X450)</f>
        <v/>
      </c>
      <c r="AX450" s="159"/>
      <c r="AY450" s="159"/>
    </row>
    <row r="451" spans="1:61" x14ac:dyDescent="0.25">
      <c r="B451" s="679" t="s">
        <v>958</v>
      </c>
      <c r="C451" s="21" t="s">
        <v>258</v>
      </c>
      <c r="D451" s="21"/>
      <c r="E451" s="21"/>
      <c r="F451" s="21"/>
      <c r="G451" s="21"/>
      <c r="H451" s="758"/>
      <c r="I451" s="4"/>
      <c r="J451" s="449"/>
      <c r="K451" s="449"/>
      <c r="L451" s="1786"/>
      <c r="M451" s="1759"/>
      <c r="N451" s="210"/>
      <c r="O451" s="1764"/>
      <c r="P451"/>
      <c r="Q451"/>
      <c r="R451"/>
      <c r="S451"/>
      <c r="T451"/>
      <c r="U451"/>
      <c r="V451"/>
      <c r="W451"/>
      <c r="X451" s="1757"/>
    </row>
    <row r="452" spans="1:61" x14ac:dyDescent="0.25">
      <c r="B452" s="679" t="s">
        <v>958</v>
      </c>
      <c r="C452" s="21" t="s">
        <v>260</v>
      </c>
      <c r="D452" s="21"/>
      <c r="E452" s="21"/>
      <c r="F452" s="21"/>
      <c r="G452" s="21"/>
      <c r="H452" s="758"/>
      <c r="I452" s="129"/>
      <c r="J452" s="518" t="s">
        <v>260</v>
      </c>
      <c r="K452" s="448"/>
      <c r="L452" s="1754" t="s">
        <v>960</v>
      </c>
      <c r="M452" s="1758">
        <v>7</v>
      </c>
      <c r="N452" s="129"/>
      <c r="O452" s="1774">
        <f ca="1">M452*S452*W452</f>
        <v>0</v>
      </c>
      <c r="P452" s="94" t="b">
        <v>0</v>
      </c>
      <c r="Q452" s="94" t="b">
        <v>1</v>
      </c>
      <c r="R452" s="94" t="b">
        <v>0</v>
      </c>
      <c r="S452" s="94" t="b">
        <f ca="1">AND(S13=2,IF(AY19=INDEX(ddSingleOrMulti,2),TRUE,FALSE),NOT(W450),NOT(W448))</f>
        <v>0</v>
      </c>
      <c r="T452" s="94" t="b">
        <f ca="1">AND(NOT(S452),W452=TRUE)</f>
        <v>0</v>
      </c>
      <c r="U452" s="94"/>
      <c r="V452" s="94"/>
      <c r="W452" s="360"/>
      <c r="X452" s="1770"/>
      <c r="AC452" s="378" t="b">
        <f ca="1">OR(AD452:AE452)</f>
        <v>0</v>
      </c>
      <c r="AD452" s="378" t="b">
        <f ca="1">T452</f>
        <v>0</v>
      </c>
      <c r="AE452" s="378"/>
      <c r="AL452" s="254" t="str">
        <f>SUBSTITUTE(SUBSTITUTE(SUBSTITUTE("dpa"&amp;$B452&amp;$C452&amp;$D452&amp;$E452,".","_"),"(","_"),")","")</f>
        <v>dpa703_6_1_3</v>
      </c>
      <c r="AM452" s="254">
        <f>M452</f>
        <v>7</v>
      </c>
      <c r="AN452" s="254" t="str">
        <f>SUBSTITUTE(SUBSTITUTE(SUBSTITUTE("dpc"&amp;$B452&amp;$C452&amp;$D452&amp;$E452,".","_"),"(","_"),")","")</f>
        <v>dpc703_6_1_3</v>
      </c>
      <c r="AO452" s="254">
        <f ca="1">O452</f>
        <v>0</v>
      </c>
      <c r="AP452" s="254" t="str">
        <f>SUBSTITUTE(SUBSTITUTE(SUBSTITUTE("dch"&amp;$B452&amp;$C452&amp;$D452&amp;$E452,".","_"),"(","_"),")","")</f>
        <v>dch703_6_1_3</v>
      </c>
      <c r="AQ452" s="254" t="str">
        <f>IF(LEN(W452)=0,"",W452)</f>
        <v/>
      </c>
      <c r="AR452" s="254" t="str">
        <f>SUBSTITUTE(SUBSTITUTE(SUBSTITUTE("dnt"&amp;$B452&amp;$C452&amp;$D452&amp;$E452,".","_"),"(","_"),")","")</f>
        <v>dnt703_6_1_3</v>
      </c>
      <c r="AS452" s="254" t="str">
        <f>IF(LEN(X452)=0,"",X452)</f>
        <v/>
      </c>
    </row>
    <row r="453" spans="1:61" x14ac:dyDescent="0.25">
      <c r="B453" s="679" t="s">
        <v>958</v>
      </c>
      <c r="C453" s="21" t="s">
        <v>260</v>
      </c>
      <c r="D453" s="21"/>
      <c r="E453" s="21"/>
      <c r="F453" s="21"/>
      <c r="G453" s="21"/>
      <c r="H453" s="758"/>
      <c r="I453" s="210"/>
      <c r="J453" s="449"/>
      <c r="K453" s="449"/>
      <c r="L453" s="1755"/>
      <c r="M453" s="1759"/>
      <c r="N453" s="210"/>
      <c r="O453" s="1764"/>
      <c r="P453" s="178"/>
      <c r="Q453" s="178"/>
      <c r="R453" s="178"/>
      <c r="S453" s="178"/>
      <c r="T453" s="178"/>
      <c r="U453" s="178"/>
      <c r="V453" s="178"/>
      <c r="W453" s="178"/>
      <c r="X453" s="1770"/>
    </row>
    <row r="454" spans="1:61" x14ac:dyDescent="0.25">
      <c r="B454" s="679" t="s">
        <v>961</v>
      </c>
      <c r="C454" s="21"/>
      <c r="D454" s="21"/>
      <c r="E454" s="21"/>
      <c r="F454" s="21"/>
      <c r="G454" s="21"/>
      <c r="H454" s="758"/>
      <c r="I454" s="66" t="s">
        <v>961</v>
      </c>
      <c r="J454" s="161"/>
      <c r="K454" s="161"/>
      <c r="L454" s="166" t="s">
        <v>962</v>
      </c>
      <c r="M454" s="428"/>
      <c r="N454" s="4"/>
      <c r="O454" s="141"/>
      <c r="P454"/>
      <c r="Q454"/>
      <c r="R454"/>
      <c r="S454"/>
      <c r="T454"/>
      <c r="U454"/>
      <c r="V454"/>
      <c r="W454"/>
      <c r="X454"/>
    </row>
    <row r="455" spans="1:61" x14ac:dyDescent="0.25">
      <c r="B455" s="679" t="s">
        <v>961</v>
      </c>
      <c r="C455" s="21" t="s">
        <v>256</v>
      </c>
      <c r="D455" s="21"/>
      <c r="E455" s="21"/>
      <c r="F455" s="21"/>
      <c r="G455" s="21"/>
      <c r="H455" s="758"/>
      <c r="I455" s="4"/>
      <c r="J455" s="530" t="s">
        <v>256</v>
      </c>
      <c r="K455" s="449"/>
      <c r="L455" s="552" t="s">
        <v>963</v>
      </c>
      <c r="M455" s="453">
        <v>1</v>
      </c>
      <c r="N455" s="210"/>
      <c r="O455" s="503">
        <f ca="1">M455*S455*W455</f>
        <v>0</v>
      </c>
      <c r="P455" s="94" t="b">
        <v>0</v>
      </c>
      <c r="Q455" s="94" t="b">
        <v>1</v>
      </c>
      <c r="R455" s="134" t="b">
        <v>0</v>
      </c>
      <c r="S455" s="137" t="b">
        <f ca="1">(S13=2)</f>
        <v>0</v>
      </c>
      <c r="T455" s="94" t="b">
        <f ca="1">AND(NOT(S455),W455=TRUE)</f>
        <v>0</v>
      </c>
      <c r="U455"/>
      <c r="V455"/>
      <c r="W455" s="25"/>
      <c r="X455" s="418"/>
      <c r="AC455" s="378" t="b">
        <f ca="1">OR(AD455:AE455)</f>
        <v>0</v>
      </c>
      <c r="AD455" s="378" t="b">
        <f ca="1">T455</f>
        <v>0</v>
      </c>
      <c r="AE455" s="378"/>
      <c r="AL455" s="254" t="str">
        <f>SUBSTITUTE(SUBSTITUTE(SUBSTITUTE("dpa"&amp;$B455&amp;$C455&amp;$D455&amp;$E455,".","_"),"(","_"),")","")</f>
        <v>dpa703_6_2 _1</v>
      </c>
      <c r="AM455" s="254">
        <f>M455</f>
        <v>1</v>
      </c>
      <c r="AN455" s="254" t="str">
        <f>SUBSTITUTE(SUBSTITUTE(SUBSTITUTE("dpc"&amp;$B455&amp;$C455&amp;$D455&amp;$E455,".","_"),"(","_"),")","")</f>
        <v>dpc703_6_2 _1</v>
      </c>
      <c r="AO455" s="254">
        <f ca="1">O455</f>
        <v>0</v>
      </c>
      <c r="AP455" s="254" t="str">
        <f>SUBSTITUTE(SUBSTITUTE(SUBSTITUTE("dch"&amp;$B455&amp;$C455&amp;$D455&amp;$E455,".","_"),"(","_"),")","")</f>
        <v>dch703_6_2 _1</v>
      </c>
      <c r="AQ455" s="254" t="str">
        <f>IF(LEN(W455)=0,"",W455)</f>
        <v/>
      </c>
      <c r="AR455" s="254" t="str">
        <f>SUBSTITUTE(SUBSTITUTE(SUBSTITUTE("dnt"&amp;$B455&amp;$C455&amp;$D455&amp;$E455,".","_"),"(","_"),")","")</f>
        <v>dnt703_6_2 _1</v>
      </c>
      <c r="AS455" s="254" t="str">
        <f>IF(LEN(X455)=0,"",X455)</f>
        <v/>
      </c>
    </row>
    <row r="456" spans="1:61" x14ac:dyDescent="0.25">
      <c r="B456" s="679" t="s">
        <v>961</v>
      </c>
      <c r="C456" s="21" t="s">
        <v>258</v>
      </c>
      <c r="D456" s="21"/>
      <c r="E456" s="21"/>
      <c r="F456" s="21"/>
      <c r="G456" s="21"/>
      <c r="H456" s="758"/>
      <c r="I456" s="4"/>
      <c r="J456" s="550" t="s">
        <v>258</v>
      </c>
      <c r="K456" s="280"/>
      <c r="L456" s="280" t="s">
        <v>964</v>
      </c>
      <c r="M456" s="475">
        <v>1</v>
      </c>
      <c r="N456" s="243"/>
      <c r="O456" s="474">
        <f ca="1">M456*S456*W456</f>
        <v>0</v>
      </c>
      <c r="P456" s="94" t="b">
        <v>0</v>
      </c>
      <c r="Q456" s="94" t="b">
        <v>1</v>
      </c>
      <c r="R456" s="134" t="b">
        <v>0</v>
      </c>
      <c r="S456" s="137" t="b">
        <f ca="1">(S13=2)</f>
        <v>0</v>
      </c>
      <c r="T456" s="94" t="b">
        <f ca="1">AND(NOT(S456),W456=TRUE)</f>
        <v>0</v>
      </c>
      <c r="U456"/>
      <c r="V456"/>
      <c r="W456" s="25"/>
      <c r="X456" s="418"/>
      <c r="AC456" s="378" t="b">
        <f ca="1">OR(AD456:AE456)</f>
        <v>0</v>
      </c>
      <c r="AD456" s="378" t="b">
        <f ca="1">T456</f>
        <v>0</v>
      </c>
      <c r="AE456" s="378"/>
      <c r="AL456" s="254" t="str">
        <f>SUBSTITUTE(SUBSTITUTE(SUBSTITUTE("dpa"&amp;$B456&amp;$C456&amp;$D456&amp;$E456,".","_"),"(","_"),")","")</f>
        <v>dpa703_6_2 _2</v>
      </c>
      <c r="AM456" s="254">
        <f>M456</f>
        <v>1</v>
      </c>
      <c r="AN456" s="254" t="str">
        <f>SUBSTITUTE(SUBSTITUTE(SUBSTITUTE("dpc"&amp;$B456&amp;$C456&amp;$D456&amp;$E456,".","_"),"(","_"),")","")</f>
        <v>dpc703_6_2 _2</v>
      </c>
      <c r="AO456" s="254">
        <f ca="1">O456</f>
        <v>0</v>
      </c>
      <c r="AP456" s="254" t="str">
        <f>SUBSTITUTE(SUBSTITUTE(SUBSTITUTE("dch"&amp;$B456&amp;$C456&amp;$D456&amp;$E456,".","_"),"(","_"),")","")</f>
        <v>dch703_6_2 _2</v>
      </c>
      <c r="AQ456" s="254" t="str">
        <f>IF(LEN(W456)=0,"",W456)</f>
        <v/>
      </c>
      <c r="AR456" s="254" t="str">
        <f>SUBSTITUTE(SUBSTITUTE(SUBSTITUTE("dnt"&amp;$B456&amp;$C456&amp;$D456&amp;$E456,".","_"),"(","_"),")","")</f>
        <v>dnt703_6_2 _2</v>
      </c>
      <c r="AS456" s="254" t="str">
        <f>IF(LEN(X456)=0,"",X456)</f>
        <v/>
      </c>
      <c r="AX456" s="378"/>
      <c r="AY456" s="378"/>
    </row>
    <row r="457" spans="1:61" x14ac:dyDescent="0.25">
      <c r="B457" s="679" t="s">
        <v>961</v>
      </c>
      <c r="C457" s="21" t="s">
        <v>260</v>
      </c>
      <c r="D457" s="21"/>
      <c r="E457" s="21"/>
      <c r="F457" s="21"/>
      <c r="G457" s="21"/>
      <c r="H457" s="758"/>
      <c r="I457" s="129"/>
      <c r="J457" s="518" t="s">
        <v>260</v>
      </c>
      <c r="K457" s="448"/>
      <c r="L457" s="448" t="s">
        <v>965</v>
      </c>
      <c r="M457" s="452">
        <v>4</v>
      </c>
      <c r="N457" s="129"/>
      <c r="O457" s="502">
        <f ca="1">M457*S457*W457</f>
        <v>0</v>
      </c>
      <c r="P457" s="94" t="b">
        <v>0</v>
      </c>
      <c r="Q457" s="94" t="b">
        <v>1</v>
      </c>
      <c r="R457" s="94" t="b">
        <v>0</v>
      </c>
      <c r="S457" s="94" t="b">
        <f ca="1">(S13=2)</f>
        <v>0</v>
      </c>
      <c r="T457" s="94" t="b">
        <f ca="1">AND(NOT(S457),W457=TRUE)</f>
        <v>0</v>
      </c>
      <c r="U457" s="94"/>
      <c r="V457" s="94"/>
      <c r="W457" s="360"/>
      <c r="X457" s="1770"/>
      <c r="AC457" s="378" t="b">
        <f ca="1">OR(AD457:AE457)</f>
        <v>0</v>
      </c>
      <c r="AD457" s="378" t="b">
        <f ca="1">T457</f>
        <v>0</v>
      </c>
      <c r="AE457" s="378"/>
      <c r="AL457" s="254" t="str">
        <f>SUBSTITUTE(SUBSTITUTE(SUBSTITUTE("dpa"&amp;$B457&amp;$C457&amp;$D457&amp;$E457,".","_"),"(","_"),")","")</f>
        <v>dpa703_6_2 _3</v>
      </c>
      <c r="AM457" s="254">
        <f>M457</f>
        <v>4</v>
      </c>
      <c r="AN457" s="254" t="str">
        <f>SUBSTITUTE(SUBSTITUTE(SUBSTITUTE("dpc"&amp;$B457&amp;$C457&amp;$D457&amp;$E457,".","_"),"(","_"),")","")</f>
        <v>dpc703_6_2 _3</v>
      </c>
      <c r="AO457" s="254">
        <f ca="1">O457</f>
        <v>0</v>
      </c>
      <c r="AP457" s="254" t="str">
        <f>SUBSTITUTE(SUBSTITUTE(SUBSTITUTE("dch"&amp;$B457&amp;$C457&amp;$D457&amp;$E457,".","_"),"(","_"),")","")</f>
        <v>dch703_6_2 _3</v>
      </c>
      <c r="AQ457" s="254" t="str">
        <f>IF(LEN(W457)=0,"",W457)</f>
        <v/>
      </c>
      <c r="AR457" s="254" t="str">
        <f>SUBSTITUTE(SUBSTITUTE(SUBSTITUTE("dnt"&amp;$B457&amp;$C457&amp;$D457&amp;$E457,".","_"),"(","_"),")","")</f>
        <v>dnt703_6_2 _3</v>
      </c>
      <c r="AS457" s="254" t="str">
        <f>IF(LEN(X457)=0,"",X457)</f>
        <v/>
      </c>
    </row>
    <row r="458" spans="1:61" s="378" customFormat="1" ht="15.75" thickBot="1" x14ac:dyDescent="0.3">
      <c r="A458" s="18"/>
      <c r="B458" s="679" t="s">
        <v>961</v>
      </c>
      <c r="C458" s="21" t="s">
        <v>260</v>
      </c>
      <c r="D458" s="21"/>
      <c r="E458" s="21"/>
      <c r="F458" s="21"/>
      <c r="G458" s="21"/>
      <c r="H458" s="758"/>
      <c r="I458" s="240"/>
      <c r="J458" s="519"/>
      <c r="K458" s="462"/>
      <c r="L458" s="465" t="s">
        <v>3627</v>
      </c>
      <c r="M458" s="460"/>
      <c r="N458" s="240"/>
      <c r="O458" s="504"/>
      <c r="P458" s="99"/>
      <c r="Q458" s="99"/>
      <c r="R458" s="99"/>
      <c r="S458" s="99"/>
      <c r="T458" s="99"/>
      <c r="U458" s="99"/>
      <c r="V458" s="99"/>
      <c r="W458" s="99"/>
      <c r="X458" s="1771"/>
      <c r="Y458" s="780"/>
      <c r="AA458" s="783"/>
      <c r="AX458" s="76"/>
      <c r="AY458" s="76"/>
      <c r="AZ458" s="76"/>
      <c r="BA458" s="76"/>
      <c r="BB458" s="76"/>
      <c r="BC458" s="76"/>
      <c r="BD458" s="76"/>
      <c r="BE458" s="76"/>
      <c r="BF458" s="76"/>
      <c r="BG458" s="76"/>
      <c r="BH458" s="76"/>
      <c r="BI458" s="76"/>
    </row>
    <row r="459" spans="1:61" ht="15.75" thickTop="1" x14ac:dyDescent="0.25">
      <c r="B459" s="679">
        <v>703.7</v>
      </c>
      <c r="C459" s="90"/>
      <c r="D459" s="21"/>
      <c r="E459" s="21"/>
      <c r="F459" s="21"/>
      <c r="G459" s="21"/>
      <c r="H459" s="758"/>
      <c r="I459" s="65">
        <v>703.7</v>
      </c>
      <c r="J459" s="161"/>
      <c r="K459" s="161"/>
      <c r="L459" s="166" t="s">
        <v>966</v>
      </c>
      <c r="M459" s="428"/>
      <c r="N459" s="4"/>
      <c r="O459" s="141"/>
      <c r="P459"/>
      <c r="Q459"/>
      <c r="R459"/>
      <c r="S459"/>
      <c r="T459"/>
      <c r="U459"/>
      <c r="V459"/>
      <c r="W459"/>
      <c r="X459"/>
      <c r="AZ459" s="378"/>
      <c r="BA459" s="378"/>
      <c r="BB459" s="378"/>
      <c r="BC459" s="378"/>
      <c r="BD459" s="378"/>
      <c r="BE459" s="378"/>
      <c r="BF459" s="378"/>
      <c r="BG459" s="378"/>
      <c r="BH459" s="378"/>
      <c r="BI459" s="378"/>
    </row>
    <row r="460" spans="1:61" x14ac:dyDescent="0.25">
      <c r="B460" s="679" t="s">
        <v>967</v>
      </c>
      <c r="C460" s="90"/>
      <c r="D460" s="21"/>
      <c r="E460" s="21"/>
      <c r="F460" s="21"/>
      <c r="G460" s="21"/>
      <c r="H460" s="758"/>
      <c r="I460" s="65" t="s">
        <v>967</v>
      </c>
      <c r="J460" s="161"/>
      <c r="K460" s="161"/>
      <c r="L460" s="1796" t="s">
        <v>968</v>
      </c>
      <c r="M460" s="1767">
        <v>4</v>
      </c>
      <c r="N460" s="4"/>
      <c r="O460" s="1780">
        <f ca="1">M460*S460*W460</f>
        <v>0</v>
      </c>
      <c r="P460" s="94" t="b">
        <v>1</v>
      </c>
      <c r="Q460" s="94" t="b">
        <v>1</v>
      </c>
      <c r="R460" s="134" t="b">
        <v>0</v>
      </c>
      <c r="S460" s="137" t="b">
        <f ca="1">(S13=2)</f>
        <v>0</v>
      </c>
      <c r="T460" s="94" t="b">
        <f ca="1">AND(NOT(S460),W460=TRUE)</f>
        <v>0</v>
      </c>
      <c r="U460"/>
      <c r="V460"/>
      <c r="W460" s="25"/>
      <c r="X460"/>
      <c r="AC460" s="378" t="b">
        <f ca="1">OR(AD460:AE460)</f>
        <v>0</v>
      </c>
      <c r="AD460" s="378" t="b">
        <f ca="1">T460</f>
        <v>0</v>
      </c>
      <c r="AE460" s="378"/>
      <c r="AL460" s="254" t="str">
        <f>SUBSTITUTE(SUBSTITUTE(SUBSTITUTE("dpa"&amp;$B460&amp;$C460&amp;$D460&amp;$E460,".","_"),"(","_"),")","")</f>
        <v>dpa703_7_1</v>
      </c>
      <c r="AM460" s="254">
        <f>M460</f>
        <v>4</v>
      </c>
      <c r="AN460" s="254" t="str">
        <f>SUBSTITUTE(SUBSTITUTE(SUBSTITUTE("dpc"&amp;$B460&amp;$C460&amp;$D460&amp;$E460,".","_"),"(","_"),")","")</f>
        <v>dpc703_7_1</v>
      </c>
      <c r="AO460" s="254">
        <f ca="1">O460</f>
        <v>0</v>
      </c>
      <c r="AP460" s="254" t="str">
        <f>SUBSTITUTE(SUBSTITUTE(SUBSTITUTE("dch"&amp;$B460&amp;$C460&amp;$D460&amp;$E460,".","_"),"(","_"),")","")</f>
        <v>dch703_7_1</v>
      </c>
      <c r="AQ460" s="254" t="str">
        <f>IF(LEN(W460)=0,"",W460)</f>
        <v/>
      </c>
    </row>
    <row r="461" spans="1:61" x14ac:dyDescent="0.25">
      <c r="B461" s="679" t="s">
        <v>967</v>
      </c>
      <c r="C461" s="90"/>
      <c r="D461" s="21"/>
      <c r="E461" s="21"/>
      <c r="F461" s="21"/>
      <c r="G461" s="21"/>
      <c r="H461" s="758"/>
      <c r="I461" s="4"/>
      <c r="J461" s="161"/>
      <c r="K461" s="161"/>
      <c r="L461" s="1796"/>
      <c r="M461" s="1767"/>
      <c r="N461" s="4"/>
      <c r="O461" s="1780"/>
      <c r="P461"/>
      <c r="Q461"/>
      <c r="R461"/>
      <c r="S461"/>
      <c r="T461"/>
      <c r="U461"/>
      <c r="V461"/>
      <c r="W461"/>
      <c r="X461"/>
    </row>
    <row r="462" spans="1:61" x14ac:dyDescent="0.25">
      <c r="B462" s="679" t="s">
        <v>967</v>
      </c>
      <c r="C462" s="21" t="s">
        <v>256</v>
      </c>
      <c r="D462" s="21"/>
      <c r="E462" s="21"/>
      <c r="F462" s="21"/>
      <c r="G462" s="21"/>
      <c r="H462" s="758"/>
      <c r="I462" s="4"/>
      <c r="J462" s="518" t="s">
        <v>256</v>
      </c>
      <c r="K462" s="448"/>
      <c r="L462" s="1754" t="s">
        <v>969</v>
      </c>
      <c r="M462" s="428"/>
      <c r="N462" s="4"/>
      <c r="O462" s="141"/>
      <c r="P462"/>
      <c r="Q462"/>
      <c r="R462"/>
      <c r="S462"/>
      <c r="T462"/>
      <c r="U462"/>
      <c r="V462"/>
      <c r="W462"/>
      <c r="X462" s="1757"/>
      <c r="AR462" s="254" t="str">
        <f>SUBSTITUTE(SUBSTITUTE(SUBSTITUTE("dnt"&amp;$B462&amp;$C462&amp;$D462&amp;$E462,".","_"),"(","_"),")","")</f>
        <v>dnt703_7_1_1</v>
      </c>
      <c r="AS462" s="254" t="str">
        <f>IF(LEN(X462)=0,"",X462)</f>
        <v/>
      </c>
    </row>
    <row r="463" spans="1:61" x14ac:dyDescent="0.25">
      <c r="B463" s="679" t="s">
        <v>967</v>
      </c>
      <c r="C463" s="21" t="s">
        <v>256</v>
      </c>
      <c r="D463" s="21"/>
      <c r="E463" s="21"/>
      <c r="F463" s="21"/>
      <c r="G463" s="21"/>
      <c r="H463" s="758"/>
      <c r="I463" s="4"/>
      <c r="J463" s="530"/>
      <c r="K463" s="449"/>
      <c r="L463" s="1755"/>
      <c r="M463" s="428"/>
      <c r="N463" s="4"/>
      <c r="O463" s="141"/>
      <c r="P463"/>
      <c r="Q463"/>
      <c r="R463"/>
      <c r="S463"/>
      <c r="T463"/>
      <c r="U463"/>
      <c r="V463"/>
      <c r="W463"/>
      <c r="X463" s="1757"/>
    </row>
    <row r="464" spans="1:61" ht="15" customHeight="1" x14ac:dyDescent="0.25">
      <c r="B464" s="679" t="s">
        <v>967</v>
      </c>
      <c r="C464" s="21" t="s">
        <v>258</v>
      </c>
      <c r="D464" s="21"/>
      <c r="E464" s="21"/>
      <c r="F464" s="21"/>
      <c r="G464" s="21"/>
      <c r="H464" s="758"/>
      <c r="I464" s="4"/>
      <c r="J464" s="549" t="s">
        <v>258</v>
      </c>
      <c r="K464" s="461"/>
      <c r="L464" s="1769" t="s">
        <v>4317</v>
      </c>
      <c r="M464" s="428"/>
      <c r="N464" s="4"/>
      <c r="O464" s="141"/>
      <c r="P464"/>
      <c r="Q464"/>
      <c r="R464"/>
      <c r="S464"/>
      <c r="T464"/>
      <c r="U464"/>
      <c r="V464"/>
      <c r="W464"/>
      <c r="X464" s="1757"/>
      <c r="AR464" s="254" t="str">
        <f>SUBSTITUTE(SUBSTITUTE(SUBSTITUTE("dnt"&amp;$B464&amp;$C464&amp;$D464&amp;$E464,".","_"),"(","_"),")","")</f>
        <v>dnt703_7_1_2</v>
      </c>
      <c r="AS464" s="254" t="str">
        <f>IF(LEN(X464)=0,"",X464)</f>
        <v/>
      </c>
    </row>
    <row r="465" spans="1:61" x14ac:dyDescent="0.25">
      <c r="B465" s="679" t="s">
        <v>967</v>
      </c>
      <c r="C465" s="21" t="s">
        <v>258</v>
      </c>
      <c r="D465" s="21"/>
      <c r="E465" s="21"/>
      <c r="F465" s="21"/>
      <c r="G465" s="21"/>
      <c r="H465" s="758"/>
      <c r="I465" s="4"/>
      <c r="J465" s="530"/>
      <c r="K465" s="449"/>
      <c r="L465" s="1786"/>
      <c r="M465" s="428"/>
      <c r="N465" s="4"/>
      <c r="O465" s="141"/>
      <c r="P465"/>
      <c r="Q465"/>
      <c r="R465"/>
      <c r="S465"/>
      <c r="T465"/>
      <c r="U465"/>
      <c r="V465"/>
      <c r="W465"/>
      <c r="X465" s="1757"/>
    </row>
    <row r="466" spans="1:61" ht="15" customHeight="1" x14ac:dyDescent="0.25">
      <c r="B466" s="679" t="s">
        <v>967</v>
      </c>
      <c r="C466" s="21" t="s">
        <v>260</v>
      </c>
      <c r="D466" s="21"/>
      <c r="E466" s="21"/>
      <c r="F466" s="21"/>
      <c r="G466" s="21"/>
      <c r="H466" s="758"/>
      <c r="I466" s="4"/>
      <c r="J466" s="549" t="s">
        <v>260</v>
      </c>
      <c r="K466" s="461"/>
      <c r="L466" s="1765" t="s">
        <v>4318</v>
      </c>
      <c r="M466" s="428"/>
      <c r="N466" s="4"/>
      <c r="O466" s="141"/>
      <c r="P466"/>
      <c r="Q466"/>
      <c r="R466"/>
      <c r="S466"/>
      <c r="T466"/>
      <c r="U466"/>
      <c r="V466"/>
      <c r="W466"/>
      <c r="X466" s="1757"/>
      <c r="AR466" s="254" t="str">
        <f>SUBSTITUTE(SUBSTITUTE(SUBSTITUTE("dnt"&amp;$B466&amp;$C466&amp;$D466&amp;$E466,".","_"),"(","_"),")","")</f>
        <v>dnt703_7_1_3</v>
      </c>
      <c r="AS466" s="254" t="str">
        <f>IF(LEN(X466)=0,"",X466)</f>
        <v/>
      </c>
    </row>
    <row r="467" spans="1:61" x14ac:dyDescent="0.25">
      <c r="B467" s="679" t="s">
        <v>967</v>
      </c>
      <c r="C467" s="21" t="s">
        <v>260</v>
      </c>
      <c r="D467" s="21"/>
      <c r="E467" s="21"/>
      <c r="F467" s="21"/>
      <c r="G467" s="21"/>
      <c r="H467" s="758"/>
      <c r="I467" s="4"/>
      <c r="J467" s="449"/>
      <c r="K467" s="449"/>
      <c r="L467" s="1786"/>
      <c r="M467" s="428"/>
      <c r="N467" s="4"/>
      <c r="O467" s="141"/>
      <c r="P467"/>
      <c r="Q467"/>
      <c r="R467"/>
      <c r="S467"/>
      <c r="T467"/>
      <c r="U467"/>
      <c r="V467"/>
      <c r="W467"/>
      <c r="X467" s="1757"/>
    </row>
    <row r="468" spans="1:61" ht="15" customHeight="1" x14ac:dyDescent="0.25">
      <c r="B468" s="679" t="s">
        <v>967</v>
      </c>
      <c r="C468" s="21" t="s">
        <v>269</v>
      </c>
      <c r="D468" s="21"/>
      <c r="E468" s="21"/>
      <c r="F468" s="21"/>
      <c r="G468" s="21"/>
      <c r="H468" s="758"/>
      <c r="I468" s="4"/>
      <c r="J468" s="549" t="s">
        <v>269</v>
      </c>
      <c r="K468" s="461"/>
      <c r="L468" s="1765" t="s">
        <v>4319</v>
      </c>
      <c r="M468" s="428"/>
      <c r="N468" s="4"/>
      <c r="O468" s="141"/>
      <c r="P468"/>
      <c r="Q468"/>
      <c r="R468"/>
      <c r="S468"/>
      <c r="T468"/>
      <c r="U468"/>
      <c r="V468"/>
      <c r="W468"/>
      <c r="X468" s="1757"/>
      <c r="AR468" s="254" t="str">
        <f>SUBSTITUTE(SUBSTITUTE(SUBSTITUTE("dnt"&amp;$B468&amp;$C468&amp;$D468&amp;$E468,".","_"),"(","_"),")","")</f>
        <v>dnt703_7_1_4</v>
      </c>
      <c r="AS468" s="254" t="str">
        <f>IF(LEN(X468)=0,"",X468)</f>
        <v/>
      </c>
    </row>
    <row r="469" spans="1:61" x14ac:dyDescent="0.25">
      <c r="B469" s="679" t="s">
        <v>967</v>
      </c>
      <c r="C469" s="21" t="s">
        <v>269</v>
      </c>
      <c r="D469" s="21"/>
      <c r="E469" s="21"/>
      <c r="F469" s="21"/>
      <c r="G469" s="21"/>
      <c r="H469" s="758"/>
      <c r="I469" s="4"/>
      <c r="J469" s="449"/>
      <c r="K469" s="449"/>
      <c r="L469" s="1786"/>
      <c r="M469" s="428"/>
      <c r="N469" s="4"/>
      <c r="O469" s="141"/>
      <c r="P469"/>
      <c r="Q469"/>
      <c r="R469"/>
      <c r="S469"/>
      <c r="T469"/>
      <c r="U469"/>
      <c r="V469"/>
      <c r="W469"/>
      <c r="X469" s="1757"/>
    </row>
    <row r="470" spans="1:61" ht="15" customHeight="1" x14ac:dyDescent="0.25">
      <c r="B470" s="679" t="s">
        <v>967</v>
      </c>
      <c r="C470" s="21" t="s">
        <v>275</v>
      </c>
      <c r="D470" s="21"/>
      <c r="E470" s="21"/>
      <c r="F470" s="21"/>
      <c r="G470" s="21"/>
      <c r="H470" s="758"/>
      <c r="I470" s="4"/>
      <c r="J470" s="549" t="s">
        <v>275</v>
      </c>
      <c r="K470" s="461"/>
      <c r="L470" s="1765" t="s">
        <v>4320</v>
      </c>
      <c r="M470" s="428"/>
      <c r="N470" s="4"/>
      <c r="O470" s="141"/>
      <c r="P470"/>
      <c r="Q470"/>
      <c r="R470"/>
      <c r="S470"/>
      <c r="T470"/>
      <c r="U470"/>
      <c r="V470"/>
      <c r="W470"/>
      <c r="X470" s="1757"/>
      <c r="AR470" s="254" t="str">
        <f>SUBSTITUTE(SUBSTITUTE(SUBSTITUTE("dnt"&amp;$B470&amp;$C470&amp;$D470&amp;$E470,".","_"),"(","_"),")","")</f>
        <v>dnt703_7_1_5</v>
      </c>
      <c r="AS470" s="254" t="str">
        <f>IF(LEN(X470)=0,"",X470)</f>
        <v/>
      </c>
    </row>
    <row r="471" spans="1:61" x14ac:dyDescent="0.25">
      <c r="B471" s="679" t="s">
        <v>967</v>
      </c>
      <c r="C471" s="21" t="s">
        <v>275</v>
      </c>
      <c r="D471" s="21"/>
      <c r="E471" s="21"/>
      <c r="F471" s="21"/>
      <c r="G471" s="21"/>
      <c r="H471" s="758"/>
      <c r="I471" s="4"/>
      <c r="J471" s="449"/>
      <c r="K471" s="449"/>
      <c r="L471" s="1786"/>
      <c r="M471" s="428"/>
      <c r="N471" s="4"/>
      <c r="O471" s="141"/>
      <c r="P471"/>
      <c r="Q471"/>
      <c r="R471"/>
      <c r="S471"/>
      <c r="T471"/>
      <c r="U471"/>
      <c r="V471"/>
      <c r="W471"/>
      <c r="X471" s="1757"/>
    </row>
    <row r="472" spans="1:61" x14ac:dyDescent="0.25">
      <c r="B472" s="679" t="s">
        <v>967</v>
      </c>
      <c r="C472" s="21" t="s">
        <v>277</v>
      </c>
      <c r="D472" s="21"/>
      <c r="E472" s="21"/>
      <c r="F472" s="21"/>
      <c r="G472" s="21"/>
      <c r="H472" s="758"/>
      <c r="I472" s="4"/>
      <c r="J472" s="230" t="s">
        <v>277</v>
      </c>
      <c r="K472" s="161"/>
      <c r="L472" s="161" t="s">
        <v>970</v>
      </c>
      <c r="M472" s="428"/>
      <c r="N472" s="4"/>
      <c r="O472" s="141"/>
      <c r="P472"/>
      <c r="Q472"/>
      <c r="R472"/>
      <c r="S472"/>
      <c r="T472"/>
      <c r="U472"/>
      <c r="V472"/>
      <c r="W472"/>
      <c r="X472"/>
    </row>
    <row r="473" spans="1:61" s="159" customFormat="1" x14ac:dyDescent="0.25">
      <c r="A473" s="18"/>
      <c r="B473" s="679" t="s">
        <v>967</v>
      </c>
      <c r="C473" s="21" t="s">
        <v>277</v>
      </c>
      <c r="D473" s="21" t="s">
        <v>121</v>
      </c>
      <c r="E473" s="21"/>
      <c r="F473" s="21"/>
      <c r="G473" s="21"/>
      <c r="H473" s="758"/>
      <c r="I473" s="4"/>
      <c r="J473" s="161"/>
      <c r="K473" s="230" t="s">
        <v>121</v>
      </c>
      <c r="L473" s="834" t="s">
        <v>4321</v>
      </c>
      <c r="M473" s="428"/>
      <c r="N473" s="4"/>
      <c r="O473" s="141"/>
      <c r="P473"/>
      <c r="Q473"/>
      <c r="R473"/>
      <c r="S473"/>
      <c r="T473"/>
      <c r="U473"/>
      <c r="V473"/>
      <c r="W473"/>
      <c r="X473" s="821"/>
      <c r="Y473" s="780"/>
      <c r="Z473" s="76"/>
      <c r="AA473" s="783"/>
      <c r="AB473" s="76"/>
      <c r="AC473" s="76"/>
      <c r="AD473" s="76"/>
      <c r="AE473" s="76"/>
      <c r="AF473" s="76"/>
      <c r="AG473" s="76"/>
      <c r="AH473" s="76"/>
      <c r="AI473" s="76"/>
      <c r="AJ473" s="76"/>
      <c r="AK473" s="76"/>
      <c r="AL473" s="76"/>
      <c r="AM473" s="76"/>
      <c r="AN473" s="76"/>
      <c r="AO473" s="76"/>
      <c r="AP473" s="76"/>
      <c r="AQ473" s="76"/>
      <c r="AR473" s="254" t="str">
        <f>SUBSTITUTE(SUBSTITUTE(SUBSTITUTE("dnt"&amp;$B473&amp;$C473&amp;$D473&amp;$E473,".","_"),"(","_"),")","")</f>
        <v>dnt703_7_1_6_a</v>
      </c>
      <c r="AS473" s="254" t="str">
        <f>IF(LEN(X473)=0,"",X473)</f>
        <v/>
      </c>
      <c r="AT473" s="76"/>
      <c r="AU473" s="76"/>
      <c r="AV473" s="76"/>
      <c r="AW473" s="76"/>
      <c r="AX473" s="76"/>
      <c r="AY473" s="76"/>
      <c r="AZ473" s="76"/>
      <c r="BA473" s="76"/>
      <c r="BB473" s="76"/>
      <c r="BC473" s="76"/>
      <c r="BD473" s="76"/>
      <c r="BE473" s="76"/>
      <c r="BF473" s="76"/>
      <c r="BG473" s="76"/>
      <c r="BH473" s="76"/>
      <c r="BI473" s="76"/>
    </row>
    <row r="474" spans="1:61" x14ac:dyDescent="0.25">
      <c r="B474" s="679" t="s">
        <v>967</v>
      </c>
      <c r="C474" s="21" t="s">
        <v>277</v>
      </c>
      <c r="D474" s="21" t="s">
        <v>122</v>
      </c>
      <c r="E474" s="21"/>
      <c r="F474" s="21"/>
      <c r="G474" s="21"/>
      <c r="H474" s="758"/>
      <c r="I474" s="4"/>
      <c r="J474" s="161"/>
      <c r="K474" s="230" t="s">
        <v>122</v>
      </c>
      <c r="L474" s="161" t="s">
        <v>971</v>
      </c>
      <c r="M474" s="428"/>
      <c r="N474" s="4"/>
      <c r="O474" s="141"/>
      <c r="P474"/>
      <c r="Q474"/>
      <c r="R474"/>
      <c r="S474"/>
      <c r="T474"/>
      <c r="U474"/>
      <c r="V474"/>
      <c r="W474"/>
      <c r="X474" s="418"/>
      <c r="AR474" s="254" t="str">
        <f>SUBSTITUTE(SUBSTITUTE(SUBSTITUTE("dnt"&amp;$B474&amp;$C474&amp;$D474&amp;$E474,".","_"),"(","_"),")","")</f>
        <v>dnt703_7_1_6_b</v>
      </c>
      <c r="AS474" s="254" t="str">
        <f>IF(LEN(X474)=0,"",X474)</f>
        <v/>
      </c>
      <c r="AZ474" s="159"/>
      <c r="BA474" s="159"/>
      <c r="BB474" s="159"/>
      <c r="BC474" s="159"/>
      <c r="BD474" s="159"/>
      <c r="BE474" s="159"/>
      <c r="BF474" s="159"/>
      <c r="BG474" s="159"/>
      <c r="BH474" s="159"/>
      <c r="BI474" s="159"/>
    </row>
    <row r="475" spans="1:61" x14ac:dyDescent="0.25">
      <c r="B475" s="679" t="s">
        <v>967</v>
      </c>
      <c r="C475" s="21" t="s">
        <v>277</v>
      </c>
      <c r="D475" s="26" t="s">
        <v>123</v>
      </c>
      <c r="E475" s="26"/>
      <c r="F475" s="26"/>
      <c r="G475" s="26"/>
      <c r="H475" s="759"/>
      <c r="I475" s="4"/>
      <c r="J475" s="448"/>
      <c r="K475" s="554" t="s">
        <v>123</v>
      </c>
      <c r="L475" s="1754" t="s">
        <v>972</v>
      </c>
      <c r="M475" s="428"/>
      <c r="N475" s="4"/>
      <c r="O475" s="141"/>
      <c r="P475"/>
      <c r="Q475"/>
      <c r="R475"/>
      <c r="S475"/>
      <c r="T475"/>
      <c r="U475"/>
      <c r="V475"/>
      <c r="W475"/>
      <c r="X475" s="1757"/>
      <c r="AR475" s="254" t="str">
        <f>SUBSTITUTE(SUBSTITUTE(SUBSTITUTE("dnt"&amp;$B475&amp;$C475&amp;$D475&amp;$E475,".","_"),"(","_"),")","")</f>
        <v>dnt703_7_1_6_c</v>
      </c>
      <c r="AS475" s="254" t="str">
        <f>IF(LEN(X475)=0,"",X475)</f>
        <v/>
      </c>
    </row>
    <row r="476" spans="1:61" x14ac:dyDescent="0.25">
      <c r="B476" s="679" t="s">
        <v>967</v>
      </c>
      <c r="C476" s="21" t="s">
        <v>277</v>
      </c>
      <c r="D476" s="26" t="s">
        <v>123</v>
      </c>
      <c r="E476" s="21"/>
      <c r="F476" s="21"/>
      <c r="G476" s="21"/>
      <c r="H476" s="758"/>
      <c r="I476" s="4"/>
      <c r="J476" s="449"/>
      <c r="K476" s="449"/>
      <c r="L476" s="1755"/>
      <c r="M476" s="428"/>
      <c r="N476" s="4"/>
      <c r="O476" s="141"/>
      <c r="P476"/>
      <c r="Q476"/>
      <c r="R476"/>
      <c r="S476"/>
      <c r="T476"/>
      <c r="U476"/>
      <c r="V476"/>
      <c r="W476"/>
      <c r="X476" s="1757"/>
    </row>
    <row r="477" spans="1:61" x14ac:dyDescent="0.25">
      <c r="B477" s="679" t="s">
        <v>967</v>
      </c>
      <c r="C477" s="21" t="s">
        <v>383</v>
      </c>
      <c r="D477" s="21"/>
      <c r="E477" s="21"/>
      <c r="F477" s="21"/>
      <c r="G477" s="21"/>
      <c r="H477" s="758"/>
      <c r="I477" s="4"/>
      <c r="J477" s="549" t="s">
        <v>383</v>
      </c>
      <c r="K477" s="461"/>
      <c r="L477" s="1778" t="s">
        <v>3629</v>
      </c>
      <c r="M477" s="428"/>
      <c r="N477" s="4"/>
      <c r="O477" s="141"/>
      <c r="P477"/>
      <c r="Q477"/>
      <c r="R477"/>
      <c r="S477"/>
      <c r="T477"/>
      <c r="U477"/>
      <c r="V477"/>
      <c r="W477"/>
      <c r="X477" s="1757"/>
      <c r="AR477" s="254" t="str">
        <f>SUBSTITUTE(SUBSTITUTE(SUBSTITUTE("dnt"&amp;$B477&amp;$C477&amp;$D477&amp;$E477,".","_"),"(","_"),")","")</f>
        <v>dnt703_7_1_7</v>
      </c>
      <c r="AS477" s="254" t="str">
        <f>IF(LEN(X477)=0,"",X477)</f>
        <v/>
      </c>
    </row>
    <row r="478" spans="1:61" x14ac:dyDescent="0.25">
      <c r="B478" s="679" t="s">
        <v>967</v>
      </c>
      <c r="C478" s="21" t="s">
        <v>383</v>
      </c>
      <c r="D478" s="21"/>
      <c r="E478" s="21"/>
      <c r="F478" s="21"/>
      <c r="G478" s="21"/>
      <c r="H478" s="758"/>
      <c r="I478" s="4"/>
      <c r="J478" s="448"/>
      <c r="K478" s="448"/>
      <c r="L478" s="1754"/>
      <c r="M478" s="428"/>
      <c r="N478" s="4"/>
      <c r="O478" s="141"/>
      <c r="P478"/>
      <c r="Q478"/>
      <c r="R478"/>
      <c r="S478"/>
      <c r="T478"/>
      <c r="U478"/>
      <c r="V478"/>
      <c r="W478"/>
      <c r="X478" s="1757"/>
    </row>
    <row r="479" spans="1:61" s="378" customFormat="1" x14ac:dyDescent="0.25">
      <c r="A479" s="18"/>
      <c r="B479" s="679" t="s">
        <v>967</v>
      </c>
      <c r="C479" s="21" t="s">
        <v>383</v>
      </c>
      <c r="D479" s="21"/>
      <c r="E479" s="21"/>
      <c r="F479" s="21"/>
      <c r="G479" s="21"/>
      <c r="H479" s="758"/>
      <c r="I479" s="4"/>
      <c r="J479" s="449"/>
      <c r="K479" s="449"/>
      <c r="L479" s="527" t="s">
        <v>3630</v>
      </c>
      <c r="M479" s="428"/>
      <c r="N479" s="4"/>
      <c r="O479" s="141"/>
      <c r="X479" s="1757"/>
      <c r="Y479" s="780"/>
      <c r="AA479" s="783"/>
      <c r="AX479" s="76"/>
      <c r="AY479" s="76"/>
      <c r="AZ479" s="76"/>
      <c r="BA479" s="76"/>
      <c r="BB479" s="76"/>
      <c r="BC479" s="76"/>
      <c r="BD479" s="76"/>
      <c r="BE479" s="76"/>
      <c r="BF479" s="76"/>
      <c r="BG479" s="76"/>
      <c r="BH479" s="76"/>
      <c r="BI479" s="76"/>
    </row>
    <row r="480" spans="1:61" x14ac:dyDescent="0.25">
      <c r="B480" s="679" t="s">
        <v>967</v>
      </c>
      <c r="C480" s="21" t="s">
        <v>428</v>
      </c>
      <c r="D480" s="21"/>
      <c r="E480" s="21"/>
      <c r="F480" s="21"/>
      <c r="G480" s="21"/>
      <c r="H480" s="758"/>
      <c r="I480" s="4"/>
      <c r="J480" s="550" t="s">
        <v>428</v>
      </c>
      <c r="K480" s="280"/>
      <c r="L480" s="280" t="s">
        <v>973</v>
      </c>
      <c r="M480" s="428"/>
      <c r="N480" s="4"/>
      <c r="O480" s="141"/>
      <c r="P480"/>
      <c r="Q480"/>
      <c r="R480"/>
      <c r="S480"/>
      <c r="T480"/>
      <c r="U480"/>
      <c r="V480"/>
      <c r="W480"/>
      <c r="X480" s="418"/>
      <c r="AR480" s="254" t="str">
        <f>SUBSTITUTE(SUBSTITUTE(SUBSTITUTE("dnt"&amp;$B480&amp;$C480&amp;$D480&amp;$E480,".","_"),"(","_"),")","")</f>
        <v>dnt703_7_1_8</v>
      </c>
      <c r="AS480" s="254" t="str">
        <f>IF(LEN(X480)=0,"",X480)</f>
        <v/>
      </c>
      <c r="AZ480" s="378"/>
      <c r="BA480" s="378"/>
      <c r="BB480" s="378"/>
      <c r="BC480" s="378"/>
      <c r="BD480" s="378"/>
      <c r="BE480" s="378"/>
      <c r="BF480" s="378"/>
      <c r="BG480" s="378"/>
      <c r="BH480" s="378"/>
      <c r="BI480" s="378"/>
    </row>
    <row r="481" spans="2:51" ht="15" customHeight="1" x14ac:dyDescent="0.25">
      <c r="B481" s="679" t="s">
        <v>967</v>
      </c>
      <c r="C481" s="21" t="s">
        <v>430</v>
      </c>
      <c r="D481" s="21"/>
      <c r="E481" s="21"/>
      <c r="F481" s="21"/>
      <c r="G481" s="21"/>
      <c r="H481" s="758"/>
      <c r="I481" s="4"/>
      <c r="J481" s="230" t="s">
        <v>430</v>
      </c>
      <c r="K481" s="161"/>
      <c r="L481" s="161" t="s">
        <v>974</v>
      </c>
      <c r="M481" s="428"/>
      <c r="N481" s="4"/>
      <c r="O481" s="141"/>
      <c r="P481"/>
      <c r="Q481"/>
      <c r="R481"/>
      <c r="S481"/>
      <c r="T481"/>
      <c r="U481"/>
      <c r="V481"/>
      <c r="W481"/>
      <c r="X481" s="418"/>
      <c r="AR481" s="254" t="str">
        <f>SUBSTITUTE(SUBSTITUTE(SUBSTITUTE("dnt"&amp;$B481&amp;$C481&amp;$D481&amp;$E481,".","_"),"(","_"),")","")</f>
        <v>dnt703_7_1_9</v>
      </c>
      <c r="AS481" s="254" t="str">
        <f>IF(LEN(X481)=0,"",X481)</f>
        <v/>
      </c>
    </row>
    <row r="482" spans="2:51" x14ac:dyDescent="0.25">
      <c r="B482" s="679" t="s">
        <v>967</v>
      </c>
      <c r="C482" s="21" t="s">
        <v>430</v>
      </c>
      <c r="D482" s="21" t="s">
        <v>3969</v>
      </c>
      <c r="E482" s="21"/>
      <c r="F482" s="21"/>
      <c r="G482" s="21"/>
      <c r="H482" s="758"/>
      <c r="I482" s="129"/>
      <c r="J482" s="448"/>
      <c r="K482" s="448"/>
      <c r="L482" s="1882" t="s">
        <v>4322</v>
      </c>
      <c r="M482" s="452"/>
      <c r="N482" s="129"/>
      <c r="O482" s="502"/>
      <c r="P482" s="94"/>
      <c r="Q482" s="94"/>
      <c r="R482" s="94"/>
      <c r="S482" s="94"/>
      <c r="T482" s="94"/>
      <c r="U482" s="94"/>
      <c r="V482" s="94"/>
      <c r="W482" s="94"/>
      <c r="X482" s="1770"/>
      <c r="AR482" s="254" t="str">
        <f>SUBSTITUTE(SUBSTITUTE(SUBSTITUTE("dnt"&amp;$B482&amp;$C482&amp;$D482&amp;$E482,".","_"),"(","_"),")","")</f>
        <v>dnt703_7_1_9_m</v>
      </c>
      <c r="AS482" s="254" t="str">
        <f>IF(LEN(X482)=0,"",X482)</f>
        <v/>
      </c>
      <c r="AX482"/>
      <c r="AY482"/>
    </row>
    <row r="483" spans="2:51" x14ac:dyDescent="0.25">
      <c r="B483" s="679" t="s">
        <v>967</v>
      </c>
      <c r="C483" s="21" t="s">
        <v>430</v>
      </c>
      <c r="D483" s="21"/>
      <c r="E483" s="21"/>
      <c r="F483" s="21"/>
      <c r="G483" s="21"/>
      <c r="H483" s="758"/>
      <c r="I483" s="129"/>
      <c r="J483" s="448"/>
      <c r="K483" s="448"/>
      <c r="L483" s="1882"/>
      <c r="M483" s="452"/>
      <c r="N483" s="129"/>
      <c r="O483" s="502"/>
      <c r="P483" s="94"/>
      <c r="Q483" s="94"/>
      <c r="R483" s="94"/>
      <c r="S483" s="94"/>
      <c r="T483" s="94"/>
      <c r="U483" s="94"/>
      <c r="V483" s="94"/>
      <c r="W483" s="94"/>
      <c r="X483" s="1770"/>
    </row>
    <row r="484" spans="2:51" x14ac:dyDescent="0.25">
      <c r="B484" s="679" t="s">
        <v>967</v>
      </c>
      <c r="C484" s="21" t="s">
        <v>430</v>
      </c>
      <c r="D484" s="21"/>
      <c r="E484" s="21"/>
      <c r="F484" s="21"/>
      <c r="G484" s="21"/>
      <c r="H484" s="758"/>
      <c r="I484" s="129"/>
      <c r="J484" s="448"/>
      <c r="K484" s="448"/>
      <c r="L484" s="1882"/>
      <c r="M484" s="452"/>
      <c r="N484" s="129"/>
      <c r="O484" s="502"/>
      <c r="P484" s="94"/>
      <c r="Q484" s="94"/>
      <c r="R484" s="94"/>
      <c r="S484" s="94"/>
      <c r="T484" s="94"/>
      <c r="U484" s="94"/>
      <c r="V484" s="94"/>
      <c r="W484" s="94"/>
      <c r="X484" s="1770"/>
    </row>
    <row r="485" spans="2:51" x14ac:dyDescent="0.25">
      <c r="B485" s="679" t="s">
        <v>967</v>
      </c>
      <c r="C485" s="21" t="s">
        <v>430</v>
      </c>
      <c r="D485" s="21"/>
      <c r="E485" s="21"/>
      <c r="F485" s="21"/>
      <c r="G485" s="21"/>
      <c r="H485" s="758"/>
      <c r="I485" s="129"/>
      <c r="J485" s="448"/>
      <c r="K485" s="448"/>
      <c r="L485" s="1882"/>
      <c r="M485" s="452"/>
      <c r="N485" s="129"/>
      <c r="O485" s="502"/>
      <c r="P485" s="94"/>
      <c r="Q485" s="94"/>
      <c r="R485" s="94"/>
      <c r="S485" s="94"/>
      <c r="T485" s="94"/>
      <c r="U485" s="94"/>
      <c r="V485" s="94"/>
      <c r="W485" s="94"/>
      <c r="X485" s="1770"/>
    </row>
    <row r="486" spans="2:51" x14ac:dyDescent="0.25">
      <c r="B486" s="679" t="s">
        <v>967</v>
      </c>
      <c r="C486" s="21" t="s">
        <v>430</v>
      </c>
      <c r="D486" s="21"/>
      <c r="E486" s="21"/>
      <c r="F486" s="21"/>
      <c r="G486" s="21"/>
      <c r="H486" s="758"/>
      <c r="I486" s="210"/>
      <c r="J486" s="449"/>
      <c r="K486" s="449"/>
      <c r="L486" s="1883"/>
      <c r="M486" s="453"/>
      <c r="N486" s="210"/>
      <c r="O486" s="503"/>
      <c r="P486" s="178"/>
      <c r="Q486" s="178"/>
      <c r="R486" s="178"/>
      <c r="S486" s="178"/>
      <c r="T486" s="178"/>
      <c r="U486" s="178"/>
      <c r="V486" s="178"/>
      <c r="W486" s="178"/>
      <c r="X486" s="1770"/>
    </row>
    <row r="487" spans="2:51" x14ac:dyDescent="0.25">
      <c r="B487" s="90" t="s">
        <v>975</v>
      </c>
      <c r="C487" s="90"/>
      <c r="D487" s="21"/>
      <c r="E487" s="21"/>
      <c r="F487" s="21"/>
      <c r="G487" s="21"/>
      <c r="H487" s="758"/>
      <c r="I487" s="533" t="s">
        <v>975</v>
      </c>
      <c r="J487" s="461"/>
      <c r="K487" s="461"/>
      <c r="L487" s="1864" t="s">
        <v>976</v>
      </c>
      <c r="M487" s="1762">
        <v>1</v>
      </c>
      <c r="N487" s="193"/>
      <c r="O487" s="1763">
        <f ca="1">M487*S487*W487</f>
        <v>0</v>
      </c>
      <c r="P487" s="94" t="b">
        <v>1</v>
      </c>
      <c r="Q487" s="94" t="b">
        <v>1</v>
      </c>
      <c r="R487" s="134" t="b">
        <v>0</v>
      </c>
      <c r="S487" s="137" t="b">
        <f ca="1">(S13=2)</f>
        <v>0</v>
      </c>
      <c r="T487" s="94" t="b">
        <f ca="1">AND(NOT(S487),W487=TRUE)</f>
        <v>0</v>
      </c>
      <c r="U487"/>
      <c r="V487"/>
      <c r="W487" s="117"/>
      <c r="X487" s="1756"/>
      <c r="AC487" s="378" t="b">
        <f ca="1">OR(AD487:AE487)</f>
        <v>0</v>
      </c>
      <c r="AD487" s="378" t="b">
        <f ca="1">T487</f>
        <v>0</v>
      </c>
      <c r="AE487" s="378"/>
      <c r="AL487" s="254" t="str">
        <f>SUBSTITUTE(SUBSTITUTE(SUBSTITUTE("dpa"&amp;$B487&amp;$C487&amp;$D487&amp;$E487,".","_"),"(","_"),")","")</f>
        <v xml:space="preserve">dpa703_7_2 </v>
      </c>
      <c r="AM487" s="254">
        <f>M487</f>
        <v>1</v>
      </c>
      <c r="AN487" s="254" t="str">
        <f>SUBSTITUTE(SUBSTITUTE(SUBSTITUTE("dpc"&amp;$B487&amp;$C487&amp;$D487&amp;$E487,".","_"),"(","_"),")","")</f>
        <v xml:space="preserve">dpc703_7_2 </v>
      </c>
      <c r="AO487" s="254">
        <f ca="1">O487</f>
        <v>0</v>
      </c>
      <c r="AP487" s="254" t="str">
        <f>SUBSTITUTE(SUBSTITUTE(SUBSTITUTE("dch"&amp;$B487&amp;$C487&amp;$D487&amp;$E487,".","_"),"(","_"),")","")</f>
        <v xml:space="preserve">dch703_7_2 </v>
      </c>
      <c r="AQ487" s="254" t="str">
        <f>IF(LEN(W487)=0,"",W487)</f>
        <v/>
      </c>
      <c r="AR487" s="254" t="str">
        <f>SUBSTITUTE(SUBSTITUTE(SUBSTITUTE("dnt"&amp;$B487&amp;$C487&amp;$D487&amp;$E487,".","_"),"(","_"),")","")</f>
        <v xml:space="preserve">dnt703_7_2 </v>
      </c>
      <c r="AS487" s="254" t="str">
        <f>IF(LEN(X487)=0,"",X487)</f>
        <v/>
      </c>
    </row>
    <row r="488" spans="2:51" x14ac:dyDescent="0.25">
      <c r="B488" s="90" t="s">
        <v>975</v>
      </c>
      <c r="C488" s="90"/>
      <c r="D488" s="21"/>
      <c r="E488" s="21"/>
      <c r="F488" s="21"/>
      <c r="G488" s="21"/>
      <c r="H488" s="758"/>
      <c r="I488" s="210"/>
      <c r="J488" s="449"/>
      <c r="K488" s="449"/>
      <c r="L488" s="1843"/>
      <c r="M488" s="1759"/>
      <c r="N488" s="210"/>
      <c r="O488" s="1764"/>
      <c r="P488"/>
      <c r="Q488"/>
      <c r="R488"/>
      <c r="S488"/>
      <c r="T488"/>
      <c r="U488"/>
      <c r="V488"/>
      <c r="W488"/>
      <c r="X488" s="1757"/>
    </row>
    <row r="489" spans="2:51" x14ac:dyDescent="0.25">
      <c r="B489" s="679" t="s">
        <v>977</v>
      </c>
      <c r="C489" s="90"/>
      <c r="D489" s="21"/>
      <c r="E489" s="21"/>
      <c r="F489" s="21"/>
      <c r="G489" s="21"/>
      <c r="H489" s="758"/>
      <c r="I489" s="66" t="s">
        <v>977</v>
      </c>
      <c r="J489" s="161"/>
      <c r="K489" s="161"/>
      <c r="L489" s="1796" t="s">
        <v>978</v>
      </c>
      <c r="M489" s="428"/>
      <c r="N489" s="4"/>
      <c r="O489" s="1780">
        <f ca="1">INDEX({0,3,4},MATCH(S491,{0,3,4},1))*S495</f>
        <v>0</v>
      </c>
      <c r="P489"/>
      <c r="Q489"/>
      <c r="R489"/>
      <c r="S489"/>
      <c r="T489"/>
      <c r="U489"/>
      <c r="V489"/>
      <c r="W489"/>
      <c r="X489"/>
      <c r="AN489" s="254" t="str">
        <f>SUBSTITUTE(SUBSTITUTE(SUBSTITUTE("dpc"&amp;$B489&amp;$C489&amp;$D489&amp;$E489,".","_"),"(","_"),")","")</f>
        <v>dpc703_7_3</v>
      </c>
      <c r="AO489" s="254">
        <f ca="1">O489</f>
        <v>0</v>
      </c>
    </row>
    <row r="490" spans="2:51" x14ac:dyDescent="0.25">
      <c r="B490" s="679" t="s">
        <v>977</v>
      </c>
      <c r="C490" s="90"/>
      <c r="D490" s="21"/>
      <c r="E490" s="21"/>
      <c r="F490" s="21"/>
      <c r="G490" s="21"/>
      <c r="H490" s="758"/>
      <c r="I490" s="4"/>
      <c r="J490" s="161"/>
      <c r="K490" s="161"/>
      <c r="L490" s="1796"/>
      <c r="M490" s="428"/>
      <c r="N490" s="4"/>
      <c r="O490" s="1780"/>
      <c r="P490"/>
      <c r="Q490"/>
      <c r="R490"/>
      <c r="S490"/>
      <c r="T490"/>
      <c r="U490"/>
      <c r="V490"/>
      <c r="W490"/>
      <c r="X490"/>
    </row>
    <row r="491" spans="2:51" x14ac:dyDescent="0.25">
      <c r="B491" s="679" t="s">
        <v>977</v>
      </c>
      <c r="C491" s="77" t="s">
        <v>256</v>
      </c>
      <c r="D491" s="21"/>
      <c r="E491" s="21"/>
      <c r="F491" s="21"/>
      <c r="G491" s="21"/>
      <c r="H491" s="758"/>
      <c r="I491" s="4"/>
      <c r="J491" s="161"/>
      <c r="K491" s="161"/>
      <c r="L491" s="163" t="s">
        <v>979</v>
      </c>
      <c r="M491" s="428">
        <v>3</v>
      </c>
      <c r="N491" s="4"/>
      <c r="O491" s="141"/>
      <c r="P491"/>
      <c r="Q491"/>
      <c r="R491" t="s">
        <v>3628</v>
      </c>
      <c r="S491" s="1">
        <f ca="1">(1*MIN(1,COUNTIF(W495:W499,TRUE))+1*S501*W501+1*W504+1*S506*W506+1*MIN(1,COUNTIF(W511:W513,TRUE))+1*W515)</f>
        <v>0</v>
      </c>
      <c r="T491"/>
      <c r="U491"/>
      <c r="V491"/>
      <c r="W491"/>
      <c r="X491"/>
      <c r="AL491" s="254" t="str">
        <f>SUBSTITUTE(SUBSTITUTE(SUBSTITUTE("dpa"&amp;$B491&amp;$C491&amp;$D491&amp;$E491,".","_"),"(","_"),")","")</f>
        <v>dpa703_7_3_1</v>
      </c>
      <c r="AM491" s="254">
        <f>M491</f>
        <v>3</v>
      </c>
    </row>
    <row r="492" spans="2:51" x14ac:dyDescent="0.25">
      <c r="B492" s="679" t="s">
        <v>977</v>
      </c>
      <c r="C492" s="77" t="s">
        <v>258</v>
      </c>
      <c r="D492" s="21"/>
      <c r="E492" s="21"/>
      <c r="F492" s="21"/>
      <c r="G492" s="21"/>
      <c r="H492" s="758"/>
      <c r="I492" s="4"/>
      <c r="J492" s="161"/>
      <c r="K492" s="161"/>
      <c r="L492" s="163" t="s">
        <v>980</v>
      </c>
      <c r="M492" s="428">
        <v>1</v>
      </c>
      <c r="N492" s="4"/>
      <c r="O492" s="141"/>
      <c r="P492"/>
      <c r="Q492"/>
      <c r="R492"/>
      <c r="S492"/>
      <c r="T492"/>
      <c r="U492"/>
      <c r="V492"/>
      <c r="W492"/>
      <c r="X492"/>
      <c r="AL492" s="254" t="str">
        <f>SUBSTITUTE(SUBSTITUTE(SUBSTITUTE("dpa"&amp;$B492&amp;$C492&amp;$D492&amp;$E492,".","_"),"(","_"),")","")</f>
        <v>dpa703_7_3_2</v>
      </c>
      <c r="AM492" s="254">
        <f>M492</f>
        <v>1</v>
      </c>
    </row>
    <row r="493" spans="2:51" x14ac:dyDescent="0.25">
      <c r="B493" s="679" t="s">
        <v>977</v>
      </c>
      <c r="C493" s="77" t="s">
        <v>256</v>
      </c>
      <c r="D493" s="21"/>
      <c r="E493" s="21"/>
      <c r="F493" s="21"/>
      <c r="G493" s="21"/>
      <c r="H493" s="758"/>
      <c r="I493" s="4"/>
      <c r="J493" s="234" t="s">
        <v>256</v>
      </c>
      <c r="K493" s="161"/>
      <c r="L493" s="1779" t="s">
        <v>981</v>
      </c>
      <c r="M493" s="428"/>
      <c r="N493" s="4"/>
      <c r="O493" s="141"/>
      <c r="P493"/>
      <c r="Q493"/>
      <c r="R493"/>
      <c r="S493"/>
      <c r="T493"/>
      <c r="U493"/>
      <c r="V493"/>
      <c r="W493"/>
      <c r="X493"/>
    </row>
    <row r="494" spans="2:51" x14ac:dyDescent="0.25">
      <c r="B494" s="679" t="s">
        <v>977</v>
      </c>
      <c r="C494" s="77" t="s">
        <v>256</v>
      </c>
      <c r="D494" s="21"/>
      <c r="E494" s="21"/>
      <c r="F494" s="21"/>
      <c r="G494" s="21"/>
      <c r="H494" s="758"/>
      <c r="I494" s="4"/>
      <c r="J494" s="161"/>
      <c r="K494" s="161"/>
      <c r="L494" s="1779"/>
      <c r="M494" s="428"/>
      <c r="N494" s="4"/>
      <c r="O494" s="141"/>
      <c r="P494"/>
      <c r="Q494"/>
      <c r="R494"/>
      <c r="S494"/>
      <c r="T494"/>
      <c r="U494"/>
      <c r="V494"/>
      <c r="W494"/>
      <c r="X494"/>
    </row>
    <row r="495" spans="2:51" x14ac:dyDescent="0.25">
      <c r="B495" s="679" t="s">
        <v>977</v>
      </c>
      <c r="C495" s="77" t="s">
        <v>256</v>
      </c>
      <c r="D495" s="21" t="s">
        <v>121</v>
      </c>
      <c r="E495" s="21"/>
      <c r="F495" s="21"/>
      <c r="G495" s="21"/>
      <c r="H495" s="758"/>
      <c r="I495" s="4"/>
      <c r="J495" s="161"/>
      <c r="K495" s="230" t="s">
        <v>121</v>
      </c>
      <c r="L495" s="1779" t="s">
        <v>982</v>
      </c>
      <c r="M495" s="428"/>
      <c r="N495" s="4"/>
      <c r="O495" s="141"/>
      <c r="P495" s="94" t="b">
        <v>1</v>
      </c>
      <c r="Q495" s="94" t="b">
        <v>1</v>
      </c>
      <c r="R495" s="378" t="b">
        <v>0</v>
      </c>
      <c r="S495" s="378" t="b">
        <f ca="1">(S13=2)</f>
        <v>0</v>
      </c>
      <c r="T495" s="94" t="b">
        <f ca="1">AND(NOT(S495),W495=TRUE)</f>
        <v>0</v>
      </c>
      <c r="U495"/>
      <c r="V495"/>
      <c r="W495" s="25"/>
      <c r="X495" s="1757"/>
      <c r="AC495" s="378" t="b">
        <f ca="1">OR(AD495:AE495)</f>
        <v>0</v>
      </c>
      <c r="AD495" s="378" t="b">
        <f ca="1">T495</f>
        <v>0</v>
      </c>
      <c r="AE495" s="378"/>
      <c r="AP495" s="254" t="str">
        <f>SUBSTITUTE(SUBSTITUTE(SUBSTITUTE("dch"&amp;$B495&amp;$C495&amp;$D495&amp;$E495,".","_"),"(","_"),")","")</f>
        <v>dch703_7_3_1_a</v>
      </c>
      <c r="AQ495" s="254" t="str">
        <f>IF(LEN(W495)=0,"",W495)</f>
        <v/>
      </c>
      <c r="AR495" s="254" t="str">
        <f>SUBSTITUTE(SUBSTITUTE(SUBSTITUTE("dnt"&amp;$B495&amp;$C495&amp;$D495&amp;$E495,".","_"),"(","_"),")","")</f>
        <v>dnt703_7_3_1_a</v>
      </c>
      <c r="AS495" s="254" t="str">
        <f>IF(LEN(X495)=0,"",X495)</f>
        <v/>
      </c>
    </row>
    <row r="496" spans="2:51" x14ac:dyDescent="0.25">
      <c r="B496" s="679" t="s">
        <v>977</v>
      </c>
      <c r="C496" s="77" t="s">
        <v>256</v>
      </c>
      <c r="D496" s="21" t="s">
        <v>121</v>
      </c>
      <c r="E496" s="21"/>
      <c r="F496" s="21"/>
      <c r="G496" s="21"/>
      <c r="H496" s="758"/>
      <c r="I496" s="4"/>
      <c r="J496" s="161"/>
      <c r="K496" s="161"/>
      <c r="L496" s="1779"/>
      <c r="M496" s="428"/>
      <c r="N496" s="4"/>
      <c r="O496" s="141"/>
      <c r="P496"/>
      <c r="Q496"/>
      <c r="R496"/>
      <c r="S496"/>
      <c r="T496"/>
      <c r="U496"/>
      <c r="V496"/>
      <c r="W496"/>
      <c r="X496" s="1757"/>
    </row>
    <row r="497" spans="2:61" x14ac:dyDescent="0.25">
      <c r="B497" s="679" t="s">
        <v>977</v>
      </c>
      <c r="C497" s="77" t="s">
        <v>256</v>
      </c>
      <c r="D497" s="21" t="s">
        <v>122</v>
      </c>
      <c r="E497" s="21"/>
      <c r="F497" s="21"/>
      <c r="G497" s="21"/>
      <c r="H497" s="758"/>
      <c r="I497" s="4"/>
      <c r="J497" s="161"/>
      <c r="K497" s="230" t="s">
        <v>122</v>
      </c>
      <c r="L497" s="161" t="s">
        <v>983</v>
      </c>
      <c r="M497" s="428"/>
      <c r="N497" s="4"/>
      <c r="O497" s="141"/>
      <c r="P497" s="94" t="b">
        <v>1</v>
      </c>
      <c r="Q497" s="94" t="b">
        <v>1</v>
      </c>
      <c r="R497" s="378" t="b">
        <v>0</v>
      </c>
      <c r="S497" s="378" t="b">
        <f ca="1">(S13=2)</f>
        <v>0</v>
      </c>
      <c r="T497" s="94" t="b">
        <f ca="1">AND(NOT(S497),W497=TRUE)</f>
        <v>0</v>
      </c>
      <c r="U497"/>
      <c r="V497"/>
      <c r="W497" s="25"/>
      <c r="X497" s="418"/>
      <c r="AC497" s="378" t="b">
        <f ca="1">OR(AD497:AE497)</f>
        <v>0</v>
      </c>
      <c r="AD497" s="378" t="b">
        <f ca="1">T497</f>
        <v>0</v>
      </c>
      <c r="AE497" s="378"/>
      <c r="AP497" s="254" t="str">
        <f>SUBSTITUTE(SUBSTITUTE(SUBSTITUTE("dch"&amp;$B497&amp;$C497&amp;$D497&amp;$E497,".","_"),"(","_"),")","")</f>
        <v>dch703_7_3_1_b</v>
      </c>
      <c r="AQ497" s="254" t="str">
        <f>IF(LEN(W497)=0,"",W497)</f>
        <v/>
      </c>
      <c r="AR497" s="254" t="str">
        <f>SUBSTITUTE(SUBSTITUTE(SUBSTITUTE("dnt"&amp;$B497&amp;$C497&amp;$D497&amp;$E497,".","_"),"(","_"),")","")</f>
        <v>dnt703_7_3_1_b</v>
      </c>
      <c r="AS497" s="254" t="str">
        <f>IF(LEN(X497)=0,"",X497)</f>
        <v/>
      </c>
    </row>
    <row r="498" spans="2:61" x14ac:dyDescent="0.25">
      <c r="B498" s="679" t="s">
        <v>977</v>
      </c>
      <c r="C498" s="77" t="s">
        <v>256</v>
      </c>
      <c r="D498" s="26" t="s">
        <v>123</v>
      </c>
      <c r="E498" s="26"/>
      <c r="F498" s="26"/>
      <c r="G498" s="26"/>
      <c r="H498" s="759"/>
      <c r="I498" s="4"/>
      <c r="J498" s="161"/>
      <c r="K498" s="231" t="s">
        <v>123</v>
      </c>
      <c r="L498" s="161" t="s">
        <v>984</v>
      </c>
      <c r="M498" s="428"/>
      <c r="N498" s="4"/>
      <c r="O498" s="141"/>
      <c r="P498" s="94" t="b">
        <v>1</v>
      </c>
      <c r="Q498" s="94" t="b">
        <v>1</v>
      </c>
      <c r="R498" s="378" t="b">
        <v>0</v>
      </c>
      <c r="S498" s="378" t="b">
        <f ca="1">(S13=2)</f>
        <v>0</v>
      </c>
      <c r="T498" s="94" t="b">
        <f ca="1">AND(NOT(S498),W498=TRUE)</f>
        <v>0</v>
      </c>
      <c r="U498"/>
      <c r="V498"/>
      <c r="W498" s="25"/>
      <c r="X498" s="418"/>
      <c r="AC498" s="378" t="b">
        <f ca="1">OR(AD498:AE498)</f>
        <v>0</v>
      </c>
      <c r="AD498" s="378" t="b">
        <f ca="1">T498</f>
        <v>0</v>
      </c>
      <c r="AE498" s="378"/>
      <c r="AP498" s="254" t="str">
        <f>SUBSTITUTE(SUBSTITUTE(SUBSTITUTE("dch"&amp;$B498&amp;$C498&amp;$D498&amp;$E498,".","_"),"(","_"),")","")</f>
        <v>dch703_7_3_1_c</v>
      </c>
      <c r="AQ498" s="254" t="str">
        <f>IF(LEN(W498)=0,"",W498)</f>
        <v/>
      </c>
      <c r="AR498" s="254" t="str">
        <f>SUBSTITUTE(SUBSTITUTE(SUBSTITUTE("dnt"&amp;$B498&amp;$C498&amp;$D498&amp;$E498,".","_"),"(","_"),")","")</f>
        <v>dnt703_7_3_1_c</v>
      </c>
      <c r="AS498" s="254" t="str">
        <f>IF(LEN(X498)=0,"",X498)</f>
        <v/>
      </c>
    </row>
    <row r="499" spans="2:61" x14ac:dyDescent="0.25">
      <c r="B499" s="679" t="s">
        <v>977</v>
      </c>
      <c r="C499" s="77" t="s">
        <v>256</v>
      </c>
      <c r="D499" s="21" t="s">
        <v>401</v>
      </c>
      <c r="E499" s="21"/>
      <c r="F499" s="21"/>
      <c r="G499" s="21"/>
      <c r="H499" s="758"/>
      <c r="I499" s="4"/>
      <c r="J499" s="448"/>
      <c r="K499" s="282" t="s">
        <v>401</v>
      </c>
      <c r="L499" s="1754" t="s">
        <v>985</v>
      </c>
      <c r="M499" s="428"/>
      <c r="N499" s="4"/>
      <c r="O499" s="141"/>
      <c r="P499" s="94" t="b">
        <v>1</v>
      </c>
      <c r="Q499" s="94" t="b">
        <v>1</v>
      </c>
      <c r="R499" s="378" t="b">
        <v>0</v>
      </c>
      <c r="S499" s="378" t="b">
        <f ca="1">(S13=2)</f>
        <v>0</v>
      </c>
      <c r="T499" s="94" t="b">
        <f ca="1">AND(NOT(S499),W499=TRUE)</f>
        <v>0</v>
      </c>
      <c r="U499"/>
      <c r="V499"/>
      <c r="W499" s="25"/>
      <c r="X499" s="1757"/>
      <c r="AC499" s="378" t="b">
        <f ca="1">OR(AD499:AE499)</f>
        <v>0</v>
      </c>
      <c r="AD499" s="378" t="b">
        <f ca="1">T499</f>
        <v>0</v>
      </c>
      <c r="AE499" s="378"/>
      <c r="AP499" s="254" t="str">
        <f>SUBSTITUTE(SUBSTITUTE(SUBSTITUTE("dch"&amp;$B499&amp;$C499&amp;$D499&amp;$E499,".","_"),"(","_"),")","")</f>
        <v>dch703_7_3_1_d</v>
      </c>
      <c r="AQ499" s="254" t="str">
        <f>IF(LEN(W499)=0,"",W499)</f>
        <v/>
      </c>
      <c r="AR499" s="254" t="str">
        <f>SUBSTITUTE(SUBSTITUTE(SUBSTITUTE("dnt"&amp;$B499&amp;$C499&amp;$D499&amp;$E499,".","_"),"(","_"),")","")</f>
        <v>dnt703_7_3_1_d</v>
      </c>
      <c r="AS499" s="254" t="str">
        <f>IF(LEN(X499)=0,"",X499)</f>
        <v/>
      </c>
    </row>
    <row r="500" spans="2:61" x14ac:dyDescent="0.25">
      <c r="B500" s="679" t="s">
        <v>977</v>
      </c>
      <c r="C500" s="77" t="s">
        <v>256</v>
      </c>
      <c r="D500" s="21" t="s">
        <v>401</v>
      </c>
      <c r="E500" s="21"/>
      <c r="F500" s="21"/>
      <c r="G500" s="21"/>
      <c r="H500" s="758"/>
      <c r="I500" s="4"/>
      <c r="J500" s="449"/>
      <c r="K500" s="449"/>
      <c r="L500" s="1755"/>
      <c r="M500" s="428"/>
      <c r="N500" s="4"/>
      <c r="O500" s="141"/>
      <c r="P500"/>
      <c r="Q500"/>
      <c r="R500"/>
      <c r="S500"/>
      <c r="T500"/>
      <c r="U500"/>
      <c r="V500"/>
      <c r="W500"/>
      <c r="X500" s="1757"/>
    </row>
    <row r="501" spans="2:61" x14ac:dyDescent="0.25">
      <c r="B501" s="679" t="s">
        <v>977</v>
      </c>
      <c r="C501" s="77" t="s">
        <v>258</v>
      </c>
      <c r="D501" s="21"/>
      <c r="E501" s="21"/>
      <c r="F501" s="21"/>
      <c r="G501" s="21"/>
      <c r="H501" s="758"/>
      <c r="I501" s="4"/>
      <c r="J501" s="234" t="s">
        <v>258</v>
      </c>
      <c r="K501" s="161"/>
      <c r="L501" s="1779" t="s">
        <v>986</v>
      </c>
      <c r="M501" s="428"/>
      <c r="N501" s="4"/>
      <c r="O501" s="141"/>
      <c r="P501" s="94" t="b">
        <v>1</v>
      </c>
      <c r="Q501" s="94" t="b">
        <v>1</v>
      </c>
      <c r="R501" s="378" t="b">
        <v>0</v>
      </c>
      <c r="S501" s="378" t="b">
        <f ca="1">AND(S13=2,NOT(W460=TRUE))</f>
        <v>0</v>
      </c>
      <c r="T501" s="94" t="b">
        <f ca="1">AND(NOT(S501),W501=TRUE)</f>
        <v>0</v>
      </c>
      <c r="U501"/>
      <c r="V501"/>
      <c r="W501" s="25"/>
      <c r="X501" s="1757"/>
      <c r="AC501" s="378" t="b">
        <f ca="1">OR(AD501:AE501)</f>
        <v>0</v>
      </c>
      <c r="AD501" s="378" t="b">
        <f ca="1">T501</f>
        <v>0</v>
      </c>
      <c r="AE501" s="378"/>
      <c r="AP501" s="254" t="str">
        <f>SUBSTITUTE(SUBSTITUTE(SUBSTITUTE("dch"&amp;$B501&amp;$C501&amp;$D501&amp;$E501,".","_"),"(","_"),")","")</f>
        <v>dch703_7_3_2</v>
      </c>
      <c r="AQ501" s="254" t="str">
        <f>IF(LEN(W501)=0,"",W501)</f>
        <v/>
      </c>
      <c r="AR501" s="254" t="str">
        <f>SUBSTITUTE(SUBSTITUTE(SUBSTITUTE("dnt"&amp;$B501&amp;$C501&amp;$D501&amp;$E501,".","_"),"(","_"),")","")</f>
        <v>dnt703_7_3_2</v>
      </c>
      <c r="AS501" s="254" t="str">
        <f>IF(LEN(X501)=0,"",X501)</f>
        <v/>
      </c>
    </row>
    <row r="502" spans="2:61" x14ac:dyDescent="0.25">
      <c r="B502" s="679" t="s">
        <v>977</v>
      </c>
      <c r="C502" s="21" t="s">
        <v>258</v>
      </c>
      <c r="D502" s="21"/>
      <c r="E502" s="21"/>
      <c r="F502" s="21"/>
      <c r="G502" s="21"/>
      <c r="H502" s="758"/>
      <c r="I502" s="4"/>
      <c r="J502" s="161"/>
      <c r="K502" s="161"/>
      <c r="L502" s="1779"/>
      <c r="M502" s="428"/>
      <c r="N502" s="4"/>
      <c r="O502" s="141"/>
      <c r="P502"/>
      <c r="Q502"/>
      <c r="R502"/>
      <c r="S502"/>
      <c r="T502"/>
      <c r="U502"/>
      <c r="V502"/>
      <c r="W502"/>
      <c r="X502" s="1757"/>
    </row>
    <row r="503" spans="2:61" x14ac:dyDescent="0.25">
      <c r="B503" s="679" t="s">
        <v>977</v>
      </c>
      <c r="C503" s="21" t="s">
        <v>258</v>
      </c>
      <c r="D503" s="21"/>
      <c r="E503" s="21"/>
      <c r="F503" s="21"/>
      <c r="G503" s="21"/>
      <c r="H503" s="758"/>
      <c r="I503" s="4"/>
      <c r="J503" s="449"/>
      <c r="K503" s="449"/>
      <c r="L503" s="464" t="s">
        <v>987</v>
      </c>
      <c r="M503" s="428"/>
      <c r="N503" s="4"/>
      <c r="O503" s="141"/>
      <c r="P503"/>
      <c r="Q503"/>
      <c r="R503"/>
      <c r="S503"/>
      <c r="T503"/>
      <c r="U503"/>
      <c r="V503"/>
      <c r="W503"/>
      <c r="X503" s="1757"/>
    </row>
    <row r="504" spans="2:61" x14ac:dyDescent="0.25">
      <c r="B504" s="679" t="s">
        <v>977</v>
      </c>
      <c r="C504" s="21" t="s">
        <v>260</v>
      </c>
      <c r="D504" s="21"/>
      <c r="E504" s="21"/>
      <c r="F504" s="21"/>
      <c r="G504" s="21"/>
      <c r="H504" s="758"/>
      <c r="I504" s="4"/>
      <c r="J504" s="556" t="s">
        <v>260</v>
      </c>
      <c r="K504" s="832"/>
      <c r="L504" s="1787" t="s">
        <v>4323</v>
      </c>
      <c r="M504" s="428"/>
      <c r="N504" s="4"/>
      <c r="O504" s="141"/>
      <c r="P504" s="94" t="b">
        <v>1</v>
      </c>
      <c r="Q504" s="94" t="b">
        <v>1</v>
      </c>
      <c r="R504" s="378" t="b">
        <v>0</v>
      </c>
      <c r="S504" s="378" t="b">
        <f ca="1">(S13=2)</f>
        <v>0</v>
      </c>
      <c r="T504" s="94" t="b">
        <f ca="1">AND(NOT(S504),W504=TRUE)</f>
        <v>0</v>
      </c>
      <c r="U504"/>
      <c r="V504"/>
      <c r="W504" s="25"/>
      <c r="X504" s="1757"/>
      <c r="AC504" s="378" t="b">
        <f ca="1">OR(AD504:AE504)</f>
        <v>0</v>
      </c>
      <c r="AD504" s="378" t="b">
        <f ca="1">T504</f>
        <v>0</v>
      </c>
      <c r="AE504" s="378"/>
      <c r="AP504" s="254" t="str">
        <f>SUBSTITUTE(SUBSTITUTE(SUBSTITUTE("dch"&amp;$B504&amp;$C504&amp;$D504&amp;$E504,".","_"),"(","_"),")","")</f>
        <v>dch703_7_3_3</v>
      </c>
      <c r="AQ504" s="254" t="str">
        <f>IF(LEN(W504)=0,"",W504)</f>
        <v/>
      </c>
      <c r="AR504" s="254" t="str">
        <f>SUBSTITUTE(SUBSTITUTE(SUBSTITUTE("dnt"&amp;$B504&amp;$C504&amp;$D504&amp;$E504,".","_"),"(","_"),")","")</f>
        <v>dnt703_7_3_3</v>
      </c>
      <c r="AS504" s="254" t="str">
        <f>IF(LEN(X504)=0,"",X504)</f>
        <v/>
      </c>
    </row>
    <row r="505" spans="2:61" customFormat="1" x14ac:dyDescent="0.25">
      <c r="B505" s="679" t="s">
        <v>977</v>
      </c>
      <c r="C505" s="21" t="s">
        <v>260</v>
      </c>
      <c r="D505" s="1129"/>
      <c r="E505" s="1129"/>
      <c r="L505" s="1787"/>
      <c r="X505" s="1757"/>
      <c r="AX505" s="76"/>
      <c r="AY505" s="76"/>
      <c r="AZ505" s="76"/>
      <c r="BA505" s="76"/>
      <c r="BB505" s="76"/>
      <c r="BC505" s="76"/>
      <c r="BD505" s="76"/>
      <c r="BE505" s="76"/>
      <c r="BF505" s="76"/>
      <c r="BG505" s="76"/>
      <c r="BH505" s="76"/>
      <c r="BI505" s="76"/>
    </row>
    <row r="506" spans="2:61" x14ac:dyDescent="0.25">
      <c r="B506" s="679" t="s">
        <v>977</v>
      </c>
      <c r="C506" s="21" t="s">
        <v>269</v>
      </c>
      <c r="D506" s="21"/>
      <c r="E506" s="21"/>
      <c r="F506" s="21"/>
      <c r="G506" s="21"/>
      <c r="H506" s="758"/>
      <c r="I506" s="4"/>
      <c r="J506" s="556" t="s">
        <v>269</v>
      </c>
      <c r="K506" s="461"/>
      <c r="L506" s="1778" t="s">
        <v>988</v>
      </c>
      <c r="M506" s="428"/>
      <c r="N506" s="4"/>
      <c r="O506" s="141"/>
      <c r="P506" s="94" t="b">
        <v>1</v>
      </c>
      <c r="Q506" s="94" t="b">
        <v>1</v>
      </c>
      <c r="R506" s="378" t="b">
        <v>0</v>
      </c>
      <c r="S506" s="378" t="b">
        <f ca="1">AND(S13=2,OR(BF16=1,BF16=2,BF16=3))</f>
        <v>0</v>
      </c>
      <c r="T506" s="94" t="b">
        <f ca="1">AND(NOT(S506),W506=TRUE)</f>
        <v>0</v>
      </c>
      <c r="U506"/>
      <c r="V506"/>
      <c r="W506" s="25"/>
      <c r="X506" s="1757"/>
      <c r="AC506" s="378" t="b">
        <f ca="1">OR(AD506:AE506)</f>
        <v>0</v>
      </c>
      <c r="AD506" s="378" t="b">
        <f ca="1">T506</f>
        <v>0</v>
      </c>
      <c r="AE506" s="378"/>
      <c r="AP506" s="254" t="str">
        <f>SUBSTITUTE(SUBSTITUTE(SUBSTITUTE("dch"&amp;$B506&amp;$C506&amp;$D506&amp;$E506,".","_"),"(","_"),")","")</f>
        <v>dch703_7_3_4</v>
      </c>
      <c r="AQ506" s="254" t="str">
        <f>IF(LEN(W506)=0,"",W506)</f>
        <v/>
      </c>
      <c r="AR506" s="254" t="str">
        <f>SUBSTITUTE(SUBSTITUTE(SUBSTITUTE("dnt"&amp;$B506&amp;$C506&amp;$D506&amp;$E506,".","_"),"(","_"),")","")</f>
        <v>dnt703_7_3_4</v>
      </c>
      <c r="AS506" s="254" t="str">
        <f>IF(LEN(X506)=0,"",X506)</f>
        <v/>
      </c>
      <c r="AZ506"/>
      <c r="BA506"/>
      <c r="BB506"/>
      <c r="BC506"/>
      <c r="BD506"/>
      <c r="BE506"/>
      <c r="BF506"/>
      <c r="BG506"/>
      <c r="BH506"/>
      <c r="BI506"/>
    </row>
    <row r="507" spans="2:61" x14ac:dyDescent="0.25">
      <c r="B507" s="679" t="s">
        <v>977</v>
      </c>
      <c r="C507" s="21" t="s">
        <v>269</v>
      </c>
      <c r="D507" s="21"/>
      <c r="E507" s="21"/>
      <c r="F507" s="21"/>
      <c r="G507" s="21"/>
      <c r="H507" s="758"/>
      <c r="I507" s="4"/>
      <c r="J507" s="449"/>
      <c r="K507" s="449"/>
      <c r="L507" s="1755"/>
      <c r="M507" s="428"/>
      <c r="N507" s="4"/>
      <c r="O507" s="141"/>
      <c r="P507"/>
      <c r="Q507"/>
      <c r="R507"/>
      <c r="S507"/>
      <c r="T507"/>
      <c r="U507"/>
      <c r="V507"/>
      <c r="W507"/>
      <c r="X507" s="1757"/>
    </row>
    <row r="508" spans="2:61" x14ac:dyDescent="0.25">
      <c r="B508" s="679" t="s">
        <v>977</v>
      </c>
      <c r="C508" s="21" t="s">
        <v>275</v>
      </c>
      <c r="D508" s="21"/>
      <c r="E508" s="21"/>
      <c r="F508" s="21"/>
      <c r="G508" s="21"/>
      <c r="H508" s="758"/>
      <c r="I508" s="4"/>
      <c r="J508" s="234" t="s">
        <v>275</v>
      </c>
      <c r="K508" s="161"/>
      <c r="L508" s="1779" t="s">
        <v>989</v>
      </c>
      <c r="M508" s="428"/>
      <c r="N508" s="4"/>
      <c r="O508" s="141"/>
      <c r="P508"/>
      <c r="Q508"/>
      <c r="R508"/>
      <c r="S508"/>
      <c r="T508"/>
      <c r="U508"/>
      <c r="V508"/>
      <c r="W508"/>
      <c r="X508"/>
    </row>
    <row r="509" spans="2:61" x14ac:dyDescent="0.25">
      <c r="B509" s="679" t="s">
        <v>977</v>
      </c>
      <c r="C509" s="21" t="s">
        <v>275</v>
      </c>
      <c r="D509" s="21"/>
      <c r="E509" s="21"/>
      <c r="F509" s="21"/>
      <c r="G509" s="21"/>
      <c r="H509" s="758"/>
      <c r="I509" s="4"/>
      <c r="J509" s="161"/>
      <c r="K509" s="161"/>
      <c r="L509" s="1779"/>
      <c r="M509" s="428"/>
      <c r="N509" s="4"/>
      <c r="O509" s="141"/>
      <c r="P509"/>
      <c r="Q509"/>
      <c r="R509"/>
      <c r="S509"/>
      <c r="T509"/>
      <c r="U509"/>
      <c r="V509"/>
      <c r="W509"/>
      <c r="X509"/>
    </row>
    <row r="510" spans="2:61" x14ac:dyDescent="0.25">
      <c r="B510" s="679" t="s">
        <v>977</v>
      </c>
      <c r="C510" s="21" t="s">
        <v>275</v>
      </c>
      <c r="D510" s="21"/>
      <c r="E510" s="21"/>
      <c r="F510" s="21"/>
      <c r="G510" s="21"/>
      <c r="H510" s="758"/>
      <c r="I510" s="4"/>
      <c r="J510" s="161"/>
      <c r="K510" s="161"/>
      <c r="L510" s="1779"/>
      <c r="M510" s="428"/>
      <c r="N510" s="4"/>
      <c r="O510" s="141"/>
      <c r="P510"/>
      <c r="Q510"/>
      <c r="R510"/>
      <c r="S510"/>
      <c r="T510"/>
      <c r="U510"/>
      <c r="V510"/>
      <c r="W510"/>
      <c r="X510"/>
    </row>
    <row r="511" spans="2:61" x14ac:dyDescent="0.25">
      <c r="B511" s="679" t="s">
        <v>977</v>
      </c>
      <c r="C511" s="131" t="s">
        <v>275</v>
      </c>
      <c r="D511" s="21" t="s">
        <v>121</v>
      </c>
      <c r="E511" s="21"/>
      <c r="F511" s="21"/>
      <c r="G511" s="21"/>
      <c r="H511" s="758"/>
      <c r="I511" s="4"/>
      <c r="J511" s="161"/>
      <c r="K511" s="230" t="s">
        <v>121</v>
      </c>
      <c r="L511" s="1779" t="s">
        <v>990</v>
      </c>
      <c r="M511" s="428"/>
      <c r="N511" s="4"/>
      <c r="O511" s="141"/>
      <c r="P511" s="94" t="b">
        <v>1</v>
      </c>
      <c r="Q511" s="94" t="b">
        <v>1</v>
      </c>
      <c r="R511" s="378" t="b">
        <v>0</v>
      </c>
      <c r="S511" s="378" t="b">
        <f ca="1">(S13=2)</f>
        <v>0</v>
      </c>
      <c r="T511" s="94" t="b">
        <f ca="1">AND(NOT(S511),W511=TRUE)</f>
        <v>0</v>
      </c>
      <c r="U511"/>
      <c r="V511"/>
      <c r="W511" s="25"/>
      <c r="X511" s="1757"/>
      <c r="AC511" s="378" t="b">
        <f ca="1">OR(AD511:AE511)</f>
        <v>0</v>
      </c>
      <c r="AD511" s="378" t="b">
        <f ca="1">T511</f>
        <v>0</v>
      </c>
      <c r="AE511" s="378"/>
      <c r="AP511" s="254" t="str">
        <f>SUBSTITUTE(SUBSTITUTE(SUBSTITUTE("dch"&amp;$B511&amp;$C511&amp;$D511&amp;$E511,".","_"),"(","_"),")","")</f>
        <v>dch703_7_3_5_a</v>
      </c>
      <c r="AQ511" s="254" t="str">
        <f>IF(LEN(W511)=0,"",W511)</f>
        <v/>
      </c>
      <c r="AR511" s="254" t="str">
        <f>SUBSTITUTE(SUBSTITUTE(SUBSTITUTE("dnt"&amp;$B511&amp;$C511&amp;$D511&amp;$E511,".","_"),"(","_"),")","")</f>
        <v>dnt703_7_3_5_a</v>
      </c>
      <c r="AS511" s="254" t="str">
        <f>IF(LEN(X511)=0,"",X511)</f>
        <v/>
      </c>
    </row>
    <row r="512" spans="2:61" x14ac:dyDescent="0.25">
      <c r="B512" s="679" t="s">
        <v>977</v>
      </c>
      <c r="C512" s="131" t="s">
        <v>275</v>
      </c>
      <c r="D512" s="21" t="s">
        <v>121</v>
      </c>
      <c r="E512" s="21"/>
      <c r="F512" s="21"/>
      <c r="G512" s="21"/>
      <c r="H512" s="758"/>
      <c r="I512" s="4"/>
      <c r="J512" s="161"/>
      <c r="K512" s="161"/>
      <c r="L512" s="1779"/>
      <c r="M512" s="428"/>
      <c r="N512" s="4"/>
      <c r="O512" s="141"/>
      <c r="P512"/>
      <c r="Q512"/>
      <c r="R512"/>
      <c r="S512"/>
      <c r="T512"/>
      <c r="U512"/>
      <c r="V512"/>
      <c r="W512"/>
      <c r="X512" s="1757"/>
    </row>
    <row r="513" spans="2:51" x14ac:dyDescent="0.25">
      <c r="B513" s="679" t="s">
        <v>977</v>
      </c>
      <c r="C513" s="131" t="s">
        <v>275</v>
      </c>
      <c r="D513" s="21" t="s">
        <v>122</v>
      </c>
      <c r="E513" s="21"/>
      <c r="F513" s="21"/>
      <c r="G513" s="21"/>
      <c r="H513" s="758"/>
      <c r="I513" s="4"/>
      <c r="J513" s="448"/>
      <c r="K513" s="518" t="s">
        <v>122</v>
      </c>
      <c r="L513" s="1754" t="s">
        <v>991</v>
      </c>
      <c r="M513" s="428"/>
      <c r="N513" s="4"/>
      <c r="O513" s="141"/>
      <c r="P513" s="94" t="b">
        <v>1</v>
      </c>
      <c r="Q513" s="94" t="b">
        <v>1</v>
      </c>
      <c r="R513" s="378" t="b">
        <v>0</v>
      </c>
      <c r="S513" s="378" t="b">
        <f ca="1">(S13=2)</f>
        <v>0</v>
      </c>
      <c r="T513" s="94" t="b">
        <f ca="1">AND(NOT(S513),W513=TRUE)</f>
        <v>0</v>
      </c>
      <c r="U513"/>
      <c r="V513"/>
      <c r="W513" s="25"/>
      <c r="X513" s="1757"/>
      <c r="AC513" s="378" t="b">
        <f ca="1">OR(AD513:AE513)</f>
        <v>0</v>
      </c>
      <c r="AD513" s="378" t="b">
        <f ca="1">T513</f>
        <v>0</v>
      </c>
      <c r="AE513" s="378"/>
      <c r="AP513" s="254" t="str">
        <f>SUBSTITUTE(SUBSTITUTE(SUBSTITUTE("dch"&amp;$B513&amp;$C513&amp;$D513&amp;$E513,".","_"),"(","_"),")","")</f>
        <v>dch703_7_3_5_b</v>
      </c>
      <c r="AQ513" s="254" t="str">
        <f>IF(LEN(W513)=0,"",W513)</f>
        <v/>
      </c>
      <c r="AR513" s="254" t="str">
        <f>SUBSTITUTE(SUBSTITUTE(SUBSTITUTE("dnt"&amp;$B513&amp;$C513&amp;$D513&amp;$E513,".","_"),"(","_"),")","")</f>
        <v>dnt703_7_3_5_b</v>
      </c>
      <c r="AS513" s="254" t="str">
        <f>IF(LEN(X513)=0,"",X513)</f>
        <v/>
      </c>
    </row>
    <row r="514" spans="2:51" x14ac:dyDescent="0.25">
      <c r="B514" s="679" t="s">
        <v>977</v>
      </c>
      <c r="C514" s="131" t="s">
        <v>275</v>
      </c>
      <c r="D514" s="21" t="s">
        <v>122</v>
      </c>
      <c r="E514" s="21"/>
      <c r="F514" s="21"/>
      <c r="G514" s="21"/>
      <c r="H514" s="758"/>
      <c r="I514" s="4"/>
      <c r="J514" s="449"/>
      <c r="K514" s="449"/>
      <c r="L514" s="1755"/>
      <c r="M514" s="428"/>
      <c r="N514" s="4"/>
      <c r="O514" s="141"/>
      <c r="P514"/>
      <c r="Q514"/>
      <c r="R514"/>
      <c r="S514"/>
      <c r="T514"/>
      <c r="U514"/>
      <c r="V514"/>
      <c r="W514"/>
      <c r="X514" s="1757"/>
    </row>
    <row r="515" spans="2:51" x14ac:dyDescent="0.25">
      <c r="B515" s="679" t="s">
        <v>977</v>
      </c>
      <c r="C515" s="21" t="s">
        <v>277</v>
      </c>
      <c r="D515" s="21"/>
      <c r="E515" s="21"/>
      <c r="F515" s="21"/>
      <c r="G515" s="21"/>
      <c r="H515" s="758"/>
      <c r="I515" s="129"/>
      <c r="J515" s="543" t="s">
        <v>277</v>
      </c>
      <c r="K515" s="448"/>
      <c r="L515" s="1754" t="s">
        <v>992</v>
      </c>
      <c r="M515" s="452"/>
      <c r="N515" s="129"/>
      <c r="O515" s="502"/>
      <c r="P515" s="94" t="b">
        <v>1</v>
      </c>
      <c r="Q515" s="94" t="b">
        <v>1</v>
      </c>
      <c r="R515" s="378" t="b">
        <v>0</v>
      </c>
      <c r="S515" s="378" t="b">
        <f ca="1">(S13=2)</f>
        <v>0</v>
      </c>
      <c r="T515" s="94" t="b">
        <f ca="1">AND(NOT(S515),W515=TRUE)</f>
        <v>0</v>
      </c>
      <c r="U515"/>
      <c r="V515"/>
      <c r="W515" s="25"/>
      <c r="X515" s="1757"/>
      <c r="AC515" s="378" t="b">
        <f ca="1">OR(AD515:AE515)</f>
        <v>0</v>
      </c>
      <c r="AD515" s="378" t="b">
        <f ca="1">T515</f>
        <v>0</v>
      </c>
      <c r="AE515" s="378"/>
      <c r="AP515" s="254" t="str">
        <f>SUBSTITUTE(SUBSTITUTE(SUBSTITUTE("dch"&amp;$B515&amp;$C515&amp;$D515&amp;$E515,".","_"),"(","_"),")","")</f>
        <v>dch703_7_3_6</v>
      </c>
      <c r="AQ515" s="254" t="str">
        <f>IF(LEN(W515)=0,"",W515)</f>
        <v/>
      </c>
      <c r="AR515" s="254" t="str">
        <f>SUBSTITUTE(SUBSTITUTE(SUBSTITUTE("dnt"&amp;$B515&amp;$C515&amp;$D515&amp;$E515,".","_"),"(","_"),")","")</f>
        <v>dnt703_7_3_6</v>
      </c>
      <c r="AS515" s="254" t="str">
        <f>IF(LEN(X515)=0,"",X515)</f>
        <v/>
      </c>
    </row>
    <row r="516" spans="2:51" x14ac:dyDescent="0.25">
      <c r="B516" s="679" t="s">
        <v>977</v>
      </c>
      <c r="C516" s="21" t="s">
        <v>277</v>
      </c>
      <c r="D516" s="21"/>
      <c r="E516" s="21"/>
      <c r="F516" s="21"/>
      <c r="G516" s="21"/>
      <c r="H516" s="758"/>
      <c r="I516" s="210"/>
      <c r="J516" s="449"/>
      <c r="K516" s="449"/>
      <c r="L516" s="1755"/>
      <c r="M516" s="453"/>
      <c r="N516" s="210"/>
      <c r="O516" s="503"/>
      <c r="P516"/>
      <c r="Q516"/>
      <c r="R516"/>
      <c r="S516"/>
      <c r="T516"/>
      <c r="U516"/>
      <c r="V516"/>
      <c r="W516"/>
      <c r="X516" s="1757"/>
    </row>
    <row r="517" spans="2:51" x14ac:dyDescent="0.25">
      <c r="B517" s="679" t="s">
        <v>993</v>
      </c>
      <c r="C517" s="90"/>
      <c r="D517" s="21"/>
      <c r="E517" s="21"/>
      <c r="F517" s="21"/>
      <c r="G517" s="21"/>
      <c r="H517" s="758"/>
      <c r="I517" s="66" t="s">
        <v>993</v>
      </c>
      <c r="J517" s="161"/>
      <c r="K517" s="161"/>
      <c r="L517" s="1852" t="s">
        <v>994</v>
      </c>
      <c r="M517" s="1767">
        <v>4</v>
      </c>
      <c r="N517" s="4"/>
      <c r="O517" s="1780">
        <f ca="1">M517*S517*W517</f>
        <v>0</v>
      </c>
      <c r="P517" s="94" t="b">
        <v>1</v>
      </c>
      <c r="Q517" s="94" t="b">
        <v>1</v>
      </c>
      <c r="R517" s="378" t="b">
        <v>0</v>
      </c>
      <c r="S517" s="378" t="b">
        <f ca="1">AND(S13=2,W460=TRUE,NOT(BI16="Tropical"))</f>
        <v>0</v>
      </c>
      <c r="T517" s="94" t="b">
        <f ca="1">AND(NOT(S517),W517=TRUE)</f>
        <v>0</v>
      </c>
      <c r="U517"/>
      <c r="V517"/>
      <c r="W517" s="25"/>
      <c r="X517"/>
      <c r="AC517" s="378" t="b">
        <f ca="1">OR(AD517:AE517)</f>
        <v>0</v>
      </c>
      <c r="AD517" s="378" t="b">
        <f ca="1">T517</f>
        <v>0</v>
      </c>
      <c r="AE517" s="378"/>
      <c r="AL517" s="254" t="str">
        <f>SUBSTITUTE(SUBSTITUTE(SUBSTITUTE("dpa"&amp;$B517&amp;$C517&amp;$D517&amp;$E517,".","_"),"(","_"),")","")</f>
        <v>dpa703_7_4</v>
      </c>
      <c r="AM517" s="254">
        <f>M517</f>
        <v>4</v>
      </c>
      <c r="AN517" s="254" t="str">
        <f>SUBSTITUTE(SUBSTITUTE(SUBSTITUTE("dpc"&amp;$B517&amp;$C517&amp;$D517&amp;$E517,".","_"),"(","_"),")","")</f>
        <v>dpc703_7_4</v>
      </c>
      <c r="AO517" s="254">
        <f ca="1">O517</f>
        <v>0</v>
      </c>
      <c r="AP517" s="254" t="str">
        <f>SUBSTITUTE(SUBSTITUTE(SUBSTITUTE("dch"&amp;$B517&amp;$C517&amp;$D517&amp;$E517,".","_"),"(","_"),")","")</f>
        <v>dch703_7_4</v>
      </c>
      <c r="AQ517" s="254" t="str">
        <f>IF(LEN(W517)=0,"",W517)</f>
        <v/>
      </c>
    </row>
    <row r="518" spans="2:51" x14ac:dyDescent="0.25">
      <c r="B518" s="679" t="s">
        <v>993</v>
      </c>
      <c r="C518" s="90"/>
      <c r="D518" s="21"/>
      <c r="E518" s="21"/>
      <c r="F518" s="21"/>
      <c r="G518" s="21"/>
      <c r="H518" s="758"/>
      <c r="I518" s="4"/>
      <c r="J518" s="161"/>
      <c r="K518" s="161"/>
      <c r="L518" s="1852"/>
      <c r="M518" s="1767"/>
      <c r="N518" s="4"/>
      <c r="O518" s="1780"/>
      <c r="P518"/>
      <c r="Q518"/>
      <c r="R518"/>
      <c r="S518"/>
      <c r="T518"/>
      <c r="U518"/>
      <c r="V518"/>
      <c r="W518"/>
      <c r="X518"/>
    </row>
    <row r="519" spans="2:51" x14ac:dyDescent="0.25">
      <c r="B519" s="679" t="s">
        <v>993</v>
      </c>
      <c r="C519" s="90"/>
      <c r="D519" s="21"/>
      <c r="E519" s="21"/>
      <c r="F519" s="21"/>
      <c r="G519" s="21"/>
      <c r="H519" s="758"/>
      <c r="I519" s="4"/>
      <c r="J519" s="161"/>
      <c r="K519" s="161"/>
      <c r="L519" s="161" t="s">
        <v>995</v>
      </c>
      <c r="M519" s="428"/>
      <c r="N519" s="4"/>
      <c r="O519" s="141"/>
      <c r="P519"/>
      <c r="Q519"/>
      <c r="R519"/>
      <c r="S519"/>
      <c r="T519"/>
      <c r="U519"/>
      <c r="V519"/>
      <c r="W519"/>
      <c r="X519"/>
    </row>
    <row r="520" spans="2:51" x14ac:dyDescent="0.25">
      <c r="B520" s="679" t="s">
        <v>993</v>
      </c>
      <c r="C520" s="21" t="s">
        <v>256</v>
      </c>
      <c r="D520" s="21"/>
      <c r="E520" s="21"/>
      <c r="F520" s="21"/>
      <c r="G520" s="21"/>
      <c r="H520" s="758"/>
      <c r="I520" s="4"/>
      <c r="J520" s="543" t="s">
        <v>256</v>
      </c>
      <c r="K520" s="448"/>
      <c r="L520" s="1754" t="s">
        <v>996</v>
      </c>
      <c r="M520" s="428"/>
      <c r="N520" s="4"/>
      <c r="O520" s="141"/>
      <c r="P520"/>
      <c r="Q520"/>
      <c r="R520"/>
      <c r="S520"/>
      <c r="T520"/>
      <c r="U520"/>
      <c r="V520"/>
      <c r="W520"/>
      <c r="X520" s="1757"/>
      <c r="AR520" s="254" t="str">
        <f>SUBSTITUTE(SUBSTITUTE(SUBSTITUTE("dnt"&amp;$B520&amp;$C520&amp;$D520&amp;$E520,".","_"),"(","_"),")","")</f>
        <v>dnt703_7_4_1</v>
      </c>
      <c r="AS520" s="254" t="str">
        <f>IF(LEN(X520)=0,"",X520)</f>
        <v/>
      </c>
    </row>
    <row r="521" spans="2:51" x14ac:dyDescent="0.25">
      <c r="B521" s="679" t="s">
        <v>993</v>
      </c>
      <c r="C521" s="21" t="s">
        <v>256</v>
      </c>
      <c r="D521" s="21"/>
      <c r="E521" s="21"/>
      <c r="F521" s="21"/>
      <c r="G521" s="21"/>
      <c r="H521" s="758"/>
      <c r="I521" s="4"/>
      <c r="J521" s="449"/>
      <c r="K521" s="449"/>
      <c r="L521" s="1755"/>
      <c r="M521" s="428"/>
      <c r="N521" s="4"/>
      <c r="O521" s="141"/>
      <c r="P521"/>
      <c r="Q521"/>
      <c r="R521"/>
      <c r="S521"/>
      <c r="T521"/>
      <c r="U521"/>
      <c r="V521"/>
      <c r="W521"/>
      <c r="X521" s="1757"/>
    </row>
    <row r="522" spans="2:51" x14ac:dyDescent="0.25">
      <c r="B522" s="679" t="s">
        <v>993</v>
      </c>
      <c r="C522" s="21" t="s">
        <v>258</v>
      </c>
      <c r="D522" s="21"/>
      <c r="E522" s="21"/>
      <c r="F522" s="21"/>
      <c r="G522" s="21"/>
      <c r="H522" s="758"/>
      <c r="I522" s="4"/>
      <c r="J522" s="234" t="s">
        <v>258</v>
      </c>
      <c r="K522" s="161"/>
      <c r="L522" s="1841" t="s">
        <v>997</v>
      </c>
      <c r="M522" s="428"/>
      <c r="N522" s="4"/>
      <c r="O522" s="141"/>
      <c r="P522"/>
      <c r="Q522"/>
      <c r="R522"/>
      <c r="S522"/>
      <c r="T522"/>
      <c r="U522"/>
      <c r="V522"/>
      <c r="W522"/>
      <c r="X522"/>
      <c r="AX522" s="816"/>
      <c r="AY522" s="816"/>
    </row>
    <row r="523" spans="2:51" x14ac:dyDescent="0.25">
      <c r="B523" s="679" t="s">
        <v>993</v>
      </c>
      <c r="C523" s="21" t="s">
        <v>258</v>
      </c>
      <c r="D523" s="21"/>
      <c r="E523" s="21"/>
      <c r="F523" s="21"/>
      <c r="G523" s="21"/>
      <c r="H523" s="758"/>
      <c r="I523" s="4"/>
      <c r="J523" s="161"/>
      <c r="K523" s="161"/>
      <c r="L523" s="1841"/>
      <c r="M523" s="428"/>
      <c r="N523" s="4"/>
      <c r="O523" s="141"/>
      <c r="P523"/>
      <c r="Q523"/>
      <c r="R523"/>
      <c r="S523"/>
      <c r="T523"/>
      <c r="U523"/>
      <c r="V523"/>
      <c r="W523"/>
      <c r="X523"/>
      <c r="AX523" s="816"/>
      <c r="AY523" s="816"/>
    </row>
    <row r="524" spans="2:51" x14ac:dyDescent="0.25">
      <c r="B524" s="679" t="s">
        <v>993</v>
      </c>
      <c r="C524" s="21" t="s">
        <v>258</v>
      </c>
      <c r="D524" s="21" t="s">
        <v>121</v>
      </c>
      <c r="E524" s="21"/>
      <c r="F524" s="21"/>
      <c r="G524" s="21"/>
      <c r="H524" s="758"/>
      <c r="I524" s="4"/>
      <c r="J524" s="161"/>
      <c r="K524" s="518" t="s">
        <v>121</v>
      </c>
      <c r="L524" s="1754" t="s">
        <v>998</v>
      </c>
      <c r="M524" s="428"/>
      <c r="N524" s="4"/>
      <c r="O524" s="141"/>
      <c r="P524"/>
      <c r="Q524"/>
      <c r="R524"/>
      <c r="S524"/>
      <c r="T524"/>
      <c r="U524"/>
      <c r="V524"/>
      <c r="W524"/>
      <c r="X524" s="1757"/>
      <c r="AR524" s="254" t="str">
        <f>SUBSTITUTE(SUBSTITUTE(SUBSTITUTE("dnt"&amp;$B524&amp;$C524&amp;$D524&amp;$E524,".","_"),"(","_"),")","")</f>
        <v>dnt703_7_4_2_a</v>
      </c>
      <c r="AS524" s="254" t="str">
        <f>IF(LEN(X524)=0,"",X524)</f>
        <v/>
      </c>
    </row>
    <row r="525" spans="2:51" x14ac:dyDescent="0.25">
      <c r="B525" s="679" t="s">
        <v>993</v>
      </c>
      <c r="C525" s="21" t="s">
        <v>258</v>
      </c>
      <c r="D525" s="21" t="s">
        <v>121</v>
      </c>
      <c r="E525" s="21"/>
      <c r="F525" s="21"/>
      <c r="G525" s="21"/>
      <c r="H525" s="758"/>
      <c r="I525" s="4"/>
      <c r="J525" s="161"/>
      <c r="K525" s="448"/>
      <c r="L525" s="1754"/>
      <c r="M525" s="428"/>
      <c r="N525" s="4"/>
      <c r="O525" s="141"/>
      <c r="P525"/>
      <c r="Q525"/>
      <c r="R525"/>
      <c r="S525"/>
      <c r="T525"/>
      <c r="U525"/>
      <c r="V525"/>
      <c r="W525"/>
      <c r="X525" s="1757"/>
    </row>
    <row r="526" spans="2:51" x14ac:dyDescent="0.25">
      <c r="B526" s="679" t="s">
        <v>993</v>
      </c>
      <c r="C526" s="21" t="s">
        <v>258</v>
      </c>
      <c r="D526" s="21" t="s">
        <v>121</v>
      </c>
      <c r="E526" s="21"/>
      <c r="F526" s="21"/>
      <c r="G526" s="21"/>
      <c r="H526" s="758"/>
      <c r="I526" s="4"/>
      <c r="J526" s="161"/>
      <c r="K526" s="449"/>
      <c r="L526" s="1755"/>
      <c r="M526" s="428"/>
      <c r="N526" s="4"/>
      <c r="O526" s="141"/>
      <c r="P526"/>
      <c r="Q526"/>
      <c r="R526"/>
      <c r="S526"/>
      <c r="T526"/>
      <c r="U526"/>
      <c r="V526"/>
      <c r="W526"/>
      <c r="X526" s="1757"/>
    </row>
    <row r="527" spans="2:51" x14ac:dyDescent="0.25">
      <c r="B527" s="679" t="s">
        <v>993</v>
      </c>
      <c r="C527" s="21" t="s">
        <v>258</v>
      </c>
      <c r="D527" s="21" t="s">
        <v>122</v>
      </c>
      <c r="E527" s="21"/>
      <c r="F527" s="21"/>
      <c r="G527" s="21"/>
      <c r="H527" s="758"/>
      <c r="I527" s="4"/>
      <c r="J527" s="161"/>
      <c r="K527" s="230" t="s">
        <v>122</v>
      </c>
      <c r="L527" s="1779" t="s">
        <v>999</v>
      </c>
      <c r="M527" s="428"/>
      <c r="N527" s="4"/>
      <c r="O527" s="141"/>
      <c r="P527"/>
      <c r="Q527"/>
      <c r="R527"/>
      <c r="S527"/>
      <c r="T527"/>
      <c r="U527"/>
      <c r="V527"/>
      <c r="W527"/>
      <c r="X527" s="1757"/>
      <c r="AR527" s="254" t="str">
        <f>SUBSTITUTE(SUBSTITUTE(SUBSTITUTE("dnt"&amp;$B527&amp;$C527&amp;$D527&amp;$E527,".","_"),"(","_"),")","")</f>
        <v>dnt703_7_4_2_b</v>
      </c>
      <c r="AS527" s="254" t="str">
        <f>IF(LEN(X527)=0,"",X527)</f>
        <v/>
      </c>
      <c r="AX527" s="372"/>
      <c r="AY527" s="372"/>
    </row>
    <row r="528" spans="2:51" x14ac:dyDescent="0.25">
      <c r="B528" s="679" t="s">
        <v>993</v>
      </c>
      <c r="C528" s="21" t="s">
        <v>258</v>
      </c>
      <c r="D528" s="21" t="s">
        <v>122</v>
      </c>
      <c r="E528" s="21"/>
      <c r="F528" s="21"/>
      <c r="G528" s="21"/>
      <c r="H528" s="758"/>
      <c r="I528" s="4"/>
      <c r="J528" s="161"/>
      <c r="K528" s="161"/>
      <c r="L528" s="1779"/>
      <c r="M528" s="428"/>
      <c r="N528" s="4"/>
      <c r="O528" s="141"/>
      <c r="P528"/>
      <c r="Q528"/>
      <c r="R528"/>
      <c r="S528"/>
      <c r="T528"/>
      <c r="U528"/>
      <c r="V528"/>
      <c r="W528"/>
      <c r="X528" s="1757"/>
      <c r="AX528" s="816"/>
      <c r="AY528" s="816"/>
    </row>
    <row r="529" spans="2:45" x14ac:dyDescent="0.25">
      <c r="B529" s="679" t="s">
        <v>993</v>
      </c>
      <c r="C529" s="21" t="s">
        <v>258</v>
      </c>
      <c r="D529" s="21" t="s">
        <v>122</v>
      </c>
      <c r="E529" s="21" t="s">
        <v>844</v>
      </c>
      <c r="F529" s="21"/>
      <c r="G529" s="21"/>
      <c r="H529" s="758"/>
      <c r="I529" s="4"/>
      <c r="J529" s="161"/>
      <c r="K529" s="163" t="s">
        <v>844</v>
      </c>
      <c r="L529" s="1779" t="s">
        <v>1000</v>
      </c>
      <c r="M529" s="428"/>
      <c r="N529" s="4"/>
      <c r="O529" s="141"/>
      <c r="P529"/>
      <c r="Q529"/>
      <c r="R529"/>
      <c r="S529"/>
      <c r="T529"/>
      <c r="U529"/>
      <c r="V529"/>
      <c r="W529"/>
      <c r="X529" s="1757"/>
    </row>
    <row r="530" spans="2:45" x14ac:dyDescent="0.25">
      <c r="B530" s="679" t="s">
        <v>993</v>
      </c>
      <c r="C530" s="21" t="s">
        <v>258</v>
      </c>
      <c r="D530" s="21" t="s">
        <v>122</v>
      </c>
      <c r="E530" s="21" t="s">
        <v>844</v>
      </c>
      <c r="F530" s="21"/>
      <c r="G530" s="21"/>
      <c r="H530" s="758"/>
      <c r="I530" s="4"/>
      <c r="J530" s="161"/>
      <c r="K530" s="236"/>
      <c r="L530" s="1779"/>
      <c r="M530" s="428"/>
      <c r="N530" s="4"/>
      <c r="O530" s="141"/>
      <c r="P530"/>
      <c r="Q530"/>
      <c r="R530"/>
      <c r="S530"/>
      <c r="T530"/>
      <c r="U530"/>
      <c r="V530"/>
      <c r="W530"/>
      <c r="X530" s="1757"/>
    </row>
    <row r="531" spans="2:45" x14ac:dyDescent="0.25">
      <c r="B531" s="679" t="s">
        <v>993</v>
      </c>
      <c r="C531" s="21" t="s">
        <v>258</v>
      </c>
      <c r="D531" s="21" t="s">
        <v>122</v>
      </c>
      <c r="E531" s="21" t="s">
        <v>1001</v>
      </c>
      <c r="F531" s="21"/>
      <c r="G531" s="21"/>
      <c r="H531" s="758"/>
      <c r="I531" s="4"/>
      <c r="J531" s="161"/>
      <c r="K531" s="163" t="s">
        <v>1001</v>
      </c>
      <c r="L531" s="1779" t="s">
        <v>1002</v>
      </c>
      <c r="M531" s="428"/>
      <c r="N531" s="4"/>
      <c r="O531" s="141"/>
      <c r="P531"/>
      <c r="Q531"/>
      <c r="R531"/>
      <c r="S531"/>
      <c r="T531"/>
      <c r="U531"/>
      <c r="V531"/>
      <c r="W531"/>
      <c r="X531" s="1757"/>
    </row>
    <row r="532" spans="2:45" x14ac:dyDescent="0.25">
      <c r="B532" s="679" t="s">
        <v>993</v>
      </c>
      <c r="C532" s="21" t="s">
        <v>258</v>
      </c>
      <c r="D532" s="21" t="s">
        <v>122</v>
      </c>
      <c r="E532" s="21" t="s">
        <v>1001</v>
      </c>
      <c r="F532" s="21"/>
      <c r="G532" s="21"/>
      <c r="H532" s="758"/>
      <c r="I532" s="4"/>
      <c r="J532" s="161"/>
      <c r="K532" s="236"/>
      <c r="L532" s="1779"/>
      <c r="M532" s="428"/>
      <c r="N532" s="4"/>
      <c r="O532" s="141"/>
      <c r="P532"/>
      <c r="Q532"/>
      <c r="R532"/>
      <c r="S532"/>
      <c r="T532"/>
      <c r="U532"/>
      <c r="V532"/>
      <c r="W532"/>
      <c r="X532" s="1757"/>
    </row>
    <row r="533" spans="2:45" x14ac:dyDescent="0.25">
      <c r="B533" s="679" t="s">
        <v>993</v>
      </c>
      <c r="C533" s="21" t="s">
        <v>258</v>
      </c>
      <c r="D533" s="21" t="s">
        <v>122</v>
      </c>
      <c r="E533" s="21" t="s">
        <v>1003</v>
      </c>
      <c r="F533" s="21"/>
      <c r="G533" s="21"/>
      <c r="H533" s="758"/>
      <c r="I533" s="4"/>
      <c r="J533" s="161"/>
      <c r="K533" s="457" t="s">
        <v>1003</v>
      </c>
      <c r="L533" s="1754" t="s">
        <v>1004</v>
      </c>
      <c r="M533" s="428"/>
      <c r="N533" s="4"/>
      <c r="O533" s="141"/>
      <c r="P533"/>
      <c r="Q533"/>
      <c r="R533"/>
      <c r="S533"/>
      <c r="T533"/>
      <c r="U533"/>
      <c r="V533"/>
      <c r="W533"/>
      <c r="X533" s="1757"/>
    </row>
    <row r="534" spans="2:45" x14ac:dyDescent="0.25">
      <c r="B534" s="679" t="s">
        <v>993</v>
      </c>
      <c r="C534" s="21" t="s">
        <v>258</v>
      </c>
      <c r="D534" s="21" t="s">
        <v>122</v>
      </c>
      <c r="E534" s="21" t="s">
        <v>1003</v>
      </c>
      <c r="F534" s="21"/>
      <c r="G534" s="21"/>
      <c r="H534" s="758"/>
      <c r="I534" s="4"/>
      <c r="J534" s="161"/>
      <c r="K534" s="449"/>
      <c r="L534" s="1755"/>
      <c r="M534" s="428"/>
      <c r="N534" s="4"/>
      <c r="O534" s="141"/>
      <c r="P534"/>
      <c r="Q534"/>
      <c r="R534"/>
      <c r="S534"/>
      <c r="T534"/>
      <c r="U534"/>
      <c r="V534"/>
      <c r="W534"/>
      <c r="X534" s="1757"/>
    </row>
    <row r="535" spans="2:45" x14ac:dyDescent="0.25">
      <c r="B535" s="679" t="s">
        <v>993</v>
      </c>
      <c r="C535" s="21" t="s">
        <v>258</v>
      </c>
      <c r="D535" s="21" t="s">
        <v>123</v>
      </c>
      <c r="E535" s="21"/>
      <c r="F535" s="21"/>
      <c r="G535" s="21"/>
      <c r="H535" s="758"/>
      <c r="I535" s="4"/>
      <c r="J535" s="448"/>
      <c r="K535" s="518" t="s">
        <v>123</v>
      </c>
      <c r="L535" s="1754" t="s">
        <v>1005</v>
      </c>
      <c r="M535" s="428"/>
      <c r="N535" s="4"/>
      <c r="O535" s="141"/>
      <c r="P535"/>
      <c r="Q535"/>
      <c r="R535"/>
      <c r="S535"/>
      <c r="T535"/>
      <c r="U535"/>
      <c r="V535"/>
      <c r="W535"/>
      <c r="X535" s="1757"/>
      <c r="AR535" s="254" t="str">
        <f>SUBSTITUTE(SUBSTITUTE(SUBSTITUTE("dnt"&amp;$B535&amp;$C535&amp;$D535&amp;$E535,".","_"),"(","_"),")","")</f>
        <v>dnt703_7_4_2_c</v>
      </c>
      <c r="AS535" s="254" t="str">
        <f>IF(LEN(X535)=0,"",X535)</f>
        <v/>
      </c>
    </row>
    <row r="536" spans="2:45" x14ac:dyDescent="0.25">
      <c r="B536" s="679" t="s">
        <v>993</v>
      </c>
      <c r="C536" s="21" t="s">
        <v>258</v>
      </c>
      <c r="D536" s="21" t="s">
        <v>123</v>
      </c>
      <c r="E536" s="21"/>
      <c r="F536" s="21"/>
      <c r="G536" s="21"/>
      <c r="H536" s="758"/>
      <c r="I536" s="4"/>
      <c r="J536" s="448"/>
      <c r="K536" s="448"/>
      <c r="L536" s="1754"/>
      <c r="M536" s="428"/>
      <c r="N536" s="4"/>
      <c r="O536" s="141"/>
      <c r="P536"/>
      <c r="Q536"/>
      <c r="R536"/>
      <c r="S536"/>
      <c r="T536"/>
      <c r="U536"/>
      <c r="V536"/>
      <c r="W536"/>
      <c r="X536" s="1757"/>
    </row>
    <row r="537" spans="2:45" x14ac:dyDescent="0.25">
      <c r="B537" s="679" t="s">
        <v>993</v>
      </c>
      <c r="C537" s="21" t="s">
        <v>258</v>
      </c>
      <c r="D537" s="21" t="s">
        <v>123</v>
      </c>
      <c r="E537" s="21"/>
      <c r="F537" s="21"/>
      <c r="G537" s="21"/>
      <c r="H537" s="758"/>
      <c r="I537" s="4"/>
      <c r="J537" s="449"/>
      <c r="K537" s="449"/>
      <c r="L537" s="1755"/>
      <c r="M537" s="428"/>
      <c r="N537" s="4"/>
      <c r="O537" s="141"/>
      <c r="P537"/>
      <c r="Q537"/>
      <c r="R537"/>
      <c r="S537"/>
      <c r="T537"/>
      <c r="U537"/>
      <c r="V537"/>
      <c r="W537"/>
      <c r="X537" s="1757"/>
    </row>
    <row r="538" spans="2:45" x14ac:dyDescent="0.25">
      <c r="B538" s="679" t="s">
        <v>993</v>
      </c>
      <c r="C538" s="21" t="s">
        <v>260</v>
      </c>
      <c r="D538" s="21"/>
      <c r="E538" s="21"/>
      <c r="F538" s="21"/>
      <c r="G538" s="21"/>
      <c r="H538" s="758"/>
      <c r="I538" s="4"/>
      <c r="J538" s="234" t="s">
        <v>260</v>
      </c>
      <c r="K538" s="161"/>
      <c r="L538" s="1779" t="s">
        <v>1006</v>
      </c>
      <c r="M538" s="428"/>
      <c r="N538" s="4"/>
      <c r="O538" s="141"/>
      <c r="P538"/>
      <c r="Q538"/>
      <c r="R538"/>
      <c r="S538"/>
      <c r="T538"/>
      <c r="U538"/>
      <c r="V538"/>
      <c r="W538"/>
      <c r="X538" s="1757"/>
      <c r="AR538" s="254" t="str">
        <f>SUBSTITUTE(SUBSTITUTE(SUBSTITUTE("dnt"&amp;$B538&amp;$C538&amp;$D538&amp;$E538,".","_"),"(","_"),")","")</f>
        <v>dnt703_7_4_3</v>
      </c>
      <c r="AS538" s="254" t="str">
        <f>IF(LEN(X538)=0,"",X538)</f>
        <v/>
      </c>
    </row>
    <row r="539" spans="2:45" x14ac:dyDescent="0.25">
      <c r="B539" s="679" t="s">
        <v>993</v>
      </c>
      <c r="C539" s="21" t="s">
        <v>260</v>
      </c>
      <c r="D539" s="21"/>
      <c r="E539" s="21"/>
      <c r="F539" s="21"/>
      <c r="G539" s="21"/>
      <c r="H539" s="758"/>
      <c r="I539" s="4"/>
      <c r="J539" s="161"/>
      <c r="K539" s="161"/>
      <c r="L539" s="1779"/>
      <c r="M539" s="428"/>
      <c r="N539" s="4"/>
      <c r="O539" s="141"/>
      <c r="P539"/>
      <c r="Q539"/>
      <c r="R539"/>
      <c r="S539"/>
      <c r="T539"/>
      <c r="U539"/>
      <c r="V539"/>
      <c r="W539"/>
      <c r="X539" s="1757"/>
    </row>
    <row r="540" spans="2:45" ht="18.75" x14ac:dyDescent="0.3">
      <c r="B540" s="679">
        <v>704</v>
      </c>
      <c r="C540" s="90"/>
      <c r="D540" s="21"/>
      <c r="E540" s="21"/>
      <c r="F540" s="21"/>
      <c r="G540" s="21"/>
      <c r="H540" s="758"/>
      <c r="I540" s="14" t="s">
        <v>4858</v>
      </c>
      <c r="J540" s="84"/>
      <c r="K540" s="84"/>
      <c r="L540" s="84"/>
      <c r="M540" s="390"/>
      <c r="N540" s="508"/>
      <c r="O540" s="498"/>
      <c r="P540" s="23"/>
      <c r="Q540" s="23"/>
      <c r="R540" s="23"/>
      <c r="S540" s="23"/>
      <c r="T540" s="23"/>
      <c r="U540" s="23"/>
      <c r="V540" s="23"/>
      <c r="W540" s="23"/>
      <c r="X540" s="23"/>
    </row>
    <row r="541" spans="2:45" ht="15" customHeight="1" x14ac:dyDescent="0.25">
      <c r="B541" s="679">
        <v>704.1</v>
      </c>
      <c r="C541" s="90"/>
      <c r="D541" s="21"/>
      <c r="E541" s="21"/>
      <c r="F541" s="21"/>
      <c r="G541" s="21"/>
      <c r="H541" s="758"/>
      <c r="I541" s="130">
        <v>704.1</v>
      </c>
      <c r="J541" s="448"/>
      <c r="K541" s="448"/>
      <c r="L541" s="1833" t="s">
        <v>4324</v>
      </c>
      <c r="M541" s="452"/>
      <c r="N541" s="4"/>
      <c r="O541" s="1780">
        <f>ROUNDDOWN(IFERROR(IF(AND((W547-W549)*2+30&gt;=30,NOT(ISBLANK(W547)),NOT(ISBLANK(W549))),(W547-W549)*2+30,0),0),0)</f>
        <v>0</v>
      </c>
      <c r="P541"/>
      <c r="Q541"/>
      <c r="R541"/>
      <c r="S541"/>
      <c r="T541"/>
      <c r="U541"/>
      <c r="V541"/>
      <c r="W541"/>
      <c r="X541" s="1798"/>
      <c r="AN541" s="254" t="str">
        <f>SUBSTITUTE(SUBSTITUTE(SUBSTITUTE("dpc"&amp;$B541&amp;$C541&amp;$D541&amp;$E541,".","_"),"(","_"),")","")</f>
        <v>dpc704_1</v>
      </c>
      <c r="AO541" s="254">
        <f>O541</f>
        <v>0</v>
      </c>
      <c r="AR541" s="254" t="str">
        <f>SUBSTITUTE(SUBSTITUTE(SUBSTITUTE("dnt"&amp;$B541&amp;$C541&amp;$D541&amp;$E541,".","_"),"(","_"),")","")</f>
        <v>dnt704_1</v>
      </c>
      <c r="AS541" s="254" t="str">
        <f>IF(LEN(X541)=0,"",X541)</f>
        <v/>
      </c>
    </row>
    <row r="542" spans="2:45" x14ac:dyDescent="0.25">
      <c r="B542" s="679">
        <v>704.1</v>
      </c>
      <c r="C542" s="90"/>
      <c r="D542" s="21"/>
      <c r="E542" s="21"/>
      <c r="F542" s="21"/>
      <c r="G542" s="21"/>
      <c r="H542" s="758"/>
      <c r="I542" s="129"/>
      <c r="J542" s="448"/>
      <c r="K542" s="448"/>
      <c r="L542" s="1833"/>
      <c r="M542" s="452"/>
      <c r="N542" s="4"/>
      <c r="O542" s="1780"/>
      <c r="P542"/>
      <c r="Q542"/>
      <c r="R542"/>
      <c r="S542"/>
      <c r="T542"/>
      <c r="U542"/>
      <c r="V542"/>
      <c r="W542"/>
      <c r="X542" s="1799"/>
    </row>
    <row r="543" spans="2:45" x14ac:dyDescent="0.25">
      <c r="B543" s="679">
        <v>704.1</v>
      </c>
      <c r="C543" s="90"/>
      <c r="D543" s="21"/>
      <c r="E543" s="21"/>
      <c r="F543" s="21"/>
      <c r="G543" s="21"/>
      <c r="H543" s="758"/>
      <c r="I543" s="129"/>
      <c r="J543" s="448"/>
      <c r="K543" s="448"/>
      <c r="L543" s="1833"/>
      <c r="M543" s="452"/>
      <c r="N543" s="4"/>
      <c r="O543" s="1780"/>
      <c r="P543"/>
      <c r="Q543"/>
      <c r="R543"/>
      <c r="S543"/>
      <c r="T543"/>
      <c r="U543"/>
      <c r="V543"/>
      <c r="X543" s="1799"/>
    </row>
    <row r="544" spans="2:45" x14ac:dyDescent="0.25">
      <c r="B544" s="679">
        <v>704.1</v>
      </c>
      <c r="C544" s="90"/>
      <c r="D544" s="21"/>
      <c r="E544" s="21"/>
      <c r="F544" s="21"/>
      <c r="G544" s="21"/>
      <c r="H544" s="758"/>
      <c r="I544" s="129"/>
      <c r="J544" s="817"/>
      <c r="K544" s="817"/>
      <c r="L544" s="1833"/>
      <c r="M544" s="452"/>
      <c r="N544" s="4"/>
      <c r="O544" s="1780"/>
      <c r="P544"/>
      <c r="Q544"/>
      <c r="R544"/>
      <c r="S544"/>
      <c r="T544"/>
      <c r="U544"/>
      <c r="V544"/>
      <c r="X544" s="1799"/>
    </row>
    <row r="545" spans="1:61" s="816" customFormat="1" ht="15" customHeight="1" x14ac:dyDescent="0.25">
      <c r="A545" s="18"/>
      <c r="B545" s="679">
        <v>704.1</v>
      </c>
      <c r="C545" s="90"/>
      <c r="D545" s="21"/>
      <c r="E545" s="21"/>
      <c r="F545" s="21"/>
      <c r="G545" s="21"/>
      <c r="H545" s="758"/>
      <c r="I545" s="129"/>
      <c r="J545" s="912"/>
      <c r="K545" s="912"/>
      <c r="L545" s="1765" t="s">
        <v>4325</v>
      </c>
      <c r="M545" s="826"/>
      <c r="N545" s="4"/>
      <c r="O545" s="1780"/>
      <c r="X545" s="1799"/>
      <c r="AX545" s="76"/>
      <c r="AY545" s="76"/>
      <c r="AZ545" s="76"/>
      <c r="BA545" s="76"/>
      <c r="BB545" s="76"/>
      <c r="BC545" s="76"/>
      <c r="BD545" s="76"/>
      <c r="BE545" s="76"/>
      <c r="BF545" s="76"/>
      <c r="BG545" s="76"/>
      <c r="BH545" s="76"/>
      <c r="BI545" s="76"/>
    </row>
    <row r="546" spans="1:61" s="816" customFormat="1" x14ac:dyDescent="0.25">
      <c r="A546" s="18"/>
      <c r="B546" s="679">
        <v>704.1</v>
      </c>
      <c r="C546" s="90"/>
      <c r="D546" s="21"/>
      <c r="E546" s="21"/>
      <c r="F546" s="21"/>
      <c r="G546" s="21"/>
      <c r="H546" s="758"/>
      <c r="I546" s="210"/>
      <c r="J546" s="913"/>
      <c r="K546" s="913"/>
      <c r="L546" s="1786"/>
      <c r="M546" s="826"/>
      <c r="N546" s="4"/>
      <c r="O546" s="1780"/>
      <c r="W546" s="1409" t="s">
        <v>5237</v>
      </c>
      <c r="X546" s="1799"/>
      <c r="AX546" s="159"/>
      <c r="AY546" s="159"/>
    </row>
    <row r="547" spans="1:61" ht="15" customHeight="1" x14ac:dyDescent="0.25">
      <c r="B547" s="679">
        <v>704.2</v>
      </c>
      <c r="C547" s="90" t="s">
        <v>4860</v>
      </c>
      <c r="D547" s="21"/>
      <c r="E547" s="21"/>
      <c r="F547" s="21"/>
      <c r="G547" s="21"/>
      <c r="H547" s="758"/>
      <c r="I547" s="64">
        <v>704.2</v>
      </c>
      <c r="J547" s="161"/>
      <c r="K547" s="161"/>
      <c r="L547" s="1833" t="s">
        <v>4326</v>
      </c>
      <c r="M547" s="452"/>
      <c r="N547" s="4"/>
      <c r="O547" s="1780"/>
      <c r="P547" s="94" t="b">
        <v>0</v>
      </c>
      <c r="Q547" s="94" t="b">
        <v>1</v>
      </c>
      <c r="R547" s="134" t="b">
        <f ca="1">S547</f>
        <v>0</v>
      </c>
      <c r="S547" s="137" t="b">
        <f ca="1">(S13=3)</f>
        <v>0</v>
      </c>
      <c r="T547" s="94" t="b">
        <f ca="1">AND(NOT(S547),LEN(W547)&gt;0)</f>
        <v>0</v>
      </c>
      <c r="U547"/>
      <c r="V547"/>
      <c r="W547" s="513"/>
      <c r="X547" s="1799"/>
      <c r="AC547" s="417" t="b">
        <f ca="1">OR(AD547:AE547)</f>
        <v>0</v>
      </c>
      <c r="AD547" s="417" t="b">
        <f ca="1">T547</f>
        <v>0</v>
      </c>
      <c r="AE547" s="417" t="b">
        <f ca="1">AND(R547,OR(W547="Not Met",W547=""))</f>
        <v>0</v>
      </c>
      <c r="AP547" s="254" t="str">
        <f>SUBSTITUTE(SUBSTITUTE(SUBSTITUTE("dch"&amp;$B547&amp;$C547&amp;$D547&amp;$E547,".","_"),"(","_"),")","")</f>
        <v>dch704_2_1</v>
      </c>
      <c r="AQ547" s="254" t="str">
        <f>IF(LEN(W547)=0,"",W547)</f>
        <v/>
      </c>
      <c r="AZ547" s="816"/>
      <c r="BA547" s="816"/>
      <c r="BB547" s="816"/>
      <c r="BC547" s="816"/>
      <c r="BD547" s="816"/>
      <c r="BE547" s="816"/>
      <c r="BF547" s="816"/>
      <c r="BG547" s="816"/>
      <c r="BH547" s="816"/>
      <c r="BI547" s="816"/>
    </row>
    <row r="548" spans="1:61" x14ac:dyDescent="0.25">
      <c r="B548" s="679">
        <v>704.2</v>
      </c>
      <c r="C548" s="90"/>
      <c r="D548" s="21"/>
      <c r="E548" s="21"/>
      <c r="F548" s="21"/>
      <c r="G548" s="21"/>
      <c r="H548" s="758"/>
      <c r="I548" s="4"/>
      <c r="J548" s="161"/>
      <c r="K548" s="161"/>
      <c r="L548" s="1833"/>
      <c r="M548" s="428"/>
      <c r="N548" s="4"/>
      <c r="O548" s="1780"/>
      <c r="P548"/>
      <c r="Q548"/>
      <c r="R548"/>
      <c r="S548"/>
      <c r="T548"/>
      <c r="U548"/>
      <c r="V548"/>
      <c r="W548" s="1410" t="s">
        <v>5238</v>
      </c>
      <c r="X548" s="1799"/>
      <c r="AP548" s="254"/>
      <c r="AQ548" s="254"/>
    </row>
    <row r="549" spans="1:61" x14ac:dyDescent="0.25">
      <c r="B549" s="679">
        <v>704.2</v>
      </c>
      <c r="C549" s="90" t="s">
        <v>4861</v>
      </c>
      <c r="D549" s="21"/>
      <c r="E549" s="21"/>
      <c r="F549" s="21"/>
      <c r="G549" s="21"/>
      <c r="H549" s="758"/>
      <c r="I549" s="4"/>
      <c r="J549" s="161"/>
      <c r="K549" s="161"/>
      <c r="L549" s="1833"/>
      <c r="M549" s="428"/>
      <c r="N549" s="4"/>
      <c r="O549" s="1780"/>
      <c r="P549" s="94" t="b">
        <v>0</v>
      </c>
      <c r="Q549" s="94" t="b">
        <v>1</v>
      </c>
      <c r="R549" s="1411" t="b">
        <f ca="1">S549</f>
        <v>0</v>
      </c>
      <c r="S549" s="1411" t="b">
        <f ca="1">(S13=3)</f>
        <v>0</v>
      </c>
      <c r="T549" s="94" t="b">
        <f ca="1">AND(NOT(S549),LEN(W549)&gt;0)</f>
        <v>0</v>
      </c>
      <c r="U549"/>
      <c r="V549"/>
      <c r="W549" s="513"/>
      <c r="X549" s="1799"/>
      <c r="AC549" s="1411" t="b">
        <f ca="1">OR(AD549:AE549)</f>
        <v>0</v>
      </c>
      <c r="AD549" s="1411" t="b">
        <f ca="1">T549</f>
        <v>0</v>
      </c>
      <c r="AE549" s="1411" t="b">
        <f ca="1">AND(R549,OR(W549="Not Met",W549=""))</f>
        <v>0</v>
      </c>
      <c r="AP549" s="254" t="str">
        <f>SUBSTITUTE(SUBSTITUTE(SUBSTITUTE("dch"&amp;$B549&amp;$C549&amp;$D549&amp;$E549,".","_"),"(","_"),")","")</f>
        <v>dch704_2_2</v>
      </c>
      <c r="AQ549" s="254" t="str">
        <f>IF(LEN(W549)=0,"",W549)</f>
        <v/>
      </c>
    </row>
    <row r="550" spans="1:61" s="372" customFormat="1" x14ac:dyDescent="0.25">
      <c r="A550" s="18"/>
      <c r="B550" s="679">
        <v>704.2</v>
      </c>
      <c r="C550" s="90"/>
      <c r="D550" s="21"/>
      <c r="E550" s="21"/>
      <c r="F550" s="21"/>
      <c r="G550" s="21"/>
      <c r="H550" s="758"/>
      <c r="I550" s="4"/>
      <c r="J550" s="374"/>
      <c r="K550" s="374"/>
      <c r="L550" s="1833" t="s">
        <v>4327</v>
      </c>
      <c r="M550" s="428"/>
      <c r="N550" s="4"/>
      <c r="O550" s="1780"/>
      <c r="X550" s="1799"/>
      <c r="Y550" s="780"/>
      <c r="AA550" s="783"/>
      <c r="AX550" s="76"/>
      <c r="AY550" s="76"/>
      <c r="AZ550" s="76"/>
      <c r="BA550" s="76"/>
      <c r="BB550" s="76"/>
      <c r="BC550" s="76"/>
      <c r="BD550" s="76"/>
      <c r="BE550" s="76"/>
      <c r="BF550" s="76"/>
      <c r="BG550" s="76"/>
      <c r="BH550" s="76"/>
      <c r="BI550" s="76"/>
    </row>
    <row r="551" spans="1:61" s="816" customFormat="1" x14ac:dyDescent="0.25">
      <c r="A551" s="18"/>
      <c r="B551" s="679">
        <v>704.2</v>
      </c>
      <c r="C551" s="90"/>
      <c r="D551" s="21"/>
      <c r="E551" s="21"/>
      <c r="F551" s="21"/>
      <c r="G551" s="21"/>
      <c r="H551" s="758"/>
      <c r="I551" s="4"/>
      <c r="J551" s="834"/>
      <c r="K551" s="834"/>
      <c r="L551" s="1833"/>
      <c r="M551" s="831"/>
      <c r="N551" s="4"/>
      <c r="O551" s="1780"/>
      <c r="X551" s="1756"/>
      <c r="AX551" s="76"/>
      <c r="AY551" s="76"/>
      <c r="AZ551" s="372"/>
      <c r="BA551" s="372"/>
      <c r="BB551" s="372"/>
      <c r="BC551" s="372"/>
      <c r="BD551" s="372"/>
      <c r="BE551" s="372"/>
      <c r="BF551" s="372"/>
      <c r="BG551" s="372"/>
      <c r="BH551" s="372"/>
      <c r="BI551" s="372"/>
    </row>
    <row r="552" spans="1:61" ht="18.75" x14ac:dyDescent="0.3">
      <c r="B552" s="679">
        <v>705</v>
      </c>
      <c r="C552" s="90"/>
      <c r="D552" s="21"/>
      <c r="E552" s="21"/>
      <c r="F552" s="21"/>
      <c r="G552" s="21"/>
      <c r="H552" s="758"/>
      <c r="I552" s="14" t="s">
        <v>1007</v>
      </c>
      <c r="J552" s="84"/>
      <c r="K552" s="84"/>
      <c r="L552" s="84"/>
      <c r="M552" s="390"/>
      <c r="N552" s="508"/>
      <c r="O552" s="498"/>
      <c r="P552" s="23"/>
      <c r="Q552" s="23"/>
      <c r="R552" s="23"/>
      <c r="S552" s="23"/>
      <c r="T552" s="23"/>
      <c r="U552" s="23"/>
      <c r="V552" s="23"/>
      <c r="W552" s="23"/>
      <c r="X552" s="23"/>
      <c r="AZ552" s="816"/>
      <c r="BA552" s="816"/>
      <c r="BB552" s="816"/>
      <c r="BC552" s="816"/>
      <c r="BD552" s="816"/>
      <c r="BE552" s="816"/>
      <c r="BF552" s="816"/>
      <c r="BG552" s="816"/>
      <c r="BH552" s="816"/>
      <c r="BI552" s="816"/>
    </row>
    <row r="553" spans="1:61" x14ac:dyDescent="0.25">
      <c r="B553" s="679">
        <v>705.2</v>
      </c>
      <c r="C553" s="90"/>
      <c r="D553" s="21"/>
      <c r="E553" s="21"/>
      <c r="F553" s="21"/>
      <c r="G553" s="21"/>
      <c r="H553" s="758"/>
      <c r="I553" s="64">
        <v>705.2</v>
      </c>
      <c r="J553" s="161"/>
      <c r="K553" s="161"/>
      <c r="L553" s="166" t="s">
        <v>1008</v>
      </c>
      <c r="M553" s="428"/>
      <c r="N553" s="4"/>
      <c r="O553" s="141"/>
      <c r="P553"/>
      <c r="Q553"/>
      <c r="R553"/>
      <c r="S553"/>
      <c r="T553"/>
      <c r="U553"/>
      <c r="V553"/>
      <c r="W553"/>
      <c r="X553"/>
    </row>
    <row r="554" spans="1:61" x14ac:dyDescent="0.25">
      <c r="B554" s="679" t="s">
        <v>1009</v>
      </c>
      <c r="C554" s="90"/>
      <c r="D554" s="21"/>
      <c r="E554" s="21"/>
      <c r="F554" s="21"/>
      <c r="G554" s="21"/>
      <c r="H554" s="758"/>
      <c r="I554" s="66" t="s">
        <v>1009</v>
      </c>
      <c r="J554" s="161"/>
      <c r="K554" s="161"/>
      <c r="L554" s="166" t="s">
        <v>1010</v>
      </c>
      <c r="M554" s="428"/>
      <c r="N554" s="4"/>
      <c r="O554" s="141"/>
      <c r="P554"/>
      <c r="Q554"/>
      <c r="R554"/>
      <c r="S554"/>
      <c r="T554"/>
      <c r="U554"/>
      <c r="V554"/>
      <c r="W554"/>
      <c r="X554"/>
    </row>
    <row r="555" spans="1:61" x14ac:dyDescent="0.25">
      <c r="B555" s="679" t="s">
        <v>1009</v>
      </c>
      <c r="C555" s="90"/>
      <c r="D555" s="21"/>
      <c r="E555" s="21"/>
      <c r="F555" s="21"/>
      <c r="G555" s="21"/>
      <c r="H555" s="758"/>
      <c r="I555" s="66"/>
      <c r="J555" s="161"/>
      <c r="K555" s="161"/>
      <c r="L555" s="1904" t="s">
        <v>1011</v>
      </c>
      <c r="M555" s="428"/>
      <c r="N555" s="4"/>
      <c r="O555" s="141"/>
      <c r="P555"/>
      <c r="Q555"/>
      <c r="R555"/>
      <c r="S555"/>
      <c r="T555"/>
      <c r="U555"/>
      <c r="V555"/>
      <c r="W555"/>
      <c r="X555"/>
    </row>
    <row r="556" spans="1:61" x14ac:dyDescent="0.25">
      <c r="B556" s="679" t="s">
        <v>1009</v>
      </c>
      <c r="C556" s="90"/>
      <c r="D556" s="21"/>
      <c r="E556" s="21"/>
      <c r="F556" s="21"/>
      <c r="G556" s="21"/>
      <c r="H556" s="758"/>
      <c r="I556" s="66"/>
      <c r="J556" s="161"/>
      <c r="K556" s="161"/>
      <c r="L556" s="1904"/>
      <c r="M556" s="428"/>
      <c r="N556" s="4"/>
      <c r="O556" s="141"/>
      <c r="P556"/>
      <c r="Q556"/>
      <c r="R556"/>
      <c r="S556"/>
      <c r="T556"/>
      <c r="U556" s="94"/>
      <c r="V556"/>
      <c r="W556"/>
      <c r="X556"/>
    </row>
    <row r="557" spans="1:61" ht="15" customHeight="1" x14ac:dyDescent="0.25">
      <c r="B557" s="679" t="s">
        <v>1012</v>
      </c>
      <c r="C557" s="90"/>
      <c r="D557" s="21"/>
      <c r="E557" s="21"/>
      <c r="F557" s="21"/>
      <c r="G557" s="21"/>
      <c r="H557" s="758"/>
      <c r="I557" s="66" t="s">
        <v>1012</v>
      </c>
      <c r="J557" s="161"/>
      <c r="K557" s="161"/>
      <c r="L557" s="1833" t="s">
        <v>4328</v>
      </c>
      <c r="M557" s="428"/>
      <c r="N557" s="4"/>
      <c r="O557" s="1780">
        <f ca="1">IFERROR(INDEX({1,2},MATCH(W557,INDIRECT(U557),0)),0)*S557</f>
        <v>0</v>
      </c>
      <c r="P557" s="94" t="b">
        <v>0</v>
      </c>
      <c r="Q557" s="94" t="b">
        <v>1</v>
      </c>
      <c r="R557" s="372" t="b">
        <v>0</v>
      </c>
      <c r="S557" s="372" t="b">
        <v>1</v>
      </c>
      <c r="T557" s="94" t="b">
        <v>0</v>
      </c>
      <c r="U557" s="94" t="str">
        <f>SUBSTITUTE(SUBSTITUTE(SUBSTITUTE("dd"&amp;B557&amp;C557&amp;D557&amp;E557&amp;F557,".","_"),"(","_"),")","")</f>
        <v>dd705_2_1_1</v>
      </c>
      <c r="V557"/>
      <c r="W557" s="12"/>
      <c r="X557" s="1757"/>
      <c r="AC557" s="417"/>
      <c r="AD557" s="417"/>
      <c r="AE557" s="417"/>
      <c r="AN557" s="254" t="str">
        <f>SUBSTITUTE(SUBSTITUTE(SUBSTITUTE("dpc"&amp;$B557&amp;$C557&amp;$D557&amp;$E557,".","_"),"(","_"),")","")</f>
        <v>dpc705_2_1_1</v>
      </c>
      <c r="AO557" s="254">
        <f ca="1">O557</f>
        <v>0</v>
      </c>
      <c r="AP557" s="254" t="str">
        <f>SUBSTITUTE(SUBSTITUTE(SUBSTITUTE("dch"&amp;$B557&amp;$C557&amp;$D557&amp;$E557,".","_"),"(","_"),")","")</f>
        <v>dch705_2_1_1</v>
      </c>
      <c r="AQ557" s="254" t="str">
        <f>IF(LEN(W557)=0,"",W557)</f>
        <v/>
      </c>
      <c r="AR557" s="254" t="str">
        <f>SUBSTITUTE(SUBSTITUTE(SUBSTITUTE("dnt"&amp;$B557&amp;$C557&amp;$D557&amp;$E557,".","_"),"(","_"),")","")</f>
        <v>dnt705_2_1_1</v>
      </c>
      <c r="AS557" s="254" t="str">
        <f>IF(LEN(X557)=0,"",X557)</f>
        <v/>
      </c>
    </row>
    <row r="558" spans="1:61" x14ac:dyDescent="0.25">
      <c r="B558" s="679" t="s">
        <v>1012</v>
      </c>
      <c r="C558" s="90"/>
      <c r="D558" s="21"/>
      <c r="E558" s="21"/>
      <c r="F558" s="21"/>
      <c r="G558" s="21"/>
      <c r="H558" s="758"/>
      <c r="I558" s="4"/>
      <c r="J558" s="161"/>
      <c r="K558" s="161"/>
      <c r="L558" s="1833"/>
      <c r="M558" s="428"/>
      <c r="N558" s="4"/>
      <c r="O558" s="1780"/>
      <c r="P558"/>
      <c r="Q558"/>
      <c r="R558"/>
      <c r="S558"/>
      <c r="T558"/>
      <c r="U558"/>
      <c r="V558"/>
      <c r="W558"/>
      <c r="X558" s="1757"/>
    </row>
    <row r="559" spans="1:61" x14ac:dyDescent="0.25">
      <c r="B559" s="679" t="s">
        <v>1012</v>
      </c>
      <c r="C559" s="21" t="s">
        <v>256</v>
      </c>
      <c r="D559" s="21"/>
      <c r="E559" s="21"/>
      <c r="F559" s="21"/>
      <c r="G559" s="21"/>
      <c r="H559" s="758"/>
      <c r="I559" s="4"/>
      <c r="J559" s="544" t="s">
        <v>256</v>
      </c>
      <c r="K559" s="449"/>
      <c r="L559" s="449" t="s">
        <v>1013</v>
      </c>
      <c r="M559" s="453">
        <v>1</v>
      </c>
      <c r="N559" s="4"/>
      <c r="O559" s="141"/>
      <c r="P559"/>
      <c r="Q559"/>
      <c r="R559" s="134"/>
      <c r="S559" s="134"/>
      <c r="T559" s="134"/>
      <c r="U559"/>
      <c r="V559"/>
      <c r="W559"/>
      <c r="X559" s="1757"/>
      <c r="AL559" s="254" t="str">
        <f>SUBSTITUTE(SUBSTITUTE(SUBSTITUTE("dpa"&amp;$B559&amp;$C559&amp;$D559&amp;$E559,".","_"),"(","_"),")","")</f>
        <v>dpa705_2_1_1_1</v>
      </c>
      <c r="AM559" s="254">
        <f>M559</f>
        <v>1</v>
      </c>
    </row>
    <row r="560" spans="1:61" x14ac:dyDescent="0.25">
      <c r="B560" s="679" t="s">
        <v>1012</v>
      </c>
      <c r="C560" s="21" t="s">
        <v>258</v>
      </c>
      <c r="D560" s="21"/>
      <c r="E560" s="21"/>
      <c r="F560" s="21"/>
      <c r="G560" s="21"/>
      <c r="H560" s="758"/>
      <c r="I560" s="210"/>
      <c r="J560" s="544" t="s">
        <v>258</v>
      </c>
      <c r="K560" s="449"/>
      <c r="L560" s="449" t="s">
        <v>1014</v>
      </c>
      <c r="M560" s="453">
        <v>2</v>
      </c>
      <c r="N560" s="4"/>
      <c r="O560" s="973"/>
      <c r="P560"/>
      <c r="Q560"/>
      <c r="R560" s="134"/>
      <c r="S560" s="134"/>
      <c r="T560" s="134"/>
      <c r="U560"/>
      <c r="V560"/>
      <c r="W560"/>
      <c r="X560" s="1757"/>
      <c r="AL560" s="254" t="str">
        <f>SUBSTITUTE(SUBSTITUTE(SUBSTITUTE("dpa"&amp;$B560&amp;$C560&amp;$D560&amp;$E560,".","_"),"(","_"),")","")</f>
        <v>dpa705_2_1_1_2</v>
      </c>
      <c r="AM560" s="254">
        <f>M560</f>
        <v>2</v>
      </c>
    </row>
    <row r="561" spans="1:61" x14ac:dyDescent="0.25">
      <c r="B561" s="679" t="s">
        <v>1015</v>
      </c>
      <c r="C561" s="21"/>
      <c r="D561" s="21"/>
      <c r="E561" s="21"/>
      <c r="F561" s="21"/>
      <c r="G561" s="21"/>
      <c r="H561" s="758"/>
      <c r="I561" s="510" t="s">
        <v>1015</v>
      </c>
      <c r="J561" s="543"/>
      <c r="K561" s="448"/>
      <c r="L561" s="1782" t="s">
        <v>1016</v>
      </c>
      <c r="M561" s="1758">
        <v>1</v>
      </c>
      <c r="N561" s="129"/>
      <c r="O561" s="1774">
        <f>M561*S561*W561</f>
        <v>0</v>
      </c>
      <c r="P561" s="94" t="b">
        <v>0</v>
      </c>
      <c r="Q561" s="94" t="b">
        <v>1</v>
      </c>
      <c r="R561" s="134" t="b">
        <v>0</v>
      </c>
      <c r="S561" s="383" t="b">
        <v>1</v>
      </c>
      <c r="T561" s="94" t="b">
        <v>0</v>
      </c>
      <c r="U561"/>
      <c r="V561"/>
      <c r="W561" s="25"/>
      <c r="X561" s="1757"/>
      <c r="AC561" s="417"/>
      <c r="AD561" s="417"/>
      <c r="AE561" s="417"/>
      <c r="AL561" s="254" t="str">
        <f>SUBSTITUTE(SUBSTITUTE(SUBSTITUTE("dpa"&amp;$B561&amp;$C561&amp;$D561&amp;$E561,".","_"),"(","_"),")","")</f>
        <v>dpa705_2_1_2</v>
      </c>
      <c r="AM561" s="254">
        <f>M561</f>
        <v>1</v>
      </c>
      <c r="AN561" s="254" t="str">
        <f>SUBSTITUTE(SUBSTITUTE(SUBSTITUTE("dpc"&amp;$B561&amp;$C561&amp;$D561&amp;$E561,".","_"),"(","_"),")","")</f>
        <v>dpc705_2_1_2</v>
      </c>
      <c r="AO561" s="254">
        <f>O561</f>
        <v>0</v>
      </c>
      <c r="AP561" s="254" t="str">
        <f>SUBSTITUTE(SUBSTITUTE(SUBSTITUTE("dch"&amp;$B561&amp;$C561&amp;$D561&amp;$E561&amp;$F561,".","_"),"(","_"),")","")</f>
        <v>dch705_2_1_2</v>
      </c>
      <c r="AQ561" s="254" t="str">
        <f>IF(LEN(W561)=0,"",W561)</f>
        <v/>
      </c>
      <c r="AR561" s="254" t="str">
        <f>SUBSTITUTE(SUBSTITUTE(SUBSTITUTE("dnt"&amp;$B561&amp;$C561&amp;$D561&amp;$E561,".","_"),"(","_"),")","")</f>
        <v>dnt705_2_1_2</v>
      </c>
      <c r="AS561" s="254" t="str">
        <f>IF(LEN(X561)=0,"",X561)</f>
        <v/>
      </c>
    </row>
    <row r="562" spans="1:61" x14ac:dyDescent="0.25">
      <c r="B562" s="679" t="s">
        <v>1015</v>
      </c>
      <c r="C562" s="21"/>
      <c r="D562" s="21"/>
      <c r="E562" s="21"/>
      <c r="F562" s="21"/>
      <c r="G562" s="21"/>
      <c r="H562" s="758"/>
      <c r="I562" s="210"/>
      <c r="J562" s="449"/>
      <c r="K562" s="449"/>
      <c r="L562" s="1843"/>
      <c r="M562" s="1759"/>
      <c r="N562" s="210"/>
      <c r="O562" s="1764"/>
      <c r="P562"/>
      <c r="Q562"/>
      <c r="R562"/>
      <c r="S562"/>
      <c r="T562"/>
      <c r="U562"/>
      <c r="V562"/>
      <c r="W562"/>
      <c r="X562" s="1757"/>
    </row>
    <row r="563" spans="1:61" x14ac:dyDescent="0.25">
      <c r="B563" s="679" t="s">
        <v>1017</v>
      </c>
      <c r="C563" s="21"/>
      <c r="D563" s="21"/>
      <c r="E563" s="21"/>
      <c r="F563" s="21"/>
      <c r="G563" s="21"/>
      <c r="H563" s="758"/>
      <c r="I563" s="66" t="s">
        <v>1017</v>
      </c>
      <c r="J563" s="161"/>
      <c r="K563" s="161"/>
      <c r="L563" s="166" t="s">
        <v>1018</v>
      </c>
      <c r="M563" s="428"/>
      <c r="N563" s="4"/>
      <c r="O563" s="141"/>
      <c r="P563"/>
      <c r="Q563"/>
      <c r="R563"/>
      <c r="S563"/>
      <c r="T563"/>
      <c r="U563"/>
      <c r="V563"/>
      <c r="W563"/>
      <c r="X563"/>
    </row>
    <row r="564" spans="1:61" x14ac:dyDescent="0.25">
      <c r="B564" s="679" t="s">
        <v>1017</v>
      </c>
      <c r="C564" s="131" t="s">
        <v>256</v>
      </c>
      <c r="D564" s="21"/>
      <c r="E564" s="21"/>
      <c r="F564" s="21"/>
      <c r="G564" s="21"/>
      <c r="H564" s="758"/>
      <c r="I564" s="4"/>
      <c r="J564" s="234" t="s">
        <v>256</v>
      </c>
      <c r="K564" s="161"/>
      <c r="L564" s="1779" t="s">
        <v>1019</v>
      </c>
      <c r="M564" s="428"/>
      <c r="N564" s="4"/>
      <c r="O564" s="1780">
        <f ca="1">IFERROR(INDEX({1,2},MATCH(W564,INDIRECT(U564),0)),0)*S564</f>
        <v>0</v>
      </c>
      <c r="P564" s="94" t="b">
        <v>0</v>
      </c>
      <c r="Q564" s="94" t="b">
        <v>1</v>
      </c>
      <c r="R564" s="134" t="b">
        <v>0</v>
      </c>
      <c r="S564" s="372" t="b">
        <f ca="1">IF(AY19=INDEX(INDIRECT("ddSingleOrMulti"),2),TRUE,FALSE)</f>
        <v>0</v>
      </c>
      <c r="T564" s="94" t="b">
        <f ca="1">AND(NOT(S564),LEN(W564)&gt;0)</f>
        <v>0</v>
      </c>
      <c r="U564" s="94" t="str">
        <f>SUBSTITUTE(SUBSTITUTE(SUBSTITUTE("dd"&amp;B564&amp;C564&amp;D564&amp;E564&amp;F564,".","_"),"(","_"),")","")</f>
        <v>dd705_2_1_3_1</v>
      </c>
      <c r="V564"/>
      <c r="W564" s="12"/>
      <c r="X564" s="1757"/>
      <c r="AC564" s="417" t="b">
        <f ca="1">OR(AD564:AE564)</f>
        <v>0</v>
      </c>
      <c r="AD564" s="417" t="b">
        <f ca="1">T564</f>
        <v>0</v>
      </c>
      <c r="AE564" s="417"/>
      <c r="AN564" s="254" t="str">
        <f>SUBSTITUTE(SUBSTITUTE(SUBSTITUTE("dpc"&amp;$B564&amp;$C564&amp;$D564&amp;$E564,".","_"),"(","_"),")","")</f>
        <v>dpc705_2_1_3_1</v>
      </c>
      <c r="AO564" s="254">
        <f ca="1">O564</f>
        <v>0</v>
      </c>
      <c r="AP564" s="254" t="str">
        <f>SUBSTITUTE(SUBSTITUTE(SUBSTITUTE("dch"&amp;$B564&amp;$C564&amp;$D564&amp;$E564,".","_"),"(","_"),")","")</f>
        <v>dch705_2_1_3_1</v>
      </c>
      <c r="AQ564" s="254" t="str">
        <f>IF(LEN(W564)=0,"",W564)</f>
        <v/>
      </c>
      <c r="AR564" s="254" t="str">
        <f>SUBSTITUTE(SUBSTITUTE(SUBSTITUTE("dnt"&amp;$B564&amp;$C564&amp;$D564&amp;$E564,".","_"),"(","_"),")","")</f>
        <v>dnt705_2_1_3_1</v>
      </c>
      <c r="AS564" s="254" t="str">
        <f>IF(LEN(X564)=0,"",X564)</f>
        <v/>
      </c>
    </row>
    <row r="565" spans="1:61" x14ac:dyDescent="0.25">
      <c r="B565" s="679" t="s">
        <v>1017</v>
      </c>
      <c r="C565" s="131" t="s">
        <v>256</v>
      </c>
      <c r="D565" s="21"/>
      <c r="E565" s="21"/>
      <c r="F565" s="21"/>
      <c r="G565" s="21"/>
      <c r="H565" s="758"/>
      <c r="I565" s="4"/>
      <c r="J565" s="161"/>
      <c r="K565" s="161"/>
      <c r="L565" s="1779"/>
      <c r="M565" s="428"/>
      <c r="N565" s="4"/>
      <c r="O565" s="1780"/>
      <c r="P565"/>
      <c r="Q565"/>
      <c r="R565"/>
      <c r="S565"/>
      <c r="T565"/>
      <c r="U565"/>
      <c r="V565"/>
      <c r="W565"/>
      <c r="X565" s="1757"/>
    </row>
    <row r="566" spans="1:61" x14ac:dyDescent="0.25">
      <c r="B566" s="679" t="s">
        <v>1017</v>
      </c>
      <c r="C566" s="131" t="s">
        <v>256</v>
      </c>
      <c r="D566" s="21" t="s">
        <v>121</v>
      </c>
      <c r="E566" s="21"/>
      <c r="F566" s="21"/>
      <c r="G566" s="21"/>
      <c r="H566" s="758"/>
      <c r="I566" s="4"/>
      <c r="J566" s="161"/>
      <c r="K566" s="230" t="s">
        <v>121</v>
      </c>
      <c r="L566" s="161" t="s">
        <v>1013</v>
      </c>
      <c r="M566" s="428">
        <v>1</v>
      </c>
      <c r="N566" s="4"/>
      <c r="O566" s="141"/>
      <c r="P566"/>
      <c r="Q566"/>
      <c r="R566" s="134"/>
      <c r="S566" s="134"/>
      <c r="T566" s="134"/>
      <c r="U566"/>
      <c r="V566"/>
      <c r="W566"/>
      <c r="X566" s="1757"/>
      <c r="AL566" s="254" t="str">
        <f>SUBSTITUTE(SUBSTITUTE(SUBSTITUTE("dpa"&amp;$B566&amp;$C566&amp;$D566&amp;$E566,".","_"),"(","_"),")","")</f>
        <v>dpa705_2_1_3_1_a</v>
      </c>
      <c r="AM566" s="254">
        <f>M566</f>
        <v>1</v>
      </c>
    </row>
    <row r="567" spans="1:61" x14ac:dyDescent="0.25">
      <c r="B567" s="679" t="s">
        <v>1017</v>
      </c>
      <c r="C567" s="131" t="s">
        <v>256</v>
      </c>
      <c r="D567" s="21" t="s">
        <v>122</v>
      </c>
      <c r="E567" s="21"/>
      <c r="F567" s="21"/>
      <c r="G567" s="21"/>
      <c r="H567" s="758"/>
      <c r="I567" s="4"/>
      <c r="J567" s="449"/>
      <c r="K567" s="530" t="s">
        <v>122</v>
      </c>
      <c r="L567" s="449" t="s">
        <v>1014</v>
      </c>
      <c r="M567" s="453">
        <v>2</v>
      </c>
      <c r="N567" s="4"/>
      <c r="O567" s="973"/>
      <c r="P567"/>
      <c r="Q567"/>
      <c r="R567" s="134"/>
      <c r="S567" s="134"/>
      <c r="T567" s="134"/>
      <c r="U567"/>
      <c r="V567"/>
      <c r="W567"/>
      <c r="X567" s="1757"/>
      <c r="AL567" s="254" t="str">
        <f>SUBSTITUTE(SUBSTITUTE(SUBSTITUTE("dpa"&amp;$B567&amp;$C567&amp;$D567&amp;$E567,".","_"),"(","_"),")","")</f>
        <v>dpa705_2_1_3_1_b</v>
      </c>
      <c r="AM567" s="254">
        <f>M567</f>
        <v>2</v>
      </c>
    </row>
    <row r="568" spans="1:61" x14ac:dyDescent="0.25">
      <c r="B568" s="679" t="s">
        <v>1017</v>
      </c>
      <c r="C568" s="131" t="s">
        <v>258</v>
      </c>
      <c r="D568" s="21"/>
      <c r="E568" s="21"/>
      <c r="F568" s="21"/>
      <c r="G568" s="21"/>
      <c r="H568" s="758"/>
      <c r="I568" s="4"/>
      <c r="J568" s="234" t="s">
        <v>258</v>
      </c>
      <c r="K568" s="161"/>
      <c r="L568" s="1779" t="s">
        <v>1020</v>
      </c>
      <c r="M568" s="428"/>
      <c r="N568" s="4"/>
      <c r="O568" s="1780">
        <f ca="1">IFERROR(INDEX({2,3},MATCH(W568,INDIRECT(U568),0)),0)*S568</f>
        <v>0</v>
      </c>
      <c r="P568" s="94" t="b">
        <v>0</v>
      </c>
      <c r="Q568" s="94" t="b">
        <v>1</v>
      </c>
      <c r="R568" s="134" t="b">
        <v>0</v>
      </c>
      <c r="S568" s="372" t="b">
        <f ca="1">IF(AY19=INDEX(INDIRECT("ddSingleOrMulti"),2),TRUE,FALSE)</f>
        <v>0</v>
      </c>
      <c r="T568" s="94" t="b">
        <f ca="1">AND(NOT(S568),LEN(W568)&gt;0)</f>
        <v>0</v>
      </c>
      <c r="U568" s="94" t="str">
        <f>SUBSTITUTE(SUBSTITUTE(SUBSTITUTE("dd"&amp;B568&amp;C568&amp;D568&amp;E568&amp;F568,".","_"),"(","_"),")","")</f>
        <v>dd705_2_1_3_2</v>
      </c>
      <c r="V568"/>
      <c r="W568" s="12"/>
      <c r="X568" s="1757"/>
      <c r="AC568" s="417" t="b">
        <f ca="1">OR(AD568:AE568)</f>
        <v>0</v>
      </c>
      <c r="AD568" s="417" t="b">
        <f ca="1">T568</f>
        <v>0</v>
      </c>
      <c r="AE568" s="417"/>
      <c r="AN568" s="254" t="str">
        <f>SUBSTITUTE(SUBSTITUTE(SUBSTITUTE("dpc"&amp;$B568&amp;$C568&amp;$D568&amp;$E568,".","_"),"(","_"),")","")</f>
        <v>dpc705_2_1_3_2</v>
      </c>
      <c r="AO568" s="254">
        <f ca="1">O568</f>
        <v>0</v>
      </c>
      <c r="AP568" s="254" t="str">
        <f>SUBSTITUTE(SUBSTITUTE(SUBSTITUTE("dch"&amp;$B568&amp;$C568&amp;$D568&amp;$E568,".","_"),"(","_"),")","")</f>
        <v>dch705_2_1_3_2</v>
      </c>
      <c r="AQ568" s="254" t="str">
        <f>IF(LEN(W568)=0,"",W568)</f>
        <v/>
      </c>
      <c r="AR568" s="254" t="str">
        <f>SUBSTITUTE(SUBSTITUTE(SUBSTITUTE("dnt"&amp;$B568&amp;$C568&amp;$D568&amp;$E568,".","_"),"(","_"),")","")</f>
        <v>dnt705_2_1_3_2</v>
      </c>
      <c r="AS568" s="254" t="str">
        <f>IF(LEN(X568)=0,"",X568)</f>
        <v/>
      </c>
    </row>
    <row r="569" spans="1:61" s="159" customFormat="1" x14ac:dyDescent="0.25">
      <c r="A569" s="18"/>
      <c r="B569" s="679" t="s">
        <v>1017</v>
      </c>
      <c r="C569" s="131" t="s">
        <v>258</v>
      </c>
      <c r="D569" s="21"/>
      <c r="E569" s="21"/>
      <c r="F569" s="21"/>
      <c r="G569" s="21"/>
      <c r="H569" s="758"/>
      <c r="I569" s="4"/>
      <c r="J569" s="161"/>
      <c r="K569" s="161"/>
      <c r="L569" s="1779"/>
      <c r="M569" s="428"/>
      <c r="N569" s="4"/>
      <c r="O569" s="1780"/>
      <c r="P569"/>
      <c r="Q569"/>
      <c r="R569"/>
      <c r="S569"/>
      <c r="T569"/>
      <c r="U569"/>
      <c r="V569"/>
      <c r="W569"/>
      <c r="X569" s="1757"/>
      <c r="Y569" s="780"/>
      <c r="Z569" s="76"/>
      <c r="AA569" s="783"/>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Y569" s="76"/>
      <c r="AZ569" s="76"/>
      <c r="BA569" s="76"/>
      <c r="BB569" s="76"/>
      <c r="BC569" s="76"/>
      <c r="BD569" s="76"/>
      <c r="BE569" s="76"/>
      <c r="BF569" s="76"/>
      <c r="BG569" s="76"/>
      <c r="BH569" s="76"/>
      <c r="BI569" s="76"/>
    </row>
    <row r="570" spans="1:61" x14ac:dyDescent="0.25">
      <c r="B570" s="679" t="s">
        <v>1017</v>
      </c>
      <c r="C570" s="131" t="s">
        <v>258</v>
      </c>
      <c r="D570" s="21"/>
      <c r="E570" s="21"/>
      <c r="F570" s="21"/>
      <c r="G570" s="21"/>
      <c r="H570" s="758"/>
      <c r="I570" s="4"/>
      <c r="J570" s="161"/>
      <c r="K570" s="161"/>
      <c r="L570" s="1779"/>
      <c r="M570" s="428"/>
      <c r="N570" s="4"/>
      <c r="O570" s="1780"/>
      <c r="P570" s="159"/>
      <c r="Q570" s="159"/>
      <c r="R570" s="159"/>
      <c r="S570" s="159"/>
      <c r="T570" s="159"/>
      <c r="U570" s="159"/>
      <c r="V570" s="159"/>
      <c r="W570" s="159"/>
      <c r="X570" s="1757"/>
      <c r="Z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34"/>
      <c r="AY570" s="134"/>
      <c r="AZ570" s="159"/>
      <c r="BA570" s="159"/>
      <c r="BB570" s="159"/>
      <c r="BC570" s="159"/>
      <c r="BD570" s="159"/>
      <c r="BE570" s="159"/>
      <c r="BF570" s="159"/>
      <c r="BG570" s="159"/>
      <c r="BH570" s="159"/>
      <c r="BI570" s="159"/>
    </row>
    <row r="571" spans="1:61" x14ac:dyDescent="0.25">
      <c r="B571" s="679" t="s">
        <v>1017</v>
      </c>
      <c r="C571" s="131" t="s">
        <v>258</v>
      </c>
      <c r="D571" s="21" t="s">
        <v>121</v>
      </c>
      <c r="E571" s="21"/>
      <c r="F571" s="21"/>
      <c r="G571" s="21"/>
      <c r="H571" s="758"/>
      <c r="I571" s="129"/>
      <c r="J571" s="448"/>
      <c r="K571" s="518" t="s">
        <v>121</v>
      </c>
      <c r="L571" s="448" t="s">
        <v>1021</v>
      </c>
      <c r="M571" s="452">
        <v>2</v>
      </c>
      <c r="N571" s="4"/>
      <c r="O571" s="141"/>
      <c r="P571"/>
      <c r="Q571"/>
      <c r="R571"/>
      <c r="S571"/>
      <c r="T571"/>
      <c r="U571"/>
      <c r="V571"/>
      <c r="W571"/>
      <c r="X571" s="1757"/>
      <c r="AL571" s="254" t="str">
        <f>SUBSTITUTE(SUBSTITUTE(SUBSTITUTE("dpa"&amp;$B571&amp;$C571&amp;$D571&amp;$E571,".","_"),"(","_"),")","")</f>
        <v>dpa705_2_1_3_2_a</v>
      </c>
      <c r="AM571" s="254">
        <f>M571</f>
        <v>2</v>
      </c>
      <c r="AX571" s="816"/>
      <c r="AY571" s="816"/>
    </row>
    <row r="572" spans="1:61" x14ac:dyDescent="0.25">
      <c r="B572" s="679" t="s">
        <v>1017</v>
      </c>
      <c r="C572" s="131" t="s">
        <v>258</v>
      </c>
      <c r="D572" s="21" t="s">
        <v>122</v>
      </c>
      <c r="E572" s="21"/>
      <c r="F572" s="21"/>
      <c r="G572" s="21"/>
      <c r="H572" s="758"/>
      <c r="I572" s="210"/>
      <c r="J572" s="449"/>
      <c r="K572" s="530" t="s">
        <v>122</v>
      </c>
      <c r="L572" s="449" t="s">
        <v>1022</v>
      </c>
      <c r="M572" s="453">
        <v>3</v>
      </c>
      <c r="N572" s="4"/>
      <c r="O572" s="503"/>
      <c r="P572"/>
      <c r="Q572"/>
      <c r="R572"/>
      <c r="S572"/>
      <c r="T572"/>
      <c r="U572"/>
      <c r="V572"/>
      <c r="W572"/>
      <c r="X572" s="1757"/>
      <c r="AL572" s="254" t="str">
        <f>SUBSTITUTE(SUBSTITUTE(SUBSTITUTE("dpa"&amp;$B572&amp;$C572&amp;$D572&amp;$E572,".","_"),"(","_"),")","")</f>
        <v>dpa705_2_1_3_2_b</v>
      </c>
      <c r="AM572" s="254">
        <f>M572</f>
        <v>3</v>
      </c>
    </row>
    <row r="573" spans="1:61" x14ac:dyDescent="0.25">
      <c r="B573" s="679" t="s">
        <v>1023</v>
      </c>
      <c r="C573" s="21"/>
      <c r="D573" s="21"/>
      <c r="E573" s="21"/>
      <c r="F573" s="21"/>
      <c r="G573" s="21"/>
      <c r="H573" s="758"/>
      <c r="I573" s="66" t="s">
        <v>1023</v>
      </c>
      <c r="J573" s="161"/>
      <c r="K573" s="161"/>
      <c r="L573" s="1796" t="s">
        <v>1024</v>
      </c>
      <c r="M573" s="428"/>
      <c r="N573" s="4"/>
      <c r="O573" s="1780">
        <f ca="1">IFERROR(INDEX({2,3},MATCH(W573,INDIRECT(U573),0)),0)*S573</f>
        <v>0</v>
      </c>
      <c r="P573" s="94" t="b">
        <v>0</v>
      </c>
      <c r="Q573" s="94" t="b">
        <v>1</v>
      </c>
      <c r="R573" s="134" t="b">
        <v>0</v>
      </c>
      <c r="S573" s="134" t="b">
        <f ca="1">IF(AY19=INDEX(INDIRECT("ddSingleOrMulti"),2),TRUE,FALSE)</f>
        <v>0</v>
      </c>
      <c r="T573" s="94" t="b">
        <f ca="1">AND(NOT(S573),LEN(W573)&gt;0)</f>
        <v>0</v>
      </c>
      <c r="U573" s="94" t="str">
        <f>SUBSTITUTE(SUBSTITUTE(SUBSTITUTE("dd"&amp;B573&amp;C573&amp;D573&amp;E573&amp;F573,".","_"),"(","_"),")","")</f>
        <v>dd705_2_1_4</v>
      </c>
      <c r="V573"/>
      <c r="W573" s="12"/>
      <c r="X573" s="1757"/>
      <c r="AC573" s="417" t="b">
        <f ca="1">OR(AD573:AE573)</f>
        <v>0</v>
      </c>
      <c r="AD573" s="417" t="b">
        <f ca="1">T573</f>
        <v>0</v>
      </c>
      <c r="AE573" s="417"/>
      <c r="AN573" s="254" t="str">
        <f>SUBSTITUTE(SUBSTITUTE(SUBSTITUTE("dpc"&amp;$B573&amp;$C573&amp;$D573&amp;$E573,".","_"),"(","_"),")","")</f>
        <v>dpc705_2_1_4</v>
      </c>
      <c r="AO573" s="254">
        <f ca="1">O573</f>
        <v>0</v>
      </c>
      <c r="AP573" s="254" t="str">
        <f>SUBSTITUTE(SUBSTITUTE(SUBSTITUTE("dch"&amp;$B573&amp;$C573&amp;$D573&amp;$E573,".","_"),"(","_"),")","")</f>
        <v>dch705_2_1_4</v>
      </c>
      <c r="AQ573" s="254" t="str">
        <f>IF(LEN(W573)=0,"",W573)</f>
        <v/>
      </c>
      <c r="AR573" s="254" t="str">
        <f>SUBSTITUTE(SUBSTITUTE(SUBSTITUTE("dnt"&amp;$B573&amp;$C573&amp;$D573&amp;$E573,".","_"),"(","_"),")","")</f>
        <v>dnt705_2_1_4</v>
      </c>
      <c r="AS573" s="254" t="str">
        <f>IF(LEN(X573)=0,"",X573)</f>
        <v/>
      </c>
    </row>
    <row r="574" spans="1:61" x14ac:dyDescent="0.25">
      <c r="B574" s="679" t="s">
        <v>1023</v>
      </c>
      <c r="C574" s="21"/>
      <c r="D574" s="21"/>
      <c r="E574" s="21"/>
      <c r="F574" s="21"/>
      <c r="G574" s="21"/>
      <c r="H574" s="758"/>
      <c r="I574" s="4"/>
      <c r="J574" s="161"/>
      <c r="K574" s="161"/>
      <c r="L574" s="1796"/>
      <c r="M574" s="428"/>
      <c r="N574" s="4"/>
      <c r="O574" s="1780"/>
      <c r="P574"/>
      <c r="Q574"/>
      <c r="R574"/>
      <c r="S574"/>
      <c r="T574"/>
      <c r="U574"/>
      <c r="V574"/>
      <c r="W574"/>
      <c r="X574" s="1757"/>
    </row>
    <row r="575" spans="1:61" x14ac:dyDescent="0.25">
      <c r="B575" s="679" t="s">
        <v>1023</v>
      </c>
      <c r="C575" s="21"/>
      <c r="D575" s="21"/>
      <c r="E575" s="21"/>
      <c r="F575" s="21"/>
      <c r="G575" s="21"/>
      <c r="H575" s="758"/>
      <c r="I575" s="4"/>
      <c r="J575" s="161"/>
      <c r="K575" s="161"/>
      <c r="L575" s="1796"/>
      <c r="M575" s="428"/>
      <c r="N575" s="4"/>
      <c r="O575" s="1780"/>
      <c r="P575"/>
      <c r="Q575"/>
      <c r="R575"/>
      <c r="S575"/>
      <c r="T575"/>
      <c r="U575"/>
      <c r="V575"/>
      <c r="W575"/>
      <c r="X575" s="1757"/>
    </row>
    <row r="576" spans="1:61" x14ac:dyDescent="0.25">
      <c r="B576" s="679" t="s">
        <v>1023</v>
      </c>
      <c r="C576" s="131" t="s">
        <v>256</v>
      </c>
      <c r="D576" s="21"/>
      <c r="E576" s="21"/>
      <c r="F576" s="21"/>
      <c r="G576" s="21"/>
      <c r="H576" s="758"/>
      <c r="I576" s="4"/>
      <c r="J576" s="544" t="s">
        <v>256</v>
      </c>
      <c r="K576" s="449"/>
      <c r="L576" s="449" t="s">
        <v>1021</v>
      </c>
      <c r="M576" s="428">
        <v>2</v>
      </c>
      <c r="N576" s="4"/>
      <c r="O576" s="141"/>
      <c r="P576"/>
      <c r="Q576"/>
      <c r="R576"/>
      <c r="S576"/>
      <c r="T576"/>
      <c r="U576"/>
      <c r="V576"/>
      <c r="W576"/>
      <c r="X576" s="1757"/>
      <c r="AL576" s="254" t="str">
        <f>SUBSTITUTE(SUBSTITUTE(SUBSTITUTE("dpa"&amp;$B576&amp;$C576&amp;$D576&amp;$E576,".","_"),"(","_"),")","")</f>
        <v>dpa705_2_1_4_1</v>
      </c>
      <c r="AM576" s="254">
        <f>M576</f>
        <v>2</v>
      </c>
    </row>
    <row r="577" spans="2:51" x14ac:dyDescent="0.25">
      <c r="B577" s="679" t="s">
        <v>1023</v>
      </c>
      <c r="C577" s="131" t="s">
        <v>258</v>
      </c>
      <c r="D577" s="21"/>
      <c r="E577" s="21"/>
      <c r="F577" s="21"/>
      <c r="G577" s="21"/>
      <c r="H577" s="758"/>
      <c r="I577" s="210"/>
      <c r="J577" s="544" t="s">
        <v>258</v>
      </c>
      <c r="K577" s="449"/>
      <c r="L577" s="449" t="s">
        <v>1025</v>
      </c>
      <c r="M577" s="453">
        <v>3</v>
      </c>
      <c r="N577" s="210"/>
      <c r="O577" s="503"/>
      <c r="P577"/>
      <c r="Q577"/>
      <c r="R577"/>
      <c r="S577"/>
      <c r="T577"/>
      <c r="U577"/>
      <c r="V577"/>
      <c r="W577"/>
      <c r="X577" s="1757"/>
      <c r="AL577" s="254" t="str">
        <f>SUBSTITUTE(SUBSTITUTE(SUBSTITUTE("dpa"&amp;$B577&amp;$C577&amp;$D577&amp;$E577,".","_"),"(","_"),")","")</f>
        <v>dpa705_2_1_4_2</v>
      </c>
      <c r="AM577" s="254">
        <f>M577</f>
        <v>3</v>
      </c>
    </row>
    <row r="578" spans="2:51" x14ac:dyDescent="0.25">
      <c r="B578" s="679" t="s">
        <v>1026</v>
      </c>
      <c r="C578" s="90"/>
      <c r="D578" s="21"/>
      <c r="E578" s="21"/>
      <c r="F578" s="21"/>
      <c r="G578" s="21"/>
      <c r="H578" s="758"/>
      <c r="I578" s="533" t="s">
        <v>1026</v>
      </c>
      <c r="J578" s="461"/>
      <c r="K578" s="461"/>
      <c r="L578" s="1864" t="s">
        <v>1027</v>
      </c>
      <c r="M578" s="1762">
        <v>2</v>
      </c>
      <c r="N578" s="193"/>
      <c r="O578" s="1763">
        <f>M578*S578*W578</f>
        <v>0</v>
      </c>
      <c r="P578" s="94" t="b">
        <v>1</v>
      </c>
      <c r="Q578" s="94" t="b">
        <v>1</v>
      </c>
      <c r="R578" s="134" t="b">
        <v>0</v>
      </c>
      <c r="S578" s="383" t="b">
        <v>1</v>
      </c>
      <c r="T578" s="94" t="b">
        <v>0</v>
      </c>
      <c r="U578"/>
      <c r="V578"/>
      <c r="W578" s="25"/>
      <c r="X578" s="1757"/>
      <c r="AC578" s="417"/>
      <c r="AD578" s="417"/>
      <c r="AE578" s="417"/>
      <c r="AL578" s="254" t="str">
        <f>SUBSTITUTE(SUBSTITUTE(SUBSTITUTE("dpa"&amp;$B578&amp;$C578&amp;$D578&amp;$E578,".","_"),"(","_"),")","")</f>
        <v>dpa705_2_2</v>
      </c>
      <c r="AM578" s="254">
        <f>M578</f>
        <v>2</v>
      </c>
      <c r="AN578" s="254" t="str">
        <f>SUBSTITUTE(SUBSTITUTE(SUBSTITUTE("dpc"&amp;$B578&amp;$C578&amp;$D578&amp;$E578,".","_"),"(","_"),")","")</f>
        <v>dpc705_2_2</v>
      </c>
      <c r="AO578" s="254">
        <f>O578</f>
        <v>0</v>
      </c>
      <c r="AP578" s="254" t="str">
        <f>SUBSTITUTE(SUBSTITUTE(SUBSTITUTE("dch"&amp;$B578&amp;$C578&amp;$D578&amp;$E578,".","_"),"(","_"),")","")</f>
        <v>dch705_2_2</v>
      </c>
      <c r="AQ578" s="254" t="str">
        <f>IF(LEN(W578)=0,"",W578)</f>
        <v/>
      </c>
      <c r="AR578" s="254" t="str">
        <f>SUBSTITUTE(SUBSTITUTE(SUBSTITUTE("dnt"&amp;$B578&amp;$C578&amp;$D578&amp;$E578,".","_"),"(","_"),")","")</f>
        <v>dnt705_2_2</v>
      </c>
      <c r="AS578" s="254" t="str">
        <f>IF(LEN(X578)=0,"",X578)</f>
        <v/>
      </c>
    </row>
    <row r="579" spans="2:51" x14ac:dyDescent="0.25">
      <c r="B579" s="679" t="s">
        <v>1026</v>
      </c>
      <c r="C579" s="90"/>
      <c r="D579" s="21"/>
      <c r="E579" s="21"/>
      <c r="F579" s="21"/>
      <c r="G579" s="21"/>
      <c r="H579" s="758"/>
      <c r="I579" s="129"/>
      <c r="J579" s="448"/>
      <c r="K579" s="448"/>
      <c r="L579" s="1782"/>
      <c r="M579" s="1758"/>
      <c r="N579" s="129"/>
      <c r="O579" s="1774"/>
      <c r="P579"/>
      <c r="Q579"/>
      <c r="R579"/>
      <c r="S579"/>
      <c r="T579"/>
      <c r="U579"/>
      <c r="V579"/>
      <c r="W579"/>
      <c r="X579" s="1757"/>
    </row>
    <row r="580" spans="2:51" x14ac:dyDescent="0.25">
      <c r="B580" s="679" t="s">
        <v>1026</v>
      </c>
      <c r="C580" s="90"/>
      <c r="D580" s="21"/>
      <c r="E580" s="21"/>
      <c r="F580" s="21"/>
      <c r="G580" s="21"/>
      <c r="H580" s="758"/>
      <c r="I580" s="210"/>
      <c r="J580" s="449"/>
      <c r="K580" s="449"/>
      <c r="L580" s="464" t="s">
        <v>931</v>
      </c>
      <c r="M580" s="453"/>
      <c r="N580" s="210"/>
      <c r="O580" s="503"/>
      <c r="P580"/>
      <c r="Q580"/>
      <c r="R580"/>
      <c r="S580"/>
      <c r="T580"/>
      <c r="U580"/>
      <c r="V580"/>
      <c r="W580"/>
      <c r="X580" s="1757"/>
    </row>
    <row r="581" spans="2:51" x14ac:dyDescent="0.25">
      <c r="B581" s="679" t="s">
        <v>1028</v>
      </c>
      <c r="C581" s="90"/>
      <c r="D581" s="21"/>
      <c r="E581" s="21"/>
      <c r="F581" s="21"/>
      <c r="G581" s="21"/>
      <c r="H581" s="758"/>
      <c r="I581" s="533" t="s">
        <v>1028</v>
      </c>
      <c r="J581" s="461"/>
      <c r="K581" s="461"/>
      <c r="L581" s="1864" t="s">
        <v>1029</v>
      </c>
      <c r="M581" s="1762">
        <v>1</v>
      </c>
      <c r="N581" s="193"/>
      <c r="O581" s="1763">
        <f>M581*S581*W581</f>
        <v>0</v>
      </c>
      <c r="P581" s="94" t="b">
        <v>0</v>
      </c>
      <c r="Q581" s="94" t="b">
        <v>1</v>
      </c>
      <c r="R581" s="134" t="b">
        <v>0</v>
      </c>
      <c r="S581" s="383" t="b">
        <v>1</v>
      </c>
      <c r="T581" s="94" t="b">
        <v>0</v>
      </c>
      <c r="U581"/>
      <c r="V581"/>
      <c r="W581" s="25"/>
      <c r="X581" s="1757"/>
      <c r="AC581" s="417"/>
      <c r="AD581" s="417"/>
      <c r="AE581" s="417"/>
      <c r="AL581" s="254" t="str">
        <f>SUBSTITUTE(SUBSTITUTE(SUBSTITUTE("dpa"&amp;$B581&amp;$C581&amp;$D581&amp;$E581,".","_"),"(","_"),")","")</f>
        <v>dpa705_2_3</v>
      </c>
      <c r="AM581" s="254">
        <f>M581</f>
        <v>1</v>
      </c>
      <c r="AN581" s="254" t="str">
        <f>SUBSTITUTE(SUBSTITUTE(SUBSTITUTE("dpc"&amp;$B581&amp;$C581&amp;$D581&amp;$E581,".","_"),"(","_"),")","")</f>
        <v>dpc705_2_3</v>
      </c>
      <c r="AO581" s="254">
        <f>O581</f>
        <v>0</v>
      </c>
      <c r="AP581" s="254" t="str">
        <f>SUBSTITUTE(SUBSTITUTE(SUBSTITUTE("dch"&amp;$B581&amp;$C581&amp;$D581&amp;$E581,".","_"),"(","_"),")","")</f>
        <v>dch705_2_3</v>
      </c>
      <c r="AQ581" s="254" t="str">
        <f>IF(LEN(W581)=0,"",W581)</f>
        <v/>
      </c>
      <c r="AR581" s="254" t="str">
        <f>SUBSTITUTE(SUBSTITUTE(SUBSTITUTE("dnt"&amp;$B581&amp;$C581&amp;$D581&amp;$E581,".","_"),"(","_"),")","")</f>
        <v>dnt705_2_3</v>
      </c>
      <c r="AS581" s="254" t="str">
        <f>IF(LEN(X581)=0,"",X581)</f>
        <v/>
      </c>
    </row>
    <row r="582" spans="2:51" x14ac:dyDescent="0.25">
      <c r="B582" s="679" t="s">
        <v>1028</v>
      </c>
      <c r="C582" s="90"/>
      <c r="D582" s="21"/>
      <c r="E582" s="21"/>
      <c r="F582" s="21"/>
      <c r="G582" s="21"/>
      <c r="H582" s="758"/>
      <c r="I582" s="210"/>
      <c r="J582" s="449"/>
      <c r="K582" s="449"/>
      <c r="L582" s="1843"/>
      <c r="M582" s="1759"/>
      <c r="N582" s="210"/>
      <c r="O582" s="1764"/>
      <c r="P582"/>
      <c r="Q582"/>
      <c r="R582"/>
      <c r="S582"/>
      <c r="T582"/>
      <c r="U582"/>
      <c r="V582"/>
      <c r="W582"/>
      <c r="X582" s="1757"/>
      <c r="AX582" s="816"/>
      <c r="AY582" s="816"/>
    </row>
    <row r="583" spans="2:51" x14ac:dyDescent="0.25">
      <c r="B583" s="679" t="s">
        <v>1030</v>
      </c>
      <c r="C583" s="90"/>
      <c r="D583" s="21"/>
      <c r="E583" s="21"/>
      <c r="F583" s="21"/>
      <c r="G583" s="21"/>
      <c r="H583" s="758"/>
      <c r="I583" s="510" t="s">
        <v>1030</v>
      </c>
      <c r="J583" s="448"/>
      <c r="K583" s="448"/>
      <c r="L583" s="1782" t="s">
        <v>1031</v>
      </c>
      <c r="M583" s="1758">
        <v>1</v>
      </c>
      <c r="N583" s="129"/>
      <c r="O583" s="1774">
        <f>IFERROR(IF(AND(NOT(ISBLANK(W584)),(W584/W585)&lt;(1/400)),1,0),0)</f>
        <v>0</v>
      </c>
      <c r="P583" s="94"/>
      <c r="Q583" s="94"/>
      <c r="R583" s="155"/>
      <c r="S583" s="94"/>
      <c r="T583" s="94"/>
      <c r="U583" s="94"/>
      <c r="V583" s="94"/>
      <c r="W583" s="94" t="s">
        <v>3632</v>
      </c>
      <c r="X583" s="1770"/>
      <c r="AL583" s="254" t="str">
        <f>SUBSTITUTE(SUBSTITUTE(SUBSTITUTE("dpa"&amp;$B583&amp;$C583&amp;$D583&amp;$E583,".","_"),"(","_"),")","")</f>
        <v>dpa705_2_4</v>
      </c>
      <c r="AM583" s="254">
        <f>M583</f>
        <v>1</v>
      </c>
      <c r="AN583" s="254" t="str">
        <f>SUBSTITUTE(SUBSTITUTE(SUBSTITUTE("dpc"&amp;$B583&amp;$C583&amp;$D583&amp;$E583,".","_"),"(","_"),")","")</f>
        <v>dpc705_2_4</v>
      </c>
      <c r="AO583" s="254">
        <f>O583</f>
        <v>0</v>
      </c>
      <c r="AR583" s="254" t="str">
        <f>SUBSTITUTE(SUBSTITUTE(SUBSTITUTE("dnt"&amp;$B583&amp;$C583&amp;$D583&amp;$E583,".","_"),"(","_"),")","")</f>
        <v>dnt705_2_4</v>
      </c>
      <c r="AS583" s="254" t="str">
        <f>IF(LEN(X583)=0,"",X583)</f>
        <v/>
      </c>
      <c r="AX583" s="816"/>
      <c r="AY583" s="816"/>
    </row>
    <row r="584" spans="2:51" x14ac:dyDescent="0.25">
      <c r="B584" s="679" t="s">
        <v>1030</v>
      </c>
      <c r="C584" s="90"/>
      <c r="D584" s="21"/>
      <c r="E584" s="21"/>
      <c r="F584" s="21"/>
      <c r="G584" s="21"/>
      <c r="H584" s="758"/>
      <c r="I584" s="129"/>
      <c r="J584" s="448"/>
      <c r="K584" s="448"/>
      <c r="L584" s="1782"/>
      <c r="M584" s="1758"/>
      <c r="N584" s="129"/>
      <c r="O584" s="1774"/>
      <c r="P584" s="94" t="b">
        <v>0</v>
      </c>
      <c r="Q584" s="94" t="b">
        <v>1</v>
      </c>
      <c r="R584" s="94" t="b">
        <v>0</v>
      </c>
      <c r="S584" s="94" t="b">
        <f>AND(OR(W160="Met",W160="N/A"),OR(NOT(AY35="None"),NOT(AY40="None")))</f>
        <v>0</v>
      </c>
      <c r="T584" s="94" t="b">
        <f>OR(AND(NOT(S584),LEN(W584)&gt;0),AND(W584&gt;0,W160="N/A"))</f>
        <v>0</v>
      </c>
      <c r="U584" s="94"/>
      <c r="V584" s="94"/>
      <c r="W584" s="380"/>
      <c r="X584" s="1770"/>
      <c r="AC584" s="417" t="b">
        <f>OR(AD584:AE584)</f>
        <v>0</v>
      </c>
      <c r="AD584" s="417" t="b">
        <f>T584</f>
        <v>0</v>
      </c>
      <c r="AE584" s="417"/>
      <c r="AP584" s="254" t="str">
        <f>SUBSTITUTE(SUBSTITUTE(SUBSTITUTE("dch"&amp;$B584&amp;$C584&amp;$D584&amp;$E584,".","_"),"(","_"),")","")</f>
        <v>dch705_2_4</v>
      </c>
      <c r="AQ584" s="254" t="str">
        <f>IF(LEN(W584)=0,"",W584)</f>
        <v/>
      </c>
      <c r="AX584" s="816"/>
      <c r="AY584" s="816"/>
    </row>
    <row r="585" spans="2:51" ht="15.75" thickBot="1" x14ac:dyDescent="0.3">
      <c r="B585" s="679" t="s">
        <v>1030</v>
      </c>
      <c r="C585" s="90"/>
      <c r="D585" s="21"/>
      <c r="E585" s="21"/>
      <c r="F585" s="21"/>
      <c r="G585" s="21"/>
      <c r="H585" s="758"/>
      <c r="I585" s="240"/>
      <c r="J585" s="462"/>
      <c r="K585" s="462"/>
      <c r="L585" s="1797"/>
      <c r="M585" s="1768"/>
      <c r="N585" s="240"/>
      <c r="O585" s="1775"/>
      <c r="P585" s="99"/>
      <c r="Q585" s="99"/>
      <c r="R585" s="99"/>
      <c r="S585" s="99"/>
      <c r="T585" s="99"/>
      <c r="U585" s="99"/>
      <c r="V585" s="99"/>
      <c r="W585" s="545">
        <f>AY27</f>
        <v>0</v>
      </c>
      <c r="X585" s="1771"/>
    </row>
    <row r="586" spans="2:51" ht="16.5" thickTop="1" thickBot="1" x14ac:dyDescent="0.3">
      <c r="B586" s="679">
        <v>705.3</v>
      </c>
      <c r="C586" s="90"/>
      <c r="D586" s="21"/>
      <c r="E586" s="21"/>
      <c r="F586" s="21"/>
      <c r="G586" s="21"/>
      <c r="H586" s="758"/>
      <c r="I586" s="363">
        <v>705.3</v>
      </c>
      <c r="J586" s="521"/>
      <c r="K586" s="521"/>
      <c r="L586" s="365" t="s">
        <v>1032</v>
      </c>
      <c r="M586" s="366">
        <v>1</v>
      </c>
      <c r="N586" s="364"/>
      <c r="O586" s="507">
        <f>M586*S586*W586</f>
        <v>0</v>
      </c>
      <c r="P586" s="94" t="b">
        <v>0</v>
      </c>
      <c r="Q586" s="94" t="b">
        <v>1</v>
      </c>
      <c r="R586" s="116" t="b">
        <v>0</v>
      </c>
      <c r="S586" s="116" t="b">
        <v>1</v>
      </c>
      <c r="T586" s="116" t="b">
        <v>0</v>
      </c>
      <c r="U586" s="116"/>
      <c r="V586" s="116"/>
      <c r="W586" s="118"/>
      <c r="X586" s="128"/>
      <c r="AC586" s="417"/>
      <c r="AD586" s="417"/>
      <c r="AE586" s="417"/>
      <c r="AL586" s="254" t="str">
        <f>SUBSTITUTE(SUBSTITUTE(SUBSTITUTE("dpa"&amp;$B586&amp;$C586&amp;$D586&amp;$E586,".","_"),"(","_"),")","")</f>
        <v>dpa705_3</v>
      </c>
      <c r="AM586" s="254">
        <f>M586</f>
        <v>1</v>
      </c>
      <c r="AN586" s="254" t="str">
        <f>SUBSTITUTE(SUBSTITUTE(SUBSTITUTE("dpc"&amp;$B586&amp;$C586&amp;$D586&amp;$E586,".","_"),"(","_"),")","")</f>
        <v>dpc705_3</v>
      </c>
      <c r="AO586" s="254">
        <f>O586</f>
        <v>0</v>
      </c>
      <c r="AP586" s="254" t="str">
        <f>SUBSTITUTE(SUBSTITUTE(SUBSTITUTE("dch"&amp;$B586&amp;$C586&amp;$D586&amp;$E586,".","_"),"(","_"),")","")</f>
        <v>dch705_3</v>
      </c>
      <c r="AQ586" s="254" t="str">
        <f>IF(LEN(W586)=0,"",W586)</f>
        <v/>
      </c>
      <c r="AR586" s="254" t="str">
        <f>SUBSTITUTE(SUBSTITUTE(SUBSTITUTE("dnt"&amp;$B586&amp;$C586&amp;$D586&amp;$E586,".","_"),"(","_"),")","")</f>
        <v>dnt705_3</v>
      </c>
      <c r="AS586" s="254" t="str">
        <f>IF(LEN(X586)=0,"",X586)</f>
        <v/>
      </c>
      <c r="AX586" s="816"/>
      <c r="AY586" s="816"/>
    </row>
    <row r="587" spans="2:51" ht="15.75" thickTop="1" x14ac:dyDescent="0.25">
      <c r="B587" s="679">
        <v>705.4</v>
      </c>
      <c r="C587" s="90"/>
      <c r="D587" s="21"/>
      <c r="E587" s="21"/>
      <c r="F587" s="21"/>
      <c r="G587" s="21"/>
      <c r="H587" s="758"/>
      <c r="I587" s="180">
        <v>705.4</v>
      </c>
      <c r="J587" s="520"/>
      <c r="K587" s="520"/>
      <c r="L587" s="1781" t="s">
        <v>1033</v>
      </c>
      <c r="M587" s="1772">
        <v>2</v>
      </c>
      <c r="N587" s="181"/>
      <c r="O587" s="1773">
        <f>M587*S587*W587</f>
        <v>0</v>
      </c>
      <c r="P587" s="94" t="b">
        <v>1</v>
      </c>
      <c r="Q587" s="94" t="b">
        <v>1</v>
      </c>
      <c r="R587" s="105" t="b">
        <v>0</v>
      </c>
      <c r="S587" s="105" t="b">
        <v>1</v>
      </c>
      <c r="T587" s="105" t="b">
        <v>0</v>
      </c>
      <c r="U587" s="105"/>
      <c r="V587" s="105"/>
      <c r="W587" s="367"/>
      <c r="X587" s="1784"/>
      <c r="AC587" s="417"/>
      <c r="AD587" s="417"/>
      <c r="AE587" s="417"/>
      <c r="AL587" s="254" t="str">
        <f>SUBSTITUTE(SUBSTITUTE(SUBSTITUTE("dpa"&amp;$B587&amp;$C587&amp;$D587&amp;$E587,".","_"),"(","_"),")","")</f>
        <v>dpa705_4</v>
      </c>
      <c r="AM587" s="254">
        <f>M587</f>
        <v>2</v>
      </c>
      <c r="AN587" s="254" t="str">
        <f>SUBSTITUTE(SUBSTITUTE(SUBSTITUTE("dpc"&amp;$B587&amp;$C587&amp;$D587&amp;$E587,".","_"),"(","_"),")","")</f>
        <v>dpc705_4</v>
      </c>
      <c r="AO587" s="254">
        <f>O587</f>
        <v>0</v>
      </c>
      <c r="AP587" s="254" t="str">
        <f>SUBSTITUTE(SUBSTITUTE(SUBSTITUTE("dch"&amp;$B587&amp;$C587&amp;$D587&amp;$E587,".","_"),"(","_"),")","")</f>
        <v>dch705_4</v>
      </c>
      <c r="AQ587" s="254" t="str">
        <f>IF(LEN(W587)=0,"",W587)</f>
        <v/>
      </c>
      <c r="AR587" s="254" t="str">
        <f>SUBSTITUTE(SUBSTITUTE(SUBSTITUTE("dnt"&amp;$B587&amp;$C587&amp;$D587&amp;$E587,".","_"),"(","_"),")","")</f>
        <v>dnt705_4</v>
      </c>
      <c r="AS587" s="254" t="str">
        <f>IF(LEN(X587)=0,"",X587)</f>
        <v/>
      </c>
    </row>
    <row r="588" spans="2:51" x14ac:dyDescent="0.25">
      <c r="B588" s="679">
        <v>705.4</v>
      </c>
      <c r="C588" s="90"/>
      <c r="D588" s="21"/>
      <c r="E588" s="21"/>
      <c r="F588" s="21"/>
      <c r="G588" s="21"/>
      <c r="H588" s="758"/>
      <c r="I588" s="129"/>
      <c r="J588" s="448"/>
      <c r="K588" s="448"/>
      <c r="L588" s="1782"/>
      <c r="M588" s="1758"/>
      <c r="N588" s="129"/>
      <c r="O588" s="1774"/>
      <c r="P588" s="94"/>
      <c r="Q588" s="94"/>
      <c r="R588" s="94"/>
      <c r="S588" s="94"/>
      <c r="T588" s="94"/>
      <c r="U588" s="94"/>
      <c r="V588" s="94"/>
      <c r="W588" s="94"/>
      <c r="X588" s="1770"/>
    </row>
    <row r="589" spans="2:51" ht="15.75" thickBot="1" x14ac:dyDescent="0.3">
      <c r="B589" s="679">
        <v>705.4</v>
      </c>
      <c r="C589" s="90"/>
      <c r="D589" s="21"/>
      <c r="E589" s="21"/>
      <c r="F589" s="21"/>
      <c r="G589" s="21"/>
      <c r="H589" s="758"/>
      <c r="I589" s="240"/>
      <c r="J589" s="462"/>
      <c r="K589" s="462"/>
      <c r="L589" s="1797"/>
      <c r="M589" s="1768"/>
      <c r="N589" s="240"/>
      <c r="O589" s="1775"/>
      <c r="P589" s="99"/>
      <c r="Q589" s="99"/>
      <c r="R589" s="99"/>
      <c r="S589" s="99"/>
      <c r="T589" s="99"/>
      <c r="U589" s="99"/>
      <c r="V589" s="99"/>
      <c r="W589" s="99"/>
      <c r="X589" s="1771"/>
    </row>
    <row r="590" spans="2:51" ht="15.75" thickTop="1" x14ac:dyDescent="0.25">
      <c r="B590" s="679">
        <v>705.5</v>
      </c>
      <c r="C590" s="90"/>
      <c r="D590" s="21"/>
      <c r="E590" s="21"/>
      <c r="F590" s="21"/>
      <c r="G590" s="21"/>
      <c r="H590" s="758"/>
      <c r="I590" s="64">
        <v>705.5</v>
      </c>
      <c r="J590" s="161"/>
      <c r="K590" s="161"/>
      <c r="L590" s="166" t="s">
        <v>1034</v>
      </c>
      <c r="M590" s="428"/>
      <c r="N590" s="4"/>
      <c r="O590" s="141"/>
      <c r="P590"/>
      <c r="Q590"/>
      <c r="R590"/>
      <c r="S590"/>
      <c r="T590"/>
      <c r="U590"/>
      <c r="V590"/>
      <c r="W590"/>
      <c r="X590"/>
    </row>
    <row r="591" spans="2:51" ht="15" customHeight="1" x14ac:dyDescent="0.25">
      <c r="B591" s="679" t="s">
        <v>1035</v>
      </c>
      <c r="C591" s="90"/>
      <c r="D591" s="21"/>
      <c r="E591" s="21"/>
      <c r="F591" s="21"/>
      <c r="G591" s="21"/>
      <c r="H591" s="758"/>
      <c r="I591" s="510" t="s">
        <v>1035</v>
      </c>
      <c r="J591" s="448"/>
      <c r="K591" s="448"/>
      <c r="L591" s="861" t="s">
        <v>4329</v>
      </c>
      <c r="M591" s="826"/>
      <c r="N591" s="129"/>
      <c r="O591" s="822"/>
      <c r="P591" s="94"/>
      <c r="Q591" s="94"/>
      <c r="R591" s="134"/>
      <c r="S591" s="383"/>
      <c r="T591" s="94"/>
      <c r="U591"/>
      <c r="V591"/>
      <c r="W591"/>
      <c r="X591"/>
      <c r="AC591" s="417"/>
      <c r="AD591" s="417"/>
      <c r="AE591" s="417"/>
      <c r="AL591"/>
      <c r="AM591"/>
      <c r="AN591"/>
      <c r="AO591"/>
      <c r="AP591"/>
      <c r="AQ591"/>
      <c r="AR591"/>
      <c r="AS591"/>
    </row>
    <row r="592" spans="2:51" x14ac:dyDescent="0.25">
      <c r="B592" s="90" t="s">
        <v>1035</v>
      </c>
      <c r="C592" s="845" t="s">
        <v>256</v>
      </c>
      <c r="D592" s="21"/>
      <c r="E592" s="21"/>
      <c r="F592" s="21"/>
      <c r="G592" s="21"/>
      <c r="H592" s="758"/>
      <c r="I592" s="129"/>
      <c r="J592" s="668" t="s">
        <v>256</v>
      </c>
      <c r="K592" s="817"/>
      <c r="L592" s="1765" t="s">
        <v>4330</v>
      </c>
      <c r="M592" s="1758">
        <v>1</v>
      </c>
      <c r="N592" s="129"/>
      <c r="O592" s="1774">
        <f>M592*S592*W592</f>
        <v>0</v>
      </c>
      <c r="P592" s="94" t="b">
        <v>1</v>
      </c>
      <c r="Q592" s="94" t="b">
        <v>1</v>
      </c>
      <c r="R592" s="94" t="b">
        <v>0</v>
      </c>
      <c r="S592" s="94" t="b">
        <v>1</v>
      </c>
      <c r="T592" s="94" t="b">
        <v>0</v>
      </c>
      <c r="U592" s="94"/>
      <c r="V592" s="94"/>
      <c r="W592" s="360"/>
      <c r="X592" s="1757"/>
      <c r="AC592" s="816"/>
      <c r="AD592" s="816"/>
      <c r="AL592" s="254" t="str">
        <f>SUBSTITUTE(SUBSTITUTE(SUBSTITUTE("dpa"&amp;$B592&amp;$C592&amp;$D592&amp;$E592,".","_"),"(","_"),")","")</f>
        <v>dpa705_5_1_1</v>
      </c>
      <c r="AM592" s="254">
        <f>M592</f>
        <v>1</v>
      </c>
      <c r="AN592" s="254" t="str">
        <f>SUBSTITUTE(SUBSTITUTE(SUBSTITUTE("dpc"&amp;$B592&amp;$C592&amp;$D592&amp;$E592,".","_"),"(","_"),")","")</f>
        <v>dpc705_5_1_1</v>
      </c>
      <c r="AO592" s="254">
        <f>O592</f>
        <v>0</v>
      </c>
      <c r="AP592" s="254" t="str">
        <f>SUBSTITUTE(SUBSTITUTE(SUBSTITUTE("dch"&amp;$B592&amp;$C592&amp;$D592&amp;$E592,".","_"),"(","_"),")","")</f>
        <v>dch705_5_1_1</v>
      </c>
      <c r="AQ592" s="254" t="str">
        <f>IF(LEN(W592)=0,"",W592)</f>
        <v/>
      </c>
      <c r="AR592" s="254" t="str">
        <f>SUBSTITUTE(SUBSTITUTE(SUBSTITUTE("dnt"&amp;$B592&amp;$C592&amp;$D592&amp;$E592,".","_"),"(","_"),")","")</f>
        <v>dnt705_5_1_1</v>
      </c>
      <c r="AS592" s="254" t="str">
        <f>IF(LEN(X592)=0,"",X592)</f>
        <v/>
      </c>
    </row>
    <row r="593" spans="1:61" s="134" customFormat="1" x14ac:dyDescent="0.25">
      <c r="A593" s="18"/>
      <c r="B593" s="90" t="s">
        <v>1035</v>
      </c>
      <c r="C593" s="845" t="s">
        <v>256</v>
      </c>
      <c r="D593" s="21"/>
      <c r="E593" s="21"/>
      <c r="F593" s="21"/>
      <c r="G593" s="21"/>
      <c r="H593" s="758"/>
      <c r="I593" s="129"/>
      <c r="J593" s="668"/>
      <c r="K593" s="817"/>
      <c r="L593" s="1765"/>
      <c r="M593" s="1758"/>
      <c r="N593" s="129"/>
      <c r="O593" s="1774"/>
      <c r="P593" s="94"/>
      <c r="Q593" s="94"/>
      <c r="R593" s="94"/>
      <c r="S593" s="94"/>
      <c r="T593" s="94"/>
      <c r="U593" s="94"/>
      <c r="V593" s="94"/>
      <c r="W593" s="113"/>
      <c r="X593" s="1757"/>
      <c r="Y593" s="780"/>
      <c r="Z593" s="76"/>
      <c r="AA593" s="783"/>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372"/>
      <c r="AY593" s="372"/>
      <c r="AZ593" s="76"/>
      <c r="BA593" s="76"/>
      <c r="BB593" s="76"/>
      <c r="BC593" s="76"/>
      <c r="BD593" s="76"/>
      <c r="BE593" s="76"/>
      <c r="BF593" s="76"/>
      <c r="BG593" s="76"/>
      <c r="BH593" s="76"/>
      <c r="BI593" s="76"/>
    </row>
    <row r="594" spans="1:61" s="816" customFormat="1" x14ac:dyDescent="0.25">
      <c r="A594" s="18"/>
      <c r="B594" s="90" t="s">
        <v>1035</v>
      </c>
      <c r="C594" s="845" t="s">
        <v>256</v>
      </c>
      <c r="D594" s="21"/>
      <c r="E594" s="21"/>
      <c r="F594" s="21"/>
      <c r="G594" s="21"/>
      <c r="H594" s="758"/>
      <c r="I594" s="129"/>
      <c r="J594" s="684"/>
      <c r="K594" s="818"/>
      <c r="L594" s="1786"/>
      <c r="M594" s="1759"/>
      <c r="N594" s="210"/>
      <c r="O594" s="1764"/>
      <c r="P594" s="178"/>
      <c r="Q594" s="178"/>
      <c r="R594" s="178"/>
      <c r="S594" s="178"/>
      <c r="T594" s="178"/>
      <c r="U594" s="178"/>
      <c r="V594" s="178"/>
      <c r="W594" s="538"/>
      <c r="X594" s="1757"/>
      <c r="AX594" s="76"/>
      <c r="AY594" s="76"/>
      <c r="AZ594" s="134"/>
      <c r="BA594" s="134"/>
      <c r="BB594" s="134"/>
      <c r="BC594" s="134"/>
      <c r="BD594" s="134"/>
      <c r="BE594" s="134"/>
      <c r="BF594" s="134"/>
      <c r="BG594" s="134"/>
      <c r="BH594" s="134"/>
      <c r="BI594" s="134"/>
    </row>
    <row r="595" spans="1:61" x14ac:dyDescent="0.25">
      <c r="B595" s="90" t="s">
        <v>1035</v>
      </c>
      <c r="C595" s="845" t="s">
        <v>258</v>
      </c>
      <c r="D595" s="21"/>
      <c r="E595" s="21"/>
      <c r="F595" s="21"/>
      <c r="G595" s="21"/>
      <c r="H595" s="758"/>
      <c r="I595" s="129"/>
      <c r="J595" s="667" t="s">
        <v>258</v>
      </c>
      <c r="K595" s="448"/>
      <c r="L595" s="1765" t="s">
        <v>4331</v>
      </c>
      <c r="M595" s="1762">
        <v>1</v>
      </c>
      <c r="N595" s="129"/>
      <c r="O595" s="1763">
        <f>M595*S595*W595</f>
        <v>0</v>
      </c>
      <c r="P595" s="94" t="b">
        <v>1</v>
      </c>
      <c r="Q595" s="94" t="b">
        <v>1</v>
      </c>
      <c r="R595" s="816" t="b">
        <v>0</v>
      </c>
      <c r="S595" s="816" t="b">
        <v>1</v>
      </c>
      <c r="T595" s="94" t="b">
        <v>0</v>
      </c>
      <c r="U595"/>
      <c r="V595"/>
      <c r="W595" s="117"/>
      <c r="X595" s="1757"/>
      <c r="Z595" s="134"/>
      <c r="AB595" s="134"/>
      <c r="AC595" s="816"/>
      <c r="AD595" s="816"/>
      <c r="AE595" s="134"/>
      <c r="AF595" s="134"/>
      <c r="AG595" s="134"/>
      <c r="AH595" s="134"/>
      <c r="AI595" s="134"/>
      <c r="AJ595" s="134"/>
      <c r="AK595" s="134"/>
      <c r="AL595" s="254" t="str">
        <f>SUBSTITUTE(SUBSTITUTE(SUBSTITUTE("dpa"&amp;$B595&amp;$C595&amp;$D595&amp;$E595,".","_"),"(","_"),")","")</f>
        <v>dpa705_5_1_2</v>
      </c>
      <c r="AM595" s="254">
        <f>M595</f>
        <v>1</v>
      </c>
      <c r="AN595" s="254" t="str">
        <f>SUBSTITUTE(SUBSTITUTE(SUBSTITUTE("dpc"&amp;$B595&amp;$C595&amp;$D595&amp;$E595,".","_"),"(","_"),")","")</f>
        <v>dpc705_5_1_2</v>
      </c>
      <c r="AO595" s="254">
        <f>O595</f>
        <v>0</v>
      </c>
      <c r="AP595" s="254" t="str">
        <f>SUBSTITUTE(SUBSTITUTE(SUBSTITUTE("dch"&amp;$B595&amp;$C595&amp;$D595&amp;$E595,".","_"),"(","_"),")","")</f>
        <v>dch705_5_1_2</v>
      </c>
      <c r="AQ595" s="254" t="str">
        <f>IF(LEN(W595)=0,"",W595)</f>
        <v/>
      </c>
      <c r="AR595" s="254" t="str">
        <f>SUBSTITUTE(SUBSTITUTE(SUBSTITUTE("dnt"&amp;$B595&amp;$C595&amp;$D595&amp;$E595,".","_"),"(","_"),")","")</f>
        <v>dnt705_5_1_2</v>
      </c>
      <c r="AS595" s="254" t="str">
        <f>IF(LEN(X595)=0,"",X595)</f>
        <v/>
      </c>
      <c r="AT595" s="134"/>
      <c r="AU595" s="134"/>
      <c r="AV595" s="134"/>
      <c r="AW595" s="134"/>
      <c r="AZ595" s="816"/>
      <c r="BA595" s="816"/>
      <c r="BB595" s="816"/>
      <c r="BC595" s="816"/>
      <c r="BD595" s="816"/>
      <c r="BE595" s="816"/>
      <c r="BF595" s="816"/>
      <c r="BG595" s="816"/>
      <c r="BH595" s="816"/>
      <c r="BI595" s="816"/>
    </row>
    <row r="596" spans="1:61" x14ac:dyDescent="0.25">
      <c r="B596" s="90" t="s">
        <v>1035</v>
      </c>
      <c r="C596" s="845" t="s">
        <v>258</v>
      </c>
      <c r="D596" s="21"/>
      <c r="E596" s="21"/>
      <c r="F596" s="21"/>
      <c r="G596" s="21"/>
      <c r="H596" s="758"/>
      <c r="I596" s="210"/>
      <c r="J596" s="449"/>
      <c r="K596" s="449"/>
      <c r="L596" s="1786"/>
      <c r="M596" s="1759"/>
      <c r="N596" s="210"/>
      <c r="O596" s="1764"/>
      <c r="P596" s="134"/>
      <c r="Q596" s="134"/>
      <c r="R596" s="134"/>
      <c r="S596" s="134"/>
      <c r="T596" s="134"/>
      <c r="U596" s="134"/>
      <c r="V596" s="134"/>
      <c r="W596" s="134"/>
      <c r="X596" s="1757"/>
    </row>
    <row r="597" spans="1:61" x14ac:dyDescent="0.25">
      <c r="B597" s="679" t="s">
        <v>1036</v>
      </c>
      <c r="C597" s="21"/>
      <c r="D597" s="21"/>
      <c r="E597" s="21"/>
      <c r="F597" s="21"/>
      <c r="G597" s="21"/>
      <c r="H597" s="758"/>
      <c r="I597" s="66" t="s">
        <v>1036</v>
      </c>
      <c r="J597" s="161"/>
      <c r="K597" s="161"/>
      <c r="L597" s="1796" t="s">
        <v>1037</v>
      </c>
      <c r="M597" s="1767">
        <v>3</v>
      </c>
      <c r="N597" s="4"/>
      <c r="O597" s="1780">
        <f>M597*S597*W597</f>
        <v>0</v>
      </c>
      <c r="P597" s="94" t="b">
        <v>0</v>
      </c>
      <c r="Q597" s="94" t="b">
        <v>1</v>
      </c>
      <c r="R597" s="134" t="b">
        <v>0</v>
      </c>
      <c r="S597" s="383" t="b">
        <v>1</v>
      </c>
      <c r="T597" s="94" t="b">
        <v>0</v>
      </c>
      <c r="U597"/>
      <c r="V597"/>
      <c r="W597" s="25"/>
      <c r="X597" s="1757"/>
      <c r="AC597" s="417"/>
      <c r="AD597" s="417"/>
      <c r="AE597" s="417"/>
      <c r="AL597" s="254" t="str">
        <f>SUBSTITUTE(SUBSTITUTE(SUBSTITUTE("dpa"&amp;$B597&amp;$C597&amp;$D597&amp;$E597,".","_"),"(","_"),")","")</f>
        <v>dpa705_5_2</v>
      </c>
      <c r="AM597" s="254">
        <f>M597</f>
        <v>3</v>
      </c>
      <c r="AN597" s="254" t="str">
        <f>SUBSTITUTE(SUBSTITUTE(SUBSTITUTE("dpc"&amp;$B597&amp;$C597&amp;$D597&amp;$E597,".","_"),"(","_"),")","")</f>
        <v>dpc705_5_2</v>
      </c>
      <c r="AO597" s="254">
        <f>O597</f>
        <v>0</v>
      </c>
      <c r="AP597" s="254" t="str">
        <f>SUBSTITUTE(SUBSTITUTE(SUBSTITUTE("dch"&amp;$B597&amp;$C597&amp;$D597&amp;$E597,".","_"),"(","_"),")","")</f>
        <v>dch705_5_2</v>
      </c>
      <c r="AQ597" s="254" t="str">
        <f>IF(LEN(W597)=0,"",W597)</f>
        <v/>
      </c>
      <c r="AR597" s="254" t="str">
        <f>SUBSTITUTE(SUBSTITUTE(SUBSTITUTE("dnt"&amp;$B597&amp;$C597&amp;$D597&amp;$E597,".","_"),"(","_"),")","")</f>
        <v>dnt705_5_2</v>
      </c>
      <c r="AS597" s="254" t="str">
        <f>IF(LEN(X597)=0,"",X597)</f>
        <v/>
      </c>
    </row>
    <row r="598" spans="1:61" x14ac:dyDescent="0.25">
      <c r="B598" s="679" t="s">
        <v>1036</v>
      </c>
      <c r="C598" s="21"/>
      <c r="D598" s="21"/>
      <c r="E598" s="21"/>
      <c r="F598" s="21"/>
      <c r="G598" s="21"/>
      <c r="H598" s="758"/>
      <c r="I598" s="4"/>
      <c r="J598" s="161"/>
      <c r="K598" s="161"/>
      <c r="L598" s="1796"/>
      <c r="M598" s="1767"/>
      <c r="N598" s="4"/>
      <c r="O598" s="1780"/>
      <c r="P598"/>
      <c r="Q598"/>
      <c r="R598"/>
      <c r="S598"/>
      <c r="T598"/>
      <c r="U598"/>
      <c r="V598"/>
      <c r="W598"/>
      <c r="X598" s="1757"/>
    </row>
    <row r="599" spans="1:61" x14ac:dyDescent="0.25">
      <c r="B599" s="679" t="s">
        <v>1036</v>
      </c>
      <c r="C599" s="21" t="s">
        <v>256</v>
      </c>
      <c r="D599" s="21"/>
      <c r="E599" s="21"/>
      <c r="F599" s="21"/>
      <c r="G599" s="21"/>
      <c r="H599" s="758"/>
      <c r="I599" s="4"/>
      <c r="J599" s="544" t="s">
        <v>256</v>
      </c>
      <c r="K599" s="913"/>
      <c r="L599" s="913" t="s">
        <v>1038</v>
      </c>
      <c r="M599" s="428"/>
      <c r="N599" s="4"/>
      <c r="O599" s="141"/>
      <c r="P599"/>
      <c r="Q599"/>
      <c r="R599"/>
      <c r="S599"/>
      <c r="T599"/>
      <c r="U599"/>
      <c r="V599"/>
      <c r="W599"/>
      <c r="X599" s="418"/>
      <c r="AR599" s="254" t="str">
        <f t="shared" ref="AR599:AR604" si="16">SUBSTITUTE(SUBSTITUTE(SUBSTITUTE("dnt"&amp;$B599&amp;$C599&amp;$D599&amp;$E599,".","_"),"(","_"),")","")</f>
        <v>dnt705_5_2_1</v>
      </c>
      <c r="AS599" s="254" t="str">
        <f t="shared" ref="AS599:AS604" si="17">IF(LEN(X599)=0,"",X599)</f>
        <v/>
      </c>
      <c r="AX599" s="372"/>
      <c r="AY599" s="372"/>
    </row>
    <row r="600" spans="1:61" x14ac:dyDescent="0.25">
      <c r="B600" s="679" t="s">
        <v>1036</v>
      </c>
      <c r="C600" s="21" t="s">
        <v>258</v>
      </c>
      <c r="D600" s="21"/>
      <c r="E600" s="21"/>
      <c r="F600" s="21"/>
      <c r="G600" s="21"/>
      <c r="H600" s="758"/>
      <c r="I600" s="4"/>
      <c r="J600" s="544" t="s">
        <v>258</v>
      </c>
      <c r="K600" s="449"/>
      <c r="L600" s="449" t="s">
        <v>1039</v>
      </c>
      <c r="M600" s="428"/>
      <c r="N600" s="4"/>
      <c r="O600" s="141"/>
      <c r="X600" s="418"/>
      <c r="AR600" s="254" t="str">
        <f t="shared" si="16"/>
        <v>dnt705_5_2_2</v>
      </c>
      <c r="AS600" s="254" t="str">
        <f t="shared" si="17"/>
        <v/>
      </c>
    </row>
    <row r="601" spans="1:61" x14ac:dyDescent="0.25">
      <c r="B601" s="679" t="s">
        <v>1036</v>
      </c>
      <c r="C601" s="21" t="s">
        <v>260</v>
      </c>
      <c r="D601" s="21"/>
      <c r="E601" s="21"/>
      <c r="F601" s="21"/>
      <c r="G601" s="21"/>
      <c r="H601" s="758"/>
      <c r="I601" s="4"/>
      <c r="J601" s="555" t="s">
        <v>260</v>
      </c>
      <c r="K601" s="280"/>
      <c r="L601" s="280" t="s">
        <v>1040</v>
      </c>
      <c r="M601" s="428"/>
      <c r="N601" s="4"/>
      <c r="O601" s="141"/>
      <c r="X601" s="418"/>
      <c r="AR601" s="254" t="str">
        <f t="shared" si="16"/>
        <v>dnt705_5_2_3</v>
      </c>
      <c r="AS601" s="254" t="str">
        <f t="shared" si="17"/>
        <v/>
      </c>
    </row>
    <row r="602" spans="1:61" x14ac:dyDescent="0.25">
      <c r="B602" s="679" t="s">
        <v>1036</v>
      </c>
      <c r="C602" s="21" t="s">
        <v>269</v>
      </c>
      <c r="D602" s="21"/>
      <c r="E602" s="21"/>
      <c r="F602" s="21"/>
      <c r="G602" s="21"/>
      <c r="H602" s="758"/>
      <c r="I602" s="129"/>
      <c r="J602" s="555" t="s">
        <v>269</v>
      </c>
      <c r="K602" s="280"/>
      <c r="L602" s="280" t="s">
        <v>1041</v>
      </c>
      <c r="M602" s="452"/>
      <c r="N602" s="129"/>
      <c r="O602" s="502"/>
      <c r="P602" s="94"/>
      <c r="Q602" s="94"/>
      <c r="R602" s="94"/>
      <c r="S602" s="94"/>
      <c r="T602" s="94"/>
      <c r="U602" s="94"/>
      <c r="V602" s="94"/>
      <c r="W602" s="94"/>
      <c r="X602" s="443"/>
      <c r="AR602" s="254" t="str">
        <f t="shared" si="16"/>
        <v>dnt705_5_2_4</v>
      </c>
      <c r="AS602" s="254" t="str">
        <f t="shared" si="17"/>
        <v/>
      </c>
      <c r="AX602" s="372"/>
      <c r="AY602" s="372"/>
    </row>
    <row r="603" spans="1:61" x14ac:dyDescent="0.25">
      <c r="B603" s="679" t="s">
        <v>1036</v>
      </c>
      <c r="C603" s="21" t="s">
        <v>275</v>
      </c>
      <c r="D603" s="21"/>
      <c r="E603" s="21"/>
      <c r="F603" s="21"/>
      <c r="G603" s="21"/>
      <c r="H603" s="758"/>
      <c r="I603" s="129"/>
      <c r="J603" s="555" t="s">
        <v>275</v>
      </c>
      <c r="K603" s="280"/>
      <c r="L603" s="280" t="s">
        <v>1042</v>
      </c>
      <c r="M603" s="826"/>
      <c r="N603" s="129"/>
      <c r="O603" s="822"/>
      <c r="P603" s="94"/>
      <c r="Q603" s="94"/>
      <c r="R603" s="94"/>
      <c r="S603" s="94"/>
      <c r="T603" s="94"/>
      <c r="U603" s="94"/>
      <c r="V603" s="94"/>
      <c r="W603" s="94"/>
      <c r="X603" s="819"/>
      <c r="AR603" s="254" t="str">
        <f t="shared" si="16"/>
        <v>dnt705_5_2_5</v>
      </c>
      <c r="AS603" s="254" t="str">
        <f t="shared" si="17"/>
        <v/>
      </c>
      <c r="AX603" s="372"/>
      <c r="AY603" s="372"/>
    </row>
    <row r="604" spans="1:61" x14ac:dyDescent="0.25">
      <c r="B604" s="679" t="s">
        <v>1036</v>
      </c>
      <c r="C604" s="21" t="s">
        <v>277</v>
      </c>
      <c r="D604" s="21"/>
      <c r="E604" s="21"/>
      <c r="F604" s="21"/>
      <c r="G604" s="21"/>
      <c r="H604" s="758"/>
      <c r="I604" s="210"/>
      <c r="J604" s="544" t="s">
        <v>277</v>
      </c>
      <c r="K604" s="818"/>
      <c r="L604" s="818" t="s">
        <v>1043</v>
      </c>
      <c r="M604" s="827"/>
      <c r="N604" s="210"/>
      <c r="O604" s="823"/>
      <c r="P604" s="178"/>
      <c r="Q604" s="178"/>
      <c r="R604" s="178"/>
      <c r="S604" s="178"/>
      <c r="T604" s="178"/>
      <c r="U604" s="178"/>
      <c r="V604" s="178"/>
      <c r="W604" s="178"/>
      <c r="X604" s="819"/>
      <c r="AR604" s="254" t="str">
        <f t="shared" si="16"/>
        <v>dnt705_5_2_6</v>
      </c>
      <c r="AS604" s="254" t="str">
        <f t="shared" si="17"/>
        <v/>
      </c>
    </row>
    <row r="605" spans="1:61" s="816" customFormat="1" x14ac:dyDescent="0.25">
      <c r="A605" s="18"/>
      <c r="B605" s="679" t="s">
        <v>4332</v>
      </c>
      <c r="C605" s="21"/>
      <c r="D605" s="21"/>
      <c r="E605" s="21"/>
      <c r="F605" s="21"/>
      <c r="G605" s="21"/>
      <c r="H605" s="758"/>
      <c r="I605" s="87" t="s">
        <v>4332</v>
      </c>
      <c r="J605" s="862"/>
      <c r="K605" s="845"/>
      <c r="L605" s="861" t="s">
        <v>4333</v>
      </c>
      <c r="M605" s="828"/>
      <c r="N605" s="193"/>
      <c r="O605" s="829"/>
      <c r="P605" s="195"/>
      <c r="Q605" s="94"/>
      <c r="R605" s="94"/>
      <c r="S605" s="94"/>
      <c r="T605" s="94"/>
      <c r="U605" s="94"/>
      <c r="V605" s="94"/>
      <c r="W605" s="94"/>
      <c r="X605"/>
      <c r="AR605" s="254"/>
      <c r="AS605" s="254"/>
      <c r="AX605" s="76"/>
      <c r="AY605" s="76"/>
      <c r="AZ605" s="76"/>
      <c r="BA605" s="76"/>
      <c r="BB605" s="76"/>
      <c r="BC605" s="76"/>
      <c r="BD605" s="76"/>
      <c r="BE605" s="76"/>
      <c r="BF605" s="76"/>
      <c r="BG605" s="76"/>
      <c r="BH605" s="76"/>
      <c r="BI605" s="76"/>
    </row>
    <row r="606" spans="1:61" s="816" customFormat="1" x14ac:dyDescent="0.25">
      <c r="A606" s="18"/>
      <c r="B606" s="679" t="s">
        <v>4332</v>
      </c>
      <c r="C606" s="845" t="s">
        <v>256</v>
      </c>
      <c r="D606" s="21"/>
      <c r="E606" s="21"/>
      <c r="F606" s="21"/>
      <c r="G606" s="21"/>
      <c r="H606" s="758"/>
      <c r="I606" s="91"/>
      <c r="J606" s="901" t="s">
        <v>256</v>
      </c>
      <c r="K606" s="850"/>
      <c r="L606" s="1765" t="s">
        <v>4334</v>
      </c>
      <c r="M606" s="1767">
        <v>3</v>
      </c>
      <c r="N606" s="129"/>
      <c r="O606" s="1780">
        <f>M606*S606*W606</f>
        <v>0</v>
      </c>
      <c r="P606" s="94" t="b">
        <v>0</v>
      </c>
      <c r="Q606" s="94" t="b">
        <v>1</v>
      </c>
      <c r="R606" s="94" t="b">
        <v>0</v>
      </c>
      <c r="S606" s="582" t="b">
        <v>1</v>
      </c>
      <c r="T606" s="582" t="b">
        <v>0</v>
      </c>
      <c r="U606" s="94"/>
      <c r="V606" s="94"/>
      <c r="W606" s="25"/>
      <c r="X606" s="1757"/>
      <c r="AL606" s="254" t="str">
        <f>SUBSTITUTE(SUBSTITUTE(SUBSTITUTE("dpa"&amp;$B606&amp;$C606&amp;$D606&amp;$E606,".","_"),"(","_"),")","")</f>
        <v>dpa705_5_3_1</v>
      </c>
      <c r="AM606" s="254">
        <f>M606</f>
        <v>3</v>
      </c>
      <c r="AN606" s="254" t="str">
        <f>SUBSTITUTE(SUBSTITUTE(SUBSTITUTE("dpc"&amp;$B606&amp;$C606&amp;$D606&amp;$E606,".","_"),"(","_"),")","")</f>
        <v>dpc705_5_3_1</v>
      </c>
      <c r="AO606" s="254">
        <f>O606</f>
        <v>0</v>
      </c>
      <c r="AP606" s="254" t="str">
        <f>SUBSTITUTE(SUBSTITUTE(SUBSTITUTE("dch"&amp;$B606&amp;$C606&amp;$D606&amp;$E606,".","_"),"(","_"),")","")</f>
        <v>dch705_5_3_1</v>
      </c>
      <c r="AQ606" s="254" t="str">
        <f>IF(LEN(W606)=0,"",W606)</f>
        <v/>
      </c>
      <c r="AR606" s="254" t="str">
        <f>SUBSTITUTE(SUBSTITUTE(SUBSTITUTE("dnt"&amp;$B606&amp;$C606&amp;$D606&amp;$E606,".","_"),"(","_"),")","")</f>
        <v>dnt705_5_3_1</v>
      </c>
      <c r="AS606" s="254" t="str">
        <f>IF(LEN(X606)=0,"",X606)</f>
        <v/>
      </c>
      <c r="AX606" s="76"/>
      <c r="AY606" s="76"/>
    </row>
    <row r="607" spans="1:61" s="816" customFormat="1" x14ac:dyDescent="0.25">
      <c r="A607" s="18"/>
      <c r="B607" s="679" t="s">
        <v>4332</v>
      </c>
      <c r="C607" s="845" t="s">
        <v>256</v>
      </c>
      <c r="D607" s="21"/>
      <c r="E607" s="21"/>
      <c r="F607" s="21"/>
      <c r="G607" s="21"/>
      <c r="H607" s="758"/>
      <c r="I607" s="91"/>
      <c r="J607" s="863"/>
      <c r="K607" s="851"/>
      <c r="L607" s="1786"/>
      <c r="M607" s="1759"/>
      <c r="N607" s="210"/>
      <c r="O607" s="1764"/>
      <c r="P607" s="94"/>
      <c r="Q607" s="94"/>
      <c r="R607" s="94"/>
      <c r="S607" s="94"/>
      <c r="T607" s="94"/>
      <c r="U607" s="94"/>
      <c r="V607" s="94"/>
      <c r="W607" s="94"/>
      <c r="X607" s="1757"/>
      <c r="AR607" s="254"/>
      <c r="AS607" s="254"/>
      <c r="AX607" s="76"/>
      <c r="AY607" s="76"/>
    </row>
    <row r="608" spans="1:61" ht="15.75" thickBot="1" x14ac:dyDescent="0.3">
      <c r="B608" s="679" t="s">
        <v>4332</v>
      </c>
      <c r="C608" s="845" t="s">
        <v>258</v>
      </c>
      <c r="D608" s="21"/>
      <c r="E608" s="21"/>
      <c r="F608" s="21"/>
      <c r="G608" s="21"/>
      <c r="H608" s="758"/>
      <c r="I608" s="96"/>
      <c r="J608" s="902" t="s">
        <v>258</v>
      </c>
      <c r="K608" s="852"/>
      <c r="L608" s="853" t="s">
        <v>4335</v>
      </c>
      <c r="M608" s="997">
        <v>3</v>
      </c>
      <c r="N608" s="240"/>
      <c r="O608" s="998">
        <f>M608*S608*W608</f>
        <v>0</v>
      </c>
      <c r="P608" s="99" t="b">
        <v>0</v>
      </c>
      <c r="Q608" s="99" t="b">
        <v>1</v>
      </c>
      <c r="R608" s="99" t="b">
        <v>0</v>
      </c>
      <c r="S608" s="99" t="b">
        <v>1</v>
      </c>
      <c r="T608" s="99" t="b">
        <v>0</v>
      </c>
      <c r="U608" s="99"/>
      <c r="V608" s="99"/>
      <c r="W608" s="100"/>
      <c r="X608" s="820"/>
      <c r="AL608" s="254" t="str">
        <f>SUBSTITUTE(SUBSTITUTE(SUBSTITUTE("dpa"&amp;$B608&amp;$C608&amp;$D608&amp;$E608,".","_"),"(","_"),")","")</f>
        <v>dpa705_5_3_2</v>
      </c>
      <c r="AM608" s="254">
        <f>M608</f>
        <v>3</v>
      </c>
      <c r="AN608" s="254" t="str">
        <f>SUBSTITUTE(SUBSTITUTE(SUBSTITUTE("dpc"&amp;$B608&amp;$C608&amp;$D608&amp;$E608,".","_"),"(","_"),")","")</f>
        <v>dpc705_5_3_2</v>
      </c>
      <c r="AO608" s="254">
        <f>O608</f>
        <v>0</v>
      </c>
      <c r="AP608" s="254" t="str">
        <f>SUBSTITUTE(SUBSTITUTE(SUBSTITUTE("dch"&amp;$B608&amp;$C608&amp;$D608&amp;$E608,".","_"),"(","_"),")","")</f>
        <v>dch705_5_3_2</v>
      </c>
      <c r="AQ608" s="254" t="str">
        <f>IF(LEN(W608)=0,"",W608)</f>
        <v/>
      </c>
      <c r="AR608" s="254" t="str">
        <f>SUBSTITUTE(SUBSTITUTE(SUBSTITUTE("dnt"&amp;$B608&amp;$C608&amp;$D608&amp;$E608,".","_"),"(","_"),")","")</f>
        <v>dnt705_5_3_2</v>
      </c>
      <c r="AS608" s="254" t="str">
        <f>IF(LEN(X608)=0,"",X608)</f>
        <v/>
      </c>
      <c r="AZ608" s="816"/>
      <c r="BA608" s="816"/>
      <c r="BB608" s="816"/>
      <c r="BC608" s="816"/>
      <c r="BD608" s="816"/>
      <c r="BE608" s="816"/>
      <c r="BF608" s="816"/>
      <c r="BG608" s="816"/>
      <c r="BH608" s="816"/>
      <c r="BI608" s="816"/>
    </row>
    <row r="609" spans="1:61" s="816" customFormat="1" ht="15.75" thickTop="1" x14ac:dyDescent="0.25">
      <c r="A609" s="18"/>
      <c r="B609" s="679">
        <v>705.6</v>
      </c>
      <c r="C609" s="90"/>
      <c r="D609" s="21"/>
      <c r="E609" s="21"/>
      <c r="F609" s="21"/>
      <c r="G609" s="21"/>
      <c r="H609" s="758"/>
      <c r="I609" s="139">
        <v>705.6</v>
      </c>
      <c r="J609" s="834"/>
      <c r="K609" s="834"/>
      <c r="L609" s="835" t="s">
        <v>1044</v>
      </c>
      <c r="M609" s="831"/>
      <c r="N609" s="4"/>
      <c r="O609" s="824"/>
      <c r="AX609" s="76"/>
      <c r="AY609" s="76"/>
      <c r="AZ609" s="76"/>
      <c r="BA609" s="76"/>
      <c r="BB609" s="76"/>
      <c r="BC609" s="76"/>
      <c r="BD609" s="76"/>
      <c r="BE609" s="76"/>
      <c r="BF609" s="76"/>
      <c r="BG609" s="76"/>
      <c r="BH609" s="76"/>
      <c r="BI609" s="76"/>
    </row>
    <row r="610" spans="1:61" ht="15" customHeight="1" x14ac:dyDescent="0.25">
      <c r="B610" s="679" t="s">
        <v>1045</v>
      </c>
      <c r="C610" s="90"/>
      <c r="D610" s="21"/>
      <c r="E610" s="21"/>
      <c r="F610" s="21"/>
      <c r="G610" s="21"/>
      <c r="H610" s="758"/>
      <c r="I610" s="510" t="s">
        <v>1045</v>
      </c>
      <c r="J610" s="448"/>
      <c r="K610" s="448"/>
      <c r="L610" s="1877" t="s">
        <v>4336</v>
      </c>
      <c r="M610" s="1758">
        <v>3</v>
      </c>
      <c r="N610" s="129"/>
      <c r="O610" s="1774">
        <f>M610*S610</f>
        <v>0</v>
      </c>
      <c r="P610" s="94" t="b">
        <v>1</v>
      </c>
      <c r="Q610" s="94" t="b">
        <v>1</v>
      </c>
      <c r="R610" s="94" t="b">
        <v>0</v>
      </c>
      <c r="S610" s="94" t="b">
        <f>LEN(W12)&gt;0</f>
        <v>0</v>
      </c>
      <c r="T610" s="94" t="b">
        <v>0</v>
      </c>
      <c r="U610" s="94"/>
      <c r="V610" s="94"/>
      <c r="W610" s="1873" t="s">
        <v>3621</v>
      </c>
      <c r="X610" s="1757"/>
      <c r="AL610" s="254" t="str">
        <f>SUBSTITUTE(SUBSTITUTE(SUBSTITUTE("dpa"&amp;$B610&amp;$C610&amp;$D610&amp;$E610,".","_"),"(","_"),")","")</f>
        <v>dpa705_6_1</v>
      </c>
      <c r="AM610" s="254">
        <f>M610</f>
        <v>3</v>
      </c>
      <c r="AN610" s="254" t="str">
        <f>SUBSTITUTE(SUBSTITUTE(SUBSTITUTE("dpc"&amp;$B610&amp;$C610&amp;$D610&amp;$E610,".","_"),"(","_"),")","")</f>
        <v>dpc705_6_1</v>
      </c>
      <c r="AO610" s="254">
        <f>O610</f>
        <v>0</v>
      </c>
      <c r="AR610" s="254" t="str">
        <f>SUBSTITUTE(SUBSTITUTE(SUBSTITUTE("dnt"&amp;$B610&amp;$C610&amp;$D610&amp;$E610,".","_"),"(","_"),")","")</f>
        <v>dnt705_6_1</v>
      </c>
      <c r="AS610" s="254" t="str">
        <f>IF(LEN(X610)=0,"",X610)</f>
        <v/>
      </c>
      <c r="AX610" s="377"/>
      <c r="AY610" s="377"/>
      <c r="AZ610" s="816"/>
      <c r="BA610" s="816"/>
      <c r="BB610" s="816"/>
      <c r="BC610" s="816"/>
      <c r="BD610" s="816"/>
      <c r="BE610" s="816"/>
      <c r="BF610" s="816"/>
      <c r="BG610" s="816"/>
      <c r="BH610" s="816"/>
      <c r="BI610" s="816"/>
    </row>
    <row r="611" spans="1:61" x14ac:dyDescent="0.25">
      <c r="B611" s="679" t="s">
        <v>1045</v>
      </c>
      <c r="C611" s="90"/>
      <c r="D611" s="21"/>
      <c r="E611" s="21"/>
      <c r="F611" s="21"/>
      <c r="G611" s="21"/>
      <c r="H611" s="758"/>
      <c r="I611" s="129"/>
      <c r="J611" s="448"/>
      <c r="K611" s="448"/>
      <c r="L611" s="1877"/>
      <c r="M611" s="1758"/>
      <c r="N611" s="129"/>
      <c r="O611" s="1774"/>
      <c r="P611" s="94"/>
      <c r="Q611" s="94"/>
      <c r="R611" s="94"/>
      <c r="S611" s="94"/>
      <c r="T611" s="94"/>
      <c r="U611" s="94"/>
      <c r="V611" s="94"/>
      <c r="W611" s="1873"/>
      <c r="X611" s="1757"/>
      <c r="AX611" s="377"/>
      <c r="AY611" s="377"/>
    </row>
    <row r="612" spans="1:61" x14ac:dyDescent="0.25">
      <c r="B612" s="679" t="s">
        <v>1045</v>
      </c>
      <c r="C612" s="90"/>
      <c r="D612" s="21"/>
      <c r="E612" s="21"/>
      <c r="F612" s="21"/>
      <c r="G612" s="21"/>
      <c r="H612" s="758"/>
      <c r="I612" s="129"/>
      <c r="J612" s="448"/>
      <c r="K612" s="448"/>
      <c r="L612" s="1877"/>
      <c r="M612" s="1758"/>
      <c r="N612" s="129"/>
      <c r="O612" s="1774"/>
      <c r="P612" s="94"/>
      <c r="Q612" s="94"/>
      <c r="R612" s="94"/>
      <c r="S612" s="94"/>
      <c r="T612" s="94"/>
      <c r="U612" s="94"/>
      <c r="V612" s="94"/>
      <c r="W612" s="1873"/>
      <c r="X612" s="1757"/>
    </row>
    <row r="613" spans="1:61" x14ac:dyDescent="0.25">
      <c r="B613" s="679" t="s">
        <v>1045</v>
      </c>
      <c r="C613" s="90"/>
      <c r="D613" s="21"/>
      <c r="E613" s="21"/>
      <c r="F613" s="21"/>
      <c r="G613" s="21"/>
      <c r="H613" s="758"/>
      <c r="I613" s="129"/>
      <c r="J613" s="448"/>
      <c r="K613" s="448"/>
      <c r="L613" s="1877"/>
      <c r="M613" s="1758"/>
      <c r="N613" s="129"/>
      <c r="O613" s="1774"/>
      <c r="P613" s="94"/>
      <c r="Q613" s="94"/>
      <c r="R613" s="94"/>
      <c r="S613" s="94"/>
      <c r="T613" s="94"/>
      <c r="U613" s="94"/>
      <c r="V613" s="94"/>
      <c r="W613" s="1873"/>
      <c r="X613" s="1757"/>
    </row>
    <row r="614" spans="1:61" x14ac:dyDescent="0.25">
      <c r="B614" s="679" t="s">
        <v>1045</v>
      </c>
      <c r="C614" s="90"/>
      <c r="D614" s="21"/>
      <c r="E614" s="21"/>
      <c r="F614" s="21"/>
      <c r="G614" s="21"/>
      <c r="H614" s="758"/>
      <c r="I614" s="129"/>
      <c r="J614" s="448"/>
      <c r="K614" s="448"/>
      <c r="L614" s="1877"/>
      <c r="M614" s="1758"/>
      <c r="N614" s="129"/>
      <c r="O614" s="1774"/>
      <c r="P614" s="94"/>
      <c r="Q614" s="94"/>
      <c r="R614" s="94"/>
      <c r="S614" s="94"/>
      <c r="T614" s="94"/>
      <c r="U614" s="94"/>
      <c r="V614" s="94"/>
      <c r="W614" s="1873"/>
      <c r="X614" s="1757"/>
      <c r="AX614" s="337"/>
      <c r="AY614" s="337"/>
    </row>
    <row r="615" spans="1:61" x14ac:dyDescent="0.25">
      <c r="B615" s="679" t="s">
        <v>1045</v>
      </c>
      <c r="C615" s="90"/>
      <c r="D615" s="21"/>
      <c r="E615" s="21"/>
      <c r="F615" s="21"/>
      <c r="G615" s="21"/>
      <c r="H615" s="758"/>
      <c r="I615" s="210"/>
      <c r="J615" s="449"/>
      <c r="K615" s="449"/>
      <c r="L615" s="1834"/>
      <c r="M615" s="1759"/>
      <c r="N615" s="210"/>
      <c r="O615" s="1764"/>
      <c r="P615" s="178"/>
      <c r="Q615" s="178"/>
      <c r="R615" s="178"/>
      <c r="S615" s="178"/>
      <c r="T615" s="178"/>
      <c r="U615" s="178"/>
      <c r="V615" s="178"/>
      <c r="W615" s="1874"/>
      <c r="X615" s="1757"/>
      <c r="AX615" s="337"/>
      <c r="AY615" s="337"/>
    </row>
    <row r="616" spans="1:61" s="372" customFormat="1" x14ac:dyDescent="0.25">
      <c r="A616" s="18"/>
      <c r="B616" s="679" t="s">
        <v>3619</v>
      </c>
      <c r="C616" s="90"/>
      <c r="D616" s="21"/>
      <c r="E616" s="21"/>
      <c r="F616" s="21"/>
      <c r="G616" s="21"/>
      <c r="H616" s="758"/>
      <c r="I616" s="66" t="s">
        <v>3619</v>
      </c>
      <c r="J616" s="374"/>
      <c r="K616" s="374"/>
      <c r="L616" s="375" t="s">
        <v>3620</v>
      </c>
      <c r="M616" s="428"/>
      <c r="N616" s="4"/>
      <c r="O616" s="141"/>
      <c r="Y616" s="780"/>
      <c r="AA616" s="783"/>
      <c r="AX616" s="337"/>
      <c r="AY616" s="337"/>
      <c r="AZ616" s="76"/>
      <c r="BA616" s="76"/>
      <c r="BB616" s="76"/>
      <c r="BC616" s="76"/>
      <c r="BD616" s="76"/>
      <c r="BE616" s="76"/>
      <c r="BF616" s="76"/>
      <c r="BG616" s="76"/>
      <c r="BH616" s="76"/>
      <c r="BI616" s="76"/>
    </row>
    <row r="617" spans="1:61" x14ac:dyDescent="0.25">
      <c r="B617" s="90" t="s">
        <v>1047</v>
      </c>
      <c r="C617" s="90"/>
      <c r="D617" s="21"/>
      <c r="E617" s="21"/>
      <c r="F617" s="21"/>
      <c r="G617" s="21"/>
      <c r="H617" s="758"/>
      <c r="I617" s="66" t="s">
        <v>1047</v>
      </c>
      <c r="J617" s="161"/>
      <c r="K617" s="161"/>
      <c r="L617" s="1796" t="s">
        <v>4831</v>
      </c>
      <c r="M617" s="428"/>
      <c r="N617" s="4"/>
      <c r="O617" s="141"/>
      <c r="AX617" s="337"/>
      <c r="AY617" s="337"/>
      <c r="AZ617" s="372"/>
      <c r="BA617" s="372"/>
      <c r="BB617" s="372"/>
      <c r="BC617" s="372"/>
      <c r="BD617" s="372"/>
      <c r="BE617" s="372"/>
      <c r="BF617" s="372"/>
      <c r="BG617" s="372"/>
      <c r="BH617" s="372"/>
      <c r="BI617" s="372"/>
    </row>
    <row r="618" spans="1:61" x14ac:dyDescent="0.25">
      <c r="B618" s="90" t="s">
        <v>1047</v>
      </c>
      <c r="C618" s="90"/>
      <c r="D618" s="21"/>
      <c r="E618" s="21"/>
      <c r="F618" s="21"/>
      <c r="G618" s="21"/>
      <c r="H618" s="758"/>
      <c r="I618" s="4"/>
      <c r="J618" s="161"/>
      <c r="K618" s="161"/>
      <c r="L618" s="1796"/>
      <c r="M618" s="428"/>
      <c r="N618" s="4"/>
      <c r="O618" s="141"/>
      <c r="AX618" s="337"/>
      <c r="AY618" s="337"/>
    </row>
    <row r="619" spans="1:61" x14ac:dyDescent="0.25">
      <c r="B619" s="90" t="s">
        <v>1047</v>
      </c>
      <c r="C619" s="90"/>
      <c r="D619" s="21"/>
      <c r="E619" s="21"/>
      <c r="F619" s="21"/>
      <c r="G619" s="21"/>
      <c r="H619" s="758"/>
      <c r="I619" s="4"/>
      <c r="J619" s="161"/>
      <c r="K619" s="161"/>
      <c r="L619" s="1796"/>
      <c r="M619" s="428"/>
      <c r="N619" s="4"/>
      <c r="O619" s="141"/>
      <c r="AX619" s="337"/>
      <c r="AY619" s="337"/>
    </row>
    <row r="620" spans="1:61" x14ac:dyDescent="0.25">
      <c r="B620" s="90" t="s">
        <v>1047</v>
      </c>
      <c r="C620" s="90"/>
      <c r="D620" s="21"/>
      <c r="E620" s="21"/>
      <c r="F620" s="21"/>
      <c r="G620" s="21"/>
      <c r="H620" s="758"/>
      <c r="I620" s="4"/>
      <c r="J620" s="161"/>
      <c r="K620" s="161"/>
      <c r="L620" s="1851" t="s">
        <v>4337</v>
      </c>
      <c r="M620" s="428"/>
      <c r="N620" s="4"/>
      <c r="O620" s="141"/>
      <c r="AX620" s="337"/>
      <c r="AY620" s="337"/>
    </row>
    <row r="621" spans="1:61" x14ac:dyDescent="0.25">
      <c r="B621" s="90" t="s">
        <v>1047</v>
      </c>
      <c r="C621" s="90"/>
      <c r="D621" s="21"/>
      <c r="E621" s="21"/>
      <c r="F621" s="21"/>
      <c r="G621" s="21"/>
      <c r="H621" s="758"/>
      <c r="I621" s="4"/>
      <c r="J621" s="161"/>
      <c r="K621" s="161"/>
      <c r="L621" s="1851"/>
      <c r="M621" s="428"/>
      <c r="N621" s="4"/>
      <c r="O621" s="141"/>
    </row>
    <row r="622" spans="1:61" s="372" customFormat="1" x14ac:dyDescent="0.25">
      <c r="A622" s="18"/>
      <c r="B622" s="90" t="s">
        <v>1047</v>
      </c>
      <c r="C622" s="90"/>
      <c r="D622" s="21"/>
      <c r="E622" s="21"/>
      <c r="F622" s="21"/>
      <c r="G622" s="21"/>
      <c r="H622" s="758"/>
      <c r="I622" s="4"/>
      <c r="J622" s="374"/>
      <c r="K622" s="374"/>
      <c r="L622" s="373" t="s">
        <v>3622</v>
      </c>
      <c r="M622" s="428"/>
      <c r="N622" s="4"/>
      <c r="O622" s="141"/>
      <c r="W622" s="394" t="s">
        <v>3763</v>
      </c>
      <c r="Y622" s="780"/>
      <c r="AA622" s="783"/>
      <c r="AX622" s="76"/>
      <c r="AY622" s="76"/>
      <c r="AZ622" s="76"/>
      <c r="BA622" s="76"/>
      <c r="BB622" s="76"/>
      <c r="BC622" s="76"/>
      <c r="BD622" s="76"/>
      <c r="BE622" s="76"/>
      <c r="BF622" s="76"/>
      <c r="BG622" s="76"/>
      <c r="BH622" s="76"/>
      <c r="BI622" s="76"/>
    </row>
    <row r="623" spans="1:61" x14ac:dyDescent="0.25">
      <c r="B623" s="90" t="s">
        <v>1047</v>
      </c>
      <c r="C623" s="21" t="s">
        <v>256</v>
      </c>
      <c r="D623" s="21" t="s">
        <v>4860</v>
      </c>
      <c r="E623" s="21"/>
      <c r="F623" s="21"/>
      <c r="G623" s="21"/>
      <c r="H623" s="758"/>
      <c r="I623" s="4"/>
      <c r="J623" s="543" t="s">
        <v>256</v>
      </c>
      <c r="K623" s="1081"/>
      <c r="L623" s="1081" t="s">
        <v>1048</v>
      </c>
      <c r="M623" s="1758">
        <v>3</v>
      </c>
      <c r="N623" s="129"/>
      <c r="O623" s="1774">
        <f>IF(OR(LEN(W623)&gt;0,LEN(W625)&gt;0),M623,0)</f>
        <v>0</v>
      </c>
      <c r="P623" s="94" t="b">
        <v>0</v>
      </c>
      <c r="Q623" s="94" t="b">
        <v>1</v>
      </c>
      <c r="R623" s="134" t="b">
        <v>0</v>
      </c>
      <c r="S623" s="134" t="b">
        <f ca="1">AND(OR(S85,AND(OR(AND(BF16=2,BG16="Dry"),BI16="Tropical"),S85,O232&gt;0)),LEN(W625)=0)</f>
        <v>0</v>
      </c>
      <c r="T623" s="94" t="b">
        <f ca="1">AND(OR(NOT(S623),AND(W211=TRUE,BF16&lt;=2,W623&gt;5),AND(W211=TRUE,BF16&gt;=3,W623&gt;3)),LEN(W623)&gt;0)</f>
        <v>0</v>
      </c>
      <c r="W623" s="384"/>
      <c r="X623" s="1757"/>
      <c r="AC623" s="394" t="b">
        <f ca="1">OR(AD623:AE623)</f>
        <v>0</v>
      </c>
      <c r="AD623" s="394" t="b">
        <f ca="1">T623</f>
        <v>0</v>
      </c>
      <c r="AL623" s="254" t="str">
        <f>SUBSTITUTE(SUBSTITUTE(SUBSTITUTE("dpa"&amp;$B623&amp;$C623&amp;$D623&amp;$E623,".","_"),"(","_"),")","")</f>
        <v>dpa705_6_2_1_1_1</v>
      </c>
      <c r="AM623" s="254">
        <f>M623</f>
        <v>3</v>
      </c>
      <c r="AN623" s="254" t="str">
        <f>SUBSTITUTE(SUBSTITUTE(SUBSTITUTE("dpc"&amp;$B623&amp;$C623&amp;$D623&amp;$E623,".","_"),"(","_"),")","")</f>
        <v>dpc705_6_2_1_1_1</v>
      </c>
      <c r="AO623" s="254">
        <f>O623</f>
        <v>0</v>
      </c>
      <c r="AP623" s="254" t="str">
        <f>SUBSTITUTE(SUBSTITUTE(SUBSTITUTE("dch"&amp;$B623&amp;$C623&amp;$D623&amp;$E623,".","_"),"(","_"),")","")</f>
        <v>dch705_6_2_1_1_1</v>
      </c>
      <c r="AQ623" s="254" t="str">
        <f>IF(LEN(W623)=0,"",W623)</f>
        <v/>
      </c>
      <c r="AR623" s="254" t="str">
        <f>SUBSTITUTE(SUBSTITUTE(SUBSTITUTE("dnt"&amp;$B623&amp;$C623&amp;$D623&amp;$E623,".","_"),"(","_"),")","")</f>
        <v>dnt705_6_2_1_1_1</v>
      </c>
      <c r="AS623" s="254" t="str">
        <f>IF(LEN(X623)=0,"",X623)</f>
        <v/>
      </c>
      <c r="AZ623" s="372"/>
      <c r="BA623" s="372"/>
      <c r="BB623" s="372"/>
      <c r="BC623" s="372"/>
      <c r="BD623" s="372"/>
      <c r="BE623" s="372"/>
      <c r="BF623" s="372"/>
      <c r="BG623" s="372"/>
      <c r="BH623" s="372"/>
      <c r="BI623" s="372"/>
    </row>
    <row r="624" spans="1:61" customFormat="1" x14ac:dyDescent="0.25">
      <c r="B624" s="90" t="s">
        <v>1047</v>
      </c>
      <c r="C624" s="21" t="s">
        <v>256</v>
      </c>
      <c r="D624" s="21"/>
      <c r="E624" s="1129"/>
      <c r="M624" s="1758"/>
      <c r="O624" s="1774"/>
      <c r="W624" s="1079" t="s">
        <v>4089</v>
      </c>
      <c r="X624" s="1757"/>
      <c r="AP624" s="254"/>
      <c r="AQ624" s="254"/>
      <c r="AX624" s="76"/>
      <c r="AY624" s="76"/>
      <c r="AZ624" s="76"/>
      <c r="BA624" s="76"/>
      <c r="BB624" s="76"/>
      <c r="BC624" s="76"/>
      <c r="BD624" s="76"/>
      <c r="BE624" s="76"/>
      <c r="BF624" s="76"/>
      <c r="BG624" s="76"/>
      <c r="BH624" s="76"/>
      <c r="BI624" s="76"/>
    </row>
    <row r="625" spans="1:61" customFormat="1" x14ac:dyDescent="0.25">
      <c r="B625" s="90" t="s">
        <v>1047</v>
      </c>
      <c r="C625" s="21" t="s">
        <v>256</v>
      </c>
      <c r="D625" s="21" t="s">
        <v>4861</v>
      </c>
      <c r="E625" s="1129"/>
      <c r="J625" s="178"/>
      <c r="K625" s="178"/>
      <c r="L625" s="178"/>
      <c r="M625" s="1759"/>
      <c r="N625" s="178"/>
      <c r="O625" s="1764"/>
      <c r="P625" s="94" t="b">
        <v>0</v>
      </c>
      <c r="Q625" s="94" t="b">
        <v>1</v>
      </c>
      <c r="R625" s="1079" t="b">
        <v>0</v>
      </c>
      <c r="S625" s="1079" t="b">
        <f ca="1">AND(OR(S85,AND(OR(AND(BF16=2,BG16="Dry"),BI16="Tropical"),S85,O232&gt;0)),LEN(W623)=0)</f>
        <v>0</v>
      </c>
      <c r="T625" s="94" t="b">
        <f ca="1">AND(OR(NOT(S625),AND(W211=TRUE,BF16&lt;=2,W625&gt;0.33),AND(W211=TRUE,BF16&gt;=3,W625&gt;0.23)),LEN(W625)&gt;0)</f>
        <v>0</v>
      </c>
      <c r="W625" s="384"/>
      <c r="X625" s="1757"/>
      <c r="AC625" s="1079" t="b">
        <f ca="1">OR(AD625:AE625)</f>
        <v>0</v>
      </c>
      <c r="AD625" s="1079" t="b">
        <f ca="1">T625</f>
        <v>0</v>
      </c>
      <c r="AP625" s="254" t="str">
        <f>SUBSTITUTE(SUBSTITUTE(SUBSTITUTE("dch"&amp;$B625&amp;$C625&amp;$D625&amp;$E625,".","_"),"(","_"),")","")</f>
        <v>dch705_6_2_1_1_2</v>
      </c>
      <c r="AQ625" s="254" t="str">
        <f>IF(LEN(W625)=0,"",W625)</f>
        <v/>
      </c>
    </row>
    <row r="626" spans="1:61" x14ac:dyDescent="0.25">
      <c r="B626" s="90" t="s">
        <v>1047</v>
      </c>
      <c r="C626" s="21" t="s">
        <v>258</v>
      </c>
      <c r="D626" s="21"/>
      <c r="E626" s="21"/>
      <c r="F626" s="21"/>
      <c r="G626" s="21"/>
      <c r="H626" s="758"/>
      <c r="I626" s="4"/>
      <c r="J626" s="234" t="s">
        <v>258</v>
      </c>
      <c r="K626" s="161"/>
      <c r="L626" s="161" t="s">
        <v>1049</v>
      </c>
      <c r="M626" s="428">
        <v>5</v>
      </c>
      <c r="N626" s="4"/>
      <c r="O626" s="141">
        <f>M626*S626*W626</f>
        <v>0</v>
      </c>
      <c r="P626" s="94" t="b">
        <v>0</v>
      </c>
      <c r="Q626" s="94" t="b">
        <v>1</v>
      </c>
      <c r="R626" s="134" t="b">
        <v>0</v>
      </c>
      <c r="S626" s="394" t="b">
        <f>O623&gt;0</f>
        <v>0</v>
      </c>
      <c r="T626" s="94" t="b">
        <f>AND(NOT(S626),W626=TRUE)</f>
        <v>0</v>
      </c>
      <c r="W626" s="25"/>
      <c r="X626" s="1798"/>
      <c r="AC626" s="377" t="b">
        <f>OR(AD626:AE626)</f>
        <v>0</v>
      </c>
      <c r="AD626" s="377" t="b">
        <f>T626</f>
        <v>0</v>
      </c>
      <c r="AE626" s="377" t="b">
        <f>AND(W626=TRUE,LEN(X626)=0)</f>
        <v>0</v>
      </c>
      <c r="AL626" s="254" t="str">
        <f>SUBSTITUTE(SUBSTITUTE(SUBSTITUTE("dpa"&amp;$B626&amp;$C626&amp;$D626&amp;$E626,".","_"),"(","_"),")","")</f>
        <v>dpa705_6_2_1_2</v>
      </c>
      <c r="AM626" s="254">
        <f>M626</f>
        <v>5</v>
      </c>
      <c r="AN626" s="254" t="str">
        <f>SUBSTITUTE(SUBSTITUTE(SUBSTITUTE("dpc"&amp;$B626&amp;$C626&amp;$D626&amp;$E626,".","_"),"(","_"),")","")</f>
        <v>dpc705_6_2_1_2</v>
      </c>
      <c r="AO626" s="254">
        <f>O626</f>
        <v>0</v>
      </c>
      <c r="AP626" s="254" t="str">
        <f>SUBSTITUTE(SUBSTITUTE(SUBSTITUTE("dch"&amp;$B626&amp;$C626&amp;$D626&amp;$E626,".","_"),"(","_"),")","")</f>
        <v>dch705_6_2_1_2</v>
      </c>
      <c r="AQ626" s="254" t="str">
        <f>IF(LEN(W626)=0,"",W626)</f>
        <v/>
      </c>
      <c r="AR626" s="254" t="str">
        <f>SUBSTITUTE(SUBSTITUTE(SUBSTITUTE("dnt"&amp;$B626&amp;$C626&amp;$D626&amp;$E626,".","_"),"(","_"),")","")</f>
        <v>dnt705_6_2_1_2</v>
      </c>
      <c r="AS626" s="254" t="str">
        <f>IF(LEN(X626)=0,"",X626)</f>
        <v/>
      </c>
      <c r="AX626"/>
      <c r="AY626"/>
      <c r="AZ626"/>
      <c r="BA626"/>
      <c r="BB626"/>
      <c r="BC626"/>
      <c r="BD626"/>
      <c r="BE626"/>
      <c r="BF626"/>
      <c r="BG626"/>
      <c r="BH626"/>
      <c r="BI626"/>
    </row>
    <row r="627" spans="1:61" s="372" customFormat="1" x14ac:dyDescent="0.25">
      <c r="A627" s="18"/>
      <c r="B627" s="90" t="s">
        <v>1047</v>
      </c>
      <c r="C627" s="21" t="s">
        <v>258</v>
      </c>
      <c r="D627" s="21"/>
      <c r="E627" s="21"/>
      <c r="F627" s="21"/>
      <c r="G627" s="21"/>
      <c r="H627" s="758"/>
      <c r="I627" s="129"/>
      <c r="J627" s="543"/>
      <c r="K627" s="448"/>
      <c r="L627" s="1882" t="s">
        <v>3623</v>
      </c>
      <c r="M627" s="428"/>
      <c r="N627" s="4"/>
      <c r="O627" s="141"/>
      <c r="W627"/>
      <c r="X627" s="1799"/>
      <c r="Y627" s="780"/>
      <c r="AA627" s="783"/>
      <c r="AX627" s="76"/>
      <c r="AY627" s="76"/>
      <c r="AZ627" s="76"/>
      <c r="BA627" s="76"/>
      <c r="BB627" s="76"/>
      <c r="BC627" s="76"/>
      <c r="BD627" s="76"/>
      <c r="BE627" s="76"/>
      <c r="BF627" s="76"/>
      <c r="BG627" s="76"/>
      <c r="BH627" s="76"/>
      <c r="BI627" s="76"/>
    </row>
    <row r="628" spans="1:61" s="372" customFormat="1" x14ac:dyDescent="0.25">
      <c r="A628" s="18"/>
      <c r="B628" s="90" t="s">
        <v>1047</v>
      </c>
      <c r="C628" s="21" t="s">
        <v>258</v>
      </c>
      <c r="D628" s="21"/>
      <c r="E628" s="21"/>
      <c r="F628" s="21"/>
      <c r="G628" s="21"/>
      <c r="H628" s="758"/>
      <c r="I628" s="210"/>
      <c r="J628" s="544"/>
      <c r="K628" s="449"/>
      <c r="L628" s="1883"/>
      <c r="M628"/>
      <c r="N628"/>
      <c r="O628"/>
      <c r="P628"/>
      <c r="Q628"/>
      <c r="R628"/>
      <c r="S628"/>
      <c r="T628"/>
      <c r="X628" s="1756"/>
      <c r="Y628" s="780"/>
      <c r="AA628" s="783"/>
      <c r="AX628" s="76"/>
      <c r="AY628" s="76"/>
    </row>
    <row r="629" spans="1:61" x14ac:dyDescent="0.25">
      <c r="B629" s="679" t="s">
        <v>1050</v>
      </c>
      <c r="C629" s="21"/>
      <c r="D629" s="21"/>
      <c r="E629" s="21"/>
      <c r="F629" s="21"/>
      <c r="G629" s="21"/>
      <c r="H629" s="758"/>
      <c r="I629" s="66" t="s">
        <v>1050</v>
      </c>
      <c r="J629" s="161"/>
      <c r="K629" s="161"/>
      <c r="L629" s="1796" t="s">
        <v>4338</v>
      </c>
      <c r="M629"/>
      <c r="N629"/>
      <c r="O629"/>
      <c r="P629"/>
      <c r="Q629"/>
      <c r="R629"/>
      <c r="S629"/>
      <c r="T629"/>
      <c r="W629"/>
      <c r="X629"/>
      <c r="AC629" s="377"/>
      <c r="AD629" s="377"/>
      <c r="AE629" s="377"/>
      <c r="AL629" s="254"/>
      <c r="AM629" s="254"/>
      <c r="AN629" s="254"/>
      <c r="AO629" s="254"/>
      <c r="AP629" s="254"/>
      <c r="AQ629" s="254"/>
      <c r="AR629" s="254"/>
      <c r="AS629" s="254"/>
      <c r="AX629" s="159"/>
      <c r="AY629" s="159"/>
      <c r="AZ629" s="372"/>
      <c r="BA629" s="372"/>
      <c r="BB629" s="372"/>
      <c r="BC629" s="372"/>
      <c r="BD629" s="372"/>
      <c r="BE629" s="372"/>
      <c r="BF629" s="372"/>
      <c r="BG629" s="372"/>
      <c r="BH629" s="372"/>
      <c r="BI629" s="372"/>
    </row>
    <row r="630" spans="1:61" x14ac:dyDescent="0.25">
      <c r="B630" s="679" t="s">
        <v>1050</v>
      </c>
      <c r="C630" s="21"/>
      <c r="D630" s="21"/>
      <c r="E630" s="21"/>
      <c r="F630" s="21"/>
      <c r="G630" s="21"/>
      <c r="H630" s="758"/>
      <c r="I630" s="4"/>
      <c r="J630" s="161"/>
      <c r="K630" s="161"/>
      <c r="L630" s="1796"/>
      <c r="M630" s="831"/>
      <c r="N630" s="4"/>
      <c r="O630" s="824"/>
      <c r="X630"/>
    </row>
    <row r="631" spans="1:61" x14ac:dyDescent="0.25">
      <c r="B631" s="679" t="s">
        <v>1050</v>
      </c>
      <c r="C631" s="21"/>
      <c r="D631" s="21"/>
      <c r="E631" s="21"/>
      <c r="F631" s="21"/>
      <c r="G631" s="21"/>
      <c r="H631" s="758"/>
      <c r="I631" s="4"/>
      <c r="J631" s="161"/>
      <c r="K631" s="161"/>
      <c r="L631" s="1796"/>
      <c r="M631" s="831"/>
      <c r="N631" s="4"/>
      <c r="O631" s="824"/>
      <c r="X631"/>
    </row>
    <row r="632" spans="1:61" x14ac:dyDescent="0.25">
      <c r="B632" s="679" t="s">
        <v>1050</v>
      </c>
      <c r="C632" s="21" t="s">
        <v>256</v>
      </c>
      <c r="D632" s="21"/>
      <c r="E632" s="21"/>
      <c r="F632" s="21"/>
      <c r="G632" s="21"/>
      <c r="H632" s="758"/>
      <c r="I632" s="4"/>
      <c r="J632" s="543" t="s">
        <v>256</v>
      </c>
      <c r="K632" s="448"/>
      <c r="L632" s="1754" t="s">
        <v>1051</v>
      </c>
      <c r="M632" s="1758">
        <v>5</v>
      </c>
      <c r="N632" s="129"/>
      <c r="O632" s="1774">
        <f>M632*S632*W632</f>
        <v>0</v>
      </c>
      <c r="P632" s="94" t="b">
        <v>0</v>
      </c>
      <c r="Q632" s="94" t="b">
        <v>1</v>
      </c>
      <c r="R632" s="816" t="b">
        <v>0</v>
      </c>
      <c r="S632" s="816" t="b">
        <v>1</v>
      </c>
      <c r="T632" s="94" t="b">
        <v>0</v>
      </c>
      <c r="W632" s="25"/>
      <c r="X632" s="1757"/>
      <c r="AL632" s="254" t="str">
        <f>SUBSTITUTE(SUBSTITUTE(SUBSTITUTE("dpa"&amp;$B632&amp;$C632&amp;$D632&amp;$E632,".","_"),"(","_"),")","")</f>
        <v>dpa705_6_2_2_1</v>
      </c>
      <c r="AM632" s="254">
        <f>M632</f>
        <v>5</v>
      </c>
      <c r="AN632" s="254" t="str">
        <f>SUBSTITUTE(SUBSTITUTE(SUBSTITUTE("dpc"&amp;$B632&amp;$C632&amp;$D632&amp;$E632,".","_"),"(","_"),")","")</f>
        <v>dpc705_6_2_2_1</v>
      </c>
      <c r="AO632" s="254">
        <f>O632</f>
        <v>0</v>
      </c>
      <c r="AP632" s="254" t="str">
        <f>SUBSTITUTE(SUBSTITUTE(SUBSTITUTE("dch"&amp;$B632&amp;$C632&amp;$D632&amp;$E632,".","_"),"(","_"),")","")</f>
        <v>dch705_6_2_2_1</v>
      </c>
      <c r="AQ632" s="254" t="str">
        <f>IF(LEN(W632)=0,"",W632)</f>
        <v/>
      </c>
      <c r="AR632" s="254" t="str">
        <f>SUBSTITUTE(SUBSTITUTE(SUBSTITUTE("dnt"&amp;$B632&amp;$C632&amp;$D632&amp;$E632,".","_"),"(","_"),")","")</f>
        <v>dnt705_6_2_2_1</v>
      </c>
      <c r="AS632" s="254" t="str">
        <f>IF(LEN(X632)=0,"",X632)</f>
        <v/>
      </c>
      <c r="AX632" s="159"/>
      <c r="AY632" s="159"/>
    </row>
    <row r="633" spans="1:61" x14ac:dyDescent="0.25">
      <c r="B633" s="679" t="s">
        <v>1050</v>
      </c>
      <c r="C633" s="21" t="s">
        <v>256</v>
      </c>
      <c r="D633" s="21"/>
      <c r="E633" s="21"/>
      <c r="F633" s="21"/>
      <c r="G633" s="21"/>
      <c r="H633" s="758"/>
      <c r="I633" s="4"/>
      <c r="J633" s="544"/>
      <c r="K633" s="449"/>
      <c r="L633" s="1755"/>
      <c r="M633" s="1759"/>
      <c r="N633" s="210"/>
      <c r="O633" s="1764"/>
      <c r="X633" s="1757"/>
    </row>
    <row r="634" spans="1:61" x14ac:dyDescent="0.25">
      <c r="B634" s="679" t="s">
        <v>1050</v>
      </c>
      <c r="C634" s="21" t="s">
        <v>258</v>
      </c>
      <c r="D634" s="21"/>
      <c r="E634" s="21"/>
      <c r="F634" s="21"/>
      <c r="G634" s="21"/>
      <c r="H634" s="758"/>
      <c r="I634" s="4"/>
      <c r="J634" s="234" t="s">
        <v>258</v>
      </c>
      <c r="K634" s="161"/>
      <c r="L634" s="161" t="s">
        <v>1052</v>
      </c>
      <c r="M634" s="1762">
        <v>3</v>
      </c>
      <c r="N634" s="193"/>
      <c r="O634" s="1763">
        <f>M634*S634*W634</f>
        <v>0</v>
      </c>
      <c r="P634" s="94" t="b">
        <v>0</v>
      </c>
      <c r="Q634" s="94" t="b">
        <v>1</v>
      </c>
      <c r="R634" s="816" t="b">
        <v>0</v>
      </c>
      <c r="S634" s="816" t="b">
        <v>1</v>
      </c>
      <c r="T634" s="94" t="b">
        <v>0</v>
      </c>
      <c r="U634" s="94"/>
      <c r="W634" s="25"/>
      <c r="X634" s="1798"/>
      <c r="AC634" s="816" t="b">
        <f>OR(AD634:AE634)</f>
        <v>0</v>
      </c>
      <c r="AD634" s="816" t="b">
        <v>0</v>
      </c>
      <c r="AE634" s="816" t="b">
        <f>AND(W634=TRUE,LEN(X634)=0)</f>
        <v>0</v>
      </c>
      <c r="AL634" s="254" t="str">
        <f>SUBSTITUTE(SUBSTITUTE(SUBSTITUTE("dpa"&amp;$B634&amp;$C634&amp;$D634&amp;$E634,".","_"),"(","_"),")","")</f>
        <v>dpa705_6_2_2_2</v>
      </c>
      <c r="AM634" s="254">
        <f>M634</f>
        <v>3</v>
      </c>
      <c r="AN634" s="254" t="str">
        <f>SUBSTITUTE(SUBSTITUTE(SUBSTITUTE("dpc"&amp;$B634&amp;$C634&amp;$D634&amp;$E634,".","_"),"(","_"),")","")</f>
        <v>dpc705_6_2_2_2</v>
      </c>
      <c r="AO634" s="254">
        <f>O634</f>
        <v>0</v>
      </c>
      <c r="AP634" s="254" t="str">
        <f>SUBSTITUTE(SUBSTITUTE(SUBSTITUTE("dch"&amp;$B634&amp;$C634&amp;$D634&amp;$E634,".","_"),"(","_"),")","")</f>
        <v>dch705_6_2_2_2</v>
      </c>
      <c r="AQ634" s="254" t="str">
        <f>IF(LEN(W634)=0,"",W634)</f>
        <v/>
      </c>
      <c r="AR634" s="254" t="str">
        <f>SUBSTITUTE(SUBSTITUTE(SUBSTITUTE("dnt"&amp;$B634&amp;$C634&amp;$D634&amp;$E634,".","_"),"(","_"),")","")</f>
        <v>dnt705_6_2_2_2</v>
      </c>
      <c r="AS634" s="254" t="str">
        <f>IF(LEN(X634)=0,"",X634)</f>
        <v/>
      </c>
    </row>
    <row r="635" spans="1:61" s="377" customFormat="1" x14ac:dyDescent="0.25">
      <c r="A635" s="18"/>
      <c r="B635" s="679" t="s">
        <v>1050</v>
      </c>
      <c r="C635" s="21"/>
      <c r="D635" s="21"/>
      <c r="E635" s="21"/>
      <c r="F635" s="21"/>
      <c r="G635" s="21"/>
      <c r="H635" s="758"/>
      <c r="I635" s="129"/>
      <c r="J635" s="543"/>
      <c r="K635" s="448"/>
      <c r="L635" s="1882" t="s">
        <v>3624</v>
      </c>
      <c r="M635" s="1758"/>
      <c r="N635" s="129"/>
      <c r="O635" s="1774"/>
      <c r="X635" s="1799"/>
      <c r="Y635" s="780"/>
      <c r="AA635" s="783"/>
      <c r="AX635" s="76"/>
      <c r="AY635" s="76"/>
      <c r="AZ635" s="76"/>
      <c r="BA635" s="76"/>
      <c r="BB635" s="76"/>
      <c r="BC635" s="76"/>
      <c r="BD635" s="76"/>
      <c r="BE635" s="76"/>
      <c r="BF635" s="76"/>
      <c r="BG635" s="76"/>
      <c r="BH635" s="76"/>
      <c r="BI635" s="76"/>
    </row>
    <row r="636" spans="1:61" s="377" customFormat="1" x14ac:dyDescent="0.25">
      <c r="A636" s="18"/>
      <c r="B636" s="679" t="s">
        <v>1050</v>
      </c>
      <c r="C636" s="21"/>
      <c r="D636" s="21"/>
      <c r="E636" s="21"/>
      <c r="F636" s="21"/>
      <c r="G636" s="21"/>
      <c r="H636" s="758"/>
      <c r="I636" s="210"/>
      <c r="J636" s="544"/>
      <c r="K636" s="449"/>
      <c r="L636" s="1883"/>
      <c r="M636" s="1759"/>
      <c r="N636" s="210"/>
      <c r="O636" s="1764"/>
      <c r="X636" s="1756"/>
      <c r="Y636" s="780"/>
      <c r="AA636" s="783"/>
      <c r="AX636" s="76"/>
      <c r="AY636" s="76"/>
    </row>
    <row r="637" spans="1:61" x14ac:dyDescent="0.25">
      <c r="B637" s="679" t="s">
        <v>1053</v>
      </c>
      <c r="C637" s="21"/>
      <c r="D637" s="21"/>
      <c r="E637" s="21"/>
      <c r="F637" s="21"/>
      <c r="G637" s="21"/>
      <c r="H637" s="758"/>
      <c r="I637" s="66" t="s">
        <v>1053</v>
      </c>
      <c r="J637" s="161"/>
      <c r="K637" s="161"/>
      <c r="L637" s="166" t="s">
        <v>1054</v>
      </c>
      <c r="M637" s="428"/>
      <c r="N637" s="4"/>
      <c r="O637" s="1780">
        <f ca="1">IFERROR(INDEX({3,5},MATCH(W637,INDIRECT(U637),0)),0)*S637</f>
        <v>0</v>
      </c>
      <c r="P637" s="94" t="b">
        <v>0</v>
      </c>
      <c r="Q637" s="94" t="b">
        <v>1</v>
      </c>
      <c r="R637" s="134" t="b">
        <v>0</v>
      </c>
      <c r="S637" s="379" t="b">
        <f>AND(OR(AY39&lt;&gt;INDEX(ddHDucts,2),AY43&lt;&gt;INDEX(ddCDucts,2)),LEN(W364)=0)</f>
        <v>1</v>
      </c>
      <c r="T637" s="94" t="b">
        <f>AND(NOT(S637),LEN(W637)&gt;0)</f>
        <v>0</v>
      </c>
      <c r="U637" s="94" t="str">
        <f>SUBSTITUTE(SUBSTITUTE(SUBSTITUTE("dd"&amp;B637&amp;C637&amp;D637&amp;E637&amp;F637,".","_"),"(","_"),")","")</f>
        <v>dd705_6_2_3</v>
      </c>
      <c r="W637" s="12"/>
      <c r="X637" s="1757"/>
      <c r="AC637" s="417"/>
      <c r="AD637" s="417"/>
      <c r="AE637" s="417"/>
      <c r="AN637" s="254" t="str">
        <f>SUBSTITUTE(SUBSTITUTE(SUBSTITUTE("dpc"&amp;$B637&amp;$C637&amp;$D637&amp;$E637,".","_"),"(","_"),")","")</f>
        <v>dpc705_6_2_3</v>
      </c>
      <c r="AO637" s="254">
        <f ca="1">O637</f>
        <v>0</v>
      </c>
      <c r="AP637" s="254" t="str">
        <f>SUBSTITUTE(SUBSTITUTE(SUBSTITUTE("dch"&amp;$B637&amp;$C637&amp;$D637&amp;$E637,".","_"),"(","_"),")","")</f>
        <v>dch705_6_2_3</v>
      </c>
      <c r="AQ637" s="254" t="str">
        <f>IF(LEN(W637)=0,"",W637)</f>
        <v/>
      </c>
      <c r="AR637" s="254" t="str">
        <f>SUBSTITUTE(SUBSTITUTE(SUBSTITUTE("dnt"&amp;$B637&amp;$C637&amp;$D637&amp;$E637,".","_"),"(","_"),")","")</f>
        <v>dnt705_6_2_3</v>
      </c>
      <c r="AS637" s="254" t="str">
        <f>IF(LEN(X637)=0,"",X637)</f>
        <v/>
      </c>
      <c r="AZ637" s="377"/>
      <c r="BA637" s="377"/>
      <c r="BB637" s="377"/>
      <c r="BC637" s="377"/>
      <c r="BD637" s="377"/>
      <c r="BE637" s="377"/>
      <c r="BF637" s="377"/>
      <c r="BG637" s="377"/>
      <c r="BH637" s="377"/>
      <c r="BI637" s="377"/>
    </row>
    <row r="638" spans="1:61" x14ac:dyDescent="0.25">
      <c r="B638" s="679" t="s">
        <v>1053</v>
      </c>
      <c r="C638" s="21"/>
      <c r="D638" s="21"/>
      <c r="E638" s="21"/>
      <c r="F638" s="21"/>
      <c r="G638" s="21"/>
      <c r="H638" s="758"/>
      <c r="I638" s="4"/>
      <c r="J638" s="161"/>
      <c r="K638" s="161"/>
      <c r="L638" s="163" t="s">
        <v>1055</v>
      </c>
      <c r="M638" s="428"/>
      <c r="N638" s="4"/>
      <c r="O638" s="1780"/>
      <c r="X638" s="1757"/>
    </row>
    <row r="639" spans="1:61" s="337" customFormat="1" x14ac:dyDescent="0.25">
      <c r="A639" s="18"/>
      <c r="B639" s="679" t="s">
        <v>1053</v>
      </c>
      <c r="C639" s="21"/>
      <c r="D639" s="21"/>
      <c r="E639" s="21"/>
      <c r="F639" s="21"/>
      <c r="G639" s="21"/>
      <c r="H639" s="758"/>
      <c r="I639" s="4"/>
      <c r="J639" s="340"/>
      <c r="K639" s="340"/>
      <c r="L639" s="339" t="s">
        <v>3547</v>
      </c>
      <c r="M639" s="428"/>
      <c r="N639" s="4"/>
      <c r="O639" s="1780"/>
      <c r="R639"/>
      <c r="S639"/>
      <c r="T639"/>
      <c r="X639" s="1757"/>
      <c r="Y639" s="780"/>
      <c r="AA639" s="783"/>
      <c r="AX639" s="76"/>
      <c r="AY639" s="76"/>
      <c r="AZ639" s="76"/>
      <c r="BA639" s="76"/>
      <c r="BB639" s="76"/>
      <c r="BC639" s="76"/>
      <c r="BD639" s="76"/>
      <c r="BE639" s="76"/>
      <c r="BF639" s="76"/>
      <c r="BG639" s="76"/>
      <c r="BH639" s="76"/>
      <c r="BI639" s="76"/>
    </row>
    <row r="640" spans="1:61" s="337" customFormat="1" x14ac:dyDescent="0.25">
      <c r="A640" s="18"/>
      <c r="B640" s="679" t="s">
        <v>1053</v>
      </c>
      <c r="C640" s="21" t="s">
        <v>256</v>
      </c>
      <c r="D640" s="21"/>
      <c r="E640" s="21"/>
      <c r="F640" s="21"/>
      <c r="G640" s="21"/>
      <c r="H640" s="758"/>
      <c r="I640" s="4"/>
      <c r="J640" s="544" t="s">
        <v>256</v>
      </c>
      <c r="K640" s="449"/>
      <c r="L640" s="449" t="s">
        <v>3548</v>
      </c>
      <c r="M640" s="453">
        <v>3</v>
      </c>
      <c r="N640" s="4"/>
      <c r="O640" s="141"/>
      <c r="R640"/>
      <c r="S640"/>
      <c r="T640"/>
      <c r="X640" s="1757"/>
      <c r="Y640" s="780"/>
      <c r="AA640" s="783"/>
      <c r="AL640" s="254" t="str">
        <f>SUBSTITUTE(SUBSTITUTE(SUBSTITUTE("dpa"&amp;$B640&amp;$C640&amp;$D640&amp;$E640,".","_"),"(","_"),")","")</f>
        <v>dpa705_6_2_3_1</v>
      </c>
      <c r="AM640" s="254">
        <f>M640</f>
        <v>3</v>
      </c>
      <c r="AX640" s="76"/>
      <c r="AY640" s="76"/>
    </row>
    <row r="641" spans="1:61" s="337" customFormat="1" x14ac:dyDescent="0.25">
      <c r="A641" s="18"/>
      <c r="B641" s="679" t="s">
        <v>1053</v>
      </c>
      <c r="C641" s="21" t="s">
        <v>258</v>
      </c>
      <c r="D641" s="21"/>
      <c r="E641" s="21"/>
      <c r="F641" s="21"/>
      <c r="G641" s="21"/>
      <c r="H641" s="758"/>
      <c r="I641" s="129"/>
      <c r="J641" s="543" t="s">
        <v>258</v>
      </c>
      <c r="K641" s="448"/>
      <c r="L641" s="1754" t="s">
        <v>3549</v>
      </c>
      <c r="M641" s="1758">
        <v>5</v>
      </c>
      <c r="N641" s="4"/>
      <c r="O641" s="141"/>
      <c r="X641" s="1757"/>
      <c r="Y641" s="780"/>
      <c r="AA641" s="783"/>
      <c r="AL641" s="254" t="str">
        <f>SUBSTITUTE(SUBSTITUTE(SUBSTITUTE("dpa"&amp;$B641&amp;$C641&amp;$D641&amp;$E641,".","_"),"(","_"),")","")</f>
        <v>dpa705_6_2_3_2</v>
      </c>
      <c r="AM641" s="254">
        <f>M641</f>
        <v>5</v>
      </c>
      <c r="AX641" s="76"/>
      <c r="AY641" s="76"/>
    </row>
    <row r="642" spans="1:61" s="337" customFormat="1" x14ac:dyDescent="0.25">
      <c r="A642" s="18"/>
      <c r="B642" s="679" t="s">
        <v>1053</v>
      </c>
      <c r="C642" s="90"/>
      <c r="D642" s="21"/>
      <c r="E642" s="21"/>
      <c r="F642" s="21"/>
      <c r="G642" s="21"/>
      <c r="H642" s="758"/>
      <c r="I642" s="210"/>
      <c r="J642" s="178"/>
      <c r="K642" s="449"/>
      <c r="L642" s="1755"/>
      <c r="M642" s="1759"/>
      <c r="N642" s="4"/>
      <c r="O642" s="503"/>
      <c r="X642" s="1757"/>
      <c r="Y642" s="780"/>
      <c r="AA642" s="783"/>
      <c r="AX642" s="76"/>
      <c r="AY642" s="76"/>
    </row>
    <row r="643" spans="1:61" s="337" customFormat="1" x14ac:dyDescent="0.25">
      <c r="A643" s="18"/>
      <c r="B643" s="679" t="s">
        <v>3546</v>
      </c>
      <c r="C643" s="90"/>
      <c r="D643" s="21"/>
      <c r="E643" s="21"/>
      <c r="F643" s="21"/>
      <c r="G643" s="21"/>
      <c r="H643" s="758"/>
      <c r="I643" s="66" t="s">
        <v>3546</v>
      </c>
      <c r="J643" s="340"/>
      <c r="K643" s="340"/>
      <c r="L643" s="1884" t="s">
        <v>3550</v>
      </c>
      <c r="M643" s="1767">
        <v>1</v>
      </c>
      <c r="N643" s="4"/>
      <c r="O643" s="1780">
        <f>M643*S643*W643*NOT(W645)</f>
        <v>0</v>
      </c>
      <c r="P643" s="94" t="b">
        <v>1</v>
      </c>
      <c r="Q643" s="94" t="b">
        <v>0</v>
      </c>
      <c r="R643" s="337" t="b">
        <v>0</v>
      </c>
      <c r="S643" s="383" t="b">
        <v>1</v>
      </c>
      <c r="T643" s="94" t="b">
        <v>0</v>
      </c>
      <c r="W643" s="25"/>
      <c r="Y643" s="780"/>
      <c r="AA643" s="783"/>
      <c r="AC643" s="417"/>
      <c r="AD643" s="417"/>
      <c r="AE643" s="417"/>
      <c r="AL643" s="254" t="str">
        <f>SUBSTITUTE(SUBSTITUTE(SUBSTITUTE("dpa"&amp;$B643&amp;$C643&amp;$D643&amp;$E643,".","_"),"(","_"),")","")</f>
        <v>dpa705_6_3</v>
      </c>
      <c r="AM643" s="254">
        <f>M643</f>
        <v>1</v>
      </c>
      <c r="AN643" s="254" t="str">
        <f>SUBSTITUTE(SUBSTITUTE(SUBSTITUTE("dpc"&amp;$B643&amp;$C643&amp;$D643&amp;$E643,".","_"),"(","_"),")","")</f>
        <v>dpc705_6_3</v>
      </c>
      <c r="AO643" s="254">
        <f>O643</f>
        <v>0</v>
      </c>
      <c r="AP643" s="254" t="str">
        <f>SUBSTITUTE(SUBSTITUTE(SUBSTITUTE("dch"&amp;$B643&amp;$C643&amp;$D643&amp;$E643,".","_"),"(","_"),")","")</f>
        <v>dch705_6_3</v>
      </c>
      <c r="AQ643" s="254" t="str">
        <f>IF(LEN(W643)=0,"",W643)</f>
        <v/>
      </c>
      <c r="AX643" s="76"/>
      <c r="AY643" s="76"/>
    </row>
    <row r="644" spans="1:61" s="337" customFormat="1" x14ac:dyDescent="0.25">
      <c r="A644" s="18"/>
      <c r="B644" s="679" t="s">
        <v>3546</v>
      </c>
      <c r="C644" s="90"/>
      <c r="D644" s="21"/>
      <c r="E644" s="21"/>
      <c r="F644" s="21"/>
      <c r="G644" s="21"/>
      <c r="H644" s="758"/>
      <c r="I644" s="4"/>
      <c r="J644" s="340"/>
      <c r="K644" s="340"/>
      <c r="L644" s="1884"/>
      <c r="M644" s="1767"/>
      <c r="N644" s="4"/>
      <c r="O644" s="1780"/>
      <c r="W644" s="337" t="s">
        <v>4102</v>
      </c>
      <c r="Y644" s="780"/>
      <c r="AA644" s="783"/>
      <c r="AP644" s="254"/>
      <c r="AQ644" s="254"/>
      <c r="AX644" s="76"/>
      <c r="AY644" s="76"/>
    </row>
    <row r="645" spans="1:61" s="337" customFormat="1" x14ac:dyDescent="0.25">
      <c r="A645" s="18"/>
      <c r="B645" s="679" t="s">
        <v>3546</v>
      </c>
      <c r="C645" s="21" t="s">
        <v>256</v>
      </c>
      <c r="D645" s="21"/>
      <c r="E645" s="21"/>
      <c r="F645" s="21"/>
      <c r="G645" s="21"/>
      <c r="H645" s="758"/>
      <c r="I645" s="4"/>
      <c r="J645" s="340"/>
      <c r="K645" s="340"/>
      <c r="L645" s="339" t="s">
        <v>1055</v>
      </c>
      <c r="M645" s="428"/>
      <c r="N645" s="4"/>
      <c r="O645" s="141"/>
      <c r="P645" s="94" t="b">
        <v>1</v>
      </c>
      <c r="Q645" s="94" t="b">
        <v>0</v>
      </c>
      <c r="R645" s="777" t="b">
        <v>0</v>
      </c>
      <c r="S645" s="777" t="b">
        <v>1</v>
      </c>
      <c r="T645" s="94" t="b">
        <v>0</v>
      </c>
      <c r="W645" s="25"/>
      <c r="Y645" s="780"/>
      <c r="AA645" s="783"/>
      <c r="AC645" s="777"/>
      <c r="AD645" s="777"/>
      <c r="AE645" s="777"/>
      <c r="AP645" s="254" t="str">
        <f>SUBSTITUTE(SUBSTITUTE(SUBSTITUTE("dch"&amp;$B645&amp;$C645&amp;$D645&amp;$E645,".","_"),"(","_"),")","")</f>
        <v>dch705_6_3_1</v>
      </c>
      <c r="AQ645" s="254" t="str">
        <f>IF(LEN(W645)=0,"",W645)</f>
        <v/>
      </c>
      <c r="AX645" s="76"/>
      <c r="AY645" s="76"/>
    </row>
    <row r="646" spans="1:61" x14ac:dyDescent="0.25">
      <c r="B646" s="679" t="s">
        <v>3546</v>
      </c>
      <c r="C646" s="21"/>
      <c r="D646" s="21" t="s">
        <v>121</v>
      </c>
      <c r="E646" s="21"/>
      <c r="F646" s="21"/>
      <c r="G646" s="21"/>
      <c r="H646" s="758"/>
      <c r="I646" s="4"/>
      <c r="J646" s="161"/>
      <c r="K646" s="230" t="s">
        <v>121</v>
      </c>
      <c r="L646" s="161" t="s">
        <v>1056</v>
      </c>
      <c r="M646" s="428"/>
      <c r="N646" s="4"/>
      <c r="O646" s="141"/>
      <c r="X646" s="418"/>
      <c r="AR646" s="254" t="str">
        <f t="shared" ref="AR646:AR652" si="18">SUBSTITUTE(SUBSTITUTE(SUBSTITUTE("dnt"&amp;$B646&amp;$C646&amp;$D646&amp;$E646,".","_"),"(","_"),")","")</f>
        <v>dnt705_6_3_a</v>
      </c>
      <c r="AS646" s="254" t="str">
        <f t="shared" ref="AS646:AS652" si="19">IF(LEN(X646)=0,"",X646)</f>
        <v/>
      </c>
      <c r="AX646" s="159"/>
      <c r="AY646" s="159"/>
      <c r="AZ646" s="337"/>
      <c r="BA646" s="337"/>
      <c r="BB646" s="337"/>
      <c r="BC646" s="337"/>
      <c r="BD646" s="337"/>
      <c r="BE646" s="337"/>
      <c r="BF646" s="337"/>
      <c r="BG646" s="337"/>
      <c r="BH646" s="337"/>
      <c r="BI646" s="337"/>
    </row>
    <row r="647" spans="1:61" x14ac:dyDescent="0.25">
      <c r="B647" s="679" t="s">
        <v>3546</v>
      </c>
      <c r="C647" s="21"/>
      <c r="D647" s="21" t="s">
        <v>122</v>
      </c>
      <c r="E647" s="21"/>
      <c r="F647" s="21"/>
      <c r="G647" s="21"/>
      <c r="H647" s="758"/>
      <c r="I647" s="4"/>
      <c r="J647" s="161"/>
      <c r="K647" s="230" t="s">
        <v>122</v>
      </c>
      <c r="L647" s="848" t="s">
        <v>4339</v>
      </c>
      <c r="M647" s="428"/>
      <c r="N647" s="4"/>
      <c r="O647" s="141"/>
      <c r="X647" s="418"/>
      <c r="AR647" s="254" t="str">
        <f t="shared" si="18"/>
        <v>dnt705_6_3_b</v>
      </c>
      <c r="AS647" s="254" t="str">
        <f t="shared" si="19"/>
        <v/>
      </c>
    </row>
    <row r="648" spans="1:61" x14ac:dyDescent="0.25">
      <c r="B648" s="679" t="s">
        <v>3546</v>
      </c>
      <c r="C648" s="21"/>
      <c r="D648" s="26" t="s">
        <v>123</v>
      </c>
      <c r="E648" s="26"/>
      <c r="F648" s="26"/>
      <c r="G648" s="26"/>
      <c r="H648" s="759"/>
      <c r="I648" s="4"/>
      <c r="J648" s="161"/>
      <c r="K648" s="231" t="s">
        <v>123</v>
      </c>
      <c r="L648" s="161" t="s">
        <v>1057</v>
      </c>
      <c r="M648" s="428"/>
      <c r="N648" s="4"/>
      <c r="O648" s="141"/>
      <c r="X648" s="418"/>
      <c r="AR648" s="254" t="str">
        <f t="shared" si="18"/>
        <v>dnt705_6_3_c</v>
      </c>
      <c r="AS648" s="254" t="str">
        <f t="shared" si="19"/>
        <v/>
      </c>
    </row>
    <row r="649" spans="1:61" x14ac:dyDescent="0.25">
      <c r="B649" s="679" t="s">
        <v>3546</v>
      </c>
      <c r="C649" s="21"/>
      <c r="D649" s="21" t="s">
        <v>401</v>
      </c>
      <c r="E649" s="21"/>
      <c r="F649" s="21"/>
      <c r="G649" s="21"/>
      <c r="H649" s="758"/>
      <c r="I649" s="4"/>
      <c r="J649" s="161"/>
      <c r="K649" s="166" t="s">
        <v>401</v>
      </c>
      <c r="L649" s="161" t="s">
        <v>1058</v>
      </c>
      <c r="M649" s="428"/>
      <c r="N649" s="4"/>
      <c r="O649" s="141"/>
      <c r="X649" s="418"/>
      <c r="AR649" s="254" t="str">
        <f t="shared" si="18"/>
        <v>dnt705_6_3_d</v>
      </c>
      <c r="AS649" s="254" t="str">
        <f t="shared" si="19"/>
        <v/>
      </c>
      <c r="AX649" s="159"/>
      <c r="AY649" s="159"/>
    </row>
    <row r="650" spans="1:61" x14ac:dyDescent="0.25">
      <c r="B650" s="679" t="s">
        <v>3546</v>
      </c>
      <c r="C650" s="21"/>
      <c r="D650" s="21" t="s">
        <v>539</v>
      </c>
      <c r="E650" s="21"/>
      <c r="F650" s="21"/>
      <c r="G650" s="21"/>
      <c r="H650" s="758"/>
      <c r="I650" s="4"/>
      <c r="J650" s="161"/>
      <c r="K650" s="166" t="s">
        <v>539</v>
      </c>
      <c r="L650" s="161" t="s">
        <v>1059</v>
      </c>
      <c r="M650" s="428"/>
      <c r="N650" s="4"/>
      <c r="O650" s="141"/>
      <c r="X650" s="418"/>
      <c r="AR650" s="254" t="str">
        <f t="shared" si="18"/>
        <v>dnt705_6_3_e</v>
      </c>
      <c r="AS650" s="254" t="str">
        <f t="shared" si="19"/>
        <v/>
      </c>
    </row>
    <row r="651" spans="1:61" x14ac:dyDescent="0.25">
      <c r="B651" s="679" t="s">
        <v>3546</v>
      </c>
      <c r="C651" s="21"/>
      <c r="D651" s="26" t="s">
        <v>604</v>
      </c>
      <c r="E651" s="26"/>
      <c r="F651" s="26"/>
      <c r="G651" s="26"/>
      <c r="H651" s="759"/>
      <c r="I651" s="4"/>
      <c r="J651" s="161"/>
      <c r="K651" s="231" t="s">
        <v>604</v>
      </c>
      <c r="L651" s="161" t="s">
        <v>1060</v>
      </c>
      <c r="M651" s="428"/>
      <c r="N651" s="4"/>
      <c r="O651" s="141"/>
      <c r="X651" s="418"/>
      <c r="AR651" s="254" t="str">
        <f t="shared" si="18"/>
        <v>dnt705_6_3_f</v>
      </c>
      <c r="AS651" s="254" t="str">
        <f t="shared" si="19"/>
        <v/>
      </c>
    </row>
    <row r="652" spans="1:61" s="159" customFormat="1" x14ac:dyDescent="0.25">
      <c r="A652" s="18"/>
      <c r="B652" s="679" t="s">
        <v>3546</v>
      </c>
      <c r="C652" s="21"/>
      <c r="D652" s="21" t="s">
        <v>606</v>
      </c>
      <c r="E652" s="21"/>
      <c r="F652" s="21"/>
      <c r="G652" s="21"/>
      <c r="H652" s="758"/>
      <c r="I652" s="129"/>
      <c r="J652" s="448"/>
      <c r="K652" s="282" t="s">
        <v>606</v>
      </c>
      <c r="L652" s="1793" t="s">
        <v>1061</v>
      </c>
      <c r="M652" s="428"/>
      <c r="N652" s="4"/>
      <c r="O652" s="141"/>
      <c r="P652" s="76"/>
      <c r="Q652" s="76"/>
      <c r="R652" s="76"/>
      <c r="S652" s="76"/>
      <c r="T652" s="76"/>
      <c r="U652" s="76"/>
      <c r="V652" s="76"/>
      <c r="W652" s="76"/>
      <c r="X652" s="1757"/>
      <c r="Y652" s="780"/>
      <c r="Z652" s="76"/>
      <c r="AA652" s="783"/>
      <c r="AB652" s="76"/>
      <c r="AC652" s="76"/>
      <c r="AD652" s="76"/>
      <c r="AE652" s="76"/>
      <c r="AF652" s="76"/>
      <c r="AG652" s="76"/>
      <c r="AH652" s="76"/>
      <c r="AI652" s="76"/>
      <c r="AJ652" s="76"/>
      <c r="AK652" s="76"/>
      <c r="AL652" s="76"/>
      <c r="AM652" s="76"/>
      <c r="AN652" s="76"/>
      <c r="AO652" s="76"/>
      <c r="AP652" s="76"/>
      <c r="AQ652" s="76"/>
      <c r="AR652" s="254" t="str">
        <f t="shared" si="18"/>
        <v>dnt705_6_3_g</v>
      </c>
      <c r="AS652" s="254" t="str">
        <f t="shared" si="19"/>
        <v/>
      </c>
      <c r="AT652" s="76"/>
      <c r="AU652" s="76"/>
      <c r="AV652" s="76"/>
      <c r="AW652" s="76"/>
      <c r="AX652" s="76"/>
      <c r="AY652" s="76"/>
      <c r="AZ652" s="76"/>
      <c r="BA652" s="76"/>
      <c r="BB652" s="76"/>
      <c r="BC652" s="76"/>
      <c r="BD652" s="76"/>
      <c r="BE652" s="76"/>
      <c r="BF652" s="76"/>
      <c r="BG652" s="76"/>
      <c r="BH652" s="76"/>
      <c r="BI652" s="76"/>
    </row>
    <row r="653" spans="1:61" x14ac:dyDescent="0.25">
      <c r="B653" s="679" t="s">
        <v>3546</v>
      </c>
      <c r="C653" s="21"/>
      <c r="D653" s="21" t="s">
        <v>606</v>
      </c>
      <c r="E653" s="21"/>
      <c r="F653" s="21"/>
      <c r="G653" s="21"/>
      <c r="H653" s="758"/>
      <c r="I653" s="210"/>
      <c r="J653" s="449"/>
      <c r="K653" s="532"/>
      <c r="L653" s="1761"/>
      <c r="M653" s="428"/>
      <c r="N653" s="4"/>
      <c r="O653" s="141"/>
      <c r="P653" s="159"/>
      <c r="Q653" s="159"/>
      <c r="R653" s="159"/>
      <c r="S653" s="159"/>
      <c r="T653" s="159"/>
      <c r="U653" s="159"/>
      <c r="V653" s="159"/>
      <c r="W653" s="159"/>
      <c r="X653" s="1757"/>
      <c r="Z653" s="159"/>
      <c r="AB653" s="159"/>
      <c r="AC653" s="159"/>
      <c r="AD653" s="159"/>
      <c r="AE653" s="159"/>
      <c r="AF653" s="159"/>
      <c r="AG653" s="159"/>
      <c r="AH653" s="159"/>
      <c r="AI653" s="159"/>
      <c r="AJ653" s="159"/>
      <c r="AK653" s="159"/>
      <c r="AL653" s="159"/>
      <c r="AM653" s="159"/>
      <c r="AN653" s="159"/>
      <c r="AO653" s="159"/>
      <c r="AP653" s="159"/>
      <c r="AQ653" s="159"/>
      <c r="AR653" s="159"/>
      <c r="AS653" s="159"/>
      <c r="AT653" s="159"/>
      <c r="AU653" s="159"/>
      <c r="AV653" s="159"/>
      <c r="AW653" s="159"/>
      <c r="AX653" s="816"/>
      <c r="AY653" s="816"/>
      <c r="AZ653" s="159"/>
      <c r="BA653" s="159"/>
      <c r="BB653" s="159"/>
      <c r="BC653" s="159"/>
      <c r="BD653" s="159"/>
      <c r="BE653" s="159"/>
      <c r="BF653" s="159"/>
      <c r="BG653" s="159"/>
      <c r="BH653" s="159"/>
      <c r="BI653" s="159"/>
    </row>
    <row r="654" spans="1:61" x14ac:dyDescent="0.25">
      <c r="B654" s="679" t="s">
        <v>1062</v>
      </c>
      <c r="C654" s="90"/>
      <c r="D654" s="21"/>
      <c r="E654" s="21"/>
      <c r="F654" s="21"/>
      <c r="G654" s="21"/>
      <c r="H654" s="758"/>
      <c r="I654" s="66" t="s">
        <v>1062</v>
      </c>
      <c r="J654" s="161"/>
      <c r="K654" s="161"/>
      <c r="L654" s="235" t="s">
        <v>1063</v>
      </c>
      <c r="M654" s="428"/>
      <c r="N654" s="4"/>
      <c r="O654" s="141"/>
      <c r="AX654" s="816"/>
      <c r="AY654" s="816"/>
    </row>
    <row r="655" spans="1:61" s="159" customFormat="1" x14ac:dyDescent="0.25">
      <c r="A655" s="18"/>
      <c r="B655" s="679" t="s">
        <v>1064</v>
      </c>
      <c r="C655" s="90"/>
      <c r="D655" s="21"/>
      <c r="E655" s="21"/>
      <c r="F655" s="21"/>
      <c r="G655" s="21"/>
      <c r="H655" s="758"/>
      <c r="I655" s="510" t="s">
        <v>1064</v>
      </c>
      <c r="J655" s="448"/>
      <c r="K655" s="448"/>
      <c r="L655" s="1902" t="s">
        <v>1065</v>
      </c>
      <c r="M655" s="1758">
        <v>1</v>
      </c>
      <c r="N655" s="129"/>
      <c r="O655" s="1774">
        <f ca="1">M655*S655*W655</f>
        <v>0</v>
      </c>
      <c r="P655" s="94" t="b">
        <v>1</v>
      </c>
      <c r="Q655" s="94" t="b">
        <v>1</v>
      </c>
      <c r="R655" s="94" t="b">
        <v>0</v>
      </c>
      <c r="S655" s="94" t="b">
        <f ca="1">IF(AY19=INDEX(INDIRECT("ddSingleOrMulti"),1),TRUE,FALSE)</f>
        <v>1</v>
      </c>
      <c r="T655" s="94" t="b">
        <f ca="1">AND(NOT(S655),W655=TRUE)</f>
        <v>0</v>
      </c>
      <c r="U655" s="94"/>
      <c r="V655" s="94"/>
      <c r="W655" s="360"/>
      <c r="X655" s="1757"/>
      <c r="Y655" s="780"/>
      <c r="Z655" s="76"/>
      <c r="AA655" s="783"/>
      <c r="AB655" s="76"/>
      <c r="AC655" s="378" t="b">
        <f ca="1">OR(AD655:AE655)</f>
        <v>0</v>
      </c>
      <c r="AD655" s="378" t="b">
        <f ca="1">T655</f>
        <v>0</v>
      </c>
      <c r="AE655" s="76"/>
      <c r="AF655" s="76"/>
      <c r="AG655" s="76"/>
      <c r="AH655" s="76"/>
      <c r="AI655" s="76"/>
      <c r="AJ655" s="76"/>
      <c r="AK655" s="76"/>
      <c r="AL655" s="254" t="str">
        <f>SUBSTITUTE(SUBSTITUTE(SUBSTITUTE("dpa"&amp;$B655&amp;$C655&amp;$D655&amp;$E655,".","_"),"(","_"),")","")</f>
        <v>dpa705_6_4_1</v>
      </c>
      <c r="AM655" s="254">
        <f>M655</f>
        <v>1</v>
      </c>
      <c r="AN655" s="254" t="str">
        <f>SUBSTITUTE(SUBSTITUTE(SUBSTITUTE("dpc"&amp;$B655&amp;$C655&amp;$D655&amp;$E655,".","_"),"(","_"),")","")</f>
        <v>dpc705_6_4_1</v>
      </c>
      <c r="AO655" s="254">
        <f ca="1">O655</f>
        <v>0</v>
      </c>
      <c r="AP655" s="254" t="str">
        <f>SUBSTITUTE(SUBSTITUTE(SUBSTITUTE("dch"&amp;$B655&amp;$C655&amp;$D655&amp;$E655,".","_"),"(","_"),")","")</f>
        <v>dch705_6_4_1</v>
      </c>
      <c r="AQ655" s="254" t="str">
        <f>IF(LEN(W655)=0,"",W655)</f>
        <v/>
      </c>
      <c r="AR655" s="254" t="str">
        <f>SUBSTITUTE(SUBSTITUTE(SUBSTITUTE("dnt"&amp;$B655&amp;$C655&amp;$D655&amp;$E655,".","_"),"(","_"),")","")</f>
        <v>dnt705_6_4_1</v>
      </c>
      <c r="AS655" s="254" t="str">
        <f>IF(LEN(X655)=0,"",X655)</f>
        <v/>
      </c>
      <c r="AT655" s="76"/>
      <c r="AU655" s="76"/>
      <c r="AV655" s="76"/>
      <c r="AW655" s="76"/>
      <c r="AX655" s="76"/>
      <c r="AY655" s="76"/>
      <c r="AZ655" s="76"/>
      <c r="BA655" s="76"/>
      <c r="BB655" s="76"/>
      <c r="BC655" s="76"/>
      <c r="BD655" s="76"/>
      <c r="BE655" s="76"/>
      <c r="BF655" s="76"/>
      <c r="BG655" s="76"/>
      <c r="BH655" s="76"/>
      <c r="BI655" s="76"/>
    </row>
    <row r="656" spans="1:61" x14ac:dyDescent="0.25">
      <c r="B656" s="679" t="s">
        <v>1064</v>
      </c>
      <c r="C656" s="90"/>
      <c r="D656" s="21"/>
      <c r="E656" s="21"/>
      <c r="F656" s="21"/>
      <c r="G656" s="21"/>
      <c r="H656" s="758"/>
      <c r="I656" s="534"/>
      <c r="J656" s="449"/>
      <c r="K656" s="449"/>
      <c r="L656" s="1903"/>
      <c r="M656" s="1759"/>
      <c r="N656" s="210"/>
      <c r="O656" s="1764"/>
      <c r="P656" s="178"/>
      <c r="Q656" s="178"/>
      <c r="R656" s="178"/>
      <c r="S656" s="178"/>
      <c r="T656" s="178"/>
      <c r="U656" s="178"/>
      <c r="V656" s="178"/>
      <c r="W656" s="538"/>
      <c r="X656" s="1757"/>
      <c r="Z656" s="159"/>
      <c r="AB656" s="159"/>
      <c r="AC656" s="159"/>
      <c r="AD656" s="159"/>
      <c r="AE656" s="159"/>
      <c r="AF656" s="159"/>
      <c r="AG656" s="159"/>
      <c r="AH656" s="159"/>
      <c r="AI656" s="159"/>
      <c r="AJ656" s="159"/>
      <c r="AK656" s="159"/>
      <c r="AL656" s="159"/>
      <c r="AM656" s="159"/>
      <c r="AN656" s="159"/>
      <c r="AO656" s="159"/>
      <c r="AP656" s="159"/>
      <c r="AQ656" s="159"/>
      <c r="AR656" s="159"/>
      <c r="AS656" s="159"/>
      <c r="AT656" s="159"/>
      <c r="AU656" s="159"/>
      <c r="AV656" s="159"/>
      <c r="AW656" s="159"/>
      <c r="AZ656" s="159"/>
      <c r="BA656" s="159"/>
      <c r="BB656" s="159"/>
      <c r="BC656" s="159"/>
      <c r="BD656" s="159"/>
      <c r="BE656" s="159"/>
      <c r="BF656" s="159"/>
      <c r="BG656" s="159"/>
      <c r="BH656" s="159"/>
      <c r="BI656" s="159"/>
    </row>
    <row r="657" spans="1:61" ht="15" customHeight="1" x14ac:dyDescent="0.25">
      <c r="B657" s="679" t="s">
        <v>1066</v>
      </c>
      <c r="C657" s="90"/>
      <c r="D657" s="21"/>
      <c r="E657" s="21"/>
      <c r="F657" s="21"/>
      <c r="G657" s="21"/>
      <c r="H657" s="758"/>
      <c r="I657" s="510" t="s">
        <v>1066</v>
      </c>
      <c r="J657" s="448"/>
      <c r="K657" s="448"/>
      <c r="L657" s="1835" t="s">
        <v>4340</v>
      </c>
      <c r="M657" s="1758">
        <v>2</v>
      </c>
      <c r="N657" s="129"/>
      <c r="O657" s="1774">
        <f ca="1">M657*S657*W657</f>
        <v>0</v>
      </c>
      <c r="P657" s="94" t="b">
        <v>1</v>
      </c>
      <c r="Q657" s="94" t="b">
        <v>1</v>
      </c>
      <c r="R657" s="94" t="b">
        <v>0</v>
      </c>
      <c r="S657" s="94" t="b">
        <f ca="1">IF(AY19=INDEX(INDIRECT("ddSingleOrMulti"),2),TRUE,FALSE)</f>
        <v>0</v>
      </c>
      <c r="T657" s="94" t="b">
        <f ca="1">AND(NOT(S657),W657=TRUE)</f>
        <v>0</v>
      </c>
      <c r="U657" s="94"/>
      <c r="V657" s="94"/>
      <c r="W657" s="117"/>
      <c r="X657" s="1770"/>
      <c r="AC657" s="378" t="b">
        <f ca="1">OR(AD657:AE657)</f>
        <v>0</v>
      </c>
      <c r="AD657" s="378" t="b">
        <f ca="1">T657</f>
        <v>0</v>
      </c>
      <c r="AL657" s="254" t="str">
        <f>SUBSTITUTE(SUBSTITUTE(SUBSTITUTE("dpa"&amp;$B657&amp;$C657&amp;$D657&amp;$E657,".","_"),"(","_"),")","")</f>
        <v>dpa705_6_4_2</v>
      </c>
      <c r="AM657" s="254">
        <f>M657</f>
        <v>2</v>
      </c>
      <c r="AN657" s="254" t="str">
        <f>SUBSTITUTE(SUBSTITUTE(SUBSTITUTE("dpc"&amp;$B657&amp;$C657&amp;$D657&amp;$E657,".","_"),"(","_"),")","")</f>
        <v>dpc705_6_4_2</v>
      </c>
      <c r="AO657" s="254">
        <f ca="1">O657</f>
        <v>0</v>
      </c>
      <c r="AP657" s="254" t="str">
        <f>SUBSTITUTE(SUBSTITUTE(SUBSTITUTE("dch"&amp;$B657&amp;$C657&amp;$D657&amp;$E657,".","_"),"(","_"),")","")</f>
        <v>dch705_6_4_2</v>
      </c>
      <c r="AQ657" s="254" t="str">
        <f>IF(LEN(W657)=0,"",W657)</f>
        <v/>
      </c>
      <c r="AR657" s="254" t="str">
        <f>SUBSTITUTE(SUBSTITUTE(SUBSTITUTE("dnt"&amp;$B657&amp;$C657&amp;$D657&amp;$E657,".","_"),"(","_"),")","")</f>
        <v>dnt705_6_4_2</v>
      </c>
      <c r="AS657" s="254" t="str">
        <f>IF(LEN(X657)=0,"",X657)</f>
        <v/>
      </c>
    </row>
    <row r="658" spans="1:61" ht="15.75" thickBot="1" x14ac:dyDescent="0.3">
      <c r="B658" s="679" t="s">
        <v>1066</v>
      </c>
      <c r="C658" s="90"/>
      <c r="D658" s="21"/>
      <c r="E658" s="21"/>
      <c r="F658" s="21"/>
      <c r="G658" s="21"/>
      <c r="H658" s="758"/>
      <c r="I658" s="240"/>
      <c r="J658" s="462"/>
      <c r="K658" s="462"/>
      <c r="L658" s="1900"/>
      <c r="M658" s="1768"/>
      <c r="N658" s="240"/>
      <c r="O658" s="1775"/>
      <c r="P658" s="99"/>
      <c r="Q658" s="99"/>
      <c r="R658" s="99"/>
      <c r="S658" s="99"/>
      <c r="T658" s="99"/>
      <c r="U658" s="99"/>
      <c r="V658" s="99"/>
      <c r="W658" s="99"/>
      <c r="X658" s="1771"/>
      <c r="AX658" s="273"/>
      <c r="AY658" s="273"/>
    </row>
    <row r="659" spans="1:61" ht="15.75" thickTop="1" x14ac:dyDescent="0.25">
      <c r="B659" s="679">
        <v>705.7</v>
      </c>
      <c r="C659" s="90"/>
      <c r="D659" s="21"/>
      <c r="E659" s="21"/>
      <c r="F659" s="21"/>
      <c r="G659" s="21"/>
      <c r="H659" s="758"/>
      <c r="I659" s="64">
        <v>705.7</v>
      </c>
      <c r="J659" s="161"/>
      <c r="K659" s="161"/>
      <c r="L659" s="1901" t="s">
        <v>1067</v>
      </c>
      <c r="M659" s="1767">
        <v>1</v>
      </c>
      <c r="N659" s="4"/>
      <c r="O659" s="1780">
        <f ca="1">M659*S659*W659</f>
        <v>0</v>
      </c>
      <c r="P659" s="94" t="b">
        <v>0</v>
      </c>
      <c r="Q659" s="94" t="b">
        <v>1</v>
      </c>
      <c r="R659" s="134" t="b">
        <v>0</v>
      </c>
      <c r="S659" s="378" t="b">
        <f ca="1">IF(AY19=INDEX(INDIRECT("ddSingleOrMulti"),2),TRUE,FALSE)</f>
        <v>0</v>
      </c>
      <c r="T659" s="94" t="b">
        <f ca="1">AND(NOT(S659),W659=TRUE)</f>
        <v>0</v>
      </c>
      <c r="W659" s="117"/>
      <c r="X659" s="1756"/>
      <c r="AC659" s="378" t="b">
        <f ca="1">OR(AD659:AE659)</f>
        <v>0</v>
      </c>
      <c r="AD659" s="378" t="b">
        <f ca="1">T659</f>
        <v>0</v>
      </c>
      <c r="AL659" s="254" t="str">
        <f>SUBSTITUTE(SUBSTITUTE(SUBSTITUTE("dpa"&amp;$B659&amp;$C659&amp;$D659&amp;$E659,".","_"),"(","_"),")","")</f>
        <v>dpa705_7</v>
      </c>
      <c r="AM659" s="254">
        <f>M659</f>
        <v>1</v>
      </c>
      <c r="AN659" s="254" t="str">
        <f>SUBSTITUTE(SUBSTITUTE(SUBSTITUTE("dpc"&amp;$B659&amp;$C659&amp;$D659&amp;$E659,".","_"),"(","_"),")","")</f>
        <v>dpc705_7</v>
      </c>
      <c r="AO659" s="254">
        <f ca="1">O659</f>
        <v>0</v>
      </c>
      <c r="AP659" s="254" t="str">
        <f>SUBSTITUTE(SUBSTITUTE(SUBSTITUTE("dch"&amp;$B659&amp;$C659&amp;$D659&amp;$E659,".","_"),"(","_"),")","")</f>
        <v>dch705_7</v>
      </c>
      <c r="AQ659" s="254" t="str">
        <f>IF(LEN(W659)=0,"",W659)</f>
        <v/>
      </c>
      <c r="AR659" s="254" t="str">
        <f>SUBSTITUTE(SUBSTITUTE(SUBSTITUTE("dnt"&amp;$B659&amp;$C659&amp;$D659&amp;$E659,".","_"),"(","_"),")","")</f>
        <v>dnt705_7</v>
      </c>
      <c r="AS659" s="254" t="str">
        <f>IF(LEN(X659)=0,"",X659)</f>
        <v/>
      </c>
    </row>
    <row r="660" spans="1:61" x14ac:dyDescent="0.25">
      <c r="B660" s="679">
        <v>705.7</v>
      </c>
      <c r="C660" s="90"/>
      <c r="D660" s="21"/>
      <c r="E660" s="21"/>
      <c r="F660" s="21"/>
      <c r="G660" s="21"/>
      <c r="H660" s="758"/>
      <c r="I660" s="4"/>
      <c r="J660" s="161"/>
      <c r="K660" s="161"/>
      <c r="L660" s="1901"/>
      <c r="M660" s="1767"/>
      <c r="N660" s="4"/>
      <c r="O660" s="1780"/>
      <c r="X660" s="1757"/>
    </row>
    <row r="661" spans="1:61" x14ac:dyDescent="0.25">
      <c r="B661" s="679">
        <v>705.7</v>
      </c>
      <c r="C661" s="90"/>
      <c r="D661" s="21"/>
      <c r="E661" s="21"/>
      <c r="F661" s="21"/>
      <c r="G661" s="21"/>
      <c r="H661" s="758"/>
      <c r="I661" s="4"/>
      <c r="J661" s="161"/>
      <c r="K661" s="161"/>
      <c r="L661" s="1901"/>
      <c r="M661" s="1767"/>
      <c r="N661" s="4"/>
      <c r="O661" s="1780"/>
      <c r="X661" s="1757"/>
    </row>
    <row r="662" spans="1:61" x14ac:dyDescent="0.25">
      <c r="B662" s="679">
        <v>705.7</v>
      </c>
      <c r="C662" s="90"/>
      <c r="D662" s="21"/>
      <c r="E662" s="21"/>
      <c r="F662" s="21"/>
      <c r="G662" s="21"/>
      <c r="H662" s="758"/>
      <c r="I662" s="4"/>
      <c r="J662" s="161"/>
      <c r="K662" s="161"/>
      <c r="L662" s="1901"/>
      <c r="M662" s="1767"/>
      <c r="N662" s="4"/>
      <c r="O662" s="1780"/>
      <c r="X662" s="1757"/>
    </row>
    <row r="663" spans="1:61" ht="18.75" x14ac:dyDescent="0.3">
      <c r="B663" s="679">
        <v>706</v>
      </c>
      <c r="C663" s="90"/>
      <c r="D663" s="21"/>
      <c r="E663" s="21"/>
      <c r="F663" s="21"/>
      <c r="G663" s="21"/>
      <c r="H663" s="758"/>
      <c r="I663" s="14" t="s">
        <v>1068</v>
      </c>
      <c r="J663" s="84"/>
      <c r="K663" s="84"/>
      <c r="L663" s="84"/>
      <c r="M663" s="390"/>
      <c r="N663" s="508"/>
      <c r="O663" s="498"/>
      <c r="P663" s="23"/>
      <c r="Q663" s="23"/>
      <c r="R663" s="23"/>
      <c r="S663" s="23"/>
      <c r="T663" s="23"/>
      <c r="U663" s="23"/>
      <c r="V663" s="23"/>
      <c r="W663" s="23"/>
      <c r="X663" s="23"/>
      <c r="AX663" s="159"/>
      <c r="AY663" s="159"/>
    </row>
    <row r="664" spans="1:61" ht="15" customHeight="1" x14ac:dyDescent="0.25">
      <c r="B664" s="679">
        <v>706.1</v>
      </c>
      <c r="C664" s="90"/>
      <c r="D664" s="21"/>
      <c r="E664" s="21"/>
      <c r="F664" s="21"/>
      <c r="G664" s="21"/>
      <c r="H664" s="758"/>
      <c r="I664" s="64">
        <v>706.1</v>
      </c>
      <c r="J664" s="161"/>
      <c r="K664" s="161"/>
      <c r="L664" s="1833" t="s">
        <v>4341</v>
      </c>
      <c r="M664" s="1767" t="s">
        <v>793</v>
      </c>
      <c r="N664" s="4"/>
      <c r="O664" s="1780">
        <f>MIN(3,(M666*S666*W666+M667*S667*W667+M668*S668*W668+M669*S669*W669+M671*S671*W671))</f>
        <v>0</v>
      </c>
      <c r="AL664" s="254" t="str">
        <f>SUBSTITUTE(SUBSTITUTE(SUBSTITUTE("dpa"&amp;$B664&amp;$C664&amp;$D664&amp;$E664,".","_"),"(","_"),")","")</f>
        <v>dpa706_1</v>
      </c>
      <c r="AM664" s="254" t="str">
        <f>M664</f>
        <v>3 Max</v>
      </c>
      <c r="AN664" s="254" t="str">
        <f>SUBSTITUTE(SUBSTITUTE(SUBSTITUTE("dpc"&amp;$B664&amp;$C664&amp;$D664&amp;$E664,".","_"),"(","_"),")","")</f>
        <v>dpc706_1</v>
      </c>
      <c r="AO664" s="254">
        <f>O664</f>
        <v>0</v>
      </c>
    </row>
    <row r="665" spans="1:61" x14ac:dyDescent="0.25">
      <c r="B665" s="679">
        <v>706.1</v>
      </c>
      <c r="C665" s="90"/>
      <c r="D665" s="21"/>
      <c r="E665" s="21"/>
      <c r="F665" s="21"/>
      <c r="G665" s="21"/>
      <c r="H665" s="758"/>
      <c r="I665" s="4"/>
      <c r="J665" s="161"/>
      <c r="K665" s="161"/>
      <c r="L665" s="1833"/>
      <c r="M665" s="1767"/>
      <c r="N665" s="4"/>
      <c r="O665" s="1780"/>
    </row>
    <row r="666" spans="1:61" x14ac:dyDescent="0.25">
      <c r="B666" s="679">
        <v>706.1</v>
      </c>
      <c r="C666" s="21" t="s">
        <v>256</v>
      </c>
      <c r="D666" s="21"/>
      <c r="E666" s="21"/>
      <c r="F666" s="21"/>
      <c r="G666" s="21"/>
      <c r="H666" s="758"/>
      <c r="I666" s="4"/>
      <c r="J666" s="544" t="s">
        <v>256</v>
      </c>
      <c r="K666" s="449"/>
      <c r="L666" s="449" t="s">
        <v>1069</v>
      </c>
      <c r="M666" s="453">
        <v>1</v>
      </c>
      <c r="N666" s="4"/>
      <c r="O666" s="141"/>
      <c r="Q666" s="94" t="b">
        <v>1</v>
      </c>
      <c r="R666" s="134" t="b">
        <v>0</v>
      </c>
      <c r="S666" s="383" t="b">
        <v>1</v>
      </c>
      <c r="T666" s="94" t="b">
        <v>0</v>
      </c>
      <c r="W666" s="25"/>
      <c r="X666" s="418"/>
      <c r="AC666" s="371"/>
      <c r="AD666" s="371"/>
      <c r="AE666" s="371"/>
      <c r="AL666" s="254" t="str">
        <f>SUBSTITUTE(SUBSTITUTE(SUBSTITUTE("dpa"&amp;$B666&amp;$C666&amp;$D666&amp;$E666,".","_"),"(","_"),")","")</f>
        <v>dpa706_1_1</v>
      </c>
      <c r="AM666" s="254">
        <f>M666</f>
        <v>1</v>
      </c>
      <c r="AP666" s="254" t="str">
        <f>SUBSTITUTE(SUBSTITUTE(SUBSTITUTE("dch"&amp;$B666&amp;$C666&amp;$D666&amp;$E666,".","_"),"(","_"),")","")</f>
        <v>dch706_1_1</v>
      </c>
      <c r="AQ666" s="254" t="str">
        <f>IF(LEN(W666)=0,"",W666)</f>
        <v/>
      </c>
      <c r="AR666" s="254" t="str">
        <f>SUBSTITUTE(SUBSTITUTE(SUBSTITUTE("dnt"&amp;$B666&amp;$C666&amp;$D666&amp;$E666,".","_"),"(","_"),")","")</f>
        <v>dnt706_1_1</v>
      </c>
      <c r="AS666" s="254" t="str">
        <f>IF(LEN(X666)=0,"",X666)</f>
        <v/>
      </c>
    </row>
    <row r="667" spans="1:61" x14ac:dyDescent="0.25">
      <c r="B667" s="679">
        <v>706.1</v>
      </c>
      <c r="C667" s="21" t="s">
        <v>258</v>
      </c>
      <c r="D667" s="21"/>
      <c r="E667" s="21"/>
      <c r="F667" s="21"/>
      <c r="G667" s="21"/>
      <c r="H667" s="758"/>
      <c r="I667" s="4"/>
      <c r="J667" s="555" t="s">
        <v>258</v>
      </c>
      <c r="K667" s="280"/>
      <c r="L667" s="280" t="s">
        <v>1070</v>
      </c>
      <c r="M667" s="475">
        <v>1</v>
      </c>
      <c r="N667" s="4"/>
      <c r="O667" s="141"/>
      <c r="Q667" s="94" t="b">
        <v>1</v>
      </c>
      <c r="R667" s="134" t="b">
        <v>0</v>
      </c>
      <c r="S667" s="383" t="b">
        <v>1</v>
      </c>
      <c r="T667" s="94" t="b">
        <v>0</v>
      </c>
      <c r="W667" s="25"/>
      <c r="X667" s="418"/>
      <c r="AC667" s="371"/>
      <c r="AD667" s="371"/>
      <c r="AE667" s="371"/>
      <c r="AL667" s="254" t="str">
        <f>SUBSTITUTE(SUBSTITUTE(SUBSTITUTE("dpa"&amp;$B667&amp;$C667&amp;$D667&amp;$E667,".","_"),"(","_"),")","")</f>
        <v>dpa706_1_2</v>
      </c>
      <c r="AM667" s="254">
        <f>M667</f>
        <v>1</v>
      </c>
      <c r="AP667" s="254" t="str">
        <f>SUBSTITUTE(SUBSTITUTE(SUBSTITUTE("dch"&amp;$B667&amp;$C667&amp;$D667&amp;$E667,".","_"),"(","_"),")","")</f>
        <v>dch706_1_2</v>
      </c>
      <c r="AQ667" s="254" t="str">
        <f>IF(LEN(W667)=0,"",W667)</f>
        <v/>
      </c>
      <c r="AR667" s="254" t="str">
        <f>SUBSTITUTE(SUBSTITUTE(SUBSTITUTE("dnt"&amp;$B667&amp;$C667&amp;$D667&amp;$E667,".","_"),"(","_"),")","")</f>
        <v>dnt706_1_2</v>
      </c>
      <c r="AS667" s="254" t="str">
        <f>IF(LEN(X667)=0,"",X667)</f>
        <v/>
      </c>
      <c r="AX667" s="159"/>
      <c r="AY667" s="159"/>
    </row>
    <row r="668" spans="1:61" x14ac:dyDescent="0.25">
      <c r="B668" s="679">
        <v>706.1</v>
      </c>
      <c r="C668" s="21" t="s">
        <v>260</v>
      </c>
      <c r="D668" s="21"/>
      <c r="E668" s="21"/>
      <c r="F668" s="21"/>
      <c r="G668" s="21"/>
      <c r="H668" s="758"/>
      <c r="I668" s="4"/>
      <c r="J668" s="555" t="s">
        <v>260</v>
      </c>
      <c r="K668" s="280"/>
      <c r="L668" s="280" t="s">
        <v>1071</v>
      </c>
      <c r="M668" s="475">
        <v>3</v>
      </c>
      <c r="N668" s="4"/>
      <c r="O668" s="141"/>
      <c r="Q668" s="94" t="b">
        <v>1</v>
      </c>
      <c r="R668" s="134" t="b">
        <v>0</v>
      </c>
      <c r="S668" s="383" t="b">
        <v>1</v>
      </c>
      <c r="T668" s="94" t="b">
        <v>0</v>
      </c>
      <c r="W668" s="25"/>
      <c r="X668" s="418"/>
      <c r="AC668" s="371"/>
      <c r="AD668" s="371"/>
      <c r="AE668" s="371"/>
      <c r="AL668" s="254" t="str">
        <f>SUBSTITUTE(SUBSTITUTE(SUBSTITUTE("dpa"&amp;$B668&amp;$C668&amp;$D668&amp;$E668,".","_"),"(","_"),")","")</f>
        <v>dpa706_1_3</v>
      </c>
      <c r="AM668" s="254">
        <f>M668</f>
        <v>3</v>
      </c>
      <c r="AP668" s="254" t="str">
        <f>SUBSTITUTE(SUBSTITUTE(SUBSTITUTE("dch"&amp;$B668&amp;$C668&amp;$D668&amp;$E668,".","_"),"(","_"),")","")</f>
        <v>dch706_1_3</v>
      </c>
      <c r="AQ668" s="254" t="str">
        <f>IF(LEN(W668)=0,"",W668)</f>
        <v/>
      </c>
      <c r="AR668" s="254" t="str">
        <f>SUBSTITUTE(SUBSTITUTE(SUBSTITUTE("dnt"&amp;$B668&amp;$C668&amp;$D668&amp;$E668,".","_"),"(","_"),")","")</f>
        <v>dnt706_1_3</v>
      </c>
      <c r="AS668" s="254" t="str">
        <f>IF(LEN(X668)=0,"",X668)</f>
        <v/>
      </c>
    </row>
    <row r="669" spans="1:61" s="159" customFormat="1" x14ac:dyDescent="0.25">
      <c r="A669" s="18"/>
      <c r="B669" s="679">
        <v>706.1</v>
      </c>
      <c r="C669" s="21" t="s">
        <v>269</v>
      </c>
      <c r="D669" s="21"/>
      <c r="E669" s="21"/>
      <c r="F669" s="21"/>
      <c r="G669" s="21"/>
      <c r="H669" s="758"/>
      <c r="I669" s="4"/>
      <c r="J669" s="556" t="s">
        <v>269</v>
      </c>
      <c r="K669" s="461"/>
      <c r="L669" s="1760" t="s">
        <v>1072</v>
      </c>
      <c r="M669" s="1762">
        <v>1</v>
      </c>
      <c r="N669" s="4"/>
      <c r="O669" s="141"/>
      <c r="P669" s="76"/>
      <c r="Q669" s="94" t="b">
        <v>1</v>
      </c>
      <c r="R669" s="134" t="b">
        <v>0</v>
      </c>
      <c r="S669" s="383" t="b">
        <v>1</v>
      </c>
      <c r="T669" s="94" t="b">
        <v>0</v>
      </c>
      <c r="U669" s="76"/>
      <c r="V669" s="76"/>
      <c r="W669" s="25"/>
      <c r="X669" s="1757"/>
      <c r="Y669" s="780"/>
      <c r="Z669" s="76"/>
      <c r="AA669" s="783"/>
      <c r="AB669" s="76"/>
      <c r="AC669" s="371"/>
      <c r="AD669" s="371"/>
      <c r="AE669" s="371"/>
      <c r="AF669" s="76"/>
      <c r="AG669" s="76"/>
      <c r="AH669" s="76"/>
      <c r="AI669" s="76"/>
      <c r="AJ669" s="76"/>
      <c r="AK669" s="76"/>
      <c r="AL669" s="254" t="str">
        <f>SUBSTITUTE(SUBSTITUTE(SUBSTITUTE("dpa"&amp;$B669&amp;$C669&amp;$D669&amp;$E669,".","_"),"(","_"),")","")</f>
        <v>dpa706_1_4</v>
      </c>
      <c r="AM669" s="254">
        <f>M669</f>
        <v>1</v>
      </c>
      <c r="AN669" s="76"/>
      <c r="AO669" s="76"/>
      <c r="AP669" s="254" t="str">
        <f>SUBSTITUTE(SUBSTITUTE(SUBSTITUTE("dch"&amp;$B669&amp;$C669&amp;$D669&amp;$E669,".","_"),"(","_"),")","")</f>
        <v>dch706_1_4</v>
      </c>
      <c r="AQ669" s="254" t="str">
        <f>IF(LEN(W669)=0,"",W669)</f>
        <v/>
      </c>
      <c r="AR669" s="254" t="str">
        <f>SUBSTITUTE(SUBSTITUTE(SUBSTITUTE("dnt"&amp;$B669&amp;$C669&amp;$D669&amp;$E669,".","_"),"(","_"),")","")</f>
        <v>dnt706_1_4</v>
      </c>
      <c r="AS669" s="254" t="str">
        <f>IF(LEN(X669)=0,"",X669)</f>
        <v/>
      </c>
      <c r="AT669" s="76"/>
      <c r="AU669" s="76"/>
      <c r="AV669" s="76"/>
      <c r="AW669" s="76"/>
      <c r="AZ669" s="76"/>
      <c r="BA669" s="76"/>
      <c r="BB669" s="76"/>
      <c r="BC669" s="76"/>
      <c r="BD669" s="76"/>
      <c r="BE669" s="76"/>
      <c r="BF669" s="76"/>
      <c r="BG669" s="76"/>
      <c r="BH669" s="76"/>
      <c r="BI669" s="76"/>
    </row>
    <row r="670" spans="1:61" x14ac:dyDescent="0.25">
      <c r="B670" s="679">
        <v>706.1</v>
      </c>
      <c r="C670" s="21" t="s">
        <v>269</v>
      </c>
      <c r="D670" s="21"/>
      <c r="E670" s="21"/>
      <c r="F670" s="21"/>
      <c r="G670" s="21"/>
      <c r="H670" s="758"/>
      <c r="I670" s="4"/>
      <c r="J670" s="544"/>
      <c r="K670" s="449"/>
      <c r="L670" s="1761"/>
      <c r="M670" s="1759"/>
      <c r="N670" s="4"/>
      <c r="O670" s="141"/>
      <c r="P670" s="159"/>
      <c r="Q670" s="159"/>
      <c r="R670" s="159"/>
      <c r="S670" s="159"/>
      <c r="T670" s="159"/>
      <c r="U670" s="159"/>
      <c r="V670" s="159"/>
      <c r="W670" s="159"/>
      <c r="X670" s="1757"/>
      <c r="Z670" s="159"/>
      <c r="AB670" s="159"/>
      <c r="AC670" s="159"/>
      <c r="AD670" s="159"/>
      <c r="AE670" s="159"/>
      <c r="AF670" s="159"/>
      <c r="AG670" s="159"/>
      <c r="AH670" s="159"/>
      <c r="AI670" s="159"/>
      <c r="AJ670" s="159"/>
      <c r="AK670" s="159"/>
      <c r="AL670" s="159"/>
      <c r="AM670" s="159"/>
      <c r="AN670" s="159"/>
      <c r="AO670" s="159"/>
      <c r="AP670" s="159"/>
      <c r="AQ670" s="159"/>
      <c r="AR670" s="159"/>
      <c r="AS670" s="159"/>
      <c r="AT670" s="159"/>
      <c r="AU670" s="159"/>
      <c r="AV670" s="159"/>
      <c r="AW670" s="159"/>
      <c r="AZ670" s="159"/>
      <c r="BA670" s="159"/>
      <c r="BB670" s="159"/>
      <c r="BC670" s="159"/>
      <c r="BD670" s="159"/>
      <c r="BE670" s="159"/>
      <c r="BF670" s="159"/>
      <c r="BG670" s="159"/>
      <c r="BH670" s="159"/>
      <c r="BI670" s="159"/>
    </row>
    <row r="671" spans="1:61" ht="15.75" thickBot="1" x14ac:dyDescent="0.3">
      <c r="B671" s="679">
        <v>706.1</v>
      </c>
      <c r="C671" s="21" t="s">
        <v>275</v>
      </c>
      <c r="D671" s="21"/>
      <c r="E671" s="21"/>
      <c r="F671" s="21"/>
      <c r="G671" s="21"/>
      <c r="H671" s="758"/>
      <c r="I671" s="240"/>
      <c r="J671" s="546" t="s">
        <v>275</v>
      </c>
      <c r="K671" s="462"/>
      <c r="L671" s="462" t="s">
        <v>1073</v>
      </c>
      <c r="M671" s="460">
        <v>1</v>
      </c>
      <c r="N671" s="240"/>
      <c r="O671" s="504"/>
      <c r="P671" s="94" t="b">
        <v>0</v>
      </c>
      <c r="Q671" s="94" t="b">
        <v>1</v>
      </c>
      <c r="R671" s="99" t="b">
        <v>0</v>
      </c>
      <c r="S671" s="99" t="b">
        <v>1</v>
      </c>
      <c r="T671" s="99" t="b">
        <v>0</v>
      </c>
      <c r="U671" s="99"/>
      <c r="V671" s="99"/>
      <c r="W671" s="100"/>
      <c r="X671" s="444"/>
      <c r="AC671" s="371"/>
      <c r="AD671" s="371"/>
      <c r="AE671" s="371"/>
      <c r="AL671" s="254" t="str">
        <f>SUBSTITUTE(SUBSTITUTE(SUBSTITUTE("dpa"&amp;$B671&amp;$C671&amp;$D671&amp;$E671,".","_"),"(","_"),")","")</f>
        <v>dpa706_1_5</v>
      </c>
      <c r="AM671" s="254">
        <f>M671</f>
        <v>1</v>
      </c>
      <c r="AP671" s="254" t="str">
        <f>SUBSTITUTE(SUBSTITUTE(SUBSTITUTE("dch"&amp;$B671&amp;$C671&amp;$D671&amp;$E671,".","_"),"(","_"),")","")</f>
        <v>dch706_1_5</v>
      </c>
      <c r="AQ671" s="254" t="str">
        <f>IF(LEN(W671)=0,"",W671)</f>
        <v/>
      </c>
      <c r="AR671" s="254" t="str">
        <f>SUBSTITUTE(SUBSTITUTE(SUBSTITUTE("dnt"&amp;$B671&amp;$C671&amp;$D671&amp;$E671,".","_"),"(","_"),")","")</f>
        <v>dnt706_1_5</v>
      </c>
      <c r="AS671" s="254" t="str">
        <f>IF(LEN(X671)=0,"",X671)</f>
        <v/>
      </c>
    </row>
    <row r="672" spans="1:61" s="159" customFormat="1" ht="15.75" thickTop="1" x14ac:dyDescent="0.25">
      <c r="A672" s="18"/>
      <c r="B672" s="679">
        <v>706.2</v>
      </c>
      <c r="C672" s="21"/>
      <c r="D672" s="21"/>
      <c r="E672" s="21"/>
      <c r="F672" s="21"/>
      <c r="G672" s="21"/>
      <c r="H672" s="758"/>
      <c r="I672" s="64">
        <v>706.2</v>
      </c>
      <c r="J672" s="161"/>
      <c r="K672" s="161"/>
      <c r="L672" s="1884" t="s">
        <v>1074</v>
      </c>
      <c r="M672" s="428"/>
      <c r="N672" s="4"/>
      <c r="O672" s="141"/>
      <c r="P672" s="76"/>
      <c r="Q672" s="76"/>
      <c r="R672" s="76"/>
      <c r="S672" s="76"/>
      <c r="T672" s="76"/>
      <c r="U672" s="76"/>
      <c r="V672" s="76"/>
      <c r="W672" s="76"/>
      <c r="X672" s="76"/>
      <c r="Y672" s="780"/>
      <c r="Z672" s="76"/>
      <c r="AA672" s="783"/>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c r="AY672" s="76"/>
      <c r="AZ672" s="76"/>
      <c r="BA672" s="76"/>
      <c r="BB672" s="76"/>
      <c r="BC672" s="76"/>
      <c r="BD672" s="76"/>
      <c r="BE672" s="76"/>
      <c r="BF672" s="76"/>
      <c r="BG672" s="76"/>
      <c r="BH672" s="76"/>
      <c r="BI672" s="76"/>
    </row>
    <row r="673" spans="1:61" x14ac:dyDescent="0.25">
      <c r="B673" s="679">
        <v>706.2</v>
      </c>
      <c r="C673" s="21"/>
      <c r="D673" s="21"/>
      <c r="E673" s="21"/>
      <c r="F673" s="21"/>
      <c r="G673" s="21"/>
      <c r="H673" s="758"/>
      <c r="I673" s="64"/>
      <c r="J673" s="161"/>
      <c r="K673" s="161"/>
      <c r="L673" s="1884"/>
      <c r="M673" s="428"/>
      <c r="N673" s="4"/>
      <c r="O673" s="141"/>
      <c r="P673" s="159"/>
      <c r="Q673" s="159"/>
      <c r="R673" s="159"/>
      <c r="S673" s="159"/>
      <c r="T673" s="159"/>
      <c r="U673" s="159"/>
      <c r="V673" s="159"/>
      <c r="W673" s="159"/>
      <c r="X673" s="159"/>
      <c r="Z673" s="159"/>
      <c r="AB673" s="159"/>
      <c r="AC673" s="159"/>
      <c r="AD673" s="159"/>
      <c r="AE673" s="159"/>
      <c r="AF673" s="159"/>
      <c r="AG673" s="159"/>
      <c r="AH673" s="159"/>
      <c r="AI673" s="159"/>
      <c r="AJ673" s="159"/>
      <c r="AK673" s="159"/>
      <c r="AL673" s="159"/>
      <c r="AM673" s="159"/>
      <c r="AN673" s="159"/>
      <c r="AO673" s="159"/>
      <c r="AP673" s="159"/>
      <c r="AQ673" s="159"/>
      <c r="AR673" s="159"/>
      <c r="AS673" s="159"/>
      <c r="AT673" s="159"/>
      <c r="AU673" s="159"/>
      <c r="AV673" s="159"/>
      <c r="AW673" s="159"/>
      <c r="AZ673" s="159"/>
      <c r="BA673" s="159"/>
      <c r="BB673" s="159"/>
      <c r="BC673" s="159"/>
      <c r="BD673" s="159"/>
      <c r="BE673" s="159"/>
      <c r="BF673" s="159"/>
      <c r="BG673" s="159"/>
      <c r="BH673" s="159"/>
      <c r="BI673" s="159"/>
    </row>
    <row r="674" spans="1:61" ht="15" customHeight="1" x14ac:dyDescent="0.25">
      <c r="B674" s="679">
        <v>706.2</v>
      </c>
      <c r="C674" s="21" t="s">
        <v>256</v>
      </c>
      <c r="D674" s="21"/>
      <c r="E674" s="21"/>
      <c r="F674" s="21"/>
      <c r="G674" s="21"/>
      <c r="H674" s="758"/>
      <c r="I674" s="4"/>
      <c r="J674" s="543" t="s">
        <v>256</v>
      </c>
      <c r="K674" s="448"/>
      <c r="L674" s="1765" t="s">
        <v>4342</v>
      </c>
      <c r="M674" s="1758">
        <v>1</v>
      </c>
      <c r="N674" s="129"/>
      <c r="O674" s="1774">
        <f>M674*S674*W674</f>
        <v>0</v>
      </c>
      <c r="P674" s="94" t="b">
        <v>0</v>
      </c>
      <c r="Q674" s="94" t="b">
        <v>1</v>
      </c>
      <c r="R674" s="134" t="b">
        <v>0</v>
      </c>
      <c r="S674" s="383" t="b">
        <v>1</v>
      </c>
      <c r="T674" s="94" t="b">
        <v>0</v>
      </c>
      <c r="W674" s="25"/>
      <c r="X674" s="1757"/>
      <c r="AC674" s="371" t="b">
        <f>OR(AD674:AE674)</f>
        <v>0</v>
      </c>
      <c r="AD674" s="371" t="b">
        <f>T674</f>
        <v>0</v>
      </c>
      <c r="AE674" s="371" t="b">
        <f>AND(R674,NOT(W674))</f>
        <v>0</v>
      </c>
      <c r="AL674" s="254" t="str">
        <f>SUBSTITUTE(SUBSTITUTE(SUBSTITUTE("dpa"&amp;$B674&amp;$C674&amp;$D674&amp;$E674,".","_"),"(","_"),")","")</f>
        <v>dpa706_2_1</v>
      </c>
      <c r="AM674" s="254">
        <f>M674</f>
        <v>1</v>
      </c>
      <c r="AN674" s="254" t="str">
        <f>SUBSTITUTE(SUBSTITUTE(SUBSTITUTE("dpc"&amp;$B674&amp;$C674&amp;$D674&amp;$E674,".","_"),"(","_"),")","")</f>
        <v>dpc706_2_1</v>
      </c>
      <c r="AO674" s="254">
        <f>O674</f>
        <v>0</v>
      </c>
      <c r="AP674" s="254" t="str">
        <f>SUBSTITUTE(SUBSTITUTE(SUBSTITUTE("dch"&amp;$B674&amp;$C674&amp;$D674&amp;$E674,".","_"),"(","_"),")","")</f>
        <v>dch706_2_1</v>
      </c>
      <c r="AQ674" s="254" t="str">
        <f>IF(LEN(W674)=0,"",W674)</f>
        <v/>
      </c>
      <c r="AR674" s="254" t="str">
        <f>SUBSTITUTE(SUBSTITUTE(SUBSTITUTE("dnt"&amp;$B674&amp;$C674&amp;$D674&amp;$E674,".","_"),"(","_"),")","")</f>
        <v>dnt706_2_1</v>
      </c>
      <c r="AS674" s="254" t="str">
        <f>IF(LEN(X674)=0,"",X674)</f>
        <v/>
      </c>
    </row>
    <row r="675" spans="1:61" x14ac:dyDescent="0.25">
      <c r="B675" s="679">
        <v>706.2</v>
      </c>
      <c r="C675" s="21" t="s">
        <v>256</v>
      </c>
      <c r="D675" s="21"/>
      <c r="E675" s="21"/>
      <c r="F675" s="21"/>
      <c r="G675" s="21"/>
      <c r="H675" s="758"/>
      <c r="I675" s="4"/>
      <c r="J675" s="448"/>
      <c r="K675" s="448"/>
      <c r="L675" s="1765"/>
      <c r="M675" s="1758"/>
      <c r="N675" s="129"/>
      <c r="O675" s="1774"/>
      <c r="X675" s="1757"/>
    </row>
    <row r="676" spans="1:61" s="816" customFormat="1" x14ac:dyDescent="0.25">
      <c r="A676" s="18"/>
      <c r="B676" s="679">
        <v>706.2</v>
      </c>
      <c r="C676" s="21" t="s">
        <v>256</v>
      </c>
      <c r="D676" s="21"/>
      <c r="E676" s="21"/>
      <c r="F676" s="21"/>
      <c r="G676" s="21"/>
      <c r="H676" s="758"/>
      <c r="I676" s="4"/>
      <c r="J676" s="817"/>
      <c r="K676" s="817"/>
      <c r="L676" s="1765"/>
      <c r="M676" s="1758"/>
      <c r="N676" s="129"/>
      <c r="O676" s="1774"/>
      <c r="X676" s="1757"/>
      <c r="AX676" s="76"/>
      <c r="AY676" s="76"/>
      <c r="AZ676" s="76"/>
      <c r="BA676" s="76"/>
      <c r="BB676" s="76"/>
      <c r="BC676" s="76"/>
      <c r="BD676" s="76"/>
      <c r="BE676" s="76"/>
      <c r="BF676" s="76"/>
      <c r="BG676" s="76"/>
      <c r="BH676" s="76"/>
      <c r="BI676" s="76"/>
    </row>
    <row r="677" spans="1:61" s="816" customFormat="1" x14ac:dyDescent="0.25">
      <c r="A677" s="18"/>
      <c r="B677" s="679">
        <v>706.2</v>
      </c>
      <c r="C677" s="21" t="s">
        <v>256</v>
      </c>
      <c r="D677" s="21"/>
      <c r="E677" s="21"/>
      <c r="F677" s="21"/>
      <c r="G677" s="21"/>
      <c r="H677" s="758"/>
      <c r="I677" s="4"/>
      <c r="J677" s="817"/>
      <c r="K677" s="817"/>
      <c r="L677" s="1765"/>
      <c r="M677" s="1758"/>
      <c r="N677" s="129"/>
      <c r="O677" s="1774"/>
      <c r="X677" s="1757"/>
      <c r="AX677" s="76"/>
      <c r="AY677" s="76"/>
    </row>
    <row r="678" spans="1:61" x14ac:dyDescent="0.25">
      <c r="B678" s="679">
        <v>706.2</v>
      </c>
      <c r="C678" s="21" t="s">
        <v>256</v>
      </c>
      <c r="D678" s="21"/>
      <c r="E678" s="21"/>
      <c r="F678" s="21"/>
      <c r="G678" s="21"/>
      <c r="H678" s="758"/>
      <c r="I678" s="4"/>
      <c r="J678" s="449"/>
      <c r="K678" s="449"/>
      <c r="L678" s="1786"/>
      <c r="M678" s="1759"/>
      <c r="N678" s="210"/>
      <c r="O678" s="1764"/>
      <c r="X678" s="1757"/>
      <c r="AZ678" s="816"/>
      <c r="BA678" s="816"/>
      <c r="BB678" s="816"/>
      <c r="BC678" s="816"/>
      <c r="BD678" s="816"/>
      <c r="BE678" s="816"/>
      <c r="BF678" s="816"/>
      <c r="BG678" s="816"/>
      <c r="BH678" s="816"/>
      <c r="BI678" s="816"/>
    </row>
    <row r="679" spans="1:61" x14ac:dyDescent="0.25">
      <c r="B679" s="679">
        <v>706.2</v>
      </c>
      <c r="C679" s="21" t="s">
        <v>258</v>
      </c>
      <c r="D679" s="21"/>
      <c r="E679" s="21"/>
      <c r="F679" s="21"/>
      <c r="G679" s="21"/>
      <c r="H679" s="758"/>
      <c r="I679" s="129"/>
      <c r="J679" s="543" t="s">
        <v>258</v>
      </c>
      <c r="K679" s="448"/>
      <c r="L679" s="1754" t="s">
        <v>1075</v>
      </c>
      <c r="M679" s="452"/>
      <c r="N679" s="129"/>
      <c r="O679" s="1774">
        <f ca="1">IFERROR(INDEX({1,2},MATCH(W679,INDIRECT(U679),0)),0)</f>
        <v>0</v>
      </c>
      <c r="P679" s="94" t="b">
        <v>0</v>
      </c>
      <c r="Q679" s="94" t="b">
        <v>1</v>
      </c>
      <c r="R679" s="94" t="b">
        <v>0</v>
      </c>
      <c r="S679" s="94" t="b">
        <v>1</v>
      </c>
      <c r="T679" s="94" t="b">
        <v>0</v>
      </c>
      <c r="U679" s="94" t="str">
        <f>SUBSTITUTE(SUBSTITUTE(SUBSTITUTE("dd"&amp;B679&amp;C679&amp;D679&amp;E679&amp;F679,".","_"),"(","_"),")","")</f>
        <v>dd706_2_2</v>
      </c>
      <c r="V679" s="94"/>
      <c r="W679" s="109"/>
      <c r="X679" s="1770"/>
      <c r="AC679" s="417" t="b">
        <f>OR(AD679:AE679)</f>
        <v>0</v>
      </c>
      <c r="AD679" s="417" t="b">
        <f>T679</f>
        <v>0</v>
      </c>
      <c r="AE679" s="417" t="b">
        <f>AND(R679,OR(W679="Not Met",W679=""))</f>
        <v>0</v>
      </c>
      <c r="AN679" s="254" t="str">
        <f>SUBSTITUTE(SUBSTITUTE(SUBSTITUTE("dpc"&amp;$B679&amp;$C679&amp;$D679&amp;$E679,".","_"),"(","_"),")","")</f>
        <v>dpc706_2_2</v>
      </c>
      <c r="AO679" s="254">
        <f ca="1">O679</f>
        <v>0</v>
      </c>
      <c r="AP679" s="254" t="str">
        <f>SUBSTITUTE(SUBSTITUTE(SUBSTITUTE("dch"&amp;$B679&amp;$C679&amp;$D679&amp;$E679,".","_"),"(","_"),")","")</f>
        <v>dch706_2_2</v>
      </c>
      <c r="AQ679" s="254" t="str">
        <f>IF(LEN(W679)=0,"",W679)</f>
        <v/>
      </c>
      <c r="AR679" s="254" t="str">
        <f>SUBSTITUTE(SUBSTITUTE(SUBSTITUTE("dnt"&amp;$B679&amp;$C679&amp;$D679&amp;$E679,".","_"),"(","_"),")","")</f>
        <v>dnt706_2_2</v>
      </c>
      <c r="AS679" s="254" t="str">
        <f>IF(LEN(X679)=0,"",X679)</f>
        <v/>
      </c>
    </row>
    <row r="680" spans="1:61" x14ac:dyDescent="0.25">
      <c r="B680" s="679">
        <v>706.2</v>
      </c>
      <c r="C680" s="21" t="s">
        <v>258</v>
      </c>
      <c r="D680" s="21"/>
      <c r="E680" s="21"/>
      <c r="F680" s="21"/>
      <c r="G680" s="21"/>
      <c r="H680" s="758"/>
      <c r="I680" s="129"/>
      <c r="J680" s="448"/>
      <c r="K680" s="448"/>
      <c r="L680" s="1754"/>
      <c r="M680" s="452"/>
      <c r="N680" s="129"/>
      <c r="O680" s="1774"/>
      <c r="P680" s="94"/>
      <c r="Q680" s="94"/>
      <c r="R680" s="94"/>
      <c r="S680" s="94"/>
      <c r="T680" s="94"/>
      <c r="U680" s="94"/>
      <c r="V680" s="94"/>
      <c r="W680" s="94"/>
      <c r="X680" s="1770"/>
    </row>
    <row r="681" spans="1:61" s="273" customFormat="1" x14ac:dyDescent="0.25">
      <c r="A681" s="18"/>
      <c r="B681" s="679">
        <v>706.2</v>
      </c>
      <c r="C681" s="21" t="s">
        <v>258</v>
      </c>
      <c r="D681" s="21"/>
      <c r="E681" s="21"/>
      <c r="F681" s="21"/>
      <c r="G681" s="21"/>
      <c r="H681" s="758"/>
      <c r="I681" s="129"/>
      <c r="J681" s="448"/>
      <c r="K681" s="448"/>
      <c r="L681" s="1754"/>
      <c r="M681" s="452"/>
      <c r="N681" s="129"/>
      <c r="O681" s="1774"/>
      <c r="P681" s="94"/>
      <c r="Q681" s="94"/>
      <c r="R681" s="94"/>
      <c r="S681" s="94"/>
      <c r="T681" s="94"/>
      <c r="U681" s="94"/>
      <c r="V681" s="94"/>
      <c r="W681" s="94"/>
      <c r="X681" s="1770"/>
      <c r="Y681" s="780"/>
      <c r="AA681" s="783"/>
      <c r="AX681" s="76"/>
      <c r="AY681" s="76"/>
      <c r="AZ681" s="76"/>
      <c r="BA681" s="76"/>
      <c r="BB681" s="76"/>
      <c r="BC681" s="76"/>
      <c r="BD681" s="76"/>
      <c r="BE681" s="76"/>
      <c r="BF681" s="76"/>
      <c r="BG681" s="76"/>
      <c r="BH681" s="76"/>
      <c r="BI681" s="76"/>
    </row>
    <row r="682" spans="1:61" x14ac:dyDescent="0.25">
      <c r="B682" s="679">
        <v>706.2</v>
      </c>
      <c r="C682" s="21" t="s">
        <v>258</v>
      </c>
      <c r="D682" s="21" t="s">
        <v>121</v>
      </c>
      <c r="E682" s="21"/>
      <c r="F682" s="21"/>
      <c r="G682" s="21"/>
      <c r="H682" s="758"/>
      <c r="I682" s="129"/>
      <c r="J682" s="448"/>
      <c r="K682" s="518" t="s">
        <v>121</v>
      </c>
      <c r="L682" s="1754" t="s">
        <v>1076</v>
      </c>
      <c r="M682" s="1758">
        <v>1</v>
      </c>
      <c r="N682" s="129"/>
      <c r="O682" s="502"/>
      <c r="P682" s="94"/>
      <c r="Q682" s="94"/>
      <c r="R682" s="94"/>
      <c r="S682" s="94"/>
      <c r="T682" s="94"/>
      <c r="U682" s="94"/>
      <c r="V682" s="94"/>
      <c r="W682" s="94"/>
      <c r="X682" s="1770"/>
      <c r="AL682" s="254" t="str">
        <f>SUBSTITUTE(SUBSTITUTE(SUBSTITUTE("dpa"&amp;$B682&amp;$C682&amp;$D682&amp;$E682,".","_"),"(","_"),")","")</f>
        <v>dpa706_2_2_a</v>
      </c>
      <c r="AM682" s="254">
        <f>M682</f>
        <v>1</v>
      </c>
      <c r="AZ682" s="273"/>
      <c r="BA682" s="273"/>
      <c r="BB682" s="273"/>
      <c r="BC682" s="273"/>
      <c r="BD682" s="273"/>
      <c r="BE682" s="273"/>
      <c r="BF682" s="273"/>
      <c r="BG682" s="273"/>
      <c r="BH682" s="273"/>
      <c r="BI682" s="273"/>
    </row>
    <row r="683" spans="1:61" x14ac:dyDescent="0.25">
      <c r="B683" s="679">
        <v>706.2</v>
      </c>
      <c r="C683" s="21" t="s">
        <v>258</v>
      </c>
      <c r="D683" s="21" t="s">
        <v>121</v>
      </c>
      <c r="E683" s="21"/>
      <c r="F683" s="21"/>
      <c r="G683" s="21"/>
      <c r="H683" s="758"/>
      <c r="I683" s="129"/>
      <c r="J683" s="448"/>
      <c r="K683" s="530"/>
      <c r="L683" s="1755"/>
      <c r="M683" s="1759"/>
      <c r="N683" s="129"/>
      <c r="O683" s="502"/>
      <c r="P683" s="94"/>
      <c r="Q683" s="94"/>
      <c r="R683" s="94"/>
      <c r="S683" s="94"/>
      <c r="T683" s="94"/>
      <c r="U683" s="94"/>
      <c r="V683" s="94"/>
      <c r="W683" s="94"/>
      <c r="X683" s="1770"/>
    </row>
    <row r="684" spans="1:61" x14ac:dyDescent="0.25">
      <c r="B684" s="679">
        <v>706.2</v>
      </c>
      <c r="C684" s="21" t="s">
        <v>258</v>
      </c>
      <c r="D684" s="21" t="s">
        <v>122</v>
      </c>
      <c r="E684" s="21"/>
      <c r="F684" s="21"/>
      <c r="G684" s="21"/>
      <c r="H684" s="758"/>
      <c r="I684" s="129"/>
      <c r="J684" s="448"/>
      <c r="K684" s="518" t="s">
        <v>122</v>
      </c>
      <c r="L684" s="1754" t="s">
        <v>1077</v>
      </c>
      <c r="M684" s="1758">
        <v>2</v>
      </c>
      <c r="N684" s="129"/>
      <c r="O684" s="502"/>
      <c r="P684" s="94"/>
      <c r="Q684" s="94"/>
      <c r="R684" s="94"/>
      <c r="S684" s="94"/>
      <c r="T684" s="94"/>
      <c r="U684" s="94"/>
      <c r="V684" s="94"/>
      <c r="W684" s="94"/>
      <c r="X684" s="1770"/>
      <c r="AL684" s="254" t="str">
        <f>SUBSTITUTE(SUBSTITUTE(SUBSTITUTE("dpa"&amp;$B684&amp;$C684&amp;$D684&amp;$E684,".","_"),"(","_"),")","")</f>
        <v>dpa706_2_2_b</v>
      </c>
      <c r="AM684" s="254">
        <f>M684</f>
        <v>2</v>
      </c>
    </row>
    <row r="685" spans="1:61" ht="15.75" thickBot="1" x14ac:dyDescent="0.3">
      <c r="B685" s="679">
        <v>706.2</v>
      </c>
      <c r="C685" s="21" t="s">
        <v>258</v>
      </c>
      <c r="D685" s="21" t="s">
        <v>122</v>
      </c>
      <c r="E685" s="21"/>
      <c r="F685" s="21"/>
      <c r="G685" s="21"/>
      <c r="H685" s="758"/>
      <c r="I685" s="240"/>
      <c r="J685" s="462"/>
      <c r="K685" s="462"/>
      <c r="L685" s="1783"/>
      <c r="M685" s="1768"/>
      <c r="N685" s="240"/>
      <c r="O685" s="504"/>
      <c r="P685" s="99"/>
      <c r="Q685" s="99"/>
      <c r="R685" s="99"/>
      <c r="S685" s="99"/>
      <c r="T685" s="99"/>
      <c r="U685" s="99"/>
      <c r="V685" s="99"/>
      <c r="W685" s="99"/>
      <c r="X685" s="1771"/>
    </row>
    <row r="686" spans="1:61" s="159" customFormat="1" ht="15.75" thickTop="1" x14ac:dyDescent="0.25">
      <c r="A686" s="18"/>
      <c r="B686" s="679">
        <v>706.3</v>
      </c>
      <c r="C686" s="21"/>
      <c r="D686" s="21"/>
      <c r="E686" s="21"/>
      <c r="F686" s="21"/>
      <c r="G686" s="21"/>
      <c r="H686" s="758"/>
      <c r="I686" s="64">
        <v>706.3</v>
      </c>
      <c r="J686" s="161"/>
      <c r="K686" s="161"/>
      <c r="L686" s="1884" t="s">
        <v>1078</v>
      </c>
      <c r="M686" s="428"/>
      <c r="N686" s="4"/>
      <c r="O686" s="1780">
        <f>IFERROR(INDEX({0,1,2},MATCH((1*S694*W694+1*S695*W695+1*S696*W696+1*S697*W697+1*S698*W698+1*S699*W699+2*S700*W700+2*S701*W701),{0,3,6},1)),0)</f>
        <v>0</v>
      </c>
      <c r="P686" s="76"/>
      <c r="Q686" s="76"/>
      <c r="R686" s="134"/>
      <c r="S686" s="134"/>
      <c r="T686" s="134"/>
      <c r="U686" s="76"/>
      <c r="V686" s="76"/>
      <c r="W686" s="76"/>
      <c r="X686" s="1756"/>
      <c r="Y686" s="780"/>
      <c r="Z686" s="76"/>
      <c r="AA686" s="783"/>
      <c r="AB686" s="76"/>
      <c r="AC686" s="76"/>
      <c r="AD686" s="76"/>
      <c r="AE686" s="76"/>
      <c r="AF686" s="76"/>
      <c r="AG686" s="76"/>
      <c r="AH686" s="76"/>
      <c r="AI686" s="76"/>
      <c r="AJ686" s="76"/>
      <c r="AK686" s="76"/>
      <c r="AL686" s="76"/>
      <c r="AM686" s="76"/>
      <c r="AN686" s="254" t="str">
        <f>SUBSTITUTE(SUBSTITUTE(SUBSTITUTE("dpc"&amp;$B686&amp;$C686&amp;$D686&amp;$E686,".","_"),"(","_"),")","")</f>
        <v>dpc706_3</v>
      </c>
      <c r="AO686" s="254">
        <f>O686</f>
        <v>0</v>
      </c>
      <c r="AP686" s="76"/>
      <c r="AQ686" s="76"/>
      <c r="AR686" s="254" t="str">
        <f>SUBSTITUTE(SUBSTITUTE(SUBSTITUTE("dnt"&amp;$B686&amp;$C686&amp;$D686&amp;$E686,".","_"),"(","_"),")","")</f>
        <v>dnt706_3</v>
      </c>
      <c r="AS686" s="254" t="str">
        <f>IF(LEN(X686)=0,"",X686)</f>
        <v/>
      </c>
      <c r="AT686" s="76"/>
      <c r="AU686" s="76"/>
      <c r="AV686" s="76"/>
      <c r="AW686" s="76"/>
      <c r="AX686" s="76"/>
      <c r="AY686" s="76"/>
      <c r="AZ686" s="76"/>
      <c r="BA686" s="76"/>
      <c r="BB686" s="76"/>
      <c r="BC686" s="76"/>
      <c r="BD686" s="76"/>
      <c r="BE686" s="76"/>
      <c r="BF686" s="76"/>
      <c r="BG686" s="76"/>
      <c r="BH686" s="76"/>
      <c r="BI686" s="76"/>
    </row>
    <row r="687" spans="1:61" x14ac:dyDescent="0.25">
      <c r="B687" s="679">
        <v>706.3</v>
      </c>
      <c r="C687" s="21"/>
      <c r="D687" s="21"/>
      <c r="E687" s="21"/>
      <c r="F687" s="21"/>
      <c r="G687" s="21"/>
      <c r="H687" s="758"/>
      <c r="I687" s="64"/>
      <c r="J687" s="161"/>
      <c r="K687" s="161"/>
      <c r="L687" s="1884"/>
      <c r="M687" s="428"/>
      <c r="N687" s="4"/>
      <c r="O687" s="1780"/>
      <c r="P687" s="159"/>
      <c r="Q687" s="159"/>
      <c r="R687" s="159"/>
      <c r="S687" s="159"/>
      <c r="T687" s="159"/>
      <c r="U687" s="159"/>
      <c r="V687" s="159"/>
      <c r="W687" s="159"/>
      <c r="X687" s="1757"/>
      <c r="Z687" s="159"/>
      <c r="AB687" s="159"/>
      <c r="AC687" s="159"/>
      <c r="AD687" s="159"/>
      <c r="AE687" s="159"/>
      <c r="AF687" s="159"/>
      <c r="AG687" s="159"/>
      <c r="AH687" s="159"/>
      <c r="AI687" s="159"/>
      <c r="AJ687" s="159"/>
      <c r="AK687" s="159"/>
      <c r="AL687" s="159"/>
      <c r="AM687" s="159"/>
      <c r="AN687" s="159"/>
      <c r="AO687" s="159"/>
      <c r="AP687" s="159"/>
      <c r="AQ687" s="159"/>
      <c r="AR687" s="159"/>
      <c r="AS687" s="159"/>
      <c r="AT687" s="159"/>
      <c r="AU687" s="159"/>
      <c r="AV687" s="159"/>
      <c r="AW687" s="159"/>
      <c r="AZ687" s="159"/>
      <c r="BA687" s="159"/>
      <c r="BB687" s="159"/>
      <c r="BC687" s="159"/>
      <c r="BD687" s="159"/>
      <c r="BE687" s="159"/>
      <c r="BF687" s="159"/>
      <c r="BG687" s="159"/>
      <c r="BH687" s="159"/>
      <c r="BI687" s="159"/>
    </row>
    <row r="688" spans="1:61" x14ac:dyDescent="0.25">
      <c r="B688" s="679">
        <v>706.3</v>
      </c>
      <c r="C688" s="21"/>
      <c r="D688" s="21" t="s">
        <v>121</v>
      </c>
      <c r="E688" s="21"/>
      <c r="F688" s="21"/>
      <c r="G688" s="21"/>
      <c r="H688" s="758"/>
      <c r="I688" s="4"/>
      <c r="J688" s="161"/>
      <c r="K688" s="161"/>
      <c r="L688" s="236" t="s">
        <v>1079</v>
      </c>
      <c r="M688" s="428">
        <v>1</v>
      </c>
      <c r="N688" s="4"/>
      <c r="O688" s="141"/>
      <c r="X688" s="1757"/>
      <c r="AL688" s="254" t="str">
        <f>SUBSTITUTE(SUBSTITUTE(SUBSTITUTE("dpa"&amp;$B688&amp;$C688&amp;$D688&amp;$E688,".","_"),"(","_"),")","")</f>
        <v>dpa706_3_a</v>
      </c>
      <c r="AM688" s="254">
        <f>M688</f>
        <v>1</v>
      </c>
    </row>
    <row r="689" spans="1:61" ht="15" customHeight="1" x14ac:dyDescent="0.25">
      <c r="B689" s="679">
        <v>706.3</v>
      </c>
      <c r="C689" s="21"/>
      <c r="D689" s="21" t="s">
        <v>122</v>
      </c>
      <c r="E689" s="21"/>
      <c r="F689" s="21"/>
      <c r="G689" s="21"/>
      <c r="H689" s="758"/>
      <c r="I689" s="4"/>
      <c r="J689" s="161"/>
      <c r="K689" s="161"/>
      <c r="L689" s="236" t="s">
        <v>1080</v>
      </c>
      <c r="M689" s="428">
        <v>2</v>
      </c>
      <c r="N689" s="4"/>
      <c r="O689" s="141"/>
      <c r="X689" s="1757"/>
      <c r="AL689" s="254" t="str">
        <f>SUBSTITUTE(SUBSTITUTE(SUBSTITUTE("dpa"&amp;$B689&amp;$C689&amp;$D689&amp;$E689,".","_"),"(","_"),")","")</f>
        <v>dpa706_3_b</v>
      </c>
      <c r="AM689" s="254">
        <f>M689</f>
        <v>2</v>
      </c>
    </row>
    <row r="690" spans="1:61" s="159" customFormat="1" ht="15" customHeight="1" x14ac:dyDescent="0.25">
      <c r="A690" s="18"/>
      <c r="B690" s="679">
        <v>706.3</v>
      </c>
      <c r="C690" s="90"/>
      <c r="D690" s="21"/>
      <c r="E690" s="21"/>
      <c r="F690" s="21"/>
      <c r="G690" s="21"/>
      <c r="H690" s="758"/>
      <c r="I690" s="4"/>
      <c r="J690" s="76"/>
      <c r="K690" s="237"/>
      <c r="L690" s="1851" t="s">
        <v>1081</v>
      </c>
      <c r="M690" s="428"/>
      <c r="N690" s="4"/>
      <c r="O690" s="141"/>
      <c r="P690" s="76"/>
      <c r="Q690" s="76"/>
      <c r="R690" s="76"/>
      <c r="S690" s="76"/>
      <c r="T690" s="76"/>
      <c r="U690" s="76"/>
      <c r="V690" s="76"/>
      <c r="W690" s="76"/>
      <c r="X690" s="1757"/>
      <c r="Y690" s="780"/>
      <c r="Z690" s="76"/>
      <c r="AA690" s="783"/>
      <c r="AB690" s="76"/>
      <c r="AC690" s="76"/>
      <c r="AD690" s="76"/>
      <c r="AE690" s="76"/>
      <c r="AF690" s="76"/>
      <c r="AG690" s="76"/>
      <c r="AH690" s="76"/>
      <c r="AI690" s="76"/>
      <c r="AJ690" s="76"/>
      <c r="AK690" s="76"/>
      <c r="AL690" s="76"/>
      <c r="AM690" s="76"/>
      <c r="AN690" s="76"/>
      <c r="AO690" s="76"/>
      <c r="AP690" s="76"/>
      <c r="AQ690" s="76"/>
      <c r="AR690" s="76"/>
      <c r="AS690" s="76"/>
      <c r="AT690" s="76"/>
      <c r="AU690" s="76"/>
      <c r="AV690" s="76"/>
      <c r="AW690" s="76"/>
      <c r="AX690" s="76"/>
      <c r="AY690" s="76"/>
      <c r="AZ690" s="76"/>
      <c r="BA690" s="76"/>
      <c r="BB690" s="76"/>
      <c r="BC690" s="76"/>
      <c r="BD690" s="76"/>
      <c r="BE690" s="76"/>
      <c r="BF690" s="76"/>
      <c r="BG690" s="76"/>
      <c r="BH690" s="76"/>
      <c r="BI690" s="76"/>
    </row>
    <row r="691" spans="1:61" ht="15" customHeight="1" x14ac:dyDescent="0.25">
      <c r="B691" s="679">
        <v>706.3</v>
      </c>
      <c r="C691" s="90"/>
      <c r="D691" s="21"/>
      <c r="E691" s="21"/>
      <c r="F691" s="21"/>
      <c r="G691" s="21"/>
      <c r="H691" s="758"/>
      <c r="I691" s="4"/>
      <c r="J691" s="159"/>
      <c r="K691" s="237"/>
      <c r="L691" s="1851"/>
      <c r="M691" s="428"/>
      <c r="N691" s="4"/>
      <c r="O691" s="141"/>
      <c r="P691" s="159"/>
      <c r="Q691" s="159"/>
      <c r="R691" s="159"/>
      <c r="S691" s="159"/>
      <c r="T691" s="159"/>
      <c r="U691" s="159"/>
      <c r="V691" s="159"/>
      <c r="W691" s="159"/>
      <c r="X691" s="1757"/>
      <c r="Z691" s="159"/>
      <c r="AB691" s="159"/>
      <c r="AC691" s="159"/>
      <c r="AD691" s="159"/>
      <c r="AE691" s="159"/>
      <c r="AF691" s="159"/>
      <c r="AG691" s="159"/>
      <c r="AH691" s="159"/>
      <c r="AI691" s="159"/>
      <c r="AJ691" s="159"/>
      <c r="AK691" s="159"/>
      <c r="AL691" s="159"/>
      <c r="AM691" s="159"/>
      <c r="AN691" s="159"/>
      <c r="AO691" s="159"/>
      <c r="AP691" s="159"/>
      <c r="AQ691" s="159"/>
      <c r="AR691" s="159"/>
      <c r="AS691" s="159"/>
      <c r="AT691" s="159"/>
      <c r="AU691" s="159"/>
      <c r="AV691" s="159"/>
      <c r="AW691" s="159"/>
      <c r="AX691" s="816"/>
      <c r="AY691" s="816"/>
      <c r="AZ691" s="159"/>
      <c r="BA691" s="159"/>
      <c r="BB691" s="159"/>
      <c r="BC691" s="159"/>
      <c r="BD691" s="159"/>
      <c r="BE691" s="159"/>
      <c r="BF691" s="159"/>
      <c r="BG691" s="159"/>
      <c r="BH691" s="159"/>
      <c r="BI691" s="159"/>
    </row>
    <row r="692" spans="1:61" s="159" customFormat="1" ht="15" customHeight="1" x14ac:dyDescent="0.25">
      <c r="A692" s="18"/>
      <c r="B692" s="679">
        <v>706.3</v>
      </c>
      <c r="C692" s="90"/>
      <c r="D692" s="21"/>
      <c r="E692" s="21"/>
      <c r="F692" s="21"/>
      <c r="G692" s="21"/>
      <c r="H692" s="758"/>
      <c r="I692" s="4"/>
      <c r="J692" s="161"/>
      <c r="K692" s="76"/>
      <c r="L692" s="1851" t="s">
        <v>1082</v>
      </c>
      <c r="M692" s="428"/>
      <c r="N692" s="4"/>
      <c r="O692" s="141"/>
      <c r="P692" s="76"/>
      <c r="Q692" s="76"/>
      <c r="R692" s="76"/>
      <c r="S692" s="76"/>
      <c r="T692" s="76"/>
      <c r="U692" s="76"/>
      <c r="V692" s="76"/>
      <c r="W692" s="76"/>
      <c r="X692" s="1757"/>
      <c r="Y692" s="780"/>
      <c r="Z692" s="76"/>
      <c r="AA692" s="783"/>
      <c r="AB692" s="76"/>
      <c r="AC692" s="76"/>
      <c r="AD692" s="76"/>
      <c r="AE692" s="76"/>
      <c r="AF692" s="76"/>
      <c r="AG692" s="76"/>
      <c r="AH692" s="76"/>
      <c r="AI692" s="76"/>
      <c r="AJ692" s="76"/>
      <c r="AK692" s="76"/>
      <c r="AL692" s="76"/>
      <c r="AM692" s="76"/>
      <c r="AN692" s="76"/>
      <c r="AO692" s="76"/>
      <c r="AP692" s="76"/>
      <c r="AQ692" s="76"/>
      <c r="AR692" s="76"/>
      <c r="AS692" s="76"/>
      <c r="AT692" s="76"/>
      <c r="AU692" s="76"/>
      <c r="AV692" s="76"/>
      <c r="AW692" s="76"/>
      <c r="AX692" s="816"/>
      <c r="AY692" s="816"/>
      <c r="AZ692" s="76"/>
      <c r="BA692" s="76"/>
      <c r="BB692" s="76"/>
      <c r="BC692" s="76"/>
      <c r="BD692" s="76"/>
      <c r="BE692" s="76"/>
      <c r="BF692" s="76"/>
      <c r="BG692" s="76"/>
      <c r="BH692" s="76"/>
      <c r="BI692" s="76"/>
    </row>
    <row r="693" spans="1:61" x14ac:dyDescent="0.25">
      <c r="B693" s="679">
        <v>706.3</v>
      </c>
      <c r="C693" s="90"/>
      <c r="D693" s="21"/>
      <c r="E693" s="21"/>
      <c r="F693" s="21"/>
      <c r="G693" s="21"/>
      <c r="H693" s="758"/>
      <c r="I693" s="4"/>
      <c r="J693" s="161"/>
      <c r="K693" s="159"/>
      <c r="L693" s="1851"/>
      <c r="M693" s="428"/>
      <c r="N693" s="4"/>
      <c r="O693" s="141"/>
      <c r="P693" s="159"/>
      <c r="Q693" s="159"/>
      <c r="R693" s="159"/>
      <c r="S693" s="159"/>
      <c r="T693" s="159"/>
      <c r="U693" s="159"/>
      <c r="V693" s="159"/>
      <c r="W693" s="159"/>
      <c r="X693" s="1757"/>
      <c r="Z693" s="159"/>
      <c r="AB693" s="159"/>
      <c r="AC693" s="159"/>
      <c r="AD693" s="159"/>
      <c r="AE693" s="159"/>
      <c r="AF693" s="159"/>
      <c r="AG693" s="159"/>
      <c r="AH693" s="159"/>
      <c r="AI693" s="159"/>
      <c r="AJ693" s="159"/>
      <c r="AK693" s="159"/>
      <c r="AL693" s="159"/>
      <c r="AM693" s="159"/>
      <c r="AN693" s="159"/>
      <c r="AO693" s="159"/>
      <c r="AP693" s="159"/>
      <c r="AQ693" s="159"/>
      <c r="AR693" s="159"/>
      <c r="AS693" s="159"/>
      <c r="AT693" s="159"/>
      <c r="AU693" s="159"/>
      <c r="AV693" s="159"/>
      <c r="AW693" s="159"/>
      <c r="AX693" s="816"/>
      <c r="AY693" s="816"/>
      <c r="AZ693" s="159"/>
      <c r="BA693" s="159"/>
      <c r="BB693" s="159"/>
      <c r="BC693" s="159"/>
      <c r="BD693" s="159"/>
      <c r="BE693" s="159"/>
      <c r="BF693" s="159"/>
      <c r="BG693" s="159"/>
      <c r="BH693" s="159"/>
      <c r="BI693" s="159"/>
    </row>
    <row r="694" spans="1:61" x14ac:dyDescent="0.25">
      <c r="B694" s="679">
        <v>706.3</v>
      </c>
      <c r="C694" s="21" t="s">
        <v>256</v>
      </c>
      <c r="D694" s="21"/>
      <c r="E694" s="21"/>
      <c r="F694" s="21"/>
      <c r="G694" s="21"/>
      <c r="H694" s="758"/>
      <c r="I694" s="4"/>
      <c r="J694" s="544" t="s">
        <v>256</v>
      </c>
      <c r="K694" s="449"/>
      <c r="L694" s="449" t="s">
        <v>963</v>
      </c>
      <c r="M694" s="428"/>
      <c r="N694" s="4"/>
      <c r="O694" s="141"/>
      <c r="P694" s="94" t="b">
        <v>0</v>
      </c>
      <c r="Q694" s="94" t="b">
        <v>1</v>
      </c>
      <c r="R694" s="134" t="b">
        <v>0</v>
      </c>
      <c r="S694" s="371" t="b">
        <f>IFERROR(NOT(OR(W729:W730,W741)),TRUE)</f>
        <v>1</v>
      </c>
      <c r="T694" s="94" t="b">
        <f t="shared" ref="T694:T701" si="20">AND(NOT(S694),W694=TRUE)</f>
        <v>0</v>
      </c>
      <c r="W694" s="25"/>
      <c r="X694" s="418"/>
      <c r="AC694" s="371" t="b">
        <f t="shared" ref="AC694:AC701" si="21">OR(AD694:AE694)</f>
        <v>0</v>
      </c>
      <c r="AD694" s="371" t="b">
        <f t="shared" ref="AD694:AD701" si="22">T694</f>
        <v>0</v>
      </c>
      <c r="AE694" s="371"/>
      <c r="AP694" s="254" t="str">
        <f t="shared" ref="AP694:AP701" si="23">SUBSTITUTE(SUBSTITUTE(SUBSTITUTE("dch"&amp;$B694&amp;$C694&amp;$D694&amp;$E694,".","_"),"(","_"),")","")</f>
        <v>dch706_3_1</v>
      </c>
      <c r="AQ694" s="254" t="str">
        <f t="shared" ref="AQ694:AQ701" si="24">IF(LEN(W694)=0,"",W694)</f>
        <v/>
      </c>
      <c r="AR694" s="254" t="str">
        <f t="shared" ref="AR694:AR701" si="25">SUBSTITUTE(SUBSTITUTE(SUBSTITUTE("dnt"&amp;$B694&amp;$C694&amp;$D694&amp;$E694,".","_"),"(","_"),")","")</f>
        <v>dnt706_3_1</v>
      </c>
      <c r="AS694" s="254" t="str">
        <f>IF(LEN(X694)=0,"",X694)</f>
        <v/>
      </c>
      <c r="AX694" s="816"/>
      <c r="AY694" s="816"/>
    </row>
    <row r="695" spans="1:61" x14ac:dyDescent="0.25">
      <c r="B695" s="679">
        <v>706.3</v>
      </c>
      <c r="C695" s="21" t="s">
        <v>258</v>
      </c>
      <c r="D695" s="21"/>
      <c r="E695" s="21"/>
      <c r="F695" s="21"/>
      <c r="G695" s="21"/>
      <c r="H695" s="758"/>
      <c r="I695" s="4"/>
      <c r="J695" s="555" t="s">
        <v>258</v>
      </c>
      <c r="K695" s="280"/>
      <c r="L695" s="280" t="s">
        <v>1083</v>
      </c>
      <c r="M695" s="428"/>
      <c r="N695" s="4"/>
      <c r="O695" s="141"/>
      <c r="P695" s="94" t="b">
        <v>0</v>
      </c>
      <c r="Q695" s="94" t="b">
        <v>1</v>
      </c>
      <c r="R695" s="134" t="b">
        <v>0</v>
      </c>
      <c r="S695" s="371" t="b">
        <f>IFERROR(NOT(OR(W729:W730,W741)),TRUE)</f>
        <v>1</v>
      </c>
      <c r="T695" s="94" t="b">
        <f t="shared" si="20"/>
        <v>0</v>
      </c>
      <c r="W695" s="25"/>
      <c r="X695" s="418"/>
      <c r="AC695" s="371" t="b">
        <f t="shared" si="21"/>
        <v>0</v>
      </c>
      <c r="AD695" s="371" t="b">
        <f t="shared" si="22"/>
        <v>0</v>
      </c>
      <c r="AE695" s="371"/>
      <c r="AP695" s="254" t="str">
        <f t="shared" si="23"/>
        <v>dch706_3_2</v>
      </c>
      <c r="AQ695" s="254" t="str">
        <f t="shared" si="24"/>
        <v/>
      </c>
      <c r="AR695" s="254" t="str">
        <f t="shared" si="25"/>
        <v>dnt706_3_2</v>
      </c>
      <c r="AS695" s="254" t="str">
        <f t="shared" ref="AS695:AS701" si="26">IF(LEN(X695)=0,"",X695)</f>
        <v/>
      </c>
      <c r="AX695" s="816"/>
      <c r="AY695" s="816"/>
    </row>
    <row r="696" spans="1:61" x14ac:dyDescent="0.25">
      <c r="B696" s="679">
        <v>706.3</v>
      </c>
      <c r="C696" s="21" t="s">
        <v>260</v>
      </c>
      <c r="D696" s="21"/>
      <c r="E696" s="21"/>
      <c r="F696" s="21"/>
      <c r="G696" s="21"/>
      <c r="H696" s="758"/>
      <c r="I696" s="4"/>
      <c r="J696" s="555" t="s">
        <v>260</v>
      </c>
      <c r="K696" s="280"/>
      <c r="L696" s="280" t="s">
        <v>964</v>
      </c>
      <c r="M696" s="428"/>
      <c r="N696" s="4"/>
      <c r="O696" s="141"/>
      <c r="P696" s="94" t="b">
        <v>0</v>
      </c>
      <c r="Q696" s="94" t="b">
        <v>1</v>
      </c>
      <c r="R696" s="134" t="b">
        <v>0</v>
      </c>
      <c r="S696" s="371" t="b">
        <f>IFERROR(NOT(OR(W729:W730,W741)),TRUE)</f>
        <v>1</v>
      </c>
      <c r="T696" s="94" t="b">
        <f t="shared" si="20"/>
        <v>0</v>
      </c>
      <c r="W696" s="25"/>
      <c r="X696" s="418"/>
      <c r="AC696" s="371" t="b">
        <f t="shared" si="21"/>
        <v>0</v>
      </c>
      <c r="AD696" s="371" t="b">
        <f t="shared" si="22"/>
        <v>0</v>
      </c>
      <c r="AE696" s="371"/>
      <c r="AP696" s="254" t="str">
        <f t="shared" si="23"/>
        <v>dch706_3_3</v>
      </c>
      <c r="AQ696" s="254" t="str">
        <f t="shared" si="24"/>
        <v/>
      </c>
      <c r="AR696" s="254" t="str">
        <f t="shared" si="25"/>
        <v>dnt706_3_3</v>
      </c>
      <c r="AS696" s="254" t="str">
        <f t="shared" si="26"/>
        <v/>
      </c>
      <c r="AX696" s="816"/>
      <c r="AY696" s="816"/>
    </row>
    <row r="697" spans="1:61" x14ac:dyDescent="0.25">
      <c r="B697" s="679">
        <v>706.3</v>
      </c>
      <c r="C697" s="21" t="s">
        <v>269</v>
      </c>
      <c r="D697" s="21"/>
      <c r="E697" s="21"/>
      <c r="F697" s="21"/>
      <c r="G697" s="21"/>
      <c r="H697" s="758"/>
      <c r="I697" s="4"/>
      <c r="J697" s="555" t="s">
        <v>269</v>
      </c>
      <c r="K697" s="280"/>
      <c r="L697" s="280" t="s">
        <v>1084</v>
      </c>
      <c r="M697" s="428"/>
      <c r="N697" s="4"/>
      <c r="O697" s="141"/>
      <c r="P697" s="94" t="b">
        <v>0</v>
      </c>
      <c r="Q697" s="94" t="b">
        <v>1</v>
      </c>
      <c r="R697" s="134" t="b">
        <v>0</v>
      </c>
      <c r="S697" s="371" t="b">
        <f>IFERROR(NOT(OR(W729:W730,W741)),TRUE)</f>
        <v>1</v>
      </c>
      <c r="T697" s="94" t="b">
        <f t="shared" si="20"/>
        <v>0</v>
      </c>
      <c r="W697" s="25"/>
      <c r="X697" s="418"/>
      <c r="AC697" s="371" t="b">
        <f t="shared" si="21"/>
        <v>0</v>
      </c>
      <c r="AD697" s="371" t="b">
        <f t="shared" si="22"/>
        <v>0</v>
      </c>
      <c r="AE697" s="371"/>
      <c r="AP697" s="254" t="str">
        <f t="shared" si="23"/>
        <v>dch706_3_4</v>
      </c>
      <c r="AQ697" s="254" t="str">
        <f t="shared" si="24"/>
        <v/>
      </c>
      <c r="AR697" s="254" t="str">
        <f t="shared" si="25"/>
        <v>dnt706_3_4</v>
      </c>
      <c r="AS697" s="254" t="str">
        <f t="shared" si="26"/>
        <v/>
      </c>
      <c r="AX697" s="816"/>
      <c r="AY697" s="816"/>
    </row>
    <row r="698" spans="1:61" x14ac:dyDescent="0.25">
      <c r="B698" s="679">
        <v>706.3</v>
      </c>
      <c r="C698" s="21" t="s">
        <v>275</v>
      </c>
      <c r="D698" s="21"/>
      <c r="E698" s="21"/>
      <c r="F698" s="21"/>
      <c r="G698" s="21"/>
      <c r="H698" s="758"/>
      <c r="I698" s="4"/>
      <c r="J698" s="555" t="s">
        <v>275</v>
      </c>
      <c r="K698" s="280"/>
      <c r="L698" s="280" t="s">
        <v>1085</v>
      </c>
      <c r="M698" s="428"/>
      <c r="N698" s="4"/>
      <c r="O698" s="141"/>
      <c r="P698" s="94" t="b">
        <v>0</v>
      </c>
      <c r="Q698" s="94" t="b">
        <v>1</v>
      </c>
      <c r="R698" s="134" t="b">
        <v>0</v>
      </c>
      <c r="S698" s="371" t="b">
        <f>IFERROR(NOT(OR(W729:W730,W741)),TRUE)</f>
        <v>1</v>
      </c>
      <c r="T698" s="94" t="b">
        <f t="shared" si="20"/>
        <v>0</v>
      </c>
      <c r="W698" s="25"/>
      <c r="X698" s="418"/>
      <c r="AC698" s="371" t="b">
        <f t="shared" si="21"/>
        <v>0</v>
      </c>
      <c r="AD698" s="371" t="b">
        <f t="shared" si="22"/>
        <v>0</v>
      </c>
      <c r="AE698" s="371"/>
      <c r="AP698" s="254" t="str">
        <f t="shared" si="23"/>
        <v>dch706_3_5</v>
      </c>
      <c r="AQ698" s="254" t="str">
        <f t="shared" si="24"/>
        <v/>
      </c>
      <c r="AR698" s="254" t="str">
        <f t="shared" si="25"/>
        <v>dnt706_3_5</v>
      </c>
      <c r="AS698" s="254" t="str">
        <f t="shared" si="26"/>
        <v/>
      </c>
      <c r="AX698" s="816"/>
      <c r="AY698" s="816"/>
    </row>
    <row r="699" spans="1:61" x14ac:dyDescent="0.25">
      <c r="B699" s="679">
        <v>706.3</v>
      </c>
      <c r="C699" s="21" t="s">
        <v>277</v>
      </c>
      <c r="D699" s="21"/>
      <c r="E699" s="21"/>
      <c r="F699" s="21"/>
      <c r="G699" s="21"/>
      <c r="H699" s="758"/>
      <c r="I699" s="4"/>
      <c r="J699" s="555" t="s">
        <v>277</v>
      </c>
      <c r="K699" s="280"/>
      <c r="L699" s="280" t="s">
        <v>1086</v>
      </c>
      <c r="M699" s="428"/>
      <c r="N699" s="4"/>
      <c r="O699" s="141"/>
      <c r="P699" s="94" t="b">
        <v>0</v>
      </c>
      <c r="Q699" s="94" t="b">
        <v>1</v>
      </c>
      <c r="R699" s="134" t="b">
        <v>0</v>
      </c>
      <c r="S699" s="371" t="b">
        <f>IFERROR(NOT(OR(W729:W730,W741)),TRUE)</f>
        <v>1</v>
      </c>
      <c r="T699" s="94" t="b">
        <f t="shared" si="20"/>
        <v>0</v>
      </c>
      <c r="W699" s="25"/>
      <c r="X699" s="418"/>
      <c r="AC699" s="371" t="b">
        <f t="shared" si="21"/>
        <v>0</v>
      </c>
      <c r="AD699" s="371" t="b">
        <f t="shared" si="22"/>
        <v>0</v>
      </c>
      <c r="AE699" s="371"/>
      <c r="AP699" s="254" t="str">
        <f t="shared" si="23"/>
        <v>dch706_3_6</v>
      </c>
      <c r="AQ699" s="254" t="str">
        <f t="shared" si="24"/>
        <v/>
      </c>
      <c r="AR699" s="254" t="str">
        <f t="shared" si="25"/>
        <v>dnt706_3_6</v>
      </c>
      <c r="AS699" s="254" t="str">
        <f t="shared" si="26"/>
        <v/>
      </c>
    </row>
    <row r="700" spans="1:61" x14ac:dyDescent="0.25">
      <c r="B700" s="679">
        <v>706.3</v>
      </c>
      <c r="C700" s="21" t="s">
        <v>383</v>
      </c>
      <c r="D700" s="21"/>
      <c r="E700" s="21"/>
      <c r="F700" s="21"/>
      <c r="G700" s="21"/>
      <c r="H700" s="758"/>
      <c r="I700" s="4"/>
      <c r="J700" s="555" t="s">
        <v>383</v>
      </c>
      <c r="K700" s="280"/>
      <c r="L700" s="280" t="s">
        <v>1087</v>
      </c>
      <c r="M700" s="428"/>
      <c r="N700" s="4"/>
      <c r="O700" s="141"/>
      <c r="P700" s="94" t="b">
        <v>0</v>
      </c>
      <c r="Q700" s="94" t="b">
        <v>1</v>
      </c>
      <c r="R700" s="134" t="b">
        <v>0</v>
      </c>
      <c r="S700" s="371" t="b">
        <f>IFERROR(NOT(OR(W729:W730,W741)),TRUE)</f>
        <v>1</v>
      </c>
      <c r="T700" s="94" t="b">
        <f t="shared" si="20"/>
        <v>0</v>
      </c>
      <c r="W700" s="25"/>
      <c r="X700" s="418"/>
      <c r="AC700" s="371" t="b">
        <f t="shared" si="21"/>
        <v>0</v>
      </c>
      <c r="AD700" s="371" t="b">
        <f t="shared" si="22"/>
        <v>0</v>
      </c>
      <c r="AE700" s="371"/>
      <c r="AP700" s="254" t="str">
        <f t="shared" si="23"/>
        <v>dch706_3_7</v>
      </c>
      <c r="AQ700" s="254" t="str">
        <f t="shared" si="24"/>
        <v/>
      </c>
      <c r="AR700" s="254" t="str">
        <f t="shared" si="25"/>
        <v>dnt706_3_7</v>
      </c>
      <c r="AS700" s="254" t="str">
        <f t="shared" si="26"/>
        <v/>
      </c>
    </row>
    <row r="701" spans="1:61" ht="15.75" thickBot="1" x14ac:dyDescent="0.3">
      <c r="B701" s="679">
        <v>706.3</v>
      </c>
      <c r="C701" s="21" t="s">
        <v>428</v>
      </c>
      <c r="D701" s="21"/>
      <c r="E701" s="21"/>
      <c r="F701" s="21"/>
      <c r="G701" s="21"/>
      <c r="H701" s="758"/>
      <c r="I701" s="240"/>
      <c r="J701" s="546" t="s">
        <v>428</v>
      </c>
      <c r="K701" s="462"/>
      <c r="L701" s="462" t="s">
        <v>1088</v>
      </c>
      <c r="M701" s="460"/>
      <c r="N701" s="240"/>
      <c r="O701" s="504"/>
      <c r="P701" s="94" t="b">
        <v>0</v>
      </c>
      <c r="Q701" s="94" t="b">
        <v>1</v>
      </c>
      <c r="R701" s="99" t="b">
        <v>0</v>
      </c>
      <c r="S701" s="99" t="b">
        <f>IFERROR(NOT(OR(W729:W730,W741)),TRUE)</f>
        <v>1</v>
      </c>
      <c r="T701" s="99" t="b">
        <f t="shared" si="20"/>
        <v>0</v>
      </c>
      <c r="U701" s="99"/>
      <c r="V701" s="99"/>
      <c r="W701" s="100"/>
      <c r="X701" s="444"/>
      <c r="AC701" s="371" t="b">
        <f t="shared" si="21"/>
        <v>0</v>
      </c>
      <c r="AD701" s="371" t="b">
        <f t="shared" si="22"/>
        <v>0</v>
      </c>
      <c r="AE701" s="371"/>
      <c r="AP701" s="254" t="str">
        <f t="shared" si="23"/>
        <v>dch706_3_8</v>
      </c>
      <c r="AQ701" s="254" t="str">
        <f t="shared" si="24"/>
        <v/>
      </c>
      <c r="AR701" s="254" t="str">
        <f t="shared" si="25"/>
        <v>dnt706_3_8</v>
      </c>
      <c r="AS701" s="254" t="str">
        <f t="shared" si="26"/>
        <v/>
      </c>
    </row>
    <row r="702" spans="1:61" ht="15.75" thickTop="1" x14ac:dyDescent="0.25">
      <c r="B702" s="679">
        <v>706.4</v>
      </c>
      <c r="C702" s="21"/>
      <c r="D702" s="21"/>
      <c r="E702" s="21"/>
      <c r="F702" s="21"/>
      <c r="G702" s="21"/>
      <c r="H702" s="758"/>
      <c r="I702" s="64">
        <v>706.4</v>
      </c>
      <c r="J702" s="161"/>
      <c r="K702" s="161"/>
      <c r="L702" s="166" t="s">
        <v>1089</v>
      </c>
      <c r="M702" s="428"/>
      <c r="N702" s="4"/>
      <c r="O702" s="141"/>
    </row>
    <row r="703" spans="1:61" x14ac:dyDescent="0.25">
      <c r="B703" s="679" t="s">
        <v>1090</v>
      </c>
      <c r="C703" s="21"/>
      <c r="D703" s="21"/>
      <c r="E703" s="21"/>
      <c r="F703" s="21"/>
      <c r="G703" s="21"/>
      <c r="H703" s="758"/>
      <c r="I703" s="64" t="s">
        <v>1090</v>
      </c>
      <c r="J703" s="161"/>
      <c r="K703" s="161"/>
      <c r="L703" s="166" t="s">
        <v>1091</v>
      </c>
      <c r="M703" s="428"/>
      <c r="N703" s="4"/>
      <c r="O703" s="141"/>
    </row>
    <row r="704" spans="1:61" x14ac:dyDescent="0.25">
      <c r="B704" s="679" t="s">
        <v>1090</v>
      </c>
      <c r="C704" s="21" t="s">
        <v>256</v>
      </c>
      <c r="D704" s="21"/>
      <c r="E704" s="21"/>
      <c r="F704" s="21"/>
      <c r="G704" s="21"/>
      <c r="H704" s="758"/>
      <c r="I704" s="4"/>
      <c r="J704" s="543" t="s">
        <v>256</v>
      </c>
      <c r="K704" s="448"/>
      <c r="L704" s="1754" t="s">
        <v>1092</v>
      </c>
      <c r="M704" s="1758">
        <v>1</v>
      </c>
      <c r="N704" s="129"/>
      <c r="O704" s="1774">
        <f>M704*S704*W704</f>
        <v>0</v>
      </c>
      <c r="P704" s="94" t="b">
        <v>1</v>
      </c>
      <c r="Q704" s="94" t="b">
        <v>1</v>
      </c>
      <c r="R704" s="134" t="b">
        <v>0</v>
      </c>
      <c r="S704" s="383" t="b">
        <v>1</v>
      </c>
      <c r="T704" s="94" t="b">
        <v>0</v>
      </c>
      <c r="W704" s="25"/>
      <c r="X704" s="1757"/>
      <c r="AC704" s="371"/>
      <c r="AD704" s="371"/>
      <c r="AE704" s="371"/>
      <c r="AL704" s="254" t="str">
        <f>SUBSTITUTE(SUBSTITUTE(SUBSTITUTE("dpa"&amp;$B704&amp;$C704&amp;$D704&amp;$E704,".","_"),"(","_"),")","")</f>
        <v>dpa706_4_1_1</v>
      </c>
      <c r="AM704" s="254">
        <f>M704</f>
        <v>1</v>
      </c>
      <c r="AN704" s="254" t="str">
        <f>SUBSTITUTE(SUBSTITUTE(SUBSTITUTE("dpc"&amp;$B704&amp;$C704&amp;$D704&amp;$E704,".","_"),"(","_"),")","")</f>
        <v>dpc706_4_1_1</v>
      </c>
      <c r="AO704" s="254">
        <f>O704</f>
        <v>0</v>
      </c>
      <c r="AP704" s="254" t="str">
        <f>SUBSTITUTE(SUBSTITUTE(SUBSTITUTE("dch"&amp;$B704&amp;$C704&amp;$D704&amp;$E704,".","_"),"(","_"),")","")</f>
        <v>dch706_4_1_1</v>
      </c>
      <c r="AQ704" s="254" t="str">
        <f>IF(LEN(W704)=0,"",W704)</f>
        <v/>
      </c>
      <c r="AR704" s="254" t="str">
        <f>SUBSTITUTE(SUBSTITUTE(SUBSTITUTE("dnt"&amp;$B704&amp;$C704&amp;$D704&amp;$E704,".","_"),"(","_"),")","")</f>
        <v>dnt706_4_1_1</v>
      </c>
      <c r="AS704" s="254" t="str">
        <f>IF(LEN(X704)=0,"",X704)</f>
        <v/>
      </c>
    </row>
    <row r="705" spans="1:61" x14ac:dyDescent="0.25">
      <c r="B705" s="679" t="s">
        <v>1090</v>
      </c>
      <c r="C705" s="21" t="s">
        <v>256</v>
      </c>
      <c r="D705" s="21"/>
      <c r="E705" s="21"/>
      <c r="F705" s="21"/>
      <c r="G705" s="21"/>
      <c r="H705" s="758"/>
      <c r="I705" s="4"/>
      <c r="J705" s="544"/>
      <c r="K705" s="449"/>
      <c r="L705" s="1755"/>
      <c r="M705" s="1759"/>
      <c r="N705" s="210"/>
      <c r="O705" s="1764"/>
      <c r="X705" s="1757"/>
    </row>
    <row r="706" spans="1:61" x14ac:dyDescent="0.25">
      <c r="B706" s="679" t="s">
        <v>1090</v>
      </c>
      <c r="C706" s="21" t="s">
        <v>258</v>
      </c>
      <c r="D706" s="21"/>
      <c r="E706" s="21"/>
      <c r="F706" s="21"/>
      <c r="G706" s="21"/>
      <c r="H706" s="758"/>
      <c r="I706" s="129"/>
      <c r="J706" s="543" t="s">
        <v>258</v>
      </c>
      <c r="K706" s="448"/>
      <c r="L706" s="1754" t="s">
        <v>1093</v>
      </c>
      <c r="M706" s="1758">
        <v>3</v>
      </c>
      <c r="N706" s="129"/>
      <c r="O706" s="1774">
        <f>M706*S706*W706</f>
        <v>0</v>
      </c>
      <c r="P706" s="94" t="b">
        <v>1</v>
      </c>
      <c r="Q706" s="94" t="b">
        <v>1</v>
      </c>
      <c r="R706" s="94" t="b">
        <v>0</v>
      </c>
      <c r="S706" s="94" t="b">
        <v>1</v>
      </c>
      <c r="T706" s="94" t="b">
        <v>0</v>
      </c>
      <c r="U706" s="94"/>
      <c r="V706" s="94"/>
      <c r="W706" s="360"/>
      <c r="X706" s="1770"/>
      <c r="AC706" s="371"/>
      <c r="AD706" s="371"/>
      <c r="AE706" s="371"/>
      <c r="AL706" s="254" t="str">
        <f>SUBSTITUTE(SUBSTITUTE(SUBSTITUTE("dpa"&amp;$B706&amp;$C706&amp;$D706&amp;$E706,".","_"),"(","_"),")","")</f>
        <v>dpa706_4_1_2</v>
      </c>
      <c r="AM706" s="254">
        <f>M706</f>
        <v>3</v>
      </c>
      <c r="AN706" s="254" t="str">
        <f>SUBSTITUTE(SUBSTITUTE(SUBSTITUTE("dpc"&amp;$B706&amp;$C706&amp;$D706&amp;$E706,".","_"),"(","_"),")","")</f>
        <v>dpc706_4_1_2</v>
      </c>
      <c r="AO706" s="254">
        <f>O706</f>
        <v>0</v>
      </c>
      <c r="AP706" s="254" t="str">
        <f>SUBSTITUTE(SUBSTITUTE(SUBSTITUTE("dch"&amp;$B706&amp;$C706&amp;$D706&amp;$E706,".","_"),"(","_"),")","")</f>
        <v>dch706_4_1_2</v>
      </c>
      <c r="AQ706" s="254" t="str">
        <f>IF(LEN(W706)=0,"",W706)</f>
        <v/>
      </c>
      <c r="AR706" s="254" t="str">
        <f>SUBSTITUTE(SUBSTITUTE(SUBSTITUTE("dnt"&amp;$B706&amp;$C706&amp;$D706&amp;$E706,".","_"),"(","_"),")","")</f>
        <v>dnt706_4_1_2</v>
      </c>
      <c r="AS706" s="254" t="str">
        <f>IF(LEN(X706)=0,"",X706)</f>
        <v/>
      </c>
    </row>
    <row r="707" spans="1:61" x14ac:dyDescent="0.25">
      <c r="B707" s="679" t="s">
        <v>1090</v>
      </c>
      <c r="C707" s="21" t="s">
        <v>258</v>
      </c>
      <c r="D707" s="21"/>
      <c r="E707" s="21"/>
      <c r="F707" s="21"/>
      <c r="G707" s="21"/>
      <c r="H707" s="758"/>
      <c r="I707" s="210"/>
      <c r="J707" s="449"/>
      <c r="K707" s="449"/>
      <c r="L707" s="1755"/>
      <c r="M707" s="1759"/>
      <c r="N707" s="210"/>
      <c r="O707" s="1764"/>
      <c r="P707" s="178"/>
      <c r="Q707" s="178"/>
      <c r="R707" s="178"/>
      <c r="S707" s="178"/>
      <c r="T707" s="178"/>
      <c r="U707" s="178"/>
      <c r="V707" s="178"/>
      <c r="W707" s="178"/>
      <c r="X707" s="1770"/>
    </row>
    <row r="708" spans="1:61" x14ac:dyDescent="0.25">
      <c r="B708" s="679" t="s">
        <v>1094</v>
      </c>
      <c r="C708" s="21"/>
      <c r="D708" s="21"/>
      <c r="E708" s="21"/>
      <c r="F708" s="21"/>
      <c r="G708" s="21"/>
      <c r="H708" s="758"/>
      <c r="I708" s="192" t="s">
        <v>1094</v>
      </c>
      <c r="J708" s="461"/>
      <c r="K708" s="461"/>
      <c r="L708" s="1864" t="s">
        <v>1095</v>
      </c>
      <c r="M708" s="1762">
        <v>1</v>
      </c>
      <c r="N708" s="193"/>
      <c r="O708" s="1763">
        <f>M708*S708*W708</f>
        <v>0</v>
      </c>
      <c r="P708" s="94" t="b">
        <v>1</v>
      </c>
      <c r="Q708" s="94" t="b">
        <v>1</v>
      </c>
      <c r="R708" s="195" t="b">
        <v>0</v>
      </c>
      <c r="S708" s="195" t="b">
        <v>1</v>
      </c>
      <c r="T708" s="195" t="b">
        <v>0</v>
      </c>
      <c r="U708" s="195"/>
      <c r="V708" s="195"/>
      <c r="W708" s="360"/>
      <c r="X708" s="1770"/>
      <c r="AC708" s="371"/>
      <c r="AD708" s="371"/>
      <c r="AE708" s="371"/>
      <c r="AL708" s="254" t="str">
        <f>SUBSTITUTE(SUBSTITUTE(SUBSTITUTE("dpa"&amp;$B708&amp;$C708&amp;$D708&amp;$E708,".","_"),"(","_"),")","")</f>
        <v>dpa706_4_2</v>
      </c>
      <c r="AM708" s="254">
        <f>M708</f>
        <v>1</v>
      </c>
      <c r="AN708" s="254" t="str">
        <f>SUBSTITUTE(SUBSTITUTE(SUBSTITUTE("dpc"&amp;$B708&amp;$C708&amp;$D708&amp;$E708,".","_"),"(","_"),")","")</f>
        <v>dpc706_4_2</v>
      </c>
      <c r="AO708" s="254">
        <f>O708</f>
        <v>0</v>
      </c>
      <c r="AP708" s="254" t="str">
        <f>SUBSTITUTE(SUBSTITUTE(SUBSTITUTE("dch"&amp;$B708&amp;$C708&amp;$D708&amp;$E708,".","_"),"(","_"),")","")</f>
        <v>dch706_4_2</v>
      </c>
      <c r="AQ708" s="254" t="str">
        <f>IF(LEN(W708)=0,"",W708)</f>
        <v/>
      </c>
      <c r="AR708" s="254" t="str">
        <f>SUBSTITUTE(SUBSTITUTE(SUBSTITUTE("dnt"&amp;$B708&amp;$C708&amp;$D708&amp;$E708,".","_"),"(","_"),")","")</f>
        <v>dnt706_4_2</v>
      </c>
      <c r="AS708" s="254" t="str">
        <f>IF(LEN(X708)=0,"",X708)</f>
        <v/>
      </c>
    </row>
    <row r="709" spans="1:61" ht="15.75" thickBot="1" x14ac:dyDescent="0.3">
      <c r="B709" s="679" t="s">
        <v>1094</v>
      </c>
      <c r="C709" s="21"/>
      <c r="D709" s="21"/>
      <c r="E709" s="21"/>
      <c r="F709" s="21"/>
      <c r="G709" s="21"/>
      <c r="H709" s="758"/>
      <c r="I709" s="240"/>
      <c r="J709" s="462"/>
      <c r="K709" s="462"/>
      <c r="L709" s="1797"/>
      <c r="M709" s="1768"/>
      <c r="N709" s="240"/>
      <c r="O709" s="1775"/>
      <c r="P709" s="99"/>
      <c r="Q709" s="99"/>
      <c r="R709" s="99"/>
      <c r="S709" s="99"/>
      <c r="T709" s="99"/>
      <c r="U709" s="99"/>
      <c r="V709" s="99"/>
      <c r="W709" s="99"/>
      <c r="X709" s="1771"/>
    </row>
    <row r="710" spans="1:61" ht="15.75" customHeight="1" thickTop="1" x14ac:dyDescent="0.25">
      <c r="B710" s="679">
        <v>706.5</v>
      </c>
      <c r="C710" s="21"/>
      <c r="D710" s="21"/>
      <c r="E710" s="21"/>
      <c r="F710" s="21"/>
      <c r="G710" s="21"/>
      <c r="H710" s="758"/>
      <c r="I710" s="667" t="s">
        <v>4348</v>
      </c>
      <c r="J710" s="667"/>
      <c r="K710" s="667"/>
      <c r="L710" s="861" t="s">
        <v>4349</v>
      </c>
      <c r="M710" s="816"/>
      <c r="N710" s="816"/>
      <c r="O710" s="816"/>
      <c r="P710" s="816"/>
      <c r="Q710" s="816"/>
      <c r="R710" s="816"/>
      <c r="S710" s="816"/>
      <c r="T710" s="816"/>
      <c r="U710" s="105"/>
      <c r="V710" s="105"/>
      <c r="W710"/>
      <c r="X710" s="1784"/>
      <c r="AL710" s="254"/>
      <c r="AM710" s="254"/>
      <c r="AN710" s="254"/>
      <c r="AO710" s="254"/>
      <c r="AP710" s="254"/>
      <c r="AQ710" s="254"/>
      <c r="AR710" s="254" t="str">
        <f>SUBSTITUTE(SUBSTITUTE(SUBSTITUTE("dnt"&amp;$B710&amp;$C710&amp;$D710&amp;$E710,".","_"),"(","_"),")","")</f>
        <v>dnt706_5</v>
      </c>
      <c r="AS710" s="254" t="str">
        <f>IF(LEN(X710)=0,"",X710)</f>
        <v/>
      </c>
    </row>
    <row r="711" spans="1:61" x14ac:dyDescent="0.25">
      <c r="B711" s="679">
        <v>706.5</v>
      </c>
      <c r="C711" s="21" t="s">
        <v>256</v>
      </c>
      <c r="D711" s="21"/>
      <c r="E711" s="21"/>
      <c r="F711" s="21"/>
      <c r="G711" s="21"/>
      <c r="H711" s="758"/>
      <c r="I711" s="667"/>
      <c r="J711" s="667" t="s">
        <v>256</v>
      </c>
      <c r="K711" s="667"/>
      <c r="L711" s="848" t="s">
        <v>4343</v>
      </c>
      <c r="M711" s="1767">
        <v>1</v>
      </c>
      <c r="N711" s="4"/>
      <c r="O711" s="1780">
        <f>M711*S711*W711</f>
        <v>0</v>
      </c>
      <c r="P711" s="816" t="b">
        <v>0</v>
      </c>
      <c r="Q711" s="816" t="b">
        <v>1</v>
      </c>
      <c r="R711" s="816" t="b">
        <v>0</v>
      </c>
      <c r="S711" s="816" t="b">
        <v>1</v>
      </c>
      <c r="T711" s="816" t="b">
        <v>0</v>
      </c>
      <c r="U711" s="94"/>
      <c r="V711" s="94"/>
      <c r="W711" s="25"/>
      <c r="X711" s="1770"/>
      <c r="AC711" s="417"/>
      <c r="AD711" s="417"/>
      <c r="AE711" s="417"/>
      <c r="AL711" s="254" t="str">
        <f>SUBSTITUTE(SUBSTITUTE(SUBSTITUTE("dpa"&amp;$B711&amp;$C711&amp;$D711&amp;$E711,".","_"),"(","_"),")","")</f>
        <v>dpa706_5_1</v>
      </c>
      <c r="AM711" s="254">
        <f>M711</f>
        <v>1</v>
      </c>
      <c r="AN711" s="254" t="str">
        <f>SUBSTITUTE(SUBSTITUTE(SUBSTITUTE("dpc"&amp;$B711&amp;$C711&amp;$D711&amp;$E711,".","_"),"(","_"),")","")</f>
        <v>dpc706_5_1</v>
      </c>
      <c r="AO711" s="254">
        <f>O711</f>
        <v>0</v>
      </c>
      <c r="AP711" s="254" t="str">
        <f>SUBSTITUTE(SUBSTITUTE(SUBSTITUTE("dch"&amp;$B711&amp;$C711&amp;$D711&amp;$E711,".","_"),"(","_"),")","")</f>
        <v>dch706_5_1</v>
      </c>
      <c r="AQ711" s="254" t="str">
        <f>IF(LEN(W711)=0,"",W711)</f>
        <v/>
      </c>
    </row>
    <row r="712" spans="1:61" x14ac:dyDescent="0.25">
      <c r="B712" s="679">
        <v>706.5</v>
      </c>
      <c r="C712" s="21" t="s">
        <v>256</v>
      </c>
      <c r="D712" s="21"/>
      <c r="E712" s="21"/>
      <c r="F712" s="21"/>
      <c r="G712" s="21"/>
      <c r="H712" s="758"/>
      <c r="I712" s="667"/>
      <c r="J712" s="684"/>
      <c r="K712" s="684"/>
      <c r="L712" s="857"/>
      <c r="M712" s="1759"/>
      <c r="N712" s="210"/>
      <c r="O712" s="1764"/>
      <c r="P712" s="816"/>
      <c r="Q712" s="816"/>
      <c r="R712" s="816"/>
      <c r="S712" s="1">
        <f ca="1">IF(AY19=INDEX(INDIRECT("ddSingleOrMulti"),1),1,AY20)</f>
        <v>1</v>
      </c>
      <c r="T712" s="816"/>
      <c r="U712" s="94"/>
      <c r="V712" s="94"/>
      <c r="W712" s="816" t="str">
        <f ca="1">"kW per "&amp;IF(AY19=INDEX(INDIRECT("ddSingleOrMulti"),1),"1 unit:",AY20&amp;" units:")</f>
        <v>kW per 1 unit:</v>
      </c>
      <c r="X712" s="1770"/>
    </row>
    <row r="713" spans="1:61" x14ac:dyDescent="0.25">
      <c r="B713" s="679">
        <v>706.5</v>
      </c>
      <c r="C713" s="21" t="s">
        <v>258</v>
      </c>
      <c r="D713" s="21"/>
      <c r="E713" s="21"/>
      <c r="F713" s="21"/>
      <c r="G713" s="21"/>
      <c r="H713" s="758"/>
      <c r="I713" s="667"/>
      <c r="J713" s="667" t="s">
        <v>258</v>
      </c>
      <c r="K713" s="667"/>
      <c r="L713" s="848" t="s">
        <v>4344</v>
      </c>
      <c r="M713" s="1846" t="s">
        <v>4350</v>
      </c>
      <c r="N713" s="816"/>
      <c r="O713" s="1780">
        <f ca="1">IFERROR(ROUNDDOWN(2*W713/S712,0),0)*S713</f>
        <v>0</v>
      </c>
      <c r="P713" s="816" t="b">
        <v>0</v>
      </c>
      <c r="Q713" s="816" t="b">
        <v>1</v>
      </c>
      <c r="R713" s="816" t="b">
        <v>0</v>
      </c>
      <c r="S713" s="816" t="b">
        <v>1</v>
      </c>
      <c r="T713" s="816" t="b">
        <v>0</v>
      </c>
      <c r="U713" s="94"/>
      <c r="V713" s="94"/>
      <c r="W713" s="903"/>
      <c r="X713" s="1770"/>
      <c r="AL713" s="254" t="str">
        <f>SUBSTITUTE(SUBSTITUTE(SUBSTITUTE("dpa"&amp;$B713&amp;$C713&amp;$D713&amp;$E713,".","_"),"(","_"),")","")</f>
        <v>dpa706_5_2</v>
      </c>
      <c r="AM713" s="254" t="str">
        <f>M713</f>
        <v>2 per kW</v>
      </c>
      <c r="AN713" s="254" t="str">
        <f>SUBSTITUTE(SUBSTITUTE(SUBSTITUTE("dpc"&amp;$B713&amp;$C713&amp;$D713&amp;$E713,".","_"),"(","_"),")","")</f>
        <v>dpc706_5_2</v>
      </c>
      <c r="AO713" s="254">
        <f ca="1">O713</f>
        <v>0</v>
      </c>
      <c r="AP713" s="254" t="str">
        <f>SUBSTITUTE(SUBSTITUTE(SUBSTITUTE("dch"&amp;$B713&amp;$C713&amp;$D713&amp;$E713,".","_"),"(","_"),")","")</f>
        <v>dch706_5_2</v>
      </c>
      <c r="AQ713" s="254" t="str">
        <f>IF(LEN(W713)=0,"",W713)</f>
        <v/>
      </c>
    </row>
    <row r="714" spans="1:61" s="816" customFormat="1" x14ac:dyDescent="0.25">
      <c r="A714" s="18"/>
      <c r="B714" s="679">
        <v>706.5</v>
      </c>
      <c r="C714" s="21" t="s">
        <v>258</v>
      </c>
      <c r="D714" s="21"/>
      <c r="E714" s="21"/>
      <c r="F714" s="21"/>
      <c r="G714" s="21"/>
      <c r="H714" s="758"/>
      <c r="I714" s="667"/>
      <c r="J714" s="684"/>
      <c r="K714" s="684"/>
      <c r="L714" s="857"/>
      <c r="M714" s="1865"/>
      <c r="N714" s="178"/>
      <c r="O714" s="1764"/>
      <c r="U714" s="94"/>
      <c r="V714" s="94"/>
      <c r="W714" s="911" t="str">
        <f ca="1">"kWh of strg. per "&amp;IF(AY19=INDEX(INDIRECT("ddSingleOrMulti"),1),"1 unit:",AY20&amp;" units:")</f>
        <v>kWh of strg. per 1 unit:</v>
      </c>
      <c r="X714" s="1770"/>
      <c r="AX714" s="76"/>
      <c r="AY714" s="76"/>
      <c r="AZ714" s="76"/>
      <c r="BA714" s="76"/>
      <c r="BB714" s="76"/>
      <c r="BC714" s="76"/>
      <c r="BD714" s="76"/>
      <c r="BE714" s="76"/>
      <c r="BF714" s="76"/>
      <c r="BG714" s="76"/>
      <c r="BH714" s="76"/>
      <c r="BI714" s="76"/>
    </row>
    <row r="715" spans="1:61" s="816" customFormat="1" x14ac:dyDescent="0.25">
      <c r="A715" s="18"/>
      <c r="B715" s="679">
        <v>706.5</v>
      </c>
      <c r="C715" s="21" t="s">
        <v>260</v>
      </c>
      <c r="D715" s="21"/>
      <c r="E715" s="21"/>
      <c r="F715" s="21"/>
      <c r="G715" s="21"/>
      <c r="H715" s="758"/>
      <c r="I715" s="667"/>
      <c r="J715" s="667" t="s">
        <v>260</v>
      </c>
      <c r="K715" s="667"/>
      <c r="L715" s="1787" t="s">
        <v>4345</v>
      </c>
      <c r="M715" s="1846" t="s">
        <v>4351</v>
      </c>
      <c r="O715" s="1780">
        <f ca="1">IFERROR(ROUNDDOWN(W715/2/S712,0),0)*S715</f>
        <v>0</v>
      </c>
      <c r="P715" s="816" t="b">
        <v>0</v>
      </c>
      <c r="Q715" s="816" t="b">
        <v>1</v>
      </c>
      <c r="R715" s="816" t="b">
        <v>0</v>
      </c>
      <c r="S715" s="816" t="b">
        <f>(W713&gt;0)</f>
        <v>0</v>
      </c>
      <c r="T715" s="94" t="b">
        <f>AND(NOT(S715),LEN(W715)&gt;0)</f>
        <v>0</v>
      </c>
      <c r="U715" s="94"/>
      <c r="V715" s="94"/>
      <c r="W715" s="904"/>
      <c r="X715" s="1770"/>
      <c r="AC715" s="970" t="b">
        <f>OR(AD715:AE715)</f>
        <v>0</v>
      </c>
      <c r="AD715" s="970" t="b">
        <f>T715</f>
        <v>0</v>
      </c>
      <c r="AL715" s="254" t="str">
        <f>SUBSTITUTE(SUBSTITUTE(SUBSTITUTE("dpa"&amp;$B715&amp;$C715&amp;$D715&amp;$E715,".","_"),"(","_"),")","")</f>
        <v>dpa706_5_3</v>
      </c>
      <c r="AM715" s="254" t="str">
        <f>M715</f>
        <v>2 per kW,
1 per 2 kWh</v>
      </c>
      <c r="AN715" s="254" t="str">
        <f>SUBSTITUTE(SUBSTITUTE(SUBSTITUTE("dpc"&amp;$B715&amp;$C715&amp;$D715&amp;$E715,".","_"),"(","_"),")","")</f>
        <v>dpc706_5_3</v>
      </c>
      <c r="AO715" s="254">
        <f ca="1">O715</f>
        <v>0</v>
      </c>
      <c r="AP715" s="254" t="str">
        <f>SUBSTITUTE(SUBSTITUTE(SUBSTITUTE("dch"&amp;$B715&amp;$C715&amp;$D715&amp;$E715,".","_"),"(","_"),")","")</f>
        <v>dch706_5_3</v>
      </c>
      <c r="AQ715" s="254" t="str">
        <f>IF(LEN(W715)=0,"",W715)</f>
        <v/>
      </c>
    </row>
    <row r="716" spans="1:61" s="816" customFormat="1" x14ac:dyDescent="0.25">
      <c r="A716" s="18"/>
      <c r="B716" s="679">
        <v>706.5</v>
      </c>
      <c r="C716" s="21" t="s">
        <v>260</v>
      </c>
      <c r="D716" s="21"/>
      <c r="E716" s="21"/>
      <c r="F716" s="21"/>
      <c r="G716" s="21"/>
      <c r="H716" s="758"/>
      <c r="I716" s="667"/>
      <c r="J716" s="667"/>
      <c r="K716" s="667"/>
      <c r="L716" s="1787"/>
      <c r="M716" s="1846"/>
      <c r="O716" s="1780"/>
      <c r="U716" s="94"/>
      <c r="V716" s="94"/>
      <c r="W716" s="94"/>
      <c r="X716" s="1770"/>
    </row>
    <row r="717" spans="1:61" s="816" customFormat="1" x14ac:dyDescent="0.25">
      <c r="A717" s="18"/>
      <c r="B717" s="679">
        <v>706.5</v>
      </c>
      <c r="C717" s="90"/>
      <c r="D717" s="21"/>
      <c r="E717" s="21"/>
      <c r="F717" s="21"/>
      <c r="G717" s="21"/>
      <c r="H717" s="758"/>
      <c r="I717" s="667"/>
      <c r="J717" s="667"/>
      <c r="K717" s="667"/>
      <c r="L717" s="1796" t="s">
        <v>4884</v>
      </c>
      <c r="M717" s="833"/>
      <c r="N717" s="129"/>
      <c r="O717" s="822"/>
      <c r="P717" s="94"/>
      <c r="Q717" s="94"/>
      <c r="R717" s="94"/>
      <c r="S717" s="94"/>
      <c r="T717" s="94"/>
      <c r="U717" s="94"/>
      <c r="V717" s="94"/>
      <c r="W717" s="94"/>
      <c r="X717" s="1770"/>
    </row>
    <row r="718" spans="1:61" s="816" customFormat="1" x14ac:dyDescent="0.25">
      <c r="A718" s="18"/>
      <c r="B718" s="679">
        <v>706.5</v>
      </c>
      <c r="C718" s="90"/>
      <c r="D718" s="21"/>
      <c r="E718" s="21"/>
      <c r="F718" s="21"/>
      <c r="G718" s="21"/>
      <c r="H718" s="758"/>
      <c r="I718" s="667"/>
      <c r="J718" s="667"/>
      <c r="K718" s="667"/>
      <c r="L718" s="1796"/>
      <c r="M718" s="833"/>
      <c r="N718" s="129"/>
      <c r="O718" s="822"/>
      <c r="P718" s="94"/>
      <c r="Q718" s="94"/>
      <c r="R718" s="94"/>
      <c r="S718" s="94"/>
      <c r="T718" s="94"/>
      <c r="U718" s="94"/>
      <c r="V718" s="94"/>
      <c r="W718" s="94"/>
      <c r="X718" s="1770"/>
    </row>
    <row r="719" spans="1:61" s="816" customFormat="1" x14ac:dyDescent="0.25">
      <c r="A719" s="18"/>
      <c r="B719" s="679">
        <v>706.5</v>
      </c>
      <c r="C719" s="90"/>
      <c r="D719" s="21"/>
      <c r="E719" s="21"/>
      <c r="F719" s="21"/>
      <c r="G719" s="21"/>
      <c r="H719" s="758"/>
      <c r="I719" s="667"/>
      <c r="J719" s="667"/>
      <c r="K719" s="667"/>
      <c r="L719" s="1796"/>
      <c r="M719" s="833"/>
      <c r="N719" s="129"/>
      <c r="O719" s="822"/>
      <c r="P719" s="94"/>
      <c r="Q719" s="94"/>
      <c r="R719" s="94"/>
      <c r="S719" s="94"/>
      <c r="T719" s="94"/>
      <c r="U719" s="94"/>
      <c r="V719" s="94"/>
      <c r="W719" s="94"/>
      <c r="X719" s="1770"/>
    </row>
    <row r="720" spans="1:61" s="816" customFormat="1" x14ac:dyDescent="0.25">
      <c r="A720" s="18"/>
      <c r="B720" s="679">
        <v>706.5</v>
      </c>
      <c r="C720" s="90"/>
      <c r="D720" s="21"/>
      <c r="E720" s="21"/>
      <c r="F720" s="21"/>
      <c r="G720" s="21"/>
      <c r="H720" s="758"/>
      <c r="I720" s="667"/>
      <c r="J720" s="667"/>
      <c r="K720" s="667"/>
      <c r="L720" s="1796"/>
      <c r="M720" s="833"/>
      <c r="N720" s="129"/>
      <c r="O720" s="822"/>
      <c r="P720" s="94"/>
      <c r="Q720" s="94"/>
      <c r="R720" s="94"/>
      <c r="S720" s="94"/>
      <c r="T720" s="94"/>
      <c r="U720" s="94"/>
      <c r="V720" s="94"/>
      <c r="W720" s="94"/>
      <c r="X720" s="1770"/>
      <c r="AX720" s="134"/>
      <c r="AY720" s="134"/>
    </row>
    <row r="721" spans="1:61" x14ac:dyDescent="0.25">
      <c r="B721" s="679">
        <v>706.5</v>
      </c>
      <c r="C721" s="90"/>
      <c r="D721" s="21"/>
      <c r="E721" s="21"/>
      <c r="F721" s="21"/>
      <c r="G721" s="21"/>
      <c r="H721" s="758"/>
      <c r="I721" s="667"/>
      <c r="J721" s="667"/>
      <c r="K721" s="667"/>
      <c r="L721" s="1796"/>
      <c r="M721" s="452"/>
      <c r="N721" s="129"/>
      <c r="O721" s="502"/>
      <c r="P721" s="94"/>
      <c r="Q721" s="94"/>
      <c r="R721" s="94"/>
      <c r="S721" s="94"/>
      <c r="T721" s="94"/>
      <c r="U721" s="94"/>
      <c r="V721" s="94"/>
      <c r="W721" s="94"/>
      <c r="X721" s="1770"/>
      <c r="AZ721" s="816"/>
      <c r="BA721" s="816"/>
      <c r="BB721" s="816"/>
      <c r="BC721" s="816"/>
      <c r="BD721" s="816"/>
      <c r="BE721" s="816"/>
      <c r="BF721" s="816"/>
      <c r="BG721" s="816"/>
      <c r="BH721" s="816"/>
      <c r="BI721" s="816"/>
    </row>
    <row r="722" spans="1:61" x14ac:dyDescent="0.25">
      <c r="B722" s="679">
        <v>706.5</v>
      </c>
      <c r="C722" s="90"/>
      <c r="D722" s="21"/>
      <c r="E722" s="21"/>
      <c r="F722" s="21"/>
      <c r="G722" s="21"/>
      <c r="H722" s="758"/>
      <c r="I722" s="667"/>
      <c r="J722" s="667"/>
      <c r="K722" s="667"/>
      <c r="L722" s="1796"/>
      <c r="M722" s="452"/>
      <c r="N722" s="129"/>
      <c r="O722" s="502"/>
      <c r="P722" s="94"/>
      <c r="Q722" s="94"/>
      <c r="R722" s="94"/>
      <c r="S722" s="94"/>
      <c r="T722" s="94"/>
      <c r="U722" s="94"/>
      <c r="V722" s="94"/>
      <c r="W722" s="94"/>
      <c r="X722" s="1770"/>
    </row>
    <row r="723" spans="1:61" ht="15" customHeight="1" x14ac:dyDescent="0.25">
      <c r="B723" s="679">
        <v>706.5</v>
      </c>
      <c r="C723" s="90"/>
      <c r="D723" s="21"/>
      <c r="E723" s="21"/>
      <c r="F723" s="21"/>
      <c r="G723" s="21"/>
      <c r="H723" s="758"/>
      <c r="I723" s="667"/>
      <c r="J723" s="667"/>
      <c r="K723" s="667"/>
      <c r="L723" s="1906" t="s">
        <v>4347</v>
      </c>
      <c r="M723" s="452"/>
      <c r="N723" s="129"/>
      <c r="O723" s="502"/>
      <c r="P723" s="94"/>
      <c r="Q723" s="94"/>
      <c r="R723" s="94"/>
      <c r="S723" s="94"/>
      <c r="T723" s="94"/>
      <c r="U723" s="94"/>
      <c r="V723" s="94"/>
      <c r="W723" s="94"/>
      <c r="X723" s="1770"/>
      <c r="AX723"/>
      <c r="AY723"/>
    </row>
    <row r="724" spans="1:61" ht="15.75" thickBot="1" x14ac:dyDescent="0.3">
      <c r="B724" s="679">
        <v>706.5</v>
      </c>
      <c r="C724" s="90"/>
      <c r="D724" s="21"/>
      <c r="E724" s="21"/>
      <c r="F724" s="21"/>
      <c r="G724" s="21"/>
      <c r="H724" s="758"/>
      <c r="I724" s="673"/>
      <c r="J724" s="673"/>
      <c r="K724" s="673"/>
      <c r="L724" s="1907"/>
      <c r="M724" s="460"/>
      <c r="N724" s="240"/>
      <c r="O724" s="504"/>
      <c r="P724" s="99"/>
      <c r="Q724" s="99"/>
      <c r="R724" s="99"/>
      <c r="S724" s="99"/>
      <c r="T724" s="99"/>
      <c r="U724" s="99"/>
      <c r="V724" s="99"/>
      <c r="W724" s="99"/>
      <c r="X724" s="1771"/>
      <c r="AX724"/>
      <c r="AY724"/>
    </row>
    <row r="725" spans="1:61" ht="15.75" thickTop="1" x14ac:dyDescent="0.25">
      <c r="B725" s="679">
        <v>706.6</v>
      </c>
      <c r="C725" s="90"/>
      <c r="D725" s="21"/>
      <c r="E725" s="21"/>
      <c r="F725" s="21"/>
      <c r="G725" s="21"/>
      <c r="H725" s="758"/>
      <c r="I725" s="180">
        <v>706.6</v>
      </c>
      <c r="J725" s="520"/>
      <c r="K725" s="520"/>
      <c r="L725" s="1781" t="s">
        <v>1096</v>
      </c>
      <c r="M725" s="1772">
        <v>2</v>
      </c>
      <c r="N725" s="181"/>
      <c r="O725" s="1773">
        <f ca="1">M725*S725*W725</f>
        <v>0</v>
      </c>
      <c r="P725" s="94" t="b">
        <v>1</v>
      </c>
      <c r="Q725" s="94" t="b">
        <v>1</v>
      </c>
      <c r="R725" s="105" t="b">
        <v>0</v>
      </c>
      <c r="S725" s="105" t="b">
        <f ca="1">AY19=INDEX(INDIRECT("ddSingleOrMulti"),2)</f>
        <v>0</v>
      </c>
      <c r="T725" s="105" t="b">
        <f ca="1">AND(NOT(S725),W725=TRUE)</f>
        <v>0</v>
      </c>
      <c r="U725" s="105"/>
      <c r="V725" s="105"/>
      <c r="W725" s="367"/>
      <c r="X725" s="1784"/>
      <c r="AC725" s="371" t="b">
        <f ca="1">OR(AD725:AE725)</f>
        <v>0</v>
      </c>
      <c r="AD725" s="371" t="b">
        <f ca="1">T725</f>
        <v>0</v>
      </c>
      <c r="AE725" s="371"/>
      <c r="AL725" s="254" t="str">
        <f>SUBSTITUTE(SUBSTITUTE(SUBSTITUTE("dpa"&amp;$B725&amp;$C725&amp;$D725&amp;$E725,".","_"),"(","_"),")","")</f>
        <v>dpa706_6</v>
      </c>
      <c r="AM725" s="254">
        <f>M725</f>
        <v>2</v>
      </c>
      <c r="AN725" s="254" t="str">
        <f>SUBSTITUTE(SUBSTITUTE(SUBSTITUTE("dpc"&amp;$B725&amp;$C725&amp;$D725&amp;$E725,".","_"),"(","_"),")","")</f>
        <v>dpc706_6</v>
      </c>
      <c r="AO725" s="254">
        <f ca="1">O725</f>
        <v>0</v>
      </c>
      <c r="AP725" s="254" t="str">
        <f>SUBSTITUTE(SUBSTITUTE(SUBSTITUTE("dch"&amp;$B725&amp;$C725&amp;$D725&amp;$E725,".","_"),"(","_"),")","")</f>
        <v>dch706_6</v>
      </c>
      <c r="AQ725" s="254" t="str">
        <f>IF(LEN(W725)=0,"",W725)</f>
        <v/>
      </c>
      <c r="AR725" s="254" t="str">
        <f>SUBSTITUTE(SUBSTITUTE(SUBSTITUTE("dnt"&amp;$B725&amp;$C725&amp;$D725&amp;$E725,".","_"),"(","_"),")","")</f>
        <v>dnt706_6</v>
      </c>
      <c r="AS725" s="254" t="str">
        <f>IF(LEN(X725)=0,"",X725)</f>
        <v/>
      </c>
      <c r="AX725"/>
      <c r="AY725"/>
    </row>
    <row r="726" spans="1:61" ht="15.75" thickBot="1" x14ac:dyDescent="0.3">
      <c r="B726" s="679">
        <v>706.6</v>
      </c>
      <c r="C726" s="90"/>
      <c r="D726" s="21"/>
      <c r="E726" s="21"/>
      <c r="F726" s="21"/>
      <c r="G726" s="21"/>
      <c r="H726" s="758"/>
      <c r="I726" s="240"/>
      <c r="J726" s="462"/>
      <c r="K726" s="462"/>
      <c r="L726" s="1797"/>
      <c r="M726" s="1768"/>
      <c r="N726" s="240"/>
      <c r="O726" s="1775"/>
      <c r="P726" s="99"/>
      <c r="Q726" s="99"/>
      <c r="R726" s="99"/>
      <c r="S726" s="99"/>
      <c r="T726" s="99"/>
      <c r="U726" s="99"/>
      <c r="V726" s="99"/>
      <c r="W726" s="99"/>
      <c r="X726" s="1771"/>
      <c r="AX726"/>
      <c r="AY726"/>
    </row>
    <row r="727" spans="1:61" ht="15.75" thickTop="1" x14ac:dyDescent="0.25">
      <c r="B727" s="679">
        <v>706.7</v>
      </c>
      <c r="C727" s="90"/>
      <c r="D727" s="21"/>
      <c r="E727" s="21"/>
      <c r="F727" s="21"/>
      <c r="G727" s="21"/>
      <c r="H727" s="758"/>
      <c r="I727" s="64">
        <v>706.7</v>
      </c>
      <c r="J727" s="161"/>
      <c r="K727" s="161"/>
      <c r="L727" s="1796" t="s">
        <v>1097</v>
      </c>
      <c r="M727" s="428"/>
      <c r="N727" s="4"/>
      <c r="O727" s="141"/>
      <c r="AX727"/>
      <c r="AY727"/>
    </row>
    <row r="728" spans="1:61" x14ac:dyDescent="0.25">
      <c r="B728" s="679">
        <v>706.7</v>
      </c>
      <c r="C728" s="90"/>
      <c r="D728" s="21"/>
      <c r="E728" s="21"/>
      <c r="F728" s="21"/>
      <c r="G728" s="21"/>
      <c r="H728" s="758"/>
      <c r="I728" s="4"/>
      <c r="J728" s="161"/>
      <c r="K728" s="161"/>
      <c r="L728" s="1796"/>
      <c r="M728" s="428"/>
      <c r="N728" s="4"/>
      <c r="O728" s="141"/>
      <c r="AX728"/>
      <c r="AY728"/>
    </row>
    <row r="729" spans="1:61" x14ac:dyDescent="0.25">
      <c r="B729" s="679">
        <v>706.7</v>
      </c>
      <c r="C729" s="21" t="s">
        <v>256</v>
      </c>
      <c r="D729" s="21"/>
      <c r="E729" s="21"/>
      <c r="F729" s="21"/>
      <c r="G729" s="21"/>
      <c r="H729" s="758"/>
      <c r="I729" s="4"/>
      <c r="J729" s="544" t="s">
        <v>256</v>
      </c>
      <c r="K729" s="449"/>
      <c r="L729" s="449" t="s">
        <v>1098</v>
      </c>
      <c r="M729" s="453">
        <v>1</v>
      </c>
      <c r="N729" s="210"/>
      <c r="O729" s="503">
        <f>M729*S729*W729</f>
        <v>0</v>
      </c>
      <c r="P729" s="94" t="b">
        <v>0</v>
      </c>
      <c r="Q729" s="94" t="b">
        <v>1</v>
      </c>
      <c r="R729" s="134" t="b">
        <v>0</v>
      </c>
      <c r="S729" s="134" t="b">
        <f>IFERROR(NOT(OR(W694:W701,W741)),TRUE)</f>
        <v>1</v>
      </c>
      <c r="T729" s="94" t="b">
        <f>AND(NOT(S729),W729=TRUE)</f>
        <v>0</v>
      </c>
      <c r="W729" s="25"/>
      <c r="X729" s="418"/>
      <c r="AC729" s="371" t="b">
        <f>OR(AD729:AE729)</f>
        <v>0</v>
      </c>
      <c r="AD729" s="371" t="b">
        <f>T729</f>
        <v>0</v>
      </c>
      <c r="AE729" s="371"/>
      <c r="AL729" s="254" t="str">
        <f>SUBSTITUTE(SUBSTITUTE(SUBSTITUTE("dpa"&amp;$B729&amp;$C729&amp;$D729&amp;$E729,".","_"),"(","_"),")","")</f>
        <v>dpa706_7_1</v>
      </c>
      <c r="AM729" s="254">
        <f>M729</f>
        <v>1</v>
      </c>
      <c r="AN729" s="254" t="str">
        <f>SUBSTITUTE(SUBSTITUTE(SUBSTITUTE("dpc"&amp;$B729&amp;$C729&amp;$D729&amp;$E729,".","_"),"(","_"),")","")</f>
        <v>dpc706_7_1</v>
      </c>
      <c r="AO729" s="254">
        <f>O729</f>
        <v>0</v>
      </c>
      <c r="AP729" s="254" t="str">
        <f>SUBSTITUTE(SUBSTITUTE(SUBSTITUTE("dch"&amp;$B729&amp;$C729&amp;$D729&amp;$E729,".","_"),"(","_"),")","")</f>
        <v>dch706_7_1</v>
      </c>
      <c r="AQ729" s="254" t="str">
        <f>IF(LEN(W729)=0,"",W729)</f>
        <v/>
      </c>
      <c r="AR729" s="254" t="str">
        <f>SUBSTITUTE(SUBSTITUTE(SUBSTITUTE("dnt"&amp;$B729&amp;$C729&amp;$D729&amp;$E729,".","_"),"(","_"),")","")</f>
        <v>dnt706_7_1</v>
      </c>
      <c r="AS729" s="254" t="str">
        <f>IF(LEN(X729)=0,"",X729)</f>
        <v/>
      </c>
      <c r="AX729"/>
      <c r="AY729"/>
    </row>
    <row r="730" spans="1:61" x14ac:dyDescent="0.25">
      <c r="B730" s="679">
        <v>706.7</v>
      </c>
      <c r="C730" s="21" t="s">
        <v>258</v>
      </c>
      <c r="D730" s="21"/>
      <c r="E730" s="21"/>
      <c r="F730" s="21"/>
      <c r="G730" s="21"/>
      <c r="H730" s="758"/>
      <c r="I730" s="129"/>
      <c r="J730" s="543" t="s">
        <v>258</v>
      </c>
      <c r="K730" s="448"/>
      <c r="L730" s="448" t="s">
        <v>1099</v>
      </c>
      <c r="M730" s="452">
        <v>1</v>
      </c>
      <c r="N730" s="129"/>
      <c r="O730" s="502">
        <f>M730*S730*W730</f>
        <v>0</v>
      </c>
      <c r="P730" s="94" t="b">
        <v>0</v>
      </c>
      <c r="Q730" s="94" t="b">
        <v>1</v>
      </c>
      <c r="R730" s="94" t="b">
        <v>0</v>
      </c>
      <c r="S730" s="94" t="b">
        <f>IFERROR(NOT(OR(W694:W701,W741)),TRUE)</f>
        <v>1</v>
      </c>
      <c r="T730" s="94" t="b">
        <f>AND(NOT(S730),W730=TRUE)</f>
        <v>0</v>
      </c>
      <c r="U730" s="94"/>
      <c r="V730" s="94"/>
      <c r="W730" s="360"/>
      <c r="X730" s="1770"/>
      <c r="AC730" s="371" t="b">
        <f>OR(AD730:AE730)</f>
        <v>0</v>
      </c>
      <c r="AD730" s="371" t="b">
        <f>T730</f>
        <v>0</v>
      </c>
      <c r="AE730" s="371"/>
      <c r="AL730" s="254" t="str">
        <f>SUBSTITUTE(SUBSTITUTE(SUBSTITUTE("dpa"&amp;$B730&amp;$C730&amp;$D730&amp;$E730,".","_"),"(","_"),")","")</f>
        <v>dpa706_7_2</v>
      </c>
      <c r="AM730" s="254">
        <f>M730</f>
        <v>1</v>
      </c>
      <c r="AN730" s="254" t="str">
        <f>SUBSTITUTE(SUBSTITUTE(SUBSTITUTE("dpc"&amp;$B730&amp;$C730&amp;$D730&amp;$E730,".","_"),"(","_"),")","")</f>
        <v>dpc706_7_2</v>
      </c>
      <c r="AO730" s="254">
        <f>O730</f>
        <v>0</v>
      </c>
      <c r="AP730" s="254" t="str">
        <f>SUBSTITUTE(SUBSTITUTE(SUBSTITUTE("dch"&amp;$B730&amp;$C730&amp;$D730&amp;$E730,".","_"),"(","_"),")","")</f>
        <v>dch706_7_2</v>
      </c>
      <c r="AQ730" s="254" t="str">
        <f>IF(LEN(W730)=0,"",W730)</f>
        <v/>
      </c>
      <c r="AR730" s="254" t="str">
        <f>SUBSTITUTE(SUBSTITUTE(SUBSTITUTE("dnt"&amp;$B730&amp;$C730&amp;$D730&amp;$E730,".","_"),"(","_"),")","")</f>
        <v>dnt706_7_2</v>
      </c>
      <c r="AS730" s="254" t="str">
        <f>IF(LEN(X730)=0,"",X730)</f>
        <v/>
      </c>
      <c r="AX730"/>
      <c r="AY730"/>
    </row>
    <row r="731" spans="1:61" x14ac:dyDescent="0.25">
      <c r="B731" s="679">
        <v>706.7</v>
      </c>
      <c r="C731" s="90"/>
      <c r="D731" s="21"/>
      <c r="E731" s="21"/>
      <c r="F731" s="21"/>
      <c r="G731" s="21"/>
      <c r="H731" s="758"/>
      <c r="I731" s="129"/>
      <c r="J731" s="448"/>
      <c r="K731" s="448"/>
      <c r="L731" s="1782" t="s">
        <v>1100</v>
      </c>
      <c r="M731" s="452"/>
      <c r="N731" s="129"/>
      <c r="O731" s="502"/>
      <c r="P731" s="94"/>
      <c r="Q731" s="94"/>
      <c r="R731" s="94"/>
      <c r="S731" s="94"/>
      <c r="T731" s="94"/>
      <c r="U731" s="94"/>
      <c r="V731" s="94"/>
      <c r="W731" s="94"/>
      <c r="X731" s="1770"/>
      <c r="AX731"/>
      <c r="AY731"/>
    </row>
    <row r="732" spans="1:61" ht="15.75" thickBot="1" x14ac:dyDescent="0.3">
      <c r="B732" s="679">
        <v>706.7</v>
      </c>
      <c r="C732" s="90"/>
      <c r="D732" s="21"/>
      <c r="E732" s="21"/>
      <c r="F732" s="21"/>
      <c r="G732" s="21"/>
      <c r="H732" s="758"/>
      <c r="I732" s="240"/>
      <c r="J732" s="462"/>
      <c r="K732" s="462"/>
      <c r="L732" s="1797"/>
      <c r="M732" s="460"/>
      <c r="N732" s="240"/>
      <c r="O732" s="504"/>
      <c r="P732" s="99"/>
      <c r="Q732" s="99"/>
      <c r="R732" s="99"/>
      <c r="S732" s="99"/>
      <c r="T732" s="99"/>
      <c r="U732" s="99"/>
      <c r="V732" s="99"/>
      <c r="W732" s="99"/>
      <c r="X732" s="1771"/>
      <c r="AX732"/>
      <c r="AY732"/>
    </row>
    <row r="733" spans="1:61" ht="15.75" customHeight="1" thickTop="1" x14ac:dyDescent="0.25">
      <c r="B733" s="679">
        <v>706.8</v>
      </c>
      <c r="C733" s="90"/>
      <c r="D733" s="21"/>
      <c r="E733" s="21"/>
      <c r="F733" s="21"/>
      <c r="G733" s="21"/>
      <c r="H733" s="758"/>
      <c r="I733" s="180">
        <v>706.8</v>
      </c>
      <c r="J733" s="520"/>
      <c r="K733" s="520"/>
      <c r="L733" s="1899" t="s">
        <v>4352</v>
      </c>
      <c r="M733" s="1772">
        <v>2</v>
      </c>
      <c r="N733" s="181"/>
      <c r="O733" s="1773">
        <f>M733*S733*W733</f>
        <v>0</v>
      </c>
      <c r="P733" s="94" t="b">
        <v>1</v>
      </c>
      <c r="Q733" s="94" t="b">
        <v>1</v>
      </c>
      <c r="R733" s="105" t="b">
        <v>0</v>
      </c>
      <c r="S733" s="105" t="b">
        <v>1</v>
      </c>
      <c r="T733" s="105" t="b">
        <v>0</v>
      </c>
      <c r="U733" s="105"/>
      <c r="V733" s="105"/>
      <c r="W733" s="367"/>
      <c r="X733" s="1784"/>
      <c r="AC733" s="371"/>
      <c r="AD733" s="371"/>
      <c r="AE733" s="371"/>
      <c r="AL733" s="254" t="str">
        <f>SUBSTITUTE(SUBSTITUTE(SUBSTITUTE("dpa"&amp;$B733&amp;$C733&amp;$D733&amp;$E733,".","_"),"(","_"),")","")</f>
        <v>dpa706_8</v>
      </c>
      <c r="AM733" s="254">
        <f>M733</f>
        <v>2</v>
      </c>
      <c r="AN733" s="254" t="str">
        <f>SUBSTITUTE(SUBSTITUTE(SUBSTITUTE("dpc"&amp;$B733&amp;$C733&amp;$D733&amp;$E733,".","_"),"(","_"),")","")</f>
        <v>dpc706_8</v>
      </c>
      <c r="AO733" s="254">
        <f>O733</f>
        <v>0</v>
      </c>
      <c r="AP733" s="254" t="str">
        <f>SUBSTITUTE(SUBSTITUTE(SUBSTITUTE("dch"&amp;$B733&amp;$C733&amp;$D733&amp;$E733,".","_"),"(","_"),")","")</f>
        <v>dch706_8</v>
      </c>
      <c r="AQ733" s="254" t="str">
        <f>IF(LEN(W733)=0,"",W733)</f>
        <v/>
      </c>
      <c r="AR733" s="254" t="str">
        <f>SUBSTITUTE(SUBSTITUTE(SUBSTITUTE("dnt"&amp;$B733&amp;$C733&amp;$D733&amp;$E733,".","_"),"(","_"),")","")</f>
        <v>dnt706_8</v>
      </c>
      <c r="AS733" s="254" t="str">
        <f>IF(LEN(X733)=0,"",X733)</f>
        <v/>
      </c>
      <c r="AX733"/>
      <c r="AY733"/>
    </row>
    <row r="734" spans="1:61" x14ac:dyDescent="0.25">
      <c r="B734" s="679">
        <v>706.8</v>
      </c>
      <c r="C734" s="90"/>
      <c r="D734" s="21"/>
      <c r="E734" s="21"/>
      <c r="F734" s="21"/>
      <c r="G734" s="21"/>
      <c r="H734" s="758"/>
      <c r="I734" s="129"/>
      <c r="J734" s="448"/>
      <c r="K734" s="448"/>
      <c r="L734" s="1877"/>
      <c r="M734" s="1758"/>
      <c r="N734" s="129"/>
      <c r="O734" s="1774"/>
      <c r="P734" s="94"/>
      <c r="Q734" s="94"/>
      <c r="R734" s="94"/>
      <c r="S734" s="94"/>
      <c r="T734" s="94"/>
      <c r="U734" s="94"/>
      <c r="V734" s="94"/>
      <c r="W734" s="94"/>
      <c r="X734" s="1770"/>
      <c r="AX734"/>
      <c r="AY734"/>
    </row>
    <row r="735" spans="1:61" ht="15.75" thickBot="1" x14ac:dyDescent="0.3">
      <c r="B735" s="679">
        <v>706.8</v>
      </c>
      <c r="C735" s="90"/>
      <c r="D735" s="21"/>
      <c r="E735" s="21"/>
      <c r="F735" s="21"/>
      <c r="G735" s="21"/>
      <c r="H735" s="758"/>
      <c r="I735" s="240"/>
      <c r="J735" s="462"/>
      <c r="K735" s="462"/>
      <c r="L735" s="1900"/>
      <c r="M735" s="1768"/>
      <c r="N735" s="240"/>
      <c r="O735" s="1775"/>
      <c r="P735" s="99"/>
      <c r="Q735" s="99"/>
      <c r="R735" s="99"/>
      <c r="S735" s="99"/>
      <c r="T735" s="99"/>
      <c r="U735" s="99"/>
      <c r="V735" s="99"/>
      <c r="W735" s="99"/>
      <c r="X735" s="1771"/>
      <c r="AX735"/>
      <c r="AY735"/>
    </row>
    <row r="736" spans="1:61" s="816" customFormat="1" ht="15.75" thickTop="1" x14ac:dyDescent="0.25">
      <c r="A736" s="18"/>
      <c r="B736" s="679">
        <v>706.9</v>
      </c>
      <c r="C736" s="90"/>
      <c r="D736" s="21"/>
      <c r="E736" s="21"/>
      <c r="F736" s="21"/>
      <c r="G736" s="21"/>
      <c r="H736" s="758"/>
      <c r="I736" s="91" t="s">
        <v>4353</v>
      </c>
      <c r="J736" s="850"/>
      <c r="K736" s="850"/>
      <c r="L736" s="1877" t="s">
        <v>4354</v>
      </c>
      <c r="M736" s="1772">
        <v>1</v>
      </c>
      <c r="N736" s="181"/>
      <c r="O736" s="1773">
        <f>M736*S736*W736</f>
        <v>0</v>
      </c>
      <c r="P736" s="105" t="b">
        <v>1</v>
      </c>
      <c r="Q736" s="105" t="b">
        <v>1</v>
      </c>
      <c r="R736" s="105" t="b">
        <v>0</v>
      </c>
      <c r="S736" s="105" t="b">
        <v>1</v>
      </c>
      <c r="T736" s="105" t="b">
        <v>0</v>
      </c>
      <c r="U736" s="94"/>
      <c r="V736" s="94"/>
      <c r="W736" s="25"/>
      <c r="X736" s="1815"/>
      <c r="AL736" s="254" t="str">
        <f>SUBSTITUTE(SUBSTITUTE(SUBSTITUTE("dpa"&amp;$B736&amp;$C736&amp;$D736&amp;$E736,".","_"),"(","_"),")","")</f>
        <v>dpa706_9</v>
      </c>
      <c r="AM736" s="254">
        <f>M736</f>
        <v>1</v>
      </c>
      <c r="AN736" s="254" t="str">
        <f>SUBSTITUTE(SUBSTITUTE(SUBSTITUTE("dpc"&amp;$B736&amp;$C736&amp;$D736&amp;$E736,".","_"),"(","_"),")","")</f>
        <v>dpc706_9</v>
      </c>
      <c r="AO736" s="254">
        <f>O736</f>
        <v>0</v>
      </c>
      <c r="AP736" s="254" t="str">
        <f>SUBSTITUTE(SUBSTITUTE(SUBSTITUTE("dch"&amp;$B736&amp;$C736&amp;$D736&amp;$E736,".","_"),"(","_"),")","")</f>
        <v>dch706_9</v>
      </c>
      <c r="AQ736" s="254" t="str">
        <f>IF(LEN(W736)=0,"",W736)</f>
        <v/>
      </c>
      <c r="AR736" s="254" t="str">
        <f>SUBSTITUTE(SUBSTITUTE(SUBSTITUTE("dnt"&amp;$B736&amp;$C736&amp;$D736&amp;$E736,".","_"),"(","_"),")","")</f>
        <v>dnt706_9</v>
      </c>
      <c r="AS736" s="254" t="str">
        <f>IF(LEN(X736)=0,"",X736)</f>
        <v/>
      </c>
      <c r="AX736"/>
      <c r="AY736"/>
      <c r="AZ736" s="76"/>
      <c r="BA736" s="76"/>
      <c r="BB736" s="76"/>
      <c r="BC736" s="76"/>
      <c r="BD736" s="76"/>
      <c r="BE736" s="76"/>
      <c r="BF736" s="76"/>
      <c r="BG736" s="76"/>
      <c r="BH736" s="76"/>
      <c r="BI736" s="76"/>
    </row>
    <row r="737" spans="1:61" s="816" customFormat="1" x14ac:dyDescent="0.25">
      <c r="A737" s="18"/>
      <c r="B737" s="679">
        <v>706.9</v>
      </c>
      <c r="C737" s="90"/>
      <c r="D737" s="21"/>
      <c r="E737" s="21"/>
      <c r="F737" s="21"/>
      <c r="G737" s="21"/>
      <c r="H737" s="758"/>
      <c r="I737" s="102"/>
      <c r="J737" s="850"/>
      <c r="K737" s="850"/>
      <c r="L737" s="1877"/>
      <c r="M737" s="1758"/>
      <c r="N737" s="129"/>
      <c r="O737" s="1774"/>
      <c r="P737" s="94"/>
      <c r="Q737" s="94"/>
      <c r="R737" s="94"/>
      <c r="S737" s="94"/>
      <c r="T737" s="94"/>
      <c r="U737" s="94"/>
      <c r="V737" s="94"/>
      <c r="W737" s="94"/>
      <c r="X737" s="1799"/>
      <c r="AX737"/>
      <c r="AY737"/>
    </row>
    <row r="738" spans="1:61" s="816" customFormat="1" ht="15" customHeight="1" x14ac:dyDescent="0.25">
      <c r="A738" s="18"/>
      <c r="B738" s="679">
        <v>706.9</v>
      </c>
      <c r="C738" s="90"/>
      <c r="D738" s="21"/>
      <c r="E738" s="21"/>
      <c r="F738" s="21"/>
      <c r="G738" s="21"/>
      <c r="H738" s="758"/>
      <c r="I738" s="102"/>
      <c r="J738" s="850"/>
      <c r="K738" s="850"/>
      <c r="L738" s="1877"/>
      <c r="M738" s="1758"/>
      <c r="N738" s="129"/>
      <c r="O738" s="1774"/>
      <c r="P738" s="94"/>
      <c r="Q738" s="94"/>
      <c r="R738" s="94"/>
      <c r="S738" s="94"/>
      <c r="T738" s="94"/>
      <c r="U738" s="94"/>
      <c r="V738" s="94"/>
      <c r="W738" s="94"/>
      <c r="X738" s="1799"/>
      <c r="AX738"/>
      <c r="AY738"/>
    </row>
    <row r="739" spans="1:61" s="816" customFormat="1" ht="15" customHeight="1" x14ac:dyDescent="0.25">
      <c r="A739" s="18"/>
      <c r="B739" s="679">
        <v>706.9</v>
      </c>
      <c r="C739" s="90"/>
      <c r="D739" s="21"/>
      <c r="E739" s="21"/>
      <c r="F739" s="21"/>
      <c r="G739" s="21"/>
      <c r="H739" s="758"/>
      <c r="I739" s="102"/>
      <c r="J739" s="850"/>
      <c r="K739" s="850"/>
      <c r="L739" s="1877"/>
      <c r="M739" s="1758"/>
      <c r="N739" s="129"/>
      <c r="O739" s="1774"/>
      <c r="P739" s="94"/>
      <c r="Q739" s="94"/>
      <c r="R739" s="94"/>
      <c r="S739" s="94"/>
      <c r="T739" s="94"/>
      <c r="U739" s="94"/>
      <c r="V739" s="94"/>
      <c r="W739" s="94"/>
      <c r="X739" s="1799"/>
      <c r="AX739"/>
      <c r="AY739"/>
    </row>
    <row r="740" spans="1:61" s="816" customFormat="1" ht="15.75" thickBot="1" x14ac:dyDescent="0.3">
      <c r="A740" s="18"/>
      <c r="B740" s="679">
        <v>706.9</v>
      </c>
      <c r="C740" s="90"/>
      <c r="D740" s="21"/>
      <c r="E740" s="21"/>
      <c r="F740" s="21"/>
      <c r="G740" s="21"/>
      <c r="H740" s="758"/>
      <c r="I740" s="103"/>
      <c r="J740" s="852"/>
      <c r="K740" s="852"/>
      <c r="L740" s="1900"/>
      <c r="M740" s="1768"/>
      <c r="N740" s="240"/>
      <c r="O740" s="1775"/>
      <c r="P740" s="99"/>
      <c r="Q740" s="99"/>
      <c r="R740" s="99"/>
      <c r="S740" s="99"/>
      <c r="T740" s="99"/>
      <c r="U740" s="99"/>
      <c r="V740" s="99"/>
      <c r="W740" s="112"/>
      <c r="X740" s="1800"/>
      <c r="AX740"/>
      <c r="AY740"/>
    </row>
    <row r="741" spans="1:61" s="134" customFormat="1" ht="15.75" thickTop="1" x14ac:dyDescent="0.25">
      <c r="A741" s="18"/>
      <c r="B741" s="679" t="s">
        <v>4355</v>
      </c>
      <c r="C741" s="90"/>
      <c r="D741" s="21"/>
      <c r="E741" s="21"/>
      <c r="F741" s="21"/>
      <c r="G741" s="21"/>
      <c r="H741" s="758"/>
      <c r="I741" s="78" t="s">
        <v>4355</v>
      </c>
      <c r="J741" s="161"/>
      <c r="K741" s="161"/>
      <c r="L741" s="1796" t="s">
        <v>4356</v>
      </c>
      <c r="M741" s="1767">
        <v>1</v>
      </c>
      <c r="N741" s="4"/>
      <c r="O741" s="1780">
        <f>M741*S741*W741</f>
        <v>0</v>
      </c>
      <c r="P741" s="94" t="b">
        <v>0</v>
      </c>
      <c r="Q741" s="94" t="b">
        <v>1</v>
      </c>
      <c r="R741" s="134" t="b">
        <v>0</v>
      </c>
      <c r="S741" s="371" t="b">
        <f>IFERROR(NOT(OR(W694:W701,W729:W730)),TRUE)</f>
        <v>1</v>
      </c>
      <c r="T741" s="94" t="b">
        <f>AND(NOT(S741),W741=TRUE)</f>
        <v>0</v>
      </c>
      <c r="U741" s="76"/>
      <c r="V741" s="76"/>
      <c r="W741" s="117"/>
      <c r="X741" s="1756"/>
      <c r="Y741" s="780"/>
      <c r="Z741" s="76"/>
      <c r="AA741" s="783"/>
      <c r="AB741" s="76"/>
      <c r="AC741" s="816" t="b">
        <f>OR(AD741:AE741)</f>
        <v>0</v>
      </c>
      <c r="AD741" s="816" t="b">
        <f>T741</f>
        <v>0</v>
      </c>
      <c r="AE741" s="371"/>
      <c r="AF741" s="76"/>
      <c r="AG741" s="76"/>
      <c r="AH741" s="76"/>
      <c r="AI741" s="76"/>
      <c r="AJ741" s="76"/>
      <c r="AK741" s="76"/>
      <c r="AL741" s="254" t="str">
        <f>SUBSTITUTE(SUBSTITUTE(SUBSTITUTE("dpa"&amp;$B741&amp;$C741&amp;$D741&amp;$E741,".","_"),"(","_"),")","")</f>
        <v>dpa706_10</v>
      </c>
      <c r="AM741" s="254">
        <f>M741</f>
        <v>1</v>
      </c>
      <c r="AN741" s="254" t="str">
        <f>SUBSTITUTE(SUBSTITUTE(SUBSTITUTE("dpc"&amp;$B741&amp;$C741&amp;$D741&amp;$E741,".","_"),"(","_"),")","")</f>
        <v>dpc706_10</v>
      </c>
      <c r="AO741" s="254">
        <f>O741</f>
        <v>0</v>
      </c>
      <c r="AP741" s="254" t="str">
        <f>SUBSTITUTE(SUBSTITUTE(SUBSTITUTE("dch"&amp;$B741&amp;$C741&amp;$D741&amp;$E741,".","_"),"(","_"),")","")</f>
        <v>dch706_10</v>
      </c>
      <c r="AQ741" s="254" t="str">
        <f>IF(LEN(W741)=0,"",W741)</f>
        <v/>
      </c>
      <c r="AR741" s="254" t="str">
        <f>SUBSTITUTE(SUBSTITUTE(SUBSTITUTE("dnt"&amp;$B741&amp;$C741&amp;$D741&amp;$E741,".","_"),"(","_"),")","")</f>
        <v>dnt706_10</v>
      </c>
      <c r="AS741" s="254" t="str">
        <f>IF(LEN(X741)=0,"",X741)</f>
        <v/>
      </c>
      <c r="AT741" s="76"/>
      <c r="AU741" s="76"/>
      <c r="AV741" s="76"/>
      <c r="AW741" s="76"/>
      <c r="AX741"/>
      <c r="AY741"/>
      <c r="AZ741" s="816"/>
      <c r="BA741" s="816"/>
      <c r="BB741" s="816"/>
      <c r="BC741" s="816"/>
      <c r="BD741" s="816"/>
      <c r="BE741" s="816"/>
      <c r="BF741" s="816"/>
      <c r="BG741" s="816"/>
      <c r="BH741" s="816"/>
      <c r="BI741" s="816"/>
    </row>
    <row r="742" spans="1:61" x14ac:dyDescent="0.25">
      <c r="B742" s="679" t="s">
        <v>4355</v>
      </c>
      <c r="C742" s="90"/>
      <c r="D742" s="21"/>
      <c r="E742" s="21"/>
      <c r="F742" s="21"/>
      <c r="G742" s="21"/>
      <c r="H742" s="758"/>
      <c r="I742" s="4"/>
      <c r="J742" s="161"/>
      <c r="K742" s="161"/>
      <c r="L742" s="1796"/>
      <c r="M742" s="1767"/>
      <c r="N742" s="4"/>
      <c r="O742" s="1780"/>
      <c r="X742" s="1757"/>
      <c r="Z742" s="134"/>
      <c r="AB742" s="134"/>
      <c r="AC742" s="816"/>
      <c r="AD742" s="816"/>
      <c r="AE742" s="134"/>
      <c r="AF742" s="134"/>
      <c r="AG742" s="134"/>
      <c r="AH742" s="134"/>
      <c r="AI742" s="134"/>
      <c r="AJ742" s="134"/>
      <c r="AK742" s="134"/>
      <c r="AL742" s="134"/>
      <c r="AM742" s="134"/>
      <c r="AN742" s="134"/>
      <c r="AO742" s="134"/>
      <c r="AP742" s="134"/>
      <c r="AQ742" s="134"/>
      <c r="AR742" s="134"/>
      <c r="AS742" s="134"/>
      <c r="AT742" s="134"/>
      <c r="AU742" s="134"/>
      <c r="AV742" s="134"/>
      <c r="AW742" s="134"/>
      <c r="AX742"/>
      <c r="AY742"/>
      <c r="AZ742" s="134"/>
      <c r="BA742" s="134"/>
      <c r="BB742" s="134"/>
      <c r="BC742" s="134"/>
      <c r="BD742" s="134"/>
      <c r="BE742" s="134"/>
      <c r="BF742" s="134"/>
      <c r="BG742" s="134"/>
      <c r="BH742" s="134"/>
      <c r="BI742" s="134"/>
    </row>
    <row r="743" spans="1:61" x14ac:dyDescent="0.25">
      <c r="B743" s="679" t="s">
        <v>4355</v>
      </c>
      <c r="C743" s="90"/>
      <c r="D743" s="21"/>
      <c r="E743" s="21"/>
      <c r="F743" s="21"/>
      <c r="G743" s="21"/>
      <c r="H743" s="758"/>
      <c r="I743" s="4"/>
      <c r="J743" s="161"/>
      <c r="K743" s="161"/>
      <c r="L743" s="1796"/>
      <c r="M743" s="1767"/>
      <c r="N743" s="4"/>
      <c r="O743" s="1780"/>
      <c r="P743" s="134"/>
      <c r="Q743" s="134"/>
      <c r="R743" s="134"/>
      <c r="S743" s="134"/>
      <c r="T743" s="134"/>
      <c r="U743" s="134"/>
      <c r="V743" s="134"/>
      <c r="W743" s="134"/>
      <c r="X743" s="1757"/>
      <c r="AC743" s="816"/>
      <c r="AD743" s="816"/>
      <c r="AX743"/>
      <c r="AY743"/>
    </row>
    <row r="744" spans="1:61" x14ac:dyDescent="0.25">
      <c r="B744" s="679" t="s">
        <v>4355</v>
      </c>
      <c r="C744" s="90"/>
      <c r="D744" s="21"/>
      <c r="E744" s="21"/>
      <c r="F744" s="21"/>
      <c r="G744" s="21"/>
      <c r="H744" s="758"/>
      <c r="I744" s="4"/>
      <c r="J744" s="161"/>
      <c r="K744" s="161"/>
      <c r="L744" s="1796" t="s">
        <v>4357</v>
      </c>
      <c r="M744" s="141"/>
      <c r="X744" s="1757"/>
      <c r="AC744" s="816"/>
      <c r="AD744" s="816"/>
      <c r="AX744"/>
      <c r="AY744"/>
    </row>
    <row r="745" spans="1:61" ht="15.75" thickBot="1" x14ac:dyDescent="0.3">
      <c r="B745" s="679" t="s">
        <v>4355</v>
      </c>
      <c r="C745" s="90"/>
      <c r="D745" s="21"/>
      <c r="E745" s="21"/>
      <c r="F745" s="21"/>
      <c r="G745" s="21"/>
      <c r="H745" s="758"/>
      <c r="I745" s="4"/>
      <c r="J745" s="161"/>
      <c r="K745" s="161"/>
      <c r="L745" s="1796"/>
      <c r="M745" s="141"/>
      <c r="V745" s="99"/>
      <c r="W745" s="112"/>
      <c r="X745" s="1757"/>
      <c r="AC745" s="816"/>
      <c r="AD745" s="816"/>
    </row>
    <row r="746" spans="1:61" customFormat="1" ht="15.75" thickTop="1" x14ac:dyDescent="0.25">
      <c r="B746" s="679">
        <v>706.11</v>
      </c>
      <c r="C746" s="679"/>
      <c r="I746" s="682" t="s">
        <v>4364</v>
      </c>
      <c r="J746" s="682"/>
      <c r="K746" s="682"/>
      <c r="L746" s="1899" t="s">
        <v>4372</v>
      </c>
      <c r="M746" s="1772">
        <v>2</v>
      </c>
      <c r="N746" s="181"/>
      <c r="O746" s="1773">
        <f>M746*S746*W746</f>
        <v>0</v>
      </c>
      <c r="P746" s="105" t="b">
        <v>1</v>
      </c>
      <c r="Q746" s="105" t="b">
        <v>1</v>
      </c>
      <c r="R746" s="105" t="b">
        <v>0</v>
      </c>
      <c r="S746" s="105" t="b">
        <v>1</v>
      </c>
      <c r="T746" s="105" t="b">
        <v>0</v>
      </c>
      <c r="U746" s="105"/>
      <c r="W746" s="117"/>
      <c r="X746" s="1784"/>
      <c r="AC746" s="816"/>
      <c r="AD746" s="816"/>
      <c r="AL746" s="254" t="str">
        <f>SUBSTITUTE(SUBSTITUTE(SUBSTITUTE("dpa"&amp;$B746&amp;$C746&amp;$D746&amp;$E746,".","_"),"(","_"),")","")</f>
        <v>dpa706_11</v>
      </c>
      <c r="AM746" s="254">
        <f>M746</f>
        <v>2</v>
      </c>
      <c r="AN746" s="254" t="str">
        <f>SUBSTITUTE(SUBSTITUTE(SUBSTITUTE("dpc"&amp;$B746&amp;$C746&amp;$D746&amp;$E746,".","_"),"(","_"),")","")</f>
        <v>dpc706_11</v>
      </c>
      <c r="AO746" s="254">
        <f>O746</f>
        <v>0</v>
      </c>
      <c r="AP746" s="254" t="str">
        <f>SUBSTITUTE(SUBSTITUTE(SUBSTITUTE("dch"&amp;$B746&amp;$C746&amp;$D746&amp;$E746,".","_"),"(","_"),")","")</f>
        <v>dch706_11</v>
      </c>
      <c r="AQ746" s="254" t="str">
        <f>IF(LEN(W746)=0,"",W746)</f>
        <v/>
      </c>
      <c r="AR746" s="254" t="str">
        <f>SUBSTITUTE(SUBSTITUTE(SUBSTITUTE("dnt"&amp;$B746&amp;$C746&amp;$D746&amp;$E746,".","_"),"(","_"),")","")</f>
        <v>dnt706_11</v>
      </c>
      <c r="AS746" s="254" t="str">
        <f>IF(LEN(X746)=0,"",X746)</f>
        <v/>
      </c>
      <c r="AX746" s="76"/>
      <c r="AY746" s="76"/>
      <c r="AZ746" s="76"/>
      <c r="BA746" s="76"/>
      <c r="BB746" s="76"/>
      <c r="BC746" s="76"/>
      <c r="BD746" s="76"/>
      <c r="BE746" s="76"/>
      <c r="BF746" s="76"/>
      <c r="BG746" s="76"/>
      <c r="BH746" s="76"/>
      <c r="BI746" s="76"/>
    </row>
    <row r="747" spans="1:61" customFormat="1" ht="15.75" thickBot="1" x14ac:dyDescent="0.3">
      <c r="B747" s="679">
        <v>706.11</v>
      </c>
      <c r="C747" s="679"/>
      <c r="I747" s="673"/>
      <c r="J747" s="673"/>
      <c r="K747" s="673"/>
      <c r="L747" s="1900"/>
      <c r="M747" s="1768"/>
      <c r="N747" s="240"/>
      <c r="O747" s="1775"/>
      <c r="P747" s="99"/>
      <c r="Q747" s="99"/>
      <c r="R747" s="99"/>
      <c r="S747" s="99"/>
      <c r="T747" s="99"/>
      <c r="U747" s="99"/>
      <c r="V747" s="99"/>
      <c r="W747" s="112"/>
      <c r="X747" s="1771"/>
      <c r="AC747" s="816"/>
      <c r="AD747" s="816"/>
      <c r="AX747" s="76"/>
      <c r="AY747" s="76"/>
    </row>
    <row r="748" spans="1:61" customFormat="1" ht="15.75" thickTop="1" x14ac:dyDescent="0.25">
      <c r="B748" s="679">
        <v>706.12</v>
      </c>
      <c r="C748" s="679"/>
      <c r="I748" s="682" t="s">
        <v>4365</v>
      </c>
      <c r="J748" s="682"/>
      <c r="K748" s="682"/>
      <c r="L748" s="1899" t="s">
        <v>5589</v>
      </c>
      <c r="M748" s="1772">
        <v>1</v>
      </c>
      <c r="N748" s="181"/>
      <c r="O748" s="1773">
        <f>M748*S748*W748</f>
        <v>0</v>
      </c>
      <c r="P748" s="105" t="b">
        <v>1</v>
      </c>
      <c r="Q748" s="105" t="b">
        <v>1</v>
      </c>
      <c r="R748" s="105" t="b">
        <v>0</v>
      </c>
      <c r="S748" s="105" t="b">
        <v>1</v>
      </c>
      <c r="T748" s="105" t="b">
        <v>0</v>
      </c>
      <c r="U748" s="94"/>
      <c r="W748" s="117"/>
      <c r="X748" s="1784"/>
      <c r="AC748" s="816"/>
      <c r="AD748" s="816"/>
      <c r="AL748" s="254" t="str">
        <f>SUBSTITUTE(SUBSTITUTE(SUBSTITUTE("dpa"&amp;$B748&amp;$C748&amp;$D748&amp;$E748,".","_"),"(","_"),")","")</f>
        <v>dpa706_12</v>
      </c>
      <c r="AM748" s="254">
        <f>M748</f>
        <v>1</v>
      </c>
      <c r="AN748" s="254" t="str">
        <f>SUBSTITUTE(SUBSTITUTE(SUBSTITUTE("dpc"&amp;$B748&amp;$C748&amp;$D748&amp;$E748,".","_"),"(","_"),")","")</f>
        <v>dpc706_12</v>
      </c>
      <c r="AO748" s="254">
        <f>O748</f>
        <v>0</v>
      </c>
      <c r="AP748" s="254" t="str">
        <f>SUBSTITUTE(SUBSTITUTE(SUBSTITUTE("dch"&amp;$B748&amp;$C748&amp;$D748&amp;$E748,".","_"),"(","_"),")","")</f>
        <v>dch706_12</v>
      </c>
      <c r="AQ748" s="254" t="str">
        <f>IF(LEN(W748)=0,"",W748)</f>
        <v/>
      </c>
      <c r="AR748" s="254" t="str">
        <f>SUBSTITUTE(SUBSTITUTE(SUBSTITUTE("dnt"&amp;$B748&amp;$C748&amp;$D748&amp;$E748,".","_"),"(","_"),")","")</f>
        <v>dnt706_12</v>
      </c>
      <c r="AS748" s="254" t="str">
        <f>IF(LEN(X748)=0,"",X748)</f>
        <v/>
      </c>
      <c r="AX748" s="76"/>
      <c r="AY748" s="76"/>
    </row>
    <row r="749" spans="1:61" customFormat="1" x14ac:dyDescent="0.25">
      <c r="B749" s="679">
        <v>706.12</v>
      </c>
      <c r="C749" s="679"/>
      <c r="I749" s="667"/>
      <c r="J749" s="667"/>
      <c r="K749" s="667"/>
      <c r="L749" s="1833"/>
      <c r="M749" s="1767"/>
      <c r="N749" s="4"/>
      <c r="O749" s="1780"/>
      <c r="P749" s="816"/>
      <c r="Q749" s="816"/>
      <c r="R749" s="816"/>
      <c r="S749" s="816"/>
      <c r="T749" s="816"/>
      <c r="U749" s="816"/>
      <c r="X749" s="1757"/>
      <c r="AC749" s="816"/>
      <c r="AD749" s="816"/>
      <c r="AX749" s="76"/>
      <c r="AY749" s="76"/>
    </row>
    <row r="750" spans="1:61" customFormat="1" x14ac:dyDescent="0.25">
      <c r="B750" s="679">
        <v>706.12</v>
      </c>
      <c r="C750" s="679"/>
      <c r="I750" s="667"/>
      <c r="J750" s="667"/>
      <c r="K750" s="667"/>
      <c r="L750" s="1833"/>
      <c r="M750" s="1767"/>
      <c r="N750" s="4"/>
      <c r="O750" s="1780"/>
      <c r="P750" s="816"/>
      <c r="Q750" s="816"/>
      <c r="R750" s="816"/>
      <c r="S750" s="816"/>
      <c r="T750" s="816"/>
      <c r="U750" s="816"/>
      <c r="X750" s="1757"/>
      <c r="AC750" s="816"/>
      <c r="AD750" s="816"/>
      <c r="AX750" s="76"/>
      <c r="AY750" s="76"/>
    </row>
    <row r="751" spans="1:61" customFormat="1" ht="15.75" thickBot="1" x14ac:dyDescent="0.3">
      <c r="B751" s="679">
        <v>706.12</v>
      </c>
      <c r="C751" s="679"/>
      <c r="I751" s="673"/>
      <c r="J751" s="673"/>
      <c r="K751" s="673"/>
      <c r="L751" s="1900"/>
      <c r="M751" s="1768"/>
      <c r="N751" s="99"/>
      <c r="O751" s="1775"/>
      <c r="P751" s="99"/>
      <c r="Q751" s="99"/>
      <c r="R751" s="99"/>
      <c r="S751" s="99"/>
      <c r="T751" s="99"/>
      <c r="U751" s="99"/>
      <c r="V751" s="99"/>
      <c r="W751" s="112"/>
      <c r="X751" s="1771"/>
      <c r="AC751" s="816"/>
      <c r="AD751" s="816"/>
      <c r="AX751" s="76"/>
      <c r="AY751" s="76"/>
    </row>
    <row r="752" spans="1:61" customFormat="1" ht="15.75" thickTop="1" x14ac:dyDescent="0.25">
      <c r="B752" s="679">
        <v>706.13</v>
      </c>
      <c r="C752" s="679"/>
      <c r="I752" s="682" t="s">
        <v>4366</v>
      </c>
      <c r="J752" s="682"/>
      <c r="K752" s="682"/>
      <c r="L752" s="1899" t="s">
        <v>4371</v>
      </c>
      <c r="M752" s="105"/>
      <c r="N752" s="105"/>
      <c r="O752" s="1773">
        <f ca="1">IFERROR(INDEX({1,2},MATCH(W752,INDIRECT(U752),0)),0)</f>
        <v>0</v>
      </c>
      <c r="P752" s="105" t="b">
        <v>0</v>
      </c>
      <c r="Q752" s="105" t="b">
        <v>1</v>
      </c>
      <c r="R752" s="105" t="b">
        <v>0</v>
      </c>
      <c r="S752" s="105" t="b">
        <v>1</v>
      </c>
      <c r="T752" s="105" t="b">
        <v>0</v>
      </c>
      <c r="U752" s="105" t="str">
        <f>SUBSTITUTE(SUBSTITUTE(SUBSTITUTE("dd"&amp;B752&amp;C752&amp;D752&amp;E752&amp;F752,".","_"),"(","_"),")","")</f>
        <v>dd706_13</v>
      </c>
      <c r="W752" s="255"/>
      <c r="X752" s="1784"/>
      <c r="AC752" s="816"/>
      <c r="AD752" s="816"/>
      <c r="AN752" s="254" t="str">
        <f>SUBSTITUTE(SUBSTITUTE(SUBSTITUTE("dpc"&amp;$B752&amp;$C752&amp;$D752&amp;$E752,".","_"),"(","_"),")","")</f>
        <v>dpc706_13</v>
      </c>
      <c r="AO752" s="254">
        <f ca="1">O752</f>
        <v>0</v>
      </c>
      <c r="AP752" s="254" t="str">
        <f>SUBSTITUTE(SUBSTITUTE(SUBSTITUTE("dch"&amp;$B752&amp;$C752&amp;$D752&amp;$E752,".","_"),"(","_"),")","")</f>
        <v>dch706_13</v>
      </c>
      <c r="AQ752" s="254" t="str">
        <f>IF(LEN(W752)=0,"",W752)</f>
        <v/>
      </c>
      <c r="AR752" s="254" t="str">
        <f>SUBSTITUTE(SUBSTITUTE(SUBSTITUTE("dnt"&amp;$B752&amp;$C752&amp;$D752&amp;$E752,".","_"),"(","_"),")","")</f>
        <v>dnt706_13</v>
      </c>
      <c r="AS752" s="254" t="str">
        <f>IF(LEN(X752)=0,"",X752)</f>
        <v/>
      </c>
      <c r="AX752" s="76"/>
      <c r="AY752" s="76"/>
    </row>
    <row r="753" spans="1:61" customFormat="1" x14ac:dyDescent="0.25">
      <c r="B753" s="679">
        <v>706.13</v>
      </c>
      <c r="C753" s="679"/>
      <c r="I753" s="667"/>
      <c r="J753" s="667"/>
      <c r="K753" s="667"/>
      <c r="L753" s="1833"/>
      <c r="M753" s="816"/>
      <c r="N753" s="816"/>
      <c r="O753" s="1780"/>
      <c r="P753" s="816"/>
      <c r="Q753" s="816"/>
      <c r="R753" s="816"/>
      <c r="S753" s="816"/>
      <c r="T753" s="816"/>
      <c r="U753" s="816"/>
      <c r="X753" s="1757"/>
      <c r="AC753" s="816"/>
      <c r="AD753" s="816"/>
      <c r="AX753" s="76"/>
      <c r="AY753" s="76"/>
    </row>
    <row r="754" spans="1:61" customFormat="1" x14ac:dyDescent="0.25">
      <c r="B754" s="679">
        <v>706.13</v>
      </c>
      <c r="C754" s="679" t="s">
        <v>256</v>
      </c>
      <c r="I754" s="667"/>
      <c r="J754" s="684" t="s">
        <v>256</v>
      </c>
      <c r="K754" s="684"/>
      <c r="L754" s="857" t="s">
        <v>4358</v>
      </c>
      <c r="M754" s="905">
        <v>1</v>
      </c>
      <c r="N754" s="816"/>
      <c r="O754" s="824"/>
      <c r="P754" s="816"/>
      <c r="Q754" s="816"/>
      <c r="R754" s="816"/>
      <c r="S754" s="816"/>
      <c r="T754" s="816"/>
      <c r="U754" s="816"/>
      <c r="X754" s="1757"/>
      <c r="AC754" s="816"/>
      <c r="AD754" s="816"/>
      <c r="AL754" s="254" t="str">
        <f>SUBSTITUTE(SUBSTITUTE(SUBSTITUTE("dpa"&amp;$B754&amp;$C754&amp;$D754&amp;$E754,".","_"),"(","_"),")","")</f>
        <v>dpa706_13_1</v>
      </c>
      <c r="AM754" s="254">
        <f>M754</f>
        <v>1</v>
      </c>
      <c r="AX754" s="76"/>
      <c r="AY754" s="76"/>
    </row>
    <row r="755" spans="1:61" customFormat="1" ht="15.75" thickBot="1" x14ac:dyDescent="0.3">
      <c r="B755" s="679">
        <v>706.13</v>
      </c>
      <c r="C755" s="679" t="s">
        <v>258</v>
      </c>
      <c r="I755" s="673"/>
      <c r="J755" s="673" t="s">
        <v>258</v>
      </c>
      <c r="K755" s="673"/>
      <c r="L755" s="853" t="s">
        <v>4359</v>
      </c>
      <c r="M755" s="906">
        <v>2</v>
      </c>
      <c r="N755" s="99"/>
      <c r="O755" s="99"/>
      <c r="P755" s="99"/>
      <c r="Q755" s="99"/>
      <c r="R755" s="99"/>
      <c r="S755" s="99"/>
      <c r="T755" s="99"/>
      <c r="U755" s="99"/>
      <c r="V755" s="99"/>
      <c r="W755" s="112"/>
      <c r="X755" s="1771"/>
      <c r="AC755" s="816"/>
      <c r="AD755" s="816"/>
      <c r="AL755" s="254" t="str">
        <f>SUBSTITUTE(SUBSTITUTE(SUBSTITUTE("dpa"&amp;$B755&amp;$C755&amp;$D755&amp;$E755,".","_"),"(","_"),")","")</f>
        <v>dpa706_13_2</v>
      </c>
      <c r="AM755" s="254">
        <f>M755</f>
        <v>2</v>
      </c>
      <c r="AX755" s="76"/>
      <c r="AY755" s="76"/>
    </row>
    <row r="756" spans="1:61" customFormat="1" ht="15.75" thickTop="1" x14ac:dyDescent="0.25">
      <c r="B756" s="679">
        <v>706.14</v>
      </c>
      <c r="C756" s="679"/>
      <c r="I756" s="667" t="s">
        <v>4367</v>
      </c>
      <c r="J756" s="667"/>
      <c r="K756" s="667"/>
      <c r="L756" s="861" t="s">
        <v>4370</v>
      </c>
      <c r="M756" s="816"/>
      <c r="N756" s="816"/>
      <c r="O756" s="816"/>
      <c r="P756" s="816"/>
      <c r="Q756" s="816"/>
      <c r="R756" s="816"/>
      <c r="S756" s="816"/>
      <c r="T756" s="816"/>
      <c r="U756" s="816"/>
      <c r="X756" s="816"/>
      <c r="AC756" s="816"/>
      <c r="AD756" s="816"/>
      <c r="AX756" s="76"/>
      <c r="AY756" s="76"/>
    </row>
    <row r="757" spans="1:61" customFormat="1" x14ac:dyDescent="0.25">
      <c r="B757" s="679">
        <v>706.14</v>
      </c>
      <c r="C757" s="679" t="s">
        <v>256</v>
      </c>
      <c r="I757" s="667"/>
      <c r="J757" s="667" t="s">
        <v>256</v>
      </c>
      <c r="K757" s="667"/>
      <c r="L757" s="1787" t="s">
        <v>4360</v>
      </c>
      <c r="M757" s="1908">
        <v>3</v>
      </c>
      <c r="N757" s="816"/>
      <c r="O757" s="1776">
        <f ca="1">M757*S757*W757</f>
        <v>0</v>
      </c>
      <c r="P757" s="816" t="b">
        <v>1</v>
      </c>
      <c r="Q757" s="816" t="b">
        <v>1</v>
      </c>
      <c r="R757" s="816" t="b">
        <v>0</v>
      </c>
      <c r="S757" s="816" t="b">
        <f ca="1">IF(AY19=INDEX(INDIRECT("ddSingleOrMulti"),2),TRUE,FALSE)</f>
        <v>0</v>
      </c>
      <c r="T757" s="816" t="b">
        <v>0</v>
      </c>
      <c r="U757" s="816"/>
      <c r="W757" s="25"/>
      <c r="X757" s="1757"/>
      <c r="AC757" s="816" t="b">
        <f>OR(AD757:AE757)</f>
        <v>0</v>
      </c>
      <c r="AD757" s="816" t="b">
        <f>T757</f>
        <v>0</v>
      </c>
      <c r="AL757" s="254" t="str">
        <f>SUBSTITUTE(SUBSTITUTE(SUBSTITUTE("dpa"&amp;$B757&amp;$C757&amp;$D757&amp;$E757,".","_"),"(","_"),")","")</f>
        <v>dpa706_14_1</v>
      </c>
      <c r="AM757" s="254">
        <f>M757</f>
        <v>3</v>
      </c>
      <c r="AN757" s="254" t="str">
        <f>SUBSTITUTE(SUBSTITUTE(SUBSTITUTE("dpc"&amp;$B757&amp;$C757&amp;$D757&amp;$E757,".","_"),"(","_"),")","")</f>
        <v>dpc706_14_1</v>
      </c>
      <c r="AO757" s="254">
        <f ca="1">O757</f>
        <v>0</v>
      </c>
      <c r="AP757" s="254" t="str">
        <f>SUBSTITUTE(SUBSTITUTE(SUBSTITUTE("dch"&amp;$B757&amp;$C757&amp;$D757&amp;$E757,".","_"),"(","_"),")","")</f>
        <v>dch706_14_1</v>
      </c>
      <c r="AQ757" s="254" t="str">
        <f>IF(LEN(W757)=0,"",W757)</f>
        <v/>
      </c>
      <c r="AR757" s="254" t="str">
        <f>SUBSTITUTE(SUBSTITUTE(SUBSTITUTE("dnt"&amp;$B757&amp;$C757&amp;$D757&amp;$E757,".","_"),"(","_"),")","")</f>
        <v>dnt706_14_1</v>
      </c>
      <c r="AS757" s="254" t="str">
        <f>IF(LEN(X757)=0,"",X757)</f>
        <v/>
      </c>
      <c r="AX757" s="76"/>
      <c r="AY757" s="76"/>
    </row>
    <row r="758" spans="1:61" customFormat="1" x14ac:dyDescent="0.25">
      <c r="B758" s="679">
        <v>706.14</v>
      </c>
      <c r="C758" s="679" t="s">
        <v>256</v>
      </c>
      <c r="I758" s="667"/>
      <c r="J758" s="667"/>
      <c r="K758" s="667"/>
      <c r="L758" s="1787"/>
      <c r="M758" s="1908"/>
      <c r="N758" s="816"/>
      <c r="O758" s="1776"/>
      <c r="P758" s="816"/>
      <c r="Q758" s="816"/>
      <c r="R758" s="816"/>
      <c r="S758" s="816"/>
      <c r="T758" s="816"/>
      <c r="U758" s="816"/>
      <c r="X758" s="1757"/>
      <c r="AC758" s="816"/>
      <c r="AD758" s="816"/>
      <c r="AX758" s="76"/>
      <c r="AY758" s="76"/>
    </row>
    <row r="759" spans="1:61" customFormat="1" x14ac:dyDescent="0.25">
      <c r="B759" s="679">
        <v>706.14</v>
      </c>
      <c r="C759" s="679" t="s">
        <v>256</v>
      </c>
      <c r="I759" s="667"/>
      <c r="J759" s="667"/>
      <c r="K759" s="667"/>
      <c r="L759" s="1787"/>
      <c r="M759" s="1908"/>
      <c r="N759" s="816"/>
      <c r="O759" s="1776"/>
      <c r="P759" s="816"/>
      <c r="Q759" s="816"/>
      <c r="R759" s="816"/>
      <c r="S759" s="816"/>
      <c r="T759" s="816"/>
      <c r="U759" s="816"/>
      <c r="X759" s="1757"/>
      <c r="AC759" s="816"/>
      <c r="AD759" s="816"/>
      <c r="AX759" s="76"/>
      <c r="AY759" s="76"/>
    </row>
    <row r="760" spans="1:61" customFormat="1" x14ac:dyDescent="0.25">
      <c r="B760" s="679">
        <v>706.14</v>
      </c>
      <c r="C760" s="679" t="s">
        <v>256</v>
      </c>
      <c r="I760" s="667"/>
      <c r="J760" s="684"/>
      <c r="K760" s="684"/>
      <c r="L760" s="1786"/>
      <c r="M760" s="1909"/>
      <c r="N760" s="178"/>
      <c r="O760" s="1777"/>
      <c r="P760" s="816"/>
      <c r="Q760" s="816"/>
      <c r="R760" s="816"/>
      <c r="S760" s="816"/>
      <c r="T760" s="816"/>
      <c r="U760" s="816"/>
      <c r="X760" s="1757"/>
      <c r="AC760" s="816"/>
      <c r="AD760" s="816"/>
      <c r="AX760" s="76"/>
      <c r="AY760" s="76"/>
    </row>
    <row r="761" spans="1:61" customFormat="1" x14ac:dyDescent="0.25">
      <c r="B761" s="679">
        <v>706.14</v>
      </c>
      <c r="C761" s="679" t="s">
        <v>258</v>
      </c>
      <c r="I761" s="667"/>
      <c r="J761" s="667" t="s">
        <v>258</v>
      </c>
      <c r="K761" s="667"/>
      <c r="L761" s="1787" t="s">
        <v>4361</v>
      </c>
      <c r="M761" s="1908">
        <v>1</v>
      </c>
      <c r="N761" s="816"/>
      <c r="O761" s="1776">
        <f>M761*S761*W761</f>
        <v>0</v>
      </c>
      <c r="P761" s="816" t="b">
        <v>0</v>
      </c>
      <c r="Q761" s="816" t="b">
        <v>1</v>
      </c>
      <c r="R761" s="816" t="b">
        <v>0</v>
      </c>
      <c r="S761" s="816" t="b">
        <v>1</v>
      </c>
      <c r="T761" s="816" t="b">
        <v>0</v>
      </c>
      <c r="U761" s="816"/>
      <c r="W761" s="25"/>
      <c r="X761" s="1757"/>
      <c r="AC761" s="816"/>
      <c r="AD761" s="816"/>
      <c r="AL761" s="254" t="str">
        <f>SUBSTITUTE(SUBSTITUTE(SUBSTITUTE("dpa"&amp;$B761&amp;$C761&amp;$D761&amp;$E761,".","_"),"(","_"),")","")</f>
        <v>dpa706_14_2</v>
      </c>
      <c r="AM761" s="254">
        <f>M761</f>
        <v>1</v>
      </c>
      <c r="AN761" s="254" t="str">
        <f>SUBSTITUTE(SUBSTITUTE(SUBSTITUTE("dpc"&amp;$B761&amp;$C761&amp;$D761&amp;$E761,".","_"),"(","_"),")","")</f>
        <v>dpc706_14_2</v>
      </c>
      <c r="AO761" s="254">
        <f>O761</f>
        <v>0</v>
      </c>
      <c r="AP761" s="254" t="str">
        <f>SUBSTITUTE(SUBSTITUTE(SUBSTITUTE("dch"&amp;$B761&amp;$C761&amp;$D761&amp;$E761,".","_"),"(","_"),")","")</f>
        <v>dch706_14_2</v>
      </c>
      <c r="AQ761" s="254" t="str">
        <f>IF(LEN(W761)=0,"",W761)</f>
        <v/>
      </c>
      <c r="AR761" s="254" t="str">
        <f>SUBSTITUTE(SUBSTITUTE(SUBSTITUTE("dnt"&amp;$B761&amp;$C761&amp;$D761&amp;$E761,".","_"),"(","_"),")","")</f>
        <v>dnt706_14_2</v>
      </c>
      <c r="AS761" s="254" t="str">
        <f>IF(LEN(X761)=0,"",X761)</f>
        <v/>
      </c>
      <c r="AX761" s="76"/>
      <c r="AY761" s="76"/>
    </row>
    <row r="762" spans="1:61" customFormat="1" ht="15.75" thickBot="1" x14ac:dyDescent="0.3">
      <c r="B762" s="679">
        <v>706.14</v>
      </c>
      <c r="C762" s="679" t="s">
        <v>258</v>
      </c>
      <c r="I762" s="673"/>
      <c r="J762" s="673"/>
      <c r="K762" s="673"/>
      <c r="L762" s="1766"/>
      <c r="M762" s="1910"/>
      <c r="N762" s="99"/>
      <c r="O762" s="1814"/>
      <c r="P762" s="99"/>
      <c r="Q762" s="99"/>
      <c r="R762" s="99"/>
      <c r="S762" s="99"/>
      <c r="T762" s="99"/>
      <c r="U762" s="99"/>
      <c r="V762" s="99"/>
      <c r="W762" s="112"/>
      <c r="X762" s="1771"/>
      <c r="AC762" s="816"/>
      <c r="AD762" s="816"/>
      <c r="AX762" s="76"/>
      <c r="AY762" s="76"/>
    </row>
    <row r="763" spans="1:61" customFormat="1" ht="15.75" thickTop="1" x14ac:dyDescent="0.25">
      <c r="B763" s="679">
        <v>706.15</v>
      </c>
      <c r="C763" s="679"/>
      <c r="I763" s="667" t="s">
        <v>4368</v>
      </c>
      <c r="J763" s="667"/>
      <c r="K763" s="667"/>
      <c r="L763" s="1833" t="s">
        <v>4369</v>
      </c>
      <c r="M763" s="816"/>
      <c r="N763" s="816"/>
      <c r="O763" s="816"/>
      <c r="P763" s="816"/>
      <c r="Q763" s="816"/>
      <c r="R763" s="816"/>
      <c r="S763" s="816"/>
      <c r="T763" s="816"/>
      <c r="U763" s="816"/>
      <c r="X763" s="816"/>
      <c r="AC763" s="816"/>
      <c r="AD763" s="816"/>
      <c r="AX763" s="76"/>
      <c r="AY763" s="76"/>
    </row>
    <row r="764" spans="1:61" customFormat="1" x14ac:dyDescent="0.25">
      <c r="B764" s="679">
        <v>706.15</v>
      </c>
      <c r="C764" s="679"/>
      <c r="I764" s="667"/>
      <c r="J764" s="667"/>
      <c r="K764" s="667"/>
      <c r="L764" s="1833"/>
      <c r="M764" s="816"/>
      <c r="N764" s="816"/>
      <c r="O764" s="816"/>
      <c r="P764" s="816"/>
      <c r="Q764" s="816"/>
      <c r="R764" s="816"/>
      <c r="S764" s="816"/>
      <c r="T764" s="816"/>
      <c r="U764" s="816"/>
      <c r="X764" s="816"/>
      <c r="AC764" s="816"/>
      <c r="AD764" s="816"/>
      <c r="AX764" s="76"/>
      <c r="AY764" s="76"/>
    </row>
    <row r="765" spans="1:61" customFormat="1" x14ac:dyDescent="0.25">
      <c r="B765" s="679">
        <v>706.15</v>
      </c>
      <c r="C765" s="679"/>
      <c r="I765" s="667"/>
      <c r="J765" s="667"/>
      <c r="K765" s="667"/>
      <c r="L765" s="1833"/>
      <c r="M765" s="816"/>
      <c r="N765" s="816"/>
      <c r="O765" s="816"/>
      <c r="P765" s="816"/>
      <c r="Q765" s="816"/>
      <c r="R765" s="816"/>
      <c r="S765" s="816"/>
      <c r="T765" s="816"/>
      <c r="U765" s="816"/>
      <c r="X765" s="816"/>
      <c r="AC765" s="816"/>
      <c r="AD765" s="816"/>
      <c r="AX765" s="76"/>
      <c r="AY765" s="76"/>
    </row>
    <row r="766" spans="1:61" customFormat="1" x14ac:dyDescent="0.25">
      <c r="B766" s="679">
        <v>706.15</v>
      </c>
      <c r="C766" s="679" t="s">
        <v>256</v>
      </c>
      <c r="I766" s="667"/>
      <c r="J766" s="684" t="s">
        <v>256</v>
      </c>
      <c r="K766" s="684"/>
      <c r="L766" s="857" t="s">
        <v>4362</v>
      </c>
      <c r="M766" s="841">
        <v>2</v>
      </c>
      <c r="N766" s="178"/>
      <c r="O766" s="823">
        <f ca="1">M766*S766*W766</f>
        <v>0</v>
      </c>
      <c r="P766" s="816" t="b">
        <v>1</v>
      </c>
      <c r="Q766" s="816" t="b">
        <v>1</v>
      </c>
      <c r="R766" s="816" t="b">
        <v>0</v>
      </c>
      <c r="S766" s="816" t="b">
        <f ca="1">IF(AY19=INDEX(INDIRECT("ddSingleOrMulti"),2),TRUE,FALSE)</f>
        <v>0</v>
      </c>
      <c r="T766" s="816" t="b">
        <v>0</v>
      </c>
      <c r="U766" s="816"/>
      <c r="W766" s="25"/>
      <c r="X766" s="821"/>
      <c r="AC766" s="816" t="b">
        <f>OR(AD766:AE766)</f>
        <v>0</v>
      </c>
      <c r="AD766" s="816" t="b">
        <f>T766</f>
        <v>0</v>
      </c>
      <c r="AL766" s="254" t="str">
        <f>SUBSTITUTE(SUBSTITUTE(SUBSTITUTE("dpa"&amp;$B766&amp;$C766&amp;$D766&amp;$E766,".","_"),"(","_"),")","")</f>
        <v>dpa706_15_1</v>
      </c>
      <c r="AM766" s="254">
        <f>M766</f>
        <v>2</v>
      </c>
      <c r="AN766" s="254" t="str">
        <f>SUBSTITUTE(SUBSTITUTE(SUBSTITUTE("dpc"&amp;$B766&amp;$C766&amp;$D766&amp;$E766,".","_"),"(","_"),")","")</f>
        <v>dpc706_15_1</v>
      </c>
      <c r="AO766" s="254">
        <f ca="1">O766</f>
        <v>0</v>
      </c>
      <c r="AP766" s="254" t="str">
        <f>SUBSTITUTE(SUBSTITUTE(SUBSTITUTE("dch"&amp;$B766&amp;$C766&amp;$D766&amp;$E766,".","_"),"(","_"),")","")</f>
        <v>dch706_15_1</v>
      </c>
      <c r="AQ766" s="254" t="str">
        <f>IF(LEN(W766)=0,"",W766)</f>
        <v/>
      </c>
      <c r="AR766" s="254" t="str">
        <f>SUBSTITUTE(SUBSTITUTE(SUBSTITUTE("dnt"&amp;$B766&amp;$C766&amp;$D766&amp;$E766,".","_"),"(","_"),")","")</f>
        <v>dnt706_15_1</v>
      </c>
      <c r="AS766" s="254" t="str">
        <f>IF(LEN(X766)=0,"",X766)</f>
        <v/>
      </c>
      <c r="AX766" s="76"/>
      <c r="AY766" s="76"/>
    </row>
    <row r="767" spans="1:61" customFormat="1" ht="15.75" thickBot="1" x14ac:dyDescent="0.3">
      <c r="B767" s="679">
        <v>706.15</v>
      </c>
      <c r="C767" s="679" t="s">
        <v>258</v>
      </c>
      <c r="I767" s="667"/>
      <c r="J767" s="667" t="s">
        <v>258</v>
      </c>
      <c r="K767" s="667"/>
      <c r="L767" s="848" t="s">
        <v>4363</v>
      </c>
      <c r="M767" s="840">
        <v>2</v>
      </c>
      <c r="N767" s="99"/>
      <c r="O767" s="825">
        <f ca="1">M767*S767*W767</f>
        <v>0</v>
      </c>
      <c r="P767" s="99" t="b">
        <v>1</v>
      </c>
      <c r="Q767" s="99" t="b">
        <v>1</v>
      </c>
      <c r="R767" s="99" t="b">
        <v>0</v>
      </c>
      <c r="S767" s="99" t="b">
        <f ca="1">IF(AY19=INDEX(INDIRECT("ddSingleOrMulti"),2),TRUE,FALSE)</f>
        <v>0</v>
      </c>
      <c r="T767" s="99" t="b">
        <v>0</v>
      </c>
      <c r="U767" s="816"/>
      <c r="W767" s="25"/>
      <c r="X767" s="821"/>
      <c r="AC767" s="816" t="b">
        <f>OR(AD767:AE767)</f>
        <v>0</v>
      </c>
      <c r="AD767" s="816" t="b">
        <f>T767</f>
        <v>0</v>
      </c>
      <c r="AL767" s="254" t="str">
        <f>SUBSTITUTE(SUBSTITUTE(SUBSTITUTE("dpa"&amp;$B767&amp;$C767&amp;$D767&amp;$E767,".","_"),"(","_"),")","")</f>
        <v>dpa706_15_2</v>
      </c>
      <c r="AM767" s="254">
        <f>M767</f>
        <v>2</v>
      </c>
      <c r="AN767" s="254" t="str">
        <f>SUBSTITUTE(SUBSTITUTE(SUBSTITUTE("dpc"&amp;$B767&amp;$C767&amp;$D767&amp;$E767,".","_"),"(","_"),")","")</f>
        <v>dpc706_15_2</v>
      </c>
      <c r="AO767" s="254">
        <f ca="1">O767</f>
        <v>0</v>
      </c>
      <c r="AP767" s="254" t="str">
        <f>SUBSTITUTE(SUBSTITUTE(SUBSTITUTE("dch"&amp;$B767&amp;$C767&amp;$D767&amp;$E767,".","_"),"(","_"),")","")</f>
        <v>dch706_15_2</v>
      </c>
      <c r="AQ767" s="254" t="str">
        <f>IF(LEN(W767)=0,"",W767)</f>
        <v/>
      </c>
      <c r="AR767" s="254" t="str">
        <f>SUBSTITUTE(SUBSTITUTE(SUBSTITUTE("dnt"&amp;$B767&amp;$C767&amp;$D767&amp;$E767,".","_"),"(","_"),")","")</f>
        <v>dnt706_15_2</v>
      </c>
      <c r="AS767" s="254" t="str">
        <f>IF(LEN(X767)=0,"",X767)</f>
        <v/>
      </c>
      <c r="AX767" s="76"/>
      <c r="AY767" s="76"/>
    </row>
    <row r="768" spans="1:61" ht="16.5" thickTop="1" thickBot="1" x14ac:dyDescent="0.3">
      <c r="A768" s="76"/>
      <c r="I768" s="200" t="s">
        <v>3625</v>
      </c>
      <c r="J768" s="201"/>
      <c r="K768" s="201"/>
      <c r="L768" s="201"/>
      <c r="M768" s="202"/>
      <c r="N768" s="201"/>
      <c r="O768" s="203"/>
      <c r="P768" s="201"/>
      <c r="Q768" s="201"/>
      <c r="R768" s="201"/>
      <c r="S768" s="201"/>
      <c r="T768" s="201"/>
      <c r="U768" s="201"/>
      <c r="V768" s="201"/>
      <c r="W768" s="201"/>
      <c r="X768" s="261" t="s">
        <v>3626</v>
      </c>
      <c r="AZ768"/>
      <c r="BA768"/>
      <c r="BB768"/>
      <c r="BC768"/>
      <c r="BD768"/>
      <c r="BE768"/>
      <c r="BF768"/>
      <c r="BG768"/>
      <c r="BH768"/>
      <c r="BI768"/>
    </row>
    <row r="769" spans="1:1" ht="15.75" thickTop="1" x14ac:dyDescent="0.25">
      <c r="A769" s="76"/>
    </row>
  </sheetData>
  <sheetProtection algorithmName="SHA-512" hashValue="PDM9Yi9b5kpN8Dqxv0LQysTscI8ulc2ykyZ7+NhZHSufcq5+4OWukYb6hCxnJvOS8wKOKypFOVY6WZkXmlfuyg==" saltValue="cfrERNHTX05Szpec5E201A==" spinCount="100000" sheet="1" objects="1" scenarios="1" selectLockedCells="1"/>
  <mergeCells count="507">
    <mergeCell ref="M88:M100"/>
    <mergeCell ref="L14:L16"/>
    <mergeCell ref="X14:X16"/>
    <mergeCell ref="M316:M317"/>
    <mergeCell ref="O316:O317"/>
    <mergeCell ref="X316:X317"/>
    <mergeCell ref="X632:X633"/>
    <mergeCell ref="X634:X636"/>
    <mergeCell ref="M634:M636"/>
    <mergeCell ref="O634:O636"/>
    <mergeCell ref="M595:M596"/>
    <mergeCell ref="O595:O596"/>
    <mergeCell ref="M592:M594"/>
    <mergeCell ref="O592:O594"/>
    <mergeCell ref="X592:X594"/>
    <mergeCell ref="X595:X596"/>
    <mergeCell ref="M606:M607"/>
    <mergeCell ref="X606:X607"/>
    <mergeCell ref="X623:X625"/>
    <mergeCell ref="M623:M625"/>
    <mergeCell ref="X462:X463"/>
    <mergeCell ref="X464:X465"/>
    <mergeCell ref="X466:X467"/>
    <mergeCell ref="X468:X469"/>
    <mergeCell ref="M416:M417"/>
    <mergeCell ref="O416:O417"/>
    <mergeCell ref="M418:M419"/>
    <mergeCell ref="X42:X43"/>
    <mergeCell ref="X45:X46"/>
    <mergeCell ref="X47:X48"/>
    <mergeCell ref="X57:X58"/>
    <mergeCell ref="X59:X60"/>
    <mergeCell ref="M42:M43"/>
    <mergeCell ref="M45:M46"/>
    <mergeCell ref="M47:M48"/>
    <mergeCell ref="M57:M58"/>
    <mergeCell ref="M59:M60"/>
    <mergeCell ref="O418:O419"/>
    <mergeCell ref="X296:X298"/>
    <mergeCell ref="X299:X303"/>
    <mergeCell ref="X304:X306"/>
    <mergeCell ref="X310:X315"/>
    <mergeCell ref="X322:X327"/>
    <mergeCell ref="X328:X329"/>
    <mergeCell ref="X331:X334"/>
    <mergeCell ref="X335:X340"/>
    <mergeCell ref="X232:X234"/>
    <mergeCell ref="X236:X243"/>
    <mergeCell ref="L757:L760"/>
    <mergeCell ref="M757:M760"/>
    <mergeCell ref="O757:O760"/>
    <mergeCell ref="L761:L762"/>
    <mergeCell ref="M761:M762"/>
    <mergeCell ref="O761:O762"/>
    <mergeCell ref="L763:L765"/>
    <mergeCell ref="X736:X740"/>
    <mergeCell ref="X746:X747"/>
    <mergeCell ref="X748:X751"/>
    <mergeCell ref="X752:X755"/>
    <mergeCell ref="X757:X760"/>
    <mergeCell ref="X761:X762"/>
    <mergeCell ref="L736:L740"/>
    <mergeCell ref="L746:L747"/>
    <mergeCell ref="M746:M747"/>
    <mergeCell ref="O746:O747"/>
    <mergeCell ref="L748:L751"/>
    <mergeCell ref="M748:M751"/>
    <mergeCell ref="O748:O751"/>
    <mergeCell ref="L752:L753"/>
    <mergeCell ref="O752:O753"/>
    <mergeCell ref="M736:M740"/>
    <mergeCell ref="O736:O740"/>
    <mergeCell ref="L715:L716"/>
    <mergeCell ref="M711:M712"/>
    <mergeCell ref="O711:O712"/>
    <mergeCell ref="M713:M714"/>
    <mergeCell ref="O713:O714"/>
    <mergeCell ref="M715:M716"/>
    <mergeCell ref="O715:O716"/>
    <mergeCell ref="L717:L722"/>
    <mergeCell ref="M733:M735"/>
    <mergeCell ref="L672:L673"/>
    <mergeCell ref="L686:L687"/>
    <mergeCell ref="L690:L691"/>
    <mergeCell ref="L692:L693"/>
    <mergeCell ref="L669:L670"/>
    <mergeCell ref="L595:L596"/>
    <mergeCell ref="L606:L607"/>
    <mergeCell ref="L657:L658"/>
    <mergeCell ref="L641:L642"/>
    <mergeCell ref="L643:L644"/>
    <mergeCell ref="L632:L633"/>
    <mergeCell ref="L635:L636"/>
    <mergeCell ref="L620:L621"/>
    <mergeCell ref="L617:L619"/>
    <mergeCell ref="L627:L628"/>
    <mergeCell ref="L652:L653"/>
    <mergeCell ref="X557:X560"/>
    <mergeCell ref="X561:X562"/>
    <mergeCell ref="X564:X567"/>
    <mergeCell ref="X568:X572"/>
    <mergeCell ref="O568:O570"/>
    <mergeCell ref="O573:O575"/>
    <mergeCell ref="X573:X577"/>
    <mergeCell ref="X578:X580"/>
    <mergeCell ref="X506:X507"/>
    <mergeCell ref="X511:X512"/>
    <mergeCell ref="X513:X514"/>
    <mergeCell ref="X515:X516"/>
    <mergeCell ref="X520:X521"/>
    <mergeCell ref="X541:X551"/>
    <mergeCell ref="X538:X539"/>
    <mergeCell ref="X527:X534"/>
    <mergeCell ref="X428:X444"/>
    <mergeCell ref="O431:O432"/>
    <mergeCell ref="O438:O439"/>
    <mergeCell ref="X452:X453"/>
    <mergeCell ref="L446:L447"/>
    <mergeCell ref="L464:L465"/>
    <mergeCell ref="L504:L505"/>
    <mergeCell ref="X504:X505"/>
    <mergeCell ref="L545:L546"/>
    <mergeCell ref="L541:L544"/>
    <mergeCell ref="L517:L518"/>
    <mergeCell ref="L533:L534"/>
    <mergeCell ref="L538:L539"/>
    <mergeCell ref="L499:L500"/>
    <mergeCell ref="L501:L502"/>
    <mergeCell ref="L506:L507"/>
    <mergeCell ref="L508:L510"/>
    <mergeCell ref="M420:M421"/>
    <mergeCell ref="O420:O421"/>
    <mergeCell ref="X425:X426"/>
    <mergeCell ref="X448:X449"/>
    <mergeCell ref="X450:X451"/>
    <mergeCell ref="H1:H7"/>
    <mergeCell ref="X725:X726"/>
    <mergeCell ref="X730:X732"/>
    <mergeCell ref="X482:X486"/>
    <mergeCell ref="X487:X488"/>
    <mergeCell ref="X495:X496"/>
    <mergeCell ref="X499:X500"/>
    <mergeCell ref="X501:X503"/>
    <mergeCell ref="X524:X526"/>
    <mergeCell ref="X341:X347"/>
    <mergeCell ref="X348:X352"/>
    <mergeCell ref="X354:X355"/>
    <mergeCell ref="X356:X357"/>
    <mergeCell ref="X360:X361"/>
    <mergeCell ref="X362:X363"/>
    <mergeCell ref="X364:X372"/>
    <mergeCell ref="X374:X422"/>
    <mergeCell ref="X423:X424"/>
    <mergeCell ref="X290:X295"/>
    <mergeCell ref="X733:X735"/>
    <mergeCell ref="X741:X745"/>
    <mergeCell ref="X457:X458"/>
    <mergeCell ref="X659:X662"/>
    <mergeCell ref="X669:X670"/>
    <mergeCell ref="X674:X678"/>
    <mergeCell ref="X679:X685"/>
    <mergeCell ref="X686:X693"/>
    <mergeCell ref="X704:X705"/>
    <mergeCell ref="X706:X707"/>
    <mergeCell ref="X708:X709"/>
    <mergeCell ref="X710:X724"/>
    <mergeCell ref="X581:X582"/>
    <mergeCell ref="X583:X585"/>
    <mergeCell ref="X587:X589"/>
    <mergeCell ref="X597:X598"/>
    <mergeCell ref="X610:X615"/>
    <mergeCell ref="X637:X642"/>
    <mergeCell ref="X652:X653"/>
    <mergeCell ref="X655:X656"/>
    <mergeCell ref="X535:X537"/>
    <mergeCell ref="X470:X471"/>
    <mergeCell ref="X475:X476"/>
    <mergeCell ref="X477:X479"/>
    <mergeCell ref="X252:X259"/>
    <mergeCell ref="X260:X268"/>
    <mergeCell ref="X270:X276"/>
    <mergeCell ref="X277:X283"/>
    <mergeCell ref="X284:X288"/>
    <mergeCell ref="X192:X193"/>
    <mergeCell ref="X211:X213"/>
    <mergeCell ref="X214:X218"/>
    <mergeCell ref="X220:X226"/>
    <mergeCell ref="X227:X228"/>
    <mergeCell ref="X229:X231"/>
    <mergeCell ref="X244:X251"/>
    <mergeCell ref="M168:M169"/>
    <mergeCell ref="M160:M167"/>
    <mergeCell ref="M101:M104"/>
    <mergeCell ref="X138:X139"/>
    <mergeCell ref="X142:X144"/>
    <mergeCell ref="X145:X146"/>
    <mergeCell ref="X147:X149"/>
    <mergeCell ref="X150:X159"/>
    <mergeCell ref="X160:X167"/>
    <mergeCell ref="X129:X132"/>
    <mergeCell ref="X133:X134"/>
    <mergeCell ref="X135:X137"/>
    <mergeCell ref="X183:X188"/>
    <mergeCell ref="X189:X191"/>
    <mergeCell ref="X196:X210"/>
    <mergeCell ref="X68:X70"/>
    <mergeCell ref="X71:X75"/>
    <mergeCell ref="X77:X79"/>
    <mergeCell ref="X81:X82"/>
    <mergeCell ref="X84:X87"/>
    <mergeCell ref="X121:X123"/>
    <mergeCell ref="X111:X112"/>
    <mergeCell ref="X114:X115"/>
    <mergeCell ref="X119:X120"/>
    <mergeCell ref="X170:X171"/>
    <mergeCell ref="X179:X182"/>
    <mergeCell ref="X105:X107"/>
    <mergeCell ref="X108:X109"/>
    <mergeCell ref="M674:M678"/>
    <mergeCell ref="L723:L724"/>
    <mergeCell ref="M741:M743"/>
    <mergeCell ref="O725:O726"/>
    <mergeCell ref="O733:O735"/>
    <mergeCell ref="O741:O743"/>
    <mergeCell ref="M664:M665"/>
    <mergeCell ref="M669:M670"/>
    <mergeCell ref="O664:O665"/>
    <mergeCell ref="M682:M683"/>
    <mergeCell ref="M684:M685"/>
    <mergeCell ref="O679:O681"/>
    <mergeCell ref="O686:O687"/>
    <mergeCell ref="M704:M705"/>
    <mergeCell ref="M706:M707"/>
    <mergeCell ref="M708:M709"/>
    <mergeCell ref="O708:O709"/>
    <mergeCell ref="O706:O707"/>
    <mergeCell ref="O704:O705"/>
    <mergeCell ref="M725:M726"/>
    <mergeCell ref="O674:O678"/>
    <mergeCell ref="L674:L678"/>
    <mergeCell ref="L679:L681"/>
    <mergeCell ref="L682:L683"/>
    <mergeCell ref="L557:L558"/>
    <mergeCell ref="L561:L562"/>
    <mergeCell ref="L379:L380"/>
    <mergeCell ref="L382:L383"/>
    <mergeCell ref="L386:L387"/>
    <mergeCell ref="L391:L393"/>
    <mergeCell ref="L431:L432"/>
    <mergeCell ref="L401:L402"/>
    <mergeCell ref="L410:L411"/>
    <mergeCell ref="L416:L417"/>
    <mergeCell ref="L418:L419"/>
    <mergeCell ref="L420:L421"/>
    <mergeCell ref="L466:L467"/>
    <mergeCell ref="L468:L469"/>
    <mergeCell ref="L428:L430"/>
    <mergeCell ref="L448:L449"/>
    <mergeCell ref="L450:L451"/>
    <mergeCell ref="L438:L439"/>
    <mergeCell ref="L550:L551"/>
    <mergeCell ref="L524:L526"/>
    <mergeCell ref="L513:L514"/>
    <mergeCell ref="L515:L516"/>
    <mergeCell ref="L520:L521"/>
    <mergeCell ref="L535:L537"/>
    <mergeCell ref="L564:L565"/>
    <mergeCell ref="L587:L589"/>
    <mergeCell ref="L597:L598"/>
    <mergeCell ref="L610:L615"/>
    <mergeCell ref="L568:L570"/>
    <mergeCell ref="L592:L594"/>
    <mergeCell ref="L583:L585"/>
    <mergeCell ref="L744:L745"/>
    <mergeCell ref="L279:L280"/>
    <mergeCell ref="L725:L726"/>
    <mergeCell ref="L727:L728"/>
    <mergeCell ref="L731:L732"/>
    <mergeCell ref="L733:L735"/>
    <mergeCell ref="L708:L709"/>
    <mergeCell ref="L684:L685"/>
    <mergeCell ref="L704:L705"/>
    <mergeCell ref="L706:L707"/>
    <mergeCell ref="L659:L662"/>
    <mergeCell ref="L664:L665"/>
    <mergeCell ref="L547:L549"/>
    <mergeCell ref="L655:L656"/>
    <mergeCell ref="L555:L556"/>
    <mergeCell ref="L629:L631"/>
    <mergeCell ref="L522:L523"/>
    <mergeCell ref="I1:L1"/>
    <mergeCell ref="M1:W5"/>
    <mergeCell ref="I2:L2"/>
    <mergeCell ref="I3:L3"/>
    <mergeCell ref="U6:U7"/>
    <mergeCell ref="V6:V7"/>
    <mergeCell ref="W6:W7"/>
    <mergeCell ref="L61:L62"/>
    <mergeCell ref="M61:M62"/>
    <mergeCell ref="O27:O35"/>
    <mergeCell ref="L10:L13"/>
    <mergeCell ref="L17:L19"/>
    <mergeCell ref="L24:L26"/>
    <mergeCell ref="L27:L35"/>
    <mergeCell ref="L20:L23"/>
    <mergeCell ref="M17:M26"/>
    <mergeCell ref="I6:K7"/>
    <mergeCell ref="I5:L5"/>
    <mergeCell ref="M6:M7"/>
    <mergeCell ref="N6:N7"/>
    <mergeCell ref="L37:L39"/>
    <mergeCell ref="L42:L43"/>
    <mergeCell ref="L45:L46"/>
    <mergeCell ref="L47:L48"/>
    <mergeCell ref="L59:L60"/>
    <mergeCell ref="O37:O39"/>
    <mergeCell ref="L124:L127"/>
    <mergeCell ref="M124:M127"/>
    <mergeCell ref="L741:L743"/>
    <mergeCell ref="X4:X5"/>
    <mergeCell ref="Q6:Q7"/>
    <mergeCell ref="X6:X7"/>
    <mergeCell ref="R6:R7"/>
    <mergeCell ref="S6:S7"/>
    <mergeCell ref="T6:T7"/>
    <mergeCell ref="L214:L218"/>
    <mergeCell ref="M214:M218"/>
    <mergeCell ref="L220:L225"/>
    <mergeCell ref="M220:M225"/>
    <mergeCell ref="L236:L242"/>
    <mergeCell ref="M236:M242"/>
    <mergeCell ref="L244:L251"/>
    <mergeCell ref="L252:L256"/>
    <mergeCell ref="L211:L212"/>
    <mergeCell ref="M211:M212"/>
    <mergeCell ref="L111:L112"/>
    <mergeCell ref="I4:L4"/>
    <mergeCell ref="L527:L528"/>
    <mergeCell ref="P6:P7"/>
    <mergeCell ref="L142:L144"/>
    <mergeCell ref="L121:L122"/>
    <mergeCell ref="L6:L7"/>
    <mergeCell ref="W183:W184"/>
    <mergeCell ref="M561:M562"/>
    <mergeCell ref="M581:M582"/>
    <mergeCell ref="O220:O225"/>
    <mergeCell ref="O328:O329"/>
    <mergeCell ref="M386:M387"/>
    <mergeCell ref="O386:O387"/>
    <mergeCell ref="O396:O397"/>
    <mergeCell ref="O227:O228"/>
    <mergeCell ref="L531:L532"/>
    <mergeCell ref="L573:L575"/>
    <mergeCell ref="L578:L579"/>
    <mergeCell ref="L581:L582"/>
    <mergeCell ref="L487:L488"/>
    <mergeCell ref="L495:L496"/>
    <mergeCell ref="L176:L177"/>
    <mergeCell ref="L189:L191"/>
    <mergeCell ref="L57:L58"/>
    <mergeCell ref="L192:L193"/>
    <mergeCell ref="L328:L329"/>
    <mergeCell ref="M583:M585"/>
    <mergeCell ref="O557:O558"/>
    <mergeCell ref="O561:O562"/>
    <mergeCell ref="O564:O565"/>
    <mergeCell ref="O578:O579"/>
    <mergeCell ref="O581:O582"/>
    <mergeCell ref="O583:O585"/>
    <mergeCell ref="M578:M579"/>
    <mergeCell ref="M460:M461"/>
    <mergeCell ref="O487:O488"/>
    <mergeCell ref="O489:O490"/>
    <mergeCell ref="M517:M518"/>
    <mergeCell ref="M487:M488"/>
    <mergeCell ref="L260:L268"/>
    <mergeCell ref="L360:L361"/>
    <mergeCell ref="L489:L490"/>
    <mergeCell ref="L460:L461"/>
    <mergeCell ref="L470:L471"/>
    <mergeCell ref="L475:L476"/>
    <mergeCell ref="L477:L478"/>
    <mergeCell ref="L331:L333"/>
    <mergeCell ref="L335:L337"/>
    <mergeCell ref="L343:L346"/>
    <mergeCell ref="L348:L349"/>
    <mergeCell ref="L452:L453"/>
    <mergeCell ref="L351:L352"/>
    <mergeCell ref="L364:L368"/>
    <mergeCell ref="L396:L397"/>
    <mergeCell ref="L462:L463"/>
    <mergeCell ref="L375:L376"/>
    <mergeCell ref="L377:L378"/>
    <mergeCell ref="M68:M70"/>
    <mergeCell ref="L68:L70"/>
    <mergeCell ref="L133:L134"/>
    <mergeCell ref="L135:L137"/>
    <mergeCell ref="L129:L132"/>
    <mergeCell ref="L179:L182"/>
    <mergeCell ref="M179:M182"/>
    <mergeCell ref="M150:M159"/>
    <mergeCell ref="L529:L530"/>
    <mergeCell ref="L168:L169"/>
    <mergeCell ref="M81:M82"/>
    <mergeCell ref="L138:L139"/>
    <mergeCell ref="L147:L149"/>
    <mergeCell ref="L160:L167"/>
    <mergeCell ref="M71:M75"/>
    <mergeCell ref="M77:M79"/>
    <mergeCell ref="L493:L494"/>
    <mergeCell ref="L511:L512"/>
    <mergeCell ref="L482:L486"/>
    <mergeCell ref="L270:L278"/>
    <mergeCell ref="L284:L288"/>
    <mergeCell ref="L307:L309"/>
    <mergeCell ref="L319:L321"/>
    <mergeCell ref="L423:L424"/>
    <mergeCell ref="M196:M197"/>
    <mergeCell ref="L207:L210"/>
    <mergeCell ref="L227:L228"/>
    <mergeCell ref="M227:M228"/>
    <mergeCell ref="M229:M231"/>
    <mergeCell ref="M232:M234"/>
    <mergeCell ref="L196:L197"/>
    <mergeCell ref="L199:L206"/>
    <mergeCell ref="X17:X19"/>
    <mergeCell ref="X20:X23"/>
    <mergeCell ref="X24:X26"/>
    <mergeCell ref="X27:X35"/>
    <mergeCell ref="X63:X65"/>
    <mergeCell ref="L63:L64"/>
    <mergeCell ref="L119:L120"/>
    <mergeCell ref="L183:L187"/>
    <mergeCell ref="L77:L79"/>
    <mergeCell ref="L71:L75"/>
    <mergeCell ref="L84:L87"/>
    <mergeCell ref="L81:L82"/>
    <mergeCell ref="L105:L109"/>
    <mergeCell ref="L101:L104"/>
    <mergeCell ref="L114:L115"/>
    <mergeCell ref="L170:L171"/>
    <mergeCell ref="M659:M662"/>
    <mergeCell ref="O587:O589"/>
    <mergeCell ref="O597:O598"/>
    <mergeCell ref="O610:O615"/>
    <mergeCell ref="M641:M642"/>
    <mergeCell ref="M643:M644"/>
    <mergeCell ref="O643:O644"/>
    <mergeCell ref="O655:O656"/>
    <mergeCell ref="O657:O658"/>
    <mergeCell ref="O659:O662"/>
    <mergeCell ref="M587:M589"/>
    <mergeCell ref="O637:O639"/>
    <mergeCell ref="M597:M598"/>
    <mergeCell ref="M610:M615"/>
    <mergeCell ref="M632:M633"/>
    <mergeCell ref="O632:O633"/>
    <mergeCell ref="O606:O607"/>
    <mergeCell ref="O623:O625"/>
    <mergeCell ref="O183:O187"/>
    <mergeCell ref="X657:X658"/>
    <mergeCell ref="O460:O461"/>
    <mergeCell ref="W610:W615"/>
    <mergeCell ref="X626:X628"/>
    <mergeCell ref="M655:M656"/>
    <mergeCell ref="M657:M658"/>
    <mergeCell ref="O348:O349"/>
    <mergeCell ref="O517:O518"/>
    <mergeCell ref="M448:M449"/>
    <mergeCell ref="M450:M451"/>
    <mergeCell ref="M452:M453"/>
    <mergeCell ref="O448:O449"/>
    <mergeCell ref="O450:O451"/>
    <mergeCell ref="O452:O453"/>
    <mergeCell ref="M354:M355"/>
    <mergeCell ref="M356:M357"/>
    <mergeCell ref="O364:O368"/>
    <mergeCell ref="O356:O357"/>
    <mergeCell ref="O354:O355"/>
    <mergeCell ref="M423:M424"/>
    <mergeCell ref="O423:O424"/>
    <mergeCell ref="O391:O393"/>
    <mergeCell ref="O382:O383"/>
    <mergeCell ref="W232:W233"/>
    <mergeCell ref="O410:O411"/>
    <mergeCell ref="L145:L146"/>
    <mergeCell ref="L150:L156"/>
    <mergeCell ref="L157:L159"/>
    <mergeCell ref="L173:L174"/>
    <mergeCell ref="M173:M174"/>
    <mergeCell ref="X173:X174"/>
    <mergeCell ref="O541:O551"/>
    <mergeCell ref="O401:O402"/>
    <mergeCell ref="M252:M256"/>
    <mergeCell ref="M284:M288"/>
    <mergeCell ref="O252:O256"/>
    <mergeCell ref="O284:O288"/>
    <mergeCell ref="M328:M329"/>
    <mergeCell ref="M348:M349"/>
    <mergeCell ref="M331:M334"/>
    <mergeCell ref="O331:O334"/>
    <mergeCell ref="O335:O337"/>
    <mergeCell ref="M183:M187"/>
    <mergeCell ref="O229:O231"/>
    <mergeCell ref="O232:O234"/>
    <mergeCell ref="L229:L231"/>
    <mergeCell ref="L232:L234"/>
  </mergeCells>
  <phoneticPr fontId="90" type="noConversion"/>
  <conditionalFormatting sqref="X2">
    <cfRule type="expression" dxfId="4896" priority="820">
      <formula>$AG$3</formula>
    </cfRule>
  </conditionalFormatting>
  <conditionalFormatting sqref="X3">
    <cfRule type="expression" dxfId="4895" priority="821">
      <formula>$AI$3</formula>
    </cfRule>
  </conditionalFormatting>
  <conditionalFormatting sqref="W12">
    <cfRule type="expression" dxfId="4894" priority="811">
      <formula>OR($T$12 = TRUE, AND(LEN(TRIM($W$12))&gt;0, $S$12 = FALSE))</formula>
    </cfRule>
    <cfRule type="expression" dxfId="4893" priority="812">
      <formula>$S$12 = FALSE</formula>
    </cfRule>
    <cfRule type="expression" dxfId="4892" priority="813">
      <formula>AND(IF($R$12,$W$12,TRUE),LEN(TRIM($W$12))&gt;0)</formula>
    </cfRule>
    <cfRule type="expression" dxfId="4891" priority="814">
      <formula>AND($R$12,$S$12)</formula>
    </cfRule>
  </conditionalFormatting>
  <conditionalFormatting sqref="W28">
    <cfRule type="expression" dxfId="4890" priority="806">
      <formula>OR($T$28 = TRUE, AND(LEN(TRIM($W$28))&gt;0, $S$28 = FALSE))</formula>
    </cfRule>
    <cfRule type="expression" dxfId="4889" priority="807">
      <formula>$S$28 = FALSE</formula>
    </cfRule>
    <cfRule type="expression" dxfId="4888" priority="808">
      <formula>AND(IF($R$28,$W$28,TRUE),LEN(TRIM($W$28))&gt;0)</formula>
    </cfRule>
    <cfRule type="expression" dxfId="4887" priority="809">
      <formula>AND($R$28,$S$28)</formula>
    </cfRule>
  </conditionalFormatting>
  <conditionalFormatting sqref="M17:M18">
    <cfRule type="expression" dxfId="4886" priority="3242">
      <formula>NOT(AE17)</formula>
    </cfRule>
  </conditionalFormatting>
  <conditionalFormatting sqref="M61">
    <cfRule type="expression" dxfId="4885" priority="3245">
      <formula>OR(S13=1,S13=3)</formula>
    </cfRule>
  </conditionalFormatting>
  <conditionalFormatting sqref="W63">
    <cfRule type="expression" dxfId="4884" priority="797">
      <formula>OR($T$63 = TRUE, AND($W$63 = TRUE, $S$63 = FALSE))</formula>
    </cfRule>
    <cfRule type="expression" dxfId="4883" priority="798">
      <formula>$S$63 = FALSE</formula>
    </cfRule>
    <cfRule type="expression" dxfId="4882" priority="799">
      <formula>AND(IF($R$63,$W$63,TRUE),LEN(TRIM($W$63))&gt;0)</formula>
    </cfRule>
    <cfRule type="expression" dxfId="4881" priority="800">
      <formula>AND($R$63,$S$63)</formula>
    </cfRule>
  </conditionalFormatting>
  <conditionalFormatting sqref="X63:X65">
    <cfRule type="expression" dxfId="4880" priority="796">
      <formula>W63</formula>
    </cfRule>
  </conditionalFormatting>
  <conditionalFormatting sqref="W68">
    <cfRule type="expression" dxfId="4879" priority="792">
      <formula>OR($T$68 = TRUE, AND($W$68 = TRUE, $S$68 = FALSE))</formula>
    </cfRule>
    <cfRule type="expression" dxfId="4878" priority="793">
      <formula>$S$68 = FALSE</formula>
    </cfRule>
    <cfRule type="expression" dxfId="4877" priority="794">
      <formula>AND(IF($R$68,$W$68,TRUE),LEN(TRIM($W$68))&gt;0)</formula>
    </cfRule>
    <cfRule type="expression" dxfId="4876" priority="795">
      <formula>AND($R$68,$S$68)</formula>
    </cfRule>
  </conditionalFormatting>
  <conditionalFormatting sqref="W71">
    <cfRule type="expression" dxfId="4875" priority="788">
      <formula>OR($T$71 = TRUE, AND(LEN(TRIM($W$71))&gt;0, $S$71 = FALSE))</formula>
    </cfRule>
    <cfRule type="expression" dxfId="4874" priority="789">
      <formula>$S$71 = FALSE</formula>
    </cfRule>
    <cfRule type="expression" dxfId="4873" priority="790">
      <formula>AND($W$71&lt;&gt;"Not Met",LEN(TRIM($W$71))&gt;0)</formula>
    </cfRule>
    <cfRule type="expression" dxfId="4872" priority="791">
      <formula>AND($R$71,$S$71)</formula>
    </cfRule>
  </conditionalFormatting>
  <conditionalFormatting sqref="W85">
    <cfRule type="expression" dxfId="4871" priority="784">
      <formula>OR($T$85 = TRUE, AND($W$85 = TRUE, $S$85 = FALSE))</formula>
    </cfRule>
    <cfRule type="expression" dxfId="4870" priority="785">
      <formula>$S$85 = FALSE</formula>
    </cfRule>
    <cfRule type="expression" dxfId="4869" priority="786">
      <formula>AND(IF($R$85,$W$85,TRUE),LEN(TRIM($W$85))&gt;0)</formula>
    </cfRule>
    <cfRule type="expression" dxfId="4868" priority="787">
      <formula>AND($R$85,$S$85)</formula>
    </cfRule>
  </conditionalFormatting>
  <conditionalFormatting sqref="W150">
    <cfRule type="expression" dxfId="4867" priority="776">
      <formula>OR($T$150 = TRUE, AND($W$150 = TRUE, $S$150 = FALSE))</formula>
    </cfRule>
    <cfRule type="expression" dxfId="4866" priority="777">
      <formula>$S$150 = FALSE</formula>
    </cfRule>
    <cfRule type="expression" dxfId="4865" priority="778">
      <formula>AND(IF($R$150,$W$150,TRUE),LEN(TRIM($W$150))&gt;0)</formula>
    </cfRule>
    <cfRule type="expression" dxfId="4864" priority="779">
      <formula>AND($R$150,$S$150)</formula>
    </cfRule>
  </conditionalFormatting>
  <conditionalFormatting sqref="W170">
    <cfRule type="expression" dxfId="4863" priority="772">
      <formula>OR($T$170 = TRUE, AND($W$170 = TRUE, $S$170 = FALSE))</formula>
    </cfRule>
    <cfRule type="expression" dxfId="4862" priority="773">
      <formula>$S$170 = FALSE</formula>
    </cfRule>
    <cfRule type="expression" dxfId="4861" priority="774">
      <formula>AND(IF($R$170,$W$170,TRUE),LEN(TRIM($W$170))&gt;0)</formula>
    </cfRule>
    <cfRule type="expression" dxfId="4860" priority="775">
      <formula>AND($R$170,$S$170)</formula>
    </cfRule>
  </conditionalFormatting>
  <conditionalFormatting sqref="W172">
    <cfRule type="expression" dxfId="4859" priority="768">
      <formula>OR($T$172 = TRUE, AND($W$172 = TRUE, $S$172 = FALSE))</formula>
    </cfRule>
    <cfRule type="expression" dxfId="4858" priority="769">
      <formula>$S$172 = FALSE</formula>
    </cfRule>
    <cfRule type="expression" dxfId="4857" priority="770">
      <formula>AND(IF($R$172,$W$172,TRUE),LEN(TRIM($W$172))&gt;0)</formula>
    </cfRule>
    <cfRule type="expression" dxfId="4856" priority="771">
      <formula>AND($R$172,$S$172)</formula>
    </cfRule>
  </conditionalFormatting>
  <conditionalFormatting sqref="W179">
    <cfRule type="expression" dxfId="4855" priority="763">
      <formula>AND($R$179,$S$179)</formula>
    </cfRule>
  </conditionalFormatting>
  <conditionalFormatting sqref="W179">
    <cfRule type="expression" dxfId="4854" priority="762">
      <formula>AND(IF($R$179,$W$179,TRUE),LEN(TRIM($W$179))&gt;0)</formula>
    </cfRule>
  </conditionalFormatting>
  <conditionalFormatting sqref="W179">
    <cfRule type="expression" dxfId="4853" priority="761">
      <formula>$S$179 = FALSE</formula>
    </cfRule>
  </conditionalFormatting>
  <conditionalFormatting sqref="W179">
    <cfRule type="expression" dxfId="4852" priority="760">
      <formula>OR($T$179 = TRUE, AND($W$179 = TRUE, $S$179 = FALSE))</formula>
    </cfRule>
  </conditionalFormatting>
  <conditionalFormatting sqref="W185">
    <cfRule type="expression" dxfId="4851" priority="759">
      <formula>AND(R185,S185)</formula>
    </cfRule>
  </conditionalFormatting>
  <conditionalFormatting sqref="W185">
    <cfRule type="expression" dxfId="4850" priority="758">
      <formula>NOT(ISBLANK(W185))</formula>
    </cfRule>
  </conditionalFormatting>
  <conditionalFormatting sqref="W185">
    <cfRule type="expression" dxfId="4849" priority="757">
      <formula>S185 = FALSE</formula>
    </cfRule>
  </conditionalFormatting>
  <conditionalFormatting sqref="W185">
    <cfRule type="expression" dxfId="4848" priority="756">
      <formula>OR(T185 = TRUE, AND(W185 = TRUE, S185 = FALSE))</formula>
    </cfRule>
  </conditionalFormatting>
  <conditionalFormatting sqref="W77">
    <cfRule type="expression" dxfId="4847" priority="755">
      <formula>AND($R$77,$S$77)</formula>
    </cfRule>
  </conditionalFormatting>
  <conditionalFormatting sqref="W77">
    <cfRule type="expression" dxfId="4846" priority="754">
      <formula>AND(IF($R$77,$W$77,TRUE),LEN(TRIM($W$77))&gt;0)</formula>
    </cfRule>
  </conditionalFormatting>
  <conditionalFormatting sqref="W77">
    <cfRule type="expression" dxfId="4845" priority="753">
      <formula>$S$77 = FALSE</formula>
    </cfRule>
  </conditionalFormatting>
  <conditionalFormatting sqref="W77">
    <cfRule type="expression" dxfId="4844" priority="752">
      <formula>OR($T$77 = TRUE, AND($W$77 = TRUE, $S$77 = FALSE))</formula>
    </cfRule>
  </conditionalFormatting>
  <conditionalFormatting sqref="W80">
    <cfRule type="expression" dxfId="4843" priority="751">
      <formula>AND($R$80,$S$80)</formula>
    </cfRule>
  </conditionalFormatting>
  <conditionalFormatting sqref="W80">
    <cfRule type="expression" dxfId="4842" priority="750">
      <formula>AND(IF($R$80,$W$80,TRUE),LEN(TRIM($W$80))&gt;0)</formula>
    </cfRule>
  </conditionalFormatting>
  <conditionalFormatting sqref="W80">
    <cfRule type="expression" dxfId="4841" priority="749">
      <formula>$S$80 = FALSE</formula>
    </cfRule>
  </conditionalFormatting>
  <conditionalFormatting sqref="W80">
    <cfRule type="expression" dxfId="4840" priority="748">
      <formula>OR($T$80 = TRUE, AND($W$80 = TRUE, $S$80 = FALSE))</formula>
    </cfRule>
  </conditionalFormatting>
  <conditionalFormatting sqref="W81">
    <cfRule type="expression" dxfId="4839" priority="747">
      <formula>AND($R$81,$S$81)</formula>
    </cfRule>
  </conditionalFormatting>
  <conditionalFormatting sqref="W81">
    <cfRule type="expression" dxfId="4838" priority="746">
      <formula>AND(IF($R$81,$W$81,TRUE),LEN(TRIM($W$81))&gt;0)</formula>
    </cfRule>
  </conditionalFormatting>
  <conditionalFormatting sqref="W81">
    <cfRule type="expression" dxfId="4837" priority="745">
      <formula>$S$81 = FALSE</formula>
    </cfRule>
  </conditionalFormatting>
  <conditionalFormatting sqref="W81">
    <cfRule type="expression" dxfId="4836" priority="744">
      <formula>OR($T$81 = TRUE, AND($W$81 = TRUE, $S$81 = FALSE))</formula>
    </cfRule>
  </conditionalFormatting>
  <conditionalFormatting sqref="W121">
    <cfRule type="expression" dxfId="4835" priority="735">
      <formula>AND($R$121,$S$121)</formula>
    </cfRule>
  </conditionalFormatting>
  <conditionalFormatting sqref="W121">
    <cfRule type="expression" dxfId="4834" priority="734">
      <formula>AND(IF($R$121,$W$121,TRUE),LEN(TRIM($W$121))&gt;0)</formula>
    </cfRule>
  </conditionalFormatting>
  <conditionalFormatting sqref="W121">
    <cfRule type="expression" dxfId="4833" priority="733">
      <formula>$S$121 = FALSE</formula>
    </cfRule>
  </conditionalFormatting>
  <conditionalFormatting sqref="W121">
    <cfRule type="expression" dxfId="4832" priority="732">
      <formula>OR($T$121 = TRUE, AND($W$121 = TRUE, $S$121 = FALSE))</formula>
    </cfRule>
  </conditionalFormatting>
  <conditionalFormatting sqref="W124">
    <cfRule type="expression" dxfId="4831" priority="731">
      <formula>AND($R$124,$S$124)</formula>
    </cfRule>
  </conditionalFormatting>
  <conditionalFormatting sqref="W124">
    <cfRule type="expression" dxfId="4830" priority="730">
      <formula>AND(IF($R$124,$W$124,TRUE),LEN(TRIM($W$124))&gt;0)</formula>
    </cfRule>
  </conditionalFormatting>
  <conditionalFormatting sqref="W124">
    <cfRule type="expression" dxfId="4829" priority="729">
      <formula>$S$124 = FALSE</formula>
    </cfRule>
  </conditionalFormatting>
  <conditionalFormatting sqref="W124">
    <cfRule type="expression" dxfId="4828" priority="728">
      <formula>OR($T$124 = TRUE, AND($W$124 = TRUE, $S$124 = FALSE))</formula>
    </cfRule>
  </conditionalFormatting>
  <conditionalFormatting sqref="W160">
    <cfRule type="expression" dxfId="4827" priority="727">
      <formula>AND($R$160,$S$160)</formula>
    </cfRule>
  </conditionalFormatting>
  <conditionalFormatting sqref="W160">
    <cfRule type="expression" dxfId="4826" priority="726">
      <formula>AND($W$160&lt;&gt;"Not Met",LEN(TRIM($W$160))&gt;0)</formula>
    </cfRule>
  </conditionalFormatting>
  <conditionalFormatting sqref="W160">
    <cfRule type="expression" dxfId="4825" priority="725">
      <formula>$S$160 = FALSE</formula>
    </cfRule>
  </conditionalFormatting>
  <conditionalFormatting sqref="W160">
    <cfRule type="expression" dxfId="4824" priority="724">
      <formula>OR($T$160 = TRUE, AND(LEN(TRIM($W$160))&gt;0, $S$160 = FALSE))</formula>
    </cfRule>
  </conditionalFormatting>
  <conditionalFormatting sqref="W173">
    <cfRule type="expression" dxfId="4823" priority="723">
      <formula>AND($R$173,$S$173)</formula>
    </cfRule>
  </conditionalFormatting>
  <conditionalFormatting sqref="W173">
    <cfRule type="expression" dxfId="4822" priority="722">
      <formula>AND(IF($R$173,$W$173,TRUE),LEN(TRIM($W$173))&gt;0)</formula>
    </cfRule>
  </conditionalFormatting>
  <conditionalFormatting sqref="W173">
    <cfRule type="expression" dxfId="4821" priority="721">
      <formula>$S$173 = FALSE</formula>
    </cfRule>
  </conditionalFormatting>
  <conditionalFormatting sqref="W173">
    <cfRule type="expression" dxfId="4820" priority="720">
      <formula>OR($T$173 = TRUE, AND($W$173 = TRUE, $S$173 = FALSE))</formula>
    </cfRule>
  </conditionalFormatting>
  <conditionalFormatting sqref="W196">
    <cfRule type="expression" dxfId="4819" priority="719">
      <formula>AND($R$196,$S$196)</formula>
    </cfRule>
  </conditionalFormatting>
  <conditionalFormatting sqref="W196">
    <cfRule type="expression" dxfId="4818" priority="718">
      <formula>AND(IF($R$196,$W$196,TRUE),LEN(TRIM($W$196))&gt;0)</formula>
    </cfRule>
  </conditionalFormatting>
  <conditionalFormatting sqref="W196">
    <cfRule type="expression" dxfId="4817" priority="717">
      <formula>$S$196 = FALSE</formula>
    </cfRule>
  </conditionalFormatting>
  <conditionalFormatting sqref="W196">
    <cfRule type="expression" dxfId="4816" priority="716">
      <formula>OR($T$196 = TRUE, AND($W$196 = TRUE, $S$196 = FALSE))</formula>
    </cfRule>
  </conditionalFormatting>
  <conditionalFormatting sqref="W211">
    <cfRule type="expression" dxfId="4815" priority="715">
      <formula>AND($R$211,$S$211)</formula>
    </cfRule>
  </conditionalFormatting>
  <conditionalFormatting sqref="W211">
    <cfRule type="expression" dxfId="4814" priority="714">
      <formula>AND(IF($R$211,$W$211,TRUE),LEN(TRIM($W$211))&gt;0)</formula>
    </cfRule>
  </conditionalFormatting>
  <conditionalFormatting sqref="W211">
    <cfRule type="expression" dxfId="4813" priority="713">
      <formula>$S$211 = FALSE</formula>
    </cfRule>
  </conditionalFormatting>
  <conditionalFormatting sqref="W211">
    <cfRule type="expression" dxfId="4812" priority="712">
      <formula>OR($T$211 = TRUE, AND($W$211 = TRUE, $S$211 = FALSE))</formula>
    </cfRule>
  </conditionalFormatting>
  <conditionalFormatting sqref="W220">
    <cfRule type="expression" dxfId="4811" priority="707">
      <formula>AND($R$220,$S$220)</formula>
    </cfRule>
  </conditionalFormatting>
  <conditionalFormatting sqref="W220">
    <cfRule type="expression" dxfId="4810" priority="706">
      <formula>AND(IF($R$220,$W$220,TRUE),LEN(TRIM($W$220))&gt;0)</formula>
    </cfRule>
  </conditionalFormatting>
  <conditionalFormatting sqref="W220">
    <cfRule type="expression" dxfId="4809" priority="705">
      <formula>$S$220 = FALSE</formula>
    </cfRule>
  </conditionalFormatting>
  <conditionalFormatting sqref="W220">
    <cfRule type="expression" dxfId="4808" priority="704">
      <formula>OR($T$220 = TRUE, AND($W$220 = TRUE, $S$220 = FALSE))</formula>
    </cfRule>
  </conditionalFormatting>
  <conditionalFormatting sqref="W222">
    <cfRule type="expression" dxfId="4807" priority="703">
      <formula>AND(R222,S222)</formula>
    </cfRule>
  </conditionalFormatting>
  <conditionalFormatting sqref="W222">
    <cfRule type="expression" dxfId="4806" priority="702">
      <formula>NOT(ISBLANK(W222))</formula>
    </cfRule>
  </conditionalFormatting>
  <conditionalFormatting sqref="W222">
    <cfRule type="expression" dxfId="4805" priority="701">
      <formula>S222 = FALSE</formula>
    </cfRule>
  </conditionalFormatting>
  <conditionalFormatting sqref="W222">
    <cfRule type="expression" dxfId="4804" priority="700">
      <formula>OR(T222 = TRUE, AND(W222 = TRUE, S222 = FALSE))</formula>
    </cfRule>
  </conditionalFormatting>
  <conditionalFormatting sqref="W228">
    <cfRule type="expression" dxfId="4803" priority="699">
      <formula>AND(R228,S228)</formula>
    </cfRule>
  </conditionalFormatting>
  <conditionalFormatting sqref="W228">
    <cfRule type="expression" dxfId="4802" priority="698">
      <formula>NOT(ISBLANK(W228))</formula>
    </cfRule>
  </conditionalFormatting>
  <conditionalFormatting sqref="W228">
    <cfRule type="expression" dxfId="4801" priority="697">
      <formula>S228 = FALSE</formula>
    </cfRule>
  </conditionalFormatting>
  <conditionalFormatting sqref="W228">
    <cfRule type="expression" dxfId="4800" priority="696">
      <formula>OR(T228 = TRUE, AND(W228 = TRUE, S228 = FALSE))</formula>
    </cfRule>
  </conditionalFormatting>
  <conditionalFormatting sqref="W229">
    <cfRule type="expression" dxfId="4799" priority="695">
      <formula>AND($R$229,$S$229)</formula>
    </cfRule>
  </conditionalFormatting>
  <conditionalFormatting sqref="W229">
    <cfRule type="expression" dxfId="4798" priority="694">
      <formula>AND(IF($R$229,$W$229,TRUE),LEN(TRIM($W$229))&gt;0)</formula>
    </cfRule>
  </conditionalFormatting>
  <conditionalFormatting sqref="W229">
    <cfRule type="expression" dxfId="4797" priority="693">
      <formula>$S$229 = FALSE</formula>
    </cfRule>
  </conditionalFormatting>
  <conditionalFormatting sqref="W229">
    <cfRule type="expression" dxfId="4796" priority="692">
      <formula>OR($T$229 = TRUE, AND($W$229 = TRUE, $S$229 = FALSE))</formula>
    </cfRule>
  </conditionalFormatting>
  <conditionalFormatting sqref="W666">
    <cfRule type="expression" dxfId="4795" priority="691">
      <formula>AND($R$666,$S$666)</formula>
    </cfRule>
  </conditionalFormatting>
  <conditionalFormatting sqref="W666">
    <cfRule type="expression" dxfId="4794" priority="690">
      <formula>AND(IF($R$666,$W$666,TRUE),LEN(TRIM($W$666))&gt;0)</formula>
    </cfRule>
  </conditionalFormatting>
  <conditionalFormatting sqref="W666">
    <cfRule type="expression" dxfId="4793" priority="689">
      <formula>$S$666 = FALSE</formula>
    </cfRule>
  </conditionalFormatting>
  <conditionalFormatting sqref="W666">
    <cfRule type="expression" dxfId="4792" priority="688">
      <formula>OR($T$666 = TRUE, AND($W$666 = TRUE, $S$666 = FALSE))</formula>
    </cfRule>
  </conditionalFormatting>
  <conditionalFormatting sqref="W667">
    <cfRule type="expression" dxfId="4791" priority="687">
      <formula>AND($R$667,$S$667)</formula>
    </cfRule>
  </conditionalFormatting>
  <conditionalFormatting sqref="W667">
    <cfRule type="expression" dxfId="4790" priority="686">
      <formula>AND(IF($R$667,$W$667,TRUE),LEN(TRIM($W$667))&gt;0)</formula>
    </cfRule>
  </conditionalFormatting>
  <conditionalFormatting sqref="W667">
    <cfRule type="expression" dxfId="4789" priority="685">
      <formula>$S$667 = FALSE</formula>
    </cfRule>
  </conditionalFormatting>
  <conditionalFormatting sqref="W667">
    <cfRule type="expression" dxfId="4788" priority="684">
      <formula>OR($T$667 = TRUE, AND($W$667 = TRUE, $S$667 = FALSE))</formula>
    </cfRule>
  </conditionalFormatting>
  <conditionalFormatting sqref="W668">
    <cfRule type="expression" dxfId="4787" priority="683">
      <formula>AND($R$668,$S$668)</formula>
    </cfRule>
  </conditionalFormatting>
  <conditionalFormatting sqref="W668">
    <cfRule type="expression" dxfId="4786" priority="682">
      <formula>AND(IF($R$668,$W$668,TRUE),LEN(TRIM($W$668))&gt;0)</formula>
    </cfRule>
  </conditionalFormatting>
  <conditionalFormatting sqref="W668">
    <cfRule type="expression" dxfId="4785" priority="681">
      <formula>$S$668 = FALSE</formula>
    </cfRule>
  </conditionalFormatting>
  <conditionalFormatting sqref="W668">
    <cfRule type="expression" dxfId="4784" priority="680">
      <formula>OR($T$668 = TRUE, AND($W$668 = TRUE, $S$668 = FALSE))</formula>
    </cfRule>
  </conditionalFormatting>
  <conditionalFormatting sqref="W669">
    <cfRule type="expression" dxfId="4783" priority="679">
      <formula>AND($R$669,$S$669)</formula>
    </cfRule>
  </conditionalFormatting>
  <conditionalFormatting sqref="W669">
    <cfRule type="expression" dxfId="4782" priority="678">
      <formula>AND(IF($R$669,$W$669,TRUE),LEN(TRIM($W$669))&gt;0)</formula>
    </cfRule>
  </conditionalFormatting>
  <conditionalFormatting sqref="W669">
    <cfRule type="expression" dxfId="4781" priority="677">
      <formula>$S$669 = FALSE</formula>
    </cfRule>
  </conditionalFormatting>
  <conditionalFormatting sqref="W669">
    <cfRule type="expression" dxfId="4780" priority="676">
      <formula>OR($T$669 = TRUE, AND($W$669 = TRUE, $S$669 = FALSE))</formula>
    </cfRule>
  </conditionalFormatting>
  <conditionalFormatting sqref="W671">
    <cfRule type="expression" dxfId="4779" priority="675">
      <formula>AND($R$671,$S$671)</formula>
    </cfRule>
  </conditionalFormatting>
  <conditionalFormatting sqref="W671">
    <cfRule type="expression" dxfId="4778" priority="674">
      <formula>AND(IF($R$671,$W$671,TRUE),LEN(TRIM($W$671))&gt;0)</formula>
    </cfRule>
  </conditionalFormatting>
  <conditionalFormatting sqref="W671">
    <cfRule type="expression" dxfId="4777" priority="673">
      <formula>$S$671 = FALSE</formula>
    </cfRule>
  </conditionalFormatting>
  <conditionalFormatting sqref="W671">
    <cfRule type="expression" dxfId="4776" priority="672">
      <formula>OR($T$671 = TRUE, AND($W$671 = TRUE, $S$671 = FALSE))</formula>
    </cfRule>
  </conditionalFormatting>
  <conditionalFormatting sqref="W674">
    <cfRule type="expression" dxfId="4775" priority="671">
      <formula>AND($R$674,$S$674)</formula>
    </cfRule>
  </conditionalFormatting>
  <conditionalFormatting sqref="W674">
    <cfRule type="expression" dxfId="4774" priority="670">
      <formula>AND(IF($R$674,$W$674,TRUE),LEN(TRIM($W$674))&gt;0)</formula>
    </cfRule>
  </conditionalFormatting>
  <conditionalFormatting sqref="W674">
    <cfRule type="expression" dxfId="4773" priority="669">
      <formula>$S$674 = FALSE</formula>
    </cfRule>
  </conditionalFormatting>
  <conditionalFormatting sqref="W674">
    <cfRule type="expression" dxfId="4772" priority="668">
      <formula>OR($T$674 = TRUE, AND($W$674 = TRUE, $S$674 = FALSE))</formula>
    </cfRule>
  </conditionalFormatting>
  <conditionalFormatting sqref="W679">
    <cfRule type="expression" dxfId="4771" priority="667">
      <formula>AND($R$679,$S$679)</formula>
    </cfRule>
  </conditionalFormatting>
  <conditionalFormatting sqref="W679">
    <cfRule type="expression" dxfId="4770" priority="666">
      <formula>AND($W$679&lt;&gt;"Not Met",LEN(TRIM($W$679))&gt;0)</formula>
    </cfRule>
  </conditionalFormatting>
  <conditionalFormatting sqref="W679">
    <cfRule type="expression" dxfId="4769" priority="665">
      <formula>$S$679 = FALSE</formula>
    </cfRule>
  </conditionalFormatting>
  <conditionalFormatting sqref="W679">
    <cfRule type="expression" dxfId="4768" priority="664">
      <formula>OR($T$679 = TRUE, AND(LEN(TRIM($W$679))&gt;0, $S$679 = FALSE))</formula>
    </cfRule>
  </conditionalFormatting>
  <conditionalFormatting sqref="W694">
    <cfRule type="expression" dxfId="4767" priority="663">
      <formula>AND($R$694,$S$694)</formula>
    </cfRule>
  </conditionalFormatting>
  <conditionalFormatting sqref="W694">
    <cfRule type="expression" dxfId="4766" priority="662">
      <formula>AND(IF($R$694,$W$694,TRUE),LEN(TRIM($W$694))&gt;0)</formula>
    </cfRule>
  </conditionalFormatting>
  <conditionalFormatting sqref="W694">
    <cfRule type="expression" dxfId="4765" priority="661">
      <formula>$S$694 = FALSE</formula>
    </cfRule>
  </conditionalFormatting>
  <conditionalFormatting sqref="W694">
    <cfRule type="expression" dxfId="4764" priority="660">
      <formula>OR($T$694 = TRUE, AND($W$694 = TRUE, $S$694 = FALSE))</formula>
    </cfRule>
  </conditionalFormatting>
  <conditionalFormatting sqref="W695">
    <cfRule type="expression" dxfId="4763" priority="659">
      <formula>AND($R$695,$S$695)</formula>
    </cfRule>
  </conditionalFormatting>
  <conditionalFormatting sqref="W695">
    <cfRule type="expression" dxfId="4762" priority="658">
      <formula>AND(IF($R$695,$W$695,TRUE),LEN(TRIM($W$695))&gt;0)</formula>
    </cfRule>
  </conditionalFormatting>
  <conditionalFormatting sqref="W695">
    <cfRule type="expression" dxfId="4761" priority="657">
      <formula>$S$695 = FALSE</formula>
    </cfRule>
  </conditionalFormatting>
  <conditionalFormatting sqref="W695">
    <cfRule type="expression" dxfId="4760" priority="656">
      <formula>OR($T$695 = TRUE, AND($W$695 = TRUE, $S$695 = FALSE))</formula>
    </cfRule>
  </conditionalFormatting>
  <conditionalFormatting sqref="W696">
    <cfRule type="expression" dxfId="4759" priority="655">
      <formula>AND($R$696,$S$696)</formula>
    </cfRule>
  </conditionalFormatting>
  <conditionalFormatting sqref="W696">
    <cfRule type="expression" dxfId="4758" priority="654">
      <formula>AND(IF($R$696,$W$696,TRUE),LEN(TRIM($W$696))&gt;0)</formula>
    </cfRule>
  </conditionalFormatting>
  <conditionalFormatting sqref="W696">
    <cfRule type="expression" dxfId="4757" priority="653">
      <formula>$S$696 = FALSE</formula>
    </cfRule>
  </conditionalFormatting>
  <conditionalFormatting sqref="W696">
    <cfRule type="expression" dxfId="4756" priority="652">
      <formula>OR($T$696 = TRUE, AND($W$696 = TRUE, $S$696 = FALSE))</formula>
    </cfRule>
  </conditionalFormatting>
  <conditionalFormatting sqref="W697">
    <cfRule type="expression" dxfId="4755" priority="651">
      <formula>AND($R$697,$S$697)</formula>
    </cfRule>
  </conditionalFormatting>
  <conditionalFormatting sqref="W697">
    <cfRule type="expression" dxfId="4754" priority="650">
      <formula>AND(IF($R$697,$W$697,TRUE),LEN(TRIM($W$697))&gt;0)</formula>
    </cfRule>
  </conditionalFormatting>
  <conditionalFormatting sqref="W697">
    <cfRule type="expression" dxfId="4753" priority="649">
      <formula>$S$697 = FALSE</formula>
    </cfRule>
  </conditionalFormatting>
  <conditionalFormatting sqref="W697">
    <cfRule type="expression" dxfId="4752" priority="648">
      <formula>OR($T$697 = TRUE, AND($W$697 = TRUE, $S$697 = FALSE))</formula>
    </cfRule>
  </conditionalFormatting>
  <conditionalFormatting sqref="W698">
    <cfRule type="expression" dxfId="4751" priority="647">
      <formula>AND($R$698,$S$698)</formula>
    </cfRule>
  </conditionalFormatting>
  <conditionalFormatting sqref="W698">
    <cfRule type="expression" dxfId="4750" priority="646">
      <formula>AND(IF($R$698,$W$698,TRUE),LEN(TRIM($W$698))&gt;0)</formula>
    </cfRule>
  </conditionalFormatting>
  <conditionalFormatting sqref="W698">
    <cfRule type="expression" dxfId="4749" priority="645">
      <formula>$S$698 = FALSE</formula>
    </cfRule>
  </conditionalFormatting>
  <conditionalFormatting sqref="W698">
    <cfRule type="expression" dxfId="4748" priority="644">
      <formula>OR($T$698 = TRUE, AND($W$698 = TRUE, $S$698 = FALSE))</formula>
    </cfRule>
  </conditionalFormatting>
  <conditionalFormatting sqref="W699">
    <cfRule type="expression" dxfId="4747" priority="643">
      <formula>AND($R$699,$S$699)</formula>
    </cfRule>
  </conditionalFormatting>
  <conditionalFormatting sqref="W699">
    <cfRule type="expression" dxfId="4746" priority="642">
      <formula>AND(IF($R$699,$W$699,TRUE),LEN(TRIM($W$699))&gt;0)</formula>
    </cfRule>
  </conditionalFormatting>
  <conditionalFormatting sqref="W699">
    <cfRule type="expression" dxfId="4745" priority="641">
      <formula>$S$699 = FALSE</formula>
    </cfRule>
  </conditionalFormatting>
  <conditionalFormatting sqref="W699">
    <cfRule type="expression" dxfId="4744" priority="640">
      <formula>OR($T$699 = TRUE, AND($W$699 = TRUE, $S$699 = FALSE))</formula>
    </cfRule>
  </conditionalFormatting>
  <conditionalFormatting sqref="W700">
    <cfRule type="expression" dxfId="4743" priority="639">
      <formula>AND($R$700,$S$700)</formula>
    </cfRule>
  </conditionalFormatting>
  <conditionalFormatting sqref="W700">
    <cfRule type="expression" dxfId="4742" priority="638">
      <formula>AND(IF($R$700,$W$700,TRUE),LEN(TRIM($W$700))&gt;0)</formula>
    </cfRule>
  </conditionalFormatting>
  <conditionalFormatting sqref="W700">
    <cfRule type="expression" dxfId="4741" priority="637">
      <formula>$S$700 = FALSE</formula>
    </cfRule>
  </conditionalFormatting>
  <conditionalFormatting sqref="W700">
    <cfRule type="expression" dxfId="4740" priority="636">
      <formula>OR($T$700 = TRUE, AND($W$700 = TRUE, $S$700 = FALSE))</formula>
    </cfRule>
  </conditionalFormatting>
  <conditionalFormatting sqref="W701">
    <cfRule type="expression" dxfId="4739" priority="635">
      <formula>AND($R$701,$S$701)</formula>
    </cfRule>
  </conditionalFormatting>
  <conditionalFormatting sqref="W701">
    <cfRule type="expression" dxfId="4738" priority="634">
      <formula>AND(IF($R$701,$W$701,TRUE),LEN(TRIM($W$701))&gt;0)</formula>
    </cfRule>
  </conditionalFormatting>
  <conditionalFormatting sqref="W701">
    <cfRule type="expression" dxfId="4737" priority="633">
      <formula>$S$701 = FALSE</formula>
    </cfRule>
  </conditionalFormatting>
  <conditionalFormatting sqref="W701">
    <cfRule type="expression" dxfId="4736" priority="632">
      <formula>OR($T$701 = TRUE, AND($W$701 = TRUE, $S$701 = FALSE))</formula>
    </cfRule>
  </conditionalFormatting>
  <conditionalFormatting sqref="W704">
    <cfRule type="expression" dxfId="4735" priority="631">
      <formula>AND($R$704,$S$704)</formula>
    </cfRule>
  </conditionalFormatting>
  <conditionalFormatting sqref="W704">
    <cfRule type="expression" dxfId="4734" priority="630">
      <formula>AND(IF($R$704,$W$704,TRUE),LEN(TRIM($W$704))&gt;0)</formula>
    </cfRule>
  </conditionalFormatting>
  <conditionalFormatting sqref="W704">
    <cfRule type="expression" dxfId="4733" priority="629">
      <formula>$S$704 = FALSE</formula>
    </cfRule>
  </conditionalFormatting>
  <conditionalFormatting sqref="W704">
    <cfRule type="expression" dxfId="4732" priority="628">
      <formula>OR($T$704 = TRUE, AND($W$704 = TRUE, $S$704 = FALSE))</formula>
    </cfRule>
  </conditionalFormatting>
  <conditionalFormatting sqref="W706">
    <cfRule type="expression" dxfId="4731" priority="627">
      <formula>AND($R$706,$S$706)</formula>
    </cfRule>
  </conditionalFormatting>
  <conditionalFormatting sqref="W706">
    <cfRule type="expression" dxfId="4730" priority="626">
      <formula>AND(IF($R$706,$W$706,TRUE),LEN(TRIM($W$706))&gt;0)</formula>
    </cfRule>
  </conditionalFormatting>
  <conditionalFormatting sqref="W706">
    <cfRule type="expression" dxfId="4729" priority="625">
      <formula>$S$706 = FALSE</formula>
    </cfRule>
  </conditionalFormatting>
  <conditionalFormatting sqref="W706">
    <cfRule type="expression" dxfId="4728" priority="624">
      <formula>OR($T$706 = TRUE, AND($W$706 = TRUE, $S$706 = FALSE))</formula>
    </cfRule>
  </conditionalFormatting>
  <conditionalFormatting sqref="W708">
    <cfRule type="expression" dxfId="4727" priority="623">
      <formula>AND($R$708,$S$708)</formula>
    </cfRule>
  </conditionalFormatting>
  <conditionalFormatting sqref="W708">
    <cfRule type="expression" dxfId="4726" priority="622">
      <formula>AND(IF($R$708,$W$708,TRUE),LEN(TRIM($W$708))&gt;0)</formula>
    </cfRule>
  </conditionalFormatting>
  <conditionalFormatting sqref="W708">
    <cfRule type="expression" dxfId="4725" priority="621">
      <formula>$S$708 = FALSE</formula>
    </cfRule>
  </conditionalFormatting>
  <conditionalFormatting sqref="W708">
    <cfRule type="expression" dxfId="4724" priority="620">
      <formula>OR($T$708 = TRUE, AND($W$708 = TRUE, $S$708 = FALSE))</formula>
    </cfRule>
  </conditionalFormatting>
  <conditionalFormatting sqref="W725">
    <cfRule type="expression" dxfId="4723" priority="615">
      <formula>AND($R$725,$S$725)</formula>
    </cfRule>
  </conditionalFormatting>
  <conditionalFormatting sqref="W725">
    <cfRule type="expression" dxfId="4722" priority="614">
      <formula>AND(IF($R$725,$W$725,TRUE),LEN(TRIM($W$725))&gt;0)</formula>
    </cfRule>
  </conditionalFormatting>
  <conditionalFormatting sqref="W725">
    <cfRule type="expression" dxfId="4721" priority="613">
      <formula>$S$725 = FALSE</formula>
    </cfRule>
  </conditionalFormatting>
  <conditionalFormatting sqref="W725">
    <cfRule type="expression" dxfId="4720" priority="612">
      <formula>OR($T$725 = TRUE, AND($W$725 = TRUE, $S$725 = FALSE))</formula>
    </cfRule>
  </conditionalFormatting>
  <conditionalFormatting sqref="W733">
    <cfRule type="expression" dxfId="4719" priority="611">
      <formula>AND($R$733,$S$733)</formula>
    </cfRule>
  </conditionalFormatting>
  <conditionalFormatting sqref="W733">
    <cfRule type="expression" dxfId="4718" priority="610">
      <formula>AND(IF($R$733,$W$733,TRUE),LEN(TRIM($W$733))&gt;0)</formula>
    </cfRule>
  </conditionalFormatting>
  <conditionalFormatting sqref="W733">
    <cfRule type="expression" dxfId="4717" priority="609">
      <formula>$S$733 = FALSE</formula>
    </cfRule>
  </conditionalFormatting>
  <conditionalFormatting sqref="W733">
    <cfRule type="expression" dxfId="4716" priority="608">
      <formula>OR($T$733 = TRUE, AND($W$733 = TRUE, $S$733 = FALSE))</formula>
    </cfRule>
  </conditionalFormatting>
  <conditionalFormatting sqref="W729">
    <cfRule type="expression" dxfId="4715" priority="599">
      <formula>AND($R$729,$S$729)</formula>
    </cfRule>
  </conditionalFormatting>
  <conditionalFormatting sqref="W729">
    <cfRule type="expression" dxfId="4714" priority="598">
      <formula>AND(IF($R$729,$W$729,TRUE),LEN(TRIM($W$729))&gt;0)</formula>
    </cfRule>
  </conditionalFormatting>
  <conditionalFormatting sqref="W729">
    <cfRule type="expression" dxfId="4713" priority="597">
      <formula>$S$729 = FALSE</formula>
    </cfRule>
  </conditionalFormatting>
  <conditionalFormatting sqref="W729">
    <cfRule type="expression" dxfId="4712" priority="596">
      <formula>OR($T$729 = TRUE, AND($W$729 = TRUE, $S$729 = FALSE))</formula>
    </cfRule>
  </conditionalFormatting>
  <conditionalFormatting sqref="W730">
    <cfRule type="expression" dxfId="4711" priority="595">
      <formula>AND($R$730,$S$730)</formula>
    </cfRule>
  </conditionalFormatting>
  <conditionalFormatting sqref="W730">
    <cfRule type="expression" dxfId="4710" priority="594">
      <formula>AND(IF($R$730,$W$730,TRUE),LEN(TRIM($W$730))&gt;0)</formula>
    </cfRule>
  </conditionalFormatting>
  <conditionalFormatting sqref="W730">
    <cfRule type="expression" dxfId="4709" priority="593">
      <formula>$S$730 = FALSE</formula>
    </cfRule>
  </conditionalFormatting>
  <conditionalFormatting sqref="W730">
    <cfRule type="expression" dxfId="4708" priority="592">
      <formula>OR($T$730 = TRUE, AND($W$730 = TRUE, $S$730 = FALSE))</formula>
    </cfRule>
  </conditionalFormatting>
  <conditionalFormatting sqref="W741">
    <cfRule type="expression" dxfId="4707" priority="591">
      <formula>AND($R$741,$S$741)</formula>
    </cfRule>
  </conditionalFormatting>
  <conditionalFormatting sqref="W741">
    <cfRule type="expression" dxfId="4706" priority="590">
      <formula>AND(IF($R$741,$W$741,TRUE),LEN(TRIM($W$741))&gt;0)</formula>
    </cfRule>
  </conditionalFormatting>
  <conditionalFormatting sqref="W741">
    <cfRule type="expression" dxfId="4705" priority="589">
      <formula>$S$741 = FALSE</formula>
    </cfRule>
  </conditionalFormatting>
  <conditionalFormatting sqref="W741">
    <cfRule type="expression" dxfId="4704" priority="588">
      <formula>OR($T$741 = TRUE, AND($W$741 = TRUE, $S$741 = FALSE))</formula>
    </cfRule>
  </conditionalFormatting>
  <conditionalFormatting sqref="W547">
    <cfRule type="expression" dxfId="4703" priority="587">
      <formula>AND(R547,S547)</formula>
    </cfRule>
  </conditionalFormatting>
  <conditionalFormatting sqref="W547">
    <cfRule type="expression" dxfId="4702" priority="586">
      <formula>AND(IF(S547,W547,TRUE),LEN(TRIM(W547))&gt;0)</formula>
    </cfRule>
  </conditionalFormatting>
  <conditionalFormatting sqref="W547">
    <cfRule type="expression" dxfId="4701" priority="585">
      <formula>S547 = FALSE</formula>
    </cfRule>
  </conditionalFormatting>
  <conditionalFormatting sqref="W547">
    <cfRule type="expression" dxfId="4700" priority="584">
      <formula>OR(T547 = TRUE, AND(W547 = TRUE, S547 = FALSE))</formula>
    </cfRule>
  </conditionalFormatting>
  <conditionalFormatting sqref="W561">
    <cfRule type="expression" dxfId="4699" priority="583">
      <formula>AND($R$561,$S$561)</formula>
    </cfRule>
  </conditionalFormatting>
  <conditionalFormatting sqref="W561">
    <cfRule type="expression" dxfId="4698" priority="582">
      <formula>AND(IF($R$561,$W$561,TRUE),LEN(TRIM($W$561))&gt;0)</formula>
    </cfRule>
  </conditionalFormatting>
  <conditionalFormatting sqref="W561">
    <cfRule type="expression" dxfId="4697" priority="581">
      <formula>$S$561 = FALSE</formula>
    </cfRule>
  </conditionalFormatting>
  <conditionalFormatting sqref="W561">
    <cfRule type="expression" dxfId="4696" priority="580">
      <formula>OR($T$561 = TRUE, AND($W$561 = TRUE, $S$561 = FALSE))</formula>
    </cfRule>
  </conditionalFormatting>
  <conditionalFormatting sqref="W557">
    <cfRule type="expression" dxfId="4695" priority="579">
      <formula>AND($R$557,$S$557)</formula>
    </cfRule>
  </conditionalFormatting>
  <conditionalFormatting sqref="W557">
    <cfRule type="expression" dxfId="4694" priority="578">
      <formula>AND($W$557&lt;&gt;"Not Met",LEN(TRIM($W$557))&gt;0)</formula>
    </cfRule>
  </conditionalFormatting>
  <conditionalFormatting sqref="W557">
    <cfRule type="expression" dxfId="4693" priority="577">
      <formula>$S$557 = FALSE</formula>
    </cfRule>
  </conditionalFormatting>
  <conditionalFormatting sqref="W557">
    <cfRule type="expression" dxfId="4692" priority="576">
      <formula>OR($T$557 = TRUE, AND(LEN(TRIM($W$557))&gt;0, $S$557 = FALSE))</formula>
    </cfRule>
  </conditionalFormatting>
  <conditionalFormatting sqref="W564">
    <cfRule type="expression" dxfId="4691" priority="575">
      <formula>AND($R$564,$S$564)</formula>
    </cfRule>
  </conditionalFormatting>
  <conditionalFormatting sqref="W564">
    <cfRule type="expression" dxfId="4690" priority="574">
      <formula>AND($W$564&lt;&gt;"Not Met",LEN(TRIM($W$564))&gt;0)</formula>
    </cfRule>
  </conditionalFormatting>
  <conditionalFormatting sqref="W564">
    <cfRule type="expression" dxfId="4689" priority="573">
      <formula>$S$564 = FALSE</formula>
    </cfRule>
  </conditionalFormatting>
  <conditionalFormatting sqref="W564">
    <cfRule type="expression" dxfId="4688" priority="572">
      <formula>OR($T$564 = TRUE, AND(LEN(TRIM($W$564))&gt;0, $S$564 = FALSE))</formula>
    </cfRule>
  </conditionalFormatting>
  <conditionalFormatting sqref="W568">
    <cfRule type="expression" dxfId="4687" priority="571">
      <formula>AND($R$568,$S$568)</formula>
    </cfRule>
  </conditionalFormatting>
  <conditionalFormatting sqref="W568">
    <cfRule type="expression" dxfId="4686" priority="570">
      <formula>AND($W$568&lt;&gt;"Not Met",LEN(TRIM($W$568))&gt;0)</formula>
    </cfRule>
  </conditionalFormatting>
  <conditionalFormatting sqref="W568">
    <cfRule type="expression" dxfId="4685" priority="569">
      <formula>$S$568 = FALSE</formula>
    </cfRule>
  </conditionalFormatting>
  <conditionalFormatting sqref="W568">
    <cfRule type="expression" dxfId="4684" priority="568">
      <formula>OR($T$568 = TRUE, AND(LEN(TRIM($W$568))&gt;0, $S$568 = FALSE))</formula>
    </cfRule>
  </conditionalFormatting>
  <conditionalFormatting sqref="W573">
    <cfRule type="expression" dxfId="4683" priority="567">
      <formula>AND($R$573,$S$573)</formula>
    </cfRule>
  </conditionalFormatting>
  <conditionalFormatting sqref="W573">
    <cfRule type="expression" dxfId="4682" priority="566">
      <formula>AND($W$573&lt;&gt;"Not Met",LEN(TRIM($W$573))&gt;0)</formula>
    </cfRule>
  </conditionalFormatting>
  <conditionalFormatting sqref="W573">
    <cfRule type="expression" dxfId="4681" priority="565">
      <formula>$S$573 = FALSE</formula>
    </cfRule>
  </conditionalFormatting>
  <conditionalFormatting sqref="W573">
    <cfRule type="expression" dxfId="4680" priority="564">
      <formula>OR($T$573 = TRUE, AND(LEN(TRIM($W$573))&gt;0, $S$573 = FALSE))</formula>
    </cfRule>
  </conditionalFormatting>
  <conditionalFormatting sqref="W578">
    <cfRule type="expression" dxfId="4679" priority="563">
      <formula>AND($R$578,$S$578)</formula>
    </cfRule>
  </conditionalFormatting>
  <conditionalFormatting sqref="W578">
    <cfRule type="expression" dxfId="4678" priority="562">
      <formula>AND(IF($R$578,$W$578,TRUE),LEN(TRIM($W$578))&gt;0)</formula>
    </cfRule>
  </conditionalFormatting>
  <conditionalFormatting sqref="W578">
    <cfRule type="expression" dxfId="4677" priority="561">
      <formula>$S$578 = FALSE</formula>
    </cfRule>
  </conditionalFormatting>
  <conditionalFormatting sqref="W578">
    <cfRule type="expression" dxfId="4676" priority="560">
      <formula>OR($T$578 = TRUE, AND($W$578 = TRUE, $S$578 = FALSE))</formula>
    </cfRule>
  </conditionalFormatting>
  <conditionalFormatting sqref="W581">
    <cfRule type="expression" dxfId="4675" priority="559">
      <formula>AND($R$581,$S$581)</formula>
    </cfRule>
  </conditionalFormatting>
  <conditionalFormatting sqref="W581">
    <cfRule type="expression" dxfId="4674" priority="558">
      <formula>AND(IF($R$581,$W$581,TRUE),LEN(TRIM($W$581))&gt;0)</formula>
    </cfRule>
  </conditionalFormatting>
  <conditionalFormatting sqref="W581">
    <cfRule type="expression" dxfId="4673" priority="557">
      <formula>$S$581 = FALSE</formula>
    </cfRule>
  </conditionalFormatting>
  <conditionalFormatting sqref="W581">
    <cfRule type="expression" dxfId="4672" priority="556">
      <formula>OR($T$581 = TRUE, AND($W$581 = TRUE, $S$581 = FALSE))</formula>
    </cfRule>
  </conditionalFormatting>
  <conditionalFormatting sqref="W586">
    <cfRule type="expression" dxfId="4671" priority="555">
      <formula>AND($R$586,$S$586)</formula>
    </cfRule>
  </conditionalFormatting>
  <conditionalFormatting sqref="W586">
    <cfRule type="expression" dxfId="4670" priority="554">
      <formula>AND(IF($R$586,$W$586,TRUE),LEN(TRIM($W$586))&gt;0)</formula>
    </cfRule>
  </conditionalFormatting>
  <conditionalFormatting sqref="W586">
    <cfRule type="expression" dxfId="4669" priority="553">
      <formula>$S$586 = FALSE</formula>
    </cfRule>
  </conditionalFormatting>
  <conditionalFormatting sqref="W586">
    <cfRule type="expression" dxfId="4668" priority="552">
      <formula>OR($T$586 = TRUE, AND($W$586 = TRUE, $S$586 = FALSE))</formula>
    </cfRule>
  </conditionalFormatting>
  <conditionalFormatting sqref="W587">
    <cfRule type="expression" dxfId="4667" priority="551">
      <formula>AND($R$587,$S$587)</formula>
    </cfRule>
  </conditionalFormatting>
  <conditionalFormatting sqref="W587">
    <cfRule type="expression" dxfId="4666" priority="550">
      <formula>AND(IF($R$587,$W$587,TRUE),LEN(TRIM($W$587))&gt;0)</formula>
    </cfRule>
  </conditionalFormatting>
  <conditionalFormatting sqref="W587">
    <cfRule type="expression" dxfId="4665" priority="549">
      <formula>$S$587 = FALSE</formula>
    </cfRule>
  </conditionalFormatting>
  <conditionalFormatting sqref="W587">
    <cfRule type="expression" dxfId="4664" priority="548">
      <formula>OR($T$587 = TRUE, AND($W$587 = TRUE, $S$587 = FALSE))</formula>
    </cfRule>
  </conditionalFormatting>
  <conditionalFormatting sqref="W597">
    <cfRule type="expression" dxfId="4663" priority="543">
      <formula>AND($R$597,$S$597)</formula>
    </cfRule>
  </conditionalFormatting>
  <conditionalFormatting sqref="W597">
    <cfRule type="expression" dxfId="4662" priority="542">
      <formula>AND(IF($R$597,$W$597,TRUE),LEN(TRIM($W$597))&gt;0)</formula>
    </cfRule>
  </conditionalFormatting>
  <conditionalFormatting sqref="W597">
    <cfRule type="expression" dxfId="4661" priority="541">
      <formula>$S$597 = FALSE</formula>
    </cfRule>
  </conditionalFormatting>
  <conditionalFormatting sqref="W597">
    <cfRule type="expression" dxfId="4660" priority="540">
      <formula>OR($T$597 = TRUE, AND($W$597 = TRUE, $S$597 = FALSE))</formula>
    </cfRule>
  </conditionalFormatting>
  <conditionalFormatting sqref="W626">
    <cfRule type="expression" dxfId="4659" priority="535">
      <formula>AND($R$626,$S$626)</formula>
    </cfRule>
  </conditionalFormatting>
  <conditionalFormatting sqref="W626">
    <cfRule type="expression" dxfId="4658" priority="534">
      <formula>AND(IF($R$626,$W$626,TRUE),LEN(TRIM($W$626))&gt;0)</formula>
    </cfRule>
  </conditionalFormatting>
  <conditionalFormatting sqref="W626">
    <cfRule type="expression" dxfId="4657" priority="533">
      <formula>$S$626 = FALSE</formula>
    </cfRule>
  </conditionalFormatting>
  <conditionalFormatting sqref="W626">
    <cfRule type="expression" dxfId="4656" priority="532">
      <formula>OR($T$626 = TRUE, AND($W$626 = TRUE, $S$626 = FALSE))</formula>
    </cfRule>
  </conditionalFormatting>
  <conditionalFormatting sqref="X626">
    <cfRule type="expression" dxfId="4655" priority="531">
      <formula>W626=TRUE</formula>
    </cfRule>
  </conditionalFormatting>
  <conditionalFormatting sqref="W643">
    <cfRule type="expression" dxfId="4654" priority="525">
      <formula>AND($R$643,$S$643)</formula>
    </cfRule>
  </conditionalFormatting>
  <conditionalFormatting sqref="W643">
    <cfRule type="expression" dxfId="4653" priority="524">
      <formula>AND(IF($R$643,$W$643,TRUE),LEN(TRIM($W$643))&gt;0)</formula>
    </cfRule>
  </conditionalFormatting>
  <conditionalFormatting sqref="W643">
    <cfRule type="expression" dxfId="4652" priority="523">
      <formula>$S$643 = FALSE</formula>
    </cfRule>
  </conditionalFormatting>
  <conditionalFormatting sqref="W643">
    <cfRule type="expression" dxfId="4651" priority="522">
      <formula>OR($T$643 = TRUE, AND($W$643 = TRUE, $S$643 = FALSE))</formula>
    </cfRule>
  </conditionalFormatting>
  <conditionalFormatting sqref="W655">
    <cfRule type="expression" dxfId="4650" priority="521">
      <formula>AND($R$655,$S$655)</formula>
    </cfRule>
  </conditionalFormatting>
  <conditionalFormatting sqref="W655">
    <cfRule type="expression" dxfId="4649" priority="520">
      <formula>AND(IF($R$655,$W$655,TRUE),LEN(TRIM($W$655))&gt;0)</formula>
    </cfRule>
  </conditionalFormatting>
  <conditionalFormatting sqref="W655">
    <cfRule type="expression" dxfId="4648" priority="519">
      <formula>$S$655 = FALSE</formula>
    </cfRule>
  </conditionalFormatting>
  <conditionalFormatting sqref="W655">
    <cfRule type="expression" dxfId="4647" priority="518">
      <formula>OR($T$655 = TRUE, AND($W$655 = TRUE, $S$655 = FALSE))</formula>
    </cfRule>
  </conditionalFormatting>
  <conditionalFormatting sqref="W657">
    <cfRule type="expression" dxfId="4646" priority="517">
      <formula>AND($R$657,$S$657)</formula>
    </cfRule>
  </conditionalFormatting>
  <conditionalFormatting sqref="W657">
    <cfRule type="expression" dxfId="4645" priority="516">
      <formula>AND(IF($R$657,$W$657,TRUE),LEN(TRIM($W$657))&gt;0)</formula>
    </cfRule>
  </conditionalFormatting>
  <conditionalFormatting sqref="W657">
    <cfRule type="expression" dxfId="4644" priority="515">
      <formula>$S$657 = FALSE</formula>
    </cfRule>
  </conditionalFormatting>
  <conditionalFormatting sqref="W657">
    <cfRule type="expression" dxfId="4643" priority="514">
      <formula>OR($T$657 = TRUE, AND($W$657 = TRUE, $S$657 = FALSE))</formula>
    </cfRule>
  </conditionalFormatting>
  <conditionalFormatting sqref="W659">
    <cfRule type="expression" dxfId="4642" priority="513">
      <formula>AND($R$659,$S$659)</formula>
    </cfRule>
  </conditionalFormatting>
  <conditionalFormatting sqref="W659">
    <cfRule type="expression" dxfId="4641" priority="512">
      <formula>AND(IF($R$659,$W$659,TRUE),LEN(TRIM($W$659))&gt;0)</formula>
    </cfRule>
  </conditionalFormatting>
  <conditionalFormatting sqref="W659">
    <cfRule type="expression" dxfId="4640" priority="511">
      <formula>$S$659 = FALSE</formula>
    </cfRule>
  </conditionalFormatting>
  <conditionalFormatting sqref="W659">
    <cfRule type="expression" dxfId="4639" priority="510">
      <formula>OR($T$659 = TRUE, AND($W$659 = TRUE, $S$659 = FALSE))</formula>
    </cfRule>
  </conditionalFormatting>
  <conditionalFormatting sqref="W460">
    <cfRule type="expression" dxfId="4638" priority="509">
      <formula>AND($R$460,$S$460)</formula>
    </cfRule>
  </conditionalFormatting>
  <conditionalFormatting sqref="W460">
    <cfRule type="expression" dxfId="4637" priority="508">
      <formula>AND(IF($R$460,$W$460,TRUE),LEN(TRIM($W$460))&gt;0)</formula>
    </cfRule>
  </conditionalFormatting>
  <conditionalFormatting sqref="W460">
    <cfRule type="expression" dxfId="4636" priority="507">
      <formula>$S$460 = FALSE</formula>
    </cfRule>
  </conditionalFormatting>
  <conditionalFormatting sqref="W460">
    <cfRule type="expression" dxfId="4635" priority="506">
      <formula>OR($T$460 = TRUE, AND($W$460 = TRUE, $S$460 = FALSE))</formula>
    </cfRule>
  </conditionalFormatting>
  <conditionalFormatting sqref="W455">
    <cfRule type="expression" dxfId="4634" priority="505">
      <formula>AND($R$455,$S$455)</formula>
    </cfRule>
  </conditionalFormatting>
  <conditionalFormatting sqref="W455">
    <cfRule type="expression" dxfId="4633" priority="504">
      <formula>AND(IF($R$455,$W$455,TRUE),LEN(TRIM($W$455))&gt;0)</formula>
    </cfRule>
  </conditionalFormatting>
  <conditionalFormatting sqref="W455">
    <cfRule type="expression" dxfId="4632" priority="503">
      <formula>$S$455 = FALSE</formula>
    </cfRule>
  </conditionalFormatting>
  <conditionalFormatting sqref="W455">
    <cfRule type="expression" dxfId="4631" priority="502">
      <formula>OR($T$455 = TRUE, AND($W$455 = TRUE, $S$455 = FALSE))</formula>
    </cfRule>
  </conditionalFormatting>
  <conditionalFormatting sqref="W456">
    <cfRule type="expression" dxfId="4630" priority="501">
      <formula>AND($R$456,$S$456)</formula>
    </cfRule>
  </conditionalFormatting>
  <conditionalFormatting sqref="W456">
    <cfRule type="expression" dxfId="4629" priority="500">
      <formula>AND(IF($R$456,$W$456,TRUE),LEN(TRIM($W$456))&gt;0)</formula>
    </cfRule>
  </conditionalFormatting>
  <conditionalFormatting sqref="W456">
    <cfRule type="expression" dxfId="4628" priority="499">
      <formula>$S$456 = FALSE</formula>
    </cfRule>
  </conditionalFormatting>
  <conditionalFormatting sqref="W456">
    <cfRule type="expression" dxfId="4627" priority="498">
      <formula>OR($T$456 = TRUE, AND($W$456 = TRUE, $S$456 = FALSE))</formula>
    </cfRule>
  </conditionalFormatting>
  <conditionalFormatting sqref="W457">
    <cfRule type="expression" dxfId="4626" priority="493">
      <formula>AND($R$457,$S$457)</formula>
    </cfRule>
  </conditionalFormatting>
  <conditionalFormatting sqref="W457">
    <cfRule type="expression" dxfId="4625" priority="492">
      <formula>AND(IF($R$457,$W$457,TRUE),LEN(TRIM($W$457))&gt;0)</formula>
    </cfRule>
  </conditionalFormatting>
  <conditionalFormatting sqref="W457">
    <cfRule type="expression" dxfId="4624" priority="491">
      <formula>$S$457 = FALSE</formula>
    </cfRule>
  </conditionalFormatting>
  <conditionalFormatting sqref="W457">
    <cfRule type="expression" dxfId="4623" priority="490">
      <formula>OR($T$457 = TRUE, AND($W$457 = TRUE, $S$457 = FALSE))</formula>
    </cfRule>
  </conditionalFormatting>
  <conditionalFormatting sqref="W487">
    <cfRule type="expression" dxfId="4622" priority="489">
      <formula>AND($R$487,$S$487)</formula>
    </cfRule>
  </conditionalFormatting>
  <conditionalFormatting sqref="W487">
    <cfRule type="expression" dxfId="4621" priority="488">
      <formula>AND(IF($R$487,$W$487,TRUE),LEN(TRIM($W$487))&gt;0)</formula>
    </cfRule>
  </conditionalFormatting>
  <conditionalFormatting sqref="W487">
    <cfRule type="expression" dxfId="4620" priority="487">
      <formula>$S$487 = FALSE</formula>
    </cfRule>
  </conditionalFormatting>
  <conditionalFormatting sqref="W487">
    <cfRule type="expression" dxfId="4619" priority="486">
      <formula>OR($T$487 = TRUE, AND($W$487 = TRUE, $S$487 = FALSE))</formula>
    </cfRule>
  </conditionalFormatting>
  <conditionalFormatting sqref="W495">
    <cfRule type="expression" dxfId="4618" priority="485">
      <formula>AND($R$495,$S$495)</formula>
    </cfRule>
  </conditionalFormatting>
  <conditionalFormatting sqref="W495">
    <cfRule type="expression" dxfId="4617" priority="484">
      <formula>AND(IF($R$495,$W$495,TRUE),LEN(TRIM($W$495))&gt;0)</formula>
    </cfRule>
  </conditionalFormatting>
  <conditionalFormatting sqref="W495">
    <cfRule type="expression" dxfId="4616" priority="483">
      <formula>$S$495 = FALSE</formula>
    </cfRule>
  </conditionalFormatting>
  <conditionalFormatting sqref="W495">
    <cfRule type="expression" dxfId="4615" priority="482">
      <formula>OR($T$495 = TRUE, AND($W$495 = TRUE, $S$495 = FALSE))</formula>
    </cfRule>
  </conditionalFormatting>
  <conditionalFormatting sqref="W497">
    <cfRule type="expression" dxfId="4614" priority="481">
      <formula>AND($R$497,$S$497)</formula>
    </cfRule>
  </conditionalFormatting>
  <conditionalFormatting sqref="W497">
    <cfRule type="expression" dxfId="4613" priority="480">
      <formula>AND(IF($R$497,$W$497,TRUE),LEN(TRIM($W$497))&gt;0)</formula>
    </cfRule>
  </conditionalFormatting>
  <conditionalFormatting sqref="W497">
    <cfRule type="expression" dxfId="4612" priority="479">
      <formula>$S$497 = FALSE</formula>
    </cfRule>
  </conditionalFormatting>
  <conditionalFormatting sqref="W497">
    <cfRule type="expression" dxfId="4611" priority="478">
      <formula>OR($T$497 = TRUE, AND($W$497 = TRUE, $S$497 = FALSE))</formula>
    </cfRule>
  </conditionalFormatting>
  <conditionalFormatting sqref="W498">
    <cfRule type="expression" dxfId="4610" priority="477">
      <formula>AND($R$498,$S$498)</formula>
    </cfRule>
  </conditionalFormatting>
  <conditionalFormatting sqref="W498">
    <cfRule type="expression" dxfId="4609" priority="476">
      <formula>AND(IF($R$498,$W$498,TRUE),LEN(TRIM($W$498))&gt;0)</formula>
    </cfRule>
  </conditionalFormatting>
  <conditionalFormatting sqref="W498">
    <cfRule type="expression" dxfId="4608" priority="475">
      <formula>$S$498 = FALSE</formula>
    </cfRule>
  </conditionalFormatting>
  <conditionalFormatting sqref="W498">
    <cfRule type="expression" dxfId="4607" priority="474">
      <formula>OR($T$498 = TRUE, AND($W$498 = TRUE, $S$498 = FALSE))</formula>
    </cfRule>
  </conditionalFormatting>
  <conditionalFormatting sqref="W499">
    <cfRule type="expression" dxfId="4606" priority="473">
      <formula>AND($R$499,$S$499)</formula>
    </cfRule>
  </conditionalFormatting>
  <conditionalFormatting sqref="W499">
    <cfRule type="expression" dxfId="4605" priority="472">
      <formula>AND(IF($R$499,$W$499,TRUE),LEN(TRIM($W$499))&gt;0)</formula>
    </cfRule>
  </conditionalFormatting>
  <conditionalFormatting sqref="W499">
    <cfRule type="expression" dxfId="4604" priority="471">
      <formula>$S$499 = FALSE</formula>
    </cfRule>
  </conditionalFormatting>
  <conditionalFormatting sqref="W499">
    <cfRule type="expression" dxfId="4603" priority="470">
      <formula>OR($T$499 = TRUE, AND($W$499 = TRUE, $S$499 = FALSE))</formula>
    </cfRule>
  </conditionalFormatting>
  <conditionalFormatting sqref="W501">
    <cfRule type="expression" dxfId="4602" priority="469">
      <formula>AND($R$501,$S$501)</formula>
    </cfRule>
  </conditionalFormatting>
  <conditionalFormatting sqref="W501">
    <cfRule type="expression" dxfId="4601" priority="468">
      <formula>AND(IF($R$501,$W$501,TRUE),LEN(TRIM($W$501))&gt;0)</formula>
    </cfRule>
  </conditionalFormatting>
  <conditionalFormatting sqref="W501">
    <cfRule type="expression" dxfId="4600" priority="467">
      <formula>$S$501 = FALSE</formula>
    </cfRule>
  </conditionalFormatting>
  <conditionalFormatting sqref="W501">
    <cfRule type="expression" dxfId="4599" priority="466">
      <formula>OR($T$501 = TRUE, AND($W$501 = TRUE, $S$501 = FALSE))</formula>
    </cfRule>
  </conditionalFormatting>
  <conditionalFormatting sqref="W504">
    <cfRule type="expression" dxfId="4598" priority="465">
      <formula>AND($R$504,$S$504)</formula>
    </cfRule>
  </conditionalFormatting>
  <conditionalFormatting sqref="W504">
    <cfRule type="expression" dxfId="4597" priority="464">
      <formula>AND(IF($R$504,$W$504,TRUE),LEN(TRIM($W$504))&gt;0)</formula>
    </cfRule>
  </conditionalFormatting>
  <conditionalFormatting sqref="W504">
    <cfRule type="expression" dxfId="4596" priority="463">
      <formula>$S$504 = FALSE</formula>
    </cfRule>
  </conditionalFormatting>
  <conditionalFormatting sqref="W504">
    <cfRule type="expression" dxfId="4595" priority="462">
      <formula>OR($T$504 = TRUE, AND($W$504 = TRUE, $S$504 = FALSE))</formula>
    </cfRule>
  </conditionalFormatting>
  <conditionalFormatting sqref="W506">
    <cfRule type="expression" dxfId="4594" priority="461">
      <formula>AND($R$506,$S$506)</formula>
    </cfRule>
  </conditionalFormatting>
  <conditionalFormatting sqref="W506">
    <cfRule type="expression" dxfId="4593" priority="460">
      <formula>AND(IF($R$506,$W$506,TRUE),LEN(TRIM($W$506))&gt;0)</formula>
    </cfRule>
  </conditionalFormatting>
  <conditionalFormatting sqref="W506">
    <cfRule type="expression" dxfId="4592" priority="459">
      <formula>$S$506 = FALSE</formula>
    </cfRule>
  </conditionalFormatting>
  <conditionalFormatting sqref="W506">
    <cfRule type="expression" dxfId="4591" priority="458">
      <formula>OR($T$506 = TRUE, AND($W$506 = TRUE, $S$506 = FALSE))</formula>
    </cfRule>
  </conditionalFormatting>
  <conditionalFormatting sqref="W511">
    <cfRule type="expression" dxfId="4590" priority="457">
      <formula>AND($R$511,$S$511)</formula>
    </cfRule>
  </conditionalFormatting>
  <conditionalFormatting sqref="W511">
    <cfRule type="expression" dxfId="4589" priority="456">
      <formula>AND(IF($R$511,$W$511,TRUE),LEN(TRIM($W$511))&gt;0)</formula>
    </cfRule>
  </conditionalFormatting>
  <conditionalFormatting sqref="W511">
    <cfRule type="expression" dxfId="4588" priority="455">
      <formula>$S$511 = FALSE</formula>
    </cfRule>
  </conditionalFormatting>
  <conditionalFormatting sqref="W511">
    <cfRule type="expression" dxfId="4587" priority="454">
      <formula>OR($T$511 = TRUE, AND($W$511 = TRUE, $S$511 = FALSE))</formula>
    </cfRule>
  </conditionalFormatting>
  <conditionalFormatting sqref="W513">
    <cfRule type="expression" dxfId="4586" priority="453">
      <formula>AND($R$513,$S$513)</formula>
    </cfRule>
  </conditionalFormatting>
  <conditionalFormatting sqref="W513">
    <cfRule type="expression" dxfId="4585" priority="452">
      <formula>AND(IF($R$513,$W$513,TRUE),LEN(TRIM($W$513))&gt;0)</formula>
    </cfRule>
  </conditionalFormatting>
  <conditionalFormatting sqref="W513">
    <cfRule type="expression" dxfId="4584" priority="451">
      <formula>$S$513 = FALSE</formula>
    </cfRule>
  </conditionalFormatting>
  <conditionalFormatting sqref="W513">
    <cfRule type="expression" dxfId="4583" priority="450">
      <formula>OR($T$513 = TRUE, AND($W$513 = TRUE, $S$513 = FALSE))</formula>
    </cfRule>
  </conditionalFormatting>
  <conditionalFormatting sqref="W515">
    <cfRule type="expression" dxfId="4582" priority="449">
      <formula>AND($R$515,$S$515)</formula>
    </cfRule>
  </conditionalFormatting>
  <conditionalFormatting sqref="W515">
    <cfRule type="expression" dxfId="4581" priority="448">
      <formula>AND(IF($R$515,$W$515,TRUE),LEN(TRIM($W$515))&gt;0)</formula>
    </cfRule>
  </conditionalFormatting>
  <conditionalFormatting sqref="W515">
    <cfRule type="expression" dxfId="4580" priority="447">
      <formula>$S$515 = FALSE</formula>
    </cfRule>
  </conditionalFormatting>
  <conditionalFormatting sqref="W515">
    <cfRule type="expression" dxfId="4579" priority="446">
      <formula>OR($T$515 = TRUE, AND($W$515 = TRUE, $S$515 = FALSE))</formula>
    </cfRule>
  </conditionalFormatting>
  <conditionalFormatting sqref="W517">
    <cfRule type="expression" dxfId="4578" priority="445">
      <formula>AND($R$517,$S$517)</formula>
    </cfRule>
  </conditionalFormatting>
  <conditionalFormatting sqref="W517">
    <cfRule type="expression" dxfId="4577" priority="444">
      <formula>AND(IF($R$517,$W$517,TRUE),LEN(TRIM($W$517))&gt;0)</formula>
    </cfRule>
  </conditionalFormatting>
  <conditionalFormatting sqref="W517">
    <cfRule type="expression" dxfId="4576" priority="443">
      <formula>$S$517 = FALSE</formula>
    </cfRule>
  </conditionalFormatting>
  <conditionalFormatting sqref="W517">
    <cfRule type="expression" dxfId="4575" priority="442">
      <formula>OR($T$517 = TRUE, AND($W$517 = TRUE, $S$517 = FALSE))</formula>
    </cfRule>
  </conditionalFormatting>
  <conditionalFormatting sqref="W448">
    <cfRule type="expression" dxfId="4574" priority="441">
      <formula>AND($R$448,$S$448)</formula>
    </cfRule>
  </conditionalFormatting>
  <conditionalFormatting sqref="W448">
    <cfRule type="expression" dxfId="4573" priority="440">
      <formula>AND(IF($R$448,$W$448,TRUE),LEN(TRIM($W$448))&gt;0)</formula>
    </cfRule>
  </conditionalFormatting>
  <conditionalFormatting sqref="W448">
    <cfRule type="expression" dxfId="4572" priority="439">
      <formula>$S$448 = FALSE</formula>
    </cfRule>
  </conditionalFormatting>
  <conditionalFormatting sqref="W448">
    <cfRule type="expression" dxfId="4571" priority="438">
      <formula>OR($T$448 = TRUE, AND($W$448 = TRUE, $S$448 = FALSE))</formula>
    </cfRule>
  </conditionalFormatting>
  <conditionalFormatting sqref="W450">
    <cfRule type="expression" dxfId="4570" priority="437">
      <formula>AND($R$450,$S$450)</formula>
    </cfRule>
  </conditionalFormatting>
  <conditionalFormatting sqref="W450">
    <cfRule type="expression" dxfId="4569" priority="436">
      <formula>AND(IF($R$450,$W$450,TRUE),LEN(TRIM($W$450))&gt;0)</formula>
    </cfRule>
  </conditionalFormatting>
  <conditionalFormatting sqref="W450">
    <cfRule type="expression" dxfId="4568" priority="435">
      <formula>$S$450 = FALSE</formula>
    </cfRule>
  </conditionalFormatting>
  <conditionalFormatting sqref="W450">
    <cfRule type="expression" dxfId="4567" priority="434">
      <formula>OR($T$450 = TRUE, AND($W$450 = TRUE, $S$450 = FALSE))</formula>
    </cfRule>
  </conditionalFormatting>
  <conditionalFormatting sqref="W452">
    <cfRule type="expression" dxfId="4566" priority="433">
      <formula>AND($R$452,$S$452)</formula>
    </cfRule>
  </conditionalFormatting>
  <conditionalFormatting sqref="W452">
    <cfRule type="expression" dxfId="4565" priority="432">
      <formula>AND(IF($R$452,$W$452,TRUE),LEN(TRIM($W$452))&gt;0)</formula>
    </cfRule>
  </conditionalFormatting>
  <conditionalFormatting sqref="W452">
    <cfRule type="expression" dxfId="4564" priority="431">
      <formula>$S$452 = FALSE</formula>
    </cfRule>
  </conditionalFormatting>
  <conditionalFormatting sqref="W452">
    <cfRule type="expression" dxfId="4563" priority="430">
      <formula>OR($T$452 = TRUE, AND($W$452 = TRUE, $S$452 = FALSE))</formula>
    </cfRule>
  </conditionalFormatting>
  <conditionalFormatting sqref="W584">
    <cfRule type="expression" dxfId="4562" priority="429">
      <formula>AND(R584,S584)</formula>
    </cfRule>
  </conditionalFormatting>
  <conditionalFormatting sqref="W584">
    <cfRule type="expression" dxfId="4561" priority="428">
      <formula>AND(S584,LEN(TRIM(W584))&gt;0)</formula>
    </cfRule>
  </conditionalFormatting>
  <conditionalFormatting sqref="W584">
    <cfRule type="expression" dxfId="4560" priority="427">
      <formula>S584 = FALSE</formula>
    </cfRule>
  </conditionalFormatting>
  <conditionalFormatting sqref="W584">
    <cfRule type="expression" dxfId="4559" priority="426">
      <formula>OR(T584 = TRUE, AND(W584 &gt; 0, S584 = FALSE))</formula>
    </cfRule>
  </conditionalFormatting>
  <conditionalFormatting sqref="W637">
    <cfRule type="expression" dxfId="4558" priority="425">
      <formula>AND($R$637,$S$637)</formula>
    </cfRule>
  </conditionalFormatting>
  <conditionalFormatting sqref="W637">
    <cfRule type="expression" dxfId="4557" priority="424">
      <formula>AND($W$637&lt;&gt;"Not Met",LEN(TRIM($W$637))&gt;0)</formula>
    </cfRule>
  </conditionalFormatting>
  <conditionalFormatting sqref="W637">
    <cfRule type="expression" dxfId="4556" priority="423">
      <formula>$S$637 = FALSE</formula>
    </cfRule>
  </conditionalFormatting>
  <conditionalFormatting sqref="W637">
    <cfRule type="expression" dxfId="4555" priority="422">
      <formula>OR($T$637 = TRUE, AND(LEN(TRIM($W$637))&gt;0, $S$637 = FALSE))</formula>
    </cfRule>
  </conditionalFormatting>
  <conditionalFormatting sqref="W431">
    <cfRule type="expression" dxfId="4554" priority="421">
      <formula>AND(R431,S431)</formula>
    </cfRule>
  </conditionalFormatting>
  <conditionalFormatting sqref="W431">
    <cfRule type="expression" dxfId="4553" priority="420">
      <formula>AND(R431,LEN(TRIM(W431))&gt;0)</formula>
    </cfRule>
  </conditionalFormatting>
  <conditionalFormatting sqref="W431">
    <cfRule type="expression" dxfId="4552" priority="419">
      <formula>S431 = FALSE</formula>
    </cfRule>
  </conditionalFormatting>
  <conditionalFormatting sqref="W431">
    <cfRule type="expression" dxfId="4551" priority="418">
      <formula>OR(T431 = TRUE, AND(W431 &gt; 0, S431 = FALSE))</formula>
    </cfRule>
  </conditionalFormatting>
  <conditionalFormatting sqref="W425">
    <cfRule type="expression" dxfId="4550" priority="417">
      <formula>AND($R$425,$S$425)</formula>
    </cfRule>
  </conditionalFormatting>
  <conditionalFormatting sqref="W425">
    <cfRule type="expression" dxfId="4549" priority="416">
      <formula>AND(IF($R$425,$W$425,TRUE),LEN(TRIM($W$425))&gt;0)</formula>
    </cfRule>
  </conditionalFormatting>
  <conditionalFormatting sqref="W425">
    <cfRule type="expression" dxfId="4548" priority="415">
      <formula>$S$425 = FALSE</formula>
    </cfRule>
  </conditionalFormatting>
  <conditionalFormatting sqref="W425">
    <cfRule type="expression" dxfId="4547" priority="414">
      <formula>OR($T$425 = TRUE, AND($W$425 = TRUE, $S$425 = FALSE))</formula>
    </cfRule>
  </conditionalFormatting>
  <conditionalFormatting sqref="W427">
    <cfRule type="expression" dxfId="4546" priority="413">
      <formula>AND($R$427,$S$427)</formula>
    </cfRule>
  </conditionalFormatting>
  <conditionalFormatting sqref="W427">
    <cfRule type="expression" dxfId="4545" priority="412">
      <formula>AND(IF($R$427,$W$427,TRUE),LEN(TRIM($W$427))&gt;0)</formula>
    </cfRule>
  </conditionalFormatting>
  <conditionalFormatting sqref="W427">
    <cfRule type="expression" dxfId="4544" priority="411">
      <formula>$S$427 = FALSE</formula>
    </cfRule>
  </conditionalFormatting>
  <conditionalFormatting sqref="W427">
    <cfRule type="expression" dxfId="4543" priority="410">
      <formula>OR($T$427 = TRUE, AND($W$427 = TRUE, $S$427 = FALSE))</formula>
    </cfRule>
  </conditionalFormatting>
  <conditionalFormatting sqref="W423">
    <cfRule type="expression" dxfId="4542" priority="409">
      <formula>AND($R$423,$S$423)</formula>
    </cfRule>
  </conditionalFormatting>
  <conditionalFormatting sqref="W423">
    <cfRule type="expression" dxfId="4541" priority="408">
      <formula>AND(IF($R$423,$W$423,TRUE),LEN(TRIM($W$423))&gt;0)</formula>
    </cfRule>
  </conditionalFormatting>
  <conditionalFormatting sqref="W423">
    <cfRule type="expression" dxfId="4540" priority="407">
      <formula>$S$423 = FALSE</formula>
    </cfRule>
  </conditionalFormatting>
  <conditionalFormatting sqref="W423">
    <cfRule type="expression" dxfId="4539" priority="406">
      <formula>OR($T$423 = TRUE, AND($W$423 = TRUE, $S$423 = FALSE))</formula>
    </cfRule>
  </conditionalFormatting>
  <conditionalFormatting sqref="W375">
    <cfRule type="expression" dxfId="4538" priority="405">
      <formula>AND($R$375,$S$375)</formula>
    </cfRule>
  </conditionalFormatting>
  <conditionalFormatting sqref="W375">
    <cfRule type="expression" dxfId="4537" priority="404">
      <formula>AND($W$375&lt;&gt;"Not Met",LEN(TRIM($W$375))&gt;0)</formula>
    </cfRule>
  </conditionalFormatting>
  <conditionalFormatting sqref="W375">
    <cfRule type="expression" dxfId="4536" priority="403">
      <formula>$S$375 = FALSE</formula>
    </cfRule>
  </conditionalFormatting>
  <conditionalFormatting sqref="W375">
    <cfRule type="expression" dxfId="4535" priority="402">
      <formula>OR($T$375 = TRUE, AND(LEN(TRIM($W$375))&gt;0, $S$375 = FALSE))</formula>
    </cfRule>
  </conditionalFormatting>
  <conditionalFormatting sqref="W354">
    <cfRule type="expression" dxfId="4534" priority="397">
      <formula>AND($R$354,$S$354)</formula>
    </cfRule>
  </conditionalFormatting>
  <conditionalFormatting sqref="W354">
    <cfRule type="expression" dxfId="4533" priority="396">
      <formula>AND(IF($R$354,$W$354,TRUE),LEN(TRIM($W$354))&gt;0)</formula>
    </cfRule>
  </conditionalFormatting>
  <conditionalFormatting sqref="W354">
    <cfRule type="expression" dxfId="4532" priority="395">
      <formula>$S$354 = FALSE</formula>
    </cfRule>
  </conditionalFormatting>
  <conditionalFormatting sqref="W354">
    <cfRule type="expression" dxfId="4531" priority="394">
      <formula>OR($T$354 = TRUE, AND($W$354 = TRUE, $S$354 = FALSE))</formula>
    </cfRule>
  </conditionalFormatting>
  <conditionalFormatting sqref="W356">
    <cfRule type="expression" dxfId="4530" priority="393">
      <formula>AND($R$356,$S$356)</formula>
    </cfRule>
  </conditionalFormatting>
  <conditionalFormatting sqref="W356">
    <cfRule type="expression" dxfId="4529" priority="392">
      <formula>AND(IF($R$356,$W$356,TRUE),LEN(TRIM($W$356))&gt;0)</formula>
    </cfRule>
  </conditionalFormatting>
  <conditionalFormatting sqref="W356">
    <cfRule type="expression" dxfId="4528" priority="391">
      <formula>$S$356 = FALSE</formula>
    </cfRule>
  </conditionalFormatting>
  <conditionalFormatting sqref="W356">
    <cfRule type="expression" dxfId="4527" priority="390">
      <formula>OR($T$356 = TRUE, AND($W$356 = TRUE, $S$356 = FALSE))</formula>
    </cfRule>
  </conditionalFormatting>
  <conditionalFormatting sqref="W359">
    <cfRule type="expression" dxfId="4526" priority="389">
      <formula>AND($R$359,$S$359)</formula>
    </cfRule>
  </conditionalFormatting>
  <conditionalFormatting sqref="W359">
    <cfRule type="expression" dxfId="4525" priority="388">
      <formula>AND(IF($R$359,$W$359,TRUE),LEN(TRIM($W$359))&gt;0)</formula>
    </cfRule>
  </conditionalFormatting>
  <conditionalFormatting sqref="W359">
    <cfRule type="expression" dxfId="4524" priority="387">
      <formula>$S$359 = FALSE</formula>
    </cfRule>
  </conditionalFormatting>
  <conditionalFormatting sqref="W359">
    <cfRule type="expression" dxfId="4523" priority="386">
      <formula>OR($T$359 = TRUE, AND($W$359 = TRUE, $S$359 = FALSE))</formula>
    </cfRule>
  </conditionalFormatting>
  <conditionalFormatting sqref="W360">
    <cfRule type="expression" dxfId="4522" priority="385">
      <formula>AND($R$360,$S$360)</formula>
    </cfRule>
  </conditionalFormatting>
  <conditionalFormatting sqref="W360">
    <cfRule type="expression" dxfId="4521" priority="384">
      <formula>AND(IF($R$360,$W$360,TRUE),LEN(TRIM($W$360))&gt;0)</formula>
    </cfRule>
  </conditionalFormatting>
  <conditionalFormatting sqref="W360">
    <cfRule type="expression" dxfId="4520" priority="383">
      <formula>$S$360 = FALSE</formula>
    </cfRule>
  </conditionalFormatting>
  <conditionalFormatting sqref="W360">
    <cfRule type="expression" dxfId="4519" priority="382">
      <formula>OR($T$360 = TRUE, AND($W$360 = TRUE, $S$360 = FALSE))</formula>
    </cfRule>
  </conditionalFormatting>
  <conditionalFormatting sqref="W362">
    <cfRule type="expression" dxfId="4518" priority="381">
      <formula>AND($R$362,$S$362)</formula>
    </cfRule>
  </conditionalFormatting>
  <conditionalFormatting sqref="W362">
    <cfRule type="expression" dxfId="4517" priority="380">
      <formula>AND(IF($R$362,$W$362,TRUE),LEN(TRIM($W$362))&gt;0)</formula>
    </cfRule>
  </conditionalFormatting>
  <conditionalFormatting sqref="W362">
    <cfRule type="expression" dxfId="4516" priority="379">
      <formula>$S$362 = FALSE</formula>
    </cfRule>
  </conditionalFormatting>
  <conditionalFormatting sqref="W362">
    <cfRule type="expression" dxfId="4515" priority="378">
      <formula>OR($T$362 = TRUE, AND($W$362 = TRUE, $S$362 = FALSE))</formula>
    </cfRule>
  </conditionalFormatting>
  <conditionalFormatting sqref="W364">
    <cfRule type="expression" dxfId="4514" priority="377">
      <formula>AND($R$364,$S$364)</formula>
    </cfRule>
  </conditionalFormatting>
  <conditionalFormatting sqref="W364">
    <cfRule type="expression" dxfId="4513" priority="376">
      <formula>AND($W$364&lt;&gt;"Not Met",LEN(TRIM($W$364))&gt;0)</formula>
    </cfRule>
  </conditionalFormatting>
  <conditionalFormatting sqref="W364">
    <cfRule type="expression" dxfId="4512" priority="375">
      <formula>$S$364 = FALSE</formula>
    </cfRule>
  </conditionalFormatting>
  <conditionalFormatting sqref="W364">
    <cfRule type="expression" dxfId="4511" priority="374">
      <formula>OR($T$364 = TRUE, AND(LEN(TRIM($W$364))&gt;0, $S$364 = FALSE))</formula>
    </cfRule>
  </conditionalFormatting>
  <conditionalFormatting sqref="W105">
    <cfRule type="expression" dxfId="4510" priority="373">
      <formula>AND(R105,S105)</formula>
    </cfRule>
  </conditionalFormatting>
  <conditionalFormatting sqref="W105">
    <cfRule type="expression" dxfId="4509" priority="372">
      <formula>NOT(ISBLANK(W105))</formula>
    </cfRule>
  </conditionalFormatting>
  <conditionalFormatting sqref="W105">
    <cfRule type="expression" dxfId="4508" priority="371">
      <formula>S105 = FALSE</formula>
    </cfRule>
  </conditionalFormatting>
  <conditionalFormatting sqref="W105">
    <cfRule type="expression" dxfId="4507" priority="370">
      <formula>OR(T105 = TRUE, AND(W105 = TRUE, S105 = FALSE))</formula>
    </cfRule>
  </conditionalFormatting>
  <conditionalFormatting sqref="W623">
    <cfRule type="expression" dxfId="4506" priority="369">
      <formula>AND(R623,S623)</formula>
    </cfRule>
  </conditionalFormatting>
  <conditionalFormatting sqref="W623">
    <cfRule type="expression" dxfId="4505" priority="368">
      <formula>NOT(ISBLANK(W623))</formula>
    </cfRule>
  </conditionalFormatting>
  <conditionalFormatting sqref="W623">
    <cfRule type="expression" dxfId="4504" priority="367">
      <formula>S623 = FALSE</formula>
    </cfRule>
  </conditionalFormatting>
  <conditionalFormatting sqref="W623">
    <cfRule type="expression" dxfId="4503" priority="366">
      <formula>OR(T623 = TRUE, AND(W623 = TRUE, S623 = FALSE))</formula>
    </cfRule>
  </conditionalFormatting>
  <conditionalFormatting sqref="W271">
    <cfRule type="expression" dxfId="4502" priority="365">
      <formula>AND($R$271,$S$271)</formula>
    </cfRule>
  </conditionalFormatting>
  <conditionalFormatting sqref="W271">
    <cfRule type="expression" dxfId="4501" priority="364">
      <formula>AND($W$271&lt;&gt;"Not Met",LEN(TRIM($W$271))&gt;0)</formula>
    </cfRule>
  </conditionalFormatting>
  <conditionalFormatting sqref="W271">
    <cfRule type="expression" dxfId="4500" priority="363">
      <formula>$S$271 = FALSE</formula>
    </cfRule>
  </conditionalFormatting>
  <conditionalFormatting sqref="W271">
    <cfRule type="expression" dxfId="4499" priority="362">
      <formula>OR($T$271 = TRUE, AND(LEN(TRIM($W$271))&gt;0, $S$271 = FALSE))</formula>
    </cfRule>
  </conditionalFormatting>
  <conditionalFormatting sqref="W278">
    <cfRule type="expression" dxfId="4498" priority="360">
      <formula>AND($W$278&lt;&gt;"Not Met",LEN(TRIM($W$278))&gt;0)</formula>
    </cfRule>
  </conditionalFormatting>
  <conditionalFormatting sqref="W348">
    <cfRule type="expression" dxfId="4497" priority="357">
      <formula>AND($R$348,$S$348)</formula>
    </cfRule>
  </conditionalFormatting>
  <conditionalFormatting sqref="W348">
    <cfRule type="expression" dxfId="4496" priority="356">
      <formula>AND(IF($R$348,$W$348,TRUE),LEN(TRIM($W$348))&gt;0)</formula>
    </cfRule>
  </conditionalFormatting>
  <conditionalFormatting sqref="W348">
    <cfRule type="expression" dxfId="4495" priority="355">
      <formula>$S$348 = FALSE</formula>
    </cfRule>
  </conditionalFormatting>
  <conditionalFormatting sqref="W348">
    <cfRule type="expression" dxfId="4494" priority="354">
      <formula>OR($T$348 = TRUE, AND($W$348 = TRUE, $S$348 = FALSE))</formula>
    </cfRule>
  </conditionalFormatting>
  <conditionalFormatting sqref="W244">
    <cfRule type="expression" dxfId="4493" priority="342">
      <formula>OR($T$244 = TRUE, AND(LEN(TRIM($W$244))&gt;0, $S$244 = FALSE))</formula>
    </cfRule>
    <cfRule type="expression" dxfId="4492" priority="343">
      <formula>$S$244 = FALSE</formula>
    </cfRule>
    <cfRule type="expression" dxfId="4491" priority="344">
      <formula>AND($W$244&lt;&gt;"Not Met",LEN(TRIM($W$244))&gt;0)</formula>
    </cfRule>
    <cfRule type="expression" dxfId="4490" priority="345">
      <formula>AND($R$244,$S$244)</formula>
    </cfRule>
  </conditionalFormatting>
  <conditionalFormatting sqref="W252">
    <cfRule type="expression" dxfId="4489" priority="338">
      <formula>OR($T$252 = TRUE, AND(LEN(TRIM($W$252))&gt;0, $S$252 = FALSE))</formula>
    </cfRule>
    <cfRule type="expression" dxfId="4488" priority="339">
      <formula>$S$252 = FALSE</formula>
    </cfRule>
    <cfRule type="expression" dxfId="4487" priority="340">
      <formula>AND($W$252&lt;&gt;"Not Met",LEN(TRIM($W$252))&gt;0)</formula>
    </cfRule>
    <cfRule type="expression" dxfId="4486" priority="341">
      <formula>AND($R$252,$S$252)</formula>
    </cfRule>
  </conditionalFormatting>
  <conditionalFormatting sqref="W260">
    <cfRule type="expression" dxfId="4485" priority="334">
      <formula>OR($T$260 = TRUE, AND(LEN(TRIM($W$260))&gt;0, $S$260 = FALSE))</formula>
    </cfRule>
    <cfRule type="expression" dxfId="4484" priority="335">
      <formula>$S$260 = FALSE</formula>
    </cfRule>
    <cfRule type="expression" dxfId="4483" priority="336">
      <formula>AND($W$260&lt;&gt;"Not Met",LEN(TRIM($W$260))&gt;0)</formula>
    </cfRule>
    <cfRule type="expression" dxfId="4482" priority="337">
      <formula>AND($R$260,$S$260)</formula>
    </cfRule>
  </conditionalFormatting>
  <conditionalFormatting sqref="W284">
    <cfRule type="expression" dxfId="4481" priority="330">
      <formula>OR($T$284 = TRUE, AND($W$284 = TRUE, $S$284 = FALSE))</formula>
    </cfRule>
    <cfRule type="expression" dxfId="4480" priority="331">
      <formula>$S$284 = FALSE</formula>
    </cfRule>
    <cfRule type="expression" dxfId="4479" priority="332">
      <formula>AND(IF($R$284,$W$284,TRUE),LEN(TRIM($W$284))&gt;0)</formula>
    </cfRule>
    <cfRule type="expression" dxfId="4478" priority="333">
      <formula>AND($R$284,$S$284)</formula>
    </cfRule>
  </conditionalFormatting>
  <conditionalFormatting sqref="W291">
    <cfRule type="expression" dxfId="4477" priority="329">
      <formula>AND(R291,S291)</formula>
    </cfRule>
  </conditionalFormatting>
  <conditionalFormatting sqref="W291">
    <cfRule type="expression" dxfId="4476" priority="328">
      <formula>NOT(ISBLANK(W291))</formula>
    </cfRule>
  </conditionalFormatting>
  <conditionalFormatting sqref="W291">
    <cfRule type="expression" dxfId="4475" priority="327">
      <formula>S291 = FALSE</formula>
    </cfRule>
  </conditionalFormatting>
  <conditionalFormatting sqref="W291">
    <cfRule type="expression" dxfId="4474" priority="326">
      <formula>OR(T291 = TRUE, AND(W291 = TRUE, S291 = FALSE))</formula>
    </cfRule>
  </conditionalFormatting>
  <conditionalFormatting sqref="W297">
    <cfRule type="expression" dxfId="4473" priority="313">
      <formula>AND(R297,S297)</formula>
    </cfRule>
  </conditionalFormatting>
  <conditionalFormatting sqref="W297">
    <cfRule type="expression" dxfId="4472" priority="312">
      <formula>NOT(ISBLANK(W297))</formula>
    </cfRule>
  </conditionalFormatting>
  <conditionalFormatting sqref="W297">
    <cfRule type="expression" dxfId="4471" priority="311">
      <formula>S297 = FALSE</formula>
    </cfRule>
  </conditionalFormatting>
  <conditionalFormatting sqref="W297">
    <cfRule type="expression" dxfId="4470" priority="310">
      <formula>OR(T297 = TRUE, AND(W297 = TRUE, S297 = FALSE))</formula>
    </cfRule>
  </conditionalFormatting>
  <conditionalFormatting sqref="W300">
    <cfRule type="expression" dxfId="4469" priority="309">
      <formula>AND(R300,S300)</formula>
    </cfRule>
  </conditionalFormatting>
  <conditionalFormatting sqref="W300">
    <cfRule type="expression" dxfId="4468" priority="308">
      <formula>NOT(ISBLANK(W300))</formula>
    </cfRule>
  </conditionalFormatting>
  <conditionalFormatting sqref="W300">
    <cfRule type="expression" dxfId="4467" priority="307">
      <formula>S300 = FALSE</formula>
    </cfRule>
  </conditionalFormatting>
  <conditionalFormatting sqref="W300">
    <cfRule type="expression" dxfId="4466" priority="306">
      <formula>OR(T300 = TRUE, AND(W300 = TRUE, S300 = FALSE))</formula>
    </cfRule>
  </conditionalFormatting>
  <conditionalFormatting sqref="W305">
    <cfRule type="expression" dxfId="4465" priority="305">
      <formula>AND(R305,S305)</formula>
    </cfRule>
  </conditionalFormatting>
  <conditionalFormatting sqref="W305">
    <cfRule type="expression" dxfId="4464" priority="304">
      <formula>NOT(ISBLANK(W305))</formula>
    </cfRule>
  </conditionalFormatting>
  <conditionalFormatting sqref="W305">
    <cfRule type="expression" dxfId="4463" priority="303">
      <formula>S305 = FALSE</formula>
    </cfRule>
  </conditionalFormatting>
  <conditionalFormatting sqref="W305">
    <cfRule type="expression" dxfId="4462" priority="302">
      <formula>OR(T305 = TRUE, AND(W305 = TRUE, S305 = FALSE))</formula>
    </cfRule>
  </conditionalFormatting>
  <conditionalFormatting sqref="W311">
    <cfRule type="expression" dxfId="4461" priority="301">
      <formula>AND(R311,S311)</formula>
    </cfRule>
  </conditionalFormatting>
  <conditionalFormatting sqref="W311">
    <cfRule type="expression" dxfId="4460" priority="300">
      <formula>NOT(ISBLANK(W311))</formula>
    </cfRule>
  </conditionalFormatting>
  <conditionalFormatting sqref="W311">
    <cfRule type="expression" dxfId="4459" priority="299">
      <formula>S311 = FALSE</formula>
    </cfRule>
  </conditionalFormatting>
  <conditionalFormatting sqref="W311">
    <cfRule type="expression" dxfId="4458" priority="298">
      <formula>OR(T311 = TRUE, AND(W311 = TRUE, S311 = FALSE))</formula>
    </cfRule>
  </conditionalFormatting>
  <conditionalFormatting sqref="W318">
    <cfRule type="expression" dxfId="4457" priority="297">
      <formula>AND(R318,S318)</formula>
    </cfRule>
  </conditionalFormatting>
  <conditionalFormatting sqref="W318">
    <cfRule type="expression" dxfId="4456" priority="296">
      <formula>NOT(ISBLANK(W318))</formula>
    </cfRule>
  </conditionalFormatting>
  <conditionalFormatting sqref="W318">
    <cfRule type="expression" dxfId="4455" priority="295">
      <formula>S318 = FALSE</formula>
    </cfRule>
  </conditionalFormatting>
  <conditionalFormatting sqref="W318">
    <cfRule type="expression" dxfId="4454" priority="294">
      <formula>OR(T318 = TRUE, AND(W318 = TRUE, S318 = FALSE))</formula>
    </cfRule>
  </conditionalFormatting>
  <conditionalFormatting sqref="W323">
    <cfRule type="expression" dxfId="4453" priority="293">
      <formula>AND(R323,S323)</formula>
    </cfRule>
  </conditionalFormatting>
  <conditionalFormatting sqref="W323">
    <cfRule type="expression" dxfId="4452" priority="292">
      <formula>NOT(ISBLANK(W323))</formula>
    </cfRule>
  </conditionalFormatting>
  <conditionalFormatting sqref="W323">
    <cfRule type="expression" dxfId="4451" priority="291">
      <formula>S323 = FALSE</formula>
    </cfRule>
  </conditionalFormatting>
  <conditionalFormatting sqref="W323">
    <cfRule type="expression" dxfId="4450" priority="290">
      <formula>OR(T323 = TRUE, AND(W323 = TRUE, S323 = FALSE))</formula>
    </cfRule>
  </conditionalFormatting>
  <conditionalFormatting sqref="W330">
    <cfRule type="expression" dxfId="4449" priority="289">
      <formula>AND(R330,S330)</formula>
    </cfRule>
  </conditionalFormatting>
  <conditionalFormatting sqref="W330">
    <cfRule type="expression" dxfId="4448" priority="288">
      <formula>NOT(ISBLANK(W330))</formula>
    </cfRule>
  </conditionalFormatting>
  <conditionalFormatting sqref="W330">
    <cfRule type="expression" dxfId="4447" priority="287">
      <formula>S330 = FALSE</formula>
    </cfRule>
  </conditionalFormatting>
  <conditionalFormatting sqref="W330">
    <cfRule type="expression" dxfId="4446" priority="286">
      <formula>OR(T330 = TRUE, AND(W330 = TRUE, S330 = FALSE))</formula>
    </cfRule>
  </conditionalFormatting>
  <conditionalFormatting sqref="W328">
    <cfRule type="expression" dxfId="4445" priority="285">
      <formula>AND($R$328,$S$328)</formula>
    </cfRule>
  </conditionalFormatting>
  <conditionalFormatting sqref="W328">
    <cfRule type="expression" dxfId="4444" priority="284">
      <formula>AND(IF($R$328,$W$328,TRUE),LEN(TRIM($W$328))&gt;0)</formula>
    </cfRule>
  </conditionalFormatting>
  <conditionalFormatting sqref="W328">
    <cfRule type="expression" dxfId="4443" priority="283">
      <formula>$S$328 = FALSE</formula>
    </cfRule>
  </conditionalFormatting>
  <conditionalFormatting sqref="W328">
    <cfRule type="expression" dxfId="4442" priority="282">
      <formula>OR($T$328 = TRUE, AND($W$328 = TRUE, $S$328 = FALSE))</formula>
    </cfRule>
  </conditionalFormatting>
  <conditionalFormatting sqref="W331">
    <cfRule type="expression" dxfId="4441" priority="281">
      <formula>AND($R$331,$S$331)</formula>
    </cfRule>
  </conditionalFormatting>
  <conditionalFormatting sqref="W331">
    <cfRule type="expression" dxfId="4440" priority="280">
      <formula>AND(IF($R$331,$W$331,TRUE),LEN(TRIM($W$331))&gt;0)</formula>
    </cfRule>
  </conditionalFormatting>
  <conditionalFormatting sqref="W331">
    <cfRule type="expression" dxfId="4439" priority="279">
      <formula>$S$331 = FALSE</formula>
    </cfRule>
  </conditionalFormatting>
  <conditionalFormatting sqref="W331">
    <cfRule type="expression" dxfId="4438" priority="278">
      <formula>OR($T$331 = TRUE, AND($W$331 = TRUE, $S$331 = FALSE))</formula>
    </cfRule>
  </conditionalFormatting>
  <conditionalFormatting sqref="W336">
    <cfRule type="expression" dxfId="4437" priority="277">
      <formula>AND(R336,S336)</formula>
    </cfRule>
  </conditionalFormatting>
  <conditionalFormatting sqref="W336">
    <cfRule type="expression" dxfId="4436" priority="276">
      <formula>NOT(ISBLANK(W336))</formula>
    </cfRule>
  </conditionalFormatting>
  <conditionalFormatting sqref="W336">
    <cfRule type="expression" dxfId="4435" priority="275">
      <formula>S336 = FALSE</formula>
    </cfRule>
  </conditionalFormatting>
  <conditionalFormatting sqref="W336">
    <cfRule type="expression" dxfId="4434" priority="274">
      <formula>OR(T336 = TRUE, AND(W336 = TRUE, S336 = FALSE))</formula>
    </cfRule>
  </conditionalFormatting>
  <conditionalFormatting sqref="W341">
    <cfRule type="expression" dxfId="4433" priority="273">
      <formula>AND($R$341,$S$341)</formula>
    </cfRule>
  </conditionalFormatting>
  <conditionalFormatting sqref="W341">
    <cfRule type="expression" dxfId="4432" priority="272">
      <formula>AND(IF($R$341,$W$341,TRUE),LEN(TRIM($W$341))&gt;0)</formula>
    </cfRule>
  </conditionalFormatting>
  <conditionalFormatting sqref="W341">
    <cfRule type="expression" dxfId="4431" priority="271">
      <formula>$S$341 = FALSE</formula>
    </cfRule>
  </conditionalFormatting>
  <conditionalFormatting sqref="W341">
    <cfRule type="expression" dxfId="4430" priority="270">
      <formula>OR($T$341 = TRUE, AND($W$341 = TRUE, $S$341 = FALSE))</formula>
    </cfRule>
  </conditionalFormatting>
  <conditionalFormatting sqref="W343">
    <cfRule type="expression" dxfId="4429" priority="269">
      <formula>AND(R343,S343)</formula>
    </cfRule>
  </conditionalFormatting>
  <conditionalFormatting sqref="W343">
    <cfRule type="expression" dxfId="4428" priority="268">
      <formula>NOT(ISBLANK(W343))</formula>
    </cfRule>
  </conditionalFormatting>
  <conditionalFormatting sqref="W343">
    <cfRule type="expression" dxfId="4427" priority="267">
      <formula>S343 = FALSE</formula>
    </cfRule>
  </conditionalFormatting>
  <conditionalFormatting sqref="W343">
    <cfRule type="expression" dxfId="4426" priority="266">
      <formula>OR(T343 = TRUE, AND(W343 = TRUE, S343 = FALSE))</formula>
    </cfRule>
  </conditionalFormatting>
  <conditionalFormatting sqref="X270:X273 X275:X276">
    <cfRule type="expression" dxfId="4425" priority="265">
      <formula>W271=INDEX(INDIRECT(U271),1)</formula>
    </cfRule>
  </conditionalFormatting>
  <conditionalFormatting sqref="W278">
    <cfRule type="expression" dxfId="4424" priority="3246">
      <formula>AND($R$278,$S$278)</formula>
    </cfRule>
  </conditionalFormatting>
  <conditionalFormatting sqref="W278">
    <cfRule type="expression" dxfId="4423" priority="3247">
      <formula>$S$278 = FALSE</formula>
    </cfRule>
  </conditionalFormatting>
  <conditionalFormatting sqref="W278">
    <cfRule type="expression" dxfId="4422" priority="3248">
      <formula>OR($T$278 = TRUE, AND(LEN(TRIM($W$278))&gt;0, $S$278 = FALSE))</formula>
    </cfRule>
  </conditionalFormatting>
  <conditionalFormatting sqref="X277:X283">
    <cfRule type="expression" dxfId="4421" priority="264">
      <formula>W278=INDEX(INDIRECT(U278),1)</formula>
    </cfRule>
  </conditionalFormatting>
  <conditionalFormatting sqref="I1">
    <cfRule type="expression" dxfId="4420" priority="260">
      <formula>$AG$1="Gold"</formula>
    </cfRule>
    <cfRule type="expression" dxfId="4419" priority="261">
      <formula>$AG$1="Silver"</formula>
    </cfRule>
    <cfRule type="expression" dxfId="4418" priority="262">
      <formula>$AG$1="Bronze"</formula>
    </cfRule>
    <cfRule type="expression" dxfId="4417" priority="263">
      <formula>$AG$1="Emerald"</formula>
    </cfRule>
  </conditionalFormatting>
  <conditionalFormatting sqref="X1">
    <cfRule type="expression" dxfId="4416" priority="259">
      <formula>startError</formula>
    </cfRule>
  </conditionalFormatting>
  <conditionalFormatting sqref="W108">
    <cfRule type="expression" dxfId="4415" priority="258">
      <formula>AND(R108,S108)</formula>
    </cfRule>
  </conditionalFormatting>
  <conditionalFormatting sqref="W108">
    <cfRule type="expression" dxfId="4414" priority="257">
      <formula>NOT(ISBLANK(W108))</formula>
    </cfRule>
  </conditionalFormatting>
  <conditionalFormatting sqref="W108">
    <cfRule type="expression" dxfId="4413" priority="256">
      <formula>S108 = FALSE</formula>
    </cfRule>
  </conditionalFormatting>
  <conditionalFormatting sqref="W108">
    <cfRule type="expression" dxfId="4412" priority="255">
      <formula>OR(T108 = TRUE, AND(W108 = TRUE, S108 = FALSE))</formula>
    </cfRule>
  </conditionalFormatting>
  <conditionalFormatting sqref="W645">
    <cfRule type="expression" dxfId="4411" priority="254">
      <formula>AND($R$645,$S$645)</formula>
    </cfRule>
  </conditionalFormatting>
  <conditionalFormatting sqref="W645">
    <cfRule type="expression" dxfId="4410" priority="253">
      <formula>AND(IF($R$645,$W$645,TRUE),LEN(TRIM($W$645))&gt;0)</formula>
    </cfRule>
  </conditionalFormatting>
  <conditionalFormatting sqref="W645">
    <cfRule type="expression" dxfId="4409" priority="252">
      <formula>$S$645 = FALSE</formula>
    </cfRule>
  </conditionalFormatting>
  <conditionalFormatting sqref="W645">
    <cfRule type="expression" dxfId="4408" priority="251">
      <formula>OR($T$645 = TRUE, AND($W$645 = TRUE, $S$645 = FALSE))</formula>
    </cfRule>
  </conditionalFormatting>
  <conditionalFormatting sqref="W41">
    <cfRule type="expression" dxfId="4407" priority="245">
      <formula>AND($R$41,$S$41)</formula>
    </cfRule>
  </conditionalFormatting>
  <conditionalFormatting sqref="W41">
    <cfRule type="expression" dxfId="4406" priority="244">
      <formula>AND(IF($R$41,$W$41,TRUE),LEN(TRIM($W$41))&gt;0)</formula>
    </cfRule>
  </conditionalFormatting>
  <conditionalFormatting sqref="W41">
    <cfRule type="expression" dxfId="4405" priority="243">
      <formula>$S$41 = FALSE</formula>
    </cfRule>
  </conditionalFormatting>
  <conditionalFormatting sqref="W41">
    <cfRule type="expression" dxfId="4404" priority="242">
      <formula>OR($T$41 = TRUE, AND($W$41 = TRUE, $S$41 = FALSE))</formula>
    </cfRule>
  </conditionalFormatting>
  <conditionalFormatting sqref="W42">
    <cfRule type="expression" dxfId="4403" priority="241">
      <formula>AND($R$42,$S$42)</formula>
    </cfRule>
  </conditionalFormatting>
  <conditionalFormatting sqref="W42">
    <cfRule type="expression" dxfId="4402" priority="240">
      <formula>AND(IF($R$42,$W$42,TRUE),LEN(TRIM($W$42))&gt;0)</formula>
    </cfRule>
  </conditionalFormatting>
  <conditionalFormatting sqref="W42">
    <cfRule type="expression" dxfId="4401" priority="239">
      <formula>$S$42 = FALSE</formula>
    </cfRule>
  </conditionalFormatting>
  <conditionalFormatting sqref="W42">
    <cfRule type="expression" dxfId="4400" priority="238">
      <formula>OR($T$42 = TRUE, AND($W$42 = TRUE, $S$42 = FALSE))</formula>
    </cfRule>
  </conditionalFormatting>
  <conditionalFormatting sqref="W45">
    <cfRule type="expression" dxfId="4399" priority="233">
      <formula>AND($R$45,$S$45)</formula>
    </cfRule>
  </conditionalFormatting>
  <conditionalFormatting sqref="W45">
    <cfRule type="expression" dxfId="4398" priority="232">
      <formula>AND(IF($R$45,$W$45,TRUE),LEN(TRIM($W$45))&gt;0)</formula>
    </cfRule>
  </conditionalFormatting>
  <conditionalFormatting sqref="W45">
    <cfRule type="expression" dxfId="4397" priority="231">
      <formula>$S$45 = FALSE</formula>
    </cfRule>
  </conditionalFormatting>
  <conditionalFormatting sqref="W45">
    <cfRule type="expression" dxfId="4396" priority="230">
      <formula>OR($T$45 = TRUE, AND($W$45 = TRUE, $S$45 = FALSE))</formula>
    </cfRule>
  </conditionalFormatting>
  <conditionalFormatting sqref="W50">
    <cfRule type="expression" dxfId="4395" priority="229">
      <formula>AND($R$50,$S$50)</formula>
    </cfRule>
  </conditionalFormatting>
  <conditionalFormatting sqref="W50">
    <cfRule type="expression" dxfId="4394" priority="228">
      <formula>AND(IF($R$50,$W$50,TRUE),LEN(TRIM($W$50))&gt;0)</formula>
    </cfRule>
  </conditionalFormatting>
  <conditionalFormatting sqref="W50">
    <cfRule type="expression" dxfId="4393" priority="227">
      <formula>$S$50 = FALSE</formula>
    </cfRule>
  </conditionalFormatting>
  <conditionalFormatting sqref="W50">
    <cfRule type="expression" dxfId="4392" priority="226">
      <formula>OR($T$50 = TRUE, AND($W$50 = TRUE, $S$50 = FALSE))</formula>
    </cfRule>
  </conditionalFormatting>
  <conditionalFormatting sqref="W51">
    <cfRule type="expression" dxfId="4391" priority="225">
      <formula>AND($R$51,$S$51)</formula>
    </cfRule>
  </conditionalFormatting>
  <conditionalFormatting sqref="W51">
    <cfRule type="expression" dxfId="4390" priority="224">
      <formula>AND(IF($R$51,$W$51,TRUE),LEN(TRIM($W$51))&gt;0)</formula>
    </cfRule>
  </conditionalFormatting>
  <conditionalFormatting sqref="W51">
    <cfRule type="expression" dxfId="4389" priority="223">
      <formula>$S$51 = FALSE</formula>
    </cfRule>
  </conditionalFormatting>
  <conditionalFormatting sqref="W51">
    <cfRule type="expression" dxfId="4388" priority="222">
      <formula>OR($T$51 = TRUE, AND($W$51 = TRUE, $S$51 = FALSE))</formula>
    </cfRule>
  </conditionalFormatting>
  <conditionalFormatting sqref="W52">
    <cfRule type="expression" dxfId="4387" priority="221">
      <formula>AND($R$52,$S$52)</formula>
    </cfRule>
  </conditionalFormatting>
  <conditionalFormatting sqref="W52">
    <cfRule type="expression" dxfId="4386" priority="220">
      <formula>AND(IF($R$52,$W$52,TRUE),LEN(TRIM($W$52))&gt;0)</formula>
    </cfRule>
  </conditionalFormatting>
  <conditionalFormatting sqref="W52">
    <cfRule type="expression" dxfId="4385" priority="219">
      <formula>$S$52 = FALSE</formula>
    </cfRule>
  </conditionalFormatting>
  <conditionalFormatting sqref="W52">
    <cfRule type="expression" dxfId="4384" priority="218">
      <formula>OR($T$52 = TRUE, AND($W$52 = TRUE, $S$52 = FALSE))</formula>
    </cfRule>
  </conditionalFormatting>
  <conditionalFormatting sqref="W54">
    <cfRule type="expression" dxfId="4383" priority="217">
      <formula>AND($R$54,$S$54)</formula>
    </cfRule>
  </conditionalFormatting>
  <conditionalFormatting sqref="W54">
    <cfRule type="expression" dxfId="4382" priority="216">
      <formula>AND(IF($R$54,$W$54,TRUE),LEN(TRIM($W$54))&gt;0)</formula>
    </cfRule>
  </conditionalFormatting>
  <conditionalFormatting sqref="W54">
    <cfRule type="expression" dxfId="4381" priority="215">
      <formula>$S$54 = FALSE</formula>
    </cfRule>
  </conditionalFormatting>
  <conditionalFormatting sqref="W54">
    <cfRule type="expression" dxfId="4380" priority="214">
      <formula>OR($T$54 = TRUE, AND($W$54 = TRUE, $S$54 = FALSE))</formula>
    </cfRule>
  </conditionalFormatting>
  <conditionalFormatting sqref="W55">
    <cfRule type="expression" dxfId="4379" priority="213">
      <formula>AND($R$55,$S$55)</formula>
    </cfRule>
  </conditionalFormatting>
  <conditionalFormatting sqref="W55">
    <cfRule type="expression" dxfId="4378" priority="212">
      <formula>AND(IF($R$55,$W$55,TRUE),LEN(TRIM($W$55))&gt;0)</formula>
    </cfRule>
  </conditionalFormatting>
  <conditionalFormatting sqref="W55">
    <cfRule type="expression" dxfId="4377" priority="211">
      <formula>$S$55 = FALSE</formula>
    </cfRule>
  </conditionalFormatting>
  <conditionalFormatting sqref="W55">
    <cfRule type="expression" dxfId="4376" priority="210">
      <formula>OR($T$55 = TRUE, AND($W$55 = TRUE, $S$55 = FALSE))</formula>
    </cfRule>
  </conditionalFormatting>
  <conditionalFormatting sqref="W56">
    <cfRule type="expression" dxfId="4375" priority="209">
      <formula>AND($R$56,$S$56)</formula>
    </cfRule>
  </conditionalFormatting>
  <conditionalFormatting sqref="W56">
    <cfRule type="expression" dxfId="4374" priority="208">
      <formula>AND(IF($R$56,$W$56,TRUE),LEN(TRIM($W$56))&gt;0)</formula>
    </cfRule>
  </conditionalFormatting>
  <conditionalFormatting sqref="W56">
    <cfRule type="expression" dxfId="4373" priority="207">
      <formula>$S$56 = FALSE</formula>
    </cfRule>
  </conditionalFormatting>
  <conditionalFormatting sqref="W56">
    <cfRule type="expression" dxfId="4372" priority="206">
      <formula>OR($T$56 = TRUE, AND($W$56 = TRUE, $S$56 = FALSE))</formula>
    </cfRule>
  </conditionalFormatting>
  <conditionalFormatting sqref="W57">
    <cfRule type="expression" dxfId="4371" priority="205">
      <formula>AND($R$57,$S$57)</formula>
    </cfRule>
  </conditionalFormatting>
  <conditionalFormatting sqref="W57">
    <cfRule type="expression" dxfId="4370" priority="204">
      <formula>AND(IF($R$57,$W$57,TRUE),LEN(TRIM($W$57))&gt;0)</formula>
    </cfRule>
  </conditionalFormatting>
  <conditionalFormatting sqref="W57">
    <cfRule type="expression" dxfId="4369" priority="203">
      <formula>$S$57 = FALSE</formula>
    </cfRule>
  </conditionalFormatting>
  <conditionalFormatting sqref="W57">
    <cfRule type="expression" dxfId="4368" priority="202">
      <formula>OR($T$57 = TRUE, AND($W$57 = TRUE, $S$57 = FALSE))</formula>
    </cfRule>
  </conditionalFormatting>
  <conditionalFormatting sqref="W59">
    <cfRule type="expression" dxfId="4367" priority="201">
      <formula>AND($R$59,$S$59)</formula>
    </cfRule>
  </conditionalFormatting>
  <conditionalFormatting sqref="W59">
    <cfRule type="expression" dxfId="4366" priority="200">
      <formula>AND(IF($R$59,$W$59,TRUE),LEN(TRIM($W$59))&gt;0)</formula>
    </cfRule>
  </conditionalFormatting>
  <conditionalFormatting sqref="W59">
    <cfRule type="expression" dxfId="4365" priority="199">
      <formula>$S$59 = FALSE</formula>
    </cfRule>
  </conditionalFormatting>
  <conditionalFormatting sqref="W59">
    <cfRule type="expression" dxfId="4364" priority="198">
      <formula>OR($T$59 = TRUE, AND($W$59 = TRUE, $S$59 = FALSE))</formula>
    </cfRule>
  </conditionalFormatting>
  <conditionalFormatting sqref="W44">
    <cfRule type="expression" dxfId="4363" priority="197">
      <formula>AND($R$44,$S$44)</formula>
    </cfRule>
  </conditionalFormatting>
  <conditionalFormatting sqref="W44">
    <cfRule type="expression" dxfId="4362" priority="196">
      <formula>AND($W$44&lt;&gt;"Not Met",LEN(TRIM($W$44))&gt;0)</formula>
    </cfRule>
  </conditionalFormatting>
  <conditionalFormatting sqref="W44">
    <cfRule type="expression" dxfId="4361" priority="195">
      <formula>$S$44 = FALSE</formula>
    </cfRule>
  </conditionalFormatting>
  <conditionalFormatting sqref="W44">
    <cfRule type="expression" dxfId="4360" priority="194">
      <formula>OR($T$44 = TRUE, AND(LEN(TRIM($W$44))&gt;0, $S$44 = FALSE))</formula>
    </cfRule>
  </conditionalFormatting>
  <conditionalFormatting sqref="W47">
    <cfRule type="expression" dxfId="4359" priority="193">
      <formula>AND($R$47,$S$47)</formula>
    </cfRule>
  </conditionalFormatting>
  <conditionalFormatting sqref="W47">
    <cfRule type="expression" dxfId="4358" priority="192">
      <formula>AND($W$47&lt;&gt;"Not Met",LEN(TRIM($W$47))&gt;0)</formula>
    </cfRule>
  </conditionalFormatting>
  <conditionalFormatting sqref="W47">
    <cfRule type="expression" dxfId="4357" priority="191">
      <formula>$S$47 = FALSE</formula>
    </cfRule>
  </conditionalFormatting>
  <conditionalFormatting sqref="W47">
    <cfRule type="expression" dxfId="4356" priority="190">
      <formula>OR($T$47 = TRUE, AND(LEN(TRIM($W$47))&gt;0, $S$47 = FALSE))</formula>
    </cfRule>
  </conditionalFormatting>
  <conditionalFormatting sqref="W429">
    <cfRule type="expression" dxfId="4355" priority="185">
      <formula>AND($R$429,$S$429)</formula>
    </cfRule>
  </conditionalFormatting>
  <conditionalFormatting sqref="W429">
    <cfRule type="expression" dxfId="4354" priority="184">
      <formula>AND($W$429&lt;&gt;"Not Met",LEN(TRIM($W$429))&gt;0)</formula>
    </cfRule>
  </conditionalFormatting>
  <conditionalFormatting sqref="W429">
    <cfRule type="expression" dxfId="4353" priority="183">
      <formula>$S$429 = FALSE</formula>
    </cfRule>
  </conditionalFormatting>
  <conditionalFormatting sqref="W429">
    <cfRule type="expression" dxfId="4352" priority="182">
      <formula>OR($T$429 = TRUE, AND(LEN(TRIM($W$429))&gt;0, $S$429 = FALSE))</formula>
    </cfRule>
  </conditionalFormatting>
  <conditionalFormatting sqref="W592">
    <cfRule type="expression" dxfId="4351" priority="181">
      <formula>AND($R$592,$S$592)</formula>
    </cfRule>
  </conditionalFormatting>
  <conditionalFormatting sqref="W592">
    <cfRule type="expression" dxfId="4350" priority="180">
      <formula>AND(IF($R$592,$W$592,TRUE),LEN(TRIM($W$592))&gt;0)</formula>
    </cfRule>
  </conditionalFormatting>
  <conditionalFormatting sqref="W592">
    <cfRule type="expression" dxfId="4349" priority="179">
      <formula>$S$592 = FALSE</formula>
    </cfRule>
  </conditionalFormatting>
  <conditionalFormatting sqref="W592">
    <cfRule type="expression" dxfId="4348" priority="178">
      <formula>OR($T$592 = TRUE, AND($W$592 = TRUE, $S$592 = FALSE))</formula>
    </cfRule>
  </conditionalFormatting>
  <conditionalFormatting sqref="W595">
    <cfRule type="expression" dxfId="4347" priority="177">
      <formula>AND($R$595,$S$595)</formula>
    </cfRule>
  </conditionalFormatting>
  <conditionalFormatting sqref="W595">
    <cfRule type="expression" dxfId="4346" priority="176">
      <formula>AND(IF($R$595,$W$595,TRUE),LEN(TRIM($W$595))&gt;0)</formula>
    </cfRule>
  </conditionalFormatting>
  <conditionalFormatting sqref="W595">
    <cfRule type="expression" dxfId="4345" priority="175">
      <formula>$S$595 = FALSE</formula>
    </cfRule>
  </conditionalFormatting>
  <conditionalFormatting sqref="W595">
    <cfRule type="expression" dxfId="4344" priority="174">
      <formula>OR($T$595 = TRUE, AND($W$595 = TRUE, $S$595 = FALSE))</formula>
    </cfRule>
  </conditionalFormatting>
  <conditionalFormatting sqref="W606">
    <cfRule type="expression" dxfId="4343" priority="173">
      <formula>AND($R$606,$S$606)</formula>
    </cfRule>
  </conditionalFormatting>
  <conditionalFormatting sqref="W606">
    <cfRule type="expression" dxfId="4342" priority="172">
      <formula>AND(IF($R$606,$W$606,TRUE),LEN(TRIM($W$606))&gt;0)</formula>
    </cfRule>
  </conditionalFormatting>
  <conditionalFormatting sqref="W606">
    <cfRule type="expression" dxfId="4341" priority="171">
      <formula>$S$606 = FALSE</formula>
    </cfRule>
  </conditionalFormatting>
  <conditionalFormatting sqref="W606">
    <cfRule type="expression" dxfId="4340" priority="170">
      <formula>OR($T$606 = TRUE, AND($W$606 = TRUE, $S$606 = FALSE))</formula>
    </cfRule>
  </conditionalFormatting>
  <conditionalFormatting sqref="W608">
    <cfRule type="expression" dxfId="4339" priority="169">
      <formula>AND($R$608,$S$608)</formula>
    </cfRule>
  </conditionalFormatting>
  <conditionalFormatting sqref="W608">
    <cfRule type="expression" dxfId="4338" priority="168">
      <formula>AND(IF($R$608,$W$608,TRUE),LEN(TRIM($W$608))&gt;0)</formula>
    </cfRule>
  </conditionalFormatting>
  <conditionalFormatting sqref="W608">
    <cfRule type="expression" dxfId="4337" priority="167">
      <formula>$S$608 = FALSE</formula>
    </cfRule>
  </conditionalFormatting>
  <conditionalFormatting sqref="W608">
    <cfRule type="expression" dxfId="4336" priority="166">
      <formula>OR($T$608 = TRUE, AND($W$608 = TRUE, $S$608 = FALSE))</formula>
    </cfRule>
  </conditionalFormatting>
  <conditionalFormatting sqref="W632">
    <cfRule type="expression" dxfId="4335" priority="165">
      <formula>AND($R$632,$S$632)</formula>
    </cfRule>
  </conditionalFormatting>
  <conditionalFormatting sqref="W632">
    <cfRule type="expression" dxfId="4334" priority="164">
      <formula>AND(IF($R$632,$W$632,TRUE),LEN(TRIM($W$632))&gt;0)</formula>
    </cfRule>
  </conditionalFormatting>
  <conditionalFormatting sqref="W632">
    <cfRule type="expression" dxfId="4333" priority="163">
      <formula>$S$632 = FALSE</formula>
    </cfRule>
  </conditionalFormatting>
  <conditionalFormatting sqref="W632">
    <cfRule type="expression" dxfId="4332" priority="162">
      <formula>OR($T$632 = TRUE, AND($W$632 = TRUE, $S$632 = FALSE))</formula>
    </cfRule>
  </conditionalFormatting>
  <conditionalFormatting sqref="W634">
    <cfRule type="expression" dxfId="4331" priority="161">
      <formula>AND($R$634,$S$634)</formula>
    </cfRule>
  </conditionalFormatting>
  <conditionalFormatting sqref="W634">
    <cfRule type="expression" dxfId="4330" priority="160">
      <formula>AND(IF($R$634,$W$634,TRUE),LEN(TRIM($W$634))&gt;0)</formula>
    </cfRule>
  </conditionalFormatting>
  <conditionalFormatting sqref="W634">
    <cfRule type="expression" dxfId="4329" priority="159">
      <formula>$S$634 = FALSE</formula>
    </cfRule>
  </conditionalFormatting>
  <conditionalFormatting sqref="W634">
    <cfRule type="expression" dxfId="4328" priority="158">
      <formula>OR($T$634 = TRUE, AND($W$634 = TRUE, $S$634 = FALSE))</formula>
    </cfRule>
  </conditionalFormatting>
  <conditionalFormatting sqref="X634">
    <cfRule type="expression" dxfId="4327" priority="157">
      <formula>W634=TRUE</formula>
    </cfRule>
  </conditionalFormatting>
  <conditionalFormatting sqref="W713">
    <cfRule type="expression" dxfId="4326" priority="156">
      <formula>AND(R713,S713)</formula>
    </cfRule>
  </conditionalFormatting>
  <conditionalFormatting sqref="W713">
    <cfRule type="expression" dxfId="4325" priority="155">
      <formula>AND(S713,LEN(TRIM(W713))&gt;0)</formula>
    </cfRule>
  </conditionalFormatting>
  <conditionalFormatting sqref="W713">
    <cfRule type="expression" dxfId="4324" priority="154">
      <formula>S713 = FALSE</formula>
    </cfRule>
  </conditionalFormatting>
  <conditionalFormatting sqref="W713">
    <cfRule type="expression" dxfId="4323" priority="153">
      <formula>OR(T713 = TRUE, AND(W713 &gt; 0, S713 = FALSE))</formula>
    </cfRule>
  </conditionalFormatting>
  <conditionalFormatting sqref="W715">
    <cfRule type="expression" dxfId="4322" priority="152">
      <formula>AND(R715,S715)</formula>
    </cfRule>
  </conditionalFormatting>
  <conditionalFormatting sqref="W715">
    <cfRule type="expression" dxfId="4321" priority="151">
      <formula>AND(S715,LEN(TRIM(W715))&gt;0)</formula>
    </cfRule>
  </conditionalFormatting>
  <conditionalFormatting sqref="W715">
    <cfRule type="expression" dxfId="4320" priority="150">
      <formula>S715 = FALSE</formula>
    </cfRule>
  </conditionalFormatting>
  <conditionalFormatting sqref="W715">
    <cfRule type="expression" dxfId="4319" priority="149">
      <formula>OR(T715 = TRUE, AND(W715 &gt; 0, S715 = FALSE))</formula>
    </cfRule>
  </conditionalFormatting>
  <conditionalFormatting sqref="W711">
    <cfRule type="expression" dxfId="4318" priority="148">
      <formula>AND($R$711,$S$711)</formula>
    </cfRule>
  </conditionalFormatting>
  <conditionalFormatting sqref="W711">
    <cfRule type="expression" dxfId="4317" priority="147">
      <formula>AND(IF($R$711,$W$711,TRUE),LEN(TRIM($W$711))&gt;0)</formula>
    </cfRule>
  </conditionalFormatting>
  <conditionalFormatting sqref="W711">
    <cfRule type="expression" dxfId="4316" priority="146">
      <formula>$S$711 = FALSE</formula>
    </cfRule>
  </conditionalFormatting>
  <conditionalFormatting sqref="W711">
    <cfRule type="expression" dxfId="4315" priority="145">
      <formula>OR($T$711 = TRUE, AND($W$711 = TRUE, $S$711 = FALSE))</formula>
    </cfRule>
  </conditionalFormatting>
  <conditionalFormatting sqref="W746">
    <cfRule type="expression" dxfId="4314" priority="144">
      <formula>AND($R$746,$S$746)</formula>
    </cfRule>
  </conditionalFormatting>
  <conditionalFormatting sqref="W746">
    <cfRule type="expression" dxfId="4313" priority="143">
      <formula>AND(IF($R$746,$W$746,TRUE),LEN(TRIM($W$746))&gt;0)</formula>
    </cfRule>
  </conditionalFormatting>
  <conditionalFormatting sqref="W746">
    <cfRule type="expression" dxfId="4312" priority="142">
      <formula>$S$746 = FALSE</formula>
    </cfRule>
  </conditionalFormatting>
  <conditionalFormatting sqref="W746">
    <cfRule type="expression" dxfId="4311" priority="141">
      <formula>OR($T$746 = TRUE, AND($W$746 = TRUE, $S$746 = FALSE))</formula>
    </cfRule>
  </conditionalFormatting>
  <conditionalFormatting sqref="W748">
    <cfRule type="expression" dxfId="4310" priority="140">
      <formula>AND($R$748,$S$748)</formula>
    </cfRule>
  </conditionalFormatting>
  <conditionalFormatting sqref="W748">
    <cfRule type="expression" dxfId="4309" priority="139">
      <formula>AND(IF($R$748,$W$748,TRUE),LEN(TRIM($W$748))&gt;0)</formula>
    </cfRule>
  </conditionalFormatting>
  <conditionalFormatting sqref="W748">
    <cfRule type="expression" dxfId="4308" priority="138">
      <formula>$S$748 = FALSE</formula>
    </cfRule>
  </conditionalFormatting>
  <conditionalFormatting sqref="W748">
    <cfRule type="expression" dxfId="4307" priority="137">
      <formula>OR($T$748 = TRUE, AND($W$748 = TRUE, $S$748 = FALSE))</formula>
    </cfRule>
  </conditionalFormatting>
  <conditionalFormatting sqref="W757">
    <cfRule type="expression" dxfId="4306" priority="136">
      <formula>AND($R$757,$S$757)</formula>
    </cfRule>
  </conditionalFormatting>
  <conditionalFormatting sqref="W757">
    <cfRule type="expression" dxfId="4305" priority="135">
      <formula>AND(IF($R$757,$W$757,TRUE),LEN(TRIM($W$757))&gt;0)</formula>
    </cfRule>
  </conditionalFormatting>
  <conditionalFormatting sqref="W757">
    <cfRule type="expression" dxfId="4304" priority="134">
      <formula>$S$757 = FALSE</formula>
    </cfRule>
  </conditionalFormatting>
  <conditionalFormatting sqref="W757">
    <cfRule type="expression" dxfId="4303" priority="133">
      <formula>OR($T$757 = TRUE, AND($W$757 = TRUE, $S$757 = FALSE))</formula>
    </cfRule>
  </conditionalFormatting>
  <conditionalFormatting sqref="W761">
    <cfRule type="expression" dxfId="4302" priority="132">
      <formula>AND($R$761,$S$761)</formula>
    </cfRule>
  </conditionalFormatting>
  <conditionalFormatting sqref="W761">
    <cfRule type="expression" dxfId="4301" priority="131">
      <formula>AND(IF($R$761,$W$761,TRUE),LEN(TRIM($W$761))&gt;0)</formula>
    </cfRule>
  </conditionalFormatting>
  <conditionalFormatting sqref="W761">
    <cfRule type="expression" dxfId="4300" priority="130">
      <formula>$S$761 = FALSE</formula>
    </cfRule>
  </conditionalFormatting>
  <conditionalFormatting sqref="W761">
    <cfRule type="expression" dxfId="4299" priority="129">
      <formula>OR($T$761 = TRUE, AND($W$761 = TRUE, $S$761 = FALSE))</formula>
    </cfRule>
  </conditionalFormatting>
  <conditionalFormatting sqref="W766">
    <cfRule type="expression" dxfId="4298" priority="128">
      <formula>AND($R$766,$S$766)</formula>
    </cfRule>
  </conditionalFormatting>
  <conditionalFormatting sqref="W766">
    <cfRule type="expression" dxfId="4297" priority="127">
      <formula>AND(IF($R$766,$W$766,TRUE),LEN(TRIM($W$766))&gt;0)</formula>
    </cfRule>
  </conditionalFormatting>
  <conditionalFormatting sqref="W766">
    <cfRule type="expression" dxfId="4296" priority="126">
      <formula>$S$766 = FALSE</formula>
    </cfRule>
  </conditionalFormatting>
  <conditionalFormatting sqref="W766">
    <cfRule type="expression" dxfId="4295" priority="125">
      <formula>OR($T$766 = TRUE, AND($W$766 = TRUE, $S$766 = FALSE))</formula>
    </cfRule>
  </conditionalFormatting>
  <conditionalFormatting sqref="W767">
    <cfRule type="expression" dxfId="4294" priority="124">
      <formula>AND($R$767,$S$767)</formula>
    </cfRule>
  </conditionalFormatting>
  <conditionalFormatting sqref="W767">
    <cfRule type="expression" dxfId="4293" priority="123">
      <formula>AND(IF($R$767,$W$767,TRUE),LEN(TRIM($W$767))&gt;0)</formula>
    </cfRule>
  </conditionalFormatting>
  <conditionalFormatting sqref="W767">
    <cfRule type="expression" dxfId="4292" priority="122">
      <formula>$S$767 = FALSE</formula>
    </cfRule>
  </conditionalFormatting>
  <conditionalFormatting sqref="W767">
    <cfRule type="expression" dxfId="4291" priority="121">
      <formula>OR($T$767 = TRUE, AND($W$767 = TRUE, $S$767 = FALSE))</formula>
    </cfRule>
  </conditionalFormatting>
  <conditionalFormatting sqref="W736">
    <cfRule type="expression" dxfId="4290" priority="120">
      <formula>AND($R$736,$S$736)</formula>
    </cfRule>
  </conditionalFormatting>
  <conditionalFormatting sqref="W736">
    <cfRule type="expression" dxfId="4289" priority="119">
      <formula>AND(IF($R$736,$W$736,TRUE),LEN(TRIM($W$736))&gt;0)</formula>
    </cfRule>
  </conditionalFormatting>
  <conditionalFormatting sqref="W736">
    <cfRule type="expression" dxfId="4288" priority="118">
      <formula>$S$736 = FALSE</formula>
    </cfRule>
  </conditionalFormatting>
  <conditionalFormatting sqref="W736">
    <cfRule type="expression" dxfId="4287" priority="117">
      <formula>OR($T$736 = TRUE, AND($W$736 = TRUE, $S$736 = FALSE))</formula>
    </cfRule>
  </conditionalFormatting>
  <conditionalFormatting sqref="W752">
    <cfRule type="expression" dxfId="4286" priority="116">
      <formula>AND($R$752,$S$752)</formula>
    </cfRule>
  </conditionalFormatting>
  <conditionalFormatting sqref="W752">
    <cfRule type="expression" dxfId="4285" priority="115">
      <formula>AND($W$752&lt;&gt;"Not Met",LEN(TRIM($W$752))&gt;0)</formula>
    </cfRule>
  </conditionalFormatting>
  <conditionalFormatting sqref="W752">
    <cfRule type="expression" dxfId="4284" priority="114">
      <formula>$S$752 = FALSE</formula>
    </cfRule>
  </conditionalFormatting>
  <conditionalFormatting sqref="W752">
    <cfRule type="expression" dxfId="4283" priority="113">
      <formula>OR($T$752 = TRUE, AND(LEN(TRIM($W$752))&gt;0, $S$752 = FALSE))</formula>
    </cfRule>
  </conditionalFormatting>
  <conditionalFormatting sqref="X274">
    <cfRule type="expression" dxfId="4282" priority="112">
      <formula>W275=INDEX(INDIRECT(U275),1)</formula>
    </cfRule>
  </conditionalFormatting>
  <conditionalFormatting sqref="W625">
    <cfRule type="expression" dxfId="4281" priority="111">
      <formula>AND(R625,S625)</formula>
    </cfRule>
  </conditionalFormatting>
  <conditionalFormatting sqref="W625">
    <cfRule type="expression" dxfId="4280" priority="110">
      <formula>NOT(ISBLANK(W625))</formula>
    </cfRule>
  </conditionalFormatting>
  <conditionalFormatting sqref="W625">
    <cfRule type="expression" dxfId="4279" priority="109">
      <formula>S625 = FALSE</formula>
    </cfRule>
  </conditionalFormatting>
  <conditionalFormatting sqref="W625">
    <cfRule type="expression" dxfId="4278" priority="108">
      <formula>OR(T625 = TRUE, AND(W625 = TRUE, S625 = FALSE))</formula>
    </cfRule>
  </conditionalFormatting>
  <conditionalFormatting sqref="W383">
    <cfRule type="expression" dxfId="4277" priority="107">
      <formula>AND(R383,S383)</formula>
    </cfRule>
  </conditionalFormatting>
  <conditionalFormatting sqref="W383">
    <cfRule type="expression" dxfId="4276" priority="106">
      <formula>AND(S383,LEN(TRIM(W383))&gt;0)</formula>
    </cfRule>
  </conditionalFormatting>
  <conditionalFormatting sqref="W383">
    <cfRule type="expression" dxfId="4275" priority="105">
      <formula>S383 = FALSE</formula>
    </cfRule>
  </conditionalFormatting>
  <conditionalFormatting sqref="W383">
    <cfRule type="expression" dxfId="4274" priority="104">
      <formula>OR(T383 = TRUE, AND(W383 &gt; 0, S383 = FALSE))</formula>
    </cfRule>
  </conditionalFormatting>
  <conditionalFormatting sqref="W402">
    <cfRule type="expression" dxfId="4273" priority="100">
      <formula>OR(T402 = TRUE, AND(W402 &gt; 0, S402 = FALSE))</formula>
    </cfRule>
  </conditionalFormatting>
  <conditionalFormatting sqref="W402">
    <cfRule type="expression" dxfId="4272" priority="103">
      <formula>AND(R402,S402)</formula>
    </cfRule>
  </conditionalFormatting>
  <conditionalFormatting sqref="W402">
    <cfRule type="expression" dxfId="4271" priority="102">
      <formula>AND(S402,LEN(TRIM(W402))&gt;0)</formula>
    </cfRule>
  </conditionalFormatting>
  <conditionalFormatting sqref="W402">
    <cfRule type="expression" dxfId="4270" priority="101">
      <formula>S402 = FALSE</formula>
    </cfRule>
  </conditionalFormatting>
  <conditionalFormatting sqref="W381">
    <cfRule type="expression" dxfId="4269" priority="99">
      <formula>AND($R$381,$S$381)</formula>
    </cfRule>
  </conditionalFormatting>
  <conditionalFormatting sqref="W381">
    <cfRule type="expression" dxfId="4268" priority="98">
      <formula>AND($W$381&lt;&gt;"Not Met",LEN(TRIM($W$381))&gt;0)</formula>
    </cfRule>
  </conditionalFormatting>
  <conditionalFormatting sqref="W381">
    <cfRule type="expression" dxfId="4267" priority="97">
      <formula>$S$381 = FALSE</formula>
    </cfRule>
  </conditionalFormatting>
  <conditionalFormatting sqref="W381">
    <cfRule type="expression" dxfId="4266" priority="96">
      <formula>OR($T$381 = TRUE, AND(LEN(TRIM($W$381))&gt;0, $S$381 = FALSE))</formula>
    </cfRule>
  </conditionalFormatting>
  <conditionalFormatting sqref="W400">
    <cfRule type="expression" dxfId="4265" priority="95">
      <formula>AND($R$400,$S$400)</formula>
    </cfRule>
  </conditionalFormatting>
  <conditionalFormatting sqref="W400">
    <cfRule type="expression" dxfId="4264" priority="94">
      <formula>AND($W$400&lt;&gt;"Not Met",LEN(TRIM($W$400))&gt;0)</formula>
    </cfRule>
  </conditionalFormatting>
  <conditionalFormatting sqref="W400">
    <cfRule type="expression" dxfId="4263" priority="93">
      <formula>$S$400 = FALSE</formula>
    </cfRule>
  </conditionalFormatting>
  <conditionalFormatting sqref="W400">
    <cfRule type="expression" dxfId="4262" priority="92">
      <formula>OR($T$400 = TRUE, AND(LEN(TRIM($W$400))&gt;0, $S$400 = FALSE))</formula>
    </cfRule>
  </conditionalFormatting>
  <conditionalFormatting sqref="W422">
    <cfRule type="expression" dxfId="4261" priority="88">
      <formula>OR(T422 = TRUE, AND(W422 &gt; 0, S422 = FALSE))</formula>
    </cfRule>
  </conditionalFormatting>
  <conditionalFormatting sqref="W422">
    <cfRule type="expression" dxfId="4260" priority="91">
      <formula>AND(R422,S422)</formula>
    </cfRule>
  </conditionalFormatting>
  <conditionalFormatting sqref="W422">
    <cfRule type="expression" dxfId="4259" priority="90">
      <formula>AND(S422,LEN(TRIM(W422))&gt;0)</formula>
    </cfRule>
  </conditionalFormatting>
  <conditionalFormatting sqref="W422">
    <cfRule type="expression" dxfId="4258" priority="89">
      <formula>S422 = FALSE</formula>
    </cfRule>
  </conditionalFormatting>
  <conditionalFormatting sqref="W88">
    <cfRule type="expression" dxfId="4257" priority="87">
      <formula>AND($R$88,$S$88)</formula>
    </cfRule>
  </conditionalFormatting>
  <conditionalFormatting sqref="W88">
    <cfRule type="expression" dxfId="4256" priority="86">
      <formula>AND($W$88&lt;&gt;"Not Met",LEN(TRIM($W$88))&gt;0)</formula>
    </cfRule>
  </conditionalFormatting>
  <conditionalFormatting sqref="W88">
    <cfRule type="expression" dxfId="4255" priority="85">
      <formula>$S$88 = FALSE</formula>
    </cfRule>
  </conditionalFormatting>
  <conditionalFormatting sqref="W88">
    <cfRule type="expression" dxfId="4254" priority="84">
      <formula>OR($T$88 = TRUE, AND(LEN(TRIM($W$88))&gt;0, $S$88 = FALSE))</formula>
    </cfRule>
  </conditionalFormatting>
  <conditionalFormatting sqref="W89">
    <cfRule type="expression" dxfId="4253" priority="83">
      <formula>AND($R$89,$S$89)</formula>
    </cfRule>
  </conditionalFormatting>
  <conditionalFormatting sqref="W89">
    <cfRule type="expression" dxfId="4252" priority="82">
      <formula>AND($W$89&lt;&gt;"Not Met",LEN(TRIM($W$89))&gt;0)</formula>
    </cfRule>
  </conditionalFormatting>
  <conditionalFormatting sqref="W89">
    <cfRule type="expression" dxfId="4251" priority="81">
      <formula>$S$89 = FALSE</formula>
    </cfRule>
  </conditionalFormatting>
  <conditionalFormatting sqref="W89">
    <cfRule type="expression" dxfId="4250" priority="80">
      <formula>OR($T$89 = TRUE, AND(LEN(TRIM($W$89))&gt;0, $S$89 = FALSE))</formula>
    </cfRule>
  </conditionalFormatting>
  <conditionalFormatting sqref="W90">
    <cfRule type="expression" dxfId="4249" priority="79">
      <formula>AND($R$90,$S$90)</formula>
    </cfRule>
  </conditionalFormatting>
  <conditionalFormatting sqref="W90">
    <cfRule type="expression" dxfId="4248" priority="78">
      <formula>AND($W$90&lt;&gt;"Not Met",LEN(TRIM($W$90))&gt;0)</formula>
    </cfRule>
  </conditionalFormatting>
  <conditionalFormatting sqref="W90">
    <cfRule type="expression" dxfId="4247" priority="77">
      <formula>$S$90 = FALSE</formula>
    </cfRule>
  </conditionalFormatting>
  <conditionalFormatting sqref="W90">
    <cfRule type="expression" dxfId="4246" priority="76">
      <formula>OR($T$90 = TRUE, AND(LEN(TRIM($W$90))&gt;0, $S$90 = FALSE))</formula>
    </cfRule>
  </conditionalFormatting>
  <conditionalFormatting sqref="W91">
    <cfRule type="expression" dxfId="4245" priority="75">
      <formula>AND($R$91,$S$91)</formula>
    </cfRule>
  </conditionalFormatting>
  <conditionalFormatting sqref="W91">
    <cfRule type="expression" dxfId="4244" priority="74">
      <formula>AND($W$91&lt;&gt;"Not Met",LEN(TRIM($W$91))&gt;0)</formula>
    </cfRule>
  </conditionalFormatting>
  <conditionalFormatting sqref="W91">
    <cfRule type="expression" dxfId="4243" priority="73">
      <formula>$S$91 = FALSE</formula>
    </cfRule>
  </conditionalFormatting>
  <conditionalFormatting sqref="W91">
    <cfRule type="expression" dxfId="4242" priority="72">
      <formula>OR($T$91 = TRUE, AND(LEN(TRIM($W$91))&gt;0, $S$91 = FALSE))</formula>
    </cfRule>
  </conditionalFormatting>
  <conditionalFormatting sqref="W92">
    <cfRule type="expression" dxfId="4241" priority="71">
      <formula>AND($R$92,$S$92)</formula>
    </cfRule>
  </conditionalFormatting>
  <conditionalFormatting sqref="W92">
    <cfRule type="expression" dxfId="4240" priority="70">
      <formula>AND($W$92&lt;&gt;"Not Met",LEN(TRIM($W$92))&gt;0)</formula>
    </cfRule>
  </conditionalFormatting>
  <conditionalFormatting sqref="W92">
    <cfRule type="expression" dxfId="4239" priority="69">
      <formula>$S$92 = FALSE</formula>
    </cfRule>
  </conditionalFormatting>
  <conditionalFormatting sqref="W92">
    <cfRule type="expression" dxfId="4238" priority="68">
      <formula>OR($T$92 = TRUE, AND(LEN(TRIM($W$92))&gt;0, $S$92 = FALSE))</formula>
    </cfRule>
  </conditionalFormatting>
  <conditionalFormatting sqref="W93">
    <cfRule type="expression" dxfId="4237" priority="67">
      <formula>AND($R$93,$S$93)</formula>
    </cfRule>
  </conditionalFormatting>
  <conditionalFormatting sqref="W93">
    <cfRule type="expression" dxfId="4236" priority="66">
      <formula>AND($W$93&lt;&gt;"Not Met",LEN(TRIM($W$93))&gt;0)</formula>
    </cfRule>
  </conditionalFormatting>
  <conditionalFormatting sqref="W93">
    <cfRule type="expression" dxfId="4235" priority="65">
      <formula>$S$93 = FALSE</formula>
    </cfRule>
  </conditionalFormatting>
  <conditionalFormatting sqref="W93">
    <cfRule type="expression" dxfId="4234" priority="64">
      <formula>OR($T$93 = TRUE, AND(LEN(TRIM($W$93))&gt;0, $S$93 = FALSE))</formula>
    </cfRule>
  </conditionalFormatting>
  <conditionalFormatting sqref="W94">
    <cfRule type="expression" dxfId="4233" priority="63">
      <formula>AND($R$94,$S$94)</formula>
    </cfRule>
  </conditionalFormatting>
  <conditionalFormatting sqref="W94">
    <cfRule type="expression" dxfId="4232" priority="62">
      <formula>AND($W$94&lt;&gt;"Not Met",LEN(TRIM($W$94))&gt;0)</formula>
    </cfRule>
  </conditionalFormatting>
  <conditionalFormatting sqref="W94">
    <cfRule type="expression" dxfId="4231" priority="61">
      <formula>$S$94 = FALSE</formula>
    </cfRule>
  </conditionalFormatting>
  <conditionalFormatting sqref="W94">
    <cfRule type="expression" dxfId="4230" priority="60">
      <formula>OR($T$94 = TRUE, AND(LEN(TRIM($W$94))&gt;0, $S$94 = FALSE))</formula>
    </cfRule>
  </conditionalFormatting>
  <conditionalFormatting sqref="W95">
    <cfRule type="expression" dxfId="4229" priority="59">
      <formula>AND($R$95,$S$95)</formula>
    </cfRule>
  </conditionalFormatting>
  <conditionalFormatting sqref="W95">
    <cfRule type="expression" dxfId="4228" priority="58">
      <formula>AND($W$95&lt;&gt;"Not Met",LEN(TRIM($W$95))&gt;0)</formula>
    </cfRule>
  </conditionalFormatting>
  <conditionalFormatting sqref="W95">
    <cfRule type="expression" dxfId="4227" priority="57">
      <formula>$S$95 = FALSE</formula>
    </cfRule>
  </conditionalFormatting>
  <conditionalFormatting sqref="W95">
    <cfRule type="expression" dxfId="4226" priority="56">
      <formula>OR($T$95 = TRUE, AND(LEN(TRIM($W$95))&gt;0, $S$95 = FALSE))</formula>
    </cfRule>
  </conditionalFormatting>
  <conditionalFormatting sqref="W96">
    <cfRule type="expression" dxfId="4225" priority="55">
      <formula>AND($R$96,$S$96)</formula>
    </cfRule>
  </conditionalFormatting>
  <conditionalFormatting sqref="W96">
    <cfRule type="expression" dxfId="4224" priority="54">
      <formula>AND($W$96&lt;&gt;"Not Met",LEN(TRIM($W$96))&gt;0)</formula>
    </cfRule>
  </conditionalFormatting>
  <conditionalFormatting sqref="W96">
    <cfRule type="expression" dxfId="4223" priority="53">
      <formula>$S$96 = FALSE</formula>
    </cfRule>
  </conditionalFormatting>
  <conditionalFormatting sqref="W96">
    <cfRule type="expression" dxfId="4222" priority="52">
      <formula>OR($T$96 = TRUE, AND(LEN(TRIM($W$96))&gt;0, $S$96 = FALSE))</formula>
    </cfRule>
  </conditionalFormatting>
  <conditionalFormatting sqref="W97">
    <cfRule type="expression" dxfId="4221" priority="51">
      <formula>AND($R$97,$S$97)</formula>
    </cfRule>
  </conditionalFormatting>
  <conditionalFormatting sqref="W97">
    <cfRule type="expression" dxfId="4220" priority="50">
      <formula>AND($W$97&lt;&gt;"Not Met",LEN(TRIM($W$97))&gt;0)</formula>
    </cfRule>
  </conditionalFormatting>
  <conditionalFormatting sqref="W97">
    <cfRule type="expression" dxfId="4219" priority="49">
      <formula>$S$97 = FALSE</formula>
    </cfRule>
  </conditionalFormatting>
  <conditionalFormatting sqref="W97">
    <cfRule type="expression" dxfId="4218" priority="48">
      <formula>OR($T$97 = TRUE, AND(LEN(TRIM($W$97))&gt;0, $S$97 = FALSE))</formula>
    </cfRule>
  </conditionalFormatting>
  <conditionalFormatting sqref="W98">
    <cfRule type="expression" dxfId="4217" priority="47">
      <formula>AND($R$98,$S$98)</formula>
    </cfRule>
  </conditionalFormatting>
  <conditionalFormatting sqref="W98">
    <cfRule type="expression" dxfId="4216" priority="46">
      <formula>AND($W$98&lt;&gt;"Not Met",LEN(TRIM($W$98))&gt;0)</formula>
    </cfRule>
  </conditionalFormatting>
  <conditionalFormatting sqref="W98">
    <cfRule type="expression" dxfId="4215" priority="45">
      <formula>$S$98 = FALSE</formula>
    </cfRule>
  </conditionalFormatting>
  <conditionalFormatting sqref="W98">
    <cfRule type="expression" dxfId="4214" priority="44">
      <formula>OR($T$98 = TRUE, AND(LEN(TRIM($W$98))&gt;0, $S$98 = FALSE))</formula>
    </cfRule>
  </conditionalFormatting>
  <conditionalFormatting sqref="W99">
    <cfRule type="expression" dxfId="4213" priority="43">
      <formula>AND($R$99,$S$99)</formula>
    </cfRule>
  </conditionalFormatting>
  <conditionalFormatting sqref="W99">
    <cfRule type="expression" dxfId="4212" priority="42">
      <formula>AND($W$99&lt;&gt;"Not Met",LEN(TRIM($W$99))&gt;0)</formula>
    </cfRule>
  </conditionalFormatting>
  <conditionalFormatting sqref="W99">
    <cfRule type="expression" dxfId="4211" priority="41">
      <formula>$S$99 = FALSE</formula>
    </cfRule>
  </conditionalFormatting>
  <conditionalFormatting sqref="W99">
    <cfRule type="expression" dxfId="4210" priority="40">
      <formula>OR($T$99 = TRUE, AND(LEN(TRIM($W$99))&gt;0, $S$99 = FALSE))</formula>
    </cfRule>
  </conditionalFormatting>
  <conditionalFormatting sqref="W100">
    <cfRule type="expression" dxfId="4209" priority="39">
      <formula>AND($R$100,$S$100)</formula>
    </cfRule>
  </conditionalFormatting>
  <conditionalFormatting sqref="W100">
    <cfRule type="expression" dxfId="4208" priority="38">
      <formula>AND($W$100&lt;&gt;"Not Met",LEN(TRIM($W$100))&gt;0)</formula>
    </cfRule>
  </conditionalFormatting>
  <conditionalFormatting sqref="W100">
    <cfRule type="expression" dxfId="4207" priority="37">
      <formula>$S$100 = FALSE</formula>
    </cfRule>
  </conditionalFormatting>
  <conditionalFormatting sqref="W100">
    <cfRule type="expression" dxfId="4206" priority="36">
      <formula>OR($T$100 = TRUE, AND(LEN(TRIM($W$100))&gt;0, $S$100 = FALSE))</formula>
    </cfRule>
  </conditionalFormatting>
  <conditionalFormatting sqref="W316">
    <cfRule type="expression" dxfId="4205" priority="35">
      <formula>AND(R316,S316)</formula>
    </cfRule>
  </conditionalFormatting>
  <conditionalFormatting sqref="W316">
    <cfRule type="expression" dxfId="4204" priority="34">
      <formula>NOT(ISBLANK(W316))</formula>
    </cfRule>
  </conditionalFormatting>
  <conditionalFormatting sqref="W316">
    <cfRule type="expression" dxfId="4203" priority="33">
      <formula>S316 = FALSE</formula>
    </cfRule>
  </conditionalFormatting>
  <conditionalFormatting sqref="W316">
    <cfRule type="expression" dxfId="4202" priority="32">
      <formula>OR(T316 = TRUE, AND(W316 = TRUE, S316 = FALSE))</formula>
    </cfRule>
  </conditionalFormatting>
  <conditionalFormatting sqref="W236">
    <cfRule type="expression" dxfId="4201" priority="31">
      <formula>AND($R$236,$S$236)</formula>
    </cfRule>
  </conditionalFormatting>
  <conditionalFormatting sqref="W236">
    <cfRule type="expression" dxfId="4200" priority="30">
      <formula>AND($W$236&lt;&gt;"Not Met",LEN(TRIM($W$236))&gt;0)</formula>
    </cfRule>
  </conditionalFormatting>
  <conditionalFormatting sqref="W236">
    <cfRule type="expression" dxfId="4199" priority="29">
      <formula>$S$236 = FALSE</formula>
    </cfRule>
  </conditionalFormatting>
  <conditionalFormatting sqref="W236">
    <cfRule type="expression" dxfId="4198" priority="28">
      <formula>OR($T$236 = TRUE, AND(LEN(TRIM($W$236))&gt;0, $S$236 = FALSE))</formula>
    </cfRule>
  </conditionalFormatting>
  <conditionalFormatting sqref="W549">
    <cfRule type="expression" dxfId="4197" priority="27">
      <formula>AND(R549,S549)</formula>
    </cfRule>
  </conditionalFormatting>
  <conditionalFormatting sqref="W549">
    <cfRule type="expression" dxfId="4196" priority="26">
      <formula>AND(IF(S549,W549,TRUE),LEN(TRIM(W549))&gt;0)</formula>
    </cfRule>
  </conditionalFormatting>
  <conditionalFormatting sqref="W549">
    <cfRule type="expression" dxfId="4195" priority="25">
      <formula>S549 = FALSE</formula>
    </cfRule>
  </conditionalFormatting>
  <conditionalFormatting sqref="W549">
    <cfRule type="expression" dxfId="4194" priority="24">
      <formula>OR(T549 = TRUE, AND(W549 = TRUE, S549 = FALSE))</formula>
    </cfRule>
  </conditionalFormatting>
  <conditionalFormatting sqref="W14">
    <cfRule type="expression" dxfId="4193" priority="23">
      <formula>AND($R$14,$S$14)</formula>
    </cfRule>
  </conditionalFormatting>
  <conditionalFormatting sqref="W14">
    <cfRule type="expression" dxfId="4192" priority="22">
      <formula>AND($W$14&lt;&gt;"Not Met",LEN(TRIM($W$14))&gt;0)</formula>
    </cfRule>
  </conditionalFormatting>
  <conditionalFormatting sqref="W14">
    <cfRule type="expression" dxfId="4191" priority="21">
      <formula>$S$14 = FALSE</formula>
    </cfRule>
  </conditionalFormatting>
  <conditionalFormatting sqref="W14">
    <cfRule type="expression" dxfId="4190" priority="20">
      <formula>OR($T$14 = TRUE, AND(LEN(TRIM($W$14))&gt;0, $S$14 = FALSE))</formula>
    </cfRule>
  </conditionalFormatting>
  <conditionalFormatting sqref="X14:X16">
    <cfRule type="expression" dxfId="4189" priority="19">
      <formula>R14</formula>
    </cfRule>
  </conditionalFormatting>
  <conditionalFormatting sqref="W30">
    <cfRule type="expression" dxfId="4188" priority="18">
      <formula>AND($R$30,$S$30)</formula>
    </cfRule>
  </conditionalFormatting>
  <conditionalFormatting sqref="W30">
    <cfRule type="expression" dxfId="4187" priority="17">
      <formula>AND($W$30&lt;&gt;"Not Met",LEN(TRIM($W$30))&gt;0)</formula>
    </cfRule>
  </conditionalFormatting>
  <conditionalFormatting sqref="W30">
    <cfRule type="expression" dxfId="4186" priority="16">
      <formula>$S$30 = FALSE</formula>
    </cfRule>
  </conditionalFormatting>
  <conditionalFormatting sqref="W30">
    <cfRule type="expression" dxfId="4185" priority="15">
      <formula>OR($T$30 = TRUE, AND(LEN(TRIM($W$30))&gt;0, $S$30 = FALSE))</formula>
    </cfRule>
  </conditionalFormatting>
  <conditionalFormatting sqref="W216">
    <cfRule type="expression" dxfId="4184" priority="12">
      <formula>AND(R216,S216)</formula>
    </cfRule>
  </conditionalFormatting>
  <conditionalFormatting sqref="W216">
    <cfRule type="expression" dxfId="4183" priority="11">
      <formula>NOT(ISBLANK(W216))</formula>
    </cfRule>
  </conditionalFormatting>
  <conditionalFormatting sqref="W216">
    <cfRule type="expression" dxfId="4182" priority="10">
      <formula>S216 = FALSE</formula>
    </cfRule>
  </conditionalFormatting>
  <conditionalFormatting sqref="W216">
    <cfRule type="expression" dxfId="4181" priority="9">
      <formula>OR(T216 = TRUE, AND(W216 = TRUE, S216 = FALSE))</formula>
    </cfRule>
  </conditionalFormatting>
  <conditionalFormatting sqref="W218">
    <cfRule type="expression" dxfId="4180" priority="8">
      <formula>AND(R218,S218)</formula>
    </cfRule>
  </conditionalFormatting>
  <conditionalFormatting sqref="W218">
    <cfRule type="expression" dxfId="4179" priority="7">
      <formula>NOT(ISBLANK(W218))</formula>
    </cfRule>
  </conditionalFormatting>
  <conditionalFormatting sqref="W218">
    <cfRule type="expression" dxfId="4178" priority="6">
      <formula>S218 = FALSE</formula>
    </cfRule>
  </conditionalFormatting>
  <conditionalFormatting sqref="W218">
    <cfRule type="expression" dxfId="4177" priority="5">
      <formula>OR(T218 = TRUE, AND(W218 = TRUE, S218 = FALSE))</formula>
    </cfRule>
  </conditionalFormatting>
  <conditionalFormatting sqref="W214">
    <cfRule type="expression" dxfId="4176" priority="4">
      <formula>AND($R$214,$S$214)</formula>
    </cfRule>
  </conditionalFormatting>
  <conditionalFormatting sqref="W214">
    <cfRule type="expression" dxfId="4175" priority="3">
      <formula>AND($W$214&lt;&gt;"Not Met",LEN(TRIM($W$214))&gt;0)</formula>
    </cfRule>
  </conditionalFormatting>
  <conditionalFormatting sqref="W214">
    <cfRule type="expression" dxfId="4174" priority="2">
      <formula>$S$214 = FALSE</formula>
    </cfRule>
  </conditionalFormatting>
  <conditionalFormatting sqref="W214">
    <cfRule type="expression" dxfId="4173" priority="1">
      <formula>OR($T$214 = TRUE, AND(LEN(TRIM($W$214))&gt;0, $S$214 = FALSE))</formula>
    </cfRule>
  </conditionalFormatting>
  <dataValidations xWindow="1349" yWindow="897" count="58">
    <dataValidation type="list" allowBlank="1" showInputMessage="1" showErrorMessage="1" error="Please use the dropdown." sqref="W12" xr:uid="{00000000-0002-0000-0500-000000000000}">
      <formula1>INDIRECT($U$12)</formula1>
    </dataValidation>
    <dataValidation type="list" allowBlank="1" showInputMessage="1" showErrorMessage="1" error="Please use the dropdown." sqref="W28" xr:uid="{00000000-0002-0000-0500-000001000000}">
      <formula1>INDIRECT($U$28)</formula1>
    </dataValidation>
    <dataValidation type="list" allowBlank="1" showDropDown="1" showInputMessage="1" showErrorMessage="1" error="Use Checkbox" prompt="Use Checkbox" sqref="W63 W68 W746 W85 W150 W179 W80:W81 W170 W77 W757 W211 W196 W124 W41:W42 W121 W220 W229 W674 W671 W666:W669 W708 W706 W704 W694:W701 W741 W729:W730 W733 W725 W597 W506 W586:W587 W581 W578 W561 W354 W608 W460 W659 W657 W655 W643 W517 W515 W513 W511 W172:W173 W501 W497:W499 W495 W487 W455:W457 W452 W450 W448 W427 W425 W423 W362 W359:W360 W356 W626 W348 W748 W284 W331 W328 W341 W645 W59 W54:W57 W50:W52 W45 W504 W595 W592 W606 W634 W632 W711 W736 W766:W767 W761" xr:uid="{00000000-0002-0000-0500-000002000000}">
      <formula1>TorF</formula1>
    </dataValidation>
    <dataValidation type="list" allowBlank="1" showInputMessage="1" showErrorMessage="1" error="Please use the dropdown." sqref="W71" xr:uid="{00000000-0002-0000-0500-000003000000}">
      <formula1>INDIRECT($U$71)</formula1>
    </dataValidation>
    <dataValidation type="decimal" allowBlank="1" showDropDown="1" showInputMessage="1" showErrorMessage="1" error="Enter a percentage" prompt="Enter a percentage" sqref="W185 W222" xr:uid="{00000000-0002-0000-0500-000004000000}">
      <formula1>0</formula1>
      <formula2>1</formula2>
    </dataValidation>
    <dataValidation type="list" allowBlank="1" showInputMessage="1" showErrorMessage="1" error="Please use the dropdown." sqref="W160" xr:uid="{00000000-0002-0000-0500-000005000000}">
      <formula1>INDIRECT($U$160)</formula1>
    </dataValidation>
    <dataValidation type="decimal" allowBlank="1" showDropDown="1" showInputMessage="1" showErrorMessage="1" error="Enter a nuber of inches" prompt="Enter a number of inches" sqref="W228" xr:uid="{00000000-0002-0000-0500-000006000000}">
      <formula1>0</formula1>
      <formula2>36</formula2>
    </dataValidation>
    <dataValidation type="list" allowBlank="1" showInputMessage="1" showErrorMessage="1" error="Please use the dropdown." sqref="W679" xr:uid="{00000000-0002-0000-0500-000007000000}">
      <formula1>INDIRECT($U$679)</formula1>
    </dataValidation>
    <dataValidation type="list" allowBlank="1" showInputMessage="1" showErrorMessage="1" error="Please use the dropdown." sqref="W557" xr:uid="{00000000-0002-0000-0500-000009000000}">
      <formula1>INDIRECT($U$557)</formula1>
    </dataValidation>
    <dataValidation type="list" allowBlank="1" showInputMessage="1" showErrorMessage="1" error="Please use the dropdown." sqref="W564" xr:uid="{00000000-0002-0000-0500-00000A000000}">
      <formula1>INDIRECT($U$564)</formula1>
    </dataValidation>
    <dataValidation type="list" allowBlank="1" showInputMessage="1" showErrorMessage="1" error="Please use the dropdown." sqref="W568" xr:uid="{00000000-0002-0000-0500-00000B000000}">
      <formula1>INDIRECT($U$568)</formula1>
    </dataValidation>
    <dataValidation type="list" allowBlank="1" showInputMessage="1" showErrorMessage="1" error="Please use the dropdown." sqref="W573" xr:uid="{00000000-0002-0000-0500-00000C000000}">
      <formula1>INDIRECT($U$573)</formula1>
    </dataValidation>
    <dataValidation type="whole" allowBlank="1" showDropDown="1" showInputMessage="1" showErrorMessage="1" error="Enter a whole number" prompt="Enter number of recessed luminaires penetrating the thermal envelope" sqref="W584" xr:uid="{00000000-0002-0000-0500-00000D000000}">
      <formula1>0</formula1>
      <formula2>100</formula2>
    </dataValidation>
    <dataValidation type="list" allowBlank="1" showInputMessage="1" showErrorMessage="1" error="Please use the dropdown." sqref="W637" xr:uid="{00000000-0002-0000-0500-00000E000000}">
      <formula1>INDIRECT($U$637)</formula1>
    </dataValidation>
    <dataValidation type="decimal" allowBlank="1" showDropDown="1" showInputMessage="1" showErrorMessage="1" error="Enter a number" prompt="Enter SEF" sqref="W431" xr:uid="{00000000-0002-0000-0500-00000F000000}">
      <formula1>0</formula1>
      <formula2>5</formula2>
    </dataValidation>
    <dataValidation type="list" allowBlank="1" showInputMessage="1" showErrorMessage="1" error="Please use the dropdown." sqref="W375" xr:uid="{00000000-0002-0000-0500-000010000000}">
      <formula1>INDIRECT($U$375)</formula1>
    </dataValidation>
    <dataValidation type="decimal" allowBlank="1" showDropDown="1" showInputMessage="1" showErrorMessage="1" error="Enter a number" prompt="Enter Energy Factor or Thermal Efficiency" sqref="W402 W383 W422" xr:uid="{00000000-0002-0000-0500-000011000000}">
      <formula1>0</formula1>
      <formula2>3</formula2>
    </dataValidation>
    <dataValidation type="list" allowBlank="1" showInputMessage="1" showErrorMessage="1" error="Please use the dropdown." sqref="W364" xr:uid="{00000000-0002-0000-0500-000012000000}">
      <formula1>INDIRECT($U$364)</formula1>
    </dataValidation>
    <dataValidation type="decimal" allowBlank="1" showDropDown="1" showInputMessage="1" showErrorMessage="1" prompt="Enter the ACH50" sqref="W105 W623" xr:uid="{00000000-0002-0000-0500-000013000000}">
      <formula1>0</formula1>
      <formula2>50</formula2>
    </dataValidation>
    <dataValidation type="list" allowBlank="1" showInputMessage="1" showErrorMessage="1" error="Please use the dropdown." sqref="W271" xr:uid="{00000000-0002-0000-0500-000014000000}">
      <formula1>INDIRECT($U$271)</formula1>
    </dataValidation>
    <dataValidation type="list" allowBlank="1" showInputMessage="1" showErrorMessage="1" error="Please use the dropdown." sqref="W244" xr:uid="{00000000-0002-0000-0500-000015000000}">
      <formula1>INDIRECT($U$244)</formula1>
    </dataValidation>
    <dataValidation type="list" allowBlank="1" showInputMessage="1" showErrorMessage="1" error="Please use the dropdown." sqref="W252" xr:uid="{00000000-0002-0000-0500-000016000000}">
      <formula1>INDIRECT($U$252)</formula1>
    </dataValidation>
    <dataValidation type="list" allowBlank="1" showInputMessage="1" showErrorMessage="1" error="Please use the dropdown." sqref="W260" xr:uid="{00000000-0002-0000-0500-000017000000}">
      <formula1>INDIRECT($U$260)</formula1>
    </dataValidation>
    <dataValidation type="decimal" allowBlank="1" showDropDown="1" showInputMessage="1" showErrorMessage="1" prompt="Enter the AFUE" sqref="W291 W297 W300 W305" xr:uid="{00000000-0002-0000-0500-000018000000}">
      <formula1>0</formula1>
      <formula2>1</formula2>
    </dataValidation>
    <dataValidation type="decimal" allowBlank="1" showDropDown="1" showInputMessage="1" showErrorMessage="1" prompt="Enter the HSPF" sqref="W311 W316" xr:uid="{00000000-0002-0000-0500-000019000000}">
      <formula1>0</formula1>
      <formula2>100</formula2>
    </dataValidation>
    <dataValidation type="decimal" allowBlank="1" showDropDown="1" showInputMessage="1" showErrorMessage="1" prompt="Enter the COP" sqref="W318 W330" xr:uid="{00000000-0002-0000-0500-00001A000000}">
      <formula1>0</formula1>
      <formula2>100</formula2>
    </dataValidation>
    <dataValidation type="decimal" allowBlank="1" showDropDown="1" showInputMessage="1" showErrorMessage="1" prompt="Enter the SEER" sqref="W323" xr:uid="{00000000-0002-0000-0500-00001B000000}">
      <formula1>0</formula1>
      <formula2>100</formula2>
    </dataValidation>
    <dataValidation type="decimal" allowBlank="1" showDropDown="1" showInputMessage="1" showErrorMessage="1" prompt="Enter the EER" sqref="W336" xr:uid="{00000000-0002-0000-0500-00001C000000}">
      <formula1>0</formula1>
      <formula2>100</formula2>
    </dataValidation>
    <dataValidation type="whole" allowBlank="1" showDropDown="1" showInputMessage="1" showErrorMessage="1" prompt="Enter number of fans" sqref="W343" xr:uid="{00000000-0002-0000-0500-00001D000000}">
      <formula1>0</formula1>
      <formula2>100</formula2>
    </dataValidation>
    <dataValidation type="list" allowBlank="1" showInputMessage="1" showErrorMessage="1" error="Please use the dropdown." sqref="W278" xr:uid="{00000000-0002-0000-0500-00001E000000}">
      <formula1>INDIRECT($U$278)</formula1>
    </dataValidation>
    <dataValidation type="decimal" allowBlank="1" showDropDown="1" showInputMessage="1" showErrorMessage="1" prompt="Enter the ELR50" sqref="W108 W625" xr:uid="{00000000-0002-0000-0500-00001F000000}">
      <formula1>0</formula1>
      <formula2>1</formula2>
    </dataValidation>
    <dataValidation type="list" allowBlank="1" showInputMessage="1" showErrorMessage="1" error="Please use the dropdown." sqref="W44" xr:uid="{47FCD137-AF95-45CB-AD78-8C1C698968DE}">
      <formula1>INDIRECT($U$44)</formula1>
    </dataValidation>
    <dataValidation type="list" allowBlank="1" showInputMessage="1" showErrorMessage="1" error="Please use the dropdown." sqref="W47" xr:uid="{71CCEADB-0547-460D-A3BE-ECCC25574E94}">
      <formula1>INDIRECT($U$47)</formula1>
    </dataValidation>
    <dataValidation type="list" allowBlank="1" showInputMessage="1" showErrorMessage="1" error="Please use the dropdown." sqref="W429" xr:uid="{82536E07-7442-4E8F-91C7-777A9F2FB192}">
      <formula1>INDIRECT($U$429)</formula1>
    </dataValidation>
    <dataValidation type="whole" allowBlank="1" showDropDown="1" showInputMessage="1" showErrorMessage="1" error="Enter a whole number" prompt="Enter number of kWh" sqref="W715" xr:uid="{DD325E02-2B71-41A1-8AD0-F353E1B6032F}">
      <formula1>0</formula1>
      <formula2>50000</formula2>
    </dataValidation>
    <dataValidation type="whole" allowBlank="1" showDropDown="1" showInputMessage="1" showErrorMessage="1" error="Enter a whole number" prompt="Enter number of kW" sqref="W713" xr:uid="{61944BB1-E078-4E44-B368-2AD4E176EF8A}">
      <formula1>0</formula1>
      <formula2>1000</formula2>
    </dataValidation>
    <dataValidation type="list" allowBlank="1" showInputMessage="1" showErrorMessage="1" error="Please use the dropdown." sqref="W752" xr:uid="{B9737FE7-AE7A-4956-9E9C-805CE809A1F4}">
      <formula1>INDIRECT($U$752)</formula1>
    </dataValidation>
    <dataValidation type="list" allowBlank="1" showInputMessage="1" showErrorMessage="1" error="Please use the dropdown." sqref="W381" xr:uid="{50047999-1D39-45BA-9882-F23A48BFC164}">
      <formula1>INDIRECT($U$381)</formula1>
    </dataValidation>
    <dataValidation type="list" allowBlank="1" showInputMessage="1" showErrorMessage="1" error="Please use the dropdown." sqref="W400" xr:uid="{C85F059B-B108-4B5A-ADC4-C51723251E46}">
      <formula1>INDIRECT($U$400)</formula1>
    </dataValidation>
    <dataValidation type="list" allowBlank="1" showInputMessage="1" showErrorMessage="1" error="Please use the dropdown." sqref="W88" xr:uid="{AFFBEDD7-2D87-48D2-B73B-5D81D56960DD}">
      <formula1>INDIRECT($U$88)</formula1>
    </dataValidation>
    <dataValidation type="list" allowBlank="1" showInputMessage="1" showErrorMessage="1" error="Please use the dropdown." sqref="W89" xr:uid="{B76473C3-9758-4D90-B02C-65E85341D8E7}">
      <formula1>INDIRECT($U$89)</formula1>
    </dataValidation>
    <dataValidation type="list" allowBlank="1" showInputMessage="1" showErrorMessage="1" error="Please use the dropdown." sqref="W90" xr:uid="{1D218E3D-3384-4BA3-9385-7F3932007837}">
      <formula1>INDIRECT($U$90)</formula1>
    </dataValidation>
    <dataValidation type="list" allowBlank="1" showInputMessage="1" showErrorMessage="1" error="Please use the dropdown." sqref="W91" xr:uid="{660616C9-33D3-4D44-82C7-C32FC96D42EF}">
      <formula1>INDIRECT($U$91)</formula1>
    </dataValidation>
    <dataValidation type="list" allowBlank="1" showInputMessage="1" showErrorMessage="1" error="Please use the dropdown." sqref="W92" xr:uid="{01EAFD4E-D4B4-49C1-9340-4E1E0A680A3E}">
      <formula1>INDIRECT($U$92)</formula1>
    </dataValidation>
    <dataValidation type="list" allowBlank="1" showInputMessage="1" showErrorMessage="1" error="Please use the dropdown." sqref="W93" xr:uid="{2A1419A3-1748-48F3-A534-32FED07620DD}">
      <formula1>INDIRECT($U$93)</formula1>
    </dataValidation>
    <dataValidation type="list" allowBlank="1" showInputMessage="1" showErrorMessage="1" error="Please use the dropdown." sqref="W94" xr:uid="{1F7570A5-FE8F-4703-8BDC-BFA38BB717B1}">
      <formula1>INDIRECT($U$94)</formula1>
    </dataValidation>
    <dataValidation type="list" allowBlank="1" showInputMessage="1" showErrorMessage="1" error="Please use the dropdown." sqref="W95" xr:uid="{A072FFB1-3E12-4E34-B070-3FD412F36DE3}">
      <formula1>INDIRECT($U$95)</formula1>
    </dataValidation>
    <dataValidation type="list" allowBlank="1" showInputMessage="1" showErrorMessage="1" error="Please use the dropdown." sqref="W96" xr:uid="{837ED83F-973C-443A-B691-ADE9DF2431BF}">
      <formula1>INDIRECT($U$96)</formula1>
    </dataValidation>
    <dataValidation type="list" allowBlank="1" showInputMessage="1" showErrorMessage="1" error="Please use the dropdown." sqref="W97" xr:uid="{3D19ED93-15F2-480F-94A9-C2EF62827C0D}">
      <formula1>INDIRECT($U$97)</formula1>
    </dataValidation>
    <dataValidation type="list" allowBlank="1" showInputMessage="1" showErrorMessage="1" error="Please use the dropdown." sqref="W98" xr:uid="{D4C988D1-B04D-43CB-96EA-D0338AEBCD5C}">
      <formula1>INDIRECT($U$98)</formula1>
    </dataValidation>
    <dataValidation type="list" allowBlank="1" showInputMessage="1" showErrorMessage="1" error="Please use the dropdown." sqref="W99" xr:uid="{465CA107-C774-4408-A44C-2B7F74F88909}">
      <formula1>INDIRECT($U$99)</formula1>
    </dataValidation>
    <dataValidation type="list" allowBlank="1" showInputMessage="1" showErrorMessage="1" error="Please use the dropdown." sqref="W100" xr:uid="{2B7EA718-CD9A-46D3-8D18-1E9799F4E3DA}">
      <formula1>INDIRECT($U$100)</formula1>
    </dataValidation>
    <dataValidation type="list" allowBlank="1" showInputMessage="1" showErrorMessage="1" error="Please use the dropdown." sqref="W236" xr:uid="{1170ED02-19AE-48D0-AB37-1D73D564319A}">
      <formula1>INDIRECT($U$236)</formula1>
    </dataValidation>
    <dataValidation type="whole" allowBlank="1" showDropDown="1" showInputMessage="1" showErrorMessage="1" error="Enter a percentage" prompt="Enter a number" sqref="W549 W547" xr:uid="{9B911227-40F5-48E2-A2C9-FBEDABB7A39F}">
      <formula1>0</formula1>
      <formula2>100</formula2>
    </dataValidation>
    <dataValidation type="list" allowBlank="1" showInputMessage="1" showErrorMessage="1" error="Please use the dropdown." sqref="W14" xr:uid="{7B9CB37F-3F04-4185-931C-A8FA41255A4F}">
      <formula1>INDIRECT($U$14)</formula1>
    </dataValidation>
    <dataValidation type="list" allowBlank="1" showInputMessage="1" showErrorMessage="1" error="Please use the dropdown." sqref="W30" xr:uid="{627ADD03-8B0A-4CC5-95F0-FB841CA45121}">
      <formula1>INDIRECT($U$30)</formula1>
    </dataValidation>
    <dataValidation type="decimal" allowBlank="1" showDropDown="1" showInputMessage="1" showErrorMessage="1" error="Enter a percentage up to 10" prompt="Enter CFM25/CFA in Percent" sqref="W218 W216" xr:uid="{113E2F26-7BAC-47CD-AE16-47E1F0C7D5BF}">
      <formula1>0</formula1>
      <formula2>0.1</formula2>
    </dataValidation>
    <dataValidation type="list" allowBlank="1" showInputMessage="1" showErrorMessage="1" error="Please use the dropdown." sqref="W214" xr:uid="{726169F7-AB2B-4232-B0A3-A2749E066DAE}">
      <formula1>INDIRECT($U$214)</formula1>
    </dataValidation>
  </dataValidations>
  <hyperlinks>
    <hyperlink ref="L123" location="'Table 701.4.3.2(2)'!A1" display="See Table 701.4.3.2(2)" xr:uid="{00000000-0004-0000-0500-000000000000}"/>
    <hyperlink ref="L226" location="'Table 703.2.1(a)'!A1" display="See Table 703.2.1(a)" xr:uid="{00000000-0004-0000-0500-000001000000}"/>
    <hyperlink ref="M220:M225" location="'Table 703.2.1(b)'!A1" display="Per Table 703.2.1(b)" xr:uid="{00000000-0004-0000-0500-000002000000}"/>
    <hyperlink ref="X768" location="'Ch8'!A1" display="CLICK TO PROCEED TO CHAPTER 8 &gt;&gt;" xr:uid="{00000000-0004-0000-0500-000003000000}"/>
    <hyperlink ref="L479" location="'Table 703.7.1(7)'!A1" display="See Table 703.7.1(7)" xr:uid="{00000000-0004-0000-0500-000004000000}"/>
    <hyperlink ref="M227:M228" location="'Table 703.2.2'!A1" display="Per Table 703.2.2" xr:uid="{00000000-0004-0000-0500-000005000000}"/>
    <hyperlink ref="M232:M234" location="'Table 703.2.4'!A1" display="Per Table 703.2.4" xr:uid="{00000000-0004-0000-0500-000006000000}"/>
    <hyperlink ref="L243" location="'Table 703.2.5.1'!A1" display="See Table 703.2.5.1" xr:uid="{00000000-0004-0000-0500-000007000000}"/>
    <hyperlink ref="M252:M256" location="'Tables 703.2.5.2(a), (b) &amp; (c)'!A1" display="'Tables 703.2.5.2(a), (b) &amp; (c)'!A1" xr:uid="{00000000-0004-0000-0500-000008000000}"/>
  </hyperlinks>
  <pageMargins left="0.7" right="0.7" top="0.75" bottom="0.75" header="0.3" footer="0.3"/>
  <pageSetup scale="44" fitToHeight="0" orientation="portrait" r:id="rId1"/>
  <rowBreaks count="8" manualBreakCount="8">
    <brk id="82" max="16383" man="1"/>
    <brk id="174" max="16383" man="1"/>
    <brk id="268" max="16383" man="1"/>
    <brk id="372" max="16383" man="1"/>
    <brk id="458" max="16383" man="1"/>
    <brk id="551" max="16383" man="1"/>
    <brk id="615" max="16383" man="1"/>
    <brk id="7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locked="0" defaultSize="0" autoFill="0" autoLine="0" autoPict="0">
                <anchor moveWithCells="1" sizeWithCells="1">
                  <from>
                    <xdr:col>22</xdr:col>
                    <xdr:colOff>0</xdr:colOff>
                    <xdr:row>62</xdr:row>
                    <xdr:rowOff>0</xdr:rowOff>
                  </from>
                  <to>
                    <xdr:col>22</xdr:col>
                    <xdr:colOff>180975</xdr:colOff>
                    <xdr:row>62</xdr:row>
                    <xdr:rowOff>180975</xdr:rowOff>
                  </to>
                </anchor>
              </controlPr>
            </control>
          </mc:Choice>
        </mc:AlternateContent>
        <mc:AlternateContent xmlns:mc="http://schemas.openxmlformats.org/markup-compatibility/2006">
          <mc:Choice Requires="x14">
            <control shapeId="5125" r:id="rId5" name="Check Box 5">
              <controlPr locked="0" defaultSize="0" autoFill="0" autoLine="0" autoPict="0">
                <anchor moveWithCells="1" sizeWithCells="1">
                  <from>
                    <xdr:col>22</xdr:col>
                    <xdr:colOff>0</xdr:colOff>
                    <xdr:row>67</xdr:row>
                    <xdr:rowOff>0</xdr:rowOff>
                  </from>
                  <to>
                    <xdr:col>22</xdr:col>
                    <xdr:colOff>180975</xdr:colOff>
                    <xdr:row>67</xdr:row>
                    <xdr:rowOff>180975</xdr:rowOff>
                  </to>
                </anchor>
              </controlPr>
            </control>
          </mc:Choice>
        </mc:AlternateContent>
        <mc:AlternateContent xmlns:mc="http://schemas.openxmlformats.org/markup-compatibility/2006">
          <mc:Choice Requires="x14">
            <control shapeId="5128" r:id="rId6" name="Check Box 8">
              <controlPr locked="0" defaultSize="0" autoFill="0" autoLine="0" autoPict="0">
                <anchor moveWithCells="1" sizeWithCells="1">
                  <from>
                    <xdr:col>22</xdr:col>
                    <xdr:colOff>0</xdr:colOff>
                    <xdr:row>84</xdr:row>
                    <xdr:rowOff>0</xdr:rowOff>
                  </from>
                  <to>
                    <xdr:col>22</xdr:col>
                    <xdr:colOff>180975</xdr:colOff>
                    <xdr:row>84</xdr:row>
                    <xdr:rowOff>180975</xdr:rowOff>
                  </to>
                </anchor>
              </controlPr>
            </control>
          </mc:Choice>
        </mc:AlternateContent>
        <mc:AlternateContent xmlns:mc="http://schemas.openxmlformats.org/markup-compatibility/2006">
          <mc:Choice Requires="x14">
            <control shapeId="5131" r:id="rId7" name="Check Box 11">
              <controlPr locked="0" defaultSize="0" autoFill="0" autoLine="0" autoPict="0">
                <anchor moveWithCells="1" sizeWithCells="1">
                  <from>
                    <xdr:col>22</xdr:col>
                    <xdr:colOff>0</xdr:colOff>
                    <xdr:row>149</xdr:row>
                    <xdr:rowOff>0</xdr:rowOff>
                  </from>
                  <to>
                    <xdr:col>22</xdr:col>
                    <xdr:colOff>180975</xdr:colOff>
                    <xdr:row>149</xdr:row>
                    <xdr:rowOff>180975</xdr:rowOff>
                  </to>
                </anchor>
              </controlPr>
            </control>
          </mc:Choice>
        </mc:AlternateContent>
        <mc:AlternateContent xmlns:mc="http://schemas.openxmlformats.org/markup-compatibility/2006">
          <mc:Choice Requires="x14">
            <control shapeId="5132" r:id="rId8" name="Check Box 12">
              <controlPr locked="0" defaultSize="0" autoFill="0" autoLine="0" autoPict="0">
                <anchor moveWithCells="1" sizeWithCells="1">
                  <from>
                    <xdr:col>22</xdr:col>
                    <xdr:colOff>0</xdr:colOff>
                    <xdr:row>169</xdr:row>
                    <xdr:rowOff>0</xdr:rowOff>
                  </from>
                  <to>
                    <xdr:col>22</xdr:col>
                    <xdr:colOff>180975</xdr:colOff>
                    <xdr:row>169</xdr:row>
                    <xdr:rowOff>180975</xdr:rowOff>
                  </to>
                </anchor>
              </controlPr>
            </control>
          </mc:Choice>
        </mc:AlternateContent>
        <mc:AlternateContent xmlns:mc="http://schemas.openxmlformats.org/markup-compatibility/2006">
          <mc:Choice Requires="x14">
            <control shapeId="5133" r:id="rId9" name="Check Box 13">
              <controlPr locked="0" defaultSize="0" autoFill="0" autoLine="0" autoPict="0">
                <anchor moveWithCells="1" sizeWithCells="1">
                  <from>
                    <xdr:col>22</xdr:col>
                    <xdr:colOff>0</xdr:colOff>
                    <xdr:row>171</xdr:row>
                    <xdr:rowOff>0</xdr:rowOff>
                  </from>
                  <to>
                    <xdr:col>22</xdr:col>
                    <xdr:colOff>180975</xdr:colOff>
                    <xdr:row>171</xdr:row>
                    <xdr:rowOff>180975</xdr:rowOff>
                  </to>
                </anchor>
              </controlPr>
            </control>
          </mc:Choice>
        </mc:AlternateContent>
        <mc:AlternateContent xmlns:mc="http://schemas.openxmlformats.org/markup-compatibility/2006">
          <mc:Choice Requires="x14">
            <control shapeId="5135" r:id="rId10" name="Check Box 15">
              <controlPr locked="0" defaultSize="0" autoFill="0" autoLine="0" autoPict="0">
                <anchor moveWithCells="1" sizeWithCells="1">
                  <from>
                    <xdr:col>22</xdr:col>
                    <xdr:colOff>0</xdr:colOff>
                    <xdr:row>178</xdr:row>
                    <xdr:rowOff>0</xdr:rowOff>
                  </from>
                  <to>
                    <xdr:col>22</xdr:col>
                    <xdr:colOff>180975</xdr:colOff>
                    <xdr:row>178</xdr:row>
                    <xdr:rowOff>180975</xdr:rowOff>
                  </to>
                </anchor>
              </controlPr>
            </control>
          </mc:Choice>
        </mc:AlternateContent>
        <mc:AlternateContent xmlns:mc="http://schemas.openxmlformats.org/markup-compatibility/2006">
          <mc:Choice Requires="x14">
            <control shapeId="5137" r:id="rId11" name="Check Box 17">
              <controlPr locked="0" defaultSize="0" autoFill="0" autoLine="0" autoPict="0">
                <anchor moveWithCells="1" sizeWithCells="1">
                  <from>
                    <xdr:col>22</xdr:col>
                    <xdr:colOff>0</xdr:colOff>
                    <xdr:row>76</xdr:row>
                    <xdr:rowOff>0</xdr:rowOff>
                  </from>
                  <to>
                    <xdr:col>22</xdr:col>
                    <xdr:colOff>180975</xdr:colOff>
                    <xdr:row>76</xdr:row>
                    <xdr:rowOff>180975</xdr:rowOff>
                  </to>
                </anchor>
              </controlPr>
            </control>
          </mc:Choice>
        </mc:AlternateContent>
        <mc:AlternateContent xmlns:mc="http://schemas.openxmlformats.org/markup-compatibility/2006">
          <mc:Choice Requires="x14">
            <control shapeId="5138" r:id="rId12" name="Check Box 18">
              <controlPr locked="0" defaultSize="0" autoFill="0" autoLine="0" autoPict="0">
                <anchor moveWithCells="1" sizeWithCells="1">
                  <from>
                    <xdr:col>22</xdr:col>
                    <xdr:colOff>0</xdr:colOff>
                    <xdr:row>79</xdr:row>
                    <xdr:rowOff>0</xdr:rowOff>
                  </from>
                  <to>
                    <xdr:col>22</xdr:col>
                    <xdr:colOff>180975</xdr:colOff>
                    <xdr:row>79</xdr:row>
                    <xdr:rowOff>180975</xdr:rowOff>
                  </to>
                </anchor>
              </controlPr>
            </control>
          </mc:Choice>
        </mc:AlternateContent>
        <mc:AlternateContent xmlns:mc="http://schemas.openxmlformats.org/markup-compatibility/2006">
          <mc:Choice Requires="x14">
            <control shapeId="5139" r:id="rId13" name="Check Box 19">
              <controlPr locked="0" defaultSize="0" autoFill="0" autoLine="0" autoPict="0">
                <anchor moveWithCells="1" sizeWithCells="1">
                  <from>
                    <xdr:col>22</xdr:col>
                    <xdr:colOff>0</xdr:colOff>
                    <xdr:row>80</xdr:row>
                    <xdr:rowOff>0</xdr:rowOff>
                  </from>
                  <to>
                    <xdr:col>22</xdr:col>
                    <xdr:colOff>180975</xdr:colOff>
                    <xdr:row>80</xdr:row>
                    <xdr:rowOff>180975</xdr:rowOff>
                  </to>
                </anchor>
              </controlPr>
            </control>
          </mc:Choice>
        </mc:AlternateContent>
        <mc:AlternateContent xmlns:mc="http://schemas.openxmlformats.org/markup-compatibility/2006">
          <mc:Choice Requires="x14">
            <control shapeId="5146" r:id="rId14" name="Check Box 26">
              <controlPr locked="0" defaultSize="0" autoFill="0" autoLine="0" autoPict="0">
                <anchor moveWithCells="1" sizeWithCells="1">
                  <from>
                    <xdr:col>22</xdr:col>
                    <xdr:colOff>0</xdr:colOff>
                    <xdr:row>120</xdr:row>
                    <xdr:rowOff>0</xdr:rowOff>
                  </from>
                  <to>
                    <xdr:col>22</xdr:col>
                    <xdr:colOff>180975</xdr:colOff>
                    <xdr:row>120</xdr:row>
                    <xdr:rowOff>180975</xdr:rowOff>
                  </to>
                </anchor>
              </controlPr>
            </control>
          </mc:Choice>
        </mc:AlternateContent>
        <mc:AlternateContent xmlns:mc="http://schemas.openxmlformats.org/markup-compatibility/2006">
          <mc:Choice Requires="x14">
            <control shapeId="5148" r:id="rId15" name="Check Box 28">
              <controlPr locked="0" defaultSize="0" autoFill="0" autoLine="0" autoPict="0">
                <anchor moveWithCells="1" sizeWithCells="1">
                  <from>
                    <xdr:col>22</xdr:col>
                    <xdr:colOff>0</xdr:colOff>
                    <xdr:row>123</xdr:row>
                    <xdr:rowOff>0</xdr:rowOff>
                  </from>
                  <to>
                    <xdr:col>22</xdr:col>
                    <xdr:colOff>180975</xdr:colOff>
                    <xdr:row>123</xdr:row>
                    <xdr:rowOff>180975</xdr:rowOff>
                  </to>
                </anchor>
              </controlPr>
            </control>
          </mc:Choice>
        </mc:AlternateContent>
        <mc:AlternateContent xmlns:mc="http://schemas.openxmlformats.org/markup-compatibility/2006">
          <mc:Choice Requires="x14">
            <control shapeId="5150" r:id="rId16" name="Check Box 30">
              <controlPr locked="0" defaultSize="0" autoFill="0" autoLine="0" autoPict="0">
                <anchor moveWithCells="1" sizeWithCells="1">
                  <from>
                    <xdr:col>22</xdr:col>
                    <xdr:colOff>0</xdr:colOff>
                    <xdr:row>172</xdr:row>
                    <xdr:rowOff>0</xdr:rowOff>
                  </from>
                  <to>
                    <xdr:col>22</xdr:col>
                    <xdr:colOff>180975</xdr:colOff>
                    <xdr:row>172</xdr:row>
                    <xdr:rowOff>180975</xdr:rowOff>
                  </to>
                </anchor>
              </controlPr>
            </control>
          </mc:Choice>
        </mc:AlternateContent>
        <mc:AlternateContent xmlns:mc="http://schemas.openxmlformats.org/markup-compatibility/2006">
          <mc:Choice Requires="x14">
            <control shapeId="5152" r:id="rId17" name="Check Box 32">
              <controlPr locked="0" defaultSize="0" autoFill="0" autoLine="0" autoPict="0">
                <anchor moveWithCells="1" sizeWithCells="1">
                  <from>
                    <xdr:col>22</xdr:col>
                    <xdr:colOff>0</xdr:colOff>
                    <xdr:row>195</xdr:row>
                    <xdr:rowOff>0</xdr:rowOff>
                  </from>
                  <to>
                    <xdr:col>22</xdr:col>
                    <xdr:colOff>180975</xdr:colOff>
                    <xdr:row>195</xdr:row>
                    <xdr:rowOff>180975</xdr:rowOff>
                  </to>
                </anchor>
              </controlPr>
            </control>
          </mc:Choice>
        </mc:AlternateContent>
        <mc:AlternateContent xmlns:mc="http://schemas.openxmlformats.org/markup-compatibility/2006">
          <mc:Choice Requires="x14">
            <control shapeId="5153" r:id="rId18" name="Check Box 33">
              <controlPr locked="0" defaultSize="0" autoFill="0" autoLine="0" autoPict="0">
                <anchor moveWithCells="1" sizeWithCells="1">
                  <from>
                    <xdr:col>22</xdr:col>
                    <xdr:colOff>0</xdr:colOff>
                    <xdr:row>210</xdr:row>
                    <xdr:rowOff>0</xdr:rowOff>
                  </from>
                  <to>
                    <xdr:col>22</xdr:col>
                    <xdr:colOff>180975</xdr:colOff>
                    <xdr:row>210</xdr:row>
                    <xdr:rowOff>180975</xdr:rowOff>
                  </to>
                </anchor>
              </controlPr>
            </control>
          </mc:Choice>
        </mc:AlternateContent>
        <mc:AlternateContent xmlns:mc="http://schemas.openxmlformats.org/markup-compatibility/2006">
          <mc:Choice Requires="x14">
            <control shapeId="5156" r:id="rId19" name="Check Box 36">
              <controlPr locked="0" defaultSize="0" autoFill="0" autoLine="0" autoPict="0">
                <anchor moveWithCells="1" sizeWithCells="1">
                  <from>
                    <xdr:col>22</xdr:col>
                    <xdr:colOff>0</xdr:colOff>
                    <xdr:row>219</xdr:row>
                    <xdr:rowOff>0</xdr:rowOff>
                  </from>
                  <to>
                    <xdr:col>22</xdr:col>
                    <xdr:colOff>180975</xdr:colOff>
                    <xdr:row>219</xdr:row>
                    <xdr:rowOff>180975</xdr:rowOff>
                  </to>
                </anchor>
              </controlPr>
            </control>
          </mc:Choice>
        </mc:AlternateContent>
        <mc:AlternateContent xmlns:mc="http://schemas.openxmlformats.org/markup-compatibility/2006">
          <mc:Choice Requires="x14">
            <control shapeId="5158" r:id="rId20" name="Check Box 38">
              <controlPr locked="0" defaultSize="0" autoFill="0" autoLine="0" autoPict="0">
                <anchor moveWithCells="1" sizeWithCells="1">
                  <from>
                    <xdr:col>22</xdr:col>
                    <xdr:colOff>0</xdr:colOff>
                    <xdr:row>228</xdr:row>
                    <xdr:rowOff>0</xdr:rowOff>
                  </from>
                  <to>
                    <xdr:col>22</xdr:col>
                    <xdr:colOff>180975</xdr:colOff>
                    <xdr:row>228</xdr:row>
                    <xdr:rowOff>180975</xdr:rowOff>
                  </to>
                </anchor>
              </controlPr>
            </control>
          </mc:Choice>
        </mc:AlternateContent>
        <mc:AlternateContent xmlns:mc="http://schemas.openxmlformats.org/markup-compatibility/2006">
          <mc:Choice Requires="x14">
            <control shapeId="5161" r:id="rId21" name="Check Box 41">
              <controlPr locked="0" defaultSize="0" autoFill="0" autoLine="0" autoPict="0">
                <anchor moveWithCells="1" sizeWithCells="1">
                  <from>
                    <xdr:col>22</xdr:col>
                    <xdr:colOff>0</xdr:colOff>
                    <xdr:row>665</xdr:row>
                    <xdr:rowOff>0</xdr:rowOff>
                  </from>
                  <to>
                    <xdr:col>22</xdr:col>
                    <xdr:colOff>180975</xdr:colOff>
                    <xdr:row>665</xdr:row>
                    <xdr:rowOff>180975</xdr:rowOff>
                  </to>
                </anchor>
              </controlPr>
            </control>
          </mc:Choice>
        </mc:AlternateContent>
        <mc:AlternateContent xmlns:mc="http://schemas.openxmlformats.org/markup-compatibility/2006">
          <mc:Choice Requires="x14">
            <control shapeId="5162" r:id="rId22" name="Check Box 42">
              <controlPr locked="0" defaultSize="0" autoFill="0" autoLine="0" autoPict="0">
                <anchor moveWithCells="1" sizeWithCells="1">
                  <from>
                    <xdr:col>22</xdr:col>
                    <xdr:colOff>0</xdr:colOff>
                    <xdr:row>666</xdr:row>
                    <xdr:rowOff>0</xdr:rowOff>
                  </from>
                  <to>
                    <xdr:col>22</xdr:col>
                    <xdr:colOff>180975</xdr:colOff>
                    <xdr:row>666</xdr:row>
                    <xdr:rowOff>180975</xdr:rowOff>
                  </to>
                </anchor>
              </controlPr>
            </control>
          </mc:Choice>
        </mc:AlternateContent>
        <mc:AlternateContent xmlns:mc="http://schemas.openxmlformats.org/markup-compatibility/2006">
          <mc:Choice Requires="x14">
            <control shapeId="5163" r:id="rId23" name="Check Box 43">
              <controlPr locked="0" defaultSize="0" autoFill="0" autoLine="0" autoPict="0">
                <anchor moveWithCells="1" sizeWithCells="1">
                  <from>
                    <xdr:col>22</xdr:col>
                    <xdr:colOff>0</xdr:colOff>
                    <xdr:row>667</xdr:row>
                    <xdr:rowOff>0</xdr:rowOff>
                  </from>
                  <to>
                    <xdr:col>22</xdr:col>
                    <xdr:colOff>180975</xdr:colOff>
                    <xdr:row>667</xdr:row>
                    <xdr:rowOff>180975</xdr:rowOff>
                  </to>
                </anchor>
              </controlPr>
            </control>
          </mc:Choice>
        </mc:AlternateContent>
        <mc:AlternateContent xmlns:mc="http://schemas.openxmlformats.org/markup-compatibility/2006">
          <mc:Choice Requires="x14">
            <control shapeId="5164" r:id="rId24" name="Check Box 44">
              <controlPr locked="0" defaultSize="0" autoFill="0" autoLine="0" autoPict="0">
                <anchor moveWithCells="1" sizeWithCells="1">
                  <from>
                    <xdr:col>22</xdr:col>
                    <xdr:colOff>0</xdr:colOff>
                    <xdr:row>668</xdr:row>
                    <xdr:rowOff>0</xdr:rowOff>
                  </from>
                  <to>
                    <xdr:col>22</xdr:col>
                    <xdr:colOff>180975</xdr:colOff>
                    <xdr:row>668</xdr:row>
                    <xdr:rowOff>180975</xdr:rowOff>
                  </to>
                </anchor>
              </controlPr>
            </control>
          </mc:Choice>
        </mc:AlternateContent>
        <mc:AlternateContent xmlns:mc="http://schemas.openxmlformats.org/markup-compatibility/2006">
          <mc:Choice Requires="x14">
            <control shapeId="5165" r:id="rId25" name="Check Box 45">
              <controlPr locked="0" defaultSize="0" autoFill="0" autoLine="0" autoPict="0">
                <anchor moveWithCells="1" sizeWithCells="1">
                  <from>
                    <xdr:col>22</xdr:col>
                    <xdr:colOff>0</xdr:colOff>
                    <xdr:row>670</xdr:row>
                    <xdr:rowOff>0</xdr:rowOff>
                  </from>
                  <to>
                    <xdr:col>22</xdr:col>
                    <xdr:colOff>180975</xdr:colOff>
                    <xdr:row>670</xdr:row>
                    <xdr:rowOff>180975</xdr:rowOff>
                  </to>
                </anchor>
              </controlPr>
            </control>
          </mc:Choice>
        </mc:AlternateContent>
        <mc:AlternateContent xmlns:mc="http://schemas.openxmlformats.org/markup-compatibility/2006">
          <mc:Choice Requires="x14">
            <control shapeId="5166" r:id="rId26" name="Check Box 46">
              <controlPr locked="0" defaultSize="0" autoFill="0" autoLine="0" autoPict="0">
                <anchor moveWithCells="1" sizeWithCells="1">
                  <from>
                    <xdr:col>22</xdr:col>
                    <xdr:colOff>0</xdr:colOff>
                    <xdr:row>673</xdr:row>
                    <xdr:rowOff>0</xdr:rowOff>
                  </from>
                  <to>
                    <xdr:col>22</xdr:col>
                    <xdr:colOff>180975</xdr:colOff>
                    <xdr:row>673</xdr:row>
                    <xdr:rowOff>180975</xdr:rowOff>
                  </to>
                </anchor>
              </controlPr>
            </control>
          </mc:Choice>
        </mc:AlternateContent>
        <mc:AlternateContent xmlns:mc="http://schemas.openxmlformats.org/markup-compatibility/2006">
          <mc:Choice Requires="x14">
            <control shapeId="5168" r:id="rId27" name="Check Box 48">
              <controlPr locked="0" defaultSize="0" autoFill="0" autoLine="0" autoPict="0">
                <anchor moveWithCells="1" sizeWithCells="1">
                  <from>
                    <xdr:col>22</xdr:col>
                    <xdr:colOff>0</xdr:colOff>
                    <xdr:row>693</xdr:row>
                    <xdr:rowOff>0</xdr:rowOff>
                  </from>
                  <to>
                    <xdr:col>22</xdr:col>
                    <xdr:colOff>180975</xdr:colOff>
                    <xdr:row>693</xdr:row>
                    <xdr:rowOff>180975</xdr:rowOff>
                  </to>
                </anchor>
              </controlPr>
            </control>
          </mc:Choice>
        </mc:AlternateContent>
        <mc:AlternateContent xmlns:mc="http://schemas.openxmlformats.org/markup-compatibility/2006">
          <mc:Choice Requires="x14">
            <control shapeId="5169" r:id="rId28" name="Check Box 49">
              <controlPr locked="0" defaultSize="0" autoFill="0" autoLine="0" autoPict="0">
                <anchor moveWithCells="1" sizeWithCells="1">
                  <from>
                    <xdr:col>22</xdr:col>
                    <xdr:colOff>0</xdr:colOff>
                    <xdr:row>694</xdr:row>
                    <xdr:rowOff>0</xdr:rowOff>
                  </from>
                  <to>
                    <xdr:col>22</xdr:col>
                    <xdr:colOff>180975</xdr:colOff>
                    <xdr:row>694</xdr:row>
                    <xdr:rowOff>180975</xdr:rowOff>
                  </to>
                </anchor>
              </controlPr>
            </control>
          </mc:Choice>
        </mc:AlternateContent>
        <mc:AlternateContent xmlns:mc="http://schemas.openxmlformats.org/markup-compatibility/2006">
          <mc:Choice Requires="x14">
            <control shapeId="5170" r:id="rId29" name="Check Box 50">
              <controlPr locked="0" defaultSize="0" autoFill="0" autoLine="0" autoPict="0">
                <anchor moveWithCells="1" sizeWithCells="1">
                  <from>
                    <xdr:col>22</xdr:col>
                    <xdr:colOff>0</xdr:colOff>
                    <xdr:row>695</xdr:row>
                    <xdr:rowOff>0</xdr:rowOff>
                  </from>
                  <to>
                    <xdr:col>22</xdr:col>
                    <xdr:colOff>180975</xdr:colOff>
                    <xdr:row>695</xdr:row>
                    <xdr:rowOff>180975</xdr:rowOff>
                  </to>
                </anchor>
              </controlPr>
            </control>
          </mc:Choice>
        </mc:AlternateContent>
        <mc:AlternateContent xmlns:mc="http://schemas.openxmlformats.org/markup-compatibility/2006">
          <mc:Choice Requires="x14">
            <control shapeId="5171" r:id="rId30" name="Check Box 51">
              <controlPr locked="0" defaultSize="0" autoFill="0" autoLine="0" autoPict="0">
                <anchor moveWithCells="1" sizeWithCells="1">
                  <from>
                    <xdr:col>22</xdr:col>
                    <xdr:colOff>0</xdr:colOff>
                    <xdr:row>696</xdr:row>
                    <xdr:rowOff>0</xdr:rowOff>
                  </from>
                  <to>
                    <xdr:col>22</xdr:col>
                    <xdr:colOff>180975</xdr:colOff>
                    <xdr:row>696</xdr:row>
                    <xdr:rowOff>180975</xdr:rowOff>
                  </to>
                </anchor>
              </controlPr>
            </control>
          </mc:Choice>
        </mc:AlternateContent>
        <mc:AlternateContent xmlns:mc="http://schemas.openxmlformats.org/markup-compatibility/2006">
          <mc:Choice Requires="x14">
            <control shapeId="5172" r:id="rId31" name="Check Box 52">
              <controlPr locked="0" defaultSize="0" autoFill="0" autoLine="0" autoPict="0">
                <anchor moveWithCells="1" sizeWithCells="1">
                  <from>
                    <xdr:col>22</xdr:col>
                    <xdr:colOff>0</xdr:colOff>
                    <xdr:row>697</xdr:row>
                    <xdr:rowOff>0</xdr:rowOff>
                  </from>
                  <to>
                    <xdr:col>22</xdr:col>
                    <xdr:colOff>180975</xdr:colOff>
                    <xdr:row>697</xdr:row>
                    <xdr:rowOff>180975</xdr:rowOff>
                  </to>
                </anchor>
              </controlPr>
            </control>
          </mc:Choice>
        </mc:AlternateContent>
        <mc:AlternateContent xmlns:mc="http://schemas.openxmlformats.org/markup-compatibility/2006">
          <mc:Choice Requires="x14">
            <control shapeId="5173" r:id="rId32" name="Check Box 53">
              <controlPr locked="0" defaultSize="0" autoFill="0" autoLine="0" autoPict="0">
                <anchor moveWithCells="1" sizeWithCells="1">
                  <from>
                    <xdr:col>22</xdr:col>
                    <xdr:colOff>0</xdr:colOff>
                    <xdr:row>698</xdr:row>
                    <xdr:rowOff>0</xdr:rowOff>
                  </from>
                  <to>
                    <xdr:col>22</xdr:col>
                    <xdr:colOff>180975</xdr:colOff>
                    <xdr:row>698</xdr:row>
                    <xdr:rowOff>180975</xdr:rowOff>
                  </to>
                </anchor>
              </controlPr>
            </control>
          </mc:Choice>
        </mc:AlternateContent>
        <mc:AlternateContent xmlns:mc="http://schemas.openxmlformats.org/markup-compatibility/2006">
          <mc:Choice Requires="x14">
            <control shapeId="5174" r:id="rId33" name="Check Box 54">
              <controlPr locked="0" defaultSize="0" autoFill="0" autoLine="0" autoPict="0">
                <anchor moveWithCells="1" sizeWithCells="1">
                  <from>
                    <xdr:col>22</xdr:col>
                    <xdr:colOff>0</xdr:colOff>
                    <xdr:row>699</xdr:row>
                    <xdr:rowOff>0</xdr:rowOff>
                  </from>
                  <to>
                    <xdr:col>22</xdr:col>
                    <xdr:colOff>180975</xdr:colOff>
                    <xdr:row>699</xdr:row>
                    <xdr:rowOff>180975</xdr:rowOff>
                  </to>
                </anchor>
              </controlPr>
            </control>
          </mc:Choice>
        </mc:AlternateContent>
        <mc:AlternateContent xmlns:mc="http://schemas.openxmlformats.org/markup-compatibility/2006">
          <mc:Choice Requires="x14">
            <control shapeId="5175" r:id="rId34" name="Check Box 55">
              <controlPr locked="0" defaultSize="0" autoFill="0" autoLine="0" autoPict="0">
                <anchor moveWithCells="1" sizeWithCells="1">
                  <from>
                    <xdr:col>22</xdr:col>
                    <xdr:colOff>0</xdr:colOff>
                    <xdr:row>700</xdr:row>
                    <xdr:rowOff>0</xdr:rowOff>
                  </from>
                  <to>
                    <xdr:col>22</xdr:col>
                    <xdr:colOff>180975</xdr:colOff>
                    <xdr:row>700</xdr:row>
                    <xdr:rowOff>180975</xdr:rowOff>
                  </to>
                </anchor>
              </controlPr>
            </control>
          </mc:Choice>
        </mc:AlternateContent>
        <mc:AlternateContent xmlns:mc="http://schemas.openxmlformats.org/markup-compatibility/2006">
          <mc:Choice Requires="x14">
            <control shapeId="5177" r:id="rId35" name="Check Box 57">
              <controlPr locked="0" defaultSize="0" autoFill="0" autoLine="0" autoPict="0">
                <anchor moveWithCells="1" sizeWithCells="1">
                  <from>
                    <xdr:col>22</xdr:col>
                    <xdr:colOff>0</xdr:colOff>
                    <xdr:row>703</xdr:row>
                    <xdr:rowOff>0</xdr:rowOff>
                  </from>
                  <to>
                    <xdr:col>22</xdr:col>
                    <xdr:colOff>180975</xdr:colOff>
                    <xdr:row>703</xdr:row>
                    <xdr:rowOff>180975</xdr:rowOff>
                  </to>
                </anchor>
              </controlPr>
            </control>
          </mc:Choice>
        </mc:AlternateContent>
        <mc:AlternateContent xmlns:mc="http://schemas.openxmlformats.org/markup-compatibility/2006">
          <mc:Choice Requires="x14">
            <control shapeId="5178" r:id="rId36" name="Check Box 58">
              <controlPr locked="0" defaultSize="0" autoFill="0" autoLine="0" autoPict="0">
                <anchor moveWithCells="1" sizeWithCells="1">
                  <from>
                    <xdr:col>22</xdr:col>
                    <xdr:colOff>0</xdr:colOff>
                    <xdr:row>705</xdr:row>
                    <xdr:rowOff>0</xdr:rowOff>
                  </from>
                  <to>
                    <xdr:col>22</xdr:col>
                    <xdr:colOff>180975</xdr:colOff>
                    <xdr:row>705</xdr:row>
                    <xdr:rowOff>180975</xdr:rowOff>
                  </to>
                </anchor>
              </controlPr>
            </control>
          </mc:Choice>
        </mc:AlternateContent>
        <mc:AlternateContent xmlns:mc="http://schemas.openxmlformats.org/markup-compatibility/2006">
          <mc:Choice Requires="x14">
            <control shapeId="5179" r:id="rId37" name="Check Box 59">
              <controlPr locked="0" defaultSize="0" autoFill="0" autoLine="0" autoPict="0">
                <anchor moveWithCells="1" sizeWithCells="1">
                  <from>
                    <xdr:col>22</xdr:col>
                    <xdr:colOff>0</xdr:colOff>
                    <xdr:row>707</xdr:row>
                    <xdr:rowOff>0</xdr:rowOff>
                  </from>
                  <to>
                    <xdr:col>22</xdr:col>
                    <xdr:colOff>180975</xdr:colOff>
                    <xdr:row>707</xdr:row>
                    <xdr:rowOff>180975</xdr:rowOff>
                  </to>
                </anchor>
              </controlPr>
            </control>
          </mc:Choice>
        </mc:AlternateContent>
        <mc:AlternateContent xmlns:mc="http://schemas.openxmlformats.org/markup-compatibility/2006">
          <mc:Choice Requires="x14">
            <control shapeId="5181" r:id="rId38" name="Check Box 61">
              <controlPr locked="0" defaultSize="0" autoFill="0" autoLine="0" autoPict="0">
                <anchor moveWithCells="1" sizeWithCells="1">
                  <from>
                    <xdr:col>22</xdr:col>
                    <xdr:colOff>0</xdr:colOff>
                    <xdr:row>724</xdr:row>
                    <xdr:rowOff>0</xdr:rowOff>
                  </from>
                  <to>
                    <xdr:col>22</xdr:col>
                    <xdr:colOff>180975</xdr:colOff>
                    <xdr:row>724</xdr:row>
                    <xdr:rowOff>180975</xdr:rowOff>
                  </to>
                </anchor>
              </controlPr>
            </control>
          </mc:Choice>
        </mc:AlternateContent>
        <mc:AlternateContent xmlns:mc="http://schemas.openxmlformats.org/markup-compatibility/2006">
          <mc:Choice Requires="x14">
            <control shapeId="5182" r:id="rId39" name="Check Box 62">
              <controlPr locked="0" defaultSize="0" autoFill="0" autoLine="0" autoPict="0">
                <anchor moveWithCells="1" sizeWithCells="1">
                  <from>
                    <xdr:col>22</xdr:col>
                    <xdr:colOff>0</xdr:colOff>
                    <xdr:row>732</xdr:row>
                    <xdr:rowOff>0</xdr:rowOff>
                  </from>
                  <to>
                    <xdr:col>22</xdr:col>
                    <xdr:colOff>180975</xdr:colOff>
                    <xdr:row>732</xdr:row>
                    <xdr:rowOff>180975</xdr:rowOff>
                  </to>
                </anchor>
              </controlPr>
            </control>
          </mc:Choice>
        </mc:AlternateContent>
        <mc:AlternateContent xmlns:mc="http://schemas.openxmlformats.org/markup-compatibility/2006">
          <mc:Choice Requires="x14">
            <control shapeId="5185" r:id="rId40" name="Check Box 65">
              <controlPr locked="0" defaultSize="0" autoFill="0" autoLine="0" autoPict="0">
                <anchor moveWithCells="1" sizeWithCells="1">
                  <from>
                    <xdr:col>22</xdr:col>
                    <xdr:colOff>0</xdr:colOff>
                    <xdr:row>728</xdr:row>
                    <xdr:rowOff>0</xdr:rowOff>
                  </from>
                  <to>
                    <xdr:col>22</xdr:col>
                    <xdr:colOff>180975</xdr:colOff>
                    <xdr:row>728</xdr:row>
                    <xdr:rowOff>180975</xdr:rowOff>
                  </to>
                </anchor>
              </controlPr>
            </control>
          </mc:Choice>
        </mc:AlternateContent>
        <mc:AlternateContent xmlns:mc="http://schemas.openxmlformats.org/markup-compatibility/2006">
          <mc:Choice Requires="x14">
            <control shapeId="5186" r:id="rId41" name="Check Box 66">
              <controlPr locked="0" defaultSize="0" autoFill="0" autoLine="0" autoPict="0">
                <anchor moveWithCells="1" sizeWithCells="1">
                  <from>
                    <xdr:col>22</xdr:col>
                    <xdr:colOff>0</xdr:colOff>
                    <xdr:row>729</xdr:row>
                    <xdr:rowOff>0</xdr:rowOff>
                  </from>
                  <to>
                    <xdr:col>22</xdr:col>
                    <xdr:colOff>180975</xdr:colOff>
                    <xdr:row>729</xdr:row>
                    <xdr:rowOff>180975</xdr:rowOff>
                  </to>
                </anchor>
              </controlPr>
            </control>
          </mc:Choice>
        </mc:AlternateContent>
        <mc:AlternateContent xmlns:mc="http://schemas.openxmlformats.org/markup-compatibility/2006">
          <mc:Choice Requires="x14">
            <control shapeId="5187" r:id="rId42" name="Check Box 67">
              <controlPr locked="0" defaultSize="0" autoFill="0" autoLine="0" autoPict="0">
                <anchor moveWithCells="1" sizeWithCells="1">
                  <from>
                    <xdr:col>22</xdr:col>
                    <xdr:colOff>0</xdr:colOff>
                    <xdr:row>740</xdr:row>
                    <xdr:rowOff>0</xdr:rowOff>
                  </from>
                  <to>
                    <xdr:col>22</xdr:col>
                    <xdr:colOff>180975</xdr:colOff>
                    <xdr:row>740</xdr:row>
                    <xdr:rowOff>180975</xdr:rowOff>
                  </to>
                </anchor>
              </controlPr>
            </control>
          </mc:Choice>
        </mc:AlternateContent>
        <mc:AlternateContent xmlns:mc="http://schemas.openxmlformats.org/markup-compatibility/2006">
          <mc:Choice Requires="x14">
            <control shapeId="5190" r:id="rId43" name="Check Box 70">
              <controlPr locked="0" defaultSize="0" autoFill="0" autoLine="0" autoPict="0">
                <anchor moveWithCells="1" sizeWithCells="1">
                  <from>
                    <xdr:col>22</xdr:col>
                    <xdr:colOff>0</xdr:colOff>
                    <xdr:row>560</xdr:row>
                    <xdr:rowOff>0</xdr:rowOff>
                  </from>
                  <to>
                    <xdr:col>22</xdr:col>
                    <xdr:colOff>180975</xdr:colOff>
                    <xdr:row>560</xdr:row>
                    <xdr:rowOff>180975</xdr:rowOff>
                  </to>
                </anchor>
              </controlPr>
            </control>
          </mc:Choice>
        </mc:AlternateContent>
        <mc:AlternateContent xmlns:mc="http://schemas.openxmlformats.org/markup-compatibility/2006">
          <mc:Choice Requires="x14">
            <control shapeId="5192" r:id="rId44" name="Check Box 72">
              <controlPr locked="0" defaultSize="0" autoFill="0" autoLine="0" autoPict="0">
                <anchor moveWithCells="1" sizeWithCells="1">
                  <from>
                    <xdr:col>22</xdr:col>
                    <xdr:colOff>0</xdr:colOff>
                    <xdr:row>577</xdr:row>
                    <xdr:rowOff>0</xdr:rowOff>
                  </from>
                  <to>
                    <xdr:col>22</xdr:col>
                    <xdr:colOff>180975</xdr:colOff>
                    <xdr:row>577</xdr:row>
                    <xdr:rowOff>180975</xdr:rowOff>
                  </to>
                </anchor>
              </controlPr>
            </control>
          </mc:Choice>
        </mc:AlternateContent>
        <mc:AlternateContent xmlns:mc="http://schemas.openxmlformats.org/markup-compatibility/2006">
          <mc:Choice Requires="x14">
            <control shapeId="5193" r:id="rId45" name="Check Box 73">
              <controlPr locked="0" defaultSize="0" autoFill="0" autoLine="0" autoPict="0">
                <anchor moveWithCells="1" sizeWithCells="1">
                  <from>
                    <xdr:col>22</xdr:col>
                    <xdr:colOff>0</xdr:colOff>
                    <xdr:row>580</xdr:row>
                    <xdr:rowOff>0</xdr:rowOff>
                  </from>
                  <to>
                    <xdr:col>22</xdr:col>
                    <xdr:colOff>180975</xdr:colOff>
                    <xdr:row>580</xdr:row>
                    <xdr:rowOff>180975</xdr:rowOff>
                  </to>
                </anchor>
              </controlPr>
            </control>
          </mc:Choice>
        </mc:AlternateContent>
        <mc:AlternateContent xmlns:mc="http://schemas.openxmlformats.org/markup-compatibility/2006">
          <mc:Choice Requires="x14">
            <control shapeId="5195" r:id="rId46" name="Check Box 75">
              <controlPr locked="0" defaultSize="0" autoFill="0" autoLine="0" autoPict="0">
                <anchor moveWithCells="1" sizeWithCells="1">
                  <from>
                    <xdr:col>22</xdr:col>
                    <xdr:colOff>0</xdr:colOff>
                    <xdr:row>585</xdr:row>
                    <xdr:rowOff>0</xdr:rowOff>
                  </from>
                  <to>
                    <xdr:col>22</xdr:col>
                    <xdr:colOff>180975</xdr:colOff>
                    <xdr:row>585</xdr:row>
                    <xdr:rowOff>180975</xdr:rowOff>
                  </to>
                </anchor>
              </controlPr>
            </control>
          </mc:Choice>
        </mc:AlternateContent>
        <mc:AlternateContent xmlns:mc="http://schemas.openxmlformats.org/markup-compatibility/2006">
          <mc:Choice Requires="x14">
            <control shapeId="5196" r:id="rId47" name="Check Box 76">
              <controlPr locked="0" defaultSize="0" autoFill="0" autoLine="0" autoPict="0">
                <anchor moveWithCells="1" sizeWithCells="1">
                  <from>
                    <xdr:col>22</xdr:col>
                    <xdr:colOff>0</xdr:colOff>
                    <xdr:row>586</xdr:row>
                    <xdr:rowOff>0</xdr:rowOff>
                  </from>
                  <to>
                    <xdr:col>22</xdr:col>
                    <xdr:colOff>180975</xdr:colOff>
                    <xdr:row>586</xdr:row>
                    <xdr:rowOff>180975</xdr:rowOff>
                  </to>
                </anchor>
              </controlPr>
            </control>
          </mc:Choice>
        </mc:AlternateContent>
        <mc:AlternateContent xmlns:mc="http://schemas.openxmlformats.org/markup-compatibility/2006">
          <mc:Choice Requires="x14">
            <control shapeId="5198" r:id="rId48" name="Check Box 78">
              <controlPr locked="0" defaultSize="0" autoFill="0" autoLine="0" autoPict="0">
                <anchor moveWithCells="1" sizeWithCells="1">
                  <from>
                    <xdr:col>22</xdr:col>
                    <xdr:colOff>0</xdr:colOff>
                    <xdr:row>596</xdr:row>
                    <xdr:rowOff>0</xdr:rowOff>
                  </from>
                  <to>
                    <xdr:col>22</xdr:col>
                    <xdr:colOff>180975</xdr:colOff>
                    <xdr:row>596</xdr:row>
                    <xdr:rowOff>180975</xdr:rowOff>
                  </to>
                </anchor>
              </controlPr>
            </control>
          </mc:Choice>
        </mc:AlternateContent>
        <mc:AlternateContent xmlns:mc="http://schemas.openxmlformats.org/markup-compatibility/2006">
          <mc:Choice Requires="x14">
            <control shapeId="5201" r:id="rId49" name="Check Box 81">
              <controlPr locked="0" defaultSize="0" autoFill="0" autoLine="0" autoPict="0">
                <anchor moveWithCells="1" sizeWithCells="1">
                  <from>
                    <xdr:col>22</xdr:col>
                    <xdr:colOff>0</xdr:colOff>
                    <xdr:row>625</xdr:row>
                    <xdr:rowOff>0</xdr:rowOff>
                  </from>
                  <to>
                    <xdr:col>22</xdr:col>
                    <xdr:colOff>180975</xdr:colOff>
                    <xdr:row>625</xdr:row>
                    <xdr:rowOff>180975</xdr:rowOff>
                  </to>
                </anchor>
              </controlPr>
            </control>
          </mc:Choice>
        </mc:AlternateContent>
        <mc:AlternateContent xmlns:mc="http://schemas.openxmlformats.org/markup-compatibility/2006">
          <mc:Choice Requires="x14">
            <control shapeId="5205" r:id="rId50" name="Check Box 85">
              <controlPr locked="0" defaultSize="0" autoFill="0" autoLine="0" autoPict="0">
                <anchor moveWithCells="1" sizeWithCells="1">
                  <from>
                    <xdr:col>22</xdr:col>
                    <xdr:colOff>0</xdr:colOff>
                    <xdr:row>642</xdr:row>
                    <xdr:rowOff>0</xdr:rowOff>
                  </from>
                  <to>
                    <xdr:col>22</xdr:col>
                    <xdr:colOff>180975</xdr:colOff>
                    <xdr:row>642</xdr:row>
                    <xdr:rowOff>180975</xdr:rowOff>
                  </to>
                </anchor>
              </controlPr>
            </control>
          </mc:Choice>
        </mc:AlternateContent>
        <mc:AlternateContent xmlns:mc="http://schemas.openxmlformats.org/markup-compatibility/2006">
          <mc:Choice Requires="x14">
            <control shapeId="5206" r:id="rId51" name="Check Box 86">
              <controlPr locked="0" defaultSize="0" autoFill="0" autoLine="0" autoPict="0">
                <anchor moveWithCells="1" sizeWithCells="1">
                  <from>
                    <xdr:col>22</xdr:col>
                    <xdr:colOff>0</xdr:colOff>
                    <xdr:row>654</xdr:row>
                    <xdr:rowOff>0</xdr:rowOff>
                  </from>
                  <to>
                    <xdr:col>22</xdr:col>
                    <xdr:colOff>180975</xdr:colOff>
                    <xdr:row>654</xdr:row>
                    <xdr:rowOff>180975</xdr:rowOff>
                  </to>
                </anchor>
              </controlPr>
            </control>
          </mc:Choice>
        </mc:AlternateContent>
        <mc:AlternateContent xmlns:mc="http://schemas.openxmlformats.org/markup-compatibility/2006">
          <mc:Choice Requires="x14">
            <control shapeId="5207" r:id="rId52" name="Check Box 87">
              <controlPr locked="0" defaultSize="0" autoFill="0" autoLine="0" autoPict="0">
                <anchor moveWithCells="1" sizeWithCells="1">
                  <from>
                    <xdr:col>22</xdr:col>
                    <xdr:colOff>0</xdr:colOff>
                    <xdr:row>656</xdr:row>
                    <xdr:rowOff>0</xdr:rowOff>
                  </from>
                  <to>
                    <xdr:col>22</xdr:col>
                    <xdr:colOff>180975</xdr:colOff>
                    <xdr:row>656</xdr:row>
                    <xdr:rowOff>180975</xdr:rowOff>
                  </to>
                </anchor>
              </controlPr>
            </control>
          </mc:Choice>
        </mc:AlternateContent>
        <mc:AlternateContent xmlns:mc="http://schemas.openxmlformats.org/markup-compatibility/2006">
          <mc:Choice Requires="x14">
            <control shapeId="5208" r:id="rId53" name="Check Box 88">
              <controlPr locked="0" defaultSize="0" autoFill="0" autoLine="0" autoPict="0">
                <anchor moveWithCells="1" sizeWithCells="1">
                  <from>
                    <xdr:col>22</xdr:col>
                    <xdr:colOff>0</xdr:colOff>
                    <xdr:row>658</xdr:row>
                    <xdr:rowOff>0</xdr:rowOff>
                  </from>
                  <to>
                    <xdr:col>22</xdr:col>
                    <xdr:colOff>180975</xdr:colOff>
                    <xdr:row>658</xdr:row>
                    <xdr:rowOff>180975</xdr:rowOff>
                  </to>
                </anchor>
              </controlPr>
            </control>
          </mc:Choice>
        </mc:AlternateContent>
        <mc:AlternateContent xmlns:mc="http://schemas.openxmlformats.org/markup-compatibility/2006">
          <mc:Choice Requires="x14">
            <control shapeId="5210" r:id="rId54" name="Check Box 90">
              <controlPr locked="0" defaultSize="0" autoFill="0" autoLine="0" autoPict="0">
                <anchor moveWithCells="1" sizeWithCells="1">
                  <from>
                    <xdr:col>22</xdr:col>
                    <xdr:colOff>0</xdr:colOff>
                    <xdr:row>459</xdr:row>
                    <xdr:rowOff>0</xdr:rowOff>
                  </from>
                  <to>
                    <xdr:col>22</xdr:col>
                    <xdr:colOff>180975</xdr:colOff>
                    <xdr:row>459</xdr:row>
                    <xdr:rowOff>180975</xdr:rowOff>
                  </to>
                </anchor>
              </controlPr>
            </control>
          </mc:Choice>
        </mc:AlternateContent>
        <mc:AlternateContent xmlns:mc="http://schemas.openxmlformats.org/markup-compatibility/2006">
          <mc:Choice Requires="x14">
            <control shapeId="5211" r:id="rId55" name="Check Box 91">
              <controlPr locked="0" defaultSize="0" autoFill="0" autoLine="0" autoPict="0">
                <anchor moveWithCells="1" sizeWithCells="1">
                  <from>
                    <xdr:col>22</xdr:col>
                    <xdr:colOff>0</xdr:colOff>
                    <xdr:row>454</xdr:row>
                    <xdr:rowOff>0</xdr:rowOff>
                  </from>
                  <to>
                    <xdr:col>22</xdr:col>
                    <xdr:colOff>180975</xdr:colOff>
                    <xdr:row>454</xdr:row>
                    <xdr:rowOff>180975</xdr:rowOff>
                  </to>
                </anchor>
              </controlPr>
            </control>
          </mc:Choice>
        </mc:AlternateContent>
        <mc:AlternateContent xmlns:mc="http://schemas.openxmlformats.org/markup-compatibility/2006">
          <mc:Choice Requires="x14">
            <control shapeId="5212" r:id="rId56" name="Check Box 92">
              <controlPr locked="0" defaultSize="0" autoFill="0" autoLine="0" autoPict="0">
                <anchor moveWithCells="1" sizeWithCells="1">
                  <from>
                    <xdr:col>22</xdr:col>
                    <xdr:colOff>0</xdr:colOff>
                    <xdr:row>455</xdr:row>
                    <xdr:rowOff>0</xdr:rowOff>
                  </from>
                  <to>
                    <xdr:col>22</xdr:col>
                    <xdr:colOff>180975</xdr:colOff>
                    <xdr:row>455</xdr:row>
                    <xdr:rowOff>180975</xdr:rowOff>
                  </to>
                </anchor>
              </controlPr>
            </control>
          </mc:Choice>
        </mc:AlternateContent>
        <mc:AlternateContent xmlns:mc="http://schemas.openxmlformats.org/markup-compatibility/2006">
          <mc:Choice Requires="x14">
            <control shapeId="5213" r:id="rId57" name="Check Box 93">
              <controlPr locked="0" defaultSize="0" autoFill="0" autoLine="0" autoPict="0">
                <anchor moveWithCells="1" sizeWithCells="1">
                  <from>
                    <xdr:col>22</xdr:col>
                    <xdr:colOff>0</xdr:colOff>
                    <xdr:row>456</xdr:row>
                    <xdr:rowOff>0</xdr:rowOff>
                  </from>
                  <to>
                    <xdr:col>22</xdr:col>
                    <xdr:colOff>180975</xdr:colOff>
                    <xdr:row>456</xdr:row>
                    <xdr:rowOff>180975</xdr:rowOff>
                  </to>
                </anchor>
              </controlPr>
            </control>
          </mc:Choice>
        </mc:AlternateContent>
        <mc:AlternateContent xmlns:mc="http://schemas.openxmlformats.org/markup-compatibility/2006">
          <mc:Choice Requires="x14">
            <control shapeId="5214" r:id="rId58" name="Check Box 94">
              <controlPr locked="0" defaultSize="0" autoFill="0" autoLine="0" autoPict="0">
                <anchor moveWithCells="1" sizeWithCells="1">
                  <from>
                    <xdr:col>22</xdr:col>
                    <xdr:colOff>0</xdr:colOff>
                    <xdr:row>486</xdr:row>
                    <xdr:rowOff>0</xdr:rowOff>
                  </from>
                  <to>
                    <xdr:col>22</xdr:col>
                    <xdr:colOff>180975</xdr:colOff>
                    <xdr:row>486</xdr:row>
                    <xdr:rowOff>180975</xdr:rowOff>
                  </to>
                </anchor>
              </controlPr>
            </control>
          </mc:Choice>
        </mc:AlternateContent>
        <mc:AlternateContent xmlns:mc="http://schemas.openxmlformats.org/markup-compatibility/2006">
          <mc:Choice Requires="x14">
            <control shapeId="5216" r:id="rId59" name="Check Box 96">
              <controlPr locked="0" defaultSize="0" autoFill="0" autoLine="0" autoPict="0">
                <anchor moveWithCells="1" sizeWithCells="1">
                  <from>
                    <xdr:col>22</xdr:col>
                    <xdr:colOff>0</xdr:colOff>
                    <xdr:row>494</xdr:row>
                    <xdr:rowOff>0</xdr:rowOff>
                  </from>
                  <to>
                    <xdr:col>22</xdr:col>
                    <xdr:colOff>180975</xdr:colOff>
                    <xdr:row>494</xdr:row>
                    <xdr:rowOff>180975</xdr:rowOff>
                  </to>
                </anchor>
              </controlPr>
            </control>
          </mc:Choice>
        </mc:AlternateContent>
        <mc:AlternateContent xmlns:mc="http://schemas.openxmlformats.org/markup-compatibility/2006">
          <mc:Choice Requires="x14">
            <control shapeId="5217" r:id="rId60" name="Check Box 97">
              <controlPr locked="0" defaultSize="0" autoFill="0" autoLine="0" autoPict="0">
                <anchor moveWithCells="1" sizeWithCells="1">
                  <from>
                    <xdr:col>22</xdr:col>
                    <xdr:colOff>0</xdr:colOff>
                    <xdr:row>496</xdr:row>
                    <xdr:rowOff>0</xdr:rowOff>
                  </from>
                  <to>
                    <xdr:col>22</xdr:col>
                    <xdr:colOff>180975</xdr:colOff>
                    <xdr:row>496</xdr:row>
                    <xdr:rowOff>180975</xdr:rowOff>
                  </to>
                </anchor>
              </controlPr>
            </control>
          </mc:Choice>
        </mc:AlternateContent>
        <mc:AlternateContent xmlns:mc="http://schemas.openxmlformats.org/markup-compatibility/2006">
          <mc:Choice Requires="x14">
            <control shapeId="5218" r:id="rId61" name="Check Box 98">
              <controlPr locked="0" defaultSize="0" autoFill="0" autoLine="0" autoPict="0">
                <anchor moveWithCells="1" sizeWithCells="1">
                  <from>
                    <xdr:col>22</xdr:col>
                    <xdr:colOff>0</xdr:colOff>
                    <xdr:row>497</xdr:row>
                    <xdr:rowOff>0</xdr:rowOff>
                  </from>
                  <to>
                    <xdr:col>22</xdr:col>
                    <xdr:colOff>180975</xdr:colOff>
                    <xdr:row>497</xdr:row>
                    <xdr:rowOff>180975</xdr:rowOff>
                  </to>
                </anchor>
              </controlPr>
            </control>
          </mc:Choice>
        </mc:AlternateContent>
        <mc:AlternateContent xmlns:mc="http://schemas.openxmlformats.org/markup-compatibility/2006">
          <mc:Choice Requires="x14">
            <control shapeId="5219" r:id="rId62" name="Check Box 99">
              <controlPr locked="0" defaultSize="0" autoFill="0" autoLine="0" autoPict="0">
                <anchor moveWithCells="1" sizeWithCells="1">
                  <from>
                    <xdr:col>22</xdr:col>
                    <xdr:colOff>0</xdr:colOff>
                    <xdr:row>498</xdr:row>
                    <xdr:rowOff>0</xdr:rowOff>
                  </from>
                  <to>
                    <xdr:col>22</xdr:col>
                    <xdr:colOff>180975</xdr:colOff>
                    <xdr:row>498</xdr:row>
                    <xdr:rowOff>180975</xdr:rowOff>
                  </to>
                </anchor>
              </controlPr>
            </control>
          </mc:Choice>
        </mc:AlternateContent>
        <mc:AlternateContent xmlns:mc="http://schemas.openxmlformats.org/markup-compatibility/2006">
          <mc:Choice Requires="x14">
            <control shapeId="5220" r:id="rId63" name="Check Box 100">
              <controlPr locked="0" defaultSize="0" autoFill="0" autoLine="0" autoPict="0">
                <anchor moveWithCells="1" sizeWithCells="1">
                  <from>
                    <xdr:col>22</xdr:col>
                    <xdr:colOff>0</xdr:colOff>
                    <xdr:row>500</xdr:row>
                    <xdr:rowOff>0</xdr:rowOff>
                  </from>
                  <to>
                    <xdr:col>22</xdr:col>
                    <xdr:colOff>180975</xdr:colOff>
                    <xdr:row>500</xdr:row>
                    <xdr:rowOff>180975</xdr:rowOff>
                  </to>
                </anchor>
              </controlPr>
            </control>
          </mc:Choice>
        </mc:AlternateContent>
        <mc:AlternateContent xmlns:mc="http://schemas.openxmlformats.org/markup-compatibility/2006">
          <mc:Choice Requires="x14">
            <control shapeId="5221" r:id="rId64" name="Check Box 101">
              <controlPr locked="0" defaultSize="0" autoFill="0" autoLine="0" autoPict="0">
                <anchor moveWithCells="1" sizeWithCells="1">
                  <from>
                    <xdr:col>22</xdr:col>
                    <xdr:colOff>0</xdr:colOff>
                    <xdr:row>503</xdr:row>
                    <xdr:rowOff>0</xdr:rowOff>
                  </from>
                  <to>
                    <xdr:col>22</xdr:col>
                    <xdr:colOff>180975</xdr:colOff>
                    <xdr:row>503</xdr:row>
                    <xdr:rowOff>180975</xdr:rowOff>
                  </to>
                </anchor>
              </controlPr>
            </control>
          </mc:Choice>
        </mc:AlternateContent>
        <mc:AlternateContent xmlns:mc="http://schemas.openxmlformats.org/markup-compatibility/2006">
          <mc:Choice Requires="x14">
            <control shapeId="5222" r:id="rId65" name="Check Box 102">
              <controlPr locked="0" defaultSize="0" autoFill="0" autoLine="0" autoPict="0">
                <anchor moveWithCells="1" sizeWithCells="1">
                  <from>
                    <xdr:col>22</xdr:col>
                    <xdr:colOff>0</xdr:colOff>
                    <xdr:row>505</xdr:row>
                    <xdr:rowOff>0</xdr:rowOff>
                  </from>
                  <to>
                    <xdr:col>22</xdr:col>
                    <xdr:colOff>180975</xdr:colOff>
                    <xdr:row>505</xdr:row>
                    <xdr:rowOff>180975</xdr:rowOff>
                  </to>
                </anchor>
              </controlPr>
            </control>
          </mc:Choice>
        </mc:AlternateContent>
        <mc:AlternateContent xmlns:mc="http://schemas.openxmlformats.org/markup-compatibility/2006">
          <mc:Choice Requires="x14">
            <control shapeId="5223" r:id="rId66" name="Check Box 103">
              <controlPr locked="0" defaultSize="0" autoFill="0" autoLine="0" autoPict="0">
                <anchor moveWithCells="1" sizeWithCells="1">
                  <from>
                    <xdr:col>22</xdr:col>
                    <xdr:colOff>0</xdr:colOff>
                    <xdr:row>510</xdr:row>
                    <xdr:rowOff>0</xdr:rowOff>
                  </from>
                  <to>
                    <xdr:col>22</xdr:col>
                    <xdr:colOff>180975</xdr:colOff>
                    <xdr:row>510</xdr:row>
                    <xdr:rowOff>180975</xdr:rowOff>
                  </to>
                </anchor>
              </controlPr>
            </control>
          </mc:Choice>
        </mc:AlternateContent>
        <mc:AlternateContent xmlns:mc="http://schemas.openxmlformats.org/markup-compatibility/2006">
          <mc:Choice Requires="x14">
            <control shapeId="5224" r:id="rId67" name="Check Box 104">
              <controlPr locked="0" defaultSize="0" autoFill="0" autoLine="0" autoPict="0">
                <anchor moveWithCells="1" sizeWithCells="1">
                  <from>
                    <xdr:col>22</xdr:col>
                    <xdr:colOff>0</xdr:colOff>
                    <xdr:row>512</xdr:row>
                    <xdr:rowOff>0</xdr:rowOff>
                  </from>
                  <to>
                    <xdr:col>22</xdr:col>
                    <xdr:colOff>180975</xdr:colOff>
                    <xdr:row>512</xdr:row>
                    <xdr:rowOff>180975</xdr:rowOff>
                  </to>
                </anchor>
              </controlPr>
            </control>
          </mc:Choice>
        </mc:AlternateContent>
        <mc:AlternateContent xmlns:mc="http://schemas.openxmlformats.org/markup-compatibility/2006">
          <mc:Choice Requires="x14">
            <control shapeId="5225" r:id="rId68" name="Check Box 105">
              <controlPr locked="0" defaultSize="0" autoFill="0" autoLine="0" autoPict="0">
                <anchor moveWithCells="1" sizeWithCells="1">
                  <from>
                    <xdr:col>22</xdr:col>
                    <xdr:colOff>0</xdr:colOff>
                    <xdr:row>514</xdr:row>
                    <xdr:rowOff>0</xdr:rowOff>
                  </from>
                  <to>
                    <xdr:col>22</xdr:col>
                    <xdr:colOff>180975</xdr:colOff>
                    <xdr:row>514</xdr:row>
                    <xdr:rowOff>180975</xdr:rowOff>
                  </to>
                </anchor>
              </controlPr>
            </control>
          </mc:Choice>
        </mc:AlternateContent>
        <mc:AlternateContent xmlns:mc="http://schemas.openxmlformats.org/markup-compatibility/2006">
          <mc:Choice Requires="x14">
            <control shapeId="5226" r:id="rId69" name="Check Box 106">
              <controlPr locked="0" defaultSize="0" autoFill="0" autoLine="0" autoPict="0">
                <anchor moveWithCells="1" sizeWithCells="1">
                  <from>
                    <xdr:col>22</xdr:col>
                    <xdr:colOff>0</xdr:colOff>
                    <xdr:row>516</xdr:row>
                    <xdr:rowOff>0</xdr:rowOff>
                  </from>
                  <to>
                    <xdr:col>22</xdr:col>
                    <xdr:colOff>180975</xdr:colOff>
                    <xdr:row>516</xdr:row>
                    <xdr:rowOff>180975</xdr:rowOff>
                  </to>
                </anchor>
              </controlPr>
            </control>
          </mc:Choice>
        </mc:AlternateContent>
        <mc:AlternateContent xmlns:mc="http://schemas.openxmlformats.org/markup-compatibility/2006">
          <mc:Choice Requires="x14">
            <control shapeId="5228" r:id="rId70" name="Check Box 108">
              <controlPr locked="0" defaultSize="0" autoFill="0" autoLine="0" autoPict="0">
                <anchor moveWithCells="1" sizeWithCells="1">
                  <from>
                    <xdr:col>22</xdr:col>
                    <xdr:colOff>0</xdr:colOff>
                    <xdr:row>447</xdr:row>
                    <xdr:rowOff>0</xdr:rowOff>
                  </from>
                  <to>
                    <xdr:col>22</xdr:col>
                    <xdr:colOff>180975</xdr:colOff>
                    <xdr:row>447</xdr:row>
                    <xdr:rowOff>180975</xdr:rowOff>
                  </to>
                </anchor>
              </controlPr>
            </control>
          </mc:Choice>
        </mc:AlternateContent>
        <mc:AlternateContent xmlns:mc="http://schemas.openxmlformats.org/markup-compatibility/2006">
          <mc:Choice Requires="x14">
            <control shapeId="5229" r:id="rId71" name="Check Box 109">
              <controlPr locked="0" defaultSize="0" autoFill="0" autoLine="0" autoPict="0">
                <anchor moveWithCells="1" sizeWithCells="1">
                  <from>
                    <xdr:col>22</xdr:col>
                    <xdr:colOff>0</xdr:colOff>
                    <xdr:row>449</xdr:row>
                    <xdr:rowOff>0</xdr:rowOff>
                  </from>
                  <to>
                    <xdr:col>22</xdr:col>
                    <xdr:colOff>180975</xdr:colOff>
                    <xdr:row>449</xdr:row>
                    <xdr:rowOff>180975</xdr:rowOff>
                  </to>
                </anchor>
              </controlPr>
            </control>
          </mc:Choice>
        </mc:AlternateContent>
        <mc:AlternateContent xmlns:mc="http://schemas.openxmlformats.org/markup-compatibility/2006">
          <mc:Choice Requires="x14">
            <control shapeId="5230" r:id="rId72" name="Check Box 110">
              <controlPr locked="0" defaultSize="0" autoFill="0" autoLine="0" autoPict="0">
                <anchor moveWithCells="1" sizeWithCells="1">
                  <from>
                    <xdr:col>22</xdr:col>
                    <xdr:colOff>0</xdr:colOff>
                    <xdr:row>451</xdr:row>
                    <xdr:rowOff>0</xdr:rowOff>
                  </from>
                  <to>
                    <xdr:col>22</xdr:col>
                    <xdr:colOff>180975</xdr:colOff>
                    <xdr:row>451</xdr:row>
                    <xdr:rowOff>180975</xdr:rowOff>
                  </to>
                </anchor>
              </controlPr>
            </control>
          </mc:Choice>
        </mc:AlternateContent>
        <mc:AlternateContent xmlns:mc="http://schemas.openxmlformats.org/markup-compatibility/2006">
          <mc:Choice Requires="x14">
            <control shapeId="5232" r:id="rId73" name="Check Box 112">
              <controlPr locked="0" defaultSize="0" autoFill="0" autoLine="0" autoPict="0">
                <anchor moveWithCells="1" sizeWithCells="1">
                  <from>
                    <xdr:col>22</xdr:col>
                    <xdr:colOff>0</xdr:colOff>
                    <xdr:row>424</xdr:row>
                    <xdr:rowOff>0</xdr:rowOff>
                  </from>
                  <to>
                    <xdr:col>22</xdr:col>
                    <xdr:colOff>180975</xdr:colOff>
                    <xdr:row>424</xdr:row>
                    <xdr:rowOff>180975</xdr:rowOff>
                  </to>
                </anchor>
              </controlPr>
            </control>
          </mc:Choice>
        </mc:AlternateContent>
        <mc:AlternateContent xmlns:mc="http://schemas.openxmlformats.org/markup-compatibility/2006">
          <mc:Choice Requires="x14">
            <control shapeId="5233" r:id="rId74" name="Check Box 113">
              <controlPr locked="0" defaultSize="0" autoFill="0" autoLine="0" autoPict="0">
                <anchor moveWithCells="1" sizeWithCells="1">
                  <from>
                    <xdr:col>22</xdr:col>
                    <xdr:colOff>0</xdr:colOff>
                    <xdr:row>426</xdr:row>
                    <xdr:rowOff>0</xdr:rowOff>
                  </from>
                  <to>
                    <xdr:col>22</xdr:col>
                    <xdr:colOff>180975</xdr:colOff>
                    <xdr:row>426</xdr:row>
                    <xdr:rowOff>180975</xdr:rowOff>
                  </to>
                </anchor>
              </controlPr>
            </control>
          </mc:Choice>
        </mc:AlternateContent>
        <mc:AlternateContent xmlns:mc="http://schemas.openxmlformats.org/markup-compatibility/2006">
          <mc:Choice Requires="x14">
            <control shapeId="5234" r:id="rId75" name="Check Box 114">
              <controlPr locked="0" defaultSize="0" autoFill="0" autoLine="0" autoPict="0">
                <anchor moveWithCells="1" sizeWithCells="1">
                  <from>
                    <xdr:col>22</xdr:col>
                    <xdr:colOff>0</xdr:colOff>
                    <xdr:row>422</xdr:row>
                    <xdr:rowOff>0</xdr:rowOff>
                  </from>
                  <to>
                    <xdr:col>22</xdr:col>
                    <xdr:colOff>180975</xdr:colOff>
                    <xdr:row>422</xdr:row>
                    <xdr:rowOff>180975</xdr:rowOff>
                  </to>
                </anchor>
              </controlPr>
            </control>
          </mc:Choice>
        </mc:AlternateContent>
        <mc:AlternateContent xmlns:mc="http://schemas.openxmlformats.org/markup-compatibility/2006">
          <mc:Choice Requires="x14">
            <control shapeId="5240" r:id="rId76" name="Check Box 120">
              <controlPr locked="0" defaultSize="0" autoFill="0" autoLine="0" autoPict="0">
                <anchor moveWithCells="1" sizeWithCells="1">
                  <from>
                    <xdr:col>22</xdr:col>
                    <xdr:colOff>0</xdr:colOff>
                    <xdr:row>353</xdr:row>
                    <xdr:rowOff>0</xdr:rowOff>
                  </from>
                  <to>
                    <xdr:col>22</xdr:col>
                    <xdr:colOff>180975</xdr:colOff>
                    <xdr:row>353</xdr:row>
                    <xdr:rowOff>180975</xdr:rowOff>
                  </to>
                </anchor>
              </controlPr>
            </control>
          </mc:Choice>
        </mc:AlternateContent>
        <mc:AlternateContent xmlns:mc="http://schemas.openxmlformats.org/markup-compatibility/2006">
          <mc:Choice Requires="x14">
            <control shapeId="5241" r:id="rId77" name="Check Box 121">
              <controlPr locked="0" defaultSize="0" autoFill="0" autoLine="0" autoPict="0">
                <anchor moveWithCells="1" sizeWithCells="1">
                  <from>
                    <xdr:col>22</xdr:col>
                    <xdr:colOff>0</xdr:colOff>
                    <xdr:row>355</xdr:row>
                    <xdr:rowOff>0</xdr:rowOff>
                  </from>
                  <to>
                    <xdr:col>22</xdr:col>
                    <xdr:colOff>180975</xdr:colOff>
                    <xdr:row>355</xdr:row>
                    <xdr:rowOff>180975</xdr:rowOff>
                  </to>
                </anchor>
              </controlPr>
            </control>
          </mc:Choice>
        </mc:AlternateContent>
        <mc:AlternateContent xmlns:mc="http://schemas.openxmlformats.org/markup-compatibility/2006">
          <mc:Choice Requires="x14">
            <control shapeId="5242" r:id="rId78" name="Check Box 122">
              <controlPr locked="0" defaultSize="0" autoFill="0" autoLine="0" autoPict="0">
                <anchor moveWithCells="1" sizeWithCells="1">
                  <from>
                    <xdr:col>22</xdr:col>
                    <xdr:colOff>0</xdr:colOff>
                    <xdr:row>358</xdr:row>
                    <xdr:rowOff>0</xdr:rowOff>
                  </from>
                  <to>
                    <xdr:col>22</xdr:col>
                    <xdr:colOff>180975</xdr:colOff>
                    <xdr:row>358</xdr:row>
                    <xdr:rowOff>180975</xdr:rowOff>
                  </to>
                </anchor>
              </controlPr>
            </control>
          </mc:Choice>
        </mc:AlternateContent>
        <mc:AlternateContent xmlns:mc="http://schemas.openxmlformats.org/markup-compatibility/2006">
          <mc:Choice Requires="x14">
            <control shapeId="5243" r:id="rId79" name="Check Box 123">
              <controlPr locked="0" defaultSize="0" autoFill="0" autoLine="0" autoPict="0">
                <anchor moveWithCells="1" sizeWithCells="1">
                  <from>
                    <xdr:col>22</xdr:col>
                    <xdr:colOff>0</xdr:colOff>
                    <xdr:row>359</xdr:row>
                    <xdr:rowOff>0</xdr:rowOff>
                  </from>
                  <to>
                    <xdr:col>22</xdr:col>
                    <xdr:colOff>180975</xdr:colOff>
                    <xdr:row>359</xdr:row>
                    <xdr:rowOff>180975</xdr:rowOff>
                  </to>
                </anchor>
              </controlPr>
            </control>
          </mc:Choice>
        </mc:AlternateContent>
        <mc:AlternateContent xmlns:mc="http://schemas.openxmlformats.org/markup-compatibility/2006">
          <mc:Choice Requires="x14">
            <control shapeId="5244" r:id="rId80" name="Check Box 124">
              <controlPr locked="0" defaultSize="0" autoFill="0" autoLine="0" autoPict="0">
                <anchor moveWithCells="1" sizeWithCells="1">
                  <from>
                    <xdr:col>22</xdr:col>
                    <xdr:colOff>0</xdr:colOff>
                    <xdr:row>361</xdr:row>
                    <xdr:rowOff>0</xdr:rowOff>
                  </from>
                  <to>
                    <xdr:col>22</xdr:col>
                    <xdr:colOff>180975</xdr:colOff>
                    <xdr:row>361</xdr:row>
                    <xdr:rowOff>180975</xdr:rowOff>
                  </to>
                </anchor>
              </controlPr>
            </control>
          </mc:Choice>
        </mc:AlternateContent>
        <mc:AlternateContent xmlns:mc="http://schemas.openxmlformats.org/markup-compatibility/2006">
          <mc:Choice Requires="x14">
            <control shapeId="5246" r:id="rId81" name="Check Box 126">
              <controlPr locked="0" defaultSize="0" autoFill="0" autoLine="0" autoPict="0">
                <anchor moveWithCells="1" sizeWithCells="1">
                  <from>
                    <xdr:col>22</xdr:col>
                    <xdr:colOff>0</xdr:colOff>
                    <xdr:row>347</xdr:row>
                    <xdr:rowOff>0</xdr:rowOff>
                  </from>
                  <to>
                    <xdr:col>22</xdr:col>
                    <xdr:colOff>180975</xdr:colOff>
                    <xdr:row>347</xdr:row>
                    <xdr:rowOff>180975</xdr:rowOff>
                  </to>
                </anchor>
              </controlPr>
            </control>
          </mc:Choice>
        </mc:AlternateContent>
        <mc:AlternateContent xmlns:mc="http://schemas.openxmlformats.org/markup-compatibility/2006">
          <mc:Choice Requires="x14">
            <control shapeId="5254" r:id="rId82" name="Check Box 134">
              <controlPr locked="0" defaultSize="0" autoFill="0" autoLine="0" autoPict="0">
                <anchor moveWithCells="1" sizeWithCells="1">
                  <from>
                    <xdr:col>22</xdr:col>
                    <xdr:colOff>0</xdr:colOff>
                    <xdr:row>283</xdr:row>
                    <xdr:rowOff>0</xdr:rowOff>
                  </from>
                  <to>
                    <xdr:col>22</xdr:col>
                    <xdr:colOff>180975</xdr:colOff>
                    <xdr:row>283</xdr:row>
                    <xdr:rowOff>180975</xdr:rowOff>
                  </to>
                </anchor>
              </controlPr>
            </control>
          </mc:Choice>
        </mc:AlternateContent>
        <mc:AlternateContent xmlns:mc="http://schemas.openxmlformats.org/markup-compatibility/2006">
          <mc:Choice Requires="x14">
            <control shapeId="5257" r:id="rId83" name="Check Box 137">
              <controlPr locked="0" defaultSize="0" autoFill="0" autoLine="0" autoPict="0">
                <anchor moveWithCells="1" sizeWithCells="1">
                  <from>
                    <xdr:col>22</xdr:col>
                    <xdr:colOff>0</xdr:colOff>
                    <xdr:row>327</xdr:row>
                    <xdr:rowOff>0</xdr:rowOff>
                  </from>
                  <to>
                    <xdr:col>22</xdr:col>
                    <xdr:colOff>180975</xdr:colOff>
                    <xdr:row>327</xdr:row>
                    <xdr:rowOff>180975</xdr:rowOff>
                  </to>
                </anchor>
              </controlPr>
            </control>
          </mc:Choice>
        </mc:AlternateContent>
        <mc:AlternateContent xmlns:mc="http://schemas.openxmlformats.org/markup-compatibility/2006">
          <mc:Choice Requires="x14">
            <control shapeId="5259" r:id="rId84" name="Check Box 139">
              <controlPr locked="0" defaultSize="0" autoFill="0" autoLine="0" autoPict="0">
                <anchor moveWithCells="1" sizeWithCells="1">
                  <from>
                    <xdr:col>22</xdr:col>
                    <xdr:colOff>0</xdr:colOff>
                    <xdr:row>330</xdr:row>
                    <xdr:rowOff>0</xdr:rowOff>
                  </from>
                  <to>
                    <xdr:col>22</xdr:col>
                    <xdr:colOff>180975</xdr:colOff>
                    <xdr:row>330</xdr:row>
                    <xdr:rowOff>180975</xdr:rowOff>
                  </to>
                </anchor>
              </controlPr>
            </control>
          </mc:Choice>
        </mc:AlternateContent>
        <mc:AlternateContent xmlns:mc="http://schemas.openxmlformats.org/markup-compatibility/2006">
          <mc:Choice Requires="x14">
            <control shapeId="5261" r:id="rId85" name="Check Box 141">
              <controlPr locked="0" defaultSize="0" autoFill="0" autoLine="0" autoPict="0">
                <anchor moveWithCells="1" sizeWithCells="1">
                  <from>
                    <xdr:col>22</xdr:col>
                    <xdr:colOff>0</xdr:colOff>
                    <xdr:row>340</xdr:row>
                    <xdr:rowOff>0</xdr:rowOff>
                  </from>
                  <to>
                    <xdr:col>22</xdr:col>
                    <xdr:colOff>180975</xdr:colOff>
                    <xdr:row>340</xdr:row>
                    <xdr:rowOff>180975</xdr:rowOff>
                  </to>
                </anchor>
              </controlPr>
            </control>
          </mc:Choice>
        </mc:AlternateContent>
        <mc:AlternateContent xmlns:mc="http://schemas.openxmlformats.org/markup-compatibility/2006">
          <mc:Choice Requires="x14">
            <control shapeId="5263" r:id="rId86" name="Check Box 143">
              <controlPr locked="0" defaultSize="0" autoFill="0" autoLine="0" autoPict="0">
                <anchor moveWithCells="1" sizeWithCells="1">
                  <from>
                    <xdr:col>22</xdr:col>
                    <xdr:colOff>0</xdr:colOff>
                    <xdr:row>644</xdr:row>
                    <xdr:rowOff>0</xdr:rowOff>
                  </from>
                  <to>
                    <xdr:col>22</xdr:col>
                    <xdr:colOff>180975</xdr:colOff>
                    <xdr:row>644</xdr:row>
                    <xdr:rowOff>180975</xdr:rowOff>
                  </to>
                </anchor>
              </controlPr>
            </control>
          </mc:Choice>
        </mc:AlternateContent>
        <mc:AlternateContent xmlns:mc="http://schemas.openxmlformats.org/markup-compatibility/2006">
          <mc:Choice Requires="x14">
            <control shapeId="5268" r:id="rId87" name="Check Box 148">
              <controlPr locked="0" defaultSize="0" autoFill="0" autoLine="0" autoPict="0">
                <anchor moveWithCells="1" sizeWithCells="1">
                  <from>
                    <xdr:col>22</xdr:col>
                    <xdr:colOff>0</xdr:colOff>
                    <xdr:row>40</xdr:row>
                    <xdr:rowOff>0</xdr:rowOff>
                  </from>
                  <to>
                    <xdr:col>22</xdr:col>
                    <xdr:colOff>180975</xdr:colOff>
                    <xdr:row>40</xdr:row>
                    <xdr:rowOff>180975</xdr:rowOff>
                  </to>
                </anchor>
              </controlPr>
            </control>
          </mc:Choice>
        </mc:AlternateContent>
        <mc:AlternateContent xmlns:mc="http://schemas.openxmlformats.org/markup-compatibility/2006">
          <mc:Choice Requires="x14">
            <control shapeId="5269" r:id="rId88" name="Check Box 149">
              <controlPr locked="0" defaultSize="0" autoFill="0" autoLine="0" autoPict="0">
                <anchor moveWithCells="1" siz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5271" r:id="rId89" name="Check Box 151">
              <controlPr locked="0" defaultSize="0" autoFill="0" autoLine="0" autoPict="0">
                <anchor moveWithCells="1" sizeWithCells="1">
                  <from>
                    <xdr:col>22</xdr:col>
                    <xdr:colOff>0</xdr:colOff>
                    <xdr:row>44</xdr:row>
                    <xdr:rowOff>0</xdr:rowOff>
                  </from>
                  <to>
                    <xdr:col>22</xdr:col>
                    <xdr:colOff>180975</xdr:colOff>
                    <xdr:row>44</xdr:row>
                    <xdr:rowOff>180975</xdr:rowOff>
                  </to>
                </anchor>
              </controlPr>
            </control>
          </mc:Choice>
        </mc:AlternateContent>
        <mc:AlternateContent xmlns:mc="http://schemas.openxmlformats.org/markup-compatibility/2006">
          <mc:Choice Requires="x14">
            <control shapeId="5272" r:id="rId90" name="Check Box 152">
              <controlPr locked="0" defaultSize="0" autoFill="0" autoLine="0" autoPict="0">
                <anchor moveWithCells="1" sizeWithCells="1">
                  <from>
                    <xdr:col>22</xdr:col>
                    <xdr:colOff>0</xdr:colOff>
                    <xdr:row>49</xdr:row>
                    <xdr:rowOff>0</xdr:rowOff>
                  </from>
                  <to>
                    <xdr:col>22</xdr:col>
                    <xdr:colOff>180975</xdr:colOff>
                    <xdr:row>49</xdr:row>
                    <xdr:rowOff>180975</xdr:rowOff>
                  </to>
                </anchor>
              </controlPr>
            </control>
          </mc:Choice>
        </mc:AlternateContent>
        <mc:AlternateContent xmlns:mc="http://schemas.openxmlformats.org/markup-compatibility/2006">
          <mc:Choice Requires="x14">
            <control shapeId="5273" r:id="rId91" name="Check Box 153">
              <controlPr locked="0" defaultSize="0" autoFill="0" autoLine="0" autoPict="0">
                <anchor moveWithCells="1" sizeWithCells="1">
                  <from>
                    <xdr:col>22</xdr:col>
                    <xdr:colOff>0</xdr:colOff>
                    <xdr:row>50</xdr:row>
                    <xdr:rowOff>0</xdr:rowOff>
                  </from>
                  <to>
                    <xdr:col>22</xdr:col>
                    <xdr:colOff>180975</xdr:colOff>
                    <xdr:row>50</xdr:row>
                    <xdr:rowOff>180975</xdr:rowOff>
                  </to>
                </anchor>
              </controlPr>
            </control>
          </mc:Choice>
        </mc:AlternateContent>
        <mc:AlternateContent xmlns:mc="http://schemas.openxmlformats.org/markup-compatibility/2006">
          <mc:Choice Requires="x14">
            <control shapeId="5274" r:id="rId92" name="Check Box 154">
              <controlPr locked="0" defaultSize="0" autoFill="0" autoLine="0" autoPict="0">
                <anchor moveWithCells="1" sizeWithCells="1">
                  <from>
                    <xdr:col>22</xdr:col>
                    <xdr:colOff>0</xdr:colOff>
                    <xdr:row>51</xdr:row>
                    <xdr:rowOff>0</xdr:rowOff>
                  </from>
                  <to>
                    <xdr:col>22</xdr:col>
                    <xdr:colOff>180975</xdr:colOff>
                    <xdr:row>51</xdr:row>
                    <xdr:rowOff>180975</xdr:rowOff>
                  </to>
                </anchor>
              </controlPr>
            </control>
          </mc:Choice>
        </mc:AlternateContent>
        <mc:AlternateContent xmlns:mc="http://schemas.openxmlformats.org/markup-compatibility/2006">
          <mc:Choice Requires="x14">
            <control shapeId="5275" r:id="rId93" name="Check Box 155">
              <controlPr locked="0" defaultSize="0" autoFill="0" autoLine="0" autoPict="0">
                <anchor moveWithCells="1" sizeWithCells="1">
                  <from>
                    <xdr:col>22</xdr:col>
                    <xdr:colOff>0</xdr:colOff>
                    <xdr:row>53</xdr:row>
                    <xdr:rowOff>0</xdr:rowOff>
                  </from>
                  <to>
                    <xdr:col>22</xdr:col>
                    <xdr:colOff>180975</xdr:colOff>
                    <xdr:row>53</xdr:row>
                    <xdr:rowOff>180975</xdr:rowOff>
                  </to>
                </anchor>
              </controlPr>
            </control>
          </mc:Choice>
        </mc:AlternateContent>
        <mc:AlternateContent xmlns:mc="http://schemas.openxmlformats.org/markup-compatibility/2006">
          <mc:Choice Requires="x14">
            <control shapeId="5276" r:id="rId94" name="Check Box 156">
              <controlPr locked="0" defaultSize="0" autoFill="0" autoLine="0" autoPict="0">
                <anchor moveWithCells="1" siz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5277" r:id="rId95" name="Check Box 157">
              <controlPr locked="0" defaultSize="0" autoFill="0" autoLine="0" autoPict="0">
                <anchor moveWithCells="1" sizeWithCells="1">
                  <from>
                    <xdr:col>22</xdr:col>
                    <xdr:colOff>0</xdr:colOff>
                    <xdr:row>55</xdr:row>
                    <xdr:rowOff>0</xdr:rowOff>
                  </from>
                  <to>
                    <xdr:col>22</xdr:col>
                    <xdr:colOff>180975</xdr:colOff>
                    <xdr:row>55</xdr:row>
                    <xdr:rowOff>180975</xdr:rowOff>
                  </to>
                </anchor>
              </controlPr>
            </control>
          </mc:Choice>
        </mc:AlternateContent>
        <mc:AlternateContent xmlns:mc="http://schemas.openxmlformats.org/markup-compatibility/2006">
          <mc:Choice Requires="x14">
            <control shapeId="5278" r:id="rId96" name="Check Box 158">
              <controlPr locked="0" defaultSize="0" autoFill="0" autoLine="0" autoPict="0">
                <anchor moveWithCells="1" sizeWithCells="1">
                  <from>
                    <xdr:col>22</xdr:col>
                    <xdr:colOff>0</xdr:colOff>
                    <xdr:row>56</xdr:row>
                    <xdr:rowOff>0</xdr:rowOff>
                  </from>
                  <to>
                    <xdr:col>22</xdr:col>
                    <xdr:colOff>180975</xdr:colOff>
                    <xdr:row>56</xdr:row>
                    <xdr:rowOff>180975</xdr:rowOff>
                  </to>
                </anchor>
              </controlPr>
            </control>
          </mc:Choice>
        </mc:AlternateContent>
        <mc:AlternateContent xmlns:mc="http://schemas.openxmlformats.org/markup-compatibility/2006">
          <mc:Choice Requires="x14">
            <control shapeId="5279" r:id="rId97" name="Check Box 159">
              <controlPr locked="0" defaultSize="0" autoFill="0" autoLine="0" autoPict="0">
                <anchor moveWithCells="1" sizeWithCells="1">
                  <from>
                    <xdr:col>22</xdr:col>
                    <xdr:colOff>0</xdr:colOff>
                    <xdr:row>58</xdr:row>
                    <xdr:rowOff>0</xdr:rowOff>
                  </from>
                  <to>
                    <xdr:col>22</xdr:col>
                    <xdr:colOff>180975</xdr:colOff>
                    <xdr:row>58</xdr:row>
                    <xdr:rowOff>180975</xdr:rowOff>
                  </to>
                </anchor>
              </controlPr>
            </control>
          </mc:Choice>
        </mc:AlternateContent>
        <mc:AlternateContent xmlns:mc="http://schemas.openxmlformats.org/markup-compatibility/2006">
          <mc:Choice Requires="x14">
            <control shapeId="5288" r:id="rId98" name="Check Box 168">
              <controlPr locked="0" defaultSize="0" autoFill="0" autoLine="0" autoPict="0">
                <anchor moveWithCells="1" sizeWithCells="1">
                  <from>
                    <xdr:col>22</xdr:col>
                    <xdr:colOff>0</xdr:colOff>
                    <xdr:row>591</xdr:row>
                    <xdr:rowOff>0</xdr:rowOff>
                  </from>
                  <to>
                    <xdr:col>22</xdr:col>
                    <xdr:colOff>180975</xdr:colOff>
                    <xdr:row>591</xdr:row>
                    <xdr:rowOff>180975</xdr:rowOff>
                  </to>
                </anchor>
              </controlPr>
            </control>
          </mc:Choice>
        </mc:AlternateContent>
        <mc:AlternateContent xmlns:mc="http://schemas.openxmlformats.org/markup-compatibility/2006">
          <mc:Choice Requires="x14">
            <control shapeId="5289" r:id="rId99" name="Check Box 169">
              <controlPr locked="0" defaultSize="0" autoFill="0" autoLine="0" autoPict="0">
                <anchor moveWithCells="1" sizeWithCells="1">
                  <from>
                    <xdr:col>22</xdr:col>
                    <xdr:colOff>0</xdr:colOff>
                    <xdr:row>594</xdr:row>
                    <xdr:rowOff>0</xdr:rowOff>
                  </from>
                  <to>
                    <xdr:col>22</xdr:col>
                    <xdr:colOff>180975</xdr:colOff>
                    <xdr:row>594</xdr:row>
                    <xdr:rowOff>180975</xdr:rowOff>
                  </to>
                </anchor>
              </controlPr>
            </control>
          </mc:Choice>
        </mc:AlternateContent>
        <mc:AlternateContent xmlns:mc="http://schemas.openxmlformats.org/markup-compatibility/2006">
          <mc:Choice Requires="x14">
            <control shapeId="5292" r:id="rId100" name="Check Box 172">
              <controlPr locked="0" defaultSize="0" autoFill="0" autoLine="0" autoPict="0">
                <anchor moveWithCells="1" sizeWithCells="1">
                  <from>
                    <xdr:col>22</xdr:col>
                    <xdr:colOff>0</xdr:colOff>
                    <xdr:row>605</xdr:row>
                    <xdr:rowOff>0</xdr:rowOff>
                  </from>
                  <to>
                    <xdr:col>22</xdr:col>
                    <xdr:colOff>180975</xdr:colOff>
                    <xdr:row>605</xdr:row>
                    <xdr:rowOff>180975</xdr:rowOff>
                  </to>
                </anchor>
              </controlPr>
            </control>
          </mc:Choice>
        </mc:AlternateContent>
        <mc:AlternateContent xmlns:mc="http://schemas.openxmlformats.org/markup-compatibility/2006">
          <mc:Choice Requires="x14">
            <control shapeId="5293" r:id="rId101" name="Check Box 173">
              <controlPr locked="0" defaultSize="0" autoFill="0" autoLine="0" autoPict="0">
                <anchor moveWithCells="1" sizeWithCells="1">
                  <from>
                    <xdr:col>22</xdr:col>
                    <xdr:colOff>0</xdr:colOff>
                    <xdr:row>607</xdr:row>
                    <xdr:rowOff>0</xdr:rowOff>
                  </from>
                  <to>
                    <xdr:col>22</xdr:col>
                    <xdr:colOff>180975</xdr:colOff>
                    <xdr:row>607</xdr:row>
                    <xdr:rowOff>180975</xdr:rowOff>
                  </to>
                </anchor>
              </controlPr>
            </control>
          </mc:Choice>
        </mc:AlternateContent>
        <mc:AlternateContent xmlns:mc="http://schemas.openxmlformats.org/markup-compatibility/2006">
          <mc:Choice Requires="x14">
            <control shapeId="5295" r:id="rId102" name="Check Box 175">
              <controlPr locked="0" defaultSize="0" autoFill="0" autoLine="0" autoPict="0">
                <anchor moveWithCells="1" sizeWithCells="1">
                  <from>
                    <xdr:col>22</xdr:col>
                    <xdr:colOff>0</xdr:colOff>
                    <xdr:row>631</xdr:row>
                    <xdr:rowOff>0</xdr:rowOff>
                  </from>
                  <to>
                    <xdr:col>22</xdr:col>
                    <xdr:colOff>180975</xdr:colOff>
                    <xdr:row>631</xdr:row>
                    <xdr:rowOff>180975</xdr:rowOff>
                  </to>
                </anchor>
              </controlPr>
            </control>
          </mc:Choice>
        </mc:AlternateContent>
        <mc:AlternateContent xmlns:mc="http://schemas.openxmlformats.org/markup-compatibility/2006">
          <mc:Choice Requires="x14">
            <control shapeId="5296" r:id="rId103" name="Check Box 176">
              <controlPr locked="0" defaultSize="0" autoFill="0" autoLine="0" autoPict="0">
                <anchor moveWithCells="1" sizeWithCells="1">
                  <from>
                    <xdr:col>22</xdr:col>
                    <xdr:colOff>0</xdr:colOff>
                    <xdr:row>633</xdr:row>
                    <xdr:rowOff>0</xdr:rowOff>
                  </from>
                  <to>
                    <xdr:col>22</xdr:col>
                    <xdr:colOff>180975</xdr:colOff>
                    <xdr:row>633</xdr:row>
                    <xdr:rowOff>180975</xdr:rowOff>
                  </to>
                </anchor>
              </controlPr>
            </control>
          </mc:Choice>
        </mc:AlternateContent>
        <mc:AlternateContent xmlns:mc="http://schemas.openxmlformats.org/markup-compatibility/2006">
          <mc:Choice Requires="x14">
            <control shapeId="5298" r:id="rId104" name="Check Box 178">
              <controlPr locked="0" defaultSize="0" autoFill="0" autoLine="0" autoPict="0">
                <anchor moveWithCells="1" sizeWithCells="1">
                  <from>
                    <xdr:col>22</xdr:col>
                    <xdr:colOff>0</xdr:colOff>
                    <xdr:row>710</xdr:row>
                    <xdr:rowOff>0</xdr:rowOff>
                  </from>
                  <to>
                    <xdr:col>22</xdr:col>
                    <xdr:colOff>180975</xdr:colOff>
                    <xdr:row>710</xdr:row>
                    <xdr:rowOff>180975</xdr:rowOff>
                  </to>
                </anchor>
              </controlPr>
            </control>
          </mc:Choice>
        </mc:AlternateContent>
        <mc:AlternateContent xmlns:mc="http://schemas.openxmlformats.org/markup-compatibility/2006">
          <mc:Choice Requires="x14">
            <control shapeId="5300" r:id="rId105" name="Check Box 180">
              <controlPr locked="0" defaultSize="0" autoFill="0" autoLine="0" autoPict="0">
                <anchor moveWithCells="1" sizeWithCells="1">
                  <from>
                    <xdr:col>22</xdr:col>
                    <xdr:colOff>0</xdr:colOff>
                    <xdr:row>745</xdr:row>
                    <xdr:rowOff>0</xdr:rowOff>
                  </from>
                  <to>
                    <xdr:col>22</xdr:col>
                    <xdr:colOff>180975</xdr:colOff>
                    <xdr:row>745</xdr:row>
                    <xdr:rowOff>180975</xdr:rowOff>
                  </to>
                </anchor>
              </controlPr>
            </control>
          </mc:Choice>
        </mc:AlternateContent>
        <mc:AlternateContent xmlns:mc="http://schemas.openxmlformats.org/markup-compatibility/2006">
          <mc:Choice Requires="x14">
            <control shapeId="5301" r:id="rId106" name="Check Box 181">
              <controlPr locked="0" defaultSize="0" autoFill="0" autoLine="0" autoPict="0">
                <anchor moveWithCells="1" sizeWithCells="1">
                  <from>
                    <xdr:col>22</xdr:col>
                    <xdr:colOff>0</xdr:colOff>
                    <xdr:row>747</xdr:row>
                    <xdr:rowOff>0</xdr:rowOff>
                  </from>
                  <to>
                    <xdr:col>22</xdr:col>
                    <xdr:colOff>180975</xdr:colOff>
                    <xdr:row>747</xdr:row>
                    <xdr:rowOff>180975</xdr:rowOff>
                  </to>
                </anchor>
              </controlPr>
            </control>
          </mc:Choice>
        </mc:AlternateContent>
        <mc:AlternateContent xmlns:mc="http://schemas.openxmlformats.org/markup-compatibility/2006">
          <mc:Choice Requires="x14">
            <control shapeId="5302" r:id="rId107" name="Check Box 182">
              <controlPr locked="0" defaultSize="0" autoFill="0" autoLine="0" autoPict="0">
                <anchor moveWithCells="1" sizeWithCells="1">
                  <from>
                    <xdr:col>22</xdr:col>
                    <xdr:colOff>0</xdr:colOff>
                    <xdr:row>756</xdr:row>
                    <xdr:rowOff>0</xdr:rowOff>
                  </from>
                  <to>
                    <xdr:col>22</xdr:col>
                    <xdr:colOff>180975</xdr:colOff>
                    <xdr:row>756</xdr:row>
                    <xdr:rowOff>180975</xdr:rowOff>
                  </to>
                </anchor>
              </controlPr>
            </control>
          </mc:Choice>
        </mc:AlternateContent>
        <mc:AlternateContent xmlns:mc="http://schemas.openxmlformats.org/markup-compatibility/2006">
          <mc:Choice Requires="x14">
            <control shapeId="5303" r:id="rId108" name="Check Box 183">
              <controlPr locked="0" defaultSize="0" autoFill="0" autoLine="0" autoPict="0">
                <anchor moveWithCells="1" sizeWithCells="1">
                  <from>
                    <xdr:col>22</xdr:col>
                    <xdr:colOff>0</xdr:colOff>
                    <xdr:row>760</xdr:row>
                    <xdr:rowOff>0</xdr:rowOff>
                  </from>
                  <to>
                    <xdr:col>22</xdr:col>
                    <xdr:colOff>180975</xdr:colOff>
                    <xdr:row>760</xdr:row>
                    <xdr:rowOff>180975</xdr:rowOff>
                  </to>
                </anchor>
              </controlPr>
            </control>
          </mc:Choice>
        </mc:AlternateContent>
        <mc:AlternateContent xmlns:mc="http://schemas.openxmlformats.org/markup-compatibility/2006">
          <mc:Choice Requires="x14">
            <control shapeId="5304" r:id="rId109" name="Check Box 184">
              <controlPr locked="0" defaultSize="0" autoFill="0" autoLine="0" autoPict="0">
                <anchor moveWithCells="1" sizeWithCells="1">
                  <from>
                    <xdr:col>22</xdr:col>
                    <xdr:colOff>0</xdr:colOff>
                    <xdr:row>765</xdr:row>
                    <xdr:rowOff>0</xdr:rowOff>
                  </from>
                  <to>
                    <xdr:col>22</xdr:col>
                    <xdr:colOff>180975</xdr:colOff>
                    <xdr:row>765</xdr:row>
                    <xdr:rowOff>180975</xdr:rowOff>
                  </to>
                </anchor>
              </controlPr>
            </control>
          </mc:Choice>
        </mc:AlternateContent>
        <mc:AlternateContent xmlns:mc="http://schemas.openxmlformats.org/markup-compatibility/2006">
          <mc:Choice Requires="x14">
            <control shapeId="5305" r:id="rId110" name="Check Box 185">
              <controlPr locked="0" defaultSize="0" autoFill="0" autoLine="0" autoPict="0">
                <anchor moveWithCells="1" sizeWithCells="1">
                  <from>
                    <xdr:col>22</xdr:col>
                    <xdr:colOff>0</xdr:colOff>
                    <xdr:row>766</xdr:row>
                    <xdr:rowOff>0</xdr:rowOff>
                  </from>
                  <to>
                    <xdr:col>22</xdr:col>
                    <xdr:colOff>180975</xdr:colOff>
                    <xdr:row>766</xdr:row>
                    <xdr:rowOff>180975</xdr:rowOff>
                  </to>
                </anchor>
              </controlPr>
            </control>
          </mc:Choice>
        </mc:AlternateContent>
        <mc:AlternateContent xmlns:mc="http://schemas.openxmlformats.org/markup-compatibility/2006">
          <mc:Choice Requires="x14">
            <control shapeId="5306" r:id="rId111" name="Check Box 186">
              <controlPr locked="0" defaultSize="0" autoFill="0" autoLine="0" autoPict="0">
                <anchor moveWithCells="1" sizeWithCells="1">
                  <from>
                    <xdr:col>22</xdr:col>
                    <xdr:colOff>0</xdr:colOff>
                    <xdr:row>735</xdr:row>
                    <xdr:rowOff>0</xdr:rowOff>
                  </from>
                  <to>
                    <xdr:col>22</xdr:col>
                    <xdr:colOff>180975</xdr:colOff>
                    <xdr:row>735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B3734636-9693-4863-B6F8-D31FD7A9C7D9}">
            <xm:f>'Overview (Design)'!$G$28&gt;=2400</xm:f>
            <x14:dxf>
              <font>
                <color theme="1"/>
              </font>
              <fill>
                <patternFill>
                  <bgColor rgb="FFFF0000"/>
                </patternFill>
              </fill>
              <border>
                <left style="thin">
                  <color auto="1"/>
                </left>
                <right style="thin">
                  <color auto="1"/>
                </right>
                <top style="thin">
                  <color auto="1"/>
                </top>
                <vertical/>
                <horizontal/>
              </border>
            </x14:dxf>
          </x14:cfRule>
          <xm:sqref>L36</xm:sqref>
        </x14:conditionalFormatting>
        <x14:conditionalFormatting xmlns:xm="http://schemas.microsoft.com/office/excel/2006/main">
          <x14:cfRule type="expression" priority="13" id="{24D92E19-97FB-4943-B963-49BB27B76C31}">
            <xm:f>'Overview (Design)'!$G$28&gt;=2400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L40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BI247"/>
  <sheetViews>
    <sheetView showGridLines="0" topLeftCell="H1" zoomScaleNormal="100" zoomScaleSheetLayoutView="70" workbookViewId="0">
      <pane ySplit="7" topLeftCell="A8" activePane="bottomLeft" state="frozen"/>
      <selection activeCell="E90" sqref="E90"/>
      <selection pane="bottomLeft" activeCell="H13" sqref="H13"/>
    </sheetView>
  </sheetViews>
  <sheetFormatPr defaultColWidth="9.140625" defaultRowHeight="15" x14ac:dyDescent="0.25"/>
  <cols>
    <col min="1" max="1" width="9.140625" style="18" hidden="1" customWidth="1"/>
    <col min="2" max="2" width="7.28515625" style="18" hidden="1" customWidth="1"/>
    <col min="3" max="7" width="3.85546875" style="18" hidden="1" customWidth="1"/>
    <col min="8" max="8" width="3.85546875" style="18" customWidth="1"/>
    <col min="9" max="9" width="10.42578125" style="76" customWidth="1"/>
    <col min="10" max="10" width="3.85546875" style="866" customWidth="1"/>
    <col min="11" max="11" width="3.85546875" style="76" customWidth="1"/>
    <col min="12" max="12" width="71.7109375" style="76" customWidth="1"/>
    <col min="13" max="13" width="13.5703125" style="67" customWidth="1"/>
    <col min="14" max="14" width="7.7109375" style="76" hidden="1" customWidth="1"/>
    <col min="15" max="15" width="7.7109375" style="135" customWidth="1"/>
    <col min="16" max="21" width="8.85546875" style="76" hidden="1" customWidth="1"/>
    <col min="22" max="22" width="3" style="76" hidden="1" customWidth="1"/>
    <col min="23" max="23" width="21.42578125" style="76" customWidth="1"/>
    <col min="24" max="24" width="69" style="76" customWidth="1"/>
    <col min="25" max="25" width="34.85546875" style="780" hidden="1" customWidth="1"/>
    <col min="26" max="26" width="34.85546875" style="76" hidden="1" customWidth="1"/>
    <col min="27" max="27" width="9.140625" style="783" hidden="1" customWidth="1"/>
    <col min="28" max="28" width="9.140625" style="76" hidden="1" customWidth="1"/>
    <col min="29" max="29" width="8.5703125" style="76" hidden="1" customWidth="1"/>
    <col min="30" max="30" width="6.140625" style="76" hidden="1" customWidth="1"/>
    <col min="31" max="31" width="10.42578125" style="76" hidden="1" customWidth="1"/>
    <col min="32" max="37" width="9.140625" style="76" hidden="1" customWidth="1"/>
    <col min="38" max="38" width="16.42578125" style="76" hidden="1" customWidth="1"/>
    <col min="39" max="39" width="4.7109375" style="76" hidden="1" customWidth="1"/>
    <col min="40" max="40" width="14.28515625" style="76" hidden="1" customWidth="1"/>
    <col min="41" max="41" width="5.5703125" style="76" hidden="1" customWidth="1"/>
    <col min="42" max="42" width="14.28515625" style="76" hidden="1" customWidth="1"/>
    <col min="43" max="43" width="6.140625" style="76" hidden="1" customWidth="1"/>
    <col min="44" max="44" width="14.140625" style="76" hidden="1" customWidth="1"/>
    <col min="45" max="45" width="4.140625" style="76" hidden="1" customWidth="1"/>
    <col min="46" max="61" width="9.140625" style="76" hidden="1" customWidth="1"/>
    <col min="62" max="16384" width="9.140625" style="76"/>
  </cols>
  <sheetData>
    <row r="1" spans="1:61" ht="15" customHeight="1" x14ac:dyDescent="0.25">
      <c r="H1" s="1805" t="s">
        <v>4090</v>
      </c>
      <c r="I1" s="1818" t="str">
        <f ca="1">IF(OR(AG3,AI3),"Errors on page, no Level reached","Current Chapter level: "&amp;AG1&amp;"                                            Total Points: "&amp;AG2)</f>
        <v>Errors on page, no Level reached</v>
      </c>
      <c r="J1" s="1818"/>
      <c r="K1" s="1818"/>
      <c r="L1" s="1818"/>
      <c r="M1" s="1806"/>
      <c r="N1" s="1806"/>
      <c r="O1" s="1806"/>
      <c r="P1" s="1806"/>
      <c r="Q1" s="1806"/>
      <c r="R1" s="1806"/>
      <c r="S1" s="1806"/>
      <c r="T1" s="1806"/>
      <c r="U1" s="1806"/>
      <c r="V1" s="1806"/>
      <c r="W1" s="1806"/>
      <c r="X1" s="2344" t="s">
        <v>4064</v>
      </c>
      <c r="AF1" s="75" t="s">
        <v>746</v>
      </c>
      <c r="AG1" s="330" t="str">
        <f ca="1">IF(OR(AG3,AI3),"None",Ch8Level)</f>
        <v>None</v>
      </c>
    </row>
    <row r="2" spans="1:61" x14ac:dyDescent="0.25">
      <c r="H2" s="1805"/>
      <c r="I2" s="1819" t="str">
        <f ca="1">"Points away from:  Bronze: "&amp;MAX(Points!C18-Ch8Points,0)&amp;",  Silver: "&amp;IF(Points!N12&lt;2,"N/A",MAX(Points!D18-Ch8Points,0))&amp;",  Gold: "&amp;IF(Points!N12&lt;3,"N/A",MAX(Points!E18-Ch8Points,0))&amp;",  Emerald: "&amp;IF(Points!N12&lt;4,"N/A",MAX(Points!F18-Ch8Points,0))</f>
        <v>Points away from:  Bronze: 25,  Silver: N/A,  Gold: N/A,  Emerald: N/A</v>
      </c>
      <c r="J2" s="1819"/>
      <c r="K2" s="1819"/>
      <c r="L2" s="1819"/>
      <c r="M2" s="1806"/>
      <c r="N2" s="1806"/>
      <c r="O2" s="1806"/>
      <c r="P2" s="1806"/>
      <c r="Q2" s="1806"/>
      <c r="R2" s="1806"/>
      <c r="S2" s="1806"/>
      <c r="T2" s="1806"/>
      <c r="U2" s="1806"/>
      <c r="V2" s="1806"/>
      <c r="W2" s="1806"/>
      <c r="X2" s="2344" t="s">
        <v>3505</v>
      </c>
      <c r="AF2" s="75" t="s">
        <v>747</v>
      </c>
      <c r="AG2" s="76">
        <f ca="1">INDIRECT(AF2)</f>
        <v>0</v>
      </c>
      <c r="AH2" s="76" t="s">
        <v>750</v>
      </c>
      <c r="AI2" s="76">
        <f ca="1">INDIRECT(AH2)</f>
        <v>25</v>
      </c>
      <c r="AJ2"/>
      <c r="AK2"/>
    </row>
    <row r="3" spans="1:61" x14ac:dyDescent="0.25">
      <c r="H3" s="1805"/>
      <c r="I3" s="1819" t="str">
        <f ca="1">"Add'l pts earned above:  Bronze: "&amp; MAX(0,Ch8Points-Points!C18) &amp;",  Silver: " &amp;IF(Points!N12&lt;2,"N/A",MAX(0,Ch8Points-Points!D18)) &amp;",  Gold: " &amp; IF(Points!N12&lt;3,"N/A",MAX(0,Ch8Points-Points!E18)) &amp;",  Emerald: " &amp; IF(Points!N12&lt;4,"N/A",MAX(0,Ch8Points-Points!F18))</f>
        <v>Add'l pts earned above:  Bronze: 0,  Silver: N/A,  Gold: N/A,  Emerald: N/A</v>
      </c>
      <c r="J3" s="1819"/>
      <c r="K3" s="1819"/>
      <c r="L3" s="1819"/>
      <c r="M3" s="1806"/>
      <c r="N3" s="1806"/>
      <c r="O3" s="1806"/>
      <c r="P3" s="1806"/>
      <c r="Q3" s="1806"/>
      <c r="R3" s="1806"/>
      <c r="S3" s="1806"/>
      <c r="T3" s="1806"/>
      <c r="U3" s="1806"/>
      <c r="V3" s="1806"/>
      <c r="W3" s="1806"/>
      <c r="X3" s="2344" t="s">
        <v>3504</v>
      </c>
      <c r="AF3" s="75" t="s">
        <v>748</v>
      </c>
      <c r="AG3" s="76" t="b">
        <f>OR(AE:AE)</f>
        <v>1</v>
      </c>
      <c r="AH3" s="75" t="s">
        <v>749</v>
      </c>
      <c r="AI3" s="76" t="b">
        <f ca="1">OR(AD:AD)</f>
        <v>0</v>
      </c>
    </row>
    <row r="4" spans="1:61" x14ac:dyDescent="0.25">
      <c r="H4" s="1805"/>
      <c r="I4" s="1822" t="str">
        <f ca="1">"Total Chapter Points needed for:  Bronze: "&amp;Points!C18&amp;",  Silver: "&amp;IF(Points!N12&lt;2,"N/A",Points!D18)&amp;",  Gold: "&amp;IF(Points!N12&lt;3,"N/A",Points!E18)&amp;",  Emerald: "&amp;IF(Points!N12&lt;4,"N/A",Points!F18)</f>
        <v>Total Chapter Points needed for:  Bronze: 25,  Silver: N/A,  Gold: N/A,  Emerald: N/A</v>
      </c>
      <c r="J4" s="1823"/>
      <c r="K4" s="1823"/>
      <c r="L4" s="1824"/>
      <c r="M4" s="1806"/>
      <c r="N4" s="1806"/>
      <c r="O4" s="1806"/>
      <c r="P4" s="1806"/>
      <c r="Q4" s="1806"/>
      <c r="R4" s="1806"/>
      <c r="S4" s="1806"/>
      <c r="T4" s="1806"/>
      <c r="U4" s="1806"/>
      <c r="V4" s="1806"/>
      <c r="W4" s="1806"/>
      <c r="X4" s="1703" t="s">
        <v>4877</v>
      </c>
      <c r="AF4" s="75"/>
      <c r="AH4" s="75"/>
    </row>
    <row r="5" spans="1:61" x14ac:dyDescent="0.25">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AF5" s="75"/>
      <c r="AH5" s="75"/>
    </row>
    <row r="6" spans="1:61" x14ac:dyDescent="0.25">
      <c r="H6" s="1805"/>
      <c r="I6" s="1828" t="s">
        <v>248</v>
      </c>
      <c r="J6" s="1829"/>
      <c r="K6" s="1830"/>
      <c r="L6" s="1810" t="s">
        <v>1111</v>
      </c>
      <c r="M6" s="1810" t="s">
        <v>249</v>
      </c>
      <c r="N6" s="1810"/>
      <c r="O6" s="35" t="s">
        <v>318</v>
      </c>
      <c r="P6" s="1810" t="s">
        <v>4103</v>
      </c>
      <c r="Q6" s="1810" t="s">
        <v>309</v>
      </c>
      <c r="R6" s="1810" t="s">
        <v>250</v>
      </c>
      <c r="S6" s="1810" t="s">
        <v>251</v>
      </c>
      <c r="T6" s="1810" t="s">
        <v>0</v>
      </c>
      <c r="U6" s="1810" t="s">
        <v>4104</v>
      </c>
      <c r="V6" s="1810"/>
      <c r="W6" s="1810" t="s">
        <v>252</v>
      </c>
      <c r="X6" s="1820" t="s">
        <v>1</v>
      </c>
      <c r="AC6" s="74" t="s">
        <v>307</v>
      </c>
      <c r="AD6" s="74" t="s">
        <v>0</v>
      </c>
      <c r="AE6" s="74" t="s">
        <v>306</v>
      </c>
    </row>
    <row r="7" spans="1:61" x14ac:dyDescent="0.25">
      <c r="H7" s="1805"/>
      <c r="I7" s="1828"/>
      <c r="J7" s="1829"/>
      <c r="K7" s="1830"/>
      <c r="L7" s="1811"/>
      <c r="M7" s="1811"/>
      <c r="N7" s="1811"/>
      <c r="O7" s="35" t="s">
        <v>319</v>
      </c>
      <c r="P7" s="1811"/>
      <c r="Q7" s="1811"/>
      <c r="R7" s="1811"/>
      <c r="S7" s="1811"/>
      <c r="T7" s="1811"/>
      <c r="U7" s="1811"/>
      <c r="V7" s="1811"/>
      <c r="W7" s="1811"/>
      <c r="X7" s="1821"/>
      <c r="AC7" s="74" t="s">
        <v>307</v>
      </c>
      <c r="AD7" s="74" t="s">
        <v>0</v>
      </c>
      <c r="AE7" s="74" t="s">
        <v>306</v>
      </c>
    </row>
    <row r="8" spans="1:61" s="752" customFormat="1" hidden="1" x14ac:dyDescent="0.25">
      <c r="A8" s="18"/>
      <c r="B8" s="18"/>
      <c r="C8" s="18"/>
      <c r="D8" s="18"/>
      <c r="E8" s="18"/>
      <c r="F8" s="18"/>
      <c r="G8" s="18"/>
      <c r="H8" s="18"/>
      <c r="I8" s="754"/>
      <c r="J8" s="950"/>
      <c r="K8" s="754"/>
      <c r="L8" s="753"/>
      <c r="M8" s="753"/>
      <c r="N8" s="753"/>
      <c r="O8" s="35"/>
      <c r="P8" s="753"/>
      <c r="Q8" s="753"/>
      <c r="R8" s="753"/>
      <c r="S8" s="753"/>
      <c r="T8" s="753"/>
      <c r="U8" s="753"/>
      <c r="V8" s="753"/>
      <c r="W8" s="753"/>
      <c r="X8" s="754"/>
      <c r="Y8" s="780"/>
      <c r="AA8" s="783"/>
      <c r="AC8" s="751"/>
      <c r="AD8" s="751"/>
      <c r="AE8" s="751"/>
    </row>
    <row r="9" spans="1:61" ht="18.75" x14ac:dyDescent="0.3">
      <c r="A9" s="18" t="s">
        <v>247</v>
      </c>
      <c r="B9" s="18" t="s">
        <v>247</v>
      </c>
      <c r="C9" s="18" t="s">
        <v>247</v>
      </c>
      <c r="D9" s="18" t="s">
        <v>247</v>
      </c>
      <c r="E9" s="18" t="s">
        <v>247</v>
      </c>
      <c r="F9" s="18" t="s">
        <v>247</v>
      </c>
      <c r="G9" s="18" t="s">
        <v>247</v>
      </c>
      <c r="H9" s="760"/>
      <c r="I9" s="22" t="s">
        <v>772</v>
      </c>
      <c r="J9" s="730"/>
      <c r="K9" s="22"/>
      <c r="L9" s="23"/>
      <c r="M9" s="24"/>
      <c r="N9" s="76" t="s">
        <v>247</v>
      </c>
      <c r="O9" s="24"/>
      <c r="P9" s="76" t="s">
        <v>247</v>
      </c>
      <c r="Q9" s="76" t="s">
        <v>247</v>
      </c>
      <c r="R9" s="76" t="s">
        <v>247</v>
      </c>
      <c r="S9" s="76" t="s">
        <v>247</v>
      </c>
      <c r="T9" s="76" t="s">
        <v>247</v>
      </c>
      <c r="U9" s="76" t="s">
        <v>247</v>
      </c>
      <c r="V9" s="76" t="s">
        <v>247</v>
      </c>
      <c r="W9" s="23"/>
      <c r="X9" s="23"/>
      <c r="Y9" s="779" t="s">
        <v>247</v>
      </c>
      <c r="Z9" s="73" t="s">
        <v>247</v>
      </c>
      <c r="AA9" s="781" t="s">
        <v>247</v>
      </c>
      <c r="AB9" s="750" t="s">
        <v>247</v>
      </c>
      <c r="AC9" s="73" t="s">
        <v>247</v>
      </c>
      <c r="AD9" s="73" t="s">
        <v>247</v>
      </c>
      <c r="AE9" s="73" t="s">
        <v>247</v>
      </c>
      <c r="AF9" s="73" t="s">
        <v>247</v>
      </c>
      <c r="AG9" s="73" t="s">
        <v>247</v>
      </c>
      <c r="AH9" s="73" t="s">
        <v>247</v>
      </c>
      <c r="AI9" s="73" t="s">
        <v>247</v>
      </c>
      <c r="AJ9" s="73" t="s">
        <v>247</v>
      </c>
      <c r="AK9" s="73" t="s">
        <v>247</v>
      </c>
      <c r="AL9" s="73" t="s">
        <v>247</v>
      </c>
      <c r="AM9" s="73" t="s">
        <v>247</v>
      </c>
      <c r="AN9" s="73" t="s">
        <v>247</v>
      </c>
      <c r="AO9" s="73" t="s">
        <v>247</v>
      </c>
      <c r="AP9" s="73" t="s">
        <v>247</v>
      </c>
      <c r="AQ9" s="73" t="s">
        <v>247</v>
      </c>
      <c r="AR9" s="73" t="s">
        <v>247</v>
      </c>
      <c r="AS9" s="73" t="s">
        <v>247</v>
      </c>
      <c r="AT9" s="73" t="s">
        <v>247</v>
      </c>
      <c r="AU9" s="73" t="s">
        <v>247</v>
      </c>
      <c r="AV9" s="73" t="s">
        <v>247</v>
      </c>
      <c r="AW9" s="73" t="s">
        <v>247</v>
      </c>
      <c r="AX9" s="73" t="s">
        <v>247</v>
      </c>
      <c r="AY9" s="73" t="s">
        <v>247</v>
      </c>
      <c r="AZ9" s="73" t="s">
        <v>247</v>
      </c>
      <c r="BA9" s="73" t="s">
        <v>247</v>
      </c>
      <c r="BB9" s="73" t="s">
        <v>247</v>
      </c>
      <c r="BC9" s="73" t="s">
        <v>247</v>
      </c>
      <c r="BD9" s="73" t="s">
        <v>247</v>
      </c>
      <c r="BE9" s="73" t="s">
        <v>247</v>
      </c>
      <c r="BF9" s="73" t="s">
        <v>247</v>
      </c>
      <c r="BG9" s="73" t="s">
        <v>247</v>
      </c>
      <c r="BH9" s="73" t="s">
        <v>247</v>
      </c>
      <c r="BI9" s="771" t="s">
        <v>247</v>
      </c>
    </row>
    <row r="10" spans="1:61" x14ac:dyDescent="0.25">
      <c r="B10" s="955" t="s">
        <v>773</v>
      </c>
      <c r="C10" s="21"/>
      <c r="D10" s="21"/>
      <c r="E10" s="21"/>
      <c r="F10" s="21"/>
      <c r="G10" s="21"/>
      <c r="H10" s="758"/>
      <c r="I10" s="907" t="s">
        <v>773</v>
      </c>
      <c r="J10" s="480"/>
      <c r="K10" s="129"/>
      <c r="L10" s="1782" t="s">
        <v>4374</v>
      </c>
      <c r="M10" s="826"/>
      <c r="N10" s="94"/>
      <c r="O10" s="838"/>
      <c r="P10" s="94"/>
      <c r="Q10" s="94"/>
      <c r="R10" s="94"/>
      <c r="S10" s="94"/>
      <c r="T10" s="94"/>
      <c r="U10" s="94"/>
      <c r="V10" s="94"/>
      <c r="W10" s="94"/>
      <c r="X10" s="94"/>
      <c r="BI10" s="775"/>
    </row>
    <row r="11" spans="1:61" s="816" customFormat="1" x14ac:dyDescent="0.25">
      <c r="A11" s="18"/>
      <c r="B11" s="955" t="s">
        <v>773</v>
      </c>
      <c r="C11" s="21"/>
      <c r="D11" s="21"/>
      <c r="E11" s="21"/>
      <c r="F11" s="21"/>
      <c r="G11" s="21"/>
      <c r="H11" s="758"/>
      <c r="I11" s="907"/>
      <c r="J11" s="480"/>
      <c r="K11" s="129"/>
      <c r="L11" s="1782"/>
      <c r="M11" s="826"/>
      <c r="N11" s="94"/>
      <c r="O11" s="838"/>
      <c r="P11" s="94"/>
      <c r="Q11" s="94"/>
      <c r="R11" s="94"/>
      <c r="S11" s="94"/>
      <c r="T11" s="94"/>
      <c r="U11" s="94"/>
      <c r="V11" s="94"/>
      <c r="W11" s="94"/>
      <c r="X11" s="94"/>
      <c r="AX11" s="75" t="str">
        <f>'Overview (Design)'!A10</f>
        <v>Builder Name:</v>
      </c>
      <c r="AY11" s="76">
        <f>'Overview (Design)'!G10</f>
        <v>0</v>
      </c>
      <c r="AZ11" s="76"/>
      <c r="BA11" s="76"/>
      <c r="BB11" s="76"/>
      <c r="BC11" s="76"/>
      <c r="BD11" s="76"/>
      <c r="BE11" s="76"/>
      <c r="BF11" s="76"/>
      <c r="BG11" s="76"/>
      <c r="BH11" s="76"/>
      <c r="BI11" s="775"/>
    </row>
    <row r="12" spans="1:61" s="816" customFormat="1" x14ac:dyDescent="0.25">
      <c r="A12" s="18"/>
      <c r="B12" s="955" t="s">
        <v>773</v>
      </c>
      <c r="C12" s="21"/>
      <c r="D12" s="21"/>
      <c r="E12" s="21"/>
      <c r="F12" s="21"/>
      <c r="G12" s="21"/>
      <c r="H12" s="758"/>
      <c r="I12" s="910"/>
      <c r="J12" s="524"/>
      <c r="K12" s="210"/>
      <c r="L12" s="1843"/>
      <c r="M12" s="826"/>
      <c r="N12" s="94"/>
      <c r="O12" s="838"/>
      <c r="P12" s="94"/>
      <c r="Q12" s="94"/>
      <c r="R12" s="94"/>
      <c r="S12" s="94"/>
      <c r="T12" s="94"/>
      <c r="U12" s="94"/>
      <c r="V12" s="94"/>
      <c r="W12" s="94"/>
      <c r="X12" s="94"/>
      <c r="AX12" s="75" t="str">
        <f>'Overview (Design)'!A11</f>
        <v>Physical Address of Home:</v>
      </c>
      <c r="AY12" s="76">
        <f>'Overview (Design)'!G11</f>
        <v>0</v>
      </c>
      <c r="AZ12" s="76"/>
      <c r="BA12" s="76"/>
      <c r="BB12" s="76"/>
      <c r="BC12" s="76"/>
      <c r="BD12" s="76"/>
      <c r="BE12" s="76"/>
      <c r="BF12" s="76"/>
      <c r="BG12" s="76"/>
      <c r="BH12" s="76"/>
      <c r="BI12" s="775"/>
    </row>
    <row r="13" spans="1:61" s="816" customFormat="1" x14ac:dyDescent="0.25">
      <c r="A13" s="18"/>
      <c r="B13" s="955">
        <v>801.1</v>
      </c>
      <c r="C13" s="21"/>
      <c r="D13" s="21"/>
      <c r="E13" s="21"/>
      <c r="F13" s="21"/>
      <c r="G13" s="21"/>
      <c r="H13" s="758"/>
      <c r="I13" s="130">
        <v>801.1</v>
      </c>
      <c r="J13" s="480"/>
      <c r="K13" s="129"/>
      <c r="L13" s="1922" t="s">
        <v>4823</v>
      </c>
      <c r="M13" s="826"/>
      <c r="N13" s="94"/>
      <c r="O13" s="838"/>
      <c r="P13" s="94" t="b">
        <v>1</v>
      </c>
      <c r="Q13" s="94" t="b">
        <v>0</v>
      </c>
      <c r="R13" s="94" t="b">
        <v>1</v>
      </c>
      <c r="S13" s="582" t="b">
        <v>1</v>
      </c>
      <c r="T13" s="582" t="b">
        <v>0</v>
      </c>
      <c r="U13" s="94" t="str">
        <f>SUBSTITUTE(SUBSTITUTE(SUBSTITUTE("dd"&amp;B13&amp;C13&amp;D13&amp;E13&amp;F13,".","_"),"(","_"),")","")</f>
        <v>dd801_1</v>
      </c>
      <c r="V13" s="94"/>
      <c r="W13" s="12"/>
      <c r="X13" s="1757"/>
      <c r="AP13" s="254" t="str">
        <f>SUBSTITUTE(SUBSTITUTE(SUBSTITUTE("dch"&amp;$B13&amp;$C13&amp;$D13&amp;$E13,".","_"),"(","_"),")","")</f>
        <v>dch801_1</v>
      </c>
      <c r="AQ13" s="254" t="str">
        <f>IF(LEN(W13)=0,"",W13)</f>
        <v/>
      </c>
      <c r="AR13" s="254" t="str">
        <f>SUBSTITUTE(SUBSTITUTE(SUBSTITUTE("dnt"&amp;$B13&amp;$C13&amp;$D13&amp;$E13,".","_"),"(","_"),")","")</f>
        <v>dnt801_1</v>
      </c>
      <c r="AS13" s="254" t="str">
        <f>IF(LEN(X13)=0,"",X13)</f>
        <v/>
      </c>
      <c r="AX13" s="75" t="str">
        <f>'Overview (Design)'!A12</f>
        <v>Community/Lot #:</v>
      </c>
      <c r="AY13" s="76">
        <f>'Overview (Design)'!G12</f>
        <v>0</v>
      </c>
      <c r="AZ13" s="76"/>
      <c r="BA13" s="76"/>
      <c r="BB13" s="76"/>
      <c r="BC13" s="76"/>
      <c r="BD13" s="76"/>
      <c r="BE13" s="76"/>
      <c r="BF13" s="76"/>
      <c r="BG13" s="76"/>
      <c r="BH13" s="76"/>
      <c r="BI13" s="775"/>
    </row>
    <row r="14" spans="1:61" s="816" customFormat="1" x14ac:dyDescent="0.25">
      <c r="A14" s="18"/>
      <c r="B14" s="955">
        <v>801.1</v>
      </c>
      <c r="C14" s="21"/>
      <c r="D14" s="21"/>
      <c r="E14" s="21"/>
      <c r="F14" s="21"/>
      <c r="G14" s="21"/>
      <c r="H14" s="758"/>
      <c r="I14" s="907"/>
      <c r="J14" s="480"/>
      <c r="K14" s="129"/>
      <c r="L14" s="1922"/>
      <c r="M14" s="826"/>
      <c r="N14" s="94"/>
      <c r="O14" s="838"/>
      <c r="P14" s="94"/>
      <c r="Q14" s="94"/>
      <c r="R14" s="94" t="s">
        <v>3381</v>
      </c>
      <c r="S14" s="94">
        <f ca="1">IFERROR(MATCH(W13,INDIRECT(U13),0),0)</f>
        <v>0</v>
      </c>
      <c r="T14" s="94"/>
      <c r="U14" s="94"/>
      <c r="V14" s="94"/>
      <c r="W14" s="94"/>
      <c r="X14" s="1757"/>
      <c r="AX14" s="75" t="str">
        <f>'Overview (Design)'!A13</f>
        <v>City:</v>
      </c>
      <c r="AY14" s="76">
        <f>'Overview (Design)'!G13</f>
        <v>0</v>
      </c>
      <c r="AZ14" s="76"/>
      <c r="BA14" s="76"/>
      <c r="BB14" s="76"/>
      <c r="BC14" s="76"/>
      <c r="BD14" s="76"/>
      <c r="BE14" s="76"/>
      <c r="BF14" s="76"/>
      <c r="BG14" s="76"/>
      <c r="BH14" s="76"/>
      <c r="BI14" s="775"/>
    </row>
    <row r="15" spans="1:61" s="816" customFormat="1" x14ac:dyDescent="0.25">
      <c r="A15" s="18"/>
      <c r="B15" s="955">
        <v>801.1</v>
      </c>
      <c r="C15" s="21"/>
      <c r="D15" s="21"/>
      <c r="E15" s="21"/>
      <c r="F15" s="21"/>
      <c r="G15" s="21"/>
      <c r="H15" s="758"/>
      <c r="I15" s="907"/>
      <c r="J15" s="480"/>
      <c r="K15" s="129"/>
      <c r="L15" s="1922"/>
      <c r="M15" s="826"/>
      <c r="N15" s="94"/>
      <c r="O15" s="838"/>
      <c r="P15" s="94"/>
      <c r="Q15" s="94"/>
      <c r="R15" s="94"/>
      <c r="S15" s="94"/>
      <c r="T15" s="94"/>
      <c r="U15" s="94"/>
      <c r="V15" s="94"/>
      <c r="W15" s="94"/>
      <c r="X15" s="1757"/>
      <c r="AX15" s="75" t="str">
        <f>'Overview (Design)'!A14</f>
        <v>State:</v>
      </c>
      <c r="AY15" s="76">
        <f>'Overview (Design)'!G14</f>
        <v>0</v>
      </c>
      <c r="AZ15" s="76"/>
      <c r="BA15" s="76"/>
      <c r="BB15" s="76"/>
      <c r="BC15" s="76" t="str">
        <f>'Overview (Design)'!K14</f>
        <v>State</v>
      </c>
      <c r="BD15" s="76" t="str">
        <f>'Overview (Design)'!L14</f>
        <v>County</v>
      </c>
      <c r="BE15" s="76" t="str">
        <f>'Overview (Design)'!M14</f>
        <v>Radon</v>
      </c>
      <c r="BF15" s="76" t="str">
        <f>'Overview (Design)'!N14</f>
        <v>Climate</v>
      </c>
      <c r="BG15" s="76" t="str">
        <f>'Overview (Design)'!O14</f>
        <v>Moist</v>
      </c>
      <c r="BH15" s="76" t="str">
        <f>'Overview (Design)'!P14</f>
        <v>WarmHumid</v>
      </c>
      <c r="BI15" s="775" t="str">
        <f>'Overview (Design)'!Q14</f>
        <v>Tropical</v>
      </c>
    </row>
    <row r="16" spans="1:61" s="816" customFormat="1" x14ac:dyDescent="0.25">
      <c r="A16" s="18"/>
      <c r="B16" s="955">
        <v>801.1</v>
      </c>
      <c r="C16" s="21"/>
      <c r="D16" s="21"/>
      <c r="E16" s="21"/>
      <c r="F16" s="21"/>
      <c r="G16" s="21"/>
      <c r="H16" s="758"/>
      <c r="I16" s="907"/>
      <c r="J16" s="480"/>
      <c r="K16" s="129"/>
      <c r="L16" s="1922"/>
      <c r="M16" s="826"/>
      <c r="N16" s="94"/>
      <c r="O16" s="838"/>
      <c r="P16" s="94"/>
      <c r="Q16" s="94"/>
      <c r="R16" s="94"/>
      <c r="S16" s="94"/>
      <c r="T16" s="94"/>
      <c r="U16" s="94"/>
      <c r="V16" s="94"/>
      <c r="W16" s="94"/>
      <c r="X16" s="1757"/>
      <c r="AX16" s="75" t="str">
        <f>'Overview (Design)'!A15</f>
        <v>County:</v>
      </c>
      <c r="AY16" s="76">
        <f>'Overview (Design)'!G15</f>
        <v>0</v>
      </c>
      <c r="AZ16" s="76"/>
      <c r="BA16" s="76"/>
      <c r="BB16" s="76"/>
      <c r="BC16" s="76">
        <f>'Overview (Design)'!K15</f>
        <v>0</v>
      </c>
      <c r="BD16" s="76" t="str">
        <f>'Overview (Design)'!L15</f>
        <v/>
      </c>
      <c r="BE16" s="76" t="str">
        <f>'Overview (Design)'!M15</f>
        <v>!!</v>
      </c>
      <c r="BF16" s="76" t="str">
        <f>'Overview (Design)'!N15</f>
        <v>!!</v>
      </c>
      <c r="BG16" s="76" t="str">
        <f>'Overview (Design)'!O15</f>
        <v>!!</v>
      </c>
      <c r="BH16" s="76" t="str">
        <f>'Overview (Design)'!P15</f>
        <v>!!</v>
      </c>
      <c r="BI16" s="775" t="str">
        <f>'Overview (Design)'!Q15</f>
        <v>!!</v>
      </c>
    </row>
    <row r="17" spans="1:61" s="816" customFormat="1" x14ac:dyDescent="0.25">
      <c r="A17" s="18"/>
      <c r="B17" s="955">
        <v>801.1</v>
      </c>
      <c r="C17" s="21"/>
      <c r="D17" s="21"/>
      <c r="E17" s="21"/>
      <c r="F17" s="21"/>
      <c r="G17" s="21"/>
      <c r="H17" s="758"/>
      <c r="I17" s="907"/>
      <c r="J17" s="480"/>
      <c r="K17" s="129"/>
      <c r="L17" s="1922"/>
      <c r="M17" s="826"/>
      <c r="N17" s="94"/>
      <c r="O17" s="838"/>
      <c r="P17" s="94"/>
      <c r="Q17" s="94"/>
      <c r="R17" s="94"/>
      <c r="S17" s="94"/>
      <c r="T17" s="94"/>
      <c r="U17" s="94"/>
      <c r="V17" s="94"/>
      <c r="W17" s="94"/>
      <c r="X17" s="1757"/>
      <c r="AX17" s="75" t="str">
        <f>'Overview (Design)'!A16</f>
        <v>Zip:</v>
      </c>
      <c r="AY17" s="76">
        <f>'Overview (Design)'!G16</f>
        <v>0</v>
      </c>
      <c r="AZ17" s="76"/>
      <c r="BA17" s="76"/>
      <c r="BB17" s="76"/>
      <c r="BC17" s="76"/>
      <c r="BD17" s="76"/>
      <c r="BE17" s="76"/>
      <c r="BF17" s="76"/>
      <c r="BG17" s="76"/>
      <c r="BH17" s="76"/>
      <c r="BI17" s="76"/>
    </row>
    <row r="18" spans="1:61" s="816" customFormat="1" ht="15.75" thickBot="1" x14ac:dyDescent="0.3">
      <c r="A18" s="18"/>
      <c r="B18" s="955">
        <v>801.1</v>
      </c>
      <c r="C18" s="21"/>
      <c r="D18" s="21"/>
      <c r="E18" s="21"/>
      <c r="F18" s="21"/>
      <c r="G18" s="21"/>
      <c r="H18" s="758"/>
      <c r="I18" s="359"/>
      <c r="J18" s="481"/>
      <c r="K18" s="240"/>
      <c r="L18" s="1923"/>
      <c r="M18" s="830"/>
      <c r="N18" s="99"/>
      <c r="O18" s="839"/>
      <c r="P18" s="99"/>
      <c r="Q18" s="99"/>
      <c r="R18" s="99"/>
      <c r="S18" s="99"/>
      <c r="T18" s="99"/>
      <c r="U18" s="99"/>
      <c r="V18" s="99"/>
      <c r="W18" s="99"/>
      <c r="X18" s="1757"/>
      <c r="AX18" s="75"/>
      <c r="AY18" s="76"/>
      <c r="AZ18" s="76"/>
      <c r="BA18" s="76"/>
      <c r="BB18" s="76"/>
      <c r="BC18" s="76"/>
      <c r="BD18" s="76"/>
      <c r="BE18" s="76"/>
      <c r="BF18" s="76"/>
      <c r="BG18" s="76"/>
      <c r="BH18" s="76"/>
      <c r="BI18" s="76"/>
    </row>
    <row r="19" spans="1:61" s="816" customFormat="1" ht="19.5" thickTop="1" x14ac:dyDescent="0.3">
      <c r="A19" s="18"/>
      <c r="B19" s="679" t="s">
        <v>4397</v>
      </c>
      <c r="C19" s="21"/>
      <c r="D19" s="21"/>
      <c r="E19" s="21"/>
      <c r="F19" s="21"/>
      <c r="G19" s="21"/>
      <c r="H19" s="758"/>
      <c r="I19" s="14" t="s">
        <v>4398</v>
      </c>
      <c r="J19" s="14"/>
      <c r="K19" s="23"/>
      <c r="L19" s="229"/>
      <c r="M19" s="498"/>
      <c r="N19" s="508"/>
      <c r="O19" s="498"/>
      <c r="P19" s="23"/>
      <c r="Q19" s="23"/>
      <c r="R19" s="23"/>
      <c r="S19" s="23"/>
      <c r="T19" s="23"/>
      <c r="U19" s="23"/>
      <c r="V19" s="23"/>
      <c r="W19" s="23"/>
      <c r="X19" s="23"/>
      <c r="AX19" s="75" t="str">
        <f>'Overview (Design)'!A18</f>
        <v>Single-Family or Multifamily:</v>
      </c>
      <c r="AY19" s="76" t="str">
        <f>'Overview (Design)'!G18</f>
        <v>Single-Family</v>
      </c>
      <c r="AZ19" s="76"/>
      <c r="BA19" s="76"/>
      <c r="BB19" s="76"/>
      <c r="BC19" s="76"/>
      <c r="BD19" s="76"/>
      <c r="BE19" s="76"/>
      <c r="BF19" s="76"/>
      <c r="BG19" s="76"/>
      <c r="BH19" s="76"/>
      <c r="BI19" s="76"/>
    </row>
    <row r="20" spans="1:61" x14ac:dyDescent="0.25">
      <c r="B20" s="679">
        <v>802.1</v>
      </c>
      <c r="C20" s="21"/>
      <c r="D20" s="21"/>
      <c r="E20" s="21"/>
      <c r="F20" s="21"/>
      <c r="G20" s="21"/>
      <c r="H20" s="758"/>
      <c r="I20" s="64">
        <v>802.1</v>
      </c>
      <c r="J20" s="164"/>
      <c r="K20" s="4"/>
      <c r="L20" s="1796" t="s">
        <v>4396</v>
      </c>
      <c r="M20" s="428"/>
      <c r="N20" s="4"/>
      <c r="O20" s="1780">
        <f ca="1">IFERROR(INDEX({8,12,20,24,28,9},MATCH(W21,INDIRECT(U21),0)),0)*S21*NOT(T21)</f>
        <v>0</v>
      </c>
      <c r="AN20" s="254" t="str">
        <f>SUBSTITUTE(SUBSTITUTE(SUBSTITUTE("dpc"&amp;$B20&amp;$C20&amp;$D20&amp;$E20,".","_"),"(","_"),")","")</f>
        <v>dpc802_1</v>
      </c>
      <c r="AO20" s="254">
        <f ca="1">O20</f>
        <v>0</v>
      </c>
      <c r="AX20" s="75" t="str">
        <f>'Overview (Design)'!A19</f>
        <v>Number of Units:</v>
      </c>
      <c r="AY20" s="76">
        <f>'Overview (Design)'!G19</f>
        <v>0</v>
      </c>
    </row>
    <row r="21" spans="1:61" x14ac:dyDescent="0.25">
      <c r="B21" s="679">
        <v>802.1</v>
      </c>
      <c r="C21" s="21"/>
      <c r="D21" s="21"/>
      <c r="E21" s="21"/>
      <c r="F21" s="21"/>
      <c r="G21" s="21"/>
      <c r="H21" s="758"/>
      <c r="I21" s="64"/>
      <c r="J21" s="164"/>
      <c r="K21" s="4"/>
      <c r="L21" s="1796"/>
      <c r="M21" s="428"/>
      <c r="N21" s="4"/>
      <c r="O21" s="1780"/>
      <c r="P21" s="633" t="b">
        <v>1</v>
      </c>
      <c r="Q21" s="76" t="b">
        <v>1</v>
      </c>
      <c r="R21" s="134" t="b">
        <v>0</v>
      </c>
      <c r="S21" s="134" t="b">
        <f ca="1">AND(S23,S24=TRUE,S14=2)</f>
        <v>0</v>
      </c>
      <c r="T21" s="94" t="b">
        <f ca="1">OR(IF(AND(NOT(S21),LEN(W21)&gt;0),TRUE,FALSE),AND(W21=INDEX(INDIRECT(U21),6),NOT(AY19=INDEX(ddSingleOrMulti,2))))</f>
        <v>0</v>
      </c>
      <c r="U21" s="94" t="str">
        <f>SUBSTITUTE(SUBSTITUTE(SUBSTITUTE("dd"&amp;B21&amp;C21&amp;D21&amp;E21&amp;F21,".","_"),"(","_"),")","")</f>
        <v>dd802_1</v>
      </c>
      <c r="W21" s="12"/>
      <c r="AC21" s="353" t="b">
        <f ca="1">OR(AD21:AE21)</f>
        <v>0</v>
      </c>
      <c r="AD21" s="353" t="b">
        <f ca="1">T21</f>
        <v>0</v>
      </c>
      <c r="AE21" s="353"/>
      <c r="AL21" s="254"/>
      <c r="AM21" s="254"/>
      <c r="AN21" s="254"/>
      <c r="AO21" s="254"/>
      <c r="AP21" s="254" t="str">
        <f>SUBSTITUTE(SUBSTITUTE(SUBSTITUTE("dch"&amp;$B21&amp;$C21&amp;$D21&amp;$E21,".","_"),"(","_"),")","")</f>
        <v>dch802_1</v>
      </c>
      <c r="AQ21" s="254" t="str">
        <f>IF(LEN(W21)=0,"",W21)</f>
        <v/>
      </c>
      <c r="AR21" s="254"/>
      <c r="AS21" s="254"/>
      <c r="AX21" s="1100" t="str">
        <f>'Overview (Design)'!A20</f>
        <v>Building includes commercial space pursuing Commercial Space certification?</v>
      </c>
      <c r="AY21" s="1101">
        <f>'Overview (Design)'!G20</f>
        <v>0</v>
      </c>
    </row>
    <row r="22" spans="1:61" x14ac:dyDescent="0.25">
      <c r="B22" s="679">
        <v>802.1</v>
      </c>
      <c r="C22" s="21"/>
      <c r="D22" s="21"/>
      <c r="E22" s="21"/>
      <c r="F22" s="21"/>
      <c r="G22" s="21"/>
      <c r="H22" s="758"/>
      <c r="I22" s="64"/>
      <c r="J22" s="164"/>
      <c r="K22" s="4"/>
      <c r="L22" s="1796"/>
      <c r="M22" s="428"/>
      <c r="N22" s="4"/>
      <c r="O22" s="1780"/>
    </row>
    <row r="23" spans="1:61" x14ac:dyDescent="0.25">
      <c r="B23" s="679">
        <v>802.1</v>
      </c>
      <c r="C23" s="21"/>
      <c r="D23" s="21"/>
      <c r="E23" s="21"/>
      <c r="F23" s="21"/>
      <c r="G23" s="21"/>
      <c r="H23" s="758"/>
      <c r="I23" s="64"/>
      <c r="J23" s="164"/>
      <c r="K23" s="4"/>
      <c r="L23" s="1796"/>
      <c r="M23" s="428"/>
      <c r="N23" s="4"/>
      <c r="O23" s="1780"/>
      <c r="S23" s="1" t="b">
        <f>'Ch7'!S643</f>
        <v>1</v>
      </c>
    </row>
    <row r="24" spans="1:61" x14ac:dyDescent="0.25">
      <c r="B24" s="679">
        <v>802.1</v>
      </c>
      <c r="C24" s="21"/>
      <c r="D24" s="21"/>
      <c r="E24" s="21"/>
      <c r="F24" s="21"/>
      <c r="G24" s="21"/>
      <c r="H24" s="758"/>
      <c r="I24" s="64"/>
      <c r="J24" s="164"/>
      <c r="K24" s="4"/>
      <c r="L24" s="1796"/>
      <c r="M24" s="428"/>
      <c r="N24" s="4"/>
      <c r="O24" s="1780"/>
      <c r="S24" s="1">
        <f>'Ch7'!W643</f>
        <v>0</v>
      </c>
      <c r="AX24" s="75" t="str">
        <f>'Overview (Design)'!A23</f>
        <v>Project Name:</v>
      </c>
      <c r="AY24" s="76">
        <f>'Overview (Design)'!G23</f>
        <v>0</v>
      </c>
    </row>
    <row r="25" spans="1:61" x14ac:dyDescent="0.25">
      <c r="B25" s="679">
        <v>802.1</v>
      </c>
      <c r="C25" s="21"/>
      <c r="D25" s="21"/>
      <c r="E25" s="21"/>
      <c r="F25" s="21"/>
      <c r="G25" s="21"/>
      <c r="H25" s="758"/>
      <c r="I25" s="64"/>
      <c r="J25" s="164"/>
      <c r="K25" s="4"/>
      <c r="L25" s="1924" t="s">
        <v>774</v>
      </c>
      <c r="M25" s="428"/>
      <c r="N25" s="4"/>
      <c r="O25" s="141"/>
      <c r="AX25" s="75"/>
    </row>
    <row r="26" spans="1:61" x14ac:dyDescent="0.25">
      <c r="B26" s="679">
        <v>802.1</v>
      </c>
      <c r="C26" s="21"/>
      <c r="D26" s="21"/>
      <c r="E26" s="21"/>
      <c r="F26" s="21"/>
      <c r="G26" s="21"/>
      <c r="H26" s="758"/>
      <c r="I26" s="64"/>
      <c r="J26" s="164"/>
      <c r="K26" s="4"/>
      <c r="L26" s="1924"/>
      <c r="M26" s="428"/>
      <c r="N26" s="4"/>
      <c r="O26" s="141"/>
      <c r="AX26" s="75" t="str">
        <f>'Overview (Design)'!A25</f>
        <v>Above grade plane finished floor area:</v>
      </c>
      <c r="AY26" s="76">
        <f>'Overview (Design)'!G25</f>
        <v>0</v>
      </c>
    </row>
    <row r="27" spans="1:61" x14ac:dyDescent="0.25">
      <c r="B27" s="679">
        <v>802.1</v>
      </c>
      <c r="C27" s="21"/>
      <c r="D27" s="21"/>
      <c r="E27" s="21"/>
      <c r="F27" s="21"/>
      <c r="G27" s="21"/>
      <c r="H27" s="758"/>
      <c r="I27" s="64"/>
      <c r="J27" s="164"/>
      <c r="K27" s="4"/>
      <c r="L27" s="1924"/>
      <c r="M27" s="428"/>
      <c r="N27" s="4"/>
      <c r="O27" s="141"/>
      <c r="AX27" s="75" t="str">
        <f>'Overview (Design)'!A26</f>
        <v>Total conditioned floor area:</v>
      </c>
      <c r="AY27" s="76">
        <f>'Overview (Design)'!G26</f>
        <v>0</v>
      </c>
    </row>
    <row r="28" spans="1:61" ht="15" customHeight="1" x14ac:dyDescent="0.25">
      <c r="B28" s="679">
        <v>802.1</v>
      </c>
      <c r="C28" s="21"/>
      <c r="D28" s="21"/>
      <c r="E28" s="21"/>
      <c r="F28" s="21"/>
      <c r="G28" s="21"/>
      <c r="H28" s="758"/>
      <c r="I28" s="64"/>
      <c r="J28" s="164"/>
      <c r="K28" s="4"/>
      <c r="L28" s="1924" t="s">
        <v>775</v>
      </c>
      <c r="M28" s="428"/>
      <c r="N28" s="4"/>
      <c r="O28" s="141"/>
      <c r="AX28" s="441" t="str">
        <f>'Overview (Design)'!A27</f>
        <v>Stories above grade:</v>
      </c>
      <c r="AY28" s="442">
        <f>'Overview (Design)'!G27</f>
        <v>0</v>
      </c>
    </row>
    <row r="29" spans="1:61" x14ac:dyDescent="0.25">
      <c r="B29" s="679">
        <v>802.1</v>
      </c>
      <c r="C29" s="21"/>
      <c r="D29" s="21"/>
      <c r="E29" s="21"/>
      <c r="F29" s="21"/>
      <c r="G29" s="21"/>
      <c r="H29" s="758"/>
      <c r="I29" s="64"/>
      <c r="J29" s="164"/>
      <c r="K29" s="4"/>
      <c r="L29" s="1924"/>
      <c r="M29" s="428"/>
      <c r="N29" s="4"/>
      <c r="O29" s="141"/>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1:61" x14ac:dyDescent="0.25">
      <c r="B30" s="679">
        <v>802.1</v>
      </c>
      <c r="C30" s="21"/>
      <c r="D30" s="21"/>
      <c r="E30" s="21"/>
      <c r="F30" s="21"/>
      <c r="G30" s="21"/>
      <c r="H30" s="758"/>
      <c r="I30" s="64"/>
      <c r="J30" s="164"/>
      <c r="K30" s="4"/>
      <c r="L30" s="1924"/>
      <c r="M30" s="428"/>
      <c r="N30" s="4"/>
      <c r="O30" s="141"/>
    </row>
    <row r="31" spans="1:61" x14ac:dyDescent="0.25">
      <c r="B31" s="679">
        <v>802.1</v>
      </c>
      <c r="C31" s="21"/>
      <c r="D31" s="21"/>
      <c r="E31" s="21"/>
      <c r="F31" s="21"/>
      <c r="G31" s="21"/>
      <c r="H31" s="758"/>
      <c r="I31" s="64"/>
      <c r="J31" s="164"/>
      <c r="K31" s="4"/>
      <c r="L31" s="338" t="s">
        <v>776</v>
      </c>
      <c r="M31" s="428"/>
      <c r="N31" s="4"/>
      <c r="O31" s="141"/>
      <c r="AX31" s="75" t="str">
        <f>'Overview (Design)'!A30</f>
        <v xml:space="preserve">Project Description (optional): </v>
      </c>
      <c r="AY31" s="76">
        <f>'Overview (Design)'!G30</f>
        <v>0</v>
      </c>
    </row>
    <row r="32" spans="1:61" x14ac:dyDescent="0.25">
      <c r="B32" s="679">
        <v>802.1</v>
      </c>
      <c r="C32" s="21"/>
      <c r="D32" s="21"/>
      <c r="E32" s="21"/>
      <c r="F32" s="21"/>
      <c r="G32" s="21"/>
      <c r="H32" s="758"/>
      <c r="I32" s="64"/>
      <c r="J32" s="164"/>
      <c r="K32" s="4"/>
      <c r="L32" s="436" t="s">
        <v>4586</v>
      </c>
      <c r="M32" s="428"/>
      <c r="N32" s="4"/>
      <c r="O32" s="141"/>
      <c r="P32" s="341"/>
      <c r="Q32" s="341"/>
      <c r="R32" s="341"/>
      <c r="S32" s="341"/>
      <c r="T32" s="341"/>
      <c r="U32" s="341"/>
      <c r="V32" s="341"/>
      <c r="W32" s="341"/>
      <c r="X32" s="341"/>
      <c r="Z32" s="341"/>
      <c r="AB32" s="341"/>
      <c r="AC32" s="341"/>
      <c r="AD32" s="341"/>
      <c r="AE32" s="341"/>
      <c r="AF32" s="341"/>
      <c r="AG32" s="341"/>
      <c r="AH32" s="341"/>
      <c r="AI32" s="341"/>
      <c r="AJ32" s="341"/>
      <c r="AK32" s="341"/>
      <c r="AL32" s="341"/>
      <c r="AM32" s="341"/>
      <c r="AN32" s="341"/>
      <c r="AO32" s="341"/>
      <c r="AP32" s="341"/>
      <c r="AQ32" s="341"/>
      <c r="AR32" s="341"/>
      <c r="AS32" s="341"/>
      <c r="AT32" s="341"/>
      <c r="AU32" s="341"/>
    </row>
    <row r="33" spans="1:61" x14ac:dyDescent="0.25">
      <c r="B33" s="679">
        <v>802.1</v>
      </c>
      <c r="C33" s="21"/>
      <c r="D33" s="21"/>
      <c r="E33" s="21"/>
      <c r="F33" s="21"/>
      <c r="G33" s="21"/>
      <c r="H33" s="758"/>
      <c r="I33" s="64"/>
      <c r="J33" s="164"/>
      <c r="K33" s="4"/>
      <c r="L33" s="436" t="s">
        <v>4587</v>
      </c>
      <c r="M33" s="428"/>
      <c r="N33" s="4"/>
      <c r="O33" s="141"/>
      <c r="P33" s="341"/>
      <c r="Q33" s="341"/>
      <c r="R33" s="341"/>
      <c r="S33" s="341"/>
      <c r="T33" s="341"/>
      <c r="U33" s="341"/>
      <c r="V33" s="341"/>
      <c r="W33" s="341"/>
      <c r="X33" s="341"/>
      <c r="Z33" s="341"/>
      <c r="AB33" s="341"/>
      <c r="AC33" s="341"/>
      <c r="AD33" s="341"/>
      <c r="AE33" s="341"/>
      <c r="AF33" s="341"/>
      <c r="AG33" s="341"/>
      <c r="AH33" s="341"/>
      <c r="AI33" s="341"/>
      <c r="AJ33" s="341"/>
      <c r="AK33" s="341"/>
      <c r="AL33" s="341"/>
      <c r="AM33" s="341"/>
      <c r="AN33" s="341"/>
      <c r="AO33" s="341"/>
      <c r="AP33" s="341"/>
      <c r="AQ33" s="341"/>
      <c r="AR33" s="341"/>
      <c r="AS33" s="341"/>
      <c r="AT33" s="341"/>
      <c r="AU33" s="341"/>
      <c r="AX33" s="75" t="str">
        <f>'Overview (Design)'!A32</f>
        <v>Foundation Type:</v>
      </c>
      <c r="AY33" s="76">
        <f>'Overview (Design)'!G32</f>
        <v>0</v>
      </c>
    </row>
    <row r="34" spans="1:61" x14ac:dyDescent="0.25">
      <c r="B34" s="679">
        <v>802.1</v>
      </c>
      <c r="C34" s="21" t="s">
        <v>256</v>
      </c>
      <c r="D34" s="21"/>
      <c r="E34" s="21"/>
      <c r="F34" s="758"/>
      <c r="G34" s="21"/>
      <c r="H34" s="758"/>
      <c r="I34" s="64"/>
      <c r="J34" s="907" t="s">
        <v>256</v>
      </c>
      <c r="K34" s="129"/>
      <c r="L34" s="1754" t="s">
        <v>777</v>
      </c>
      <c r="M34" s="1758">
        <v>8</v>
      </c>
      <c r="N34" s="4"/>
      <c r="O34" s="141"/>
      <c r="X34" s="1757"/>
      <c r="AL34" s="254" t="str">
        <f>SUBSTITUTE(SUBSTITUTE(SUBSTITUTE("dpa"&amp;$B34&amp;$C34&amp;$D34&amp;$E34,".","_"),"(","_"),")","")</f>
        <v>dpa802_1_1</v>
      </c>
      <c r="AM34" s="254">
        <f>M34</f>
        <v>8</v>
      </c>
      <c r="AR34" s="254" t="str">
        <f>SUBSTITUTE(SUBSTITUTE(SUBSTITUTE("dnt"&amp;$B34&amp;$C34&amp;$D34&amp;$E34,".","_"),"(","_"),")","")</f>
        <v>dnt802_1_1</v>
      </c>
      <c r="AS34" s="254" t="str">
        <f>IF(LEN(X34)=0,"",X34)</f>
        <v/>
      </c>
      <c r="AX34" s="441"/>
      <c r="AY34" s="442"/>
    </row>
    <row r="35" spans="1:61" x14ac:dyDescent="0.25">
      <c r="B35" s="679">
        <v>802.1</v>
      </c>
      <c r="C35" s="21" t="s">
        <v>256</v>
      </c>
      <c r="D35" s="21"/>
      <c r="E35" s="21"/>
      <c r="F35" s="758"/>
      <c r="G35" s="21"/>
      <c r="H35" s="758"/>
      <c r="I35" s="64"/>
      <c r="J35" s="910"/>
      <c r="K35" s="210"/>
      <c r="L35" s="1755"/>
      <c r="M35" s="1759"/>
      <c r="N35" s="4"/>
      <c r="O35" s="141"/>
      <c r="X35" s="1757"/>
      <c r="AX35" s="75" t="str">
        <f>'Overview (Design)'!A34</f>
        <v>Type of Heating System (main system):</v>
      </c>
      <c r="AY35" s="76">
        <f>'Overview (Design)'!G34</f>
        <v>0</v>
      </c>
    </row>
    <row r="36" spans="1:61" x14ac:dyDescent="0.25">
      <c r="B36" s="679">
        <v>802.1</v>
      </c>
      <c r="C36" s="21" t="s">
        <v>258</v>
      </c>
      <c r="D36" s="21"/>
      <c r="E36" s="21"/>
      <c r="F36" s="758"/>
      <c r="G36" s="21"/>
      <c r="H36" s="758"/>
      <c r="I36" s="64"/>
      <c r="J36" s="907" t="s">
        <v>258</v>
      </c>
      <c r="K36" s="129"/>
      <c r="L36" s="1754" t="s">
        <v>778</v>
      </c>
      <c r="M36" s="1758">
        <v>12</v>
      </c>
      <c r="N36" s="4"/>
      <c r="O36" s="141"/>
      <c r="X36" s="1757"/>
      <c r="AL36" s="254" t="str">
        <f>SUBSTITUTE(SUBSTITUTE(SUBSTITUTE("dpa"&amp;$B36&amp;$C36&amp;$D36&amp;$E36,".","_"),"(","_"),")","")</f>
        <v>dpa802_1_2</v>
      </c>
      <c r="AM36" s="254">
        <f>M36</f>
        <v>12</v>
      </c>
      <c r="AX36" s="75" t="str">
        <f>'Overview (Design)'!A35</f>
        <v>Type of Heating System (system 2):</v>
      </c>
      <c r="AY36" s="76">
        <f>'Overview (Design)'!G35</f>
        <v>0</v>
      </c>
    </row>
    <row r="37" spans="1:61" x14ac:dyDescent="0.25">
      <c r="B37" s="679">
        <v>802.1</v>
      </c>
      <c r="C37" s="21" t="s">
        <v>258</v>
      </c>
      <c r="D37" s="21"/>
      <c r="E37" s="21"/>
      <c r="F37" s="758"/>
      <c r="G37" s="21"/>
      <c r="H37" s="758"/>
      <c r="I37" s="64"/>
      <c r="J37" s="910"/>
      <c r="K37" s="210"/>
      <c r="L37" s="1755"/>
      <c r="M37" s="1759"/>
      <c r="N37" s="4"/>
      <c r="O37" s="141"/>
      <c r="X37" s="1757"/>
      <c r="AX37" s="75" t="str">
        <f>'Overview (Design)'!A36</f>
        <v>Type of Heating System (system 3):</v>
      </c>
      <c r="AY37" s="76">
        <f>'Overview (Design)'!G36</f>
        <v>0</v>
      </c>
    </row>
    <row r="38" spans="1:61" x14ac:dyDescent="0.25">
      <c r="B38" s="679">
        <v>802.1</v>
      </c>
      <c r="C38" s="21" t="s">
        <v>260</v>
      </c>
      <c r="D38" s="21"/>
      <c r="E38" s="21"/>
      <c r="F38" s="758"/>
      <c r="G38" s="21"/>
      <c r="H38" s="758"/>
      <c r="I38" s="64"/>
      <c r="J38" s="907" t="s">
        <v>260</v>
      </c>
      <c r="K38" s="129"/>
      <c r="L38" s="1754" t="s">
        <v>779</v>
      </c>
      <c r="M38" s="1758">
        <v>20</v>
      </c>
      <c r="N38" s="4"/>
      <c r="O38" s="141"/>
      <c r="X38" s="1757"/>
      <c r="AL38" s="254" t="str">
        <f>SUBSTITUTE(SUBSTITUTE(SUBSTITUTE("dpa"&amp;$B38&amp;$C38&amp;$D38&amp;$E38,".","_"),"(","_"),")","")</f>
        <v>dpa802_1_3</v>
      </c>
      <c r="AM38" s="254">
        <f>M38</f>
        <v>20</v>
      </c>
      <c r="AX38" s="75" t="str">
        <f>'Overview (Design)'!A37</f>
        <v>Primary Heating Fuel:</v>
      </c>
      <c r="AY38" s="76">
        <f>'Overview (Design)'!G37</f>
        <v>0</v>
      </c>
    </row>
    <row r="39" spans="1:61" x14ac:dyDescent="0.25">
      <c r="B39" s="679">
        <v>802.1</v>
      </c>
      <c r="C39" s="21" t="s">
        <v>260</v>
      </c>
      <c r="D39" s="21"/>
      <c r="E39" s="21"/>
      <c r="F39" s="758"/>
      <c r="G39" s="21"/>
      <c r="H39" s="758"/>
      <c r="I39" s="64"/>
      <c r="J39" s="910"/>
      <c r="K39" s="210"/>
      <c r="L39" s="1755"/>
      <c r="M39" s="1759"/>
      <c r="N39" s="4"/>
      <c r="O39" s="141"/>
      <c r="X39" s="1757"/>
      <c r="AX39" s="441" t="str">
        <f>'Overview (Design)'!A38</f>
        <v>Heating Ducts:</v>
      </c>
      <c r="AY39" s="442">
        <f>'Overview (Design)'!G38</f>
        <v>0</v>
      </c>
      <c r="AZ39" s="134"/>
      <c r="BA39" s="134"/>
      <c r="BB39" s="134"/>
      <c r="BC39" s="134"/>
      <c r="BD39" s="134"/>
      <c r="BE39" s="134"/>
      <c r="BF39" s="134"/>
      <c r="BG39" s="134"/>
      <c r="BH39" s="134"/>
      <c r="BI39" s="134"/>
    </row>
    <row r="40" spans="1:61" x14ac:dyDescent="0.25">
      <c r="B40" s="679">
        <v>802.1</v>
      </c>
      <c r="C40" s="21" t="s">
        <v>269</v>
      </c>
      <c r="D40" s="21"/>
      <c r="E40" s="21"/>
      <c r="F40" s="758"/>
      <c r="G40" s="21"/>
      <c r="H40" s="758"/>
      <c r="I40" s="64"/>
      <c r="J40" s="78" t="s">
        <v>269</v>
      </c>
      <c r="K40" s="4"/>
      <c r="L40" s="1779" t="s">
        <v>780</v>
      </c>
      <c r="M40" s="1767">
        <v>24</v>
      </c>
      <c r="N40" s="4"/>
      <c r="O40" s="141"/>
      <c r="X40" s="1757"/>
      <c r="AL40" s="254" t="str">
        <f>SUBSTITUTE(SUBSTITUTE(SUBSTITUTE("dpa"&amp;$B40&amp;$C40&amp;$D40&amp;$E40,".","_"),"(","_"),")","")</f>
        <v>dpa802_1_4</v>
      </c>
      <c r="AM40" s="254">
        <f>M40</f>
        <v>24</v>
      </c>
      <c r="AX40" s="441" t="str">
        <f>'Overview (Design)'!A39</f>
        <v>Type of Cooling System (main system):</v>
      </c>
      <c r="AY40" s="442">
        <f>'Overview (Design)'!G39</f>
        <v>0</v>
      </c>
    </row>
    <row r="41" spans="1:61" x14ac:dyDescent="0.25">
      <c r="B41" s="679">
        <v>802.1</v>
      </c>
      <c r="C41" s="21" t="s">
        <v>269</v>
      </c>
      <c r="D41" s="21"/>
      <c r="E41" s="21"/>
      <c r="F41" s="758"/>
      <c r="G41" s="21"/>
      <c r="H41" s="758"/>
      <c r="I41" s="64"/>
      <c r="J41" s="164"/>
      <c r="K41" s="4"/>
      <c r="L41" s="1779"/>
      <c r="M41" s="1767"/>
      <c r="N41" s="4"/>
      <c r="O41" s="141"/>
      <c r="X41" s="1757"/>
      <c r="AX41" s="441" t="str">
        <f>'Overview (Design)'!A40</f>
        <v>Type of Cooling System (system 2):</v>
      </c>
      <c r="AY41" s="442">
        <f>'Overview (Design)'!G40</f>
        <v>0</v>
      </c>
    </row>
    <row r="42" spans="1:61" x14ac:dyDescent="0.25">
      <c r="B42" s="679">
        <v>802.1</v>
      </c>
      <c r="C42" s="21" t="s">
        <v>269</v>
      </c>
      <c r="D42" s="21"/>
      <c r="E42" s="21"/>
      <c r="F42" s="758"/>
      <c r="G42" s="21"/>
      <c r="H42" s="758"/>
      <c r="I42" s="64"/>
      <c r="J42" s="164"/>
      <c r="K42" s="4"/>
      <c r="L42" s="1779"/>
      <c r="M42" s="1767"/>
      <c r="N42" s="4"/>
      <c r="O42" s="141"/>
      <c r="X42" s="1757"/>
      <c r="AX42" s="441" t="str">
        <f>'Overview (Design)'!A41</f>
        <v>Type of Cooling System (system 3):</v>
      </c>
      <c r="AY42" s="442">
        <f>'Overview (Design)'!G41</f>
        <v>0</v>
      </c>
    </row>
    <row r="43" spans="1:61" x14ac:dyDescent="0.25">
      <c r="B43" s="679">
        <v>802.1</v>
      </c>
      <c r="C43" s="21" t="s">
        <v>269</v>
      </c>
      <c r="D43" s="21" t="s">
        <v>121</v>
      </c>
      <c r="E43" s="21"/>
      <c r="F43" s="758"/>
      <c r="G43" s="21"/>
      <c r="H43" s="758"/>
      <c r="I43" s="4"/>
      <c r="J43" s="480"/>
      <c r="K43" s="183" t="s">
        <v>121</v>
      </c>
      <c r="L43" s="1754" t="s">
        <v>781</v>
      </c>
      <c r="M43" s="1758" t="s">
        <v>782</v>
      </c>
      <c r="N43" s="4"/>
      <c r="O43" s="141"/>
      <c r="X43" s="1757"/>
      <c r="AL43" s="254" t="str">
        <f>SUBSTITUTE(SUBSTITUTE(SUBSTITUTE("dpa"&amp;$B43&amp;$C43&amp;$D43&amp;$E43,".","_"),"(","_"),")","")</f>
        <v>dpa802_1_4_a</v>
      </c>
      <c r="AM43" s="254" t="str">
        <f>M43</f>
        <v>4 Additional</v>
      </c>
      <c r="AX43" s="441" t="str">
        <f>'Overview (Design)'!A42</f>
        <v>Cooling Ducts:</v>
      </c>
      <c r="AY43" s="442">
        <f>'Overview (Design)'!G42</f>
        <v>0</v>
      </c>
    </row>
    <row r="44" spans="1:61" x14ac:dyDescent="0.25">
      <c r="B44" s="679">
        <v>802.1</v>
      </c>
      <c r="C44" s="21" t="s">
        <v>269</v>
      </c>
      <c r="D44" s="21" t="s">
        <v>121</v>
      </c>
      <c r="E44" s="21"/>
      <c r="F44" s="758"/>
      <c r="G44" s="21"/>
      <c r="H44" s="758"/>
      <c r="I44" s="64"/>
      <c r="J44" s="524"/>
      <c r="K44" s="210"/>
      <c r="L44" s="1755"/>
      <c r="M44" s="1759"/>
      <c r="N44" s="4"/>
      <c r="O44" s="141"/>
      <c r="X44" s="1757"/>
      <c r="AX44" s="441">
        <f>'Overview (Design)'!A43</f>
        <v>0</v>
      </c>
      <c r="AY44" s="442">
        <f>'Overview (Design)'!G43</f>
        <v>0</v>
      </c>
    </row>
    <row r="45" spans="1:61" x14ac:dyDescent="0.25">
      <c r="B45" s="679">
        <v>802.1</v>
      </c>
      <c r="C45" s="21" t="s">
        <v>275</v>
      </c>
      <c r="D45" s="21"/>
      <c r="E45" s="21"/>
      <c r="F45" s="758"/>
      <c r="G45" s="21"/>
      <c r="H45" s="758"/>
      <c r="I45" s="64"/>
      <c r="J45" s="907" t="s">
        <v>275</v>
      </c>
      <c r="K45" s="129"/>
      <c r="L45" s="1754" t="s">
        <v>783</v>
      </c>
      <c r="M45" s="1758">
        <v>9</v>
      </c>
      <c r="N45" s="129"/>
      <c r="O45" s="239"/>
      <c r="R45" s="134"/>
      <c r="S45" s="134"/>
      <c r="T45" s="134"/>
      <c r="X45" s="1757"/>
      <c r="AL45" s="254" t="str">
        <f>SUBSTITUTE(SUBSTITUTE(SUBSTITUTE("dpa"&amp;$B45&amp;$C45&amp;$D45&amp;$E45,".","_"),"(","_"),")","")</f>
        <v>dpa802_1_5</v>
      </c>
      <c r="AM45" s="254">
        <f>M45</f>
        <v>9</v>
      </c>
      <c r="AR45" s="254" t="str">
        <f>SUBSTITUTE(SUBSTITUTE(SUBSTITUTE("dnt"&amp;$B45&amp;$C45&amp;$D45&amp;$E45,".","_"),"(","_"),")","")</f>
        <v>dnt802_1_5</v>
      </c>
      <c r="AS45" s="254" t="str">
        <f>IF(LEN(X45)=0,"",X45)</f>
        <v/>
      </c>
      <c r="AX45" s="441" t="str">
        <f>'Overview (Design)'!A44</f>
        <v>Maximum window and door SHGC:</v>
      </c>
      <c r="AY45" s="442">
        <f>'Overview (Design)'!G44</f>
        <v>0</v>
      </c>
    </row>
    <row r="46" spans="1:61" x14ac:dyDescent="0.25">
      <c r="B46" s="679">
        <v>802.1</v>
      </c>
      <c r="C46" s="21" t="s">
        <v>275</v>
      </c>
      <c r="D46" s="21"/>
      <c r="E46" s="21"/>
      <c r="F46" s="758"/>
      <c r="G46" s="21"/>
      <c r="H46" s="758"/>
      <c r="I46" s="64"/>
      <c r="J46" s="480"/>
      <c r="K46" s="129"/>
      <c r="L46" s="1754"/>
      <c r="M46" s="1758"/>
      <c r="N46" s="129"/>
      <c r="O46" s="239"/>
      <c r="X46" s="1757"/>
      <c r="AX46" s="441" t="str">
        <f>'Overview (Design)'!A45</f>
        <v>Maximum skylight SHGC:</v>
      </c>
      <c r="AY46" s="442">
        <f>'Overview (Design)'!G45</f>
        <v>0</v>
      </c>
    </row>
    <row r="47" spans="1:61" s="134" customFormat="1" x14ac:dyDescent="0.25">
      <c r="A47" s="18"/>
      <c r="B47" s="679">
        <v>802.1</v>
      </c>
      <c r="C47" s="21" t="s">
        <v>275</v>
      </c>
      <c r="D47" s="21"/>
      <c r="E47" s="21"/>
      <c r="F47" s="758"/>
      <c r="G47" s="21"/>
      <c r="H47" s="758"/>
      <c r="I47" s="64"/>
      <c r="J47" s="480"/>
      <c r="K47" s="129"/>
      <c r="L47" s="1754"/>
      <c r="M47" s="1758"/>
      <c r="N47" s="129"/>
      <c r="O47" s="239"/>
      <c r="P47" s="76"/>
      <c r="Q47" s="76"/>
      <c r="R47" s="76"/>
      <c r="S47" s="76"/>
      <c r="T47" s="76"/>
      <c r="U47" s="76"/>
      <c r="V47" s="76"/>
      <c r="W47" s="76"/>
      <c r="X47" s="1757"/>
      <c r="Y47" s="780"/>
      <c r="Z47" s="76"/>
      <c r="AA47" s="783"/>
      <c r="AB47" s="76"/>
      <c r="AC47" s="76"/>
      <c r="AD47" s="76"/>
      <c r="AE47" s="76"/>
      <c r="AF47" s="76"/>
      <c r="AG47" s="76"/>
      <c r="AH47" s="76"/>
      <c r="AI47" s="76"/>
      <c r="AJ47" s="76"/>
      <c r="AK47" s="76"/>
      <c r="AL47" s="76"/>
      <c r="AM47" s="76"/>
      <c r="AN47" s="76"/>
      <c r="AO47" s="76"/>
      <c r="AP47" s="76"/>
      <c r="AQ47" s="76"/>
      <c r="AR47" s="76"/>
      <c r="AS47" s="76"/>
      <c r="AT47" s="76"/>
      <c r="AU47" s="76"/>
      <c r="AX47" s="441" t="str">
        <f>'Overview (Design)'!A46</f>
        <v>Maximum window and door U-value:</v>
      </c>
      <c r="AY47" s="442">
        <f>'Overview (Design)'!G46</f>
        <v>0</v>
      </c>
      <c r="AZ47" s="76"/>
      <c r="BA47" s="76"/>
      <c r="BB47" s="76"/>
      <c r="BC47" s="76"/>
      <c r="BD47" s="76"/>
      <c r="BE47" s="76"/>
      <c r="BF47" s="76"/>
      <c r="BG47" s="76"/>
      <c r="BH47" s="76"/>
      <c r="BI47" s="76"/>
    </row>
    <row r="48" spans="1:61" x14ac:dyDescent="0.25">
      <c r="B48" s="679">
        <v>802.1</v>
      </c>
      <c r="C48" s="21" t="s">
        <v>275</v>
      </c>
      <c r="D48" s="21"/>
      <c r="E48" s="21"/>
      <c r="F48" s="758"/>
      <c r="G48" s="21"/>
      <c r="H48" s="758"/>
      <c r="I48" s="64"/>
      <c r="J48" s="480"/>
      <c r="K48" s="129"/>
      <c r="L48" s="1754"/>
      <c r="M48" s="1758"/>
      <c r="N48" s="129"/>
      <c r="O48" s="239"/>
      <c r="X48" s="1757"/>
      <c r="AX48" s="441" t="str">
        <f>'Overview (Design)'!A47</f>
        <v>Maximum skylight U-value:</v>
      </c>
      <c r="AY48" s="442">
        <f>'Overview (Design)'!G47</f>
        <v>0</v>
      </c>
    </row>
    <row r="49" spans="2:61" x14ac:dyDescent="0.25">
      <c r="B49" s="679">
        <v>802.1</v>
      </c>
      <c r="C49" s="21" t="s">
        <v>275</v>
      </c>
      <c r="D49" s="21"/>
      <c r="E49" s="21"/>
      <c r="F49" s="758"/>
      <c r="G49" s="21"/>
      <c r="H49" s="758"/>
      <c r="I49" s="64"/>
      <c r="J49" s="524"/>
      <c r="K49" s="210"/>
      <c r="L49" s="1755"/>
      <c r="M49" s="1759"/>
      <c r="N49" s="210"/>
      <c r="O49" s="501"/>
      <c r="P49" s="134"/>
      <c r="Q49" s="134"/>
      <c r="R49" s="134"/>
      <c r="S49" s="134"/>
      <c r="T49" s="134"/>
      <c r="U49" s="134"/>
      <c r="V49" s="134"/>
      <c r="W49" s="134"/>
      <c r="X49" s="1757"/>
      <c r="Z49" s="134"/>
      <c r="AB49" s="134"/>
      <c r="AC49" s="134"/>
      <c r="AD49" s="134"/>
      <c r="AE49" s="134"/>
      <c r="AF49" s="134"/>
      <c r="AG49" s="134"/>
      <c r="AH49" s="134"/>
      <c r="AI49" s="134"/>
      <c r="AJ49" s="134"/>
      <c r="AK49" s="134"/>
      <c r="AL49" s="134"/>
      <c r="AM49" s="134"/>
      <c r="AN49" s="134"/>
      <c r="AO49" s="134"/>
      <c r="AP49" s="134"/>
      <c r="AQ49" s="134"/>
      <c r="AR49" s="134"/>
      <c r="AS49" s="134"/>
      <c r="AT49" s="134"/>
      <c r="AU49" s="134"/>
      <c r="AX49" s="75" t="str">
        <f>'Overview (Design)'!A48</f>
        <v>Renewable Energy:</v>
      </c>
      <c r="AY49" s="76">
        <f>'Overview (Design)'!G48</f>
        <v>0</v>
      </c>
    </row>
    <row r="50" spans="2:61" x14ac:dyDescent="0.25">
      <c r="B50" s="679">
        <v>802.1</v>
      </c>
      <c r="C50" s="21" t="s">
        <v>277</v>
      </c>
      <c r="D50" s="21"/>
      <c r="E50" s="21"/>
      <c r="F50" s="758"/>
      <c r="G50" s="21"/>
      <c r="H50" s="758"/>
      <c r="I50" s="130"/>
      <c r="J50" s="907" t="s">
        <v>277</v>
      </c>
      <c r="K50" s="129"/>
      <c r="L50" s="1754" t="s">
        <v>784</v>
      </c>
      <c r="M50" s="1758" t="s">
        <v>795</v>
      </c>
      <c r="N50" s="129"/>
      <c r="O50" s="1774">
        <f ca="1">1*S50*W50</f>
        <v>0</v>
      </c>
      <c r="P50" s="633" t="b">
        <v>1</v>
      </c>
      <c r="Q50" s="633" t="b">
        <v>1</v>
      </c>
      <c r="R50" s="94" t="b">
        <v>0</v>
      </c>
      <c r="S50" s="94" t="b">
        <f ca="1">AND(S21,NOT(W21=""),S14=2)</f>
        <v>0</v>
      </c>
      <c r="T50" s="94" t="b">
        <f ca="1">IF(AND(NOT(S50),W50=TRUE),TRUE,FALSE)</f>
        <v>0</v>
      </c>
      <c r="U50" s="94"/>
      <c r="V50" s="94"/>
      <c r="W50" s="360"/>
      <c r="X50" s="1770"/>
      <c r="AC50" s="353" t="b">
        <f ca="1">OR(AD50:AE50)</f>
        <v>0</v>
      </c>
      <c r="AD50" s="353" t="b">
        <f ca="1">T50</f>
        <v>0</v>
      </c>
      <c r="AE50" s="353"/>
      <c r="AL50" s="254" t="str">
        <f>SUBSTITUTE(SUBSTITUTE(SUBSTITUTE("dpa"&amp;$B50&amp;$C50&amp;$D50&amp;$E50,".","_"),"(","_"),")","")</f>
        <v>dpa802_1_6</v>
      </c>
      <c r="AM50" s="254" t="str">
        <f>M50</f>
        <v>1 Additional</v>
      </c>
      <c r="AN50" s="254" t="str">
        <f>SUBSTITUTE(SUBSTITUTE(SUBSTITUTE("dpc"&amp;$B50&amp;$C50&amp;$D50&amp;$E50,".","_"),"(","_"),")","")</f>
        <v>dpc802_1_6</v>
      </c>
      <c r="AO50" s="254">
        <f ca="1">O50</f>
        <v>0</v>
      </c>
      <c r="AP50" s="254" t="str">
        <f>SUBSTITUTE(SUBSTITUTE(SUBSTITUTE("dch"&amp;$B50&amp;$C50&amp;$D50&amp;$E50,".","_"),"(","_"),")","")</f>
        <v>dch802_1_6</v>
      </c>
      <c r="AQ50" s="254" t="str">
        <f>IF(LEN(W50)=0,"",W50)</f>
        <v/>
      </c>
      <c r="AR50" s="254" t="str">
        <f>SUBSTITUTE(SUBSTITUTE(SUBSTITUTE("dnt"&amp;$B50&amp;$C50&amp;$D50&amp;$E50,".","_"),"(","_"),")","")</f>
        <v>dnt802_1_6</v>
      </c>
      <c r="AS50" s="254" t="str">
        <f>IF(LEN(X50)=0,"",X50)</f>
        <v/>
      </c>
      <c r="AX50" s="75" t="str">
        <f>'Overview (Design)'!A49</f>
        <v>Thermal Envelope Insulation:</v>
      </c>
      <c r="AY50" s="76">
        <f>'Overview (Design)'!G49</f>
        <v>0</v>
      </c>
    </row>
    <row r="51" spans="2:61" x14ac:dyDescent="0.25">
      <c r="B51" s="679">
        <v>802.1</v>
      </c>
      <c r="C51" s="21" t="s">
        <v>277</v>
      </c>
      <c r="D51" s="21"/>
      <c r="E51" s="21"/>
      <c r="F51" s="758"/>
      <c r="G51" s="21"/>
      <c r="H51" s="758"/>
      <c r="I51" s="130"/>
      <c r="J51" s="480"/>
      <c r="K51" s="129"/>
      <c r="L51" s="1754"/>
      <c r="M51" s="1758"/>
      <c r="N51" s="129"/>
      <c r="O51" s="1774"/>
      <c r="P51" s="94"/>
      <c r="Q51" s="94"/>
      <c r="R51" s="94"/>
      <c r="S51" s="94"/>
      <c r="T51" s="94"/>
      <c r="U51" s="94"/>
      <c r="V51" s="94"/>
      <c r="W51" s="94"/>
      <c r="X51" s="1770"/>
      <c r="AX51" s="75" t="str">
        <f>'Overview (Design)'!A50</f>
        <v>Attic Type:</v>
      </c>
      <c r="AY51" s="76">
        <f>'Overview (Design)'!G50</f>
        <v>0</v>
      </c>
    </row>
    <row r="52" spans="2:61" ht="15.75" thickBot="1" x14ac:dyDescent="0.3">
      <c r="B52" s="679">
        <v>802.1</v>
      </c>
      <c r="C52" s="21" t="s">
        <v>277</v>
      </c>
      <c r="D52" s="21"/>
      <c r="E52" s="21"/>
      <c r="F52" s="758"/>
      <c r="G52" s="21"/>
      <c r="H52" s="758"/>
      <c r="I52" s="189"/>
      <c r="J52" s="481"/>
      <c r="K52" s="240"/>
      <c r="L52" s="1783"/>
      <c r="M52" s="1768"/>
      <c r="N52" s="240"/>
      <c r="O52" s="1775"/>
      <c r="P52" s="99"/>
      <c r="Q52" s="99"/>
      <c r="R52" s="99"/>
      <c r="S52" s="99"/>
      <c r="T52" s="99"/>
      <c r="U52" s="99"/>
      <c r="V52" s="99"/>
      <c r="W52" s="99"/>
      <c r="X52" s="1771"/>
      <c r="AX52" s="75" t="str">
        <f>'Overview (Design)'!A51</f>
        <v>Attached Garage:</v>
      </c>
      <c r="AY52" s="76">
        <f>'Overview (Design)'!G51</f>
        <v>0</v>
      </c>
    </row>
    <row r="53" spans="2:61" ht="15.75" thickTop="1" x14ac:dyDescent="0.25">
      <c r="B53" s="679">
        <v>802.2</v>
      </c>
      <c r="C53" s="21"/>
      <c r="D53" s="21"/>
      <c r="E53" s="21"/>
      <c r="F53" s="758"/>
      <c r="G53" s="21"/>
      <c r="H53" s="758"/>
      <c r="I53" s="64">
        <v>802.2</v>
      </c>
      <c r="J53" s="164"/>
      <c r="K53" s="4"/>
      <c r="L53" s="1796" t="s">
        <v>4375</v>
      </c>
      <c r="M53" s="428"/>
      <c r="N53" s="4"/>
      <c r="O53" s="141"/>
      <c r="AX53" s="75" t="str">
        <f>'Overview (Design)'!A52</f>
        <v>Recessed Lighting:</v>
      </c>
      <c r="AY53" s="76">
        <f>'Overview (Design)'!G52</f>
        <v>0</v>
      </c>
    </row>
    <row r="54" spans="2:61" x14ac:dyDescent="0.25">
      <c r="B54" s="679">
        <v>802.2</v>
      </c>
      <c r="C54" s="21"/>
      <c r="D54" s="21"/>
      <c r="E54" s="21"/>
      <c r="F54" s="758"/>
      <c r="G54" s="21"/>
      <c r="H54" s="758"/>
      <c r="I54" s="64"/>
      <c r="J54" s="164"/>
      <c r="K54" s="4"/>
      <c r="L54" s="1796"/>
      <c r="M54" s="428"/>
      <c r="N54" s="4"/>
      <c r="O54" s="141"/>
      <c r="AX54" s="133"/>
      <c r="AY54" s="134"/>
      <c r="AZ54"/>
      <c r="BA54"/>
      <c r="BB54"/>
      <c r="BC54"/>
      <c r="BD54"/>
      <c r="BE54"/>
      <c r="BF54"/>
      <c r="BG54"/>
      <c r="BH54"/>
      <c r="BI54"/>
    </row>
    <row r="55" spans="2:61" x14ac:dyDescent="0.25">
      <c r="B55" s="679">
        <v>802.2</v>
      </c>
      <c r="C55" s="21" t="s">
        <v>256</v>
      </c>
      <c r="D55" s="21"/>
      <c r="E55" s="21"/>
      <c r="F55" s="758"/>
      <c r="G55" s="21"/>
      <c r="H55" s="758"/>
      <c r="I55" s="64"/>
      <c r="J55" s="910" t="s">
        <v>256</v>
      </c>
      <c r="K55" s="210"/>
      <c r="L55" s="357" t="s">
        <v>785</v>
      </c>
      <c r="M55" s="426">
        <v>2</v>
      </c>
      <c r="N55" s="210"/>
      <c r="O55" s="501">
        <f ca="1">2*S55*W55</f>
        <v>0</v>
      </c>
      <c r="P55" s="94" t="b">
        <v>0</v>
      </c>
      <c r="Q55" s="633" t="b">
        <v>1</v>
      </c>
      <c r="R55" s="134" t="b">
        <v>0</v>
      </c>
      <c r="S55" s="134" t="b">
        <f ca="1">S14=2</f>
        <v>0</v>
      </c>
      <c r="T55" s="94" t="b">
        <f ca="1">IF(AND(NOT(S55),W55=TRUE),TRUE,FALSE)</f>
        <v>0</v>
      </c>
      <c r="W55" s="25"/>
      <c r="X55" s="354"/>
      <c r="AC55" s="353" t="b">
        <f ca="1">OR(AD55:AE55)</f>
        <v>0</v>
      </c>
      <c r="AD55" s="353" t="b">
        <f ca="1">T55</f>
        <v>0</v>
      </c>
      <c r="AE55" s="353"/>
      <c r="AL55" s="254" t="str">
        <f>SUBSTITUTE(SUBSTITUTE(SUBSTITUTE("dpa"&amp;$B55&amp;$C55&amp;$D55&amp;$E55,".","_"),"(","_"),")","")</f>
        <v>dpa802_2_1</v>
      </c>
      <c r="AM55" s="254">
        <f>M55</f>
        <v>2</v>
      </c>
      <c r="AN55" s="254" t="str">
        <f>SUBSTITUTE(SUBSTITUTE(SUBSTITUTE("dpc"&amp;$B55&amp;$C55&amp;$D55&amp;$E55,".","_"),"(","_"),")","")</f>
        <v>dpc802_2_1</v>
      </c>
      <c r="AO55" s="254">
        <f ca="1">O55</f>
        <v>0</v>
      </c>
      <c r="AP55" s="254" t="str">
        <f>SUBSTITUTE(SUBSTITUTE(SUBSTITUTE("dch"&amp;$B55&amp;$C55&amp;$D55&amp;$E55,".","_"),"(","_"),")","")</f>
        <v>dch802_2_1</v>
      </c>
      <c r="AQ55" s="254" t="str">
        <f>IF(LEN(W55)=0,"",W55)</f>
        <v/>
      </c>
      <c r="AR55" s="254" t="str">
        <f>SUBSTITUTE(SUBSTITUTE(SUBSTITUTE("dnt"&amp;$B55&amp;$C55&amp;$D55&amp;$E55,".","_"),"(","_"),")","")</f>
        <v>dnt802_2_1</v>
      </c>
      <c r="AS55" s="254" t="str">
        <f>IF(LEN(X55)=0,"",X55)</f>
        <v/>
      </c>
      <c r="AX55" s="75" t="str">
        <f>'Overview (Design)'!A54</f>
        <v>Special Design Features:</v>
      </c>
      <c r="AY55" s="76">
        <f>'Overview (Design)'!G54</f>
        <v>0</v>
      </c>
      <c r="AZ55"/>
      <c r="BA55"/>
      <c r="BB55"/>
      <c r="BC55"/>
      <c r="BD55"/>
      <c r="BE55"/>
      <c r="BF55"/>
      <c r="BG55"/>
      <c r="BH55"/>
      <c r="BI55"/>
    </row>
    <row r="56" spans="2:61" ht="15" customHeight="1" x14ac:dyDescent="0.25">
      <c r="B56" s="679">
        <v>802.2</v>
      </c>
      <c r="C56" s="21" t="s">
        <v>258</v>
      </c>
      <c r="D56" s="21"/>
      <c r="E56" s="21"/>
      <c r="F56" s="758"/>
      <c r="G56" s="21"/>
      <c r="H56" s="758"/>
      <c r="I56" s="130"/>
      <c r="J56" s="910" t="s">
        <v>258</v>
      </c>
      <c r="K56" s="210"/>
      <c r="L56" s="357" t="s">
        <v>4399</v>
      </c>
      <c r="M56" s="426">
        <v>13</v>
      </c>
      <c r="N56" s="129"/>
      <c r="O56" s="1774">
        <f ca="1">IFERROR(INDEX({13,18},MATCH(W56,INDIRECT(U56),0)),0)</f>
        <v>0</v>
      </c>
      <c r="P56" s="94" t="b">
        <v>0</v>
      </c>
      <c r="Q56" s="633" t="b">
        <v>1</v>
      </c>
      <c r="R56" s="94" t="b">
        <v>0</v>
      </c>
      <c r="S56" s="94" t="b">
        <f ca="1">S14=2</f>
        <v>0</v>
      </c>
      <c r="T56" s="94" t="b">
        <f ca="1">IF(AND(NOT(S56),LEN(W56)&gt;0),TRUE,FALSE)</f>
        <v>0</v>
      </c>
      <c r="U56" s="94" t="str">
        <f>SUBSTITUTE(SUBSTITUTE(SUBSTITUTE("dd"&amp;B56&amp;C56&amp;D56&amp;E56&amp;F56,".","_"),"(","_"),")","")</f>
        <v>dd802_2_2</v>
      </c>
      <c r="V56" s="94"/>
      <c r="W56" s="361"/>
      <c r="X56" s="1770"/>
      <c r="AC56" s="353" t="b">
        <f ca="1">OR(AD56:AE56)</f>
        <v>0</v>
      </c>
      <c r="AD56" s="353" t="b">
        <f ca="1">T56</f>
        <v>0</v>
      </c>
      <c r="AE56" s="353"/>
      <c r="AL56" s="254" t="str">
        <f>SUBSTITUTE(SUBSTITUTE(SUBSTITUTE("dpa"&amp;$B56&amp;$C56&amp;$D56&amp;$E56,".","_"),"(","_"),")","")</f>
        <v>dpa802_2_2</v>
      </c>
      <c r="AM56" s="254">
        <f>M56</f>
        <v>13</v>
      </c>
      <c r="AN56" s="254" t="str">
        <f>SUBSTITUTE(SUBSTITUTE(SUBSTITUTE("dpc"&amp;$B56&amp;$C56&amp;$D56&amp;$E56,".","_"),"(","_"),")","")</f>
        <v>dpc802_2_2</v>
      </c>
      <c r="AO56" s="254">
        <f ca="1">O56</f>
        <v>0</v>
      </c>
      <c r="AP56" s="254" t="str">
        <f>SUBSTITUTE(SUBSTITUTE(SUBSTITUTE("dch"&amp;$B56&amp;$C56&amp;$D56&amp;$E56,".","_"),"(","_"),")","")</f>
        <v>dch802_2_2</v>
      </c>
      <c r="AQ56" s="254" t="str">
        <f>IF(LEN(W56)=0,"",W56)</f>
        <v/>
      </c>
      <c r="AR56" s="254" t="str">
        <f>SUBSTITUTE(SUBSTITUTE(SUBSTITUTE("dnt"&amp;$B56&amp;$C56&amp;$D56&amp;$E56,".","_"),"(","_"),")","")</f>
        <v>dnt802_2_2</v>
      </c>
      <c r="AS56" s="254" t="str">
        <f>IF(LEN(X56)=0,"",X56)</f>
        <v/>
      </c>
      <c r="AX56" s="75" t="str">
        <f>'Overview (Design)'!A55</f>
        <v>Passive Solar:</v>
      </c>
      <c r="AY56" s="76">
        <f>'Overview (Design)'!G55</f>
        <v>0</v>
      </c>
      <c r="AZ56"/>
      <c r="BA56"/>
      <c r="BB56"/>
      <c r="BC56"/>
      <c r="BD56"/>
      <c r="BE56"/>
      <c r="BF56"/>
      <c r="BG56"/>
      <c r="BH56"/>
      <c r="BI56"/>
    </row>
    <row r="57" spans="2:61" x14ac:dyDescent="0.25">
      <c r="B57" s="679">
        <v>802.2</v>
      </c>
      <c r="C57" s="21" t="s">
        <v>260</v>
      </c>
      <c r="D57" s="21"/>
      <c r="E57" s="21"/>
      <c r="F57" s="758"/>
      <c r="G57" s="21"/>
      <c r="H57" s="758"/>
      <c r="I57" s="130"/>
      <c r="J57" s="907" t="s">
        <v>260</v>
      </c>
      <c r="K57" s="129"/>
      <c r="L57" s="356" t="s">
        <v>4400</v>
      </c>
      <c r="M57" s="424">
        <v>18</v>
      </c>
      <c r="N57" s="129"/>
      <c r="O57" s="1774"/>
      <c r="P57" s="94"/>
      <c r="Q57" s="94"/>
      <c r="R57" s="94"/>
      <c r="S57" s="94"/>
      <c r="T57" s="94"/>
      <c r="U57" s="94"/>
      <c r="V57" s="94"/>
      <c r="W57" s="94"/>
      <c r="X57" s="1770"/>
      <c r="AL57" s="254" t="str">
        <f>SUBSTITUTE(SUBSTITUTE(SUBSTITUTE("dpa"&amp;$B57&amp;$C57&amp;$D57&amp;$E57,".","_"),"(","_"),")","")</f>
        <v>dpa802_2_3</v>
      </c>
      <c r="AM57" s="254">
        <f>M57</f>
        <v>18</v>
      </c>
      <c r="AX57" s="75" t="str">
        <f>'Overview (Design)'!A56</f>
        <v>Mass Walls:</v>
      </c>
      <c r="AY57" s="76">
        <f>'Overview (Design)'!G56</f>
        <v>0</v>
      </c>
      <c r="AZ57"/>
      <c r="BA57"/>
      <c r="BB57"/>
      <c r="BC57"/>
      <c r="BD57"/>
      <c r="BE57"/>
      <c r="BF57"/>
      <c r="BG57"/>
      <c r="BH57"/>
      <c r="BI57"/>
    </row>
    <row r="58" spans="2:61" ht="15" customHeight="1" x14ac:dyDescent="0.25">
      <c r="B58" s="679">
        <v>802.2</v>
      </c>
      <c r="C58" s="21"/>
      <c r="D58" s="21"/>
      <c r="E58" s="21"/>
      <c r="F58" s="21"/>
      <c r="G58" s="21"/>
      <c r="H58" s="758"/>
      <c r="I58" s="130"/>
      <c r="J58" s="907"/>
      <c r="K58" s="129"/>
      <c r="L58" s="1889" t="s">
        <v>3586</v>
      </c>
      <c r="M58" s="424"/>
      <c r="N58" s="129"/>
      <c r="O58" s="239"/>
      <c r="P58" s="94"/>
      <c r="Q58" s="94"/>
      <c r="R58" s="94"/>
      <c r="S58" s="94"/>
      <c r="T58" s="94"/>
      <c r="U58" s="94"/>
      <c r="V58" s="94"/>
      <c r="W58" s="94"/>
      <c r="X58" s="1770"/>
      <c r="Z58" s="341"/>
      <c r="AB58" s="341"/>
      <c r="AC58" s="341"/>
      <c r="AD58" s="341"/>
      <c r="AE58" s="341"/>
      <c r="AF58" s="341"/>
      <c r="AG58" s="341"/>
      <c r="AH58" s="341"/>
      <c r="AI58" s="341"/>
      <c r="AJ58" s="341"/>
      <c r="AK58" s="341"/>
      <c r="AL58" s="341"/>
      <c r="AM58" s="341"/>
      <c r="AN58" s="341"/>
      <c r="AO58" s="341"/>
      <c r="AP58" s="341"/>
      <c r="AQ58" s="341"/>
      <c r="AR58" s="341"/>
      <c r="AS58" s="341"/>
      <c r="AT58" s="341"/>
      <c r="AU58" s="341"/>
      <c r="AX58" s="75" t="str">
        <f>'Overview (Design)'!A57</f>
        <v>Radiant/Hydronic:</v>
      </c>
      <c r="AY58" s="76">
        <f>'Overview (Design)'!G57</f>
        <v>0</v>
      </c>
      <c r="AZ58"/>
      <c r="BA58"/>
      <c r="BB58"/>
      <c r="BC58"/>
      <c r="BD58"/>
      <c r="BE58"/>
      <c r="BF58"/>
      <c r="BG58"/>
      <c r="BH58"/>
      <c r="BI58"/>
    </row>
    <row r="59" spans="2:61" x14ac:dyDescent="0.25">
      <c r="B59" s="679">
        <v>802.2</v>
      </c>
      <c r="C59" s="21"/>
      <c r="D59" s="21"/>
      <c r="E59" s="21"/>
      <c r="F59" s="21"/>
      <c r="G59" s="21"/>
      <c r="H59" s="758"/>
      <c r="I59" s="130"/>
      <c r="J59" s="907"/>
      <c r="K59" s="129"/>
      <c r="L59" s="1890"/>
      <c r="M59" s="424"/>
      <c r="N59" s="129"/>
      <c r="O59" s="239"/>
      <c r="P59" s="94"/>
      <c r="Q59" s="94"/>
      <c r="R59" s="94"/>
      <c r="S59" s="94"/>
      <c r="T59" s="94"/>
      <c r="U59" s="94"/>
      <c r="V59" s="94"/>
      <c r="W59" s="94"/>
      <c r="X59" s="1770"/>
      <c r="Z59" s="341"/>
      <c r="AB59" s="341"/>
      <c r="AC59" s="341"/>
      <c r="AD59" s="341"/>
      <c r="AE59" s="341"/>
      <c r="AF59" s="341"/>
      <c r="AG59" s="341"/>
      <c r="AH59" s="341"/>
      <c r="AI59" s="341"/>
      <c r="AJ59" s="341"/>
      <c r="AK59" s="341"/>
      <c r="AL59" s="341"/>
      <c r="AM59" s="341"/>
      <c r="AN59" s="341"/>
      <c r="AO59" s="341"/>
      <c r="AP59" s="341"/>
      <c r="AQ59" s="341"/>
      <c r="AR59" s="341"/>
      <c r="AS59" s="341"/>
      <c r="AT59" s="341"/>
      <c r="AU59" s="341"/>
      <c r="AX59" s="75" t="str">
        <f>'Overview (Design)'!A58</f>
        <v>Tankless Water Heater:</v>
      </c>
      <c r="AY59" s="76">
        <f>'Overview (Design)'!G58</f>
        <v>0</v>
      </c>
      <c r="AZ59"/>
      <c r="BA59"/>
      <c r="BB59"/>
      <c r="BC59"/>
      <c r="BD59"/>
      <c r="BE59"/>
      <c r="BF59"/>
      <c r="BG59"/>
      <c r="BH59"/>
      <c r="BI59"/>
    </row>
    <row r="60" spans="2:61" ht="15" customHeight="1" x14ac:dyDescent="0.25">
      <c r="B60" s="679">
        <v>802.2</v>
      </c>
      <c r="C60" s="21"/>
      <c r="D60" s="21"/>
      <c r="E60" s="21"/>
      <c r="F60" s="21"/>
      <c r="G60" s="21"/>
      <c r="H60" s="758"/>
      <c r="I60" s="130"/>
      <c r="J60" s="588"/>
      <c r="K60" s="94"/>
      <c r="L60" s="1882" t="s">
        <v>3587</v>
      </c>
      <c r="M60" s="512"/>
      <c r="N60" s="129"/>
      <c r="O60" s="239"/>
      <c r="P60" s="94"/>
      <c r="Q60" s="94"/>
      <c r="R60" s="94"/>
      <c r="S60" s="94"/>
      <c r="T60" s="94"/>
      <c r="U60" s="94"/>
      <c r="V60" s="94"/>
      <c r="W60" s="94"/>
      <c r="X60" s="1770"/>
      <c r="AX60" s="75" t="str">
        <f>'Overview (Design)'!A59</f>
        <v>Composting Toilet:</v>
      </c>
      <c r="AY60" s="76">
        <f>'Overview (Design)'!G59</f>
        <v>0</v>
      </c>
      <c r="AZ60"/>
      <c r="BA60"/>
      <c r="BB60"/>
      <c r="BC60"/>
      <c r="BD60"/>
      <c r="BE60"/>
      <c r="BF60"/>
      <c r="BG60"/>
      <c r="BH60"/>
      <c r="BI60"/>
    </row>
    <row r="61" spans="2:61" ht="15.75" thickBot="1" x14ac:dyDescent="0.3">
      <c r="B61" s="679">
        <v>802.2</v>
      </c>
      <c r="C61" s="21"/>
      <c r="D61" s="21"/>
      <c r="E61" s="21"/>
      <c r="F61" s="21"/>
      <c r="G61" s="21"/>
      <c r="H61" s="758"/>
      <c r="I61" s="189"/>
      <c r="J61" s="951"/>
      <c r="K61" s="99"/>
      <c r="L61" s="1888"/>
      <c r="M61" s="511"/>
      <c r="N61" s="240"/>
      <c r="O61" s="241"/>
      <c r="P61" s="99"/>
      <c r="Q61" s="99"/>
      <c r="R61" s="99"/>
      <c r="S61" s="99"/>
      <c r="T61" s="99"/>
      <c r="U61" s="99"/>
      <c r="V61" s="99"/>
      <c r="W61" s="99"/>
      <c r="X61" s="1771"/>
      <c r="AX61" s="75"/>
      <c r="AZ61"/>
      <c r="BA61"/>
      <c r="BB61"/>
      <c r="BC61"/>
      <c r="BD61"/>
      <c r="BE61"/>
      <c r="BF61"/>
      <c r="BG61"/>
      <c r="BH61"/>
      <c r="BI61"/>
    </row>
    <row r="62" spans="2:61" customFormat="1" ht="15.75" thickTop="1" x14ac:dyDescent="0.25">
      <c r="B62" s="955">
        <v>802.3</v>
      </c>
      <c r="C62" s="18"/>
      <c r="D62" s="18"/>
      <c r="E62" s="18"/>
      <c r="F62" s="18"/>
      <c r="G62" s="18"/>
      <c r="I62" s="943">
        <v>802.3</v>
      </c>
      <c r="J62" s="667"/>
      <c r="K62" s="862"/>
      <c r="L62" s="908" t="s">
        <v>4401</v>
      </c>
      <c r="M62" s="872"/>
      <c r="N62" s="4"/>
      <c r="O62" s="874"/>
      <c r="P62" s="868"/>
      <c r="Q62" s="868"/>
      <c r="R62" s="868"/>
      <c r="S62" s="868"/>
      <c r="T62" s="868"/>
      <c r="AX62" s="75" t="str">
        <f>'Overview (Design)'!A61</f>
        <v>Local Energy Code:</v>
      </c>
      <c r="AY62" s="76">
        <f>'Overview (Design)'!G61</f>
        <v>0</v>
      </c>
    </row>
    <row r="63" spans="2:61" customFormat="1" x14ac:dyDescent="0.25">
      <c r="B63" s="955">
        <v>802.3</v>
      </c>
      <c r="C63" s="845" t="s">
        <v>256</v>
      </c>
      <c r="D63" s="845"/>
      <c r="E63" s="18"/>
      <c r="F63" s="1129"/>
      <c r="G63" s="18"/>
      <c r="I63" s="943"/>
      <c r="J63" s="667" t="s">
        <v>256</v>
      </c>
      <c r="K63" s="862"/>
      <c r="L63" s="942" t="s">
        <v>4402</v>
      </c>
      <c r="M63" s="872"/>
      <c r="N63" s="4"/>
      <c r="O63" s="874"/>
      <c r="P63" s="868"/>
      <c r="Q63" s="868"/>
      <c r="R63" s="868"/>
      <c r="S63" s="868"/>
      <c r="T63" s="868"/>
      <c r="AX63" s="75" t="str">
        <f>'Overview (Design)'!A62</f>
        <v>Local Building Code:</v>
      </c>
      <c r="AY63" s="76">
        <f>'Overview (Design)'!G62</f>
        <v>0</v>
      </c>
    </row>
    <row r="64" spans="2:61" customFormat="1" ht="15" customHeight="1" x14ac:dyDescent="0.25">
      <c r="B64" s="955">
        <v>802.3</v>
      </c>
      <c r="C64" s="845" t="s">
        <v>256</v>
      </c>
      <c r="D64" s="845" t="s">
        <v>121</v>
      </c>
      <c r="E64" s="18"/>
      <c r="F64" s="1129"/>
      <c r="G64" s="18"/>
      <c r="I64" s="943"/>
      <c r="J64" s="667"/>
      <c r="K64" s="901" t="s">
        <v>121</v>
      </c>
      <c r="L64" s="1754" t="s">
        <v>4403</v>
      </c>
      <c r="M64" s="1865" t="s">
        <v>4406</v>
      </c>
      <c r="N64" s="4"/>
      <c r="O64" s="1780">
        <f ca="1">W64*2*S64</f>
        <v>0</v>
      </c>
      <c r="P64" s="868" t="b">
        <v>0</v>
      </c>
      <c r="Q64" s="868" t="b">
        <v>1</v>
      </c>
      <c r="R64" s="868" t="b">
        <v>0</v>
      </c>
      <c r="S64" s="868" t="b">
        <f ca="1">AND(AY19=INDEX(INDIRECT("ddSingleOrMulti"),1),S14=2)</f>
        <v>0</v>
      </c>
      <c r="T64" s="868" t="b">
        <f ca="1">IF(AND(NOT(S64),LEN(W64)&gt;0),TRUE,FALSE)</f>
        <v>0</v>
      </c>
      <c r="W64" s="944"/>
      <c r="X64" s="1757"/>
      <c r="AC64" s="868" t="b">
        <f ca="1">OR(AD64:AE64)</f>
        <v>0</v>
      </c>
      <c r="AD64" s="868" t="b">
        <f ca="1">T64</f>
        <v>0</v>
      </c>
      <c r="AL64" s="254" t="str">
        <f>SUBSTITUTE(SUBSTITUTE(SUBSTITUTE("dpa"&amp;$B64&amp;$C64&amp;$D64&amp;$E64,".","_"),"(","_"),")","")</f>
        <v>dpa802_3_1_a</v>
      </c>
      <c r="AM64" s="254" t="str">
        <f>M64</f>
        <v>2 per unique meter</v>
      </c>
      <c r="AN64" s="254" t="str">
        <f>SUBSTITUTE(SUBSTITUTE(SUBSTITUTE("dpc"&amp;$B64&amp;$C64&amp;$D64&amp;$E64,".","_"),"(","_"),")","")</f>
        <v>dpc802_3_1_a</v>
      </c>
      <c r="AO64" s="254">
        <f ca="1">O64</f>
        <v>0</v>
      </c>
      <c r="AP64" s="254" t="str">
        <f>SUBSTITUTE(SUBSTITUTE(SUBSTITUTE("dch"&amp;$B64&amp;$C64&amp;$D64&amp;$E64,".","_"),"(","_"),")","")</f>
        <v>dch802_3_1_a</v>
      </c>
      <c r="AQ64" s="254" t="str">
        <f>IF(LEN(W64)=0,"",W64)</f>
        <v/>
      </c>
      <c r="AR64" s="254" t="str">
        <f>SUBSTITUTE(SUBSTITUTE(SUBSTITUTE("dnt"&amp;$B64&amp;$C64&amp;$D64&amp;$E64,".","_"),"(","_"),")","")</f>
        <v>dnt802_3_1_a</v>
      </c>
      <c r="AS64" s="254" t="str">
        <f>IF(LEN(X64)=0,"",X64)</f>
        <v/>
      </c>
      <c r="AX64" s="868"/>
      <c r="AY64" s="868"/>
    </row>
    <row r="65" spans="2:61" customFormat="1" x14ac:dyDescent="0.25">
      <c r="B65" s="955">
        <v>802.3</v>
      </c>
      <c r="C65" s="845" t="s">
        <v>256</v>
      </c>
      <c r="D65" s="845" t="s">
        <v>121</v>
      </c>
      <c r="E65" s="18"/>
      <c r="F65" s="1129"/>
      <c r="G65" s="18"/>
      <c r="I65" s="943"/>
      <c r="J65" s="667"/>
      <c r="K65" s="863"/>
      <c r="L65" s="1755"/>
      <c r="M65" s="1865"/>
      <c r="N65" s="4"/>
      <c r="O65" s="1764"/>
      <c r="P65" s="868"/>
      <c r="Q65" s="868"/>
      <c r="R65" s="868"/>
      <c r="S65" s="868"/>
      <c r="T65" s="868"/>
      <c r="W65" s="868"/>
      <c r="X65" s="1757"/>
      <c r="AC65" s="868"/>
      <c r="AD65" s="868"/>
      <c r="AX65" s="76"/>
      <c r="AY65" s="76"/>
    </row>
    <row r="66" spans="2:61" customFormat="1" ht="15" customHeight="1" x14ac:dyDescent="0.25">
      <c r="B66" s="955">
        <v>802.3</v>
      </c>
      <c r="C66" s="845" t="s">
        <v>256</v>
      </c>
      <c r="D66" s="845" t="s">
        <v>122</v>
      </c>
      <c r="E66" s="18"/>
      <c r="F66" s="1129"/>
      <c r="G66" s="18"/>
      <c r="I66" s="943"/>
      <c r="J66" s="668"/>
      <c r="K66" s="901" t="s">
        <v>122</v>
      </c>
      <c r="L66" s="1754" t="s">
        <v>4404</v>
      </c>
      <c r="M66" s="1880" t="s">
        <v>4407</v>
      </c>
      <c r="N66" s="4"/>
      <c r="O66" s="1780">
        <f ca="1">W66*2*S66</f>
        <v>0</v>
      </c>
      <c r="P66" s="868" t="b">
        <v>0</v>
      </c>
      <c r="Q66" s="868" t="b">
        <v>1</v>
      </c>
      <c r="R66" s="868" t="b">
        <v>0</v>
      </c>
      <c r="S66" s="868" t="b">
        <f ca="1">AND(AY19=INDEX(INDIRECT("ddSingleOrMulti"),1),S14=2)</f>
        <v>0</v>
      </c>
      <c r="T66" s="868" t="b">
        <f ca="1">IF(AND(NOT(S66),LEN(W66)&gt;0),TRUE,FALSE)</f>
        <v>0</v>
      </c>
      <c r="W66" s="945"/>
      <c r="X66" s="1757"/>
      <c r="AC66" s="868" t="b">
        <f ca="1">OR(AD66:AE66)</f>
        <v>0</v>
      </c>
      <c r="AD66" s="868" t="b">
        <f ca="1">T66</f>
        <v>0</v>
      </c>
      <c r="AL66" s="254" t="str">
        <f>SUBSTITUTE(SUBSTITUTE(SUBSTITUTE("dpa"&amp;$B66&amp;$C66&amp;$D66&amp;$E66,".","_"),"(","_"),")","")</f>
        <v>dpa802_3_1_b</v>
      </c>
      <c r="AM66" s="254" t="str">
        <f>M66</f>
        <v>2 per sensor package</v>
      </c>
      <c r="AN66" s="254" t="str">
        <f>SUBSTITUTE(SUBSTITUTE(SUBSTITUTE("dpc"&amp;$B66&amp;$C66&amp;$D66&amp;$E66,".","_"),"(","_"),")","")</f>
        <v>dpc802_3_1_b</v>
      </c>
      <c r="AO66" s="254">
        <f ca="1">O66</f>
        <v>0</v>
      </c>
      <c r="AP66" s="254" t="str">
        <f>SUBSTITUTE(SUBSTITUTE(SUBSTITUTE("dch"&amp;$B66&amp;$C66&amp;$D66&amp;$E66,".","_"),"(","_"),")","")</f>
        <v>dch802_3_1_b</v>
      </c>
      <c r="AQ66" s="254" t="str">
        <f>IF(LEN(W66)=0,"",W66)</f>
        <v/>
      </c>
      <c r="AR66" s="254" t="str">
        <f>SUBSTITUTE(SUBSTITUTE(SUBSTITUTE("dnt"&amp;$B66&amp;$C66&amp;$D66&amp;$E66,".","_"),"(","_"),")","")</f>
        <v>dnt802_3_1_b</v>
      </c>
      <c r="AS66" s="254" t="str">
        <f>IF(LEN(X66)=0,"",X66)</f>
        <v/>
      </c>
      <c r="AX66" s="76"/>
      <c r="AY66" s="76"/>
    </row>
    <row r="67" spans="2:61" customFormat="1" x14ac:dyDescent="0.25">
      <c r="B67" s="955">
        <v>802.3</v>
      </c>
      <c r="C67" s="845" t="s">
        <v>256</v>
      </c>
      <c r="D67" s="845" t="s">
        <v>122</v>
      </c>
      <c r="E67" s="18"/>
      <c r="F67" s="1129"/>
      <c r="G67" s="18"/>
      <c r="I67" s="943"/>
      <c r="J67" s="668"/>
      <c r="K67" s="901"/>
      <c r="L67" s="1754"/>
      <c r="M67" s="1788"/>
      <c r="N67" s="4"/>
      <c r="O67" s="1780"/>
      <c r="P67" s="868"/>
      <c r="Q67" s="868"/>
      <c r="R67" s="868"/>
      <c r="S67" s="868"/>
      <c r="T67" s="868"/>
      <c r="X67" s="1757"/>
      <c r="AX67" s="76"/>
      <c r="AY67" s="76"/>
    </row>
    <row r="68" spans="2:61" customFormat="1" x14ac:dyDescent="0.25">
      <c r="B68" s="955">
        <v>802.3</v>
      </c>
      <c r="C68" s="845" t="s">
        <v>256</v>
      </c>
      <c r="D68" s="845" t="s">
        <v>122</v>
      </c>
      <c r="E68" s="18"/>
      <c r="F68" s="1129"/>
      <c r="G68" s="18"/>
      <c r="I68" s="943"/>
      <c r="J68" s="668"/>
      <c r="K68" s="901"/>
      <c r="L68" s="1754"/>
      <c r="M68" s="1788"/>
      <c r="N68" s="4"/>
      <c r="O68" s="1780"/>
      <c r="P68" s="868"/>
      <c r="Q68" s="868"/>
      <c r="R68" s="868"/>
      <c r="S68" s="868"/>
      <c r="T68" s="868"/>
      <c r="X68" s="1757"/>
      <c r="AX68" s="76"/>
      <c r="AY68" s="76"/>
      <c r="AZ68" s="868"/>
      <c r="BA68" s="868"/>
      <c r="BB68" s="868"/>
      <c r="BC68" s="868"/>
      <c r="BD68" s="868"/>
      <c r="BE68" s="868"/>
      <c r="BF68" s="868"/>
      <c r="BG68" s="868"/>
      <c r="BH68" s="868"/>
      <c r="BI68" s="868"/>
    </row>
    <row r="69" spans="2:61" customFormat="1" x14ac:dyDescent="0.25">
      <c r="B69" s="955">
        <v>802.3</v>
      </c>
      <c r="C69" s="845" t="s">
        <v>256</v>
      </c>
      <c r="D69" s="845" t="s">
        <v>122</v>
      </c>
      <c r="E69" s="18"/>
      <c r="F69" s="1129"/>
      <c r="G69" s="18"/>
      <c r="I69" s="943"/>
      <c r="J69" s="684"/>
      <c r="K69" s="863"/>
      <c r="L69" s="1755"/>
      <c r="M69" s="1865"/>
      <c r="N69" s="210"/>
      <c r="O69" s="1764"/>
      <c r="P69" s="868"/>
      <c r="Q69" s="868"/>
      <c r="R69" s="868"/>
      <c r="S69" s="868"/>
      <c r="T69" s="868"/>
      <c r="X69" s="1757"/>
      <c r="AX69" s="76"/>
      <c r="AY69" s="76"/>
    </row>
    <row r="70" spans="2:61" customFormat="1" ht="15" customHeight="1" x14ac:dyDescent="0.25">
      <c r="B70" s="955">
        <v>802.3</v>
      </c>
      <c r="C70" s="845" t="s">
        <v>258</v>
      </c>
      <c r="D70" s="845"/>
      <c r="E70" s="18"/>
      <c r="F70" s="1129"/>
      <c r="G70" s="18"/>
      <c r="I70" s="943"/>
      <c r="J70" s="667" t="s">
        <v>258</v>
      </c>
      <c r="K70" s="862"/>
      <c r="L70" s="882" t="s">
        <v>4405</v>
      </c>
      <c r="M70" s="94"/>
      <c r="P70" s="1"/>
      <c r="Q70" s="385" t="s">
        <v>4827</v>
      </c>
      <c r="R70" s="6">
        <f ca="1">SUM(O20:O69)+SUM(O80:O235)</f>
        <v>0</v>
      </c>
      <c r="AX70" s="76"/>
      <c r="AY70" s="76"/>
    </row>
    <row r="71" spans="2:61" customFormat="1" x14ac:dyDescent="0.25">
      <c r="B71" s="955">
        <v>802.3</v>
      </c>
      <c r="C71" s="845" t="s">
        <v>258</v>
      </c>
      <c r="D71" s="845"/>
      <c r="E71" s="18"/>
      <c r="F71" s="1129"/>
      <c r="G71" s="18"/>
      <c r="I71" s="943"/>
      <c r="J71" s="667"/>
      <c r="K71" s="76"/>
      <c r="L71" s="1782" t="s">
        <v>4409</v>
      </c>
      <c r="M71" s="2343" t="s">
        <v>4830</v>
      </c>
      <c r="P71" s="1"/>
      <c r="Q71" s="385" t="s">
        <v>4828</v>
      </c>
      <c r="R71" s="1" t="b">
        <f ca="1">OR(O73&lt;R74,O75&lt;R76)</f>
        <v>0</v>
      </c>
      <c r="AX71" s="76"/>
      <c r="AY71" s="76"/>
      <c r="AZ71" s="76"/>
      <c r="BA71" s="76"/>
      <c r="BB71" s="76"/>
      <c r="BC71" s="76"/>
      <c r="BD71" s="76"/>
      <c r="BE71" s="76"/>
      <c r="BF71" s="76"/>
      <c r="BG71" s="76"/>
      <c r="BH71" s="76"/>
      <c r="BI71" s="76"/>
    </row>
    <row r="72" spans="2:61" customFormat="1" ht="15" customHeight="1" x14ac:dyDescent="0.25">
      <c r="B72" s="955">
        <v>802.3</v>
      </c>
      <c r="C72" s="845" t="s">
        <v>258</v>
      </c>
      <c r="D72" s="845"/>
      <c r="E72" s="18"/>
      <c r="F72" s="1129"/>
      <c r="G72" s="18"/>
      <c r="I72" s="943"/>
      <c r="J72" s="667"/>
      <c r="K72" s="76"/>
      <c r="L72" s="1782"/>
      <c r="M72" s="1919"/>
      <c r="AX72" s="868"/>
      <c r="AY72" s="868"/>
      <c r="AZ72" s="76"/>
      <c r="BA72" s="76"/>
      <c r="BB72" s="76"/>
      <c r="BC72" s="76"/>
      <c r="BD72" s="76"/>
      <c r="BE72" s="76"/>
      <c r="BF72" s="76"/>
      <c r="BG72" s="76"/>
      <c r="BH72" s="76"/>
      <c r="BI72" s="76"/>
    </row>
    <row r="73" spans="2:61" customFormat="1" ht="15" customHeight="1" x14ac:dyDescent="0.25">
      <c r="B73" s="955">
        <v>802.3</v>
      </c>
      <c r="C73" s="845" t="s">
        <v>258</v>
      </c>
      <c r="D73" s="845" t="s">
        <v>121</v>
      </c>
      <c r="E73" s="18"/>
      <c r="F73" s="1129"/>
      <c r="G73" s="18"/>
      <c r="I73" s="943"/>
      <c r="J73" s="667"/>
      <c r="K73" s="901" t="s">
        <v>121</v>
      </c>
      <c r="L73" s="1754" t="s">
        <v>4403</v>
      </c>
      <c r="M73" s="1865" t="s">
        <v>4408</v>
      </c>
      <c r="N73" s="4"/>
      <c r="O73" s="1780">
        <f ca="1">IF((R76+R74)&lt;=R70,R74,IF(R74&lt;=R76,MIN(R70/2,R74),(R70-O75)))</f>
        <v>0</v>
      </c>
      <c r="P73" s="868" t="b">
        <v>0</v>
      </c>
      <c r="Q73" s="868" t="b">
        <v>1</v>
      </c>
      <c r="R73" s="868" t="b">
        <v>0</v>
      </c>
      <c r="S73" s="868" t="b">
        <f ca="1">AND(AY19=INDEX(INDIRECT("ddSingleOrMulti"),2),S14=2)</f>
        <v>0</v>
      </c>
      <c r="T73" s="868" t="b">
        <f ca="1">IF(AND(NOT(S73),LEN(W73)&gt;0),TRUE,FALSE)</f>
        <v>0</v>
      </c>
      <c r="W73" s="944"/>
      <c r="X73" s="1757"/>
      <c r="AC73" s="868" t="b">
        <f ca="1">OR(AD73:AE73)</f>
        <v>0</v>
      </c>
      <c r="AD73" s="868" t="b">
        <f ca="1">T73</f>
        <v>0</v>
      </c>
      <c r="AL73" s="254" t="str">
        <f>SUBSTITUTE(SUBSTITUTE(SUBSTITUTE("dpa"&amp;$B73&amp;$C73&amp;$D73&amp;$E73,".","_"),"(","_"),")","")</f>
        <v>dpa802_3_2_a</v>
      </c>
      <c r="AM73" s="254" t="str">
        <f>M73</f>
        <v>2 per unique use meter</v>
      </c>
      <c r="AN73" s="254" t="str">
        <f>SUBSTITUTE(SUBSTITUTE(SUBSTITUTE("dpc"&amp;$B73&amp;$C73&amp;$D73&amp;$E73,".","_"),"(","_"),")","")</f>
        <v>dpc802_3_2_a</v>
      </c>
      <c r="AO73" s="254">
        <f ca="1">O73</f>
        <v>0</v>
      </c>
      <c r="AP73" s="254" t="str">
        <f>SUBSTITUTE(SUBSTITUTE(SUBSTITUTE("dch"&amp;$B73&amp;$C73&amp;$D73&amp;$E73,".","_"),"(","_"),")","")</f>
        <v>dch802_3_2_a</v>
      </c>
      <c r="AQ73" s="254" t="str">
        <f>IF(LEN(W73)=0,"",W73)</f>
        <v/>
      </c>
      <c r="AR73" s="254" t="str">
        <f>SUBSTITUTE(SUBSTITUTE(SUBSTITUTE("dnt"&amp;$B73&amp;$C73&amp;$D73&amp;$E73,".","_"),"(","_"),")","")</f>
        <v>dnt802_3_2_a</v>
      </c>
      <c r="AS73" s="254" t="str">
        <f>IF(LEN(X73)=0,"",X73)</f>
        <v/>
      </c>
      <c r="AX73" s="76"/>
      <c r="AY73" s="76"/>
      <c r="AZ73" s="76"/>
      <c r="BA73" s="76"/>
      <c r="BB73" s="76"/>
      <c r="BC73" s="76"/>
      <c r="BD73" s="76"/>
      <c r="BE73" s="76"/>
      <c r="BF73" s="76"/>
      <c r="BG73" s="76"/>
      <c r="BH73" s="76"/>
      <c r="BI73" s="76"/>
    </row>
    <row r="74" spans="2:61" customFormat="1" x14ac:dyDescent="0.25">
      <c r="B74" s="955">
        <v>802.3</v>
      </c>
      <c r="C74" s="845" t="s">
        <v>258</v>
      </c>
      <c r="D74" s="845" t="s">
        <v>121</v>
      </c>
      <c r="E74" s="18"/>
      <c r="F74" s="1129"/>
      <c r="G74" s="18"/>
      <c r="I74" s="943"/>
      <c r="J74" s="667"/>
      <c r="K74" s="863"/>
      <c r="L74" s="1755"/>
      <c r="M74" s="1865"/>
      <c r="N74" s="4"/>
      <c r="O74" s="1764"/>
      <c r="P74" s="1"/>
      <c r="Q74" s="385" t="s">
        <v>4829</v>
      </c>
      <c r="R74" s="6">
        <f ca="1">W73*2*S73</f>
        <v>0</v>
      </c>
      <c r="S74" s="868"/>
      <c r="T74" s="868"/>
      <c r="W74" s="868"/>
      <c r="X74" s="1757"/>
      <c r="AC74" s="868"/>
      <c r="AD74" s="868"/>
      <c r="AX74" s="76"/>
      <c r="AY74" s="76"/>
      <c r="AZ74" s="76"/>
      <c r="BA74" s="76"/>
      <c r="BB74" s="76"/>
      <c r="BC74" s="76"/>
      <c r="BD74" s="76"/>
      <c r="BE74" s="76"/>
      <c r="BF74" s="76"/>
      <c r="BG74" s="76"/>
      <c r="BH74" s="76"/>
      <c r="BI74" s="76"/>
    </row>
    <row r="75" spans="2:61" customFormat="1" ht="15" customHeight="1" x14ac:dyDescent="0.25">
      <c r="B75" s="955">
        <v>802.3</v>
      </c>
      <c r="C75" s="845" t="s">
        <v>258</v>
      </c>
      <c r="D75" s="845" t="s">
        <v>122</v>
      </c>
      <c r="E75" s="18"/>
      <c r="F75" s="1129"/>
      <c r="G75" s="18"/>
      <c r="I75" s="946"/>
      <c r="J75" s="668"/>
      <c r="K75" s="901" t="s">
        <v>122</v>
      </c>
      <c r="L75" s="1754" t="s">
        <v>4404</v>
      </c>
      <c r="M75" s="1880" t="s">
        <v>4407</v>
      </c>
      <c r="N75" s="129"/>
      <c r="O75" s="1780">
        <f ca="1">IF((R76+R74)&lt;=R70,R76,IF(R76&lt;=R74,MIN(R70/2,R76),(R70-O73)))</f>
        <v>0</v>
      </c>
      <c r="P75" s="94" t="b">
        <v>0</v>
      </c>
      <c r="Q75" s="94" t="b">
        <v>1</v>
      </c>
      <c r="R75" s="94" t="b">
        <v>0</v>
      </c>
      <c r="S75" s="94" t="b">
        <f ca="1">AND(AY19=INDEX(INDIRECT("ddSingleOrMulti"),2),S14=2)</f>
        <v>0</v>
      </c>
      <c r="T75" s="94" t="b">
        <f ca="1">IF(AND(NOT(S75),LEN(W75)&gt;0),TRUE,FALSE)</f>
        <v>0</v>
      </c>
      <c r="U75" s="94"/>
      <c r="V75" s="94"/>
      <c r="W75" s="947"/>
      <c r="X75" s="1770"/>
      <c r="AC75" s="868" t="b">
        <f ca="1">OR(AD75:AE75)</f>
        <v>0</v>
      </c>
      <c r="AD75" s="868" t="b">
        <f ca="1">T75</f>
        <v>0</v>
      </c>
      <c r="AL75" s="254" t="str">
        <f>SUBSTITUTE(SUBSTITUTE(SUBSTITUTE("dpa"&amp;$B75&amp;$C75&amp;$D75&amp;$E75,".","_"),"(","_"),")","")</f>
        <v>dpa802_3_2_b</v>
      </c>
      <c r="AM75" s="254" t="str">
        <f>M75</f>
        <v>2 per sensor package</v>
      </c>
      <c r="AN75" s="254" t="str">
        <f>SUBSTITUTE(SUBSTITUTE(SUBSTITUTE("dpc"&amp;$B75&amp;$C75&amp;$D75&amp;$E75,".","_"),"(","_"),")","")</f>
        <v>dpc802_3_2_b</v>
      </c>
      <c r="AO75" s="254">
        <f ca="1">O75</f>
        <v>0</v>
      </c>
      <c r="AP75" s="254" t="str">
        <f>SUBSTITUTE(SUBSTITUTE(SUBSTITUTE("dch"&amp;$B75&amp;$C75&amp;$D75&amp;$E75,".","_"),"(","_"),")","")</f>
        <v>dch802_3_2_b</v>
      </c>
      <c r="AQ75" s="254" t="str">
        <f>IF(LEN(W75)=0,"",W75)</f>
        <v/>
      </c>
      <c r="AR75" s="254" t="str">
        <f>SUBSTITUTE(SUBSTITUTE(SUBSTITUTE("dnt"&amp;$B75&amp;$C75&amp;$D75&amp;$E75,".","_"),"(","_"),")","")</f>
        <v>dnt802_3_2_b</v>
      </c>
      <c r="AS75" s="254" t="str">
        <f>IF(LEN(X75)=0,"",X75)</f>
        <v/>
      </c>
      <c r="AX75" s="159"/>
      <c r="AY75" s="159"/>
      <c r="AZ75" s="76"/>
      <c r="BA75" s="76"/>
      <c r="BB75" s="76"/>
      <c r="BC75" s="76"/>
      <c r="BD75" s="76"/>
      <c r="BE75" s="76"/>
      <c r="BF75" s="76"/>
      <c r="BG75" s="76"/>
      <c r="BH75" s="76"/>
      <c r="BI75" s="76"/>
    </row>
    <row r="76" spans="2:61" s="868" customFormat="1" ht="15" customHeight="1" x14ac:dyDescent="0.25">
      <c r="B76" s="955">
        <v>802.3</v>
      </c>
      <c r="C76" s="845" t="s">
        <v>258</v>
      </c>
      <c r="D76" s="845" t="s">
        <v>122</v>
      </c>
      <c r="E76" s="18"/>
      <c r="F76" s="1129"/>
      <c r="G76" s="18"/>
      <c r="I76" s="946"/>
      <c r="J76" s="668"/>
      <c r="K76" s="901"/>
      <c r="L76" s="1754"/>
      <c r="M76" s="1788"/>
      <c r="N76" s="129"/>
      <c r="O76" s="1780"/>
      <c r="P76" s="1"/>
      <c r="Q76" s="385" t="s">
        <v>4829</v>
      </c>
      <c r="R76" s="6">
        <f ca="1">W75*2*S75</f>
        <v>0</v>
      </c>
      <c r="S76" s="94"/>
      <c r="T76" s="94"/>
      <c r="U76" s="94"/>
      <c r="V76" s="94"/>
      <c r="W76" s="94"/>
      <c r="X76" s="1770"/>
      <c r="AX76" s="76"/>
      <c r="AY76" s="76"/>
    </row>
    <row r="77" spans="2:61" customFormat="1" x14ac:dyDescent="0.25">
      <c r="B77" s="955">
        <v>802.3</v>
      </c>
      <c r="C77" s="845" t="s">
        <v>258</v>
      </c>
      <c r="D77" s="845" t="s">
        <v>122</v>
      </c>
      <c r="E77" s="18"/>
      <c r="F77" s="1129"/>
      <c r="G77" s="18"/>
      <c r="I77" s="946"/>
      <c r="J77" s="668"/>
      <c r="K77" s="901"/>
      <c r="L77" s="1754"/>
      <c r="M77" s="1788"/>
      <c r="N77" s="129"/>
      <c r="O77" s="1780"/>
      <c r="P77" s="94"/>
      <c r="Q77" s="94"/>
      <c r="R77" s="94"/>
      <c r="S77" s="94"/>
      <c r="T77" s="94"/>
      <c r="U77" s="94"/>
      <c r="V77" s="94"/>
      <c r="W77" s="94"/>
      <c r="X77" s="1770"/>
      <c r="AX77" s="76"/>
      <c r="AY77" s="76"/>
      <c r="AZ77" s="868"/>
      <c r="BA77" s="868"/>
      <c r="BB77" s="868"/>
      <c r="BC77" s="868"/>
      <c r="BD77" s="868"/>
      <c r="BE77" s="868"/>
      <c r="BF77" s="868"/>
      <c r="BG77" s="868"/>
      <c r="BH77" s="868"/>
      <c r="BI77" s="868"/>
    </row>
    <row r="78" spans="2:61" customFormat="1" ht="15.75" thickBot="1" x14ac:dyDescent="0.3">
      <c r="B78" s="955">
        <v>802.3</v>
      </c>
      <c r="C78" s="845" t="s">
        <v>258</v>
      </c>
      <c r="D78" s="845" t="s">
        <v>122</v>
      </c>
      <c r="E78" s="18"/>
      <c r="F78" s="1129"/>
      <c r="G78" s="18"/>
      <c r="I78" s="948"/>
      <c r="J78" s="673"/>
      <c r="K78" s="902"/>
      <c r="L78" s="1783"/>
      <c r="M78" s="1915"/>
      <c r="N78" s="240"/>
      <c r="O78" s="1775"/>
      <c r="P78" s="99"/>
      <c r="Q78" s="99"/>
      <c r="R78" s="99"/>
      <c r="S78" s="99"/>
      <c r="T78" s="99"/>
      <c r="U78" s="99"/>
      <c r="V78" s="99"/>
      <c r="W78" s="99"/>
      <c r="X78" s="1771"/>
      <c r="AX78" s="94"/>
      <c r="AY78" s="94"/>
      <c r="AZ78" s="76"/>
      <c r="BA78" s="76"/>
      <c r="BB78" s="76"/>
      <c r="BC78" s="76"/>
      <c r="BD78" s="76"/>
      <c r="BE78" s="76"/>
      <c r="BF78" s="76"/>
      <c r="BG78" s="76"/>
      <c r="BH78" s="76"/>
      <c r="BI78" s="76"/>
    </row>
    <row r="79" spans="2:61" ht="15.75" thickTop="1" x14ac:dyDescent="0.25">
      <c r="B79" s="679" t="s">
        <v>4410</v>
      </c>
      <c r="C79" s="21"/>
      <c r="D79" s="21"/>
      <c r="E79" s="21"/>
      <c r="F79" s="21"/>
      <c r="G79" s="21"/>
      <c r="H79" s="758"/>
      <c r="I79" s="64">
        <v>802.4</v>
      </c>
      <c r="J79" s="164"/>
      <c r="K79" s="4"/>
      <c r="L79" s="166" t="s">
        <v>4411</v>
      </c>
      <c r="M79" s="489"/>
      <c r="N79" s="4"/>
      <c r="O79" s="141"/>
      <c r="W79" s="76" t="s">
        <v>3588</v>
      </c>
      <c r="AX79"/>
      <c r="AY79"/>
    </row>
    <row r="80" spans="2:61" x14ac:dyDescent="0.25">
      <c r="B80" s="679" t="s">
        <v>4410</v>
      </c>
      <c r="C80" s="21" t="s">
        <v>256</v>
      </c>
      <c r="D80" s="21"/>
      <c r="E80" s="21"/>
      <c r="F80" s="21"/>
      <c r="G80" s="21"/>
      <c r="H80" s="758"/>
      <c r="I80" s="64"/>
      <c r="J80" s="78" t="s">
        <v>256</v>
      </c>
      <c r="K80" s="4"/>
      <c r="L80" s="1779" t="s">
        <v>4414</v>
      </c>
      <c r="M80" s="1845" t="s">
        <v>786</v>
      </c>
      <c r="N80" s="4"/>
      <c r="O80" s="1780">
        <f ca="1">IFERROR(INDEX({4,5,6,7},MATCH(W80,INDIRECT(U80),0)),0)*S80</f>
        <v>0</v>
      </c>
      <c r="P80" s="94" t="b">
        <v>0</v>
      </c>
      <c r="Q80" s="633" t="b">
        <v>1</v>
      </c>
      <c r="R80" s="134" t="b">
        <v>0</v>
      </c>
      <c r="S80" s="816" t="b">
        <f ca="1">S14=2</f>
        <v>0</v>
      </c>
      <c r="T80" s="94" t="b">
        <f ca="1">IF(AND(NOT(S80),LEN(W80)&gt;0),TRUE,FALSE)</f>
        <v>0</v>
      </c>
      <c r="U80" s="94" t="str">
        <f>SUBSTITUTE(SUBSTITUTE(SUBSTITUTE("dd"&amp;B80&amp;C80&amp;D80&amp;E80&amp;F80,".","_"),"(","_"),")","")</f>
        <v>dd802_4_1</v>
      </c>
      <c r="W80" s="351"/>
      <c r="X80" s="1757"/>
      <c r="AC80" s="353" t="b">
        <f ca="1">OR(AD80:AE80)</f>
        <v>0</v>
      </c>
      <c r="AD80" s="353" t="b">
        <f ca="1">T80</f>
        <v>0</v>
      </c>
      <c r="AE80" s="353"/>
      <c r="AL80" s="254" t="str">
        <f>SUBSTITUTE(SUBSTITUTE(SUBSTITUTE("dpa"&amp;$B80&amp;$C80&amp;$D80&amp;$E80,".","_"),"(","_"),")","")</f>
        <v>dpa802_4_1</v>
      </c>
      <c r="AM80" s="254" t="str">
        <f>M80</f>
        <v xml:space="preserve">4 for first compartment </v>
      </c>
      <c r="AN80" s="254" t="str">
        <f>SUBSTITUTE(SUBSTITUTE(SUBSTITUTE("dpc"&amp;$B80&amp;$C80&amp;$D80&amp;$E80,".","_"),"(","_"),")","")</f>
        <v>dpc802_4_1</v>
      </c>
      <c r="AO80" s="254">
        <f ca="1">O80</f>
        <v>0</v>
      </c>
      <c r="AP80" s="254" t="str">
        <f>SUBSTITUTE(SUBSTITUTE(SUBSTITUTE("dch"&amp;$B80&amp;$C80&amp;$D80&amp;$E80,".","_"),"(","_"),")","")</f>
        <v>dch802_4_1</v>
      </c>
      <c r="AQ80" s="254" t="str">
        <f>IF(LEN(W80)=0,"",W80)</f>
        <v/>
      </c>
      <c r="AR80" s="254" t="str">
        <f>SUBSTITUTE(SUBSTITUTE(SUBSTITUTE("dnt"&amp;$B80&amp;$C80&amp;$D80&amp;$E80,".","_"),"(","_"),")","")</f>
        <v>dnt802_4_1</v>
      </c>
      <c r="AS80" s="254" t="str">
        <f>IF(LEN(X80)=0,"",X80)</f>
        <v/>
      </c>
      <c r="AX80" s="868"/>
      <c r="AY80" s="868"/>
    </row>
    <row r="81" spans="1:61" x14ac:dyDescent="0.25">
      <c r="B81" s="679" t="s">
        <v>4410</v>
      </c>
      <c r="C81" s="21" t="s">
        <v>256</v>
      </c>
      <c r="D81" s="21"/>
      <c r="E81" s="21"/>
      <c r="F81" s="21"/>
      <c r="G81" s="21"/>
      <c r="H81" s="758"/>
      <c r="I81" s="64"/>
      <c r="J81" s="164"/>
      <c r="K81" s="4"/>
      <c r="L81" s="1779"/>
      <c r="M81" s="1845"/>
      <c r="N81" s="4"/>
      <c r="O81" s="1780"/>
      <c r="X81" s="1757"/>
      <c r="AX81"/>
      <c r="AY81"/>
    </row>
    <row r="82" spans="1:61" x14ac:dyDescent="0.25">
      <c r="B82" s="679" t="s">
        <v>4410</v>
      </c>
      <c r="C82" s="21" t="s">
        <v>256</v>
      </c>
      <c r="D82" s="21" t="s">
        <v>256</v>
      </c>
      <c r="E82" s="21"/>
      <c r="F82" s="21"/>
      <c r="G82" s="21"/>
      <c r="H82" s="758"/>
      <c r="I82" s="64"/>
      <c r="J82" s="164"/>
      <c r="K82" s="4"/>
      <c r="L82" s="1779"/>
      <c r="M82" s="1845" t="s">
        <v>787</v>
      </c>
      <c r="N82" s="4"/>
      <c r="O82" s="1780"/>
      <c r="X82" s="1757"/>
      <c r="AL82" s="254" t="str">
        <f>SUBSTITUTE(SUBSTITUTE(SUBSTITUTE("dpa"&amp;$B82&amp;$C82&amp;$D82&amp;$E82,".","_"),"(","_"),")","")</f>
        <v>dpa802_4_1_1</v>
      </c>
      <c r="AM82" s="254" t="str">
        <f>M82</f>
        <v>1 for each additional compartment in dwelling</v>
      </c>
      <c r="AX82"/>
      <c r="AY82"/>
    </row>
    <row r="83" spans="1:61" x14ac:dyDescent="0.25">
      <c r="B83" s="679" t="s">
        <v>4410</v>
      </c>
      <c r="C83" s="21" t="s">
        <v>256</v>
      </c>
      <c r="D83" s="21"/>
      <c r="E83" s="21"/>
      <c r="F83" s="21"/>
      <c r="G83" s="21"/>
      <c r="H83" s="758"/>
      <c r="I83" s="64"/>
      <c r="J83" s="164"/>
      <c r="K83" s="4"/>
      <c r="L83" s="1779"/>
      <c r="M83" s="1845"/>
      <c r="N83" s="4"/>
      <c r="O83" s="1780"/>
      <c r="X83" s="1757"/>
      <c r="AX83"/>
      <c r="AY83"/>
    </row>
    <row r="84" spans="1:61" s="1066" customFormat="1" x14ac:dyDescent="0.25">
      <c r="A84" s="18"/>
      <c r="B84" s="679" t="s">
        <v>4410</v>
      </c>
      <c r="C84" s="21" t="s">
        <v>256</v>
      </c>
      <c r="D84" s="21"/>
      <c r="E84" s="21"/>
      <c r="F84" s="21"/>
      <c r="G84" s="21"/>
      <c r="H84" s="758"/>
      <c r="I84" s="64"/>
      <c r="J84" s="164"/>
      <c r="K84" s="4"/>
      <c r="L84" s="1779"/>
      <c r="M84" s="1845"/>
      <c r="N84" s="4"/>
      <c r="O84" s="1780"/>
      <c r="X84" s="1757"/>
      <c r="AX84"/>
      <c r="AY84"/>
      <c r="AZ84" s="868"/>
      <c r="BA84" s="868"/>
      <c r="BB84" s="868"/>
      <c r="BC84" s="868"/>
      <c r="BD84" s="868"/>
      <c r="BE84" s="868"/>
      <c r="BF84" s="868"/>
      <c r="BG84" s="868"/>
      <c r="BH84" s="868"/>
      <c r="BI84" s="868"/>
    </row>
    <row r="85" spans="1:61" s="868" customFormat="1" x14ac:dyDescent="0.25">
      <c r="A85" s="18"/>
      <c r="B85" s="679" t="s">
        <v>4410</v>
      </c>
      <c r="C85" s="21" t="s">
        <v>256</v>
      </c>
      <c r="D85" s="21"/>
      <c r="E85" s="21"/>
      <c r="F85" s="21"/>
      <c r="G85" s="21"/>
      <c r="H85" s="758"/>
      <c r="I85" s="64"/>
      <c r="J85" s="164"/>
      <c r="K85" s="4"/>
      <c r="L85" s="1779"/>
      <c r="M85" s="1845"/>
      <c r="N85" s="4"/>
      <c r="O85" s="1780"/>
      <c r="X85" s="1757"/>
      <c r="AX85" s="1066"/>
      <c r="AY85" s="1066"/>
      <c r="AZ85" s="1066"/>
      <c r="BA85" s="1066"/>
      <c r="BB85" s="1066"/>
      <c r="BC85" s="1066"/>
      <c r="BD85" s="1066"/>
      <c r="BE85" s="1066"/>
      <c r="BF85" s="1066"/>
      <c r="BG85" s="1066"/>
      <c r="BH85" s="1066"/>
      <c r="BI85" s="1066"/>
    </row>
    <row r="86" spans="1:61" s="868" customFormat="1" x14ac:dyDescent="0.25">
      <c r="A86" s="18"/>
      <c r="B86" s="679" t="s">
        <v>4410</v>
      </c>
      <c r="C86" s="21" t="s">
        <v>256</v>
      </c>
      <c r="D86" s="21"/>
      <c r="E86" s="21"/>
      <c r="F86" s="21"/>
      <c r="G86" s="21"/>
      <c r="H86" s="758"/>
      <c r="I86" s="64"/>
      <c r="J86" s="164"/>
      <c r="K86" s="4"/>
      <c r="L86" s="1779"/>
      <c r="M86" s="1845"/>
      <c r="N86" s="4"/>
      <c r="O86" s="1780"/>
      <c r="X86" s="1757"/>
      <c r="AX86"/>
      <c r="AY86"/>
      <c r="AZ86" s="76"/>
      <c r="BA86" s="76"/>
      <c r="BB86" s="76"/>
      <c r="BC86" s="76"/>
      <c r="BD86" s="76"/>
      <c r="BE86" s="76"/>
      <c r="BF86" s="76"/>
      <c r="BG86" s="76"/>
      <c r="BH86" s="76"/>
      <c r="BI86" s="76"/>
    </row>
    <row r="87" spans="1:61" x14ac:dyDescent="0.25">
      <c r="B87" s="679" t="s">
        <v>4410</v>
      </c>
      <c r="C87" s="21" t="s">
        <v>256</v>
      </c>
      <c r="D87" s="21"/>
      <c r="E87" s="21"/>
      <c r="F87" s="21"/>
      <c r="G87" s="21"/>
      <c r="H87" s="758"/>
      <c r="I87" s="64"/>
      <c r="J87" s="164"/>
      <c r="K87" s="4"/>
      <c r="L87" s="1779"/>
      <c r="M87" s="1845"/>
      <c r="N87" s="4"/>
      <c r="O87" s="1780"/>
      <c r="X87" s="1757"/>
      <c r="AX87"/>
      <c r="AY87"/>
    </row>
    <row r="88" spans="1:61" x14ac:dyDescent="0.25">
      <c r="B88" s="679" t="s">
        <v>4410</v>
      </c>
      <c r="C88" s="21" t="s">
        <v>256</v>
      </c>
      <c r="D88" s="21"/>
      <c r="E88" s="21"/>
      <c r="F88" s="21"/>
      <c r="G88" s="21"/>
      <c r="H88" s="758"/>
      <c r="I88" s="64"/>
      <c r="J88" s="164"/>
      <c r="K88" s="4"/>
      <c r="L88" s="1779"/>
      <c r="M88" s="1845"/>
      <c r="N88" s="4"/>
      <c r="O88" s="1780"/>
      <c r="X88" s="1757"/>
      <c r="AX88"/>
      <c r="AY88"/>
    </row>
    <row r="89" spans="1:61" x14ac:dyDescent="0.25">
      <c r="B89" s="679" t="s">
        <v>4410</v>
      </c>
      <c r="C89" s="21" t="s">
        <v>256</v>
      </c>
      <c r="D89" s="21" t="s">
        <v>258</v>
      </c>
      <c r="E89" s="21"/>
      <c r="F89" s="21"/>
      <c r="G89" s="21"/>
      <c r="H89" s="758"/>
      <c r="I89" s="64"/>
      <c r="J89" s="480"/>
      <c r="K89" s="129"/>
      <c r="L89" s="1860" t="s">
        <v>4415</v>
      </c>
      <c r="M89" s="1758" t="s">
        <v>788</v>
      </c>
      <c r="N89" s="129"/>
      <c r="O89" s="239"/>
      <c r="X89" s="1757"/>
      <c r="AL89" s="254" t="str">
        <f>SUBSTITUTE(SUBSTITUTE(SUBSTITUTE("dpa"&amp;$B89&amp;$C89&amp;$D89&amp;$E89,".","_"),"(","_"),")","")</f>
        <v>dpa802_4_1_2</v>
      </c>
      <c r="AM89" s="254" t="str">
        <f>M89</f>
        <v>7 Max</v>
      </c>
    </row>
    <row r="90" spans="1:61" x14ac:dyDescent="0.25">
      <c r="B90" s="679" t="s">
        <v>4410</v>
      </c>
      <c r="C90" s="21" t="s">
        <v>256</v>
      </c>
      <c r="D90" s="21"/>
      <c r="E90" s="21"/>
      <c r="F90" s="21"/>
      <c r="G90" s="21"/>
      <c r="H90" s="758"/>
      <c r="I90" s="64"/>
      <c r="J90" s="480"/>
      <c r="K90" s="129"/>
      <c r="L90" s="1860"/>
      <c r="M90" s="1758"/>
      <c r="N90" s="129"/>
      <c r="O90" s="239"/>
      <c r="X90" s="1757"/>
    </row>
    <row r="91" spans="1:61" x14ac:dyDescent="0.25">
      <c r="B91" s="679" t="s">
        <v>4410</v>
      </c>
      <c r="C91" s="21" t="s">
        <v>256</v>
      </c>
      <c r="D91" s="21"/>
      <c r="E91" s="21"/>
      <c r="F91" s="21"/>
      <c r="G91" s="21"/>
      <c r="H91" s="758"/>
      <c r="I91" s="64"/>
      <c r="J91" s="524"/>
      <c r="K91" s="210"/>
      <c r="L91" s="1918"/>
      <c r="M91" s="1759"/>
      <c r="N91" s="210"/>
      <c r="O91" s="501"/>
      <c r="X91" s="1757"/>
    </row>
    <row r="92" spans="1:61" x14ac:dyDescent="0.25">
      <c r="B92" s="679" t="s">
        <v>4410</v>
      </c>
      <c r="C92" s="21" t="s">
        <v>258</v>
      </c>
      <c r="D92" s="21"/>
      <c r="E92" s="21"/>
      <c r="F92" s="21"/>
      <c r="G92" s="21"/>
      <c r="H92" s="758"/>
      <c r="I92" s="64"/>
      <c r="J92" s="78" t="s">
        <v>258</v>
      </c>
      <c r="K92" s="4"/>
      <c r="L92" s="1779" t="s">
        <v>5854</v>
      </c>
      <c r="M92" s="428"/>
      <c r="N92" s="4"/>
      <c r="O92" s="1780">
        <f ca="1">IFERROR(INDEX({6,10},MATCH(W92,INDIRECT(U92),0)),0)*S92</f>
        <v>0</v>
      </c>
      <c r="P92" s="94" t="b">
        <v>0</v>
      </c>
      <c r="Q92" s="633" t="b">
        <v>1</v>
      </c>
      <c r="R92" s="134" t="b">
        <v>0</v>
      </c>
      <c r="S92" s="134" t="b">
        <f ca="1">AND(LEN(W80)&gt;0,S14=2)</f>
        <v>0</v>
      </c>
      <c r="T92" s="94" t="b">
        <f ca="1">IF(AND(NOT(S92),LEN(W92)&gt;0),TRUE,FALSE)</f>
        <v>0</v>
      </c>
      <c r="U92" s="94" t="str">
        <f>SUBSTITUTE(SUBSTITUTE(SUBSTITUTE("dd"&amp;B92&amp;C92&amp;D92&amp;E92&amp;F92,".","_"),"(","_"),")","")</f>
        <v>dd802_4_2</v>
      </c>
      <c r="W92" s="12"/>
      <c r="X92" s="1757"/>
      <c r="AC92" s="353" t="b">
        <f ca="1">OR(AD92:AE92)</f>
        <v>0</v>
      </c>
      <c r="AD92" s="353" t="b">
        <f ca="1">T92</f>
        <v>0</v>
      </c>
      <c r="AE92" s="353"/>
      <c r="AN92" s="254" t="str">
        <f>SUBSTITUTE(SUBSTITUTE(SUBSTITUTE("dpc"&amp;$B92&amp;$C92&amp;$D92&amp;$E92,".","_"),"(","_"),")","")</f>
        <v>dpc802_4_2</v>
      </c>
      <c r="AO92" s="254">
        <f ca="1">O92</f>
        <v>0</v>
      </c>
      <c r="AP92" s="254" t="str">
        <f>SUBSTITUTE(SUBSTITUTE(SUBSTITUTE("dch"&amp;$B92&amp;$C92&amp;$D92&amp;$E92,".","_"),"(","_"),")","")</f>
        <v>dch802_4_2</v>
      </c>
      <c r="AQ92" s="254" t="str">
        <f>IF(LEN(W92)=0,"",W92)</f>
        <v/>
      </c>
      <c r="AR92" s="254" t="str">
        <f>SUBSTITUTE(SUBSTITUTE(SUBSTITUTE("dnt"&amp;$B92&amp;$C92&amp;$D92&amp;$E92,".","_"),"(","_"),")","")</f>
        <v>dnt802_4_2</v>
      </c>
      <c r="AS92" s="254" t="str">
        <f>IF(LEN(X92)=0,"",X92)</f>
        <v/>
      </c>
    </row>
    <row r="93" spans="1:61" s="868" customFormat="1" x14ac:dyDescent="0.25">
      <c r="A93" s="18"/>
      <c r="B93" s="679" t="s">
        <v>4410</v>
      </c>
      <c r="C93" s="21" t="s">
        <v>258</v>
      </c>
      <c r="D93" s="21"/>
      <c r="E93" s="21"/>
      <c r="F93" s="21"/>
      <c r="G93" s="21"/>
      <c r="H93" s="758"/>
      <c r="I93" s="64"/>
      <c r="J93" s="78"/>
      <c r="K93" s="4"/>
      <c r="L93" s="1779"/>
      <c r="M93" s="872"/>
      <c r="N93" s="4"/>
      <c r="O93" s="1780"/>
      <c r="P93" s="94"/>
      <c r="T93" s="94"/>
      <c r="U93" s="94"/>
      <c r="W93"/>
      <c r="X93" s="1757"/>
      <c r="AN93" s="254"/>
      <c r="AO93" s="254"/>
      <c r="AP93" s="254"/>
      <c r="AQ93" s="254"/>
      <c r="AR93" s="254"/>
      <c r="AS93" s="254"/>
      <c r="AX93" s="76"/>
      <c r="AY93" s="76"/>
    </row>
    <row r="94" spans="1:61" ht="15" customHeight="1" x14ac:dyDescent="0.25">
      <c r="B94" s="679" t="s">
        <v>4410</v>
      </c>
      <c r="C94" s="21" t="s">
        <v>258</v>
      </c>
      <c r="D94" s="21"/>
      <c r="E94" s="21"/>
      <c r="F94" s="21"/>
      <c r="G94" s="21"/>
      <c r="H94" s="758"/>
      <c r="I94" s="64"/>
      <c r="J94" s="164"/>
      <c r="K94" s="4"/>
      <c r="L94" s="1779"/>
      <c r="M94" s="428"/>
      <c r="N94" s="4"/>
      <c r="O94" s="1780"/>
      <c r="X94" s="1757"/>
    </row>
    <row r="95" spans="1:61" x14ac:dyDescent="0.25">
      <c r="B95" s="679" t="s">
        <v>4410</v>
      </c>
      <c r="C95" s="21" t="s">
        <v>258</v>
      </c>
      <c r="D95" s="21" t="s">
        <v>121</v>
      </c>
      <c r="E95" s="21"/>
      <c r="F95" s="21"/>
      <c r="G95" s="21"/>
      <c r="H95" s="758"/>
      <c r="I95" s="4"/>
      <c r="J95" s="164"/>
      <c r="K95" s="27" t="s">
        <v>121</v>
      </c>
      <c r="L95" s="880" t="s">
        <v>4416</v>
      </c>
      <c r="M95" s="428" t="s">
        <v>789</v>
      </c>
      <c r="N95" s="4"/>
      <c r="O95" s="141"/>
      <c r="X95" s="1757"/>
      <c r="AL95" s="254" t="str">
        <f>SUBSTITUTE(SUBSTITUTE(SUBSTITUTE("dpa"&amp;$B95&amp;$C95&amp;$D95&amp;$E95,".","_"),"(","_"),")","")</f>
        <v>dpa802_4_2_a</v>
      </c>
      <c r="AM95" s="254" t="str">
        <f>M95</f>
        <v xml:space="preserve">6 Additional </v>
      </c>
    </row>
    <row r="96" spans="1:61" x14ac:dyDescent="0.25">
      <c r="B96" s="679" t="s">
        <v>4410</v>
      </c>
      <c r="C96" s="21" t="s">
        <v>258</v>
      </c>
      <c r="D96" s="21" t="s">
        <v>122</v>
      </c>
      <c r="E96" s="21"/>
      <c r="F96" s="21"/>
      <c r="G96" s="21"/>
      <c r="H96" s="758"/>
      <c r="I96" s="4"/>
      <c r="J96" s="524"/>
      <c r="K96" s="206" t="s">
        <v>122</v>
      </c>
      <c r="L96" s="881" t="s">
        <v>4417</v>
      </c>
      <c r="M96" s="875" t="s">
        <v>790</v>
      </c>
      <c r="N96" s="4"/>
      <c r="O96" s="501"/>
      <c r="X96" s="1757"/>
      <c r="AL96" s="254" t="str">
        <f>SUBSTITUTE(SUBSTITUTE(SUBSTITUTE("dpa"&amp;$B96&amp;$C96&amp;$D96&amp;$E96,".","_"),"(","_"),")","")</f>
        <v>dpa802_4_2_b</v>
      </c>
      <c r="AM96" s="254" t="str">
        <f>M96</f>
        <v xml:space="preserve">10 Additional </v>
      </c>
    </row>
    <row r="97" spans="1:61" ht="15" customHeight="1" x14ac:dyDescent="0.25">
      <c r="B97" s="679" t="s">
        <v>4410</v>
      </c>
      <c r="C97" s="21" t="s">
        <v>260</v>
      </c>
      <c r="D97" s="21"/>
      <c r="E97" s="21"/>
      <c r="F97" s="21"/>
      <c r="G97" s="21"/>
      <c r="H97" s="758"/>
      <c r="I97" s="130"/>
      <c r="J97" s="907" t="s">
        <v>260</v>
      </c>
      <c r="K97" s="129"/>
      <c r="L97" s="356" t="s">
        <v>791</v>
      </c>
      <c r="M97" s="1788" t="s">
        <v>3596</v>
      </c>
      <c r="N97" s="129"/>
      <c r="O97" s="1774">
        <f ca="1">IFERROR(MATCH(W97,INDIRECT(U97),0),0)*S97</f>
        <v>0</v>
      </c>
      <c r="P97" s="94" t="b">
        <v>0</v>
      </c>
      <c r="Q97" s="633" t="b">
        <v>1</v>
      </c>
      <c r="R97" s="94" t="b">
        <v>0</v>
      </c>
      <c r="S97" s="94" t="b">
        <f ca="1">S14=2</f>
        <v>0</v>
      </c>
      <c r="T97" s="94" t="b">
        <f ca="1">IF(AND(NOT(S97),LEN(W97)&gt;0),TRUE,FALSE)</f>
        <v>0</v>
      </c>
      <c r="U97" s="94" t="str">
        <f>SUBSTITUTE(SUBSTITUTE(SUBSTITUTE("dd"&amp;B97&amp;C97&amp;D97&amp;E97&amp;F97,".","_"),"(","_"),")","")</f>
        <v>dd802_4_3</v>
      </c>
      <c r="V97" s="94"/>
      <c r="W97" s="109"/>
      <c r="X97" s="1770"/>
      <c r="AC97" s="353" t="b">
        <f ca="1">OR(AD97:AE97)</f>
        <v>0</v>
      </c>
      <c r="AD97" s="353" t="b">
        <f ca="1">T97</f>
        <v>0</v>
      </c>
      <c r="AE97" s="353"/>
      <c r="AL97" s="254" t="str">
        <f>SUBSTITUTE(SUBSTITUTE(SUBSTITUTE("dpa"&amp;$B97&amp;$C97&amp;$D97&amp;$E97,".","_"),"(","_"),")","")</f>
        <v>dpa802_4_3</v>
      </c>
      <c r="AM97" s="254" t="str">
        <f>M97</f>
        <v>1
3 Max</v>
      </c>
      <c r="AN97" s="254" t="str">
        <f>SUBSTITUTE(SUBSTITUTE(SUBSTITUTE("dpc"&amp;$B97&amp;$C97&amp;$D97&amp;$E97,".","_"),"(","_"),")","")</f>
        <v>dpc802_4_3</v>
      </c>
      <c r="AO97" s="254">
        <f ca="1">O97</f>
        <v>0</v>
      </c>
      <c r="AP97" s="254" t="str">
        <f>SUBSTITUTE(SUBSTITUTE(SUBSTITUTE("dch"&amp;$B97&amp;$C97&amp;$D97&amp;$E97,".","_"),"(","_"),")","")</f>
        <v>dch802_4_3</v>
      </c>
      <c r="AQ97" s="254" t="str">
        <f>IF(LEN(W97)=0,"",W97)</f>
        <v/>
      </c>
      <c r="AR97" s="254" t="str">
        <f>SUBSTITUTE(SUBSTITUTE(SUBSTITUTE("dnt"&amp;$B97&amp;$C97&amp;$D97&amp;$E97,".","_"),"(","_"),")","")</f>
        <v>dnt802_4_3</v>
      </c>
      <c r="AS97" s="254" t="str">
        <f>IF(LEN(X97)=0,"",X97)</f>
        <v/>
      </c>
    </row>
    <row r="98" spans="1:61" ht="15.75" thickBot="1" x14ac:dyDescent="0.3">
      <c r="B98" s="679" t="s">
        <v>4410</v>
      </c>
      <c r="C98" s="21" t="s">
        <v>260</v>
      </c>
      <c r="D98" s="21"/>
      <c r="E98" s="21"/>
      <c r="F98" s="21"/>
      <c r="G98" s="21"/>
      <c r="H98" s="758"/>
      <c r="I98" s="189"/>
      <c r="J98" s="481"/>
      <c r="K98" s="240"/>
      <c r="L98" s="362" t="s">
        <v>792</v>
      </c>
      <c r="M98" s="1915"/>
      <c r="N98" s="240"/>
      <c r="O98" s="1775"/>
      <c r="P98" s="99"/>
      <c r="Q98" s="99"/>
      <c r="R98" s="99"/>
      <c r="S98" s="99"/>
      <c r="T98" s="99"/>
      <c r="U98" s="99"/>
      <c r="V98" s="99"/>
      <c r="W98" s="99"/>
      <c r="X98" s="1771"/>
      <c r="AX98" s="868"/>
      <c r="AY98" s="868"/>
    </row>
    <row r="99" spans="1:61" ht="15.75" thickTop="1" x14ac:dyDescent="0.25">
      <c r="B99" s="679" t="s">
        <v>4420</v>
      </c>
      <c r="C99" s="21"/>
      <c r="D99" s="21"/>
      <c r="E99" s="21"/>
      <c r="F99" s="21"/>
      <c r="G99" s="21"/>
      <c r="H99" s="758"/>
      <c r="I99" s="180">
        <v>802.5</v>
      </c>
      <c r="J99" s="952"/>
      <c r="K99" s="181"/>
      <c r="L99" s="466" t="s">
        <v>4418</v>
      </c>
      <c r="M99" s="451"/>
      <c r="N99" s="181"/>
      <c r="O99" s="506"/>
      <c r="P99" s="105"/>
      <c r="Q99" s="105"/>
      <c r="R99" s="105"/>
      <c r="S99" s="105"/>
      <c r="T99" s="105"/>
      <c r="U99" s="105"/>
      <c r="V99" s="105"/>
      <c r="W99" s="105"/>
      <c r="X99" s="105"/>
    </row>
    <row r="100" spans="1:61" ht="15" customHeight="1" x14ac:dyDescent="0.25">
      <c r="B100" s="679" t="s">
        <v>4412</v>
      </c>
      <c r="C100" s="21" t="s">
        <v>2971</v>
      </c>
      <c r="D100" s="21"/>
      <c r="E100" s="21"/>
      <c r="F100" s="21"/>
      <c r="G100" s="21"/>
      <c r="H100" s="758"/>
      <c r="I100" s="130" t="s">
        <v>4412</v>
      </c>
      <c r="J100" s="480"/>
      <c r="K100" s="129"/>
      <c r="L100" s="1796" t="s">
        <v>4419</v>
      </c>
      <c r="M100" s="452"/>
      <c r="N100" s="129"/>
      <c r="O100" s="1780">
        <f ca="1">(S101*S103+IFERROR(INDEX({0,0,6,8,12},MATCH(W102,INDIRECT(U102),0)),0))*S100</f>
        <v>0</v>
      </c>
      <c r="P100" s="868" t="b">
        <v>0</v>
      </c>
      <c r="Q100" s="868" t="b">
        <v>1</v>
      </c>
      <c r="R100" s="868" t="b">
        <v>0</v>
      </c>
      <c r="S100" s="868" t="b">
        <f ca="1">S14=2</f>
        <v>0</v>
      </c>
      <c r="T100" s="868" t="b">
        <f ca="1">IF(AND(NOT(S100),LEN(W100)&gt;0),TRUE,FALSE)</f>
        <v>0</v>
      </c>
      <c r="U100" s="868" t="str">
        <f>SUBSTITUTE(SUBSTITUTE(SUBSTITUTE("dd"&amp;B100&amp;C100&amp;D100&amp;E100&amp;F100,".","_"),"(","_"),")","")</f>
        <v>dd802_5_1a</v>
      </c>
      <c r="V100" s="94"/>
      <c r="W100" s="12"/>
      <c r="X100" s="1757"/>
      <c r="AC100" s="868" t="b">
        <f ca="1">OR(AD100:AE100)</f>
        <v>0</v>
      </c>
      <c r="AD100" s="868" t="b">
        <f ca="1">T100</f>
        <v>0</v>
      </c>
      <c r="AN100" s="254" t="str">
        <f>SUBSTITUTE(SUBSTITUTE(SUBSTITUTE("dpc"&amp;$B100&amp;$C100&amp;$D100&amp;$E100,".","_"),"(","_"),")","")</f>
        <v>dpc802_5_1a</v>
      </c>
      <c r="AO100" s="254">
        <f ca="1">O100</f>
        <v>0</v>
      </c>
      <c r="AP100" s="254" t="str">
        <f>SUBSTITUTE(SUBSTITUTE(SUBSTITUTE("dch"&amp;$B100&amp;$C100&amp;$D100&amp;$E100,".","_"),"(","_"),")","")</f>
        <v>dch802_5_1a</v>
      </c>
      <c r="AQ100" s="254" t="str">
        <f>IF(LEN(W100)=0,"",W100)</f>
        <v/>
      </c>
      <c r="AR100" s="254" t="str">
        <f>SUBSTITUTE(SUBSTITUTE(SUBSTITUTE("dnt"&amp;$B100&amp;$C100&amp;$D100&amp;$E100,".","_"),"(","_"),")","")</f>
        <v>dnt802_5_1a</v>
      </c>
      <c r="AS100" s="254" t="str">
        <f>IF(LEN(X100)=0,"",X100)</f>
        <v/>
      </c>
      <c r="AZ100"/>
      <c r="BA100"/>
      <c r="BB100"/>
      <c r="BC100"/>
      <c r="BD100"/>
      <c r="BE100"/>
      <c r="BF100"/>
      <c r="BG100"/>
      <c r="BH100"/>
      <c r="BI100"/>
    </row>
    <row r="101" spans="1:61" s="868" customFormat="1" x14ac:dyDescent="0.25">
      <c r="A101" s="18"/>
      <c r="B101" s="679" t="s">
        <v>4412</v>
      </c>
      <c r="C101" s="21"/>
      <c r="D101" s="21"/>
      <c r="E101" s="21"/>
      <c r="F101" s="21"/>
      <c r="G101" s="21"/>
      <c r="H101" s="758"/>
      <c r="I101" s="130"/>
      <c r="J101" s="480"/>
      <c r="K101" s="129"/>
      <c r="L101" s="1796"/>
      <c r="M101" s="888"/>
      <c r="N101" s="129"/>
      <c r="O101" s="1780"/>
      <c r="S101" s="1">
        <f ca="1">IFERROR(MATCH(W100,INDIRECT(U100),0),0)</f>
        <v>0</v>
      </c>
      <c r="V101" s="94"/>
      <c r="W101" s="94"/>
      <c r="X101" s="1757"/>
      <c r="AX101" s="76"/>
      <c r="AY101" s="76"/>
    </row>
    <row r="102" spans="1:61" x14ac:dyDescent="0.25">
      <c r="B102" s="679" t="s">
        <v>4412</v>
      </c>
      <c r="C102" s="21" t="s">
        <v>2972</v>
      </c>
      <c r="D102" s="21"/>
      <c r="E102" s="21"/>
      <c r="F102" s="21"/>
      <c r="G102" s="21"/>
      <c r="H102" s="758"/>
      <c r="I102" s="130"/>
      <c r="J102" s="480"/>
      <c r="K102" s="129"/>
      <c r="L102" s="1796"/>
      <c r="M102" s="428"/>
      <c r="N102" s="4"/>
      <c r="O102" s="1780"/>
      <c r="P102" s="868" t="b">
        <v>0</v>
      </c>
      <c r="Q102" s="868" t="b">
        <v>1</v>
      </c>
      <c r="R102" s="178" t="b">
        <v>0</v>
      </c>
      <c r="S102" s="178" t="b">
        <f ca="1">AND(LEN(W100)&gt;0,S14=2)</f>
        <v>0</v>
      </c>
      <c r="T102" s="868" t="b">
        <f ca="1">IF(AND(NOT(S102),LEN(W102)&gt;0),TRUE,FALSE)</f>
        <v>0</v>
      </c>
      <c r="U102" s="868" t="str">
        <f>SUBSTITUTE(SUBSTITUTE(SUBSTITUTE("dd"&amp;B102&amp;C102&amp;D102&amp;E102&amp;F102,".","_"),"(","_"),")","")</f>
        <v>dd802_5_1b</v>
      </c>
      <c r="V102"/>
      <c r="W102" s="12"/>
      <c r="X102" s="1757"/>
      <c r="AC102" s="868" t="b">
        <f ca="1">OR(AD102:AE102)</f>
        <v>0</v>
      </c>
      <c r="AD102" s="868" t="b">
        <f ca="1">T102</f>
        <v>0</v>
      </c>
      <c r="AE102"/>
      <c r="AF102"/>
      <c r="AG102"/>
      <c r="AH102"/>
      <c r="AI102"/>
      <c r="AJ102"/>
      <c r="AK102"/>
      <c r="AL102"/>
      <c r="AM102"/>
      <c r="AN102"/>
      <c r="AO102"/>
      <c r="AP102" s="254" t="str">
        <f>SUBSTITUTE(SUBSTITUTE(SUBSTITUTE("dch"&amp;$B102&amp;$C102&amp;$D102&amp;$E102,".","_"),"(","_"),")","")</f>
        <v>dch802_5_1b</v>
      </c>
      <c r="AQ102" s="254" t="str">
        <f>IF(LEN(W102)=0,"",W102)</f>
        <v/>
      </c>
      <c r="AR102"/>
      <c r="AS102"/>
      <c r="AZ102"/>
      <c r="BA102"/>
      <c r="BB102"/>
      <c r="BC102"/>
      <c r="BD102"/>
      <c r="BE102"/>
      <c r="BF102"/>
      <c r="BG102"/>
      <c r="BH102"/>
      <c r="BI102"/>
    </row>
    <row r="103" spans="1:61" x14ac:dyDescent="0.25">
      <c r="B103" s="679" t="s">
        <v>4412</v>
      </c>
      <c r="C103" s="21" t="s">
        <v>256</v>
      </c>
      <c r="D103" s="21"/>
      <c r="E103" s="21"/>
      <c r="F103" s="21"/>
      <c r="G103" s="21"/>
      <c r="H103" s="758"/>
      <c r="I103" s="64"/>
      <c r="J103" s="907" t="s">
        <v>256</v>
      </c>
      <c r="K103" s="129"/>
      <c r="L103" s="356" t="s">
        <v>4430</v>
      </c>
      <c r="M103" s="1788" t="s">
        <v>3596</v>
      </c>
      <c r="N103" s="129"/>
      <c r="O103" s="874"/>
      <c r="P103" s="868"/>
      <c r="Q103" s="868"/>
      <c r="R103" s="868"/>
      <c r="S103" s="1">
        <f ca="1">MIN(2,(IFERROR(MATCH(W102,INDIRECT(U102),0),0)))</f>
        <v>0</v>
      </c>
      <c r="T103" s="868"/>
      <c r="U103" s="868"/>
      <c r="V103"/>
      <c r="W103"/>
      <c r="X103" s="1757"/>
      <c r="AC103"/>
      <c r="AD103"/>
      <c r="AE103"/>
      <c r="AF103"/>
      <c r="AG103"/>
      <c r="AH103"/>
      <c r="AI103"/>
      <c r="AJ103"/>
      <c r="AK103"/>
      <c r="AL103" s="254" t="str">
        <f>SUBSTITUTE(SUBSTITUTE(SUBSTITUTE("dpa"&amp;$B103&amp;$C103&amp;$D103&amp;$E103,".","_"),"(","_"),")","")</f>
        <v>dpa802_5_1_1</v>
      </c>
      <c r="AM103" s="254" t="str">
        <f>M103</f>
        <v>1
3 Max</v>
      </c>
      <c r="AN103"/>
      <c r="AO103"/>
      <c r="AP103"/>
      <c r="AQ103"/>
      <c r="AR103"/>
      <c r="AS103"/>
      <c r="AZ103"/>
      <c r="BA103"/>
      <c r="BB103"/>
      <c r="BC103"/>
      <c r="BD103"/>
      <c r="BE103"/>
      <c r="BF103"/>
      <c r="BG103"/>
      <c r="BH103"/>
      <c r="BI103"/>
    </row>
    <row r="104" spans="1:61" x14ac:dyDescent="0.25">
      <c r="B104" s="679" t="s">
        <v>4412</v>
      </c>
      <c r="C104" s="21" t="s">
        <v>256</v>
      </c>
      <c r="D104" s="21"/>
      <c r="E104" s="21"/>
      <c r="F104" s="21"/>
      <c r="G104" s="21"/>
      <c r="H104" s="758"/>
      <c r="I104" s="64"/>
      <c r="J104" s="480"/>
      <c r="K104" s="129"/>
      <c r="L104" s="1860" t="s">
        <v>4432</v>
      </c>
      <c r="M104" s="1758"/>
      <c r="N104" s="129"/>
      <c r="O104"/>
      <c r="P104"/>
      <c r="Q104"/>
      <c r="R104"/>
      <c r="S104"/>
      <c r="T104"/>
      <c r="U104"/>
      <c r="V104"/>
      <c r="W104"/>
      <c r="X104" s="1757"/>
      <c r="AC104"/>
      <c r="AD104"/>
      <c r="AE104"/>
      <c r="AF104"/>
      <c r="AG104"/>
      <c r="AH104"/>
      <c r="AI104"/>
      <c r="AJ104"/>
      <c r="AK104"/>
      <c r="AL104"/>
      <c r="AM104"/>
      <c r="AN104"/>
      <c r="AO104"/>
      <c r="AP104"/>
      <c r="AQ104"/>
      <c r="AR104"/>
      <c r="AS104"/>
      <c r="AZ104"/>
      <c r="BA104"/>
      <c r="BB104"/>
      <c r="BC104"/>
      <c r="BD104"/>
      <c r="BE104"/>
      <c r="BF104"/>
      <c r="BG104"/>
      <c r="BH104"/>
      <c r="BI104"/>
    </row>
    <row r="105" spans="1:61" x14ac:dyDescent="0.25">
      <c r="B105" s="679" t="s">
        <v>4412</v>
      </c>
      <c r="C105" s="21" t="s">
        <v>256</v>
      </c>
      <c r="D105" s="21"/>
      <c r="E105" s="21"/>
      <c r="F105" s="21"/>
      <c r="G105" s="21"/>
      <c r="H105" s="758"/>
      <c r="I105" s="64"/>
      <c r="J105" s="480"/>
      <c r="K105" s="129"/>
      <c r="L105" s="1860"/>
      <c r="M105" s="1758"/>
      <c r="N105" s="129"/>
      <c r="O105"/>
      <c r="P105"/>
      <c r="Q105"/>
      <c r="R105"/>
      <c r="S105"/>
      <c r="T105"/>
      <c r="U105"/>
      <c r="V105"/>
      <c r="W105"/>
      <c r="X105" s="1757"/>
      <c r="AC105"/>
      <c r="AD105"/>
      <c r="AE105"/>
      <c r="AF105"/>
      <c r="AG105"/>
      <c r="AH105"/>
      <c r="AI105"/>
      <c r="AJ105"/>
      <c r="AK105"/>
      <c r="AL105"/>
      <c r="AM105"/>
      <c r="AN105"/>
      <c r="AO105"/>
      <c r="AP105"/>
      <c r="AQ105"/>
      <c r="AR105"/>
      <c r="AS105"/>
      <c r="AZ105"/>
      <c r="BA105"/>
      <c r="BB105"/>
      <c r="BC105"/>
      <c r="BD105"/>
      <c r="BE105"/>
      <c r="BF105"/>
      <c r="BG105"/>
      <c r="BH105"/>
      <c r="BI105"/>
    </row>
    <row r="106" spans="1:61" x14ac:dyDescent="0.25">
      <c r="B106" s="679" t="s">
        <v>4412</v>
      </c>
      <c r="C106" s="21" t="s">
        <v>256</v>
      </c>
      <c r="D106" s="21"/>
      <c r="E106" s="21"/>
      <c r="F106" s="21"/>
      <c r="G106" s="21"/>
      <c r="H106" s="758"/>
      <c r="I106" s="64"/>
      <c r="J106" s="524"/>
      <c r="K106" s="210"/>
      <c r="L106" s="1918"/>
      <c r="M106" s="1759"/>
      <c r="N106" s="210"/>
      <c r="O106"/>
      <c r="P106"/>
      <c r="Q106"/>
      <c r="R106"/>
      <c r="S106"/>
      <c r="T106"/>
      <c r="U106"/>
      <c r="V106"/>
      <c r="W106"/>
      <c r="X106" s="1757"/>
      <c r="AC106"/>
      <c r="AD106"/>
      <c r="AE106"/>
      <c r="AF106"/>
      <c r="AG106"/>
      <c r="AH106"/>
      <c r="AI106"/>
      <c r="AJ106"/>
      <c r="AK106"/>
      <c r="AL106"/>
      <c r="AM106"/>
      <c r="AN106"/>
      <c r="AO106"/>
      <c r="AP106"/>
      <c r="AQ106"/>
      <c r="AR106"/>
      <c r="AS106"/>
      <c r="AZ106"/>
      <c r="BA106"/>
      <c r="BB106"/>
      <c r="BC106"/>
      <c r="BD106"/>
      <c r="BE106"/>
      <c r="BF106"/>
      <c r="BG106"/>
      <c r="BH106"/>
      <c r="BI106"/>
    </row>
    <row r="107" spans="1:61" x14ac:dyDescent="0.25">
      <c r="B107" s="679" t="s">
        <v>4412</v>
      </c>
      <c r="C107" s="21" t="s">
        <v>258</v>
      </c>
      <c r="D107" s="21"/>
      <c r="E107" s="21"/>
      <c r="F107" s="21"/>
      <c r="G107" s="21"/>
      <c r="H107" s="758"/>
      <c r="I107" s="130"/>
      <c r="J107" s="691" t="s">
        <v>258</v>
      </c>
      <c r="K107" s="954"/>
      <c r="L107" s="280" t="s">
        <v>4431</v>
      </c>
      <c r="M107" s="476" t="s">
        <v>4433</v>
      </c>
      <c r="N107" s="210"/>
      <c r="O107"/>
      <c r="P107"/>
      <c r="Q107"/>
      <c r="R107"/>
      <c r="S107"/>
      <c r="T107"/>
      <c r="U107"/>
      <c r="V107"/>
      <c r="W107"/>
      <c r="X107" s="1757"/>
      <c r="AC107"/>
      <c r="AD107"/>
      <c r="AE107"/>
      <c r="AF107"/>
      <c r="AG107"/>
      <c r="AH107"/>
      <c r="AI107"/>
      <c r="AJ107"/>
      <c r="AK107"/>
      <c r="AL107" s="254" t="str">
        <f>SUBSTITUTE(SUBSTITUTE(SUBSTITUTE("dpa"&amp;$B107&amp;$C107&amp;$D107&amp;$E107,".","_"),"(","_"),")","")</f>
        <v>dpa802_5_1_2</v>
      </c>
      <c r="AM107" s="254" t="str">
        <f>M107</f>
        <v xml:space="preserve">2 (6 Max) </v>
      </c>
      <c r="AN107"/>
      <c r="AO107"/>
      <c r="AP107"/>
      <c r="AQ107"/>
      <c r="AR107"/>
      <c r="AS107"/>
      <c r="AZ107"/>
      <c r="BA107"/>
      <c r="BB107"/>
      <c r="BC107"/>
      <c r="BD107"/>
      <c r="BE107"/>
      <c r="BF107"/>
      <c r="BG107"/>
      <c r="BH107"/>
      <c r="BI107"/>
    </row>
    <row r="108" spans="1:61" customFormat="1" x14ac:dyDescent="0.25">
      <c r="B108" s="679" t="s">
        <v>4412</v>
      </c>
      <c r="C108" s="21" t="s">
        <v>260</v>
      </c>
      <c r="D108" s="18"/>
      <c r="E108" s="18"/>
      <c r="F108" s="18"/>
      <c r="G108" s="18"/>
      <c r="I108" s="94"/>
      <c r="J108" s="684" t="s">
        <v>260</v>
      </c>
      <c r="K108" s="851"/>
      <c r="L108" s="881" t="s">
        <v>4427</v>
      </c>
      <c r="M108" s="899" t="s">
        <v>789</v>
      </c>
      <c r="X108" s="1757"/>
      <c r="AL108" s="254" t="str">
        <f>SUBSTITUTE(SUBSTITUTE(SUBSTITUTE("dpa"&amp;$B108&amp;$C108&amp;$D108&amp;$E108,".","_"),"(","_"),")","")</f>
        <v>dpa802_5_1_3</v>
      </c>
      <c r="AM108" s="254" t="str">
        <f>M108</f>
        <v xml:space="preserve">6 Additional </v>
      </c>
      <c r="AX108" s="76"/>
      <c r="AY108" s="76"/>
    </row>
    <row r="109" spans="1:61" s="868" customFormat="1" x14ac:dyDescent="0.25">
      <c r="B109" s="679" t="s">
        <v>4412</v>
      </c>
      <c r="C109" s="21" t="s">
        <v>269</v>
      </c>
      <c r="D109" s="18"/>
      <c r="E109" s="18"/>
      <c r="F109" s="18"/>
      <c r="G109" s="18"/>
      <c r="J109" s="668" t="s">
        <v>269</v>
      </c>
      <c r="K109" s="850"/>
      <c r="L109" s="1754" t="s">
        <v>4428</v>
      </c>
      <c r="M109" s="1762" t="s">
        <v>4434</v>
      </c>
      <c r="X109" s="1757"/>
      <c r="AL109" s="254" t="str">
        <f>SUBSTITUTE(SUBSTITUTE(SUBSTITUTE("dpa"&amp;$B109&amp;$C109&amp;$D109&amp;$E109,".","_"),"(","_"),")","")</f>
        <v>dpa802_5_1_4</v>
      </c>
      <c r="AM109" s="254" t="str">
        <f>M109</f>
        <v xml:space="preserve">8 Additional </v>
      </c>
      <c r="AX109" s="76"/>
      <c r="AY109" s="76"/>
      <c r="AZ109" s="159"/>
      <c r="BA109" s="159"/>
      <c r="BB109" s="159"/>
      <c r="BC109" s="159"/>
      <c r="BD109" s="159"/>
      <c r="BE109" s="159"/>
      <c r="BF109" s="159"/>
      <c r="BG109" s="159"/>
      <c r="BH109" s="159"/>
      <c r="BI109" s="159"/>
    </row>
    <row r="110" spans="1:61" customFormat="1" x14ac:dyDescent="0.25">
      <c r="B110" s="679" t="s">
        <v>4412</v>
      </c>
      <c r="C110" s="21" t="s">
        <v>269</v>
      </c>
      <c r="D110" s="18"/>
      <c r="E110" s="18"/>
      <c r="F110" s="18"/>
      <c r="G110" s="18"/>
      <c r="J110" s="684"/>
      <c r="K110" s="851"/>
      <c r="L110" s="1755"/>
      <c r="M110" s="1759"/>
      <c r="X110" s="1757"/>
      <c r="AX110" s="76"/>
      <c r="AY110" s="76"/>
      <c r="AZ110" s="76"/>
      <c r="BA110" s="76"/>
      <c r="BB110" s="76"/>
      <c r="BC110" s="76"/>
      <c r="BD110" s="76"/>
      <c r="BE110" s="76"/>
      <c r="BF110" s="76"/>
      <c r="BG110" s="76"/>
      <c r="BH110" s="76"/>
      <c r="BI110" s="76"/>
    </row>
    <row r="111" spans="1:61" customFormat="1" x14ac:dyDescent="0.25">
      <c r="B111" s="679" t="s">
        <v>4412</v>
      </c>
      <c r="C111" s="21" t="s">
        <v>275</v>
      </c>
      <c r="D111" s="18"/>
      <c r="E111" s="18"/>
      <c r="F111" s="18"/>
      <c r="G111" s="18"/>
      <c r="I111" s="178"/>
      <c r="J111" s="684" t="s">
        <v>275</v>
      </c>
      <c r="K111" s="851"/>
      <c r="L111" s="881" t="s">
        <v>4429</v>
      </c>
      <c r="M111" s="899" t="s">
        <v>4435</v>
      </c>
      <c r="N111" s="178"/>
      <c r="O111" s="178"/>
      <c r="P111" s="178"/>
      <c r="Q111" s="178"/>
      <c r="R111" s="178"/>
      <c r="S111" s="178"/>
      <c r="T111" s="178"/>
      <c r="U111" s="178"/>
      <c r="V111" s="178"/>
      <c r="W111" s="178"/>
      <c r="X111" s="1757"/>
      <c r="AL111" s="254" t="str">
        <f>SUBSTITUTE(SUBSTITUTE(SUBSTITUTE("dpa"&amp;$B111&amp;$C111&amp;$D111&amp;$E111,".","_"),"(","_"),")","")</f>
        <v>dpa802_5_1_5</v>
      </c>
      <c r="AM111" s="254" t="str">
        <f>M111</f>
        <v xml:space="preserve">12 Additional </v>
      </c>
      <c r="AX111" s="76"/>
      <c r="AY111" s="76"/>
      <c r="AZ111" s="76"/>
      <c r="BA111" s="76"/>
      <c r="BB111" s="76"/>
      <c r="BC111" s="76"/>
      <c r="BD111" s="76"/>
      <c r="BE111" s="76"/>
      <c r="BF111" s="76"/>
      <c r="BG111" s="76"/>
      <c r="BH111" s="76"/>
      <c r="BI111" s="76"/>
    </row>
    <row r="112" spans="1:61" customFormat="1" x14ac:dyDescent="0.25">
      <c r="B112" s="679" t="s">
        <v>4413</v>
      </c>
      <c r="C112" s="18"/>
      <c r="D112" s="18"/>
      <c r="E112" s="18"/>
      <c r="F112" s="18"/>
      <c r="G112" s="18"/>
      <c r="I112" s="943" t="s">
        <v>4413</v>
      </c>
      <c r="J112" s="667"/>
      <c r="K112" s="862"/>
      <c r="L112" s="1796" t="s">
        <v>4421</v>
      </c>
      <c r="M112" s="872"/>
      <c r="N112" s="4"/>
      <c r="O112" s="1780">
        <f ca="1">IFERROR(INDEX({3,4},MATCH(W112,INDIRECT(U112),0)),0)*S112</f>
        <v>0</v>
      </c>
      <c r="P112" t="b">
        <v>0</v>
      </c>
      <c r="Q112" t="b">
        <v>1</v>
      </c>
      <c r="R112" t="b">
        <v>0</v>
      </c>
      <c r="S112" s="868" t="b">
        <f ca="1">S14=2</f>
        <v>0</v>
      </c>
      <c r="T112" s="94" t="b">
        <f ca="1">IF(AND(NOT(S112),LEN(W112)&gt;0),TRUE,FALSE)</f>
        <v>0</v>
      </c>
      <c r="U112" s="94" t="str">
        <f>SUBSTITUTE(SUBSTITUTE(SUBSTITUTE("dd"&amp;B112&amp;C112&amp;D112&amp;E112&amp;F112,".","_"),"(","_"),")","")</f>
        <v>dd802_5_2</v>
      </c>
      <c r="W112" s="255"/>
      <c r="X112" s="1756"/>
      <c r="AC112" s="970" t="b">
        <f ca="1">OR(AD112:AE112)</f>
        <v>0</v>
      </c>
      <c r="AD112" s="970" t="b">
        <f ca="1">T112</f>
        <v>0</v>
      </c>
      <c r="AN112" s="254" t="str">
        <f>SUBSTITUTE(SUBSTITUTE(SUBSTITUTE("dpc"&amp;$B112&amp;$C112&amp;$D112&amp;$E112,".","_"),"(","_"),")","")</f>
        <v>dpc802_5_2</v>
      </c>
      <c r="AO112" s="254">
        <f ca="1">O112</f>
        <v>0</v>
      </c>
      <c r="AP112" s="254" t="str">
        <f>SUBSTITUTE(SUBSTITUTE(SUBSTITUTE("dch"&amp;$B112&amp;$C112&amp;$D112&amp;$E112,".","_"),"(","_"),")","")</f>
        <v>dch802_5_2</v>
      </c>
      <c r="AQ112" s="254" t="str">
        <f>IF(LEN(W112)=0,"",W112)</f>
        <v/>
      </c>
      <c r="AR112" s="254" t="str">
        <f>SUBSTITUTE(SUBSTITUTE(SUBSTITUTE("dnt"&amp;$B112&amp;$C112&amp;$D112&amp;$E112,".","_"),"(","_"),")","")</f>
        <v>dnt802_5_2</v>
      </c>
      <c r="AS112" s="254" t="str">
        <f>IF(LEN(X112)=0,"",X112)</f>
        <v/>
      </c>
      <c r="AX112" s="76"/>
      <c r="AY112" s="76"/>
      <c r="AZ112" s="94"/>
      <c r="BA112" s="94"/>
      <c r="BB112" s="94"/>
      <c r="BC112" s="94"/>
      <c r="BD112" s="94"/>
      <c r="BE112" s="94"/>
      <c r="BF112" s="94"/>
      <c r="BG112" s="94"/>
      <c r="BH112" s="94"/>
      <c r="BI112" s="94"/>
    </row>
    <row r="113" spans="1:61" customFormat="1" x14ac:dyDescent="0.25">
      <c r="B113" s="679" t="s">
        <v>4413</v>
      </c>
      <c r="C113" s="18"/>
      <c r="D113" s="18"/>
      <c r="E113" s="18"/>
      <c r="F113" s="18"/>
      <c r="G113" s="18"/>
      <c r="I113" s="943"/>
      <c r="J113" s="667"/>
      <c r="K113" s="862"/>
      <c r="L113" s="1796"/>
      <c r="M113" s="872"/>
      <c r="N113" s="4"/>
      <c r="O113" s="1780"/>
      <c r="X113" s="1757"/>
      <c r="AZ113" s="76"/>
      <c r="BA113" s="76"/>
      <c r="BB113" s="76"/>
      <c r="BC113" s="76"/>
      <c r="BD113" s="76"/>
      <c r="BE113" s="76"/>
      <c r="BF113" s="76"/>
      <c r="BG113" s="76"/>
      <c r="BH113" s="76"/>
      <c r="BI113" s="76"/>
    </row>
    <row r="114" spans="1:61" customFormat="1" x14ac:dyDescent="0.25">
      <c r="B114" s="679" t="s">
        <v>4413</v>
      </c>
      <c r="C114" s="18"/>
      <c r="D114" s="18"/>
      <c r="E114" s="18"/>
      <c r="F114" s="18"/>
      <c r="G114" s="18"/>
      <c r="I114" s="943"/>
      <c r="J114" s="667"/>
      <c r="K114" s="862"/>
      <c r="L114" s="1796"/>
      <c r="M114" s="872"/>
      <c r="N114" s="4"/>
      <c r="O114" s="1780"/>
      <c r="X114" s="1757"/>
      <c r="AX114" s="76"/>
      <c r="AY114" s="76"/>
      <c r="AZ114" s="76"/>
      <c r="BA114" s="76"/>
      <c r="BB114" s="76"/>
      <c r="BC114" s="76"/>
      <c r="BD114" s="76"/>
      <c r="BE114" s="76"/>
      <c r="BF114" s="76"/>
      <c r="BG114" s="76"/>
      <c r="BH114" s="76"/>
      <c r="BI114" s="76"/>
    </row>
    <row r="115" spans="1:61" customFormat="1" x14ac:dyDescent="0.25">
      <c r="B115" s="679" t="s">
        <v>4413</v>
      </c>
      <c r="C115" s="21" t="s">
        <v>256</v>
      </c>
      <c r="D115" s="18"/>
      <c r="E115" s="18"/>
      <c r="F115" s="18"/>
      <c r="G115" s="18"/>
      <c r="I115" s="946"/>
      <c r="J115" s="668" t="s">
        <v>256</v>
      </c>
      <c r="K115" s="901"/>
      <c r="L115" s="882" t="s">
        <v>4422</v>
      </c>
      <c r="M115" s="872">
        <v>3</v>
      </c>
      <c r="N115" s="4"/>
      <c r="O115" s="874"/>
      <c r="P115" s="94"/>
      <c r="Q115" s="94"/>
      <c r="R115" s="94"/>
      <c r="S115" s="94"/>
      <c r="T115" s="94"/>
      <c r="U115" s="94"/>
      <c r="V115" s="94"/>
      <c r="W115" s="94"/>
      <c r="X115" s="1757"/>
      <c r="AL115" s="254" t="str">
        <f>SUBSTITUTE(SUBSTITUTE(SUBSTITUTE("dpa"&amp;$B115&amp;$C115&amp;$D115&amp;$E115,".","_"),"(","_"),")","")</f>
        <v>dpa802_5_2_1</v>
      </c>
      <c r="AM115" s="254">
        <f>M115</f>
        <v>3</v>
      </c>
      <c r="AX115" s="76"/>
      <c r="AY115" s="76"/>
      <c r="AZ115" s="76"/>
      <c r="BA115" s="76"/>
      <c r="BB115" s="76"/>
      <c r="BC115" s="76"/>
      <c r="BD115" s="76"/>
      <c r="BE115" s="76"/>
      <c r="BF115" s="76"/>
      <c r="BG115" s="76"/>
      <c r="BH115" s="76"/>
      <c r="BI115" s="76"/>
    </row>
    <row r="116" spans="1:61" customFormat="1" x14ac:dyDescent="0.25">
      <c r="B116" s="679" t="s">
        <v>4413</v>
      </c>
      <c r="C116" s="21" t="s">
        <v>258</v>
      </c>
      <c r="D116" s="18"/>
      <c r="E116" s="18"/>
      <c r="F116" s="18"/>
      <c r="G116" s="18"/>
      <c r="I116" s="949"/>
      <c r="J116" s="684" t="s">
        <v>258</v>
      </c>
      <c r="K116" s="863"/>
      <c r="L116" s="881" t="s">
        <v>4423</v>
      </c>
      <c r="M116" s="875" t="s">
        <v>4426</v>
      </c>
      <c r="N116" s="4"/>
      <c r="O116" s="876"/>
      <c r="P116" s="178"/>
      <c r="Q116" s="178"/>
      <c r="R116" s="178"/>
      <c r="S116" s="178"/>
      <c r="T116" s="178"/>
      <c r="U116" s="178"/>
      <c r="V116" s="178"/>
      <c r="W116" s="178"/>
      <c r="X116" s="1757"/>
      <c r="AL116" s="254" t="str">
        <f>SUBSTITUTE(SUBSTITUTE(SUBSTITUTE("dpa"&amp;$B116&amp;$C116&amp;$D116&amp;$E116,".","_"),"(","_"),")","")</f>
        <v>dpa802_5_2_2</v>
      </c>
      <c r="AM116" s="254" t="str">
        <f>M116</f>
        <v xml:space="preserve">1 Additional </v>
      </c>
      <c r="AX116" s="76"/>
      <c r="AY116" s="76"/>
      <c r="AZ116" s="76"/>
      <c r="BA116" s="76"/>
      <c r="BB116" s="76"/>
      <c r="BC116" s="76"/>
      <c r="BD116" s="76"/>
      <c r="BE116" s="76"/>
      <c r="BF116" s="76"/>
      <c r="BG116" s="76"/>
      <c r="BH116" s="76"/>
      <c r="BI116" s="76"/>
    </row>
    <row r="117" spans="1:61" s="159" customFormat="1" x14ac:dyDescent="0.25">
      <c r="A117" s="18"/>
      <c r="B117" s="679" t="s">
        <v>4424</v>
      </c>
      <c r="C117" s="21"/>
      <c r="D117" s="21"/>
      <c r="E117" s="21"/>
      <c r="F117" s="21"/>
      <c r="G117" s="21"/>
      <c r="H117" s="758"/>
      <c r="I117" s="130" t="s">
        <v>4424</v>
      </c>
      <c r="J117" s="480"/>
      <c r="K117" s="129"/>
      <c r="L117" s="1782" t="s">
        <v>4425</v>
      </c>
      <c r="M117" s="1788" t="s">
        <v>3596</v>
      </c>
      <c r="N117" s="129"/>
      <c r="O117" s="1774">
        <f ca="1">IFERROR(MATCH(W117,INDIRECT(U117),0),0)*S117</f>
        <v>0</v>
      </c>
      <c r="P117" s="94" t="b">
        <v>0</v>
      </c>
      <c r="Q117" s="633" t="b">
        <v>1</v>
      </c>
      <c r="R117" s="94" t="b">
        <v>0</v>
      </c>
      <c r="S117" s="94" t="b">
        <f ca="1">S14=2</f>
        <v>0</v>
      </c>
      <c r="T117" s="94" t="b">
        <f ca="1">IF(AND(NOT(S117),LEN(W117)&gt;0),TRUE,FALSE)</f>
        <v>0</v>
      </c>
      <c r="U117" s="94" t="str">
        <f>SUBSTITUTE(SUBSTITUTE(SUBSTITUTE("dd"&amp;B117&amp;C117&amp;D117&amp;E117&amp;F117,".","_"),"(","_"),")","")</f>
        <v>dd802_5_3</v>
      </c>
      <c r="V117" s="94"/>
      <c r="W117" s="255"/>
      <c r="X117" s="1756"/>
      <c r="Y117" s="780"/>
      <c r="Z117" s="76"/>
      <c r="AA117" s="783"/>
      <c r="AB117" s="76"/>
      <c r="AC117" s="353" t="b">
        <f ca="1">OR(AD117:AE117)</f>
        <v>0</v>
      </c>
      <c r="AD117" s="353" t="b">
        <f ca="1">T117</f>
        <v>0</v>
      </c>
      <c r="AE117" s="353"/>
      <c r="AF117" s="76"/>
      <c r="AG117" s="76"/>
      <c r="AH117" s="76"/>
      <c r="AI117" s="76"/>
      <c r="AJ117" s="76"/>
      <c r="AK117" s="76"/>
      <c r="AL117" s="254" t="str">
        <f>SUBSTITUTE(SUBSTITUTE(SUBSTITUTE("dpa"&amp;$B117&amp;$C117&amp;$D117&amp;$E117,".","_"),"(","_"),")","")</f>
        <v>dpa802_5_3</v>
      </c>
      <c r="AM117" s="254" t="str">
        <f>M117</f>
        <v>1
3 Max</v>
      </c>
      <c r="AN117" s="254" t="str">
        <f>SUBSTITUTE(SUBSTITUTE(SUBSTITUTE("dpc"&amp;$B117&amp;$C117&amp;$D117&amp;$E117,".","_"),"(","_"),")","")</f>
        <v>dpc802_5_3</v>
      </c>
      <c r="AO117" s="254">
        <f ca="1">O117</f>
        <v>0</v>
      </c>
      <c r="AP117" s="254" t="str">
        <f>SUBSTITUTE(SUBSTITUTE(SUBSTITUTE("dch"&amp;$B117&amp;$C117&amp;$D117&amp;$E117,".","_"),"(","_"),")","")</f>
        <v>dch802_5_3</v>
      </c>
      <c r="AQ117" s="254" t="str">
        <f>IF(LEN(W117)=0,"",W117)</f>
        <v/>
      </c>
      <c r="AR117" s="254" t="str">
        <f>SUBSTITUTE(SUBSTITUTE(SUBSTITUTE("dnt"&amp;$B117&amp;$C117&amp;$D117&amp;$E117,".","_"),"(","_"),")","")</f>
        <v>dnt802_5_3</v>
      </c>
      <c r="AS117" s="254" t="str">
        <f>IF(LEN(X117)=0,"",X117)</f>
        <v/>
      </c>
      <c r="AT117" s="76"/>
      <c r="AU117" s="76"/>
      <c r="AX117" s="76"/>
      <c r="AY117" s="76"/>
      <c r="AZ117" s="76"/>
      <c r="BA117" s="76"/>
      <c r="BB117" s="76"/>
      <c r="BC117" s="76"/>
      <c r="BD117" s="76"/>
      <c r="BE117" s="76"/>
      <c r="BF117" s="76"/>
      <c r="BG117" s="76"/>
      <c r="BH117" s="76"/>
      <c r="BI117" s="76"/>
    </row>
    <row r="118" spans="1:61" x14ac:dyDescent="0.25">
      <c r="B118" s="679" t="s">
        <v>4424</v>
      </c>
      <c r="C118" s="21"/>
      <c r="D118" s="21"/>
      <c r="E118" s="21"/>
      <c r="F118" s="21"/>
      <c r="G118" s="21"/>
      <c r="H118" s="758"/>
      <c r="I118" s="130"/>
      <c r="J118" s="480"/>
      <c r="K118" s="129"/>
      <c r="L118" s="1782"/>
      <c r="M118" s="1788"/>
      <c r="N118" s="129"/>
      <c r="O118" s="1774"/>
      <c r="P118" s="94"/>
      <c r="Q118" s="94"/>
      <c r="R118" s="94"/>
      <c r="S118" s="94"/>
      <c r="T118" s="94"/>
      <c r="U118" s="94"/>
      <c r="V118" s="94"/>
      <c r="W118" s="94"/>
      <c r="X118" s="1770"/>
      <c r="AZ118" s="868"/>
      <c r="BA118" s="868"/>
      <c r="BB118" s="868"/>
      <c r="BC118" s="868"/>
      <c r="BD118" s="868"/>
      <c r="BE118" s="868"/>
      <c r="BF118" s="868"/>
      <c r="BG118" s="868"/>
      <c r="BH118" s="868"/>
      <c r="BI118" s="868"/>
    </row>
    <row r="119" spans="1:61" ht="15.75" thickBot="1" x14ac:dyDescent="0.3">
      <c r="B119" s="679" t="s">
        <v>4424</v>
      </c>
      <c r="C119" s="21"/>
      <c r="D119" s="21"/>
      <c r="E119" s="21"/>
      <c r="F119" s="21"/>
      <c r="G119" s="21"/>
      <c r="H119" s="758"/>
      <c r="I119" s="189"/>
      <c r="J119" s="481"/>
      <c r="K119" s="240"/>
      <c r="L119" s="362" t="s">
        <v>794</v>
      </c>
      <c r="M119" s="1915"/>
      <c r="N119" s="240"/>
      <c r="O119" s="1775"/>
      <c r="P119" s="99"/>
      <c r="Q119" s="99"/>
      <c r="R119" s="99"/>
      <c r="S119" s="99"/>
      <c r="T119" s="99"/>
      <c r="U119" s="99"/>
      <c r="V119" s="99"/>
      <c r="W119" s="99"/>
      <c r="X119" s="1771"/>
      <c r="AR119" s="159"/>
      <c r="AS119" s="159"/>
      <c r="AT119" s="159"/>
      <c r="AU119" s="159"/>
    </row>
    <row r="120" spans="1:61" s="94" customFormat="1" ht="15.75" thickTop="1" x14ac:dyDescent="0.25">
      <c r="A120" s="18"/>
      <c r="B120" s="679" t="s">
        <v>4436</v>
      </c>
      <c r="C120" s="21"/>
      <c r="D120" s="21"/>
      <c r="E120" s="21"/>
      <c r="F120" s="21"/>
      <c r="G120" s="21"/>
      <c r="H120" s="758"/>
      <c r="I120" s="64" t="s">
        <v>4436</v>
      </c>
      <c r="J120" s="164"/>
      <c r="K120" s="4"/>
      <c r="L120" s="1884" t="s">
        <v>4437</v>
      </c>
      <c r="M120" s="428"/>
      <c r="N120" s="4"/>
      <c r="O120" s="141"/>
      <c r="P120" s="76"/>
      <c r="Q120" s="76"/>
      <c r="R120" s="76"/>
      <c r="S120" s="76"/>
      <c r="T120" s="76"/>
      <c r="U120" s="76"/>
      <c r="V120" s="76"/>
      <c r="W120" s="76"/>
      <c r="X120" s="76"/>
      <c r="Y120" s="780"/>
      <c r="Z120" s="76"/>
      <c r="AA120" s="783"/>
      <c r="AB120" s="76"/>
      <c r="AC120" s="76"/>
      <c r="AD120" s="76"/>
      <c r="AE120" s="76"/>
      <c r="AF120" s="76"/>
      <c r="AG120" s="76"/>
      <c r="AH120" s="76"/>
      <c r="AI120" s="76"/>
      <c r="AJ120" s="76"/>
      <c r="AK120" s="76"/>
      <c r="AL120" s="76"/>
      <c r="AM120" s="76"/>
      <c r="AN120" s="76"/>
      <c r="AO120" s="76"/>
      <c r="AP120" s="76"/>
      <c r="AQ120" s="76"/>
      <c r="AR120" s="76"/>
      <c r="AS120" s="76"/>
      <c r="AT120" s="76"/>
      <c r="AU120" s="76"/>
      <c r="AX120" s="76"/>
      <c r="AY120" s="76"/>
      <c r="AZ120" s="76"/>
      <c r="BA120" s="76"/>
      <c r="BB120" s="76"/>
      <c r="BC120" s="76"/>
      <c r="BD120" s="76"/>
      <c r="BE120" s="76"/>
      <c r="BF120" s="76"/>
      <c r="BG120" s="76"/>
      <c r="BH120" s="76"/>
      <c r="BI120" s="76"/>
    </row>
    <row r="121" spans="1:61" x14ac:dyDescent="0.25">
      <c r="B121" s="679" t="s">
        <v>4436</v>
      </c>
      <c r="C121" s="21"/>
      <c r="D121" s="21"/>
      <c r="E121" s="21"/>
      <c r="F121" s="21"/>
      <c r="G121" s="21"/>
      <c r="H121" s="758"/>
      <c r="I121" s="64"/>
      <c r="J121" s="164"/>
      <c r="K121" s="4"/>
      <c r="L121" s="1884"/>
      <c r="M121" s="428"/>
      <c r="N121" s="4"/>
      <c r="O121" s="141"/>
      <c r="P121" s="159"/>
      <c r="Q121" s="159"/>
      <c r="R121" s="159"/>
      <c r="S121" s="159"/>
      <c r="T121" s="159"/>
      <c r="U121" s="159"/>
      <c r="V121" s="159"/>
      <c r="W121" s="159"/>
      <c r="X121" s="159"/>
      <c r="Z121" s="159"/>
      <c r="AB121" s="159"/>
      <c r="AC121" s="159"/>
      <c r="AD121" s="159"/>
      <c r="AE121" s="159"/>
      <c r="AF121" s="159"/>
      <c r="AG121" s="159"/>
      <c r="AH121" s="159"/>
      <c r="AI121" s="159"/>
      <c r="AJ121" s="159"/>
      <c r="AK121" s="159"/>
      <c r="AL121" s="159"/>
      <c r="AM121" s="159"/>
      <c r="AN121" s="159"/>
      <c r="AO121" s="159"/>
      <c r="AP121" s="159"/>
      <c r="AQ121" s="159"/>
      <c r="AX121" s="159"/>
      <c r="AY121" s="159"/>
    </row>
    <row r="122" spans="1:61" x14ac:dyDescent="0.25">
      <c r="B122" s="679" t="s">
        <v>4436</v>
      </c>
      <c r="C122" s="21" t="s">
        <v>256</v>
      </c>
      <c r="D122" s="21"/>
      <c r="E122" s="21"/>
      <c r="F122" s="758"/>
      <c r="G122" s="21"/>
      <c r="H122" s="758"/>
      <c r="I122" s="64"/>
      <c r="J122" s="907" t="s">
        <v>256</v>
      </c>
      <c r="K122" s="129"/>
      <c r="L122" s="1793" t="s">
        <v>4440</v>
      </c>
      <c r="M122" s="1911" t="str">
        <f ca="1">IF(O131&gt;0,"Met","Gold/Emerald not available")</f>
        <v>Gold/Emerald not available</v>
      </c>
      <c r="N122" s="129"/>
      <c r="O122" s="239"/>
      <c r="R122" s="134"/>
      <c r="S122" s="134"/>
      <c r="T122" s="134"/>
      <c r="X122" s="1757"/>
      <c r="AR122" s="254" t="str">
        <f>SUBSTITUTE(SUBSTITUTE(SUBSTITUTE("dnt"&amp;$B122&amp;$C122&amp;$D122&amp;$E122,".","_"),"(","_"),")","")</f>
        <v>dnt802_5_4_1</v>
      </c>
      <c r="AS122" s="254" t="str">
        <f>IF(LEN(X122)=0,"",X122)</f>
        <v/>
      </c>
    </row>
    <row r="123" spans="1:61" x14ac:dyDescent="0.25">
      <c r="A123" s="739"/>
      <c r="B123" s="679" t="s">
        <v>4436</v>
      </c>
      <c r="C123" s="21" t="s">
        <v>256</v>
      </c>
      <c r="D123" s="740"/>
      <c r="E123" s="740"/>
      <c r="F123" s="762"/>
      <c r="G123" s="740"/>
      <c r="H123" s="762"/>
      <c r="I123" s="130"/>
      <c r="J123" s="910"/>
      <c r="K123" s="210"/>
      <c r="L123" s="1761"/>
      <c r="M123" s="1912"/>
      <c r="N123" s="210"/>
      <c r="O123" s="501"/>
      <c r="P123" s="94"/>
      <c r="Q123" s="94"/>
      <c r="R123" s="94"/>
      <c r="S123" s="94"/>
      <c r="T123" s="94"/>
      <c r="U123" s="94"/>
      <c r="V123" s="94"/>
      <c r="W123" s="94"/>
      <c r="X123" s="1757"/>
      <c r="Y123" s="94"/>
      <c r="Z123" s="94"/>
      <c r="AA123" s="94"/>
      <c r="AB123" s="94"/>
      <c r="AC123" s="94"/>
      <c r="AD123" s="94"/>
      <c r="AE123" s="94"/>
      <c r="AF123" s="94"/>
      <c r="AG123" s="94"/>
      <c r="AH123" s="94"/>
      <c r="AI123" s="94"/>
      <c r="AJ123" s="94"/>
      <c r="AK123" s="94"/>
      <c r="AL123" s="94"/>
      <c r="AM123" s="94"/>
      <c r="AN123" s="94"/>
      <c r="AO123" s="94"/>
      <c r="AP123" s="94"/>
      <c r="AQ123" s="94"/>
    </row>
    <row r="124" spans="1:61" x14ac:dyDescent="0.25">
      <c r="B124" s="679" t="s">
        <v>4436</v>
      </c>
      <c r="C124" s="21" t="s">
        <v>258</v>
      </c>
      <c r="D124" s="21"/>
      <c r="E124" s="21"/>
      <c r="F124" s="758"/>
      <c r="G124" s="21"/>
      <c r="H124" s="758"/>
      <c r="I124" s="64"/>
      <c r="J124" s="78" t="s">
        <v>258</v>
      </c>
      <c r="K124" s="4"/>
      <c r="L124" s="1779" t="s">
        <v>4898</v>
      </c>
      <c r="M124" s="1845" t="s">
        <v>4442</v>
      </c>
      <c r="N124" s="4"/>
      <c r="O124" s="1780">
        <f ca="1">IFERROR(4*MATCH(W124,INDIRECT(U124),0),0)*S124</f>
        <v>0</v>
      </c>
      <c r="P124" s="94" t="b">
        <v>0</v>
      </c>
      <c r="Q124" s="633" t="b">
        <v>1</v>
      </c>
      <c r="R124" s="134" t="b">
        <v>0</v>
      </c>
      <c r="S124" s="816" t="b">
        <f ca="1">S14=2</f>
        <v>0</v>
      </c>
      <c r="T124" s="94" t="b">
        <f ca="1">IF(AND(NOT(S124),LEN(W124)&gt;0),TRUE,FALSE)</f>
        <v>0</v>
      </c>
      <c r="U124" s="94" t="str">
        <f>SUBSTITUTE(SUBSTITUTE(SUBSTITUTE("dd"&amp;B124&amp;C124&amp;D124&amp;E124&amp;F124,".","_"),"(","_"),")","")</f>
        <v>dd802_5_4_2</v>
      </c>
      <c r="W124" s="12"/>
      <c r="X124" s="1757"/>
      <c r="AC124" s="353" t="b">
        <f ca="1">OR(AD124:AE124)</f>
        <v>0</v>
      </c>
      <c r="AD124" s="353" t="b">
        <f ca="1">T124</f>
        <v>0</v>
      </c>
      <c r="AE124" s="353"/>
      <c r="AL124" s="254" t="str">
        <f>SUBSTITUTE(SUBSTITUTE(SUBSTITUTE("dpa"&amp;$B124&amp;$C124&amp;$D124&amp;$E124,".","_"),"(","_"),")","")</f>
        <v>dpa802_5_4_2</v>
      </c>
      <c r="AM124" s="254" t="str">
        <f>M124</f>
        <v>4 
12 Max</v>
      </c>
      <c r="AN124" s="254" t="str">
        <f>SUBSTITUTE(SUBSTITUTE(SUBSTITUTE("dpc"&amp;$B124&amp;$C124&amp;$D124&amp;$E124,".","_"),"(","_"),")","")</f>
        <v>dpc802_5_4_2</v>
      </c>
      <c r="AO124" s="254">
        <f ca="1">O124</f>
        <v>0</v>
      </c>
      <c r="AP124" s="254" t="str">
        <f>SUBSTITUTE(SUBSTITUTE(SUBSTITUTE("dch"&amp;$B124&amp;$C124&amp;$D124&amp;$E124,".","_"),"(","_"),")","")</f>
        <v>dch802_5_4_2</v>
      </c>
      <c r="AQ124" s="254" t="str">
        <f>IF(LEN(W124)=0,"",W124)</f>
        <v/>
      </c>
      <c r="AR124" s="254" t="str">
        <f>SUBSTITUTE(SUBSTITUTE(SUBSTITUTE("dnt"&amp;$B124&amp;$C124&amp;$D124&amp;$E124,".","_"),"(","_"),")","")</f>
        <v>dnt802_5_4_2</v>
      </c>
      <c r="AS124" s="254" t="str">
        <f>IF(LEN(X124)=0,"",X124)</f>
        <v/>
      </c>
    </row>
    <row r="125" spans="1:61" x14ac:dyDescent="0.25">
      <c r="B125" s="679" t="s">
        <v>4436</v>
      </c>
      <c r="C125" s="21" t="s">
        <v>258</v>
      </c>
      <c r="D125" s="21"/>
      <c r="E125" s="21"/>
      <c r="F125" s="758"/>
      <c r="G125" s="21"/>
      <c r="H125" s="758"/>
      <c r="I125" s="64"/>
      <c r="J125" s="164"/>
      <c r="K125" s="4"/>
      <c r="L125" s="1779"/>
      <c r="M125" s="1845"/>
      <c r="N125" s="4"/>
      <c r="O125" s="1780"/>
      <c r="X125" s="1757"/>
    </row>
    <row r="126" spans="1:61" s="868" customFormat="1" x14ac:dyDescent="0.25">
      <c r="A126" s="18"/>
      <c r="B126" s="679" t="s">
        <v>4436</v>
      </c>
      <c r="C126" s="21" t="s">
        <v>258</v>
      </c>
      <c r="D126" s="21"/>
      <c r="E126" s="21"/>
      <c r="F126" s="758"/>
      <c r="G126" s="21"/>
      <c r="H126" s="758"/>
      <c r="I126" s="64"/>
      <c r="J126" s="164"/>
      <c r="K126" s="4"/>
      <c r="L126" s="1779"/>
      <c r="M126" s="1845"/>
      <c r="N126" s="4"/>
      <c r="O126" s="1780"/>
      <c r="X126" s="1757"/>
      <c r="AX126" s="76"/>
      <c r="AY126" s="76"/>
      <c r="AZ126" s="76"/>
      <c r="BA126" s="76"/>
      <c r="BB126" s="76"/>
      <c r="BC126" s="76"/>
      <c r="BD126" s="76"/>
      <c r="BE126" s="76"/>
      <c r="BF126" s="76"/>
      <c r="BG126" s="76"/>
      <c r="BH126" s="76"/>
      <c r="BI126" s="76"/>
    </row>
    <row r="127" spans="1:61" x14ac:dyDescent="0.25">
      <c r="B127" s="679" t="s">
        <v>4436</v>
      </c>
      <c r="C127" s="21" t="s">
        <v>258</v>
      </c>
      <c r="D127" s="21"/>
      <c r="E127" s="21"/>
      <c r="F127" s="758"/>
      <c r="G127" s="21"/>
      <c r="H127" s="758"/>
      <c r="I127" s="64"/>
      <c r="J127" s="164"/>
      <c r="K127" s="4"/>
      <c r="L127" s="1779"/>
      <c r="M127" s="1845"/>
      <c r="N127" s="4"/>
      <c r="O127" s="1780"/>
      <c r="X127" s="1757"/>
      <c r="AX127" s="134"/>
      <c r="AY127" s="134"/>
    </row>
    <row r="128" spans="1:61" x14ac:dyDescent="0.25">
      <c r="B128" s="679" t="s">
        <v>4436</v>
      </c>
      <c r="C128" s="21" t="s">
        <v>258</v>
      </c>
      <c r="D128" s="21"/>
      <c r="E128" s="21"/>
      <c r="F128" s="758"/>
      <c r="G128" s="21"/>
      <c r="H128" s="758"/>
      <c r="I128" s="64"/>
      <c r="J128" s="480"/>
      <c r="K128" s="129"/>
      <c r="L128" s="1860" t="s">
        <v>4441</v>
      </c>
      <c r="M128" s="428"/>
      <c r="N128" s="4"/>
      <c r="O128" s="141"/>
      <c r="X128" s="1757"/>
      <c r="AX128" s="353"/>
      <c r="AY128" s="353"/>
    </row>
    <row r="129" spans="1:61" x14ac:dyDescent="0.25">
      <c r="B129" s="679" t="s">
        <v>4436</v>
      </c>
      <c r="C129" s="21" t="s">
        <v>258</v>
      </c>
      <c r="D129" s="21"/>
      <c r="E129" s="21"/>
      <c r="F129" s="758"/>
      <c r="G129" s="21"/>
      <c r="H129" s="758"/>
      <c r="I129" s="64"/>
      <c r="J129" s="480"/>
      <c r="K129" s="129"/>
      <c r="L129" s="1860"/>
      <c r="M129" s="428"/>
      <c r="N129" s="4"/>
      <c r="O129" s="141"/>
      <c r="X129" s="1757"/>
      <c r="AX129"/>
      <c r="AY129"/>
    </row>
    <row r="130" spans="1:61" x14ac:dyDescent="0.25">
      <c r="B130" s="679" t="s">
        <v>4436</v>
      </c>
      <c r="C130" s="21" t="s">
        <v>258</v>
      </c>
      <c r="D130" s="21"/>
      <c r="E130" s="21"/>
      <c r="F130" s="758"/>
      <c r="G130" s="21"/>
      <c r="H130" s="758"/>
      <c r="I130" s="64"/>
      <c r="J130" s="524"/>
      <c r="K130" s="210"/>
      <c r="L130" s="1918"/>
      <c r="M130" s="426"/>
      <c r="N130" s="4"/>
      <c r="O130" s="501"/>
      <c r="X130" s="1757"/>
    </row>
    <row r="131" spans="1:61" x14ac:dyDescent="0.25">
      <c r="B131" s="679" t="s">
        <v>4436</v>
      </c>
      <c r="C131" s="21" t="s">
        <v>260</v>
      </c>
      <c r="D131" s="21"/>
      <c r="E131" s="21"/>
      <c r="F131" s="758"/>
      <c r="G131" s="21"/>
      <c r="H131" s="758"/>
      <c r="I131" s="64"/>
      <c r="J131" s="910" t="s">
        <v>260</v>
      </c>
      <c r="K131" s="210"/>
      <c r="L131" s="357" t="s">
        <v>4438</v>
      </c>
      <c r="M131" s="369">
        <f ca="1">17-O124</f>
        <v>17</v>
      </c>
      <c r="N131" s="210"/>
      <c r="O131" s="501">
        <f ca="1">M131*W131*S131</f>
        <v>0</v>
      </c>
      <c r="P131" s="94" t="b">
        <v>0</v>
      </c>
      <c r="Q131" s="633" t="b">
        <v>1</v>
      </c>
      <c r="R131" s="134" t="b">
        <v>0</v>
      </c>
      <c r="S131" s="134" t="b">
        <f ca="1">AND(LEN(W124)&gt;0,S14=2)</f>
        <v>0</v>
      </c>
      <c r="T131" s="94" t="b">
        <f ca="1">IF(AND(NOT(S131),W131=TRUE),TRUE,FALSE)</f>
        <v>0</v>
      </c>
      <c r="W131" s="25"/>
      <c r="X131" s="354"/>
      <c r="AC131" s="353" t="b">
        <f ca="1">OR(AD131:AE131)</f>
        <v>0</v>
      </c>
      <c r="AD131" s="353" t="b">
        <f ca="1">T131</f>
        <v>0</v>
      </c>
      <c r="AE131" s="353"/>
      <c r="AL131" s="254" t="str">
        <f>SUBSTITUTE(SUBSTITUTE(SUBSTITUTE("dpa"&amp;$B131&amp;$C131&amp;$D131&amp;$E131,".","_"),"(","_"),")","")</f>
        <v>dpa802_5_4_3</v>
      </c>
      <c r="AM131" s="254">
        <f ca="1">M131</f>
        <v>17</v>
      </c>
      <c r="AN131" s="254" t="str">
        <f>SUBSTITUTE(SUBSTITUTE(SUBSTITUTE("dpc"&amp;$B131&amp;$C131&amp;$D131&amp;$E131,".","_"),"(","_"),")","")</f>
        <v>dpc802_5_4_3</v>
      </c>
      <c r="AO131" s="254">
        <f ca="1">O131</f>
        <v>0</v>
      </c>
      <c r="AP131" s="254" t="str">
        <f>SUBSTITUTE(SUBSTITUTE(SUBSTITUTE("dch"&amp;$B131&amp;$C131&amp;$D131&amp;$E131,".","_"),"(","_"),")","")</f>
        <v>dch802_5_4_3</v>
      </c>
      <c r="AQ131" s="254" t="str">
        <f>IF(LEN(W131)=0,"",W131)</f>
        <v/>
      </c>
      <c r="AR131" s="254" t="str">
        <f>SUBSTITUTE(SUBSTITUTE(SUBSTITUTE("dnt"&amp;$B131&amp;$C131&amp;$D131&amp;$E131,".","_"),"(","_"),")","")</f>
        <v>dnt802_5_4_3</v>
      </c>
      <c r="AS131" s="254" t="str">
        <f>IF(LEN(X131)=0,"",X131)</f>
        <v/>
      </c>
    </row>
    <row r="132" spans="1:61" x14ac:dyDescent="0.25">
      <c r="B132" s="679" t="s">
        <v>4436</v>
      </c>
      <c r="C132" s="21" t="s">
        <v>269</v>
      </c>
      <c r="D132" s="21"/>
      <c r="E132" s="21"/>
      <c r="F132" s="758"/>
      <c r="G132" s="21"/>
      <c r="H132" s="758"/>
      <c r="I132" s="64"/>
      <c r="J132" s="78" t="s">
        <v>269</v>
      </c>
      <c r="K132" s="4"/>
      <c r="L132" s="1779" t="s">
        <v>4439</v>
      </c>
      <c r="M132" s="428"/>
      <c r="N132" s="4"/>
      <c r="O132" s="141"/>
      <c r="R132" s="134"/>
      <c r="S132" s="134"/>
      <c r="T132" s="134"/>
    </row>
    <row r="133" spans="1:61" x14ac:dyDescent="0.25">
      <c r="B133" s="679" t="s">
        <v>4436</v>
      </c>
      <c r="C133" s="21" t="s">
        <v>269</v>
      </c>
      <c r="D133" s="21"/>
      <c r="E133" s="21"/>
      <c r="F133" s="758"/>
      <c r="G133" s="21"/>
      <c r="H133" s="758"/>
      <c r="I133" s="64"/>
      <c r="J133" s="164"/>
      <c r="K133" s="4"/>
      <c r="L133" s="1779"/>
      <c r="M133" s="428"/>
      <c r="N133" s="4"/>
      <c r="O133" s="141"/>
      <c r="AZ133"/>
      <c r="BA133"/>
      <c r="BB133"/>
      <c r="BC133"/>
      <c r="BD133"/>
      <c r="BE133"/>
      <c r="BF133"/>
      <c r="BG133"/>
      <c r="BH133"/>
      <c r="BI133"/>
    </row>
    <row r="134" spans="1:61" x14ac:dyDescent="0.25">
      <c r="B134" s="679" t="s">
        <v>4436</v>
      </c>
      <c r="C134" s="21" t="s">
        <v>269</v>
      </c>
      <c r="D134" s="21" t="s">
        <v>121</v>
      </c>
      <c r="E134" s="21"/>
      <c r="F134" s="758"/>
      <c r="G134" s="21"/>
      <c r="H134" s="758"/>
      <c r="I134" s="4"/>
      <c r="J134" s="164"/>
      <c r="K134" s="183" t="s">
        <v>121</v>
      </c>
      <c r="L134" s="356" t="s">
        <v>4447</v>
      </c>
      <c r="M134" s="1867" t="s">
        <v>4443</v>
      </c>
      <c r="N134" s="129"/>
      <c r="O134" s="1774">
        <f ca="1">IFERROR(MATCH(W134,INDIRECT(U134),0),0)*S134*2</f>
        <v>0</v>
      </c>
      <c r="P134" s="94" t="b">
        <v>0</v>
      </c>
      <c r="Q134" s="633" t="b">
        <v>1</v>
      </c>
      <c r="R134" s="134" t="b">
        <v>0</v>
      </c>
      <c r="S134" s="134" t="b">
        <f ca="1">AND(W131=TRUE,S131,S14=2)</f>
        <v>0</v>
      </c>
      <c r="T134" s="94" t="b">
        <f ca="1">IF(AND(NOT(S134),LEN(W134)&gt;0),TRUE,FALSE)</f>
        <v>0</v>
      </c>
      <c r="U134" s="94" t="str">
        <f>SUBSTITUTE(SUBSTITUTE(SUBSTITUTE("dd"&amp;B134&amp;C134&amp;D134&amp;E134&amp;F134,".","_"),"(","_"),")","")</f>
        <v>dd802_5_4_4_a</v>
      </c>
      <c r="W134" s="12"/>
      <c r="X134" s="1757"/>
      <c r="AC134" s="353" t="b">
        <f ca="1">OR(AD134:AE134)</f>
        <v>0</v>
      </c>
      <c r="AD134" s="353" t="b">
        <f ca="1">T134</f>
        <v>0</v>
      </c>
      <c r="AE134" s="353"/>
      <c r="AL134" s="254" t="str">
        <f>SUBSTITUTE(SUBSTITUTE(SUBSTITUTE("dpa"&amp;$B134&amp;$C134&amp;$D134&amp;$E134,".","_"),"(","_"),")","")</f>
        <v>dpa802_5_4_4_a</v>
      </c>
      <c r="AM134" s="254" t="str">
        <f>M134</f>
        <v>2 Additional
6 Max</v>
      </c>
      <c r="AN134" s="254" t="str">
        <f>SUBSTITUTE(SUBSTITUTE(SUBSTITUTE("dpc"&amp;$B134&amp;$C134&amp;$D134&amp;$E134,".","_"),"(","_"),")","")</f>
        <v>dpc802_5_4_4_a</v>
      </c>
      <c r="AO134" s="254">
        <f ca="1">O134</f>
        <v>0</v>
      </c>
      <c r="AP134" s="254" t="str">
        <f>SUBSTITUTE(SUBSTITUTE(SUBSTITUTE("dch"&amp;$B134&amp;$C134&amp;$D134&amp;$E134,".","_"),"(","_"),")","")</f>
        <v>dch802_5_4_4_a</v>
      </c>
      <c r="AQ134" s="254" t="str">
        <f>IF(LEN(W134)=0,"",W134)</f>
        <v/>
      </c>
      <c r="AR134" s="254" t="str">
        <f>SUBSTITUTE(SUBSTITUTE(SUBSTITUTE("dnt"&amp;$B134&amp;$C134&amp;$D134&amp;$E134,".","_"),"(","_"),")","")</f>
        <v>dnt802_5_4_4_a</v>
      </c>
      <c r="AS134" s="254" t="str">
        <f>IF(LEN(X134)=0,"",X134)</f>
        <v/>
      </c>
      <c r="AX134"/>
      <c r="AY134"/>
    </row>
    <row r="135" spans="1:61" x14ac:dyDescent="0.25">
      <c r="B135" s="679" t="s">
        <v>4436</v>
      </c>
      <c r="C135" s="21" t="s">
        <v>269</v>
      </c>
      <c r="D135" s="21" t="s">
        <v>121</v>
      </c>
      <c r="E135" s="21"/>
      <c r="F135" s="758"/>
      <c r="G135" s="21"/>
      <c r="H135" s="758"/>
      <c r="I135" s="4"/>
      <c r="J135" s="164"/>
      <c r="K135" s="129"/>
      <c r="L135" s="1860" t="s">
        <v>4448</v>
      </c>
      <c r="M135" s="1920"/>
      <c r="N135" s="129"/>
      <c r="O135" s="1774"/>
      <c r="X135" s="1757"/>
      <c r="AX135"/>
      <c r="AY135"/>
      <c r="AZ135" s="159"/>
      <c r="BA135" s="159"/>
      <c r="BB135" s="159"/>
      <c r="BC135" s="159"/>
      <c r="BD135" s="159"/>
      <c r="BE135" s="159"/>
      <c r="BF135" s="159"/>
      <c r="BG135" s="159"/>
      <c r="BH135" s="159"/>
      <c r="BI135" s="159"/>
    </row>
    <row r="136" spans="1:61" x14ac:dyDescent="0.25">
      <c r="B136" s="679" t="s">
        <v>4436</v>
      </c>
      <c r="C136" s="21" t="s">
        <v>269</v>
      </c>
      <c r="D136" s="21" t="s">
        <v>121</v>
      </c>
      <c r="E136" s="21"/>
      <c r="F136" s="758"/>
      <c r="G136" s="21"/>
      <c r="H136" s="758"/>
      <c r="I136" s="4"/>
      <c r="J136" s="164"/>
      <c r="K136" s="129"/>
      <c r="L136" s="1860"/>
      <c r="M136" s="1920"/>
      <c r="N136" s="129"/>
      <c r="O136" s="1774"/>
      <c r="X136" s="1757"/>
    </row>
    <row r="137" spans="1:61" x14ac:dyDescent="0.25">
      <c r="B137" s="679" t="s">
        <v>4436</v>
      </c>
      <c r="C137" s="21" t="s">
        <v>269</v>
      </c>
      <c r="D137" s="21" t="s">
        <v>121</v>
      </c>
      <c r="E137" s="21"/>
      <c r="F137" s="758"/>
      <c r="G137" s="21"/>
      <c r="H137" s="758"/>
      <c r="I137" s="4"/>
      <c r="J137" s="164"/>
      <c r="K137" s="210"/>
      <c r="L137" s="1918"/>
      <c r="M137" s="1921"/>
      <c r="N137" s="210"/>
      <c r="O137" s="1764"/>
      <c r="X137" s="1757"/>
    </row>
    <row r="138" spans="1:61" x14ac:dyDescent="0.25">
      <c r="B138" s="679" t="s">
        <v>4436</v>
      </c>
      <c r="C138" s="21" t="s">
        <v>269</v>
      </c>
      <c r="D138" s="21" t="s">
        <v>122</v>
      </c>
      <c r="E138" s="21"/>
      <c r="F138" s="758"/>
      <c r="G138" s="21"/>
      <c r="H138" s="758"/>
      <c r="I138" s="4"/>
      <c r="J138" s="164"/>
      <c r="K138" s="183" t="s">
        <v>122</v>
      </c>
      <c r="L138" s="1754" t="s">
        <v>4446</v>
      </c>
      <c r="M138" s="1758" t="s">
        <v>4444</v>
      </c>
      <c r="N138" s="129"/>
      <c r="O138" s="1774">
        <f ca="1">2*W138*S138</f>
        <v>0</v>
      </c>
      <c r="P138" s="94" t="b">
        <v>0</v>
      </c>
      <c r="Q138" s="633" t="b">
        <v>1</v>
      </c>
      <c r="R138" s="134" t="b">
        <v>0</v>
      </c>
      <c r="S138" s="353" t="b">
        <f ca="1">AND(W131=TRUE,S131,S14=2)</f>
        <v>0</v>
      </c>
      <c r="T138" s="94" t="b">
        <f ca="1">IF(AND(NOT(S138),W138=TRUE),TRUE,FALSE)</f>
        <v>0</v>
      </c>
      <c r="W138" s="25"/>
      <c r="X138" s="1757"/>
      <c r="AC138" s="353" t="b">
        <f ca="1">OR(AD138:AE138)</f>
        <v>0</v>
      </c>
      <c r="AD138" s="353" t="b">
        <f ca="1">T138</f>
        <v>0</v>
      </c>
      <c r="AE138" s="353"/>
      <c r="AL138" s="254" t="str">
        <f>SUBSTITUTE(SUBSTITUTE(SUBSTITUTE("dpa"&amp;$B138&amp;$C138&amp;$D138&amp;$E138,".","_"),"(","_"),")","")</f>
        <v>dpa802_5_4_4_b</v>
      </c>
      <c r="AM138" s="254" t="str">
        <f>M138</f>
        <v>2 Additional</v>
      </c>
      <c r="AN138" s="254" t="str">
        <f>SUBSTITUTE(SUBSTITUTE(SUBSTITUTE("dpc"&amp;$B138&amp;$C138&amp;$D138&amp;$E138,".","_"),"(","_"),")","")</f>
        <v>dpc802_5_4_4_b</v>
      </c>
      <c r="AO138" s="254">
        <f ca="1">O138</f>
        <v>0</v>
      </c>
      <c r="AP138" s="254" t="str">
        <f>SUBSTITUTE(SUBSTITUTE(SUBSTITUTE("dch"&amp;$B138&amp;$C138&amp;$D138&amp;$E138,".","_"),"(","_"),")","")</f>
        <v>dch802_5_4_4_b</v>
      </c>
      <c r="AQ138" s="254" t="str">
        <f>IF(LEN(W138)=0,"",W138)</f>
        <v/>
      </c>
      <c r="AR138" s="254" t="str">
        <f>SUBSTITUTE(SUBSTITUTE(SUBSTITUTE("dnt"&amp;$B138&amp;$C138&amp;$D138&amp;$E138,".","_"),"(","_"),")","")</f>
        <v>dnt802_5_4_4_b</v>
      </c>
      <c r="AS138" s="254" t="str">
        <f>IF(LEN(X138)=0,"",X138)</f>
        <v/>
      </c>
      <c r="AX138" s="868"/>
      <c r="AY138" s="868"/>
    </row>
    <row r="139" spans="1:61" x14ac:dyDescent="0.25">
      <c r="B139" s="679" t="s">
        <v>4436</v>
      </c>
      <c r="C139" s="21" t="s">
        <v>269</v>
      </c>
      <c r="D139" s="21" t="s">
        <v>122</v>
      </c>
      <c r="E139" s="21"/>
      <c r="F139" s="758"/>
      <c r="G139" s="21"/>
      <c r="H139" s="758"/>
      <c r="I139" s="4"/>
      <c r="J139" s="164"/>
      <c r="K139" s="206"/>
      <c r="L139" s="1755"/>
      <c r="M139" s="1759"/>
      <c r="N139" s="210"/>
      <c r="O139" s="1764"/>
      <c r="X139" s="1757"/>
      <c r="AX139" s="868"/>
      <c r="AY139" s="868"/>
    </row>
    <row r="140" spans="1:61" x14ac:dyDescent="0.25">
      <c r="B140" s="679" t="s">
        <v>4436</v>
      </c>
      <c r="C140" s="21" t="s">
        <v>269</v>
      </c>
      <c r="D140" s="21" t="s">
        <v>123</v>
      </c>
      <c r="E140" s="21"/>
      <c r="F140" s="758"/>
      <c r="G140" s="21"/>
      <c r="H140" s="758"/>
      <c r="I140" s="129"/>
      <c r="J140" s="480"/>
      <c r="K140" s="183" t="s">
        <v>123</v>
      </c>
      <c r="L140" s="1754" t="s">
        <v>4449</v>
      </c>
      <c r="M140" s="1762" t="s">
        <v>4445</v>
      </c>
      <c r="N140" s="129"/>
      <c r="O140" s="1763">
        <f ca="1">12*S140*W140</f>
        <v>0</v>
      </c>
      <c r="P140" s="94" t="b">
        <v>0</v>
      </c>
      <c r="Q140" s="94" t="b">
        <v>1</v>
      </c>
      <c r="R140" s="94" t="b">
        <v>0</v>
      </c>
      <c r="S140" s="94" t="b">
        <f ca="1">AND(W131=TRUE,S131,S14=2)</f>
        <v>0</v>
      </c>
      <c r="T140" s="94" t="b">
        <f ca="1">IF(AND(NOT(S140),W140=TRUE),TRUE,FALSE)</f>
        <v>0</v>
      </c>
      <c r="U140" s="94"/>
      <c r="V140" s="94"/>
      <c r="W140" s="360"/>
      <c r="X140" s="1770"/>
      <c r="AC140" s="353" t="b">
        <f ca="1">OR(AD140:AE140)</f>
        <v>0</v>
      </c>
      <c r="AD140" s="353" t="b">
        <f ca="1">T140</f>
        <v>0</v>
      </c>
      <c r="AE140" s="353"/>
      <c r="AL140" s="254" t="str">
        <f>SUBSTITUTE(SUBSTITUTE(SUBSTITUTE("dpa"&amp;$B140&amp;$C140&amp;$D140&amp;$E140,".","_"),"(","_"),")","")</f>
        <v>dpa802_5_4_4_c</v>
      </c>
      <c r="AM140" s="254" t="str">
        <f>M140</f>
        <v>12 Additional</v>
      </c>
      <c r="AN140" s="254" t="str">
        <f>SUBSTITUTE(SUBSTITUTE(SUBSTITUTE("dpc"&amp;$B140&amp;$C140&amp;$D140&amp;$E140,".","_"),"(","_"),")","")</f>
        <v>dpc802_5_4_4_c</v>
      </c>
      <c r="AO140" s="254">
        <f ca="1">O140</f>
        <v>0</v>
      </c>
      <c r="AP140" s="254" t="str">
        <f>SUBSTITUTE(SUBSTITUTE(SUBSTITUTE("dch"&amp;$B140&amp;$C140&amp;$D140&amp;$E140,".","_"),"(","_"),")","")</f>
        <v>dch802_5_4_4_c</v>
      </c>
      <c r="AQ140" s="254" t="str">
        <f>IF(LEN(W140)=0,"",W140)</f>
        <v/>
      </c>
      <c r="AR140" s="254" t="str">
        <f>SUBSTITUTE(SUBSTITUTE(SUBSTITUTE("dnt"&amp;$B140&amp;$C140&amp;$D140&amp;$E140,".","_"),"(","_"),")","")</f>
        <v>dnt802_5_4_4_c</v>
      </c>
      <c r="AS140" s="254" t="str">
        <f>IF(LEN(X140)=0,"",X140)</f>
        <v/>
      </c>
      <c r="AX140" s="868"/>
      <c r="AY140" s="868"/>
    </row>
    <row r="141" spans="1:61" customFormat="1" ht="15.75" customHeight="1" thickBot="1" x14ac:dyDescent="0.3">
      <c r="B141" s="679" t="s">
        <v>4436</v>
      </c>
      <c r="C141" s="21" t="s">
        <v>269</v>
      </c>
      <c r="D141" s="21" t="s">
        <v>123</v>
      </c>
      <c r="E141" s="1129"/>
      <c r="F141" s="1129"/>
      <c r="I141" s="99"/>
      <c r="J141" s="99"/>
      <c r="K141" s="99"/>
      <c r="L141" s="1783"/>
      <c r="M141" s="1768"/>
      <c r="N141" s="99"/>
      <c r="O141" s="1775"/>
      <c r="P141" s="99"/>
      <c r="Q141" s="99"/>
      <c r="R141" s="99"/>
      <c r="S141" s="99"/>
      <c r="T141" s="99"/>
      <c r="U141" s="99"/>
      <c r="V141" s="99"/>
      <c r="W141" s="956"/>
      <c r="X141" s="1771"/>
      <c r="AX141" s="868"/>
      <c r="AY141" s="868"/>
      <c r="AZ141" s="76"/>
      <c r="BA141" s="76"/>
      <c r="BB141" s="76"/>
      <c r="BC141" s="76"/>
      <c r="BD141" s="76"/>
      <c r="BE141" s="76"/>
      <c r="BF141" s="76"/>
      <c r="BG141" s="76"/>
      <c r="BH141" s="76"/>
      <c r="BI141" s="76"/>
    </row>
    <row r="142" spans="1:61" ht="15.75" customHeight="1" thickTop="1" x14ac:dyDescent="0.25">
      <c r="B142" s="679">
        <v>802.6</v>
      </c>
      <c r="C142" s="21"/>
      <c r="D142" s="21"/>
      <c r="E142" s="21"/>
      <c r="F142" s="21"/>
      <c r="G142" s="21"/>
      <c r="H142" s="758"/>
      <c r="I142" s="130">
        <v>802.6</v>
      </c>
      <c r="J142" s="480"/>
      <c r="K142" s="129"/>
      <c r="L142" s="282" t="s">
        <v>4377</v>
      </c>
      <c r="M142" s="452"/>
      <c r="N142" s="129"/>
      <c r="O142" s="502"/>
      <c r="P142" s="94"/>
      <c r="Q142" s="94"/>
      <c r="R142" s="94"/>
      <c r="S142" s="94"/>
      <c r="T142" s="94"/>
      <c r="U142" s="94"/>
      <c r="V142" s="94"/>
      <c r="W142" s="178"/>
      <c r="X142" s="94"/>
      <c r="AX142" s="868"/>
      <c r="AY142" s="868"/>
    </row>
    <row r="143" spans="1:61" s="159" customFormat="1" x14ac:dyDescent="0.25">
      <c r="A143" s="18"/>
      <c r="B143" s="679" t="s">
        <v>4376</v>
      </c>
      <c r="C143" s="21"/>
      <c r="D143" s="21"/>
      <c r="E143" s="21"/>
      <c r="F143" s="21"/>
      <c r="G143" s="21"/>
      <c r="H143" s="758"/>
      <c r="I143" s="130" t="s">
        <v>4376</v>
      </c>
      <c r="J143" s="480"/>
      <c r="K143" s="129"/>
      <c r="L143" s="1782" t="s">
        <v>4450</v>
      </c>
      <c r="M143" s="1837" t="str">
        <f>IF(R143,"Mandatory","N/A")</f>
        <v>Mandatory</v>
      </c>
      <c r="N143" s="129"/>
      <c r="O143" s="502"/>
      <c r="P143" s="94" t="b">
        <v>0</v>
      </c>
      <c r="Q143" s="633" t="b">
        <v>1</v>
      </c>
      <c r="R143" s="94" t="b">
        <f>NOT(W158=TRUE)</f>
        <v>1</v>
      </c>
      <c r="S143" s="1499" t="b">
        <v>1</v>
      </c>
      <c r="T143" s="1499" t="b">
        <v>0</v>
      </c>
      <c r="U143" s="94" t="str">
        <f>SUBSTITUTE(SUBSTITUTE(SUBSTITUTE("dd"&amp;B143&amp;C143&amp;D143&amp;E143&amp;F143,".","_"),"(","_"),")","")</f>
        <v>dd802_6_1</v>
      </c>
      <c r="V143" s="94"/>
      <c r="W143" s="12"/>
      <c r="X143" s="1757"/>
      <c r="Y143" s="780"/>
      <c r="Z143" s="76"/>
      <c r="AA143" s="783"/>
      <c r="AB143" s="76"/>
      <c r="AC143" s="353" t="b">
        <f>OR(AD143:AE143)</f>
        <v>1</v>
      </c>
      <c r="AD143" s="353" t="b">
        <f>T143</f>
        <v>0</v>
      </c>
      <c r="AE143" s="752" t="b">
        <f>AND(R143,NOT(W143="Met"),NOT(W143="N/A"))</f>
        <v>1</v>
      </c>
      <c r="AF143" s="76"/>
      <c r="AG143" s="76"/>
      <c r="AH143" s="76"/>
      <c r="AI143" s="76"/>
      <c r="AJ143" s="76"/>
      <c r="AK143" s="76"/>
      <c r="AL143" s="254" t="str">
        <f>SUBSTITUTE(SUBSTITUTE(SUBSTITUTE("dpa"&amp;$B143&amp;$C143&amp;$D143&amp;$E143,".","_"),"(","_"),")","")</f>
        <v>dpa802_6_1</v>
      </c>
      <c r="AM143" s="254" t="str">
        <f>M143</f>
        <v>Mandatory</v>
      </c>
      <c r="AN143" s="76"/>
      <c r="AO143" s="76"/>
      <c r="AP143" s="254" t="str">
        <f>SUBSTITUTE(SUBSTITUTE(SUBSTITUTE("dch"&amp;$B143&amp;$C143&amp;$D143&amp;$E143,".","_"),"(","_"),")","")</f>
        <v>dch802_6_1</v>
      </c>
      <c r="AQ143" s="254" t="str">
        <f>IF(LEN(W143)=0,"",W143)</f>
        <v/>
      </c>
      <c r="AR143" s="254" t="str">
        <f>SUBSTITUTE(SUBSTITUTE(SUBSTITUTE("dnt"&amp;$B143&amp;$C143&amp;$D143&amp;$E143,".","_"),"(","_"),")","")</f>
        <v>dnt802_6_1</v>
      </c>
      <c r="AS143" s="254" t="str">
        <f>IF(LEN(X143)=0,"",X143)</f>
        <v/>
      </c>
      <c r="AT143" s="76"/>
      <c r="AU143" s="76"/>
      <c r="AX143" s="868"/>
      <c r="AY143" s="868"/>
      <c r="AZ143" s="76"/>
      <c r="BA143" s="76"/>
      <c r="BB143" s="76"/>
      <c r="BC143" s="76"/>
      <c r="BD143" s="76"/>
      <c r="BE143" s="76"/>
      <c r="BF143" s="76"/>
      <c r="BG143" s="76"/>
      <c r="BH143" s="76"/>
      <c r="BI143" s="76"/>
    </row>
    <row r="144" spans="1:61" x14ac:dyDescent="0.25">
      <c r="B144" s="679" t="s">
        <v>4376</v>
      </c>
      <c r="C144" s="21"/>
      <c r="D144" s="21"/>
      <c r="E144" s="21"/>
      <c r="F144" s="21"/>
      <c r="G144" s="21"/>
      <c r="H144" s="758"/>
      <c r="I144" s="215"/>
      <c r="J144" s="524"/>
      <c r="K144" s="210"/>
      <c r="L144" s="1843"/>
      <c r="M144" s="1844"/>
      <c r="N144" s="210"/>
      <c r="O144" s="503"/>
      <c r="P144" s="178"/>
      <c r="Q144" s="178"/>
      <c r="R144" s="178"/>
      <c r="S144" s="178"/>
      <c r="T144" s="178"/>
      <c r="U144" s="178"/>
      <c r="V144" s="178"/>
      <c r="W144" s="896"/>
      <c r="X144" s="1757"/>
      <c r="AR144" s="159"/>
      <c r="AS144" s="159"/>
      <c r="AT144" s="159"/>
      <c r="AU144" s="159"/>
      <c r="AX144" s="868"/>
      <c r="AY144" s="868"/>
    </row>
    <row r="145" spans="1:61" ht="15" customHeight="1" x14ac:dyDescent="0.25">
      <c r="B145" s="679" t="s">
        <v>4378</v>
      </c>
      <c r="C145" s="21"/>
      <c r="D145" s="21"/>
      <c r="E145" s="21"/>
      <c r="F145" s="21"/>
      <c r="G145" s="21"/>
      <c r="H145" s="758"/>
      <c r="I145" s="130" t="s">
        <v>4378</v>
      </c>
      <c r="J145" s="480"/>
      <c r="K145" s="129"/>
      <c r="L145" s="1864" t="s">
        <v>4451</v>
      </c>
      <c r="M145" s="1758">
        <v>6</v>
      </c>
      <c r="N145" s="129"/>
      <c r="O145" s="1774">
        <f ca="1">6*S145*W145</f>
        <v>0</v>
      </c>
      <c r="P145" s="94" t="b">
        <v>0</v>
      </c>
      <c r="Q145" s="633" t="b">
        <v>1</v>
      </c>
      <c r="R145" s="94" t="b">
        <v>0</v>
      </c>
      <c r="S145" s="94" t="b">
        <f ca="1">AND(NOT(W158=TRUE),S14=2)</f>
        <v>0</v>
      </c>
      <c r="T145" s="94" t="b">
        <f ca="1">IF(AND(NOT(S145),W145=TRUE),TRUE,FALSE)</f>
        <v>0</v>
      </c>
      <c r="U145" s="94"/>
      <c r="V145" s="94"/>
      <c r="W145" s="25"/>
      <c r="X145" s="1757"/>
      <c r="AC145" s="353" t="b">
        <f ca="1">OR(AD145:AE145)</f>
        <v>0</v>
      </c>
      <c r="AD145" s="353" t="b">
        <f ca="1">T145</f>
        <v>0</v>
      </c>
      <c r="AE145" s="353"/>
      <c r="AL145" s="254" t="str">
        <f>SUBSTITUTE(SUBSTITUTE(SUBSTITUTE("dpa"&amp;$B145&amp;$C145&amp;$D145&amp;$E145,".","_"),"(","_"),")","")</f>
        <v>dpa802_6_2</v>
      </c>
      <c r="AM145" s="254">
        <f>M145</f>
        <v>6</v>
      </c>
      <c r="AN145" s="254" t="str">
        <f>SUBSTITUTE(SUBSTITUTE(SUBSTITUTE("dpc"&amp;$B145&amp;$C145&amp;$D145&amp;$E145,".","_"),"(","_"),")","")</f>
        <v>dpc802_6_2</v>
      </c>
      <c r="AO145" s="254">
        <f ca="1">O145</f>
        <v>0</v>
      </c>
      <c r="AP145" s="254" t="str">
        <f>SUBSTITUTE(SUBSTITUTE(SUBSTITUTE("dch"&amp;$B145&amp;$C145&amp;$D145&amp;$E145,".","_"),"(","_"),")","")</f>
        <v>dch802_6_2</v>
      </c>
      <c r="AQ145" s="254" t="str">
        <f>IF(LEN(W145)=0,"",W145)</f>
        <v/>
      </c>
      <c r="AR145" s="254" t="str">
        <f>SUBSTITUTE(SUBSTITUTE(SUBSTITUTE("dnt"&amp;$B145&amp;$C145&amp;$D145&amp;$E145,".","_"),"(","_"),")","")</f>
        <v>dnt802_6_2</v>
      </c>
      <c r="AS145" s="254" t="str">
        <f>IF(LEN(X145)=0,"",X145)</f>
        <v/>
      </c>
    </row>
    <row r="146" spans="1:61" x14ac:dyDescent="0.25">
      <c r="B146" s="679" t="s">
        <v>4378</v>
      </c>
      <c r="C146" s="21"/>
      <c r="D146" s="21"/>
      <c r="E146" s="21"/>
      <c r="F146" s="21"/>
      <c r="G146" s="21"/>
      <c r="H146" s="758"/>
      <c r="I146" s="130"/>
      <c r="J146" s="480"/>
      <c r="K146" s="129"/>
      <c r="L146" s="1782"/>
      <c r="M146" s="1758"/>
      <c r="N146" s="129"/>
      <c r="O146" s="1774"/>
      <c r="P146" s="94"/>
      <c r="Q146" s="94"/>
      <c r="R146" s="94"/>
      <c r="S146" s="94"/>
      <c r="T146" s="94"/>
      <c r="U146" s="94"/>
      <c r="V146" s="94"/>
      <c r="W146"/>
      <c r="X146" s="1757"/>
    </row>
    <row r="147" spans="1:61" x14ac:dyDescent="0.25">
      <c r="B147" s="679" t="s">
        <v>4378</v>
      </c>
      <c r="C147" s="21"/>
      <c r="D147" s="21"/>
      <c r="E147" s="21"/>
      <c r="F147" s="21"/>
      <c r="G147" s="21"/>
      <c r="H147" s="758"/>
      <c r="I147" s="215"/>
      <c r="J147" s="524"/>
      <c r="K147" s="210"/>
      <c r="L147" s="1843"/>
      <c r="M147" s="1759"/>
      <c r="N147" s="210"/>
      <c r="O147" s="1764"/>
      <c r="P147" s="178"/>
      <c r="Q147" s="178"/>
      <c r="R147" s="178"/>
      <c r="S147" s="178"/>
      <c r="T147" s="178"/>
      <c r="U147" s="178"/>
      <c r="V147" s="178"/>
      <c r="W147"/>
      <c r="X147" s="1757"/>
    </row>
    <row r="148" spans="1:61" x14ac:dyDescent="0.25">
      <c r="B148" s="679" t="s">
        <v>4379</v>
      </c>
      <c r="C148" s="21"/>
      <c r="D148" s="21"/>
      <c r="E148" s="21"/>
      <c r="F148" s="21"/>
      <c r="G148" s="21"/>
      <c r="H148" s="758"/>
      <c r="I148" s="64" t="s">
        <v>4379</v>
      </c>
      <c r="J148" s="164"/>
      <c r="K148" s="4"/>
      <c r="L148" s="166" t="s">
        <v>4452</v>
      </c>
      <c r="M148" s="428"/>
      <c r="N148" s="4"/>
      <c r="O148" s="141"/>
      <c r="W148"/>
    </row>
    <row r="149" spans="1:61" x14ac:dyDescent="0.25">
      <c r="B149" s="679" t="s">
        <v>4379</v>
      </c>
      <c r="C149" s="21" t="s">
        <v>256</v>
      </c>
      <c r="D149" s="21"/>
      <c r="E149" s="21"/>
      <c r="F149" s="21"/>
      <c r="G149" s="21"/>
      <c r="H149" s="758"/>
      <c r="I149" s="64"/>
      <c r="J149" s="910" t="s">
        <v>256</v>
      </c>
      <c r="K149" s="210"/>
      <c r="L149" s="357" t="s">
        <v>796</v>
      </c>
      <c r="M149" s="426">
        <v>4</v>
      </c>
      <c r="N149" s="210"/>
      <c r="O149" s="501">
        <f ca="1">M149*S149*W149</f>
        <v>0</v>
      </c>
      <c r="P149" s="94" t="b">
        <v>0</v>
      </c>
      <c r="Q149" s="633" t="b">
        <v>1</v>
      </c>
      <c r="R149" s="134" t="b">
        <v>0</v>
      </c>
      <c r="S149" s="816" t="b">
        <f ca="1">AND(NOT(W158=TRUE),S14=2)</f>
        <v>0</v>
      </c>
      <c r="T149" s="94" t="b">
        <f ca="1">IF(AND(NOT(S149),W149=TRUE),TRUE,FALSE)</f>
        <v>0</v>
      </c>
      <c r="W149" s="25"/>
      <c r="X149" s="354"/>
      <c r="AC149" s="353" t="b">
        <f ca="1">OR(AD149:AE149)</f>
        <v>0</v>
      </c>
      <c r="AD149" s="353" t="b">
        <f ca="1">T149</f>
        <v>0</v>
      </c>
      <c r="AE149" s="353"/>
      <c r="AL149" s="254" t="str">
        <f>SUBSTITUTE(SUBSTITUTE(SUBSTITUTE("dpa"&amp;$B149&amp;$C149&amp;$D149&amp;$E149,".","_"),"(","_"),")","")</f>
        <v>dpa802_6_3_1</v>
      </c>
      <c r="AM149" s="254">
        <f>M149</f>
        <v>4</v>
      </c>
      <c r="AN149" s="254" t="str">
        <f>SUBSTITUTE(SUBSTITUTE(SUBSTITUTE("dpc"&amp;$B149&amp;$C149&amp;$D149&amp;$E149,".","_"),"(","_"),")","")</f>
        <v>dpc802_6_3_1</v>
      </c>
      <c r="AO149" s="254">
        <f ca="1">O149</f>
        <v>0</v>
      </c>
      <c r="AP149" s="254" t="str">
        <f>SUBSTITUTE(SUBSTITUTE(SUBSTITUTE("dch"&amp;$B149&amp;$C149&amp;$D149&amp;$E149,".","_"),"(","_"),")","")</f>
        <v>dch802_6_3_1</v>
      </c>
      <c r="AQ149" s="254" t="str">
        <f>IF(LEN(W149)=0,"",W149)</f>
        <v/>
      </c>
      <c r="AR149" s="254" t="str">
        <f>SUBSTITUTE(SUBSTITUTE(SUBSTITUTE("dnt"&amp;$B149&amp;$C149&amp;$D149&amp;$E149,".","_"),"(","_"),")","")</f>
        <v>dnt802_6_3_1</v>
      </c>
      <c r="AS149" s="254" t="str">
        <f>IF(LEN(X149)=0,"",X149)</f>
        <v/>
      </c>
      <c r="AZ149"/>
      <c r="BA149"/>
      <c r="BB149"/>
      <c r="BC149"/>
      <c r="BD149"/>
      <c r="BE149"/>
      <c r="BF149"/>
      <c r="BG149"/>
      <c r="BH149"/>
      <c r="BI149"/>
    </row>
    <row r="150" spans="1:61" x14ac:dyDescent="0.25">
      <c r="B150" s="679" t="s">
        <v>4379</v>
      </c>
      <c r="C150" s="21" t="s">
        <v>258</v>
      </c>
      <c r="D150" s="21"/>
      <c r="E150" s="21"/>
      <c r="F150" s="21"/>
      <c r="G150" s="21"/>
      <c r="H150" s="758"/>
      <c r="I150" s="64"/>
      <c r="J150" s="910" t="s">
        <v>258</v>
      </c>
      <c r="K150" s="210"/>
      <c r="L150" s="357" t="s">
        <v>797</v>
      </c>
      <c r="M150" s="426">
        <v>4</v>
      </c>
      <c r="N150" s="210"/>
      <c r="O150" s="501">
        <f ca="1">M150*S150*W150</f>
        <v>0</v>
      </c>
      <c r="P150" s="94" t="b">
        <v>0</v>
      </c>
      <c r="Q150" s="633" t="b">
        <v>1</v>
      </c>
      <c r="R150" s="134" t="b">
        <v>0</v>
      </c>
      <c r="S150" s="816" t="b">
        <f ca="1">AND(NOT(W158=TRUE),S14=2)</f>
        <v>0</v>
      </c>
      <c r="T150" s="94" t="b">
        <f ca="1">IF(AND(NOT(S150),W150=TRUE),TRUE,FALSE)</f>
        <v>0</v>
      </c>
      <c r="W150" s="25"/>
      <c r="X150" s="354"/>
      <c r="AC150" s="353" t="b">
        <f ca="1">OR(AD150:AE150)</f>
        <v>0</v>
      </c>
      <c r="AD150" s="353" t="b">
        <f ca="1">T150</f>
        <v>0</v>
      </c>
      <c r="AE150" s="353"/>
      <c r="AL150" s="254" t="str">
        <f>SUBSTITUTE(SUBSTITUTE(SUBSTITUTE("dpa"&amp;$B150&amp;$C150&amp;$D150&amp;$E150,".","_"),"(","_"),")","")</f>
        <v>dpa802_6_3_2</v>
      </c>
      <c r="AM150" s="254">
        <f>M150</f>
        <v>4</v>
      </c>
      <c r="AN150" s="254" t="str">
        <f>SUBSTITUTE(SUBSTITUTE(SUBSTITUTE("dpc"&amp;$B150&amp;$C150&amp;$D150&amp;$E150,".","_"),"(","_"),")","")</f>
        <v>dpc802_6_3_2</v>
      </c>
      <c r="AO150" s="254">
        <f ca="1">O150</f>
        <v>0</v>
      </c>
      <c r="AP150" s="254" t="str">
        <f>SUBSTITUTE(SUBSTITUTE(SUBSTITUTE("dch"&amp;$B150&amp;$C150&amp;$D150&amp;$E150,".","_"),"(","_"),")","")</f>
        <v>dch802_6_3_2</v>
      </c>
      <c r="AQ150" s="254" t="str">
        <f>IF(LEN(W150)=0,"",W150)</f>
        <v/>
      </c>
      <c r="AR150" s="254" t="str">
        <f>SUBSTITUTE(SUBSTITUTE(SUBSTITUTE("dnt"&amp;$B150&amp;$C150&amp;$D150&amp;$E150,".","_"),"(","_"),")","")</f>
        <v>dnt802_6_3_2</v>
      </c>
      <c r="AS150" s="254" t="str">
        <f>IF(LEN(X150)=0,"",X150)</f>
        <v/>
      </c>
      <c r="AZ150" s="134"/>
      <c r="BA150" s="134"/>
      <c r="BB150" s="134"/>
      <c r="BC150" s="134"/>
      <c r="BD150" s="134"/>
      <c r="BE150" s="134"/>
      <c r="BF150" s="134"/>
      <c r="BG150" s="134"/>
      <c r="BH150" s="134"/>
      <c r="BI150" s="134"/>
    </row>
    <row r="151" spans="1:61" x14ac:dyDescent="0.25">
      <c r="B151" s="679" t="s">
        <v>4379</v>
      </c>
      <c r="C151" s="21" t="s">
        <v>260</v>
      </c>
      <c r="D151" s="21"/>
      <c r="E151" s="21"/>
      <c r="F151" s="21"/>
      <c r="G151" s="21"/>
      <c r="H151" s="758"/>
      <c r="I151" s="130"/>
      <c r="J151" s="907" t="s">
        <v>260</v>
      </c>
      <c r="K151" s="129"/>
      <c r="L151" s="1754" t="s">
        <v>798</v>
      </c>
      <c r="M151" s="1758">
        <v>5</v>
      </c>
      <c r="N151" s="129"/>
      <c r="O151" s="1774">
        <f ca="1">M151*S151*W151</f>
        <v>0</v>
      </c>
      <c r="P151" s="94" t="b">
        <v>0</v>
      </c>
      <c r="Q151" s="633" t="b">
        <v>1</v>
      </c>
      <c r="R151" s="94" t="b">
        <v>0</v>
      </c>
      <c r="S151" s="94" t="b">
        <f ca="1">AND(W149=TRUE,NOT(W158=TRUE),S14=2)</f>
        <v>0</v>
      </c>
      <c r="T151" s="94" t="b">
        <f ca="1">IF(AND(NOT(S151),W151=TRUE),TRUE,FALSE)</f>
        <v>0</v>
      </c>
      <c r="U151" s="94"/>
      <c r="V151" s="94"/>
      <c r="W151" s="25"/>
      <c r="X151" s="1770"/>
      <c r="AC151" s="134" t="b">
        <f ca="1">OR(AD151:AE151)</f>
        <v>0</v>
      </c>
      <c r="AD151" s="134" t="b">
        <f ca="1">T151</f>
        <v>0</v>
      </c>
      <c r="AE151" s="134"/>
      <c r="AL151" s="254" t="str">
        <f>SUBSTITUTE(SUBSTITUTE(SUBSTITUTE("dpa"&amp;$B151&amp;$C151&amp;$D151&amp;$E151,".","_"),"(","_"),")","")</f>
        <v>dpa802_6_3_3</v>
      </c>
      <c r="AM151" s="254">
        <f>M151</f>
        <v>5</v>
      </c>
      <c r="AN151" s="254" t="str">
        <f>SUBSTITUTE(SUBSTITUTE(SUBSTITUTE("dpc"&amp;$B151&amp;$C151&amp;$D151&amp;$E151,".","_"),"(","_"),")","")</f>
        <v>dpc802_6_3_3</v>
      </c>
      <c r="AO151" s="254">
        <f ca="1">O151</f>
        <v>0</v>
      </c>
      <c r="AP151" s="254" t="str">
        <f>SUBSTITUTE(SUBSTITUTE(SUBSTITUTE("dch"&amp;$B151&amp;$C151&amp;$D151&amp;$E151,".","_"),"(","_"),")","")</f>
        <v>dch802_6_3_3</v>
      </c>
      <c r="AQ151" s="254" t="str">
        <f>IF(LEN(W151)=0,"",W151)</f>
        <v/>
      </c>
      <c r="AR151" s="254" t="str">
        <f>SUBSTITUTE(SUBSTITUTE(SUBSTITUTE("dnt"&amp;$B151&amp;$C151&amp;$D151&amp;$E151,".","_"),"(","_"),")","")</f>
        <v>dnt802_6_3_3</v>
      </c>
      <c r="AS151" s="254" t="str">
        <f>IF(LEN(X151)=0,"",X151)</f>
        <v/>
      </c>
      <c r="AZ151" s="134"/>
      <c r="BA151" s="134"/>
      <c r="BB151" s="134"/>
      <c r="BC151" s="134"/>
      <c r="BD151" s="134"/>
      <c r="BE151" s="134"/>
      <c r="BF151" s="134"/>
      <c r="BG151" s="134"/>
      <c r="BH151" s="134"/>
      <c r="BI151" s="134"/>
    </row>
    <row r="152" spans="1:61" x14ac:dyDescent="0.25">
      <c r="B152" s="679" t="s">
        <v>4379</v>
      </c>
      <c r="C152" s="21" t="s">
        <v>260</v>
      </c>
      <c r="D152" s="21"/>
      <c r="E152" s="21"/>
      <c r="F152" s="21"/>
      <c r="G152" s="21"/>
      <c r="H152" s="758"/>
      <c r="I152" s="215"/>
      <c r="J152" s="524"/>
      <c r="K152" s="210"/>
      <c r="L152" s="1755"/>
      <c r="M152" s="1759"/>
      <c r="N152" s="210"/>
      <c r="O152" s="1764"/>
      <c r="P152" s="178"/>
      <c r="Q152" s="178"/>
      <c r="R152" s="178"/>
      <c r="S152" s="178"/>
      <c r="T152" s="178"/>
      <c r="U152" s="178"/>
      <c r="V152" s="178"/>
      <c r="W152" s="178"/>
      <c r="X152" s="1770"/>
      <c r="AZ152" s="353"/>
      <c r="BA152" s="353"/>
      <c r="BB152" s="353"/>
      <c r="BC152" s="353"/>
      <c r="BD152" s="353"/>
      <c r="BE152" s="353"/>
      <c r="BF152" s="353"/>
      <c r="BG152" s="353"/>
      <c r="BH152" s="353"/>
      <c r="BI152" s="353"/>
    </row>
    <row r="153" spans="1:61" x14ac:dyDescent="0.25">
      <c r="B153" s="679" t="s">
        <v>4380</v>
      </c>
      <c r="C153" s="21"/>
      <c r="D153" s="21"/>
      <c r="E153" s="21"/>
      <c r="F153" s="21"/>
      <c r="G153" s="21"/>
      <c r="H153" s="758"/>
      <c r="I153" s="64" t="s">
        <v>4380</v>
      </c>
      <c r="J153" s="164"/>
      <c r="K153" s="4"/>
      <c r="L153" s="1884" t="s">
        <v>4381</v>
      </c>
      <c r="M153" s="428"/>
      <c r="N153" s="4"/>
      <c r="O153" s="141"/>
      <c r="AZ153" s="353"/>
      <c r="BA153" s="353"/>
      <c r="BB153" s="353"/>
      <c r="BC153" s="353"/>
      <c r="BD153" s="353"/>
      <c r="BE153" s="353"/>
      <c r="BF153" s="353"/>
      <c r="BG153" s="353"/>
      <c r="BH153" s="353"/>
      <c r="BI153" s="353"/>
    </row>
    <row r="154" spans="1:61" x14ac:dyDescent="0.25">
      <c r="B154" s="679" t="s">
        <v>4380</v>
      </c>
      <c r="C154" s="21"/>
      <c r="D154" s="21"/>
      <c r="E154" s="21"/>
      <c r="F154" s="21"/>
      <c r="G154" s="21"/>
      <c r="H154" s="758"/>
      <c r="I154" s="64"/>
      <c r="J154" s="164"/>
      <c r="K154" s="4"/>
      <c r="L154" s="1884"/>
      <c r="M154" s="428"/>
      <c r="N154" s="4"/>
      <c r="O154" s="141"/>
      <c r="P154" s="159"/>
      <c r="Q154" s="159"/>
      <c r="R154" s="159"/>
      <c r="S154" s="159"/>
      <c r="T154" s="159"/>
      <c r="U154" s="159"/>
      <c r="V154" s="159"/>
      <c r="W154" s="159"/>
      <c r="X154" s="159"/>
      <c r="Z154" s="159"/>
      <c r="AB154" s="159"/>
      <c r="AC154" s="159"/>
      <c r="AD154" s="159"/>
      <c r="AE154" s="159"/>
      <c r="AF154" s="159"/>
      <c r="AG154" s="159"/>
      <c r="AH154" s="159"/>
      <c r="AI154" s="159"/>
      <c r="AJ154" s="159"/>
      <c r="AK154" s="159"/>
      <c r="AL154" s="159"/>
      <c r="AM154" s="159"/>
      <c r="AN154" s="159"/>
      <c r="AO154" s="159"/>
      <c r="AP154" s="159"/>
      <c r="AQ154" s="159"/>
      <c r="AZ154"/>
      <c r="BA154"/>
      <c r="BB154"/>
      <c r="BC154"/>
      <c r="BD154"/>
      <c r="BE154"/>
      <c r="BF154"/>
      <c r="BG154"/>
      <c r="BH154"/>
      <c r="BI154"/>
    </row>
    <row r="155" spans="1:61" x14ac:dyDescent="0.25">
      <c r="B155" s="679" t="s">
        <v>4380</v>
      </c>
      <c r="C155" s="21"/>
      <c r="D155" s="21"/>
      <c r="E155" s="21"/>
      <c r="F155" s="21"/>
      <c r="G155" s="21"/>
      <c r="H155" s="758"/>
      <c r="I155" s="64"/>
      <c r="J155" s="164"/>
      <c r="K155" s="4"/>
      <c r="L155" s="163" t="s">
        <v>799</v>
      </c>
      <c r="M155" s="428"/>
      <c r="N155" s="4"/>
      <c r="O155" s="141"/>
      <c r="AZ155"/>
      <c r="BA155"/>
      <c r="BB155"/>
      <c r="BC155"/>
      <c r="BD155"/>
      <c r="BE155"/>
      <c r="BF155"/>
      <c r="BG155"/>
      <c r="BH155"/>
      <c r="BI155"/>
    </row>
    <row r="156" spans="1:61" x14ac:dyDescent="0.25">
      <c r="B156" s="679" t="s">
        <v>4380</v>
      </c>
      <c r="C156" s="21" t="s">
        <v>256</v>
      </c>
      <c r="D156" s="21"/>
      <c r="E156" s="21"/>
      <c r="F156" s="21"/>
      <c r="G156" s="21"/>
      <c r="H156" s="758"/>
      <c r="I156" s="64"/>
      <c r="J156" s="907" t="s">
        <v>256</v>
      </c>
      <c r="K156" s="129"/>
      <c r="L156" s="1754" t="s">
        <v>4453</v>
      </c>
      <c r="M156" s="1758">
        <v>10</v>
      </c>
      <c r="N156" s="129"/>
      <c r="O156" s="1774">
        <f ca="1">M156*S156*W156</f>
        <v>0</v>
      </c>
      <c r="P156" s="94" t="b">
        <v>0</v>
      </c>
      <c r="Q156" s="633" t="b">
        <v>1</v>
      </c>
      <c r="R156" s="134" t="b">
        <v>0</v>
      </c>
      <c r="S156" s="816" t="b">
        <f ca="1">AND(NOT(W158=TRUE),S14=2)</f>
        <v>0</v>
      </c>
      <c r="T156" s="94" t="b">
        <f ca="1">IF(AND(NOT(S156),W156=TRUE),TRUE,FALSE)</f>
        <v>0</v>
      </c>
      <c r="W156" s="25"/>
      <c r="X156" s="354"/>
      <c r="AC156" s="353" t="b">
        <f ca="1">OR(AD156:AE156)</f>
        <v>0</v>
      </c>
      <c r="AD156" s="353" t="b">
        <f ca="1">T156</f>
        <v>0</v>
      </c>
      <c r="AE156" s="353"/>
      <c r="AL156" s="254" t="str">
        <f>SUBSTITUTE(SUBSTITUTE(SUBSTITUTE("dpa"&amp;$B156&amp;$C156&amp;$D156&amp;$E156,".","_"),"(","_"),")","")</f>
        <v>dpa802_6_4_1</v>
      </c>
      <c r="AM156" s="254">
        <f>M156</f>
        <v>10</v>
      </c>
      <c r="AN156" s="254" t="str">
        <f>SUBSTITUTE(SUBSTITUTE(SUBSTITUTE("dpc"&amp;$B156&amp;$C156&amp;$D156&amp;$E156,".","_"),"(","_"),")","")</f>
        <v>dpc802_6_4_1</v>
      </c>
      <c r="AO156" s="254">
        <f ca="1">O156</f>
        <v>0</v>
      </c>
      <c r="AP156" s="254" t="str">
        <f>SUBSTITUTE(SUBSTITUTE(SUBSTITUTE("dch"&amp;$B156&amp;$C156&amp;$D156&amp;$E156,".","_"),"(","_"),")","")</f>
        <v>dch802_6_4_1</v>
      </c>
      <c r="AQ156" s="254" t="str">
        <f>IF(LEN(W156)=0,"",W156)</f>
        <v/>
      </c>
      <c r="AR156" s="254" t="str">
        <f>SUBSTITUTE(SUBSTITUTE(SUBSTITUTE("dnt"&amp;$B156&amp;$C156&amp;$D156&amp;$E156,".","_"),"(","_"),")","")</f>
        <v>dnt802_6_4_1</v>
      </c>
      <c r="AS156" s="254" t="str">
        <f>IF(LEN(X156)=0,"",X156)</f>
        <v/>
      </c>
      <c r="AX156" s="353"/>
      <c r="AY156" s="353"/>
    </row>
    <row r="157" spans="1:61" customFormat="1" x14ac:dyDescent="0.25">
      <c r="B157" s="679" t="s">
        <v>4380</v>
      </c>
      <c r="C157" s="21" t="s">
        <v>256</v>
      </c>
      <c r="D157" s="1129"/>
      <c r="E157" s="1129"/>
      <c r="J157" s="178"/>
      <c r="K157" s="178"/>
      <c r="L157" s="1755"/>
      <c r="M157" s="1759"/>
      <c r="N157" s="178"/>
      <c r="O157" s="1764"/>
      <c r="AX157" s="76"/>
      <c r="AY157" s="76"/>
      <c r="AZ157" s="76"/>
      <c r="BA157" s="76"/>
      <c r="BB157" s="76"/>
      <c r="BC157" s="76"/>
      <c r="BD157" s="76"/>
      <c r="BE157" s="76"/>
      <c r="BF157" s="76"/>
      <c r="BG157" s="76"/>
      <c r="BH157" s="76"/>
      <c r="BI157" s="76"/>
    </row>
    <row r="158" spans="1:61" s="134" customFormat="1" ht="15" customHeight="1" x14ac:dyDescent="0.25">
      <c r="A158" s="18"/>
      <c r="B158" s="679" t="s">
        <v>4380</v>
      </c>
      <c r="C158" s="21" t="s">
        <v>258</v>
      </c>
      <c r="D158" s="21"/>
      <c r="E158" s="21"/>
      <c r="F158" s="21"/>
      <c r="G158" s="21"/>
      <c r="H158" s="758"/>
      <c r="I158" s="130"/>
      <c r="J158" s="907" t="s">
        <v>258</v>
      </c>
      <c r="K158" s="129"/>
      <c r="L158" s="1779" t="s">
        <v>4454</v>
      </c>
      <c r="M158" s="1758">
        <v>15</v>
      </c>
      <c r="N158" s="129"/>
      <c r="O158" s="1774">
        <f ca="1">M158*S158*W158</f>
        <v>0</v>
      </c>
      <c r="P158" s="94" t="b">
        <v>0</v>
      </c>
      <c r="Q158" s="633" t="b">
        <v>1</v>
      </c>
      <c r="R158" s="94" t="b">
        <v>0</v>
      </c>
      <c r="S158" s="94" t="b">
        <f ca="1">AND(NOT(W145=TRUE),NOT(W149=TRUE),NOT(W150=TRUE),NOT(W151=TRUE),NOT(W143="Met"),NOT(W156=TRUE),NOT(W164=TRUE),S160,S14=2)</f>
        <v>0</v>
      </c>
      <c r="T158" s="94" t="b">
        <f ca="1">IF(AND(NOT(S158),W158=TRUE),TRUE,FALSE)</f>
        <v>0</v>
      </c>
      <c r="U158" s="94"/>
      <c r="V158" s="94"/>
      <c r="W158" s="360"/>
      <c r="X158" s="1770"/>
      <c r="Y158" s="780"/>
      <c r="Z158" s="76"/>
      <c r="AA158" s="783"/>
      <c r="AB158" s="76"/>
      <c r="AC158" s="353" t="b">
        <f ca="1">OR(AD158:AE158)</f>
        <v>0</v>
      </c>
      <c r="AD158" s="353" t="b">
        <f ca="1">T158</f>
        <v>0</v>
      </c>
      <c r="AE158" s="353"/>
      <c r="AF158" s="76"/>
      <c r="AG158" s="76"/>
      <c r="AH158" s="76"/>
      <c r="AI158" s="76"/>
      <c r="AJ158" s="76"/>
      <c r="AK158" s="76"/>
      <c r="AL158" s="254" t="str">
        <f>SUBSTITUTE(SUBSTITUTE(SUBSTITUTE("dpa"&amp;$B158&amp;$C158&amp;$D158&amp;$E158,".","_"),"(","_"),")","")</f>
        <v>dpa802_6_4_2</v>
      </c>
      <c r="AM158" s="254">
        <f>M158</f>
        <v>15</v>
      </c>
      <c r="AN158" s="254" t="str">
        <f>SUBSTITUTE(SUBSTITUTE(SUBSTITUTE("dpc"&amp;$B158&amp;$C158&amp;$D158&amp;$E158,".","_"),"(","_"),")","")</f>
        <v>dpc802_6_4_2</v>
      </c>
      <c r="AO158" s="254">
        <f ca="1">O158</f>
        <v>0</v>
      </c>
      <c r="AP158" s="254" t="str">
        <f>SUBSTITUTE(SUBSTITUTE(SUBSTITUTE("dch"&amp;$B158&amp;$C158&amp;$D158&amp;$E158,".","_"),"(","_"),")","")</f>
        <v>dch802_6_4_2</v>
      </c>
      <c r="AQ158" s="254" t="str">
        <f>IF(LEN(W158)=0,"",W158)</f>
        <v/>
      </c>
      <c r="AR158" s="254" t="str">
        <f>SUBSTITUTE(SUBSTITUTE(SUBSTITUTE("dnt"&amp;$B158&amp;$C158&amp;$D158&amp;$E158,".","_"),"(","_"),")","")</f>
        <v>dnt802_6_4_2</v>
      </c>
      <c r="AS158" s="254" t="str">
        <f>IF(LEN(X158)=0,"",X158)</f>
        <v/>
      </c>
      <c r="AT158" s="76"/>
      <c r="AU158" s="76"/>
      <c r="AX158" s="76"/>
      <c r="AY158" s="76"/>
      <c r="AZ158" s="868"/>
      <c r="BA158" s="868"/>
      <c r="BB158" s="868"/>
      <c r="BC158" s="868"/>
      <c r="BD158" s="868"/>
      <c r="BE158" s="868"/>
      <c r="BF158" s="868"/>
      <c r="BG158" s="868"/>
      <c r="BH158" s="868"/>
      <c r="BI158" s="868"/>
    </row>
    <row r="159" spans="1:61" s="134" customFormat="1" x14ac:dyDescent="0.25">
      <c r="A159" s="18"/>
      <c r="B159" s="679" t="s">
        <v>4380</v>
      </c>
      <c r="C159" s="21" t="s">
        <v>258</v>
      </c>
      <c r="D159" s="21"/>
      <c r="E159" s="21"/>
      <c r="F159" s="21"/>
      <c r="G159" s="21"/>
      <c r="H159" s="758"/>
      <c r="I159" s="130"/>
      <c r="J159" s="480"/>
      <c r="K159" s="129"/>
      <c r="L159" s="1779"/>
      <c r="M159" s="1758"/>
      <c r="N159" s="129"/>
      <c r="O159" s="1774"/>
      <c r="P159" s="94"/>
      <c r="Q159" s="94"/>
      <c r="R159" s="94"/>
      <c r="S159" s="94"/>
      <c r="T159" s="94"/>
      <c r="U159" s="94"/>
      <c r="V159" s="94"/>
      <c r="W159" s="94"/>
      <c r="X159" s="1770"/>
      <c r="Y159" s="780"/>
      <c r="Z159" s="76"/>
      <c r="AA159" s="783"/>
      <c r="AB159" s="76"/>
      <c r="AC159" s="76"/>
      <c r="AD159" s="76"/>
      <c r="AE159" s="76"/>
      <c r="AF159" s="76"/>
      <c r="AG159" s="76"/>
      <c r="AH159" s="76"/>
      <c r="AI159" s="76"/>
      <c r="AJ159" s="76"/>
      <c r="AK159" s="76"/>
      <c r="AL159" s="76"/>
      <c r="AM159" s="76"/>
      <c r="AN159" s="76"/>
      <c r="AO159" s="76"/>
      <c r="AP159" s="76"/>
      <c r="AQ159" s="76"/>
      <c r="AR159" s="76"/>
      <c r="AS159" s="76"/>
      <c r="AT159" s="76"/>
      <c r="AU159" s="76"/>
      <c r="AX159" s="76"/>
      <c r="AY159" s="76"/>
      <c r="AZ159" s="868"/>
      <c r="BA159" s="868"/>
      <c r="BB159" s="868"/>
      <c r="BC159" s="868"/>
      <c r="BD159" s="868"/>
      <c r="BE159" s="868"/>
      <c r="BF159" s="868"/>
      <c r="BG159" s="868"/>
      <c r="BH159" s="868"/>
      <c r="BI159" s="868"/>
    </row>
    <row r="160" spans="1:61" s="353" customFormat="1" x14ac:dyDescent="0.25">
      <c r="A160" s="18"/>
      <c r="B160" s="679" t="s">
        <v>4380</v>
      </c>
      <c r="C160" s="21" t="s">
        <v>258</v>
      </c>
      <c r="D160" s="21"/>
      <c r="E160" s="21"/>
      <c r="F160" s="21"/>
      <c r="G160" s="21"/>
      <c r="H160" s="758"/>
      <c r="I160" s="130"/>
      <c r="J160" s="480"/>
      <c r="K160" s="129"/>
      <c r="L160" s="1882" t="s">
        <v>5625</v>
      </c>
      <c r="M160" s="452"/>
      <c r="N160" s="129"/>
      <c r="O160" s="502"/>
      <c r="P160" s="94"/>
      <c r="Q160" s="94"/>
      <c r="R160" s="94"/>
      <c r="S160" s="197" t="b">
        <f ca="1">IFERROR(AND(MATCH('Ch5'!W148,INDIRECT('Ch5'!U148),0)=3,SUM('Ch5'!O150:O171)&gt;=5),FALSE)</f>
        <v>0</v>
      </c>
      <c r="T160" s="94"/>
      <c r="U160" s="94"/>
      <c r="V160" s="94"/>
      <c r="W160" s="94"/>
      <c r="X160" s="1770"/>
      <c r="Y160" s="780"/>
      <c r="AA160" s="783"/>
      <c r="AX160" s="76"/>
      <c r="AY160" s="76"/>
      <c r="AZ160" s="868"/>
      <c r="BA160" s="868"/>
      <c r="BB160" s="868"/>
      <c r="BC160" s="868"/>
      <c r="BD160" s="868"/>
      <c r="BE160" s="868"/>
      <c r="BF160" s="868"/>
      <c r="BG160" s="868"/>
      <c r="BH160" s="868"/>
      <c r="BI160" s="868"/>
    </row>
    <row r="161" spans="1:61" s="353" customFormat="1" x14ac:dyDescent="0.25">
      <c r="A161" s="18"/>
      <c r="B161" s="679" t="s">
        <v>4380</v>
      </c>
      <c r="C161" s="21" t="s">
        <v>258</v>
      </c>
      <c r="D161" s="21"/>
      <c r="E161" s="21"/>
      <c r="F161" s="21"/>
      <c r="G161" s="21"/>
      <c r="H161" s="758"/>
      <c r="I161" s="215"/>
      <c r="J161" s="524"/>
      <c r="K161" s="210"/>
      <c r="L161" s="1883"/>
      <c r="M161" s="453"/>
      <c r="N161" s="210"/>
      <c r="O161" s="503"/>
      <c r="P161" s="178"/>
      <c r="Q161" s="178"/>
      <c r="R161" s="178"/>
      <c r="S161" s="178"/>
      <c r="T161" s="178"/>
      <c r="U161" s="178"/>
      <c r="V161" s="178"/>
      <c r="W161" s="178"/>
      <c r="X161" s="1770"/>
      <c r="Y161" s="780"/>
      <c r="AA161" s="783"/>
      <c r="AX161" s="76"/>
      <c r="AY161" s="76"/>
      <c r="AZ161" s="868"/>
      <c r="BA161" s="868"/>
      <c r="BB161" s="868"/>
      <c r="BC161" s="868"/>
      <c r="BD161" s="868"/>
      <c r="BE161" s="868"/>
      <c r="BF161" s="868"/>
      <c r="BG161" s="868"/>
      <c r="BH161" s="868"/>
      <c r="BI161" s="868"/>
    </row>
    <row r="162" spans="1:61" customFormat="1" x14ac:dyDescent="0.25">
      <c r="B162" s="679" t="s">
        <v>4382</v>
      </c>
      <c r="C162" s="1129"/>
      <c r="D162" s="1129"/>
      <c r="E162" s="1129"/>
      <c r="I162" s="130" t="s">
        <v>4382</v>
      </c>
      <c r="L162" s="1796" t="s">
        <v>4455</v>
      </c>
      <c r="AX162" s="76"/>
      <c r="AY162" s="76"/>
      <c r="AZ162" s="868"/>
      <c r="BA162" s="868"/>
      <c r="BB162" s="868"/>
      <c r="BC162" s="868"/>
      <c r="BD162" s="868"/>
      <c r="BE162" s="868"/>
      <c r="BF162" s="868"/>
      <c r="BG162" s="868"/>
      <c r="BH162" s="868"/>
      <c r="BI162" s="868"/>
    </row>
    <row r="163" spans="1:61" customFormat="1" x14ac:dyDescent="0.25">
      <c r="B163" s="679" t="s">
        <v>4382</v>
      </c>
      <c r="C163" s="1129"/>
      <c r="D163" s="1129"/>
      <c r="E163" s="1129"/>
      <c r="L163" s="1796"/>
      <c r="W163" s="178"/>
      <c r="AX163" s="76"/>
      <c r="AY163" s="76"/>
      <c r="AZ163" s="868"/>
      <c r="BA163" s="868"/>
      <c r="BB163" s="868"/>
      <c r="BC163" s="868"/>
      <c r="BD163" s="868"/>
      <c r="BE163" s="868"/>
      <c r="BF163" s="868"/>
      <c r="BG163" s="868"/>
      <c r="BH163" s="868"/>
      <c r="BI163" s="868"/>
    </row>
    <row r="164" spans="1:61" ht="15" customHeight="1" x14ac:dyDescent="0.25">
      <c r="B164" s="679" t="s">
        <v>4382</v>
      </c>
      <c r="C164" s="21" t="s">
        <v>256</v>
      </c>
      <c r="D164" s="21"/>
      <c r="E164" s="21"/>
      <c r="F164" s="21"/>
      <c r="G164" s="21"/>
      <c r="H164" s="758"/>
      <c r="I164" s="130"/>
      <c r="J164" s="901" t="s">
        <v>256</v>
      </c>
      <c r="K164" s="850"/>
      <c r="L164" s="1754" t="s">
        <v>4456</v>
      </c>
      <c r="M164" s="980">
        <v>3</v>
      </c>
      <c r="N164" s="129"/>
      <c r="O164" s="979">
        <f ca="1">M164*S164*W164</f>
        <v>0</v>
      </c>
      <c r="P164" s="94" t="b">
        <v>0</v>
      </c>
      <c r="Q164" s="94" t="b">
        <v>1</v>
      </c>
      <c r="R164" s="94" t="b">
        <v>0</v>
      </c>
      <c r="S164" s="94" t="b">
        <f ca="1">AND(NOT(W158=TRUE),S14=2)</f>
        <v>0</v>
      </c>
      <c r="T164" s="94" t="b">
        <f ca="1">IF(AND(NOT(S164),W164=TRUE),TRUE,FALSE)</f>
        <v>0</v>
      </c>
      <c r="U164" s="94"/>
      <c r="V164" s="94"/>
      <c r="W164" s="117"/>
      <c r="X164" s="1757"/>
      <c r="AC164" s="353" t="b">
        <f ca="1">OR(AD164:AE164)</f>
        <v>0</v>
      </c>
      <c r="AD164" s="353" t="b">
        <f ca="1">T164</f>
        <v>0</v>
      </c>
      <c r="AE164" s="353"/>
      <c r="AL164" s="254" t="str">
        <f>SUBSTITUTE(SUBSTITUTE(SUBSTITUTE("dpa"&amp;$B164&amp;$C164&amp;$D164&amp;$E164,".","_"),"(","_"),")","")</f>
        <v>dpa802_6_5_1</v>
      </c>
      <c r="AM164" s="254">
        <f>M164</f>
        <v>3</v>
      </c>
      <c r="AN164" s="254" t="str">
        <f>SUBSTITUTE(SUBSTITUTE(SUBSTITUTE("dpc"&amp;$B164&amp;$C164&amp;$D164&amp;$E164,".","_"),"(","_"),")","")</f>
        <v>dpc802_6_5_1</v>
      </c>
      <c r="AO164" s="254">
        <f ca="1">O164</f>
        <v>0</v>
      </c>
      <c r="AP164" s="254" t="str">
        <f>SUBSTITUTE(SUBSTITUTE(SUBSTITUTE("dch"&amp;$B164&amp;$C164&amp;$D164&amp;$E164,".","_"),"(","_"),")","")</f>
        <v>dch802_6_5_1</v>
      </c>
      <c r="AQ164" s="254" t="str">
        <f>IF(LEN(W164)=0,"",W164)</f>
        <v/>
      </c>
      <c r="AR164" s="254" t="str">
        <f>SUBSTITUTE(SUBSTITUTE(SUBSTITUTE("dnt"&amp;$B164&amp;$C164&amp;$D164&amp;$E164,".","_"),"(","_"),")","")</f>
        <v>dnt802_6_5_1</v>
      </c>
      <c r="AS164" s="254" t="str">
        <f>IF(LEN(X164)=0,"",X164)</f>
        <v/>
      </c>
      <c r="AT164" s="134"/>
      <c r="AU164" s="134"/>
      <c r="AZ164" s="868"/>
      <c r="BA164" s="868"/>
      <c r="BB164" s="868"/>
      <c r="BC164" s="868"/>
      <c r="BD164" s="868"/>
      <c r="BE164" s="868"/>
      <c r="BF164" s="868"/>
      <c r="BG164" s="868"/>
      <c r="BH164" s="868"/>
      <c r="BI164" s="868"/>
    </row>
    <row r="165" spans="1:61" x14ac:dyDescent="0.25">
      <c r="B165" s="679" t="s">
        <v>4382</v>
      </c>
      <c r="C165" s="21" t="s">
        <v>256</v>
      </c>
      <c r="D165" s="21"/>
      <c r="E165" s="21"/>
      <c r="F165" s="21"/>
      <c r="G165" s="21"/>
      <c r="H165" s="758"/>
      <c r="I165" s="130"/>
      <c r="J165" s="863"/>
      <c r="K165" s="851"/>
      <c r="L165" s="1755"/>
      <c r="M165" s="972"/>
      <c r="N165" s="210"/>
      <c r="O165" s="973"/>
      <c r="P165" s="94"/>
      <c r="Q165" s="94"/>
      <c r="R165" s="94"/>
      <c r="S165" s="94"/>
      <c r="T165" s="94"/>
      <c r="U165" s="94"/>
      <c r="V165" s="94"/>
      <c r="W165" s="94"/>
      <c r="X165" s="1757"/>
      <c r="AR165" s="134"/>
      <c r="AS165" s="134"/>
      <c r="AT165" s="134"/>
      <c r="AU165" s="134"/>
    </row>
    <row r="166" spans="1:61" s="868" customFormat="1" x14ac:dyDescent="0.25">
      <c r="A166" s="18"/>
      <c r="B166" s="679" t="s">
        <v>4382</v>
      </c>
      <c r="C166" s="21" t="s">
        <v>258</v>
      </c>
      <c r="D166" s="21"/>
      <c r="E166" s="21"/>
      <c r="F166" s="21"/>
      <c r="G166" s="21"/>
      <c r="H166" s="758"/>
      <c r="I166" s="130"/>
      <c r="J166" s="993" t="s">
        <v>258</v>
      </c>
      <c r="K166" s="849"/>
      <c r="L166" s="1778" t="s">
        <v>4457</v>
      </c>
      <c r="M166" s="974">
        <v>3</v>
      </c>
      <c r="N166" s="193"/>
      <c r="O166" s="975">
        <f ca="1">M166*S166*W166</f>
        <v>0</v>
      </c>
      <c r="P166" s="94" t="b">
        <v>0</v>
      </c>
      <c r="Q166" s="94" t="b">
        <v>1</v>
      </c>
      <c r="R166" s="94" t="b">
        <v>0</v>
      </c>
      <c r="S166" s="94" t="b">
        <f ca="1">AND(NOT(W158=TRUE),S14=2)</f>
        <v>0</v>
      </c>
      <c r="T166" s="94" t="b">
        <f ca="1">IF(AND(NOT(S166),W166=TRUE),TRUE,FALSE)</f>
        <v>0</v>
      </c>
      <c r="U166" s="94"/>
      <c r="V166" s="94"/>
      <c r="W166" s="25"/>
      <c r="X166" s="1757"/>
      <c r="AC166" s="970" t="b">
        <f ca="1">OR(AD166:AE166)</f>
        <v>0</v>
      </c>
      <c r="AD166" s="970" t="b">
        <f ca="1">T166</f>
        <v>0</v>
      </c>
      <c r="AL166" s="254" t="str">
        <f>SUBSTITUTE(SUBSTITUTE(SUBSTITUTE("dpa"&amp;$B166&amp;$C166&amp;$D166&amp;$E166,".","_"),"(","_"),")","")</f>
        <v>dpa802_6_5_2</v>
      </c>
      <c r="AM166" s="254">
        <f>M166</f>
        <v>3</v>
      </c>
      <c r="AN166" s="254" t="str">
        <f>SUBSTITUTE(SUBSTITUTE(SUBSTITUTE("dpc"&amp;$B166&amp;$C166&amp;$D166&amp;$E166,".","_"),"(","_"),")","")</f>
        <v>dpc802_6_5_2</v>
      </c>
      <c r="AO166" s="254">
        <f ca="1">O166</f>
        <v>0</v>
      </c>
      <c r="AP166" s="254" t="str">
        <f>SUBSTITUTE(SUBSTITUTE(SUBSTITUTE("dch"&amp;$B166&amp;$C166&amp;$D166&amp;$E166,".","_"),"(","_"),")","")</f>
        <v>dch802_6_5_2</v>
      </c>
      <c r="AQ166" s="254" t="str">
        <f>IF(LEN(W166)=0,"",W166)</f>
        <v/>
      </c>
      <c r="AR166" s="254" t="str">
        <f>SUBSTITUTE(SUBSTITUTE(SUBSTITUTE("dnt"&amp;$B166&amp;$C166&amp;$D166&amp;$E166,".","_"),"(","_"),")","")</f>
        <v>dnt802_6_5_2</v>
      </c>
      <c r="AS166" s="254" t="str">
        <f>IF(LEN(X166)=0,"",X166)</f>
        <v/>
      </c>
      <c r="AX166"/>
      <c r="AY166"/>
      <c r="AZ166" s="76"/>
      <c r="BA166" s="76"/>
      <c r="BB166" s="76"/>
      <c r="BC166" s="76"/>
      <c r="BD166" s="76"/>
      <c r="BE166" s="76"/>
      <c r="BF166" s="76"/>
      <c r="BG166" s="76"/>
      <c r="BH166" s="76"/>
      <c r="BI166" s="76"/>
    </row>
    <row r="167" spans="1:61" s="868" customFormat="1" x14ac:dyDescent="0.25">
      <c r="A167" s="18"/>
      <c r="B167" s="679" t="s">
        <v>4382</v>
      </c>
      <c r="C167" s="21" t="s">
        <v>258</v>
      </c>
      <c r="D167" s="21"/>
      <c r="E167" s="21"/>
      <c r="F167" s="21"/>
      <c r="G167" s="21"/>
      <c r="H167" s="758"/>
      <c r="I167" s="130"/>
      <c r="J167" s="863"/>
      <c r="K167" s="851"/>
      <c r="L167" s="1755"/>
      <c r="M167" s="972"/>
      <c r="N167" s="210"/>
      <c r="O167" s="973"/>
      <c r="P167" s="94"/>
      <c r="Q167" s="94"/>
      <c r="R167" s="94"/>
      <c r="S167" s="94"/>
      <c r="T167" s="94"/>
      <c r="U167" s="94"/>
      <c r="V167" s="94"/>
      <c r="W167" s="94"/>
      <c r="X167" s="1757"/>
      <c r="AX167"/>
      <c r="AY167"/>
      <c r="AZ167" s="76"/>
      <c r="BA167" s="76"/>
      <c r="BB167" s="76"/>
      <c r="BC167" s="76"/>
      <c r="BD167" s="76"/>
      <c r="BE167" s="76"/>
      <c r="BF167" s="76"/>
      <c r="BG167" s="76"/>
      <c r="BH167" s="76"/>
      <c r="BI167" s="76"/>
    </row>
    <row r="168" spans="1:61" s="868" customFormat="1" x14ac:dyDescent="0.25">
      <c r="A168" s="18"/>
      <c r="B168" s="679" t="s">
        <v>4382</v>
      </c>
      <c r="C168" s="21" t="s">
        <v>260</v>
      </c>
      <c r="D168" s="21"/>
      <c r="E168" s="21"/>
      <c r="F168" s="21"/>
      <c r="G168" s="21"/>
      <c r="H168" s="758"/>
      <c r="I168" s="130"/>
      <c r="J168" s="994" t="s">
        <v>260</v>
      </c>
      <c r="K168" s="954"/>
      <c r="L168" s="279" t="s">
        <v>4458</v>
      </c>
      <c r="M168" s="991">
        <v>3</v>
      </c>
      <c r="N168" s="243"/>
      <c r="O168" s="981">
        <f ca="1">M168*S168*W168</f>
        <v>0</v>
      </c>
      <c r="P168" s="94" t="b">
        <v>0</v>
      </c>
      <c r="Q168" s="94" t="b">
        <v>1</v>
      </c>
      <c r="R168" s="94" t="b">
        <v>0</v>
      </c>
      <c r="S168" s="94" t="b">
        <f ca="1">AND(NOT(W158=TRUE),S14=2)</f>
        <v>0</v>
      </c>
      <c r="T168" s="94" t="b">
        <f ca="1">IF(AND(NOT(S168),W168=TRUE),TRUE,FALSE)</f>
        <v>0</v>
      </c>
      <c r="U168" s="94"/>
      <c r="V168" s="94"/>
      <c r="W168" s="25"/>
      <c r="X168" s="869"/>
      <c r="AC168" s="970" t="b">
        <f ca="1">OR(AD168:AE168)</f>
        <v>0</v>
      </c>
      <c r="AD168" s="970" t="b">
        <f ca="1">T168</f>
        <v>0</v>
      </c>
      <c r="AL168" s="254" t="str">
        <f>SUBSTITUTE(SUBSTITUTE(SUBSTITUTE("dpa"&amp;$B168&amp;$C168&amp;$D168&amp;$E168,".","_"),"(","_"),")","")</f>
        <v>dpa802_6_5_3</v>
      </c>
      <c r="AM168" s="254">
        <f>M168</f>
        <v>3</v>
      </c>
      <c r="AN168" s="254" t="str">
        <f>SUBSTITUTE(SUBSTITUTE(SUBSTITUTE("dpc"&amp;$B168&amp;$C168&amp;$D168&amp;$E168,".","_"),"(","_"),")","")</f>
        <v>dpc802_6_5_3</v>
      </c>
      <c r="AO168" s="254">
        <f ca="1">O168</f>
        <v>0</v>
      </c>
      <c r="AP168" s="254" t="str">
        <f>SUBSTITUTE(SUBSTITUTE(SUBSTITUTE("dch"&amp;$B168&amp;$C168&amp;$D168&amp;$E168,".","_"),"(","_"),")","")</f>
        <v>dch802_6_5_3</v>
      </c>
      <c r="AQ168" s="254" t="str">
        <f>IF(LEN(W168)=0,"",W168)</f>
        <v/>
      </c>
      <c r="AR168" s="254" t="str">
        <f>SUBSTITUTE(SUBSTITUTE(SUBSTITUTE("dnt"&amp;$B168&amp;$C168&amp;$D168&amp;$E168,".","_"),"(","_"),")","")</f>
        <v>dnt802_6_5_3</v>
      </c>
      <c r="AS168" s="254" t="str">
        <f>IF(LEN(X168)=0,"",X168)</f>
        <v/>
      </c>
      <c r="AX168"/>
      <c r="AY168"/>
      <c r="AZ168" s="76"/>
      <c r="BA168" s="76"/>
      <c r="BB168" s="76"/>
      <c r="BC168" s="76"/>
      <c r="BD168" s="76"/>
      <c r="BE168" s="76"/>
      <c r="BF168" s="76"/>
      <c r="BG168" s="76"/>
      <c r="BH168" s="76"/>
      <c r="BI168" s="76"/>
    </row>
    <row r="169" spans="1:61" s="868" customFormat="1" x14ac:dyDescent="0.25">
      <c r="A169" s="18"/>
      <c r="B169" s="679" t="s">
        <v>4382</v>
      </c>
      <c r="C169" s="21" t="s">
        <v>269</v>
      </c>
      <c r="D169" s="21"/>
      <c r="E169" s="21"/>
      <c r="F169" s="21"/>
      <c r="G169" s="21"/>
      <c r="H169" s="758"/>
      <c r="I169" s="130"/>
      <c r="J169" s="993" t="s">
        <v>269</v>
      </c>
      <c r="K169" s="849"/>
      <c r="L169" s="1778" t="s">
        <v>4459</v>
      </c>
      <c r="M169" s="974">
        <v>3</v>
      </c>
      <c r="N169" s="193"/>
      <c r="O169" s="975">
        <f ca="1">M169*S169*W169</f>
        <v>0</v>
      </c>
      <c r="P169" s="94" t="b">
        <v>0</v>
      </c>
      <c r="Q169" s="94" t="b">
        <v>1</v>
      </c>
      <c r="R169" s="94" t="b">
        <v>0</v>
      </c>
      <c r="S169" s="94" t="b">
        <f ca="1">AND(NOT(W158=TRUE),S14=2)</f>
        <v>0</v>
      </c>
      <c r="T169" s="94" t="b">
        <f ca="1">IF(AND(NOT(S169),W169=TRUE),TRUE,FALSE)</f>
        <v>0</v>
      </c>
      <c r="U169" s="94"/>
      <c r="V169" s="94"/>
      <c r="W169" s="25"/>
      <c r="X169" s="1757"/>
      <c r="AC169" s="970" t="b">
        <f ca="1">OR(AD169:AE169)</f>
        <v>0</v>
      </c>
      <c r="AD169" s="970" t="b">
        <f ca="1">T169</f>
        <v>0</v>
      </c>
      <c r="AL169" s="254" t="str">
        <f>SUBSTITUTE(SUBSTITUTE(SUBSTITUTE("dpa"&amp;$B169&amp;$C169&amp;$D169&amp;$E169,".","_"),"(","_"),")","")</f>
        <v>dpa802_6_5_4</v>
      </c>
      <c r="AM169" s="254">
        <f>M169</f>
        <v>3</v>
      </c>
      <c r="AN169" s="254" t="str">
        <f>SUBSTITUTE(SUBSTITUTE(SUBSTITUTE("dpc"&amp;$B169&amp;$C169&amp;$D169&amp;$E169,".","_"),"(","_"),")","")</f>
        <v>dpc802_6_5_4</v>
      </c>
      <c r="AO169" s="254">
        <f ca="1">O169</f>
        <v>0</v>
      </c>
      <c r="AP169" s="254" t="str">
        <f>SUBSTITUTE(SUBSTITUTE(SUBSTITUTE("dch"&amp;$B169&amp;$C169&amp;$D169&amp;$E169,".","_"),"(","_"),")","")</f>
        <v>dch802_6_5_4</v>
      </c>
      <c r="AQ169" s="254" t="str">
        <f>IF(LEN(W169)=0,"",W169)</f>
        <v/>
      </c>
      <c r="AR169" s="254" t="str">
        <f>SUBSTITUTE(SUBSTITUTE(SUBSTITUTE("dnt"&amp;$B169&amp;$C169&amp;$D169&amp;$E169,".","_"),"(","_"),")","")</f>
        <v>dnt802_6_5_4</v>
      </c>
      <c r="AS169" s="254" t="str">
        <f>IF(LEN(X169)=0,"",X169)</f>
        <v/>
      </c>
      <c r="AX169"/>
      <c r="AY169"/>
      <c r="AZ169" s="76"/>
      <c r="BA169" s="76"/>
      <c r="BB169" s="76"/>
      <c r="BC169" s="76"/>
      <c r="BD169" s="76"/>
      <c r="BE169" s="76"/>
      <c r="BF169" s="76"/>
      <c r="BG169" s="76"/>
      <c r="BH169" s="76"/>
      <c r="BI169" s="76"/>
    </row>
    <row r="170" spans="1:61" s="868" customFormat="1" x14ac:dyDescent="0.25">
      <c r="A170" s="18"/>
      <c r="B170" s="679" t="s">
        <v>4382</v>
      </c>
      <c r="C170" s="21" t="s">
        <v>269</v>
      </c>
      <c r="D170" s="21"/>
      <c r="E170" s="21"/>
      <c r="F170" s="21"/>
      <c r="G170" s="21"/>
      <c r="H170" s="758"/>
      <c r="I170" s="130"/>
      <c r="J170" s="863"/>
      <c r="K170" s="851"/>
      <c r="L170" s="1755"/>
      <c r="M170" s="972"/>
      <c r="N170" s="210"/>
      <c r="O170" s="973"/>
      <c r="P170" s="94"/>
      <c r="Q170" s="94"/>
      <c r="R170" s="94"/>
      <c r="S170" s="94"/>
      <c r="T170" s="94"/>
      <c r="U170" s="94"/>
      <c r="V170" s="94"/>
      <c r="W170" s="94"/>
      <c r="X170" s="1757"/>
      <c r="AX170"/>
      <c r="AY170"/>
      <c r="AZ170" s="76"/>
      <c r="BA170" s="76"/>
      <c r="BB170" s="76"/>
      <c r="BC170" s="76"/>
      <c r="BD170" s="76"/>
      <c r="BE170" s="76"/>
      <c r="BF170" s="76"/>
      <c r="BG170" s="76"/>
      <c r="BH170" s="76"/>
      <c r="BI170" s="76"/>
    </row>
    <row r="171" spans="1:61" s="868" customFormat="1" x14ac:dyDescent="0.25">
      <c r="A171" s="18"/>
      <c r="B171" s="679" t="s">
        <v>4382</v>
      </c>
      <c r="C171" s="21" t="s">
        <v>275</v>
      </c>
      <c r="D171" s="21"/>
      <c r="E171" s="21"/>
      <c r="F171" s="21"/>
      <c r="G171" s="21"/>
      <c r="H171" s="758"/>
      <c r="I171" s="130"/>
      <c r="J171" s="862" t="s">
        <v>275</v>
      </c>
      <c r="K171" s="845"/>
      <c r="L171" s="1779" t="s">
        <v>4460</v>
      </c>
      <c r="M171" s="888">
        <v>3</v>
      </c>
      <c r="N171" s="129"/>
      <c r="O171" s="887">
        <f ca="1">M171*S171*W171</f>
        <v>0</v>
      </c>
      <c r="P171" s="94" t="b">
        <v>0</v>
      </c>
      <c r="Q171" s="94" t="b">
        <v>1</v>
      </c>
      <c r="R171" s="94" t="b">
        <v>0</v>
      </c>
      <c r="S171" s="94" t="b">
        <f ca="1">AND(NOT(W158=TRUE),S14=2)</f>
        <v>0</v>
      </c>
      <c r="T171" s="94" t="b">
        <f ca="1">IF(AND(NOT(S171),W171=TRUE),TRUE,FALSE)</f>
        <v>0</v>
      </c>
      <c r="U171" s="94"/>
      <c r="V171" s="94"/>
      <c r="W171" s="25"/>
      <c r="X171" s="1757"/>
      <c r="AC171" s="970" t="b">
        <f ca="1">OR(AD171:AE171)</f>
        <v>0</v>
      </c>
      <c r="AD171" s="970" t="b">
        <f ca="1">T171</f>
        <v>0</v>
      </c>
      <c r="AL171" s="254" t="str">
        <f>SUBSTITUTE(SUBSTITUTE(SUBSTITUTE("dpa"&amp;$B171&amp;$C171&amp;$D171&amp;$E171,".","_"),"(","_"),")","")</f>
        <v>dpa802_6_5_5</v>
      </c>
      <c r="AM171" s="254">
        <f>M171</f>
        <v>3</v>
      </c>
      <c r="AN171" s="254" t="str">
        <f>SUBSTITUTE(SUBSTITUTE(SUBSTITUTE("dpc"&amp;$B171&amp;$C171&amp;$D171&amp;$E171,".","_"),"(","_"),")","")</f>
        <v>dpc802_6_5_5</v>
      </c>
      <c r="AO171" s="254">
        <f ca="1">O171</f>
        <v>0</v>
      </c>
      <c r="AP171" s="254" t="str">
        <f>SUBSTITUTE(SUBSTITUTE(SUBSTITUTE("dch"&amp;$B171&amp;$C171&amp;$D171&amp;$E171,".","_"),"(","_"),")","")</f>
        <v>dch802_6_5_5</v>
      </c>
      <c r="AQ171" s="254" t="str">
        <f>IF(LEN(W171)=0,"",W171)</f>
        <v/>
      </c>
      <c r="AR171" s="254" t="str">
        <f>SUBSTITUTE(SUBSTITUTE(SUBSTITUTE("dnt"&amp;$B171&amp;$C171&amp;$D171&amp;$E171,".","_"),"(","_"),")","")</f>
        <v>dnt802_6_5_5</v>
      </c>
      <c r="AS171" s="254" t="str">
        <f>IF(LEN(X171)=0,"",X171)</f>
        <v/>
      </c>
      <c r="AX171"/>
      <c r="AY171"/>
      <c r="AZ171" s="76"/>
      <c r="BA171" s="76"/>
      <c r="BB171" s="76"/>
      <c r="BC171" s="76"/>
      <c r="BD171" s="76"/>
      <c r="BE171" s="76"/>
      <c r="BF171" s="76"/>
      <c r="BG171" s="76"/>
      <c r="BH171" s="76"/>
      <c r="BI171" s="76"/>
    </row>
    <row r="172" spans="1:61" s="868" customFormat="1" ht="15.75" thickBot="1" x14ac:dyDescent="0.3">
      <c r="A172" s="18"/>
      <c r="B172" s="679" t="s">
        <v>4382</v>
      </c>
      <c r="C172" s="21" t="s">
        <v>275</v>
      </c>
      <c r="D172" s="21"/>
      <c r="E172" s="21"/>
      <c r="F172" s="21"/>
      <c r="G172" s="21"/>
      <c r="H172" s="758"/>
      <c r="I172" s="130"/>
      <c r="J172" s="845"/>
      <c r="K172" s="845"/>
      <c r="L172" s="1779"/>
      <c r="M172" s="888"/>
      <c r="N172" s="129"/>
      <c r="O172" s="887"/>
      <c r="P172" s="94"/>
      <c r="Q172" s="94"/>
      <c r="R172" s="94"/>
      <c r="S172" s="94"/>
      <c r="T172" s="94"/>
      <c r="U172" s="94"/>
      <c r="V172" s="94"/>
      <c r="W172" s="94"/>
      <c r="X172" s="1757"/>
      <c r="AX172"/>
      <c r="AY172"/>
      <c r="AZ172" s="76"/>
      <c r="BA172" s="76"/>
      <c r="BB172" s="76"/>
      <c r="BC172" s="76"/>
      <c r="BD172" s="76"/>
      <c r="BE172" s="76"/>
      <c r="BF172" s="76"/>
      <c r="BG172" s="76"/>
      <c r="BH172" s="76"/>
      <c r="BI172" s="76"/>
    </row>
    <row r="173" spans="1:61" ht="15.75" thickTop="1" x14ac:dyDescent="0.25">
      <c r="B173" s="680">
        <v>802.7</v>
      </c>
      <c r="C173" s="740"/>
      <c r="D173" s="740"/>
      <c r="E173" s="740"/>
      <c r="F173" s="740"/>
      <c r="G173" s="740"/>
      <c r="H173" s="762"/>
      <c r="I173" s="180">
        <v>802.7</v>
      </c>
      <c r="J173" s="952"/>
      <c r="K173" s="181"/>
      <c r="L173" s="1913" t="s">
        <v>4383</v>
      </c>
      <c r="M173" s="451"/>
      <c r="N173" s="181"/>
      <c r="O173" s="506"/>
      <c r="P173" s="105"/>
      <c r="Q173" s="105"/>
      <c r="R173" s="105"/>
      <c r="S173" s="105"/>
      <c r="T173" s="105"/>
      <c r="U173" s="105"/>
      <c r="V173" s="105"/>
      <c r="W173" s="105"/>
      <c r="X173" s="105"/>
      <c r="Z173" s="134"/>
      <c r="AB173" s="134"/>
      <c r="AC173" s="134"/>
      <c r="AD173" s="134"/>
      <c r="AE173" s="134"/>
      <c r="AF173" s="134"/>
      <c r="AG173" s="134"/>
      <c r="AH173" s="134"/>
      <c r="AI173" s="134"/>
      <c r="AJ173" s="134"/>
      <c r="AK173" s="134"/>
      <c r="AL173" s="134"/>
      <c r="AM173" s="134"/>
      <c r="AN173" s="134"/>
      <c r="AO173" s="134"/>
      <c r="AP173" s="134"/>
      <c r="AQ173" s="134"/>
      <c r="AX173"/>
      <c r="AY173"/>
    </row>
    <row r="174" spans="1:61" x14ac:dyDescent="0.25">
      <c r="B174" s="680">
        <v>802.7</v>
      </c>
      <c r="C174" s="740"/>
      <c r="D174" s="740"/>
      <c r="E174" s="740"/>
      <c r="F174" s="740"/>
      <c r="G174" s="740"/>
      <c r="H174" s="762"/>
      <c r="I174" s="130"/>
      <c r="J174" s="480"/>
      <c r="K174" s="129"/>
      <c r="L174" s="1914"/>
      <c r="M174" s="452"/>
      <c r="N174" s="129"/>
      <c r="O174" s="502"/>
      <c r="P174" s="94"/>
      <c r="Q174" s="94"/>
      <c r="R174" s="94"/>
      <c r="S174" s="94"/>
      <c r="T174" s="94"/>
      <c r="U174" s="94"/>
      <c r="V174" s="94"/>
      <c r="W174" s="94"/>
      <c r="X174" s="94"/>
      <c r="Z174" s="134"/>
      <c r="AB174" s="134"/>
      <c r="AC174" s="134"/>
      <c r="AD174" s="134"/>
      <c r="AE174" s="134"/>
      <c r="AF174" s="134"/>
      <c r="AG174" s="134"/>
      <c r="AH174" s="134"/>
      <c r="AI174" s="134"/>
      <c r="AJ174" s="134"/>
      <c r="AK174" s="134"/>
      <c r="AL174" s="134"/>
      <c r="AM174" s="134"/>
      <c r="AN174" s="134"/>
      <c r="AO174" s="134"/>
      <c r="AP174" s="134"/>
      <c r="AQ174" s="134"/>
      <c r="AX174"/>
      <c r="AY174"/>
    </row>
    <row r="175" spans="1:61" x14ac:dyDescent="0.25">
      <c r="B175" s="680" t="s">
        <v>4384</v>
      </c>
      <c r="C175" s="740"/>
      <c r="D175" s="740"/>
      <c r="E175" s="740"/>
      <c r="F175" s="740"/>
      <c r="G175" s="740"/>
      <c r="H175" s="762"/>
      <c r="I175" s="130" t="s">
        <v>4384</v>
      </c>
      <c r="J175" s="480"/>
      <c r="K175" s="129"/>
      <c r="L175" s="523" t="s">
        <v>4385</v>
      </c>
      <c r="M175" s="452"/>
      <c r="N175" s="129"/>
      <c r="O175" s="502">
        <f ca="1">IFERROR(INDEX({5,5,10,15,25},MATCH(W175,INDIRECT(U175),0)),0)*S175</f>
        <v>0</v>
      </c>
      <c r="P175" s="94" t="b">
        <v>0</v>
      </c>
      <c r="Q175" s="633" t="b">
        <v>1</v>
      </c>
      <c r="R175" s="94" t="b">
        <v>0</v>
      </c>
      <c r="S175" s="94" t="b">
        <f ca="1">S14=2</f>
        <v>0</v>
      </c>
      <c r="T175" s="94" t="b">
        <f ca="1">IF(AND(NOT(S175),LEN(W175)&gt;0),TRUE,FALSE)</f>
        <v>0</v>
      </c>
      <c r="U175" s="94" t="str">
        <f>SUBSTITUTE(SUBSTITUTE(SUBSTITUTE("dd"&amp;B175&amp;C175&amp;D175&amp;E175&amp;F175,".","_"),"(","_"),")","")</f>
        <v>dd802_7_1</v>
      </c>
      <c r="V175" s="94"/>
      <c r="W175" s="109"/>
      <c r="X175" s="1770"/>
      <c r="AC175" s="353" t="b">
        <f ca="1">OR(AD175:AE175)</f>
        <v>0</v>
      </c>
      <c r="AD175" s="353" t="b">
        <f ca="1">T175</f>
        <v>0</v>
      </c>
      <c r="AN175" s="254" t="str">
        <f>SUBSTITUTE(SUBSTITUTE(SUBSTITUTE("dpc"&amp;$B175&amp;$C175&amp;$D175&amp;$E175,".","_"),"(","_"),")","")</f>
        <v>dpc802_7_1</v>
      </c>
      <c r="AO175" s="254">
        <f ca="1">O175</f>
        <v>0</v>
      </c>
      <c r="AP175" s="254" t="str">
        <f>SUBSTITUTE(SUBSTITUTE(SUBSTITUTE("dch"&amp;$B175&amp;$C175&amp;$D175&amp;$E175,".","_"),"(","_"),")","")</f>
        <v>dch802_7_1</v>
      </c>
      <c r="AQ175" s="254" t="str">
        <f>IF(LEN(W175)=0,"",W175)</f>
        <v/>
      </c>
      <c r="AR175" s="254" t="str">
        <f>SUBSTITUTE(SUBSTITUTE(SUBSTITUTE("dnt"&amp;$B175&amp;$C175&amp;$D175&amp;$E175,".","_"),"(","_"),")","")</f>
        <v>dnt802_7_1</v>
      </c>
      <c r="AS175" s="254" t="str">
        <f>IF(LEN(X175)=0,"",X175)</f>
        <v/>
      </c>
      <c r="AX175"/>
      <c r="AY175"/>
    </row>
    <row r="176" spans="1:61" x14ac:dyDescent="0.25">
      <c r="B176" s="680" t="s">
        <v>4384</v>
      </c>
      <c r="C176" s="21" t="s">
        <v>256</v>
      </c>
      <c r="D176" s="21"/>
      <c r="E176" s="21"/>
      <c r="F176" s="758"/>
      <c r="G176" s="21"/>
      <c r="H176" s="758"/>
      <c r="I176" s="130"/>
      <c r="J176" s="910" t="s">
        <v>256</v>
      </c>
      <c r="K176" s="210"/>
      <c r="L176" s="449" t="s">
        <v>800</v>
      </c>
      <c r="M176" s="453">
        <v>5</v>
      </c>
      <c r="N176" s="129"/>
      <c r="O176" s="502"/>
      <c r="P176" s="94"/>
      <c r="Q176" s="94"/>
      <c r="R176" s="94"/>
      <c r="S176" s="94"/>
      <c r="T176" s="94"/>
      <c r="U176" s="94"/>
      <c r="V176" s="94"/>
      <c r="W176" s="94"/>
      <c r="X176" s="1770"/>
      <c r="AL176" s="254" t="str">
        <f>SUBSTITUTE(SUBSTITUTE(SUBSTITUTE("dpa"&amp;$B176&amp;$C176&amp;$D176&amp;$E176,".","_"),"(","_"),")","")</f>
        <v>dpa802_7_1_1</v>
      </c>
      <c r="AM176" s="254">
        <f>M176</f>
        <v>5</v>
      </c>
      <c r="AX176"/>
      <c r="AY176"/>
    </row>
    <row r="177" spans="1:61" x14ac:dyDescent="0.25">
      <c r="B177" s="680" t="s">
        <v>4384</v>
      </c>
      <c r="C177" s="21" t="s">
        <v>258</v>
      </c>
      <c r="D177" s="21"/>
      <c r="E177" s="21"/>
      <c r="F177" s="758"/>
      <c r="G177" s="21"/>
      <c r="H177" s="758"/>
      <c r="I177" s="130"/>
      <c r="J177" s="907" t="s">
        <v>258</v>
      </c>
      <c r="K177" s="129"/>
      <c r="L177" s="1754" t="s">
        <v>801</v>
      </c>
      <c r="M177" s="452"/>
      <c r="N177" s="129"/>
      <c r="O177" s="502"/>
      <c r="P177" s="94"/>
      <c r="Q177" s="94"/>
      <c r="R177" s="94"/>
      <c r="S177" s="94"/>
      <c r="T177" s="94"/>
      <c r="U177" s="94"/>
      <c r="V177" s="94"/>
      <c r="W177" s="94"/>
      <c r="X177" s="1770"/>
      <c r="AX177"/>
      <c r="AY177"/>
    </row>
    <row r="178" spans="1:61" x14ac:dyDescent="0.25">
      <c r="B178" s="680" t="s">
        <v>4384</v>
      </c>
      <c r="C178" s="21" t="s">
        <v>258</v>
      </c>
      <c r="D178" s="21"/>
      <c r="E178" s="21"/>
      <c r="F178" s="758"/>
      <c r="G178" s="21"/>
      <c r="H178" s="758"/>
      <c r="I178" s="130"/>
      <c r="J178" s="480"/>
      <c r="K178" s="129"/>
      <c r="L178" s="1754"/>
      <c r="M178" s="452"/>
      <c r="N178" s="129"/>
      <c r="O178" s="502"/>
      <c r="P178" s="94"/>
      <c r="Q178" s="94"/>
      <c r="R178" s="94"/>
      <c r="S178" s="94"/>
      <c r="T178" s="94"/>
      <c r="U178" s="94"/>
      <c r="V178" s="94"/>
      <c r="W178" s="94"/>
      <c r="X178" s="1770"/>
      <c r="AX178"/>
      <c r="AY178"/>
    </row>
    <row r="179" spans="1:61" x14ac:dyDescent="0.25">
      <c r="B179" s="680" t="s">
        <v>4384</v>
      </c>
      <c r="C179" s="21" t="s">
        <v>258</v>
      </c>
      <c r="D179" s="21" t="s">
        <v>121</v>
      </c>
      <c r="E179" s="21"/>
      <c r="F179" s="758"/>
      <c r="G179" s="21"/>
      <c r="H179" s="758"/>
      <c r="I179" s="129"/>
      <c r="J179" s="480"/>
      <c r="K179" s="206" t="s">
        <v>121</v>
      </c>
      <c r="L179" s="449" t="s">
        <v>802</v>
      </c>
      <c r="M179" s="453">
        <v>5</v>
      </c>
      <c r="N179" s="129"/>
      <c r="O179" s="502"/>
      <c r="P179" s="94"/>
      <c r="Q179" s="94"/>
      <c r="R179" s="94"/>
      <c r="S179" s="94"/>
      <c r="T179" s="94"/>
      <c r="U179" s="94"/>
      <c r="V179" s="94"/>
      <c r="W179" s="94"/>
      <c r="X179" s="1770"/>
      <c r="AL179" s="254" t="str">
        <f>SUBSTITUTE(SUBSTITUTE(SUBSTITUTE("dpa"&amp;$B179&amp;$C179&amp;$D179&amp;$E179,".","_"),"(","_"),")","")</f>
        <v>dpa802_7_1_2_a</v>
      </c>
      <c r="AM179" s="254">
        <f>M179</f>
        <v>5</v>
      </c>
      <c r="AX179"/>
      <c r="AY179"/>
    </row>
    <row r="180" spans="1:61" x14ac:dyDescent="0.25">
      <c r="B180" s="680" t="s">
        <v>4384</v>
      </c>
      <c r="C180" s="21" t="s">
        <v>258</v>
      </c>
      <c r="D180" s="21" t="s">
        <v>122</v>
      </c>
      <c r="E180" s="21"/>
      <c r="F180" s="758"/>
      <c r="G180" s="21"/>
      <c r="H180" s="758"/>
      <c r="I180" s="129"/>
      <c r="J180" s="480"/>
      <c r="K180" s="206" t="s">
        <v>122</v>
      </c>
      <c r="L180" s="449" t="s">
        <v>803</v>
      </c>
      <c r="M180" s="453">
        <v>10</v>
      </c>
      <c r="N180" s="129"/>
      <c r="O180" s="502"/>
      <c r="P180" s="94"/>
      <c r="Q180" s="94"/>
      <c r="R180" s="94"/>
      <c r="S180" s="94"/>
      <c r="T180" s="94"/>
      <c r="U180" s="94"/>
      <c r="V180" s="94"/>
      <c r="W180" s="94"/>
      <c r="X180" s="1770"/>
      <c r="AL180" s="254" t="str">
        <f>SUBSTITUTE(SUBSTITUTE(SUBSTITUTE("dpa"&amp;$B180&amp;$C180&amp;$D180&amp;$E180,".","_"),"(","_"),")","")</f>
        <v>dpa802_7_1_2_b</v>
      </c>
      <c r="AM180" s="254">
        <f>M180</f>
        <v>10</v>
      </c>
      <c r="AX180"/>
      <c r="AY180"/>
      <c r="AZ180" s="353"/>
      <c r="BA180" s="353"/>
      <c r="BB180" s="353"/>
      <c r="BC180" s="353"/>
      <c r="BD180" s="353"/>
      <c r="BE180" s="353"/>
      <c r="BF180" s="353"/>
      <c r="BG180" s="353"/>
      <c r="BH180" s="353"/>
      <c r="BI180" s="353"/>
    </row>
    <row r="181" spans="1:61" x14ac:dyDescent="0.25">
      <c r="B181" s="680" t="s">
        <v>4384</v>
      </c>
      <c r="C181" s="21" t="s">
        <v>258</v>
      </c>
      <c r="D181" s="21" t="s">
        <v>123</v>
      </c>
      <c r="E181" s="21"/>
      <c r="F181" s="758"/>
      <c r="G181" s="21"/>
      <c r="H181" s="758"/>
      <c r="I181" s="129"/>
      <c r="J181" s="480"/>
      <c r="K181" s="183" t="s">
        <v>123</v>
      </c>
      <c r="L181" s="1754" t="s">
        <v>804</v>
      </c>
      <c r="M181" s="1758">
        <v>15</v>
      </c>
      <c r="N181" s="129"/>
      <c r="O181" s="502"/>
      <c r="P181" s="94"/>
      <c r="Q181" s="94"/>
      <c r="R181" s="94"/>
      <c r="S181" s="94"/>
      <c r="T181" s="94"/>
      <c r="U181" s="94"/>
      <c r="V181" s="94"/>
      <c r="W181" s="94"/>
      <c r="X181" s="1770"/>
      <c r="AL181" s="254" t="str">
        <f>SUBSTITUTE(SUBSTITUTE(SUBSTITUTE("dpa"&amp;$B181&amp;$C181&amp;$D181&amp;$E181,".","_"),"(","_"),")","")</f>
        <v>dpa802_7_1_2_c</v>
      </c>
      <c r="AM181" s="254">
        <f>M181</f>
        <v>15</v>
      </c>
      <c r="AX181"/>
      <c r="AY181"/>
    </row>
    <row r="182" spans="1:61" x14ac:dyDescent="0.25">
      <c r="B182" s="680" t="s">
        <v>4384</v>
      </c>
      <c r="C182" s="21" t="s">
        <v>258</v>
      </c>
      <c r="D182" s="21" t="s">
        <v>123</v>
      </c>
      <c r="E182" s="21"/>
      <c r="F182" s="758"/>
      <c r="G182" s="21"/>
      <c r="H182" s="758"/>
      <c r="I182" s="129"/>
      <c r="J182" s="480"/>
      <c r="K182" s="210"/>
      <c r="L182" s="1755"/>
      <c r="M182" s="1759"/>
      <c r="N182" s="129"/>
      <c r="O182" s="502"/>
      <c r="P182" s="94"/>
      <c r="Q182" s="94"/>
      <c r="R182" s="94"/>
      <c r="S182" s="94"/>
      <c r="T182" s="94"/>
      <c r="U182" s="94"/>
      <c r="V182" s="94"/>
      <c r="W182" s="94"/>
      <c r="X182" s="1770"/>
      <c r="AX182"/>
      <c r="AY182"/>
    </row>
    <row r="183" spans="1:61" x14ac:dyDescent="0.25">
      <c r="B183" s="680" t="s">
        <v>4384</v>
      </c>
      <c r="C183" s="21" t="s">
        <v>258</v>
      </c>
      <c r="D183" s="21" t="s">
        <v>401</v>
      </c>
      <c r="E183" s="21"/>
      <c r="F183" s="758"/>
      <c r="G183" s="21"/>
      <c r="H183" s="758"/>
      <c r="I183" s="129"/>
      <c r="J183" s="480"/>
      <c r="K183" s="183" t="s">
        <v>401</v>
      </c>
      <c r="L183" s="1754" t="s">
        <v>805</v>
      </c>
      <c r="M183" s="1758">
        <v>25</v>
      </c>
      <c r="N183" s="129"/>
      <c r="O183" s="502"/>
      <c r="P183" s="94"/>
      <c r="Q183" s="94"/>
      <c r="R183" s="94"/>
      <c r="S183" s="94"/>
      <c r="T183" s="94"/>
      <c r="U183" s="94"/>
      <c r="V183" s="94"/>
      <c r="W183" s="94"/>
      <c r="X183" s="1770"/>
      <c r="AL183" s="254" t="str">
        <f>SUBSTITUTE(SUBSTITUTE(SUBSTITUTE("dpa"&amp;$B183&amp;$C183&amp;$D183&amp;$E183,".","_"),"(","_"),")","")</f>
        <v>dpa802_7_1_2_d</v>
      </c>
      <c r="AM183" s="254">
        <f>M183</f>
        <v>25</v>
      </c>
      <c r="AX183"/>
      <c r="AY183"/>
    </row>
    <row r="184" spans="1:61" ht="15" customHeight="1" x14ac:dyDescent="0.25">
      <c r="B184" s="680" t="s">
        <v>4384</v>
      </c>
      <c r="C184" s="21" t="s">
        <v>258</v>
      </c>
      <c r="D184" s="21" t="s">
        <v>401</v>
      </c>
      <c r="E184" s="21"/>
      <c r="F184" s="758"/>
      <c r="G184" s="21"/>
      <c r="H184" s="758"/>
      <c r="I184" s="130"/>
      <c r="J184" s="480"/>
      <c r="K184" s="129"/>
      <c r="L184" s="1754"/>
      <c r="M184" s="1758"/>
      <c r="N184" s="129"/>
      <c r="O184" s="502"/>
      <c r="P184" s="94"/>
      <c r="Q184" s="94"/>
      <c r="R184" s="94"/>
      <c r="S184" s="94"/>
      <c r="T184" s="94"/>
      <c r="U184" s="94"/>
      <c r="V184" s="94"/>
      <c r="W184" s="94"/>
      <c r="X184" s="1770"/>
    </row>
    <row r="185" spans="1:61" x14ac:dyDescent="0.25">
      <c r="B185" s="680" t="s">
        <v>4384</v>
      </c>
      <c r="C185" s="21" t="s">
        <v>258</v>
      </c>
      <c r="D185" s="21" t="s">
        <v>401</v>
      </c>
      <c r="E185" s="21"/>
      <c r="F185" s="758"/>
      <c r="G185" s="21"/>
      <c r="H185" s="758"/>
      <c r="I185" s="215"/>
      <c r="J185" s="524"/>
      <c r="K185" s="210"/>
      <c r="L185" s="1755"/>
      <c r="M185" s="1759"/>
      <c r="N185" s="210"/>
      <c r="O185" s="503"/>
      <c r="P185" s="178"/>
      <c r="Q185" s="178"/>
      <c r="R185" s="178"/>
      <c r="S185" s="178"/>
      <c r="T185" s="178"/>
      <c r="U185" s="178"/>
      <c r="V185" s="178"/>
      <c r="W185" s="178"/>
      <c r="X185" s="1770"/>
    </row>
    <row r="186" spans="1:61" x14ac:dyDescent="0.25">
      <c r="B186" s="679" t="s">
        <v>4386</v>
      </c>
      <c r="C186" s="21"/>
      <c r="D186" s="21"/>
      <c r="E186" s="21"/>
      <c r="F186" s="758"/>
      <c r="G186" s="21"/>
      <c r="H186" s="758"/>
      <c r="I186" s="64" t="s">
        <v>4386</v>
      </c>
      <c r="J186" s="164"/>
      <c r="K186" s="4"/>
      <c r="L186" s="1796" t="s">
        <v>4387</v>
      </c>
      <c r="M186" s="428"/>
      <c r="N186" s="4"/>
      <c r="O186" s="1780">
        <f ca="1">MAX(IFERROR(5*MATCH(W189,INDIRECT(U189),0),0)*S189,M191*S191*W191)*S189</f>
        <v>0</v>
      </c>
      <c r="AN186" s="254" t="str">
        <f>SUBSTITUTE(SUBSTITUTE(SUBSTITUTE("dpc"&amp;$B186&amp;$C186&amp;$D186&amp;$E186,".","_"),"(","_"),")","")</f>
        <v>dpc802_7_2</v>
      </c>
      <c r="AO186" s="254">
        <f ca="1">O186</f>
        <v>0</v>
      </c>
      <c r="AZ186"/>
      <c r="BA186"/>
      <c r="BB186"/>
      <c r="BC186"/>
      <c r="BD186"/>
      <c r="BE186"/>
      <c r="BF186"/>
      <c r="BG186"/>
      <c r="BH186"/>
      <c r="BI186"/>
    </row>
    <row r="187" spans="1:61" x14ac:dyDescent="0.25">
      <c r="B187" s="679" t="s">
        <v>4386</v>
      </c>
      <c r="C187" s="21"/>
      <c r="D187" s="21"/>
      <c r="E187" s="21"/>
      <c r="F187" s="758"/>
      <c r="G187" s="21"/>
      <c r="H187" s="758"/>
      <c r="I187" s="64"/>
      <c r="J187" s="164"/>
      <c r="K187" s="4"/>
      <c r="L187" s="1796"/>
      <c r="M187" s="428"/>
      <c r="N187" s="4"/>
      <c r="O187" s="1780"/>
      <c r="AZ187"/>
      <c r="BA187"/>
      <c r="BB187"/>
      <c r="BC187"/>
      <c r="BD187"/>
      <c r="BE187"/>
      <c r="BF187"/>
      <c r="BG187"/>
      <c r="BH187"/>
      <c r="BI187"/>
    </row>
    <row r="188" spans="1:61" s="353" customFormat="1" x14ac:dyDescent="0.25">
      <c r="A188" s="18"/>
      <c r="B188" s="679" t="s">
        <v>4386</v>
      </c>
      <c r="C188" s="21"/>
      <c r="D188" s="21"/>
      <c r="E188" s="21"/>
      <c r="F188" s="758"/>
      <c r="G188" s="21"/>
      <c r="H188" s="758"/>
      <c r="I188" s="64"/>
      <c r="J188" s="164"/>
      <c r="K188" s="4"/>
      <c r="L188" s="1796"/>
      <c r="M188" s="428"/>
      <c r="N188" s="4"/>
      <c r="O188" s="1780"/>
      <c r="Y188" s="780"/>
      <c r="AA188" s="783"/>
      <c r="AX188" s="76"/>
      <c r="AY188" s="76"/>
      <c r="AZ188"/>
      <c r="BA188"/>
      <c r="BB188"/>
      <c r="BC188"/>
      <c r="BD188"/>
      <c r="BE188"/>
      <c r="BF188"/>
      <c r="BG188"/>
      <c r="BH188"/>
      <c r="BI188"/>
    </row>
    <row r="189" spans="1:61" ht="15" customHeight="1" x14ac:dyDescent="0.25">
      <c r="B189" s="679" t="s">
        <v>4386</v>
      </c>
      <c r="C189" s="21" t="s">
        <v>256</v>
      </c>
      <c r="D189" s="21"/>
      <c r="E189" s="21"/>
      <c r="F189" s="758"/>
      <c r="G189" s="21"/>
      <c r="H189" s="758"/>
      <c r="I189" s="64"/>
      <c r="J189" s="907" t="s">
        <v>256</v>
      </c>
      <c r="K189" s="129"/>
      <c r="L189" s="356" t="s">
        <v>806</v>
      </c>
      <c r="M189" s="1788" t="s">
        <v>3608</v>
      </c>
      <c r="N189" s="4"/>
      <c r="O189" s="141"/>
      <c r="P189" s="94" t="b">
        <v>0</v>
      </c>
      <c r="Q189" s="633" t="b">
        <v>1</v>
      </c>
      <c r="R189" s="353" t="b">
        <v>0</v>
      </c>
      <c r="S189" s="816" t="b">
        <f ca="1">S14=2</f>
        <v>0</v>
      </c>
      <c r="T189" s="94" t="b">
        <f ca="1">IF(AND(NOT(S189),LEN(W189)&gt;0),TRUE,FALSE)</f>
        <v>0</v>
      </c>
      <c r="U189" s="94" t="str">
        <f>SUBSTITUTE(SUBSTITUTE(SUBSTITUTE("dd"&amp;B189&amp;C189&amp;D189&amp;E189&amp;F189,".","_"),"(","_"),")","")</f>
        <v>dd802_7_2_1</v>
      </c>
      <c r="W189" s="12"/>
      <c r="X189" s="1757"/>
      <c r="AC189" s="353" t="b">
        <f ca="1">OR(AD189:AE189)</f>
        <v>0</v>
      </c>
      <c r="AD189" s="353" t="b">
        <f ca="1">T189</f>
        <v>0</v>
      </c>
      <c r="AL189" s="254" t="str">
        <f>SUBSTITUTE(SUBSTITUTE(SUBSTITUTE("dpa"&amp;$B189&amp;$C189&amp;$D189&amp;$E189,".","_"),"(","_"),")","")</f>
        <v>dpa802_7_2_1</v>
      </c>
      <c r="AM189" s="254" t="str">
        <f>M189</f>
        <v>5
15 Max</v>
      </c>
      <c r="AP189" s="254" t="str">
        <f>SUBSTITUTE(SUBSTITUTE(SUBSTITUTE("dch"&amp;$B189&amp;$C189&amp;$D189&amp;$E189,".","_"),"(","_"),")","")</f>
        <v>dch802_7_2_1</v>
      </c>
      <c r="AQ189" s="254" t="str">
        <f>IF(LEN(W189)=0,"",W189)</f>
        <v/>
      </c>
      <c r="AR189" s="254" t="str">
        <f>SUBSTITUTE(SUBSTITUTE(SUBSTITUTE("dnt"&amp;$B189&amp;$C189&amp;$D189&amp;$E189,".","_"),"(","_"),")","")</f>
        <v>dnt802_7_2_1</v>
      </c>
      <c r="AS189" s="254" t="str">
        <f>IF(LEN(X189)=0,"",X189)</f>
        <v/>
      </c>
      <c r="AZ189"/>
      <c r="BA189"/>
      <c r="BB189"/>
      <c r="BC189"/>
      <c r="BD189"/>
      <c r="BE189"/>
      <c r="BF189"/>
      <c r="BG189"/>
      <c r="BH189"/>
      <c r="BI189"/>
    </row>
    <row r="190" spans="1:61" x14ac:dyDescent="0.25">
      <c r="B190" s="679" t="s">
        <v>4386</v>
      </c>
      <c r="C190" s="21" t="s">
        <v>256</v>
      </c>
      <c r="D190" s="21"/>
      <c r="E190" s="21"/>
      <c r="F190" s="758"/>
      <c r="G190" s="21"/>
      <c r="H190" s="758"/>
      <c r="I190" s="64"/>
      <c r="J190" s="524"/>
      <c r="K190" s="210"/>
      <c r="L190" s="220" t="s">
        <v>807</v>
      </c>
      <c r="M190" s="1759"/>
      <c r="N190" s="4"/>
      <c r="O190" s="141"/>
      <c r="X190" s="1757"/>
      <c r="AZ190"/>
      <c r="BA190"/>
      <c r="BB190"/>
      <c r="BC190"/>
      <c r="BD190"/>
      <c r="BE190"/>
      <c r="BF190"/>
      <c r="BG190"/>
      <c r="BH190"/>
      <c r="BI190"/>
    </row>
    <row r="191" spans="1:61" ht="15.75" thickBot="1" x14ac:dyDescent="0.3">
      <c r="B191" s="679" t="s">
        <v>4386</v>
      </c>
      <c r="C191" s="21" t="s">
        <v>258</v>
      </c>
      <c r="D191" s="21"/>
      <c r="E191" s="21"/>
      <c r="F191" s="758"/>
      <c r="G191" s="21"/>
      <c r="H191" s="758"/>
      <c r="I191" s="189"/>
      <c r="J191" s="359" t="s">
        <v>258</v>
      </c>
      <c r="K191" s="240"/>
      <c r="L191" s="358" t="s">
        <v>808</v>
      </c>
      <c r="M191" s="429">
        <v>25</v>
      </c>
      <c r="N191" s="240"/>
      <c r="O191" s="241"/>
      <c r="P191" s="94" t="b">
        <v>0</v>
      </c>
      <c r="Q191" s="633" t="b">
        <v>1</v>
      </c>
      <c r="R191" s="99" t="b">
        <v>0</v>
      </c>
      <c r="S191" s="99" t="b">
        <f ca="1">S14=2</f>
        <v>0</v>
      </c>
      <c r="T191" s="94" t="b">
        <f ca="1">IF(AND(NOT(S191),W191=TRUE),TRUE,FALSE)</f>
        <v>0</v>
      </c>
      <c r="U191" s="99"/>
      <c r="V191" s="99"/>
      <c r="W191" s="100"/>
      <c r="X191" s="355"/>
      <c r="AC191" s="353" t="b">
        <f ca="1">OR(AD191:AE191)</f>
        <v>0</v>
      </c>
      <c r="AD191" s="353" t="b">
        <f ca="1">T191</f>
        <v>0</v>
      </c>
      <c r="AE191" s="353"/>
      <c r="AL191" s="254" t="str">
        <f>SUBSTITUTE(SUBSTITUTE(SUBSTITUTE("dpa"&amp;$B191&amp;$C191&amp;$D191&amp;$E191,".","_"),"(","_"),")","")</f>
        <v>dpa802_7_2_2</v>
      </c>
      <c r="AM191" s="254">
        <f>M191</f>
        <v>25</v>
      </c>
      <c r="AP191" s="254" t="str">
        <f>SUBSTITUTE(SUBSTITUTE(SUBSTITUTE("dch"&amp;$B191&amp;$C191&amp;$D191&amp;$E191,".","_"),"(","_"),")","")</f>
        <v>dch802_7_2_2</v>
      </c>
      <c r="AQ191" s="254" t="str">
        <f>IF(LEN(W191)=0,"",W191)</f>
        <v/>
      </c>
      <c r="AR191" s="254" t="str">
        <f>SUBSTITUTE(SUBSTITUTE(SUBSTITUTE("dnt"&amp;$B191&amp;$C191&amp;$D191&amp;$E191,".","_"),"(","_"),")","")</f>
        <v>dnt802_7_2_2</v>
      </c>
      <c r="AS191" s="254" t="str">
        <f>IF(LEN(X191)=0,"",X191)</f>
        <v/>
      </c>
      <c r="AZ191"/>
      <c r="BA191"/>
      <c r="BB191"/>
      <c r="BC191"/>
      <c r="BD191"/>
      <c r="BE191"/>
      <c r="BF191"/>
      <c r="BG191"/>
      <c r="BH191"/>
      <c r="BI191"/>
    </row>
    <row r="192" spans="1:61" ht="15.75" thickTop="1" x14ac:dyDescent="0.25">
      <c r="B192" s="679">
        <v>802.8</v>
      </c>
      <c r="C192" s="21"/>
      <c r="D192" s="21"/>
      <c r="E192" s="21"/>
      <c r="F192" s="21"/>
      <c r="G192" s="21"/>
      <c r="H192" s="758"/>
      <c r="I192" s="907">
        <v>802.8</v>
      </c>
      <c r="J192" s="957"/>
      <c r="K192" s="129"/>
      <c r="L192" s="1782" t="s">
        <v>4461</v>
      </c>
      <c r="M192" s="1772">
        <v>1</v>
      </c>
      <c r="N192" s="129"/>
      <c r="O192" s="1773">
        <f ca="1">M192*S192*W192</f>
        <v>0</v>
      </c>
      <c r="P192" s="94" t="b">
        <v>0</v>
      </c>
      <c r="Q192" s="94" t="b">
        <v>1</v>
      </c>
      <c r="R192" s="94" t="b">
        <v>0</v>
      </c>
      <c r="S192" s="94" t="b">
        <f ca="1">S14=2</f>
        <v>0</v>
      </c>
      <c r="T192" s="94" t="b">
        <f ca="1">IF(AND(NOT(S192),W192=TRUE),TRUE,FALSE)</f>
        <v>0</v>
      </c>
      <c r="U192" s="94"/>
      <c r="V192" s="94"/>
      <c r="W192" s="117"/>
      <c r="X192" s="1756"/>
      <c r="AC192" s="353" t="b">
        <f ca="1">OR(AD192:AE192)</f>
        <v>0</v>
      </c>
      <c r="AD192" s="353" t="b">
        <f ca="1">T192</f>
        <v>0</v>
      </c>
      <c r="AE192" s="353"/>
      <c r="AL192" s="254" t="str">
        <f>SUBSTITUTE(SUBSTITUTE(SUBSTITUTE("dpa"&amp;$B192&amp;$C192&amp;$D192&amp;$E192,".","_"),"(","_"),")","")</f>
        <v>dpa802_8</v>
      </c>
      <c r="AM192" s="254">
        <f>M192</f>
        <v>1</v>
      </c>
      <c r="AN192" s="254" t="str">
        <f>SUBSTITUTE(SUBSTITUTE(SUBSTITUTE("dpc"&amp;$B192&amp;$C192&amp;$D192&amp;$E192,".","_"),"(","_"),")","")</f>
        <v>dpc802_8</v>
      </c>
      <c r="AO192" s="254">
        <f ca="1">O192</f>
        <v>0</v>
      </c>
      <c r="AP192" s="254" t="str">
        <f>SUBSTITUTE(SUBSTITUTE(SUBSTITUTE("dch"&amp;$B192&amp;$C192&amp;$D192&amp;$E192,".","_"),"(","_"),")","")</f>
        <v>dch802_8</v>
      </c>
      <c r="AQ192" s="254" t="str">
        <f>IF(LEN(W192)=0,"",W192)</f>
        <v/>
      </c>
      <c r="AR192" s="254" t="str">
        <f>SUBSTITUTE(SUBSTITUTE(SUBSTITUTE("dnt"&amp;$B192&amp;$C192&amp;$D192&amp;$E192,".","_"),"(","_"),")","")</f>
        <v>dnt802_8</v>
      </c>
      <c r="AS192" s="254" t="str">
        <f>IF(LEN(X192)=0,"",X192)</f>
        <v/>
      </c>
      <c r="AZ192"/>
      <c r="BA192"/>
      <c r="BB192"/>
      <c r="BC192"/>
      <c r="BD192"/>
      <c r="BE192"/>
      <c r="BF192"/>
      <c r="BG192"/>
      <c r="BH192"/>
      <c r="BI192"/>
    </row>
    <row r="193" spans="2:61" ht="15.75" thickBot="1" x14ac:dyDescent="0.3">
      <c r="B193" s="679">
        <v>802.8</v>
      </c>
      <c r="C193" s="21"/>
      <c r="D193" s="21"/>
      <c r="E193" s="21"/>
      <c r="F193" s="21"/>
      <c r="G193" s="21"/>
      <c r="H193" s="758"/>
      <c r="I193" s="359"/>
      <c r="J193" s="958"/>
      <c r="K193" s="240"/>
      <c r="L193" s="1797"/>
      <c r="M193" s="1768"/>
      <c r="N193" s="240"/>
      <c r="O193" s="1775"/>
      <c r="P193" s="99"/>
      <c r="Q193" s="99"/>
      <c r="R193" s="99"/>
      <c r="S193" s="99"/>
      <c r="T193" s="99"/>
      <c r="U193" s="99"/>
      <c r="V193" s="99"/>
      <c r="W193" s="99"/>
      <c r="X193" s="1771"/>
      <c r="AZ193"/>
      <c r="BA193"/>
      <c r="BB193"/>
      <c r="BC193"/>
      <c r="BD193"/>
      <c r="BE193"/>
      <c r="BF193"/>
      <c r="BG193"/>
      <c r="BH193"/>
      <c r="BI193"/>
    </row>
    <row r="194" spans="2:61" customFormat="1" ht="15.75" thickTop="1" x14ac:dyDescent="0.25">
      <c r="B194" s="909">
        <v>802.9</v>
      </c>
      <c r="E194" s="845"/>
      <c r="I194" s="959">
        <v>802.9</v>
      </c>
      <c r="J194" s="862"/>
      <c r="K194" s="845"/>
      <c r="L194" s="889" t="s">
        <v>4462</v>
      </c>
      <c r="M194" s="871"/>
      <c r="N194" s="181"/>
      <c r="O194" s="873"/>
      <c r="AX194" s="76"/>
      <c r="AY194" s="76"/>
    </row>
    <row r="195" spans="2:61" customFormat="1" ht="15" customHeight="1" x14ac:dyDescent="0.25">
      <c r="B195" s="909" t="s">
        <v>4463</v>
      </c>
      <c r="E195" s="845"/>
      <c r="I195" s="959" t="s">
        <v>4463</v>
      </c>
      <c r="J195" s="862"/>
      <c r="K195" s="845"/>
      <c r="L195" s="1796" t="s">
        <v>4464</v>
      </c>
      <c r="M195" s="872"/>
      <c r="N195" s="4"/>
      <c r="O195" s="1780">
        <f ca="1">IFERROR(INDEX({5,2},MATCH(W195,INDIRECT(U195),0)),0)*S195</f>
        <v>0</v>
      </c>
      <c r="P195" s="868" t="b">
        <v>0</v>
      </c>
      <c r="Q195" s="868" t="b">
        <v>1</v>
      </c>
      <c r="R195" s="868" t="b">
        <v>0</v>
      </c>
      <c r="S195" s="868" t="b">
        <f ca="1">S14=2</f>
        <v>0</v>
      </c>
      <c r="T195" s="868" t="b">
        <f ca="1">IF(AND(NOT(S195),LEN(W195)&gt;0),TRUE,FALSE)</f>
        <v>0</v>
      </c>
      <c r="U195" s="868" t="str">
        <f>SUBSTITUTE(SUBSTITUTE(SUBSTITUTE("dd"&amp;B195&amp;C195&amp;D195&amp;E195&amp;F195,".","_"),"(","_"),")","")</f>
        <v>dd802_9_1</v>
      </c>
      <c r="W195" s="12"/>
      <c r="X195" s="1757"/>
      <c r="AC195" s="868" t="b">
        <f ca="1">OR(AD195:AE195)</f>
        <v>0</v>
      </c>
      <c r="AD195" s="868" t="b">
        <f ca="1">T195</f>
        <v>0</v>
      </c>
      <c r="AN195" s="254" t="str">
        <f>SUBSTITUTE(SUBSTITUTE(SUBSTITUTE("dpc"&amp;$B195&amp;$C195&amp;$D195&amp;$E195,".","_"),"(","_"),")","")</f>
        <v>dpc802_9_1</v>
      </c>
      <c r="AO195" s="254">
        <f ca="1">O195</f>
        <v>0</v>
      </c>
      <c r="AP195" s="254" t="str">
        <f>SUBSTITUTE(SUBSTITUTE(SUBSTITUTE("dch"&amp;$B195&amp;$C195&amp;$D195&amp;$E195,".","_"),"(","_"),")","")</f>
        <v>dch802_9_1</v>
      </c>
      <c r="AQ195" s="254" t="str">
        <f>IF(LEN(W195)=0,"",W195)</f>
        <v/>
      </c>
      <c r="AR195" s="254" t="str">
        <f>SUBSTITUTE(SUBSTITUTE(SUBSTITUTE("dnt"&amp;$B195&amp;$C195&amp;$D195&amp;$E195,".","_"),"(","_"),")","")</f>
        <v>dnt802_9_1</v>
      </c>
      <c r="AS195" s="254" t="str">
        <f>IF(LEN(X195)=0,"",X195)</f>
        <v/>
      </c>
      <c r="AX195" s="76"/>
      <c r="AY195" s="76"/>
    </row>
    <row r="196" spans="2:61" customFormat="1" x14ac:dyDescent="0.25">
      <c r="B196" s="909" t="s">
        <v>4463</v>
      </c>
      <c r="E196" s="845"/>
      <c r="I196" s="959"/>
      <c r="J196" s="862"/>
      <c r="K196" s="845"/>
      <c r="L196" s="1796"/>
      <c r="M196" s="872"/>
      <c r="N196" s="4"/>
      <c r="O196" s="1780"/>
      <c r="X196" s="1757"/>
      <c r="AX196" s="76"/>
      <c r="AY196" s="76"/>
    </row>
    <row r="197" spans="2:61" customFormat="1" x14ac:dyDescent="0.25">
      <c r="B197" s="909" t="s">
        <v>4463</v>
      </c>
      <c r="E197" s="845"/>
      <c r="I197" s="959"/>
      <c r="J197" s="862"/>
      <c r="K197" s="845"/>
      <c r="L197" s="1796"/>
      <c r="M197" s="872"/>
      <c r="N197" s="4"/>
      <c r="O197" s="1780"/>
      <c r="X197" s="1757"/>
      <c r="AX197" s="76"/>
      <c r="AY197" s="76"/>
    </row>
    <row r="198" spans="2:61" customFormat="1" x14ac:dyDescent="0.25">
      <c r="B198" s="909" t="s">
        <v>4463</v>
      </c>
      <c r="E198" s="845"/>
      <c r="I198" s="959"/>
      <c r="J198" s="862"/>
      <c r="K198" s="845"/>
      <c r="L198" s="1796"/>
      <c r="M198" s="872"/>
      <c r="N198" s="4"/>
      <c r="O198" s="1780"/>
      <c r="X198" s="1757"/>
      <c r="AX198" s="76"/>
      <c r="AY198" s="76"/>
    </row>
    <row r="199" spans="2:61" customFormat="1" x14ac:dyDescent="0.25">
      <c r="B199" s="909" t="s">
        <v>4463</v>
      </c>
      <c r="E199" s="845"/>
      <c r="I199" s="959"/>
      <c r="J199" s="862"/>
      <c r="K199" s="845"/>
      <c r="L199" s="1796"/>
      <c r="M199" s="872"/>
      <c r="N199" s="4"/>
      <c r="O199" s="1780"/>
      <c r="X199" s="1757"/>
      <c r="AX199" s="76"/>
      <c r="AY199" s="76"/>
    </row>
    <row r="200" spans="2:61" customFormat="1" x14ac:dyDescent="0.25">
      <c r="B200" s="909" t="s">
        <v>4463</v>
      </c>
      <c r="E200" s="845"/>
      <c r="I200" s="959"/>
      <c r="J200" s="862"/>
      <c r="K200" s="845"/>
      <c r="L200" s="1796"/>
      <c r="M200" s="872"/>
      <c r="N200" s="4"/>
      <c r="O200" s="874"/>
      <c r="X200" s="1757"/>
      <c r="AX200" s="76"/>
      <c r="AY200" s="76"/>
    </row>
    <row r="201" spans="2:61" customFormat="1" x14ac:dyDescent="0.25">
      <c r="B201" s="909" t="s">
        <v>4463</v>
      </c>
      <c r="C201" s="845" t="s">
        <v>256</v>
      </c>
      <c r="D201" s="1129"/>
      <c r="E201" s="1129"/>
      <c r="I201" s="959"/>
      <c r="J201" s="863" t="s">
        <v>256</v>
      </c>
      <c r="K201" s="851"/>
      <c r="L201" s="881" t="s">
        <v>4465</v>
      </c>
      <c r="M201" s="875">
        <v>5</v>
      </c>
      <c r="N201" s="4"/>
      <c r="O201" s="874"/>
      <c r="X201" s="1757"/>
      <c r="AL201" s="254" t="str">
        <f>SUBSTITUTE(SUBSTITUTE(SUBSTITUTE("dpa"&amp;$B201&amp;$C201&amp;$D201&amp;$E201,".","_"),"(","_"),")","")</f>
        <v>dpa802_9_1_1</v>
      </c>
      <c r="AM201" s="254">
        <f>M201</f>
        <v>5</v>
      </c>
      <c r="AX201" s="76"/>
      <c r="AY201" s="76"/>
    </row>
    <row r="202" spans="2:61" customFormat="1" x14ac:dyDescent="0.25">
      <c r="B202" s="909" t="s">
        <v>4463</v>
      </c>
      <c r="C202" s="845" t="s">
        <v>258</v>
      </c>
      <c r="D202" s="1129"/>
      <c r="E202" s="1129"/>
      <c r="I202" s="962"/>
      <c r="J202" s="863" t="s">
        <v>258</v>
      </c>
      <c r="K202" s="851"/>
      <c r="L202" s="881" t="s">
        <v>4466</v>
      </c>
      <c r="M202" s="875">
        <v>2</v>
      </c>
      <c r="N202" s="210"/>
      <c r="O202" s="876"/>
      <c r="X202" s="1757"/>
      <c r="AL202" s="254" t="str">
        <f>SUBSTITUTE(SUBSTITUTE(SUBSTITUTE("dpa"&amp;$B202&amp;$C202&amp;$D202&amp;$E202,".","_"),"(","_"),")","")</f>
        <v>dpa802_9_1_2</v>
      </c>
      <c r="AM202" s="254">
        <f>M202</f>
        <v>2</v>
      </c>
      <c r="AX202" s="76"/>
      <c r="AY202" s="76"/>
    </row>
    <row r="203" spans="2:61" customFormat="1" ht="15" customHeight="1" x14ac:dyDescent="0.25">
      <c r="B203" s="909" t="s">
        <v>4467</v>
      </c>
      <c r="C203" s="845"/>
      <c r="D203" s="1129"/>
      <c r="E203" s="1129"/>
      <c r="I203" s="960" t="s">
        <v>4467</v>
      </c>
      <c r="J203" s="901"/>
      <c r="K203" s="850"/>
      <c r="L203" s="1782" t="s">
        <v>4468</v>
      </c>
      <c r="M203" s="94"/>
      <c r="N203" s="94"/>
      <c r="O203" s="1763">
        <f ca="1">IFERROR(INDEX({3,1},MATCH(W203,INDIRECT(U203),0)),0)*S203</f>
        <v>0</v>
      </c>
      <c r="P203" s="94" t="b">
        <v>0</v>
      </c>
      <c r="Q203" s="94" t="b">
        <v>1</v>
      </c>
      <c r="R203" s="94" t="b">
        <v>0</v>
      </c>
      <c r="S203" s="94" t="b">
        <f ca="1">S14=2</f>
        <v>0</v>
      </c>
      <c r="T203" s="94" t="b">
        <f ca="1">IF(AND(NOT(S203),LEN(W203)&gt;0),TRUE,FALSE)</f>
        <v>0</v>
      </c>
      <c r="U203" s="94" t="str">
        <f>SUBSTITUTE(SUBSTITUTE(SUBSTITUTE("dd"&amp;B203&amp;C203&amp;D203&amp;E203&amp;F203,".","_"),"(","_"),")","")</f>
        <v>dd802_9_2</v>
      </c>
      <c r="V203" s="94"/>
      <c r="W203" s="109"/>
      <c r="X203" s="1770"/>
      <c r="AC203" s="868" t="b">
        <f ca="1">OR(AD203:AE203)</f>
        <v>0</v>
      </c>
      <c r="AD203" s="868" t="b">
        <f ca="1">T203</f>
        <v>0</v>
      </c>
      <c r="AN203" s="254" t="str">
        <f>SUBSTITUTE(SUBSTITUTE(SUBSTITUTE("dpc"&amp;$B203&amp;$C203&amp;$D203&amp;$E203,".","_"),"(","_"),")","")</f>
        <v>dpc802_9_2</v>
      </c>
      <c r="AO203" s="254">
        <f ca="1">O203</f>
        <v>0</v>
      </c>
      <c r="AP203" s="254" t="str">
        <f>SUBSTITUTE(SUBSTITUTE(SUBSTITUTE("dch"&amp;$B203&amp;$C203&amp;$D203&amp;$E203,".","_"),"(","_"),")","")</f>
        <v>dch802_9_2</v>
      </c>
      <c r="AQ203" s="254" t="str">
        <f>IF(LEN(W203)=0,"",W203)</f>
        <v/>
      </c>
      <c r="AR203" s="254" t="str">
        <f>SUBSTITUTE(SUBSTITUTE(SUBSTITUTE("dnt"&amp;$B203&amp;$C203&amp;$D203&amp;$E203,".","_"),"(","_"),")","")</f>
        <v>dnt802_9_2</v>
      </c>
      <c r="AS203" s="254" t="str">
        <f>IF(LEN(X203)=0,"",X203)</f>
        <v/>
      </c>
      <c r="AX203" s="76"/>
      <c r="AY203" s="76"/>
    </row>
    <row r="204" spans="2:61" customFormat="1" x14ac:dyDescent="0.25">
      <c r="B204" s="909" t="s">
        <v>4467</v>
      </c>
      <c r="C204" s="845"/>
      <c r="D204" s="1129"/>
      <c r="E204" s="1129"/>
      <c r="I204" s="960"/>
      <c r="J204" s="901"/>
      <c r="K204" s="850"/>
      <c r="L204" s="1782"/>
      <c r="M204" s="94"/>
      <c r="N204" s="94"/>
      <c r="O204" s="1774"/>
      <c r="P204" s="94"/>
      <c r="Q204" s="94"/>
      <c r="R204" s="94"/>
      <c r="S204" s="94"/>
      <c r="T204" s="94"/>
      <c r="U204" s="94"/>
      <c r="V204" s="94"/>
      <c r="W204" s="94"/>
      <c r="X204" s="1770"/>
      <c r="AX204" s="76"/>
      <c r="AY204" s="76"/>
      <c r="AZ204" s="76"/>
      <c r="BA204" s="76"/>
      <c r="BB204" s="76"/>
      <c r="BC204" s="76"/>
      <c r="BD204" s="76"/>
      <c r="BE204" s="76"/>
      <c r="BF204" s="76"/>
      <c r="BG204" s="76"/>
      <c r="BH204" s="76"/>
      <c r="BI204" s="76"/>
    </row>
    <row r="205" spans="2:61" customFormat="1" x14ac:dyDescent="0.25">
      <c r="B205" s="909" t="s">
        <v>4467</v>
      </c>
      <c r="C205" s="845" t="s">
        <v>256</v>
      </c>
      <c r="D205" s="1129"/>
      <c r="E205" s="1129"/>
      <c r="I205" s="960"/>
      <c r="J205" s="863" t="s">
        <v>256</v>
      </c>
      <c r="K205" s="851"/>
      <c r="L205" s="881" t="s">
        <v>4469</v>
      </c>
      <c r="M205" s="875">
        <v>3</v>
      </c>
      <c r="N205" s="129"/>
      <c r="O205" s="887"/>
      <c r="P205" s="94"/>
      <c r="Q205" s="94"/>
      <c r="R205" s="94"/>
      <c r="S205" s="94"/>
      <c r="T205" s="94"/>
      <c r="U205" s="94"/>
      <c r="V205" s="94"/>
      <c r="W205" s="94"/>
      <c r="X205" s="1770"/>
      <c r="AL205" s="254" t="str">
        <f>SUBSTITUTE(SUBSTITUTE(SUBSTITUTE("dpa"&amp;$B205&amp;$C205&amp;$D205&amp;$E205,".","_"),"(","_"),")","")</f>
        <v>dpa802_9_2_1</v>
      </c>
      <c r="AM205" s="254">
        <f>M205</f>
        <v>3</v>
      </c>
      <c r="AX205" s="76"/>
      <c r="AY205" s="76"/>
      <c r="AZ205" s="76"/>
      <c r="BA205" s="76"/>
      <c r="BB205" s="76"/>
      <c r="BC205" s="76"/>
      <c r="BD205" s="76"/>
      <c r="BE205" s="76"/>
      <c r="BF205" s="76"/>
      <c r="BG205" s="76"/>
      <c r="BH205" s="76"/>
      <c r="BI205" s="76"/>
    </row>
    <row r="206" spans="2:61" customFormat="1" ht="15.75" thickBot="1" x14ac:dyDescent="0.3">
      <c r="B206" s="909" t="s">
        <v>4467</v>
      </c>
      <c r="C206" s="845" t="s">
        <v>258</v>
      </c>
      <c r="D206" s="1129"/>
      <c r="E206" s="1129"/>
      <c r="I206" s="961"/>
      <c r="J206" s="902" t="s">
        <v>258</v>
      </c>
      <c r="K206" s="852"/>
      <c r="L206" s="883" t="s">
        <v>4470</v>
      </c>
      <c r="M206" s="877">
        <v>1</v>
      </c>
      <c r="N206" s="240"/>
      <c r="O206" s="878"/>
      <c r="P206" s="99"/>
      <c r="Q206" s="99"/>
      <c r="R206" s="99"/>
      <c r="S206" s="99"/>
      <c r="T206" s="99"/>
      <c r="U206" s="99"/>
      <c r="V206" s="99"/>
      <c r="W206" s="99"/>
      <c r="X206" s="1771"/>
      <c r="AL206" s="254" t="str">
        <f>SUBSTITUTE(SUBSTITUTE(SUBSTITUTE("dpa"&amp;$B206&amp;$C206&amp;$D206&amp;$E206,".","_"),"(","_"),")","")</f>
        <v>dpa802_9_2_2</v>
      </c>
      <c r="AM206" s="254">
        <f>M206</f>
        <v>1</v>
      </c>
      <c r="AX206" s="76"/>
      <c r="AY206" s="76"/>
      <c r="AZ206" s="76"/>
      <c r="BA206" s="76"/>
      <c r="BB206" s="76"/>
      <c r="BC206" s="76"/>
      <c r="BD206" s="76"/>
      <c r="BE206" s="76"/>
      <c r="BF206" s="76"/>
      <c r="BG206" s="76"/>
      <c r="BH206" s="76"/>
      <c r="BI206" s="76"/>
    </row>
    <row r="207" spans="2:61" customFormat="1" ht="15.75" thickTop="1" x14ac:dyDescent="0.25">
      <c r="B207" s="909">
        <v>802.1</v>
      </c>
      <c r="C207" s="845"/>
      <c r="D207" s="1129"/>
      <c r="E207" s="1129"/>
      <c r="I207" s="959" t="s">
        <v>4475</v>
      </c>
      <c r="J207" s="862"/>
      <c r="K207" s="845"/>
      <c r="L207" s="889" t="s">
        <v>4471</v>
      </c>
      <c r="M207" s="888"/>
      <c r="N207" s="129"/>
      <c r="O207" s="887"/>
      <c r="AX207" s="76"/>
      <c r="AY207" s="76"/>
      <c r="AZ207" s="76"/>
      <c r="BA207" s="76"/>
      <c r="BB207" s="76"/>
      <c r="BC207" s="76"/>
      <c r="BD207" s="76"/>
      <c r="BE207" s="76"/>
      <c r="BF207" s="76"/>
      <c r="BG207" s="76"/>
      <c r="BH207" s="76"/>
      <c r="BI207" s="76"/>
    </row>
    <row r="208" spans="2:61" customFormat="1" ht="15" customHeight="1" x14ac:dyDescent="0.25">
      <c r="B208" s="909" t="s">
        <v>4472</v>
      </c>
      <c r="C208" s="845"/>
      <c r="D208" s="1129"/>
      <c r="E208" s="1129"/>
      <c r="I208" s="959" t="s">
        <v>4472</v>
      </c>
      <c r="J208" s="862"/>
      <c r="K208" s="845"/>
      <c r="L208" s="1796" t="s">
        <v>4473</v>
      </c>
      <c r="M208" s="1837" t="str">
        <f>IF(R208,"Mandatory","N/A")</f>
        <v>Mandatory</v>
      </c>
      <c r="N208" s="129"/>
      <c r="O208" s="887"/>
      <c r="P208" s="1411" t="b">
        <v>0</v>
      </c>
      <c r="Q208" s="1411" t="b">
        <v>1</v>
      </c>
      <c r="R208" s="1411" t="b">
        <f>S208</f>
        <v>1</v>
      </c>
      <c r="S208" s="1411" t="b">
        <v>1</v>
      </c>
      <c r="T208" s="94" t="b">
        <f>IF(AND(NOT(S208),LEN(W208)&gt;0),TRUE,FALSE)</f>
        <v>0</v>
      </c>
      <c r="U208" s="94" t="str">
        <f>SUBSTITUTE(SUBSTITUTE(SUBSTITUTE("dd"&amp;B208&amp;C208&amp;D208&amp;E208&amp;F208,".","_"),"(","_"),")","")</f>
        <v>dd802_10_1</v>
      </c>
      <c r="W208" s="1412"/>
      <c r="X208" s="1757"/>
      <c r="AC208" s="1411" t="b">
        <f>OR(AD208:AE208)</f>
        <v>1</v>
      </c>
      <c r="AD208" s="1411" t="b">
        <f>T208</f>
        <v>0</v>
      </c>
      <c r="AE208" s="1411" t="b">
        <f>AND(R208,NOT(W208="Met"),NOT(W208="N/A"))</f>
        <v>1</v>
      </c>
      <c r="AL208" s="254" t="str">
        <f>SUBSTITUTE(SUBSTITUTE(SUBSTITUTE("dpa"&amp;$B208&amp;$C208&amp;$D208&amp;$E208,".","_"),"(","_"),")","")</f>
        <v>dpa802_10_1</v>
      </c>
      <c r="AM208" s="254" t="str">
        <f>M208</f>
        <v>Mandatory</v>
      </c>
      <c r="AP208" s="254" t="str">
        <f>SUBSTITUTE(SUBSTITUTE(SUBSTITUTE("dch"&amp;$B208&amp;$C208&amp;$D208&amp;$E208,".","_"),"(","_"),")","")</f>
        <v>dch802_10_1</v>
      </c>
      <c r="AQ208" s="254" t="str">
        <f>IF(LEN(W208)=0,"",W208)</f>
        <v/>
      </c>
      <c r="AR208" s="254" t="str">
        <f>SUBSTITUTE(SUBSTITUTE(SUBSTITUTE("dnt"&amp;$B208&amp;$C208&amp;$D208&amp;$E208,".","_"),"(","_"),")","")</f>
        <v>dnt802_10_1</v>
      </c>
      <c r="AS208" s="254" t="str">
        <f>IF(LEN(X208)=0,"",X208)</f>
        <v/>
      </c>
      <c r="AZ208" s="76"/>
      <c r="BA208" s="76"/>
      <c r="BB208" s="76"/>
      <c r="BC208" s="76"/>
      <c r="BD208" s="76"/>
      <c r="BE208" s="76"/>
      <c r="BF208" s="76"/>
      <c r="BG208" s="76"/>
      <c r="BH208" s="76"/>
      <c r="BI208" s="76"/>
    </row>
    <row r="209" spans="2:61" customFormat="1" x14ac:dyDescent="0.25">
      <c r="B209" s="909" t="s">
        <v>4472</v>
      </c>
      <c r="C209" s="845"/>
      <c r="D209" s="1129"/>
      <c r="E209" s="1129"/>
      <c r="I209" s="959"/>
      <c r="J209" s="862"/>
      <c r="K209" s="845"/>
      <c r="L209" s="1796"/>
      <c r="M209" s="1837"/>
      <c r="N209" s="4"/>
      <c r="O209" s="874"/>
      <c r="X209" s="1757"/>
      <c r="AZ209" s="76"/>
      <c r="BA209" s="76"/>
      <c r="BB209" s="76"/>
      <c r="BC209" s="76"/>
      <c r="BD209" s="76"/>
      <c r="BE209" s="76"/>
      <c r="BF209" s="76"/>
      <c r="BG209" s="76"/>
      <c r="BH209" s="76"/>
      <c r="BI209" s="76"/>
    </row>
    <row r="210" spans="2:61" customFormat="1" x14ac:dyDescent="0.25">
      <c r="B210" s="909" t="s">
        <v>4472</v>
      </c>
      <c r="C210" s="845"/>
      <c r="D210" s="1129"/>
      <c r="E210" s="1129"/>
      <c r="I210" s="959"/>
      <c r="J210" s="862"/>
      <c r="K210" s="845"/>
      <c r="L210" s="1796"/>
      <c r="M210" s="1837"/>
      <c r="N210" s="4"/>
      <c r="O210" s="874"/>
      <c r="X210" s="1757"/>
      <c r="AZ210" s="76"/>
      <c r="BA210" s="76"/>
      <c r="BB210" s="76"/>
      <c r="BC210" s="76"/>
      <c r="BD210" s="76"/>
      <c r="BE210" s="76"/>
      <c r="BF210" s="76"/>
      <c r="BG210" s="76"/>
      <c r="BH210" s="76"/>
      <c r="BI210" s="76"/>
    </row>
    <row r="211" spans="2:61" customFormat="1" x14ac:dyDescent="0.25">
      <c r="B211" s="909" t="s">
        <v>4472</v>
      </c>
      <c r="C211" s="845" t="s">
        <v>256</v>
      </c>
      <c r="D211" s="1129"/>
      <c r="E211" s="1129"/>
      <c r="I211" s="959"/>
      <c r="J211" s="862" t="s">
        <v>256</v>
      </c>
      <c r="K211" s="845"/>
      <c r="L211" s="880" t="s">
        <v>4474</v>
      </c>
      <c r="M211" s="872">
        <v>10</v>
      </c>
      <c r="N211" s="4"/>
      <c r="O211" s="874">
        <f ca="1">M211*W211*S211</f>
        <v>0</v>
      </c>
      <c r="P211" s="868" t="b">
        <v>0</v>
      </c>
      <c r="Q211" s="868" t="b">
        <v>1</v>
      </c>
      <c r="R211" s="868" t="b">
        <v>0</v>
      </c>
      <c r="S211" s="1413" t="b">
        <f ca="1">S14=2</f>
        <v>0</v>
      </c>
      <c r="T211" s="868" t="b">
        <f ca="1">IF(AND(NOT(S211),W211=TRUE),TRUE,FALSE)</f>
        <v>0</v>
      </c>
      <c r="W211" s="25"/>
      <c r="X211" s="869"/>
      <c r="AC211" s="868" t="b">
        <f ca="1">OR(AD211:AE211)</f>
        <v>0</v>
      </c>
      <c r="AD211" s="868" t="b">
        <f ca="1">T211</f>
        <v>0</v>
      </c>
      <c r="AL211" s="254" t="str">
        <f>SUBSTITUTE(SUBSTITUTE(SUBSTITUTE("dpa"&amp;$B211&amp;$C211&amp;$D211&amp;$E211,".","_"),"(","_"),")","")</f>
        <v>dpa802_10_1_1</v>
      </c>
      <c r="AM211" s="254">
        <f>M211</f>
        <v>10</v>
      </c>
      <c r="AN211" s="254" t="str">
        <f>SUBSTITUTE(SUBSTITUTE(SUBSTITUTE("dpc"&amp;$B211&amp;$C211&amp;$D211&amp;$E211,".","_"),"(","_"),")","")</f>
        <v>dpc802_10_1_1</v>
      </c>
      <c r="AO211" s="254">
        <f ca="1">O211</f>
        <v>0</v>
      </c>
      <c r="AP211" s="254" t="str">
        <f>SUBSTITUTE(SUBSTITUTE(SUBSTITUTE("dch"&amp;$B211&amp;$C211&amp;$D211&amp;$E211,".","_"),"(","_"),")","")</f>
        <v>dch802_10_1_1</v>
      </c>
      <c r="AQ211" s="254" t="str">
        <f>IF(LEN(W211)=0,"",W211)</f>
        <v/>
      </c>
      <c r="AR211" s="254" t="str">
        <f>SUBSTITUTE(SUBSTITUTE(SUBSTITUTE("dnt"&amp;$B211&amp;$C211&amp;$D211&amp;$E211,".","_"),"(","_"),")","")</f>
        <v>dnt802_10_1_1</v>
      </c>
      <c r="AS211" s="254" t="str">
        <f>IF(LEN(X211)=0,"",X211)</f>
        <v/>
      </c>
      <c r="AZ211" s="76"/>
      <c r="BA211" s="76"/>
      <c r="BB211" s="76"/>
      <c r="BC211" s="76"/>
      <c r="BD211" s="76"/>
      <c r="BE211" s="76"/>
      <c r="BF211" s="76"/>
      <c r="BG211" s="76"/>
      <c r="BH211" s="76"/>
      <c r="BI211" s="76"/>
    </row>
    <row r="212" spans="2:61" ht="18.75" x14ac:dyDescent="0.3">
      <c r="B212" s="679">
        <v>803</v>
      </c>
      <c r="C212" s="21"/>
      <c r="D212" s="21"/>
      <c r="E212" s="21"/>
      <c r="F212" s="21"/>
      <c r="G212" s="21"/>
      <c r="H212" s="758"/>
      <c r="I212" s="14" t="s">
        <v>4388</v>
      </c>
      <c r="J212" s="14"/>
      <c r="K212" s="23"/>
      <c r="L212" s="229"/>
      <c r="M212" s="498"/>
      <c r="N212" s="508"/>
      <c r="O212" s="498"/>
      <c r="P212" s="23"/>
      <c r="Q212" s="23"/>
      <c r="R212" s="23"/>
      <c r="S212" s="23"/>
      <c r="T212" s="23"/>
      <c r="U212" s="23"/>
      <c r="V212" s="23"/>
      <c r="W212" s="23"/>
      <c r="X212" s="23"/>
      <c r="AX212"/>
      <c r="AY212"/>
    </row>
    <row r="213" spans="2:61" x14ac:dyDescent="0.25">
      <c r="B213" s="679">
        <v>803.1</v>
      </c>
      <c r="C213" s="21"/>
      <c r="D213" s="21"/>
      <c r="E213" s="21"/>
      <c r="F213" s="21"/>
      <c r="G213" s="21"/>
      <c r="H213" s="758"/>
      <c r="I213" s="64">
        <v>803.1</v>
      </c>
      <c r="J213" s="164"/>
      <c r="K213" s="4"/>
      <c r="L213" s="1796" t="s">
        <v>4389</v>
      </c>
      <c r="M213" s="428"/>
      <c r="N213" s="4"/>
      <c r="O213" s="1780">
        <f ca="1">MAX(IFERROR(5*MATCH(W217,INDIRECT(U217),0),0)*S217,M219*S219*W219)*S217</f>
        <v>0</v>
      </c>
      <c r="AN213" s="254" t="str">
        <f>SUBSTITUTE(SUBSTITUTE(SUBSTITUTE("dpc"&amp;$B213&amp;$C213&amp;$D213&amp;$E213,".","_"),"(","_"),")","")</f>
        <v>dpc803_1</v>
      </c>
      <c r="AO213" s="254">
        <f ca="1">O213</f>
        <v>0</v>
      </c>
      <c r="AX213"/>
      <c r="AY213"/>
    </row>
    <row r="214" spans="2:61" x14ac:dyDescent="0.25">
      <c r="B214" s="679">
        <v>803.1</v>
      </c>
      <c r="C214" s="21"/>
      <c r="D214" s="21"/>
      <c r="E214" s="21"/>
      <c r="F214" s="21"/>
      <c r="G214" s="21"/>
      <c r="H214" s="758"/>
      <c r="I214" s="64"/>
      <c r="J214" s="164"/>
      <c r="K214" s="4"/>
      <c r="L214" s="1796"/>
      <c r="M214" s="428"/>
      <c r="N214" s="4"/>
      <c r="O214" s="1780"/>
      <c r="AX214"/>
      <c r="AY214"/>
    </row>
    <row r="215" spans="2:61" x14ac:dyDescent="0.25">
      <c r="B215" s="679">
        <v>803.1</v>
      </c>
      <c r="C215" s="21"/>
      <c r="D215" s="21"/>
      <c r="E215" s="21"/>
      <c r="F215" s="21"/>
      <c r="G215" s="21"/>
      <c r="H215" s="758"/>
      <c r="I215" s="64"/>
      <c r="J215" s="164"/>
      <c r="K215" s="4"/>
      <c r="L215" s="163" t="s">
        <v>4476</v>
      </c>
      <c r="M215" s="428"/>
      <c r="N215" s="4"/>
      <c r="O215" s="1780"/>
      <c r="AX215"/>
      <c r="AY215"/>
    </row>
    <row r="216" spans="2:61" x14ac:dyDescent="0.25">
      <c r="B216" s="679">
        <v>803.1</v>
      </c>
      <c r="C216" s="21"/>
      <c r="D216" s="21"/>
      <c r="E216" s="21"/>
      <c r="F216" s="21"/>
      <c r="G216" s="21"/>
      <c r="H216" s="758"/>
      <c r="I216" s="64"/>
      <c r="J216" s="164"/>
      <c r="K216" s="4"/>
      <c r="L216" s="163" t="s">
        <v>4477</v>
      </c>
      <c r="M216" s="428"/>
      <c r="N216" s="4"/>
      <c r="O216" s="141"/>
      <c r="AX216"/>
      <c r="AY216"/>
    </row>
    <row r="217" spans="2:61" x14ac:dyDescent="0.25">
      <c r="B217" s="679">
        <v>803.1</v>
      </c>
      <c r="C217" s="21" t="s">
        <v>256</v>
      </c>
      <c r="D217" s="21"/>
      <c r="E217" s="21"/>
      <c r="F217" s="21"/>
      <c r="G217" s="21"/>
      <c r="H217" s="758"/>
      <c r="I217" s="64"/>
      <c r="J217" s="907" t="s">
        <v>256</v>
      </c>
      <c r="K217" s="129"/>
      <c r="L217" s="356" t="s">
        <v>809</v>
      </c>
      <c r="M217" s="1788" t="s">
        <v>3613</v>
      </c>
      <c r="N217" s="4"/>
      <c r="O217" s="141"/>
      <c r="P217" s="633" t="b">
        <v>1</v>
      </c>
      <c r="Q217" s="633" t="b">
        <v>1</v>
      </c>
      <c r="R217" s="136" t="b">
        <v>0</v>
      </c>
      <c r="S217" s="136" t="b">
        <f ca="1">AND(NOT(W233),S14=2)</f>
        <v>0</v>
      </c>
      <c r="T217" s="94" t="b">
        <f ca="1">IF(AND(NOT(S217),LEN(W217)&gt;0),TRUE,FALSE)</f>
        <v>0</v>
      </c>
      <c r="U217" s="94" t="str">
        <f>SUBSTITUTE(SUBSTITUTE(SUBSTITUTE("dd"&amp;B217&amp;C217&amp;D217&amp;E217&amp;F217,".","_"),"(","_"),")","")</f>
        <v>dd803_1_1</v>
      </c>
      <c r="W217" s="12"/>
      <c r="X217" s="1757"/>
      <c r="AC217" s="353" t="b">
        <f ca="1">OR(AD217:AE217)</f>
        <v>0</v>
      </c>
      <c r="AD217" s="353" t="b">
        <f ca="1">T217</f>
        <v>0</v>
      </c>
      <c r="AL217" s="254" t="str">
        <f>SUBSTITUTE(SUBSTITUTE(SUBSTITUTE("dpa"&amp;$B217&amp;$C217&amp;$D217&amp;$E217,".","_"),"(","_"),")","")</f>
        <v>dpa803_1_1</v>
      </c>
      <c r="AM217" s="254" t="str">
        <f>M217</f>
        <v>5
20 Max</v>
      </c>
      <c r="AP217" s="254" t="str">
        <f>SUBSTITUTE(SUBSTITUTE(SUBSTITUTE("dch"&amp;$B217&amp;$C217&amp;$D217&amp;$E217,".","_"),"(","_"),")","")</f>
        <v>dch803_1_1</v>
      </c>
      <c r="AQ217" s="254" t="str">
        <f>IF(LEN(W217)=0,"",W217)</f>
        <v/>
      </c>
      <c r="AR217" s="254" t="str">
        <f>SUBSTITUTE(SUBSTITUTE(SUBSTITUTE("dnt"&amp;$B217&amp;$C217&amp;$D217&amp;$E217,".","_"),"(","_"),")","")</f>
        <v>dnt803_1_1</v>
      </c>
      <c r="AS217" s="254" t="str">
        <f>IF(LEN(X217)=0,"",X217)</f>
        <v/>
      </c>
      <c r="AX217"/>
      <c r="AY217"/>
    </row>
    <row r="218" spans="2:61" x14ac:dyDescent="0.25">
      <c r="B218" s="679">
        <v>803.1</v>
      </c>
      <c r="C218" s="21" t="s">
        <v>256</v>
      </c>
      <c r="D218" s="21"/>
      <c r="E218" s="21"/>
      <c r="F218" s="21"/>
      <c r="G218" s="21"/>
      <c r="H218" s="758"/>
      <c r="I218" s="64"/>
      <c r="J218" s="524"/>
      <c r="K218" s="210"/>
      <c r="L218" s="220" t="s">
        <v>810</v>
      </c>
      <c r="M218" s="1759"/>
      <c r="N218" s="4"/>
      <c r="O218" s="141"/>
      <c r="X218" s="1757"/>
    </row>
    <row r="219" spans="2:61" ht="15.75" thickBot="1" x14ac:dyDescent="0.3">
      <c r="B219" s="679">
        <v>803.1</v>
      </c>
      <c r="C219" s="21" t="s">
        <v>258</v>
      </c>
      <c r="D219" s="21"/>
      <c r="E219" s="21"/>
      <c r="F219" s="21"/>
      <c r="G219" s="21"/>
      <c r="H219" s="758"/>
      <c r="I219" s="189"/>
      <c r="J219" s="359" t="s">
        <v>258</v>
      </c>
      <c r="K219" s="240"/>
      <c r="L219" s="358" t="s">
        <v>811</v>
      </c>
      <c r="M219" s="429">
        <v>10</v>
      </c>
      <c r="N219" s="240"/>
      <c r="O219" s="241"/>
      <c r="P219" s="633" t="b">
        <v>1</v>
      </c>
      <c r="Q219" s="633" t="b">
        <v>1</v>
      </c>
      <c r="R219" s="99" t="b">
        <v>0</v>
      </c>
      <c r="S219" s="99" t="b">
        <f ca="1">AND(NOT(W233),S14=2)</f>
        <v>0</v>
      </c>
      <c r="T219" s="99" t="b">
        <f ca="1">IF(AND(NOT(S219),W219=TRUE),TRUE,FALSE)</f>
        <v>0</v>
      </c>
      <c r="U219" s="99"/>
      <c r="V219" s="99"/>
      <c r="W219" s="100"/>
      <c r="X219" s="355"/>
      <c r="AC219" s="353" t="b">
        <f ca="1">OR(AD219:AE219)</f>
        <v>0</v>
      </c>
      <c r="AD219" s="353" t="b">
        <f ca="1">T219</f>
        <v>0</v>
      </c>
      <c r="AE219" s="353"/>
      <c r="AL219" s="254" t="str">
        <f>SUBSTITUTE(SUBSTITUTE(SUBSTITUTE("dpa"&amp;$B219&amp;$C219&amp;$D219&amp;$E219,".","_"),"(","_"),")","")</f>
        <v>dpa803_1_2</v>
      </c>
      <c r="AM219" s="254">
        <f>M219</f>
        <v>10</v>
      </c>
      <c r="AP219" s="254" t="str">
        <f>SUBSTITUTE(SUBSTITUTE(SUBSTITUTE("dch"&amp;$B219&amp;$C219&amp;$D219&amp;$E219,".","_"),"(","_"),")","")</f>
        <v>dch803_1_2</v>
      </c>
      <c r="AQ219" s="254" t="str">
        <f>IF(LEN(W219)=0,"",W219)</f>
        <v/>
      </c>
      <c r="AR219" s="254" t="str">
        <f>SUBSTITUTE(SUBSTITUTE(SUBSTITUTE("dnt"&amp;$B219&amp;$C219&amp;$D219&amp;$E219,".","_"),"(","_"),")","")</f>
        <v>dnt803_1_2</v>
      </c>
      <c r="AS219" s="254" t="str">
        <f>IF(LEN(X219)=0,"",X219)</f>
        <v/>
      </c>
    </row>
    <row r="220" spans="2:61" ht="15.75" thickTop="1" x14ac:dyDescent="0.25">
      <c r="B220" s="679">
        <v>803.2</v>
      </c>
      <c r="C220" s="21"/>
      <c r="D220" s="21"/>
      <c r="E220" s="21"/>
      <c r="F220" s="21"/>
      <c r="G220" s="21"/>
      <c r="H220" s="758"/>
      <c r="I220" s="180">
        <v>803.2</v>
      </c>
      <c r="J220" s="952"/>
      <c r="K220" s="181"/>
      <c r="L220" s="1781" t="s">
        <v>4390</v>
      </c>
      <c r="M220" s="1848" t="s">
        <v>812</v>
      </c>
      <c r="N220" s="181"/>
      <c r="O220" s="1773">
        <f>W221*3</f>
        <v>0</v>
      </c>
      <c r="P220" s="105"/>
      <c r="Q220" s="105"/>
      <c r="R220" s="105"/>
      <c r="S220" s="105"/>
      <c r="T220" s="105"/>
      <c r="U220" s="105"/>
      <c r="V220" s="105"/>
      <c r="W220" s="105" t="s">
        <v>3612</v>
      </c>
      <c r="X220" s="1784"/>
      <c r="AL220" s="254" t="str">
        <f>SUBSTITUTE(SUBSTITUTE(SUBSTITUTE("dpa"&amp;$B220&amp;$C220&amp;$D220&amp;$E220,".","_"),"(","_"),")","")</f>
        <v>dpa803_2</v>
      </c>
      <c r="AM220" s="254" t="str">
        <f>M220</f>
        <v>3 per roughed in system</v>
      </c>
      <c r="AN220" s="254" t="str">
        <f>SUBSTITUTE(SUBSTITUTE(SUBSTITUTE("dpc"&amp;$B220&amp;$C220&amp;$D220&amp;$E220,".","_"),"(","_"),")","")</f>
        <v>dpc803_2</v>
      </c>
      <c r="AO220" s="254">
        <f>O220</f>
        <v>0</v>
      </c>
      <c r="AR220" s="254" t="str">
        <f>SUBSTITUTE(SUBSTITUTE(SUBSTITUTE("dnt"&amp;$B220&amp;$C220&amp;$D220&amp;$E220,".","_"),"(","_"),")","")</f>
        <v>dnt803_2</v>
      </c>
      <c r="AS220" s="254" t="str">
        <f>IF(LEN(X220)=0,"",X220)</f>
        <v/>
      </c>
    </row>
    <row r="221" spans="2:61" x14ac:dyDescent="0.25">
      <c r="B221" s="679">
        <v>803.2</v>
      </c>
      <c r="C221" s="21"/>
      <c r="D221" s="21"/>
      <c r="E221" s="21"/>
      <c r="F221" s="21"/>
      <c r="G221" s="21"/>
      <c r="H221" s="758"/>
      <c r="I221" s="130"/>
      <c r="J221" s="480"/>
      <c r="K221" s="129"/>
      <c r="L221" s="1782"/>
      <c r="M221" s="1788"/>
      <c r="N221" s="129"/>
      <c r="O221" s="1774"/>
      <c r="P221" s="633" t="b">
        <v>1</v>
      </c>
      <c r="Q221" s="633" t="b">
        <v>1</v>
      </c>
      <c r="R221" s="94" t="b">
        <v>0</v>
      </c>
      <c r="S221" s="94" t="b">
        <f ca="1">S14=2</f>
        <v>0</v>
      </c>
      <c r="T221" s="94" t="b">
        <f ca="1">IF(AND(NOT(S221),LEN(W221)&gt;0),TRUE,FALSE)</f>
        <v>0</v>
      </c>
      <c r="U221" s="94"/>
      <c r="V221" s="94"/>
      <c r="W221" s="368"/>
      <c r="X221" s="1770"/>
      <c r="AC221" s="353" t="b">
        <f ca="1">OR(AD221:AE221)</f>
        <v>0</v>
      </c>
      <c r="AD221" s="353" t="b">
        <f ca="1">T221</f>
        <v>0</v>
      </c>
      <c r="AP221" s="254" t="str">
        <f>SUBSTITUTE(SUBSTITUTE(SUBSTITUTE("dch"&amp;$B221&amp;$C221&amp;$D221&amp;$E221,".","_"),"(","_"),")","")</f>
        <v>dch803_2</v>
      </c>
      <c r="AQ221" s="254" t="str">
        <f>IF(LEN(W221)=0,"",W221)</f>
        <v/>
      </c>
    </row>
    <row r="222" spans="2:61" ht="15.75" thickBot="1" x14ac:dyDescent="0.3">
      <c r="B222" s="679">
        <v>803.2</v>
      </c>
      <c r="C222" s="21"/>
      <c r="D222" s="21"/>
      <c r="E222" s="21"/>
      <c r="F222" s="21"/>
      <c r="G222" s="21"/>
      <c r="H222" s="758"/>
      <c r="I222" s="189"/>
      <c r="J222" s="481"/>
      <c r="K222" s="240"/>
      <c r="L222" s="1797"/>
      <c r="M222" s="1915"/>
      <c r="N222" s="240"/>
      <c r="O222" s="1775"/>
      <c r="P222" s="99"/>
      <c r="Q222" s="99"/>
      <c r="R222" s="99"/>
      <c r="S222" s="99"/>
      <c r="T222" s="99"/>
      <c r="U222" s="99"/>
      <c r="V222" s="99"/>
      <c r="W222" s="99"/>
      <c r="X222" s="1771"/>
    </row>
    <row r="223" spans="2:61" ht="15.75" customHeight="1" thickTop="1" x14ac:dyDescent="0.25">
      <c r="B223" s="679">
        <v>803.3</v>
      </c>
      <c r="C223" s="21"/>
      <c r="D223" s="21"/>
      <c r="E223" s="21"/>
      <c r="F223" s="21"/>
      <c r="G223" s="21"/>
      <c r="H223" s="758"/>
      <c r="I223" s="64">
        <v>803.3</v>
      </c>
      <c r="J223" s="164"/>
      <c r="K223" s="4"/>
      <c r="L223" s="1796" t="s">
        <v>4478</v>
      </c>
      <c r="M223" s="1767">
        <v>2</v>
      </c>
      <c r="N223" s="4"/>
      <c r="O223" s="1780">
        <f ca="1">2*(LEN(W223)&gt;0)*S223</f>
        <v>0</v>
      </c>
      <c r="P223" s="94" t="b">
        <v>0</v>
      </c>
      <c r="Q223" s="1108" t="b">
        <v>1</v>
      </c>
      <c r="R223" s="94" t="b">
        <v>0</v>
      </c>
      <c r="S223" s="1108" t="b">
        <f ca="1">S14=2</f>
        <v>0</v>
      </c>
      <c r="T223" s="94" t="b">
        <f ca="1">IF(AND(NOT(S223),LEN(W223)&gt;0),TRUE,FALSE)</f>
        <v>0</v>
      </c>
      <c r="U223" s="94" t="str">
        <f>SUBSTITUTE(SUBSTITUTE(SUBSTITUTE("dd"&amp;B223&amp;C223&amp;D223&amp;E223&amp;F223,".","_"),"(","_"),")","")</f>
        <v>dd803_3</v>
      </c>
      <c r="W223" s="12"/>
      <c r="X223" s="1757"/>
      <c r="AC223" s="1108" t="b">
        <f ca="1">OR(AD223:AE223)</f>
        <v>0</v>
      </c>
      <c r="AD223" s="1108" t="b">
        <f ca="1">T223</f>
        <v>0</v>
      </c>
      <c r="AL223" s="254" t="str">
        <f>SUBSTITUTE(SUBSTITUTE(SUBSTITUTE("dpa"&amp;$B223&amp;$C223&amp;$D223&amp;$E223,".","_"),"(","_"),")","")</f>
        <v>dpa803_3</v>
      </c>
      <c r="AM223" s="254">
        <f>M223</f>
        <v>2</v>
      </c>
      <c r="AN223" s="254" t="str">
        <f>SUBSTITUTE(SUBSTITUTE(SUBSTITUTE("dpc"&amp;$B223&amp;$C223&amp;$D223&amp;$E223,".","_"),"(","_"),")","")</f>
        <v>dpc803_3</v>
      </c>
      <c r="AO223" s="254">
        <f ca="1">O223</f>
        <v>0</v>
      </c>
      <c r="AP223" s="254" t="str">
        <f>SUBSTITUTE(SUBSTITUTE(SUBSTITUTE("dch"&amp;$B223&amp;$C223&amp;$D223&amp;$E223,".","_"),"(","_"),")","")</f>
        <v>dch803_3</v>
      </c>
      <c r="AQ223" s="254" t="str">
        <f>IF(LEN(W223)=0,"",W223)</f>
        <v/>
      </c>
      <c r="AR223" s="254" t="str">
        <f>SUBSTITUTE(SUBSTITUTE(SUBSTITUTE("dnt"&amp;$B223&amp;$C223&amp;$D223&amp;$E223,".","_"),"(","_"),")","")</f>
        <v>dnt803_3</v>
      </c>
      <c r="AS223" s="254" t="str">
        <f>IF(LEN(X223)=0,"",X223)</f>
        <v/>
      </c>
    </row>
    <row r="224" spans="2:61" x14ac:dyDescent="0.25">
      <c r="B224" s="679">
        <v>803.3</v>
      </c>
      <c r="C224" s="21"/>
      <c r="D224" s="21"/>
      <c r="E224" s="21"/>
      <c r="F224" s="21"/>
      <c r="G224" s="21"/>
      <c r="H224" s="758"/>
      <c r="I224" s="64"/>
      <c r="J224" s="164"/>
      <c r="K224" s="4"/>
      <c r="L224" s="1796"/>
      <c r="M224" s="1767"/>
      <c r="N224" s="4"/>
      <c r="O224" s="1780"/>
      <c r="X224" s="1757"/>
    </row>
    <row r="225" spans="2:61" x14ac:dyDescent="0.25">
      <c r="B225" s="679">
        <v>803.3</v>
      </c>
      <c r="C225" s="21"/>
      <c r="D225" s="21"/>
      <c r="E225" s="21"/>
      <c r="F225" s="21"/>
      <c r="G225" s="21"/>
      <c r="H225" s="758"/>
      <c r="I225" s="64"/>
      <c r="J225" s="164"/>
      <c r="K225" s="4"/>
      <c r="L225" s="1796"/>
      <c r="M225" s="1767"/>
      <c r="N225" s="4"/>
      <c r="O225" s="1780"/>
      <c r="X225" s="1757"/>
    </row>
    <row r="226" spans="2:61" x14ac:dyDescent="0.25">
      <c r="B226" s="679">
        <v>803.3</v>
      </c>
      <c r="C226" s="21" t="s">
        <v>256</v>
      </c>
      <c r="D226" s="21"/>
      <c r="E226" s="21"/>
      <c r="F226" s="21"/>
      <c r="G226" s="21"/>
      <c r="H226" s="758"/>
      <c r="I226" s="130"/>
      <c r="J226" s="910" t="s">
        <v>256</v>
      </c>
      <c r="K226" s="210"/>
      <c r="L226" s="881" t="s">
        <v>4479</v>
      </c>
      <c r="M226" s="424"/>
      <c r="N226" s="129"/>
      <c r="O226" s="239"/>
      <c r="P226" s="94"/>
      <c r="Q226" s="633"/>
      <c r="R226" s="94"/>
      <c r="S226" s="94"/>
      <c r="T226" s="94"/>
      <c r="U226" s="94"/>
      <c r="V226" s="94"/>
      <c r="W226"/>
      <c r="X226" s="1757"/>
      <c r="AC226" s="353"/>
      <c r="AD226" s="353"/>
      <c r="AE226" s="353"/>
      <c r="AP226" s="254"/>
      <c r="AQ226" s="254"/>
      <c r="AR226" s="254"/>
      <c r="AS226" s="254"/>
    </row>
    <row r="227" spans="2:61" ht="15.75" thickBot="1" x14ac:dyDescent="0.3">
      <c r="B227" s="679">
        <v>803.3</v>
      </c>
      <c r="C227" s="21" t="s">
        <v>258</v>
      </c>
      <c r="D227" s="21"/>
      <c r="E227" s="21"/>
      <c r="F227" s="21"/>
      <c r="G227" s="21"/>
      <c r="H227" s="758"/>
      <c r="I227" s="189"/>
      <c r="J227" s="359" t="s">
        <v>258</v>
      </c>
      <c r="K227" s="240"/>
      <c r="L227" s="880" t="s">
        <v>4480</v>
      </c>
      <c r="M227" s="429"/>
      <c r="N227" s="240"/>
      <c r="O227" s="241"/>
      <c r="P227" s="99"/>
      <c r="Q227" s="99"/>
      <c r="R227" s="99"/>
      <c r="S227" s="99"/>
      <c r="T227" s="99"/>
      <c r="U227" s="99"/>
      <c r="V227" s="99"/>
      <c r="W227"/>
      <c r="X227" s="1757"/>
      <c r="AC227" s="353"/>
      <c r="AD227" s="353"/>
      <c r="AE227" s="353"/>
      <c r="AP227" s="254"/>
      <c r="AQ227" s="254"/>
      <c r="AR227" s="254"/>
      <c r="AS227" s="254"/>
    </row>
    <row r="228" spans="2:61" ht="15.75" thickTop="1" x14ac:dyDescent="0.25">
      <c r="B228" s="679">
        <v>803.4</v>
      </c>
      <c r="C228" s="21"/>
      <c r="D228" s="21"/>
      <c r="E228" s="21"/>
      <c r="F228" s="21"/>
      <c r="G228" s="21"/>
      <c r="H228" s="758"/>
      <c r="I228" s="180">
        <v>803.4</v>
      </c>
      <c r="J228" s="952"/>
      <c r="K228" s="181"/>
      <c r="L228" s="1781" t="s">
        <v>4391</v>
      </c>
      <c r="M228" s="1772">
        <v>20</v>
      </c>
      <c r="N228" s="181"/>
      <c r="O228" s="1773">
        <f ca="1">M228*S228*W228</f>
        <v>0</v>
      </c>
      <c r="P228" s="94" t="b">
        <v>0</v>
      </c>
      <c r="Q228" s="633" t="b">
        <v>1</v>
      </c>
      <c r="R228" s="105" t="b">
        <v>0</v>
      </c>
      <c r="S228" s="105" t="b">
        <f ca="1">S14=2</f>
        <v>0</v>
      </c>
      <c r="T228" s="105" t="b">
        <f ca="1">IF(AND(NOT(S228),W228=TRUE),TRUE,FALSE)</f>
        <v>0</v>
      </c>
      <c r="U228" s="105"/>
      <c r="V228" s="105"/>
      <c r="W228" s="367"/>
      <c r="X228" s="1784"/>
      <c r="AC228" s="353" t="b">
        <f ca="1">OR(AD228:AE228)</f>
        <v>0</v>
      </c>
      <c r="AD228" s="353" t="b">
        <f ca="1">T228</f>
        <v>0</v>
      </c>
      <c r="AE228" s="353"/>
      <c r="AL228" s="254" t="str">
        <f>SUBSTITUTE(SUBSTITUTE(SUBSTITUTE("dpa"&amp;$B228&amp;$C228&amp;$D228&amp;$E228,".","_"),"(","_"),")","")</f>
        <v>dpa803_4</v>
      </c>
      <c r="AM228" s="254">
        <f>M228</f>
        <v>20</v>
      </c>
      <c r="AN228" s="254" t="str">
        <f>SUBSTITUTE(SUBSTITUTE(SUBSTITUTE("dpc"&amp;$B228&amp;$C228&amp;$D228&amp;$E228,".","_"),"(","_"),")","")</f>
        <v>dpc803_4</v>
      </c>
      <c r="AO228" s="254">
        <f ca="1">O228</f>
        <v>0</v>
      </c>
      <c r="AP228" s="254" t="str">
        <f>SUBSTITUTE(SUBSTITUTE(SUBSTITUTE("dch"&amp;$B228&amp;$C228&amp;$D228&amp;$E228,".","_"),"(","_"),")","")</f>
        <v>dch803_4</v>
      </c>
      <c r="AQ228" s="254" t="str">
        <f>IF(LEN(W228)=0,"",W228)</f>
        <v/>
      </c>
      <c r="AR228" s="254" t="str">
        <f>SUBSTITUTE(SUBSTITUTE(SUBSTITUTE("dnt"&amp;$B228&amp;$C228&amp;$D228&amp;$E228,".","_"),"(","_"),")","")</f>
        <v>dnt803_4</v>
      </c>
      <c r="AS228" s="254" t="str">
        <f>IF(LEN(X228)=0,"",X228)</f>
        <v/>
      </c>
      <c r="AZ228"/>
      <c r="BA228"/>
      <c r="BB228"/>
      <c r="BC228"/>
      <c r="BD228"/>
      <c r="BE228"/>
      <c r="BF228"/>
      <c r="BG228"/>
      <c r="BH228"/>
      <c r="BI228"/>
    </row>
    <row r="229" spans="2:61" x14ac:dyDescent="0.25">
      <c r="B229" s="679">
        <v>803.4</v>
      </c>
      <c r="C229" s="21"/>
      <c r="D229" s="21"/>
      <c r="E229" s="21"/>
      <c r="F229" s="21"/>
      <c r="G229" s="21"/>
      <c r="H229" s="758"/>
      <c r="I229" s="130"/>
      <c r="J229" s="480"/>
      <c r="K229" s="129"/>
      <c r="L229" s="1782"/>
      <c r="M229" s="1758"/>
      <c r="N229" s="129"/>
      <c r="O229" s="1774"/>
      <c r="P229" s="94"/>
      <c r="Q229" s="94"/>
      <c r="R229" s="94"/>
      <c r="S229" s="94"/>
      <c r="T229" s="94"/>
      <c r="U229" s="94"/>
      <c r="V229" s="94"/>
      <c r="W229" s="94"/>
      <c r="X229" s="1770"/>
      <c r="AZ229"/>
      <c r="BA229"/>
      <c r="BB229"/>
      <c r="BC229"/>
      <c r="BD229"/>
      <c r="BE229"/>
      <c r="BF229"/>
      <c r="BG229"/>
      <c r="BH229"/>
      <c r="BI229"/>
    </row>
    <row r="230" spans="2:61" ht="15.75" thickBot="1" x14ac:dyDescent="0.3">
      <c r="B230" s="679">
        <v>803.4</v>
      </c>
      <c r="C230" s="21"/>
      <c r="D230" s="21"/>
      <c r="E230" s="21"/>
      <c r="F230" s="21"/>
      <c r="G230" s="21"/>
      <c r="H230" s="758"/>
      <c r="I230" s="189"/>
      <c r="J230" s="481"/>
      <c r="K230" s="240"/>
      <c r="L230" s="1797"/>
      <c r="M230" s="1768"/>
      <c r="N230" s="240"/>
      <c r="O230" s="1775"/>
      <c r="P230" s="99"/>
      <c r="Q230" s="99"/>
      <c r="R230" s="99"/>
      <c r="S230" s="99"/>
      <c r="T230" s="99"/>
      <c r="U230" s="99"/>
      <c r="V230" s="99"/>
      <c r="W230" s="99"/>
      <c r="X230" s="1771"/>
      <c r="AZ230"/>
      <c r="BA230"/>
      <c r="BB230"/>
      <c r="BC230"/>
      <c r="BD230"/>
      <c r="BE230"/>
      <c r="BF230"/>
      <c r="BG230"/>
      <c r="BH230"/>
      <c r="BI230"/>
    </row>
    <row r="231" spans="2:61" ht="15.75" thickTop="1" x14ac:dyDescent="0.25">
      <c r="B231" s="679" t="s">
        <v>4394</v>
      </c>
      <c r="C231" s="21"/>
      <c r="D231" s="21"/>
      <c r="E231" s="21"/>
      <c r="F231" s="21"/>
      <c r="G231" s="21"/>
      <c r="H231" s="758"/>
      <c r="I231" s="180">
        <v>803.5</v>
      </c>
      <c r="J231" s="952"/>
      <c r="K231" s="181"/>
      <c r="L231" s="1916" t="s">
        <v>4392</v>
      </c>
      <c r="M231" s="1772">
        <v>1</v>
      </c>
      <c r="N231" s="181"/>
      <c r="O231" s="1773">
        <f ca="1">M231*S231*W231</f>
        <v>0</v>
      </c>
      <c r="P231" s="94" t="b">
        <v>0</v>
      </c>
      <c r="Q231" s="633" t="b">
        <v>1</v>
      </c>
      <c r="R231" s="105" t="b">
        <v>0</v>
      </c>
      <c r="S231" s="105" t="b">
        <f ca="1">S14=2</f>
        <v>0</v>
      </c>
      <c r="T231" s="105" t="b">
        <f ca="1">IF(AND(NOT(S231),W231=TRUE),TRUE,FALSE)</f>
        <v>0</v>
      </c>
      <c r="U231" s="105"/>
      <c r="V231" s="105"/>
      <c r="W231" s="367"/>
      <c r="X231" s="1784"/>
      <c r="AC231" s="353" t="b">
        <f ca="1">OR(AD231:AE231)</f>
        <v>0</v>
      </c>
      <c r="AD231" s="353" t="b">
        <f ca="1">T231</f>
        <v>0</v>
      </c>
      <c r="AE231" s="353"/>
      <c r="AL231" s="254" t="str">
        <f>SUBSTITUTE(SUBSTITUTE(SUBSTITUTE("dpa"&amp;$B231&amp;$C231&amp;$D231&amp;$E231,".","_"),"(","_"),")","")</f>
        <v>dpa803_5</v>
      </c>
      <c r="AM231" s="254">
        <f>M231</f>
        <v>1</v>
      </c>
      <c r="AN231" s="254" t="str">
        <f>SUBSTITUTE(SUBSTITUTE(SUBSTITUTE("dpc"&amp;$B231&amp;$C231&amp;$D231&amp;$E231,".","_"),"(","_"),")","")</f>
        <v>dpc803_5</v>
      </c>
      <c r="AO231" s="254">
        <f ca="1">O231</f>
        <v>0</v>
      </c>
      <c r="AP231" s="254" t="str">
        <f>SUBSTITUTE(SUBSTITUTE(SUBSTITUTE("dch"&amp;$B231&amp;$C231&amp;$D231&amp;$E231,".","_"),"(","_"),")","")</f>
        <v>dch803_5</v>
      </c>
      <c r="AQ231" s="254" t="str">
        <f>IF(LEN(W231)=0,"",W231)</f>
        <v/>
      </c>
      <c r="AR231" s="254" t="str">
        <f>SUBSTITUTE(SUBSTITUTE(SUBSTITUTE("dnt"&amp;$B231&amp;$C231&amp;$D231&amp;$E231,".","_"),"(","_"),")","")</f>
        <v>dnt803_5</v>
      </c>
      <c r="AS231" s="254" t="str">
        <f>IF(LEN(X231)=0,"",X231)</f>
        <v/>
      </c>
      <c r="AZ231"/>
      <c r="BA231"/>
      <c r="BB231"/>
      <c r="BC231"/>
      <c r="BD231"/>
      <c r="BE231"/>
      <c r="BF231"/>
      <c r="BG231"/>
      <c r="BH231"/>
      <c r="BI231"/>
    </row>
    <row r="232" spans="2:61" ht="15.75" thickBot="1" x14ac:dyDescent="0.3">
      <c r="B232" s="679" t="s">
        <v>4394</v>
      </c>
      <c r="C232" s="21"/>
      <c r="D232" s="21"/>
      <c r="E232" s="21"/>
      <c r="F232" s="21"/>
      <c r="G232" s="21"/>
      <c r="H232" s="758"/>
      <c r="I232" s="189"/>
      <c r="J232" s="481"/>
      <c r="K232" s="240"/>
      <c r="L232" s="1917"/>
      <c r="M232" s="1768"/>
      <c r="N232" s="240"/>
      <c r="O232" s="1775"/>
      <c r="P232" s="99"/>
      <c r="Q232" s="99"/>
      <c r="R232" s="99"/>
      <c r="S232" s="99"/>
      <c r="T232" s="99"/>
      <c r="U232" s="99"/>
      <c r="V232" s="99"/>
      <c r="W232" s="99"/>
      <c r="X232" s="1771"/>
      <c r="AZ232"/>
      <c r="BA232"/>
      <c r="BB232"/>
      <c r="BC232"/>
      <c r="BD232"/>
      <c r="BE232"/>
      <c r="BF232"/>
      <c r="BG232"/>
      <c r="BH232"/>
      <c r="BI232"/>
    </row>
    <row r="233" spans="2:61" ht="15.75" thickTop="1" x14ac:dyDescent="0.25">
      <c r="B233" s="679" t="s">
        <v>4395</v>
      </c>
      <c r="C233" s="21"/>
      <c r="D233" s="21"/>
      <c r="E233" s="21"/>
      <c r="F233" s="21"/>
      <c r="G233" s="21"/>
      <c r="H233" s="758"/>
      <c r="I233" s="64">
        <v>803.6</v>
      </c>
      <c r="J233" s="164"/>
      <c r="K233" s="4"/>
      <c r="L233" s="1796" t="s">
        <v>4393</v>
      </c>
      <c r="M233" s="1767">
        <v>20</v>
      </c>
      <c r="N233" s="4"/>
      <c r="O233" s="1780">
        <f ca="1">M233*S233*W233</f>
        <v>0</v>
      </c>
      <c r="P233" s="94" t="b">
        <v>0</v>
      </c>
      <c r="Q233" s="633" t="b">
        <v>1</v>
      </c>
      <c r="R233" s="136" t="b">
        <v>0</v>
      </c>
      <c r="S233" s="136" t="b">
        <f ca="1">AND(NOT(OR(LEN(W217)&gt;0,W219)),S14=2)</f>
        <v>0</v>
      </c>
      <c r="T233" s="94" t="b">
        <f ca="1">IF(AND(NOT(S233),W233=TRUE),TRUE,FALSE)</f>
        <v>0</v>
      </c>
      <c r="W233" s="117"/>
      <c r="X233" s="1756"/>
      <c r="AC233" s="353" t="b">
        <f ca="1">OR(AD233:AE233)</f>
        <v>0</v>
      </c>
      <c r="AD233" s="353" t="b">
        <f ca="1">T233</f>
        <v>0</v>
      </c>
      <c r="AE233" s="353"/>
      <c r="AL233" s="254" t="str">
        <f>SUBSTITUTE(SUBSTITUTE(SUBSTITUTE("dpa"&amp;$B233&amp;$C233&amp;$D233&amp;$E233,".","_"),"(","_"),")","")</f>
        <v>dpa803_6</v>
      </c>
      <c r="AM233" s="254">
        <f>M233</f>
        <v>20</v>
      </c>
      <c r="AN233" s="254" t="str">
        <f>SUBSTITUTE(SUBSTITUTE(SUBSTITUTE("dpc"&amp;$B233&amp;$C233&amp;$D233&amp;$E233,".","_"),"(","_"),")","")</f>
        <v>dpc803_6</v>
      </c>
      <c r="AO233" s="254">
        <f ca="1">O233</f>
        <v>0</v>
      </c>
      <c r="AP233" s="254" t="str">
        <f>SUBSTITUTE(SUBSTITUTE(SUBSTITUTE("dch"&amp;$B233&amp;$C233&amp;$D233&amp;$E233,".","_"),"(","_"),")","")</f>
        <v>dch803_6</v>
      </c>
      <c r="AQ233" s="254" t="str">
        <f>IF(LEN(W233)=0,"",W233)</f>
        <v/>
      </c>
      <c r="AR233" s="254" t="str">
        <f>SUBSTITUTE(SUBSTITUTE(SUBSTITUTE("dnt"&amp;$B233&amp;$C233&amp;$D233&amp;$E233,".","_"),"(","_"),")","")</f>
        <v>dnt803_6</v>
      </c>
      <c r="AS233" s="254" t="str">
        <f>IF(LEN(X233)=0,"",X233)</f>
        <v/>
      </c>
      <c r="AZ233"/>
      <c r="BA233"/>
      <c r="BB233"/>
      <c r="BC233"/>
      <c r="BD233"/>
      <c r="BE233"/>
      <c r="BF233"/>
      <c r="BG233"/>
      <c r="BH233"/>
      <c r="BI233"/>
    </row>
    <row r="234" spans="2:61" x14ac:dyDescent="0.25">
      <c r="B234" s="679" t="s">
        <v>4395</v>
      </c>
      <c r="C234" s="21"/>
      <c r="D234" s="21"/>
      <c r="E234" s="21"/>
      <c r="F234" s="21"/>
      <c r="G234" s="21"/>
      <c r="H234" s="758"/>
      <c r="I234" s="64"/>
      <c r="J234" s="164"/>
      <c r="K234" s="4"/>
      <c r="L234" s="1796"/>
      <c r="M234" s="1767"/>
      <c r="N234" s="4"/>
      <c r="O234" s="1780"/>
      <c r="X234" s="1757"/>
      <c r="AZ234"/>
      <c r="BA234"/>
      <c r="BB234"/>
      <c r="BC234"/>
      <c r="BD234"/>
      <c r="BE234"/>
      <c r="BF234"/>
      <c r="BG234"/>
      <c r="BH234"/>
      <c r="BI234"/>
    </row>
    <row r="235" spans="2:61" x14ac:dyDescent="0.25">
      <c r="B235" s="679" t="s">
        <v>4395</v>
      </c>
      <c r="C235" s="21"/>
      <c r="D235" s="21"/>
      <c r="E235" s="21"/>
      <c r="F235" s="21"/>
      <c r="G235" s="21"/>
      <c r="H235" s="758"/>
      <c r="I235" s="64"/>
      <c r="J235" s="164"/>
      <c r="K235" s="4"/>
      <c r="L235" s="163" t="s">
        <v>4477</v>
      </c>
      <c r="M235" s="1767"/>
      <c r="N235" s="4"/>
      <c r="O235" s="1780"/>
      <c r="X235" s="1757"/>
      <c r="AZ235"/>
      <c r="BA235"/>
      <c r="BB235"/>
      <c r="BC235"/>
      <c r="BD235"/>
      <c r="BE235"/>
      <c r="BF235"/>
      <c r="BG235"/>
      <c r="BH235"/>
      <c r="BI235"/>
    </row>
    <row r="236" spans="2:61" customFormat="1" ht="18.75" x14ac:dyDescent="0.3">
      <c r="B236" s="909">
        <v>804</v>
      </c>
      <c r="I236" s="14" t="s">
        <v>4485</v>
      </c>
      <c r="J236" s="963"/>
      <c r="K236" s="963"/>
      <c r="L236" s="228"/>
      <c r="M236" s="23"/>
      <c r="N236" s="23"/>
      <c r="O236" s="23"/>
      <c r="P236" s="23"/>
      <c r="Q236" s="23"/>
      <c r="R236" s="23"/>
      <c r="S236" s="23"/>
      <c r="T236" s="23"/>
      <c r="U236" s="23"/>
      <c r="V236" s="23"/>
      <c r="W236" s="23"/>
      <c r="X236" s="23"/>
      <c r="AX236" s="76"/>
      <c r="AY236" s="76"/>
    </row>
    <row r="237" spans="2:61" customFormat="1" x14ac:dyDescent="0.25">
      <c r="B237" s="909">
        <v>804.1</v>
      </c>
      <c r="I237" s="946">
        <v>804.1</v>
      </c>
      <c r="J237" s="850"/>
      <c r="K237" s="850"/>
      <c r="L237" s="1782" t="s">
        <v>5590</v>
      </c>
      <c r="M237" s="1925" t="str">
        <f>IFERROR(IF(W239&gt;0,INDEX(R240:R243,MATCH(W239,S240:S243,-1)),"None"),"None")</f>
        <v>None</v>
      </c>
      <c r="AL237" s="254"/>
      <c r="AM237" s="254"/>
      <c r="AX237" s="76"/>
      <c r="AY237" s="76"/>
    </row>
    <row r="238" spans="2:61" customFormat="1" x14ac:dyDescent="0.25">
      <c r="B238" s="909">
        <v>804.1</v>
      </c>
      <c r="I238" s="949"/>
      <c r="J238" s="851"/>
      <c r="K238" s="851"/>
      <c r="L238" s="1843"/>
      <c r="M238" s="1926"/>
      <c r="W238" t="s">
        <v>4486</v>
      </c>
      <c r="AX238" s="76"/>
      <c r="AY238" s="76"/>
      <c r="AZ238" s="76"/>
      <c r="BA238" s="76"/>
      <c r="BB238" s="76"/>
      <c r="BC238" s="76"/>
      <c r="BD238" s="76"/>
      <c r="BE238" s="76"/>
      <c r="BF238" s="76"/>
      <c r="BG238" s="76"/>
      <c r="BH238" s="76"/>
      <c r="BI238" s="76"/>
    </row>
    <row r="239" spans="2:61" customFormat="1" x14ac:dyDescent="0.25">
      <c r="B239" s="909">
        <v>804.2</v>
      </c>
      <c r="I239" s="992">
        <v>804.2</v>
      </c>
      <c r="J239" s="849"/>
      <c r="K239" s="849"/>
      <c r="L239" s="1864" t="s">
        <v>4481</v>
      </c>
      <c r="M239" s="1926"/>
      <c r="P239" t="b">
        <v>0</v>
      </c>
      <c r="Q239" t="b">
        <v>1</v>
      </c>
      <c r="R239" t="b">
        <f ca="1">S239</f>
        <v>0</v>
      </c>
      <c r="S239" s="868" t="b">
        <f ca="1">S14=1</f>
        <v>0</v>
      </c>
      <c r="T239" s="1488" t="b">
        <f ca="1">AND(LEN(W239)&gt;0,NOT(S239))</f>
        <v>0</v>
      </c>
      <c r="W239" s="513"/>
      <c r="X239" s="1757"/>
      <c r="AC239" s="1488" t="b">
        <f ca="1">OR(AD239:AE239)</f>
        <v>0</v>
      </c>
      <c r="AD239" s="1488" t="b">
        <f ca="1">T239</f>
        <v>0</v>
      </c>
      <c r="AP239" s="254" t="str">
        <f>SUBSTITUTE(SUBSTITUTE(SUBSTITUTE("dch"&amp;$B239&amp;$C239&amp;$D239&amp;$E239,".","_"),"(","_"),")","")</f>
        <v>dch804_2</v>
      </c>
      <c r="AQ239" s="254" t="str">
        <f>IF(LEN(W239)=0,"",W239)</f>
        <v/>
      </c>
      <c r="AR239" s="254" t="str">
        <f>SUBSTITUTE(SUBSTITUTE(SUBSTITUTE("dnt"&amp;$B239&amp;$C239&amp;$D239&amp;$E239,".","_"),"(","_"),")","")</f>
        <v>dnt804_2</v>
      </c>
      <c r="AS239" s="254" t="str">
        <f>IF(LEN(X239)=0,"",X239)</f>
        <v/>
      </c>
      <c r="AX239" s="76"/>
      <c r="AY239" s="76"/>
      <c r="AZ239" s="76"/>
      <c r="BA239" s="76"/>
      <c r="BB239" s="76"/>
      <c r="BC239" s="76"/>
      <c r="BD239" s="76"/>
      <c r="BE239" s="76"/>
      <c r="BF239" s="76"/>
      <c r="BG239" s="76"/>
      <c r="BH239" s="76"/>
      <c r="BI239" s="76"/>
    </row>
    <row r="240" spans="2:61" customFormat="1" x14ac:dyDescent="0.25">
      <c r="B240" s="909">
        <v>804.2</v>
      </c>
      <c r="I240" s="949"/>
      <c r="J240" s="851"/>
      <c r="K240" s="851"/>
      <c r="L240" s="1843"/>
      <c r="M240" s="1926"/>
      <c r="R240" s="1" t="s">
        <v>292</v>
      </c>
      <c r="S240" s="1">
        <v>70</v>
      </c>
      <c r="X240" s="1757"/>
      <c r="AX240" s="76"/>
      <c r="AY240" s="76"/>
      <c r="AZ240" s="76"/>
      <c r="BA240" s="76"/>
      <c r="BB240" s="76"/>
      <c r="BC240" s="76"/>
      <c r="BD240" s="76"/>
      <c r="BE240" s="76"/>
      <c r="BF240" s="76"/>
      <c r="BG240" s="76"/>
      <c r="BH240" s="76"/>
      <c r="BI240" s="76"/>
    </row>
    <row r="241" spans="2:61" customFormat="1" x14ac:dyDescent="0.25">
      <c r="B241" s="909">
        <v>804.3</v>
      </c>
      <c r="I241" s="943">
        <v>804.3</v>
      </c>
      <c r="J241" s="845"/>
      <c r="K241" s="845"/>
      <c r="L241" s="1796" t="s">
        <v>4482</v>
      </c>
      <c r="M241" s="1416"/>
      <c r="O241" s="1927">
        <f ca="1">ROUND(IF(LEN(W239)=0,0,(W239*-2.29)+181.7),0)*S239</f>
        <v>0</v>
      </c>
      <c r="R241" s="1" t="s">
        <v>293</v>
      </c>
      <c r="S241" s="1">
        <v>60</v>
      </c>
      <c r="AN241" s="254" t="str">
        <f>SUBSTITUTE(SUBSTITUTE(SUBSTITUTE("dpc"&amp;$B241&amp;$C241&amp;$D241&amp;$E241,".","_"),"(","_"),")","")</f>
        <v>dpc804_3</v>
      </c>
      <c r="AO241" s="254">
        <f ca="1">O241</f>
        <v>0</v>
      </c>
      <c r="AX241" s="76"/>
      <c r="AY241" s="76"/>
      <c r="AZ241" s="76"/>
      <c r="BA241" s="76"/>
      <c r="BB241" s="76"/>
      <c r="BC241" s="76"/>
      <c r="BD241" s="76"/>
      <c r="BE241" s="76"/>
      <c r="BF241" s="76"/>
      <c r="BG241" s="76"/>
      <c r="BH241" s="76"/>
      <c r="BI241" s="76"/>
    </row>
    <row r="242" spans="2:61" customFormat="1" x14ac:dyDescent="0.25">
      <c r="B242" s="909">
        <v>804.3</v>
      </c>
      <c r="I242" s="909"/>
      <c r="J242" s="845"/>
      <c r="K242" s="845"/>
      <c r="L242" s="1796"/>
      <c r="M242" s="1416"/>
      <c r="O242" s="1927"/>
      <c r="R242" s="1" t="s">
        <v>294</v>
      </c>
      <c r="S242" s="1">
        <v>50</v>
      </c>
      <c r="AX242" s="76"/>
      <c r="AY242" s="76"/>
      <c r="AZ242" s="76"/>
      <c r="BA242" s="76"/>
      <c r="BB242" s="76"/>
      <c r="BC242" s="76"/>
      <c r="BD242" s="76"/>
      <c r="BE242" s="76"/>
      <c r="BF242" s="76"/>
      <c r="BG242" s="76"/>
      <c r="BH242" s="76"/>
      <c r="BI242" s="76"/>
    </row>
    <row r="243" spans="2:61" customFormat="1" x14ac:dyDescent="0.25">
      <c r="B243" s="909">
        <v>804.3</v>
      </c>
      <c r="I243" s="909"/>
      <c r="J243" s="845"/>
      <c r="K243" s="845"/>
      <c r="L243" s="1796"/>
      <c r="M243" s="1416"/>
      <c r="O243" s="1927"/>
      <c r="R243" s="1" t="s">
        <v>290</v>
      </c>
      <c r="S243" s="1">
        <v>40</v>
      </c>
      <c r="AX243" s="76"/>
      <c r="AY243" s="76"/>
      <c r="AZ243" s="76"/>
      <c r="BA243" s="76"/>
      <c r="BB243" s="76"/>
      <c r="BC243" s="76"/>
      <c r="BD243" s="76"/>
      <c r="BE243" s="76"/>
      <c r="BF243" s="76"/>
      <c r="BG243" s="76"/>
      <c r="BH243" s="76"/>
      <c r="BI243" s="76"/>
    </row>
    <row r="244" spans="2:61" customFormat="1" x14ac:dyDescent="0.25">
      <c r="B244" s="909">
        <v>804.3</v>
      </c>
      <c r="I244" s="909"/>
      <c r="J244" s="845"/>
      <c r="K244" s="845"/>
      <c r="L244" s="237" t="s">
        <v>4483</v>
      </c>
      <c r="M244" s="1416"/>
      <c r="O244" s="1927"/>
      <c r="AX244" s="76"/>
      <c r="AY244" s="76"/>
      <c r="AZ244" s="76"/>
      <c r="BA244" s="76"/>
      <c r="BB244" s="76"/>
      <c r="BC244" s="76"/>
      <c r="BD244" s="76"/>
      <c r="BE244" s="76"/>
      <c r="BF244" s="76"/>
      <c r="BG244" s="76"/>
      <c r="BH244" s="76"/>
      <c r="BI244" s="76"/>
    </row>
    <row r="245" spans="2:61" customFormat="1" ht="15.75" thickBot="1" x14ac:dyDescent="0.3">
      <c r="B245" s="909">
        <v>804.3</v>
      </c>
      <c r="I245" s="909"/>
      <c r="J245" s="845"/>
      <c r="K245" s="845"/>
      <c r="L245" s="237" t="s">
        <v>4484</v>
      </c>
      <c r="M245" s="1415"/>
      <c r="O245" s="1928"/>
      <c r="AX245" s="76"/>
      <c r="AY245" s="76"/>
      <c r="AZ245" s="76"/>
      <c r="BA245" s="76"/>
      <c r="BB245" s="76"/>
      <c r="BC245" s="76"/>
      <c r="BD245" s="76"/>
      <c r="BE245" s="76"/>
      <c r="BF245" s="76"/>
      <c r="BG245" s="76"/>
      <c r="BH245" s="76"/>
      <c r="BI245" s="76"/>
    </row>
    <row r="246" spans="2:61" ht="16.5" thickTop="1" thickBot="1" x14ac:dyDescent="0.3">
      <c r="I246" s="200" t="s">
        <v>3616</v>
      </c>
      <c r="J246" s="953"/>
      <c r="K246" s="201"/>
      <c r="L246" s="201"/>
      <c r="M246" s="202"/>
      <c r="N246" s="201"/>
      <c r="O246" s="203"/>
      <c r="P246" s="201"/>
      <c r="Q246" s="201"/>
      <c r="R246" s="201"/>
      <c r="S246" s="201"/>
      <c r="T246" s="201"/>
      <c r="U246" s="201"/>
      <c r="V246" s="201"/>
      <c r="W246" s="201"/>
      <c r="X246" s="261" t="s">
        <v>3617</v>
      </c>
    </row>
    <row r="247" spans="2:61" ht="15.75" thickTop="1" x14ac:dyDescent="0.25"/>
  </sheetData>
  <sheetProtection algorithmName="SHA-512" hashValue="DcdK2bXAO7xEMPPfAhFTccz9vpb7NwOdtNq8ftpdmJGTdRPd01YO2xxSO01bXoLUNinw9QxLmtUnlU/Js0XnBg==" saltValue="15StCmEasC3Ic6LIuaGEGA==" spinCount="100000" sheet="1" objects="1" scenarios="1" selectLockedCells="1"/>
  <mergeCells count="201">
    <mergeCell ref="M237:M240"/>
    <mergeCell ref="O241:O245"/>
    <mergeCell ref="X223:X227"/>
    <mergeCell ref="H1:H7"/>
    <mergeCell ref="X231:X232"/>
    <mergeCell ref="X233:X235"/>
    <mergeCell ref="X56:X61"/>
    <mergeCell ref="X189:X190"/>
    <mergeCell ref="X192:X193"/>
    <mergeCell ref="X217:X218"/>
    <mergeCell ref="X220:X222"/>
    <mergeCell ref="X228:X230"/>
    <mergeCell ref="X143:X144"/>
    <mergeCell ref="X158:X161"/>
    <mergeCell ref="X164:X165"/>
    <mergeCell ref="X175:X185"/>
    <mergeCell ref="X124:X130"/>
    <mergeCell ref="X134:X137"/>
    <mergeCell ref="X138:X139"/>
    <mergeCell ref="X145:X147"/>
    <mergeCell ref="X151:X152"/>
    <mergeCell ref="X92:X96"/>
    <mergeCell ref="X97:X98"/>
    <mergeCell ref="X117:X119"/>
    <mergeCell ref="M233:M235"/>
    <mergeCell ref="M231:M232"/>
    <mergeCell ref="M228:M230"/>
    <mergeCell ref="M140:M141"/>
    <mergeCell ref="O140:O141"/>
    <mergeCell ref="M158:M159"/>
    <mergeCell ref="M156:M157"/>
    <mergeCell ref="O145:O147"/>
    <mergeCell ref="O158:O159"/>
    <mergeCell ref="O151:O152"/>
    <mergeCell ref="M151:M152"/>
    <mergeCell ref="M143:M144"/>
    <mergeCell ref="M145:M147"/>
    <mergeCell ref="O213:O215"/>
    <mergeCell ref="M181:M182"/>
    <mergeCell ref="M183:M185"/>
    <mergeCell ref="M189:M190"/>
    <mergeCell ref="O186:O188"/>
    <mergeCell ref="M192:M193"/>
    <mergeCell ref="O192:O193"/>
    <mergeCell ref="O231:O232"/>
    <mergeCell ref="M208:M210"/>
    <mergeCell ref="O228:O230"/>
    <mergeCell ref="I1:L1"/>
    <mergeCell ref="M1:W5"/>
    <mergeCell ref="I2:L2"/>
    <mergeCell ref="I3:L3"/>
    <mergeCell ref="I4:L4"/>
    <mergeCell ref="I5:L5"/>
    <mergeCell ref="V6:V7"/>
    <mergeCell ref="W6:W7"/>
    <mergeCell ref="U6:U7"/>
    <mergeCell ref="I6:K7"/>
    <mergeCell ref="L6:L7"/>
    <mergeCell ref="M6:M7"/>
    <mergeCell ref="N6:N7"/>
    <mergeCell ref="P6:P7"/>
    <mergeCell ref="M89:M91"/>
    <mergeCell ref="L80:L88"/>
    <mergeCell ref="M82:M88"/>
    <mergeCell ref="L89:L91"/>
    <mergeCell ref="L60:L61"/>
    <mergeCell ref="X80:X91"/>
    <mergeCell ref="L75:L78"/>
    <mergeCell ref="O80:O88"/>
    <mergeCell ref="L66:L69"/>
    <mergeCell ref="L73:L74"/>
    <mergeCell ref="L71:L72"/>
    <mergeCell ref="X4:X5"/>
    <mergeCell ref="Q6:Q7"/>
    <mergeCell ref="X6:X7"/>
    <mergeCell ref="R6:R7"/>
    <mergeCell ref="S6:S7"/>
    <mergeCell ref="T6:T7"/>
    <mergeCell ref="X34:X44"/>
    <mergeCell ref="X45:X49"/>
    <mergeCell ref="X50:X52"/>
    <mergeCell ref="L10:L12"/>
    <mergeCell ref="L13:L18"/>
    <mergeCell ref="X13:X18"/>
    <mergeCell ref="L64:L65"/>
    <mergeCell ref="L20:L24"/>
    <mergeCell ref="L25:L27"/>
    <mergeCell ref="L34:L35"/>
    <mergeCell ref="L36:L37"/>
    <mergeCell ref="L28:L30"/>
    <mergeCell ref="O20:O24"/>
    <mergeCell ref="M34:M35"/>
    <mergeCell ref="M36:M37"/>
    <mergeCell ref="M38:M39"/>
    <mergeCell ref="M40:M42"/>
    <mergeCell ref="O50:O52"/>
    <mergeCell ref="O56:O57"/>
    <mergeCell ref="X64:X65"/>
    <mergeCell ref="L38:L39"/>
    <mergeCell ref="L40:L42"/>
    <mergeCell ref="L43:L44"/>
    <mergeCell ref="L50:L52"/>
    <mergeCell ref="L45:L49"/>
    <mergeCell ref="L53:L54"/>
    <mergeCell ref="L58:L59"/>
    <mergeCell ref="O92:O94"/>
    <mergeCell ref="M75:M78"/>
    <mergeCell ref="O75:O78"/>
    <mergeCell ref="M43:M44"/>
    <mergeCell ref="M45:M49"/>
    <mergeCell ref="M50:M52"/>
    <mergeCell ref="M80:M81"/>
    <mergeCell ref="M138:M139"/>
    <mergeCell ref="X66:X69"/>
    <mergeCell ref="X73:X74"/>
    <mergeCell ref="X75:X78"/>
    <mergeCell ref="M64:M65"/>
    <mergeCell ref="O64:O65"/>
    <mergeCell ref="M66:M69"/>
    <mergeCell ref="O66:O69"/>
    <mergeCell ref="M73:M74"/>
    <mergeCell ref="O73:O74"/>
    <mergeCell ref="M71:M72"/>
    <mergeCell ref="O117:O119"/>
    <mergeCell ref="M117:M119"/>
    <mergeCell ref="M109:M110"/>
    <mergeCell ref="M134:M137"/>
    <mergeCell ref="O134:O137"/>
    <mergeCell ref="O138:O139"/>
    <mergeCell ref="M103:M106"/>
    <mergeCell ref="O97:O98"/>
    <mergeCell ref="M97:M98"/>
    <mergeCell ref="L92:L94"/>
    <mergeCell ref="O223:O225"/>
    <mergeCell ref="L112:L114"/>
    <mergeCell ref="O112:O114"/>
    <mergeCell ref="X112:X116"/>
    <mergeCell ref="L109:L110"/>
    <mergeCell ref="O100:O102"/>
    <mergeCell ref="X100:X111"/>
    <mergeCell ref="L140:L141"/>
    <mergeCell ref="X140:X141"/>
    <mergeCell ref="L162:L163"/>
    <mergeCell ref="L100:L102"/>
    <mergeCell ref="L104:L106"/>
    <mergeCell ref="L117:L118"/>
    <mergeCell ref="L124:L127"/>
    <mergeCell ref="L120:L121"/>
    <mergeCell ref="L122:L123"/>
    <mergeCell ref="L128:L130"/>
    <mergeCell ref="L132:L133"/>
    <mergeCell ref="L135:L137"/>
    <mergeCell ref="L138:L139"/>
    <mergeCell ref="L241:L243"/>
    <mergeCell ref="O156:O157"/>
    <mergeCell ref="X166:X167"/>
    <mergeCell ref="X169:X170"/>
    <mergeCell ref="X171:X172"/>
    <mergeCell ref="L195:L200"/>
    <mergeCell ref="L203:L204"/>
    <mergeCell ref="L208:L210"/>
    <mergeCell ref="O195:O199"/>
    <mergeCell ref="X195:X202"/>
    <mergeCell ref="X203:X206"/>
    <mergeCell ref="O203:O204"/>
    <mergeCell ref="L166:L167"/>
    <mergeCell ref="L169:L170"/>
    <mergeCell ref="L171:L172"/>
    <mergeCell ref="M223:M225"/>
    <mergeCell ref="M217:M218"/>
    <mergeCell ref="L231:L232"/>
    <mergeCell ref="L233:L234"/>
    <mergeCell ref="L192:L193"/>
    <mergeCell ref="L213:L214"/>
    <mergeCell ref="L220:L222"/>
    <mergeCell ref="L223:L225"/>
    <mergeCell ref="L156:L157"/>
    <mergeCell ref="M122:M123"/>
    <mergeCell ref="M124:M127"/>
    <mergeCell ref="O124:O127"/>
    <mergeCell ref="X239:X240"/>
    <mergeCell ref="X208:X210"/>
    <mergeCell ref="L237:L238"/>
    <mergeCell ref="L239:L240"/>
    <mergeCell ref="L151:L152"/>
    <mergeCell ref="L143:L144"/>
    <mergeCell ref="L158:L159"/>
    <mergeCell ref="L186:L188"/>
    <mergeCell ref="L173:L174"/>
    <mergeCell ref="L164:L165"/>
    <mergeCell ref="L177:L178"/>
    <mergeCell ref="L181:L182"/>
    <mergeCell ref="L183:L185"/>
    <mergeCell ref="L153:L154"/>
    <mergeCell ref="L160:L161"/>
    <mergeCell ref="L228:L230"/>
    <mergeCell ref="L145:L147"/>
    <mergeCell ref="X122:X123"/>
    <mergeCell ref="O233:O235"/>
    <mergeCell ref="O220:O222"/>
    <mergeCell ref="M220:M222"/>
  </mergeCells>
  <conditionalFormatting sqref="X2">
    <cfRule type="expression" dxfId="4170" priority="277">
      <formula>$AG$3</formula>
    </cfRule>
  </conditionalFormatting>
  <conditionalFormatting sqref="X3">
    <cfRule type="expression" dxfId="4169" priority="278">
      <formula>$AI$3</formula>
    </cfRule>
  </conditionalFormatting>
  <conditionalFormatting sqref="W55">
    <cfRule type="expression" dxfId="4168" priority="240">
      <formula>OR($T$55 = TRUE, AND($W$55 = TRUE, $S$55 = FALSE))</formula>
    </cfRule>
    <cfRule type="expression" dxfId="4167" priority="241">
      <formula>$S$55 = FALSE</formula>
    </cfRule>
    <cfRule type="expression" dxfId="4166" priority="242">
      <formula>AND(IF($R$55,$W$55,TRUE),LEN(TRIM($W$55))&gt;0)</formula>
    </cfRule>
    <cfRule type="expression" dxfId="4165" priority="243">
      <formula>AND($R$55,$S$55)</formula>
    </cfRule>
  </conditionalFormatting>
  <conditionalFormatting sqref="W21">
    <cfRule type="expression" dxfId="4164" priority="232">
      <formula>OR($T$21 = TRUE, AND(LEN(TRIM($W$21))&gt;0, $S$21 = FALSE))</formula>
    </cfRule>
    <cfRule type="expression" dxfId="4163" priority="233">
      <formula>$S$21 = FALSE</formula>
    </cfRule>
    <cfRule type="expression" dxfId="4162" priority="234">
      <formula>AND($W$21&lt;&gt;"Not Met",LEN(TRIM($W$21))&gt;0)</formula>
    </cfRule>
    <cfRule type="expression" dxfId="4161" priority="235">
      <formula>AND($R$21,$S$21)</formula>
    </cfRule>
  </conditionalFormatting>
  <conditionalFormatting sqref="W50">
    <cfRule type="expression" dxfId="4160" priority="228">
      <formula>OR($T$50 = TRUE, AND($W$50 = TRUE, $S$50 = FALSE))</formula>
    </cfRule>
    <cfRule type="expression" dxfId="4159" priority="229">
      <formula>$S$50 = FALSE</formula>
    </cfRule>
    <cfRule type="expression" dxfId="4158" priority="230">
      <formula>AND(IF($R$50,$W$50,TRUE),LEN(TRIM($W$50))&gt;0)</formula>
    </cfRule>
    <cfRule type="expression" dxfId="4157" priority="231">
      <formula>AND($R$50,$S$50)</formula>
    </cfRule>
  </conditionalFormatting>
  <conditionalFormatting sqref="W56">
    <cfRule type="expression" dxfId="4156" priority="224">
      <formula>OR($T$56 = TRUE, AND(LEN(TRIM($W$56))&gt;0, $S$56 = FALSE))</formula>
    </cfRule>
    <cfRule type="expression" dxfId="4155" priority="225">
      <formula>$S$56 = FALSE</formula>
    </cfRule>
    <cfRule type="expression" dxfId="4154" priority="226">
      <formula>AND($W$56&lt;&gt;"Not Met",LEN(TRIM($W$56))&gt;0)</formula>
    </cfRule>
    <cfRule type="expression" dxfId="4153" priority="227">
      <formula>AND($R$56,$S$56)</formula>
    </cfRule>
  </conditionalFormatting>
  <conditionalFormatting sqref="W80">
    <cfRule type="expression" dxfId="4152" priority="220">
      <formula>OR($T$80 = TRUE, AND(LEN(TRIM($W$80))&gt;0, $S$80 = FALSE))</formula>
    </cfRule>
    <cfRule type="expression" dxfId="4151" priority="221">
      <formula>$S$80 = FALSE</formula>
    </cfRule>
    <cfRule type="expression" dxfId="4150" priority="222">
      <formula>AND($W$80&lt;&gt;"Not Met",LEN(TRIM($W$80))&gt;0)</formula>
    </cfRule>
    <cfRule type="expression" dxfId="4149" priority="223">
      <formula>AND($R$80,$S$80)</formula>
    </cfRule>
  </conditionalFormatting>
  <conditionalFormatting sqref="W92">
    <cfRule type="expression" dxfId="4148" priority="216">
      <formula>OR($T$92 = TRUE, AND(LEN(TRIM($W$92))&gt;0, $S$92 = FALSE))</formula>
    </cfRule>
    <cfRule type="expression" dxfId="4147" priority="217">
      <formula>$S$92 = FALSE</formula>
    </cfRule>
    <cfRule type="expression" dxfId="4146" priority="218">
      <formula>AND($W$92&lt;&gt;"Not Met",LEN(TRIM($W$92))&gt;0)</formula>
    </cfRule>
    <cfRule type="expression" dxfId="4145" priority="219">
      <formula>AND($R$92,$S$92)</formula>
    </cfRule>
  </conditionalFormatting>
  <conditionalFormatting sqref="W97">
    <cfRule type="expression" dxfId="4144" priority="212">
      <formula>OR($T$97 = TRUE, AND(LEN(TRIM($W$97))&gt;0, $S$97 = FALSE))</formula>
    </cfRule>
    <cfRule type="expression" dxfId="4143" priority="213">
      <formula>$S$97 = FALSE</formula>
    </cfRule>
    <cfRule type="expression" dxfId="4142" priority="214">
      <formula>AND($W$97&lt;&gt;"Not Met",LEN(TRIM($W$97))&gt;0)</formula>
    </cfRule>
    <cfRule type="expression" dxfId="4141" priority="215">
      <formula>AND($R$97,$S$97)</formula>
    </cfRule>
  </conditionalFormatting>
  <conditionalFormatting sqref="W117">
    <cfRule type="expression" dxfId="4140" priority="196">
      <formula>OR($T$117 = TRUE, AND(LEN(TRIM($W$117))&gt;0, $S$117 = FALSE))</formula>
    </cfRule>
    <cfRule type="expression" dxfId="4139" priority="197">
      <formula>$S$117 = FALSE</formula>
    </cfRule>
    <cfRule type="expression" dxfId="4138" priority="198">
      <formula>AND($W$117&lt;&gt;"Not Met",LEN(TRIM($W$117))&gt;0)</formula>
    </cfRule>
    <cfRule type="expression" dxfId="4137" priority="199">
      <formula>AND($R$117,$S$117)</formula>
    </cfRule>
  </conditionalFormatting>
  <conditionalFormatting sqref="M122:M123">
    <cfRule type="expression" dxfId="4136" priority="195">
      <formula>NOT(O131&gt;0)</formula>
    </cfRule>
  </conditionalFormatting>
  <conditionalFormatting sqref="W131">
    <cfRule type="expression" dxfId="4135" priority="191">
      <formula>OR($T$131 = TRUE, AND($W$131 = TRUE, $S$131 = FALSE))</formula>
    </cfRule>
    <cfRule type="expression" dxfId="4134" priority="192">
      <formula>$S$131 = FALSE</formula>
    </cfRule>
    <cfRule type="expression" dxfId="4133" priority="193">
      <formula>AND(IF($R$131,$W$131,TRUE),LEN(TRIM($W$131))&gt;0)</formula>
    </cfRule>
    <cfRule type="expression" dxfId="4132" priority="194">
      <formula>AND($R$131,$S$131)</formula>
    </cfRule>
  </conditionalFormatting>
  <conditionalFormatting sqref="W138">
    <cfRule type="expression" dxfId="4131" priority="187">
      <formula>OR($T$138 = TRUE, AND($W$138 = TRUE, $S$138 = FALSE))</formula>
    </cfRule>
    <cfRule type="expression" dxfId="4130" priority="188">
      <formula>$S$138 = FALSE</formula>
    </cfRule>
    <cfRule type="expression" dxfId="4129" priority="189">
      <formula>AND(IF($R$138,$W$138,TRUE),LEN(TRIM($W$138))&gt;0)</formula>
    </cfRule>
    <cfRule type="expression" dxfId="4128" priority="190">
      <formula>AND($R$138,$S$138)</formula>
    </cfRule>
  </conditionalFormatting>
  <conditionalFormatting sqref="W140">
    <cfRule type="expression" dxfId="4127" priority="186">
      <formula>AND($R$140,$S$140)</formula>
    </cfRule>
  </conditionalFormatting>
  <conditionalFormatting sqref="W140">
    <cfRule type="expression" dxfId="4126" priority="185">
      <formula>AND(IF($R$140,$W$140,TRUE),LEN(TRIM($W$140))&gt;0)</formula>
    </cfRule>
  </conditionalFormatting>
  <conditionalFormatting sqref="W140">
    <cfRule type="expression" dxfId="4125" priority="184">
      <formula>$S$140 = FALSE</formula>
    </cfRule>
  </conditionalFormatting>
  <conditionalFormatting sqref="W140">
    <cfRule type="expression" dxfId="4124" priority="183">
      <formula>OR($T$140 = TRUE, AND($W$140 = TRUE, $S$140 = FALSE))</formula>
    </cfRule>
  </conditionalFormatting>
  <conditionalFormatting sqref="W124">
    <cfRule type="expression" dxfId="4123" priority="182">
      <formula>AND($R$124,$S$124)</formula>
    </cfRule>
  </conditionalFormatting>
  <conditionalFormatting sqref="W124">
    <cfRule type="expression" dxfId="4122" priority="181">
      <formula>AND($W$124&lt;&gt;"Not Met",LEN(TRIM($W$124))&gt;0)</formula>
    </cfRule>
  </conditionalFormatting>
  <conditionalFormatting sqref="W124">
    <cfRule type="expression" dxfId="4121" priority="180">
      <formula>$S$124 = FALSE</formula>
    </cfRule>
  </conditionalFormatting>
  <conditionalFormatting sqref="W124">
    <cfRule type="expression" dxfId="4120" priority="179">
      <formula>OR($T$124 = TRUE, AND(LEN(TRIM($W$124))&gt;0, $S$124 = FALSE))</formula>
    </cfRule>
  </conditionalFormatting>
  <conditionalFormatting sqref="W134">
    <cfRule type="expression" dxfId="4119" priority="178">
      <formula>AND($R$134,$S$134)</formula>
    </cfRule>
  </conditionalFormatting>
  <conditionalFormatting sqref="W134">
    <cfRule type="expression" dxfId="4118" priority="177">
      <formula>AND($W$134&lt;&gt;"Not Met",LEN(TRIM($W$134))&gt;0)</formula>
    </cfRule>
  </conditionalFormatting>
  <conditionalFormatting sqref="W134">
    <cfRule type="expression" dxfId="4117" priority="176">
      <formula>$S$134 = FALSE</formula>
    </cfRule>
  </conditionalFormatting>
  <conditionalFormatting sqref="W134">
    <cfRule type="expression" dxfId="4116" priority="175">
      <formula>OR($T$134 = TRUE, AND(LEN(TRIM($W$134))&gt;0, $S$134 = FALSE))</formula>
    </cfRule>
  </conditionalFormatting>
  <conditionalFormatting sqref="W156">
    <cfRule type="expression" dxfId="4115" priority="162">
      <formula>AND($R$156,$S$156)</formula>
    </cfRule>
  </conditionalFormatting>
  <conditionalFormatting sqref="W156">
    <cfRule type="expression" dxfId="4114" priority="161">
      <formula>AND(IF($R$156,$W$156,TRUE),LEN(TRIM($W$156))&gt;0)</formula>
    </cfRule>
  </conditionalFormatting>
  <conditionalFormatting sqref="W156">
    <cfRule type="expression" dxfId="4113" priority="160">
      <formula>$S$156 = FALSE</formula>
    </cfRule>
  </conditionalFormatting>
  <conditionalFormatting sqref="W156">
    <cfRule type="expression" dxfId="4112" priority="159">
      <formula>OR($T$156 = TRUE, AND($W$156 = TRUE, $S$156 = FALSE))</formula>
    </cfRule>
  </conditionalFormatting>
  <conditionalFormatting sqref="W158">
    <cfRule type="expression" dxfId="4111" priority="158">
      <formula>AND($R$158,$S$158)</formula>
    </cfRule>
  </conditionalFormatting>
  <conditionalFormatting sqref="W158">
    <cfRule type="expression" dxfId="4110" priority="157">
      <formula>AND(IF($R$158,$W$158,TRUE),LEN(TRIM($W$158))&gt;0)</formula>
    </cfRule>
  </conditionalFormatting>
  <conditionalFormatting sqref="W158">
    <cfRule type="expression" dxfId="4109" priority="156">
      <formula>$S$158 = FALSE</formula>
    </cfRule>
  </conditionalFormatting>
  <conditionalFormatting sqref="W158">
    <cfRule type="expression" dxfId="4108" priority="155">
      <formula>OR($T$158 = TRUE, AND($W$158 = TRUE, $S$158 = FALSE))</formula>
    </cfRule>
  </conditionalFormatting>
  <conditionalFormatting sqref="W164">
    <cfRule type="expression" dxfId="4107" priority="154">
      <formula>AND($R$164,$S$164)</formula>
    </cfRule>
  </conditionalFormatting>
  <conditionalFormatting sqref="W164">
    <cfRule type="expression" dxfId="4106" priority="153">
      <formula>AND(IF($R$164,$W$164,TRUE),LEN(TRIM($W$164))&gt;0)</formula>
    </cfRule>
  </conditionalFormatting>
  <conditionalFormatting sqref="W164">
    <cfRule type="expression" dxfId="4105" priority="152">
      <formula>$S$164 = FALSE</formula>
    </cfRule>
  </conditionalFormatting>
  <conditionalFormatting sqref="W164">
    <cfRule type="expression" dxfId="4104" priority="151">
      <formula>OR($T$164 = TRUE, AND($W$164 = TRUE, $S$164 = FALSE))</formula>
    </cfRule>
  </conditionalFormatting>
  <conditionalFormatting sqref="W175">
    <cfRule type="expression" dxfId="4103" priority="150">
      <formula>AND($R$175,$S$175)</formula>
    </cfRule>
  </conditionalFormatting>
  <conditionalFormatting sqref="W175">
    <cfRule type="expression" dxfId="4102" priority="149">
      <formula>AND($W$175&lt;&gt;"Not Met",LEN(TRIM($W$175))&gt;0)</formula>
    </cfRule>
  </conditionalFormatting>
  <conditionalFormatting sqref="W175">
    <cfRule type="expression" dxfId="4101" priority="148">
      <formula>$S$175 = FALSE</formula>
    </cfRule>
  </conditionalFormatting>
  <conditionalFormatting sqref="W175">
    <cfRule type="expression" dxfId="4100" priority="147">
      <formula>OR($T$175 = TRUE, AND(LEN(TRIM($W$175))&gt;0, $S$175 = FALSE))</formula>
    </cfRule>
  </conditionalFormatting>
  <conditionalFormatting sqref="W192">
    <cfRule type="expression" dxfId="4099" priority="146">
      <formula>AND($R$192,$S$192)</formula>
    </cfRule>
  </conditionalFormatting>
  <conditionalFormatting sqref="W192">
    <cfRule type="expression" dxfId="4098" priority="145">
      <formula>AND(IF($R$192,$W$192,TRUE),LEN(TRIM($W$192))&gt;0)</formula>
    </cfRule>
  </conditionalFormatting>
  <conditionalFormatting sqref="W192">
    <cfRule type="expression" dxfId="4097" priority="144">
      <formula>$S$192 = FALSE</formula>
    </cfRule>
  </conditionalFormatting>
  <conditionalFormatting sqref="W192">
    <cfRule type="expression" dxfId="4096" priority="143">
      <formula>OR($T$192 = TRUE, AND($W$192 = TRUE, $S$192 = FALSE))</formula>
    </cfRule>
  </conditionalFormatting>
  <conditionalFormatting sqref="W191">
    <cfRule type="expression" dxfId="4095" priority="142">
      <formula>AND($R$191,$S$191)</formula>
    </cfRule>
  </conditionalFormatting>
  <conditionalFormatting sqref="W191">
    <cfRule type="expression" dxfId="4094" priority="141">
      <formula>AND(IF($R$191,$W$191,TRUE),LEN(TRIM($W$191))&gt;0)</formula>
    </cfRule>
  </conditionalFormatting>
  <conditionalFormatting sqref="W191">
    <cfRule type="expression" dxfId="4093" priority="140">
      <formula>$S$191 = FALSE</formula>
    </cfRule>
  </conditionalFormatting>
  <conditionalFormatting sqref="W191">
    <cfRule type="expression" dxfId="4092" priority="139">
      <formula>OR($T$191 = TRUE, AND($W$191 = TRUE, $S$191 = FALSE))</formula>
    </cfRule>
  </conditionalFormatting>
  <conditionalFormatting sqref="W189">
    <cfRule type="expression" dxfId="4091" priority="138">
      <formula>AND($R$189,$S$189)</formula>
    </cfRule>
  </conditionalFormatting>
  <conditionalFormatting sqref="W189">
    <cfRule type="expression" dxfId="4090" priority="137">
      <formula>AND($W$189&lt;&gt;"Not Met",LEN(TRIM($W$189))&gt;0)</formula>
    </cfRule>
  </conditionalFormatting>
  <conditionalFormatting sqref="W189">
    <cfRule type="expression" dxfId="4089" priority="136">
      <formula>$S$189 = FALSE</formula>
    </cfRule>
  </conditionalFormatting>
  <conditionalFormatting sqref="W189">
    <cfRule type="expression" dxfId="4088" priority="135">
      <formula>OR($T$189 = TRUE, AND(LEN(TRIM($W$189))&gt;0, $S$189 = FALSE))</formula>
    </cfRule>
  </conditionalFormatting>
  <conditionalFormatting sqref="W233">
    <cfRule type="expression" dxfId="4087" priority="134">
      <formula>AND($R$233,$S$233)</formula>
    </cfRule>
  </conditionalFormatting>
  <conditionalFormatting sqref="W233">
    <cfRule type="expression" dxfId="4086" priority="133">
      <formula>AND(IF($R$233,$W$233,TRUE),LEN(TRIM($W$233))&gt;0)</formula>
    </cfRule>
  </conditionalFormatting>
  <conditionalFormatting sqref="W233">
    <cfRule type="expression" dxfId="4085" priority="132">
      <formula>$S$233 = FALSE</formula>
    </cfRule>
  </conditionalFormatting>
  <conditionalFormatting sqref="W233">
    <cfRule type="expression" dxfId="4084" priority="131">
      <formula>OR($T$233 = TRUE, AND($W$233 = TRUE, $S$233 = FALSE))</formula>
    </cfRule>
  </conditionalFormatting>
  <conditionalFormatting sqref="W231">
    <cfRule type="expression" dxfId="4083" priority="130">
      <formula>AND($R$231,$S$231)</formula>
    </cfRule>
  </conditionalFormatting>
  <conditionalFormatting sqref="W231">
    <cfRule type="expression" dxfId="4082" priority="129">
      <formula>AND(IF($R$231,$W$231,TRUE),LEN(TRIM($W$231))&gt;0)</formula>
    </cfRule>
  </conditionalFormatting>
  <conditionalFormatting sqref="W231">
    <cfRule type="expression" dxfId="4081" priority="128">
      <formula>$S$231 = FALSE</formula>
    </cfRule>
  </conditionalFormatting>
  <conditionalFormatting sqref="W231">
    <cfRule type="expression" dxfId="4080" priority="127">
      <formula>OR($T$231 = TRUE, AND($W$231 = TRUE, $S$231 = FALSE))</formula>
    </cfRule>
  </conditionalFormatting>
  <conditionalFormatting sqref="W228">
    <cfRule type="expression" dxfId="4079" priority="126">
      <formula>AND($R$228,$S$228)</formula>
    </cfRule>
  </conditionalFormatting>
  <conditionalFormatting sqref="W228">
    <cfRule type="expression" dxfId="4078" priority="125">
      <formula>AND(IF($R$228,$W$228,TRUE),LEN(TRIM($W$228))&gt;0)</formula>
    </cfRule>
  </conditionalFormatting>
  <conditionalFormatting sqref="W228">
    <cfRule type="expression" dxfId="4077" priority="124">
      <formula>$S$228 = FALSE</formula>
    </cfRule>
  </conditionalFormatting>
  <conditionalFormatting sqref="W228">
    <cfRule type="expression" dxfId="4076" priority="123">
      <formula>OR($T$228 = TRUE, AND($W$228 = TRUE, $S$228 = FALSE))</formula>
    </cfRule>
  </conditionalFormatting>
  <conditionalFormatting sqref="W219">
    <cfRule type="expression" dxfId="4075" priority="114">
      <formula>AND($R$219,$S$219)</formula>
    </cfRule>
  </conditionalFormatting>
  <conditionalFormatting sqref="W219">
    <cfRule type="expression" dxfId="4074" priority="113">
      <formula>AND(IF($R$219,$W$219,TRUE),LEN(TRIM($W$219))&gt;0)</formula>
    </cfRule>
  </conditionalFormatting>
  <conditionalFormatting sqref="W219">
    <cfRule type="expression" dxfId="4073" priority="112">
      <formula>$S$219 = FALSE</formula>
    </cfRule>
  </conditionalFormatting>
  <conditionalFormatting sqref="W219">
    <cfRule type="expression" dxfId="4072" priority="111">
      <formula>OR($T$219 = TRUE, AND($W$219 = TRUE, $S$219 = FALSE))</formula>
    </cfRule>
  </conditionalFormatting>
  <conditionalFormatting sqref="W221">
    <cfRule type="expression" dxfId="4071" priority="110">
      <formula>AND(R221,S221)</formula>
    </cfRule>
  </conditionalFormatting>
  <conditionalFormatting sqref="W221">
    <cfRule type="expression" dxfId="4070" priority="109">
      <formula>AND(R221,LEN(TRIM(W221))&gt;0)</formula>
    </cfRule>
  </conditionalFormatting>
  <conditionalFormatting sqref="W221">
    <cfRule type="expression" dxfId="4069" priority="108">
      <formula>S221 = FALSE</formula>
    </cfRule>
  </conditionalFormatting>
  <conditionalFormatting sqref="W221">
    <cfRule type="expression" dxfId="4068" priority="107">
      <formula>OR(T221 = TRUE, AND(W221 &gt; 0, S221 = FALSE))</formula>
    </cfRule>
  </conditionalFormatting>
  <conditionalFormatting sqref="W217">
    <cfRule type="expression" dxfId="4067" priority="106">
      <formula>AND($R$217,$S$217)</formula>
    </cfRule>
  </conditionalFormatting>
  <conditionalFormatting sqref="W217">
    <cfRule type="expression" dxfId="4066" priority="105">
      <formula>AND($W$217&lt;&gt;"Not Met",LEN(TRIM($W$217))&gt;0)</formula>
    </cfRule>
  </conditionalFormatting>
  <conditionalFormatting sqref="W217">
    <cfRule type="expression" dxfId="4065" priority="104">
      <formula>$S$217 = FALSE</formula>
    </cfRule>
  </conditionalFormatting>
  <conditionalFormatting sqref="W217">
    <cfRule type="expression" dxfId="4064" priority="103">
      <formula>OR($T$217 = TRUE, AND(LEN(TRIM($W$217))&gt;0, $S$217 = FALSE))</formula>
    </cfRule>
  </conditionalFormatting>
  <conditionalFormatting sqref="I1">
    <cfRule type="expression" dxfId="4063" priority="99">
      <formula>$AG$1="Gold"</formula>
    </cfRule>
    <cfRule type="expression" dxfId="4062" priority="100">
      <formula>$AG$1="Silver"</formula>
    </cfRule>
    <cfRule type="expression" dxfId="4061" priority="101">
      <formula>$AG$1="Bronze"</formula>
    </cfRule>
    <cfRule type="expression" dxfId="4060" priority="102">
      <formula>$AG$1="Emerald"</formula>
    </cfRule>
  </conditionalFormatting>
  <conditionalFormatting sqref="X1">
    <cfRule type="expression" dxfId="4059" priority="98">
      <formula>startError</formula>
    </cfRule>
  </conditionalFormatting>
  <conditionalFormatting sqref="W143">
    <cfRule type="expression" dxfId="4058" priority="97">
      <formula>AND($R$143,$S$143)</formula>
    </cfRule>
  </conditionalFormatting>
  <conditionalFormatting sqref="W143">
    <cfRule type="expression" dxfId="4057" priority="96">
      <formula>AND($W$143&lt;&gt;"Not Met",LEN(TRIM($W$143))&gt;0)</formula>
    </cfRule>
  </conditionalFormatting>
  <conditionalFormatting sqref="W143">
    <cfRule type="expression" dxfId="4056" priority="95">
      <formula>$S$143 = FALSE</formula>
    </cfRule>
  </conditionalFormatting>
  <conditionalFormatting sqref="W143">
    <cfRule type="expression" dxfId="4055" priority="94">
      <formula>OR($T$143 = TRUE, AND(LEN(TRIM($W$143))&gt;0, $S$143 = FALSE))</formula>
    </cfRule>
  </conditionalFormatting>
  <conditionalFormatting sqref="W13">
    <cfRule type="expression" dxfId="4054" priority="90">
      <formula>OR($T$13 = TRUE, AND(LEN(TRIM($W$13))&gt;0, $S$13 = FALSE))</formula>
    </cfRule>
    <cfRule type="expression" dxfId="4053" priority="91">
      <formula>$S$13 = FALSE</formula>
    </cfRule>
    <cfRule type="expression" dxfId="4052" priority="92">
      <formula>AND($W$13&lt;&gt;"Not Met",LEN(TRIM($W$13))&gt;0)</formula>
    </cfRule>
    <cfRule type="expression" dxfId="4051" priority="93">
      <formula>AND($R$13,$S$13)</formula>
    </cfRule>
  </conditionalFormatting>
  <conditionalFormatting sqref="W64">
    <cfRule type="expression" dxfId="4050" priority="89">
      <formula>AND(R64,S64)</formula>
    </cfRule>
  </conditionalFormatting>
  <conditionalFormatting sqref="W64">
    <cfRule type="expression" dxfId="4049" priority="88">
      <formula>AND(R64,LEN(TRIM(W64))&gt;0)</formula>
    </cfRule>
  </conditionalFormatting>
  <conditionalFormatting sqref="W64">
    <cfRule type="expression" dxfId="4048" priority="87">
      <formula>S64 = FALSE</formula>
    </cfRule>
  </conditionalFormatting>
  <conditionalFormatting sqref="W64">
    <cfRule type="expression" dxfId="4047" priority="86">
      <formula>OR(T64 = TRUE, AND(W64 &gt; 0, S64 = FALSE))</formula>
    </cfRule>
  </conditionalFormatting>
  <conditionalFormatting sqref="W66">
    <cfRule type="expression" dxfId="4046" priority="85">
      <formula>AND(R66,S66)</formula>
    </cfRule>
  </conditionalFormatting>
  <conditionalFormatting sqref="W66">
    <cfRule type="expression" dxfId="4045" priority="84">
      <formula>AND(R66,LEN(TRIM(W66))&gt;0)</formula>
    </cfRule>
  </conditionalFormatting>
  <conditionalFormatting sqref="W66">
    <cfRule type="expression" dxfId="4044" priority="83">
      <formula>S66 = FALSE</formula>
    </cfRule>
  </conditionalFormatting>
  <conditionalFormatting sqref="W66">
    <cfRule type="expression" dxfId="4043" priority="82">
      <formula>OR(T66 = TRUE, AND(W66 &gt; 0, S66 = FALSE))</formula>
    </cfRule>
  </conditionalFormatting>
  <conditionalFormatting sqref="W73">
    <cfRule type="expression" dxfId="4042" priority="81">
      <formula>AND(R73,S73)</formula>
    </cfRule>
  </conditionalFormatting>
  <conditionalFormatting sqref="W73">
    <cfRule type="expression" dxfId="4041" priority="80">
      <formula>AND(R73,LEN(TRIM(W73))&gt;0)</formula>
    </cfRule>
  </conditionalFormatting>
  <conditionalFormatting sqref="W73">
    <cfRule type="expression" dxfId="4040" priority="79">
      <formula>S73 = FALSE</formula>
    </cfRule>
  </conditionalFormatting>
  <conditionalFormatting sqref="W73">
    <cfRule type="expression" dxfId="4039" priority="78">
      <formula>OR(T73 = TRUE, AND(W73 &gt; 0, S73 = FALSE))</formula>
    </cfRule>
  </conditionalFormatting>
  <conditionalFormatting sqref="W75">
    <cfRule type="expression" dxfId="4038" priority="77">
      <formula>AND(R75,S75)</formula>
    </cfRule>
  </conditionalFormatting>
  <conditionalFormatting sqref="W75">
    <cfRule type="expression" dxfId="4037" priority="76">
      <formula>AND(R75,LEN(TRIM(W75))&gt;0)</formula>
    </cfRule>
  </conditionalFormatting>
  <conditionalFormatting sqref="W75">
    <cfRule type="expression" dxfId="4036" priority="75">
      <formula>S75 = FALSE</formula>
    </cfRule>
  </conditionalFormatting>
  <conditionalFormatting sqref="W75">
    <cfRule type="expression" dxfId="4035" priority="74">
      <formula>OR(T75 = TRUE, AND(W75 &gt; 0, S75 = FALSE))</formula>
    </cfRule>
  </conditionalFormatting>
  <conditionalFormatting sqref="W112">
    <cfRule type="expression" dxfId="4034" priority="73">
      <formula>AND($R$112,$S$112)</formula>
    </cfRule>
  </conditionalFormatting>
  <conditionalFormatting sqref="W112">
    <cfRule type="expression" dxfId="4033" priority="72">
      <formula>AND($W$112&lt;&gt;"Not Met",LEN(TRIM($W$112))&gt;0)</formula>
    </cfRule>
  </conditionalFormatting>
  <conditionalFormatting sqref="W112">
    <cfRule type="expression" dxfId="4032" priority="71">
      <formula>$S$112 = FALSE</formula>
    </cfRule>
  </conditionalFormatting>
  <conditionalFormatting sqref="W112">
    <cfRule type="expression" dxfId="4031" priority="70">
      <formula>OR($T$112 = TRUE, AND(LEN(TRIM($W$112))&gt;0, $S$112 = FALSE))</formula>
    </cfRule>
  </conditionalFormatting>
  <conditionalFormatting sqref="W100">
    <cfRule type="expression" dxfId="4030" priority="69">
      <formula>AND($R$100,$S$100)</formula>
    </cfRule>
  </conditionalFormatting>
  <conditionalFormatting sqref="W100">
    <cfRule type="expression" dxfId="4029" priority="68">
      <formula>AND($W$100&lt;&gt;"Not Met",LEN(TRIM($W$100))&gt;0)</formula>
    </cfRule>
  </conditionalFormatting>
  <conditionalFormatting sqref="W100">
    <cfRule type="expression" dxfId="4028" priority="67">
      <formula>$S$100 = FALSE</formula>
    </cfRule>
  </conditionalFormatting>
  <conditionalFormatting sqref="W100">
    <cfRule type="expression" dxfId="4027" priority="66">
      <formula>OR($T$100 = TRUE, AND(LEN(TRIM($W$100))&gt;0, $S$100 = FALSE))</formula>
    </cfRule>
  </conditionalFormatting>
  <conditionalFormatting sqref="W102">
    <cfRule type="expression" dxfId="4026" priority="65">
      <formula>AND($R$102,$S$102)</formula>
    </cfRule>
  </conditionalFormatting>
  <conditionalFormatting sqref="W102">
    <cfRule type="expression" dxfId="4025" priority="64">
      <formula>AND($W$102&lt;&gt;"Not Met",LEN(TRIM($W$102))&gt;0)</formula>
    </cfRule>
  </conditionalFormatting>
  <conditionalFormatting sqref="W102">
    <cfRule type="expression" dxfId="4024" priority="63">
      <formula>$S$102 = FALSE</formula>
    </cfRule>
  </conditionalFormatting>
  <conditionalFormatting sqref="W102">
    <cfRule type="expression" dxfId="4023" priority="62">
      <formula>OR($T$102 = TRUE, AND(LEN(TRIM($W$102))&gt;0, $S$102 = FALSE))</formula>
    </cfRule>
  </conditionalFormatting>
  <conditionalFormatting sqref="W145">
    <cfRule type="expression" dxfId="4022" priority="61">
      <formula>AND($R$145,$S$145)</formula>
    </cfRule>
  </conditionalFormatting>
  <conditionalFormatting sqref="W145">
    <cfRule type="expression" dxfId="4021" priority="60">
      <formula>AND(IF($R$145,$W$145,TRUE),LEN(TRIM($W$145))&gt;0)</formula>
    </cfRule>
  </conditionalFormatting>
  <conditionalFormatting sqref="W145">
    <cfRule type="expression" dxfId="4020" priority="59">
      <formula>$S$145 = FALSE</formula>
    </cfRule>
  </conditionalFormatting>
  <conditionalFormatting sqref="W145">
    <cfRule type="expression" dxfId="4019" priority="58">
      <formula>OR($T$145 = TRUE, AND($W$145 = TRUE, $S$145 = FALSE))</formula>
    </cfRule>
  </conditionalFormatting>
  <conditionalFormatting sqref="W149">
    <cfRule type="expression" dxfId="4018" priority="57">
      <formula>AND($R$149,$S$149)</formula>
    </cfRule>
  </conditionalFormatting>
  <conditionalFormatting sqref="W149">
    <cfRule type="expression" dxfId="4017" priority="56">
      <formula>AND(IF($R$149,$W$149,TRUE),LEN(TRIM($W$149))&gt;0)</formula>
    </cfRule>
  </conditionalFormatting>
  <conditionalFormatting sqref="W149">
    <cfRule type="expression" dxfId="4016" priority="55">
      <formula>$S$149 = FALSE</formula>
    </cfRule>
  </conditionalFormatting>
  <conditionalFormatting sqref="W149">
    <cfRule type="expression" dxfId="4015" priority="54">
      <formula>OR($T$149 = TRUE, AND($W$149 = TRUE, $S$149 = FALSE))</formula>
    </cfRule>
  </conditionalFormatting>
  <conditionalFormatting sqref="W150">
    <cfRule type="expression" dxfId="4014" priority="53">
      <formula>AND($R$150,$S$150)</formula>
    </cfRule>
  </conditionalFormatting>
  <conditionalFormatting sqref="W150">
    <cfRule type="expression" dxfId="4013" priority="52">
      <formula>AND(IF($R$150,$W$150,TRUE),LEN(TRIM($W$150))&gt;0)</formula>
    </cfRule>
  </conditionalFormatting>
  <conditionalFormatting sqref="W150">
    <cfRule type="expression" dxfId="4012" priority="51">
      <formula>$S$150 = FALSE</formula>
    </cfRule>
  </conditionalFormatting>
  <conditionalFormatting sqref="W150">
    <cfRule type="expression" dxfId="4011" priority="50">
      <formula>OR($T$150 = TRUE, AND($W$150 = TRUE, $S$150 = FALSE))</formula>
    </cfRule>
  </conditionalFormatting>
  <conditionalFormatting sqref="W151">
    <cfRule type="expression" dxfId="4010" priority="49">
      <formula>AND($R$151,$S$151)</formula>
    </cfRule>
  </conditionalFormatting>
  <conditionalFormatting sqref="W151">
    <cfRule type="expression" dxfId="4009" priority="48">
      <formula>AND(IF($R$151,$W$151,TRUE),LEN(TRIM($W$151))&gt;0)</formula>
    </cfRule>
  </conditionalFormatting>
  <conditionalFormatting sqref="W151">
    <cfRule type="expression" dxfId="4008" priority="47">
      <formula>$S$151 = FALSE</formula>
    </cfRule>
  </conditionalFormatting>
  <conditionalFormatting sqref="W151">
    <cfRule type="expression" dxfId="4007" priority="46">
      <formula>OR($T$151 = TRUE, AND($W$151 = TRUE, $S$151 = FALSE))</formula>
    </cfRule>
  </conditionalFormatting>
  <conditionalFormatting sqref="W166">
    <cfRule type="expression" dxfId="4006" priority="45">
      <formula>AND($R$166,$S$166)</formula>
    </cfRule>
  </conditionalFormatting>
  <conditionalFormatting sqref="W166">
    <cfRule type="expression" dxfId="4005" priority="44">
      <formula>AND(IF($R$166,$W$166,TRUE),LEN(TRIM($W$166))&gt;0)</formula>
    </cfRule>
  </conditionalFormatting>
  <conditionalFormatting sqref="W166">
    <cfRule type="expression" dxfId="4004" priority="43">
      <formula>$S$166 = FALSE</formula>
    </cfRule>
  </conditionalFormatting>
  <conditionalFormatting sqref="W166">
    <cfRule type="expression" dxfId="4003" priority="42">
      <formula>OR($T$166 = TRUE, AND($W$166 = TRUE, $S$166 = FALSE))</formula>
    </cfRule>
  </conditionalFormatting>
  <conditionalFormatting sqref="W168">
    <cfRule type="expression" dxfId="4002" priority="41">
      <formula>AND($R$168,$S$168)</formula>
    </cfRule>
  </conditionalFormatting>
  <conditionalFormatting sqref="W168">
    <cfRule type="expression" dxfId="4001" priority="40">
      <formula>AND(IF($R$168,$W$168,TRUE),LEN(TRIM($W$168))&gt;0)</formula>
    </cfRule>
  </conditionalFormatting>
  <conditionalFormatting sqref="W168">
    <cfRule type="expression" dxfId="4000" priority="39">
      <formula>$S$168 = FALSE</formula>
    </cfRule>
  </conditionalFormatting>
  <conditionalFormatting sqref="W168">
    <cfRule type="expression" dxfId="3999" priority="38">
      <formula>OR($T$168 = TRUE, AND($W$168 = TRUE, $S$168 = FALSE))</formula>
    </cfRule>
  </conditionalFormatting>
  <conditionalFormatting sqref="W169">
    <cfRule type="expression" dxfId="3998" priority="37">
      <formula>AND($R$169,$S$169)</formula>
    </cfRule>
  </conditionalFormatting>
  <conditionalFormatting sqref="W169">
    <cfRule type="expression" dxfId="3997" priority="36">
      <formula>AND(IF($R$169,$W$169,TRUE),LEN(TRIM($W$169))&gt;0)</formula>
    </cfRule>
  </conditionalFormatting>
  <conditionalFormatting sqref="W169">
    <cfRule type="expression" dxfId="3996" priority="35">
      <formula>$S$169 = FALSE</formula>
    </cfRule>
  </conditionalFormatting>
  <conditionalFormatting sqref="W169">
    <cfRule type="expression" dxfId="3995" priority="34">
      <formula>OR($T$169 = TRUE, AND($W$169 = TRUE, $S$169 = FALSE))</formula>
    </cfRule>
  </conditionalFormatting>
  <conditionalFormatting sqref="W171">
    <cfRule type="expression" dxfId="3994" priority="33">
      <formula>AND($R$171,$S$171)</formula>
    </cfRule>
  </conditionalFormatting>
  <conditionalFormatting sqref="W171">
    <cfRule type="expression" dxfId="3993" priority="32">
      <formula>AND(IF($R$171,$W$171,TRUE),LEN(TRIM($W$171))&gt;0)</formula>
    </cfRule>
  </conditionalFormatting>
  <conditionalFormatting sqref="W171">
    <cfRule type="expression" dxfId="3992" priority="31">
      <formula>$S$171 = FALSE</formula>
    </cfRule>
  </conditionalFormatting>
  <conditionalFormatting sqref="W171">
    <cfRule type="expression" dxfId="3991" priority="30">
      <formula>OR($T$171 = TRUE, AND($W$171 = TRUE, $S$171 = FALSE))</formula>
    </cfRule>
  </conditionalFormatting>
  <conditionalFormatting sqref="W195">
    <cfRule type="expression" dxfId="3990" priority="29">
      <formula>AND($R$195,$S$195)</formula>
    </cfRule>
  </conditionalFormatting>
  <conditionalFormatting sqref="W195">
    <cfRule type="expression" dxfId="3989" priority="28">
      <formula>AND($W$195&lt;&gt;"Not Met",LEN(TRIM($W$195))&gt;0)</formula>
    </cfRule>
  </conditionalFormatting>
  <conditionalFormatting sqref="W195">
    <cfRule type="expression" dxfId="3988" priority="27">
      <formula>$S$195 = FALSE</formula>
    </cfRule>
  </conditionalFormatting>
  <conditionalFormatting sqref="W195">
    <cfRule type="expression" dxfId="3987" priority="26">
      <formula>OR($T$195 = TRUE, AND(LEN(TRIM($W$195))&gt;0, $S$195 = FALSE))</formula>
    </cfRule>
  </conditionalFormatting>
  <conditionalFormatting sqref="W203">
    <cfRule type="expression" dxfId="3986" priority="25">
      <formula>AND($R$203,$S$203)</formula>
    </cfRule>
  </conditionalFormatting>
  <conditionalFormatting sqref="W203">
    <cfRule type="expression" dxfId="3985" priority="24">
      <formula>AND($W$203&lt;&gt;"Not Met",LEN(TRIM($W$203))&gt;0)</formula>
    </cfRule>
  </conditionalFormatting>
  <conditionalFormatting sqref="W203">
    <cfRule type="expression" dxfId="3984" priority="23">
      <formula>$S$203 = FALSE</formula>
    </cfRule>
  </conditionalFormatting>
  <conditionalFormatting sqref="W203">
    <cfRule type="expression" dxfId="3983" priority="22">
      <formula>OR($T$203 = TRUE, AND(LEN(TRIM($W$203))&gt;0, $S$203 = FALSE))</formula>
    </cfRule>
  </conditionalFormatting>
  <conditionalFormatting sqref="W211">
    <cfRule type="expression" dxfId="3982" priority="21">
      <formula>AND($R$211,$S$211)</formula>
    </cfRule>
  </conditionalFormatting>
  <conditionalFormatting sqref="W211">
    <cfRule type="expression" dxfId="3981" priority="20">
      <formula>AND(IF($R$211,$W$211,TRUE),LEN(TRIM($W$211))&gt;0)</formula>
    </cfRule>
  </conditionalFormatting>
  <conditionalFormatting sqref="W211">
    <cfRule type="expression" dxfId="3980" priority="19">
      <formula>$S$211 = FALSE</formula>
    </cfRule>
  </conditionalFormatting>
  <conditionalFormatting sqref="W211">
    <cfRule type="expression" dxfId="3979" priority="18">
      <formula>OR($T$211 = TRUE, AND($W$211 = TRUE, $S$211 = FALSE))</formula>
    </cfRule>
  </conditionalFormatting>
  <conditionalFormatting sqref="M71:M72">
    <cfRule type="expression" dxfId="3978" priority="17">
      <formula>R70</formula>
    </cfRule>
  </conditionalFormatting>
  <conditionalFormatting sqref="W223">
    <cfRule type="expression" dxfId="3977" priority="16">
      <formula>AND($R$223,$S$223)</formula>
    </cfRule>
  </conditionalFormatting>
  <conditionalFormatting sqref="W223">
    <cfRule type="expression" dxfId="3976" priority="15">
      <formula>AND($W$223&lt;&gt;"Not Met",LEN(TRIM($W$223))&gt;0)</formula>
    </cfRule>
  </conditionalFormatting>
  <conditionalFormatting sqref="W223">
    <cfRule type="expression" dxfId="3975" priority="14">
      <formula>$S$223 = FALSE</formula>
    </cfRule>
  </conditionalFormatting>
  <conditionalFormatting sqref="W223">
    <cfRule type="expression" dxfId="3974" priority="13">
      <formula>OR($T$223 = TRUE, AND(LEN(TRIM($W$223))&gt;0, $S$223 = FALSE))</formula>
    </cfRule>
  </conditionalFormatting>
  <conditionalFormatting sqref="W208">
    <cfRule type="expression" dxfId="3973" priority="12">
      <formula>AND($R$208,$S$208)</formula>
    </cfRule>
  </conditionalFormatting>
  <conditionalFormatting sqref="W208">
    <cfRule type="expression" dxfId="3972" priority="11">
      <formula>AND($W$208&lt;&gt;"Not Met",LEN(TRIM($W$208))&gt;0)</formula>
    </cfRule>
  </conditionalFormatting>
  <conditionalFormatting sqref="W208">
    <cfRule type="expression" dxfId="3971" priority="10">
      <formula>$S$208 = FALSE</formula>
    </cfRule>
  </conditionalFormatting>
  <conditionalFormatting sqref="W208">
    <cfRule type="expression" dxfId="3970" priority="9">
      <formula>OR($T$208 = TRUE, AND(LEN(TRIM($W$208))&gt;0, $S$208 = FALSE))</formula>
    </cfRule>
  </conditionalFormatting>
  <conditionalFormatting sqref="M237">
    <cfRule type="expression" dxfId="3969" priority="5">
      <formula>M237="Gold"</formula>
    </cfRule>
    <cfRule type="expression" dxfId="3968" priority="6">
      <formula>M237="Silver"</formula>
    </cfRule>
    <cfRule type="expression" dxfId="3967" priority="7">
      <formula>M237="Bronze"</formula>
    </cfRule>
    <cfRule type="expression" dxfId="3966" priority="8">
      <formula>M237="Emerald"</formula>
    </cfRule>
  </conditionalFormatting>
  <conditionalFormatting sqref="W239">
    <cfRule type="expression" dxfId="3965" priority="4">
      <formula>AND(R239,S239)</formula>
    </cfRule>
  </conditionalFormatting>
  <conditionalFormatting sqref="W239">
    <cfRule type="expression" dxfId="3964" priority="3">
      <formula>AND(R239,LEN(TRIM(W239))&gt;0)</formula>
    </cfRule>
  </conditionalFormatting>
  <conditionalFormatting sqref="W239">
    <cfRule type="expression" dxfId="3963" priority="2">
      <formula>S239 = FALSE</formula>
    </cfRule>
  </conditionalFormatting>
  <conditionalFormatting sqref="W239">
    <cfRule type="expression" dxfId="3962" priority="1">
      <formula>OR(T239 = TRUE, AND(W239 &gt; 0, S239 = FALSE))</formula>
    </cfRule>
  </conditionalFormatting>
  <dataValidations count="27">
    <dataValidation type="list" allowBlank="1" showDropDown="1" showInputMessage="1" showErrorMessage="1" error="Use Checkbox" prompt="Use Checkbox" sqref="W50 W55 W231 W211 W145 W219 W140 W233 W138 W131 W191:W192 W164 W149:W151 W156 W158 W171 W168:W169 W166 W228" xr:uid="{00000000-0002-0000-0600-000000000000}">
      <formula1>TorF</formula1>
    </dataValidation>
    <dataValidation type="list" allowBlank="1" showInputMessage="1" showErrorMessage="1" error="Please use the dropdown." sqref="W21" xr:uid="{00000000-0002-0000-0600-000001000000}">
      <formula1>INDIRECT($U$21)</formula1>
    </dataValidation>
    <dataValidation type="list" allowBlank="1" showInputMessage="1" showErrorMessage="1" error="Please use the dropdown." sqref="W56" xr:uid="{00000000-0002-0000-0600-000002000000}">
      <formula1>INDIRECT($U$56)</formula1>
    </dataValidation>
    <dataValidation type="list" allowBlank="1" showInputMessage="1" showErrorMessage="1" error="Please use the dropdown." sqref="W80" xr:uid="{00000000-0002-0000-0600-000003000000}">
      <formula1>INDIRECT($U$80)</formula1>
    </dataValidation>
    <dataValidation type="list" allowBlank="1" showInputMessage="1" showErrorMessage="1" error="Please use the dropdown." sqref="W92" xr:uid="{00000000-0002-0000-0600-000004000000}">
      <formula1>INDIRECT($U$92)</formula1>
    </dataValidation>
    <dataValidation type="list" allowBlank="1" showInputMessage="1" showErrorMessage="1" error="Please use the dropdown." sqref="W97" xr:uid="{00000000-0002-0000-0600-000005000000}">
      <formula1>INDIRECT($U$97)</formula1>
    </dataValidation>
    <dataValidation type="list" allowBlank="1" showInputMessage="1" showErrorMessage="1" error="Please use the dropdown." sqref="W117" xr:uid="{00000000-0002-0000-0600-000007000000}">
      <formula1>INDIRECT($U$117)</formula1>
    </dataValidation>
    <dataValidation type="list" allowBlank="1" showInputMessage="1" showErrorMessage="1" error="Please use the dropdown." sqref="W124" xr:uid="{00000000-0002-0000-0600-000008000000}">
      <formula1>INDIRECT($U$124)</formula1>
    </dataValidation>
    <dataValidation type="list" allowBlank="1" showInputMessage="1" showErrorMessage="1" error="Please use the dropdown." sqref="W134" xr:uid="{00000000-0002-0000-0600-000009000000}">
      <formula1>INDIRECT($U$134)</formula1>
    </dataValidation>
    <dataValidation type="list" allowBlank="1" showInputMessage="1" showErrorMessage="1" error="Please use the dropdown." sqref="W175" xr:uid="{00000000-0002-0000-0600-00000A000000}">
      <formula1>INDIRECT($U$175)</formula1>
    </dataValidation>
    <dataValidation type="list" allowBlank="1" showInputMessage="1" showErrorMessage="1" error="Please use the dropdown." sqref="W189" xr:uid="{00000000-0002-0000-0600-00000B000000}">
      <formula1>INDIRECT($U$189)</formula1>
    </dataValidation>
    <dataValidation type="whole" allowBlank="1" showDropDown="1" showInputMessage="1" showErrorMessage="1" error="Enter a whole number" prompt="Enter number of systems" sqref="W221" xr:uid="{00000000-0002-0000-0600-00000C000000}">
      <formula1>0</formula1>
      <formula2>5</formula2>
    </dataValidation>
    <dataValidation type="list" allowBlank="1" showInputMessage="1" showErrorMessage="1" error="Please use the dropdown." sqref="W217" xr:uid="{00000000-0002-0000-0600-00000D000000}">
      <formula1>INDIRECT($U$217)</formula1>
    </dataValidation>
    <dataValidation type="list" allowBlank="1" showInputMessage="1" showErrorMessage="1" error="Please use the dropdown." sqref="W143" xr:uid="{00000000-0002-0000-0600-00000E000000}">
      <formula1>INDIRECT($U$143)</formula1>
    </dataValidation>
    <dataValidation type="list" allowBlank="1" showInputMessage="1" showErrorMessage="1" error="Please use the dropdown." sqref="W13" xr:uid="{D00C0528-A002-4EE5-9842-382791DFD4F4}">
      <formula1>INDIRECT($U$13)</formula1>
    </dataValidation>
    <dataValidation type="whole" allowBlank="1" showDropDown="1" showInputMessage="1" showErrorMessage="1" error="Enter a whole number" prompt="Enter number of meters" sqref="W64" xr:uid="{846EF3F8-AEC1-4828-9B43-7C0643743FFD}">
      <formula1>0</formula1>
      <formula2>10</formula2>
    </dataValidation>
    <dataValidation type="whole" allowBlank="1" showDropDown="1" showInputMessage="1" showErrorMessage="1" error="Enter a whole number" prompt="Enter number of meters" sqref="W73" xr:uid="{C71A5EC6-E35B-48B2-B2AE-19F11A08532B}">
      <formula1>0</formula1>
      <formula2>700</formula2>
    </dataValidation>
    <dataValidation type="whole" allowBlank="1" showDropDown="1" showInputMessage="1" showErrorMessage="1" error="Enter a whole number" prompt="Enter number of sensor packages" sqref="W66" xr:uid="{DB652BD9-BE92-4401-B2EB-0B196208F6DF}">
      <formula1>0</formula1>
      <formula2>10</formula2>
    </dataValidation>
    <dataValidation type="whole" allowBlank="1" showDropDown="1" showInputMessage="1" showErrorMessage="1" error="Enter a whole number" prompt="Enter number of sensor packages" sqref="W75" xr:uid="{778410AF-4722-435C-9914-2E87958943BC}">
      <formula1>0</formula1>
      <formula2>700</formula2>
    </dataValidation>
    <dataValidation type="list" allowBlank="1" showInputMessage="1" showErrorMessage="1" error="Please use the dropdown." sqref="W112" xr:uid="{B27DBB4B-2918-4694-BCD9-259111F912A3}">
      <formula1>INDIRECT($U$112)</formula1>
    </dataValidation>
    <dataValidation type="list" allowBlank="1" showInputMessage="1" showErrorMessage="1" error="Please use the dropdown." sqref="W100" xr:uid="{2EADE2D3-5D52-4EAB-86C8-BFD98B2D9F53}">
      <formula1>INDIRECT($U$100)</formula1>
    </dataValidation>
    <dataValidation type="list" allowBlank="1" showInputMessage="1" showErrorMessage="1" error="Please use the dropdown." sqref="W102" xr:uid="{2BD9A3B1-3C2D-498B-8BD3-F4B274CF1094}">
      <formula1>INDIRECT($U$102)</formula1>
    </dataValidation>
    <dataValidation type="list" allowBlank="1" showInputMessage="1" showErrorMessage="1" error="Please use the dropdown." sqref="W195" xr:uid="{439A7F06-C241-436E-B11B-1331BEB31515}">
      <formula1>INDIRECT($U$195)</formula1>
    </dataValidation>
    <dataValidation type="list" allowBlank="1" showInputMessage="1" showErrorMessage="1" error="Please use the dropdown." sqref="W203" xr:uid="{F53A6861-9842-4662-9993-35C2480D6D8A}">
      <formula1>INDIRECT($U$203)</formula1>
    </dataValidation>
    <dataValidation type="list" allowBlank="1" showInputMessage="1" showErrorMessage="1" error="Please use the dropdown." sqref="W223" xr:uid="{CD0B320C-56F4-479A-980F-D054632E4AC2}">
      <formula1>INDIRECT($U$223)</formula1>
    </dataValidation>
    <dataValidation type="list" allowBlank="1" showInputMessage="1" showErrorMessage="1" error="Please use the dropdown." sqref="W208" xr:uid="{AF52F623-4728-4BA3-BC9E-25EE2461C5A2}">
      <formula1>INDIRECT($U$208)</formula1>
    </dataValidation>
    <dataValidation type="whole" allowBlank="1" showDropDown="1" showInputMessage="1" showErrorMessage="1" error="Enter a whole number" prompt="Enter WRI Score" sqref="W239" xr:uid="{7EEA401E-CF81-4137-BDB7-3028B8F376A3}">
      <formula1>0</formula1>
      <formula2>100</formula2>
    </dataValidation>
  </dataValidations>
  <hyperlinks>
    <hyperlink ref="L32" location="'Table 801.1(1)'!A1" display="See Table 801.1(1)" xr:uid="{00000000-0004-0000-0600-000000000000}"/>
    <hyperlink ref="L33" location="'Table 801.1(2)'!A1" display="See Table 801.1(2)" xr:uid="{00000000-0004-0000-0600-000001000000}"/>
    <hyperlink ref="X246" location="'Ch9'!A1" display="CLICK TO PROCEED TO CHAPTER 9 &gt;&gt;" xr:uid="{00000000-0004-0000-0600-000002000000}"/>
  </hyperlinks>
  <pageMargins left="0.7" right="0.7" top="0.75" bottom="0.75" header="0.3" footer="0.3"/>
  <pageSetup scale="44" fitToHeight="0" orientation="portrait" r:id="rId1"/>
  <rowBreaks count="2" manualBreakCount="2">
    <brk id="98" max="23" man="1"/>
    <brk id="19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4" r:id="rId4" name="Check Box 10">
              <controlPr locked="0" defaultSize="0" autoFill="0" autoLine="0" autoPict="0">
                <anchor moveWithCells="1" siz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6156" r:id="rId5" name="Check Box 12">
              <controlPr locked="0" defaultSize="0" autoFill="0" autoLine="0" autoPict="0">
                <anchor moveWithCells="1" sizeWithCells="1">
                  <from>
                    <xdr:col>22</xdr:col>
                    <xdr:colOff>0</xdr:colOff>
                    <xdr:row>49</xdr:row>
                    <xdr:rowOff>0</xdr:rowOff>
                  </from>
                  <to>
                    <xdr:col>22</xdr:col>
                    <xdr:colOff>180975</xdr:colOff>
                    <xdr:row>49</xdr:row>
                    <xdr:rowOff>180975</xdr:rowOff>
                  </to>
                </anchor>
              </controlPr>
            </control>
          </mc:Choice>
        </mc:AlternateContent>
        <mc:AlternateContent xmlns:mc="http://schemas.openxmlformats.org/markup-compatibility/2006">
          <mc:Choice Requires="x14">
            <control shapeId="6163" r:id="rId6" name="Check Box 19">
              <controlPr locked="0" defaultSize="0" autoFill="0" autoLine="0" autoPict="0">
                <anchor moveWithCells="1" sizeWithCells="1">
                  <from>
                    <xdr:col>22</xdr:col>
                    <xdr:colOff>0</xdr:colOff>
                    <xdr:row>130</xdr:row>
                    <xdr:rowOff>0</xdr:rowOff>
                  </from>
                  <to>
                    <xdr:col>22</xdr:col>
                    <xdr:colOff>180975</xdr:colOff>
                    <xdr:row>130</xdr:row>
                    <xdr:rowOff>180975</xdr:rowOff>
                  </to>
                </anchor>
              </controlPr>
            </control>
          </mc:Choice>
        </mc:AlternateContent>
        <mc:AlternateContent xmlns:mc="http://schemas.openxmlformats.org/markup-compatibility/2006">
          <mc:Choice Requires="x14">
            <control shapeId="6164" r:id="rId7" name="Check Box 20">
              <controlPr locked="0" defaultSize="0" autoFill="0" autoLine="0" autoPict="0">
                <anchor moveWithCells="1" sizeWithCells="1">
                  <from>
                    <xdr:col>22</xdr:col>
                    <xdr:colOff>0</xdr:colOff>
                    <xdr:row>137</xdr:row>
                    <xdr:rowOff>0</xdr:rowOff>
                  </from>
                  <to>
                    <xdr:col>22</xdr:col>
                    <xdr:colOff>180975</xdr:colOff>
                    <xdr:row>137</xdr:row>
                    <xdr:rowOff>180975</xdr:rowOff>
                  </to>
                </anchor>
              </controlPr>
            </control>
          </mc:Choice>
        </mc:AlternateContent>
        <mc:AlternateContent xmlns:mc="http://schemas.openxmlformats.org/markup-compatibility/2006">
          <mc:Choice Requires="x14">
            <control shapeId="6165" r:id="rId8" name="Check Box 21">
              <controlPr locked="0" defaultSize="0" autoFill="0" autoLine="0" autoPict="0">
                <anchor moveWithCells="1" sizeWithCells="1">
                  <from>
                    <xdr:col>22</xdr:col>
                    <xdr:colOff>0</xdr:colOff>
                    <xdr:row>139</xdr:row>
                    <xdr:rowOff>0</xdr:rowOff>
                  </from>
                  <to>
                    <xdr:col>22</xdr:col>
                    <xdr:colOff>180975</xdr:colOff>
                    <xdr:row>139</xdr:row>
                    <xdr:rowOff>180975</xdr:rowOff>
                  </to>
                </anchor>
              </controlPr>
            </control>
          </mc:Choice>
        </mc:AlternateContent>
        <mc:AlternateContent xmlns:mc="http://schemas.openxmlformats.org/markup-compatibility/2006">
          <mc:Choice Requires="x14">
            <control shapeId="6172" r:id="rId9" name="Check Box 28">
              <controlPr locked="0" defaultSize="0" autoFill="0" autoLine="0" autoPict="0">
                <anchor moveWithCells="1" sizeWithCells="1">
                  <from>
                    <xdr:col>22</xdr:col>
                    <xdr:colOff>0</xdr:colOff>
                    <xdr:row>155</xdr:row>
                    <xdr:rowOff>0</xdr:rowOff>
                  </from>
                  <to>
                    <xdr:col>22</xdr:col>
                    <xdr:colOff>180975</xdr:colOff>
                    <xdr:row>155</xdr:row>
                    <xdr:rowOff>180975</xdr:rowOff>
                  </to>
                </anchor>
              </controlPr>
            </control>
          </mc:Choice>
        </mc:AlternateContent>
        <mc:AlternateContent xmlns:mc="http://schemas.openxmlformats.org/markup-compatibility/2006">
          <mc:Choice Requires="x14">
            <control shapeId="6173" r:id="rId10" name="Check Box 29">
              <controlPr locked="0" defaultSize="0" autoFill="0" autoLine="0" autoPict="0">
                <anchor moveWithCells="1" sizeWithCells="1">
                  <from>
                    <xdr:col>22</xdr:col>
                    <xdr:colOff>0</xdr:colOff>
                    <xdr:row>157</xdr:row>
                    <xdr:rowOff>0</xdr:rowOff>
                  </from>
                  <to>
                    <xdr:col>22</xdr:col>
                    <xdr:colOff>180975</xdr:colOff>
                    <xdr:row>157</xdr:row>
                    <xdr:rowOff>180975</xdr:rowOff>
                  </to>
                </anchor>
              </controlPr>
            </control>
          </mc:Choice>
        </mc:AlternateContent>
        <mc:AlternateContent xmlns:mc="http://schemas.openxmlformats.org/markup-compatibility/2006">
          <mc:Choice Requires="x14">
            <control shapeId="6175" r:id="rId11" name="Check Box 31">
              <controlPr locked="0" defaultSize="0" autoFill="0" autoLine="0" autoPict="0">
                <anchor moveWithCells="1" sizeWithCells="1">
                  <from>
                    <xdr:col>22</xdr:col>
                    <xdr:colOff>0</xdr:colOff>
                    <xdr:row>163</xdr:row>
                    <xdr:rowOff>0</xdr:rowOff>
                  </from>
                  <to>
                    <xdr:col>22</xdr:col>
                    <xdr:colOff>180975</xdr:colOff>
                    <xdr:row>163</xdr:row>
                    <xdr:rowOff>180975</xdr:rowOff>
                  </to>
                </anchor>
              </controlPr>
            </control>
          </mc:Choice>
        </mc:AlternateContent>
        <mc:AlternateContent xmlns:mc="http://schemas.openxmlformats.org/markup-compatibility/2006">
          <mc:Choice Requires="x14">
            <control shapeId="6177" r:id="rId12" name="Check Box 33">
              <controlPr locked="0" defaultSize="0" autoFill="0" autoLine="0" autoPict="0">
                <anchor moveWithCells="1" sizeWithCells="1">
                  <from>
                    <xdr:col>22</xdr:col>
                    <xdr:colOff>0</xdr:colOff>
                    <xdr:row>191</xdr:row>
                    <xdr:rowOff>0</xdr:rowOff>
                  </from>
                  <to>
                    <xdr:col>22</xdr:col>
                    <xdr:colOff>180975</xdr:colOff>
                    <xdr:row>191</xdr:row>
                    <xdr:rowOff>180975</xdr:rowOff>
                  </to>
                </anchor>
              </controlPr>
            </control>
          </mc:Choice>
        </mc:AlternateContent>
        <mc:AlternateContent xmlns:mc="http://schemas.openxmlformats.org/markup-compatibility/2006">
          <mc:Choice Requires="x14">
            <control shapeId="6178" r:id="rId13" name="Check Box 34">
              <controlPr locked="0" defaultSize="0" autoFill="0" autoLine="0" autoPict="0">
                <anchor moveWithCells="1" sizeWithCells="1">
                  <from>
                    <xdr:col>22</xdr:col>
                    <xdr:colOff>0</xdr:colOff>
                    <xdr:row>190</xdr:row>
                    <xdr:rowOff>0</xdr:rowOff>
                  </from>
                  <to>
                    <xdr:col>22</xdr:col>
                    <xdr:colOff>180975</xdr:colOff>
                    <xdr:row>190</xdr:row>
                    <xdr:rowOff>180975</xdr:rowOff>
                  </to>
                </anchor>
              </controlPr>
            </control>
          </mc:Choice>
        </mc:AlternateContent>
        <mc:AlternateContent xmlns:mc="http://schemas.openxmlformats.org/markup-compatibility/2006">
          <mc:Choice Requires="x14">
            <control shapeId="6180" r:id="rId14" name="Check Box 36">
              <controlPr locked="0" defaultSize="0" autoFill="0" autoLine="0" autoPict="0">
                <anchor moveWithCells="1" sizeWithCells="1">
                  <from>
                    <xdr:col>22</xdr:col>
                    <xdr:colOff>0</xdr:colOff>
                    <xdr:row>232</xdr:row>
                    <xdr:rowOff>0</xdr:rowOff>
                  </from>
                  <to>
                    <xdr:col>22</xdr:col>
                    <xdr:colOff>180975</xdr:colOff>
                    <xdr:row>232</xdr:row>
                    <xdr:rowOff>180975</xdr:rowOff>
                  </to>
                </anchor>
              </controlPr>
            </control>
          </mc:Choice>
        </mc:AlternateContent>
        <mc:AlternateContent xmlns:mc="http://schemas.openxmlformats.org/markup-compatibility/2006">
          <mc:Choice Requires="x14">
            <control shapeId="6181" r:id="rId15" name="Check Box 37">
              <controlPr locked="0" defaultSize="0" autoFill="0" autoLine="0" autoPict="0">
                <anchor moveWithCells="1" sizeWithCells="1">
                  <from>
                    <xdr:col>22</xdr:col>
                    <xdr:colOff>0</xdr:colOff>
                    <xdr:row>230</xdr:row>
                    <xdr:rowOff>0</xdr:rowOff>
                  </from>
                  <to>
                    <xdr:col>22</xdr:col>
                    <xdr:colOff>180975</xdr:colOff>
                    <xdr:row>230</xdr:row>
                    <xdr:rowOff>180975</xdr:rowOff>
                  </to>
                </anchor>
              </controlPr>
            </control>
          </mc:Choice>
        </mc:AlternateContent>
        <mc:AlternateContent xmlns:mc="http://schemas.openxmlformats.org/markup-compatibility/2006">
          <mc:Choice Requires="x14">
            <control shapeId="6182" r:id="rId16" name="Check Box 38">
              <controlPr locked="0" defaultSize="0" autoFill="0" autoLine="0" autoPict="0">
                <anchor moveWithCells="1" sizeWithCells="1">
                  <from>
                    <xdr:col>22</xdr:col>
                    <xdr:colOff>0</xdr:colOff>
                    <xdr:row>227</xdr:row>
                    <xdr:rowOff>0</xdr:rowOff>
                  </from>
                  <to>
                    <xdr:col>22</xdr:col>
                    <xdr:colOff>180975</xdr:colOff>
                    <xdr:row>227</xdr:row>
                    <xdr:rowOff>180975</xdr:rowOff>
                  </to>
                </anchor>
              </controlPr>
            </control>
          </mc:Choice>
        </mc:AlternateContent>
        <mc:AlternateContent xmlns:mc="http://schemas.openxmlformats.org/markup-compatibility/2006">
          <mc:Choice Requires="x14">
            <control shapeId="6186" r:id="rId17" name="Check Box 42">
              <controlPr locked="0" defaultSize="0" autoFill="0" autoLine="0" autoPict="0">
                <anchor moveWithCells="1" sizeWithCells="1">
                  <from>
                    <xdr:col>22</xdr:col>
                    <xdr:colOff>0</xdr:colOff>
                    <xdr:row>218</xdr:row>
                    <xdr:rowOff>0</xdr:rowOff>
                  </from>
                  <to>
                    <xdr:col>22</xdr:col>
                    <xdr:colOff>180975</xdr:colOff>
                    <xdr:row>218</xdr:row>
                    <xdr:rowOff>180975</xdr:rowOff>
                  </to>
                </anchor>
              </controlPr>
            </control>
          </mc:Choice>
        </mc:AlternateContent>
        <mc:AlternateContent xmlns:mc="http://schemas.openxmlformats.org/markup-compatibility/2006">
          <mc:Choice Requires="x14">
            <control shapeId="6200" r:id="rId18" name="Check Box 56">
              <controlPr locked="0" defaultSize="0" autoFill="0" autoLine="0" autoPict="0">
                <anchor moveWithCells="1" sizeWithCells="1">
                  <from>
                    <xdr:col>22</xdr:col>
                    <xdr:colOff>0</xdr:colOff>
                    <xdr:row>144</xdr:row>
                    <xdr:rowOff>0</xdr:rowOff>
                  </from>
                  <to>
                    <xdr:col>22</xdr:col>
                    <xdr:colOff>180975</xdr:colOff>
                    <xdr:row>144</xdr:row>
                    <xdr:rowOff>180975</xdr:rowOff>
                  </to>
                </anchor>
              </controlPr>
            </control>
          </mc:Choice>
        </mc:AlternateContent>
        <mc:AlternateContent xmlns:mc="http://schemas.openxmlformats.org/markup-compatibility/2006">
          <mc:Choice Requires="x14">
            <control shapeId="6201" r:id="rId19" name="Check Box 57">
              <controlPr locked="0" defaultSize="0" autoFill="0" autoLine="0" autoPict="0">
                <anchor moveWithCells="1" sizeWithCells="1">
                  <from>
                    <xdr:col>22</xdr:col>
                    <xdr:colOff>0</xdr:colOff>
                    <xdr:row>148</xdr:row>
                    <xdr:rowOff>0</xdr:rowOff>
                  </from>
                  <to>
                    <xdr:col>22</xdr:col>
                    <xdr:colOff>180975</xdr:colOff>
                    <xdr:row>148</xdr:row>
                    <xdr:rowOff>180975</xdr:rowOff>
                  </to>
                </anchor>
              </controlPr>
            </control>
          </mc:Choice>
        </mc:AlternateContent>
        <mc:AlternateContent xmlns:mc="http://schemas.openxmlformats.org/markup-compatibility/2006">
          <mc:Choice Requires="x14">
            <control shapeId="6202" r:id="rId20" name="Check Box 58">
              <controlPr locked="0" defaultSize="0" autoFill="0" autoLine="0" autoPict="0">
                <anchor moveWithCells="1" sizeWithCells="1">
                  <from>
                    <xdr:col>22</xdr:col>
                    <xdr:colOff>0</xdr:colOff>
                    <xdr:row>149</xdr:row>
                    <xdr:rowOff>0</xdr:rowOff>
                  </from>
                  <to>
                    <xdr:col>22</xdr:col>
                    <xdr:colOff>180975</xdr:colOff>
                    <xdr:row>149</xdr:row>
                    <xdr:rowOff>180975</xdr:rowOff>
                  </to>
                </anchor>
              </controlPr>
            </control>
          </mc:Choice>
        </mc:AlternateContent>
        <mc:AlternateContent xmlns:mc="http://schemas.openxmlformats.org/markup-compatibility/2006">
          <mc:Choice Requires="x14">
            <control shapeId="6203" r:id="rId21" name="Check Box 59">
              <controlPr locked="0" defaultSize="0" autoFill="0" autoLine="0" autoPict="0">
                <anchor moveWithCells="1" sizeWithCells="1">
                  <from>
                    <xdr:col>22</xdr:col>
                    <xdr:colOff>0</xdr:colOff>
                    <xdr:row>150</xdr:row>
                    <xdr:rowOff>0</xdr:rowOff>
                  </from>
                  <to>
                    <xdr:col>22</xdr:col>
                    <xdr:colOff>180975</xdr:colOff>
                    <xdr:row>150</xdr:row>
                    <xdr:rowOff>180975</xdr:rowOff>
                  </to>
                </anchor>
              </controlPr>
            </control>
          </mc:Choice>
        </mc:AlternateContent>
        <mc:AlternateContent xmlns:mc="http://schemas.openxmlformats.org/markup-compatibility/2006">
          <mc:Choice Requires="x14">
            <control shapeId="6205" r:id="rId22" name="Check Box 61">
              <controlPr locked="0" defaultSize="0" autoFill="0" autoLine="0" autoPict="0">
                <anchor moveWithCells="1" sizeWithCells="1">
                  <from>
                    <xdr:col>22</xdr:col>
                    <xdr:colOff>0</xdr:colOff>
                    <xdr:row>165</xdr:row>
                    <xdr:rowOff>0</xdr:rowOff>
                  </from>
                  <to>
                    <xdr:col>22</xdr:col>
                    <xdr:colOff>180975</xdr:colOff>
                    <xdr:row>165</xdr:row>
                    <xdr:rowOff>180975</xdr:rowOff>
                  </to>
                </anchor>
              </controlPr>
            </control>
          </mc:Choice>
        </mc:AlternateContent>
        <mc:AlternateContent xmlns:mc="http://schemas.openxmlformats.org/markup-compatibility/2006">
          <mc:Choice Requires="x14">
            <control shapeId="6206" r:id="rId23" name="Check Box 62">
              <controlPr locked="0" defaultSize="0" autoFill="0" autoLine="0" autoPict="0">
                <anchor moveWithCells="1" sizeWithCells="1">
                  <from>
                    <xdr:col>22</xdr:col>
                    <xdr:colOff>0</xdr:colOff>
                    <xdr:row>167</xdr:row>
                    <xdr:rowOff>0</xdr:rowOff>
                  </from>
                  <to>
                    <xdr:col>22</xdr:col>
                    <xdr:colOff>180975</xdr:colOff>
                    <xdr:row>167</xdr:row>
                    <xdr:rowOff>180975</xdr:rowOff>
                  </to>
                </anchor>
              </controlPr>
            </control>
          </mc:Choice>
        </mc:AlternateContent>
        <mc:AlternateContent xmlns:mc="http://schemas.openxmlformats.org/markup-compatibility/2006">
          <mc:Choice Requires="x14">
            <control shapeId="6207" r:id="rId24" name="Check Box 63">
              <controlPr locked="0" defaultSize="0" autoFill="0" autoLine="0" autoPict="0">
                <anchor moveWithCells="1" sizeWithCells="1">
                  <from>
                    <xdr:col>22</xdr:col>
                    <xdr:colOff>0</xdr:colOff>
                    <xdr:row>168</xdr:row>
                    <xdr:rowOff>0</xdr:rowOff>
                  </from>
                  <to>
                    <xdr:col>22</xdr:col>
                    <xdr:colOff>180975</xdr:colOff>
                    <xdr:row>168</xdr:row>
                    <xdr:rowOff>180975</xdr:rowOff>
                  </to>
                </anchor>
              </controlPr>
            </control>
          </mc:Choice>
        </mc:AlternateContent>
        <mc:AlternateContent xmlns:mc="http://schemas.openxmlformats.org/markup-compatibility/2006">
          <mc:Choice Requires="x14">
            <control shapeId="6208" r:id="rId25" name="Check Box 64">
              <controlPr locked="0" defaultSize="0" autoFill="0" autoLine="0" autoPict="0">
                <anchor moveWithCells="1" sizeWithCells="1">
                  <from>
                    <xdr:col>22</xdr:col>
                    <xdr:colOff>0</xdr:colOff>
                    <xdr:row>170</xdr:row>
                    <xdr:rowOff>0</xdr:rowOff>
                  </from>
                  <to>
                    <xdr:col>22</xdr:col>
                    <xdr:colOff>180975</xdr:colOff>
                    <xdr:row>170</xdr:row>
                    <xdr:rowOff>180975</xdr:rowOff>
                  </to>
                </anchor>
              </controlPr>
            </control>
          </mc:Choice>
        </mc:AlternateContent>
        <mc:AlternateContent xmlns:mc="http://schemas.openxmlformats.org/markup-compatibility/2006">
          <mc:Choice Requires="x14">
            <control shapeId="6211" r:id="rId26" name="Check Box 67">
              <controlPr locked="0" defaultSize="0" autoFill="0" autoLine="0" autoPict="0">
                <anchor moveWithCells="1" sizeWithCells="1">
                  <from>
                    <xdr:col>22</xdr:col>
                    <xdr:colOff>0</xdr:colOff>
                    <xdr:row>210</xdr:row>
                    <xdr:rowOff>0</xdr:rowOff>
                  </from>
                  <to>
                    <xdr:col>22</xdr:col>
                    <xdr:colOff>180975</xdr:colOff>
                    <xdr:row>210</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I387"/>
  <sheetViews>
    <sheetView showGridLines="0" topLeftCell="H1" zoomScaleNormal="100" workbookViewId="0">
      <pane ySplit="7" topLeftCell="A8" activePane="bottomLeft" state="frozen"/>
      <selection activeCell="E90" sqref="E90"/>
      <selection pane="bottomLeft" activeCell="W12" sqref="W12"/>
    </sheetView>
  </sheetViews>
  <sheetFormatPr defaultColWidth="9.140625" defaultRowHeight="15" x14ac:dyDescent="0.25"/>
  <cols>
    <col min="1" max="1" width="9.140625" style="18" hidden="1" customWidth="1"/>
    <col min="2" max="2" width="7.28515625" style="18" hidden="1" customWidth="1"/>
    <col min="3" max="7" width="3.85546875" style="18" hidden="1" customWidth="1"/>
    <col min="8" max="8" width="3.85546875" style="18" customWidth="1"/>
    <col min="9" max="9" width="10.42578125" style="76" customWidth="1"/>
    <col min="10" max="11" width="3.85546875" style="76" customWidth="1"/>
    <col min="12" max="12" width="71.7109375" style="76" customWidth="1"/>
    <col min="13" max="13" width="13.5703125" style="67" customWidth="1"/>
    <col min="14" max="14" width="7.7109375" style="76" hidden="1" customWidth="1"/>
    <col min="15" max="15" width="7.7109375" style="76" customWidth="1"/>
    <col min="16" max="21" width="8.85546875" style="76" hidden="1" customWidth="1"/>
    <col min="22" max="22" width="3" style="76" hidden="1" customWidth="1"/>
    <col min="23" max="23" width="21.42578125" style="76" customWidth="1"/>
    <col min="24" max="24" width="69" style="76" customWidth="1"/>
    <col min="25" max="25" width="34.85546875" style="780" hidden="1" customWidth="1"/>
    <col min="26" max="26" width="34.85546875" style="76" hidden="1" customWidth="1"/>
    <col min="27" max="27" width="9.140625" style="783" hidden="1" customWidth="1"/>
    <col min="28" max="28" width="9.140625" style="76" hidden="1" customWidth="1"/>
    <col min="29" max="29" width="8.5703125" style="76" hidden="1" customWidth="1"/>
    <col min="30" max="30" width="6.140625" style="76" hidden="1" customWidth="1"/>
    <col min="31" max="31" width="10.42578125" style="76" hidden="1" customWidth="1"/>
    <col min="32" max="37" width="9.140625" style="76" hidden="1" customWidth="1"/>
    <col min="38" max="38" width="16.42578125" style="76" hidden="1" customWidth="1"/>
    <col min="39" max="39" width="2.140625" style="76" hidden="1" customWidth="1"/>
    <col min="40" max="40" width="14.28515625" style="76" hidden="1" customWidth="1"/>
    <col min="41" max="41" width="2.140625" style="76" hidden="1" customWidth="1"/>
    <col min="42" max="42" width="14.28515625" style="76" hidden="1" customWidth="1"/>
    <col min="43" max="43" width="2.140625" style="76" hidden="1" customWidth="1"/>
    <col min="44" max="44" width="14.140625" style="76" hidden="1" customWidth="1"/>
    <col min="45" max="45" width="2.140625" style="76" hidden="1" customWidth="1"/>
    <col min="46" max="61" width="9.140625" style="76" hidden="1" customWidth="1"/>
    <col min="62" max="16384" width="9.140625" style="76"/>
  </cols>
  <sheetData>
    <row r="1" spans="1:61" x14ac:dyDescent="0.25">
      <c r="H1" s="1805" t="s">
        <v>4090</v>
      </c>
      <c r="I1" s="1818" t="str">
        <f ca="1">IF(OR(AG3,AI3),"Errors on page, no Level reached","Current Chapter level: "&amp;AG1&amp;"                                            Total Points: "&amp;AG2)</f>
        <v>Errors on page, no Level reached</v>
      </c>
      <c r="J1" s="1818"/>
      <c r="K1" s="1818"/>
      <c r="L1" s="1818"/>
      <c r="M1" s="1806"/>
      <c r="N1" s="1806"/>
      <c r="O1" s="1806"/>
      <c r="P1" s="1806"/>
      <c r="Q1" s="1806"/>
      <c r="R1" s="1806"/>
      <c r="S1" s="1806"/>
      <c r="T1" s="1806"/>
      <c r="U1" s="1806"/>
      <c r="V1" s="1806"/>
      <c r="W1" s="1806"/>
      <c r="X1" s="2344" t="s">
        <v>4064</v>
      </c>
      <c r="AF1" s="75" t="s">
        <v>752</v>
      </c>
      <c r="AG1" s="330" t="str">
        <f ca="1">IF(OR(AG3,AI3),"None",Ch9Level)</f>
        <v>None</v>
      </c>
    </row>
    <row r="2" spans="1:61" x14ac:dyDescent="0.25">
      <c r="H2" s="1805"/>
      <c r="I2" s="1819" t="str">
        <f ca="1">"Points away from:  Bronze: "&amp;MAX(Points!C19-Ch9Points,0)&amp;",  Silver: "&amp;MAX(Points!D19-Ch9Points,0)&amp;",  Gold: "&amp;MAX(Points!E19-Ch9Points,0)&amp;",  Emerald: "&amp;MAX(Points!F19-Ch9Points,0)</f>
        <v>Points away from:  Bronze: 25,  Silver: 42,  Gold: 69,  Emerald: 97</v>
      </c>
      <c r="J2" s="1819"/>
      <c r="K2" s="1819"/>
      <c r="L2" s="1819"/>
      <c r="M2" s="1806"/>
      <c r="N2" s="1806"/>
      <c r="O2" s="1806"/>
      <c r="P2" s="1806"/>
      <c r="Q2" s="1806"/>
      <c r="R2" s="1806"/>
      <c r="S2" s="1806"/>
      <c r="T2" s="1806"/>
      <c r="U2" s="1806"/>
      <c r="V2" s="1806"/>
      <c r="W2" s="1806"/>
      <c r="X2" s="2344" t="s">
        <v>3505</v>
      </c>
      <c r="AF2" s="75" t="s">
        <v>753</v>
      </c>
      <c r="AG2" s="76">
        <f ca="1">INDIRECT(AF2)</f>
        <v>0</v>
      </c>
      <c r="AH2" s="76" t="s">
        <v>755</v>
      </c>
      <c r="AI2" s="76">
        <f ca="1">INDIRECT(AH2)</f>
        <v>25</v>
      </c>
      <c r="AJ2"/>
      <c r="AK2"/>
    </row>
    <row r="3" spans="1:61" x14ac:dyDescent="0.25">
      <c r="H3" s="1805"/>
      <c r="I3" s="1819" t="str">
        <f ca="1">"Add'l pts earned above:  Bronze: "&amp; MAX(0,Ch9Points-Points!C19) &amp;",  Silver: " &amp; MAX(0,Ch9Points-Points!D19) &amp;",  Gold: " &amp; MAX(0,Ch9Points-Points!E19) &amp;",  Emerald: " &amp; MAX(0,Ch9Points-Points!F19)</f>
        <v>Add'l pts earned above:  Bronze: 0,  Silver: 0,  Gold: 0,  Emerald: 0</v>
      </c>
      <c r="J3" s="1819"/>
      <c r="K3" s="1819"/>
      <c r="L3" s="1819"/>
      <c r="M3" s="1806"/>
      <c r="N3" s="1806"/>
      <c r="O3" s="1806"/>
      <c r="P3" s="1806"/>
      <c r="Q3" s="1806"/>
      <c r="R3" s="1806"/>
      <c r="S3" s="1806"/>
      <c r="T3" s="1806"/>
      <c r="U3" s="1806"/>
      <c r="V3" s="1806"/>
      <c r="W3" s="1806"/>
      <c r="X3" s="2344" t="s">
        <v>3504</v>
      </c>
      <c r="AF3" s="75" t="s">
        <v>754</v>
      </c>
      <c r="AG3" s="76" t="b">
        <f>OR(AE:AE)</f>
        <v>1</v>
      </c>
      <c r="AH3" s="75" t="s">
        <v>756</v>
      </c>
      <c r="AI3" s="76" t="b">
        <f ca="1">OR(AD:AD)</f>
        <v>0</v>
      </c>
      <c r="AJ3"/>
      <c r="AK3"/>
    </row>
    <row r="4" spans="1:61" x14ac:dyDescent="0.25">
      <c r="H4" s="1805"/>
      <c r="I4" s="1822" t="str">
        <f>"Total Chapter Points needed for:  Bronze: "&amp;Points!C19&amp;",  Silver: "&amp;Points!D19&amp;",  Gold: "&amp;Points!E19&amp;",  Emerald: "&amp;Points!F19</f>
        <v>Total Chapter Points needed for:  Bronze: 25,  Silver: 42,  Gold: 69,  Emerald: 97</v>
      </c>
      <c r="J4" s="1823"/>
      <c r="K4" s="1823"/>
      <c r="L4" s="1824"/>
      <c r="M4" s="1806"/>
      <c r="N4" s="1806"/>
      <c r="O4" s="1806"/>
      <c r="P4" s="1806"/>
      <c r="Q4" s="1806"/>
      <c r="R4" s="1806"/>
      <c r="S4" s="1806"/>
      <c r="T4" s="1806"/>
      <c r="U4" s="1806"/>
      <c r="V4" s="1806"/>
      <c r="W4" s="1806"/>
      <c r="X4" s="1703" t="s">
        <v>4877</v>
      </c>
      <c r="AF4" s="75"/>
      <c r="AH4" s="75"/>
    </row>
    <row r="5" spans="1:61" x14ac:dyDescent="0.25">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AF5" s="75"/>
      <c r="AH5" s="75"/>
    </row>
    <row r="6" spans="1:61" x14ac:dyDescent="0.25">
      <c r="H6" s="1805"/>
      <c r="I6" s="1828" t="s">
        <v>248</v>
      </c>
      <c r="J6" s="1829"/>
      <c r="K6" s="1830"/>
      <c r="L6" s="1810" t="s">
        <v>1112</v>
      </c>
      <c r="M6" s="1810" t="s">
        <v>249</v>
      </c>
      <c r="N6" s="1810"/>
      <c r="O6" s="35" t="s">
        <v>318</v>
      </c>
      <c r="P6" s="1810" t="s">
        <v>4103</v>
      </c>
      <c r="Q6" s="1810" t="s">
        <v>309</v>
      </c>
      <c r="R6" s="1810" t="s">
        <v>250</v>
      </c>
      <c r="S6" s="1810" t="s">
        <v>251</v>
      </c>
      <c r="T6" s="1810" t="s">
        <v>0</v>
      </c>
      <c r="U6" s="1810" t="s">
        <v>4104</v>
      </c>
      <c r="V6" s="1810"/>
      <c r="W6" s="1810" t="s">
        <v>252</v>
      </c>
      <c r="X6" s="1820" t="s">
        <v>1</v>
      </c>
      <c r="AC6" s="74" t="s">
        <v>307</v>
      </c>
      <c r="AD6" s="74" t="s">
        <v>0</v>
      </c>
      <c r="AE6" s="74" t="s">
        <v>306</v>
      </c>
    </row>
    <row r="7" spans="1:61" x14ac:dyDescent="0.25">
      <c r="H7" s="1805"/>
      <c r="I7" s="1828"/>
      <c r="J7" s="1829"/>
      <c r="K7" s="1830"/>
      <c r="L7" s="1811"/>
      <c r="M7" s="1811"/>
      <c r="N7" s="1811"/>
      <c r="O7" s="35" t="s">
        <v>319</v>
      </c>
      <c r="P7" s="1811"/>
      <c r="Q7" s="1811"/>
      <c r="R7" s="1811"/>
      <c r="S7" s="1811"/>
      <c r="T7" s="1811"/>
      <c r="U7" s="1811"/>
      <c r="V7" s="1811"/>
      <c r="W7" s="1811"/>
      <c r="X7" s="1821"/>
      <c r="AC7" s="74" t="s">
        <v>307</v>
      </c>
      <c r="AD7" s="74" t="s">
        <v>0</v>
      </c>
      <c r="AE7" s="74" t="s">
        <v>306</v>
      </c>
    </row>
    <row r="8" spans="1:61" s="752" customFormat="1" hidden="1" x14ac:dyDescent="0.25">
      <c r="A8" s="18"/>
      <c r="B8" s="18"/>
      <c r="C8" s="18"/>
      <c r="D8" s="18"/>
      <c r="E8" s="18"/>
      <c r="F8" s="18"/>
      <c r="G8" s="18"/>
      <c r="H8" s="18"/>
      <c r="I8" s="754"/>
      <c r="J8" s="754"/>
      <c r="K8" s="754"/>
      <c r="L8" s="753"/>
      <c r="M8" s="753"/>
      <c r="N8" s="753"/>
      <c r="O8" s="35"/>
      <c r="P8" s="753"/>
      <c r="Q8" s="753"/>
      <c r="R8" s="753"/>
      <c r="S8" s="753"/>
      <c r="T8" s="753"/>
      <c r="U8" s="753"/>
      <c r="V8" s="753"/>
      <c r="W8" s="753"/>
      <c r="X8" s="754"/>
      <c r="Y8" s="780"/>
      <c r="AA8" s="783"/>
      <c r="AC8" s="751"/>
      <c r="AD8" s="751"/>
      <c r="AE8" s="751"/>
    </row>
    <row r="9" spans="1:61" ht="18.75" x14ac:dyDescent="0.3">
      <c r="A9" s="18" t="s">
        <v>247</v>
      </c>
      <c r="B9" s="18" t="s">
        <v>247</v>
      </c>
      <c r="C9" s="18" t="s">
        <v>247</v>
      </c>
      <c r="D9" s="18" t="s">
        <v>247</v>
      </c>
      <c r="E9" s="18" t="s">
        <v>247</v>
      </c>
      <c r="F9" s="18" t="s">
        <v>247</v>
      </c>
      <c r="G9" s="18" t="s">
        <v>247</v>
      </c>
      <c r="H9" s="760"/>
      <c r="I9" s="22" t="s">
        <v>4896</v>
      </c>
      <c r="J9" s="22"/>
      <c r="K9" s="22"/>
      <c r="L9" s="23"/>
      <c r="M9" s="24"/>
      <c r="N9" s="76" t="s">
        <v>247</v>
      </c>
      <c r="O9" s="24"/>
      <c r="P9" s="76" t="s">
        <v>247</v>
      </c>
      <c r="Q9" s="76" t="s">
        <v>247</v>
      </c>
      <c r="R9" s="76" t="s">
        <v>247</v>
      </c>
      <c r="S9" s="76" t="s">
        <v>247</v>
      </c>
      <c r="T9" s="76" t="s">
        <v>247</v>
      </c>
      <c r="U9" s="76" t="s">
        <v>247</v>
      </c>
      <c r="V9" s="76" t="s">
        <v>247</v>
      </c>
      <c r="W9" s="23"/>
      <c r="X9" s="23"/>
      <c r="Y9" s="779" t="s">
        <v>247</v>
      </c>
      <c r="Z9" s="73" t="s">
        <v>247</v>
      </c>
      <c r="AA9" s="781" t="s">
        <v>247</v>
      </c>
      <c r="AB9" s="771" t="s">
        <v>247</v>
      </c>
      <c r="AC9" s="73" t="s">
        <v>247</v>
      </c>
      <c r="AD9" s="73" t="s">
        <v>247</v>
      </c>
      <c r="AE9" s="73" t="s">
        <v>247</v>
      </c>
      <c r="AF9" s="73" t="s">
        <v>247</v>
      </c>
      <c r="AG9" s="73" t="s">
        <v>247</v>
      </c>
      <c r="AH9" s="73" t="s">
        <v>247</v>
      </c>
      <c r="AI9" s="73" t="s">
        <v>247</v>
      </c>
      <c r="AJ9" s="73" t="s">
        <v>247</v>
      </c>
      <c r="AK9" s="73" t="s">
        <v>247</v>
      </c>
      <c r="AL9" s="73" t="s">
        <v>247</v>
      </c>
      <c r="AM9" s="73" t="s">
        <v>247</v>
      </c>
      <c r="AN9" s="73" t="s">
        <v>247</v>
      </c>
      <c r="AO9" s="73" t="s">
        <v>247</v>
      </c>
      <c r="AP9" s="73" t="s">
        <v>247</v>
      </c>
      <c r="AQ9" s="73" t="s">
        <v>247</v>
      </c>
      <c r="AR9" s="73" t="s">
        <v>247</v>
      </c>
      <c r="AS9" s="73" t="s">
        <v>247</v>
      </c>
      <c r="AT9" s="73" t="s">
        <v>247</v>
      </c>
      <c r="AU9" s="73" t="s">
        <v>247</v>
      </c>
      <c r="AV9" s="73" t="s">
        <v>247</v>
      </c>
      <c r="AW9" s="73" t="s">
        <v>247</v>
      </c>
      <c r="AX9" s="73" t="s">
        <v>247</v>
      </c>
      <c r="AY9" s="73" t="s">
        <v>247</v>
      </c>
      <c r="AZ9" s="73" t="s">
        <v>247</v>
      </c>
      <c r="BA9" s="73" t="s">
        <v>247</v>
      </c>
      <c r="BB9" s="73" t="s">
        <v>247</v>
      </c>
      <c r="BC9" s="73" t="s">
        <v>247</v>
      </c>
      <c r="BD9" s="73" t="s">
        <v>247</v>
      </c>
      <c r="BE9" s="73" t="s">
        <v>247</v>
      </c>
      <c r="BF9" s="73" t="s">
        <v>247</v>
      </c>
      <c r="BG9" s="73" t="s">
        <v>247</v>
      </c>
      <c r="BH9" s="73" t="s">
        <v>247</v>
      </c>
      <c r="BI9" s="771" t="s">
        <v>247</v>
      </c>
    </row>
    <row r="10" spans="1:61" x14ac:dyDescent="0.25">
      <c r="B10" s="679" t="s">
        <v>3987</v>
      </c>
      <c r="C10" s="21"/>
      <c r="D10" s="21"/>
      <c r="E10" s="21"/>
      <c r="F10" s="21"/>
      <c r="G10" s="21"/>
      <c r="H10" s="758"/>
      <c r="I10" s="78" t="s">
        <v>3987</v>
      </c>
      <c r="J10" s="4"/>
      <c r="K10" s="4"/>
      <c r="L10" s="166" t="s">
        <v>3144</v>
      </c>
      <c r="M10" s="165"/>
      <c r="O10" s="389"/>
      <c r="BI10" s="775"/>
    </row>
    <row r="11" spans="1:61" x14ac:dyDescent="0.25">
      <c r="B11" s="679">
        <v>901.1</v>
      </c>
      <c r="C11" s="21"/>
      <c r="D11" s="21"/>
      <c r="E11" s="21"/>
      <c r="F11" s="21"/>
      <c r="G11" s="21"/>
      <c r="H11" s="758"/>
      <c r="I11" s="238">
        <v>901.1</v>
      </c>
      <c r="J11" s="129"/>
      <c r="K11" s="129"/>
      <c r="L11" s="282" t="s">
        <v>3145</v>
      </c>
      <c r="M11" s="477"/>
      <c r="N11" s="94"/>
      <c r="O11" s="452"/>
      <c r="P11" s="94"/>
      <c r="Q11" s="94"/>
      <c r="R11" s="94"/>
      <c r="S11" s="94"/>
      <c r="T11" s="94"/>
      <c r="U11" s="94"/>
      <c r="V11" s="94"/>
      <c r="W11" s="94"/>
      <c r="X11" s="94"/>
      <c r="AX11" s="75" t="str">
        <f>'Overview (Design)'!A10</f>
        <v>Builder Name:</v>
      </c>
      <c r="AY11" s="76">
        <f>'Overview (Design)'!G10</f>
        <v>0</v>
      </c>
      <c r="BI11" s="775"/>
    </row>
    <row r="12" spans="1:61" x14ac:dyDescent="0.25">
      <c r="B12" s="679" t="s">
        <v>3146</v>
      </c>
      <c r="C12" s="21"/>
      <c r="D12" s="21"/>
      <c r="E12" s="21"/>
      <c r="F12" s="21"/>
      <c r="G12" s="21"/>
      <c r="H12" s="758"/>
      <c r="I12" s="238" t="s">
        <v>3146</v>
      </c>
      <c r="J12" s="129"/>
      <c r="K12" s="129"/>
      <c r="L12" s="1782" t="s">
        <v>3147</v>
      </c>
      <c r="M12" s="1758">
        <v>5</v>
      </c>
      <c r="N12" s="129"/>
      <c r="O12" s="1774">
        <f>M12*S12*W12</f>
        <v>0</v>
      </c>
      <c r="P12" s="94" t="b">
        <v>1</v>
      </c>
      <c r="Q12" s="94" t="b">
        <v>1</v>
      </c>
      <c r="R12" s="94" t="b">
        <v>0</v>
      </c>
      <c r="S12" s="94" t="b">
        <v>1</v>
      </c>
      <c r="T12" s="94" t="b">
        <v>0</v>
      </c>
      <c r="U12" s="94"/>
      <c r="V12" s="94"/>
      <c r="W12" s="360"/>
      <c r="X12" s="1770"/>
      <c r="AC12" s="394"/>
      <c r="AD12" s="394"/>
      <c r="AE12" s="394"/>
      <c r="AL12" s="254" t="str">
        <f>SUBSTITUTE(SUBSTITUTE(SUBSTITUTE("dpa"&amp;$B12&amp;$C12&amp;$D12&amp;$E12,".","_"),"(","_"),")","")</f>
        <v>dpa901_1_1</v>
      </c>
      <c r="AM12" s="254">
        <f>M12</f>
        <v>5</v>
      </c>
      <c r="AN12" s="254" t="str">
        <f>SUBSTITUTE(SUBSTITUTE(SUBSTITUTE("dpc"&amp;$B12&amp;$C12&amp;$D12&amp;$E12,".","_"),"(","_"),")","")</f>
        <v>dpc901_1_1</v>
      </c>
      <c r="AO12" s="254">
        <f>O12</f>
        <v>0</v>
      </c>
      <c r="AP12" s="254" t="str">
        <f>SUBSTITUTE(SUBSTITUTE(SUBSTITUTE("dch"&amp;$B12&amp;$C12&amp;$D12&amp;$E12,".","_"),"(","_"),")","")</f>
        <v>dch901_1_1</v>
      </c>
      <c r="AQ12" s="254" t="str">
        <f>IF(LEN(W12)=0,"",W12)</f>
        <v/>
      </c>
      <c r="AR12" s="254" t="str">
        <f>SUBSTITUTE(SUBSTITUTE(SUBSTITUTE("dnt"&amp;$B12&amp;$C12&amp;$D12&amp;$E12,".","_"),"(","_"),")","")</f>
        <v>dnt901_1_1</v>
      </c>
      <c r="AS12" s="254" t="str">
        <f>IF(LEN(X12)=0,"",X12)</f>
        <v/>
      </c>
      <c r="AX12" s="75" t="str">
        <f>'Overview (Design)'!A11</f>
        <v>Physical Address of Home:</v>
      </c>
      <c r="AY12" s="76">
        <f>'Overview (Design)'!G11</f>
        <v>0</v>
      </c>
      <c r="BI12" s="775"/>
    </row>
    <row r="13" spans="1:61" x14ac:dyDescent="0.25">
      <c r="B13" s="679" t="s">
        <v>3146</v>
      </c>
      <c r="C13" s="21"/>
      <c r="D13" s="21"/>
      <c r="E13" s="21"/>
      <c r="F13" s="21"/>
      <c r="G13" s="21"/>
      <c r="H13" s="758"/>
      <c r="I13" s="480"/>
      <c r="J13" s="129"/>
      <c r="K13" s="129"/>
      <c r="L13" s="1782"/>
      <c r="M13" s="1758"/>
      <c r="N13" s="129"/>
      <c r="O13" s="1774"/>
      <c r="P13" s="94"/>
      <c r="Q13" s="94"/>
      <c r="R13" s="94"/>
      <c r="S13" s="94"/>
      <c r="T13" s="94"/>
      <c r="U13" s="94"/>
      <c r="V13" s="94"/>
      <c r="W13" s="94"/>
      <c r="X13" s="1770"/>
      <c r="AX13" s="75" t="str">
        <f>'Overview (Design)'!A12</f>
        <v>Community/Lot #:</v>
      </c>
      <c r="AY13" s="76">
        <f>'Overview (Design)'!G12</f>
        <v>0</v>
      </c>
      <c r="BI13" s="775"/>
    </row>
    <row r="14" spans="1:61" x14ac:dyDescent="0.25">
      <c r="B14" s="679" t="s">
        <v>3146</v>
      </c>
      <c r="C14" s="21"/>
      <c r="D14" s="21"/>
      <c r="E14" s="21"/>
      <c r="F14" s="21"/>
      <c r="G14" s="21"/>
      <c r="H14" s="758"/>
      <c r="I14" s="480"/>
      <c r="J14" s="129"/>
      <c r="K14" s="129"/>
      <c r="L14" s="1782"/>
      <c r="M14" s="1758"/>
      <c r="N14" s="129"/>
      <c r="O14" s="1774"/>
      <c r="P14" s="94"/>
      <c r="Q14" s="94"/>
      <c r="R14" s="94"/>
      <c r="S14" s="94"/>
      <c r="T14" s="94"/>
      <c r="U14" s="94"/>
      <c r="V14" s="94"/>
      <c r="W14" s="94"/>
      <c r="X14" s="1770"/>
      <c r="AX14" s="75" t="str">
        <f>'Overview (Design)'!A13</f>
        <v>City:</v>
      </c>
      <c r="AY14" s="76">
        <f>'Overview (Design)'!G13</f>
        <v>0</v>
      </c>
      <c r="BI14" s="775"/>
    </row>
    <row r="15" spans="1:61" x14ac:dyDescent="0.25">
      <c r="B15" s="679" t="s">
        <v>3146</v>
      </c>
      <c r="C15" s="21"/>
      <c r="D15" s="21"/>
      <c r="E15" s="21"/>
      <c r="F15" s="21"/>
      <c r="G15" s="21"/>
      <c r="H15" s="758"/>
      <c r="I15" s="480"/>
      <c r="J15" s="129"/>
      <c r="K15" s="129"/>
      <c r="L15" s="1782"/>
      <c r="M15" s="1758"/>
      <c r="N15" s="129"/>
      <c r="O15" s="1774"/>
      <c r="P15" s="94"/>
      <c r="Q15" s="94"/>
      <c r="R15" s="94"/>
      <c r="S15" s="94"/>
      <c r="T15" s="94"/>
      <c r="U15" s="94"/>
      <c r="V15" s="94"/>
      <c r="W15" s="94"/>
      <c r="X15" s="1770"/>
      <c r="AX15" s="75" t="str">
        <f>'Overview (Design)'!A14</f>
        <v>State:</v>
      </c>
      <c r="AY15" s="76">
        <f>'Overview (Design)'!G14</f>
        <v>0</v>
      </c>
      <c r="BC15" s="76" t="str">
        <f>'Overview (Design)'!K14</f>
        <v>State</v>
      </c>
      <c r="BD15" s="76" t="str">
        <f>'Overview (Design)'!L14</f>
        <v>County</v>
      </c>
      <c r="BE15" s="76" t="str">
        <f>'Overview (Design)'!M14</f>
        <v>Radon</v>
      </c>
      <c r="BF15" s="76" t="str">
        <f>'Overview (Design)'!N14</f>
        <v>Climate</v>
      </c>
      <c r="BG15" s="76" t="str">
        <f>'Overview (Design)'!O14</f>
        <v>Moist</v>
      </c>
      <c r="BH15" s="76" t="str">
        <f>'Overview (Design)'!P14</f>
        <v>WarmHumid</v>
      </c>
      <c r="BI15" s="775" t="str">
        <f>'Overview (Design)'!Q14</f>
        <v>Tropical</v>
      </c>
    </row>
    <row r="16" spans="1:61" x14ac:dyDescent="0.25">
      <c r="B16" s="679" t="s">
        <v>3146</v>
      </c>
      <c r="C16" s="21"/>
      <c r="D16" s="21"/>
      <c r="E16" s="21"/>
      <c r="F16" s="21"/>
      <c r="G16" s="21"/>
      <c r="H16" s="758"/>
      <c r="I16" s="480"/>
      <c r="J16" s="129"/>
      <c r="K16" s="129"/>
      <c r="L16" s="1942" t="s">
        <v>3379</v>
      </c>
      <c r="M16" s="1758"/>
      <c r="N16" s="129"/>
      <c r="O16" s="1774"/>
      <c r="P16" s="94"/>
      <c r="Q16" s="94"/>
      <c r="R16" s="94"/>
      <c r="S16" s="94"/>
      <c r="T16" s="94"/>
      <c r="U16" s="94"/>
      <c r="V16" s="94"/>
      <c r="W16" s="94"/>
      <c r="X16" s="1770"/>
      <c r="AX16" s="75" t="str">
        <f>'Overview (Design)'!A15</f>
        <v>County:</v>
      </c>
      <c r="AY16" s="76">
        <f>'Overview (Design)'!G15</f>
        <v>0</v>
      </c>
      <c r="BC16" s="76">
        <f>'Overview (Design)'!K15</f>
        <v>0</v>
      </c>
      <c r="BD16" s="76" t="str">
        <f>'Overview (Design)'!L15</f>
        <v/>
      </c>
      <c r="BE16" s="76" t="str">
        <f>'Overview (Design)'!M15</f>
        <v>!!</v>
      </c>
      <c r="BF16" s="76" t="str">
        <f>'Overview (Design)'!N15</f>
        <v>!!</v>
      </c>
      <c r="BG16" s="76" t="str">
        <f>'Overview (Design)'!O15</f>
        <v>!!</v>
      </c>
      <c r="BH16" s="76" t="str">
        <f>'Overview (Design)'!P15</f>
        <v>!!</v>
      </c>
      <c r="BI16" s="775" t="str">
        <f>'Overview (Design)'!Q15</f>
        <v>!!</v>
      </c>
    </row>
    <row r="17" spans="1:61" x14ac:dyDescent="0.25">
      <c r="B17" s="679" t="s">
        <v>3146</v>
      </c>
      <c r="C17" s="21"/>
      <c r="D17" s="21"/>
      <c r="E17" s="21"/>
      <c r="F17" s="21"/>
      <c r="G17" s="21"/>
      <c r="H17" s="758"/>
      <c r="I17" s="524"/>
      <c r="J17" s="210"/>
      <c r="K17" s="210"/>
      <c r="L17" s="1944"/>
      <c r="M17" s="1759"/>
      <c r="N17" s="210"/>
      <c r="O17" s="1764"/>
      <c r="P17" s="178"/>
      <c r="Q17" s="178"/>
      <c r="R17" s="178"/>
      <c r="S17" s="178"/>
      <c r="T17" s="178"/>
      <c r="U17" s="178"/>
      <c r="V17" s="178"/>
      <c r="W17" s="178"/>
      <c r="X17" s="1770"/>
      <c r="AX17" s="75" t="str">
        <f>'Overview (Design)'!A16</f>
        <v>Zip:</v>
      </c>
      <c r="AY17" s="76">
        <f>'Overview (Design)'!G16</f>
        <v>0</v>
      </c>
    </row>
    <row r="18" spans="1:61" x14ac:dyDescent="0.25">
      <c r="B18" s="679" t="s">
        <v>3148</v>
      </c>
      <c r="C18" s="21"/>
      <c r="D18" s="21"/>
      <c r="E18" s="21"/>
      <c r="F18" s="21"/>
      <c r="G18" s="21"/>
      <c r="H18" s="758"/>
      <c r="I18" s="192" t="s">
        <v>3148</v>
      </c>
      <c r="J18" s="193"/>
      <c r="K18" s="193"/>
      <c r="L18" s="1864" t="s">
        <v>3149</v>
      </c>
      <c r="M18" s="1762">
        <v>5</v>
      </c>
      <c r="N18" s="193"/>
      <c r="O18" s="1763">
        <f>M18*S18*W18</f>
        <v>0</v>
      </c>
      <c r="P18" s="94" t="b">
        <v>1</v>
      </c>
      <c r="Q18" s="94" t="b">
        <v>0</v>
      </c>
      <c r="R18" s="195" t="b">
        <v>0</v>
      </c>
      <c r="S18" s="195" t="b">
        <v>1</v>
      </c>
      <c r="T18" s="195" t="b">
        <v>0</v>
      </c>
      <c r="U18" s="195"/>
      <c r="V18" s="195"/>
      <c r="W18" s="360"/>
      <c r="X18" s="1770"/>
      <c r="AC18" s="394"/>
      <c r="AD18" s="394"/>
      <c r="AE18" s="394"/>
      <c r="AL18" s="254" t="str">
        <f>SUBSTITUTE(SUBSTITUTE(SUBSTITUTE("dpa"&amp;$B18&amp;$C18&amp;$D18&amp;$E18,".","_"),"(","_"),")","")</f>
        <v>dpa901_1_2</v>
      </c>
      <c r="AM18" s="254">
        <f>M18</f>
        <v>5</v>
      </c>
      <c r="AN18" s="254" t="str">
        <f>SUBSTITUTE(SUBSTITUTE(SUBSTITUTE("dpc"&amp;$B18&amp;$C18&amp;$D18&amp;$E18,".","_"),"(","_"),")","")</f>
        <v>dpc901_1_2</v>
      </c>
      <c r="AO18" s="254">
        <f>O18</f>
        <v>0</v>
      </c>
      <c r="AP18" s="254" t="str">
        <f>SUBSTITUTE(SUBSTITUTE(SUBSTITUTE("dch"&amp;$B18&amp;$C18&amp;$D18&amp;$E18,".","_"),"(","_"),")","")</f>
        <v>dch901_1_2</v>
      </c>
      <c r="AQ18" s="254" t="str">
        <f>IF(LEN(W18)=0,"",W18)</f>
        <v/>
      </c>
      <c r="AR18" s="254" t="str">
        <f>SUBSTITUTE(SUBSTITUTE(SUBSTITUTE("dnt"&amp;$B18&amp;$C18&amp;$D18&amp;$E18,".","_"),"(","_"),")","")</f>
        <v>dnt901_1_2</v>
      </c>
      <c r="AS18" s="254" t="str">
        <f>IF(LEN(X18)=0,"",X18)</f>
        <v/>
      </c>
      <c r="AX18" s="75"/>
    </row>
    <row r="19" spans="1:61" x14ac:dyDescent="0.25">
      <c r="B19" s="679" t="s">
        <v>3148</v>
      </c>
      <c r="C19" s="21"/>
      <c r="D19" s="21"/>
      <c r="E19" s="21"/>
      <c r="F19" s="21"/>
      <c r="G19" s="21"/>
      <c r="H19" s="758"/>
      <c r="I19" s="480"/>
      <c r="J19" s="129"/>
      <c r="K19" s="129"/>
      <c r="L19" s="1782"/>
      <c r="M19" s="1758"/>
      <c r="N19" s="129"/>
      <c r="O19" s="1774"/>
      <c r="P19" s="94"/>
      <c r="Q19" s="94"/>
      <c r="R19" s="94"/>
      <c r="S19" s="94"/>
      <c r="T19" s="94"/>
      <c r="U19" s="94"/>
      <c r="V19" s="94"/>
      <c r="W19" s="94"/>
      <c r="X19" s="1770"/>
      <c r="AX19" s="75" t="str">
        <f>'Overview (Design)'!A18</f>
        <v>Single-Family or Multifamily:</v>
      </c>
      <c r="AY19" s="76" t="str">
        <f>'Overview (Design)'!G18</f>
        <v>Single-Family</v>
      </c>
    </row>
    <row r="20" spans="1:61" s="388" customFormat="1" x14ac:dyDescent="0.25">
      <c r="A20" s="18"/>
      <c r="B20" s="679" t="s">
        <v>3148</v>
      </c>
      <c r="C20" s="21"/>
      <c r="D20" s="21"/>
      <c r="E20" s="21"/>
      <c r="F20" s="21"/>
      <c r="G20" s="21"/>
      <c r="H20" s="758"/>
      <c r="I20" s="524"/>
      <c r="J20" s="210"/>
      <c r="K20" s="210"/>
      <c r="L20" s="472" t="s">
        <v>3661</v>
      </c>
      <c r="M20" s="453"/>
      <c r="N20" s="210"/>
      <c r="O20" s="503"/>
      <c r="P20" s="178"/>
      <c r="Q20" s="178"/>
      <c r="R20" s="178"/>
      <c r="S20" s="178"/>
      <c r="T20" s="178"/>
      <c r="U20" s="178"/>
      <c r="V20" s="178"/>
      <c r="W20" s="178"/>
      <c r="X20" s="1770"/>
      <c r="Y20" s="780"/>
      <c r="AA20" s="783"/>
      <c r="AX20" s="75" t="str">
        <f>'Overview (Design)'!A19</f>
        <v>Number of Units:</v>
      </c>
      <c r="AY20" s="76">
        <f>'Overview (Design)'!G19</f>
        <v>0</v>
      </c>
    </row>
    <row r="21" spans="1:61" x14ac:dyDescent="0.25">
      <c r="B21" s="679" t="s">
        <v>3150</v>
      </c>
      <c r="C21" s="21"/>
      <c r="D21" s="21"/>
      <c r="E21" s="21"/>
      <c r="F21" s="21"/>
      <c r="G21" s="21"/>
      <c r="H21" s="758"/>
      <c r="I21" s="64" t="s">
        <v>3150</v>
      </c>
      <c r="J21" s="4"/>
      <c r="K21" s="4"/>
      <c r="L21" s="1796" t="s">
        <v>3151</v>
      </c>
      <c r="M21" s="428"/>
      <c r="N21" s="4"/>
      <c r="O21" s="141"/>
      <c r="AX21" s="1100" t="str">
        <f>'Overview (Design)'!A20</f>
        <v>Building includes commercial space pursuing Commercial Space certification?</v>
      </c>
      <c r="AY21" s="1101">
        <f>'Overview (Design)'!G20</f>
        <v>0</v>
      </c>
    </row>
    <row r="22" spans="1:61" x14ac:dyDescent="0.25">
      <c r="B22" s="679" t="s">
        <v>3150</v>
      </c>
      <c r="C22" s="21"/>
      <c r="D22" s="21"/>
      <c r="E22" s="21"/>
      <c r="F22" s="21"/>
      <c r="G22" s="21"/>
      <c r="H22" s="758"/>
      <c r="I22" s="164"/>
      <c r="J22" s="4"/>
      <c r="K22" s="4"/>
      <c r="L22" s="1796"/>
      <c r="M22" s="428"/>
      <c r="N22" s="4"/>
      <c r="O22" s="141"/>
    </row>
    <row r="23" spans="1:61" x14ac:dyDescent="0.25">
      <c r="B23" s="679" t="s">
        <v>3150</v>
      </c>
      <c r="C23" s="21" t="s">
        <v>256</v>
      </c>
      <c r="D23" s="21"/>
      <c r="E23" s="21"/>
      <c r="F23" s="21"/>
      <c r="G23" s="21"/>
      <c r="H23" s="758"/>
      <c r="I23" s="164"/>
      <c r="J23" s="27" t="s">
        <v>256</v>
      </c>
      <c r="K23" s="4"/>
      <c r="L23" s="161" t="s">
        <v>3152</v>
      </c>
      <c r="M23" s="428"/>
      <c r="N23" s="4"/>
      <c r="O23" s="141">
        <f ca="1">IFERROR(INDEX({3,5},MATCH(W23,INDIRECT(U23),0)),0)*S23</f>
        <v>0</v>
      </c>
      <c r="P23" s="94" t="b">
        <v>1</v>
      </c>
      <c r="Q23" s="94" t="b">
        <v>1</v>
      </c>
      <c r="R23" s="386" t="b">
        <v>0</v>
      </c>
      <c r="S23" s="386" t="b">
        <f>OR(AY35=INDEX(ddHeat1,1),AY35=INDEX(ddHeat1,2),AY36=INDEX(ddHeat2,1),AY36=INDEX(ddHeat2,2),AY37=INDEX(ddHeat3,1),AY37=INDEX(ddHeat3,2))</f>
        <v>0</v>
      </c>
      <c r="T23" s="94" t="b">
        <f>AND(NOT(S23),LEN(W23)&gt;0)</f>
        <v>0</v>
      </c>
      <c r="U23" s="94" t="str">
        <f>SUBSTITUTE(SUBSTITUTE(SUBSTITUTE("dd"&amp;B23&amp;C23&amp;D23&amp;E23&amp;F23,".","_"),"(","_"),")","")</f>
        <v>dd901_1_3_1</v>
      </c>
      <c r="W23" s="12"/>
      <c r="X23" s="1757"/>
      <c r="AC23" s="970" t="b">
        <f>OR(AD23:AE23)</f>
        <v>0</v>
      </c>
      <c r="AD23" s="970" t="b">
        <f>T23</f>
        <v>0</v>
      </c>
      <c r="AN23" s="254" t="str">
        <f>SUBSTITUTE(SUBSTITUTE(SUBSTITUTE("dpc"&amp;$B23&amp;$C23&amp;$D23&amp;$E23,".","_"),"(","_"),")","")</f>
        <v>dpc901_1_3_1</v>
      </c>
      <c r="AO23" s="254">
        <f ca="1">O23</f>
        <v>0</v>
      </c>
      <c r="AP23" s="254" t="str">
        <f>SUBSTITUTE(SUBSTITUTE(SUBSTITUTE("dch"&amp;$B23&amp;$C23&amp;$D23&amp;$E23,".","_"),"(","_"),")","")</f>
        <v>dch901_1_3_1</v>
      </c>
      <c r="AQ23" s="254" t="str">
        <f>IF(LEN(W23)=0,"",W23)</f>
        <v/>
      </c>
      <c r="AR23" s="254" t="str">
        <f>SUBSTITUTE(SUBSTITUTE(SUBSTITUTE("dnt"&amp;$B23&amp;$C23&amp;$D23&amp;$E23,".","_"),"(","_"),")","")</f>
        <v>dnt901_1_3_1</v>
      </c>
      <c r="AS23" s="254" t="str">
        <f>IF(LEN(X23)=0,"",X23)</f>
        <v/>
      </c>
    </row>
    <row r="24" spans="1:61" x14ac:dyDescent="0.25">
      <c r="B24" s="679" t="s">
        <v>3150</v>
      </c>
      <c r="C24" s="21" t="s">
        <v>256</v>
      </c>
      <c r="D24" s="77" t="s">
        <v>121</v>
      </c>
      <c r="E24" s="77"/>
      <c r="F24" s="77"/>
      <c r="G24" s="77"/>
      <c r="H24" s="761"/>
      <c r="I24" s="164"/>
      <c r="J24" s="27"/>
      <c r="K24" s="27" t="s">
        <v>121</v>
      </c>
      <c r="L24" s="161" t="s">
        <v>3153</v>
      </c>
      <c r="M24" s="428">
        <v>3</v>
      </c>
      <c r="N24" s="4"/>
      <c r="O24" s="141"/>
      <c r="X24" s="1757"/>
      <c r="AL24" s="254" t="str">
        <f>SUBSTITUTE(SUBSTITUTE(SUBSTITUTE("dpa"&amp;$B24&amp;$C24&amp;$D24&amp;$E24,".","_"),"(","_"),")","")</f>
        <v>dpa901_1_3_1_a</v>
      </c>
      <c r="AM24" s="254">
        <f>M24</f>
        <v>3</v>
      </c>
      <c r="AX24" s="75" t="str">
        <f>'Overview (Design)'!A23</f>
        <v>Project Name:</v>
      </c>
      <c r="AY24" s="76">
        <f>'Overview (Design)'!G23</f>
        <v>0</v>
      </c>
    </row>
    <row r="25" spans="1:61" x14ac:dyDescent="0.25">
      <c r="B25" s="679" t="s">
        <v>3150</v>
      </c>
      <c r="C25" s="21" t="s">
        <v>256</v>
      </c>
      <c r="D25" s="77" t="s">
        <v>122</v>
      </c>
      <c r="E25" s="77"/>
      <c r="F25" s="77"/>
      <c r="G25" s="77"/>
      <c r="H25" s="761"/>
      <c r="I25" s="164"/>
      <c r="J25" s="206"/>
      <c r="K25" s="206" t="s">
        <v>122</v>
      </c>
      <c r="L25" s="422" t="s">
        <v>3154</v>
      </c>
      <c r="M25" s="426">
        <v>5</v>
      </c>
      <c r="N25" s="4"/>
      <c r="O25" s="501"/>
      <c r="X25" s="1757"/>
      <c r="AL25" s="254" t="str">
        <f>SUBSTITUTE(SUBSTITUTE(SUBSTITUTE("dpa"&amp;$B25&amp;$C25&amp;$D25&amp;$E25,".","_"),"(","_"),")","")</f>
        <v>dpa901_1_3_1_b</v>
      </c>
      <c r="AM25" s="254">
        <f>M25</f>
        <v>5</v>
      </c>
      <c r="AX25" s="75"/>
    </row>
    <row r="26" spans="1:61" x14ac:dyDescent="0.25">
      <c r="B26" s="679" t="s">
        <v>3150</v>
      </c>
      <c r="C26" s="21" t="s">
        <v>258</v>
      </c>
      <c r="D26" s="77"/>
      <c r="E26" s="77"/>
      <c r="F26" s="77"/>
      <c r="G26" s="77"/>
      <c r="H26" s="761"/>
      <c r="I26" s="480"/>
      <c r="J26" s="183" t="s">
        <v>258</v>
      </c>
      <c r="K26" s="129"/>
      <c r="L26" s="448" t="s">
        <v>3155</v>
      </c>
      <c r="M26" s="452"/>
      <c r="N26" s="129"/>
      <c r="O26" s="502">
        <f ca="1">IFERROR(INDEX({3,5},MATCH(W26,INDIRECT(U26),0)),0)*S26</f>
        <v>0</v>
      </c>
      <c r="P26" s="94" t="b">
        <v>1</v>
      </c>
      <c r="Q26" s="94" t="b">
        <v>1</v>
      </c>
      <c r="R26" s="94" t="b">
        <v>0</v>
      </c>
      <c r="S26" s="94" t="b">
        <v>1</v>
      </c>
      <c r="T26" s="94" t="b">
        <v>0</v>
      </c>
      <c r="U26" s="94" t="str">
        <f>SUBSTITUTE(SUBSTITUTE(SUBSTITUTE("dd"&amp;B26&amp;C26&amp;D26&amp;E26&amp;F26,".","_"),"(","_"),")","")</f>
        <v>dd901_1_3_2</v>
      </c>
      <c r="V26" s="94"/>
      <c r="W26" s="109"/>
      <c r="X26" s="1770"/>
      <c r="AN26" s="254" t="str">
        <f>SUBSTITUTE(SUBSTITUTE(SUBSTITUTE("dpc"&amp;$B26&amp;$C26&amp;$D26&amp;$E26,".","_"),"(","_"),")","")</f>
        <v>dpc901_1_3_2</v>
      </c>
      <c r="AO26" s="254">
        <f ca="1">O26</f>
        <v>0</v>
      </c>
      <c r="AP26" s="254" t="str">
        <f>SUBSTITUTE(SUBSTITUTE(SUBSTITUTE("dch"&amp;$B26&amp;$C26&amp;$D26&amp;$E26,".","_"),"(","_"),")","")</f>
        <v>dch901_1_3_2</v>
      </c>
      <c r="AQ26" s="254" t="str">
        <f>IF(LEN(W26)=0,"",W26)</f>
        <v/>
      </c>
      <c r="AR26" s="254" t="str">
        <f>SUBSTITUTE(SUBSTITUTE(SUBSTITUTE("dnt"&amp;$B26&amp;$C26&amp;$D26&amp;$E26,".","_"),"(","_"),")","")</f>
        <v>dnt901_1_3_2</v>
      </c>
      <c r="AS26" s="254" t="str">
        <f>IF(LEN(X26)=0,"",X26)</f>
        <v/>
      </c>
      <c r="AX26" s="75" t="str">
        <f>'Overview (Design)'!A25</f>
        <v>Above grade plane finished floor area:</v>
      </c>
      <c r="AY26" s="76">
        <f>'Overview (Design)'!G25</f>
        <v>0</v>
      </c>
    </row>
    <row r="27" spans="1:61" x14ac:dyDescent="0.25">
      <c r="B27" s="679" t="s">
        <v>3150</v>
      </c>
      <c r="C27" s="21" t="s">
        <v>258</v>
      </c>
      <c r="D27" s="77" t="s">
        <v>121</v>
      </c>
      <c r="E27" s="77"/>
      <c r="F27" s="77"/>
      <c r="G27" s="77"/>
      <c r="H27" s="761"/>
      <c r="I27" s="480"/>
      <c r="J27" s="129"/>
      <c r="K27" s="183" t="s">
        <v>121</v>
      </c>
      <c r="L27" s="448" t="s">
        <v>3156</v>
      </c>
      <c r="M27" s="452">
        <v>3</v>
      </c>
      <c r="N27" s="129"/>
      <c r="O27" s="502"/>
      <c r="P27" s="94"/>
      <c r="Q27" s="94"/>
      <c r="R27" s="94"/>
      <c r="S27" s="94"/>
      <c r="T27" s="94"/>
      <c r="U27" s="94"/>
      <c r="V27" s="94"/>
      <c r="W27" s="94"/>
      <c r="X27" s="1770"/>
      <c r="AL27" s="254" t="str">
        <f>SUBSTITUTE(SUBSTITUTE(SUBSTITUTE("dpa"&amp;$B27&amp;$C27&amp;$D27&amp;$E27,".","_"),"(","_"),")","")</f>
        <v>dpa901_1_3_2_a</v>
      </c>
      <c r="AM27" s="254">
        <f>M27</f>
        <v>3</v>
      </c>
      <c r="AX27" s="75" t="str">
        <f>'Overview (Design)'!A26</f>
        <v>Total conditioned floor area:</v>
      </c>
      <c r="AY27" s="76">
        <f>'Overview (Design)'!G26</f>
        <v>0</v>
      </c>
    </row>
    <row r="28" spans="1:61" x14ac:dyDescent="0.25">
      <c r="B28" s="679" t="s">
        <v>3150</v>
      </c>
      <c r="C28" s="21" t="s">
        <v>258</v>
      </c>
      <c r="D28" s="77" t="s">
        <v>122</v>
      </c>
      <c r="E28" s="77"/>
      <c r="F28" s="77"/>
      <c r="G28" s="77"/>
      <c r="H28" s="761"/>
      <c r="I28" s="524"/>
      <c r="J28" s="210"/>
      <c r="K28" s="206" t="s">
        <v>122</v>
      </c>
      <c r="L28" s="449" t="s">
        <v>3157</v>
      </c>
      <c r="M28" s="453">
        <v>5</v>
      </c>
      <c r="N28" s="210"/>
      <c r="O28" s="503"/>
      <c r="P28" s="178"/>
      <c r="Q28" s="178"/>
      <c r="R28" s="178"/>
      <c r="S28" s="178"/>
      <c r="T28" s="178"/>
      <c r="U28" s="178"/>
      <c r="V28" s="178"/>
      <c r="W28" s="178"/>
      <c r="X28" s="1770"/>
      <c r="AL28" s="254" t="str">
        <f>SUBSTITUTE(SUBSTITUTE(SUBSTITUTE("dpa"&amp;$B28&amp;$C28&amp;$D28&amp;$E28,".","_"),"(","_"),")","")</f>
        <v>dpa901_1_3_2_b</v>
      </c>
      <c r="AM28" s="254">
        <f>M28</f>
        <v>5</v>
      </c>
      <c r="AX28" s="387" t="str">
        <f>'Overview (Design)'!A27</f>
        <v>Stories above grade:</v>
      </c>
      <c r="AY28" s="388">
        <f>'Overview (Design)'!G27</f>
        <v>0</v>
      </c>
    </row>
    <row r="29" spans="1:61" x14ac:dyDescent="0.25">
      <c r="B29" s="679" t="s">
        <v>3158</v>
      </c>
      <c r="C29" s="21"/>
      <c r="D29" s="21"/>
      <c r="E29" s="21"/>
      <c r="F29" s="21"/>
      <c r="G29" s="21"/>
      <c r="H29" s="758"/>
      <c r="I29" s="130" t="s">
        <v>3158</v>
      </c>
      <c r="J29" s="129"/>
      <c r="K29" s="129"/>
      <c r="L29" s="1782" t="s">
        <v>4487</v>
      </c>
      <c r="M29" s="1837" t="str">
        <f>IF(R29,"Mandatory","N/A")</f>
        <v>Mandatory</v>
      </c>
      <c r="N29" s="129"/>
      <c r="O29" s="502"/>
      <c r="P29" s="94" t="b">
        <v>1</v>
      </c>
      <c r="Q29" s="94" t="b">
        <v>0</v>
      </c>
      <c r="R29" s="94" t="b">
        <f>S29</f>
        <v>1</v>
      </c>
      <c r="S29" s="94" t="b">
        <v>1</v>
      </c>
      <c r="T29" s="94" t="b">
        <v>0</v>
      </c>
      <c r="U29" s="94" t="str">
        <f>SUBSTITUTE(SUBSTITUTE(SUBSTITUTE("dd"&amp;B29&amp;C29&amp;D29&amp;E29&amp;F29,".","_"),"(","_"),")","")</f>
        <v>dd901_1_4</v>
      </c>
      <c r="V29" s="94"/>
      <c r="W29" s="255"/>
      <c r="X29" s="1756"/>
      <c r="AC29" s="394" t="b">
        <f>OR(AD29:AE29)</f>
        <v>1</v>
      </c>
      <c r="AD29" s="394" t="b">
        <f>T29</f>
        <v>0</v>
      </c>
      <c r="AE29" s="394" t="b">
        <f>AND(R29,OR(W29="Not Met",W29=""))</f>
        <v>1</v>
      </c>
      <c r="AL29" s="254" t="str">
        <f>SUBSTITUTE(SUBSTITUTE(SUBSTITUTE("dpa"&amp;$B29&amp;$C29&amp;$D29&amp;$E29,".","_"),"(","_"),")","")</f>
        <v>dpa901_1_4</v>
      </c>
      <c r="AM29" s="254" t="str">
        <f>M29</f>
        <v>Mandatory</v>
      </c>
      <c r="AP29" s="254" t="str">
        <f>SUBSTITUTE(SUBSTITUTE(SUBSTITUTE("dch"&amp;$B29&amp;$C29&amp;$D29&amp;$E29,".","_"),"(","_"),")","")</f>
        <v>dch901_1_4</v>
      </c>
      <c r="AQ29" s="254" t="str">
        <f>IF(LEN(W29)=0,"",W29)</f>
        <v/>
      </c>
      <c r="AR29" s="254" t="str">
        <f>SUBSTITUTE(SUBSTITUTE(SUBSTITUTE("dnt"&amp;$B29&amp;$C29&amp;$D29&amp;$E29,".","_"),"(","_"),")","")</f>
        <v>dnt901_1_4</v>
      </c>
      <c r="AS29" s="254" t="str">
        <f>IF(LEN(X29)=0,"",X29)</f>
        <v/>
      </c>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1:61" x14ac:dyDescent="0.25">
      <c r="B30" s="679" t="s">
        <v>3158</v>
      </c>
      <c r="C30" s="21"/>
      <c r="D30" s="21"/>
      <c r="E30" s="21"/>
      <c r="F30" s="21"/>
      <c r="G30" s="21"/>
      <c r="H30" s="758"/>
      <c r="I30" s="480"/>
      <c r="J30" s="129"/>
      <c r="K30" s="129"/>
      <c r="L30" s="1782"/>
      <c r="M30" s="1837"/>
      <c r="N30" s="129"/>
      <c r="O30" s="502"/>
      <c r="P30" s="94"/>
      <c r="Q30" s="94"/>
      <c r="R30" s="94"/>
      <c r="S30" s="94"/>
      <c r="T30" s="94"/>
      <c r="U30" s="94"/>
      <c r="V30" s="94"/>
      <c r="W30" s="94"/>
      <c r="X30" s="1770"/>
      <c r="AX30" s="387"/>
      <c r="AY30" s="388"/>
    </row>
    <row r="31" spans="1:61" s="868" customFormat="1" x14ac:dyDescent="0.25">
      <c r="A31" s="18"/>
      <c r="B31" s="679" t="s">
        <v>3158</v>
      </c>
      <c r="C31" s="21"/>
      <c r="D31" s="21"/>
      <c r="E31" s="21"/>
      <c r="F31" s="21"/>
      <c r="G31" s="21"/>
      <c r="H31" s="758"/>
      <c r="I31" s="480"/>
      <c r="J31" s="129"/>
      <c r="K31" s="129"/>
      <c r="L31" s="1782"/>
      <c r="M31" s="1837"/>
      <c r="N31" s="129"/>
      <c r="O31" s="887"/>
      <c r="P31" s="94"/>
      <c r="Q31" s="94"/>
      <c r="R31" s="94"/>
      <c r="S31" s="94"/>
      <c r="T31" s="94"/>
      <c r="U31" s="94"/>
      <c r="V31" s="94"/>
      <c r="W31" s="94"/>
      <c r="X31" s="1770"/>
      <c r="AX31" s="75" t="str">
        <f>'Overview (Design)'!A30</f>
        <v xml:space="preserve">Project Description (optional): </v>
      </c>
      <c r="AY31" s="76">
        <f>'Overview (Design)'!G30</f>
        <v>0</v>
      </c>
      <c r="AZ31" s="76"/>
      <c r="BA31" s="76"/>
      <c r="BB31" s="76"/>
      <c r="BC31" s="76"/>
      <c r="BD31" s="76"/>
      <c r="BE31" s="76"/>
      <c r="BF31" s="76"/>
      <c r="BG31" s="76"/>
      <c r="BH31" s="76"/>
      <c r="BI31" s="76"/>
    </row>
    <row r="32" spans="1:61" x14ac:dyDescent="0.25">
      <c r="B32" s="679" t="s">
        <v>3158</v>
      </c>
      <c r="C32" s="21"/>
      <c r="D32" s="21"/>
      <c r="E32" s="21"/>
      <c r="F32" s="21"/>
      <c r="G32" s="21"/>
      <c r="H32" s="758"/>
      <c r="I32" s="480"/>
      <c r="J32" s="129"/>
      <c r="K32" s="129"/>
      <c r="L32" s="1782"/>
      <c r="M32" s="1837"/>
      <c r="N32" s="129"/>
      <c r="O32" s="502"/>
      <c r="P32" s="94"/>
      <c r="Q32" s="94"/>
      <c r="R32" s="94"/>
      <c r="S32" s="94"/>
      <c r="T32" s="94"/>
      <c r="U32" s="94"/>
      <c r="V32" s="94"/>
      <c r="W32" s="94"/>
      <c r="X32" s="1770"/>
      <c r="AX32" s="387"/>
      <c r="AY32" s="388"/>
      <c r="AZ32" s="868"/>
      <c r="BA32" s="868"/>
      <c r="BB32" s="868"/>
      <c r="BC32" s="868"/>
      <c r="BD32" s="868"/>
      <c r="BE32" s="868"/>
      <c r="BF32" s="868"/>
      <c r="BG32" s="868"/>
      <c r="BH32" s="868"/>
      <c r="BI32" s="868"/>
    </row>
    <row r="33" spans="2:51" x14ac:dyDescent="0.25">
      <c r="B33" s="679" t="s">
        <v>3158</v>
      </c>
      <c r="C33" s="21"/>
      <c r="D33" s="21"/>
      <c r="E33" s="21"/>
      <c r="F33" s="21"/>
      <c r="G33" s="21"/>
      <c r="H33" s="758"/>
      <c r="I33" s="524"/>
      <c r="J33" s="210"/>
      <c r="K33" s="210"/>
      <c r="L33" s="1843"/>
      <c r="M33" s="1844"/>
      <c r="N33" s="210"/>
      <c r="O33" s="503"/>
      <c r="P33" s="178"/>
      <c r="Q33" s="178"/>
      <c r="R33" s="178"/>
      <c r="S33" s="178"/>
      <c r="T33" s="178"/>
      <c r="U33" s="178"/>
      <c r="V33" s="178"/>
      <c r="W33" s="178"/>
      <c r="X33" s="1770"/>
      <c r="AX33" s="75" t="str">
        <f>'Overview (Design)'!A32</f>
        <v>Foundation Type:</v>
      </c>
      <c r="AY33" s="76">
        <f>'Overview (Design)'!G32</f>
        <v>0</v>
      </c>
    </row>
    <row r="34" spans="2:51" x14ac:dyDescent="0.25">
      <c r="B34" s="679" t="s">
        <v>3159</v>
      </c>
      <c r="C34" s="21"/>
      <c r="D34" s="21"/>
      <c r="E34" s="21"/>
      <c r="F34" s="21"/>
      <c r="G34" s="21"/>
      <c r="H34" s="758"/>
      <c r="I34" s="130" t="s">
        <v>3159</v>
      </c>
      <c r="J34" s="129"/>
      <c r="K34" s="129"/>
      <c r="L34" s="1782" t="s">
        <v>3160</v>
      </c>
      <c r="M34" s="1758">
        <v>7</v>
      </c>
      <c r="N34" s="129"/>
      <c r="O34" s="1774">
        <f>M34*S34*W34</f>
        <v>0</v>
      </c>
      <c r="P34" s="94" t="b">
        <v>1</v>
      </c>
      <c r="Q34" s="94" t="b">
        <v>1</v>
      </c>
      <c r="R34" s="94" t="b">
        <v>0</v>
      </c>
      <c r="S34" s="94" t="b">
        <f>NOT(W29="N/A")</f>
        <v>1</v>
      </c>
      <c r="T34" s="94" t="b">
        <f>AND(NOT(S34),W34=TRUE)</f>
        <v>0</v>
      </c>
      <c r="U34" s="94"/>
      <c r="V34" s="94"/>
      <c r="W34" s="117"/>
      <c r="X34" s="1756"/>
      <c r="AC34" s="394" t="b">
        <f>OR(AD34:AE34)</f>
        <v>0</v>
      </c>
      <c r="AD34" s="394" t="b">
        <f>T34</f>
        <v>0</v>
      </c>
      <c r="AE34" s="394"/>
      <c r="AL34" s="254" t="str">
        <f>SUBSTITUTE(SUBSTITUTE(SUBSTITUTE("dpa"&amp;$B34&amp;$C34&amp;$D34&amp;$E34,".","_"),"(","_"),")","")</f>
        <v>dpa901_1_5</v>
      </c>
      <c r="AM34" s="254">
        <f>M34</f>
        <v>7</v>
      </c>
      <c r="AN34" s="254" t="str">
        <f>SUBSTITUTE(SUBSTITUTE(SUBSTITUTE("dpc"&amp;$B34&amp;$C34&amp;$D34&amp;$E34,".","_"),"(","_"),")","")</f>
        <v>dpc901_1_5</v>
      </c>
      <c r="AO34" s="254">
        <f>O34</f>
        <v>0</v>
      </c>
      <c r="AP34" s="254" t="str">
        <f>SUBSTITUTE(SUBSTITUTE(SUBSTITUTE("dch"&amp;$B34&amp;$C34&amp;$D34&amp;$E34,".","_"),"(","_"),")","")</f>
        <v>dch901_1_5</v>
      </c>
      <c r="AQ34" s="254" t="str">
        <f>IF(LEN(W34)=0,"",W34)</f>
        <v/>
      </c>
      <c r="AR34" s="254" t="str">
        <f>SUBSTITUTE(SUBSTITUTE(SUBSTITUTE("dnt"&amp;$B34&amp;$C34&amp;$D34&amp;$E34,".","_"),"(","_"),")","")</f>
        <v>dnt901_1_5</v>
      </c>
      <c r="AS34" s="254" t="str">
        <f>IF(LEN(X34)=0,"",X34)</f>
        <v/>
      </c>
      <c r="AX34" s="387"/>
      <c r="AY34" s="388"/>
    </row>
    <row r="35" spans="2:51" x14ac:dyDescent="0.25">
      <c r="B35" s="679" t="s">
        <v>3159</v>
      </c>
      <c r="C35" s="21"/>
      <c r="D35" s="21"/>
      <c r="E35" s="21"/>
      <c r="F35" s="21"/>
      <c r="G35" s="21"/>
      <c r="H35" s="758"/>
      <c r="I35" s="480"/>
      <c r="J35" s="129"/>
      <c r="K35" s="129"/>
      <c r="L35" s="1782"/>
      <c r="M35" s="1758"/>
      <c r="N35" s="129"/>
      <c r="O35" s="1774"/>
      <c r="P35" s="94"/>
      <c r="Q35" s="94"/>
      <c r="R35" s="94"/>
      <c r="S35" s="94"/>
      <c r="T35" s="94"/>
      <c r="U35" s="94"/>
      <c r="V35" s="94"/>
      <c r="W35" s="94"/>
      <c r="X35" s="1770"/>
      <c r="AX35" s="75" t="str">
        <f>'Overview (Design)'!A34</f>
        <v>Type of Heating System (main system):</v>
      </c>
      <c r="AY35" s="76">
        <f>'Overview (Design)'!G34</f>
        <v>0</v>
      </c>
    </row>
    <row r="36" spans="2:51" x14ac:dyDescent="0.25">
      <c r="B36" s="679" t="s">
        <v>3159</v>
      </c>
      <c r="C36" s="21"/>
      <c r="D36" s="21"/>
      <c r="E36" s="21"/>
      <c r="F36" s="21"/>
      <c r="G36" s="21"/>
      <c r="H36" s="758"/>
      <c r="I36" s="524"/>
      <c r="J36" s="210"/>
      <c r="K36" s="210"/>
      <c r="L36" s="1843"/>
      <c r="M36" s="1759"/>
      <c r="N36" s="210"/>
      <c r="O36" s="1764"/>
      <c r="P36" s="178"/>
      <c r="Q36" s="178"/>
      <c r="R36" s="178"/>
      <c r="S36" s="178"/>
      <c r="T36" s="178"/>
      <c r="U36" s="178"/>
      <c r="V36" s="178"/>
      <c r="W36" s="178"/>
      <c r="X36" s="1770"/>
      <c r="AX36" s="75" t="str">
        <f>'Overview (Design)'!A35</f>
        <v>Type of Heating System (system 2):</v>
      </c>
      <c r="AY36" s="76">
        <f>'Overview (Design)'!G35</f>
        <v>0</v>
      </c>
    </row>
    <row r="37" spans="2:51" x14ac:dyDescent="0.25">
      <c r="B37" s="679" t="s">
        <v>3161</v>
      </c>
      <c r="C37" s="21"/>
      <c r="D37" s="21"/>
      <c r="E37" s="21"/>
      <c r="F37" s="21"/>
      <c r="G37" s="21"/>
      <c r="H37" s="758"/>
      <c r="I37" s="130" t="s">
        <v>3161</v>
      </c>
      <c r="J37" s="129"/>
      <c r="K37" s="129"/>
      <c r="L37" s="282" t="s">
        <v>3162</v>
      </c>
      <c r="M37" s="452"/>
      <c r="N37" s="129"/>
      <c r="O37" s="502">
        <f ca="1">IFERROR(INDEX({2,5},MATCH(W37,INDIRECT(U37),0)),0)*S37</f>
        <v>0</v>
      </c>
      <c r="P37" s="94" t="b">
        <v>1</v>
      </c>
      <c r="Q37" s="94" t="b">
        <v>1</v>
      </c>
      <c r="R37" s="94" t="b">
        <v>0</v>
      </c>
      <c r="S37" s="94" t="b">
        <f>OR(AY35=INDEX(ddHeat1,3),AY35=INDEX(ddHeat1,5),AY36=INDEX(ddHeat2,3),AY36=INDEX(ddHeat2,5),AY37=INDEX(ddHeat3,3),AY37=INDEX(ddHeat3,5))</f>
        <v>0</v>
      </c>
      <c r="T37" s="94" t="b">
        <f>AND(NOT(S37),LEN(W37)&gt;0)</f>
        <v>0</v>
      </c>
      <c r="U37" s="94" t="str">
        <f>SUBSTITUTE(SUBSTITUTE(SUBSTITUTE("dd"&amp;B37&amp;C37&amp;D37&amp;E37&amp;F37,".","_"),"(","_"),")","")</f>
        <v>dd901_1_6</v>
      </c>
      <c r="V37" s="94"/>
      <c r="W37" s="255"/>
      <c r="X37" s="1756"/>
      <c r="AC37" s="394" t="b">
        <f>OR(AD37:AE37)</f>
        <v>0</v>
      </c>
      <c r="AD37" s="394" t="b">
        <f>T37</f>
        <v>0</v>
      </c>
      <c r="AE37" s="394"/>
      <c r="AN37" s="254" t="str">
        <f>SUBSTITUTE(SUBSTITUTE(SUBSTITUTE("dpc"&amp;$B37&amp;$C37&amp;$D37&amp;$E37,".","_"),"(","_"),")","")</f>
        <v>dpc901_1_6</v>
      </c>
      <c r="AO37" s="254">
        <f ca="1">O37</f>
        <v>0</v>
      </c>
      <c r="AP37" s="254" t="str">
        <f>SUBSTITUTE(SUBSTITUTE(SUBSTITUTE("dch"&amp;$B37&amp;$C37&amp;$D37&amp;$E37,".","_"),"(","_"),")","")</f>
        <v>dch901_1_6</v>
      </c>
      <c r="AQ37" s="254" t="str">
        <f>IF(LEN(W37)=0,"",W37)</f>
        <v/>
      </c>
      <c r="AR37" s="254" t="str">
        <f>SUBSTITUTE(SUBSTITUTE(SUBSTITUTE("dnt"&amp;$B37&amp;$C37&amp;$D37&amp;$E37,".","_"),"(","_"),")","")</f>
        <v>dnt901_1_6</v>
      </c>
      <c r="AS37" s="254" t="str">
        <f>IF(LEN(X37)=0,"",X37)</f>
        <v/>
      </c>
      <c r="AX37" s="75" t="str">
        <f>'Overview (Design)'!A36</f>
        <v>Type of Heating System (system 3):</v>
      </c>
      <c r="AY37" s="76">
        <f>'Overview (Design)'!G36</f>
        <v>0</v>
      </c>
    </row>
    <row r="38" spans="2:51" x14ac:dyDescent="0.25">
      <c r="B38" s="679" t="s">
        <v>3161</v>
      </c>
      <c r="C38" s="21" t="s">
        <v>256</v>
      </c>
      <c r="D38" s="21"/>
      <c r="E38" s="21"/>
      <c r="F38" s="21"/>
      <c r="G38" s="21"/>
      <c r="H38" s="758"/>
      <c r="I38" s="480"/>
      <c r="J38" s="206" t="s">
        <v>256</v>
      </c>
      <c r="K38" s="210"/>
      <c r="L38" s="422" t="s">
        <v>3163</v>
      </c>
      <c r="M38" s="426">
        <v>2</v>
      </c>
      <c r="N38" s="129"/>
      <c r="O38" s="239"/>
      <c r="P38" s="94"/>
      <c r="Q38" s="94"/>
      <c r="R38" s="94"/>
      <c r="S38" s="94"/>
      <c r="T38" s="94"/>
      <c r="U38" s="94"/>
      <c r="V38" s="94"/>
      <c r="W38" s="94"/>
      <c r="X38" s="1770"/>
      <c r="AL38" s="254" t="str">
        <f>SUBSTITUTE(SUBSTITUTE(SUBSTITUTE("dpa"&amp;$B38&amp;$C38&amp;$D38&amp;$E38,".","_"),"(","_"),")","")</f>
        <v>dpa901_1_6_1</v>
      </c>
      <c r="AM38" s="254">
        <f>M38</f>
        <v>2</v>
      </c>
      <c r="AX38" s="75" t="str">
        <f>'Overview (Design)'!A37</f>
        <v>Primary Heating Fuel:</v>
      </c>
      <c r="AY38" s="76">
        <f>'Overview (Design)'!G37</f>
        <v>0</v>
      </c>
    </row>
    <row r="39" spans="2:51" ht="15.75" thickBot="1" x14ac:dyDescent="0.3">
      <c r="B39" s="679" t="s">
        <v>3161</v>
      </c>
      <c r="C39" s="21" t="s">
        <v>258</v>
      </c>
      <c r="D39" s="21"/>
      <c r="E39" s="21"/>
      <c r="F39" s="21"/>
      <c r="G39" s="21"/>
      <c r="H39" s="758"/>
      <c r="I39" s="481"/>
      <c r="J39" s="190" t="s">
        <v>258</v>
      </c>
      <c r="K39" s="240"/>
      <c r="L39" s="425" t="s">
        <v>3164</v>
      </c>
      <c r="M39" s="429">
        <v>5</v>
      </c>
      <c r="N39" s="240"/>
      <c r="O39" s="241"/>
      <c r="P39" s="99"/>
      <c r="Q39" s="99"/>
      <c r="R39" s="99"/>
      <c r="S39" s="99"/>
      <c r="T39" s="99"/>
      <c r="U39" s="99"/>
      <c r="V39" s="99"/>
      <c r="W39" s="99"/>
      <c r="X39" s="1771"/>
      <c r="AL39" s="254" t="str">
        <f>SUBSTITUTE(SUBSTITUTE(SUBSTITUTE("dpa"&amp;$B39&amp;$C39&amp;$D39&amp;$E39,".","_"),"(","_"),")","")</f>
        <v>dpa901_1_6_2</v>
      </c>
      <c r="AM39" s="254">
        <f>M39</f>
        <v>5</v>
      </c>
      <c r="AX39" s="387" t="str">
        <f>'Overview (Design)'!A38</f>
        <v>Heating Ducts:</v>
      </c>
      <c r="AY39" s="388">
        <f>'Overview (Design)'!G38</f>
        <v>0</v>
      </c>
    </row>
    <row r="40" spans="2:51" ht="15.75" thickTop="1" x14ac:dyDescent="0.25">
      <c r="B40" s="679">
        <v>901.2</v>
      </c>
      <c r="C40" s="21"/>
      <c r="D40" s="21"/>
      <c r="E40" s="21"/>
      <c r="F40" s="21"/>
      <c r="G40" s="21"/>
      <c r="H40" s="758"/>
      <c r="I40" s="180">
        <v>901.2</v>
      </c>
      <c r="J40" s="181"/>
      <c r="K40" s="181"/>
      <c r="L40" s="466" t="s">
        <v>3165</v>
      </c>
      <c r="M40" s="451"/>
      <c r="N40" s="181"/>
      <c r="O40" s="506"/>
      <c r="P40" s="105"/>
      <c r="Q40" s="105"/>
      <c r="R40" s="105"/>
      <c r="S40" s="105"/>
      <c r="T40" s="105"/>
      <c r="U40" s="105"/>
      <c r="V40" s="105"/>
      <c r="W40" s="105"/>
      <c r="X40" s="105"/>
      <c r="AX40" s="387" t="str">
        <f>'Overview (Design)'!A39</f>
        <v>Type of Cooling System (main system):</v>
      </c>
      <c r="AY40" s="388">
        <f>'Overview (Design)'!G39</f>
        <v>0</v>
      </c>
    </row>
    <row r="41" spans="2:51" x14ac:dyDescent="0.25">
      <c r="B41" s="679" t="s">
        <v>3166</v>
      </c>
      <c r="C41" s="21"/>
      <c r="D41" s="21"/>
      <c r="E41" s="21"/>
      <c r="F41" s="21"/>
      <c r="G41" s="21"/>
      <c r="H41" s="758"/>
      <c r="I41" s="64" t="s">
        <v>3166</v>
      </c>
      <c r="J41" s="4"/>
      <c r="K41" s="4"/>
      <c r="L41" s="1796" t="s">
        <v>3167</v>
      </c>
      <c r="M41" s="428"/>
      <c r="N41" s="4"/>
      <c r="O41" s="141"/>
      <c r="AX41" s="387" t="str">
        <f>'Overview (Design)'!A40</f>
        <v>Type of Cooling System (system 2):</v>
      </c>
      <c r="AY41" s="388">
        <f>'Overview (Design)'!G40</f>
        <v>0</v>
      </c>
    </row>
    <row r="42" spans="2:51" x14ac:dyDescent="0.25">
      <c r="B42" s="679" t="s">
        <v>3166</v>
      </c>
      <c r="C42" s="21"/>
      <c r="D42" s="21"/>
      <c r="E42" s="21"/>
      <c r="F42" s="21"/>
      <c r="G42" s="21"/>
      <c r="H42" s="758"/>
      <c r="I42" s="164"/>
      <c r="J42" s="4"/>
      <c r="K42" s="4"/>
      <c r="L42" s="1796"/>
      <c r="M42" s="428"/>
      <c r="N42" s="4"/>
      <c r="O42" s="141"/>
      <c r="AX42" s="387" t="str">
        <f>'Overview (Design)'!A41</f>
        <v>Type of Cooling System (system 3):</v>
      </c>
      <c r="AY42" s="388">
        <f>'Overview (Design)'!G41</f>
        <v>0</v>
      </c>
    </row>
    <row r="43" spans="2:51" x14ac:dyDescent="0.25">
      <c r="B43" s="679" t="s">
        <v>3166</v>
      </c>
      <c r="C43" s="21" t="s">
        <v>256</v>
      </c>
      <c r="D43" s="21"/>
      <c r="E43" s="21"/>
      <c r="F43" s="21" t="s">
        <v>4893</v>
      </c>
      <c r="G43" s="21"/>
      <c r="H43" s="758"/>
      <c r="I43" s="164"/>
      <c r="J43" s="183" t="s">
        <v>256</v>
      </c>
      <c r="K43" s="129"/>
      <c r="L43" s="1754" t="s">
        <v>3168</v>
      </c>
      <c r="M43" s="765" t="str">
        <f>IF(R43,"Mandatory","N/A")</f>
        <v>Mandatory</v>
      </c>
      <c r="N43" s="129"/>
      <c r="O43" s="1774">
        <f>M44*S43*(W43="Met")</f>
        <v>0</v>
      </c>
      <c r="P43" s="94" t="b">
        <v>1</v>
      </c>
      <c r="Q43" s="94" t="b">
        <v>1</v>
      </c>
      <c r="R43" s="388" t="b">
        <f>S43</f>
        <v>1</v>
      </c>
      <c r="S43" s="386" t="b">
        <f>NOT(W55)</f>
        <v>1</v>
      </c>
      <c r="T43" s="94" t="b">
        <f>AND(NOT(S43),LEN(W43)&gt;0,W43&lt;&gt;"N/A")</f>
        <v>0</v>
      </c>
      <c r="U43" s="94" t="str">
        <f>SUBSTITUTE(SUBSTITUTE(SUBSTITUTE("dd"&amp;B43&amp;C43&amp;D43&amp;E43&amp;F43,".","_"),"(","_"),")","")</f>
        <v>dd901_2_1_1_m</v>
      </c>
      <c r="W43" s="12"/>
      <c r="X43" s="1757"/>
      <c r="AC43" s="394" t="b">
        <f>OR(AD43:AE43)</f>
        <v>1</v>
      </c>
      <c r="AD43" s="394" t="b">
        <f>T43</f>
        <v>0</v>
      </c>
      <c r="AE43" s="394" t="b">
        <f>AND(R43,OR(W43="Not Met",W43=""))</f>
        <v>1</v>
      </c>
      <c r="AL43" s="36" t="str">
        <f>SUBSTITUTE(SUBSTITUTE(SUBSTITUTE("dpa"&amp;$B43&amp;$C43&amp;$D43&amp;$E43&amp;$F43,".","_"),"(","_"),")","")</f>
        <v>dpa901_2_1_1_m</v>
      </c>
      <c r="AM43" s="254" t="str">
        <f>M43</f>
        <v>Mandatory</v>
      </c>
      <c r="AN43" s="254" t="str">
        <f>SUBSTITUTE(SUBSTITUTE(SUBSTITUTE("dpc"&amp;$B43&amp;$C43&amp;$D43&amp;$E43,".","_"),"(","_"),")","")</f>
        <v>dpc901_2_1_1</v>
      </c>
      <c r="AO43" s="254">
        <f>O43</f>
        <v>0</v>
      </c>
      <c r="AP43" s="254" t="str">
        <f>SUBSTITUTE(SUBSTITUTE(SUBSTITUTE("dch"&amp;$B43&amp;$C43&amp;$D43&amp;$E43,".","_"),"(","_"),")","")</f>
        <v>dch901_2_1_1</v>
      </c>
      <c r="AQ43" s="254" t="str">
        <f>IF(LEN(W43)=0,"",W43)</f>
        <v/>
      </c>
      <c r="AR43" s="254" t="str">
        <f>SUBSTITUTE(SUBSTITUTE(SUBSTITUTE("dnt"&amp;$B43&amp;$C43&amp;$D43&amp;$E43,".","_"),"(","_"),")","")</f>
        <v>dnt901_2_1_1</v>
      </c>
      <c r="AS43" s="254" t="str">
        <f>IF(LEN(X43)=0,"",X43)</f>
        <v/>
      </c>
      <c r="AX43" s="387" t="str">
        <f>'Overview (Design)'!A42</f>
        <v>Cooling Ducts:</v>
      </c>
      <c r="AY43" s="388">
        <f>'Overview (Design)'!G42</f>
        <v>0</v>
      </c>
    </row>
    <row r="44" spans="2:51" x14ac:dyDescent="0.25">
      <c r="B44" s="679" t="s">
        <v>3166</v>
      </c>
      <c r="C44" s="21" t="s">
        <v>256</v>
      </c>
      <c r="D44" s="21"/>
      <c r="E44" s="21"/>
      <c r="F44" s="21"/>
      <c r="G44" s="21"/>
      <c r="H44" s="758"/>
      <c r="I44" s="164"/>
      <c r="J44" s="129"/>
      <c r="K44" s="129"/>
      <c r="L44" s="1754"/>
      <c r="M44" s="1758">
        <v>4</v>
      </c>
      <c r="N44" s="129"/>
      <c r="O44" s="1774"/>
      <c r="X44" s="1757"/>
      <c r="AL44" s="254" t="str">
        <f>SUBSTITUTE(SUBSTITUTE(SUBSTITUTE("dpa"&amp;$B44&amp;$C44&amp;$D44&amp;$E44,".","_"),"(","_"),")","")</f>
        <v>dpa901_2_1_1</v>
      </c>
      <c r="AM44" s="254">
        <f>M44</f>
        <v>4</v>
      </c>
      <c r="AX44" s="387"/>
      <c r="AY44" s="388"/>
    </row>
    <row r="45" spans="2:51" x14ac:dyDescent="0.25">
      <c r="B45" s="679" t="s">
        <v>3166</v>
      </c>
      <c r="C45" s="21" t="s">
        <v>256</v>
      </c>
      <c r="D45" s="21"/>
      <c r="E45" s="21"/>
      <c r="F45" s="21"/>
      <c r="G45" s="21"/>
      <c r="H45" s="758"/>
      <c r="I45" s="164"/>
      <c r="J45" s="210"/>
      <c r="K45" s="210"/>
      <c r="L45" s="1755"/>
      <c r="M45" s="1759"/>
      <c r="N45" s="210"/>
      <c r="O45" s="1764"/>
      <c r="X45" s="1757"/>
      <c r="AX45" s="387" t="str">
        <f>'Overview (Design)'!A44</f>
        <v>Maximum window and door SHGC:</v>
      </c>
      <c r="AY45" s="388">
        <f>'Overview (Design)'!G44</f>
        <v>0</v>
      </c>
    </row>
    <row r="46" spans="2:51" x14ac:dyDescent="0.25">
      <c r="B46" s="679" t="s">
        <v>3166</v>
      </c>
      <c r="C46" s="21" t="s">
        <v>258</v>
      </c>
      <c r="D46" s="21"/>
      <c r="E46" s="21"/>
      <c r="F46" s="21" t="s">
        <v>4893</v>
      </c>
      <c r="G46" s="21"/>
      <c r="H46" s="758"/>
      <c r="I46" s="164"/>
      <c r="J46" s="183" t="s">
        <v>258</v>
      </c>
      <c r="K46" s="129"/>
      <c r="L46" s="1754" t="s">
        <v>4488</v>
      </c>
      <c r="M46" s="765" t="str">
        <f>IF(R46,"Mandatory","N/A")</f>
        <v>Mandatory</v>
      </c>
      <c r="N46" s="129"/>
      <c r="O46" s="1774">
        <f>M47*S46*(W46="Met")</f>
        <v>0</v>
      </c>
      <c r="P46" s="94" t="b">
        <v>1</v>
      </c>
      <c r="Q46" s="94" t="b">
        <v>1</v>
      </c>
      <c r="R46" s="388" t="b">
        <f>S46</f>
        <v>1</v>
      </c>
      <c r="S46" s="391" t="b">
        <f>NOT(W55)</f>
        <v>1</v>
      </c>
      <c r="T46" s="94" t="b">
        <f>AND(NOT(S46),LEN(W46)&gt;0,W46&lt;&gt;"N/A")</f>
        <v>0</v>
      </c>
      <c r="U46" s="94" t="str">
        <f>SUBSTITUTE(SUBSTITUTE(SUBSTITUTE("dd"&amp;B46&amp;C46&amp;D46&amp;E46&amp;F46,".","_"),"(","_"),")","")</f>
        <v>dd901_2_1_2_m</v>
      </c>
      <c r="W46" s="12"/>
      <c r="X46" s="1757"/>
      <c r="AC46" s="394" t="b">
        <f>OR(AD46:AE46)</f>
        <v>1</v>
      </c>
      <c r="AD46" s="394" t="b">
        <f>T46</f>
        <v>0</v>
      </c>
      <c r="AE46" s="394" t="b">
        <f>AND(R46,OR(W46="Not Met",W46=""))</f>
        <v>1</v>
      </c>
      <c r="AL46" s="36" t="str">
        <f>SUBSTITUTE(SUBSTITUTE(SUBSTITUTE("dpa"&amp;$B46&amp;$C46&amp;$D46&amp;$E46&amp;$F46,".","_"),"(","_"),")","")</f>
        <v>dpa901_2_1_2_m</v>
      </c>
      <c r="AM46" s="254" t="str">
        <f>M46</f>
        <v>Mandatory</v>
      </c>
      <c r="AN46" s="254" t="str">
        <f>SUBSTITUTE(SUBSTITUTE(SUBSTITUTE("dpc"&amp;$B46&amp;$C46&amp;$D46&amp;$E46,".","_"),"(","_"),")","")</f>
        <v>dpc901_2_1_2</v>
      </c>
      <c r="AO46" s="254">
        <f>O46</f>
        <v>0</v>
      </c>
      <c r="AP46" s="254" t="str">
        <f>SUBSTITUTE(SUBSTITUTE(SUBSTITUTE("dch"&amp;$B46&amp;$C46&amp;$D46&amp;$E46,".","_"),"(","_"),")","")</f>
        <v>dch901_2_1_2</v>
      </c>
      <c r="AQ46" s="254" t="str">
        <f>IF(LEN(W46)=0,"",W46)</f>
        <v/>
      </c>
      <c r="AR46" s="254" t="str">
        <f>SUBSTITUTE(SUBSTITUTE(SUBSTITUTE("dnt"&amp;$B46&amp;$C46&amp;$D46&amp;$E46,".","_"),"(","_"),")","")</f>
        <v>dnt901_2_1_2</v>
      </c>
      <c r="AS46" s="254" t="str">
        <f>IF(LEN(X46)=0,"",X46)</f>
        <v/>
      </c>
      <c r="AX46" s="387" t="str">
        <f>'Overview (Design)'!A45</f>
        <v>Maximum skylight SHGC:</v>
      </c>
      <c r="AY46" s="388">
        <f>'Overview (Design)'!G45</f>
        <v>0</v>
      </c>
    </row>
    <row r="47" spans="2:51" x14ac:dyDescent="0.25">
      <c r="B47" s="679" t="s">
        <v>3166</v>
      </c>
      <c r="C47" s="21" t="s">
        <v>258</v>
      </c>
      <c r="D47" s="21"/>
      <c r="E47" s="21"/>
      <c r="F47" s="21"/>
      <c r="G47" s="21"/>
      <c r="H47" s="758"/>
      <c r="I47" s="164"/>
      <c r="J47" s="206"/>
      <c r="K47" s="210"/>
      <c r="L47" s="1755"/>
      <c r="M47" s="426">
        <v>6</v>
      </c>
      <c r="N47" s="210"/>
      <c r="O47" s="1764"/>
      <c r="X47" s="1757"/>
      <c r="AL47" s="254" t="str">
        <f>SUBSTITUTE(SUBSTITUTE(SUBSTITUTE("dpa"&amp;$B47&amp;$C47&amp;$D47&amp;$E47,".","_"),"(","_"),")","")</f>
        <v>dpa901_2_1_2</v>
      </c>
      <c r="AM47" s="254">
        <f>M47</f>
        <v>6</v>
      </c>
      <c r="AX47" s="387" t="str">
        <f>'Overview (Design)'!A46</f>
        <v>Maximum window and door U-value:</v>
      </c>
      <c r="AY47" s="388">
        <f>'Overview (Design)'!G46</f>
        <v>0</v>
      </c>
    </row>
    <row r="48" spans="2:51" x14ac:dyDescent="0.25">
      <c r="B48" s="679" t="s">
        <v>3166</v>
      </c>
      <c r="C48" s="21" t="s">
        <v>260</v>
      </c>
      <c r="D48" s="21"/>
      <c r="E48" s="21"/>
      <c r="F48" s="21" t="s">
        <v>4893</v>
      </c>
      <c r="G48" s="21"/>
      <c r="H48" s="758"/>
      <c r="I48" s="164"/>
      <c r="J48" s="183" t="s">
        <v>260</v>
      </c>
      <c r="K48" s="129"/>
      <c r="L48" s="1754" t="s">
        <v>3169</v>
      </c>
      <c r="M48" s="765" t="str">
        <f>IF(R48,"Mandatory","N/A")</f>
        <v>Mandatory</v>
      </c>
      <c r="N48" s="129"/>
      <c r="O48" s="1774">
        <f>M49*S48*(W48="Met")</f>
        <v>0</v>
      </c>
      <c r="P48" s="94" t="b">
        <v>1</v>
      </c>
      <c r="Q48" s="94" t="b">
        <v>1</v>
      </c>
      <c r="R48" s="388" t="b">
        <f>S48</f>
        <v>1</v>
      </c>
      <c r="S48" s="391" t="b">
        <f>NOT(W55)</f>
        <v>1</v>
      </c>
      <c r="T48" s="94" t="b">
        <f>AND(NOT(S48),LEN(W48)&gt;0,W48&lt;&gt;"N/A")</f>
        <v>0</v>
      </c>
      <c r="U48" s="94" t="str">
        <f>SUBSTITUTE(SUBSTITUTE(SUBSTITUTE("dd"&amp;B48&amp;C48&amp;D48&amp;E48&amp;F48,".","_"),"(","_"),")","")</f>
        <v>dd901_2_1_3_m</v>
      </c>
      <c r="W48" s="12"/>
      <c r="X48" s="1757"/>
      <c r="AC48" s="394" t="b">
        <f>OR(AD48:AE48)</f>
        <v>1</v>
      </c>
      <c r="AD48" s="394" t="b">
        <f>T48</f>
        <v>0</v>
      </c>
      <c r="AE48" s="394" t="b">
        <f>AND(R48,OR(W48="Not Met",W48=""))</f>
        <v>1</v>
      </c>
      <c r="AL48" s="36" t="str">
        <f>SUBSTITUTE(SUBSTITUTE(SUBSTITUTE("dpa"&amp;$B48&amp;$C48&amp;$D48&amp;$E48&amp;$F48,".","_"),"(","_"),")","")</f>
        <v>dpa901_2_1_3_m</v>
      </c>
      <c r="AM48" s="254" t="str">
        <f>M48</f>
        <v>Mandatory</v>
      </c>
      <c r="AN48" s="254" t="str">
        <f>SUBSTITUTE(SUBSTITUTE(SUBSTITUTE("dpc"&amp;$B48&amp;$C48&amp;$D48&amp;$E48,".","_"),"(","_"),")","")</f>
        <v>dpc901_2_1_3</v>
      </c>
      <c r="AO48" s="254">
        <f>O48</f>
        <v>0</v>
      </c>
      <c r="AP48" s="254" t="str">
        <f>SUBSTITUTE(SUBSTITUTE(SUBSTITUTE("dch"&amp;$B48&amp;$C48&amp;$D48&amp;$E48,".","_"),"(","_"),")","")</f>
        <v>dch901_2_1_3</v>
      </c>
      <c r="AQ48" s="254" t="str">
        <f>IF(LEN(W48)=0,"",W48)</f>
        <v/>
      </c>
      <c r="AR48" s="254" t="str">
        <f>SUBSTITUTE(SUBSTITUTE(SUBSTITUTE("dnt"&amp;$B48&amp;$C48&amp;$D48&amp;$E48,".","_"),"(","_"),")","")</f>
        <v>dnt901_2_1_3</v>
      </c>
      <c r="AS48" s="254" t="str">
        <f>IF(LEN(X48)=0,"",X48)</f>
        <v/>
      </c>
      <c r="AX48" s="387" t="str">
        <f>'Overview (Design)'!A47</f>
        <v>Maximum skylight U-value:</v>
      </c>
      <c r="AY48" s="388">
        <f>'Overview (Design)'!G47</f>
        <v>0</v>
      </c>
    </row>
    <row r="49" spans="2:51" x14ac:dyDescent="0.25">
      <c r="B49" s="679" t="s">
        <v>3166</v>
      </c>
      <c r="C49" s="21" t="s">
        <v>260</v>
      </c>
      <c r="D49" s="21"/>
      <c r="E49" s="21"/>
      <c r="F49" s="21"/>
      <c r="G49" s="21"/>
      <c r="H49" s="758"/>
      <c r="I49" s="164"/>
      <c r="J49" s="183"/>
      <c r="K49" s="129"/>
      <c r="L49" s="1754"/>
      <c r="M49" s="1758">
        <v>6</v>
      </c>
      <c r="N49" s="129"/>
      <c r="O49" s="1774"/>
      <c r="X49" s="1757"/>
      <c r="AL49" s="254" t="str">
        <f>SUBSTITUTE(SUBSTITUTE(SUBSTITUTE("dpa"&amp;$B49&amp;$C49&amp;$D49&amp;$E49,".","_"),"(","_"),")","")</f>
        <v>dpa901_2_1_3</v>
      </c>
      <c r="AM49" s="254">
        <f>M49</f>
        <v>6</v>
      </c>
      <c r="AX49" s="75" t="str">
        <f>'Overview (Design)'!A48</f>
        <v>Renewable Energy:</v>
      </c>
      <c r="AY49" s="76">
        <f>'Overview (Design)'!G48</f>
        <v>0</v>
      </c>
    </row>
    <row r="50" spans="2:51" x14ac:dyDescent="0.25">
      <c r="B50" s="679" t="s">
        <v>3166</v>
      </c>
      <c r="C50" s="21" t="s">
        <v>260</v>
      </c>
      <c r="D50" s="21"/>
      <c r="E50" s="21"/>
      <c r="F50" s="21"/>
      <c r="G50" s="21"/>
      <c r="H50" s="758"/>
      <c r="I50" s="164"/>
      <c r="J50" s="206"/>
      <c r="K50" s="210"/>
      <c r="L50" s="1755"/>
      <c r="M50" s="1759"/>
      <c r="N50" s="210"/>
      <c r="O50" s="1764"/>
      <c r="X50" s="1757"/>
      <c r="AX50" s="75" t="str">
        <f>'Overview (Design)'!A49</f>
        <v>Thermal Envelope Insulation:</v>
      </c>
      <c r="AY50" s="76">
        <f>'Overview (Design)'!G49</f>
        <v>0</v>
      </c>
    </row>
    <row r="51" spans="2:51" x14ac:dyDescent="0.25">
      <c r="B51" s="679" t="s">
        <v>3166</v>
      </c>
      <c r="C51" s="21" t="s">
        <v>269</v>
      </c>
      <c r="D51" s="21"/>
      <c r="E51" s="21"/>
      <c r="F51" s="21" t="s">
        <v>4893</v>
      </c>
      <c r="G51" s="21"/>
      <c r="H51" s="758"/>
      <c r="I51" s="164"/>
      <c r="J51" s="183" t="s">
        <v>269</v>
      </c>
      <c r="K51" s="129"/>
      <c r="L51" s="1793" t="s">
        <v>3170</v>
      </c>
      <c r="M51" s="765" t="str">
        <f>IF(R51,"Mandatory","N/A")</f>
        <v>Mandatory</v>
      </c>
      <c r="N51" s="129"/>
      <c r="O51" s="1774">
        <f>M52*S51*(W51="Met")</f>
        <v>0</v>
      </c>
      <c r="P51" s="94" t="b">
        <v>1</v>
      </c>
      <c r="Q51" s="94" t="b">
        <v>1</v>
      </c>
      <c r="R51" s="388" t="b">
        <f>S51</f>
        <v>1</v>
      </c>
      <c r="S51" s="391" t="b">
        <f>NOT(W55)</f>
        <v>1</v>
      </c>
      <c r="T51" s="94" t="b">
        <f>AND(NOT(S51),LEN(W51)&gt;0,W51&lt;&gt;"N/A")</f>
        <v>0</v>
      </c>
      <c r="U51" s="94" t="str">
        <f>SUBSTITUTE(SUBSTITUTE(SUBSTITUTE("dd"&amp;B51&amp;C51&amp;D51&amp;E51&amp;F51,".","_"),"(","_"),")","")</f>
        <v>dd901_2_1_4_m</v>
      </c>
      <c r="W51" s="12"/>
      <c r="X51" s="1757"/>
      <c r="AC51" s="394" t="b">
        <f>OR(AD51:AE51)</f>
        <v>1</v>
      </c>
      <c r="AD51" s="394" t="b">
        <f>T51</f>
        <v>0</v>
      </c>
      <c r="AE51" s="394" t="b">
        <f>AND(R51,OR(W51="Not Met",W51=""))</f>
        <v>1</v>
      </c>
      <c r="AL51" s="36" t="str">
        <f>SUBSTITUTE(SUBSTITUTE(SUBSTITUTE("dpa"&amp;$B51&amp;$C51&amp;$D51&amp;$E51&amp;$F51,".","_"),"(","_"),")","")</f>
        <v>dpa901_2_1_4_m</v>
      </c>
      <c r="AM51" s="254" t="str">
        <f>M51</f>
        <v>Mandatory</v>
      </c>
      <c r="AN51" s="254" t="str">
        <f>SUBSTITUTE(SUBSTITUTE(SUBSTITUTE("dpc"&amp;$B51&amp;$C51&amp;$D51&amp;$E51,".","_"),"(","_"),")","")</f>
        <v>dpc901_2_1_4</v>
      </c>
      <c r="AO51" s="254">
        <f>O51</f>
        <v>0</v>
      </c>
      <c r="AP51" s="254" t="str">
        <f>SUBSTITUTE(SUBSTITUTE(SUBSTITUTE("dch"&amp;$B51&amp;$C51&amp;$D51&amp;$E51,".","_"),"(","_"),")","")</f>
        <v>dch901_2_1_4</v>
      </c>
      <c r="AQ51" s="254" t="str">
        <f>IF(LEN(W51)=0,"",W51)</f>
        <v/>
      </c>
      <c r="AR51" s="254" t="str">
        <f>SUBSTITUTE(SUBSTITUTE(SUBSTITUTE("dnt"&amp;$B51&amp;$C51&amp;$D51&amp;$E51,".","_"),"(","_"),")","")</f>
        <v>dnt901_2_1_4</v>
      </c>
      <c r="AS51" s="254" t="str">
        <f>IF(LEN(X51)=0,"",X51)</f>
        <v/>
      </c>
      <c r="AX51" s="75" t="str">
        <f>'Overview (Design)'!A50</f>
        <v>Attic Type:</v>
      </c>
      <c r="AY51" s="76">
        <f>'Overview (Design)'!G50</f>
        <v>0</v>
      </c>
    </row>
    <row r="52" spans="2:51" x14ac:dyDescent="0.25">
      <c r="B52" s="679" t="s">
        <v>3166</v>
      </c>
      <c r="C52" s="21" t="s">
        <v>269</v>
      </c>
      <c r="D52" s="21"/>
      <c r="E52" s="21"/>
      <c r="F52" s="21"/>
      <c r="G52" s="21"/>
      <c r="H52" s="758"/>
      <c r="I52" s="164"/>
      <c r="J52" s="206"/>
      <c r="K52" s="210"/>
      <c r="L52" s="1761"/>
      <c r="M52" s="426">
        <v>6</v>
      </c>
      <c r="N52" s="210"/>
      <c r="O52" s="1764"/>
      <c r="X52" s="1757"/>
      <c r="AL52" s="254" t="str">
        <f>SUBSTITUTE(SUBSTITUTE(SUBSTITUTE("dpa"&amp;$B52&amp;$C52&amp;$D52&amp;$E52,".","_"),"(","_"),")","")</f>
        <v>dpa901_2_1_4</v>
      </c>
      <c r="AM52" s="254">
        <f>M52</f>
        <v>6</v>
      </c>
      <c r="AX52" s="75" t="str">
        <f>'Overview (Design)'!A51</f>
        <v>Attached Garage:</v>
      </c>
      <c r="AY52" s="76">
        <f>'Overview (Design)'!G51</f>
        <v>0</v>
      </c>
    </row>
    <row r="53" spans="2:51" x14ac:dyDescent="0.25">
      <c r="B53" s="679" t="s">
        <v>3166</v>
      </c>
      <c r="C53" s="21" t="s">
        <v>275</v>
      </c>
      <c r="D53" s="21"/>
      <c r="E53" s="21"/>
      <c r="F53" s="21" t="s">
        <v>4893</v>
      </c>
      <c r="G53" s="21"/>
      <c r="H53" s="758"/>
      <c r="I53" s="480"/>
      <c r="J53" s="183" t="s">
        <v>275</v>
      </c>
      <c r="K53" s="129"/>
      <c r="L53" s="1754" t="s">
        <v>3171</v>
      </c>
      <c r="M53" s="765" t="str">
        <f>IF(R53,"Mandatory","N/A")</f>
        <v>Mandatory</v>
      </c>
      <c r="N53" s="129"/>
      <c r="O53" s="1774">
        <f>M54*S53*(W53="Met")</f>
        <v>0</v>
      </c>
      <c r="P53" s="94" t="b">
        <v>1</v>
      </c>
      <c r="Q53" s="94" t="b">
        <v>1</v>
      </c>
      <c r="R53" s="94" t="b">
        <f>S53</f>
        <v>1</v>
      </c>
      <c r="S53" s="94" t="b">
        <f>NOT(W55)</f>
        <v>1</v>
      </c>
      <c r="T53" s="94" t="b">
        <f>AND(NOT(S53),LEN(W53)&gt;0,W53&lt;&gt;"N/A")</f>
        <v>0</v>
      </c>
      <c r="U53" s="94" t="str">
        <f>SUBSTITUTE(SUBSTITUTE(SUBSTITUTE("dd"&amp;B53&amp;C53&amp;D53&amp;E53&amp;F53,".","_"),"(","_"),")","")</f>
        <v>dd901_2_1_5_m</v>
      </c>
      <c r="V53" s="94"/>
      <c r="W53" s="109"/>
      <c r="X53" s="1770"/>
      <c r="AC53" s="394" t="b">
        <f>OR(AD53:AE53)</f>
        <v>1</v>
      </c>
      <c r="AD53" s="394" t="b">
        <f>T53</f>
        <v>0</v>
      </c>
      <c r="AE53" s="394" t="b">
        <f>AND(R53,OR(W53="Not Met",W53=""))</f>
        <v>1</v>
      </c>
      <c r="AL53" s="36" t="str">
        <f>SUBSTITUTE(SUBSTITUTE(SUBSTITUTE("dpa"&amp;$B53&amp;$C53&amp;$D53&amp;$E53&amp;$F53,".","_"),"(","_"),")","")</f>
        <v>dpa901_2_1_5_m</v>
      </c>
      <c r="AM53" s="254" t="str">
        <f>M53</f>
        <v>Mandatory</v>
      </c>
      <c r="AN53" s="254" t="str">
        <f>SUBSTITUTE(SUBSTITUTE(SUBSTITUTE("dpc"&amp;$B53&amp;$C53&amp;$D53&amp;$E53,".","_"),"(","_"),")","")</f>
        <v>dpc901_2_1_5</v>
      </c>
      <c r="AO53" s="254">
        <f>O53</f>
        <v>0</v>
      </c>
      <c r="AP53" s="254" t="str">
        <f>SUBSTITUTE(SUBSTITUTE(SUBSTITUTE("dch"&amp;$B53&amp;$C53&amp;$D53&amp;$E53,".","_"),"(","_"),")","")</f>
        <v>dch901_2_1_5</v>
      </c>
      <c r="AQ53" s="254" t="str">
        <f>IF(LEN(W53)=0,"",W53)</f>
        <v/>
      </c>
      <c r="AR53" s="254" t="str">
        <f>SUBSTITUTE(SUBSTITUTE(SUBSTITUTE("dnt"&amp;$B53&amp;$C53&amp;$D53&amp;$E53,".","_"),"(","_"),")","")</f>
        <v>dnt901_2_1_5</v>
      </c>
      <c r="AS53" s="254" t="str">
        <f>IF(LEN(X53)=0,"",X53)</f>
        <v/>
      </c>
      <c r="AX53" s="75" t="str">
        <f>'Overview (Design)'!A52</f>
        <v>Recessed Lighting:</v>
      </c>
      <c r="AY53" s="76">
        <f>'Overview (Design)'!G52</f>
        <v>0</v>
      </c>
    </row>
    <row r="54" spans="2:51" x14ac:dyDescent="0.25">
      <c r="B54" s="679" t="s">
        <v>3166</v>
      </c>
      <c r="C54" s="21" t="s">
        <v>275</v>
      </c>
      <c r="D54" s="21"/>
      <c r="E54" s="21"/>
      <c r="F54" s="21"/>
      <c r="G54" s="21"/>
      <c r="H54" s="758"/>
      <c r="I54" s="524"/>
      <c r="J54" s="206"/>
      <c r="K54" s="210"/>
      <c r="L54" s="1755"/>
      <c r="M54" s="453">
        <v>6</v>
      </c>
      <c r="N54" s="210"/>
      <c r="O54" s="1764"/>
      <c r="P54" s="178"/>
      <c r="Q54" s="178"/>
      <c r="R54" s="178"/>
      <c r="S54" s="178"/>
      <c r="T54" s="178"/>
      <c r="U54" s="178"/>
      <c r="V54" s="178"/>
      <c r="W54" s="178"/>
      <c r="X54" s="1770"/>
      <c r="AL54" s="254" t="str">
        <f>SUBSTITUTE(SUBSTITUTE(SUBSTITUTE("dpa"&amp;$B54&amp;$C54&amp;$D54&amp;$E54,".","_"),"(","_"),")","")</f>
        <v>dpa901_2_1_5</v>
      </c>
      <c r="AM54" s="254">
        <f>M54</f>
        <v>6</v>
      </c>
      <c r="AX54" s="75"/>
    </row>
    <row r="55" spans="2:51" ht="15.75" thickBot="1" x14ac:dyDescent="0.3">
      <c r="B55" s="679" t="s">
        <v>3172</v>
      </c>
      <c r="C55" s="21"/>
      <c r="D55" s="21"/>
      <c r="E55" s="21"/>
      <c r="F55" s="21"/>
      <c r="G55" s="21"/>
      <c r="H55" s="758"/>
      <c r="I55" s="189" t="s">
        <v>3172</v>
      </c>
      <c r="J55" s="240"/>
      <c r="K55" s="240"/>
      <c r="L55" s="525" t="s">
        <v>3173</v>
      </c>
      <c r="M55" s="460">
        <v>6</v>
      </c>
      <c r="N55" s="240"/>
      <c r="O55" s="504">
        <f>M55*S55*W55</f>
        <v>0</v>
      </c>
      <c r="P55" s="94" t="b">
        <v>1</v>
      </c>
      <c r="Q55" s="94" t="b">
        <v>1</v>
      </c>
      <c r="R55" s="99" t="b">
        <v>0</v>
      </c>
      <c r="S55" s="99" t="b">
        <f>(COUNTIF(W43:W53,"Met"))=0</f>
        <v>1</v>
      </c>
      <c r="T55" s="99" t="b">
        <f>AND(NOT(S55),W55=TRUE)</f>
        <v>0</v>
      </c>
      <c r="U55" s="99"/>
      <c r="V55" s="99"/>
      <c r="W55" s="526"/>
      <c r="X55" s="446"/>
      <c r="AC55" s="394" t="b">
        <f>OR(AD55:AE55)</f>
        <v>0</v>
      </c>
      <c r="AD55" s="394" t="b">
        <f>T55</f>
        <v>0</v>
      </c>
      <c r="AE55" s="394"/>
      <c r="AL55" s="254" t="str">
        <f>SUBSTITUTE(SUBSTITUTE(SUBSTITUTE("dpa"&amp;$B55&amp;$C55&amp;$D55&amp;$E55,".","_"),"(","_"),")","")</f>
        <v>dpa901_2_2</v>
      </c>
      <c r="AM55" s="254">
        <f>M55</f>
        <v>6</v>
      </c>
      <c r="AN55" s="254" t="str">
        <f>SUBSTITUTE(SUBSTITUTE(SUBSTITUTE("dpc"&amp;$B55&amp;$C55&amp;$D55&amp;$E55,".","_"),"(","_"),")","")</f>
        <v>dpc901_2_2</v>
      </c>
      <c r="AO55" s="254">
        <f>O55</f>
        <v>0</v>
      </c>
      <c r="AP55" s="254" t="str">
        <f>SUBSTITUTE(SUBSTITUTE(SUBSTITUTE("dch"&amp;$B55&amp;$C55&amp;$D55&amp;$E55,".","_"),"(","_"),")","")</f>
        <v>dch901_2_2</v>
      </c>
      <c r="AQ55" s="254" t="str">
        <f>IF(LEN(W55)=0,"",W55)</f>
        <v/>
      </c>
      <c r="AR55" s="254" t="str">
        <f>SUBSTITUTE(SUBSTITUTE(SUBSTITUTE("dnt"&amp;$B55&amp;$C55&amp;$D55&amp;$E55,".","_"),"(","_"),")","")</f>
        <v>dnt901_2_2</v>
      </c>
      <c r="AS55" s="254" t="str">
        <f>IF(LEN(X55)=0,"",X55)</f>
        <v/>
      </c>
      <c r="AX55" s="75" t="str">
        <f>'Overview (Design)'!A54</f>
        <v>Special Design Features:</v>
      </c>
      <c r="AY55" s="76">
        <f>'Overview (Design)'!G54</f>
        <v>0</v>
      </c>
    </row>
    <row r="56" spans="2:51" ht="15.75" thickTop="1" x14ac:dyDescent="0.25">
      <c r="B56" s="679">
        <v>901.3</v>
      </c>
      <c r="C56" s="21"/>
      <c r="D56" s="21"/>
      <c r="E56" s="21"/>
      <c r="F56" s="21"/>
      <c r="G56" s="21"/>
      <c r="H56" s="758"/>
      <c r="I56" s="64">
        <v>901.3</v>
      </c>
      <c r="J56" s="4"/>
      <c r="K56" s="4"/>
      <c r="L56" s="166" t="s">
        <v>3174</v>
      </c>
      <c r="M56" s="428"/>
      <c r="N56" s="4"/>
      <c r="O56" s="141"/>
      <c r="AX56" s="75" t="str">
        <f>'Overview (Design)'!A55</f>
        <v>Passive Solar:</v>
      </c>
      <c r="AY56" s="76">
        <f>'Overview (Design)'!G55</f>
        <v>0</v>
      </c>
    </row>
    <row r="57" spans="2:51" x14ac:dyDescent="0.25">
      <c r="B57" s="679">
        <v>901.3</v>
      </c>
      <c r="C57" s="21" t="s">
        <v>256</v>
      </c>
      <c r="D57" s="21"/>
      <c r="E57" s="21"/>
      <c r="F57" s="21"/>
      <c r="G57" s="21"/>
      <c r="H57" s="758"/>
      <c r="I57" s="164"/>
      <c r="J57" s="27" t="s">
        <v>256</v>
      </c>
      <c r="K57" s="4"/>
      <c r="L57" s="161" t="s">
        <v>3175</v>
      </c>
      <c r="M57" s="428"/>
      <c r="N57" s="4"/>
      <c r="O57" s="141"/>
      <c r="AX57" s="75" t="str">
        <f>'Overview (Design)'!A56</f>
        <v>Mass Walls:</v>
      </c>
      <c r="AY57" s="76">
        <f>'Overview (Design)'!G56</f>
        <v>0</v>
      </c>
    </row>
    <row r="58" spans="2:51" x14ac:dyDescent="0.25">
      <c r="B58" s="679">
        <v>901.3</v>
      </c>
      <c r="C58" s="21" t="s">
        <v>256</v>
      </c>
      <c r="D58" s="77" t="s">
        <v>121</v>
      </c>
      <c r="E58" s="21"/>
      <c r="F58" s="21" t="s">
        <v>4893</v>
      </c>
      <c r="G58" s="21"/>
      <c r="H58" s="761"/>
      <c r="I58" s="164"/>
      <c r="J58" s="4"/>
      <c r="K58" s="183" t="s">
        <v>121</v>
      </c>
      <c r="L58" s="1754" t="s">
        <v>3176</v>
      </c>
      <c r="M58" s="765" t="str">
        <f>IF(R58,"Mandatory","N/A")</f>
        <v>Mandatory</v>
      </c>
      <c r="N58" s="129"/>
      <c r="O58" s="1774">
        <f>M59*S58*(W58="Met")</f>
        <v>0</v>
      </c>
      <c r="P58" s="1346" t="b">
        <v>0</v>
      </c>
      <c r="Q58" s="1346" t="b">
        <v>1</v>
      </c>
      <c r="R58" s="386" t="b">
        <f>S58</f>
        <v>1</v>
      </c>
      <c r="S58" s="386" t="b">
        <f>NOT(OR(W68,W60="N/A"))</f>
        <v>1</v>
      </c>
      <c r="T58" s="94" t="b">
        <f>AND(NOT(S58),LEN(W58)&gt;0)</f>
        <v>0</v>
      </c>
      <c r="U58" s="94" t="str">
        <f>SUBSTITUTE(SUBSTITUTE(SUBSTITUTE("dd"&amp;B58&amp;C58&amp;D58&amp;E58&amp;F58,".","_"),"(","_"),")","")</f>
        <v>dd901_3_1_a_m</v>
      </c>
      <c r="W58" s="12"/>
      <c r="X58" s="1757"/>
      <c r="AC58" s="394" t="b">
        <f>OR(AD58:AE58)</f>
        <v>1</v>
      </c>
      <c r="AD58" s="394" t="b">
        <f>T58</f>
        <v>0</v>
      </c>
      <c r="AE58" s="394" t="b">
        <f>AND(R58,OR(W58="Not Met",W58=""))</f>
        <v>1</v>
      </c>
      <c r="AL58" s="36" t="str">
        <f>SUBSTITUTE(SUBSTITUTE(SUBSTITUTE("dpa"&amp;$B58&amp;$C58&amp;$D58&amp;$E58&amp;$F58,".","_"),"(","_"),")","")</f>
        <v>dpa901_3_1_a_m</v>
      </c>
      <c r="AM58" s="254" t="str">
        <f>M58</f>
        <v>Mandatory</v>
      </c>
      <c r="AN58" s="254" t="str">
        <f>SUBSTITUTE(SUBSTITUTE(SUBSTITUTE("dpc"&amp;$B58&amp;$C58&amp;$D58&amp;$E58,".","_"),"(","_"),")","")</f>
        <v>dpc901_3_1_a</v>
      </c>
      <c r="AO58" s="254">
        <f>O58</f>
        <v>0</v>
      </c>
      <c r="AP58" s="254" t="str">
        <f>SUBSTITUTE(SUBSTITUTE(SUBSTITUTE("dch"&amp;$B58&amp;$C58&amp;$D58&amp;$E58,".","_"),"(","_"),")","")</f>
        <v>dch901_3_1_a</v>
      </c>
      <c r="AQ58" s="254" t="str">
        <f>IF(LEN(W58)=0,"",W58)</f>
        <v/>
      </c>
      <c r="AR58" s="254" t="str">
        <f>SUBSTITUTE(SUBSTITUTE(SUBSTITUTE("dnt"&amp;$B58&amp;$C58&amp;$D58&amp;$E58,".","_"),"(","_"),")","")</f>
        <v>dnt901_3_1_a</v>
      </c>
      <c r="AS58" s="254" t="str">
        <f>IF(LEN(X58)=0,"",X58)</f>
        <v/>
      </c>
      <c r="AX58" s="75" t="str">
        <f>'Overview (Design)'!A57</f>
        <v>Radiant/Hydronic:</v>
      </c>
      <c r="AY58" s="76">
        <f>'Overview (Design)'!G57</f>
        <v>0</v>
      </c>
    </row>
    <row r="59" spans="2:51" x14ac:dyDescent="0.25">
      <c r="B59" s="679">
        <v>901.3</v>
      </c>
      <c r="C59" s="21" t="s">
        <v>256</v>
      </c>
      <c r="D59" s="77" t="s">
        <v>121</v>
      </c>
      <c r="E59" s="21"/>
      <c r="F59" s="77"/>
      <c r="G59" s="77"/>
      <c r="H59" s="761"/>
      <c r="I59" s="164"/>
      <c r="J59" s="4"/>
      <c r="K59" s="206"/>
      <c r="L59" s="1755"/>
      <c r="M59" s="426">
        <v>2</v>
      </c>
      <c r="N59" s="210"/>
      <c r="O59" s="1764"/>
      <c r="P59" s="1346"/>
      <c r="Q59" s="1346"/>
      <c r="X59" s="1757"/>
      <c r="AL59" s="254" t="str">
        <f>SUBSTITUTE(SUBSTITUTE(SUBSTITUTE("dpa"&amp;$B59&amp;$C59&amp;$D59&amp;$E59,".","_"),"(","_"),")","")</f>
        <v>dpa901_3_1_a</v>
      </c>
      <c r="AM59" s="254">
        <f>M59</f>
        <v>2</v>
      </c>
      <c r="AX59" s="75" t="str">
        <f>'Overview (Design)'!A58</f>
        <v>Tankless Water Heater:</v>
      </c>
      <c r="AY59" s="76">
        <f>'Overview (Design)'!G58</f>
        <v>0</v>
      </c>
    </row>
    <row r="60" spans="2:51" ht="15" customHeight="1" x14ac:dyDescent="0.25">
      <c r="B60" s="679">
        <v>901.3</v>
      </c>
      <c r="C60" s="21" t="s">
        <v>256</v>
      </c>
      <c r="D60" s="77" t="s">
        <v>122</v>
      </c>
      <c r="E60" s="21"/>
      <c r="F60" s="21" t="s">
        <v>4893</v>
      </c>
      <c r="G60" s="21"/>
      <c r="H60" s="761"/>
      <c r="I60" s="164"/>
      <c r="J60" s="4"/>
      <c r="K60" s="183" t="s">
        <v>122</v>
      </c>
      <c r="L60" s="1754" t="s">
        <v>3177</v>
      </c>
      <c r="M60" s="765" t="str">
        <f>IF(R60,"Mandatory","N/A")</f>
        <v>Mandatory</v>
      </c>
      <c r="N60" s="129"/>
      <c r="O60" s="1774">
        <f>M61*S60*(W60="Met")</f>
        <v>0</v>
      </c>
      <c r="P60" s="1346" t="b">
        <v>1</v>
      </c>
      <c r="Q60" s="1346" t="b">
        <v>0</v>
      </c>
      <c r="R60" s="391" t="b">
        <f>S60</f>
        <v>1</v>
      </c>
      <c r="S60" s="391" t="b">
        <f>NOT(OR(W68,W58="N/A"))</f>
        <v>1</v>
      </c>
      <c r="T60" s="94" t="b">
        <f>AND(NOT(S60),LEN(W60)&gt;0)</f>
        <v>0</v>
      </c>
      <c r="U60" s="94" t="str">
        <f>SUBSTITUTE(SUBSTITUTE(SUBSTITUTE("dd"&amp;B60&amp;C60&amp;D60&amp;E60&amp;F60,".","_"),"(","_"),")","")</f>
        <v>dd901_3_1_b_m</v>
      </c>
      <c r="W60" s="12"/>
      <c r="X60" s="1757"/>
      <c r="AC60" s="394" t="b">
        <f>OR(AD60:AE60)</f>
        <v>1</v>
      </c>
      <c r="AD60" s="394" t="b">
        <f>T60</f>
        <v>0</v>
      </c>
      <c r="AE60" s="394" t="b">
        <f>AND(R60,OR(W60="Not Met",W60=""))</f>
        <v>1</v>
      </c>
      <c r="AL60" s="36" t="str">
        <f>SUBSTITUTE(SUBSTITUTE(SUBSTITUTE("dpa"&amp;$B60&amp;$C60&amp;$D60&amp;$E60&amp;$F60,".","_"),"(","_"),")","")</f>
        <v>dpa901_3_1_b_m</v>
      </c>
      <c r="AM60" s="254" t="str">
        <f>M60</f>
        <v>Mandatory</v>
      </c>
      <c r="AN60" s="254" t="str">
        <f>SUBSTITUTE(SUBSTITUTE(SUBSTITUTE("dpc"&amp;$B60&amp;$C60&amp;$D60&amp;$E60,".","_"),"(","_"),")","")</f>
        <v>dpc901_3_1_b</v>
      </c>
      <c r="AO60" s="254">
        <f>O60</f>
        <v>0</v>
      </c>
      <c r="AP60" s="254" t="str">
        <f>SUBSTITUTE(SUBSTITUTE(SUBSTITUTE("dch"&amp;$B60&amp;$C60&amp;$D60&amp;$E60,".","_"),"(","_"),")","")</f>
        <v>dch901_3_1_b</v>
      </c>
      <c r="AQ60" s="254" t="str">
        <f>IF(LEN(W60)=0,"",W60)</f>
        <v/>
      </c>
      <c r="AR60" s="254" t="str">
        <f>SUBSTITUTE(SUBSTITUTE(SUBSTITUTE("dnt"&amp;$B60&amp;$C60&amp;$D60&amp;$E60,".","_"),"(","_"),")","")</f>
        <v>dnt901_3_1_b</v>
      </c>
      <c r="AS60" s="254" t="str">
        <f>IF(LEN(X60)=0,"",X60)</f>
        <v/>
      </c>
      <c r="AX60" s="75" t="str">
        <f>'Overview (Design)'!A59</f>
        <v>Composting Toilet:</v>
      </c>
      <c r="AY60" s="76">
        <f>'Overview (Design)'!G59</f>
        <v>0</v>
      </c>
    </row>
    <row r="61" spans="2:51" x14ac:dyDescent="0.25">
      <c r="B61" s="679">
        <v>901.3</v>
      </c>
      <c r="C61" s="21" t="s">
        <v>256</v>
      </c>
      <c r="D61" s="77" t="s">
        <v>122</v>
      </c>
      <c r="E61" s="21"/>
      <c r="F61" s="77"/>
      <c r="G61" s="77"/>
      <c r="H61" s="761"/>
      <c r="I61" s="164"/>
      <c r="J61" s="4"/>
      <c r="K61" s="210"/>
      <c r="L61" s="1755"/>
      <c r="M61" s="426">
        <v>2</v>
      </c>
      <c r="N61" s="210"/>
      <c r="O61" s="1764"/>
      <c r="P61" s="1346"/>
      <c r="Q61" s="1346"/>
      <c r="X61" s="1757"/>
      <c r="AL61" s="254" t="str">
        <f>SUBSTITUTE(SUBSTITUTE(SUBSTITUTE("dpa"&amp;$B61&amp;$C61&amp;$D61&amp;$E61,".","_"),"(","_"),")","")</f>
        <v>dpa901_3_1_b</v>
      </c>
      <c r="AM61" s="254">
        <f>M61</f>
        <v>2</v>
      </c>
      <c r="AX61" s="75"/>
    </row>
    <row r="62" spans="2:51" ht="15" customHeight="1" x14ac:dyDescent="0.25">
      <c r="B62" s="679">
        <v>901.3</v>
      </c>
      <c r="C62" s="21" t="s">
        <v>256</v>
      </c>
      <c r="D62" s="77" t="s">
        <v>123</v>
      </c>
      <c r="E62" s="21"/>
      <c r="F62" s="77"/>
      <c r="G62" s="77"/>
      <c r="H62" s="761"/>
      <c r="I62" s="164"/>
      <c r="J62" s="129"/>
      <c r="K62" s="183" t="s">
        <v>123</v>
      </c>
      <c r="L62" s="1754" t="s">
        <v>5591</v>
      </c>
      <c r="M62" s="1758">
        <v>8</v>
      </c>
      <c r="N62" s="129"/>
      <c r="O62" s="1774">
        <f ca="1">M62*S62*W62</f>
        <v>0</v>
      </c>
      <c r="P62" s="1346" t="b">
        <v>0</v>
      </c>
      <c r="Q62" s="1346" t="b">
        <v>1</v>
      </c>
      <c r="R62" s="386" t="b">
        <v>0</v>
      </c>
      <c r="S62" s="391" t="b">
        <f ca="1">AND(NOT(W68),AY19=INDEX(INDIRECT("ddSingleOrMulti"),1))</f>
        <v>1</v>
      </c>
      <c r="T62" s="94" t="b">
        <f ca="1">AND(NOT(S62),W62=TRUE)</f>
        <v>0</v>
      </c>
      <c r="W62" s="25"/>
      <c r="X62" s="1757"/>
      <c r="AC62" s="394" t="b">
        <f ca="1">OR(AD62:AE62)</f>
        <v>0</v>
      </c>
      <c r="AD62" s="394" t="b">
        <f ca="1">T62</f>
        <v>0</v>
      </c>
      <c r="AE62" s="394"/>
      <c r="AL62" s="254" t="str">
        <f>SUBSTITUTE(SUBSTITUTE(SUBSTITUTE("dpa"&amp;$B62&amp;$C62&amp;$D62&amp;$E62,".","_"),"(","_"),")","")</f>
        <v>dpa901_3_1_c</v>
      </c>
      <c r="AM62" s="254">
        <f>M62</f>
        <v>8</v>
      </c>
      <c r="AN62" s="254" t="str">
        <f>SUBSTITUTE(SUBSTITUTE(SUBSTITUTE("dpc"&amp;$B62&amp;$C62&amp;$D62&amp;$E62,".","_"),"(","_"),")","")</f>
        <v>dpc901_3_1_c</v>
      </c>
      <c r="AO62" s="254">
        <f ca="1">O62</f>
        <v>0</v>
      </c>
      <c r="AP62" s="254" t="str">
        <f>SUBSTITUTE(SUBSTITUTE(SUBSTITUTE("dch"&amp;$B62&amp;$C62&amp;$D62&amp;$E62,".","_"),"(","_"),")","")</f>
        <v>dch901_3_1_c</v>
      </c>
      <c r="AQ62" s="254" t="str">
        <f>IF(LEN(W62)=0,"",W62)</f>
        <v/>
      </c>
      <c r="AR62" s="254" t="str">
        <f>SUBSTITUTE(SUBSTITUTE(SUBSTITUTE("dnt"&amp;$B62&amp;$C62&amp;$D62&amp;$E62,".","_"),"(","_"),")","")</f>
        <v>dnt901_3_1_c</v>
      </c>
      <c r="AS62" s="254" t="str">
        <f>IF(LEN(X62)=0,"",X62)</f>
        <v/>
      </c>
      <c r="AX62" s="75" t="str">
        <f>'Overview (Design)'!A61</f>
        <v>Local Energy Code:</v>
      </c>
      <c r="AY62" s="76">
        <f>'Overview (Design)'!G61</f>
        <v>0</v>
      </c>
    </row>
    <row r="63" spans="2:51" x14ac:dyDescent="0.25">
      <c r="B63" s="679">
        <v>901.3</v>
      </c>
      <c r="C63" s="21" t="s">
        <v>256</v>
      </c>
      <c r="D63" s="77" t="s">
        <v>123</v>
      </c>
      <c r="E63" s="21"/>
      <c r="F63" s="77"/>
      <c r="G63" s="77"/>
      <c r="H63" s="761"/>
      <c r="I63" s="164"/>
      <c r="J63" s="129"/>
      <c r="K63" s="129"/>
      <c r="L63" s="1754"/>
      <c r="M63" s="1758"/>
      <c r="N63" s="129"/>
      <c r="O63" s="1774"/>
      <c r="X63" s="1757"/>
      <c r="AX63" s="75" t="str">
        <f>'Overview (Design)'!A62</f>
        <v>Local Building Code:</v>
      </c>
      <c r="AY63" s="76">
        <f>'Overview (Design)'!G62</f>
        <v>0</v>
      </c>
    </row>
    <row r="64" spans="2:51" x14ac:dyDescent="0.25">
      <c r="B64" s="679">
        <v>901.3</v>
      </c>
      <c r="C64" s="21" t="s">
        <v>256</v>
      </c>
      <c r="D64" s="77" t="s">
        <v>123</v>
      </c>
      <c r="E64" s="21"/>
      <c r="F64" s="77"/>
      <c r="G64" s="77"/>
      <c r="H64" s="761"/>
      <c r="I64" s="164"/>
      <c r="J64" s="129"/>
      <c r="K64" s="129"/>
      <c r="L64" s="1754"/>
      <c r="M64" s="1758"/>
      <c r="N64" s="129"/>
      <c r="O64" s="1774"/>
      <c r="X64" s="1757"/>
    </row>
    <row r="65" spans="1:61" ht="15" customHeight="1" x14ac:dyDescent="0.25">
      <c r="B65" s="679">
        <v>901.3</v>
      </c>
      <c r="C65" s="21" t="s">
        <v>256</v>
      </c>
      <c r="D65" s="77" t="s">
        <v>123</v>
      </c>
      <c r="E65" s="21"/>
      <c r="F65" s="77"/>
      <c r="G65" s="77"/>
      <c r="H65" s="761"/>
      <c r="I65" s="164"/>
      <c r="J65" s="129"/>
      <c r="K65" s="129"/>
      <c r="L65" s="1754"/>
      <c r="M65" s="1758"/>
      <c r="N65" s="129"/>
      <c r="O65" s="1774"/>
      <c r="X65" s="1757"/>
    </row>
    <row r="66" spans="1:61" ht="15" customHeight="1" x14ac:dyDescent="0.25">
      <c r="B66" s="679">
        <v>901.3</v>
      </c>
      <c r="C66" s="21" t="s">
        <v>256</v>
      </c>
      <c r="D66" s="77" t="s">
        <v>123</v>
      </c>
      <c r="E66" s="21"/>
      <c r="F66" s="77"/>
      <c r="G66" s="77"/>
      <c r="H66" s="761"/>
      <c r="I66" s="164"/>
      <c r="J66" s="129"/>
      <c r="K66" s="129"/>
      <c r="L66" s="1754"/>
      <c r="M66" s="1758"/>
      <c r="N66" s="129"/>
      <c r="O66" s="1774"/>
      <c r="X66" s="1757"/>
    </row>
    <row r="67" spans="1:61" ht="15" customHeight="1" x14ac:dyDescent="0.25">
      <c r="B67" s="679">
        <v>901.3</v>
      </c>
      <c r="C67" s="21" t="s">
        <v>256</v>
      </c>
      <c r="D67" s="77" t="s">
        <v>123</v>
      </c>
      <c r="E67" s="21"/>
      <c r="F67" s="77"/>
      <c r="G67" s="77"/>
      <c r="H67" s="761"/>
      <c r="I67" s="164"/>
      <c r="J67" s="210"/>
      <c r="K67" s="210"/>
      <c r="L67" s="1755"/>
      <c r="M67" s="1759"/>
      <c r="N67" s="210"/>
      <c r="O67" s="1764"/>
      <c r="X67" s="1757"/>
    </row>
    <row r="68" spans="1:61" ht="15.75" customHeight="1" thickBot="1" x14ac:dyDescent="0.3">
      <c r="B68" s="679">
        <v>901.3</v>
      </c>
      <c r="C68" s="21" t="s">
        <v>258</v>
      </c>
      <c r="D68" s="77"/>
      <c r="E68" s="21"/>
      <c r="F68" s="77"/>
      <c r="G68" s="77"/>
      <c r="H68" s="761"/>
      <c r="I68" s="481"/>
      <c r="J68" s="190" t="s">
        <v>258</v>
      </c>
      <c r="K68" s="240"/>
      <c r="L68" s="425" t="s">
        <v>3178</v>
      </c>
      <c r="M68" s="429">
        <v>10</v>
      </c>
      <c r="N68" s="240"/>
      <c r="O68" s="241">
        <f>M68*S68*W68</f>
        <v>0</v>
      </c>
      <c r="P68" s="94" t="b">
        <v>1</v>
      </c>
      <c r="Q68" s="94" t="b">
        <v>1</v>
      </c>
      <c r="R68" s="99" t="b">
        <v>0</v>
      </c>
      <c r="S68" s="99" t="b">
        <f>AND(NOT(W62),W58&lt;&gt;"Met",W60&lt;&gt;"Met")</f>
        <v>1</v>
      </c>
      <c r="T68" s="99" t="b">
        <f>AND(NOT(S68),W68=TRUE)</f>
        <v>0</v>
      </c>
      <c r="U68" s="99"/>
      <c r="V68" s="99"/>
      <c r="W68" s="100"/>
      <c r="X68" s="419"/>
      <c r="AC68" s="394" t="b">
        <f>OR(AD68:AE68)</f>
        <v>0</v>
      </c>
      <c r="AD68" s="394" t="b">
        <f>T68</f>
        <v>0</v>
      </c>
      <c r="AE68" s="394" t="b">
        <f>AND(R68,NOT(W68))</f>
        <v>0</v>
      </c>
      <c r="AL68" s="254" t="str">
        <f>SUBSTITUTE(SUBSTITUTE(SUBSTITUTE("dpa"&amp;$B68&amp;$C68&amp;$D68&amp;$E68,".","_"),"(","_"),")","")</f>
        <v>dpa901_3_2</v>
      </c>
      <c r="AM68" s="254">
        <f>M68</f>
        <v>10</v>
      </c>
      <c r="AN68" s="254" t="str">
        <f>SUBSTITUTE(SUBSTITUTE(SUBSTITUTE("dpc"&amp;$B68&amp;$C68&amp;$D68&amp;$E68,".","_"),"(","_"),")","")</f>
        <v>dpc901_3_2</v>
      </c>
      <c r="AO68" s="254">
        <f>O68</f>
        <v>0</v>
      </c>
      <c r="AP68" s="254" t="str">
        <f>SUBSTITUTE(SUBSTITUTE(SUBSTITUTE("dch"&amp;$B68&amp;$C68&amp;$D68&amp;$E68,".","_"),"(","_"),")","")</f>
        <v>dch901_3_2</v>
      </c>
      <c r="AQ68" s="254" t="str">
        <f>IF(LEN(W68)=0,"",W68)</f>
        <v/>
      </c>
      <c r="AR68" s="254" t="str">
        <f>SUBSTITUTE(SUBSTITUTE(SUBSTITUTE("dnt"&amp;$B68&amp;$C68&amp;$D68&amp;$E68,".","_"),"(","_"),")","")</f>
        <v>dnt901_3_2</v>
      </c>
      <c r="AS68" s="254" t="str">
        <f>IF(LEN(X68)=0,"",X68)</f>
        <v/>
      </c>
    </row>
    <row r="69" spans="1:61" ht="15.75" thickTop="1" x14ac:dyDescent="0.25">
      <c r="B69" s="679">
        <v>901.4</v>
      </c>
      <c r="C69" s="21"/>
      <c r="D69" s="21"/>
      <c r="E69" s="21"/>
      <c r="F69" s="21"/>
      <c r="G69" s="21"/>
      <c r="H69" s="758"/>
      <c r="I69" s="64">
        <v>901.4</v>
      </c>
      <c r="J69" s="4"/>
      <c r="K69" s="4"/>
      <c r="L69" s="1779" t="s">
        <v>3179</v>
      </c>
      <c r="M69" s="1767" t="s">
        <v>699</v>
      </c>
      <c r="N69" s="4"/>
      <c r="O69" s="1773">
        <f ca="1">MIN(10,(IFERROR(INDEX({2,2,3,4,4},MATCH(W77,INDIRECT(U77),0)),0)+IFERROR(INDEX({2,2,3,4,4},MATCH(W78,INDIRECT(U78),0)),0)+IFERROR(INDEX({2,2,3,4,4},MATCH(W79,INDIRECT(U79),0)),0)+IFERROR(INDEX({2,2,3,4,4},MATCH(W80,INDIRECT(U80),0)),0)))*S77</f>
        <v>0</v>
      </c>
      <c r="AL69" s="254" t="str">
        <f>SUBSTITUTE(SUBSTITUTE(SUBSTITUTE("dpa"&amp;$B69&amp;$C69&amp;$D69&amp;$E69,".","_"),"(","_"),")","")</f>
        <v>dpa901_4</v>
      </c>
      <c r="AM69" s="254" t="str">
        <f>M69</f>
        <v>10 Max</v>
      </c>
      <c r="AN69" s="254" t="str">
        <f>SUBSTITUTE(SUBSTITUTE(SUBSTITUTE("dpc"&amp;$B69&amp;$C69&amp;$D69&amp;$E69,".","_"),"(","_"),")","")</f>
        <v>dpc901_4</v>
      </c>
      <c r="AO69" s="254">
        <f ca="1">O69</f>
        <v>0</v>
      </c>
    </row>
    <row r="70" spans="1:61" ht="15" customHeight="1" x14ac:dyDescent="0.25">
      <c r="B70" s="679">
        <v>901.4</v>
      </c>
      <c r="C70" s="21"/>
      <c r="D70" s="21"/>
      <c r="E70" s="21"/>
      <c r="F70" s="21"/>
      <c r="G70" s="21"/>
      <c r="H70" s="758"/>
      <c r="I70" s="164"/>
      <c r="J70" s="4"/>
      <c r="K70" s="4"/>
      <c r="L70" s="1779"/>
      <c r="M70" s="1767"/>
      <c r="N70" s="4"/>
      <c r="O70" s="1780"/>
    </row>
    <row r="71" spans="1:61" x14ac:dyDescent="0.25">
      <c r="B71" s="679">
        <v>901.4</v>
      </c>
      <c r="C71" s="21"/>
      <c r="D71" s="21"/>
      <c r="E71" s="21"/>
      <c r="F71" s="21"/>
      <c r="G71" s="21"/>
      <c r="H71" s="758"/>
      <c r="I71" s="164"/>
      <c r="J71" s="4"/>
      <c r="K71" s="4"/>
      <c r="L71" s="1779"/>
      <c r="M71" s="1767"/>
      <c r="N71" s="4"/>
      <c r="O71" s="1780"/>
    </row>
    <row r="72" spans="1:61" ht="15" customHeight="1" x14ac:dyDescent="0.25">
      <c r="B72" s="679">
        <v>901.4</v>
      </c>
      <c r="C72" s="21" t="s">
        <v>256</v>
      </c>
      <c r="D72" s="21"/>
      <c r="E72" s="21"/>
      <c r="F72" s="758"/>
      <c r="G72" s="21"/>
      <c r="H72" s="758"/>
      <c r="I72" s="164"/>
      <c r="J72" s="183" t="s">
        <v>256</v>
      </c>
      <c r="K72" s="129"/>
      <c r="L72" s="1754" t="s">
        <v>3180</v>
      </c>
      <c r="M72" s="1837" t="str">
        <f>IF(R72,"Mandatory","N/A")</f>
        <v>Mandatory</v>
      </c>
      <c r="N72" s="4"/>
      <c r="P72" s="94" t="b">
        <v>1</v>
      </c>
      <c r="Q72" s="94" t="b">
        <v>0</v>
      </c>
      <c r="R72" s="386" t="b">
        <f>S72</f>
        <v>1</v>
      </c>
      <c r="S72" s="386" t="b">
        <v>1</v>
      </c>
      <c r="T72" s="386" t="b">
        <v>0</v>
      </c>
      <c r="U72" s="94" t="str">
        <f>SUBSTITUTE(SUBSTITUTE(SUBSTITUTE("dd"&amp;B72&amp;C72&amp;D72&amp;E72&amp;F72,".","_"),"(","_"),")","")</f>
        <v>dd901_4_1</v>
      </c>
      <c r="W72" s="12"/>
      <c r="X72" s="1757"/>
      <c r="AC72" s="394" t="b">
        <f>OR(AD72:AE72)</f>
        <v>1</v>
      </c>
      <c r="AD72" s="394" t="b">
        <f>T72</f>
        <v>0</v>
      </c>
      <c r="AE72" s="394" t="b">
        <f>OR(AND(W72="N/A",LEN(X72)=0),AND(R72,OR(W72="Not Met",W72="")))</f>
        <v>1</v>
      </c>
      <c r="AL72" s="254" t="str">
        <f>SUBSTITUTE(SUBSTITUTE(SUBSTITUTE("dpa"&amp;$B72&amp;$C72&amp;$D72&amp;$E72,".","_"),"(","_"),")","")</f>
        <v>dpa901_4_1</v>
      </c>
      <c r="AM72" s="254" t="str">
        <f>M72</f>
        <v>Mandatory</v>
      </c>
      <c r="AP72" s="254" t="str">
        <f>SUBSTITUTE(SUBSTITUTE(SUBSTITUTE("dch"&amp;$B72&amp;$C72&amp;$D72&amp;$E72,".","_"),"(","_"),")","")</f>
        <v>dch901_4_1</v>
      </c>
      <c r="AQ72" s="254" t="str">
        <f>IF(LEN(W72)=0,"",W72)</f>
        <v/>
      </c>
      <c r="AR72" s="254" t="str">
        <f>SUBSTITUTE(SUBSTITUTE(SUBSTITUTE("dnt"&amp;$B72&amp;$C72&amp;$D72&amp;$E72,".","_"),"(","_"),")","")</f>
        <v>dnt901_4_1</v>
      </c>
      <c r="AS72" s="254" t="str">
        <f>IF(LEN(X72)=0,"",X72)</f>
        <v/>
      </c>
    </row>
    <row r="73" spans="1:61" x14ac:dyDescent="0.25">
      <c r="B73" s="679">
        <v>901.4</v>
      </c>
      <c r="C73" s="21" t="s">
        <v>256</v>
      </c>
      <c r="D73" s="21"/>
      <c r="E73" s="21"/>
      <c r="F73" s="758"/>
      <c r="G73" s="21"/>
      <c r="H73" s="758"/>
      <c r="I73" s="164"/>
      <c r="J73" s="129"/>
      <c r="K73" s="129"/>
      <c r="L73" s="1754"/>
      <c r="M73" s="1837"/>
      <c r="N73" s="4"/>
      <c r="O73" s="705"/>
      <c r="X73" s="1757"/>
    </row>
    <row r="74" spans="1:61" x14ac:dyDescent="0.25">
      <c r="B74" s="679">
        <v>901.4</v>
      </c>
      <c r="C74" s="21" t="s">
        <v>256</v>
      </c>
      <c r="D74" s="21"/>
      <c r="E74" s="21"/>
      <c r="F74" s="758"/>
      <c r="G74" s="21"/>
      <c r="H74" s="758"/>
      <c r="I74" s="164"/>
      <c r="J74" s="129"/>
      <c r="K74" s="129"/>
      <c r="L74" s="1754"/>
      <c r="M74" s="1837"/>
      <c r="N74" s="4"/>
      <c r="O74" s="705"/>
      <c r="X74" s="1757"/>
      <c r="Z74" s="386"/>
      <c r="AB74" s="386"/>
      <c r="AC74" s="386"/>
      <c r="AD74" s="386"/>
      <c r="AE74" s="386"/>
      <c r="AF74" s="386"/>
      <c r="AG74" s="386"/>
      <c r="AH74" s="386"/>
      <c r="AI74" s="386"/>
      <c r="AJ74" s="386"/>
      <c r="AK74" s="386"/>
      <c r="AL74" s="386"/>
      <c r="AM74" s="386"/>
      <c r="AN74" s="386"/>
      <c r="AO74" s="386"/>
      <c r="AX74" s="631"/>
      <c r="AY74" s="631"/>
    </row>
    <row r="75" spans="1:61" s="631" customFormat="1" x14ac:dyDescent="0.25">
      <c r="A75" s="18"/>
      <c r="B75" s="679">
        <v>901.4</v>
      </c>
      <c r="C75" s="21" t="s">
        <v>256</v>
      </c>
      <c r="D75" s="21"/>
      <c r="E75" s="21"/>
      <c r="F75" s="758"/>
      <c r="G75" s="21"/>
      <c r="H75" s="758"/>
      <c r="I75" s="164"/>
      <c r="J75" s="129"/>
      <c r="K75" s="129"/>
      <c r="L75" s="1754"/>
      <c r="M75" s="1837"/>
      <c r="N75" s="4"/>
      <c r="O75" s="705"/>
      <c r="X75" s="1757"/>
      <c r="Y75" s="780"/>
      <c r="AA75" s="783"/>
      <c r="AX75" s="76"/>
      <c r="AY75" s="76"/>
      <c r="AZ75" s="76"/>
      <c r="BA75" s="76"/>
      <c r="BB75" s="76"/>
      <c r="BC75" s="76"/>
      <c r="BD75" s="76"/>
      <c r="BE75" s="76"/>
      <c r="BF75" s="76"/>
      <c r="BG75" s="76"/>
      <c r="BH75" s="76"/>
      <c r="BI75" s="76"/>
    </row>
    <row r="76" spans="1:61" x14ac:dyDescent="0.25">
      <c r="B76" s="679">
        <v>901.4</v>
      </c>
      <c r="C76" s="21" t="s">
        <v>256</v>
      </c>
      <c r="D76" s="21"/>
      <c r="E76" s="21"/>
      <c r="F76" s="758"/>
      <c r="G76" s="21"/>
      <c r="H76" s="758"/>
      <c r="I76" s="164"/>
      <c r="J76" s="210"/>
      <c r="K76" s="210"/>
      <c r="L76" s="632" t="s">
        <v>3967</v>
      </c>
      <c r="M76" s="1844"/>
      <c r="N76" s="4"/>
      <c r="O76" s="705"/>
      <c r="X76" s="1757"/>
      <c r="Z76" s="386"/>
      <c r="AB76" s="386"/>
      <c r="AC76" s="386"/>
      <c r="AD76" s="386"/>
      <c r="AE76" s="386"/>
      <c r="AF76" s="386"/>
      <c r="AG76" s="386"/>
      <c r="AH76" s="386"/>
      <c r="AI76" s="386"/>
      <c r="AJ76" s="386"/>
      <c r="AK76" s="386"/>
      <c r="AL76" s="386"/>
      <c r="AM76" s="386"/>
      <c r="AN76" s="386"/>
      <c r="AO76" s="386"/>
      <c r="AX76" s="386"/>
      <c r="AY76" s="386"/>
      <c r="AZ76" s="631"/>
      <c r="BA76" s="631"/>
      <c r="BB76" s="631"/>
      <c r="BC76" s="631"/>
      <c r="BD76" s="631"/>
      <c r="BE76" s="631"/>
      <c r="BF76" s="631"/>
      <c r="BG76" s="631"/>
      <c r="BH76" s="631"/>
      <c r="BI76" s="631"/>
    </row>
    <row r="77" spans="1:61" s="386" customFormat="1" x14ac:dyDescent="0.25">
      <c r="A77" s="18"/>
      <c r="B77" s="679">
        <v>901.4</v>
      </c>
      <c r="C77" s="21"/>
      <c r="D77" s="77" t="s">
        <v>121</v>
      </c>
      <c r="E77" s="77"/>
      <c r="F77" s="761"/>
      <c r="G77" s="77"/>
      <c r="H77" s="761"/>
      <c r="I77" s="480"/>
      <c r="J77" s="129"/>
      <c r="K77" s="129"/>
      <c r="L77" s="421" t="s">
        <v>3646</v>
      </c>
      <c r="M77" s="433"/>
      <c r="N77" s="129"/>
      <c r="O77" s="239"/>
      <c r="P77" s="94" t="b">
        <v>1</v>
      </c>
      <c r="Q77" s="94" t="b">
        <v>1</v>
      </c>
      <c r="R77" s="94" t="b">
        <v>0</v>
      </c>
      <c r="S77" s="94" t="b">
        <v>1</v>
      </c>
      <c r="T77" s="94" t="b">
        <v>0</v>
      </c>
      <c r="U77" s="94" t="str">
        <f>SUBSTITUTE(SUBSTITUTE(SUBSTITUTE("dd"&amp;B77&amp;C77&amp;D77&amp;E77&amp;F77,".","_"),"(","_"),")","")</f>
        <v>dd901_4_a</v>
      </c>
      <c r="V77" s="94"/>
      <c r="W77" s="109"/>
      <c r="X77" s="1770"/>
      <c r="Y77" s="780"/>
      <c r="AA77" s="783"/>
      <c r="AC77" s="394"/>
      <c r="AD77" s="394"/>
      <c r="AE77" s="394"/>
      <c r="AP77" s="254" t="str">
        <f>SUBSTITUTE(SUBSTITUTE(SUBSTITUTE("dch"&amp;$B77&amp;$C77&amp;$D77&amp;$E77,".","_"),"(","_"),")","")</f>
        <v>dch901_4_a</v>
      </c>
      <c r="AQ77" s="254" t="str">
        <f>IF(LEN(W77)=0,"",W77)</f>
        <v/>
      </c>
      <c r="AR77" s="254" t="str">
        <f>SUBSTITUTE(SUBSTITUTE(SUBSTITUTE("dnt"&amp;$B77&amp;$C77&amp;$D77&amp;$E77,".","_"),"(","_"),")","")</f>
        <v>dnt901_4_a</v>
      </c>
      <c r="AS77" s="254" t="str">
        <f>IF(LEN(X77)=0,"",X77)</f>
        <v/>
      </c>
      <c r="AZ77" s="76"/>
      <c r="BA77" s="76"/>
      <c r="BB77" s="76"/>
      <c r="BC77" s="76"/>
      <c r="BD77" s="76"/>
      <c r="BE77" s="76"/>
      <c r="BF77" s="76"/>
      <c r="BG77" s="76"/>
      <c r="BH77" s="76"/>
      <c r="BI77" s="76"/>
    </row>
    <row r="78" spans="1:61" s="386" customFormat="1" x14ac:dyDescent="0.25">
      <c r="A78" s="18"/>
      <c r="B78" s="679">
        <v>901.4</v>
      </c>
      <c r="C78" s="21"/>
      <c r="D78" s="77" t="s">
        <v>122</v>
      </c>
      <c r="E78" s="77"/>
      <c r="F78" s="761"/>
      <c r="G78" s="77"/>
      <c r="H78" s="761"/>
      <c r="I78" s="480"/>
      <c r="J78" s="129"/>
      <c r="K78" s="129"/>
      <c r="L78" s="421" t="s">
        <v>3647</v>
      </c>
      <c r="M78" s="433"/>
      <c r="N78" s="129"/>
      <c r="O78" s="239"/>
      <c r="P78" s="94" t="b">
        <v>1</v>
      </c>
      <c r="Q78" s="94" t="b">
        <v>1</v>
      </c>
      <c r="R78" s="94" t="b">
        <v>0</v>
      </c>
      <c r="S78" s="94" t="b">
        <v>1</v>
      </c>
      <c r="T78" s="94" t="b">
        <v>0</v>
      </c>
      <c r="U78" s="94" t="str">
        <f>SUBSTITUTE(SUBSTITUTE(SUBSTITUTE("dd"&amp;B78&amp;C78&amp;D78&amp;E78&amp;F78,".","_"),"(","_"),")","")</f>
        <v>dd901_4_b</v>
      </c>
      <c r="V78" s="94"/>
      <c r="W78" s="109"/>
      <c r="X78" s="1770"/>
      <c r="Y78" s="780"/>
      <c r="AA78" s="783"/>
      <c r="AC78" s="394"/>
      <c r="AD78" s="394"/>
      <c r="AE78" s="394"/>
      <c r="AP78" s="254" t="str">
        <f>SUBSTITUTE(SUBSTITUTE(SUBSTITUTE("dch"&amp;$B78&amp;$C78&amp;$D78&amp;$E78,".","_"),"(","_"),")","")</f>
        <v>dch901_4_b</v>
      </c>
      <c r="AQ78" s="254" t="str">
        <f>IF(LEN(W78)=0,"",W78)</f>
        <v/>
      </c>
    </row>
    <row r="79" spans="1:61" s="386" customFormat="1" x14ac:dyDescent="0.25">
      <c r="A79" s="18"/>
      <c r="B79" s="679">
        <v>901.4</v>
      </c>
      <c r="C79" s="21"/>
      <c r="D79" s="77" t="s">
        <v>123</v>
      </c>
      <c r="E79" s="77"/>
      <c r="F79" s="761"/>
      <c r="G79" s="77"/>
      <c r="H79" s="761"/>
      <c r="I79" s="480"/>
      <c r="J79" s="129"/>
      <c r="K79" s="129"/>
      <c r="L79" s="421" t="s">
        <v>3648</v>
      </c>
      <c r="M79" s="433"/>
      <c r="N79" s="129"/>
      <c r="O79" s="239"/>
      <c r="P79" s="94" t="b">
        <v>1</v>
      </c>
      <c r="Q79" s="94" t="b">
        <v>1</v>
      </c>
      <c r="R79" s="94" t="b">
        <v>0</v>
      </c>
      <c r="S79" s="94" t="b">
        <v>1</v>
      </c>
      <c r="T79" s="94" t="b">
        <v>0</v>
      </c>
      <c r="U79" s="94" t="str">
        <f>SUBSTITUTE(SUBSTITUTE(SUBSTITUTE("dd"&amp;B79&amp;C79&amp;D79&amp;E79&amp;F79,".","_"),"(","_"),")","")</f>
        <v>dd901_4_c</v>
      </c>
      <c r="V79" s="94"/>
      <c r="W79" s="109"/>
      <c r="X79" s="1770"/>
      <c r="Y79" s="780"/>
      <c r="Z79" s="76"/>
      <c r="AA79" s="783"/>
      <c r="AB79" s="76"/>
      <c r="AC79" s="394"/>
      <c r="AD79" s="394"/>
      <c r="AE79" s="394"/>
      <c r="AF79" s="76"/>
      <c r="AG79" s="76"/>
      <c r="AH79" s="76"/>
      <c r="AI79" s="76"/>
      <c r="AJ79" s="76"/>
      <c r="AK79" s="76"/>
      <c r="AL79" s="76"/>
      <c r="AM79" s="76"/>
      <c r="AN79" s="76"/>
      <c r="AO79" s="76"/>
      <c r="AP79" s="254" t="str">
        <f>SUBSTITUTE(SUBSTITUTE(SUBSTITUTE("dch"&amp;$B79&amp;$C79&amp;$D79&amp;$E79,".","_"),"(","_"),")","")</f>
        <v>dch901_4_c</v>
      </c>
      <c r="AQ79" s="254" t="str">
        <f>IF(LEN(W79)=0,"",W79)</f>
        <v/>
      </c>
    </row>
    <row r="80" spans="1:61" s="386" customFormat="1" x14ac:dyDescent="0.25">
      <c r="A80" s="18"/>
      <c r="B80" s="679">
        <v>901.4</v>
      </c>
      <c r="C80" s="21"/>
      <c r="D80" s="77" t="s">
        <v>401</v>
      </c>
      <c r="E80" s="77"/>
      <c r="F80" s="761"/>
      <c r="G80" s="77"/>
      <c r="H80" s="761"/>
      <c r="I80" s="480"/>
      <c r="J80" s="129"/>
      <c r="K80" s="129"/>
      <c r="L80" s="421" t="s">
        <v>3649</v>
      </c>
      <c r="M80" s="433"/>
      <c r="N80" s="129"/>
      <c r="O80" s="239"/>
      <c r="P80" s="94" t="b">
        <v>1</v>
      </c>
      <c r="Q80" s="94" t="b">
        <v>1</v>
      </c>
      <c r="R80" s="94" t="b">
        <v>0</v>
      </c>
      <c r="S80" s="94" t="b">
        <v>1</v>
      </c>
      <c r="T80" s="94" t="b">
        <v>0</v>
      </c>
      <c r="U80" s="94" t="str">
        <f>SUBSTITUTE(SUBSTITUTE(SUBSTITUTE("dd"&amp;B80&amp;C80&amp;D80&amp;E80&amp;F80,".","_"),"(","_"),")","")</f>
        <v>dd901_4_d</v>
      </c>
      <c r="V80" s="94"/>
      <c r="W80" s="109"/>
      <c r="X80" s="1770"/>
      <c r="Y80" s="780"/>
      <c r="Z80" s="76"/>
      <c r="AA80" s="783"/>
      <c r="AB80" s="76"/>
      <c r="AC80" s="394"/>
      <c r="AD80" s="394"/>
      <c r="AE80" s="394"/>
      <c r="AF80" s="76"/>
      <c r="AG80" s="76"/>
      <c r="AH80" s="76"/>
      <c r="AI80" s="76"/>
      <c r="AJ80" s="76"/>
      <c r="AK80" s="76"/>
      <c r="AL80" s="76"/>
      <c r="AM80" s="76"/>
      <c r="AN80" s="76"/>
      <c r="AO80" s="76"/>
      <c r="AP80" s="254" t="str">
        <f>SUBSTITUTE(SUBSTITUTE(SUBSTITUTE("dch"&amp;$B80&amp;$C80&amp;$D80&amp;$E80,".","_"),"(","_"),")","")</f>
        <v>dch901_4_d</v>
      </c>
      <c r="AQ80" s="254" t="str">
        <f>IF(LEN(W80)=0,"",W80)</f>
        <v/>
      </c>
      <c r="AX80" s="76"/>
      <c r="AY80" s="76"/>
    </row>
    <row r="81" spans="2:61" x14ac:dyDescent="0.25">
      <c r="B81" s="679">
        <v>901.4</v>
      </c>
      <c r="C81" s="21" t="s">
        <v>258</v>
      </c>
      <c r="D81" s="21"/>
      <c r="E81" s="21"/>
      <c r="F81" s="758"/>
      <c r="G81" s="21"/>
      <c r="H81" s="758"/>
      <c r="I81" s="480"/>
      <c r="J81" s="183" t="s">
        <v>258</v>
      </c>
      <c r="K81" s="129"/>
      <c r="L81" s="1754" t="s">
        <v>3181</v>
      </c>
      <c r="M81" s="1758">
        <v>2</v>
      </c>
      <c r="N81" s="129"/>
      <c r="O81" s="239"/>
      <c r="P81" s="94"/>
      <c r="Q81" s="94"/>
      <c r="R81" s="94"/>
      <c r="S81" s="94"/>
      <c r="T81" s="94"/>
      <c r="U81" s="94"/>
      <c r="V81" s="94"/>
      <c r="W81" s="94"/>
      <c r="X81" s="1770"/>
      <c r="AL81" s="254" t="str">
        <f>SUBSTITUTE(SUBSTITUTE(SUBSTITUTE("dpa"&amp;$B81&amp;$C81&amp;$D81&amp;$E81,".","_"),"(","_"),")","")</f>
        <v>dpa901_4_2</v>
      </c>
      <c r="AM81" s="254">
        <f>M81</f>
        <v>2</v>
      </c>
      <c r="AZ81" s="386"/>
      <c r="BA81" s="386"/>
      <c r="BB81" s="386"/>
      <c r="BC81" s="386"/>
      <c r="BD81" s="386"/>
      <c r="BE81" s="386"/>
      <c r="BF81" s="386"/>
      <c r="BG81" s="386"/>
      <c r="BH81" s="386"/>
      <c r="BI81" s="386"/>
    </row>
    <row r="82" spans="2:61" x14ac:dyDescent="0.25">
      <c r="B82" s="679">
        <v>901.4</v>
      </c>
      <c r="C82" s="21" t="s">
        <v>258</v>
      </c>
      <c r="D82" s="21"/>
      <c r="E82" s="21"/>
      <c r="F82" s="758"/>
      <c r="G82" s="21"/>
      <c r="H82" s="758"/>
      <c r="I82" s="480"/>
      <c r="J82" s="210"/>
      <c r="K82" s="210"/>
      <c r="L82" s="1755"/>
      <c r="M82" s="1759"/>
      <c r="N82" s="129"/>
      <c r="O82" s="239"/>
      <c r="P82" s="94"/>
      <c r="Q82" s="94"/>
      <c r="R82" s="94"/>
      <c r="S82" s="94"/>
      <c r="T82" s="94"/>
      <c r="U82" s="94"/>
      <c r="V82" s="94"/>
      <c r="W82" s="94"/>
      <c r="X82" s="1770"/>
    </row>
    <row r="83" spans="2:61" x14ac:dyDescent="0.25">
      <c r="B83" s="679">
        <v>901.4</v>
      </c>
      <c r="C83" s="21" t="s">
        <v>260</v>
      </c>
      <c r="D83" s="21"/>
      <c r="E83" s="21"/>
      <c r="F83" s="758"/>
      <c r="G83" s="21"/>
      <c r="H83" s="758"/>
      <c r="I83" s="480"/>
      <c r="J83" s="206" t="s">
        <v>260</v>
      </c>
      <c r="K83" s="210"/>
      <c r="L83" s="422" t="s">
        <v>3182</v>
      </c>
      <c r="M83" s="426">
        <v>2</v>
      </c>
      <c r="N83" s="129"/>
      <c r="O83" s="239"/>
      <c r="P83" s="94"/>
      <c r="Q83" s="94"/>
      <c r="R83" s="94"/>
      <c r="S83" s="94"/>
      <c r="T83" s="94"/>
      <c r="U83" s="94"/>
      <c r="V83" s="94"/>
      <c r="W83" s="94"/>
      <c r="X83" s="1770"/>
      <c r="AL83" s="254" t="str">
        <f>SUBSTITUTE(SUBSTITUTE(SUBSTITUTE("dpa"&amp;$B83&amp;$C83&amp;$D83&amp;$E83,".","_"),"(","_"),")","")</f>
        <v>dpa901_4_3</v>
      </c>
      <c r="AM83" s="254">
        <f>M83</f>
        <v>2</v>
      </c>
    </row>
    <row r="84" spans="2:61" x14ac:dyDescent="0.25">
      <c r="B84" s="679">
        <v>901.4</v>
      </c>
      <c r="C84" s="21" t="s">
        <v>269</v>
      </c>
      <c r="D84" s="21"/>
      <c r="E84" s="21"/>
      <c r="F84" s="758"/>
      <c r="G84" s="21"/>
      <c r="H84" s="758"/>
      <c r="I84" s="480"/>
      <c r="J84" s="206" t="s">
        <v>269</v>
      </c>
      <c r="K84" s="210"/>
      <c r="L84" s="422" t="s">
        <v>3183</v>
      </c>
      <c r="M84" s="426">
        <v>3</v>
      </c>
      <c r="N84" s="129"/>
      <c r="O84" s="239"/>
      <c r="P84" s="94"/>
      <c r="Q84" s="94"/>
      <c r="R84" s="94"/>
      <c r="S84" s="94"/>
      <c r="T84" s="94"/>
      <c r="U84" s="94"/>
      <c r="V84" s="94"/>
      <c r="W84" s="94"/>
      <c r="X84" s="1770"/>
      <c r="AL84" s="254" t="str">
        <f>SUBSTITUTE(SUBSTITUTE(SUBSTITUTE("dpa"&amp;$B84&amp;$C84&amp;$D84&amp;$E84,".","_"),"(","_"),")","")</f>
        <v>dpa901_4_4</v>
      </c>
      <c r="AM84" s="254">
        <f>M84</f>
        <v>3</v>
      </c>
    </row>
    <row r="85" spans="2:61" x14ac:dyDescent="0.25">
      <c r="B85" s="679">
        <v>901.4</v>
      </c>
      <c r="C85" s="21" t="s">
        <v>275</v>
      </c>
      <c r="D85" s="21"/>
      <c r="E85" s="21"/>
      <c r="F85" s="758"/>
      <c r="G85" s="21"/>
      <c r="H85" s="758"/>
      <c r="I85" s="480"/>
      <c r="J85" s="183" t="s">
        <v>275</v>
      </c>
      <c r="K85" s="129"/>
      <c r="L85" s="1754" t="s">
        <v>3184</v>
      </c>
      <c r="M85" s="1758">
        <v>4</v>
      </c>
      <c r="N85" s="129"/>
      <c r="O85" s="239"/>
      <c r="P85" s="94"/>
      <c r="Q85" s="94"/>
      <c r="R85" s="94"/>
      <c r="S85" s="94"/>
      <c r="T85" s="94"/>
      <c r="U85" s="94"/>
      <c r="V85" s="94"/>
      <c r="W85" s="94"/>
      <c r="X85" s="1770"/>
      <c r="AL85" s="254" t="str">
        <f>SUBSTITUTE(SUBSTITUTE(SUBSTITUTE("dpa"&amp;$B85&amp;$C85&amp;$D85&amp;$E85,".","_"),"(","_"),")","")</f>
        <v>dpa901_4_5</v>
      </c>
      <c r="AM85" s="254">
        <f>M85</f>
        <v>4</v>
      </c>
    </row>
    <row r="86" spans="2:61" x14ac:dyDescent="0.25">
      <c r="B86" s="679">
        <v>901.4</v>
      </c>
      <c r="C86" s="21" t="s">
        <v>275</v>
      </c>
      <c r="D86" s="21"/>
      <c r="E86" s="21"/>
      <c r="F86" s="758"/>
      <c r="G86" s="21"/>
      <c r="H86" s="758"/>
      <c r="I86" s="480"/>
      <c r="J86" s="206"/>
      <c r="K86" s="210"/>
      <c r="L86" s="1755"/>
      <c r="M86" s="1759"/>
      <c r="N86" s="129"/>
      <c r="O86" s="239"/>
      <c r="P86" s="94"/>
      <c r="Q86" s="94"/>
      <c r="R86" s="94"/>
      <c r="S86" s="94"/>
      <c r="T86" s="94"/>
      <c r="U86" s="94"/>
      <c r="V86" s="94"/>
      <c r="W86" s="94"/>
      <c r="X86" s="1770"/>
    </row>
    <row r="87" spans="2:61" ht="15.75" thickBot="1" x14ac:dyDescent="0.3">
      <c r="B87" s="679">
        <v>901.4</v>
      </c>
      <c r="C87" s="21" t="s">
        <v>277</v>
      </c>
      <c r="D87" s="21"/>
      <c r="E87" s="21"/>
      <c r="F87" s="758"/>
      <c r="G87" s="21"/>
      <c r="H87" s="758"/>
      <c r="I87" s="481"/>
      <c r="J87" s="190" t="s">
        <v>277</v>
      </c>
      <c r="K87" s="240"/>
      <c r="L87" s="425" t="s">
        <v>3185</v>
      </c>
      <c r="M87" s="429">
        <v>4</v>
      </c>
      <c r="N87" s="240"/>
      <c r="O87" s="241"/>
      <c r="P87" s="99"/>
      <c r="Q87" s="99"/>
      <c r="R87" s="99"/>
      <c r="S87" s="99"/>
      <c r="T87" s="99"/>
      <c r="U87" s="99"/>
      <c r="V87" s="99"/>
      <c r="W87" s="99"/>
      <c r="X87" s="1771"/>
      <c r="AL87" s="254" t="str">
        <f>SUBSTITUTE(SUBSTITUTE(SUBSTITUTE("dpa"&amp;$B87&amp;$C87&amp;$D87&amp;$E87,".","_"),"(","_"),")","")</f>
        <v>dpa901_4_6</v>
      </c>
      <c r="AM87" s="254">
        <f>M87</f>
        <v>4</v>
      </c>
    </row>
    <row r="88" spans="2:61" ht="15.75" thickTop="1" x14ac:dyDescent="0.25">
      <c r="B88" s="679">
        <v>901.5</v>
      </c>
      <c r="C88" s="21"/>
      <c r="D88" s="21"/>
      <c r="E88" s="21"/>
      <c r="F88" s="21"/>
      <c r="G88" s="21"/>
      <c r="H88" s="758"/>
      <c r="I88" s="64">
        <v>901.5</v>
      </c>
      <c r="J88" s="4"/>
      <c r="K88" s="4"/>
      <c r="L88" s="1796" t="s">
        <v>3186</v>
      </c>
      <c r="M88" s="428"/>
      <c r="N88" s="4"/>
      <c r="O88" s="141"/>
    </row>
    <row r="89" spans="2:61" x14ac:dyDescent="0.25">
      <c r="B89" s="679">
        <v>901.5</v>
      </c>
      <c r="C89" s="21"/>
      <c r="D89" s="21"/>
      <c r="E89" s="21"/>
      <c r="F89" s="21"/>
      <c r="G89" s="21"/>
      <c r="H89" s="758"/>
      <c r="I89" s="164"/>
      <c r="J89" s="4"/>
      <c r="K89" s="4"/>
      <c r="L89" s="1796"/>
      <c r="M89" s="428"/>
      <c r="N89" s="4"/>
      <c r="O89" s="141"/>
    </row>
    <row r="90" spans="2:61" x14ac:dyDescent="0.25">
      <c r="B90" s="679">
        <v>901.5</v>
      </c>
      <c r="C90" s="21"/>
      <c r="D90" s="21"/>
      <c r="E90" s="21"/>
      <c r="F90" s="21"/>
      <c r="G90" s="21"/>
      <c r="H90" s="758"/>
      <c r="I90" s="164"/>
      <c r="J90" s="4"/>
      <c r="K90" s="4"/>
      <c r="L90" s="163" t="s">
        <v>3187</v>
      </c>
      <c r="M90" s="428"/>
      <c r="N90" s="4"/>
      <c r="O90" s="141"/>
    </row>
    <row r="91" spans="2:61" x14ac:dyDescent="0.25">
      <c r="B91" s="679">
        <v>901.5</v>
      </c>
      <c r="C91" s="21" t="s">
        <v>256</v>
      </c>
      <c r="D91" s="21"/>
      <c r="E91" s="21"/>
      <c r="F91" s="21"/>
      <c r="G91" s="21"/>
      <c r="H91" s="758"/>
      <c r="I91" s="164"/>
      <c r="J91" s="183" t="s">
        <v>256</v>
      </c>
      <c r="K91" s="129"/>
      <c r="L91" s="1754" t="s">
        <v>3188</v>
      </c>
      <c r="M91" s="1758">
        <v>5</v>
      </c>
      <c r="N91" s="4"/>
      <c r="O91" s="1774">
        <f>M91*S91*W91</f>
        <v>0</v>
      </c>
      <c r="P91" s="94" t="b">
        <v>0</v>
      </c>
      <c r="Q91" s="94" t="b">
        <v>1</v>
      </c>
      <c r="R91" s="386" t="b">
        <v>0</v>
      </c>
      <c r="S91" s="386" t="b">
        <v>1</v>
      </c>
      <c r="T91" s="386" t="b">
        <v>0</v>
      </c>
      <c r="W91" s="25"/>
      <c r="X91" s="1757"/>
      <c r="AC91" s="394"/>
      <c r="AD91" s="394"/>
      <c r="AE91" s="394"/>
      <c r="AL91" s="254" t="str">
        <f>SUBSTITUTE(SUBSTITUTE(SUBSTITUTE("dpa"&amp;$B91&amp;$C91&amp;$D91&amp;$E91,".","_"),"(","_"),")","")</f>
        <v>dpa901_5_1</v>
      </c>
      <c r="AM91" s="254">
        <f>M91</f>
        <v>5</v>
      </c>
      <c r="AN91" s="254" t="str">
        <f>SUBSTITUTE(SUBSTITUTE(SUBSTITUTE("dpc"&amp;$B91&amp;$C91&amp;$D91&amp;$E91,".","_"),"(","_"),")","")</f>
        <v>dpc901_5_1</v>
      </c>
      <c r="AO91" s="254">
        <f>O91</f>
        <v>0</v>
      </c>
      <c r="AP91" s="254" t="str">
        <f>SUBSTITUTE(SUBSTITUTE(SUBSTITUTE("dch"&amp;$B91&amp;$C91&amp;$D91&amp;$E91,".","_"),"(","_"),")","")</f>
        <v>dch901_5_1</v>
      </c>
      <c r="AQ91" s="254" t="str">
        <f>IF(LEN(W91)=0,"",W91)</f>
        <v/>
      </c>
      <c r="AR91" s="254" t="str">
        <f>SUBSTITUTE(SUBSTITUTE(SUBSTITUTE("dnt"&amp;$B91&amp;$C91&amp;$D91&amp;$E91,".","_"),"(","_"),")","")</f>
        <v>dnt901_5_1</v>
      </c>
      <c r="AS91" s="254" t="str">
        <f>IF(LEN(X91)=0,"",X91)</f>
        <v/>
      </c>
    </row>
    <row r="92" spans="2:61" x14ac:dyDescent="0.25">
      <c r="B92" s="679">
        <v>901.5</v>
      </c>
      <c r="C92" s="21" t="s">
        <v>256</v>
      </c>
      <c r="D92" s="21"/>
      <c r="E92" s="21"/>
      <c r="F92" s="21"/>
      <c r="G92" s="21"/>
      <c r="H92" s="758"/>
      <c r="I92" s="164"/>
      <c r="J92" s="210"/>
      <c r="K92" s="210"/>
      <c r="L92" s="1755"/>
      <c r="M92" s="1759"/>
      <c r="N92" s="4"/>
      <c r="O92" s="1764"/>
      <c r="X92" s="1757"/>
    </row>
    <row r="93" spans="2:61" x14ac:dyDescent="0.25">
      <c r="B93" s="679">
        <v>901.5</v>
      </c>
      <c r="C93" s="21" t="s">
        <v>258</v>
      </c>
      <c r="D93" s="21"/>
      <c r="E93" s="21"/>
      <c r="F93" s="21"/>
      <c r="G93" s="21"/>
      <c r="H93" s="758"/>
      <c r="I93" s="480"/>
      <c r="J93" s="183" t="s">
        <v>258</v>
      </c>
      <c r="K93" s="129"/>
      <c r="L93" s="1754" t="s">
        <v>5592</v>
      </c>
      <c r="M93" s="1758">
        <v>3</v>
      </c>
      <c r="N93" s="129"/>
      <c r="O93" s="1774">
        <f>M93*S93*W93</f>
        <v>0</v>
      </c>
      <c r="P93" s="94" t="b">
        <v>0</v>
      </c>
      <c r="Q93" s="94" t="b">
        <v>1</v>
      </c>
      <c r="R93" s="94" t="b">
        <v>0</v>
      </c>
      <c r="S93" s="94" t="b">
        <v>1</v>
      </c>
      <c r="T93" s="94" t="b">
        <v>0</v>
      </c>
      <c r="U93" s="94"/>
      <c r="V93" s="94"/>
      <c r="W93" s="360"/>
      <c r="X93" s="1770"/>
      <c r="AC93" s="394"/>
      <c r="AD93" s="394"/>
      <c r="AE93" s="394"/>
      <c r="AL93" s="254" t="str">
        <f>SUBSTITUTE(SUBSTITUTE(SUBSTITUTE("dpa"&amp;$B93&amp;$C93&amp;$D93&amp;$E93,".","_"),"(","_"),")","")</f>
        <v>dpa901_5_2</v>
      </c>
      <c r="AM93" s="254">
        <f>M93</f>
        <v>3</v>
      </c>
      <c r="AN93" s="254" t="str">
        <f>SUBSTITUTE(SUBSTITUTE(SUBSTITUTE("dpc"&amp;$B93&amp;$C93&amp;$D93&amp;$E93,".","_"),"(","_"),")","")</f>
        <v>dpc901_5_2</v>
      </c>
      <c r="AO93" s="254">
        <f>O93</f>
        <v>0</v>
      </c>
      <c r="AP93" s="254" t="str">
        <f>SUBSTITUTE(SUBSTITUTE(SUBSTITUTE("dch"&amp;$B93&amp;$C93&amp;$D93&amp;$E93,".","_"),"(","_"),")","")</f>
        <v>dch901_5_2</v>
      </c>
      <c r="AQ93" s="254" t="str">
        <f>IF(LEN(W93)=0,"",W93)</f>
        <v/>
      </c>
      <c r="AR93" s="254" t="str">
        <f>SUBSTITUTE(SUBSTITUTE(SUBSTITUTE("dnt"&amp;$B93&amp;$C93&amp;$D93&amp;$E93,".","_"),"(","_"),")","")</f>
        <v>dnt901_5_2</v>
      </c>
      <c r="AS93" s="254" t="str">
        <f>IF(LEN(X93)=0,"",X93)</f>
        <v/>
      </c>
    </row>
    <row r="94" spans="2:61" x14ac:dyDescent="0.25">
      <c r="B94" s="679">
        <v>901.5</v>
      </c>
      <c r="C94" s="21" t="s">
        <v>258</v>
      </c>
      <c r="D94" s="21"/>
      <c r="E94" s="21"/>
      <c r="F94" s="21"/>
      <c r="G94" s="21"/>
      <c r="H94" s="758"/>
      <c r="I94" s="480"/>
      <c r="J94" s="129"/>
      <c r="K94" s="129"/>
      <c r="L94" s="1754"/>
      <c r="M94" s="1758"/>
      <c r="N94" s="129"/>
      <c r="O94" s="1774"/>
      <c r="P94" s="94"/>
      <c r="Q94" s="94"/>
      <c r="R94" s="94"/>
      <c r="S94" s="94"/>
      <c r="T94" s="94"/>
      <c r="U94" s="94"/>
      <c r="V94" s="94"/>
      <c r="W94" s="94"/>
      <c r="X94" s="1770"/>
    </row>
    <row r="95" spans="2:61" ht="15.75" thickBot="1" x14ac:dyDescent="0.3">
      <c r="B95" s="679">
        <v>901.5</v>
      </c>
      <c r="C95" s="21" t="s">
        <v>258</v>
      </c>
      <c r="D95" s="21"/>
      <c r="E95" s="21"/>
      <c r="F95" s="21"/>
      <c r="G95" s="21"/>
      <c r="H95" s="758"/>
      <c r="I95" s="481"/>
      <c r="J95" s="240"/>
      <c r="K95" s="240"/>
      <c r="L95" s="1783"/>
      <c r="M95" s="1768"/>
      <c r="N95" s="240"/>
      <c r="O95" s="1775"/>
      <c r="P95" s="99"/>
      <c r="Q95" s="99"/>
      <c r="R95" s="99"/>
      <c r="S95" s="99"/>
      <c r="T95" s="99"/>
      <c r="U95" s="99"/>
      <c r="V95" s="99"/>
      <c r="W95" s="99"/>
      <c r="X95" s="1771"/>
    </row>
    <row r="96" spans="2:61" ht="15.75" thickTop="1" x14ac:dyDescent="0.25">
      <c r="B96" s="679">
        <v>901.6</v>
      </c>
      <c r="C96" s="21"/>
      <c r="D96" s="21"/>
      <c r="E96" s="21"/>
      <c r="F96" s="21"/>
      <c r="G96" s="21"/>
      <c r="H96" s="758"/>
      <c r="I96" s="180">
        <v>901.6</v>
      </c>
      <c r="J96" s="181"/>
      <c r="K96" s="181"/>
      <c r="L96" s="1781" t="s">
        <v>3190</v>
      </c>
      <c r="M96" s="1856" t="str">
        <f>IF(R96,"Mandatory","N/A")</f>
        <v>Mandatory</v>
      </c>
      <c r="N96" s="181"/>
      <c r="O96" s="500"/>
      <c r="P96" s="94" t="b">
        <v>0</v>
      </c>
      <c r="Q96" s="94" t="b">
        <v>1</v>
      </c>
      <c r="R96" s="105" t="b">
        <f>S96</f>
        <v>1</v>
      </c>
      <c r="S96" s="105" t="b">
        <v>1</v>
      </c>
      <c r="T96" s="105" t="b">
        <v>0</v>
      </c>
      <c r="U96" s="105"/>
      <c r="V96" s="105"/>
      <c r="W96" s="367"/>
      <c r="X96" s="1784"/>
      <c r="AC96" s="394" t="b">
        <f>OR(AD96:AE96)</f>
        <v>1</v>
      </c>
      <c r="AD96" s="394" t="b">
        <v>0</v>
      </c>
      <c r="AE96" s="394" t="b">
        <f>AND(R96,NOT(W96))</f>
        <v>1</v>
      </c>
      <c r="AL96" s="254" t="str">
        <f>SUBSTITUTE(SUBSTITUTE(SUBSTITUTE("dpa"&amp;$B96&amp;$C96&amp;$D96&amp;$E96,".","_"),"(","_"),")","")</f>
        <v>dpa901_6</v>
      </c>
      <c r="AM96" s="254" t="str">
        <f>M96</f>
        <v>Mandatory</v>
      </c>
      <c r="AP96" s="254" t="str">
        <f>SUBSTITUTE(SUBSTITUTE(SUBSTITUTE("dch"&amp;$B96&amp;$C96&amp;$D96&amp;$E96,".","_"),"(","_"),")","")</f>
        <v>dch901_6</v>
      </c>
      <c r="AQ96" s="254" t="str">
        <f>IF(LEN(W96)=0,"",W96)</f>
        <v/>
      </c>
      <c r="AR96" s="254" t="str">
        <f>SUBSTITUTE(SUBSTITUTE(SUBSTITUTE("dnt"&amp;$B96&amp;$C96&amp;$D96&amp;$E96,".","_"),"(","_"),")","")</f>
        <v>dnt901_6</v>
      </c>
      <c r="AS96" s="254" t="str">
        <f>IF(LEN(X96)=0,"",X96)</f>
        <v/>
      </c>
    </row>
    <row r="97" spans="2:45" ht="15.75" thickBot="1" x14ac:dyDescent="0.3">
      <c r="B97" s="679">
        <v>901.6</v>
      </c>
      <c r="C97" s="21"/>
      <c r="D97" s="21"/>
      <c r="E97" s="21"/>
      <c r="F97" s="21"/>
      <c r="G97" s="21"/>
      <c r="H97" s="758"/>
      <c r="I97" s="481"/>
      <c r="J97" s="240"/>
      <c r="K97" s="240"/>
      <c r="L97" s="1797"/>
      <c r="M97" s="1839"/>
      <c r="N97" s="240"/>
      <c r="O97" s="241"/>
      <c r="P97" s="99"/>
      <c r="Q97" s="99"/>
      <c r="R97" s="99"/>
      <c r="S97" s="99"/>
      <c r="T97" s="99"/>
      <c r="U97" s="99"/>
      <c r="V97" s="99"/>
      <c r="W97" s="99"/>
      <c r="X97" s="1771"/>
    </row>
    <row r="98" spans="2:45" ht="15.75" thickTop="1" x14ac:dyDescent="0.25">
      <c r="B98" s="679">
        <v>901.7</v>
      </c>
      <c r="C98" s="21"/>
      <c r="D98" s="21"/>
      <c r="E98" s="21"/>
      <c r="F98" s="21"/>
      <c r="G98" s="21"/>
      <c r="H98" s="758"/>
      <c r="I98" s="64">
        <v>901.7</v>
      </c>
      <c r="J98" s="4"/>
      <c r="K98" s="4"/>
      <c r="L98" s="1796" t="s">
        <v>5593</v>
      </c>
      <c r="M98" s="1846" t="s">
        <v>3374</v>
      </c>
      <c r="N98" s="4"/>
      <c r="O98" s="1780">
        <f>MIN(8,ROUNDDOWN(W105/0.1,0)+ROUNDDOWN(W115/0.1,0)+ROUNDDOWN(W116*1.33/0.1,0))</f>
        <v>0</v>
      </c>
      <c r="AL98" s="254" t="str">
        <f>SUBSTITUTE(SUBSTITUTE(SUBSTITUTE("dpa"&amp;$B98&amp;$C98&amp;$D98&amp;$E98,".","_"),"(","_"),")","")</f>
        <v>dpa901_7</v>
      </c>
      <c r="AM98" s="254" t="str">
        <f>M98</f>
        <v>1
8 Max</v>
      </c>
      <c r="AN98" s="254" t="str">
        <f>SUBSTITUTE(SUBSTITUTE(SUBSTITUTE("dpc"&amp;$B98&amp;$C98&amp;$D98&amp;$E98,".","_"),"(","_"),")","")</f>
        <v>dpc901_7</v>
      </c>
      <c r="AO98" s="254">
        <f>O98</f>
        <v>0</v>
      </c>
    </row>
    <row r="99" spans="2:45" x14ac:dyDescent="0.25">
      <c r="B99" s="679">
        <v>901.7</v>
      </c>
      <c r="C99" s="21"/>
      <c r="D99" s="21"/>
      <c r="E99" s="21"/>
      <c r="F99" s="21"/>
      <c r="G99" s="21"/>
      <c r="H99" s="758"/>
      <c r="I99" s="164"/>
      <c r="J99" s="4"/>
      <c r="K99" s="4"/>
      <c r="L99" s="1796"/>
      <c r="M99" s="1846"/>
      <c r="N99" s="4"/>
      <c r="O99" s="1780"/>
    </row>
    <row r="100" spans="2:45" x14ac:dyDescent="0.25">
      <c r="B100" s="679">
        <v>901.7</v>
      </c>
      <c r="C100" s="21"/>
      <c r="D100" s="21"/>
      <c r="E100" s="21"/>
      <c r="F100" s="21"/>
      <c r="G100" s="21"/>
      <c r="H100" s="758"/>
      <c r="I100" s="164"/>
      <c r="J100" s="4"/>
      <c r="K100" s="4"/>
      <c r="L100" s="1796"/>
      <c r="M100" s="1846"/>
      <c r="N100" s="4"/>
      <c r="O100" s="1780"/>
    </row>
    <row r="101" spans="2:45" x14ac:dyDescent="0.25">
      <c r="B101" s="679">
        <v>901.7</v>
      </c>
      <c r="C101" s="21"/>
      <c r="D101" s="21"/>
      <c r="E101" s="21"/>
      <c r="F101" s="21"/>
      <c r="G101" s="21"/>
      <c r="H101" s="758"/>
      <c r="I101" s="164"/>
      <c r="J101" s="4"/>
      <c r="K101" s="4"/>
      <c r="L101" s="1796"/>
      <c r="M101" s="1846"/>
      <c r="N101" s="4"/>
      <c r="O101" s="1780"/>
    </row>
    <row r="102" spans="2:45" x14ac:dyDescent="0.25">
      <c r="B102" s="679">
        <v>901.7</v>
      </c>
      <c r="C102" s="21"/>
      <c r="D102" s="21"/>
      <c r="E102" s="21"/>
      <c r="F102" s="21"/>
      <c r="G102" s="21"/>
      <c r="H102" s="758"/>
      <c r="I102" s="164"/>
      <c r="J102" s="4"/>
      <c r="K102" s="4"/>
      <c r="L102" s="1796"/>
      <c r="M102" s="1846"/>
      <c r="N102" s="4"/>
      <c r="O102" s="1780"/>
    </row>
    <row r="103" spans="2:45" x14ac:dyDescent="0.25">
      <c r="B103" s="679">
        <v>901.7</v>
      </c>
      <c r="C103" s="21"/>
      <c r="D103" s="21"/>
      <c r="E103" s="21"/>
      <c r="F103" s="21"/>
      <c r="G103" s="21"/>
      <c r="H103" s="758"/>
      <c r="I103" s="164"/>
      <c r="J103" s="4"/>
      <c r="K103" s="4"/>
      <c r="L103" s="1851" t="s">
        <v>3192</v>
      </c>
      <c r="M103" s="1846"/>
      <c r="N103" s="4"/>
      <c r="O103" s="1780"/>
    </row>
    <row r="104" spans="2:45" x14ac:dyDescent="0.25">
      <c r="B104" s="679">
        <v>901.7</v>
      </c>
      <c r="C104" s="21"/>
      <c r="D104" s="21"/>
      <c r="E104" s="21"/>
      <c r="F104" s="21"/>
      <c r="G104" s="21"/>
      <c r="H104" s="758"/>
      <c r="I104" s="164"/>
      <c r="J104" s="4"/>
      <c r="K104" s="4"/>
      <c r="L104" s="1851"/>
      <c r="M104" s="1846"/>
      <c r="N104" s="4"/>
      <c r="O104" s="1780"/>
      <c r="W104" s="76" t="s">
        <v>3662</v>
      </c>
    </row>
    <row r="105" spans="2:45" x14ac:dyDescent="0.25">
      <c r="B105" s="679">
        <v>901.7</v>
      </c>
      <c r="C105" s="21" t="s">
        <v>256</v>
      </c>
      <c r="D105" s="77"/>
      <c r="E105" s="77"/>
      <c r="F105" s="761"/>
      <c r="G105" s="77"/>
      <c r="H105" s="761"/>
      <c r="I105" s="164"/>
      <c r="J105" s="27" t="s">
        <v>256</v>
      </c>
      <c r="K105" s="4"/>
      <c r="L105" s="1779" t="s">
        <v>3193</v>
      </c>
      <c r="M105" s="428"/>
      <c r="N105" s="4"/>
      <c r="O105" s="141"/>
      <c r="P105" s="94" t="b">
        <v>0</v>
      </c>
      <c r="Q105" s="94" t="b">
        <v>1</v>
      </c>
      <c r="R105" s="386" t="b">
        <v>0</v>
      </c>
      <c r="S105" s="386" t="b">
        <v>1</v>
      </c>
      <c r="T105" s="386" t="b">
        <f>SUM(W105,W115,W116)&gt;1</f>
        <v>0</v>
      </c>
      <c r="W105" s="396"/>
      <c r="X105" s="1757"/>
      <c r="AC105" s="394" t="b">
        <f>OR(AD105:AE105)</f>
        <v>0</v>
      </c>
      <c r="AD105" s="394" t="b">
        <f>T105</f>
        <v>0</v>
      </c>
      <c r="AE105" s="394"/>
      <c r="AP105" s="254" t="str">
        <f>SUBSTITUTE(SUBSTITUTE(SUBSTITUTE("dch"&amp;$B105&amp;$C105&amp;$D105&amp;$E105,".","_"),"(","_"),")","")</f>
        <v>dch901_7_1</v>
      </c>
      <c r="AQ105" s="254" t="str">
        <f>IF(LEN(W105)=0,"",W105)</f>
        <v/>
      </c>
      <c r="AR105" s="254" t="str">
        <f>SUBSTITUTE(SUBSTITUTE(SUBSTITUTE("dnt"&amp;$B105&amp;$C105&amp;$D105&amp;$E105,".","_"),"(","_"),")","")</f>
        <v>dnt901_7_1</v>
      </c>
      <c r="AS105" s="254" t="str">
        <f>IF(LEN(X105)=0,"",X105)</f>
        <v/>
      </c>
    </row>
    <row r="106" spans="2:45" x14ac:dyDescent="0.25">
      <c r="B106" s="679">
        <v>901.7</v>
      </c>
      <c r="C106" s="21" t="s">
        <v>256</v>
      </c>
      <c r="D106" s="77"/>
      <c r="E106" s="77"/>
      <c r="F106" s="761"/>
      <c r="G106" s="77"/>
      <c r="H106" s="761"/>
      <c r="I106" s="164"/>
      <c r="J106" s="4"/>
      <c r="K106" s="4"/>
      <c r="L106" s="1779"/>
      <c r="M106" s="428"/>
      <c r="N106" s="4"/>
      <c r="O106" s="141"/>
      <c r="X106" s="1757"/>
    </row>
    <row r="107" spans="2:45" x14ac:dyDescent="0.25">
      <c r="B107" s="679">
        <v>901.7</v>
      </c>
      <c r="C107" s="21" t="s">
        <v>256</v>
      </c>
      <c r="D107" s="77"/>
      <c r="E107" s="77"/>
      <c r="F107" s="761"/>
      <c r="G107" s="77"/>
      <c r="H107" s="761"/>
      <c r="I107" s="164"/>
      <c r="J107" s="4"/>
      <c r="K107" s="4"/>
      <c r="L107" s="1779"/>
      <c r="M107" s="428"/>
      <c r="N107" s="4"/>
      <c r="O107" s="141"/>
      <c r="X107" s="1757"/>
    </row>
    <row r="108" spans="2:45" x14ac:dyDescent="0.25">
      <c r="B108" s="679">
        <v>901.7</v>
      </c>
      <c r="C108" s="21" t="s">
        <v>256</v>
      </c>
      <c r="D108" s="77"/>
      <c r="E108" s="77"/>
      <c r="F108" s="761"/>
      <c r="G108" s="77"/>
      <c r="H108" s="761"/>
      <c r="I108" s="164"/>
      <c r="J108" s="4"/>
      <c r="K108" s="4"/>
      <c r="L108" s="1779"/>
      <c r="M108" s="428"/>
      <c r="N108" s="4"/>
      <c r="O108" s="141"/>
      <c r="X108" s="1757"/>
    </row>
    <row r="109" spans="2:45" x14ac:dyDescent="0.25">
      <c r="B109" s="679">
        <v>901.7</v>
      </c>
      <c r="C109" s="21" t="s">
        <v>256</v>
      </c>
      <c r="D109" s="77" t="s">
        <v>121</v>
      </c>
      <c r="E109" s="77"/>
      <c r="F109" s="761"/>
      <c r="G109" s="77"/>
      <c r="H109" s="761"/>
      <c r="I109" s="164"/>
      <c r="J109" s="4"/>
      <c r="K109" s="27" t="s">
        <v>121</v>
      </c>
      <c r="L109" s="161" t="s">
        <v>3194</v>
      </c>
      <c r="M109" s="428"/>
      <c r="N109" s="4"/>
      <c r="O109" s="141"/>
      <c r="X109" s="1757"/>
    </row>
    <row r="110" spans="2:45" x14ac:dyDescent="0.25">
      <c r="B110" s="679">
        <v>901.7</v>
      </c>
      <c r="C110" s="21" t="s">
        <v>256</v>
      </c>
      <c r="D110" s="77" t="s">
        <v>122</v>
      </c>
      <c r="E110" s="77"/>
      <c r="F110" s="761"/>
      <c r="G110" s="77"/>
      <c r="H110" s="761"/>
      <c r="I110" s="164"/>
      <c r="J110" s="4"/>
      <c r="K110" s="27" t="s">
        <v>122</v>
      </c>
      <c r="L110" s="161" t="s">
        <v>3195</v>
      </c>
      <c r="M110" s="428"/>
      <c r="N110" s="4"/>
      <c r="O110" s="141"/>
      <c r="X110" s="1757"/>
    </row>
    <row r="111" spans="2:45" x14ac:dyDescent="0.25">
      <c r="B111" s="679">
        <v>901.7</v>
      </c>
      <c r="C111" s="21" t="s">
        <v>256</v>
      </c>
      <c r="D111" s="77" t="s">
        <v>123</v>
      </c>
      <c r="E111" s="77"/>
      <c r="F111" s="761"/>
      <c r="G111" s="77"/>
      <c r="H111" s="761"/>
      <c r="I111" s="164"/>
      <c r="J111" s="4"/>
      <c r="K111" s="27" t="s">
        <v>123</v>
      </c>
      <c r="L111" s="161" t="s">
        <v>3196</v>
      </c>
      <c r="M111" s="428"/>
      <c r="N111" s="4"/>
      <c r="O111" s="141"/>
      <c r="X111" s="1757"/>
    </row>
    <row r="112" spans="2:45" x14ac:dyDescent="0.25">
      <c r="B112" s="679">
        <v>901.7</v>
      </c>
      <c r="C112" s="21" t="s">
        <v>256</v>
      </c>
      <c r="D112" s="77" t="s">
        <v>401</v>
      </c>
      <c r="E112" s="77"/>
      <c r="F112" s="761"/>
      <c r="G112" s="77"/>
      <c r="H112" s="761"/>
      <c r="I112" s="164"/>
      <c r="J112" s="4"/>
      <c r="K112" s="27" t="s">
        <v>401</v>
      </c>
      <c r="L112" s="161" t="s">
        <v>3197</v>
      </c>
      <c r="M112" s="428"/>
      <c r="N112" s="4"/>
      <c r="O112" s="141"/>
      <c r="X112" s="1757"/>
    </row>
    <row r="113" spans="1:61" x14ac:dyDescent="0.25">
      <c r="B113" s="679">
        <v>901.7</v>
      </c>
      <c r="C113" s="21" t="s">
        <v>256</v>
      </c>
      <c r="D113" s="77" t="s">
        <v>539</v>
      </c>
      <c r="E113" s="77"/>
      <c r="F113" s="761"/>
      <c r="G113" s="77"/>
      <c r="H113" s="761"/>
      <c r="I113" s="164"/>
      <c r="J113" s="4"/>
      <c r="K113" s="27" t="s">
        <v>539</v>
      </c>
      <c r="L113" s="161" t="s">
        <v>3198</v>
      </c>
      <c r="M113" s="428"/>
      <c r="N113" s="4"/>
      <c r="O113" s="141"/>
      <c r="X113" s="1757"/>
      <c r="Z113" s="386"/>
      <c r="AB113" s="386"/>
      <c r="AC113" s="386"/>
      <c r="AD113" s="386"/>
      <c r="AE113" s="386"/>
      <c r="AF113" s="386"/>
      <c r="AG113" s="386"/>
      <c r="AH113" s="386"/>
      <c r="AI113" s="386"/>
      <c r="AJ113" s="386"/>
      <c r="AK113" s="386"/>
      <c r="AL113" s="386"/>
      <c r="AM113" s="386"/>
      <c r="AN113" s="386"/>
      <c r="AO113" s="386"/>
    </row>
    <row r="114" spans="1:61" x14ac:dyDescent="0.25">
      <c r="B114" s="679">
        <v>901.7</v>
      </c>
      <c r="C114" s="21" t="s">
        <v>256</v>
      </c>
      <c r="D114" s="77" t="s">
        <v>604</v>
      </c>
      <c r="E114" s="77"/>
      <c r="F114" s="761"/>
      <c r="G114" s="77"/>
      <c r="H114" s="761"/>
      <c r="I114" s="164"/>
      <c r="J114" s="210"/>
      <c r="K114" s="206" t="s">
        <v>604</v>
      </c>
      <c r="L114" s="422" t="s">
        <v>3199</v>
      </c>
      <c r="M114" s="428"/>
      <c r="N114" s="4"/>
      <c r="O114" s="141"/>
      <c r="W114" s="76" t="s">
        <v>3663</v>
      </c>
      <c r="X114" s="1757"/>
      <c r="AX114" s="386"/>
      <c r="AY114" s="386"/>
    </row>
    <row r="115" spans="1:61" s="386" customFormat="1" x14ac:dyDescent="0.25">
      <c r="A115" s="18"/>
      <c r="B115" s="679">
        <v>901.7</v>
      </c>
      <c r="C115" s="21" t="s">
        <v>258</v>
      </c>
      <c r="D115" s="77"/>
      <c r="E115" s="77"/>
      <c r="F115" s="761"/>
      <c r="G115" s="77"/>
      <c r="H115" s="761"/>
      <c r="I115" s="480"/>
      <c r="J115" s="206" t="s">
        <v>258</v>
      </c>
      <c r="K115" s="210"/>
      <c r="L115" s="422" t="s">
        <v>3837</v>
      </c>
      <c r="M115" s="424"/>
      <c r="N115" s="129"/>
      <c r="O115" s="239"/>
      <c r="P115" s="94" t="b">
        <v>0</v>
      </c>
      <c r="Q115" s="94" t="b">
        <v>1</v>
      </c>
      <c r="R115" s="94" t="b">
        <v>0</v>
      </c>
      <c r="S115" s="94" t="b">
        <v>1</v>
      </c>
      <c r="T115" s="94" t="b">
        <f>SUM(W105,W115,W116)&gt;1</f>
        <v>0</v>
      </c>
      <c r="U115" s="94"/>
      <c r="V115" s="94"/>
      <c r="W115" s="396"/>
      <c r="X115" s="1770"/>
      <c r="Y115" s="780"/>
      <c r="Z115" s="76"/>
      <c r="AA115" s="783"/>
      <c r="AB115" s="76"/>
      <c r="AC115" s="394" t="b">
        <f>OR(AD115:AE115)</f>
        <v>0</v>
      </c>
      <c r="AD115" s="394" t="b">
        <f>T115</f>
        <v>0</v>
      </c>
      <c r="AE115" s="394"/>
      <c r="AF115" s="76"/>
      <c r="AG115" s="76"/>
      <c r="AH115" s="76"/>
      <c r="AI115" s="76"/>
      <c r="AJ115" s="76"/>
      <c r="AK115" s="76"/>
      <c r="AL115" s="76"/>
      <c r="AM115" s="76"/>
      <c r="AN115" s="76"/>
      <c r="AO115" s="76"/>
      <c r="AP115" s="254" t="str">
        <f>SUBSTITUTE(SUBSTITUTE(SUBSTITUTE("dch"&amp;$B115&amp;$C115&amp;$D115&amp;$E115,".","_"),"(","_"),")","")</f>
        <v>dch901_7_2</v>
      </c>
      <c r="AQ115" s="254" t="str">
        <f>IF(LEN(W115)=0,"",W115)</f>
        <v/>
      </c>
      <c r="AR115" s="254" t="str">
        <f>SUBSTITUTE(SUBSTITUTE(SUBSTITUTE("dnt"&amp;$B115&amp;$C115&amp;$D115&amp;$E115,".","_"),"(","_"),")","")</f>
        <v>dnt901_7_2</v>
      </c>
      <c r="AS115" s="254" t="str">
        <f>IF(LEN(X115)=0,"",X115)</f>
        <v/>
      </c>
      <c r="AX115" s="76"/>
      <c r="AY115" s="76"/>
      <c r="AZ115" s="76"/>
      <c r="BA115" s="76"/>
      <c r="BB115" s="76"/>
      <c r="BC115" s="76"/>
      <c r="BD115" s="76"/>
      <c r="BE115" s="76"/>
      <c r="BF115" s="76"/>
      <c r="BG115" s="76"/>
      <c r="BH115" s="76"/>
      <c r="BI115" s="76"/>
    </row>
    <row r="116" spans="1:61" x14ac:dyDescent="0.25">
      <c r="B116" s="679">
        <v>901.7</v>
      </c>
      <c r="C116" s="21" t="s">
        <v>260</v>
      </c>
      <c r="D116" s="77"/>
      <c r="E116" s="77"/>
      <c r="F116" s="761"/>
      <c r="G116" s="77"/>
      <c r="H116" s="761"/>
      <c r="I116" s="480"/>
      <c r="J116" s="183" t="s">
        <v>260</v>
      </c>
      <c r="K116" s="129"/>
      <c r="L116" s="421" t="s">
        <v>3650</v>
      </c>
      <c r="M116" s="424"/>
      <c r="N116" s="129"/>
      <c r="O116" s="239"/>
      <c r="P116" s="94" t="b">
        <v>0</v>
      </c>
      <c r="Q116" s="94" t="b">
        <v>1</v>
      </c>
      <c r="R116" s="94" t="b">
        <v>0</v>
      </c>
      <c r="S116" s="94" t="b">
        <v>1</v>
      </c>
      <c r="T116" s="94" t="b">
        <f>SUM(W105,W115,W116)&gt;1</f>
        <v>0</v>
      </c>
      <c r="U116" s="94"/>
      <c r="V116" s="94"/>
      <c r="W116" s="396"/>
      <c r="X116" s="1770"/>
      <c r="AC116" s="394" t="b">
        <f>OR(AD116:AE116)</f>
        <v>0</v>
      </c>
      <c r="AD116" s="394" t="b">
        <f>T116</f>
        <v>0</v>
      </c>
      <c r="AE116" s="394"/>
      <c r="AP116" s="254" t="str">
        <f>SUBSTITUTE(SUBSTITUTE(SUBSTITUTE("dch"&amp;$B116&amp;$C116&amp;$D116&amp;$E116,".","_"),"(","_"),")","")</f>
        <v>dch901_7_3</v>
      </c>
      <c r="AQ116" s="254" t="str">
        <f>IF(LEN(W116)=0,"",W116)</f>
        <v/>
      </c>
      <c r="AZ116" s="386"/>
      <c r="BA116" s="386"/>
      <c r="BB116" s="386"/>
      <c r="BC116" s="386"/>
      <c r="BD116" s="386"/>
      <c r="BE116" s="386"/>
      <c r="BF116" s="386"/>
      <c r="BG116" s="386"/>
      <c r="BH116" s="386"/>
      <c r="BI116" s="386"/>
    </row>
    <row r="117" spans="1:61" x14ac:dyDescent="0.25">
      <c r="B117" s="679">
        <v>901.7</v>
      </c>
      <c r="C117" s="21" t="s">
        <v>260</v>
      </c>
      <c r="D117" s="21"/>
      <c r="E117" s="21"/>
      <c r="F117" s="758"/>
      <c r="G117" s="21"/>
      <c r="H117" s="758"/>
      <c r="I117" s="480"/>
      <c r="J117" s="129"/>
      <c r="K117" s="129"/>
      <c r="L117" s="1860" t="s">
        <v>3200</v>
      </c>
      <c r="M117" s="424"/>
      <c r="N117" s="129"/>
      <c r="O117" s="239"/>
      <c r="P117" s="94"/>
      <c r="Q117" s="94"/>
      <c r="R117" s="94"/>
      <c r="S117" s="94"/>
      <c r="T117" s="94"/>
      <c r="U117" s="94"/>
      <c r="V117" s="94"/>
      <c r="W117" s="94"/>
      <c r="X117" s="1770"/>
    </row>
    <row r="118" spans="1:61" ht="15.75" thickBot="1" x14ac:dyDescent="0.3">
      <c r="B118" s="679">
        <v>901.7</v>
      </c>
      <c r="C118" s="21" t="s">
        <v>260</v>
      </c>
      <c r="D118" s="21"/>
      <c r="E118" s="21"/>
      <c r="F118" s="758"/>
      <c r="G118" s="21"/>
      <c r="H118" s="758"/>
      <c r="I118" s="481"/>
      <c r="J118" s="240"/>
      <c r="K118" s="240"/>
      <c r="L118" s="1943"/>
      <c r="M118" s="429"/>
      <c r="N118" s="240"/>
      <c r="O118" s="241"/>
      <c r="P118" s="99"/>
      <c r="Q118" s="99"/>
      <c r="R118" s="99"/>
      <c r="S118" s="99"/>
      <c r="T118" s="99"/>
      <c r="U118" s="99"/>
      <c r="V118" s="99"/>
      <c r="W118" s="99"/>
      <c r="X118" s="1771"/>
    </row>
    <row r="119" spans="1:61" ht="15.75" thickTop="1" x14ac:dyDescent="0.25">
      <c r="B119" s="679">
        <v>901.8</v>
      </c>
      <c r="C119" s="21"/>
      <c r="D119" s="21"/>
      <c r="E119" s="21"/>
      <c r="F119" s="21"/>
      <c r="G119" s="21"/>
      <c r="H119" s="758"/>
      <c r="I119" s="180">
        <v>901.8</v>
      </c>
      <c r="J119" s="181"/>
      <c r="K119" s="181"/>
      <c r="L119" s="1781" t="s">
        <v>5594</v>
      </c>
      <c r="M119" s="1772">
        <v>4</v>
      </c>
      <c r="N119" s="181"/>
      <c r="O119" s="1773">
        <f>M119*S119*W119</f>
        <v>0</v>
      </c>
      <c r="P119" s="94" t="b">
        <v>0</v>
      </c>
      <c r="Q119" s="94" t="b">
        <v>1</v>
      </c>
      <c r="R119" s="105" t="b">
        <v>0</v>
      </c>
      <c r="S119" s="105" t="b">
        <v>1</v>
      </c>
      <c r="T119" s="105" t="b">
        <v>0</v>
      </c>
      <c r="U119" s="105"/>
      <c r="V119" s="105"/>
      <c r="W119" s="367"/>
      <c r="X119" s="1784"/>
      <c r="AC119" s="394"/>
      <c r="AD119" s="394"/>
      <c r="AE119" s="394"/>
      <c r="AL119" s="254" t="str">
        <f>SUBSTITUTE(SUBSTITUTE(SUBSTITUTE("dpa"&amp;$B119&amp;$C119&amp;$D119&amp;$E119,".","_"),"(","_"),")","")</f>
        <v>dpa901_8</v>
      </c>
      <c r="AM119" s="254">
        <f>M119</f>
        <v>4</v>
      </c>
      <c r="AN119" s="254" t="str">
        <f>SUBSTITUTE(SUBSTITUTE(SUBSTITUTE("dpc"&amp;$B119&amp;$C119&amp;$D119&amp;$E119,".","_"),"(","_"),")","")</f>
        <v>dpc901_8</v>
      </c>
      <c r="AO119" s="254">
        <f>O119</f>
        <v>0</v>
      </c>
      <c r="AP119" s="254" t="str">
        <f>SUBSTITUTE(SUBSTITUTE(SUBSTITUTE("dch"&amp;$B119&amp;$C119&amp;$D119&amp;$E119,".","_"),"(","_"),")","")</f>
        <v>dch901_8</v>
      </c>
      <c r="AQ119" s="254" t="str">
        <f>IF(LEN(W119)=0,"",W119)</f>
        <v/>
      </c>
      <c r="AR119" s="254" t="str">
        <f>SUBSTITUTE(SUBSTITUTE(SUBSTITUTE("dnt"&amp;$B119&amp;$C119&amp;$D119&amp;$E119,".","_"),"(","_"),")","")</f>
        <v>dnt901_8</v>
      </c>
      <c r="AS119" s="254" t="str">
        <f>IF(LEN(X119)=0,"",X119)</f>
        <v/>
      </c>
    </row>
    <row r="120" spans="1:61" x14ac:dyDescent="0.25">
      <c r="B120" s="679">
        <v>901.8</v>
      </c>
      <c r="C120" s="21"/>
      <c r="D120" s="21"/>
      <c r="E120" s="21"/>
      <c r="F120" s="21"/>
      <c r="G120" s="21"/>
      <c r="H120" s="758"/>
      <c r="I120" s="480"/>
      <c r="J120" s="129"/>
      <c r="K120" s="129"/>
      <c r="L120" s="1782"/>
      <c r="M120" s="1758"/>
      <c r="N120" s="129"/>
      <c r="O120" s="1774"/>
      <c r="P120" s="94"/>
      <c r="Q120" s="94"/>
      <c r="R120" s="94"/>
      <c r="S120" s="94"/>
      <c r="T120" s="94"/>
      <c r="U120" s="94"/>
      <c r="V120" s="94"/>
      <c r="W120" s="94"/>
      <c r="X120" s="1770"/>
    </row>
    <row r="121" spans="1:61" x14ac:dyDescent="0.25">
      <c r="B121" s="679">
        <v>901.8</v>
      </c>
      <c r="C121" s="21"/>
      <c r="D121" s="21"/>
      <c r="E121" s="21"/>
      <c r="F121" s="21"/>
      <c r="G121" s="21"/>
      <c r="H121" s="758"/>
      <c r="I121" s="480"/>
      <c r="J121" s="129"/>
      <c r="K121" s="129"/>
      <c r="L121" s="1782"/>
      <c r="M121" s="1758"/>
      <c r="N121" s="129"/>
      <c r="O121" s="1774"/>
      <c r="P121" s="94"/>
      <c r="Q121" s="94"/>
      <c r="R121" s="94"/>
      <c r="S121" s="94"/>
      <c r="T121" s="94"/>
      <c r="U121" s="94"/>
      <c r="V121" s="94"/>
      <c r="W121" s="94"/>
      <c r="X121" s="1770"/>
    </row>
    <row r="122" spans="1:61" x14ac:dyDescent="0.25">
      <c r="B122" s="679">
        <v>901.8</v>
      </c>
      <c r="C122" s="21"/>
      <c r="D122" s="21"/>
      <c r="E122" s="21"/>
      <c r="F122" s="21"/>
      <c r="G122" s="21"/>
      <c r="H122" s="758"/>
      <c r="I122" s="480"/>
      <c r="J122" s="129"/>
      <c r="K122" s="129"/>
      <c r="L122" s="1782"/>
      <c r="M122" s="1758"/>
      <c r="N122" s="129"/>
      <c r="O122" s="1774"/>
      <c r="P122" s="94"/>
      <c r="Q122" s="94"/>
      <c r="R122" s="94"/>
      <c r="S122" s="94"/>
      <c r="T122" s="94"/>
      <c r="U122" s="94"/>
      <c r="V122" s="94"/>
      <c r="W122" s="94"/>
      <c r="X122" s="1770"/>
    </row>
    <row r="123" spans="1:61" x14ac:dyDescent="0.25">
      <c r="B123" s="679">
        <v>901.8</v>
      </c>
      <c r="C123" s="21"/>
      <c r="D123" s="21"/>
      <c r="E123" s="21"/>
      <c r="F123" s="21"/>
      <c r="G123" s="21"/>
      <c r="H123" s="758"/>
      <c r="I123" s="480"/>
      <c r="J123" s="129"/>
      <c r="K123" s="129"/>
      <c r="L123" s="1782"/>
      <c r="M123" s="1758"/>
      <c r="N123" s="129"/>
      <c r="O123" s="1774"/>
      <c r="P123" s="94"/>
      <c r="Q123" s="94"/>
      <c r="R123" s="94"/>
      <c r="S123" s="94"/>
      <c r="T123" s="94"/>
      <c r="U123" s="94"/>
      <c r="V123" s="94"/>
      <c r="W123" s="94"/>
      <c r="X123" s="1770"/>
    </row>
    <row r="124" spans="1:61" ht="15.75" thickBot="1" x14ac:dyDescent="0.3">
      <c r="B124" s="679">
        <v>901.8</v>
      </c>
      <c r="C124" s="21"/>
      <c r="D124" s="21"/>
      <c r="E124" s="21"/>
      <c r="F124" s="21"/>
      <c r="G124" s="21"/>
      <c r="H124" s="758"/>
      <c r="I124" s="481"/>
      <c r="J124" s="240"/>
      <c r="K124" s="240"/>
      <c r="L124" s="1797"/>
      <c r="M124" s="1768"/>
      <c r="N124" s="240"/>
      <c r="O124" s="1775"/>
      <c r="P124" s="99"/>
      <c r="Q124" s="99"/>
      <c r="R124" s="99"/>
      <c r="S124" s="99"/>
      <c r="T124" s="99"/>
      <c r="U124" s="99"/>
      <c r="V124" s="99"/>
      <c r="W124" s="99"/>
      <c r="X124" s="1771"/>
    </row>
    <row r="125" spans="1:61" ht="15.75" thickTop="1" x14ac:dyDescent="0.25">
      <c r="B125" s="679">
        <v>901.9</v>
      </c>
      <c r="C125" s="21"/>
      <c r="D125" s="21"/>
      <c r="E125" s="21"/>
      <c r="F125" s="21"/>
      <c r="G125" s="21"/>
      <c r="H125" s="758"/>
      <c r="I125" s="180">
        <v>901.9</v>
      </c>
      <c r="J125" s="181"/>
      <c r="K125" s="181"/>
      <c r="L125" s="1781" t="s">
        <v>3202</v>
      </c>
      <c r="M125" s="451"/>
      <c r="N125" s="181"/>
      <c r="O125" s="506"/>
      <c r="P125" s="105"/>
      <c r="Q125" s="105"/>
      <c r="R125" s="105"/>
      <c r="S125" s="105"/>
      <c r="T125" s="105"/>
      <c r="U125" s="105"/>
      <c r="V125" s="105"/>
      <c r="W125" s="105"/>
      <c r="X125" s="1757"/>
      <c r="AR125" s="254" t="str">
        <f>SUBSTITUTE(SUBSTITUTE(SUBSTITUTE("dnt"&amp;$B125&amp;$C125&amp;$D125&amp;$E125,".","_"),"(","_"),")","")</f>
        <v>dnt901_9</v>
      </c>
      <c r="AS125" s="254" t="str">
        <f>IF(LEN(X125)=0,"",X125)</f>
        <v/>
      </c>
    </row>
    <row r="126" spans="1:61" x14ac:dyDescent="0.25">
      <c r="B126" s="679">
        <v>901.9</v>
      </c>
      <c r="C126" s="21"/>
      <c r="D126" s="21"/>
      <c r="E126" s="21"/>
      <c r="F126" s="21"/>
      <c r="G126" s="21"/>
      <c r="H126" s="758"/>
      <c r="I126" s="480"/>
      <c r="J126" s="129"/>
      <c r="K126" s="129"/>
      <c r="L126" s="1782"/>
      <c r="M126" s="452"/>
      <c r="N126" s="129"/>
      <c r="O126" s="502"/>
      <c r="P126" s="94"/>
      <c r="Q126" s="94"/>
      <c r="R126" s="94"/>
      <c r="S126" s="94"/>
      <c r="T126" s="94"/>
      <c r="U126" s="94"/>
      <c r="V126" s="94"/>
      <c r="W126" s="94"/>
      <c r="X126" s="1757"/>
    </row>
    <row r="127" spans="1:61" x14ac:dyDescent="0.25">
      <c r="B127" s="679">
        <v>901.9</v>
      </c>
      <c r="C127" s="21"/>
      <c r="D127" s="21"/>
      <c r="E127" s="21"/>
      <c r="F127" s="21"/>
      <c r="G127" s="21"/>
      <c r="H127" s="758"/>
      <c r="I127" s="480"/>
      <c r="J127" s="129"/>
      <c r="K127" s="129"/>
      <c r="L127" s="1782"/>
      <c r="M127" s="452"/>
      <c r="N127" s="129"/>
      <c r="O127" s="502"/>
      <c r="P127" s="94"/>
      <c r="Q127" s="94"/>
      <c r="R127" s="94"/>
      <c r="S127" s="94"/>
      <c r="T127" s="94"/>
      <c r="U127" s="94"/>
      <c r="V127" s="94"/>
      <c r="W127" s="94"/>
      <c r="X127" s="1757"/>
    </row>
    <row r="128" spans="1:61" x14ac:dyDescent="0.25">
      <c r="B128" s="679" t="s">
        <v>3203</v>
      </c>
      <c r="C128" s="21"/>
      <c r="D128" s="21"/>
      <c r="E128" s="21"/>
      <c r="F128" s="21"/>
      <c r="G128" s="21"/>
      <c r="H128" s="758"/>
      <c r="I128" s="64" t="s">
        <v>3203</v>
      </c>
      <c r="J128" s="4"/>
      <c r="K128" s="4"/>
      <c r="L128" s="1796" t="s">
        <v>3204</v>
      </c>
      <c r="M128" s="1767">
        <v>5</v>
      </c>
      <c r="N128" s="4"/>
      <c r="O128" s="1780">
        <f>M128*S130*IFERROR(OR(W130,W132,W133),0)</f>
        <v>0</v>
      </c>
      <c r="AL128" s="254" t="str">
        <f>SUBSTITUTE(SUBSTITUTE(SUBSTITUTE("dpa"&amp;$B128&amp;$C128&amp;$D128&amp;$E128,".","_"),"(","_"),")","")</f>
        <v>dpa901_9_1</v>
      </c>
      <c r="AM128" s="254">
        <f>M128</f>
        <v>5</v>
      </c>
      <c r="AN128" s="254" t="str">
        <f>SUBSTITUTE(SUBSTITUTE(SUBSTITUTE("dpc"&amp;$B128&amp;$C128&amp;$D128&amp;$E128,".","_"),"(","_"),")","")</f>
        <v>dpc901_9_1</v>
      </c>
      <c r="AO128" s="254">
        <f>O128</f>
        <v>0</v>
      </c>
    </row>
    <row r="129" spans="1:61" x14ac:dyDescent="0.25">
      <c r="B129" s="679" t="s">
        <v>3203</v>
      </c>
      <c r="C129" s="21"/>
      <c r="D129" s="21"/>
      <c r="E129" s="21"/>
      <c r="F129" s="21"/>
      <c r="G129" s="21"/>
      <c r="H129" s="758"/>
      <c r="I129" s="164"/>
      <c r="J129" s="4"/>
      <c r="K129" s="4"/>
      <c r="L129" s="1796"/>
      <c r="M129" s="1767"/>
      <c r="N129" s="4"/>
      <c r="O129" s="1780"/>
    </row>
    <row r="130" spans="1:61" x14ac:dyDescent="0.25">
      <c r="B130" s="679" t="s">
        <v>3203</v>
      </c>
      <c r="C130" s="21" t="s">
        <v>256</v>
      </c>
      <c r="D130" s="21"/>
      <c r="E130" s="21"/>
      <c r="F130" s="21"/>
      <c r="G130" s="21"/>
      <c r="H130" s="758"/>
      <c r="I130" s="164"/>
      <c r="J130" s="183" t="s">
        <v>256</v>
      </c>
      <c r="K130" s="129"/>
      <c r="L130" s="1754" t="s">
        <v>3205</v>
      </c>
      <c r="M130" s="428"/>
      <c r="N130" s="4"/>
      <c r="O130" s="141"/>
      <c r="P130" s="94" t="b">
        <v>0</v>
      </c>
      <c r="Q130" s="94" t="b">
        <v>1</v>
      </c>
      <c r="R130" s="386" t="b">
        <v>0</v>
      </c>
      <c r="S130" s="386" t="b">
        <f>NOT(W140)</f>
        <v>1</v>
      </c>
      <c r="T130" s="94" t="b">
        <f>AND(NOT(S130),W130=TRUE)</f>
        <v>0</v>
      </c>
      <c r="W130" s="25"/>
      <c r="X130" s="1757"/>
      <c r="AC130" s="394" t="b">
        <f>OR(AD130:AE130)</f>
        <v>0</v>
      </c>
      <c r="AD130" s="394" t="b">
        <f>T130</f>
        <v>0</v>
      </c>
      <c r="AE130" s="394"/>
      <c r="AP130" s="254" t="str">
        <f>SUBSTITUTE(SUBSTITUTE(SUBSTITUTE("dch"&amp;$B130&amp;$C130&amp;$D130&amp;$E130,".","_"),"(","_"),")","")</f>
        <v>dch901_9_1_1</v>
      </c>
      <c r="AQ130" s="254" t="str">
        <f>IF(LEN(W130)=0,"",W130)</f>
        <v/>
      </c>
      <c r="AR130" s="254" t="str">
        <f>SUBSTITUTE(SUBSTITUTE(SUBSTITUTE("dnt"&amp;$B130&amp;$C130&amp;$D130&amp;$E130,".","_"),"(","_"),")","")</f>
        <v>dnt901_9_1_1</v>
      </c>
      <c r="AS130" s="254" t="str">
        <f>IF(LEN(X130)=0,"",X130)</f>
        <v/>
      </c>
    </row>
    <row r="131" spans="1:61" x14ac:dyDescent="0.25">
      <c r="B131" s="679" t="s">
        <v>3203</v>
      </c>
      <c r="C131" s="21" t="s">
        <v>256</v>
      </c>
      <c r="D131" s="21"/>
      <c r="E131" s="21"/>
      <c r="F131" s="21"/>
      <c r="G131" s="21"/>
      <c r="H131" s="758"/>
      <c r="I131" s="164"/>
      <c r="J131" s="210"/>
      <c r="K131" s="210"/>
      <c r="L131" s="1755"/>
      <c r="M131" s="428"/>
      <c r="N131" s="4"/>
      <c r="O131" s="141"/>
      <c r="X131" s="1757"/>
    </row>
    <row r="132" spans="1:61" x14ac:dyDescent="0.25">
      <c r="B132" s="679" t="s">
        <v>3203</v>
      </c>
      <c r="C132" s="21" t="s">
        <v>258</v>
      </c>
      <c r="D132" s="21"/>
      <c r="E132" s="21"/>
      <c r="F132" s="21"/>
      <c r="G132" s="21"/>
      <c r="H132" s="758"/>
      <c r="I132" s="164"/>
      <c r="J132" s="206" t="s">
        <v>258</v>
      </c>
      <c r="K132" s="210"/>
      <c r="L132" s="422" t="s">
        <v>3206</v>
      </c>
      <c r="M132" s="428"/>
      <c r="N132" s="4"/>
      <c r="O132" s="141"/>
      <c r="P132" s="94" t="b">
        <v>0</v>
      </c>
      <c r="Q132" s="94" t="b">
        <v>1</v>
      </c>
      <c r="R132" s="386" t="b">
        <v>0</v>
      </c>
      <c r="S132" s="392" t="b">
        <f>NOT(W140)</f>
        <v>1</v>
      </c>
      <c r="T132" s="94" t="b">
        <f>AND(NOT(S132),W132=TRUE)</f>
        <v>0</v>
      </c>
      <c r="W132" s="25"/>
      <c r="X132" s="418"/>
      <c r="AC132" s="394" t="b">
        <f>OR(AD132:AE132)</f>
        <v>0</v>
      </c>
      <c r="AD132" s="394" t="b">
        <f>T132</f>
        <v>0</v>
      </c>
      <c r="AE132" s="394"/>
      <c r="AP132" s="254" t="str">
        <f>SUBSTITUTE(SUBSTITUTE(SUBSTITUTE("dch"&amp;$B132&amp;$C132&amp;$D132&amp;$E132,".","_"),"(","_"),")","")</f>
        <v>dch901_9_1_2</v>
      </c>
      <c r="AQ132" s="254" t="str">
        <f>IF(LEN(W132)=0,"",W132)</f>
        <v/>
      </c>
      <c r="AR132" s="254" t="str">
        <f>SUBSTITUTE(SUBSTITUTE(SUBSTITUTE("dnt"&amp;$B132&amp;$C132&amp;$D132&amp;$E132,".","_"),"(","_"),")","")</f>
        <v>dnt901_9_1_2</v>
      </c>
      <c r="AS132" s="254" t="str">
        <f>IF(LEN(X132)=0,"",X132)</f>
        <v/>
      </c>
    </row>
    <row r="133" spans="1:61" x14ac:dyDescent="0.25">
      <c r="B133" s="679" t="s">
        <v>3203</v>
      </c>
      <c r="C133" s="21" t="s">
        <v>260</v>
      </c>
      <c r="D133" s="21"/>
      <c r="E133" s="21"/>
      <c r="F133" s="21"/>
      <c r="G133" s="21"/>
      <c r="H133" s="758"/>
      <c r="I133" s="480"/>
      <c r="J133" s="183" t="s">
        <v>260</v>
      </c>
      <c r="K133" s="129"/>
      <c r="L133" s="448" t="s">
        <v>3207</v>
      </c>
      <c r="M133" s="452"/>
      <c r="N133" s="129"/>
      <c r="O133" s="502"/>
      <c r="P133" s="94" t="b">
        <v>0</v>
      </c>
      <c r="Q133" s="94" t="b">
        <v>1</v>
      </c>
      <c r="R133" s="94" t="b">
        <v>0</v>
      </c>
      <c r="S133" s="94" t="b">
        <f>NOT(W140)</f>
        <v>1</v>
      </c>
      <c r="T133" s="94" t="b">
        <f>AND(NOT(S133),W133=TRUE)</f>
        <v>0</v>
      </c>
      <c r="U133" s="94"/>
      <c r="V133" s="94"/>
      <c r="W133" s="360"/>
      <c r="X133" s="1770"/>
      <c r="AC133" s="394" t="b">
        <f>OR(AD133:AE133)</f>
        <v>0</v>
      </c>
      <c r="AD133" s="394" t="b">
        <f>T133</f>
        <v>0</v>
      </c>
      <c r="AE133" s="394"/>
      <c r="AP133" s="254" t="str">
        <f>SUBSTITUTE(SUBSTITUTE(SUBSTITUTE("dch"&amp;$B133&amp;$C133&amp;$D133&amp;$E133,".","_"),"(","_"),")","")</f>
        <v>dch901_9_1_3</v>
      </c>
      <c r="AQ133" s="254" t="str">
        <f>IF(LEN(W133)=0,"",W133)</f>
        <v/>
      </c>
      <c r="AR133" s="254" t="str">
        <f>SUBSTITUTE(SUBSTITUTE(SUBSTITUTE("dnt"&amp;$B133&amp;$C133&amp;$D133&amp;$E133,".","_"),"(","_"),")","")</f>
        <v>dnt901_9_1_3</v>
      </c>
      <c r="AS133" s="254" t="str">
        <f>IF(LEN(X133)=0,"",X133)</f>
        <v/>
      </c>
    </row>
    <row r="134" spans="1:61" x14ac:dyDescent="0.25">
      <c r="B134" s="679" t="s">
        <v>3203</v>
      </c>
      <c r="C134" s="21" t="s">
        <v>260</v>
      </c>
      <c r="H134" s="760"/>
      <c r="I134" s="178"/>
      <c r="J134" s="178"/>
      <c r="K134" s="178"/>
      <c r="L134" s="527" t="s">
        <v>3664</v>
      </c>
      <c r="M134" s="210"/>
      <c r="N134" s="210"/>
      <c r="O134" s="210"/>
      <c r="P134" s="178"/>
      <c r="Q134" s="178"/>
      <c r="R134" s="178"/>
      <c r="S134" s="178"/>
      <c r="T134" s="178"/>
      <c r="U134" s="178"/>
      <c r="V134" s="178"/>
      <c r="W134" s="178"/>
      <c r="X134" s="1770"/>
      <c r="Z134"/>
      <c r="AB134"/>
      <c r="AC134"/>
      <c r="AD134"/>
      <c r="AE134"/>
      <c r="AF134"/>
      <c r="AG134"/>
      <c r="AH134"/>
      <c r="AI134"/>
      <c r="AJ134"/>
      <c r="AK134"/>
      <c r="AL134"/>
      <c r="AM134"/>
      <c r="AN134"/>
      <c r="AO134"/>
    </row>
    <row r="135" spans="1:61" x14ac:dyDescent="0.25">
      <c r="B135" s="679" t="s">
        <v>3208</v>
      </c>
      <c r="C135" s="21"/>
      <c r="D135" s="21"/>
      <c r="E135" s="21"/>
      <c r="F135" s="21"/>
      <c r="G135" s="21"/>
      <c r="H135" s="758"/>
      <c r="I135" s="192" t="s">
        <v>3208</v>
      </c>
      <c r="J135" s="193"/>
      <c r="K135" s="193"/>
      <c r="L135" s="1864" t="s">
        <v>3209</v>
      </c>
      <c r="M135" s="1762">
        <v>1</v>
      </c>
      <c r="N135" s="193"/>
      <c r="O135" s="1763">
        <f>M135*S135*W135</f>
        <v>0</v>
      </c>
      <c r="P135" s="94" t="b">
        <v>0</v>
      </c>
      <c r="Q135" s="94" t="b">
        <v>1</v>
      </c>
      <c r="R135" s="195" t="b">
        <v>0</v>
      </c>
      <c r="S135" s="195" t="b">
        <f>IFERROR(OR(AND(W130,W132,W133),W140),FALSE)</f>
        <v>0</v>
      </c>
      <c r="T135" s="195" t="b">
        <f>AND(NOT(S135),W135=TRUE)</f>
        <v>0</v>
      </c>
      <c r="U135" s="195"/>
      <c r="V135" s="195"/>
      <c r="W135" s="360"/>
      <c r="X135" s="1770"/>
      <c r="AC135" s="394" t="b">
        <f>OR(AD135:AE135)</f>
        <v>0</v>
      </c>
      <c r="AD135" s="394" t="b">
        <f>T135</f>
        <v>0</v>
      </c>
      <c r="AE135" s="394"/>
      <c r="AL135" s="254" t="str">
        <f>SUBSTITUTE(SUBSTITUTE(SUBSTITUTE("dpa"&amp;$B135&amp;$C135&amp;$D135&amp;$E135,".","_"),"(","_"),")","")</f>
        <v>dpa901_9_2</v>
      </c>
      <c r="AM135" s="254">
        <f>M135</f>
        <v>1</v>
      </c>
      <c r="AN135" s="254" t="str">
        <f>SUBSTITUTE(SUBSTITUTE(SUBSTITUTE("dpc"&amp;$B135&amp;$C135&amp;$D135&amp;$E135,".","_"),"(","_"),")","")</f>
        <v>dpc901_9_2</v>
      </c>
      <c r="AO135" s="254">
        <f>O135</f>
        <v>0</v>
      </c>
      <c r="AP135" s="254" t="str">
        <f>SUBSTITUTE(SUBSTITUTE(SUBSTITUTE("dch"&amp;$B135&amp;$C135&amp;$D135&amp;$E135,".","_"),"(","_"),")","")</f>
        <v>dch901_9_2</v>
      </c>
      <c r="AQ135" s="254" t="str">
        <f>IF(LEN(W135)=0,"",W135)</f>
        <v/>
      </c>
      <c r="AR135" s="254" t="str">
        <f>SUBSTITUTE(SUBSTITUTE(SUBSTITUTE("dnt"&amp;$B135&amp;$C135&amp;$D135&amp;$E135,".","_"),"(","_"),")","")</f>
        <v>dnt901_9_2</v>
      </c>
      <c r="AS135" s="254" t="str">
        <f>IF(LEN(X135)=0,"",X135)</f>
        <v/>
      </c>
      <c r="AX135"/>
      <c r="AY135"/>
    </row>
    <row r="136" spans="1:61" customFormat="1" x14ac:dyDescent="0.25">
      <c r="A136" s="18"/>
      <c r="B136" s="679" t="s">
        <v>3208</v>
      </c>
      <c r="C136" s="21"/>
      <c r="D136" s="21"/>
      <c r="E136" s="21"/>
      <c r="F136" s="21"/>
      <c r="G136" s="21"/>
      <c r="H136" s="758"/>
      <c r="I136" s="480"/>
      <c r="J136" s="129"/>
      <c r="K136" s="129"/>
      <c r="L136" s="1782"/>
      <c r="M136" s="1758"/>
      <c r="N136" s="129"/>
      <c r="O136" s="1774"/>
      <c r="P136" s="94"/>
      <c r="Q136" s="94"/>
      <c r="R136" s="94"/>
      <c r="S136" s="94"/>
      <c r="T136" s="94"/>
      <c r="U136" s="94"/>
      <c r="V136" s="94"/>
      <c r="W136" s="94"/>
      <c r="X136" s="1770"/>
      <c r="Y136" s="780"/>
      <c r="Z136" s="76"/>
      <c r="AA136" s="783"/>
      <c r="AB136" s="76"/>
      <c r="AC136" s="76"/>
      <c r="AD136" s="76"/>
      <c r="AE136" s="76"/>
      <c r="AF136" s="76"/>
      <c r="AG136" s="76"/>
      <c r="AH136" s="76"/>
      <c r="AI136" s="76"/>
      <c r="AJ136" s="76"/>
      <c r="AK136" s="76"/>
      <c r="AL136" s="76"/>
      <c r="AM136" s="76"/>
      <c r="AN136" s="76"/>
      <c r="AO136" s="76"/>
      <c r="AX136" s="76"/>
      <c r="AY136" s="76"/>
      <c r="AZ136" s="76"/>
      <c r="BA136" s="76"/>
      <c r="BB136" s="76"/>
      <c r="BC136" s="76"/>
      <c r="BD136" s="76"/>
      <c r="BE136" s="76"/>
      <c r="BF136" s="76"/>
      <c r="BG136" s="76"/>
      <c r="BH136" s="76"/>
      <c r="BI136" s="76"/>
    </row>
    <row r="137" spans="1:61" x14ac:dyDescent="0.25">
      <c r="B137" s="679" t="s">
        <v>3208</v>
      </c>
      <c r="C137" s="21"/>
      <c r="D137" s="21"/>
      <c r="E137" s="21"/>
      <c r="F137" s="21"/>
      <c r="G137" s="21"/>
      <c r="H137" s="758"/>
      <c r="I137" s="480"/>
      <c r="J137" s="129"/>
      <c r="K137" s="129"/>
      <c r="L137" s="1942" t="s">
        <v>3210</v>
      </c>
      <c r="M137" s="1758"/>
      <c r="N137" s="129"/>
      <c r="O137" s="1774"/>
      <c r="P137" s="94"/>
      <c r="Q137" s="94"/>
      <c r="R137" s="94"/>
      <c r="S137" s="94"/>
      <c r="T137" s="94"/>
      <c r="U137" s="94"/>
      <c r="V137" s="94"/>
      <c r="W137" s="94"/>
      <c r="X137" s="1770"/>
      <c r="AZ137"/>
      <c r="BA137"/>
      <c r="BB137"/>
      <c r="BC137"/>
      <c r="BD137"/>
      <c r="BE137"/>
      <c r="BF137"/>
      <c r="BG137"/>
      <c r="BH137"/>
      <c r="BI137"/>
    </row>
    <row r="138" spans="1:61" x14ac:dyDescent="0.25">
      <c r="B138" s="679" t="s">
        <v>3208</v>
      </c>
      <c r="C138" s="21"/>
      <c r="D138" s="21"/>
      <c r="E138" s="21"/>
      <c r="F138" s="21"/>
      <c r="G138" s="21"/>
      <c r="H138" s="758"/>
      <c r="I138" s="480"/>
      <c r="J138" s="129"/>
      <c r="K138" s="129"/>
      <c r="L138" s="1942"/>
      <c r="M138" s="1758"/>
      <c r="N138" s="129"/>
      <c r="O138" s="1774"/>
      <c r="P138" s="94"/>
      <c r="Q138" s="94"/>
      <c r="R138" s="94"/>
      <c r="S138" s="94"/>
      <c r="T138" s="94"/>
      <c r="U138" s="94"/>
      <c r="V138" s="94"/>
      <c r="W138" s="94"/>
      <c r="X138" s="1770"/>
    </row>
    <row r="139" spans="1:61" x14ac:dyDescent="0.25">
      <c r="B139" s="679" t="s">
        <v>3208</v>
      </c>
      <c r="C139" s="21"/>
      <c r="D139" s="21"/>
      <c r="E139" s="21"/>
      <c r="F139" s="21"/>
      <c r="G139" s="21"/>
      <c r="H139" s="758"/>
      <c r="I139" s="524"/>
      <c r="J139" s="210"/>
      <c r="K139" s="210"/>
      <c r="L139" s="527" t="s">
        <v>3759</v>
      </c>
      <c r="M139" s="453"/>
      <c r="N139" s="210"/>
      <c r="O139" s="503"/>
      <c r="P139" s="178"/>
      <c r="Q139" s="178"/>
      <c r="R139" s="178"/>
      <c r="S139" s="178"/>
      <c r="T139" s="178"/>
      <c r="U139" s="178"/>
      <c r="V139" s="178"/>
      <c r="W139" s="178"/>
      <c r="X139" s="1770"/>
      <c r="Z139" s="392"/>
      <c r="AB139" s="392"/>
      <c r="AC139" s="392"/>
      <c r="AD139" s="392"/>
      <c r="AE139" s="392"/>
      <c r="AF139" s="392"/>
      <c r="AG139" s="392"/>
      <c r="AH139" s="392"/>
      <c r="AI139" s="392"/>
      <c r="AJ139" s="392"/>
      <c r="AK139" s="392"/>
      <c r="AL139" s="392"/>
      <c r="AM139" s="392"/>
      <c r="AN139" s="392"/>
      <c r="AO139" s="392"/>
    </row>
    <row r="140" spans="1:61" x14ac:dyDescent="0.25">
      <c r="B140" s="679" t="s">
        <v>3211</v>
      </c>
      <c r="C140" s="21"/>
      <c r="D140" s="21"/>
      <c r="E140" s="21"/>
      <c r="F140" s="21"/>
      <c r="G140" s="21"/>
      <c r="H140" s="758"/>
      <c r="I140" s="130" t="s">
        <v>3211</v>
      </c>
      <c r="J140" s="129"/>
      <c r="K140" s="129"/>
      <c r="L140" s="1782" t="s">
        <v>5595</v>
      </c>
      <c r="M140" s="1758">
        <v>8</v>
      </c>
      <c r="N140" s="129"/>
      <c r="O140" s="1774">
        <f>M140*S140*W140</f>
        <v>0</v>
      </c>
      <c r="P140" s="94" t="b">
        <v>0</v>
      </c>
      <c r="Q140" s="94" t="b">
        <v>1</v>
      </c>
      <c r="R140" s="94" t="b">
        <v>0</v>
      </c>
      <c r="S140" s="94" t="b">
        <f>AND(NOT(W130),NOT(W132),NOT(W133))</f>
        <v>1</v>
      </c>
      <c r="T140" s="94" t="b">
        <f>AND(NOT(S140),W140=TRUE)</f>
        <v>0</v>
      </c>
      <c r="U140" s="94"/>
      <c r="V140" s="94"/>
      <c r="W140" s="117"/>
      <c r="X140" s="1756"/>
      <c r="AC140" s="394" t="b">
        <f>OR(AD140:AE140)</f>
        <v>0</v>
      </c>
      <c r="AD140" s="394" t="b">
        <f>T140</f>
        <v>0</v>
      </c>
      <c r="AE140" s="394"/>
      <c r="AL140" s="254" t="str">
        <f>SUBSTITUTE(SUBSTITUTE(SUBSTITUTE("dpa"&amp;$B140&amp;$C140&amp;$D140&amp;$E140,".","_"),"(","_"),")","")</f>
        <v>dpa901_9_3</v>
      </c>
      <c r="AM140" s="254">
        <f>M140</f>
        <v>8</v>
      </c>
      <c r="AN140" s="254" t="str">
        <f>SUBSTITUTE(SUBSTITUTE(SUBSTITUTE("dpc"&amp;$B140&amp;$C140&amp;$D140&amp;$E140,".","_"),"(","_"),")","")</f>
        <v>dpc901_9_3</v>
      </c>
      <c r="AO140" s="254">
        <f>O140</f>
        <v>0</v>
      </c>
      <c r="AP140" s="254" t="str">
        <f>SUBSTITUTE(SUBSTITUTE(SUBSTITUTE("dch"&amp;$B140&amp;$C140&amp;$D140&amp;$E140,".","_"),"(","_"),")","")</f>
        <v>dch901_9_3</v>
      </c>
      <c r="AQ140" s="254" t="str">
        <f>IF(LEN(W140)=0,"",W140)</f>
        <v/>
      </c>
      <c r="AR140" s="254" t="str">
        <f>SUBSTITUTE(SUBSTITUTE(SUBSTITUTE("dnt"&amp;$B140&amp;$C140&amp;$D140&amp;$E140,".","_"),"(","_"),")","")</f>
        <v>dnt901_9_3</v>
      </c>
      <c r="AS140" s="254" t="str">
        <f>IF(LEN(X140)=0,"",X140)</f>
        <v/>
      </c>
      <c r="AX140" s="392"/>
      <c r="AY140" s="392"/>
    </row>
    <row r="141" spans="1:61" s="392" customFormat="1" x14ac:dyDescent="0.25">
      <c r="A141" s="18"/>
      <c r="B141" s="679" t="s">
        <v>3211</v>
      </c>
      <c r="C141" s="21"/>
      <c r="D141" s="21"/>
      <c r="E141" s="21"/>
      <c r="F141" s="21"/>
      <c r="G141" s="21"/>
      <c r="H141" s="758"/>
      <c r="I141" s="480"/>
      <c r="J141" s="129"/>
      <c r="K141" s="129"/>
      <c r="L141" s="1782"/>
      <c r="M141" s="1758"/>
      <c r="N141" s="129"/>
      <c r="O141" s="1774"/>
      <c r="P141" s="94"/>
      <c r="Q141" s="94"/>
      <c r="R141" s="94"/>
      <c r="S141" s="94"/>
      <c r="T141" s="94"/>
      <c r="U141" s="94"/>
      <c r="V141" s="94"/>
      <c r="W141" s="94"/>
      <c r="X141" s="1770"/>
      <c r="Y141" s="780"/>
      <c r="Z141" s="76"/>
      <c r="AA141" s="783"/>
      <c r="AB141" s="76"/>
      <c r="AC141" s="76"/>
      <c r="AD141" s="76"/>
      <c r="AE141" s="76"/>
      <c r="AF141" s="76"/>
      <c r="AG141" s="76"/>
      <c r="AH141" s="76"/>
      <c r="AI141" s="76"/>
      <c r="AJ141" s="76"/>
      <c r="AK141" s="76"/>
      <c r="AL141" s="76"/>
      <c r="AM141" s="76"/>
      <c r="AN141" s="76"/>
      <c r="AO141" s="76"/>
      <c r="AX141" s="76"/>
      <c r="AY141" s="76"/>
      <c r="AZ141" s="76"/>
      <c r="BA141" s="76"/>
      <c r="BB141" s="76"/>
      <c r="BC141" s="76"/>
      <c r="BD141" s="76"/>
      <c r="BE141" s="76"/>
      <c r="BF141" s="76"/>
      <c r="BG141" s="76"/>
      <c r="BH141" s="76"/>
      <c r="BI141" s="76"/>
    </row>
    <row r="142" spans="1:61" x14ac:dyDescent="0.25">
      <c r="B142" s="679" t="s">
        <v>3211</v>
      </c>
      <c r="C142" s="21"/>
      <c r="D142" s="21"/>
      <c r="E142" s="21"/>
      <c r="F142" s="21"/>
      <c r="G142" s="21"/>
      <c r="H142" s="758"/>
      <c r="I142" s="480"/>
      <c r="J142" s="129"/>
      <c r="K142" s="129"/>
      <c r="L142" s="1782"/>
      <c r="M142" s="1758"/>
      <c r="N142" s="129"/>
      <c r="O142" s="1774"/>
      <c r="P142" s="94"/>
      <c r="Q142" s="94"/>
      <c r="R142" s="94"/>
      <c r="S142" s="94"/>
      <c r="T142" s="94"/>
      <c r="U142" s="94"/>
      <c r="V142" s="94"/>
      <c r="W142" s="94"/>
      <c r="X142" s="1770"/>
      <c r="AZ142" s="392"/>
      <c r="BA142" s="392"/>
      <c r="BB142" s="392"/>
      <c r="BC142" s="392"/>
      <c r="BD142" s="392"/>
      <c r="BE142" s="392"/>
      <c r="BF142" s="392"/>
      <c r="BG142" s="392"/>
      <c r="BH142" s="392"/>
      <c r="BI142" s="392"/>
    </row>
    <row r="143" spans="1:61" x14ac:dyDescent="0.25">
      <c r="B143" s="679" t="s">
        <v>3211</v>
      </c>
      <c r="C143" s="21"/>
      <c r="D143" s="21"/>
      <c r="E143" s="21"/>
      <c r="F143" s="21"/>
      <c r="G143" s="21"/>
      <c r="H143" s="758"/>
      <c r="I143" s="480"/>
      <c r="J143" s="129"/>
      <c r="K143" s="129"/>
      <c r="L143" s="1782"/>
      <c r="M143" s="1758"/>
      <c r="N143" s="129"/>
      <c r="O143" s="1774"/>
      <c r="P143" s="94"/>
      <c r="Q143" s="94"/>
      <c r="R143" s="94"/>
      <c r="S143" s="94"/>
      <c r="T143" s="94"/>
      <c r="U143" s="94"/>
      <c r="V143" s="94"/>
      <c r="W143" s="94"/>
      <c r="X143" s="1770"/>
    </row>
    <row r="144" spans="1:61" x14ac:dyDescent="0.25">
      <c r="B144" s="679" t="s">
        <v>3211</v>
      </c>
      <c r="C144" s="21"/>
      <c r="D144" s="21"/>
      <c r="E144" s="21"/>
      <c r="F144" s="21"/>
      <c r="G144" s="21"/>
      <c r="H144" s="758"/>
      <c r="I144" s="480"/>
      <c r="J144" s="129"/>
      <c r="K144" s="129"/>
      <c r="L144" s="1782"/>
      <c r="M144" s="1758"/>
      <c r="N144" s="129"/>
      <c r="O144" s="1774"/>
      <c r="P144" s="94"/>
      <c r="Q144" s="94"/>
      <c r="R144" s="94"/>
      <c r="S144" s="94"/>
      <c r="T144" s="94"/>
      <c r="U144" s="94"/>
      <c r="V144" s="94"/>
      <c r="W144" s="94"/>
      <c r="X144" s="1770"/>
    </row>
    <row r="145" spans="1:61" ht="15.75" thickBot="1" x14ac:dyDescent="0.3">
      <c r="B145" s="679" t="s">
        <v>3211</v>
      </c>
      <c r="C145" s="21"/>
      <c r="D145" s="21"/>
      <c r="E145" s="21"/>
      <c r="F145" s="21"/>
      <c r="G145" s="21"/>
      <c r="H145" s="758"/>
      <c r="I145" s="481"/>
      <c r="J145" s="240"/>
      <c r="K145" s="240"/>
      <c r="L145" s="1797"/>
      <c r="M145" s="1768"/>
      <c r="N145" s="240"/>
      <c r="O145" s="1775"/>
      <c r="P145" s="99"/>
      <c r="Q145" s="99"/>
      <c r="R145" s="99"/>
      <c r="S145" s="99"/>
      <c r="T145" s="99"/>
      <c r="U145" s="99"/>
      <c r="V145" s="99"/>
      <c r="W145" s="99"/>
      <c r="X145" s="1771"/>
    </row>
    <row r="146" spans="1:61" ht="15.75" thickTop="1" x14ac:dyDescent="0.25">
      <c r="B146" s="741" t="s">
        <v>3970</v>
      </c>
      <c r="C146" s="21"/>
      <c r="D146" s="21"/>
      <c r="E146" s="21"/>
      <c r="F146" s="21"/>
      <c r="G146" s="21"/>
      <c r="H146" s="758"/>
      <c r="I146" s="222">
        <v>901.1</v>
      </c>
      <c r="J146" s="4"/>
      <c r="K146" s="4"/>
      <c r="L146" s="1796" t="s">
        <v>3213</v>
      </c>
      <c r="M146" s="428"/>
      <c r="N146" s="4"/>
      <c r="O146" s="1780">
        <f>IF(W155=TRUE,5,IF(W154=TRUE,5,IF(W149=TRUE,8,0)))*S149</f>
        <v>0</v>
      </c>
      <c r="AN146" s="254" t="str">
        <f>SUBSTITUTE(SUBSTITUTE(SUBSTITUTE("dpc"&amp;$B146&amp;$C146&amp;$D146&amp;$E146,".","_"),"(","_"),")","")</f>
        <v>dpc901_10</v>
      </c>
      <c r="AO146" s="254">
        <f>O146</f>
        <v>0</v>
      </c>
    </row>
    <row r="147" spans="1:61" x14ac:dyDescent="0.25">
      <c r="B147" s="741" t="s">
        <v>3970</v>
      </c>
      <c r="C147" s="21"/>
      <c r="D147" s="21"/>
      <c r="E147" s="21"/>
      <c r="F147" s="21"/>
      <c r="G147" s="21"/>
      <c r="H147" s="758"/>
      <c r="I147" s="164"/>
      <c r="J147" s="4"/>
      <c r="K147" s="4"/>
      <c r="L147" s="1796"/>
      <c r="M147" s="428"/>
      <c r="N147" s="4"/>
      <c r="O147" s="1780"/>
    </row>
    <row r="148" spans="1:61" x14ac:dyDescent="0.25">
      <c r="B148" s="741" t="s">
        <v>3970</v>
      </c>
      <c r="C148" s="21"/>
      <c r="D148" s="21"/>
      <c r="E148" s="21"/>
      <c r="F148" s="21"/>
      <c r="G148" s="21"/>
      <c r="H148" s="758"/>
      <c r="I148" s="164"/>
      <c r="J148" s="4"/>
      <c r="K148" s="4"/>
      <c r="L148" s="1796"/>
      <c r="M148" s="428"/>
      <c r="N148" s="4"/>
      <c r="O148" s="1780"/>
    </row>
    <row r="149" spans="1:61" x14ac:dyDescent="0.25">
      <c r="B149" s="741" t="s">
        <v>3970</v>
      </c>
      <c r="C149" s="21" t="s">
        <v>256</v>
      </c>
      <c r="D149" s="21"/>
      <c r="E149" s="21"/>
      <c r="F149" s="21"/>
      <c r="G149" s="21"/>
      <c r="H149" s="758"/>
      <c r="I149" s="164"/>
      <c r="J149" s="183" t="s">
        <v>256</v>
      </c>
      <c r="K149" s="129"/>
      <c r="L149" s="1754" t="s">
        <v>5596</v>
      </c>
      <c r="M149" s="1758">
        <v>8</v>
      </c>
      <c r="N149" s="4"/>
      <c r="O149" s="141"/>
      <c r="P149" s="94" t="b">
        <v>0</v>
      </c>
      <c r="Q149" s="94" t="b">
        <v>1</v>
      </c>
      <c r="R149" s="386" t="b">
        <v>0</v>
      </c>
      <c r="S149" s="386" t="b">
        <v>1</v>
      </c>
      <c r="T149" s="386" t="b">
        <v>0</v>
      </c>
      <c r="W149" s="25"/>
      <c r="X149" s="1757"/>
      <c r="AC149" s="394"/>
      <c r="AD149" s="394"/>
      <c r="AE149" s="394"/>
      <c r="AL149" s="254" t="str">
        <f>SUBSTITUTE(SUBSTITUTE(SUBSTITUTE("dpa"&amp;$B149&amp;$C149&amp;$D149&amp;$E149,".","_"),"(","_"),")","")</f>
        <v>dpa901_10_1</v>
      </c>
      <c r="AM149" s="254">
        <f>M149</f>
        <v>8</v>
      </c>
      <c r="AP149" s="254" t="str">
        <f>SUBSTITUTE(SUBSTITUTE(SUBSTITUTE("dch"&amp;$B149&amp;$C149&amp;$D149&amp;$E149,".","_"),"(","_"),")","")</f>
        <v>dch901_10_1</v>
      </c>
      <c r="AQ149" s="254" t="str">
        <f>IF(LEN(W149)=0,"",W149)</f>
        <v/>
      </c>
      <c r="AR149" s="254" t="str">
        <f>SUBSTITUTE(SUBSTITUTE(SUBSTITUTE("dnt"&amp;$B149&amp;$C149&amp;$D149&amp;$E149,".","_"),"(","_"),")","")</f>
        <v>dnt901_10_1</v>
      </c>
      <c r="AS149" s="254" t="str">
        <f>IF(LEN(X149)=0,"",X149)</f>
        <v/>
      </c>
    </row>
    <row r="150" spans="1:61" x14ac:dyDescent="0.25">
      <c r="B150" s="741" t="s">
        <v>3970</v>
      </c>
      <c r="C150" s="21" t="s">
        <v>256</v>
      </c>
      <c r="D150" s="21"/>
      <c r="E150" s="21"/>
      <c r="F150" s="21"/>
      <c r="G150" s="21"/>
      <c r="H150" s="758"/>
      <c r="I150" s="164"/>
      <c r="J150" s="129"/>
      <c r="K150" s="129"/>
      <c r="L150" s="1754"/>
      <c r="M150" s="1758"/>
      <c r="N150" s="4"/>
      <c r="O150" s="141"/>
      <c r="R150"/>
      <c r="S150"/>
      <c r="T150"/>
      <c r="X150" s="1757"/>
    </row>
    <row r="151" spans="1:61" x14ac:dyDescent="0.25">
      <c r="B151" s="741" t="s">
        <v>3970</v>
      </c>
      <c r="C151" s="21" t="s">
        <v>256</v>
      </c>
      <c r="D151" s="21"/>
      <c r="E151" s="21"/>
      <c r="F151" s="21"/>
      <c r="G151" s="21"/>
      <c r="H151" s="758"/>
      <c r="I151" s="164"/>
      <c r="J151" s="129"/>
      <c r="K151" s="129"/>
      <c r="L151" s="1754"/>
      <c r="M151" s="1758"/>
      <c r="N151" s="4"/>
      <c r="O151" s="141"/>
      <c r="X151" s="1757"/>
    </row>
    <row r="152" spans="1:61" x14ac:dyDescent="0.25">
      <c r="B152" s="741" t="s">
        <v>3970</v>
      </c>
      <c r="C152" s="21" t="s">
        <v>256</v>
      </c>
      <c r="D152" s="21"/>
      <c r="E152" s="21"/>
      <c r="F152" s="21"/>
      <c r="G152" s="21"/>
      <c r="H152" s="758"/>
      <c r="I152" s="164"/>
      <c r="J152" s="129"/>
      <c r="K152" s="129"/>
      <c r="L152" s="1754"/>
      <c r="M152" s="1758"/>
      <c r="N152" s="4"/>
      <c r="O152" s="141"/>
      <c r="X152" s="1757"/>
    </row>
    <row r="153" spans="1:61" x14ac:dyDescent="0.25">
      <c r="B153" s="741" t="s">
        <v>3970</v>
      </c>
      <c r="C153" s="21" t="s">
        <v>256</v>
      </c>
      <c r="D153" s="21"/>
      <c r="E153" s="21"/>
      <c r="F153" s="21"/>
      <c r="G153" s="21"/>
      <c r="H153" s="758"/>
      <c r="I153" s="164"/>
      <c r="J153" s="210"/>
      <c r="K153" s="210"/>
      <c r="L153" s="1755"/>
      <c r="M153" s="1759"/>
      <c r="N153" s="4"/>
      <c r="O153" s="141"/>
      <c r="X153" s="1757"/>
    </row>
    <row r="154" spans="1:61" x14ac:dyDescent="0.25">
      <c r="B154" s="741" t="s">
        <v>3970</v>
      </c>
      <c r="C154" s="21" t="s">
        <v>258</v>
      </c>
      <c r="D154" s="21"/>
      <c r="E154" s="21"/>
      <c r="F154" s="21"/>
      <c r="G154" s="21"/>
      <c r="H154" s="758"/>
      <c r="I154" s="164"/>
      <c r="J154" s="206" t="s">
        <v>258</v>
      </c>
      <c r="K154" s="210"/>
      <c r="L154" s="422" t="s">
        <v>3215</v>
      </c>
      <c r="M154" s="426">
        <v>5</v>
      </c>
      <c r="N154" s="4"/>
      <c r="O154" s="141"/>
      <c r="P154" s="94" t="b">
        <v>0</v>
      </c>
      <c r="Q154" s="94" t="b">
        <v>1</v>
      </c>
      <c r="R154" s="386" t="b">
        <v>0</v>
      </c>
      <c r="S154" s="386" t="b">
        <v>1</v>
      </c>
      <c r="T154" s="386" t="b">
        <v>0</v>
      </c>
      <c r="W154" s="25"/>
      <c r="X154" s="418"/>
      <c r="AC154" s="394"/>
      <c r="AD154" s="394"/>
      <c r="AE154" s="394"/>
      <c r="AL154" s="254" t="str">
        <f>SUBSTITUTE(SUBSTITUTE(SUBSTITUTE("dpa"&amp;$B154&amp;$C154&amp;$D154&amp;$E154,".","_"),"(","_"),")","")</f>
        <v>dpa901_10_2</v>
      </c>
      <c r="AM154" s="254">
        <f>M154</f>
        <v>5</v>
      </c>
      <c r="AP154" s="254" t="str">
        <f>SUBSTITUTE(SUBSTITUTE(SUBSTITUTE("dch"&amp;$B154&amp;$C154&amp;$D154&amp;$E154,".","_"),"(","_"),")","")</f>
        <v>dch901_10_2</v>
      </c>
      <c r="AQ154" s="254" t="str">
        <f>IF(LEN(W154)=0,"",W154)</f>
        <v/>
      </c>
      <c r="AR154" s="254" t="str">
        <f>SUBSTITUTE(SUBSTITUTE(SUBSTITUTE("dnt"&amp;$B154&amp;$C154&amp;$D154&amp;$E154,".","_"),"(","_"),")","")</f>
        <v>dnt901_10_2</v>
      </c>
      <c r="AS154" s="254" t="str">
        <f>IF(LEN(X154)=0,"",X154)</f>
        <v/>
      </c>
    </row>
    <row r="155" spans="1:61" x14ac:dyDescent="0.25">
      <c r="B155" s="741" t="s">
        <v>3970</v>
      </c>
      <c r="C155" s="21" t="s">
        <v>260</v>
      </c>
      <c r="D155" s="21"/>
      <c r="E155" s="21"/>
      <c r="F155" s="21"/>
      <c r="G155" s="21"/>
      <c r="H155" s="758"/>
      <c r="I155" s="480"/>
      <c r="J155" s="183" t="s">
        <v>260</v>
      </c>
      <c r="K155" s="129"/>
      <c r="L155" s="1754" t="s">
        <v>3216</v>
      </c>
      <c r="M155" s="1758">
        <v>5</v>
      </c>
      <c r="N155" s="129"/>
      <c r="O155" s="239"/>
      <c r="P155" s="94" t="b">
        <v>0</v>
      </c>
      <c r="Q155" s="94" t="b">
        <v>1</v>
      </c>
      <c r="R155" s="94" t="b">
        <v>0</v>
      </c>
      <c r="S155" s="94" t="b">
        <v>1</v>
      </c>
      <c r="T155" s="94" t="b">
        <v>0</v>
      </c>
      <c r="U155" s="94"/>
      <c r="V155" s="94"/>
      <c r="W155" s="360"/>
      <c r="X155" s="1770"/>
      <c r="AC155" s="394"/>
      <c r="AD155" s="394"/>
      <c r="AE155" s="394"/>
      <c r="AL155" s="254" t="str">
        <f>SUBSTITUTE(SUBSTITUTE(SUBSTITUTE("dpa"&amp;$B155&amp;$C155&amp;$D155&amp;$E155,".","_"),"(","_"),")","")</f>
        <v>dpa901_10_3</v>
      </c>
      <c r="AM155" s="254">
        <f>M155</f>
        <v>5</v>
      </c>
      <c r="AP155" s="254" t="str">
        <f>SUBSTITUTE(SUBSTITUTE(SUBSTITUTE("dch"&amp;$B155&amp;$C155&amp;$D155&amp;$E155,".","_"),"(","_"),")","")</f>
        <v>dch901_10_3</v>
      </c>
      <c r="AQ155" s="254" t="str">
        <f>IF(LEN(W155)=0,"",W155)</f>
        <v/>
      </c>
      <c r="AR155" s="254" t="str">
        <f>SUBSTITUTE(SUBSTITUTE(SUBSTITUTE("dnt"&amp;$B155&amp;$C155&amp;$D155&amp;$E155,".","_"),"(","_"),")","")</f>
        <v>dnt901_10_3</v>
      </c>
      <c r="AS155" s="254" t="str">
        <f>IF(LEN(X155)=0,"",X155)</f>
        <v/>
      </c>
    </row>
    <row r="156" spans="1:61" x14ac:dyDescent="0.25">
      <c r="B156" s="741" t="s">
        <v>3970</v>
      </c>
      <c r="C156" s="21" t="s">
        <v>260</v>
      </c>
      <c r="D156" s="21"/>
      <c r="E156" s="21"/>
      <c r="F156" s="21"/>
      <c r="G156" s="21"/>
      <c r="H156" s="758"/>
      <c r="I156" s="480"/>
      <c r="J156" s="129"/>
      <c r="K156" s="129"/>
      <c r="L156" s="1754"/>
      <c r="M156" s="1758"/>
      <c r="N156" s="129"/>
      <c r="O156" s="239"/>
      <c r="P156" s="94"/>
      <c r="Q156" s="94"/>
      <c r="R156" s="94"/>
      <c r="S156" s="94"/>
      <c r="T156" s="94"/>
      <c r="U156" s="94"/>
      <c r="V156" s="94"/>
      <c r="W156" s="94"/>
      <c r="X156" s="1770"/>
    </row>
    <row r="157" spans="1:61" x14ac:dyDescent="0.25">
      <c r="B157" s="741" t="s">
        <v>3970</v>
      </c>
      <c r="C157" s="21" t="s">
        <v>260</v>
      </c>
      <c r="D157" s="21"/>
      <c r="E157" s="21"/>
      <c r="F157" s="21"/>
      <c r="G157" s="21"/>
      <c r="H157" s="758"/>
      <c r="I157" s="480"/>
      <c r="J157" s="129"/>
      <c r="K157" s="129"/>
      <c r="L157" s="1754"/>
      <c r="M157" s="1758"/>
      <c r="N157" s="129"/>
      <c r="O157" s="239"/>
      <c r="P157" s="94"/>
      <c r="Q157" s="94"/>
      <c r="R157" s="94"/>
      <c r="S157" s="94"/>
      <c r="T157" s="94"/>
      <c r="U157" s="94"/>
      <c r="V157" s="94"/>
      <c r="W157" s="94"/>
      <c r="X157" s="1770"/>
    </row>
    <row r="158" spans="1:61" ht="15.75" thickBot="1" x14ac:dyDescent="0.3">
      <c r="B158" s="741" t="s">
        <v>3970</v>
      </c>
      <c r="C158" s="21" t="s">
        <v>260</v>
      </c>
      <c r="D158" s="21"/>
      <c r="E158" s="21"/>
      <c r="F158" s="21"/>
      <c r="G158" s="21"/>
      <c r="H158" s="758"/>
      <c r="I158" s="481"/>
      <c r="J158" s="240"/>
      <c r="K158" s="240"/>
      <c r="L158" s="482" t="s">
        <v>3760</v>
      </c>
      <c r="M158" s="429"/>
      <c r="N158" s="240"/>
      <c r="O158" s="241"/>
      <c r="P158" s="99"/>
      <c r="Q158" s="99"/>
      <c r="R158" s="99"/>
      <c r="S158" s="99"/>
      <c r="T158" s="99"/>
      <c r="U158" s="99"/>
      <c r="V158" s="99"/>
      <c r="W158" s="99"/>
      <c r="X158" s="1771"/>
      <c r="Z158" s="392"/>
      <c r="AB158" s="392"/>
      <c r="AC158" s="392"/>
      <c r="AD158" s="392"/>
      <c r="AE158" s="392"/>
      <c r="AF158" s="392"/>
      <c r="AG158" s="392"/>
      <c r="AH158" s="392"/>
      <c r="AI158" s="392"/>
      <c r="AJ158" s="392"/>
      <c r="AK158" s="392"/>
      <c r="AL158" s="392"/>
      <c r="AM158" s="392"/>
      <c r="AN158" s="392"/>
      <c r="AO158" s="392"/>
    </row>
    <row r="159" spans="1:61" ht="15.75" thickTop="1" x14ac:dyDescent="0.25">
      <c r="B159" s="679">
        <v>901.11</v>
      </c>
      <c r="C159" s="21"/>
      <c r="D159" s="21"/>
      <c r="E159" s="21"/>
      <c r="F159" s="21"/>
      <c r="G159" s="21"/>
      <c r="H159" s="758"/>
      <c r="I159" s="180">
        <v>901.11</v>
      </c>
      <c r="J159" s="181"/>
      <c r="K159" s="181"/>
      <c r="L159" s="1781" t="s">
        <v>5597</v>
      </c>
      <c r="M159" s="1772">
        <v>4</v>
      </c>
      <c r="N159" s="181"/>
      <c r="O159" s="1773">
        <f>M159*S159*W159</f>
        <v>0</v>
      </c>
      <c r="P159" s="94" t="b">
        <v>1</v>
      </c>
      <c r="Q159" s="94" t="b">
        <v>1</v>
      </c>
      <c r="R159" s="105" t="b">
        <v>0</v>
      </c>
      <c r="S159" s="105" t="b">
        <v>1</v>
      </c>
      <c r="T159" s="105" t="b">
        <v>0</v>
      </c>
      <c r="U159" s="105"/>
      <c r="V159" s="105"/>
      <c r="W159" s="367"/>
      <c r="X159" s="1784"/>
      <c r="AC159" s="394"/>
      <c r="AD159" s="394"/>
      <c r="AE159" s="394"/>
      <c r="AL159" s="254" t="str">
        <f>SUBSTITUTE(SUBSTITUTE(SUBSTITUTE("dpa"&amp;$B159&amp;$C159&amp;$D159&amp;$E159,".","_"),"(","_"),")","")</f>
        <v>dpa901_11</v>
      </c>
      <c r="AM159" s="254">
        <f>M159</f>
        <v>4</v>
      </c>
      <c r="AN159" s="254" t="str">
        <f>SUBSTITUTE(SUBSTITUTE(SUBSTITUTE("dpc"&amp;$B159&amp;$C159&amp;$D159&amp;$E159,".","_"),"(","_"),")","")</f>
        <v>dpc901_11</v>
      </c>
      <c r="AO159" s="254">
        <f>O159</f>
        <v>0</v>
      </c>
      <c r="AP159" s="254" t="str">
        <f>SUBSTITUTE(SUBSTITUTE(SUBSTITUTE("dch"&amp;$B159&amp;$C159&amp;$D159&amp;$E159,".","_"),"(","_"),")","")</f>
        <v>dch901_11</v>
      </c>
      <c r="AQ159" s="254" t="str">
        <f>IF(LEN(W159)=0,"",W159)</f>
        <v/>
      </c>
      <c r="AR159" s="254" t="str">
        <f>SUBSTITUTE(SUBSTITUTE(SUBSTITUTE("dnt"&amp;$B159&amp;$C159&amp;$D159&amp;$E159,".","_"),"(","_"),")","")</f>
        <v>dnt901_11</v>
      </c>
      <c r="AS159" s="254" t="str">
        <f>IF(LEN(X159)=0,"",X159)</f>
        <v/>
      </c>
      <c r="AX159" s="392"/>
      <c r="AY159" s="392"/>
    </row>
    <row r="160" spans="1:61" s="392" customFormat="1" x14ac:dyDescent="0.25">
      <c r="A160" s="18"/>
      <c r="B160" s="679">
        <v>901.11</v>
      </c>
      <c r="C160" s="21"/>
      <c r="D160" s="21"/>
      <c r="E160" s="21"/>
      <c r="F160" s="21"/>
      <c r="G160" s="21"/>
      <c r="H160" s="758"/>
      <c r="I160" s="480"/>
      <c r="J160" s="129"/>
      <c r="K160" s="129"/>
      <c r="L160" s="1782"/>
      <c r="M160" s="1758"/>
      <c r="N160" s="129"/>
      <c r="O160" s="1774"/>
      <c r="P160" s="94"/>
      <c r="Q160" s="94"/>
      <c r="R160" s="94"/>
      <c r="S160" s="94"/>
      <c r="T160" s="94"/>
      <c r="U160" s="94"/>
      <c r="V160" s="94"/>
      <c r="W160" s="94"/>
      <c r="X160" s="1770"/>
      <c r="Y160" s="780"/>
      <c r="Z160" s="76"/>
      <c r="AA160" s="783"/>
      <c r="AB160" s="76"/>
      <c r="AC160" s="76"/>
      <c r="AD160" s="76"/>
      <c r="AE160" s="76"/>
      <c r="AF160" s="76"/>
      <c r="AG160" s="76"/>
      <c r="AH160" s="76"/>
      <c r="AI160" s="76"/>
      <c r="AJ160" s="76"/>
      <c r="AK160" s="76"/>
      <c r="AL160" s="76"/>
      <c r="AM160" s="76"/>
      <c r="AN160" s="76"/>
      <c r="AO160" s="76"/>
      <c r="AX160" s="76"/>
      <c r="AY160" s="76"/>
      <c r="AZ160" s="76"/>
      <c r="BA160" s="76"/>
      <c r="BB160" s="76"/>
      <c r="BC160" s="76"/>
      <c r="BD160" s="76"/>
      <c r="BE160" s="76"/>
      <c r="BF160" s="76"/>
      <c r="BG160" s="76"/>
      <c r="BH160" s="76"/>
      <c r="BI160" s="76"/>
    </row>
    <row r="161" spans="1:61" x14ac:dyDescent="0.25">
      <c r="B161" s="679">
        <v>901.11</v>
      </c>
      <c r="C161" s="21"/>
      <c r="D161" s="21"/>
      <c r="E161" s="21"/>
      <c r="F161" s="21"/>
      <c r="G161" s="21"/>
      <c r="H161" s="758"/>
      <c r="I161" s="480"/>
      <c r="J161" s="129"/>
      <c r="K161" s="129"/>
      <c r="L161" s="1782"/>
      <c r="M161" s="1758"/>
      <c r="N161" s="129"/>
      <c r="O161" s="1774"/>
      <c r="P161" s="94"/>
      <c r="Q161" s="94"/>
      <c r="R161" s="94"/>
      <c r="S161" s="94"/>
      <c r="T161" s="94"/>
      <c r="U161" s="94"/>
      <c r="V161" s="94"/>
      <c r="W161" s="94"/>
      <c r="X161" s="1770"/>
      <c r="AZ161" s="392"/>
      <c r="BA161" s="392"/>
      <c r="BB161" s="392"/>
      <c r="BC161" s="392"/>
      <c r="BD161" s="392"/>
      <c r="BE161" s="392"/>
      <c r="BF161" s="392"/>
      <c r="BG161" s="392"/>
      <c r="BH161" s="392"/>
      <c r="BI161" s="392"/>
    </row>
    <row r="162" spans="1:61" x14ac:dyDescent="0.25">
      <c r="B162" s="679">
        <v>901.11</v>
      </c>
      <c r="C162" s="21"/>
      <c r="D162" s="21"/>
      <c r="E162" s="21"/>
      <c r="F162" s="21"/>
      <c r="G162" s="21"/>
      <c r="H162" s="758"/>
      <c r="I162" s="480"/>
      <c r="J162" s="129"/>
      <c r="K162" s="129"/>
      <c r="L162" s="1782"/>
      <c r="M162" s="1758"/>
      <c r="N162" s="129"/>
      <c r="O162" s="1774"/>
      <c r="P162" s="94"/>
      <c r="Q162" s="94"/>
      <c r="R162" s="94"/>
      <c r="S162" s="94"/>
      <c r="T162" s="94"/>
      <c r="U162" s="94"/>
      <c r="V162" s="94"/>
      <c r="W162" s="94"/>
      <c r="X162" s="1770"/>
    </row>
    <row r="163" spans="1:61" ht="15.75" thickBot="1" x14ac:dyDescent="0.3">
      <c r="B163" s="679">
        <v>901.11</v>
      </c>
      <c r="C163" s="21"/>
      <c r="D163" s="21"/>
      <c r="E163" s="21"/>
      <c r="F163" s="21"/>
      <c r="G163" s="21"/>
      <c r="H163" s="758"/>
      <c r="I163" s="481"/>
      <c r="J163" s="240"/>
      <c r="K163" s="240"/>
      <c r="L163" s="1797"/>
      <c r="M163" s="1768"/>
      <c r="N163" s="240"/>
      <c r="O163" s="1775"/>
      <c r="P163" s="99"/>
      <c r="Q163" s="99"/>
      <c r="R163" s="99"/>
      <c r="S163" s="99"/>
      <c r="T163" s="99"/>
      <c r="U163" s="99"/>
      <c r="V163" s="99"/>
      <c r="W163" s="99"/>
      <c r="X163" s="1771"/>
      <c r="AX163" s="868"/>
      <c r="AY163" s="868"/>
    </row>
    <row r="164" spans="1:61" s="868" customFormat="1" ht="15.75" thickTop="1" x14ac:dyDescent="0.25">
      <c r="A164" s="18"/>
      <c r="B164" s="679">
        <v>901.12</v>
      </c>
      <c r="C164" s="21"/>
      <c r="D164" s="21"/>
      <c r="E164" s="21"/>
      <c r="F164" s="21"/>
      <c r="G164" s="21"/>
      <c r="H164" s="758"/>
      <c r="I164" s="180">
        <v>901.12</v>
      </c>
      <c r="J164" s="129"/>
      <c r="K164" s="129"/>
      <c r="L164" s="1941" t="s">
        <v>4489</v>
      </c>
      <c r="M164" s="1938">
        <v>2</v>
      </c>
      <c r="N164" s="129"/>
      <c r="O164" s="1773">
        <f ca="1">M164*S164*W164</f>
        <v>0</v>
      </c>
      <c r="P164" s="94" t="b">
        <v>0</v>
      </c>
      <c r="Q164" s="94" t="b">
        <v>1</v>
      </c>
      <c r="R164" s="94" t="b">
        <v>0</v>
      </c>
      <c r="S164" s="1101" t="b">
        <f ca="1">AY19=INDEX(INDIRECT("ddSingleOrMulti"),2)</f>
        <v>0</v>
      </c>
      <c r="T164" s="582" t="b">
        <v>0</v>
      </c>
      <c r="U164" s="94"/>
      <c r="V164" s="94"/>
      <c r="W164" s="25"/>
      <c r="X164" s="1815"/>
      <c r="AL164" s="254" t="str">
        <f>SUBSTITUTE(SUBSTITUTE(SUBSTITUTE("dpa"&amp;$B164&amp;$C164&amp;$D164&amp;$E164,".","_"),"(","_"),")","")</f>
        <v>dpa901_12</v>
      </c>
      <c r="AM164" s="254">
        <f>M164</f>
        <v>2</v>
      </c>
      <c r="AN164" s="254" t="str">
        <f>SUBSTITUTE(SUBSTITUTE(SUBSTITUTE("dpc"&amp;$B164&amp;$C164&amp;$D164&amp;$E164,".","_"),"(","_"),")","")</f>
        <v>dpc901_12</v>
      </c>
      <c r="AO164" s="254">
        <f ca="1">O164</f>
        <v>0</v>
      </c>
      <c r="AP164" s="254" t="str">
        <f>SUBSTITUTE(SUBSTITUTE(SUBSTITUTE("dch"&amp;$B164&amp;$C164&amp;$D164&amp;$E164,".","_"),"(","_"),")","")</f>
        <v>dch901_12</v>
      </c>
      <c r="AQ164" s="254" t="str">
        <f>IF(LEN(W164)=0,"",W164)</f>
        <v/>
      </c>
      <c r="AR164" s="254" t="str">
        <f>SUBSTITUTE(SUBSTITUTE(SUBSTITUTE("dnt"&amp;$B164&amp;$C164&amp;$D164&amp;$E164,".","_"),"(","_"),")","")</f>
        <v>dnt901_12</v>
      </c>
      <c r="AS164" s="254" t="str">
        <f>IF(LEN(X164)=0,"",X164)</f>
        <v/>
      </c>
      <c r="AZ164" s="76"/>
      <c r="BA164" s="76"/>
      <c r="BB164" s="76"/>
      <c r="BC164" s="76"/>
      <c r="BD164" s="76"/>
      <c r="BE164" s="76"/>
      <c r="BF164" s="76"/>
      <c r="BG164" s="76"/>
      <c r="BH164" s="76"/>
      <c r="BI164" s="76"/>
    </row>
    <row r="165" spans="1:61" s="868" customFormat="1" x14ac:dyDescent="0.25">
      <c r="A165" s="18"/>
      <c r="B165" s="679">
        <v>901.12</v>
      </c>
      <c r="C165" s="21"/>
      <c r="D165" s="21"/>
      <c r="E165" s="21"/>
      <c r="F165" s="21"/>
      <c r="G165" s="21"/>
      <c r="H165" s="758"/>
      <c r="I165" s="480"/>
      <c r="J165" s="129"/>
      <c r="K165" s="129"/>
      <c r="L165" s="1941"/>
      <c r="M165" s="1939"/>
      <c r="N165" s="129"/>
      <c r="O165" s="1774"/>
      <c r="P165" s="94"/>
      <c r="Q165" s="94"/>
      <c r="R165" s="94"/>
      <c r="S165" s="94"/>
      <c r="T165" s="94"/>
      <c r="U165" s="94"/>
      <c r="V165" s="94"/>
      <c r="W165" s="94"/>
      <c r="X165" s="1799"/>
    </row>
    <row r="166" spans="1:61" s="868" customFormat="1" x14ac:dyDescent="0.25">
      <c r="A166" s="18"/>
      <c r="B166" s="679">
        <v>901.12</v>
      </c>
      <c r="C166" s="21"/>
      <c r="D166" s="21"/>
      <c r="E166" s="21"/>
      <c r="F166" s="21"/>
      <c r="G166" s="21"/>
      <c r="H166" s="758"/>
      <c r="I166" s="480"/>
      <c r="J166" s="129"/>
      <c r="K166" s="129"/>
      <c r="L166" s="1941"/>
      <c r="M166" s="1939"/>
      <c r="N166" s="129"/>
      <c r="O166" s="1774"/>
      <c r="P166" s="94"/>
      <c r="Q166" s="94"/>
      <c r="R166" s="94"/>
      <c r="S166" s="94"/>
      <c r="T166" s="94"/>
      <c r="U166" s="94"/>
      <c r="V166" s="94"/>
      <c r="W166" s="94"/>
      <c r="X166" s="1799"/>
    </row>
    <row r="167" spans="1:61" s="868" customFormat="1" ht="15.75" thickBot="1" x14ac:dyDescent="0.3">
      <c r="A167" s="18"/>
      <c r="B167" s="679">
        <v>901.12</v>
      </c>
      <c r="C167" s="21"/>
      <c r="D167" s="21"/>
      <c r="E167" s="21"/>
      <c r="F167" s="21"/>
      <c r="G167" s="21"/>
      <c r="H167" s="758"/>
      <c r="I167" s="480"/>
      <c r="J167" s="129"/>
      <c r="K167" s="129"/>
      <c r="L167" s="1941"/>
      <c r="M167" s="1940"/>
      <c r="N167" s="129"/>
      <c r="O167" s="1775"/>
      <c r="P167" s="94"/>
      <c r="Q167" s="94"/>
      <c r="R167" s="94"/>
      <c r="S167" s="94"/>
      <c r="T167" s="94"/>
      <c r="U167" s="94"/>
      <c r="V167" s="94"/>
      <c r="W167" s="112"/>
      <c r="X167" s="1800"/>
      <c r="AX167" s="76"/>
      <c r="AY167" s="76"/>
    </row>
    <row r="168" spans="1:61" ht="15.75" thickTop="1" x14ac:dyDescent="0.25">
      <c r="B168" s="679">
        <v>901.13</v>
      </c>
      <c r="C168" s="21"/>
      <c r="D168" s="21"/>
      <c r="E168" s="21"/>
      <c r="F168" s="21"/>
      <c r="G168" s="21"/>
      <c r="H168" s="758"/>
      <c r="I168" s="180">
        <v>901.13</v>
      </c>
      <c r="J168" s="181"/>
      <c r="K168" s="181"/>
      <c r="L168" s="1781" t="s">
        <v>4492</v>
      </c>
      <c r="M168" s="1856" t="str">
        <f>IF(R168,"Mandatory","N/A")</f>
        <v>Mandatory</v>
      </c>
      <c r="N168" s="181"/>
      <c r="O168" s="500"/>
      <c r="P168" s="94" t="b">
        <v>0</v>
      </c>
      <c r="Q168" s="94" t="b">
        <v>1</v>
      </c>
      <c r="R168" s="105" t="b">
        <f>S168</f>
        <v>1</v>
      </c>
      <c r="S168" s="105" t="b">
        <v>1</v>
      </c>
      <c r="T168" s="105" t="b">
        <v>0</v>
      </c>
      <c r="U168" s="105" t="str">
        <f>SUBSTITUTE(SUBSTITUTE(SUBSTITUTE("dd"&amp;B168&amp;C168&amp;D168&amp;E168&amp;F168,".","_"),"(","_"),")","")</f>
        <v>dd901_13</v>
      </c>
      <c r="V168" s="105"/>
      <c r="W168" s="255"/>
      <c r="X168" s="1784"/>
      <c r="AC168" s="394" t="b">
        <f>OR(AD168:AE168)</f>
        <v>1</v>
      </c>
      <c r="AD168" s="394" t="b">
        <v>0</v>
      </c>
      <c r="AE168" s="394" t="b">
        <f>AND(R168,OR(LEN(W168)=0,W168="Not Met"))</f>
        <v>1</v>
      </c>
      <c r="AL168" s="254" t="str">
        <f>SUBSTITUTE(SUBSTITUTE(SUBSTITUTE("dpa"&amp;$B168&amp;$C168&amp;$D168&amp;$E168,".","_"),"(","_"),")","")</f>
        <v>dpa901_13</v>
      </c>
      <c r="AM168" s="254" t="str">
        <f>M168</f>
        <v>Mandatory</v>
      </c>
      <c r="AP168" s="254" t="str">
        <f>SUBSTITUTE(SUBSTITUTE(SUBSTITUTE("dch"&amp;$B168&amp;$C168&amp;$D168&amp;$E168,".","_"),"(","_"),")","")</f>
        <v>dch901_13</v>
      </c>
      <c r="AQ168" s="254" t="str">
        <f>IF(LEN(W168)=0,"",W168)</f>
        <v/>
      </c>
      <c r="AR168" s="254" t="str">
        <f>SUBSTITUTE(SUBSTITUTE(SUBSTITUTE("dnt"&amp;$B168&amp;$C168&amp;$D168&amp;$E168,".","_"),"(","_"),")","")</f>
        <v>dnt901_13</v>
      </c>
      <c r="AS168" s="254" t="str">
        <f>IF(LEN(X168)=0,"",X168)</f>
        <v/>
      </c>
      <c r="AZ168" s="868"/>
      <c r="BA168" s="868"/>
      <c r="BB168" s="868"/>
      <c r="BC168" s="868"/>
      <c r="BD168" s="868"/>
      <c r="BE168" s="868"/>
      <c r="BF168" s="868"/>
      <c r="BG168" s="868"/>
      <c r="BH168" s="868"/>
      <c r="BI168" s="868"/>
    </row>
    <row r="169" spans="1:61" ht="15.75" thickBot="1" x14ac:dyDescent="0.3">
      <c r="B169" s="679">
        <v>901.13</v>
      </c>
      <c r="C169" s="21"/>
      <c r="D169" s="21"/>
      <c r="E169" s="21"/>
      <c r="F169" s="21"/>
      <c r="G169" s="21"/>
      <c r="H169" s="758"/>
      <c r="I169" s="481"/>
      <c r="J169" s="240"/>
      <c r="K169" s="240"/>
      <c r="L169" s="1797"/>
      <c r="M169" s="1839"/>
      <c r="N169" s="240"/>
      <c r="O169" s="241"/>
      <c r="P169" s="99"/>
      <c r="Q169" s="99"/>
      <c r="R169" s="99"/>
      <c r="S169" s="99"/>
      <c r="T169" s="99"/>
      <c r="U169" s="99"/>
      <c r="V169" s="99"/>
      <c r="W169" s="99"/>
      <c r="X169" s="1771"/>
    </row>
    <row r="170" spans="1:61" ht="15.75" thickTop="1" x14ac:dyDescent="0.25">
      <c r="B170" s="679">
        <v>901.14</v>
      </c>
      <c r="C170" s="21"/>
      <c r="D170" s="21"/>
      <c r="E170" s="21"/>
      <c r="F170" s="21"/>
      <c r="G170" s="21"/>
      <c r="H170" s="758"/>
      <c r="I170" s="64">
        <v>901.14</v>
      </c>
      <c r="J170" s="181"/>
      <c r="K170" s="181"/>
      <c r="L170" s="1781" t="s">
        <v>4491</v>
      </c>
      <c r="M170" s="423"/>
      <c r="N170" s="181"/>
      <c r="O170" s="1773">
        <f ca="1">MIN(1,M172*S172*W172+M173*S173*W173)</f>
        <v>0</v>
      </c>
      <c r="P170" s="105"/>
      <c r="Q170" s="105"/>
      <c r="R170" s="105"/>
      <c r="S170" s="105"/>
      <c r="T170" s="105"/>
      <c r="U170" s="105"/>
      <c r="V170" s="105"/>
      <c r="W170" s="105"/>
      <c r="X170" s="1784"/>
      <c r="AN170" s="254" t="str">
        <f>SUBSTITUTE(SUBSTITUTE(SUBSTITUTE("dpc"&amp;$B170&amp;$C170&amp;$D170&amp;$E170,".","_"),"(","_"),")","")</f>
        <v>dpc901_14</v>
      </c>
      <c r="AO170" s="254">
        <f ca="1">O170</f>
        <v>0</v>
      </c>
      <c r="AR170" s="254" t="str">
        <f>SUBSTITUTE(SUBSTITUTE(SUBSTITUTE("dnt"&amp;$B170&amp;$C170&amp;$D170&amp;$E170,".","_"),"(","_"),")","")</f>
        <v>dnt901_14</v>
      </c>
      <c r="AS170" s="254" t="str">
        <f>IF(LEN(X170)=0,"",X170)</f>
        <v/>
      </c>
    </row>
    <row r="171" spans="1:61" ht="15" customHeight="1" x14ac:dyDescent="0.25">
      <c r="B171" s="679">
        <v>901.14</v>
      </c>
      <c r="C171" s="21"/>
      <c r="D171" s="21"/>
      <c r="E171" s="21"/>
      <c r="F171" s="21"/>
      <c r="G171" s="21"/>
      <c r="H171" s="758"/>
      <c r="I171" s="480"/>
      <c r="J171" s="129"/>
      <c r="K171" s="129"/>
      <c r="L171" s="1782"/>
      <c r="M171" s="424"/>
      <c r="N171" s="129"/>
      <c r="O171" s="1774"/>
      <c r="P171" s="94"/>
      <c r="Q171" s="94"/>
      <c r="R171" s="94"/>
      <c r="S171" s="94"/>
      <c r="T171" s="94"/>
      <c r="U171" s="94"/>
      <c r="V171" s="94"/>
      <c r="W171" s="94"/>
      <c r="X171" s="1770"/>
    </row>
    <row r="172" spans="1:61" ht="15" customHeight="1" x14ac:dyDescent="0.25">
      <c r="B172" s="679">
        <v>901.14</v>
      </c>
      <c r="C172" s="21" t="s">
        <v>256</v>
      </c>
      <c r="D172" s="21"/>
      <c r="E172" s="21"/>
      <c r="F172" s="758"/>
      <c r="G172" s="21"/>
      <c r="H172" s="758"/>
      <c r="I172" s="480"/>
      <c r="J172" s="206" t="s">
        <v>256</v>
      </c>
      <c r="K172" s="210"/>
      <c r="L172" s="422" t="s">
        <v>3218</v>
      </c>
      <c r="M172" s="426">
        <v>1</v>
      </c>
      <c r="N172" s="129"/>
      <c r="O172" s="239"/>
      <c r="P172" s="94" t="b">
        <v>0</v>
      </c>
      <c r="Q172" s="94" t="b">
        <v>1</v>
      </c>
      <c r="R172" s="94" t="b">
        <v>0</v>
      </c>
      <c r="S172" s="752" t="b">
        <f ca="1">AY19=INDEX(INDIRECT("ddSingleOrMulti"),2)</f>
        <v>0</v>
      </c>
      <c r="T172" s="94" t="b">
        <f ca="1">AND(NOT(S172),W172=TRUE)</f>
        <v>0</v>
      </c>
      <c r="U172" s="94"/>
      <c r="V172" s="94"/>
      <c r="W172" s="360"/>
      <c r="X172" s="1770"/>
      <c r="AC172" s="394" t="b">
        <f ca="1">OR(AD172:AE172)</f>
        <v>0</v>
      </c>
      <c r="AD172" s="394" t="b">
        <f ca="1">T172</f>
        <v>0</v>
      </c>
      <c r="AE172" s="394"/>
      <c r="AL172" s="254" t="str">
        <f>SUBSTITUTE(SUBSTITUTE(SUBSTITUTE("dpa"&amp;$B172&amp;$C172&amp;$D172&amp;$E172,".","_"),"(","_"),")","")</f>
        <v>dpa901_14_1</v>
      </c>
      <c r="AM172" s="254">
        <f>M172</f>
        <v>1</v>
      </c>
      <c r="AP172" s="254" t="str">
        <f>SUBSTITUTE(SUBSTITUTE(SUBSTITUTE("dch"&amp;$B172&amp;$C172&amp;$D172&amp;$E172,".","_"),"(","_"),")","")</f>
        <v>dch901_14_1</v>
      </c>
      <c r="AQ172" s="254" t="str">
        <f>IF(LEN(W172)=0,"",W172)</f>
        <v/>
      </c>
    </row>
    <row r="173" spans="1:61" ht="15" customHeight="1" thickBot="1" x14ac:dyDescent="0.3">
      <c r="B173" s="679">
        <v>901.14</v>
      </c>
      <c r="C173" s="21" t="s">
        <v>258</v>
      </c>
      <c r="D173" s="21"/>
      <c r="E173" s="21"/>
      <c r="F173" s="758"/>
      <c r="G173" s="21"/>
      <c r="H173" s="758"/>
      <c r="I173" s="481"/>
      <c r="J173" s="190" t="s">
        <v>258</v>
      </c>
      <c r="K173" s="240"/>
      <c r="L173" s="425" t="s">
        <v>3219</v>
      </c>
      <c r="M173" s="429">
        <v>1</v>
      </c>
      <c r="N173" s="240"/>
      <c r="O173" s="241"/>
      <c r="P173" s="94" t="b">
        <v>0</v>
      </c>
      <c r="Q173" s="94" t="b">
        <v>1</v>
      </c>
      <c r="R173" s="99" t="b">
        <v>0</v>
      </c>
      <c r="S173" s="752" t="b">
        <f ca="1">AY19=INDEX(INDIRECT("ddSingleOrMulti"),2)</f>
        <v>0</v>
      </c>
      <c r="T173" s="94" t="b">
        <f ca="1">AND(NOT(S173),W173=TRUE)</f>
        <v>0</v>
      </c>
      <c r="U173" s="99"/>
      <c r="V173" s="99"/>
      <c r="W173" s="100"/>
      <c r="X173" s="1771"/>
      <c r="AC173" s="394" t="b">
        <f ca="1">OR(AD173:AE173)</f>
        <v>0</v>
      </c>
      <c r="AD173" s="394" t="b">
        <f ca="1">T173</f>
        <v>0</v>
      </c>
      <c r="AE173" s="394"/>
      <c r="AL173" s="254" t="str">
        <f>SUBSTITUTE(SUBSTITUTE(SUBSTITUTE("dpa"&amp;$B173&amp;$C173&amp;$D173&amp;$E173,".","_"),"(","_"),")","")</f>
        <v>dpa901_14_2</v>
      </c>
      <c r="AM173" s="254">
        <f>M173</f>
        <v>1</v>
      </c>
      <c r="AP173" s="254" t="str">
        <f>SUBSTITUTE(SUBSTITUTE(SUBSTITUTE("dch"&amp;$B173&amp;$C173&amp;$D173&amp;$E173,".","_"),"(","_"),")","")</f>
        <v>dch901_14_2</v>
      </c>
      <c r="AQ173" s="254" t="str">
        <f>IF(LEN(W173)=0,"",W173)</f>
        <v/>
      </c>
    </row>
    <row r="174" spans="1:61" ht="15" customHeight="1" thickTop="1" x14ac:dyDescent="0.25">
      <c r="B174" s="679" t="s">
        <v>4493</v>
      </c>
      <c r="C174" s="21"/>
      <c r="D174" s="21"/>
      <c r="E174" s="21"/>
      <c r="F174" s="758"/>
      <c r="G174" s="21"/>
      <c r="H174" s="758"/>
      <c r="I174" s="64">
        <v>901.15</v>
      </c>
      <c r="J174" s="4"/>
      <c r="K174" s="4"/>
      <c r="L174" s="1796" t="s">
        <v>4490</v>
      </c>
      <c r="M174" s="428"/>
      <c r="N174" s="4"/>
      <c r="O174" s="141"/>
    </row>
    <row r="175" spans="1:61" ht="15" customHeight="1" x14ac:dyDescent="0.25">
      <c r="B175" s="679" t="s">
        <v>4493</v>
      </c>
      <c r="C175" s="21"/>
      <c r="D175" s="21"/>
      <c r="E175" s="21"/>
      <c r="F175" s="758"/>
      <c r="G175" s="21"/>
      <c r="H175" s="758"/>
      <c r="I175" s="164"/>
      <c r="J175" s="4"/>
      <c r="K175" s="4"/>
      <c r="L175" s="1796"/>
      <c r="M175" s="428"/>
      <c r="N175" s="4"/>
      <c r="O175" s="141"/>
    </row>
    <row r="176" spans="1:61" x14ac:dyDescent="0.25">
      <c r="B176" s="679" t="s">
        <v>4493</v>
      </c>
      <c r="C176" s="21" t="s">
        <v>256</v>
      </c>
      <c r="D176" s="21"/>
      <c r="E176" s="21"/>
      <c r="F176" s="758"/>
      <c r="G176" s="21"/>
      <c r="H176" s="758"/>
      <c r="I176" s="164"/>
      <c r="J176" s="183" t="s">
        <v>256</v>
      </c>
      <c r="K176" s="129"/>
      <c r="L176" s="1754" t="s">
        <v>3220</v>
      </c>
      <c r="M176" s="1758">
        <v>1</v>
      </c>
      <c r="N176" s="4"/>
      <c r="O176" s="1774">
        <f ca="1">M176*S176*W176</f>
        <v>0</v>
      </c>
      <c r="P176" s="94" t="b">
        <v>0</v>
      </c>
      <c r="Q176" s="94" t="b">
        <v>1</v>
      </c>
      <c r="R176" s="386" t="b">
        <v>0</v>
      </c>
      <c r="S176" s="752" t="b">
        <f ca="1">AY19=INDEX(INDIRECT("ddSingleOrMulti"),2)</f>
        <v>0</v>
      </c>
      <c r="T176" s="94" t="b">
        <f ca="1">AND(NOT(S176),W176=TRUE)</f>
        <v>0</v>
      </c>
      <c r="W176" s="25"/>
      <c r="X176" s="1757"/>
      <c r="AC176" s="394" t="b">
        <f ca="1">OR(AD176:AE176)</f>
        <v>0</v>
      </c>
      <c r="AD176" s="394" t="b">
        <f ca="1">T176</f>
        <v>0</v>
      </c>
      <c r="AE176" s="394"/>
      <c r="AL176" s="254" t="str">
        <f>SUBSTITUTE(SUBSTITUTE(SUBSTITUTE("dpa"&amp;$B176&amp;$C176&amp;$D176&amp;$E176,".","_"),"(","_"),")","")</f>
        <v>dpa901_15_1</v>
      </c>
      <c r="AM176" s="254">
        <f>M176</f>
        <v>1</v>
      </c>
      <c r="AN176" s="254" t="str">
        <f>SUBSTITUTE(SUBSTITUTE(SUBSTITUTE("dpc"&amp;$B176&amp;$C176&amp;$D176&amp;$E176,".","_"),"(","_"),")","")</f>
        <v>dpc901_15_1</v>
      </c>
      <c r="AO176" s="254">
        <f ca="1">O176</f>
        <v>0</v>
      </c>
      <c r="AP176" s="254" t="str">
        <f>SUBSTITUTE(SUBSTITUTE(SUBSTITUTE("dch"&amp;$B176&amp;$C176&amp;$D176&amp;$E176,".","_"),"(","_"),")","")</f>
        <v>dch901_15_1</v>
      </c>
      <c r="AQ176" s="254" t="str">
        <f>IF(LEN(W176)=0,"",W176)</f>
        <v/>
      </c>
      <c r="AR176" s="254" t="str">
        <f>SUBSTITUTE(SUBSTITUTE(SUBSTITUTE("dnt"&amp;$B176&amp;$C176&amp;$D176&amp;$E176,".","_"),"(","_"),")","")</f>
        <v>dnt901_15_1</v>
      </c>
      <c r="AS176" s="254" t="str">
        <f>IF(LEN(X176)=0,"",X176)</f>
        <v/>
      </c>
    </row>
    <row r="177" spans="1:61" x14ac:dyDescent="0.25">
      <c r="B177" s="679" t="s">
        <v>4493</v>
      </c>
      <c r="C177" s="21" t="s">
        <v>256</v>
      </c>
      <c r="D177" s="21"/>
      <c r="E177" s="21"/>
      <c r="F177" s="758"/>
      <c r="G177" s="21"/>
      <c r="H177" s="758"/>
      <c r="I177" s="164"/>
      <c r="J177" s="210"/>
      <c r="K177" s="210"/>
      <c r="L177" s="1755"/>
      <c r="M177" s="1759"/>
      <c r="N177" s="4"/>
      <c r="O177" s="1764"/>
      <c r="X177" s="1757"/>
    </row>
    <row r="178" spans="1:61" x14ac:dyDescent="0.25">
      <c r="B178" s="679" t="s">
        <v>4493</v>
      </c>
      <c r="C178" s="21" t="s">
        <v>258</v>
      </c>
      <c r="D178" s="21"/>
      <c r="E178" s="21"/>
      <c r="F178" s="758"/>
      <c r="G178" s="21"/>
      <c r="H178" s="758"/>
      <c r="I178" s="164"/>
      <c r="J178" s="27" t="s">
        <v>258</v>
      </c>
      <c r="K178" s="4"/>
      <c r="L178" s="1779" t="s">
        <v>3221</v>
      </c>
      <c r="M178" s="1767">
        <v>1</v>
      </c>
      <c r="N178" s="4"/>
      <c r="O178" s="1780">
        <f ca="1">M178*S178*W178</f>
        <v>0</v>
      </c>
      <c r="P178" s="94" t="b">
        <v>0</v>
      </c>
      <c r="Q178" s="94" t="b">
        <v>1</v>
      </c>
      <c r="R178" s="386" t="b">
        <v>0</v>
      </c>
      <c r="S178" s="752" t="b">
        <f ca="1">AY19=INDEX(INDIRECT("ddSingleOrMulti"),2)</f>
        <v>0</v>
      </c>
      <c r="T178" s="94" t="b">
        <f ca="1">AND(NOT(S178),W178=TRUE)</f>
        <v>0</v>
      </c>
      <c r="W178" s="25"/>
      <c r="X178" s="1757"/>
      <c r="AC178" s="394" t="b">
        <f ca="1">OR(AD178:AE178)</f>
        <v>0</v>
      </c>
      <c r="AD178" s="394" t="b">
        <f ca="1">T178</f>
        <v>0</v>
      </c>
      <c r="AE178" s="394"/>
      <c r="AL178" s="254" t="str">
        <f>SUBSTITUTE(SUBSTITUTE(SUBSTITUTE("dpa"&amp;$B178&amp;$C178&amp;$D178&amp;$E178,".","_"),"(","_"),")","")</f>
        <v>dpa901_15_2</v>
      </c>
      <c r="AM178" s="254">
        <f>M178</f>
        <v>1</v>
      </c>
      <c r="AN178" s="254" t="str">
        <f>SUBSTITUTE(SUBSTITUTE(SUBSTITUTE("dpc"&amp;$B178&amp;$C178&amp;$D178&amp;$E178,".","_"),"(","_"),")","")</f>
        <v>dpc901_15_2</v>
      </c>
      <c r="AO178" s="254">
        <f ca="1">O178</f>
        <v>0</v>
      </c>
      <c r="AP178" s="254" t="str">
        <f>SUBSTITUTE(SUBSTITUTE(SUBSTITUTE("dch"&amp;$B178&amp;$C178&amp;$D178&amp;$E178,".","_"),"(","_"),")","")</f>
        <v>dch901_15_2</v>
      </c>
      <c r="AQ178" s="254" t="str">
        <f>IF(LEN(W178)=0,"",W178)</f>
        <v/>
      </c>
      <c r="AR178" s="254" t="str">
        <f>SUBSTITUTE(SUBSTITUTE(SUBSTITUTE("dnt"&amp;$B178&amp;$C178&amp;$D178&amp;$E178,".","_"),"(","_"),")","")</f>
        <v>dnt901_15_2</v>
      </c>
      <c r="AS178" s="254" t="str">
        <f>IF(LEN(X178)=0,"",X178)</f>
        <v/>
      </c>
    </row>
    <row r="179" spans="1:61" x14ac:dyDescent="0.25">
      <c r="B179" s="679" t="s">
        <v>4493</v>
      </c>
      <c r="C179" s="21" t="s">
        <v>258</v>
      </c>
      <c r="D179" s="21"/>
      <c r="E179" s="21"/>
      <c r="F179" s="758"/>
      <c r="G179" s="21"/>
      <c r="H179" s="758"/>
      <c r="I179" s="164"/>
      <c r="J179" s="4"/>
      <c r="K179" s="4"/>
      <c r="L179" s="1779"/>
      <c r="M179" s="1767"/>
      <c r="N179" s="4"/>
      <c r="O179" s="1780"/>
      <c r="X179" s="1757"/>
    </row>
    <row r="180" spans="1:61" ht="18.75" x14ac:dyDescent="0.3">
      <c r="B180" s="679">
        <v>902</v>
      </c>
      <c r="C180" s="21"/>
      <c r="D180" s="21"/>
      <c r="E180" s="21"/>
      <c r="F180" s="758"/>
      <c r="G180" s="21"/>
      <c r="H180" s="758"/>
      <c r="I180" s="14" t="s">
        <v>3222</v>
      </c>
      <c r="J180" s="23"/>
      <c r="K180" s="23"/>
      <c r="L180" s="84"/>
      <c r="M180" s="498"/>
      <c r="N180" s="508"/>
      <c r="O180" s="498"/>
      <c r="P180" s="23"/>
      <c r="Q180" s="23"/>
      <c r="R180" s="23"/>
      <c r="S180" s="23"/>
      <c r="T180" s="23"/>
      <c r="U180" s="23"/>
      <c r="V180" s="23"/>
      <c r="W180" s="23"/>
      <c r="X180" s="23"/>
    </row>
    <row r="181" spans="1:61" ht="15.75" thickBot="1" x14ac:dyDescent="0.3">
      <c r="B181" s="679" t="s">
        <v>4080</v>
      </c>
      <c r="C181" s="21"/>
      <c r="D181" s="21"/>
      <c r="E181" s="21"/>
      <c r="F181" s="758"/>
      <c r="G181" s="21"/>
      <c r="H181" s="758"/>
      <c r="I181" s="478">
        <v>902</v>
      </c>
      <c r="J181" s="240"/>
      <c r="K181" s="240"/>
      <c r="L181" s="435" t="s">
        <v>3223</v>
      </c>
      <c r="M181" s="429"/>
      <c r="N181" s="240"/>
      <c r="O181" s="241"/>
      <c r="P181" s="99"/>
      <c r="Q181" s="99"/>
      <c r="R181" s="99"/>
      <c r="S181" s="99"/>
      <c r="T181" s="99"/>
      <c r="U181" s="99"/>
      <c r="V181" s="99"/>
      <c r="W181" s="99"/>
      <c r="X181" s="99"/>
      <c r="AX181" s="442"/>
      <c r="AY181" s="442"/>
    </row>
    <row r="182" spans="1:61" s="442" customFormat="1" ht="15.75" thickTop="1" x14ac:dyDescent="0.25">
      <c r="A182" s="18"/>
      <c r="B182" s="679">
        <v>902.1</v>
      </c>
      <c r="C182" s="21"/>
      <c r="D182" s="21"/>
      <c r="E182" s="21"/>
      <c r="F182" s="758"/>
      <c r="G182" s="21"/>
      <c r="H182" s="758"/>
      <c r="I182" s="64">
        <v>902.1</v>
      </c>
      <c r="J182" s="4"/>
      <c r="K182" s="4"/>
      <c r="L182" s="463" t="s">
        <v>3224</v>
      </c>
      <c r="M182" s="450"/>
      <c r="N182" s="4"/>
      <c r="O182" s="499"/>
      <c r="Y182" s="780"/>
      <c r="AA182" s="783"/>
      <c r="AX182" s="76"/>
      <c r="AY182" s="76"/>
      <c r="AZ182" s="76"/>
      <c r="BA182" s="76"/>
      <c r="BB182" s="76"/>
      <c r="BC182" s="76"/>
      <c r="BD182" s="76"/>
      <c r="BE182" s="76"/>
      <c r="BF182" s="76"/>
      <c r="BG182" s="76"/>
      <c r="BH182" s="76"/>
      <c r="BI182" s="76"/>
    </row>
    <row r="183" spans="1:61" x14ac:dyDescent="0.25">
      <c r="B183" s="679">
        <v>902.1</v>
      </c>
      <c r="C183" s="21"/>
      <c r="D183" s="21"/>
      <c r="E183" s="21"/>
      <c r="F183" s="758"/>
      <c r="G183" s="21"/>
      <c r="H183" s="758"/>
      <c r="I183" s="64" t="s">
        <v>3807</v>
      </c>
      <c r="J183" s="4"/>
      <c r="K183" s="4"/>
      <c r="L183" s="166" t="s">
        <v>3808</v>
      </c>
      <c r="M183" s="428"/>
      <c r="N183" s="4"/>
      <c r="O183" s="141"/>
      <c r="AZ183" s="442"/>
      <c r="BA183" s="442"/>
      <c r="BB183" s="442"/>
      <c r="BC183" s="442"/>
      <c r="BD183" s="442"/>
      <c r="BE183" s="442"/>
      <c r="BF183" s="442"/>
      <c r="BG183" s="442"/>
      <c r="BH183" s="442"/>
      <c r="BI183" s="442"/>
    </row>
    <row r="184" spans="1:61" x14ac:dyDescent="0.25">
      <c r="B184" s="679">
        <v>902.1</v>
      </c>
      <c r="C184" s="21" t="s">
        <v>256</v>
      </c>
      <c r="D184" s="21"/>
      <c r="E184" s="21"/>
      <c r="F184" s="758"/>
      <c r="G184" s="21"/>
      <c r="H184" s="758"/>
      <c r="I184" s="164"/>
      <c r="J184" s="27" t="s">
        <v>256</v>
      </c>
      <c r="K184" s="4"/>
      <c r="L184" s="1779" t="s">
        <v>3225</v>
      </c>
      <c r="M184" s="1837" t="str">
        <f>IF(R184,"Mandatory","N/A")</f>
        <v>Mandatory</v>
      </c>
      <c r="N184" s="4"/>
      <c r="O184" s="141"/>
      <c r="P184" s="94" t="b">
        <v>0</v>
      </c>
      <c r="Q184" s="94" t="b">
        <v>1</v>
      </c>
      <c r="R184" s="386" t="b">
        <f>S184</f>
        <v>1</v>
      </c>
      <c r="S184" s="386" t="b">
        <v>1</v>
      </c>
      <c r="T184" s="386" t="b">
        <v>0</v>
      </c>
      <c r="W184" s="25"/>
      <c r="X184" s="1757"/>
      <c r="AC184" s="394" t="b">
        <f>OR(AD184:AE184)</f>
        <v>1</v>
      </c>
      <c r="AD184" s="394" t="b">
        <f>T184</f>
        <v>0</v>
      </c>
      <c r="AE184" s="394" t="b">
        <f>AND(R184,NOT(W184))</f>
        <v>1</v>
      </c>
      <c r="AL184" s="254" t="str">
        <f>SUBSTITUTE(SUBSTITUTE(SUBSTITUTE("dpa"&amp;$B184&amp;$C184&amp;$D184&amp;$E184,".","_"),"(","_"),")","")</f>
        <v>dpa902_1_1</v>
      </c>
      <c r="AM184" s="254" t="str">
        <f>M184</f>
        <v>Mandatory</v>
      </c>
      <c r="AP184" s="254" t="str">
        <f>SUBSTITUTE(SUBSTITUTE(SUBSTITUTE("dch"&amp;$B184&amp;$C184&amp;$D184&amp;$E184,".","_"),"(","_"),")","")</f>
        <v>dch902_1_1</v>
      </c>
      <c r="AQ184" s="254" t="str">
        <f>IF(LEN(W184)=0,"",W184)</f>
        <v/>
      </c>
      <c r="AR184" s="254" t="str">
        <f>SUBSTITUTE(SUBSTITUTE(SUBSTITUTE("dnt"&amp;$B184&amp;$C184&amp;$D184&amp;$E184,".","_"),"(","_"),")","")</f>
        <v>dnt902_1_1</v>
      </c>
      <c r="AS184" s="254" t="str">
        <f>IF(LEN(X184)=0,"",X184)</f>
        <v/>
      </c>
    </row>
    <row r="185" spans="1:61" x14ac:dyDescent="0.25">
      <c r="B185" s="679">
        <v>902.1</v>
      </c>
      <c r="C185" s="21" t="s">
        <v>256</v>
      </c>
      <c r="D185" s="21"/>
      <c r="E185" s="21"/>
      <c r="F185" s="758"/>
      <c r="G185" s="21"/>
      <c r="H185" s="758"/>
      <c r="I185" s="164"/>
      <c r="J185" s="4"/>
      <c r="K185" s="4"/>
      <c r="L185" s="1779"/>
      <c r="M185" s="1837"/>
      <c r="N185" s="4"/>
      <c r="O185" s="141"/>
      <c r="X185" s="1757"/>
    </row>
    <row r="186" spans="1:61" ht="15" customHeight="1" x14ac:dyDescent="0.25">
      <c r="B186" s="679">
        <v>902.1</v>
      </c>
      <c r="C186" s="21" t="s">
        <v>256</v>
      </c>
      <c r="D186" s="21" t="s">
        <v>121</v>
      </c>
      <c r="E186" s="21"/>
      <c r="F186" s="758"/>
      <c r="G186" s="21"/>
      <c r="H186" s="758"/>
      <c r="I186" s="164"/>
      <c r="J186" s="183"/>
      <c r="K186" s="183" t="s">
        <v>121</v>
      </c>
      <c r="L186" s="1754" t="s">
        <v>3651</v>
      </c>
      <c r="M186" s="1758">
        <v>1</v>
      </c>
      <c r="N186" s="4"/>
      <c r="O186" s="1774">
        <f>M186*S186*W186</f>
        <v>0</v>
      </c>
      <c r="P186" s="94" t="b">
        <v>0</v>
      </c>
      <c r="Q186" s="94" t="b">
        <v>1</v>
      </c>
      <c r="R186" s="386" t="b">
        <v>0</v>
      </c>
      <c r="S186" s="386" t="b">
        <f>W184=TRUE</f>
        <v>0</v>
      </c>
      <c r="T186" s="94" t="b">
        <f>AND(NOT(S186),W186=TRUE)</f>
        <v>0</v>
      </c>
      <c r="W186" s="25"/>
      <c r="X186" s="1757"/>
      <c r="AC186" s="394" t="b">
        <f>OR(AD186:AE186)</f>
        <v>0</v>
      </c>
      <c r="AD186" s="394" t="b">
        <f>T186</f>
        <v>0</v>
      </c>
      <c r="AE186" s="394"/>
      <c r="AL186" s="254" t="str">
        <f>SUBSTITUTE(SUBSTITUTE(SUBSTITUTE("dpa"&amp;$B186&amp;$C186&amp;$D186&amp;$E186,".","_"),"(","_"),")","")</f>
        <v>dpa902_1_1_a</v>
      </c>
      <c r="AM186" s="254">
        <f>M186</f>
        <v>1</v>
      </c>
      <c r="AN186" s="254" t="str">
        <f>SUBSTITUTE(SUBSTITUTE(SUBSTITUTE("dpc"&amp;$B186&amp;$C186&amp;$D186&amp;$E186,".","_"),"(","_"),")","")</f>
        <v>dpc902_1_1_a</v>
      </c>
      <c r="AO186" s="254">
        <f>O186</f>
        <v>0</v>
      </c>
      <c r="AP186" s="254" t="str">
        <f>SUBSTITUTE(SUBSTITUTE(SUBSTITUTE("dch"&amp;$B186&amp;$C186&amp;$D186&amp;$E186,".","_"),"(","_"),")","")</f>
        <v>dch902_1_1_a</v>
      </c>
      <c r="AQ186" s="254" t="str">
        <f>IF(LEN(W186)=0,"",W186)</f>
        <v/>
      </c>
      <c r="AR186" s="254" t="str">
        <f>SUBSTITUTE(SUBSTITUTE(SUBSTITUTE("dnt"&amp;$B186&amp;$C186&amp;$D186&amp;$E186,".","_"),"(","_"),")","")</f>
        <v>dnt902_1_1_a</v>
      </c>
      <c r="AS186" s="254" t="str">
        <f>IF(LEN(X186)=0,"",X186)</f>
        <v/>
      </c>
    </row>
    <row r="187" spans="1:61" x14ac:dyDescent="0.25">
      <c r="B187" s="679">
        <v>902.1</v>
      </c>
      <c r="C187" s="21" t="s">
        <v>256</v>
      </c>
      <c r="D187" s="21"/>
      <c r="E187" s="21"/>
      <c r="F187" s="758"/>
      <c r="G187" s="21"/>
      <c r="H187" s="758"/>
      <c r="I187" s="164"/>
      <c r="J187" s="206"/>
      <c r="K187" s="210"/>
      <c r="L187" s="1755"/>
      <c r="M187" s="1759"/>
      <c r="N187" s="4"/>
      <c r="O187" s="1764"/>
      <c r="X187" s="1757"/>
    </row>
    <row r="188" spans="1:61" x14ac:dyDescent="0.25">
      <c r="B188" s="679">
        <v>902.1</v>
      </c>
      <c r="C188" s="21" t="s">
        <v>258</v>
      </c>
      <c r="D188" s="21"/>
      <c r="E188" s="21"/>
      <c r="F188" s="758"/>
      <c r="G188" s="21"/>
      <c r="H188" s="758"/>
      <c r="I188" s="164"/>
      <c r="J188" s="183" t="s">
        <v>258</v>
      </c>
      <c r="K188" s="129"/>
      <c r="L188" s="1754" t="s">
        <v>3226</v>
      </c>
      <c r="M188" s="1837" t="str">
        <f>IF(R188,"Mandatory","N/A")</f>
        <v>Mandatory</v>
      </c>
      <c r="N188" s="4"/>
      <c r="O188" s="141"/>
      <c r="P188" s="94" t="b">
        <v>0</v>
      </c>
      <c r="Q188" s="94" t="b">
        <v>1</v>
      </c>
      <c r="R188" s="386" t="b">
        <f>S188</f>
        <v>1</v>
      </c>
      <c r="S188" s="386" t="b">
        <v>1</v>
      </c>
      <c r="T188" s="386" t="b">
        <v>0</v>
      </c>
      <c r="U188" s="94" t="str">
        <f>SUBSTITUTE(SUBSTITUTE(SUBSTITUTE("dd"&amp;B188&amp;C188&amp;D188&amp;E188&amp;F188,".","_"),"(","_"),")","")</f>
        <v>dd902_1_2</v>
      </c>
      <c r="W188" s="12"/>
      <c r="X188" s="1757"/>
      <c r="AC188" s="394" t="b">
        <f>OR(AD188:AE188)</f>
        <v>1</v>
      </c>
      <c r="AD188" s="394" t="b">
        <f>T188</f>
        <v>0</v>
      </c>
      <c r="AE188" s="394" t="b">
        <f>AND(R188,OR(W188="Not Met",W188=""))</f>
        <v>1</v>
      </c>
      <c r="AL188" s="254" t="str">
        <f>SUBSTITUTE(SUBSTITUTE(SUBSTITUTE("dpa"&amp;$B188&amp;$C188&amp;$D188&amp;$E188,".","_"),"(","_"),")","")</f>
        <v>dpa902_1_2</v>
      </c>
      <c r="AM188" s="254" t="str">
        <f>M188</f>
        <v>Mandatory</v>
      </c>
      <c r="AP188" s="254" t="str">
        <f>SUBSTITUTE(SUBSTITUTE(SUBSTITUTE("dch"&amp;$B188&amp;$C188&amp;$D188&amp;$E188,".","_"),"(","_"),")","")</f>
        <v>dch902_1_2</v>
      </c>
      <c r="AQ188" s="254" t="str">
        <f>IF(LEN(W188)=0,"",W188)</f>
        <v/>
      </c>
      <c r="AR188" s="254" t="str">
        <f>SUBSTITUTE(SUBSTITUTE(SUBSTITUTE("dnt"&amp;$B188&amp;$C188&amp;$D188&amp;$E188,".","_"),"(","_"),")","")</f>
        <v>dnt902_1_2</v>
      </c>
      <c r="AS188" s="254" t="str">
        <f>IF(LEN(X188)=0,"",X188)</f>
        <v/>
      </c>
    </row>
    <row r="189" spans="1:61" x14ac:dyDescent="0.25">
      <c r="B189" s="679">
        <v>902.1</v>
      </c>
      <c r="C189" s="21" t="s">
        <v>258</v>
      </c>
      <c r="D189" s="21"/>
      <c r="E189" s="21"/>
      <c r="F189" s="758"/>
      <c r="G189" s="21"/>
      <c r="H189" s="758"/>
      <c r="I189" s="164"/>
      <c r="J189" s="206"/>
      <c r="K189" s="210"/>
      <c r="L189" s="1755"/>
      <c r="M189" s="1844"/>
      <c r="N189" s="4"/>
      <c r="O189" s="501"/>
      <c r="X189" s="1757"/>
    </row>
    <row r="190" spans="1:61" x14ac:dyDescent="0.25">
      <c r="B190" s="679">
        <v>902.1</v>
      </c>
      <c r="C190" s="21" t="s">
        <v>260</v>
      </c>
      <c r="D190" s="21"/>
      <c r="E190" s="21"/>
      <c r="F190" s="758"/>
      <c r="G190" s="21"/>
      <c r="H190" s="758"/>
      <c r="I190" s="480"/>
      <c r="J190" s="183" t="s">
        <v>260</v>
      </c>
      <c r="K190" s="129"/>
      <c r="L190" s="1754" t="s">
        <v>3227</v>
      </c>
      <c r="M190" s="1758">
        <v>8</v>
      </c>
      <c r="N190" s="129"/>
      <c r="O190" s="1774">
        <f>M190*S190*W190</f>
        <v>0</v>
      </c>
      <c r="P190" s="94" t="b">
        <v>0</v>
      </c>
      <c r="Q190" s="94" t="b">
        <v>1</v>
      </c>
      <c r="R190" s="94" t="b">
        <v>0</v>
      </c>
      <c r="S190" s="94" t="b">
        <v>1</v>
      </c>
      <c r="T190" s="94" t="b">
        <v>0</v>
      </c>
      <c r="U190" s="94"/>
      <c r="V190" s="94"/>
      <c r="W190" s="360"/>
      <c r="X190" s="1770"/>
      <c r="AC190" s="394"/>
      <c r="AD190" s="394"/>
      <c r="AE190" s="394"/>
      <c r="AL190" s="254" t="str">
        <f>SUBSTITUTE(SUBSTITUTE(SUBSTITUTE("dpa"&amp;$B190&amp;$C190&amp;$D190&amp;$E190,".","_"),"(","_"),")","")</f>
        <v>dpa902_1_3</v>
      </c>
      <c r="AM190" s="254">
        <f>M190</f>
        <v>8</v>
      </c>
      <c r="AN190" s="254" t="str">
        <f>SUBSTITUTE(SUBSTITUTE(SUBSTITUTE("dpc"&amp;$B190&amp;$C190&amp;$D190&amp;$E190,".","_"),"(","_"),")","")</f>
        <v>dpc902_1_3</v>
      </c>
      <c r="AO190" s="254">
        <f>O190</f>
        <v>0</v>
      </c>
      <c r="AP190" s="254" t="str">
        <f>SUBSTITUTE(SUBSTITUTE(SUBSTITUTE("dch"&amp;$B190&amp;$C190&amp;$D190&amp;$E190,".","_"),"(","_"),")","")</f>
        <v>dch902_1_3</v>
      </c>
      <c r="AQ190" s="254" t="str">
        <f>IF(LEN(W190)=0,"",W190)</f>
        <v/>
      </c>
      <c r="AR190" s="254" t="str">
        <f>SUBSTITUTE(SUBSTITUTE(SUBSTITUTE("dnt"&amp;$B190&amp;$C190&amp;$D190&amp;$E190,".","_"),"(","_"),")","")</f>
        <v>dnt902_1_3</v>
      </c>
      <c r="AS190" s="254" t="str">
        <f>IF(LEN(X190)=0,"",X190)</f>
        <v/>
      </c>
    </row>
    <row r="191" spans="1:61" x14ac:dyDescent="0.25">
      <c r="B191" s="679">
        <v>902.1</v>
      </c>
      <c r="C191" s="21" t="s">
        <v>260</v>
      </c>
      <c r="D191" s="21"/>
      <c r="E191" s="21"/>
      <c r="F191" s="758"/>
      <c r="G191" s="21"/>
      <c r="H191" s="758"/>
      <c r="I191" s="480"/>
      <c r="J191" s="183"/>
      <c r="K191" s="129"/>
      <c r="L191" s="1754"/>
      <c r="M191" s="1758"/>
      <c r="N191" s="129"/>
      <c r="O191" s="1774"/>
      <c r="P191" s="94"/>
      <c r="Q191" s="94"/>
      <c r="R191" s="94"/>
      <c r="S191" s="94"/>
      <c r="T191" s="94"/>
      <c r="U191" s="94"/>
      <c r="V191" s="94"/>
      <c r="W191" s="94"/>
      <c r="X191" s="1770"/>
    </row>
    <row r="192" spans="1:61" x14ac:dyDescent="0.25">
      <c r="B192" s="679">
        <v>902.1</v>
      </c>
      <c r="C192" s="21" t="s">
        <v>260</v>
      </c>
      <c r="D192" s="21"/>
      <c r="E192" s="21"/>
      <c r="F192" s="758"/>
      <c r="G192" s="21"/>
      <c r="H192" s="758"/>
      <c r="I192" s="524"/>
      <c r="J192" s="210"/>
      <c r="K192" s="210"/>
      <c r="L192" s="1755"/>
      <c r="M192" s="1759"/>
      <c r="N192" s="210"/>
      <c r="O192" s="1764"/>
      <c r="P192" s="178"/>
      <c r="Q192" s="178"/>
      <c r="R192" s="178"/>
      <c r="S192" s="178"/>
      <c r="T192" s="178"/>
      <c r="U192" s="178"/>
      <c r="V192" s="178"/>
      <c r="W192" s="178"/>
      <c r="X192" s="1770"/>
    </row>
    <row r="193" spans="2:45" x14ac:dyDescent="0.25">
      <c r="B193" s="679" t="s">
        <v>3228</v>
      </c>
      <c r="C193" s="21"/>
      <c r="D193" s="21" t="s">
        <v>5105</v>
      </c>
      <c r="E193" s="21"/>
      <c r="F193" s="21"/>
      <c r="G193" s="21"/>
      <c r="H193" s="758"/>
      <c r="I193" s="192" t="s">
        <v>3228</v>
      </c>
      <c r="J193" s="193"/>
      <c r="K193" s="193"/>
      <c r="L193" s="1864" t="s">
        <v>3229</v>
      </c>
      <c r="M193" s="1762" t="s">
        <v>3230</v>
      </c>
      <c r="N193" s="193"/>
      <c r="O193" s="1763">
        <f>MIN(11,IF(W194+W196=0,0,5+2*(W194+W196-1)))</f>
        <v>0</v>
      </c>
      <c r="P193" s="195"/>
      <c r="Q193" s="195"/>
      <c r="R193" s="195"/>
      <c r="S193" s="195"/>
      <c r="T193" s="195"/>
      <c r="U193" s="195"/>
      <c r="V193" s="195"/>
      <c r="W193" s="195" t="s">
        <v>3652</v>
      </c>
      <c r="X193" s="1770"/>
      <c r="AL193" s="254" t="str">
        <f>SUBSTITUTE(SUBSTITUTE(SUBSTITUTE("dpa"&amp;$B193&amp;$C193&amp;$D193&amp;$E193,".","_"),"(","_"),")","")</f>
        <v>dpa902_1_2_</v>
      </c>
      <c r="AM193" s="254" t="str">
        <f>M193</f>
        <v>11 Max</v>
      </c>
      <c r="AN193" s="254" t="str">
        <f>SUBSTITUTE(SUBSTITUTE(SUBSTITUTE("dpc"&amp;$B193&amp;$C193&amp;$D193&amp;$E193,".","_"),"(","_"),")","")</f>
        <v>dpc902_1_2_</v>
      </c>
      <c r="AO193" s="254">
        <f>O193</f>
        <v>0</v>
      </c>
      <c r="AR193" s="254" t="str">
        <f>SUBSTITUTE(SUBSTITUTE(SUBSTITUTE("dnt"&amp;$B193&amp;$C193&amp;$D193&amp;$E193,".","_"),"(","_"),")","")</f>
        <v>dnt902_1_2_</v>
      </c>
      <c r="AS193" s="254" t="str">
        <f>IF(LEN(X193)=0,"",X193)</f>
        <v/>
      </c>
    </row>
    <row r="194" spans="2:45" x14ac:dyDescent="0.25">
      <c r="B194" s="679" t="s">
        <v>3228</v>
      </c>
      <c r="C194" s="21"/>
      <c r="D194" s="21" t="s">
        <v>5105</v>
      </c>
      <c r="E194" s="21"/>
      <c r="F194" s="21"/>
      <c r="G194" s="21"/>
      <c r="H194" s="758"/>
      <c r="I194" s="480"/>
      <c r="J194" s="129"/>
      <c r="K194" s="129"/>
      <c r="L194" s="1782"/>
      <c r="M194" s="1758"/>
      <c r="N194" s="129"/>
      <c r="O194" s="1774"/>
      <c r="P194" s="94" t="b">
        <v>0</v>
      </c>
      <c r="Q194" s="94" t="b">
        <v>1</v>
      </c>
      <c r="R194" s="94" t="b">
        <v>0</v>
      </c>
      <c r="S194" s="94" t="b">
        <v>1</v>
      </c>
      <c r="T194" s="94" t="b">
        <v>0</v>
      </c>
      <c r="U194" s="94"/>
      <c r="V194" s="94"/>
      <c r="W194" s="483"/>
      <c r="X194" s="1770"/>
      <c r="AC194" s="394"/>
      <c r="AD194" s="394"/>
      <c r="AE194" s="394"/>
      <c r="AP194" s="254" t="str">
        <f>SUBSTITUTE(SUBSTITUTE(SUBSTITUTE("dch"&amp;$B194&amp;$C194&amp;$D194&amp;$E194,".","_"),"(","_"),")","")</f>
        <v>dch902_1_2_</v>
      </c>
      <c r="AQ194" s="254" t="str">
        <f>IF(LEN(W194)=0,"",W194)</f>
        <v/>
      </c>
    </row>
    <row r="195" spans="2:45" ht="15" customHeight="1" x14ac:dyDescent="0.25">
      <c r="B195" s="679" t="s">
        <v>3228</v>
      </c>
      <c r="C195" s="21" t="s">
        <v>256</v>
      </c>
      <c r="D195" s="21"/>
      <c r="E195" s="21"/>
      <c r="F195" s="758"/>
      <c r="G195" s="21"/>
      <c r="H195" s="758"/>
      <c r="I195" s="480"/>
      <c r="J195" s="206" t="s">
        <v>256</v>
      </c>
      <c r="K195" s="210"/>
      <c r="L195" s="449" t="s">
        <v>3231</v>
      </c>
      <c r="M195" s="453">
        <v>5</v>
      </c>
      <c r="N195" s="129"/>
      <c r="O195" s="502"/>
      <c r="P195" s="94"/>
      <c r="Q195" s="94"/>
      <c r="R195" s="94"/>
      <c r="S195" s="94"/>
      <c r="T195" s="94"/>
      <c r="U195" s="94"/>
      <c r="V195" s="94"/>
      <c r="W195" s="94" t="s">
        <v>3653</v>
      </c>
      <c r="X195" s="1770"/>
      <c r="AL195" s="254" t="str">
        <f>SUBSTITUTE(SUBSTITUTE(SUBSTITUTE("dpa"&amp;$B195&amp;$C195&amp;$D195&amp;$E195,".","_"),"(","_"),")","")</f>
        <v>dpa902_1_2_1</v>
      </c>
      <c r="AM195" s="254">
        <f>M195</f>
        <v>5</v>
      </c>
    </row>
    <row r="196" spans="2:45" x14ac:dyDescent="0.25">
      <c r="B196" s="679" t="s">
        <v>3228</v>
      </c>
      <c r="C196" s="21" t="s">
        <v>258</v>
      </c>
      <c r="D196" s="21"/>
      <c r="E196" s="21"/>
      <c r="F196" s="758"/>
      <c r="G196" s="21"/>
      <c r="H196" s="758"/>
      <c r="I196" s="524"/>
      <c r="J196" s="206" t="s">
        <v>258</v>
      </c>
      <c r="K196" s="210"/>
      <c r="L196" s="449" t="s">
        <v>3232</v>
      </c>
      <c r="M196" s="453">
        <v>2</v>
      </c>
      <c r="N196" s="210"/>
      <c r="O196" s="503"/>
      <c r="P196" s="94" t="b">
        <v>0</v>
      </c>
      <c r="Q196" s="94" t="b">
        <v>1</v>
      </c>
      <c r="R196" s="178" t="b">
        <v>0</v>
      </c>
      <c r="S196" s="178" t="b">
        <v>1</v>
      </c>
      <c r="T196" s="178" t="b">
        <v>0</v>
      </c>
      <c r="U196" s="178"/>
      <c r="V196" s="178"/>
      <c r="W196" s="528"/>
      <c r="X196" s="1770"/>
      <c r="AC196" s="394"/>
      <c r="AD196" s="394"/>
      <c r="AE196" s="394"/>
      <c r="AL196" s="254" t="str">
        <f>SUBSTITUTE(SUBSTITUTE(SUBSTITUTE("dpa"&amp;$B196&amp;$C196&amp;$D196&amp;$E196,".","_"),"(","_"),")","")</f>
        <v>dpa902_1_2_2</v>
      </c>
      <c r="AM196" s="254">
        <f>M196</f>
        <v>2</v>
      </c>
      <c r="AP196" s="254" t="str">
        <f>SUBSTITUTE(SUBSTITUTE(SUBSTITUTE("dch"&amp;$B196&amp;$C196&amp;$D196&amp;$E196,".","_"),"(","_"),")","")</f>
        <v>dch902_1_2_2</v>
      </c>
      <c r="AQ196" s="254" t="str">
        <f>IF(LEN(W196)=0,"",W196)</f>
        <v/>
      </c>
    </row>
    <row r="197" spans="2:45" x14ac:dyDescent="0.25">
      <c r="B197" s="679" t="s">
        <v>3233</v>
      </c>
      <c r="C197" s="21"/>
      <c r="D197" s="21" t="s">
        <v>5105</v>
      </c>
      <c r="E197" s="21"/>
      <c r="F197" s="758"/>
      <c r="G197" s="21"/>
      <c r="H197" s="758"/>
      <c r="I197" s="192" t="s">
        <v>3233</v>
      </c>
      <c r="J197" s="193"/>
      <c r="K197" s="193"/>
      <c r="L197" s="1864" t="s">
        <v>3234</v>
      </c>
      <c r="M197" s="1762">
        <v>8</v>
      </c>
      <c r="N197" s="193"/>
      <c r="O197" s="1763">
        <f>M197*S197*W197</f>
        <v>0</v>
      </c>
      <c r="P197" s="94" t="b">
        <v>0</v>
      </c>
      <c r="Q197" s="94" t="b">
        <v>1</v>
      </c>
      <c r="R197" s="195" t="b">
        <v>0</v>
      </c>
      <c r="S197" s="195" t="b">
        <v>1</v>
      </c>
      <c r="T197" s="195" t="b">
        <v>0</v>
      </c>
      <c r="U197" s="195"/>
      <c r="V197" s="195"/>
      <c r="W197" s="360"/>
      <c r="X197" s="1770"/>
      <c r="AC197" s="394"/>
      <c r="AD197" s="394"/>
      <c r="AE197" s="394"/>
      <c r="AL197" s="254" t="str">
        <f>SUBSTITUTE(SUBSTITUTE(SUBSTITUTE("dpa"&amp;$B197&amp;$C197&amp;$D197&amp;$E197,".","_"),"(","_"),")","")</f>
        <v>dpa902_1_3_</v>
      </c>
      <c r="AM197" s="254">
        <f>M197</f>
        <v>8</v>
      </c>
      <c r="AN197" s="254" t="str">
        <f>SUBSTITUTE(SUBSTITUTE(SUBSTITUTE("dpc"&amp;$B197&amp;$C197&amp;$D197&amp;$E197,".","_"),"(","_"),")","")</f>
        <v>dpc902_1_3_</v>
      </c>
      <c r="AO197" s="254">
        <f>O197</f>
        <v>0</v>
      </c>
      <c r="AP197" s="254" t="str">
        <f>SUBSTITUTE(SUBSTITUTE(SUBSTITUTE("dch"&amp;$B197&amp;$C197&amp;$D197&amp;$E197,".","_"),"(","_"),")","")</f>
        <v>dch902_1_3_</v>
      </c>
      <c r="AQ197" s="254" t="str">
        <f>IF(LEN(W197)=0,"",W197)</f>
        <v/>
      </c>
      <c r="AR197" s="254" t="str">
        <f>SUBSTITUTE(SUBSTITUTE(SUBSTITUTE("dnt"&amp;$B197&amp;$C197&amp;$D197&amp;$E197,".","_"),"(","_"),")","")</f>
        <v>dnt902_1_3_</v>
      </c>
      <c r="AS197" s="254" t="str">
        <f>IF(LEN(X197)=0,"",X197)</f>
        <v/>
      </c>
    </row>
    <row r="198" spans="2:45" x14ac:dyDescent="0.25">
      <c r="B198" s="679" t="s">
        <v>3233</v>
      </c>
      <c r="C198" s="21"/>
      <c r="D198" s="21" t="s">
        <v>5105</v>
      </c>
      <c r="E198" s="21"/>
      <c r="F198" s="758"/>
      <c r="G198" s="21"/>
      <c r="H198" s="758"/>
      <c r="I198" s="480"/>
      <c r="J198" s="129"/>
      <c r="K198" s="129"/>
      <c r="L198" s="1782"/>
      <c r="M198" s="1758"/>
      <c r="N198" s="129"/>
      <c r="O198" s="1774"/>
      <c r="P198" s="94"/>
      <c r="Q198" s="94"/>
      <c r="R198" s="94"/>
      <c r="S198" s="94"/>
      <c r="T198" s="94"/>
      <c r="U198" s="94"/>
      <c r="V198" s="94"/>
      <c r="W198" s="94"/>
      <c r="X198" s="1770"/>
      <c r="AL198" s="254"/>
    </row>
    <row r="199" spans="2:45" ht="15" customHeight="1" x14ac:dyDescent="0.25">
      <c r="B199" s="679" t="s">
        <v>3233</v>
      </c>
      <c r="C199" s="21"/>
      <c r="D199" s="21" t="s">
        <v>121</v>
      </c>
      <c r="E199" s="21"/>
      <c r="F199" s="758"/>
      <c r="G199" s="21"/>
      <c r="H199" s="758"/>
      <c r="I199" s="480"/>
      <c r="J199" s="129"/>
      <c r="K199" s="183" t="s">
        <v>121</v>
      </c>
      <c r="L199" s="448" t="s">
        <v>3235</v>
      </c>
      <c r="M199" s="452"/>
      <c r="N199" s="129"/>
      <c r="O199" s="502"/>
      <c r="P199" s="94"/>
      <c r="Q199" s="94"/>
      <c r="R199" s="94"/>
      <c r="S199" s="94"/>
      <c r="T199" s="94"/>
      <c r="U199" s="94"/>
      <c r="V199" s="94"/>
      <c r="W199" s="94"/>
      <c r="X199" s="1770"/>
    </row>
    <row r="200" spans="2:45" ht="15" customHeight="1" x14ac:dyDescent="0.25">
      <c r="B200" s="679" t="s">
        <v>3233</v>
      </c>
      <c r="C200" s="21"/>
      <c r="D200" s="21" t="s">
        <v>122</v>
      </c>
      <c r="E200" s="21"/>
      <c r="F200" s="758"/>
      <c r="G200" s="21"/>
      <c r="H200" s="758"/>
      <c r="I200" s="524"/>
      <c r="J200" s="210"/>
      <c r="K200" s="206" t="s">
        <v>122</v>
      </c>
      <c r="L200" s="449" t="s">
        <v>3236</v>
      </c>
      <c r="M200" s="453"/>
      <c r="N200" s="210"/>
      <c r="O200" s="503"/>
      <c r="P200" s="178"/>
      <c r="Q200" s="178"/>
      <c r="R200" s="178"/>
      <c r="S200" s="178"/>
      <c r="T200" s="178"/>
      <c r="U200" s="178"/>
      <c r="V200" s="178"/>
      <c r="W200" s="178"/>
      <c r="X200" s="1770"/>
    </row>
    <row r="201" spans="2:45" x14ac:dyDescent="0.25">
      <c r="B201" s="679" t="s">
        <v>3237</v>
      </c>
      <c r="C201" s="21"/>
      <c r="D201" s="21"/>
      <c r="E201" s="21"/>
      <c r="F201" s="758"/>
      <c r="G201" s="21"/>
      <c r="H201" s="758"/>
      <c r="I201" s="192" t="s">
        <v>3237</v>
      </c>
      <c r="J201" s="193"/>
      <c r="K201" s="193"/>
      <c r="L201" s="529" t="s">
        <v>3238</v>
      </c>
      <c r="M201" s="454" t="s">
        <v>532</v>
      </c>
      <c r="N201" s="193"/>
      <c r="O201" s="505">
        <f>MIN(12,M202*S203*W203+M204*S205*W205)</f>
        <v>0</v>
      </c>
      <c r="P201" s="195"/>
      <c r="Q201" s="195"/>
      <c r="R201" s="195"/>
      <c r="S201" s="195"/>
      <c r="T201" s="195"/>
      <c r="U201" s="195"/>
      <c r="V201" s="195"/>
      <c r="W201" s="195"/>
      <c r="X201" s="1770"/>
      <c r="AL201" s="254" t="str">
        <f>SUBSTITUTE(SUBSTITUTE(SUBSTITUTE("dpa"&amp;$B201&amp;$C201&amp;$D201&amp;$E201,".","_"),"(","_"),")","")</f>
        <v>dpa902_1_4</v>
      </c>
      <c r="AM201" s="254" t="str">
        <f>M201</f>
        <v>12 Max</v>
      </c>
      <c r="AN201" s="254" t="str">
        <f>SUBSTITUTE(SUBSTITUTE(SUBSTITUTE("dpc"&amp;$B201&amp;$C201&amp;$D201&amp;$E201,".","_"),"(","_"),")","")</f>
        <v>dpc902_1_4</v>
      </c>
      <c r="AO201" s="254">
        <f>O201</f>
        <v>0</v>
      </c>
      <c r="AR201" s="254" t="str">
        <f>SUBSTITUTE(SUBSTITUTE(SUBSTITUTE("dnt"&amp;$B201&amp;$C201&amp;$D201&amp;$E201,".","_"),"(","_"),")","")</f>
        <v>dnt902_1_4</v>
      </c>
      <c r="AS201" s="254" t="str">
        <f>IF(LEN(X201)=0,"",X201)</f>
        <v/>
      </c>
    </row>
    <row r="202" spans="2:45" ht="15" customHeight="1" x14ac:dyDescent="0.25">
      <c r="B202" s="679" t="s">
        <v>3237</v>
      </c>
      <c r="C202" s="21" t="s">
        <v>256</v>
      </c>
      <c r="D202" s="21"/>
      <c r="E202" s="21"/>
      <c r="F202" s="758"/>
      <c r="G202" s="21"/>
      <c r="H202" s="758"/>
      <c r="I202" s="480"/>
      <c r="J202" s="183" t="s">
        <v>256</v>
      </c>
      <c r="K202" s="129"/>
      <c r="L202" s="448" t="s">
        <v>3654</v>
      </c>
      <c r="M202" s="1758">
        <v>2</v>
      </c>
      <c r="N202" s="129"/>
      <c r="O202" s="502"/>
      <c r="P202" s="94"/>
      <c r="Q202" s="94"/>
      <c r="R202" s="94"/>
      <c r="S202" s="94"/>
      <c r="T202" s="94"/>
      <c r="U202" s="94"/>
      <c r="V202" s="94"/>
      <c r="W202" s="94" t="s">
        <v>3762</v>
      </c>
      <c r="X202" s="1770"/>
      <c r="AL202" s="254" t="str">
        <f>SUBSTITUTE(SUBSTITUTE(SUBSTITUTE("dpa"&amp;$B202&amp;$C202&amp;$D202&amp;$E202,".","_"),"(","_"),")","")</f>
        <v>dpa902_1_4_1</v>
      </c>
      <c r="AM202" s="254">
        <f>M202</f>
        <v>2</v>
      </c>
    </row>
    <row r="203" spans="2:45" x14ac:dyDescent="0.25">
      <c r="B203" s="679" t="s">
        <v>3237</v>
      </c>
      <c r="C203" s="21" t="s">
        <v>256</v>
      </c>
      <c r="D203" s="21"/>
      <c r="E203" s="21"/>
      <c r="F203" s="758"/>
      <c r="G203" s="21"/>
      <c r="H203" s="758"/>
      <c r="I203" s="480"/>
      <c r="J203" s="206"/>
      <c r="K203" s="210"/>
      <c r="L203" s="464" t="s">
        <v>3239</v>
      </c>
      <c r="M203" s="1759"/>
      <c r="N203" s="129"/>
      <c r="O203" s="502"/>
      <c r="P203" s="94" t="b">
        <v>0</v>
      </c>
      <c r="Q203" s="94" t="b">
        <v>1</v>
      </c>
      <c r="R203" s="94" t="b">
        <v>0</v>
      </c>
      <c r="S203" s="94" t="b">
        <v>1</v>
      </c>
      <c r="T203" s="94" t="b">
        <v>0</v>
      </c>
      <c r="U203" s="94"/>
      <c r="V203" s="94"/>
      <c r="W203" s="484"/>
      <c r="X203" s="1770"/>
      <c r="AC203" s="394"/>
      <c r="AD203" s="394"/>
      <c r="AE203" s="394"/>
      <c r="AP203" s="254" t="str">
        <f>SUBSTITUTE(SUBSTITUTE(SUBSTITUTE("dch"&amp;$B203&amp;$C203&amp;$D203&amp;$E203,".","_"),"(","_"),")","")</f>
        <v>dch902_1_4_1</v>
      </c>
      <c r="AQ203" s="254" t="str">
        <f>IF(LEN(W203)=0,"",W203)</f>
        <v/>
      </c>
    </row>
    <row r="204" spans="2:45" x14ac:dyDescent="0.25">
      <c r="B204" s="679" t="s">
        <v>3237</v>
      </c>
      <c r="C204" s="21" t="s">
        <v>258</v>
      </c>
      <c r="D204" s="21"/>
      <c r="E204" s="21"/>
      <c r="F204" s="758"/>
      <c r="G204" s="21"/>
      <c r="H204" s="758"/>
      <c r="I204" s="480"/>
      <c r="J204" s="183" t="s">
        <v>258</v>
      </c>
      <c r="K204" s="129"/>
      <c r="L204" s="448" t="s">
        <v>3240</v>
      </c>
      <c r="M204" s="1758">
        <v>3</v>
      </c>
      <c r="N204" s="129"/>
      <c r="O204" s="502"/>
      <c r="P204" s="94"/>
      <c r="Q204" s="94"/>
      <c r="R204" s="94"/>
      <c r="S204" s="94"/>
      <c r="T204" s="94"/>
      <c r="U204" s="94"/>
      <c r="V204" s="94"/>
      <c r="W204" s="94"/>
      <c r="X204" s="1770"/>
      <c r="AL204" s="254" t="str">
        <f>SUBSTITUTE(SUBSTITUTE(SUBSTITUTE("dpa"&amp;$B204&amp;$C204&amp;$D204&amp;$E204,".","_"),"(","_"),")","")</f>
        <v>dpa902_1_4_2</v>
      </c>
      <c r="AM204" s="254">
        <f>M204</f>
        <v>3</v>
      </c>
    </row>
    <row r="205" spans="2:45" x14ac:dyDescent="0.25">
      <c r="B205" s="679" t="s">
        <v>3237</v>
      </c>
      <c r="C205" s="21" t="s">
        <v>258</v>
      </c>
      <c r="D205" s="21"/>
      <c r="E205" s="21"/>
      <c r="F205" s="758"/>
      <c r="G205" s="21"/>
      <c r="H205" s="758"/>
      <c r="I205" s="524"/>
      <c r="J205" s="210"/>
      <c r="K205" s="210"/>
      <c r="L205" s="464" t="s">
        <v>3239</v>
      </c>
      <c r="M205" s="1759"/>
      <c r="N205" s="210"/>
      <c r="O205" s="503"/>
      <c r="P205" s="94" t="b">
        <v>0</v>
      </c>
      <c r="Q205" s="94" t="b">
        <v>1</v>
      </c>
      <c r="R205" s="178" t="b">
        <v>0</v>
      </c>
      <c r="S205" s="178" t="b">
        <v>1</v>
      </c>
      <c r="T205" s="178" t="b">
        <v>0</v>
      </c>
      <c r="U205" s="178"/>
      <c r="V205" s="178"/>
      <c r="W205" s="484"/>
      <c r="X205" s="1770"/>
      <c r="AC205" s="394"/>
      <c r="AD205" s="394"/>
      <c r="AE205" s="394"/>
      <c r="AP205" s="254" t="str">
        <f>SUBSTITUTE(SUBSTITUTE(SUBSTITUTE("dch"&amp;$B205&amp;$C205&amp;$D205&amp;$E205,".","_"),"(","_"),")","")</f>
        <v>dch902_1_4_2</v>
      </c>
      <c r="AQ205" s="254" t="str">
        <f>IF(LEN(W205)=0,"",W205)</f>
        <v/>
      </c>
    </row>
    <row r="206" spans="2:45" x14ac:dyDescent="0.25">
      <c r="B206" s="679" t="s">
        <v>3241</v>
      </c>
      <c r="C206" s="21"/>
      <c r="D206" s="21"/>
      <c r="E206" s="21"/>
      <c r="F206" s="758"/>
      <c r="G206" s="21"/>
      <c r="H206" s="758"/>
      <c r="I206" s="64" t="s">
        <v>3241</v>
      </c>
      <c r="J206" s="4"/>
      <c r="K206" s="4"/>
      <c r="L206" s="1796" t="s">
        <v>3242</v>
      </c>
      <c r="M206" s="1767">
        <v>3</v>
      </c>
      <c r="N206" s="4"/>
      <c r="O206" s="1780">
        <f>M206*W208*W210*W212</f>
        <v>0</v>
      </c>
      <c r="AL206" s="254" t="str">
        <f>SUBSTITUTE(SUBSTITUTE(SUBSTITUTE("dpa"&amp;$B206&amp;$C206&amp;$D206&amp;$E206,".","_"),"(","_"),")","")</f>
        <v>dpa902_1_5</v>
      </c>
      <c r="AM206" s="254">
        <f>M206</f>
        <v>3</v>
      </c>
      <c r="AN206" s="254" t="str">
        <f>SUBSTITUTE(SUBSTITUTE(SUBSTITUTE("dpc"&amp;$B206&amp;$C206&amp;$D206&amp;$E206,".","_"),"(","_"),")","")</f>
        <v>dpc902_1_5</v>
      </c>
      <c r="AO206" s="254">
        <f>O206</f>
        <v>0</v>
      </c>
    </row>
    <row r="207" spans="2:45" x14ac:dyDescent="0.25">
      <c r="B207" s="679" t="s">
        <v>3241</v>
      </c>
      <c r="C207" s="21"/>
      <c r="D207" s="21"/>
      <c r="E207" s="21"/>
      <c r="F207" s="758"/>
      <c r="G207" s="21"/>
      <c r="H207" s="758"/>
      <c r="I207" s="164"/>
      <c r="J207" s="4"/>
      <c r="K207" s="4"/>
      <c r="L207" s="1796"/>
      <c r="M207" s="1767"/>
      <c r="N207" s="4"/>
      <c r="O207" s="1780"/>
    </row>
    <row r="208" spans="2:45" x14ac:dyDescent="0.25">
      <c r="B208" s="679" t="s">
        <v>3241</v>
      </c>
      <c r="C208" s="21" t="s">
        <v>256</v>
      </c>
      <c r="D208" s="21"/>
      <c r="E208" s="21"/>
      <c r="F208" s="758"/>
      <c r="G208" s="21"/>
      <c r="H208" s="758"/>
      <c r="I208" s="164"/>
      <c r="J208" s="183" t="s">
        <v>256</v>
      </c>
      <c r="K208" s="129"/>
      <c r="L208" s="1754" t="s">
        <v>4494</v>
      </c>
      <c r="M208" s="428"/>
      <c r="N208" s="4"/>
      <c r="O208" s="141"/>
      <c r="P208" s="94" t="b">
        <v>0</v>
      </c>
      <c r="Q208" s="94" t="b">
        <v>1</v>
      </c>
      <c r="R208" s="386" t="b">
        <v>0</v>
      </c>
      <c r="S208" s="386" t="b">
        <v>1</v>
      </c>
      <c r="T208" s="386" t="b">
        <v>0</v>
      </c>
      <c r="W208" s="25"/>
      <c r="X208" s="1757"/>
      <c r="AC208" s="394"/>
      <c r="AD208" s="394"/>
      <c r="AE208" s="394"/>
      <c r="AP208" s="254" t="str">
        <f>SUBSTITUTE(SUBSTITUTE(SUBSTITUTE("dch"&amp;$B208&amp;$C208&amp;$D208&amp;$E208,".","_"),"(","_"),")","")</f>
        <v>dch902_1_5_1</v>
      </c>
      <c r="AQ208" s="254" t="str">
        <f>IF(LEN(W208)=0,"",W208)</f>
        <v/>
      </c>
      <c r="AR208" s="254" t="str">
        <f>SUBSTITUTE(SUBSTITUTE(SUBSTITUTE("dnt"&amp;$B208&amp;$C208&amp;$D208&amp;$E208,".","_"),"(","_"),")","")</f>
        <v>dnt902_1_5_1</v>
      </c>
      <c r="AS208" s="254" t="str">
        <f>IF(LEN(X208)=0,"",X208)</f>
        <v/>
      </c>
    </row>
    <row r="209" spans="1:61" x14ac:dyDescent="0.25">
      <c r="B209" s="679" t="s">
        <v>3241</v>
      </c>
      <c r="C209" s="21" t="s">
        <v>256</v>
      </c>
      <c r="D209" s="21"/>
      <c r="E209" s="21"/>
      <c r="F209" s="758"/>
      <c r="G209" s="21"/>
      <c r="H209" s="758"/>
      <c r="I209" s="164"/>
      <c r="J209" s="206"/>
      <c r="K209" s="210"/>
      <c r="L209" s="1755"/>
      <c r="M209" s="428"/>
      <c r="N209" s="4"/>
      <c r="O209" s="141"/>
      <c r="X209" s="1757"/>
    </row>
    <row r="210" spans="1:61" x14ac:dyDescent="0.25">
      <c r="B210" s="679" t="s">
        <v>3241</v>
      </c>
      <c r="C210" s="21" t="s">
        <v>258</v>
      </c>
      <c r="D210" s="21"/>
      <c r="E210" s="21"/>
      <c r="F210" s="758"/>
      <c r="G210" s="21"/>
      <c r="H210" s="758"/>
      <c r="I210" s="164"/>
      <c r="J210" s="183" t="s">
        <v>258</v>
      </c>
      <c r="K210" s="129"/>
      <c r="L210" s="1754" t="s">
        <v>3243</v>
      </c>
      <c r="M210" s="428"/>
      <c r="N210" s="4"/>
      <c r="O210" s="141"/>
      <c r="P210" s="94" t="b">
        <v>0</v>
      </c>
      <c r="Q210" s="94" t="b">
        <v>1</v>
      </c>
      <c r="R210" s="386" t="b">
        <v>0</v>
      </c>
      <c r="S210" s="386" t="b">
        <v>1</v>
      </c>
      <c r="T210" s="386" t="b">
        <v>0</v>
      </c>
      <c r="W210" s="25"/>
      <c r="X210" s="1757"/>
      <c r="AC210" s="394"/>
      <c r="AD210" s="394"/>
      <c r="AE210" s="394"/>
      <c r="AP210" s="254" t="str">
        <f>SUBSTITUTE(SUBSTITUTE(SUBSTITUTE("dch"&amp;$B210&amp;$C210&amp;$D210&amp;$E210,".","_"),"(","_"),")","")</f>
        <v>dch902_1_5_2</v>
      </c>
      <c r="AQ210" s="254" t="str">
        <f>IF(LEN(W210)=0,"",W210)</f>
        <v/>
      </c>
      <c r="AR210" s="254" t="str">
        <f>SUBSTITUTE(SUBSTITUTE(SUBSTITUTE("dnt"&amp;$B210&amp;$C210&amp;$D210&amp;$E210,".","_"),"(","_"),")","")</f>
        <v>dnt902_1_5_2</v>
      </c>
      <c r="AS210" s="254" t="str">
        <f>IF(LEN(X210)=0,"",X210)</f>
        <v/>
      </c>
    </row>
    <row r="211" spans="1:61" x14ac:dyDescent="0.25">
      <c r="B211" s="679" t="s">
        <v>3241</v>
      </c>
      <c r="C211" s="21" t="s">
        <v>258</v>
      </c>
      <c r="D211" s="21"/>
      <c r="E211" s="21"/>
      <c r="F211" s="758"/>
      <c r="G211" s="21"/>
      <c r="H211" s="758"/>
      <c r="I211" s="164"/>
      <c r="J211" s="210"/>
      <c r="K211" s="210"/>
      <c r="L211" s="1755"/>
      <c r="M211" s="428"/>
      <c r="N211" s="4"/>
      <c r="O211" s="141"/>
      <c r="X211" s="1757"/>
    </row>
    <row r="212" spans="1:61" x14ac:dyDescent="0.25">
      <c r="B212" s="679" t="s">
        <v>3241</v>
      </c>
      <c r="C212" s="21" t="s">
        <v>260</v>
      </c>
      <c r="D212" s="21"/>
      <c r="E212" s="21"/>
      <c r="F212" s="758"/>
      <c r="G212" s="21"/>
      <c r="H212" s="758"/>
      <c r="I212" s="480"/>
      <c r="J212" s="183" t="s">
        <v>260</v>
      </c>
      <c r="K212" s="129"/>
      <c r="L212" s="1754" t="s">
        <v>3244</v>
      </c>
      <c r="M212" s="888"/>
      <c r="N212" s="129"/>
      <c r="O212" s="887"/>
      <c r="P212" s="94" t="b">
        <v>0</v>
      </c>
      <c r="Q212" s="94" t="b">
        <v>1</v>
      </c>
      <c r="R212" s="94" t="b">
        <v>0</v>
      </c>
      <c r="S212" s="94" t="b">
        <v>1</v>
      </c>
      <c r="T212" s="94" t="b">
        <v>0</v>
      </c>
      <c r="U212" s="94"/>
      <c r="V212" s="94"/>
      <c r="W212" s="360"/>
      <c r="X212" s="1770"/>
      <c r="AC212" s="394"/>
      <c r="AD212" s="394"/>
      <c r="AE212" s="394"/>
      <c r="AP212" s="254" t="str">
        <f>SUBSTITUTE(SUBSTITUTE(SUBSTITUTE("dch"&amp;$B212&amp;$C212&amp;$D212&amp;$E212,".","_"),"(","_"),")","")</f>
        <v>dch902_1_5_3</v>
      </c>
      <c r="AQ212" s="254" t="str">
        <f>IF(LEN(W212)=0,"",W212)</f>
        <v/>
      </c>
      <c r="AR212" s="254" t="str">
        <f>SUBSTITUTE(SUBSTITUTE(SUBSTITUTE("dnt"&amp;$B212&amp;$C212&amp;$D212&amp;$E212,".","_"),"(","_"),")","")</f>
        <v>dnt902_1_5_3</v>
      </c>
      <c r="AS212" s="254" t="str">
        <f>IF(LEN(X212)=0,"",X212)</f>
        <v/>
      </c>
    </row>
    <row r="213" spans="1:61" x14ac:dyDescent="0.25">
      <c r="B213" s="679" t="s">
        <v>3241</v>
      </c>
      <c r="C213" s="21" t="s">
        <v>260</v>
      </c>
      <c r="D213" s="21"/>
      <c r="E213" s="21"/>
      <c r="F213" s="758"/>
      <c r="G213" s="21"/>
      <c r="H213" s="758"/>
      <c r="I213" s="480"/>
      <c r="J213" s="129"/>
      <c r="K213" s="129"/>
      <c r="L213" s="1754"/>
      <c r="M213" s="888"/>
      <c r="N213" s="129"/>
      <c r="O213" s="887"/>
      <c r="P213" s="94"/>
      <c r="Q213" s="94"/>
      <c r="R213" s="94"/>
      <c r="S213" s="94"/>
      <c r="T213" s="94"/>
      <c r="U213" s="94"/>
      <c r="V213" s="94"/>
      <c r="W213" s="94"/>
      <c r="X213" s="1770"/>
    </row>
    <row r="214" spans="1:61" x14ac:dyDescent="0.25">
      <c r="B214" s="679" t="s">
        <v>3241</v>
      </c>
      <c r="C214" s="21" t="s">
        <v>260</v>
      </c>
      <c r="D214" s="21"/>
      <c r="E214" s="21"/>
      <c r="F214" s="758"/>
      <c r="G214" s="21"/>
      <c r="H214" s="758"/>
      <c r="I214" s="524"/>
      <c r="J214" s="210"/>
      <c r="K214" s="210"/>
      <c r="L214" s="1755"/>
      <c r="M214" s="875"/>
      <c r="N214" s="210"/>
      <c r="O214" s="876"/>
      <c r="P214" s="178"/>
      <c r="Q214" s="178"/>
      <c r="R214" s="178"/>
      <c r="S214" s="178"/>
      <c r="T214" s="178"/>
      <c r="U214" s="178"/>
      <c r="V214" s="178"/>
      <c r="W214" s="178"/>
      <c r="X214" s="1770"/>
      <c r="AX214" s="868"/>
      <c r="AY214" s="868"/>
    </row>
    <row r="215" spans="1:61" s="868" customFormat="1" x14ac:dyDescent="0.25">
      <c r="A215" s="18"/>
      <c r="B215" s="679" t="s">
        <v>4495</v>
      </c>
      <c r="C215" s="21"/>
      <c r="D215" s="21"/>
      <c r="E215" s="21"/>
      <c r="F215" s="21"/>
      <c r="G215" s="21"/>
      <c r="H215" s="758"/>
      <c r="I215" s="667" t="s">
        <v>4495</v>
      </c>
      <c r="J215" s="679"/>
      <c r="K215" s="679"/>
      <c r="L215" s="1935" t="s">
        <v>4496</v>
      </c>
      <c r="M215" s="1758">
        <v>3</v>
      </c>
      <c r="N215" s="4"/>
      <c r="O215" s="1774">
        <f ca="1">M215*S215*W215</f>
        <v>0</v>
      </c>
      <c r="P215" s="868" t="b">
        <v>0</v>
      </c>
      <c r="Q215" s="868" t="b">
        <v>1</v>
      </c>
      <c r="R215" s="868" t="b">
        <v>0</v>
      </c>
      <c r="S215" s="868" t="b">
        <f ca="1">AY19=INDEX(INDIRECT("ddSingleOrMulti"),2)</f>
        <v>0</v>
      </c>
      <c r="T215" s="868" t="b">
        <v>0</v>
      </c>
      <c r="U215" s="94"/>
      <c r="V215" s="94"/>
      <c r="W215" s="25"/>
      <c r="X215" s="1757"/>
      <c r="AL215" s="254" t="str">
        <f>SUBSTITUTE(SUBSTITUTE(SUBSTITUTE("dpa"&amp;$B215&amp;$C215&amp;$D215&amp;$E215,".","_"),"(","_"),")","")</f>
        <v>dpa902_1_6</v>
      </c>
      <c r="AM215" s="254">
        <f>M215</f>
        <v>3</v>
      </c>
      <c r="AN215" s="254" t="str">
        <f>SUBSTITUTE(SUBSTITUTE(SUBSTITUTE("dpc"&amp;$B215&amp;$C215&amp;$D215&amp;$E215,".","_"),"(","_"),")","")</f>
        <v>dpc902_1_6</v>
      </c>
      <c r="AO215" s="254">
        <f ca="1">O215</f>
        <v>0</v>
      </c>
      <c r="AP215" s="254" t="str">
        <f>SUBSTITUTE(SUBSTITUTE(SUBSTITUTE("dch"&amp;$B215&amp;$C215&amp;$D215&amp;$E215,".","_"),"(","_"),")","")</f>
        <v>dch902_1_6</v>
      </c>
      <c r="AQ215" s="254" t="str">
        <f>IF(LEN(W215)=0,"",W215)</f>
        <v/>
      </c>
      <c r="AR215" s="254" t="str">
        <f>SUBSTITUTE(SUBSTITUTE(SUBSTITUTE("dnt"&amp;$B215&amp;$C215&amp;$D215&amp;$E215,".","_"),"(","_"),")","")</f>
        <v>dnt902_1_6</v>
      </c>
      <c r="AS215" s="254" t="str">
        <f>IF(LEN(X215)=0,"",X215)</f>
        <v/>
      </c>
      <c r="AZ215" s="76"/>
      <c r="BA215" s="76"/>
      <c r="BB215" s="76"/>
      <c r="BC215" s="76"/>
      <c r="BD215" s="76"/>
      <c r="BE215" s="76"/>
      <c r="BF215" s="76"/>
      <c r="BG215" s="76"/>
      <c r="BH215" s="76"/>
      <c r="BI215" s="76"/>
    </row>
    <row r="216" spans="1:61" s="868" customFormat="1" x14ac:dyDescent="0.25">
      <c r="A216" s="18"/>
      <c r="B216" s="679" t="s">
        <v>4495</v>
      </c>
      <c r="C216" s="21"/>
      <c r="D216" s="21"/>
      <c r="E216" s="21"/>
      <c r="F216" s="21"/>
      <c r="G216" s="21"/>
      <c r="H216" s="758"/>
      <c r="I216" s="679"/>
      <c r="J216" s="679"/>
      <c r="K216" s="679"/>
      <c r="L216" s="1802"/>
      <c r="M216" s="1767"/>
      <c r="N216" s="4"/>
      <c r="O216" s="1780"/>
      <c r="U216" s="94"/>
      <c r="V216" s="94"/>
      <c r="W216" s="94"/>
      <c r="X216" s="1757"/>
    </row>
    <row r="217" spans="1:61" s="868" customFormat="1" ht="15.75" thickBot="1" x14ac:dyDescent="0.3">
      <c r="A217" s="18"/>
      <c r="B217" s="679" t="s">
        <v>4495</v>
      </c>
      <c r="C217" s="21"/>
      <c r="D217" s="21"/>
      <c r="E217" s="21"/>
      <c r="F217" s="21"/>
      <c r="G217" s="21"/>
      <c r="H217" s="758"/>
      <c r="I217" s="679"/>
      <c r="J217" s="679"/>
      <c r="K217" s="679"/>
      <c r="L217" s="1803"/>
      <c r="M217" s="1768"/>
      <c r="N217" s="4"/>
      <c r="O217" s="1775"/>
      <c r="U217" s="94"/>
      <c r="V217" s="94"/>
      <c r="W217" s="94"/>
      <c r="X217" s="1757"/>
      <c r="AX217" s="76"/>
      <c r="AY217" s="76"/>
    </row>
    <row r="218" spans="1:61" ht="15.75" thickTop="1" x14ac:dyDescent="0.25">
      <c r="B218" s="679">
        <v>902.2</v>
      </c>
      <c r="C218" s="21"/>
      <c r="D218" s="21"/>
      <c r="E218" s="21"/>
      <c r="F218" s="21"/>
      <c r="G218" s="21"/>
      <c r="H218" s="758"/>
      <c r="I218" s="180">
        <v>902.2</v>
      </c>
      <c r="J218" s="181"/>
      <c r="K218" s="181"/>
      <c r="L218" s="466" t="s">
        <v>3245</v>
      </c>
      <c r="M218" s="451"/>
      <c r="N218" s="181"/>
      <c r="O218" s="506"/>
      <c r="P218" s="105"/>
      <c r="Q218" s="105"/>
      <c r="R218" s="105"/>
      <c r="S218" s="105"/>
      <c r="T218" s="105"/>
      <c r="U218" s="105"/>
      <c r="V218" s="105"/>
      <c r="W218" s="105"/>
      <c r="X218" s="105"/>
      <c r="AZ218" s="868"/>
      <c r="BA218" s="868"/>
      <c r="BB218" s="868"/>
      <c r="BC218" s="868"/>
      <c r="BD218" s="868"/>
      <c r="BE218" s="868"/>
      <c r="BF218" s="868"/>
      <c r="BG218" s="868"/>
      <c r="BH218" s="868"/>
      <c r="BI218" s="868"/>
    </row>
    <row r="219" spans="1:61" x14ac:dyDescent="0.25">
      <c r="B219" s="679" t="s">
        <v>3656</v>
      </c>
      <c r="C219" s="21"/>
      <c r="D219" s="21"/>
      <c r="E219" s="21"/>
      <c r="F219" s="21"/>
      <c r="G219" s="21"/>
      <c r="H219" s="758"/>
      <c r="I219" s="130" t="s">
        <v>3656</v>
      </c>
      <c r="J219" s="129"/>
      <c r="K219" s="129"/>
      <c r="L219" s="1782" t="s">
        <v>5598</v>
      </c>
      <c r="M219" s="1857" t="str">
        <f>IF(R219,"Mandatory 
(ACH50 is &lt; 5.0)","N/A")</f>
        <v>N/A</v>
      </c>
      <c r="N219" s="129"/>
      <c r="O219" s="1774">
        <f ca="1">IFERROR(INDEX({3,6,7,8,10},MATCH(W219,INDIRECT(U219),0)),0)*S219</f>
        <v>0</v>
      </c>
      <c r="P219" s="94" t="b">
        <v>0</v>
      </c>
      <c r="Q219" s="94" t="b">
        <v>1</v>
      </c>
      <c r="R219" s="94" t="b">
        <f>OR(AND(S220&gt;0,S220&lt;5),AND(S221&gt;0,S221&lt;0.28))</f>
        <v>0</v>
      </c>
      <c r="S219" s="94" t="b">
        <v>1</v>
      </c>
      <c r="T219" s="94" t="b">
        <f>AND(NOT(S219),LEN(W219)&gt;0)</f>
        <v>0</v>
      </c>
      <c r="U219" s="94" t="str">
        <f>SUBSTITUTE(SUBSTITUTE(SUBSTITUTE("dd"&amp;B219&amp;C219&amp;D219&amp;E219&amp;F219,".","_"),"(","_"),")","")</f>
        <v>dd902_2_1</v>
      </c>
      <c r="V219" s="94"/>
      <c r="W219" s="109"/>
      <c r="X219" s="1757"/>
      <c r="AC219" s="394" t="b">
        <f>OR(AD219:AE219)</f>
        <v>0</v>
      </c>
      <c r="AD219" s="394" t="b">
        <f>T219</f>
        <v>0</v>
      </c>
      <c r="AE219" s="394" t="b">
        <f>AND(R219,OR(W219="Not Met",W219=""))</f>
        <v>0</v>
      </c>
      <c r="AL219" s="254" t="str">
        <f>SUBSTITUTE(SUBSTITUTE(SUBSTITUTE("dpa"&amp;$B219&amp;$C219&amp;$D219&amp;$E219,".","_"),"(","_"),")","")</f>
        <v>dpa902_2_1</v>
      </c>
      <c r="AM219" s="254" t="str">
        <f>M219</f>
        <v>N/A</v>
      </c>
      <c r="AN219" s="254" t="str">
        <f>SUBSTITUTE(SUBSTITUTE(SUBSTITUTE("dpc"&amp;$B219&amp;$C219&amp;$D219&amp;$E219,".","_"),"(","_"),")","")</f>
        <v>dpc902_2_1</v>
      </c>
      <c r="AO219" s="254">
        <f ca="1">O219</f>
        <v>0</v>
      </c>
      <c r="AP219" s="254" t="str">
        <f>SUBSTITUTE(SUBSTITUTE(SUBSTITUTE("dch"&amp;$B219&amp;$C219&amp;$D219&amp;$E219,".","_"),"(","_"),")","")</f>
        <v>dch902_2_1</v>
      </c>
      <c r="AQ219" s="254" t="str">
        <f>IF(LEN(W219)=0,"",W219)</f>
        <v/>
      </c>
      <c r="AR219" s="254" t="str">
        <f>SUBSTITUTE(SUBSTITUTE(SUBSTITUTE("dnt"&amp;$B219&amp;$C219&amp;$D219&amp;$E219,".","_"),"(","_"),")","")</f>
        <v>dnt902_2_1</v>
      </c>
      <c r="AS219" s="254" t="str">
        <f>IF(LEN(X219)=0,"",X219)</f>
        <v/>
      </c>
    </row>
    <row r="220" spans="1:61" x14ac:dyDescent="0.25">
      <c r="B220" s="679" t="s">
        <v>3656</v>
      </c>
      <c r="C220" s="21"/>
      <c r="D220" s="21"/>
      <c r="E220" s="21"/>
      <c r="F220" s="21"/>
      <c r="G220" s="21"/>
      <c r="H220" s="758"/>
      <c r="I220" s="480"/>
      <c r="J220" s="129"/>
      <c r="K220" s="129"/>
      <c r="L220" s="1782"/>
      <c r="M220" s="1857"/>
      <c r="N220" s="129"/>
      <c r="O220" s="1774"/>
      <c r="P220" s="94"/>
      <c r="Q220" s="94"/>
      <c r="R220" s="485" t="s">
        <v>3763</v>
      </c>
      <c r="S220" s="486">
        <f>MAX('Ch7'!W623,'Ch7'!W105)</f>
        <v>0</v>
      </c>
      <c r="T220" s="94"/>
      <c r="U220" s="94"/>
      <c r="V220" s="94"/>
      <c r="W220" s="94"/>
      <c r="X220" s="1757"/>
    </row>
    <row r="221" spans="1:61" s="1477" customFormat="1" x14ac:dyDescent="0.25">
      <c r="A221" s="18"/>
      <c r="B221" s="679" t="s">
        <v>3656</v>
      </c>
      <c r="C221" s="21"/>
      <c r="D221" s="21"/>
      <c r="E221" s="21"/>
      <c r="F221" s="21"/>
      <c r="G221" s="21"/>
      <c r="H221" s="758"/>
      <c r="I221" s="480"/>
      <c r="J221" s="129"/>
      <c r="K221" s="129"/>
      <c r="L221" s="1782"/>
      <c r="M221" s="1857"/>
      <c r="N221" s="129"/>
      <c r="O221" s="1774"/>
      <c r="P221" s="94"/>
      <c r="Q221" s="94"/>
      <c r="R221" s="385" t="s">
        <v>4593</v>
      </c>
      <c r="S221" s="1006">
        <f>MAX('Ch7'!W108,'Ch7'!W625)</f>
        <v>0</v>
      </c>
      <c r="T221" s="94"/>
      <c r="U221" s="94"/>
      <c r="V221" s="94"/>
      <c r="W221" s="94"/>
      <c r="X221" s="1757"/>
      <c r="AX221" s="76"/>
      <c r="AY221" s="76"/>
      <c r="AZ221" s="76"/>
      <c r="BA221" s="76"/>
      <c r="BB221" s="76"/>
      <c r="BC221" s="76"/>
      <c r="BD221" s="76"/>
      <c r="BE221" s="76"/>
      <c r="BF221" s="76"/>
      <c r="BG221" s="76"/>
      <c r="BH221" s="76"/>
      <c r="BI221" s="76"/>
    </row>
    <row r="222" spans="1:61" x14ac:dyDescent="0.25">
      <c r="B222" s="679" t="s">
        <v>3656</v>
      </c>
      <c r="C222" s="21"/>
      <c r="D222" s="21"/>
      <c r="E222" s="21"/>
      <c r="F222" s="21"/>
      <c r="G222" s="21"/>
      <c r="H222" s="758"/>
      <c r="I222" s="480"/>
      <c r="J222" s="129"/>
      <c r="K222" s="129"/>
      <c r="L222" s="1782"/>
      <c r="M222" s="1857"/>
      <c r="N222" s="129"/>
      <c r="O222" s="1774"/>
      <c r="P222" s="94"/>
      <c r="Q222" s="94"/>
      <c r="T222" s="94"/>
      <c r="U222" s="94"/>
      <c r="V222" s="94"/>
      <c r="W222" s="94"/>
      <c r="X222" s="1757"/>
      <c r="AX222" s="1477"/>
      <c r="AY222" s="1477"/>
      <c r="AZ222" s="1477"/>
      <c r="BA222" s="1477"/>
      <c r="BB222" s="1477"/>
      <c r="BC222" s="1477"/>
      <c r="BD222" s="1477"/>
      <c r="BE222" s="1477"/>
      <c r="BF222" s="1477"/>
      <c r="BG222" s="1477"/>
      <c r="BH222" s="1477"/>
      <c r="BI222" s="1477"/>
    </row>
    <row r="223" spans="1:61" x14ac:dyDescent="0.25">
      <c r="B223" s="679" t="s">
        <v>3656</v>
      </c>
      <c r="C223" s="21" t="s">
        <v>256</v>
      </c>
      <c r="D223" s="21"/>
      <c r="E223" s="21"/>
      <c r="F223" s="21"/>
      <c r="G223" s="21"/>
      <c r="H223" s="758"/>
      <c r="I223" s="480"/>
      <c r="J223" s="183" t="s">
        <v>256</v>
      </c>
      <c r="K223" s="129"/>
      <c r="L223" s="1793" t="s">
        <v>3246</v>
      </c>
      <c r="M223" s="1758">
        <v>3</v>
      </c>
      <c r="N223" s="129"/>
      <c r="O223" s="502"/>
      <c r="P223" s="94"/>
      <c r="Q223" s="94"/>
      <c r="R223"/>
      <c r="S223"/>
      <c r="T223" s="94"/>
      <c r="U223" s="94"/>
      <c r="V223" s="94"/>
      <c r="W223" s="94"/>
      <c r="X223" s="1757"/>
      <c r="AL223" s="254" t="str">
        <f>SUBSTITUTE(SUBSTITUTE(SUBSTITUTE("dpa"&amp;$B223&amp;$C223&amp;$D223&amp;$E223,".","_"),"(","_"),")","")</f>
        <v>dpa902_2_1_1</v>
      </c>
      <c r="AM223" s="254">
        <f>M223</f>
        <v>3</v>
      </c>
    </row>
    <row r="224" spans="1:61" x14ac:dyDescent="0.25">
      <c r="B224" s="679" t="s">
        <v>3656</v>
      </c>
      <c r="C224" s="21" t="s">
        <v>256</v>
      </c>
      <c r="D224" s="21"/>
      <c r="E224" s="21"/>
      <c r="F224" s="21"/>
      <c r="G224" s="21"/>
      <c r="H224" s="758"/>
      <c r="I224" s="480"/>
      <c r="J224" s="206"/>
      <c r="K224" s="210"/>
      <c r="L224" s="1761"/>
      <c r="M224" s="1759"/>
      <c r="N224" s="129"/>
      <c r="O224" s="502"/>
      <c r="P224" s="94"/>
      <c r="Q224" s="94"/>
      <c r="R224" s="94"/>
      <c r="S224" s="94"/>
      <c r="T224" s="94"/>
      <c r="U224" s="94"/>
      <c r="V224" s="94"/>
      <c r="W224" s="94"/>
      <c r="X224" s="1757"/>
    </row>
    <row r="225" spans="1:61" x14ac:dyDescent="0.25">
      <c r="B225" s="679" t="s">
        <v>3656</v>
      </c>
      <c r="C225" s="21" t="s">
        <v>258</v>
      </c>
      <c r="D225" s="21"/>
      <c r="E225" s="21"/>
      <c r="F225" s="21"/>
      <c r="G225" s="21"/>
      <c r="H225" s="758"/>
      <c r="I225" s="480"/>
      <c r="J225" s="183" t="s">
        <v>258</v>
      </c>
      <c r="K225" s="129"/>
      <c r="L225" s="1754" t="s">
        <v>3247</v>
      </c>
      <c r="M225" s="1758">
        <v>6</v>
      </c>
      <c r="N225" s="129"/>
      <c r="O225" s="502"/>
      <c r="P225" s="94"/>
      <c r="Q225" s="94"/>
      <c r="R225" s="94"/>
      <c r="S225" s="94"/>
      <c r="T225" s="94"/>
      <c r="U225" s="94"/>
      <c r="V225" s="94"/>
      <c r="W225" s="94"/>
      <c r="X225" s="1757"/>
      <c r="AL225" s="254" t="str">
        <f>SUBSTITUTE(SUBSTITUTE(SUBSTITUTE("dpa"&amp;$B225&amp;$C225&amp;$D225&amp;$E225,".","_"),"(","_"),")","")</f>
        <v>dpa902_2_1_2</v>
      </c>
      <c r="AM225" s="254">
        <f>M225</f>
        <v>6</v>
      </c>
    </row>
    <row r="226" spans="1:61" x14ac:dyDescent="0.25">
      <c r="B226" s="679" t="s">
        <v>3656</v>
      </c>
      <c r="C226" s="21" t="s">
        <v>258</v>
      </c>
      <c r="D226" s="21"/>
      <c r="E226" s="21"/>
      <c r="F226" s="21"/>
      <c r="G226" s="21"/>
      <c r="H226" s="758"/>
      <c r="I226" s="480"/>
      <c r="J226" s="210"/>
      <c r="K226" s="210"/>
      <c r="L226" s="1755"/>
      <c r="M226" s="1759"/>
      <c r="N226" s="129"/>
      <c r="O226" s="502"/>
      <c r="P226" s="94"/>
      <c r="Q226" s="94"/>
      <c r="R226" s="94"/>
      <c r="S226" s="94"/>
      <c r="T226" s="94"/>
      <c r="U226" s="94"/>
      <c r="V226" s="94"/>
      <c r="W226" s="94"/>
      <c r="X226" s="1757"/>
    </row>
    <row r="227" spans="1:61" x14ac:dyDescent="0.25">
      <c r="B227" s="679" t="s">
        <v>3656</v>
      </c>
      <c r="C227" s="21" t="s">
        <v>260</v>
      </c>
      <c r="D227" s="21"/>
      <c r="E227" s="21"/>
      <c r="F227" s="21"/>
      <c r="G227" s="21"/>
      <c r="H227" s="758"/>
      <c r="I227" s="480"/>
      <c r="J227" s="206" t="s">
        <v>260</v>
      </c>
      <c r="K227" s="210"/>
      <c r="L227" s="449" t="s">
        <v>3248</v>
      </c>
      <c r="M227" s="453">
        <v>7</v>
      </c>
      <c r="N227" s="129"/>
      <c r="O227" s="502"/>
      <c r="P227" s="94"/>
      <c r="Q227" s="94"/>
      <c r="R227" s="94"/>
      <c r="S227" s="94"/>
      <c r="T227" s="94"/>
      <c r="U227" s="94"/>
      <c r="V227" s="94"/>
      <c r="W227" s="94"/>
      <c r="X227" s="1757"/>
      <c r="AL227" s="254" t="str">
        <f>SUBSTITUTE(SUBSTITUTE(SUBSTITUTE("dpa"&amp;$B227&amp;$C227&amp;$D227&amp;$E227,".","_"),"(","_"),")","")</f>
        <v>dpa902_2_1_3</v>
      </c>
      <c r="AM227" s="254">
        <f>M227</f>
        <v>7</v>
      </c>
    </row>
    <row r="228" spans="1:61" x14ac:dyDescent="0.25">
      <c r="B228" s="679" t="s">
        <v>3656</v>
      </c>
      <c r="C228" s="21" t="s">
        <v>269</v>
      </c>
      <c r="D228" s="21"/>
      <c r="E228" s="21"/>
      <c r="F228" s="21"/>
      <c r="G228" s="21"/>
      <c r="H228" s="758"/>
      <c r="I228" s="480"/>
      <c r="J228" s="206" t="s">
        <v>269</v>
      </c>
      <c r="K228" s="210"/>
      <c r="L228" s="449" t="s">
        <v>3249</v>
      </c>
      <c r="M228" s="453">
        <v>8</v>
      </c>
      <c r="N228" s="129"/>
      <c r="O228" s="887"/>
      <c r="P228" s="94"/>
      <c r="Q228" s="94"/>
      <c r="R228" s="94"/>
      <c r="S228" s="94"/>
      <c r="T228" s="94"/>
      <c r="U228" s="94"/>
      <c r="V228" s="94"/>
      <c r="W228" s="94"/>
      <c r="X228" s="1757"/>
      <c r="AL228" s="254" t="str">
        <f>SUBSTITUTE(SUBSTITUTE(SUBSTITUTE("dpa"&amp;$B228&amp;$C228&amp;$D228&amp;$E228,".","_"),"(","_"),")","")</f>
        <v>dpa902_2_1_4</v>
      </c>
      <c r="AM228" s="254">
        <f>M228</f>
        <v>8</v>
      </c>
      <c r="AX228" s="868"/>
      <c r="AY228" s="868"/>
    </row>
    <row r="229" spans="1:61" s="868" customFormat="1" x14ac:dyDescent="0.25">
      <c r="A229" s="18"/>
      <c r="B229" s="679" t="s">
        <v>3656</v>
      </c>
      <c r="C229" s="21" t="s">
        <v>275</v>
      </c>
      <c r="D229" s="21"/>
      <c r="E229" s="21"/>
      <c r="F229" s="21"/>
      <c r="G229" s="21"/>
      <c r="H229" s="758"/>
      <c r="I229" s="480"/>
      <c r="J229" s="206" t="s">
        <v>275</v>
      </c>
      <c r="K229" s="210"/>
      <c r="L229" s="886" t="s">
        <v>4497</v>
      </c>
      <c r="M229" s="875">
        <v>10</v>
      </c>
      <c r="N229" s="129"/>
      <c r="O229" s="887"/>
      <c r="P229" s="94"/>
      <c r="Q229" s="94"/>
      <c r="R229" s="94"/>
      <c r="S229" s="94"/>
      <c r="T229" s="94"/>
      <c r="U229" s="94"/>
      <c r="V229" s="94"/>
      <c r="W229" s="178"/>
      <c r="X229" s="1757"/>
      <c r="AL229" s="254" t="str">
        <f>SUBSTITUTE(SUBSTITUTE(SUBSTITUTE("dpa"&amp;$B229&amp;$C229&amp;$D229&amp;$E229,".","_"),"(","_"),")","")</f>
        <v>dpa902_2_1_5</v>
      </c>
      <c r="AM229" s="254">
        <f>M229</f>
        <v>10</v>
      </c>
      <c r="AX229" s="76"/>
      <c r="AY229" s="76"/>
      <c r="AZ229" s="76"/>
      <c r="BA229" s="76"/>
      <c r="BB229" s="76"/>
      <c r="BC229" s="76"/>
      <c r="BD229" s="76"/>
      <c r="BE229" s="76"/>
      <c r="BF229" s="76"/>
      <c r="BG229" s="76"/>
      <c r="BH229" s="76"/>
      <c r="BI229" s="76"/>
    </row>
    <row r="230" spans="1:61" x14ac:dyDescent="0.25">
      <c r="B230" s="679" t="s">
        <v>3250</v>
      </c>
      <c r="C230" s="21"/>
      <c r="D230" s="21"/>
      <c r="E230" s="21"/>
      <c r="F230" s="21"/>
      <c r="G230" s="21"/>
      <c r="H230" s="758"/>
      <c r="I230" s="192" t="s">
        <v>3250</v>
      </c>
      <c r="J230" s="193"/>
      <c r="K230" s="193"/>
      <c r="L230" s="1864" t="s">
        <v>4498</v>
      </c>
      <c r="M230" s="1762">
        <v>4</v>
      </c>
      <c r="N230" s="193"/>
      <c r="O230" s="1763">
        <f ca="1">M230*S230*W230</f>
        <v>0</v>
      </c>
      <c r="P230" s="94" t="b">
        <v>0</v>
      </c>
      <c r="Q230" s="94" t="b">
        <v>1</v>
      </c>
      <c r="R230" s="195" t="b">
        <v>0</v>
      </c>
      <c r="S230" s="195" t="b">
        <f ca="1">O219&gt;0</f>
        <v>0</v>
      </c>
      <c r="T230" s="195" t="b">
        <f ca="1">AND(NOT(S230),W230=TRUE)</f>
        <v>0</v>
      </c>
      <c r="U230" s="195"/>
      <c r="V230" s="195"/>
      <c r="W230" s="360"/>
      <c r="X230" s="1770"/>
      <c r="AC230" s="394" t="b">
        <f ca="1">OR(AD230:AE230)</f>
        <v>0</v>
      </c>
      <c r="AD230" s="394" t="b">
        <f ca="1">T230</f>
        <v>0</v>
      </c>
      <c r="AE230" s="394"/>
      <c r="AL230" s="254" t="str">
        <f>SUBSTITUTE(SUBSTITUTE(SUBSTITUTE("dpa"&amp;$B230&amp;$C230&amp;$D230&amp;$E230,".","_"),"(","_"),")","")</f>
        <v>dpa902_2_2</v>
      </c>
      <c r="AM230" s="254">
        <f>M230</f>
        <v>4</v>
      </c>
      <c r="AN230" s="254" t="str">
        <f>SUBSTITUTE(SUBSTITUTE(SUBSTITUTE("dpc"&amp;$B230&amp;$C230&amp;$D230&amp;$E230,".","_"),"(","_"),")","")</f>
        <v>dpc902_2_2</v>
      </c>
      <c r="AO230" s="254">
        <f ca="1">O230</f>
        <v>0</v>
      </c>
      <c r="AP230" s="254" t="str">
        <f>SUBSTITUTE(SUBSTITUTE(SUBSTITUTE("dch"&amp;$B230&amp;$C230&amp;$D230&amp;$E230,".","_"),"(","_"),")","")</f>
        <v>dch902_2_2</v>
      </c>
      <c r="AQ230" s="254" t="str">
        <f>IF(LEN(W230)=0,"",W230)</f>
        <v/>
      </c>
      <c r="AR230" s="254" t="str">
        <f>SUBSTITUTE(SUBSTITUTE(SUBSTITUTE("dnt"&amp;$B230&amp;$C230&amp;$D230&amp;$E230,".","_"),"(","_"),")","")</f>
        <v>dnt902_2_2</v>
      </c>
      <c r="AS230" s="254" t="str">
        <f>IF(LEN(X230)=0,"",X230)</f>
        <v/>
      </c>
      <c r="AZ230" s="868"/>
      <c r="BA230" s="868"/>
      <c r="BB230" s="868"/>
      <c r="BC230" s="868"/>
      <c r="BD230" s="868"/>
      <c r="BE230" s="868"/>
      <c r="BF230" s="868"/>
      <c r="BG230" s="868"/>
      <c r="BH230" s="868"/>
      <c r="BI230" s="868"/>
    </row>
    <row r="231" spans="1:61" x14ac:dyDescent="0.25">
      <c r="B231" s="679" t="s">
        <v>3250</v>
      </c>
      <c r="C231" s="21"/>
      <c r="D231" s="21"/>
      <c r="E231" s="21"/>
      <c r="F231" s="21"/>
      <c r="G231" s="21"/>
      <c r="H231" s="758"/>
      <c r="I231" s="524"/>
      <c r="J231" s="210"/>
      <c r="K231" s="210"/>
      <c r="L231" s="1843"/>
      <c r="M231" s="1759"/>
      <c r="N231" s="210"/>
      <c r="O231" s="1764"/>
      <c r="P231" s="178"/>
      <c r="Q231" s="178"/>
      <c r="R231" s="178"/>
      <c r="S231" s="178"/>
      <c r="T231" s="178"/>
      <c r="U231" s="178"/>
      <c r="V231" s="178"/>
      <c r="W231" s="178"/>
      <c r="X231" s="1770"/>
    </row>
    <row r="232" spans="1:61" x14ac:dyDescent="0.25">
      <c r="B232" s="679" t="s">
        <v>3251</v>
      </c>
      <c r="C232" s="21"/>
      <c r="D232" s="21"/>
      <c r="E232" s="21"/>
      <c r="F232" s="21"/>
      <c r="G232" s="21"/>
      <c r="H232" s="758"/>
      <c r="I232" s="192" t="s">
        <v>3251</v>
      </c>
      <c r="J232" s="193"/>
      <c r="K232" s="193"/>
      <c r="L232" s="1864" t="s">
        <v>3252</v>
      </c>
      <c r="M232" s="1762">
        <v>2</v>
      </c>
      <c r="N232" s="193"/>
      <c r="O232" s="1763">
        <f>M232*S232*W232</f>
        <v>0</v>
      </c>
      <c r="P232" s="94" t="b">
        <v>0</v>
      </c>
      <c r="Q232" s="94" t="b">
        <v>1</v>
      </c>
      <c r="R232" s="195" t="b">
        <v>0</v>
      </c>
      <c r="S232" s="195" t="b">
        <f>NOT(OR(AND(AY43=INDEX(ddHDucts,2),AY39=INDEX(ddCDucts,2)),W235))</f>
        <v>1</v>
      </c>
      <c r="T232" s="195" t="b">
        <f>AND(NOT(S232),W232=TRUE)</f>
        <v>0</v>
      </c>
      <c r="U232" s="195"/>
      <c r="V232" s="195"/>
      <c r="W232" s="360"/>
      <c r="X232" s="1770"/>
      <c r="AC232" s="394" t="b">
        <f>OR(AD232:AE232)</f>
        <v>0</v>
      </c>
      <c r="AD232" s="394" t="b">
        <f>T232</f>
        <v>0</v>
      </c>
      <c r="AE232" s="394"/>
      <c r="AL232" s="254" t="str">
        <f>SUBSTITUTE(SUBSTITUTE(SUBSTITUTE("dpa"&amp;$B232&amp;$C232&amp;$D232&amp;$E232,".","_"),"(","_"),")","")</f>
        <v>dpa902_2_3</v>
      </c>
      <c r="AM232" s="254">
        <f>M232</f>
        <v>2</v>
      </c>
      <c r="AN232" s="254" t="str">
        <f>SUBSTITUTE(SUBSTITUTE(SUBSTITUTE("dpc"&amp;$B232&amp;$C232&amp;$D232&amp;$E232,".","_"),"(","_"),")","")</f>
        <v>dpc902_2_3</v>
      </c>
      <c r="AO232" s="254">
        <f>O232</f>
        <v>0</v>
      </c>
      <c r="AP232" s="254" t="str">
        <f>SUBSTITUTE(SUBSTITUTE(SUBSTITUTE("dch"&amp;$B232&amp;$C232&amp;$D232&amp;$E232,".","_"),"(","_"),")","")</f>
        <v>dch902_2_3</v>
      </c>
      <c r="AQ232" s="254" t="str">
        <f>IF(LEN(W232)=0,"",W232)</f>
        <v/>
      </c>
      <c r="AR232" s="254" t="str">
        <f>SUBSTITUTE(SUBSTITUTE(SUBSTITUTE("dnt"&amp;$B232&amp;$C232&amp;$D232&amp;$E232,".","_"),"(","_"),")","")</f>
        <v>dnt902_2_3</v>
      </c>
      <c r="AS232" s="254" t="str">
        <f>IF(LEN(X232)=0,"",X232)</f>
        <v/>
      </c>
    </row>
    <row r="233" spans="1:61" x14ac:dyDescent="0.25">
      <c r="B233" s="679" t="s">
        <v>3251</v>
      </c>
      <c r="C233" s="21"/>
      <c r="D233" s="21"/>
      <c r="E233" s="21"/>
      <c r="F233" s="21"/>
      <c r="G233" s="21"/>
      <c r="H233" s="758"/>
      <c r="I233" s="480"/>
      <c r="J233" s="129"/>
      <c r="K233" s="129"/>
      <c r="L233" s="1782"/>
      <c r="M233" s="1758"/>
      <c r="N233" s="129"/>
      <c r="O233" s="1774"/>
      <c r="P233" s="94"/>
      <c r="Q233" s="94"/>
      <c r="R233" s="94"/>
      <c r="S233" s="94"/>
      <c r="T233" s="94"/>
      <c r="U233" s="94"/>
      <c r="V233" s="94"/>
      <c r="W233" s="94"/>
      <c r="X233" s="1770"/>
    </row>
    <row r="234" spans="1:61" x14ac:dyDescent="0.25">
      <c r="B234" s="679" t="s">
        <v>3251</v>
      </c>
      <c r="C234" s="21"/>
      <c r="D234" s="21"/>
      <c r="E234" s="21"/>
      <c r="F234" s="21"/>
      <c r="G234" s="21"/>
      <c r="H234" s="758"/>
      <c r="I234" s="524"/>
      <c r="J234" s="210"/>
      <c r="K234" s="210"/>
      <c r="L234" s="1843"/>
      <c r="M234" s="1759"/>
      <c r="N234" s="210"/>
      <c r="O234" s="1764"/>
      <c r="P234" s="178"/>
      <c r="Q234" s="178"/>
      <c r="R234" s="178"/>
      <c r="S234" s="178"/>
      <c r="T234" s="178"/>
      <c r="U234" s="178"/>
      <c r="V234" s="178"/>
      <c r="W234" s="178"/>
      <c r="X234" s="1770"/>
    </row>
    <row r="235" spans="1:61" x14ac:dyDescent="0.25">
      <c r="B235" s="679" t="s">
        <v>3253</v>
      </c>
      <c r="C235" s="21"/>
      <c r="D235" s="21"/>
      <c r="E235" s="21"/>
      <c r="F235" s="21"/>
      <c r="G235" s="21"/>
      <c r="H235" s="758"/>
      <c r="I235" s="130" t="s">
        <v>3253</v>
      </c>
      <c r="J235" s="129"/>
      <c r="K235" s="129"/>
      <c r="L235" s="1782" t="s">
        <v>3254</v>
      </c>
      <c r="M235" s="1758">
        <v>3</v>
      </c>
      <c r="N235" s="129"/>
      <c r="O235" s="1774">
        <f>M235*S235*W235</f>
        <v>0</v>
      </c>
      <c r="P235" s="94" t="b">
        <v>0</v>
      </c>
      <c r="Q235" s="94" t="b">
        <v>1</v>
      </c>
      <c r="R235" s="94" t="b">
        <v>0</v>
      </c>
      <c r="S235" s="94" t="b">
        <f>NOT(OR(AND(AY43=INDEX(ddHDucts,2),AY39=INDEX(ddCDucts,2)),W232))</f>
        <v>1</v>
      </c>
      <c r="T235" s="94" t="b">
        <f>AND(NOT(S235),W235=TRUE)</f>
        <v>0</v>
      </c>
      <c r="U235" s="94"/>
      <c r="V235" s="94"/>
      <c r="W235" s="117"/>
      <c r="X235" s="1756"/>
      <c r="AC235" s="394" t="b">
        <f>OR(AD235:AE235)</f>
        <v>0</v>
      </c>
      <c r="AD235" s="394" t="b">
        <f>T235</f>
        <v>0</v>
      </c>
      <c r="AE235" s="394"/>
      <c r="AL235" s="254" t="str">
        <f>SUBSTITUTE(SUBSTITUTE(SUBSTITUTE("dpa"&amp;$B235&amp;$C235&amp;$D235&amp;$E235,".","_"),"(","_"),")","")</f>
        <v>dpa902_2_4</v>
      </c>
      <c r="AM235" s="254">
        <f>M235</f>
        <v>3</v>
      </c>
      <c r="AN235" s="254" t="str">
        <f>SUBSTITUTE(SUBSTITUTE(SUBSTITUTE("dpc"&amp;$B235&amp;$C235&amp;$D235&amp;$E235,".","_"),"(","_"),")","")</f>
        <v>dpc902_2_4</v>
      </c>
      <c r="AO235" s="254">
        <f>O235</f>
        <v>0</v>
      </c>
      <c r="AP235" s="254" t="str">
        <f>SUBSTITUTE(SUBSTITUTE(SUBSTITUTE("dch"&amp;$B235&amp;$C235&amp;$D235&amp;$E235,".","_"),"(","_"),")","")</f>
        <v>dch902_2_4</v>
      </c>
      <c r="AQ235" s="254" t="str">
        <f>IF(LEN(W235)=0,"",W235)</f>
        <v/>
      </c>
      <c r="AR235" s="254" t="str">
        <f>SUBSTITUTE(SUBSTITUTE(SUBSTITUTE("dnt"&amp;$B235&amp;$C235&amp;$D235&amp;$E235,".","_"),"(","_"),")","")</f>
        <v>dnt902_2_4</v>
      </c>
      <c r="AS235" s="254" t="str">
        <f>IF(LEN(X235)=0,"",X235)</f>
        <v/>
      </c>
    </row>
    <row r="236" spans="1:61" x14ac:dyDescent="0.25">
      <c r="B236" s="679" t="s">
        <v>3253</v>
      </c>
      <c r="C236" s="21"/>
      <c r="D236" s="21"/>
      <c r="E236" s="21"/>
      <c r="F236" s="21"/>
      <c r="G236" s="21"/>
      <c r="H236" s="758"/>
      <c r="I236" s="480"/>
      <c r="J236" s="129"/>
      <c r="K236" s="129"/>
      <c r="L236" s="1782"/>
      <c r="M236" s="1758"/>
      <c r="N236" s="129"/>
      <c r="O236" s="1774"/>
      <c r="P236" s="94"/>
      <c r="Q236" s="94"/>
      <c r="R236" s="94"/>
      <c r="S236" s="94"/>
      <c r="T236" s="94"/>
      <c r="U236" s="94"/>
      <c r="V236" s="94"/>
      <c r="W236" s="94"/>
      <c r="X236" s="1770"/>
    </row>
    <row r="237" spans="1:61" ht="15.75" thickBot="1" x14ac:dyDescent="0.3">
      <c r="B237" s="679" t="s">
        <v>3253</v>
      </c>
      <c r="C237" s="21"/>
      <c r="D237" s="21"/>
      <c r="E237" s="21"/>
      <c r="F237" s="21"/>
      <c r="G237" s="21"/>
      <c r="H237" s="758"/>
      <c r="I237" s="481"/>
      <c r="J237" s="240"/>
      <c r="K237" s="240"/>
      <c r="L237" s="1797"/>
      <c r="M237" s="1768"/>
      <c r="N237" s="240"/>
      <c r="O237" s="1775"/>
      <c r="P237" s="99"/>
      <c r="Q237" s="99"/>
      <c r="R237" s="99"/>
      <c r="S237" s="99"/>
      <c r="T237" s="99"/>
      <c r="U237" s="99"/>
      <c r="V237" s="99"/>
      <c r="W237" s="99"/>
      <c r="X237" s="1771"/>
    </row>
    <row r="238" spans="1:61" ht="15.75" customHeight="1" thickTop="1" x14ac:dyDescent="0.25">
      <c r="B238" s="679" t="s">
        <v>4499</v>
      </c>
      <c r="C238" s="21"/>
      <c r="D238" s="21"/>
      <c r="E238" s="21"/>
      <c r="F238" s="21"/>
      <c r="G238" s="21"/>
      <c r="H238" s="758"/>
      <c r="I238" s="667" t="s">
        <v>4499</v>
      </c>
      <c r="J238" s="667"/>
      <c r="K238" s="667"/>
      <c r="L238" s="1785" t="s">
        <v>4500</v>
      </c>
      <c r="M238" s="1856" t="str">
        <f>IF(R238,"Mandatory","N/A")</f>
        <v>Mandatory</v>
      </c>
      <c r="N238" s="181"/>
      <c r="O238" s="873"/>
      <c r="P238" s="105" t="b">
        <v>1</v>
      </c>
      <c r="Q238" s="105" t="b">
        <v>0</v>
      </c>
      <c r="R238" s="105" t="b">
        <v>1</v>
      </c>
      <c r="S238" s="105" t="b">
        <v>1</v>
      </c>
      <c r="T238" s="105" t="b">
        <f>AND(LEN(W290)&gt;0,W290&gt;4,OR(W238="ICC IRC F",W238="N/A"))</f>
        <v>0</v>
      </c>
      <c r="U238" s="868" t="str">
        <f>SUBSTITUTE(SUBSTITUTE(SUBSTITUTE("dd"&amp;B238&amp;C238&amp;D238&amp;E238&amp;F238,".","_"),"(","_"),")","")</f>
        <v>dd902_3</v>
      </c>
      <c r="V238" s="105"/>
      <c r="W238" s="12"/>
      <c r="X238" s="1815"/>
      <c r="AC238" s="868" t="b">
        <f>OR(AD238:AE238)</f>
        <v>1</v>
      </c>
      <c r="AD238" s="1496" t="b">
        <f>T238</f>
        <v>0</v>
      </c>
      <c r="AE238" s="868" t="b">
        <f>AND(R238,OR(W238="Not Met",W238=""))</f>
        <v>1</v>
      </c>
      <c r="AL238" s="254" t="str">
        <f>SUBSTITUTE(SUBSTITUTE(SUBSTITUTE("dpa"&amp;$B238&amp;$C238&amp;$D238&amp;$E238,".","_"),"(","_"),")","")</f>
        <v>dpa902_3</v>
      </c>
      <c r="AM238" s="254" t="str">
        <f>M238</f>
        <v>Mandatory</v>
      </c>
      <c r="AP238" s="254" t="str">
        <f>SUBSTITUTE(SUBSTITUTE(SUBSTITUTE("dch"&amp;$B238&amp;$C238&amp;$D238&amp;$E238,".","_"),"(","_"),")","")</f>
        <v>dch902_3</v>
      </c>
      <c r="AQ238" s="254" t="str">
        <f>IF(LEN(W238)=0,"",W238)</f>
        <v/>
      </c>
      <c r="AR238" s="254" t="str">
        <f>SUBSTITUTE(SUBSTITUTE(SUBSTITUTE("dnt"&amp;$B238&amp;$C238&amp;$D238&amp;$E238,".","_"),"(","_"),")","")</f>
        <v>dnt902_3</v>
      </c>
      <c r="AS238" s="254" t="str">
        <f>IF(LEN(X238)=0,"",X238)</f>
        <v/>
      </c>
    </row>
    <row r="239" spans="1:61" x14ac:dyDescent="0.25">
      <c r="B239" s="679" t="s">
        <v>4499</v>
      </c>
      <c r="C239" s="21"/>
      <c r="D239" s="21"/>
      <c r="E239" s="21"/>
      <c r="F239" s="21"/>
      <c r="G239" s="21"/>
      <c r="H239" s="758"/>
      <c r="I239" s="667"/>
      <c r="J239" s="667"/>
      <c r="K239" s="667"/>
      <c r="L239" s="1785"/>
      <c r="M239" s="1837"/>
      <c r="N239" s="129"/>
      <c r="O239" s="887"/>
      <c r="P239" s="94"/>
      <c r="Q239" s="94"/>
      <c r="R239" s="94"/>
      <c r="S239" s="94"/>
      <c r="T239" s="94"/>
      <c r="U239" s="94"/>
      <c r="V239" s="94"/>
      <c r="W239" s="94"/>
      <c r="X239" s="1799"/>
      <c r="AX239" s="868"/>
      <c r="AY239" s="868"/>
    </row>
    <row r="240" spans="1:61" s="868" customFormat="1" x14ac:dyDescent="0.25">
      <c r="A240" s="18"/>
      <c r="B240" s="679" t="s">
        <v>4499</v>
      </c>
      <c r="C240" s="21"/>
      <c r="D240" s="21"/>
      <c r="E240" s="21"/>
      <c r="F240" s="21"/>
      <c r="G240" s="21"/>
      <c r="H240" s="758"/>
      <c r="I240" s="667"/>
      <c r="J240" s="667"/>
      <c r="K240" s="667"/>
      <c r="L240" s="1785"/>
      <c r="M240" s="1837"/>
      <c r="N240" s="129"/>
      <c r="O240" s="887"/>
      <c r="P240" s="94"/>
      <c r="Q240" s="94"/>
      <c r="R240" s="94"/>
      <c r="S240" s="94"/>
      <c r="T240" s="94"/>
      <c r="U240" s="94"/>
      <c r="V240" s="94"/>
      <c r="W240" s="94"/>
      <c r="X240" s="1799"/>
      <c r="AX240" s="76"/>
      <c r="AY240" s="76"/>
      <c r="AZ240" s="76"/>
      <c r="BA240" s="76"/>
      <c r="BB240" s="76"/>
      <c r="BC240" s="76"/>
      <c r="BD240" s="76"/>
      <c r="BE240" s="76"/>
      <c r="BF240" s="76"/>
      <c r="BG240" s="76"/>
      <c r="BH240" s="76"/>
      <c r="BI240" s="76"/>
    </row>
    <row r="241" spans="2:61" x14ac:dyDescent="0.25">
      <c r="B241" s="679" t="s">
        <v>4499</v>
      </c>
      <c r="C241" s="21" t="s">
        <v>256</v>
      </c>
      <c r="D241" s="21"/>
      <c r="E241" s="21"/>
      <c r="F241" s="758"/>
      <c r="G241" s="21"/>
      <c r="H241" s="758"/>
      <c r="I241" s="667"/>
      <c r="J241" s="667" t="s">
        <v>256</v>
      </c>
      <c r="K241" s="667"/>
      <c r="L241" s="964" t="s">
        <v>3255</v>
      </c>
      <c r="M241" s="76"/>
      <c r="N241" s="4"/>
      <c r="O241" s="874">
        <f ca="1">IFERROR(INDEX({0,12,0,0},MATCH(W238,INDIRECT(U238),0)),0)*S241</f>
        <v>0</v>
      </c>
      <c r="P241" s="868"/>
      <c r="Q241" s="868"/>
      <c r="R241" s="868" t="b">
        <f>S241</f>
        <v>0</v>
      </c>
      <c r="S241" s="868" t="b">
        <f>(BE16= 1)</f>
        <v>0</v>
      </c>
      <c r="T241" s="868" t="b">
        <f>AND(NOT(S241),LEN(W241)&gt;0)</f>
        <v>0</v>
      </c>
      <c r="U241" s="868"/>
      <c r="V241"/>
      <c r="W241"/>
      <c r="X241" s="1799"/>
      <c r="AC241" s="868"/>
      <c r="AD241" s="868"/>
      <c r="AE241" s="868"/>
      <c r="AL241" s="254"/>
      <c r="AM241" s="254"/>
      <c r="AN241" s="254" t="str">
        <f>SUBSTITUTE(SUBSTITUTE(SUBSTITUTE("dpc"&amp;$B241&amp;$C241&amp;$D241&amp;$E241,".","_"),"(","_"),")","")</f>
        <v>dpc902_3_1</v>
      </c>
      <c r="AO241" s="254">
        <f ca="1">O241</f>
        <v>0</v>
      </c>
      <c r="AP241" s="254"/>
      <c r="AQ241" s="254"/>
      <c r="AZ241" s="868"/>
      <c r="BA241" s="868"/>
      <c r="BB241" s="868"/>
      <c r="BC241" s="868"/>
      <c r="BD241" s="868"/>
      <c r="BE241" s="868"/>
      <c r="BF241" s="868"/>
      <c r="BG241" s="868"/>
      <c r="BH241" s="868"/>
      <c r="BI241" s="868"/>
    </row>
    <row r="242" spans="2:61" x14ac:dyDescent="0.25">
      <c r="B242" s="679" t="s">
        <v>4499</v>
      </c>
      <c r="C242" s="21" t="s">
        <v>256</v>
      </c>
      <c r="D242" s="21" t="s">
        <v>121</v>
      </c>
      <c r="E242" s="21"/>
      <c r="F242" s="758"/>
      <c r="G242" s="21"/>
      <c r="H242" s="758"/>
      <c r="I242" s="667"/>
      <c r="J242" s="667"/>
      <c r="K242" s="667" t="s">
        <v>121</v>
      </c>
      <c r="L242" s="964" t="s">
        <v>4501</v>
      </c>
      <c r="M242" s="891" t="str">
        <f>IF(R241,"Mandatory","N/A")</f>
        <v>N/A</v>
      </c>
      <c r="N242" s="4"/>
      <c r="O242" s="874"/>
      <c r="P242" s="868"/>
      <c r="Q242" s="868"/>
      <c r="R242" s="868"/>
      <c r="S242" s="868"/>
      <c r="T242" s="868"/>
      <c r="U242" s="868"/>
      <c r="V242"/>
      <c r="W242"/>
      <c r="X242" s="1799"/>
      <c r="AL242" s="254" t="str">
        <f>SUBSTITUTE(SUBSTITUTE(SUBSTITUTE("dpa"&amp;$B242&amp;$C242&amp;$D242&amp;$E242,".","_"),"(","_"),")","")</f>
        <v>dpa902_3_1_a</v>
      </c>
      <c r="AM242" s="254" t="str">
        <f>M242</f>
        <v>N/A</v>
      </c>
    </row>
    <row r="243" spans="2:61" x14ac:dyDescent="0.25">
      <c r="B243" s="679" t="s">
        <v>4499</v>
      </c>
      <c r="C243" s="21" t="s">
        <v>256</v>
      </c>
      <c r="D243" s="21" t="s">
        <v>122</v>
      </c>
      <c r="E243" s="21"/>
      <c r="F243" s="758"/>
      <c r="G243" s="21"/>
      <c r="H243" s="758"/>
      <c r="I243" s="667"/>
      <c r="J243" s="684"/>
      <c r="K243" s="684" t="s">
        <v>122</v>
      </c>
      <c r="L243" s="965" t="s">
        <v>4502</v>
      </c>
      <c r="M243" s="875">
        <v>12</v>
      </c>
      <c r="N243" s="210"/>
      <c r="O243" s="876"/>
      <c r="P243" s="868"/>
      <c r="Q243" s="868"/>
      <c r="R243" s="868"/>
      <c r="S243" s="868"/>
      <c r="T243" s="868"/>
      <c r="U243" s="868"/>
      <c r="V243"/>
      <c r="W243"/>
      <c r="X243" s="1799"/>
      <c r="AL243" s="254" t="str">
        <f>SUBSTITUTE(SUBSTITUTE(SUBSTITUTE("dpa"&amp;$B243&amp;$C243&amp;$D243&amp;$E243,".","_"),"(","_"),")","")</f>
        <v>dpa902_3_1_b</v>
      </c>
      <c r="AM243" s="254">
        <f>M243</f>
        <v>12</v>
      </c>
    </row>
    <row r="244" spans="2:61" x14ac:dyDescent="0.25">
      <c r="B244" s="679" t="s">
        <v>4499</v>
      </c>
      <c r="C244" s="21" t="s">
        <v>258</v>
      </c>
      <c r="D244" s="21"/>
      <c r="E244" s="21"/>
      <c r="F244" s="758"/>
      <c r="G244" s="21"/>
      <c r="H244" s="758"/>
      <c r="I244" s="667"/>
      <c r="J244" s="667" t="s">
        <v>258</v>
      </c>
      <c r="K244" s="667"/>
      <c r="L244" s="964" t="s">
        <v>3256</v>
      </c>
      <c r="M244" s="872"/>
      <c r="N244" s="4"/>
      <c r="O244" s="874">
        <f ca="1">IFERROR(INDEX({6,12,6,0},MATCH(W238,INDIRECT(U238),0)),0)*S244</f>
        <v>0</v>
      </c>
      <c r="P244" s="868"/>
      <c r="Q244" s="868"/>
      <c r="R244" s="868" t="b">
        <v>0</v>
      </c>
      <c r="S244" s="868" t="b">
        <f>OR(BE16=2,BE16=3)</f>
        <v>0</v>
      </c>
      <c r="T244" s="868" t="b">
        <f>AND(NOT(S244),W245=TRUE)</f>
        <v>0</v>
      </c>
      <c r="U244" s="868"/>
      <c r="V244"/>
      <c r="W244"/>
      <c r="X244" s="1799"/>
      <c r="AC244" s="868"/>
      <c r="AD244" s="868"/>
      <c r="AE244" s="868"/>
      <c r="AN244" s="254" t="str">
        <f>SUBSTITUTE(SUBSTITUTE(SUBSTITUTE("dpc"&amp;$B244&amp;$C244&amp;$D244&amp;$E244,".","_"),"(","_"),")","")</f>
        <v>dpc902_3_2</v>
      </c>
      <c r="AO244" s="254">
        <f ca="1">O244</f>
        <v>0</v>
      </c>
    </row>
    <row r="245" spans="2:61" x14ac:dyDescent="0.25">
      <c r="B245" s="679" t="s">
        <v>4499</v>
      </c>
      <c r="C245" s="21" t="s">
        <v>258</v>
      </c>
      <c r="D245" s="21" t="s">
        <v>121</v>
      </c>
      <c r="E245" s="21"/>
      <c r="F245" s="758"/>
      <c r="G245" s="21"/>
      <c r="H245" s="758"/>
      <c r="I245" s="667"/>
      <c r="J245" s="667"/>
      <c r="K245" s="667" t="s">
        <v>121</v>
      </c>
      <c r="L245" s="964" t="s">
        <v>4501</v>
      </c>
      <c r="M245" s="872">
        <v>6</v>
      </c>
      <c r="N245" s="4"/>
      <c r="O245" s="874"/>
      <c r="P245" s="868"/>
      <c r="Q245" s="868"/>
      <c r="R245" s="868"/>
      <c r="S245" s="868"/>
      <c r="T245" s="868"/>
      <c r="U245" s="868"/>
      <c r="V245"/>
      <c r="W245"/>
      <c r="X245" s="1799"/>
      <c r="AC245" s="394"/>
      <c r="AD245" s="394"/>
      <c r="AE245" s="394"/>
      <c r="AL245" s="254" t="str">
        <f>SUBSTITUTE(SUBSTITUTE(SUBSTITUTE("dpa"&amp;$B245&amp;$C245&amp;$D245&amp;$E245,".","_"),"(","_"),")","")</f>
        <v>dpa902_3_2_a</v>
      </c>
      <c r="AM245" s="254">
        <f>M245</f>
        <v>6</v>
      </c>
      <c r="AN245" s="254"/>
      <c r="AO245" s="254"/>
      <c r="AP245" s="254"/>
      <c r="AQ245" s="254"/>
      <c r="AX245"/>
      <c r="AY245"/>
    </row>
    <row r="246" spans="2:61" customFormat="1" x14ac:dyDescent="0.25">
      <c r="B246" s="679" t="s">
        <v>4499</v>
      </c>
      <c r="C246" s="21" t="s">
        <v>258</v>
      </c>
      <c r="D246" s="21" t="s">
        <v>122</v>
      </c>
      <c r="E246" s="1130"/>
      <c r="F246" s="1130"/>
      <c r="I246" s="684"/>
      <c r="J246" s="684"/>
      <c r="K246" s="684" t="s">
        <v>122</v>
      </c>
      <c r="L246" s="965" t="s">
        <v>4502</v>
      </c>
      <c r="M246" s="872">
        <v>12</v>
      </c>
      <c r="N246" s="868"/>
      <c r="O246" s="868"/>
      <c r="P246" s="868"/>
      <c r="Q246" s="868"/>
      <c r="R246" s="868"/>
      <c r="S246" s="868"/>
      <c r="T246" s="868"/>
      <c r="U246" s="868"/>
      <c r="X246" s="1756"/>
      <c r="AL246" s="254" t="str">
        <f>SUBSTITUTE(SUBSTITUTE(SUBSTITUTE("dpa"&amp;$B246&amp;$C246&amp;$D246&amp;$E246,".","_"),"(","_"),")","")</f>
        <v>dpa902_3_2_b</v>
      </c>
      <c r="AM246" s="254">
        <f>M246</f>
        <v>12</v>
      </c>
      <c r="AX246" s="868"/>
      <c r="AY246" s="868"/>
      <c r="AZ246" s="76"/>
      <c r="BA246" s="76"/>
      <c r="BB246" s="76"/>
      <c r="BC246" s="76"/>
      <c r="BD246" s="76"/>
      <c r="BE246" s="76"/>
      <c r="BF246" s="76"/>
      <c r="BG246" s="76"/>
      <c r="BH246" s="76"/>
      <c r="BI246" s="76"/>
    </row>
    <row r="247" spans="2:61" s="868" customFormat="1" ht="15" customHeight="1" x14ac:dyDescent="0.25">
      <c r="B247" s="679" t="s">
        <v>4503</v>
      </c>
      <c r="C247" s="21"/>
      <c r="D247" s="21"/>
      <c r="E247" s="679"/>
      <c r="F247" s="679"/>
      <c r="I247" s="667" t="s">
        <v>4503</v>
      </c>
      <c r="J247" s="667"/>
      <c r="K247" s="667"/>
      <c r="L247" s="870" t="s">
        <v>4820</v>
      </c>
      <c r="M247" s="195"/>
      <c r="N247" s="195"/>
      <c r="O247" s="195"/>
      <c r="T247" s="94"/>
      <c r="W247"/>
      <c r="X247" s="869"/>
      <c r="AR247" s="254" t="str">
        <f>SUBSTITUTE(SUBSTITUTE(SUBSTITUTE("dnt"&amp;$B247&amp;$C247&amp;$D247&amp;$E247,".","_"),"(","_"),")","")</f>
        <v>dnt902_3_1</v>
      </c>
      <c r="AS247" s="254" t="str">
        <f>IF(LEN(X247)=0,"",X247)</f>
        <v/>
      </c>
      <c r="AZ247"/>
      <c r="BA247"/>
      <c r="BB247"/>
      <c r="BC247"/>
      <c r="BD247"/>
      <c r="BE247"/>
      <c r="BF247"/>
      <c r="BG247"/>
      <c r="BH247"/>
      <c r="BI247"/>
    </row>
    <row r="248" spans="2:61" s="868" customFormat="1" x14ac:dyDescent="0.25">
      <c r="B248" s="679" t="s">
        <v>4505</v>
      </c>
      <c r="C248" s="21"/>
      <c r="D248" s="21"/>
      <c r="E248" s="679"/>
      <c r="F248" s="679"/>
      <c r="I248" s="668" t="s">
        <v>4505</v>
      </c>
      <c r="J248" s="668"/>
      <c r="K248" s="668"/>
      <c r="L248" s="1802" t="s">
        <v>4506</v>
      </c>
    </row>
    <row r="249" spans="2:61" s="868" customFormat="1" x14ac:dyDescent="0.25">
      <c r="B249" s="679" t="s">
        <v>4505</v>
      </c>
      <c r="C249" s="21"/>
      <c r="D249" s="21"/>
      <c r="E249" s="679"/>
      <c r="F249" s="679"/>
      <c r="I249" s="668"/>
      <c r="J249" s="668"/>
      <c r="K249" s="668"/>
      <c r="L249" s="1802"/>
    </row>
    <row r="250" spans="2:61" s="868" customFormat="1" x14ac:dyDescent="0.25">
      <c r="B250" s="679" t="s">
        <v>4505</v>
      </c>
      <c r="C250" s="21"/>
      <c r="D250" s="21"/>
      <c r="E250" s="679"/>
      <c r="F250" s="679"/>
      <c r="I250" s="668"/>
      <c r="J250" s="668"/>
      <c r="K250" s="668"/>
      <c r="L250" s="1802"/>
    </row>
    <row r="251" spans="2:61" s="868" customFormat="1" x14ac:dyDescent="0.25">
      <c r="B251" s="679" t="s">
        <v>4505</v>
      </c>
      <c r="C251" s="21"/>
      <c r="D251" s="21"/>
      <c r="E251" s="679"/>
      <c r="F251" s="679"/>
      <c r="I251" s="668"/>
      <c r="J251" s="668"/>
      <c r="K251" s="668"/>
      <c r="L251" s="1802"/>
    </row>
    <row r="252" spans="2:61" s="1066" customFormat="1" x14ac:dyDescent="0.25">
      <c r="B252" s="679" t="s">
        <v>4505</v>
      </c>
      <c r="C252" s="21"/>
      <c r="D252" s="21"/>
      <c r="E252" s="679"/>
      <c r="F252" s="679"/>
      <c r="I252" s="668"/>
      <c r="J252" s="668"/>
      <c r="K252" s="668"/>
      <c r="L252" s="1802"/>
      <c r="AX252" s="868"/>
      <c r="AY252" s="868"/>
      <c r="AZ252" s="868"/>
      <c r="BA252" s="868"/>
      <c r="BB252" s="868"/>
      <c r="BC252" s="868"/>
      <c r="BD252" s="868"/>
      <c r="BE252" s="868"/>
      <c r="BF252" s="868"/>
      <c r="BG252" s="868"/>
      <c r="BH252" s="868"/>
      <c r="BI252" s="868"/>
    </row>
    <row r="253" spans="2:61" s="868" customFormat="1" x14ac:dyDescent="0.25">
      <c r="B253" s="679" t="s">
        <v>4505</v>
      </c>
      <c r="C253" s="21"/>
      <c r="D253" s="21"/>
      <c r="E253" s="679"/>
      <c r="F253" s="679"/>
      <c r="I253" s="668"/>
      <c r="J253" s="668"/>
      <c r="K253" s="668"/>
      <c r="L253" s="1802"/>
      <c r="AX253" s="1066"/>
      <c r="AY253" s="1066"/>
      <c r="AZ253" s="1066"/>
      <c r="BA253" s="1066"/>
      <c r="BB253" s="1066"/>
      <c r="BC253" s="1066"/>
      <c r="BD253" s="1066"/>
      <c r="BE253" s="1066"/>
      <c r="BF253" s="1066"/>
      <c r="BG253" s="1066"/>
      <c r="BH253" s="1066"/>
      <c r="BI253" s="1066"/>
    </row>
    <row r="254" spans="2:61" s="868" customFormat="1" x14ac:dyDescent="0.25">
      <c r="B254" s="679" t="s">
        <v>4505</v>
      </c>
      <c r="C254" s="21"/>
      <c r="D254" s="21"/>
      <c r="E254" s="679"/>
      <c r="F254" s="679"/>
      <c r="I254" s="668"/>
      <c r="J254" s="668"/>
      <c r="K254" s="668"/>
      <c r="L254" s="1802"/>
    </row>
    <row r="255" spans="2:61" s="868" customFormat="1" x14ac:dyDescent="0.25">
      <c r="B255" s="679" t="s">
        <v>4505</v>
      </c>
      <c r="C255" s="21"/>
      <c r="D255" s="21"/>
      <c r="E255" s="679"/>
      <c r="F255" s="679"/>
      <c r="I255" s="684"/>
      <c r="J255" s="684"/>
      <c r="K255" s="684"/>
      <c r="L255" s="1936"/>
    </row>
    <row r="256" spans="2:61" s="868" customFormat="1" x14ac:dyDescent="0.25">
      <c r="B256" s="679" t="s">
        <v>4507</v>
      </c>
      <c r="C256" s="21"/>
      <c r="D256" s="21"/>
      <c r="E256" s="679"/>
      <c r="F256" s="679"/>
      <c r="I256" s="693" t="s">
        <v>4507</v>
      </c>
      <c r="J256" s="693"/>
      <c r="K256" s="693"/>
      <c r="L256" s="1935" t="s">
        <v>4508</v>
      </c>
    </row>
    <row r="257" spans="2:12" s="868" customFormat="1" x14ac:dyDescent="0.25">
      <c r="B257" s="679" t="s">
        <v>4507</v>
      </c>
      <c r="C257" s="21"/>
      <c r="D257" s="21"/>
      <c r="E257" s="679"/>
      <c r="F257" s="679"/>
      <c r="I257" s="668"/>
      <c r="J257" s="668"/>
      <c r="K257" s="668"/>
      <c r="L257" s="1802"/>
    </row>
    <row r="258" spans="2:12" s="868" customFormat="1" x14ac:dyDescent="0.25">
      <c r="B258" s="679" t="s">
        <v>4507</v>
      </c>
      <c r="C258" s="21"/>
      <c r="D258" s="21"/>
      <c r="E258" s="679"/>
      <c r="F258" s="679"/>
      <c r="I258" s="668"/>
      <c r="J258" s="668"/>
      <c r="K258" s="668"/>
      <c r="L258" s="1802"/>
    </row>
    <row r="259" spans="2:12" s="868" customFormat="1" x14ac:dyDescent="0.25">
      <c r="B259" s="679" t="s">
        <v>4507</v>
      </c>
      <c r="C259" s="21"/>
      <c r="D259" s="21"/>
      <c r="E259" s="679"/>
      <c r="F259" s="679"/>
      <c r="I259" s="668"/>
      <c r="J259" s="668"/>
      <c r="K259" s="668"/>
      <c r="L259" s="1802"/>
    </row>
    <row r="260" spans="2:12" s="868" customFormat="1" x14ac:dyDescent="0.25">
      <c r="B260" s="679" t="s">
        <v>4507</v>
      </c>
      <c r="C260" s="21"/>
      <c r="D260" s="21"/>
      <c r="E260" s="679"/>
      <c r="F260" s="679"/>
      <c r="I260" s="668"/>
      <c r="J260" s="668"/>
      <c r="K260" s="668"/>
      <c r="L260" s="1802"/>
    </row>
    <row r="261" spans="2:12" s="868" customFormat="1" x14ac:dyDescent="0.25">
      <c r="B261" s="679" t="s">
        <v>4507</v>
      </c>
      <c r="C261" s="21"/>
      <c r="D261" s="21"/>
      <c r="E261" s="679"/>
      <c r="F261" s="679"/>
      <c r="I261" s="668"/>
      <c r="J261" s="668"/>
      <c r="K261" s="668"/>
      <c r="L261" s="1802"/>
    </row>
    <row r="262" spans="2:12" s="868" customFormat="1" x14ac:dyDescent="0.25">
      <c r="B262" s="679" t="s">
        <v>4507</v>
      </c>
      <c r="C262" s="21"/>
      <c r="D262" s="21"/>
      <c r="E262" s="679"/>
      <c r="F262" s="679"/>
      <c r="I262" s="684"/>
      <c r="J262" s="684"/>
      <c r="K262" s="684"/>
      <c r="L262" s="1936"/>
    </row>
    <row r="263" spans="2:12" s="868" customFormat="1" x14ac:dyDescent="0.25">
      <c r="B263" s="679" t="s">
        <v>4509</v>
      </c>
      <c r="C263" s="21"/>
      <c r="D263" s="21"/>
      <c r="E263" s="679"/>
      <c r="F263" s="679"/>
      <c r="I263" s="693" t="s">
        <v>4509</v>
      </c>
      <c r="J263" s="693"/>
      <c r="K263" s="693"/>
      <c r="L263" s="1935" t="s">
        <v>4510</v>
      </c>
    </row>
    <row r="264" spans="2:12" s="868" customFormat="1" x14ac:dyDescent="0.25">
      <c r="B264" s="679" t="s">
        <v>4509</v>
      </c>
      <c r="C264" s="21"/>
      <c r="D264" s="21"/>
      <c r="E264" s="679"/>
      <c r="F264" s="679"/>
      <c r="I264" s="668"/>
      <c r="J264" s="668"/>
      <c r="K264" s="668"/>
      <c r="L264" s="1802"/>
    </row>
    <row r="265" spans="2:12" s="868" customFormat="1" x14ac:dyDescent="0.25">
      <c r="B265" s="679" t="s">
        <v>4509</v>
      </c>
      <c r="C265" s="21"/>
      <c r="D265" s="21"/>
      <c r="E265" s="679"/>
      <c r="F265" s="679"/>
      <c r="I265" s="668"/>
      <c r="J265" s="668"/>
      <c r="K265" s="668"/>
      <c r="L265" s="1802"/>
    </row>
    <row r="266" spans="2:12" s="868" customFormat="1" x14ac:dyDescent="0.25">
      <c r="B266" s="679" t="s">
        <v>4509</v>
      </c>
      <c r="C266" s="21"/>
      <c r="D266" s="21"/>
      <c r="E266" s="679"/>
      <c r="F266" s="679"/>
      <c r="I266" s="668"/>
      <c r="J266" s="668"/>
      <c r="K266" s="668"/>
      <c r="L266" s="1802"/>
    </row>
    <row r="267" spans="2:12" s="868" customFormat="1" x14ac:dyDescent="0.25">
      <c r="B267" s="679" t="s">
        <v>4509</v>
      </c>
      <c r="C267" s="21"/>
      <c r="D267" s="21"/>
      <c r="E267" s="679"/>
      <c r="F267" s="679"/>
      <c r="I267" s="668"/>
      <c r="J267" s="668"/>
      <c r="K267" s="668"/>
      <c r="L267" s="1802"/>
    </row>
    <row r="268" spans="2:12" s="868" customFormat="1" x14ac:dyDescent="0.25">
      <c r="B268" s="679" t="s">
        <v>4509</v>
      </c>
      <c r="C268" s="21"/>
      <c r="D268" s="21"/>
      <c r="E268" s="679"/>
      <c r="F268" s="679"/>
      <c r="I268" s="668"/>
      <c r="J268" s="668"/>
      <c r="K268" s="668"/>
      <c r="L268" s="1802"/>
    </row>
    <row r="269" spans="2:12" s="868" customFormat="1" x14ac:dyDescent="0.25">
      <c r="B269" s="679" t="s">
        <v>4509</v>
      </c>
      <c r="C269" s="21"/>
      <c r="D269" s="21"/>
      <c r="E269" s="679"/>
      <c r="F269" s="679"/>
      <c r="I269" s="684"/>
      <c r="J269" s="684"/>
      <c r="K269" s="684"/>
      <c r="L269" s="1936"/>
    </row>
    <row r="270" spans="2:12" s="868" customFormat="1" x14ac:dyDescent="0.25">
      <c r="B270" s="679" t="s">
        <v>4511</v>
      </c>
      <c r="C270" s="21"/>
      <c r="D270" s="21"/>
      <c r="E270" s="679"/>
      <c r="F270" s="679"/>
      <c r="I270" s="693" t="s">
        <v>4511</v>
      </c>
      <c r="J270" s="693"/>
      <c r="K270" s="693"/>
      <c r="L270" s="1935" t="s">
        <v>4512</v>
      </c>
    </row>
    <row r="271" spans="2:12" s="868" customFormat="1" x14ac:dyDescent="0.25">
      <c r="B271" s="679" t="s">
        <v>4511</v>
      </c>
      <c r="C271" s="21"/>
      <c r="D271" s="21"/>
      <c r="E271" s="679"/>
      <c r="F271" s="679"/>
      <c r="I271" s="668"/>
      <c r="J271" s="668"/>
      <c r="K271" s="668"/>
      <c r="L271" s="1802"/>
    </row>
    <row r="272" spans="2:12" s="868" customFormat="1" x14ac:dyDescent="0.25">
      <c r="B272" s="679" t="s">
        <v>4511</v>
      </c>
      <c r="C272" s="21"/>
      <c r="D272" s="21"/>
      <c r="E272" s="679"/>
      <c r="F272" s="679"/>
      <c r="I272" s="668"/>
      <c r="J272" s="668"/>
      <c r="K272" s="668"/>
      <c r="L272" s="1802"/>
    </row>
    <row r="273" spans="2:45" s="868" customFormat="1" x14ac:dyDescent="0.25">
      <c r="B273" s="679" t="s">
        <v>4511</v>
      </c>
      <c r="C273" s="21"/>
      <c r="D273" s="21"/>
      <c r="E273" s="679"/>
      <c r="F273" s="679"/>
      <c r="I273" s="668"/>
      <c r="J273" s="668"/>
      <c r="K273" s="668"/>
      <c r="L273" s="1802"/>
    </row>
    <row r="274" spans="2:45" s="868" customFormat="1" x14ac:dyDescent="0.25">
      <c r="B274" s="679" t="s">
        <v>4511</v>
      </c>
      <c r="C274" s="21"/>
      <c r="D274" s="21"/>
      <c r="E274" s="679"/>
      <c r="F274" s="679"/>
      <c r="I274" s="684"/>
      <c r="J274" s="684"/>
      <c r="K274" s="684"/>
      <c r="L274" s="1936"/>
    </row>
    <row r="275" spans="2:45" s="868" customFormat="1" x14ac:dyDescent="0.25">
      <c r="B275" s="679" t="s">
        <v>4513</v>
      </c>
      <c r="C275" s="21"/>
      <c r="D275" s="21"/>
      <c r="E275" s="679"/>
      <c r="F275" s="679"/>
      <c r="I275" s="693" t="s">
        <v>4513</v>
      </c>
      <c r="J275" s="693"/>
      <c r="K275" s="693"/>
      <c r="L275" s="1935" t="s">
        <v>4514</v>
      </c>
    </row>
    <row r="276" spans="2:45" s="868" customFormat="1" x14ac:dyDescent="0.25">
      <c r="B276" s="679" t="s">
        <v>4513</v>
      </c>
      <c r="C276" s="21"/>
      <c r="D276" s="21"/>
      <c r="E276" s="679"/>
      <c r="F276" s="679"/>
      <c r="I276" s="684"/>
      <c r="J276" s="684"/>
      <c r="K276" s="684"/>
      <c r="L276" s="1936"/>
    </row>
    <row r="277" spans="2:45" s="868" customFormat="1" x14ac:dyDescent="0.25">
      <c r="B277" s="679" t="s">
        <v>4515</v>
      </c>
      <c r="C277" s="21"/>
      <c r="D277" s="21"/>
      <c r="E277" s="679"/>
      <c r="F277" s="679"/>
      <c r="I277" s="693" t="s">
        <v>4515</v>
      </c>
      <c r="J277" s="693"/>
      <c r="K277" s="693"/>
      <c r="L277" s="1935" t="s">
        <v>4516</v>
      </c>
    </row>
    <row r="278" spans="2:45" s="868" customFormat="1" x14ac:dyDescent="0.25">
      <c r="B278" s="679" t="s">
        <v>4515</v>
      </c>
      <c r="C278" s="21"/>
      <c r="D278" s="21"/>
      <c r="E278" s="679"/>
      <c r="F278" s="679"/>
      <c r="I278" s="668"/>
      <c r="J278" s="668"/>
      <c r="K278" s="668"/>
      <c r="L278" s="1802"/>
    </row>
    <row r="279" spans="2:45" s="868" customFormat="1" x14ac:dyDescent="0.25">
      <c r="B279" s="679" t="s">
        <v>4515</v>
      </c>
      <c r="C279" s="21"/>
      <c r="D279" s="21"/>
      <c r="E279" s="679"/>
      <c r="F279" s="679"/>
      <c r="I279" s="668"/>
      <c r="J279" s="668"/>
      <c r="K279" s="668"/>
      <c r="L279" s="1802"/>
    </row>
    <row r="280" spans="2:45" s="868" customFormat="1" x14ac:dyDescent="0.25">
      <c r="B280" s="679" t="s">
        <v>4515</v>
      </c>
      <c r="C280" s="21"/>
      <c r="D280" s="21"/>
      <c r="E280" s="679"/>
      <c r="F280" s="679"/>
      <c r="I280" s="684"/>
      <c r="J280" s="684"/>
      <c r="K280" s="684"/>
      <c r="L280" s="1936"/>
    </row>
    <row r="281" spans="2:45" s="868" customFormat="1" x14ac:dyDescent="0.25">
      <c r="B281" s="679" t="s">
        <v>4517</v>
      </c>
      <c r="C281" s="21"/>
      <c r="D281" s="21"/>
      <c r="E281" s="679"/>
      <c r="F281" s="679"/>
      <c r="I281" s="693" t="s">
        <v>4517</v>
      </c>
      <c r="J281" s="693"/>
      <c r="K281" s="693"/>
      <c r="L281" s="1935" t="s">
        <v>4518</v>
      </c>
    </row>
    <row r="282" spans="2:45" s="868" customFormat="1" x14ac:dyDescent="0.25">
      <c r="B282" s="679" t="s">
        <v>4517</v>
      </c>
      <c r="C282" s="21"/>
      <c r="D282" s="21"/>
      <c r="E282" s="679"/>
      <c r="F282" s="679"/>
      <c r="I282" s="668"/>
      <c r="J282" s="668"/>
      <c r="K282" s="668"/>
      <c r="L282" s="1802"/>
    </row>
    <row r="283" spans="2:45" s="868" customFormat="1" x14ac:dyDescent="0.25">
      <c r="B283" s="679" t="s">
        <v>4517</v>
      </c>
      <c r="C283" s="21"/>
      <c r="D283" s="21"/>
      <c r="E283" s="679"/>
      <c r="F283" s="679"/>
      <c r="I283" s="684"/>
      <c r="J283" s="684"/>
      <c r="K283" s="684"/>
      <c r="L283" s="1936"/>
      <c r="M283" s="178"/>
    </row>
    <row r="284" spans="2:45" s="868" customFormat="1" x14ac:dyDescent="0.25">
      <c r="B284" s="679" t="s">
        <v>4519</v>
      </c>
      <c r="C284" s="21"/>
      <c r="D284" s="21"/>
      <c r="E284" s="679"/>
      <c r="F284" s="679"/>
      <c r="I284" s="667" t="s">
        <v>4519</v>
      </c>
      <c r="J284" s="667"/>
      <c r="K284" s="667"/>
      <c r="L284" s="870" t="s">
        <v>4520</v>
      </c>
      <c r="M284" s="1082" t="str">
        <f>IF(R288,"Mandatory","N/A")</f>
        <v>N/A</v>
      </c>
      <c r="N284" s="195"/>
      <c r="O284" s="195"/>
      <c r="P284" s="195"/>
      <c r="Q284" s="195"/>
      <c r="R284" s="195"/>
      <c r="S284" s="195"/>
      <c r="T284" s="195"/>
      <c r="AL284" s="254" t="str">
        <f>SUBSTITUTE(SUBSTITUTE(SUBSTITUTE("dpa"&amp;$B284&amp;$C284&amp;$D284&amp;$E284,".","_"),"(","_"),")","")</f>
        <v>dpa902_3_2</v>
      </c>
      <c r="AM284" s="254" t="str">
        <f>M284</f>
        <v>N/A</v>
      </c>
    </row>
    <row r="285" spans="2:45" s="868" customFormat="1" x14ac:dyDescent="0.25">
      <c r="B285" s="679" t="s">
        <v>4519</v>
      </c>
      <c r="C285" s="21"/>
      <c r="D285" s="21"/>
      <c r="E285" s="679"/>
      <c r="F285" s="679"/>
      <c r="I285" s="667"/>
      <c r="J285" s="667"/>
      <c r="K285" s="667"/>
      <c r="L285" s="870" t="s">
        <v>4521</v>
      </c>
      <c r="W285" s="868" t="s">
        <v>4535</v>
      </c>
    </row>
    <row r="286" spans="2:45" s="868" customFormat="1" x14ac:dyDescent="0.25">
      <c r="B286" s="679" t="s">
        <v>4519</v>
      </c>
      <c r="C286" s="21"/>
      <c r="D286" s="21"/>
      <c r="E286" s="679"/>
      <c r="F286" s="679"/>
      <c r="I286" s="667"/>
      <c r="J286" s="667"/>
      <c r="K286" s="667"/>
      <c r="L286" s="1933" t="s">
        <v>4522</v>
      </c>
      <c r="P286" s="868" t="b">
        <v>1</v>
      </c>
      <c r="Q286" s="868" t="b">
        <v>1</v>
      </c>
      <c r="R286" s="868" t="b">
        <v>0</v>
      </c>
      <c r="S286" s="868" t="b">
        <v>1</v>
      </c>
      <c r="T286" s="94" t="b">
        <f>AND(NOT(S286),W286=TRUE)</f>
        <v>0</v>
      </c>
      <c r="W286" s="25"/>
      <c r="AC286" s="868" t="b">
        <f>OR(AD286:AE286)</f>
        <v>0</v>
      </c>
      <c r="AD286" s="868" t="b">
        <f>T286</f>
        <v>0</v>
      </c>
      <c r="AP286" s="254" t="str">
        <f>SUBSTITUTE(SUBSTITUTE(SUBSTITUTE("dch"&amp;$B286&amp;$C286&amp;$D286&amp;$E286,".","_"),"(","_"),")","")</f>
        <v>dch902_3_2</v>
      </c>
      <c r="AQ286" s="254" t="str">
        <f>IF(LEN(W286)=0,"",W286)</f>
        <v/>
      </c>
    </row>
    <row r="287" spans="2:45" s="868" customFormat="1" x14ac:dyDescent="0.25">
      <c r="B287" s="679" t="s">
        <v>4519</v>
      </c>
      <c r="C287" s="21"/>
      <c r="D287" s="21"/>
      <c r="E287" s="679"/>
      <c r="F287" s="679"/>
      <c r="I287" s="667"/>
      <c r="J287" s="667"/>
      <c r="K287" s="667"/>
      <c r="L287" s="1933"/>
    </row>
    <row r="288" spans="2:45" s="868" customFormat="1" x14ac:dyDescent="0.25">
      <c r="B288" s="679" t="s">
        <v>4519</v>
      </c>
      <c r="C288" s="679" t="s">
        <v>256</v>
      </c>
      <c r="D288" s="679"/>
      <c r="E288" s="679"/>
      <c r="F288" s="679"/>
      <c r="I288" s="667"/>
      <c r="J288" s="667" t="s">
        <v>256</v>
      </c>
      <c r="K288" s="667"/>
      <c r="L288" s="964" t="s">
        <v>4523</v>
      </c>
      <c r="M288" s="897">
        <v>8</v>
      </c>
      <c r="O288" s="879">
        <f>M288*S288*W288</f>
        <v>0</v>
      </c>
      <c r="P288" s="868" t="b">
        <v>0</v>
      </c>
      <c r="Q288" s="868" t="b">
        <v>1</v>
      </c>
      <c r="R288" s="868" t="b">
        <f>AND(S288, NOT(W286=TRUE),BE16= 1)</f>
        <v>0</v>
      </c>
      <c r="S288" s="868" t="b">
        <v>1</v>
      </c>
      <c r="T288" s="94" t="b">
        <f>AND(NOT(S288),W288=TRUE)</f>
        <v>0</v>
      </c>
      <c r="W288" s="25"/>
      <c r="X288" s="1757"/>
      <c r="AC288" s="868" t="b">
        <f>OR(AD288:AE288)</f>
        <v>0</v>
      </c>
      <c r="AD288" s="868" t="b">
        <f>T288</f>
        <v>0</v>
      </c>
      <c r="AE288" s="868" t="b">
        <f>AND(R288,NOT(W288))</f>
        <v>0</v>
      </c>
      <c r="AL288" s="254" t="str">
        <f>SUBSTITUTE(SUBSTITUTE(SUBSTITUTE("dpa"&amp;$B288&amp;$C288&amp;$D288&amp;$E288,".","_"),"(","_"),")","")</f>
        <v>dpa902_3_2_1</v>
      </c>
      <c r="AM288" s="254">
        <f>M288</f>
        <v>8</v>
      </c>
      <c r="AN288" s="254" t="str">
        <f>SUBSTITUTE(SUBSTITUTE(SUBSTITUTE("dpc"&amp;$B288&amp;$C288&amp;$D288&amp;$E288,".","_"),"(","_"),")","")</f>
        <v>dpc902_3_2_1</v>
      </c>
      <c r="AO288" s="254">
        <f>O288</f>
        <v>0</v>
      </c>
      <c r="AP288" s="254" t="str">
        <f>SUBSTITUTE(SUBSTITUTE(SUBSTITUTE("dch"&amp;$B288&amp;$C288&amp;$D288&amp;$E288,".","_"),"(","_"),")","")</f>
        <v>dch902_3_2_1</v>
      </c>
      <c r="AQ288" s="254" t="str">
        <f>IF(LEN(W288)=0,"",W288)</f>
        <v/>
      </c>
      <c r="AR288" s="254" t="str">
        <f>SUBSTITUTE(SUBSTITUTE(SUBSTITUTE("dnt"&amp;$B288&amp;$C288&amp;$D288&amp;$E288,".","_"),"(","_"),")","")</f>
        <v>dnt902_3_2_1</v>
      </c>
      <c r="AS288" s="254" t="str">
        <f>IF(LEN(X288)=0,"",X288)</f>
        <v/>
      </c>
    </row>
    <row r="289" spans="2:43" s="868" customFormat="1" x14ac:dyDescent="0.25">
      <c r="B289" s="679" t="s">
        <v>4519</v>
      </c>
      <c r="C289" s="679" t="s">
        <v>256</v>
      </c>
      <c r="D289" s="679" t="s">
        <v>121</v>
      </c>
      <c r="E289" s="679"/>
      <c r="F289" s="679"/>
      <c r="I289" s="667"/>
      <c r="J289" s="667"/>
      <c r="K289" s="667" t="s">
        <v>121</v>
      </c>
      <c r="L289" s="964" t="s">
        <v>4524</v>
      </c>
      <c r="M289" s="897"/>
      <c r="O289" s="879"/>
      <c r="W289" s="868" t="s">
        <v>5624</v>
      </c>
      <c r="X289" s="1757"/>
    </row>
    <row r="290" spans="2:43" s="868" customFormat="1" x14ac:dyDescent="0.25">
      <c r="B290" s="679" t="s">
        <v>4519</v>
      </c>
      <c r="C290" s="679" t="s">
        <v>256</v>
      </c>
      <c r="D290" s="679" t="s">
        <v>122</v>
      </c>
      <c r="E290" s="679"/>
      <c r="F290" s="679"/>
      <c r="I290" s="667"/>
      <c r="J290" s="667"/>
      <c r="K290" s="667" t="s">
        <v>122</v>
      </c>
      <c r="L290" s="1933" t="s">
        <v>4525</v>
      </c>
      <c r="P290" s="868" t="b">
        <v>0</v>
      </c>
      <c r="Q290" s="868" t="b">
        <v>1</v>
      </c>
      <c r="R290" s="868" t="b">
        <f>S290</f>
        <v>0</v>
      </c>
      <c r="S290" s="1496" t="b">
        <f>(W288=TRUE)</f>
        <v>0</v>
      </c>
      <c r="T290" s="94" t="b">
        <f>AND(NOT(S290),LEN(W290)&gt;0)</f>
        <v>0</v>
      </c>
      <c r="W290" s="1498"/>
      <c r="X290" s="1757"/>
      <c r="AC290" s="1496" t="b">
        <f>OR(AD290:AE290)</f>
        <v>0</v>
      </c>
      <c r="AD290" s="1496" t="b">
        <f>T290</f>
        <v>0</v>
      </c>
      <c r="AE290" s="1496" t="b">
        <f>AND(R290,OR(W290="Not Met",W290=""))</f>
        <v>0</v>
      </c>
      <c r="AP290" s="254" t="str">
        <f>SUBSTITUTE(SUBSTITUTE(SUBSTITUTE("dch"&amp;$B290&amp;$C290&amp;$D290&amp;$E290,".","_"),"(","_"),")","")</f>
        <v>dch902_3_2_1_b</v>
      </c>
      <c r="AQ290" s="254" t="str">
        <f>IF(LEN(W290)=0,"",W290)</f>
        <v/>
      </c>
    </row>
    <row r="291" spans="2:43" s="868" customFormat="1" x14ac:dyDescent="0.25">
      <c r="B291" s="679" t="s">
        <v>4519</v>
      </c>
      <c r="C291" s="679" t="s">
        <v>256</v>
      </c>
      <c r="D291" s="679" t="s">
        <v>122</v>
      </c>
      <c r="E291" s="679"/>
      <c r="F291" s="679"/>
      <c r="I291" s="667"/>
      <c r="J291" s="667"/>
      <c r="K291" s="667"/>
      <c r="L291" s="1933"/>
      <c r="X291" s="1757"/>
    </row>
    <row r="292" spans="2:43" s="868" customFormat="1" x14ac:dyDescent="0.25">
      <c r="B292" s="679" t="s">
        <v>4519</v>
      </c>
      <c r="C292" s="679" t="s">
        <v>256</v>
      </c>
      <c r="D292" s="679" t="s">
        <v>123</v>
      </c>
      <c r="E292" s="679"/>
      <c r="F292" s="679"/>
      <c r="I292" s="667"/>
      <c r="J292" s="667"/>
      <c r="K292" s="667" t="s">
        <v>123</v>
      </c>
      <c r="L292" s="1933" t="s">
        <v>4526</v>
      </c>
      <c r="X292" s="1757"/>
    </row>
    <row r="293" spans="2:43" s="868" customFormat="1" x14ac:dyDescent="0.25">
      <c r="B293" s="679" t="s">
        <v>4519</v>
      </c>
      <c r="C293" s="679" t="s">
        <v>256</v>
      </c>
      <c r="D293" s="679" t="s">
        <v>123</v>
      </c>
      <c r="E293" s="679"/>
      <c r="F293" s="679"/>
      <c r="I293" s="667"/>
      <c r="J293" s="667"/>
      <c r="K293" s="667"/>
      <c r="L293" s="1933"/>
      <c r="X293" s="1757"/>
    </row>
    <row r="294" spans="2:43" s="868" customFormat="1" x14ac:dyDescent="0.25">
      <c r="B294" s="679" t="s">
        <v>4519</v>
      </c>
      <c r="C294" s="679" t="s">
        <v>256</v>
      </c>
      <c r="D294" s="666" t="s">
        <v>401</v>
      </c>
      <c r="E294" s="679"/>
      <c r="F294" s="666"/>
      <c r="I294" s="667"/>
      <c r="J294" s="667"/>
      <c r="K294" s="139" t="s">
        <v>401</v>
      </c>
      <c r="L294" s="1933" t="s">
        <v>4527</v>
      </c>
      <c r="X294" s="1757"/>
    </row>
    <row r="295" spans="2:43" s="868" customFormat="1" x14ac:dyDescent="0.25">
      <c r="B295" s="679" t="s">
        <v>4519</v>
      </c>
      <c r="C295" s="679" t="s">
        <v>256</v>
      </c>
      <c r="D295" s="666" t="s">
        <v>401</v>
      </c>
      <c r="E295" s="679"/>
      <c r="F295" s="666"/>
      <c r="I295" s="667"/>
      <c r="J295" s="667"/>
      <c r="K295" s="139"/>
      <c r="L295" s="1933"/>
      <c r="X295" s="1757"/>
    </row>
    <row r="296" spans="2:43" s="868" customFormat="1" x14ac:dyDescent="0.25">
      <c r="B296" s="679" t="s">
        <v>4519</v>
      </c>
      <c r="C296" s="679" t="s">
        <v>256</v>
      </c>
      <c r="D296" s="666" t="s">
        <v>539</v>
      </c>
      <c r="E296" s="679"/>
      <c r="F296" s="666"/>
      <c r="I296" s="667"/>
      <c r="J296" s="667"/>
      <c r="K296" s="139" t="s">
        <v>539</v>
      </c>
      <c r="L296" s="1933" t="s">
        <v>4897</v>
      </c>
      <c r="X296" s="1757"/>
    </row>
    <row r="297" spans="2:43" s="868" customFormat="1" x14ac:dyDescent="0.25">
      <c r="B297" s="679" t="s">
        <v>4519</v>
      </c>
      <c r="C297" s="679" t="s">
        <v>256</v>
      </c>
      <c r="D297" s="666" t="s">
        <v>539</v>
      </c>
      <c r="E297" s="679"/>
      <c r="F297" s="666"/>
      <c r="I297" s="667"/>
      <c r="J297" s="667"/>
      <c r="K297" s="139"/>
      <c r="L297" s="1933"/>
      <c r="X297" s="1757"/>
    </row>
    <row r="298" spans="2:43" s="868" customFormat="1" x14ac:dyDescent="0.25">
      <c r="B298" s="679" t="s">
        <v>4519</v>
      </c>
      <c r="C298" s="679" t="s">
        <v>256</v>
      </c>
      <c r="D298" s="666" t="s">
        <v>539</v>
      </c>
      <c r="E298" s="679"/>
      <c r="F298" s="666"/>
      <c r="I298" s="667"/>
      <c r="J298" s="667"/>
      <c r="K298" s="139"/>
      <c r="L298" s="1933"/>
      <c r="X298" s="1757"/>
    </row>
    <row r="299" spans="2:43" s="868" customFormat="1" x14ac:dyDescent="0.25">
      <c r="B299" s="679" t="s">
        <v>4519</v>
      </c>
      <c r="C299" s="679" t="s">
        <v>256</v>
      </c>
      <c r="D299" s="666" t="s">
        <v>604</v>
      </c>
      <c r="E299" s="679"/>
      <c r="F299" s="666"/>
      <c r="I299" s="667"/>
      <c r="J299" s="667"/>
      <c r="K299" s="139" t="s">
        <v>604</v>
      </c>
      <c r="L299" s="1933" t="s">
        <v>4528</v>
      </c>
      <c r="X299" s="1757"/>
    </row>
    <row r="300" spans="2:43" s="868" customFormat="1" x14ac:dyDescent="0.25">
      <c r="B300" s="679" t="s">
        <v>4519</v>
      </c>
      <c r="C300" s="679" t="s">
        <v>256</v>
      </c>
      <c r="D300" s="666" t="s">
        <v>604</v>
      </c>
      <c r="E300" s="679"/>
      <c r="F300" s="666"/>
      <c r="I300" s="667"/>
      <c r="J300" s="667"/>
      <c r="K300" s="139"/>
      <c r="L300" s="1933"/>
      <c r="X300" s="1757"/>
    </row>
    <row r="301" spans="2:43" s="868" customFormat="1" x14ac:dyDescent="0.25">
      <c r="B301" s="679" t="s">
        <v>4519</v>
      </c>
      <c r="C301" s="679" t="s">
        <v>256</v>
      </c>
      <c r="D301" s="679" t="s">
        <v>606</v>
      </c>
      <c r="E301" s="679"/>
      <c r="F301" s="679"/>
      <c r="I301" s="667"/>
      <c r="J301" s="667"/>
      <c r="K301" s="667" t="s">
        <v>606</v>
      </c>
      <c r="L301" s="1933" t="s">
        <v>4529</v>
      </c>
      <c r="X301" s="1757"/>
    </row>
    <row r="302" spans="2:43" s="868" customFormat="1" x14ac:dyDescent="0.25">
      <c r="B302" s="679" t="s">
        <v>4519</v>
      </c>
      <c r="C302" s="679" t="s">
        <v>256</v>
      </c>
      <c r="D302" s="679" t="s">
        <v>606</v>
      </c>
      <c r="E302" s="679"/>
      <c r="F302" s="679"/>
      <c r="I302" s="667"/>
      <c r="J302" s="667"/>
      <c r="K302" s="667"/>
      <c r="L302" s="1933"/>
      <c r="X302" s="1757"/>
    </row>
    <row r="303" spans="2:43" s="868" customFormat="1" x14ac:dyDescent="0.25">
      <c r="B303" s="679" t="s">
        <v>4519</v>
      </c>
      <c r="C303" s="679" t="s">
        <v>256</v>
      </c>
      <c r="D303" s="679" t="s">
        <v>608</v>
      </c>
      <c r="E303" s="679"/>
      <c r="F303" s="679"/>
      <c r="I303" s="667"/>
      <c r="J303" s="667"/>
      <c r="K303" s="667" t="s">
        <v>608</v>
      </c>
      <c r="L303" s="1933" t="s">
        <v>4530</v>
      </c>
      <c r="X303" s="1757"/>
    </row>
    <row r="304" spans="2:43" s="868" customFormat="1" x14ac:dyDescent="0.25">
      <c r="B304" s="679" t="s">
        <v>4519</v>
      </c>
      <c r="C304" s="679" t="s">
        <v>256</v>
      </c>
      <c r="D304" s="679" t="s">
        <v>608</v>
      </c>
      <c r="E304" s="679"/>
      <c r="F304" s="679"/>
      <c r="I304" s="667"/>
      <c r="J304" s="667"/>
      <c r="K304" s="667"/>
      <c r="L304" s="1933"/>
      <c r="X304" s="1757"/>
    </row>
    <row r="305" spans="1:61" s="868" customFormat="1" x14ac:dyDescent="0.25">
      <c r="B305" s="679" t="s">
        <v>4519</v>
      </c>
      <c r="C305" s="679" t="s">
        <v>256</v>
      </c>
      <c r="D305" s="679" t="s">
        <v>844</v>
      </c>
      <c r="E305" s="679"/>
      <c r="F305" s="679"/>
      <c r="I305" s="667"/>
      <c r="J305" s="667"/>
      <c r="K305" s="667" t="s">
        <v>844</v>
      </c>
      <c r="L305" s="1933" t="s">
        <v>4531</v>
      </c>
      <c r="X305" s="1757"/>
    </row>
    <row r="306" spans="1:61" s="868" customFormat="1" x14ac:dyDescent="0.25">
      <c r="B306" s="679" t="s">
        <v>4519</v>
      </c>
      <c r="C306" s="679" t="s">
        <v>256</v>
      </c>
      <c r="D306" s="679" t="s">
        <v>844</v>
      </c>
      <c r="E306" s="679"/>
      <c r="F306" s="679"/>
      <c r="I306" s="667"/>
      <c r="J306" s="667"/>
      <c r="K306" s="667"/>
      <c r="L306" s="1933"/>
      <c r="X306" s="1757"/>
    </row>
    <row r="307" spans="1:61" s="868" customFormat="1" x14ac:dyDescent="0.25">
      <c r="B307" s="679" t="s">
        <v>4519</v>
      </c>
      <c r="C307" s="679" t="s">
        <v>256</v>
      </c>
      <c r="D307" s="679" t="s">
        <v>844</v>
      </c>
      <c r="E307" s="679"/>
      <c r="F307" s="679"/>
      <c r="I307" s="667"/>
      <c r="J307" s="667"/>
      <c r="K307" s="667"/>
      <c r="L307" s="1933"/>
      <c r="X307" s="1757"/>
    </row>
    <row r="308" spans="1:61" s="868" customFormat="1" x14ac:dyDescent="0.25">
      <c r="B308" s="679" t="s">
        <v>4519</v>
      </c>
      <c r="C308" s="679" t="s">
        <v>256</v>
      </c>
      <c r="D308" s="679" t="s">
        <v>845</v>
      </c>
      <c r="E308" s="679"/>
      <c r="F308" s="679"/>
      <c r="I308" s="667"/>
      <c r="J308" s="668"/>
      <c r="K308" s="668" t="s">
        <v>845</v>
      </c>
      <c r="L308" s="1929" t="s">
        <v>4532</v>
      </c>
      <c r="X308" s="1757"/>
    </row>
    <row r="309" spans="1:61" s="868" customFormat="1" x14ac:dyDescent="0.25">
      <c r="B309" s="679" t="s">
        <v>4519</v>
      </c>
      <c r="C309" s="679" t="s">
        <v>256</v>
      </c>
      <c r="D309" s="679" t="s">
        <v>845</v>
      </c>
      <c r="E309" s="679"/>
      <c r="F309" s="679"/>
      <c r="I309" s="667"/>
      <c r="J309" s="684"/>
      <c r="K309" s="684"/>
      <c r="L309" s="1934"/>
      <c r="M309" s="178"/>
      <c r="N309" s="178"/>
      <c r="O309" s="178"/>
      <c r="X309" s="1757"/>
    </row>
    <row r="310" spans="1:61" s="868" customFormat="1" ht="15.75" thickBot="1" x14ac:dyDescent="0.3">
      <c r="B310" s="679" t="s">
        <v>4519</v>
      </c>
      <c r="C310" s="679" t="s">
        <v>258</v>
      </c>
      <c r="D310" s="679"/>
      <c r="E310" s="679"/>
      <c r="F310" s="4"/>
      <c r="G310" s="4"/>
      <c r="I310" s="667"/>
      <c r="J310" s="667" t="s">
        <v>258</v>
      </c>
      <c r="K310" s="667"/>
      <c r="L310" s="1933" t="s">
        <v>4533</v>
      </c>
      <c r="M310" s="1925">
        <v>6</v>
      </c>
      <c r="N310" s="240"/>
      <c r="O310" s="1937">
        <f>M310*S290*AND(LEN(W290)&gt;0,W290&lt;=2)</f>
        <v>0</v>
      </c>
      <c r="T310" s="94"/>
      <c r="W310"/>
      <c r="X310" s="1757"/>
      <c r="AL310" s="254" t="str">
        <f>SUBSTITUTE(SUBSTITUTE(SUBSTITUTE("dpa"&amp;$B310&amp;$C310&amp;$D310&amp;$E310,".","_"),"(","_"),")","")</f>
        <v>dpa902_3_2_2</v>
      </c>
      <c r="AM310" s="254">
        <f>M310</f>
        <v>6</v>
      </c>
      <c r="AN310" s="254" t="str">
        <f>SUBSTITUTE(SUBSTITUTE(SUBSTITUTE("dpc"&amp;$B310&amp;$C310&amp;$D310&amp;$E310,".","_"),"(","_"),")","")</f>
        <v>dpc902_3_2_2</v>
      </c>
      <c r="AO310" s="254">
        <f>O310</f>
        <v>0</v>
      </c>
      <c r="AP310" s="254"/>
      <c r="AR310" s="254" t="str">
        <f>SUBSTITUTE(SUBSTITUTE(SUBSTITUTE("dnt"&amp;$B310&amp;$C310&amp;$D310&amp;$E310,".","_"),"(","_"),")","")</f>
        <v>dnt902_3_2_2</v>
      </c>
      <c r="AS310" s="254" t="str">
        <f>IF(LEN(X310)=0,"",X310)</f>
        <v/>
      </c>
    </row>
    <row r="311" spans="1:61" s="868" customFormat="1" ht="16.5" thickTop="1" thickBot="1" x14ac:dyDescent="0.3">
      <c r="B311" s="679" t="s">
        <v>4519</v>
      </c>
      <c r="C311" s="679" t="s">
        <v>258</v>
      </c>
      <c r="D311" s="679"/>
      <c r="E311" s="679"/>
      <c r="F311" s="679"/>
      <c r="I311" s="667"/>
      <c r="J311" s="667"/>
      <c r="K311" s="667"/>
      <c r="L311" s="1933"/>
      <c r="M311" s="1910"/>
      <c r="O311" s="1814"/>
      <c r="P311" s="99"/>
      <c r="Q311" s="99"/>
      <c r="R311" s="99"/>
      <c r="S311" s="99"/>
      <c r="T311" s="99"/>
      <c r="X311" s="1757"/>
      <c r="AL311" s="254"/>
      <c r="AN311" s="254"/>
      <c r="AX311" s="76"/>
      <c r="AY311" s="76"/>
    </row>
    <row r="312" spans="1:61" ht="15.75" thickTop="1" x14ac:dyDescent="0.25">
      <c r="B312" s="679" t="s">
        <v>4536</v>
      </c>
      <c r="C312" s="21"/>
      <c r="D312" s="21"/>
      <c r="E312" s="679"/>
      <c r="F312" s="679"/>
      <c r="G312" s="21"/>
      <c r="H312" s="758"/>
      <c r="I312" s="180">
        <v>902.4</v>
      </c>
      <c r="J312" s="181"/>
      <c r="K312" s="181"/>
      <c r="L312" s="1781" t="s">
        <v>3257</v>
      </c>
      <c r="M312" s="1772">
        <v>3</v>
      </c>
      <c r="N312" s="181"/>
      <c r="O312" s="1773">
        <f>M312*S314*IFERROR(OR(W314,W316,W319),0)</f>
        <v>0</v>
      </c>
      <c r="P312" s="105"/>
      <c r="Q312" s="105"/>
      <c r="R312" s="105"/>
      <c r="S312" s="105"/>
      <c r="T312" s="105"/>
      <c r="U312" s="105"/>
      <c r="V312" s="105"/>
      <c r="W312" s="105"/>
      <c r="X312" s="105"/>
      <c r="AL312" s="254" t="str">
        <f>SUBSTITUTE(SUBSTITUTE(SUBSTITUTE("dpa"&amp;$B312&amp;$C312&amp;$D312&amp;$E312,".","_"),"(","_"),")","")</f>
        <v>dpa902_4</v>
      </c>
      <c r="AM312" s="254">
        <f>M312</f>
        <v>3</v>
      </c>
      <c r="AN312" s="254" t="str">
        <f>SUBSTITUTE(SUBSTITUTE(SUBSTITUTE("dpc"&amp;$B312&amp;$C312&amp;$D312&amp;$E312,".","_"),"(","_"),")","")</f>
        <v>dpc902_4</v>
      </c>
      <c r="AO312" s="254">
        <f>O312</f>
        <v>0</v>
      </c>
      <c r="AZ312" s="868"/>
      <c r="BA312" s="868"/>
      <c r="BB312" s="868"/>
      <c r="BC312" s="868"/>
      <c r="BD312" s="868"/>
      <c r="BE312" s="868"/>
      <c r="BF312" s="868"/>
      <c r="BG312" s="868"/>
      <c r="BH312" s="868"/>
      <c r="BI312" s="868"/>
    </row>
    <row r="313" spans="1:61" x14ac:dyDescent="0.25">
      <c r="B313" s="679" t="s">
        <v>4536</v>
      </c>
      <c r="C313" s="21"/>
      <c r="D313" s="21"/>
      <c r="E313" s="679"/>
      <c r="F313" s="679"/>
      <c r="G313" s="21"/>
      <c r="H313" s="758"/>
      <c r="I313" s="480"/>
      <c r="J313" s="129"/>
      <c r="K313" s="129"/>
      <c r="L313" s="1782"/>
      <c r="M313" s="1758"/>
      <c r="N313" s="129"/>
      <c r="O313" s="1774"/>
      <c r="P313" s="94"/>
      <c r="Q313" s="94"/>
      <c r="R313" s="94"/>
      <c r="S313" s="94"/>
      <c r="T313" s="94"/>
      <c r="U313" s="94"/>
      <c r="V313" s="94"/>
      <c r="W313" s="94"/>
      <c r="X313" s="94"/>
    </row>
    <row r="314" spans="1:61" x14ac:dyDescent="0.25">
      <c r="B314" s="679" t="s">
        <v>4536</v>
      </c>
      <c r="C314" s="679" t="s">
        <v>256</v>
      </c>
      <c r="D314" s="679"/>
      <c r="E314" s="21"/>
      <c r="F314" s="679"/>
      <c r="G314" s="21"/>
      <c r="H314" s="758"/>
      <c r="I314" s="164"/>
      <c r="J314" s="183" t="s">
        <v>256</v>
      </c>
      <c r="K314" s="129"/>
      <c r="L314" s="1754" t="s">
        <v>3258</v>
      </c>
      <c r="M314" s="428"/>
      <c r="N314" s="4"/>
      <c r="O314" s="141"/>
      <c r="P314" s="94" t="b">
        <v>1</v>
      </c>
      <c r="Q314" s="94" t="b">
        <v>0</v>
      </c>
      <c r="R314" s="386" t="b">
        <v>0</v>
      </c>
      <c r="S314" s="386" t="b">
        <v>1</v>
      </c>
      <c r="T314" s="386" t="b">
        <v>0</v>
      </c>
      <c r="W314" s="25"/>
      <c r="X314" s="1757"/>
      <c r="AC314" s="394"/>
      <c r="AD314" s="394"/>
      <c r="AE314" s="394"/>
      <c r="AP314" s="254" t="str">
        <f>SUBSTITUTE(SUBSTITUTE(SUBSTITUTE("dch"&amp;$B314&amp;$C314&amp;$D314&amp;$E314,".","_"),"(","_"),")","")</f>
        <v>dch902_4_1</v>
      </c>
      <c r="AQ314" s="254" t="str">
        <f>IF(LEN(W314)=0,"",W314)</f>
        <v/>
      </c>
      <c r="AR314" s="254" t="str">
        <f>SUBSTITUTE(SUBSTITUTE(SUBSTITUTE("dnt"&amp;$B314&amp;$C314&amp;$D314&amp;$E314,".","_"),"(","_"),")","")</f>
        <v>dnt902_4_1</v>
      </c>
      <c r="AS314" s="254" t="str">
        <f>IF(LEN(X314)=0,"",X314)</f>
        <v/>
      </c>
    </row>
    <row r="315" spans="1:61" x14ac:dyDescent="0.25">
      <c r="B315" s="679" t="s">
        <v>4536</v>
      </c>
      <c r="C315" s="679" t="s">
        <v>256</v>
      </c>
      <c r="D315" s="679"/>
      <c r="E315" s="21"/>
      <c r="F315" s="679"/>
      <c r="G315" s="21"/>
      <c r="H315" s="758"/>
      <c r="I315" s="164"/>
      <c r="J315" s="206"/>
      <c r="K315" s="210"/>
      <c r="L315" s="1755"/>
      <c r="M315" s="428"/>
      <c r="N315" s="4"/>
      <c r="O315" s="141"/>
      <c r="X315" s="1757"/>
    </row>
    <row r="316" spans="1:61" x14ac:dyDescent="0.25">
      <c r="B316" s="679" t="s">
        <v>4536</v>
      </c>
      <c r="C316" s="679" t="s">
        <v>258</v>
      </c>
      <c r="D316" s="679"/>
      <c r="E316" s="21"/>
      <c r="F316" s="679"/>
      <c r="G316" s="21"/>
      <c r="H316" s="758"/>
      <c r="I316" s="480"/>
      <c r="J316" s="183" t="s">
        <v>258</v>
      </c>
      <c r="K316" s="129"/>
      <c r="L316" s="1754" t="s">
        <v>3259</v>
      </c>
      <c r="M316" s="888"/>
      <c r="N316" s="129"/>
      <c r="O316" s="887"/>
      <c r="P316" s="94" t="b">
        <v>0</v>
      </c>
      <c r="Q316" s="94" t="b">
        <v>1</v>
      </c>
      <c r="R316" s="94" t="b">
        <v>0</v>
      </c>
      <c r="S316" s="94" t="b">
        <v>1</v>
      </c>
      <c r="T316" s="94" t="b">
        <v>0</v>
      </c>
      <c r="U316" s="94"/>
      <c r="V316" s="94"/>
      <c r="W316" s="360"/>
      <c r="X316" s="1757"/>
      <c r="AC316" s="394"/>
      <c r="AD316" s="394"/>
      <c r="AE316" s="394"/>
      <c r="AP316" s="254" t="str">
        <f>SUBSTITUTE(SUBSTITUTE(SUBSTITUTE("dch"&amp;$B316&amp;$C316&amp;$D316&amp;$E316,".","_"),"(","_"),")","")</f>
        <v>dch902_4_2</v>
      </c>
      <c r="AQ316" s="254" t="str">
        <f>IF(LEN(W316)=0,"",W316)</f>
        <v/>
      </c>
      <c r="AR316" s="254" t="str">
        <f>SUBSTITUTE(SUBSTITUTE(SUBSTITUTE("dnt"&amp;$B316&amp;$C316&amp;$D316&amp;$E316,".","_"),"(","_"),")","")</f>
        <v>dnt902_4_2</v>
      </c>
      <c r="AS316" s="254" t="str">
        <f>IF(LEN(X316)=0,"",X316)</f>
        <v/>
      </c>
    </row>
    <row r="317" spans="1:61" x14ac:dyDescent="0.25">
      <c r="B317" s="679" t="s">
        <v>4536</v>
      </c>
      <c r="C317" s="679" t="s">
        <v>258</v>
      </c>
      <c r="D317" s="679"/>
      <c r="E317" s="21"/>
      <c r="F317" s="679"/>
      <c r="G317" s="21"/>
      <c r="H317" s="758"/>
      <c r="I317" s="480"/>
      <c r="J317" s="129"/>
      <c r="K317" s="129"/>
      <c r="L317" s="1754"/>
      <c r="M317" s="888"/>
      <c r="N317" s="129"/>
      <c r="O317" s="887"/>
      <c r="P317" s="94"/>
      <c r="Q317" s="94"/>
      <c r="R317" s="94"/>
      <c r="S317" s="94"/>
      <c r="T317" s="94"/>
      <c r="U317" s="94"/>
      <c r="V317" s="94"/>
      <c r="W317" s="94"/>
      <c r="X317" s="1757"/>
    </row>
    <row r="318" spans="1:61" x14ac:dyDescent="0.25">
      <c r="B318" s="679" t="s">
        <v>4536</v>
      </c>
      <c r="C318" s="679" t="s">
        <v>258</v>
      </c>
      <c r="D318" s="679"/>
      <c r="E318" s="21"/>
      <c r="F318" s="679"/>
      <c r="G318" s="21"/>
      <c r="H318" s="758"/>
      <c r="I318" s="480"/>
      <c r="J318" s="210"/>
      <c r="K318" s="210"/>
      <c r="L318" s="1755"/>
      <c r="M318" s="888"/>
      <c r="N318" s="129"/>
      <c r="O318" s="887"/>
      <c r="P318" s="94"/>
      <c r="Q318" s="94"/>
      <c r="R318" s="94"/>
      <c r="S318" s="94"/>
      <c r="T318" s="94"/>
      <c r="U318" s="94"/>
      <c r="V318" s="94"/>
      <c r="W318" s="94"/>
      <c r="X318" s="1757"/>
      <c r="AX318" s="868"/>
      <c r="AY318" s="868"/>
    </row>
    <row r="319" spans="1:61" s="868" customFormat="1" x14ac:dyDescent="0.25">
      <c r="A319" s="18"/>
      <c r="B319" s="679" t="s">
        <v>4536</v>
      </c>
      <c r="C319" s="679" t="s">
        <v>260</v>
      </c>
      <c r="D319" s="679"/>
      <c r="E319" s="21"/>
      <c r="F319" s="679"/>
      <c r="G319" s="21"/>
      <c r="H319" s="758"/>
      <c r="I319" s="480"/>
      <c r="J319" s="667" t="s">
        <v>260</v>
      </c>
      <c r="K319" s="679"/>
      <c r="L319" s="1933" t="s">
        <v>4538</v>
      </c>
      <c r="M319" s="888"/>
      <c r="N319" s="129"/>
      <c r="O319" s="887"/>
      <c r="P319" s="94" t="b">
        <v>1</v>
      </c>
      <c r="Q319" s="94" t="b">
        <v>0</v>
      </c>
      <c r="R319" s="94" t="b">
        <v>0</v>
      </c>
      <c r="S319" s="94" t="b">
        <v>1</v>
      </c>
      <c r="T319" s="94" t="b">
        <v>0</v>
      </c>
      <c r="U319" s="94"/>
      <c r="V319" s="94"/>
      <c r="W319" s="25"/>
      <c r="X319" s="1757"/>
      <c r="AP319" s="254" t="str">
        <f>SUBSTITUTE(SUBSTITUTE(SUBSTITUTE("dch"&amp;$B319&amp;$C319&amp;$D319&amp;$E319,".","_"),"(","_"),")","")</f>
        <v>dch902_4_3</v>
      </c>
      <c r="AQ319" s="254" t="str">
        <f>IF(LEN(W319)=0,"",W319)</f>
        <v/>
      </c>
      <c r="AR319" s="254" t="str">
        <f>SUBSTITUTE(SUBSTITUTE(SUBSTITUTE("dnt"&amp;$B319&amp;$C319&amp;$D319&amp;$E319,".","_"),"(","_"),")","")</f>
        <v>dnt902_4_3</v>
      </c>
      <c r="AS319" s="254" t="str">
        <f>IF(LEN(X319)=0,"",X319)</f>
        <v/>
      </c>
      <c r="AZ319" s="76"/>
      <c r="BA319" s="76"/>
      <c r="BB319" s="76"/>
      <c r="BC319" s="76"/>
      <c r="BD319" s="76"/>
      <c r="BE319" s="76"/>
      <c r="BF319" s="76"/>
      <c r="BG319" s="76"/>
      <c r="BH319" s="76"/>
      <c r="BI319" s="76"/>
    </row>
    <row r="320" spans="1:61" s="868" customFormat="1" x14ac:dyDescent="0.25">
      <c r="A320" s="18"/>
      <c r="B320" s="679" t="s">
        <v>4536</v>
      </c>
      <c r="C320" s="679" t="s">
        <v>260</v>
      </c>
      <c r="D320" s="679"/>
      <c r="E320" s="21"/>
      <c r="F320" s="679"/>
      <c r="G320" s="21"/>
      <c r="H320" s="758"/>
      <c r="I320" s="480"/>
      <c r="J320" s="679"/>
      <c r="K320" s="679"/>
      <c r="L320" s="1933"/>
      <c r="M320" s="888"/>
      <c r="N320" s="129"/>
      <c r="O320" s="887"/>
      <c r="P320" s="94"/>
      <c r="Q320" s="94"/>
      <c r="R320" s="94"/>
      <c r="S320" s="94"/>
      <c r="T320" s="94"/>
      <c r="U320" s="94"/>
      <c r="V320" s="94"/>
      <c r="W320" s="94"/>
      <c r="X320" s="1757"/>
    </row>
    <row r="321" spans="1:61" s="868" customFormat="1" ht="15.75" thickBot="1" x14ac:dyDescent="0.3">
      <c r="A321" s="18"/>
      <c r="B321" s="679" t="s">
        <v>4536</v>
      </c>
      <c r="C321" s="679" t="s">
        <v>260</v>
      </c>
      <c r="D321" s="679"/>
      <c r="E321" s="21"/>
      <c r="F321" s="679"/>
      <c r="G321" s="21"/>
      <c r="H321" s="758"/>
      <c r="I321" s="480"/>
      <c r="J321" s="679"/>
      <c r="K321" s="679"/>
      <c r="L321" s="1933"/>
      <c r="M321" s="888"/>
      <c r="N321" s="129"/>
      <c r="O321" s="887"/>
      <c r="P321" s="94"/>
      <c r="Q321" s="94"/>
      <c r="R321" s="94"/>
      <c r="S321" s="94"/>
      <c r="T321" s="94"/>
      <c r="U321" s="94"/>
      <c r="V321" s="94"/>
      <c r="W321" s="94"/>
      <c r="X321" s="1757"/>
      <c r="AX321" s="76"/>
      <c r="AY321" s="76"/>
    </row>
    <row r="322" spans="1:61" ht="15.75" thickTop="1" x14ac:dyDescent="0.25">
      <c r="B322" s="679" t="s">
        <v>4537</v>
      </c>
      <c r="C322" s="21"/>
      <c r="D322" s="21"/>
      <c r="E322" s="679"/>
      <c r="F322" s="679"/>
      <c r="G322" s="21"/>
      <c r="H322" s="758"/>
      <c r="I322" s="180">
        <v>902.5</v>
      </c>
      <c r="J322" s="181"/>
      <c r="K322" s="181"/>
      <c r="L322" s="1916" t="s">
        <v>3260</v>
      </c>
      <c r="M322" s="1772">
        <v>3</v>
      </c>
      <c r="N322" s="181"/>
      <c r="O322" s="1773">
        <f>M322*S322*W322</f>
        <v>0</v>
      </c>
      <c r="P322" s="94" t="b">
        <v>1</v>
      </c>
      <c r="Q322" s="94" t="b">
        <v>1</v>
      </c>
      <c r="R322" s="105" t="b">
        <v>0</v>
      </c>
      <c r="S322" s="105" t="b">
        <v>1</v>
      </c>
      <c r="T322" s="105" t="b">
        <v>0</v>
      </c>
      <c r="U322" s="105"/>
      <c r="V322" s="105"/>
      <c r="W322" s="367"/>
      <c r="X322" s="1784"/>
      <c r="AC322" s="394"/>
      <c r="AD322" s="394"/>
      <c r="AE322" s="394"/>
      <c r="AL322" s="254" t="str">
        <f>SUBSTITUTE(SUBSTITUTE(SUBSTITUTE("dpa"&amp;$B322&amp;$C322&amp;$D322&amp;$E322,".","_"),"(","_"),")","")</f>
        <v>dpa902_5</v>
      </c>
      <c r="AM322" s="254">
        <f>M322</f>
        <v>3</v>
      </c>
      <c r="AN322" s="254" t="str">
        <f>SUBSTITUTE(SUBSTITUTE(SUBSTITUTE("dpc"&amp;$B322&amp;$C322&amp;$D322&amp;$E322,".","_"),"(","_"),")","")</f>
        <v>dpc902_5</v>
      </c>
      <c r="AO322" s="254">
        <f>O322</f>
        <v>0</v>
      </c>
      <c r="AP322" s="254" t="str">
        <f>SUBSTITUTE(SUBSTITUTE(SUBSTITUTE("dch"&amp;$B322&amp;$C322&amp;$D322&amp;$E322,".","_"),"(","_"),")","")</f>
        <v>dch902_5</v>
      </c>
      <c r="AQ322" s="254" t="str">
        <f>IF(LEN(W322)=0,"",W322)</f>
        <v/>
      </c>
      <c r="AR322" s="254" t="str">
        <f>SUBSTITUTE(SUBSTITUTE(SUBSTITUTE("dnt"&amp;$B322&amp;$C322&amp;$D322&amp;$E322,".","_"),"(","_"),")","")</f>
        <v>dnt902_5</v>
      </c>
      <c r="AS322" s="254" t="str">
        <f>IF(LEN(X322)=0,"",X322)</f>
        <v/>
      </c>
      <c r="AZ322" s="868"/>
      <c r="BA322" s="868"/>
      <c r="BB322" s="868"/>
      <c r="BC322" s="868"/>
      <c r="BD322" s="868"/>
      <c r="BE322" s="868"/>
      <c r="BF322" s="868"/>
      <c r="BG322" s="868"/>
      <c r="BH322" s="868"/>
      <c r="BI322" s="868"/>
    </row>
    <row r="323" spans="1:61" ht="15.75" thickBot="1" x14ac:dyDescent="0.3">
      <c r="B323" s="679" t="s">
        <v>4537</v>
      </c>
      <c r="C323" s="21"/>
      <c r="D323" s="21"/>
      <c r="E323" s="679"/>
      <c r="F323" s="679"/>
      <c r="G323" s="21"/>
      <c r="H323" s="758"/>
      <c r="I323" s="189"/>
      <c r="J323" s="240"/>
      <c r="K323" s="240"/>
      <c r="L323" s="1917"/>
      <c r="M323" s="1768"/>
      <c r="N323" s="240"/>
      <c r="O323" s="1775"/>
      <c r="P323" s="99"/>
      <c r="Q323" s="99"/>
      <c r="R323" s="99"/>
      <c r="S323" s="99"/>
      <c r="T323" s="99"/>
      <c r="U323" s="99"/>
      <c r="V323" s="99"/>
      <c r="W323" s="99"/>
      <c r="X323" s="1771"/>
    </row>
    <row r="324" spans="1:61" ht="15.75" thickTop="1" x14ac:dyDescent="0.25">
      <c r="B324" s="679">
        <v>902.6</v>
      </c>
      <c r="C324" s="21"/>
      <c r="D324" s="21"/>
      <c r="E324" s="21"/>
      <c r="F324" s="21"/>
      <c r="G324" s="21"/>
      <c r="H324" s="758"/>
      <c r="I324" s="64">
        <v>902.6</v>
      </c>
      <c r="J324" s="4"/>
      <c r="K324" s="4"/>
      <c r="L324" s="1796" t="s">
        <v>3261</v>
      </c>
      <c r="M324" s="1837" t="str">
        <f>IF(R324,"Mandatory","N/A")</f>
        <v>Mandatory</v>
      </c>
      <c r="N324" s="4"/>
      <c r="O324" s="141"/>
      <c r="P324" s="94" t="b">
        <v>1</v>
      </c>
      <c r="Q324" s="94" t="b">
        <v>0</v>
      </c>
      <c r="R324" s="386" t="b">
        <f>S324</f>
        <v>1</v>
      </c>
      <c r="S324" s="386" t="b">
        <v>1</v>
      </c>
      <c r="T324" s="386" t="b">
        <v>0</v>
      </c>
      <c r="W324" s="117"/>
      <c r="X324" s="1756"/>
      <c r="AC324" s="394" t="b">
        <f>OR(AD324:AE324)</f>
        <v>1</v>
      </c>
      <c r="AD324" s="394" t="b">
        <v>0</v>
      </c>
      <c r="AE324" s="394" t="b">
        <f>AND(R324,NOT(W324))</f>
        <v>1</v>
      </c>
      <c r="AL324" s="254" t="str">
        <f>SUBSTITUTE(SUBSTITUTE(SUBSTITUTE("dpa"&amp;$B324&amp;$C324&amp;$D324&amp;$E324,".","_"),"(","_"),")","")</f>
        <v>dpa902_6</v>
      </c>
      <c r="AM324" s="254" t="str">
        <f>M324</f>
        <v>Mandatory</v>
      </c>
      <c r="AP324" s="254" t="str">
        <f>SUBSTITUTE(SUBSTITUTE(SUBSTITUTE("dch"&amp;$B324&amp;$C324&amp;$D324&amp;$E324,".","_"),"(","_"),")","")</f>
        <v>dch902_6</v>
      </c>
      <c r="AQ324" s="254" t="str">
        <f>IF(LEN(W324)=0,"",W324)</f>
        <v/>
      </c>
      <c r="AR324" s="254" t="str">
        <f>SUBSTITUTE(SUBSTITUTE(SUBSTITUTE("dnt"&amp;$B324&amp;$C324&amp;$D324&amp;$E324,".","_"),"(","_"),")","")</f>
        <v>dnt902_6</v>
      </c>
      <c r="AS324" s="254" t="str">
        <f>IF(LEN(X324)=0,"",X324)</f>
        <v/>
      </c>
    </row>
    <row r="325" spans="1:61" x14ac:dyDescent="0.25">
      <c r="B325" s="679">
        <v>902.6</v>
      </c>
      <c r="C325" s="21"/>
      <c r="D325" s="21"/>
      <c r="E325" s="21"/>
      <c r="F325" s="21"/>
      <c r="G325" s="21"/>
      <c r="H325" s="758"/>
      <c r="I325" s="164"/>
      <c r="J325" s="4"/>
      <c r="K325" s="4"/>
      <c r="L325" s="1796"/>
      <c r="M325" s="1837"/>
      <c r="N325" s="4"/>
      <c r="O325" s="141"/>
      <c r="X325" s="1757"/>
    </row>
    <row r="326" spans="1:61" ht="18.75" x14ac:dyDescent="0.3">
      <c r="B326" s="679">
        <v>903</v>
      </c>
      <c r="C326" s="21"/>
      <c r="D326" s="21"/>
      <c r="E326" s="21"/>
      <c r="F326" s="21"/>
      <c r="G326" s="21"/>
      <c r="H326" s="758"/>
      <c r="I326" s="14" t="s">
        <v>3262</v>
      </c>
      <c r="J326" s="23"/>
      <c r="K326" s="23"/>
      <c r="L326" s="84"/>
      <c r="M326" s="498"/>
      <c r="N326" s="508"/>
      <c r="O326" s="498"/>
      <c r="P326" s="23"/>
      <c r="Q326" s="23"/>
      <c r="R326" s="23"/>
      <c r="S326" s="23"/>
      <c r="T326" s="23"/>
      <c r="U326" s="23"/>
      <c r="V326" s="23"/>
      <c r="W326" s="23"/>
      <c r="X326" s="23"/>
    </row>
    <row r="327" spans="1:61" ht="15.75" thickBot="1" x14ac:dyDescent="0.3">
      <c r="B327" s="679" t="s">
        <v>4081</v>
      </c>
      <c r="C327" s="21"/>
      <c r="D327" s="21"/>
      <c r="E327" s="21"/>
      <c r="F327" s="21"/>
      <c r="G327" s="21"/>
      <c r="H327" s="758"/>
      <c r="I327" s="478">
        <v>903</v>
      </c>
      <c r="J327" s="240"/>
      <c r="K327" s="240"/>
      <c r="L327" s="435" t="s">
        <v>3263</v>
      </c>
      <c r="M327" s="429"/>
      <c r="N327" s="240"/>
      <c r="O327" s="241"/>
      <c r="P327" s="99"/>
      <c r="Q327" s="99"/>
      <c r="R327" s="99"/>
      <c r="S327" s="99"/>
      <c r="T327" s="99"/>
      <c r="U327" s="99"/>
      <c r="V327" s="99"/>
      <c r="W327" s="99"/>
      <c r="X327" s="99"/>
    </row>
    <row r="328" spans="1:61" ht="15.75" thickTop="1" x14ac:dyDescent="0.25">
      <c r="B328" s="679">
        <v>903.1</v>
      </c>
      <c r="C328" s="21"/>
      <c r="D328" s="21"/>
      <c r="E328" s="21"/>
      <c r="F328" s="21"/>
      <c r="G328" s="21"/>
      <c r="H328" s="758"/>
      <c r="I328" s="479">
        <v>903.1</v>
      </c>
      <c r="J328" s="181"/>
      <c r="K328" s="181"/>
      <c r="L328" s="434" t="s">
        <v>3659</v>
      </c>
      <c r="M328" s="423"/>
      <c r="N328" s="181"/>
      <c r="O328" s="500">
        <f ca="1">IFERROR(INDEX({2,5},MATCH(W328,INDIRECT(U328),0)),0)*S328</f>
        <v>0</v>
      </c>
      <c r="P328" s="94" t="b">
        <v>1</v>
      </c>
      <c r="Q328" s="94" t="b">
        <v>0</v>
      </c>
      <c r="R328" s="105" t="b">
        <v>0</v>
      </c>
      <c r="S328" s="105" t="b">
        <v>1</v>
      </c>
      <c r="T328" s="105" t="b">
        <v>0</v>
      </c>
      <c r="U328" s="105" t="str">
        <f>SUBSTITUTE(SUBSTITUTE(SUBSTITUTE("dd"&amp;B328&amp;C328&amp;D328&amp;E328&amp;F328,".","_"),"(","_"),")","")</f>
        <v>dd903_1</v>
      </c>
      <c r="V328" s="105"/>
      <c r="W328" s="188"/>
      <c r="X328" s="1784"/>
      <c r="Z328" s="159"/>
      <c r="AB328" s="159"/>
      <c r="AC328" s="394"/>
      <c r="AD328" s="394"/>
      <c r="AE328" s="394"/>
      <c r="AF328" s="159"/>
      <c r="AG328" s="159"/>
      <c r="AH328" s="159"/>
      <c r="AI328" s="159"/>
      <c r="AJ328" s="159"/>
      <c r="AK328" s="159"/>
      <c r="AL328" s="159"/>
      <c r="AM328" s="159"/>
      <c r="AN328" s="254" t="str">
        <f>SUBSTITUTE(SUBSTITUTE(SUBSTITUTE("dpc"&amp;$B328&amp;$C328&amp;$D328&amp;$E328,".","_"),"(","_"),")","")</f>
        <v>dpc903_1</v>
      </c>
      <c r="AO328" s="254">
        <f ca="1">O328</f>
        <v>0</v>
      </c>
      <c r="AP328" s="254" t="str">
        <f>SUBSTITUTE(SUBSTITUTE(SUBSTITUTE("dch"&amp;$B328&amp;$C328&amp;$D328&amp;$E328,".","_"),"(","_"),")","")</f>
        <v>dch903_1</v>
      </c>
      <c r="AQ328" s="254" t="str">
        <f>IF(LEN(W328)=0,"",W328)</f>
        <v/>
      </c>
      <c r="AR328" s="254" t="str">
        <f>SUBSTITUTE(SUBSTITUTE(SUBSTITUTE("dnt"&amp;$B328&amp;$C328&amp;$D328&amp;$E328,".","_"),"(","_"),")","")</f>
        <v>dnt903_1</v>
      </c>
      <c r="AS328" s="254" t="str">
        <f>IF(LEN(X328)=0,"",X328)</f>
        <v/>
      </c>
    </row>
    <row r="329" spans="1:61" x14ac:dyDescent="0.25">
      <c r="B329" s="679" t="s">
        <v>3264</v>
      </c>
      <c r="C329" s="21" t="s">
        <v>256</v>
      </c>
      <c r="D329" s="21"/>
      <c r="E329" s="21"/>
      <c r="F329" s="21"/>
      <c r="G329" s="21"/>
      <c r="H329" s="758"/>
      <c r="I329" s="480"/>
      <c r="J329" s="183" t="s">
        <v>256</v>
      </c>
      <c r="K329" s="129"/>
      <c r="L329" s="1754" t="s">
        <v>3657</v>
      </c>
      <c r="M329" s="1758">
        <v>2</v>
      </c>
      <c r="N329" s="129"/>
      <c r="O329" s="239"/>
      <c r="P329" s="94"/>
      <c r="Q329" s="94"/>
      <c r="R329" s="94"/>
      <c r="S329" s="94"/>
      <c r="T329" s="94"/>
      <c r="U329" s="94"/>
      <c r="V329" s="94"/>
      <c r="W329" s="94"/>
      <c r="X329" s="1770"/>
      <c r="AL329" s="254" t="str">
        <f>SUBSTITUTE(SUBSTITUTE(SUBSTITUTE("dpa"&amp;$B329&amp;$C329&amp;$D329&amp;$E329,".","_"),"(","_"),")","")</f>
        <v>dpa903_1_1_1</v>
      </c>
      <c r="AM329" s="254">
        <f>M329</f>
        <v>2</v>
      </c>
      <c r="AX329" s="159"/>
      <c r="AY329" s="159"/>
    </row>
    <row r="330" spans="1:61" s="159" customFormat="1" x14ac:dyDescent="0.25">
      <c r="A330" s="18"/>
      <c r="B330" s="679" t="s">
        <v>3264</v>
      </c>
      <c r="C330" s="21" t="s">
        <v>256</v>
      </c>
      <c r="D330" s="21"/>
      <c r="E330" s="21"/>
      <c r="F330" s="21"/>
      <c r="G330" s="21"/>
      <c r="H330" s="758"/>
      <c r="I330" s="480"/>
      <c r="J330" s="206"/>
      <c r="K330" s="210"/>
      <c r="L330" s="1843"/>
      <c r="M330" s="1759"/>
      <c r="N330" s="129"/>
      <c r="O330" s="239"/>
      <c r="P330" s="94"/>
      <c r="Q330" s="94"/>
      <c r="R330" s="94"/>
      <c r="S330" s="94"/>
      <c r="T330" s="94"/>
      <c r="U330" s="94"/>
      <c r="V330" s="94"/>
      <c r="W330" s="94"/>
      <c r="X330" s="1770"/>
      <c r="Y330" s="780"/>
      <c r="Z330" s="76"/>
      <c r="AA330" s="783"/>
      <c r="AB330" s="76"/>
      <c r="AC330" s="76"/>
      <c r="AD330" s="76"/>
      <c r="AE330" s="76"/>
      <c r="AF330" s="76"/>
      <c r="AG330" s="76"/>
      <c r="AH330" s="76"/>
      <c r="AI330" s="76"/>
      <c r="AJ330" s="76"/>
      <c r="AK330" s="76"/>
      <c r="AL330" s="76"/>
      <c r="AM330" s="76"/>
      <c r="AN330" s="76"/>
      <c r="AO330" s="76"/>
      <c r="AX330" s="76"/>
      <c r="AY330" s="76"/>
      <c r="AZ330" s="76"/>
      <c r="BA330" s="76"/>
      <c r="BB330" s="76"/>
      <c r="BC330" s="76"/>
      <c r="BD330" s="76"/>
      <c r="BE330" s="76"/>
      <c r="BF330" s="76"/>
      <c r="BG330" s="76"/>
      <c r="BH330" s="76"/>
      <c r="BI330" s="76"/>
    </row>
    <row r="331" spans="1:61" ht="15.75" thickBot="1" x14ac:dyDescent="0.3">
      <c r="B331" s="679" t="s">
        <v>3265</v>
      </c>
      <c r="C331" s="21" t="s">
        <v>258</v>
      </c>
      <c r="D331" s="21"/>
      <c r="E331" s="21"/>
      <c r="F331" s="21"/>
      <c r="G331" s="21"/>
      <c r="H331" s="758"/>
      <c r="I331" s="481"/>
      <c r="J331" s="190" t="s">
        <v>258</v>
      </c>
      <c r="K331" s="240"/>
      <c r="L331" s="425" t="s">
        <v>3658</v>
      </c>
      <c r="M331" s="429">
        <v>5</v>
      </c>
      <c r="N331" s="240"/>
      <c r="O331" s="241"/>
      <c r="P331" s="99"/>
      <c r="Q331" s="99"/>
      <c r="R331" s="99"/>
      <c r="S331" s="99"/>
      <c r="T331" s="99"/>
      <c r="U331" s="99"/>
      <c r="V331" s="99"/>
      <c r="W331" s="99"/>
      <c r="X331" s="1771"/>
      <c r="AL331" s="254" t="str">
        <f>SUBSTITUTE(SUBSTITUTE(SUBSTITUTE("dpa"&amp;$B331&amp;$C331&amp;$D331&amp;$E331,".","_"),"(","_"),")","")</f>
        <v>dpa903_1_2_2</v>
      </c>
      <c r="AM331" s="254">
        <f>M331</f>
        <v>5</v>
      </c>
      <c r="AZ331" s="159"/>
      <c r="BA331" s="159"/>
      <c r="BB331" s="159"/>
      <c r="BC331" s="159"/>
      <c r="BD331" s="159"/>
      <c r="BE331" s="159"/>
      <c r="BF331" s="159"/>
      <c r="BG331" s="159"/>
      <c r="BH331" s="159"/>
      <c r="BI331" s="159"/>
    </row>
    <row r="332" spans="1:61" ht="15.75" thickTop="1" x14ac:dyDescent="0.25">
      <c r="B332" s="679">
        <v>903.2</v>
      </c>
      <c r="C332" s="21"/>
      <c r="D332" s="21"/>
      <c r="E332" s="21"/>
      <c r="F332" s="21"/>
      <c r="G332" s="21"/>
      <c r="H332" s="758"/>
      <c r="I332" s="180">
        <v>903.2</v>
      </c>
      <c r="J332" s="181"/>
      <c r="K332" s="181"/>
      <c r="L332" s="434" t="s">
        <v>3266</v>
      </c>
      <c r="M332" s="423"/>
      <c r="N332" s="181"/>
      <c r="O332" s="500">
        <f ca="1">IFERROR(INDEX({1,3},MATCH(W332,INDIRECT(U332),0)),0)*S332</f>
        <v>0</v>
      </c>
      <c r="P332" s="94" t="b">
        <v>1</v>
      </c>
      <c r="Q332" s="94" t="b">
        <v>1</v>
      </c>
      <c r="R332" s="105" t="b">
        <v>0</v>
      </c>
      <c r="S332" s="105" t="b">
        <v>1</v>
      </c>
      <c r="T332" s="105" t="b">
        <v>0</v>
      </c>
      <c r="U332" s="105" t="str">
        <f>SUBSTITUTE(SUBSTITUTE(SUBSTITUTE("dd"&amp;B332&amp;C332&amp;D332&amp;E332&amp;F332,".","_"),"(","_"),")","")</f>
        <v>dd903_2</v>
      </c>
      <c r="V332" s="105"/>
      <c r="W332" s="188"/>
      <c r="X332" s="1784"/>
      <c r="Z332" s="159"/>
      <c r="AB332" s="159"/>
      <c r="AC332" s="394"/>
      <c r="AD332" s="394"/>
      <c r="AE332" s="394"/>
      <c r="AF332" s="159"/>
      <c r="AG332" s="159"/>
      <c r="AH332" s="159"/>
      <c r="AI332" s="159"/>
      <c r="AJ332" s="159"/>
      <c r="AK332" s="159"/>
      <c r="AL332" s="159"/>
      <c r="AM332" s="159"/>
      <c r="AN332" s="254" t="str">
        <f>SUBSTITUTE(SUBSTITUTE(SUBSTITUTE("dpc"&amp;$B332&amp;$C332&amp;$D332&amp;$E332,".","_"),"(","_"),")","")</f>
        <v>dpc903_2</v>
      </c>
      <c r="AO332" s="254">
        <f ca="1">O332</f>
        <v>0</v>
      </c>
      <c r="AP332" s="254" t="str">
        <f>SUBSTITUTE(SUBSTITUTE(SUBSTITUTE("dch"&amp;$B332&amp;$C332&amp;$D332&amp;$E332,".","_"),"(","_"),")","")</f>
        <v>dch903_2</v>
      </c>
      <c r="AQ332" s="254" t="str">
        <f>IF(LEN(W332)=0,"",W332)</f>
        <v/>
      </c>
      <c r="AR332" s="254" t="str">
        <f>SUBSTITUTE(SUBSTITUTE(SUBSTITUTE("dnt"&amp;$B332&amp;$C332&amp;$D332&amp;$E332,".","_"),"(","_"),")","")</f>
        <v>dnt903_2</v>
      </c>
      <c r="AS332" s="254" t="str">
        <f>IF(LEN(X332)=0,"",X332)</f>
        <v/>
      </c>
    </row>
    <row r="333" spans="1:61" x14ac:dyDescent="0.25">
      <c r="B333" s="679">
        <v>903.2</v>
      </c>
      <c r="C333" s="21" t="s">
        <v>256</v>
      </c>
      <c r="D333" s="21"/>
      <c r="E333" s="21"/>
      <c r="F333" s="21"/>
      <c r="G333" s="21"/>
      <c r="H333" s="758"/>
      <c r="I333" s="480"/>
      <c r="J333" s="206" t="s">
        <v>256</v>
      </c>
      <c r="K333" s="210"/>
      <c r="L333" s="422" t="s">
        <v>3267</v>
      </c>
      <c r="M333" s="426">
        <v>1</v>
      </c>
      <c r="N333" s="129"/>
      <c r="O333" s="239"/>
      <c r="P333" s="94"/>
      <c r="Q333" s="94"/>
      <c r="R333" s="94"/>
      <c r="S333" s="94"/>
      <c r="T333" s="94"/>
      <c r="U333" s="94"/>
      <c r="V333" s="94"/>
      <c r="W333" s="94"/>
      <c r="X333" s="1770"/>
      <c r="AL333" s="254" t="str">
        <f>SUBSTITUTE(SUBSTITUTE(SUBSTITUTE("dpa"&amp;$B333&amp;$C333&amp;$D333&amp;$E333,".","_"),"(","_"),")","")</f>
        <v>dpa903_2_1</v>
      </c>
      <c r="AM333" s="254">
        <f>M333</f>
        <v>1</v>
      </c>
      <c r="AX333" s="159"/>
      <c r="AY333" s="159"/>
    </row>
    <row r="334" spans="1:61" s="159" customFormat="1" x14ac:dyDescent="0.25">
      <c r="A334" s="18"/>
      <c r="B334" s="679">
        <v>903.2</v>
      </c>
      <c r="C334" s="21" t="s">
        <v>258</v>
      </c>
      <c r="D334" s="21"/>
      <c r="E334" s="21"/>
      <c r="F334" s="21"/>
      <c r="G334" s="21"/>
      <c r="H334" s="758"/>
      <c r="I334" s="480"/>
      <c r="J334" s="183" t="s">
        <v>258</v>
      </c>
      <c r="K334" s="129"/>
      <c r="L334" s="1754" t="s">
        <v>3268</v>
      </c>
      <c r="M334" s="1758">
        <v>3</v>
      </c>
      <c r="N334" s="129"/>
      <c r="O334" s="239"/>
      <c r="P334" s="94"/>
      <c r="Q334" s="94"/>
      <c r="R334" s="94"/>
      <c r="S334" s="94"/>
      <c r="T334" s="94"/>
      <c r="U334" s="94"/>
      <c r="V334" s="94"/>
      <c r="W334" s="94"/>
      <c r="X334" s="1770"/>
      <c r="Y334" s="780"/>
      <c r="Z334" s="76"/>
      <c r="AA334" s="783"/>
      <c r="AB334" s="76"/>
      <c r="AC334" s="76"/>
      <c r="AD334" s="76"/>
      <c r="AE334" s="76"/>
      <c r="AF334" s="76"/>
      <c r="AG334" s="76"/>
      <c r="AH334" s="76"/>
      <c r="AI334" s="76"/>
      <c r="AJ334" s="76"/>
      <c r="AK334" s="76"/>
      <c r="AL334" s="254" t="str">
        <f>SUBSTITUTE(SUBSTITUTE(SUBSTITUTE("dpa"&amp;$B334&amp;$C334&amp;$D334&amp;$E334,".","_"),"(","_"),")","")</f>
        <v>dpa903_2_2</v>
      </c>
      <c r="AM334" s="254">
        <f>M334</f>
        <v>3</v>
      </c>
      <c r="AN334" s="76"/>
      <c r="AO334" s="76"/>
      <c r="AX334" s="76"/>
      <c r="AY334" s="76"/>
      <c r="AZ334" s="76"/>
      <c r="BA334" s="76"/>
      <c r="BB334" s="76"/>
      <c r="BC334" s="76"/>
      <c r="BD334" s="76"/>
      <c r="BE334" s="76"/>
      <c r="BF334" s="76"/>
      <c r="BG334" s="76"/>
      <c r="BH334" s="76"/>
      <c r="BI334" s="76"/>
    </row>
    <row r="335" spans="1:61" ht="15.75" thickBot="1" x14ac:dyDescent="0.3">
      <c r="B335" s="679">
        <v>903.2</v>
      </c>
      <c r="C335" s="21" t="s">
        <v>258</v>
      </c>
      <c r="D335" s="21"/>
      <c r="E335" s="21"/>
      <c r="F335" s="21"/>
      <c r="G335" s="21"/>
      <c r="H335" s="758"/>
      <c r="I335" s="481"/>
      <c r="J335" s="240"/>
      <c r="K335" s="240"/>
      <c r="L335" s="1783"/>
      <c r="M335" s="1768"/>
      <c r="N335" s="240"/>
      <c r="O335" s="241"/>
      <c r="P335" s="99"/>
      <c r="Q335" s="99"/>
      <c r="R335" s="99"/>
      <c r="S335" s="99"/>
      <c r="T335" s="99"/>
      <c r="U335" s="99"/>
      <c r="V335" s="99"/>
      <c r="W335" s="99"/>
      <c r="X335" s="1771"/>
      <c r="AZ335" s="159"/>
      <c r="BA335" s="159"/>
      <c r="BB335" s="159"/>
      <c r="BC335" s="159"/>
      <c r="BD335" s="159"/>
      <c r="BE335" s="159"/>
      <c r="BF335" s="159"/>
      <c r="BG335" s="159"/>
      <c r="BH335" s="159"/>
      <c r="BI335" s="159"/>
    </row>
    <row r="336" spans="1:61" ht="15.75" thickTop="1" x14ac:dyDescent="0.25">
      <c r="B336" s="679">
        <v>903.3</v>
      </c>
      <c r="C336" s="21"/>
      <c r="D336" s="21"/>
      <c r="E336" s="21"/>
      <c r="F336" s="21"/>
      <c r="G336" s="21"/>
      <c r="H336" s="758"/>
      <c r="I336" s="64">
        <v>903.3</v>
      </c>
      <c r="J336" s="4"/>
      <c r="K336" s="4"/>
      <c r="L336" s="1796" t="s">
        <v>3660</v>
      </c>
      <c r="M336" s="1767">
        <v>7</v>
      </c>
      <c r="N336" s="4"/>
      <c r="O336" s="1780">
        <f>M336*S338*IFERROR(OR(W338,W339),0)</f>
        <v>0</v>
      </c>
      <c r="X336" s="1756"/>
      <c r="AL336" s="254" t="str">
        <f>SUBSTITUTE(SUBSTITUTE(SUBSTITUTE("dpa"&amp;$B336&amp;$C336&amp;$D336&amp;$E336,".","_"),"(","_"),")","")</f>
        <v>dpa903_3</v>
      </c>
      <c r="AM336" s="254">
        <f>M336</f>
        <v>7</v>
      </c>
      <c r="AN336" s="254" t="str">
        <f>SUBSTITUTE(SUBSTITUTE(SUBSTITUTE("dpc"&amp;$B336&amp;$C336&amp;$D336&amp;$E336,".","_"),"(","_"),")","")</f>
        <v>dpc903_3</v>
      </c>
      <c r="AO336" s="254">
        <f>O336</f>
        <v>0</v>
      </c>
      <c r="AR336" s="254" t="str">
        <f>SUBSTITUTE(SUBSTITUTE(SUBSTITUTE("dnt"&amp;$B336&amp;$C336&amp;$D336&amp;$E336,".","_"),"(","_"),")","")</f>
        <v>dnt903_3</v>
      </c>
      <c r="AS336" s="254" t="str">
        <f>IF(LEN(X336)=0,"",X336)</f>
        <v/>
      </c>
    </row>
    <row r="337" spans="1:61" x14ac:dyDescent="0.25">
      <c r="B337" s="679">
        <v>903.3</v>
      </c>
      <c r="C337" s="21"/>
      <c r="D337" s="21"/>
      <c r="E337" s="21"/>
      <c r="F337" s="21"/>
      <c r="G337" s="21"/>
      <c r="H337" s="758"/>
      <c r="I337" s="164"/>
      <c r="J337" s="4"/>
      <c r="K337" s="4"/>
      <c r="L337" s="1796"/>
      <c r="M337" s="1767"/>
      <c r="N337" s="4"/>
      <c r="O337" s="1780"/>
      <c r="X337" s="1757"/>
    </row>
    <row r="338" spans="1:61" x14ac:dyDescent="0.25">
      <c r="B338" s="679">
        <v>903.3</v>
      </c>
      <c r="C338" s="21" t="s">
        <v>256</v>
      </c>
      <c r="D338" s="21"/>
      <c r="E338" s="21"/>
      <c r="F338" s="21"/>
      <c r="G338" s="21"/>
      <c r="H338" s="758"/>
      <c r="I338" s="164"/>
      <c r="J338" s="206" t="s">
        <v>256</v>
      </c>
      <c r="K338" s="178"/>
      <c r="L338" s="422" t="s">
        <v>3269</v>
      </c>
      <c r="M338" s="424"/>
      <c r="N338" s="129"/>
      <c r="O338" s="239"/>
      <c r="P338" s="94" t="b">
        <v>0</v>
      </c>
      <c r="Q338" s="94" t="b">
        <v>1</v>
      </c>
      <c r="R338" s="178" t="b">
        <v>0</v>
      </c>
      <c r="S338" s="178" t="b">
        <f>AND(BF16&lt;6,BG16="Moist")</f>
        <v>0</v>
      </c>
      <c r="T338" s="178" t="b">
        <f>AND(NOT(S338),W338=TRUE)</f>
        <v>0</v>
      </c>
      <c r="U338" s="178"/>
      <c r="V338" s="178"/>
      <c r="W338" s="360"/>
      <c r="X338" s="1757"/>
      <c r="AC338" s="394" t="b">
        <f>OR(AD338:AE338)</f>
        <v>0</v>
      </c>
      <c r="AD338" s="394" t="b">
        <f>T338</f>
        <v>0</v>
      </c>
      <c r="AE338" s="394"/>
      <c r="AP338" s="254" t="str">
        <f>SUBSTITUTE(SUBSTITUTE(SUBSTITUTE("dch"&amp;$B338&amp;$C338&amp;$D338&amp;$E338,".","_"),"(","_"),")","")</f>
        <v>dch903_3_1</v>
      </c>
      <c r="AQ338" s="254" t="str">
        <f>IF(LEN(W338)=0,"",W338)</f>
        <v/>
      </c>
    </row>
    <row r="339" spans="1:61" x14ac:dyDescent="0.25">
      <c r="B339" s="679">
        <v>903.3</v>
      </c>
      <c r="C339" s="21" t="s">
        <v>258</v>
      </c>
      <c r="D339" s="21"/>
      <c r="E339" s="21"/>
      <c r="F339" s="21"/>
      <c r="G339" s="21"/>
      <c r="H339" s="758"/>
      <c r="I339" s="164"/>
      <c r="J339" s="27" t="s">
        <v>258</v>
      </c>
      <c r="L339" s="1841" t="s">
        <v>3270</v>
      </c>
      <c r="M339" s="424"/>
      <c r="N339" s="129"/>
      <c r="O339" s="239"/>
      <c r="P339" s="94" t="b">
        <v>0</v>
      </c>
      <c r="Q339" s="94" t="b">
        <v>1</v>
      </c>
      <c r="R339" s="386" t="b">
        <v>0</v>
      </c>
      <c r="S339" s="394" t="b">
        <f>AND(BF16&lt;6,BG16="Moist")</f>
        <v>0</v>
      </c>
      <c r="T339" s="94" t="b">
        <f>AND(NOT(S339),W339=TRUE)</f>
        <v>0</v>
      </c>
      <c r="W339" s="117"/>
      <c r="X339" s="1757"/>
      <c r="AC339" s="394" t="b">
        <f>OR(AD339:AE339)</f>
        <v>0</v>
      </c>
      <c r="AD339" s="394" t="b">
        <f>T339</f>
        <v>0</v>
      </c>
      <c r="AE339" s="394"/>
      <c r="AP339" s="254" t="str">
        <f>SUBSTITUTE(SUBSTITUTE(SUBSTITUTE("dch"&amp;$B339&amp;$C339&amp;$D339&amp;$E339,".","_"),"(","_"),")","")</f>
        <v>dch903_3_2</v>
      </c>
      <c r="AQ339" s="254" t="str">
        <f>IF(LEN(W339)=0,"",W339)</f>
        <v/>
      </c>
    </row>
    <row r="340" spans="1:61" x14ac:dyDescent="0.25">
      <c r="B340" s="679">
        <v>903.3</v>
      </c>
      <c r="C340" s="21" t="s">
        <v>258</v>
      </c>
      <c r="D340" s="21"/>
      <c r="E340" s="21"/>
      <c r="F340" s="21"/>
      <c r="G340" s="21"/>
      <c r="H340" s="758"/>
      <c r="I340" s="164"/>
      <c r="J340" s="4"/>
      <c r="K340" s="27"/>
      <c r="L340" s="1841"/>
      <c r="M340" s="428"/>
      <c r="N340" s="4"/>
      <c r="O340" s="141"/>
      <c r="X340" s="1757"/>
    </row>
    <row r="341" spans="1:61" ht="18.75" x14ac:dyDescent="0.3">
      <c r="B341" s="679">
        <v>904</v>
      </c>
      <c r="C341" s="21"/>
      <c r="D341" s="21"/>
      <c r="E341" s="21"/>
      <c r="F341" s="21"/>
      <c r="G341" s="21"/>
      <c r="H341" s="758"/>
      <c r="I341" s="14" t="s">
        <v>3271</v>
      </c>
      <c r="J341" s="23"/>
      <c r="K341" s="23"/>
      <c r="L341" s="84"/>
      <c r="M341" s="498"/>
      <c r="N341" s="508"/>
      <c r="O341" s="498"/>
      <c r="P341" s="23"/>
      <c r="Q341" s="23"/>
      <c r="R341" s="23"/>
      <c r="S341" s="23"/>
      <c r="T341" s="23"/>
      <c r="U341" s="23"/>
      <c r="V341" s="23"/>
      <c r="W341" s="23"/>
      <c r="X341" s="23"/>
    </row>
    <row r="342" spans="1:61" x14ac:dyDescent="0.25">
      <c r="B342" s="679" t="s">
        <v>4082</v>
      </c>
      <c r="C342" s="21"/>
      <c r="D342" s="21"/>
      <c r="E342" s="21"/>
      <c r="F342" s="21"/>
      <c r="G342" s="21"/>
      <c r="H342" s="758"/>
      <c r="I342" s="238">
        <v>904</v>
      </c>
      <c r="J342" s="129"/>
      <c r="K342" s="129"/>
      <c r="L342" s="1782" t="s">
        <v>3272</v>
      </c>
      <c r="M342" s="424"/>
      <c r="N342" s="129"/>
      <c r="O342" s="239"/>
      <c r="P342" s="94"/>
      <c r="Q342" s="94"/>
      <c r="R342" s="94"/>
      <c r="S342" s="94"/>
      <c r="T342" s="94"/>
      <c r="U342" s="94"/>
      <c r="V342" s="94"/>
      <c r="W342" s="94"/>
      <c r="X342" s="94"/>
    </row>
    <row r="343" spans="1:61" ht="15.75" thickBot="1" x14ac:dyDescent="0.3">
      <c r="B343" s="679" t="s">
        <v>4082</v>
      </c>
      <c r="C343" s="21"/>
      <c r="D343" s="21"/>
      <c r="E343" s="21"/>
      <c r="F343" s="21"/>
      <c r="G343" s="21"/>
      <c r="H343" s="758"/>
      <c r="I343" s="481"/>
      <c r="J343" s="240"/>
      <c r="K343" s="240"/>
      <c r="L343" s="1797"/>
      <c r="M343" s="429"/>
      <c r="N343" s="240"/>
      <c r="O343" s="241"/>
      <c r="P343" s="99"/>
      <c r="Q343" s="99"/>
      <c r="R343" s="99"/>
      <c r="S343" s="99"/>
      <c r="T343" s="99"/>
      <c r="U343" s="99"/>
      <c r="V343" s="99"/>
      <c r="W343" s="99"/>
      <c r="X343" s="99"/>
    </row>
    <row r="344" spans="1:61" ht="15.75" thickTop="1" x14ac:dyDescent="0.25">
      <c r="B344" s="679">
        <v>904.1</v>
      </c>
      <c r="C344" s="21"/>
      <c r="D344" s="21"/>
      <c r="E344" s="21"/>
      <c r="F344" s="21"/>
      <c r="G344" s="21"/>
      <c r="H344" s="758"/>
      <c r="I344" s="479">
        <v>904.1</v>
      </c>
      <c r="J344" s="181"/>
      <c r="K344" s="181"/>
      <c r="L344" s="1781" t="s">
        <v>3273</v>
      </c>
      <c r="M344" s="1772">
        <v>2</v>
      </c>
      <c r="N344" s="181"/>
      <c r="O344" s="1773">
        <f>M344*S344*W344</f>
        <v>0</v>
      </c>
      <c r="P344" s="94" t="b">
        <v>1</v>
      </c>
      <c r="Q344" s="94" t="b">
        <v>0</v>
      </c>
      <c r="R344" s="105" t="b">
        <v>0</v>
      </c>
      <c r="S344" s="105" t="b">
        <f>T345</f>
        <v>0</v>
      </c>
      <c r="T344" s="105" t="b">
        <f>AND(NOT(S344),W344=TRUE)</f>
        <v>0</v>
      </c>
      <c r="U344" s="105"/>
      <c r="V344" s="105"/>
      <c r="W344" s="367"/>
      <c r="X344" s="1784"/>
      <c r="AC344" s="394" t="b">
        <f>OR(AD344:AE344)</f>
        <v>0</v>
      </c>
      <c r="AD344" s="394" t="b">
        <f>T344</f>
        <v>0</v>
      </c>
      <c r="AE344" s="394"/>
      <c r="AL344" s="254" t="str">
        <f>SUBSTITUTE(SUBSTITUTE(SUBSTITUTE("dpa"&amp;$B344&amp;$C344&amp;$D344&amp;$E344,".","_"),"(","_"),")","")</f>
        <v>dpa904_1</v>
      </c>
      <c r="AM344" s="254">
        <f>M344</f>
        <v>2</v>
      </c>
      <c r="AN344" s="254" t="str">
        <f>SUBSTITUTE(SUBSTITUTE(SUBSTITUTE("dpc"&amp;$B344&amp;$C344&amp;$D344&amp;$E344,".","_"),"(","_"),")","")</f>
        <v>dpc904_1</v>
      </c>
      <c r="AO344" s="254">
        <f>O344</f>
        <v>0</v>
      </c>
      <c r="AP344" s="254" t="str">
        <f>SUBSTITUTE(SUBSTITUTE(SUBSTITUTE("dch"&amp;$B344&amp;$C344&amp;$D344&amp;$E344,".","_"),"(","_"),")","")</f>
        <v>dch904_1</v>
      </c>
      <c r="AQ344" s="254" t="str">
        <f>IF(LEN(W344)=0,"",W344)</f>
        <v/>
      </c>
      <c r="AR344" s="254" t="str">
        <f>SUBSTITUTE(SUBSTITUTE(SUBSTITUTE("dnt"&amp;$B344&amp;$C344&amp;$D344&amp;$E344,".","_"),"(","_"),")","")</f>
        <v>dnt904_1</v>
      </c>
      <c r="AS344" s="254" t="str">
        <f>IF(LEN(X344)=0,"",X344)</f>
        <v/>
      </c>
    </row>
    <row r="345" spans="1:61" x14ac:dyDescent="0.25">
      <c r="B345" s="679">
        <v>904.1</v>
      </c>
      <c r="C345" s="21"/>
      <c r="D345" s="21"/>
      <c r="E345" s="21"/>
      <c r="F345" s="21"/>
      <c r="G345" s="21"/>
      <c r="H345" s="758"/>
      <c r="I345" s="480"/>
      <c r="J345" s="129"/>
      <c r="K345" s="129"/>
      <c r="L345" s="1782"/>
      <c r="M345" s="1758"/>
      <c r="N345" s="129"/>
      <c r="O345" s="1774"/>
      <c r="P345" s="94"/>
      <c r="Q345" s="94"/>
      <c r="R345" s="94"/>
      <c r="S345" s="485" t="s">
        <v>3765</v>
      </c>
      <c r="T345" s="197" t="b">
        <f>'Ch6'!W149=TRUE</f>
        <v>0</v>
      </c>
      <c r="U345" s="94"/>
      <c r="V345" s="94"/>
      <c r="W345" s="94"/>
      <c r="X345" s="1770"/>
    </row>
    <row r="346" spans="1:61" x14ac:dyDescent="0.25">
      <c r="B346" s="679">
        <v>904.1</v>
      </c>
      <c r="C346" s="21"/>
      <c r="D346" s="21"/>
      <c r="E346" s="21"/>
      <c r="F346" s="21"/>
      <c r="G346" s="21"/>
      <c r="H346" s="758"/>
      <c r="I346" s="480"/>
      <c r="J346" s="129"/>
      <c r="K346" s="129"/>
      <c r="L346" s="1782"/>
      <c r="M346" s="1758"/>
      <c r="N346" s="129"/>
      <c r="O346" s="1774"/>
      <c r="P346" s="94"/>
      <c r="Q346" s="94"/>
      <c r="R346" s="94"/>
      <c r="S346" s="94"/>
      <c r="T346" s="94"/>
      <c r="U346" s="94"/>
      <c r="V346" s="94"/>
      <c r="W346" s="94"/>
      <c r="X346" s="1770"/>
    </row>
    <row r="347" spans="1:61" x14ac:dyDescent="0.25">
      <c r="B347" s="679">
        <v>904.1</v>
      </c>
      <c r="C347" s="21"/>
      <c r="D347" s="21"/>
      <c r="E347" s="21"/>
      <c r="F347" s="21"/>
      <c r="G347" s="21"/>
      <c r="H347" s="758"/>
      <c r="I347" s="480"/>
      <c r="J347" s="129"/>
      <c r="K347" s="129"/>
      <c r="L347" s="1782"/>
      <c r="M347" s="1758"/>
      <c r="N347" s="129"/>
      <c r="O347" s="1774"/>
      <c r="P347" s="94"/>
      <c r="Q347" s="94"/>
      <c r="R347" s="94"/>
      <c r="S347" s="94"/>
      <c r="T347" s="94"/>
      <c r="U347" s="94"/>
      <c r="V347" s="94"/>
      <c r="W347" s="94"/>
      <c r="X347" s="1770"/>
    </row>
    <row r="348" spans="1:61" ht="15.75" thickBot="1" x14ac:dyDescent="0.3">
      <c r="B348" s="679">
        <v>904.1</v>
      </c>
      <c r="C348" s="21"/>
      <c r="D348" s="21"/>
      <c r="E348" s="21"/>
      <c r="F348" s="21"/>
      <c r="G348" s="21"/>
      <c r="H348" s="758"/>
      <c r="I348" s="481"/>
      <c r="J348" s="240"/>
      <c r="K348" s="240"/>
      <c r="L348" s="1797"/>
      <c r="M348" s="1768"/>
      <c r="N348" s="240"/>
      <c r="O348" s="1775"/>
      <c r="P348" s="99"/>
      <c r="Q348" s="99"/>
      <c r="R348" s="99"/>
      <c r="S348" s="99"/>
      <c r="T348" s="99"/>
      <c r="U348" s="99"/>
      <c r="V348" s="99"/>
      <c r="W348" s="99"/>
      <c r="X348" s="1771"/>
    </row>
    <row r="349" spans="1:61" ht="15.75" thickTop="1" x14ac:dyDescent="0.25">
      <c r="B349" s="679">
        <v>904.2</v>
      </c>
      <c r="C349" s="21"/>
      <c r="D349" s="21"/>
      <c r="E349" s="21"/>
      <c r="F349" s="21"/>
      <c r="G349" s="21"/>
      <c r="H349" s="758"/>
      <c r="I349" s="180">
        <v>904.2</v>
      </c>
      <c r="J349" s="181"/>
      <c r="K349" s="181"/>
      <c r="L349" s="1781" t="s">
        <v>3274</v>
      </c>
      <c r="M349" s="1772">
        <v>3</v>
      </c>
      <c r="N349" s="181"/>
      <c r="O349" s="1773">
        <f>M349*S349*W349</f>
        <v>0</v>
      </c>
      <c r="P349" s="105" t="b">
        <v>0</v>
      </c>
      <c r="Q349" s="105" t="b">
        <v>1</v>
      </c>
      <c r="R349" s="105" t="b">
        <v>0</v>
      </c>
      <c r="S349" s="105" t="b">
        <f>T345</f>
        <v>0</v>
      </c>
      <c r="T349" s="105" t="b">
        <f>AND(NOT(S349),W349=TRUE)</f>
        <v>0</v>
      </c>
      <c r="U349" s="105"/>
      <c r="V349" s="105"/>
      <c r="W349" s="367"/>
      <c r="X349" s="1784"/>
      <c r="AC349" s="394" t="b">
        <f>OR(AD349:AE349)</f>
        <v>0</v>
      </c>
      <c r="AD349" s="394" t="b">
        <f>T349</f>
        <v>0</v>
      </c>
      <c r="AE349" s="394"/>
      <c r="AL349" s="254" t="str">
        <f>SUBSTITUTE(SUBSTITUTE(SUBSTITUTE("dpa"&amp;$B349&amp;$C349&amp;$D349&amp;$E349,".","_"),"(","_"),")","")</f>
        <v>dpa904_2</v>
      </c>
      <c r="AM349" s="254">
        <f>M349</f>
        <v>3</v>
      </c>
      <c r="AN349" s="254" t="str">
        <f>SUBSTITUTE(SUBSTITUTE(SUBSTITUTE("dpc"&amp;$B349&amp;$C349&amp;$D349&amp;$E349,".","_"),"(","_"),")","")</f>
        <v>dpc904_2</v>
      </c>
      <c r="AO349" s="254">
        <f>O349</f>
        <v>0</v>
      </c>
      <c r="AP349" s="254" t="str">
        <f>SUBSTITUTE(SUBSTITUTE(SUBSTITUTE("dch"&amp;$B349&amp;$C349&amp;$D349&amp;$E349,".","_"),"(","_"),")","")</f>
        <v>dch904_2</v>
      </c>
      <c r="AQ349" s="254" t="str">
        <f>IF(LEN(W349)=0,"",W349)</f>
        <v/>
      </c>
      <c r="AR349" s="254" t="str">
        <f>SUBSTITUTE(SUBSTITUTE(SUBSTITUTE("dnt"&amp;$B349&amp;$C349&amp;$D349&amp;$E349,".","_"),"(","_"),")","")</f>
        <v>dnt904_2</v>
      </c>
      <c r="AS349" s="254" t="str">
        <f>IF(LEN(X349)=0,"",X349)</f>
        <v/>
      </c>
    </row>
    <row r="350" spans="1:61" x14ac:dyDescent="0.25">
      <c r="B350" s="679">
        <v>904.2</v>
      </c>
      <c r="C350" s="21"/>
      <c r="D350" s="21"/>
      <c r="E350" s="21"/>
      <c r="F350" s="21"/>
      <c r="G350" s="21"/>
      <c r="H350" s="758"/>
      <c r="I350" s="480"/>
      <c r="J350" s="129"/>
      <c r="K350" s="129"/>
      <c r="L350" s="1782"/>
      <c r="M350" s="1758"/>
      <c r="N350" s="129"/>
      <c r="O350" s="1774"/>
      <c r="P350" s="94"/>
      <c r="Q350" s="94"/>
      <c r="R350" s="94"/>
      <c r="S350" s="94"/>
      <c r="T350" s="94"/>
      <c r="U350" s="94"/>
      <c r="V350" s="94"/>
      <c r="W350" s="94"/>
      <c r="X350" s="1770"/>
    </row>
    <row r="351" spans="1:61" ht="15.75" thickBot="1" x14ac:dyDescent="0.3">
      <c r="B351" s="679">
        <v>904.2</v>
      </c>
      <c r="C351" s="21"/>
      <c r="D351" s="21"/>
      <c r="E351" s="21"/>
      <c r="F351" s="21"/>
      <c r="G351" s="21"/>
      <c r="H351" s="758"/>
      <c r="I351" s="481"/>
      <c r="J351" s="240"/>
      <c r="K351" s="240"/>
      <c r="L351" s="1797"/>
      <c r="M351" s="1768"/>
      <c r="N351" s="240"/>
      <c r="O351" s="1775"/>
      <c r="P351" s="99"/>
      <c r="Q351" s="99"/>
      <c r="R351" s="99"/>
      <c r="S351" s="99"/>
      <c r="T351" s="99"/>
      <c r="U351" s="99"/>
      <c r="V351" s="99"/>
      <c r="W351" s="99"/>
      <c r="X351" s="1771"/>
      <c r="AX351" s="868"/>
      <c r="AY351" s="868"/>
    </row>
    <row r="352" spans="1:61" s="868" customFormat="1" ht="15" customHeight="1" thickTop="1" x14ac:dyDescent="0.25">
      <c r="A352" s="18"/>
      <c r="B352" s="679" t="s">
        <v>4541</v>
      </c>
      <c r="C352" s="21"/>
      <c r="D352" s="21"/>
      <c r="E352" s="679"/>
      <c r="F352" s="21"/>
      <c r="G352" s="21"/>
      <c r="H352" s="758"/>
      <c r="I352" s="667" t="s">
        <v>4541</v>
      </c>
      <c r="J352" s="667"/>
      <c r="K352" s="679"/>
      <c r="L352" s="1785" t="s">
        <v>4542</v>
      </c>
      <c r="X352"/>
      <c r="AZ352" s="76"/>
      <c r="BA352" s="76"/>
      <c r="BB352" s="76"/>
      <c r="BC352" s="76"/>
      <c r="BD352" s="76"/>
      <c r="BE352" s="76"/>
      <c r="BF352" s="76"/>
      <c r="BG352" s="76"/>
      <c r="BH352" s="76"/>
      <c r="BI352" s="76"/>
    </row>
    <row r="353" spans="1:61" s="868" customFormat="1" x14ac:dyDescent="0.25">
      <c r="A353" s="18"/>
      <c r="B353" s="679" t="s">
        <v>4541</v>
      </c>
      <c r="C353" s="21"/>
      <c r="D353" s="21"/>
      <c r="E353" s="679"/>
      <c r="F353" s="21"/>
      <c r="G353" s="21"/>
      <c r="H353" s="758"/>
      <c r="I353" s="667"/>
      <c r="J353" s="667"/>
      <c r="K353" s="679"/>
      <c r="L353" s="1785"/>
      <c r="X353"/>
    </row>
    <row r="354" spans="1:61" s="868" customFormat="1" ht="15" customHeight="1" x14ac:dyDescent="0.25">
      <c r="A354" s="18"/>
      <c r="B354" s="679" t="s">
        <v>4541</v>
      </c>
      <c r="C354" s="679" t="s">
        <v>256</v>
      </c>
      <c r="D354" s="21"/>
      <c r="E354" s="21"/>
      <c r="F354" s="21"/>
      <c r="G354" s="21"/>
      <c r="H354" s="758"/>
      <c r="I354" s="667"/>
      <c r="J354" s="668" t="s">
        <v>256</v>
      </c>
      <c r="K354" s="680"/>
      <c r="L354" s="1929" t="s">
        <v>4539</v>
      </c>
      <c r="M354" s="1837" t="str">
        <f>IF(R354,"Mandatory","N/A")</f>
        <v>Mandatory</v>
      </c>
      <c r="N354" s="94"/>
      <c r="O354" s="94"/>
      <c r="P354" s="94" t="b">
        <v>1</v>
      </c>
      <c r="Q354" s="94" t="b">
        <v>0</v>
      </c>
      <c r="R354" s="94" t="b">
        <v>1</v>
      </c>
      <c r="S354" s="94" t="b">
        <v>1</v>
      </c>
      <c r="T354" s="94" t="b">
        <v>0</v>
      </c>
      <c r="U354" s="94"/>
      <c r="V354" s="94"/>
      <c r="W354" s="25"/>
      <c r="X354" s="1757"/>
      <c r="AC354" s="868" t="b">
        <f>OR(AD354:AE354)</f>
        <v>1</v>
      </c>
      <c r="AD354" s="868" t="b">
        <v>0</v>
      </c>
      <c r="AE354" s="868" t="b">
        <f>AND(R354,NOT(W354))</f>
        <v>1</v>
      </c>
      <c r="AL354" s="254" t="str">
        <f>SUBSTITUTE(SUBSTITUTE(SUBSTITUTE("dpa"&amp;$B354&amp;$C354&amp;$D354&amp;$E354,".","_"),"(","_"),")","")</f>
        <v>dpa904_3_1</v>
      </c>
      <c r="AM354" s="254" t="str">
        <f>M354</f>
        <v>Mandatory</v>
      </c>
      <c r="AP354" s="254" t="str">
        <f>SUBSTITUTE(SUBSTITUTE(SUBSTITUTE("dch"&amp;$B354&amp;$C354&amp;$D354&amp;$E354,".","_"),"(","_"),")","")</f>
        <v>dch904_3_1</v>
      </c>
      <c r="AQ354" s="254" t="str">
        <f>IF(LEN(W354)=0,"",W354)</f>
        <v/>
      </c>
      <c r="AR354" s="254" t="str">
        <f>SUBSTITUTE(SUBSTITUTE(SUBSTITUTE("dnt"&amp;$B354&amp;$C354&amp;$D354&amp;$E354,".","_"),"(","_"),")","")</f>
        <v>dnt904_3_1</v>
      </c>
      <c r="AS354" s="254" t="str">
        <f>IF(LEN(X354)=0,"",X354)</f>
        <v/>
      </c>
    </row>
    <row r="355" spans="1:61" s="868" customFormat="1" x14ac:dyDescent="0.25">
      <c r="A355" s="18"/>
      <c r="B355" s="679" t="s">
        <v>4541</v>
      </c>
      <c r="C355" s="679" t="s">
        <v>256</v>
      </c>
      <c r="D355" s="21"/>
      <c r="E355" s="21"/>
      <c r="F355" s="21"/>
      <c r="G355" s="21"/>
      <c r="H355" s="758"/>
      <c r="I355" s="667"/>
      <c r="J355" s="668"/>
      <c r="K355" s="680"/>
      <c r="L355" s="1929"/>
      <c r="M355" s="1837"/>
      <c r="N355" s="94"/>
      <c r="O355" s="94"/>
      <c r="P355" s="94"/>
      <c r="Q355" s="94"/>
      <c r="R355" s="94"/>
      <c r="S355" s="94"/>
      <c r="T355" s="94"/>
      <c r="U355" s="94"/>
      <c r="V355" s="94"/>
      <c r="X355" s="1757"/>
    </row>
    <row r="356" spans="1:61" s="868" customFormat="1" x14ac:dyDescent="0.25">
      <c r="A356" s="18"/>
      <c r="B356" s="679" t="s">
        <v>4541</v>
      </c>
      <c r="C356" s="679" t="s">
        <v>256</v>
      </c>
      <c r="D356" s="21"/>
      <c r="E356" s="21"/>
      <c r="F356" s="21"/>
      <c r="G356" s="21"/>
      <c r="H356" s="758"/>
      <c r="I356" s="667"/>
      <c r="J356" s="668"/>
      <c r="K356" s="680"/>
      <c r="L356" s="1929"/>
      <c r="M356" s="94"/>
      <c r="N356" s="94"/>
      <c r="O356" s="94"/>
      <c r="P356" s="94"/>
      <c r="Q356" s="94"/>
      <c r="R356" s="94"/>
      <c r="S356" s="94"/>
      <c r="T356" s="94"/>
      <c r="U356" s="94"/>
      <c r="V356" s="94"/>
      <c r="X356" s="1757"/>
    </row>
    <row r="357" spans="1:61" s="1066" customFormat="1" x14ac:dyDescent="0.25">
      <c r="A357" s="18"/>
      <c r="B357" s="679" t="s">
        <v>4541</v>
      </c>
      <c r="C357" s="679" t="s">
        <v>256</v>
      </c>
      <c r="D357" s="21"/>
      <c r="E357" s="21"/>
      <c r="F357" s="21"/>
      <c r="G357" s="21"/>
      <c r="H357" s="758"/>
      <c r="I357" s="667"/>
      <c r="J357" s="668"/>
      <c r="K357" s="680"/>
      <c r="L357" s="1929"/>
      <c r="M357" s="94"/>
      <c r="N357" s="94"/>
      <c r="O357" s="94"/>
      <c r="P357" s="94"/>
      <c r="Q357" s="94"/>
      <c r="R357" s="94"/>
      <c r="S357" s="94"/>
      <c r="T357" s="94"/>
      <c r="U357" s="94"/>
      <c r="V357" s="94"/>
      <c r="X357" s="1757"/>
      <c r="AX357" s="868"/>
      <c r="AY357" s="868"/>
      <c r="AZ357" s="868"/>
      <c r="BA357" s="868"/>
      <c r="BB357" s="868"/>
      <c r="BC357" s="868"/>
      <c r="BD357" s="868"/>
      <c r="BE357" s="868"/>
      <c r="BF357" s="868"/>
      <c r="BG357" s="868"/>
      <c r="BH357" s="868"/>
      <c r="BI357" s="868"/>
    </row>
    <row r="358" spans="1:61" s="868" customFormat="1" x14ac:dyDescent="0.25">
      <c r="A358" s="18"/>
      <c r="B358" s="679" t="s">
        <v>4541</v>
      </c>
      <c r="C358" s="679" t="s">
        <v>256</v>
      </c>
      <c r="D358" s="21"/>
      <c r="E358" s="21"/>
      <c r="F358" s="21"/>
      <c r="G358" s="21"/>
      <c r="H358" s="758"/>
      <c r="I358" s="667"/>
      <c r="J358" s="668"/>
      <c r="K358" s="680"/>
      <c r="L358" s="1929"/>
      <c r="M358" s="94"/>
      <c r="N358" s="94"/>
      <c r="O358" s="94"/>
      <c r="P358" s="94"/>
      <c r="Q358" s="94"/>
      <c r="R358" s="94"/>
      <c r="S358" s="94"/>
      <c r="T358" s="94"/>
      <c r="U358" s="94"/>
      <c r="V358" s="94"/>
      <c r="X358" s="1757"/>
      <c r="AX358" s="1066"/>
      <c r="AY358" s="1066"/>
      <c r="AZ358" s="1066"/>
      <c r="BA358" s="1066"/>
      <c r="BB358" s="1066"/>
      <c r="BC358" s="1066"/>
      <c r="BD358" s="1066"/>
      <c r="BE358" s="1066"/>
      <c r="BF358" s="1066"/>
      <c r="BG358" s="1066"/>
      <c r="BH358" s="1066"/>
      <c r="BI358" s="1066"/>
    </row>
    <row r="359" spans="1:61" s="868" customFormat="1" x14ac:dyDescent="0.25">
      <c r="A359" s="18"/>
      <c r="B359" s="679" t="s">
        <v>4541</v>
      </c>
      <c r="C359" s="679" t="s">
        <v>256</v>
      </c>
      <c r="D359" s="21"/>
      <c r="E359" s="21"/>
      <c r="F359" s="21"/>
      <c r="G359" s="21"/>
      <c r="H359" s="758"/>
      <c r="I359" s="667"/>
      <c r="J359" s="668"/>
      <c r="K359" s="680"/>
      <c r="L359" s="1929"/>
      <c r="M359" s="94"/>
      <c r="N359" s="94"/>
      <c r="O359" s="94"/>
      <c r="P359" s="94"/>
      <c r="Q359" s="94"/>
      <c r="R359" s="94"/>
      <c r="S359" s="94"/>
      <c r="T359" s="94"/>
      <c r="U359" s="94"/>
      <c r="V359" s="94"/>
      <c r="X359" s="1757"/>
    </row>
    <row r="360" spans="1:61" s="868" customFormat="1" x14ac:dyDescent="0.25">
      <c r="A360" s="18"/>
      <c r="B360" s="679" t="s">
        <v>4541</v>
      </c>
      <c r="C360" s="679" t="s">
        <v>256</v>
      </c>
      <c r="D360" s="21"/>
      <c r="E360" s="21"/>
      <c r="F360" s="21"/>
      <c r="G360" s="21"/>
      <c r="H360" s="758"/>
      <c r="I360" s="667"/>
      <c r="J360" s="668"/>
      <c r="K360" s="680"/>
      <c r="L360" s="1929"/>
      <c r="M360" s="94"/>
      <c r="N360" s="94"/>
      <c r="O360" s="94"/>
      <c r="P360" s="94"/>
      <c r="Q360" s="94"/>
      <c r="R360" s="94"/>
      <c r="S360" s="94"/>
      <c r="T360" s="94"/>
      <c r="U360" s="94"/>
      <c r="V360" s="94"/>
      <c r="X360" s="1757"/>
    </row>
    <row r="361" spans="1:61" s="868" customFormat="1" x14ac:dyDescent="0.25">
      <c r="A361" s="18"/>
      <c r="B361" s="679" t="s">
        <v>4541</v>
      </c>
      <c r="C361" s="679" t="s">
        <v>256</v>
      </c>
      <c r="D361" s="21"/>
      <c r="E361" s="21"/>
      <c r="F361" s="21"/>
      <c r="G361" s="21"/>
      <c r="H361" s="758"/>
      <c r="I361" s="667"/>
      <c r="J361" s="684"/>
      <c r="K361" s="686"/>
      <c r="L361" s="1934"/>
      <c r="M361" s="178"/>
      <c r="N361" s="178"/>
      <c r="O361" s="178"/>
      <c r="P361" s="178"/>
      <c r="Q361" s="178"/>
      <c r="R361" s="178"/>
      <c r="S361" s="178"/>
      <c r="T361" s="178"/>
      <c r="U361" s="178"/>
      <c r="V361" s="178"/>
      <c r="X361" s="1757"/>
    </row>
    <row r="362" spans="1:61" s="868" customFormat="1" ht="15" customHeight="1" x14ac:dyDescent="0.25">
      <c r="A362" s="18"/>
      <c r="B362" s="679" t="s">
        <v>4541</v>
      </c>
      <c r="C362" s="679" t="s">
        <v>258</v>
      </c>
      <c r="D362" s="21"/>
      <c r="E362" s="21"/>
      <c r="F362" s="21"/>
      <c r="G362" s="21"/>
      <c r="H362" s="758"/>
      <c r="I362" s="667"/>
      <c r="J362" s="667" t="s">
        <v>258</v>
      </c>
      <c r="K362" s="679"/>
      <c r="L362" s="1933" t="s">
        <v>4540</v>
      </c>
      <c r="M362" s="1838" t="str">
        <f>IF(R362,"Mandatory","N/A")</f>
        <v>Mandatory</v>
      </c>
      <c r="P362" s="868" t="b">
        <v>1</v>
      </c>
      <c r="Q362" s="868" t="b">
        <v>0</v>
      </c>
      <c r="R362" s="868" t="b">
        <v>1</v>
      </c>
      <c r="S362" s="868" t="b">
        <v>1</v>
      </c>
      <c r="T362" s="868" t="b">
        <v>0</v>
      </c>
      <c r="W362" s="25"/>
      <c r="X362" s="1757"/>
      <c r="AC362" s="868" t="b">
        <f>OR(AD362:AE362)</f>
        <v>1</v>
      </c>
      <c r="AD362" s="868" t="b">
        <v>0</v>
      </c>
      <c r="AE362" s="868" t="b">
        <f>AND(R362,NOT(W362))</f>
        <v>1</v>
      </c>
      <c r="AL362" s="254" t="str">
        <f>SUBSTITUTE(SUBSTITUTE(SUBSTITUTE("dpa"&amp;$B362&amp;$C362&amp;$D362&amp;$E362,".","_"),"(","_"),")","")</f>
        <v>dpa904_3_2</v>
      </c>
      <c r="AM362" s="254" t="str">
        <f>M362</f>
        <v>Mandatory</v>
      </c>
      <c r="AP362" s="254" t="str">
        <f>SUBSTITUTE(SUBSTITUTE(SUBSTITUTE("dch"&amp;$B362&amp;$C362&amp;$D362&amp;$E362,".","_"),"(","_"),")","")</f>
        <v>dch904_3_2</v>
      </c>
      <c r="AQ362" s="254" t="str">
        <f>IF(LEN(W362)=0,"",W362)</f>
        <v/>
      </c>
      <c r="AR362" s="254" t="str">
        <f>SUBSTITUTE(SUBSTITUTE(SUBSTITUTE("dnt"&amp;$B362&amp;$C362&amp;$D362&amp;$E362,".","_"),"(","_"),")","")</f>
        <v>dnt904_3_2</v>
      </c>
      <c r="AS362" s="254" t="str">
        <f>IF(LEN(X362)=0,"",X362)</f>
        <v/>
      </c>
    </row>
    <row r="363" spans="1:61" s="868" customFormat="1" x14ac:dyDescent="0.25">
      <c r="A363" s="18"/>
      <c r="B363" s="679" t="s">
        <v>4541</v>
      </c>
      <c r="C363" s="679" t="s">
        <v>258</v>
      </c>
      <c r="D363" s="21"/>
      <c r="E363" s="21"/>
      <c r="F363" s="21"/>
      <c r="G363" s="21"/>
      <c r="H363" s="758"/>
      <c r="I363" s="679"/>
      <c r="J363" s="679"/>
      <c r="K363" s="679"/>
      <c r="L363" s="1933"/>
      <c r="M363" s="1838"/>
      <c r="X363" s="1757"/>
    </row>
    <row r="364" spans="1:61" s="868" customFormat="1" x14ac:dyDescent="0.25">
      <c r="A364" s="18"/>
      <c r="B364" s="679" t="s">
        <v>4541</v>
      </c>
      <c r="C364" s="679" t="s">
        <v>258</v>
      </c>
      <c r="D364" s="21"/>
      <c r="E364" s="21"/>
      <c r="F364" s="21"/>
      <c r="G364" s="21"/>
      <c r="H364" s="758"/>
      <c r="I364" s="679"/>
      <c r="J364" s="679"/>
      <c r="K364" s="679"/>
      <c r="L364" s="1933"/>
      <c r="X364" s="1757"/>
      <c r="AX364" s="76"/>
      <c r="AY364" s="76"/>
    </row>
    <row r="365" spans="1:61" ht="18.75" x14ac:dyDescent="0.3">
      <c r="B365" s="679">
        <v>905</v>
      </c>
      <c r="C365" s="21"/>
      <c r="D365" s="21"/>
      <c r="E365" s="21"/>
      <c r="F365" s="21"/>
      <c r="G365" s="21"/>
      <c r="H365" s="758"/>
      <c r="I365" s="14" t="s">
        <v>3275</v>
      </c>
      <c r="J365" s="23"/>
      <c r="K365" s="23"/>
      <c r="L365" s="84"/>
      <c r="M365" s="498"/>
      <c r="N365" s="508"/>
      <c r="O365" s="498"/>
      <c r="P365" s="23"/>
      <c r="Q365" s="23"/>
      <c r="R365" s="23"/>
      <c r="S365" s="23"/>
      <c r="T365" s="23"/>
      <c r="U365" s="23"/>
      <c r="V365" s="23"/>
      <c r="W365" s="23"/>
      <c r="X365" s="23"/>
      <c r="AZ365" s="868"/>
      <c r="BA365" s="868"/>
      <c r="BB365" s="868"/>
      <c r="BC365" s="868"/>
      <c r="BD365" s="868"/>
      <c r="BE365" s="868"/>
      <c r="BF365" s="868"/>
      <c r="BG365" s="868"/>
      <c r="BH365" s="868"/>
      <c r="BI365" s="868"/>
    </row>
    <row r="366" spans="1:61" x14ac:dyDescent="0.25">
      <c r="B366" s="679">
        <v>905.1</v>
      </c>
      <c r="C366" s="21"/>
      <c r="D366" s="21"/>
      <c r="E366" s="21"/>
      <c r="F366" s="21"/>
      <c r="G366" s="21"/>
      <c r="H366" s="758"/>
      <c r="I366" s="130">
        <v>905.1</v>
      </c>
      <c r="J366" s="129"/>
      <c r="K366" s="129"/>
      <c r="L366" s="1782" t="s">
        <v>3276</v>
      </c>
      <c r="M366" s="1758">
        <v>2</v>
      </c>
      <c r="N366" s="129"/>
      <c r="O366" s="1774">
        <f>M366*S366*W366</f>
        <v>0</v>
      </c>
      <c r="P366" s="94" t="b">
        <v>0</v>
      </c>
      <c r="Q366" s="94" t="b">
        <v>1</v>
      </c>
      <c r="R366" s="94" t="b">
        <v>0</v>
      </c>
      <c r="S366" s="94" t="b">
        <v>1</v>
      </c>
      <c r="T366" s="94" t="b">
        <v>0</v>
      </c>
      <c r="U366" s="94"/>
      <c r="V366" s="94"/>
      <c r="W366" s="360"/>
      <c r="X366" s="1770"/>
      <c r="AC366" s="394"/>
      <c r="AD366" s="394"/>
      <c r="AE366" s="394"/>
      <c r="AL366" s="254" t="str">
        <f>SUBSTITUTE(SUBSTITUTE(SUBSTITUTE("dpa"&amp;$B366&amp;$C366&amp;$D366&amp;$E366,".","_"),"(","_"),")","")</f>
        <v>dpa905_1</v>
      </c>
      <c r="AM366" s="254">
        <f>M366</f>
        <v>2</v>
      </c>
      <c r="AN366" s="254" t="str">
        <f>SUBSTITUTE(SUBSTITUTE(SUBSTITUTE("dpc"&amp;$B366&amp;$C366&amp;$D366&amp;$E366,".","_"),"(","_"),")","")</f>
        <v>dpc905_1</v>
      </c>
      <c r="AO366" s="254">
        <f>O366</f>
        <v>0</v>
      </c>
      <c r="AP366" s="254" t="str">
        <f>SUBSTITUTE(SUBSTITUTE(SUBSTITUTE("dch"&amp;$B366&amp;$C366&amp;$D366&amp;$E366,".","_"),"(","_"),")","")</f>
        <v>dch905_1</v>
      </c>
      <c r="AQ366" s="254" t="str">
        <f>IF(LEN(W366)=0,"",W366)</f>
        <v/>
      </c>
      <c r="AR366" s="254" t="str">
        <f>SUBSTITUTE(SUBSTITUTE(SUBSTITUTE("dnt"&amp;$B366&amp;$C366&amp;$D366&amp;$E366,".","_"),"(","_"),")","")</f>
        <v>dnt905_1</v>
      </c>
      <c r="AS366" s="254" t="str">
        <f>IF(LEN(X366)=0,"",X366)</f>
        <v/>
      </c>
    </row>
    <row r="367" spans="1:61" x14ac:dyDescent="0.25">
      <c r="B367" s="679">
        <v>905.1</v>
      </c>
      <c r="C367" s="21"/>
      <c r="D367" s="21"/>
      <c r="E367" s="21"/>
      <c r="F367" s="21"/>
      <c r="G367" s="21"/>
      <c r="H367" s="758"/>
      <c r="I367" s="480"/>
      <c r="J367" s="129"/>
      <c r="K367" s="129"/>
      <c r="L367" s="1782"/>
      <c r="M367" s="1758"/>
      <c r="N367" s="129"/>
      <c r="O367" s="1774"/>
      <c r="P367" s="94"/>
      <c r="Q367" s="94"/>
      <c r="R367" s="94"/>
      <c r="S367" s="94"/>
      <c r="T367" s="94"/>
      <c r="U367" s="94"/>
      <c r="V367" s="94"/>
      <c r="W367" s="94"/>
      <c r="X367" s="1770"/>
    </row>
    <row r="368" spans="1:61" x14ac:dyDescent="0.25">
      <c r="B368" s="679">
        <v>905.1</v>
      </c>
      <c r="C368" s="21"/>
      <c r="D368" s="21"/>
      <c r="E368" s="21"/>
      <c r="F368" s="21"/>
      <c r="G368" s="21"/>
      <c r="H368" s="758"/>
      <c r="I368" s="480"/>
      <c r="J368" s="129"/>
      <c r="K368" s="129"/>
      <c r="L368" s="1782"/>
      <c r="M368" s="1758"/>
      <c r="N368" s="129"/>
      <c r="O368" s="1774"/>
      <c r="P368" s="94"/>
      <c r="Q368" s="94"/>
      <c r="R368" s="94"/>
      <c r="S368" s="94"/>
      <c r="T368" s="94"/>
      <c r="U368" s="94"/>
      <c r="V368" s="94"/>
      <c r="W368" s="94"/>
      <c r="X368" s="1770"/>
    </row>
    <row r="369" spans="2:61" x14ac:dyDescent="0.25">
      <c r="B369" s="679">
        <v>905.1</v>
      </c>
      <c r="C369" s="21"/>
      <c r="D369" s="21"/>
      <c r="E369" s="21"/>
      <c r="F369" s="21"/>
      <c r="G369" s="21"/>
      <c r="H369" s="758"/>
      <c r="I369" s="480"/>
      <c r="J369" s="129"/>
      <c r="K369" s="129"/>
      <c r="L369" s="1782"/>
      <c r="M369" s="1758"/>
      <c r="N369" s="129"/>
      <c r="O369" s="1774"/>
      <c r="P369" s="94"/>
      <c r="Q369" s="94"/>
      <c r="R369" s="94"/>
      <c r="S369" s="94"/>
      <c r="T369" s="94"/>
      <c r="U369" s="94"/>
      <c r="V369" s="94"/>
      <c r="W369" s="94"/>
      <c r="X369" s="1770"/>
    </row>
    <row r="370" spans="2:61" ht="15.75" thickBot="1" x14ac:dyDescent="0.3">
      <c r="B370" s="679">
        <v>905.1</v>
      </c>
      <c r="C370" s="21"/>
      <c r="D370" s="21"/>
      <c r="E370" s="21"/>
      <c r="F370" s="21"/>
      <c r="G370" s="21"/>
      <c r="H370" s="758"/>
      <c r="I370" s="481"/>
      <c r="J370" s="240"/>
      <c r="K370" s="240"/>
      <c r="L370" s="1797"/>
      <c r="M370" s="1768"/>
      <c r="N370" s="240"/>
      <c r="O370" s="1775"/>
      <c r="P370" s="99"/>
      <c r="Q370" s="99"/>
      <c r="R370" s="99"/>
      <c r="S370" s="99"/>
      <c r="T370" s="99"/>
      <c r="U370" s="99"/>
      <c r="V370" s="99"/>
      <c r="W370" s="99"/>
      <c r="X370" s="1771"/>
    </row>
    <row r="371" spans="2:61" ht="15.75" thickTop="1" x14ac:dyDescent="0.25">
      <c r="B371" s="679">
        <v>905.2</v>
      </c>
      <c r="C371" s="21"/>
      <c r="D371" s="21"/>
      <c r="E371" s="21"/>
      <c r="F371" s="21"/>
      <c r="G371" s="21"/>
      <c r="H371" s="758"/>
      <c r="I371" s="180">
        <v>905.2</v>
      </c>
      <c r="J371" s="181"/>
      <c r="K371" s="181"/>
      <c r="L371" s="1781" t="s">
        <v>3277</v>
      </c>
      <c r="M371" s="1772">
        <v>2</v>
      </c>
      <c r="N371" s="181"/>
      <c r="O371" s="1773">
        <f>M371*S371*W371</f>
        <v>0</v>
      </c>
      <c r="P371" s="105" t="b">
        <v>0</v>
      </c>
      <c r="Q371" s="105" t="b">
        <v>1</v>
      </c>
      <c r="R371" s="105" t="b">
        <v>0</v>
      </c>
      <c r="S371" s="105" t="b">
        <v>1</v>
      </c>
      <c r="T371" s="105" t="b">
        <v>0</v>
      </c>
      <c r="U371" s="105"/>
      <c r="V371" s="105"/>
      <c r="W371" s="367"/>
      <c r="X371" s="1784"/>
      <c r="AC371" s="394"/>
      <c r="AD371" s="394"/>
      <c r="AE371" s="394"/>
      <c r="AL371" s="254" t="str">
        <f>SUBSTITUTE(SUBSTITUTE(SUBSTITUTE("dpa"&amp;$B371&amp;$C371&amp;$D371&amp;$E371,".","_"),"(","_"),")","")</f>
        <v>dpa905_2</v>
      </c>
      <c r="AM371" s="254">
        <f>M371</f>
        <v>2</v>
      </c>
      <c r="AN371" s="254" t="str">
        <f>SUBSTITUTE(SUBSTITUTE(SUBSTITUTE("dpc"&amp;$B371&amp;$C371&amp;$D371&amp;$E371,".","_"),"(","_"),")","")</f>
        <v>dpc905_2</v>
      </c>
      <c r="AO371" s="254">
        <f>O371</f>
        <v>0</v>
      </c>
      <c r="AP371" s="254" t="str">
        <f>SUBSTITUTE(SUBSTITUTE(SUBSTITUTE("dch"&amp;$B371&amp;$C371&amp;$D371&amp;$E371,".","_"),"(","_"),")","")</f>
        <v>dch905_2</v>
      </c>
      <c r="AQ371" s="254" t="str">
        <f>IF(LEN(W371)=0,"",W371)</f>
        <v/>
      </c>
      <c r="AR371" s="254" t="str">
        <f>SUBSTITUTE(SUBSTITUTE(SUBSTITUTE("dnt"&amp;$B371&amp;$C371&amp;$D371&amp;$E371,".","_"),"(","_"),")","")</f>
        <v>dnt905_2</v>
      </c>
      <c r="AS371" s="254" t="str">
        <f>IF(LEN(X371)=0,"",X371)</f>
        <v/>
      </c>
    </row>
    <row r="372" spans="2:61" ht="15.75" thickBot="1" x14ac:dyDescent="0.3">
      <c r="B372" s="679">
        <v>905.2</v>
      </c>
      <c r="C372" s="21"/>
      <c r="D372" s="21"/>
      <c r="E372" s="21"/>
      <c r="F372" s="21"/>
      <c r="G372" s="21"/>
      <c r="H372" s="758"/>
      <c r="I372" s="481"/>
      <c r="J372" s="240"/>
      <c r="K372" s="240"/>
      <c r="L372" s="1797"/>
      <c r="M372" s="1768"/>
      <c r="N372" s="240"/>
      <c r="O372" s="1775"/>
      <c r="P372" s="99"/>
      <c r="Q372" s="99"/>
      <c r="R372" s="99"/>
      <c r="S372" s="99"/>
      <c r="T372" s="99"/>
      <c r="U372" s="99"/>
      <c r="V372" s="99"/>
      <c r="W372" s="99"/>
      <c r="X372" s="1771"/>
      <c r="AX372"/>
      <c r="AY372"/>
    </row>
    <row r="373" spans="2:61" customFormat="1" ht="15.75" thickTop="1" x14ac:dyDescent="0.25">
      <c r="B373" s="679" t="s">
        <v>4543</v>
      </c>
      <c r="I373" s="667" t="s">
        <v>4543</v>
      </c>
      <c r="J373" s="667"/>
      <c r="K373" s="679"/>
      <c r="L373" s="870" t="s">
        <v>4544</v>
      </c>
      <c r="M373" s="872">
        <v>2</v>
      </c>
      <c r="N373" s="868"/>
      <c r="O373" s="874">
        <f>M373*S374*AND(W374=TRUE,W375=TRUE)</f>
        <v>0</v>
      </c>
      <c r="P373" s="868"/>
      <c r="Q373" s="868"/>
      <c r="R373" s="868"/>
      <c r="S373" s="868"/>
      <c r="T373" s="868"/>
      <c r="AL373" s="254" t="str">
        <f>SUBSTITUTE(SUBSTITUTE(SUBSTITUTE("dpa"&amp;$B373&amp;$C373&amp;$D373&amp;$E373,".","_"),"(","_"),")","")</f>
        <v>dpa905_3</v>
      </c>
      <c r="AM373" s="254">
        <f>M373</f>
        <v>2</v>
      </c>
      <c r="AN373" s="254" t="str">
        <f>SUBSTITUTE(SUBSTITUTE(SUBSTITUTE("dpc"&amp;$B373&amp;$C373&amp;$D373&amp;$E373,".","_"),"(","_"),")","")</f>
        <v>dpc905_3</v>
      </c>
      <c r="AO373" s="254">
        <f>O373</f>
        <v>0</v>
      </c>
      <c r="AZ373" s="76"/>
      <c r="BA373" s="76"/>
      <c r="BB373" s="76"/>
      <c r="BC373" s="76"/>
      <c r="BD373" s="76"/>
      <c r="BE373" s="76"/>
      <c r="BF373" s="76"/>
      <c r="BG373" s="76"/>
      <c r="BH373" s="76"/>
      <c r="BI373" s="76"/>
    </row>
    <row r="374" spans="2:61" customFormat="1" x14ac:dyDescent="0.25">
      <c r="B374" s="679" t="s">
        <v>4543</v>
      </c>
      <c r="C374" s="679" t="s">
        <v>256</v>
      </c>
      <c r="D374" s="1130"/>
      <c r="E374" s="1130"/>
      <c r="I374" s="667"/>
      <c r="J374" s="667" t="s">
        <v>256</v>
      </c>
      <c r="K374" s="679"/>
      <c r="L374" s="964" t="s">
        <v>4545</v>
      </c>
      <c r="M374" s="872"/>
      <c r="N374" s="868"/>
      <c r="O374" s="874"/>
      <c r="P374" s="868" t="b">
        <v>0</v>
      </c>
      <c r="Q374" s="868" t="b">
        <v>1</v>
      </c>
      <c r="R374" s="868" t="b">
        <v>0</v>
      </c>
      <c r="S374" s="868" t="b">
        <v>1</v>
      </c>
      <c r="T374" s="868" t="b">
        <v>0</v>
      </c>
      <c r="W374" s="25"/>
      <c r="X374" s="869"/>
      <c r="AP374" s="254" t="str">
        <f>SUBSTITUTE(SUBSTITUTE(SUBSTITUTE("dch"&amp;$B374&amp;$C374&amp;$D374&amp;$E374,".","_"),"(","_"),")","")</f>
        <v>dch905_3_1</v>
      </c>
      <c r="AQ374" s="254" t="str">
        <f>IF(LEN(W374)=0,"",W374)</f>
        <v/>
      </c>
      <c r="AR374" s="254" t="str">
        <f>SUBSTITUTE(SUBSTITUTE(SUBSTITUTE("dnt"&amp;$B374&amp;$C374&amp;$D374&amp;$E374,".","_"),"(","_"),")","")</f>
        <v>dnt905_3_1</v>
      </c>
      <c r="AS374" s="254" t="str">
        <f>IF(LEN(X374)=0,"",X374)</f>
        <v/>
      </c>
    </row>
    <row r="375" spans="2:61" customFormat="1" x14ac:dyDescent="0.25">
      <c r="B375" s="679" t="s">
        <v>4543</v>
      </c>
      <c r="C375" s="679" t="s">
        <v>258</v>
      </c>
      <c r="D375" s="1130"/>
      <c r="E375" s="1130"/>
      <c r="I375" s="668"/>
      <c r="J375" s="668" t="s">
        <v>258</v>
      </c>
      <c r="K375" s="680"/>
      <c r="L375" s="1929" t="s">
        <v>4546</v>
      </c>
      <c r="M375" s="888"/>
      <c r="N375" s="94"/>
      <c r="O375" s="94"/>
      <c r="P375" s="94" t="b">
        <v>0</v>
      </c>
      <c r="Q375" s="94" t="b">
        <v>1</v>
      </c>
      <c r="R375" s="94" t="b">
        <v>0</v>
      </c>
      <c r="S375" s="94" t="b">
        <v>1</v>
      </c>
      <c r="T375" s="94" t="b">
        <v>0</v>
      </c>
      <c r="U375" s="94"/>
      <c r="V375" s="94"/>
      <c r="W375" s="25"/>
      <c r="X375" s="1770"/>
      <c r="AP375" s="254" t="str">
        <f>SUBSTITUTE(SUBSTITUTE(SUBSTITUTE("dch"&amp;$B375&amp;$C375&amp;$D375&amp;$E375,".","_"),"(","_"),")","")</f>
        <v>dch905_3_2</v>
      </c>
      <c r="AQ375" s="254" t="str">
        <f>IF(LEN(W375)=0,"",W375)</f>
        <v/>
      </c>
      <c r="AR375" s="254" t="str">
        <f>SUBSTITUTE(SUBSTITUTE(SUBSTITUTE("dnt"&amp;$B375&amp;$C375&amp;$D375&amp;$E375,".","_"),"(","_"),")","")</f>
        <v>dnt905_3_2</v>
      </c>
      <c r="AS375" s="254" t="str">
        <f>IF(LEN(X375)=0,"",X375)</f>
        <v/>
      </c>
    </row>
    <row r="376" spans="2:61" customFormat="1" ht="15.75" thickBot="1" x14ac:dyDescent="0.3">
      <c r="B376" s="679" t="s">
        <v>4543</v>
      </c>
      <c r="C376" s="679" t="s">
        <v>258</v>
      </c>
      <c r="D376" s="1130"/>
      <c r="E376" s="1130"/>
      <c r="I376" s="673"/>
      <c r="J376" s="673"/>
      <c r="K376" s="681"/>
      <c r="L376" s="1930"/>
      <c r="M376" s="877"/>
      <c r="N376" s="99"/>
      <c r="O376" s="99"/>
      <c r="P376" s="99"/>
      <c r="Q376" s="99"/>
      <c r="R376" s="99"/>
      <c r="S376" s="99"/>
      <c r="T376" s="99"/>
      <c r="U376" s="99"/>
      <c r="V376" s="99"/>
      <c r="W376" s="99"/>
      <c r="X376" s="1771"/>
    </row>
    <row r="377" spans="2:61" customFormat="1" ht="15.75" customHeight="1" thickTop="1" x14ac:dyDescent="0.25">
      <c r="B377" s="679" t="s">
        <v>4547</v>
      </c>
      <c r="I377" s="682" t="s">
        <v>4547</v>
      </c>
      <c r="J377" s="682"/>
      <c r="K377" s="687"/>
      <c r="L377" s="1801" t="s">
        <v>4891</v>
      </c>
      <c r="M377" s="1772" t="s">
        <v>4890</v>
      </c>
      <c r="N377" s="105"/>
      <c r="O377" s="1932">
        <f ca="1">IF(AY19=INDEX(INDIRECT("ddSingleOrMulti"),2),4,1)*S377*W377</f>
        <v>0</v>
      </c>
      <c r="P377" s="105" t="b">
        <v>0</v>
      </c>
      <c r="Q377" s="105" t="b">
        <v>1</v>
      </c>
      <c r="R377" s="105" t="b">
        <v>0</v>
      </c>
      <c r="S377" s="105" t="b">
        <v>1</v>
      </c>
      <c r="T377" s="105" t="b">
        <v>0</v>
      </c>
      <c r="U377" s="105"/>
      <c r="V377" s="105"/>
      <c r="W377" s="25"/>
      <c r="X377" s="1756"/>
      <c r="AL377" s="254" t="str">
        <f>SUBSTITUTE(SUBSTITUTE(SUBSTITUTE("dpa"&amp;$B377&amp;$C377&amp;$D377&amp;$E377,".","_"),"(","_"),")","")</f>
        <v>dpa905_4</v>
      </c>
      <c r="AM377" s="254" t="str">
        <f>M377</f>
        <v>1 SF / 4 MF</v>
      </c>
      <c r="AN377" s="254" t="str">
        <f>SUBSTITUTE(SUBSTITUTE(SUBSTITUTE("dpc"&amp;$B377&amp;$C377&amp;$D377&amp;$E377,".","_"),"(","_"),")","")</f>
        <v>dpc905_4</v>
      </c>
      <c r="AO377" s="254">
        <f ca="1">O377</f>
        <v>0</v>
      </c>
      <c r="AP377" s="254" t="str">
        <f>SUBSTITUTE(SUBSTITUTE(SUBSTITUTE("dch"&amp;$B377&amp;$C377&amp;$D377&amp;$E377,".","_"),"(","_"),")","")</f>
        <v>dch905_4</v>
      </c>
      <c r="AQ377" s="254" t="str">
        <f>IF(LEN(W377)=0,"",W377)</f>
        <v/>
      </c>
      <c r="AR377" s="254" t="str">
        <f>SUBSTITUTE(SUBSTITUTE(SUBSTITUTE("dnt"&amp;$B377&amp;$C377&amp;$D377&amp;$E377,".","_"),"(","_"),")","")</f>
        <v>dnt905_4</v>
      </c>
      <c r="AS377" s="254" t="str">
        <f>IF(LEN(X377)=0,"",X377)</f>
        <v/>
      </c>
    </row>
    <row r="378" spans="2:61" customFormat="1" x14ac:dyDescent="0.25">
      <c r="B378" s="679" t="s">
        <v>4547</v>
      </c>
      <c r="I378" s="668"/>
      <c r="J378" s="668"/>
      <c r="K378" s="680"/>
      <c r="L378" s="1785"/>
      <c r="M378" s="1758"/>
      <c r="N378" s="94"/>
      <c r="O378" s="1931"/>
      <c r="P378" s="94"/>
      <c r="Q378" s="94"/>
      <c r="R378" s="94"/>
      <c r="S378" s="94"/>
      <c r="T378" s="94"/>
      <c r="U378" s="94"/>
      <c r="V378" s="94"/>
      <c r="W378" s="94"/>
      <c r="X378" s="1757"/>
    </row>
    <row r="379" spans="2:61" customFormat="1" x14ac:dyDescent="0.25">
      <c r="B379" s="679" t="s">
        <v>4547</v>
      </c>
      <c r="I379" s="668"/>
      <c r="J379" s="668"/>
      <c r="K379" s="680"/>
      <c r="L379" s="1785"/>
      <c r="M379" s="1758"/>
      <c r="N379" s="94"/>
      <c r="O379" s="1931"/>
      <c r="P379" s="94"/>
      <c r="Q379" s="94"/>
      <c r="R379" s="94"/>
      <c r="S379" s="94"/>
      <c r="T379" s="94"/>
      <c r="U379" s="94"/>
      <c r="V379" s="94"/>
      <c r="W379" s="94"/>
      <c r="X379" s="1757"/>
    </row>
    <row r="380" spans="2:61" customFormat="1" x14ac:dyDescent="0.25">
      <c r="B380" s="679" t="s">
        <v>4547</v>
      </c>
      <c r="I380" s="668"/>
      <c r="J380" s="668"/>
      <c r="K380" s="680"/>
      <c r="L380" s="1785"/>
      <c r="M380" s="888"/>
      <c r="N380" s="94"/>
      <c r="O380" s="94"/>
      <c r="P380" s="94"/>
      <c r="Q380" s="94"/>
      <c r="R380" s="94"/>
      <c r="S380" s="94"/>
      <c r="T380" s="94"/>
      <c r="U380" s="94"/>
      <c r="V380" s="94"/>
      <c r="W380" s="94"/>
      <c r="X380" s="94"/>
    </row>
    <row r="381" spans="2:61" customFormat="1" ht="15.75" thickBot="1" x14ac:dyDescent="0.3">
      <c r="B381" s="679" t="s">
        <v>4547</v>
      </c>
      <c r="I381" s="673"/>
      <c r="J381" s="673"/>
      <c r="K381" s="681"/>
      <c r="L381" s="1803"/>
      <c r="M381" s="877"/>
      <c r="N381" s="99"/>
      <c r="O381" s="99"/>
      <c r="P381" s="99"/>
      <c r="Q381" s="99"/>
      <c r="R381" s="99"/>
      <c r="S381" s="99"/>
      <c r="T381" s="99"/>
      <c r="U381" s="99"/>
      <c r="V381" s="99"/>
      <c r="W381" s="99"/>
      <c r="X381" s="99"/>
    </row>
    <row r="382" spans="2:61" customFormat="1" ht="15.75" thickTop="1" x14ac:dyDescent="0.25">
      <c r="B382" s="679" t="s">
        <v>4548</v>
      </c>
      <c r="I382" s="667" t="s">
        <v>4548</v>
      </c>
      <c r="J382" s="667"/>
      <c r="K382" s="679"/>
      <c r="L382" s="1785" t="s">
        <v>4549</v>
      </c>
      <c r="M382" s="1758">
        <v>2</v>
      </c>
      <c r="N382" s="94"/>
      <c r="O382" s="1931">
        <f>M382*S382*W382</f>
        <v>0</v>
      </c>
      <c r="P382" s="94" t="b">
        <v>0</v>
      </c>
      <c r="Q382" s="94" t="b">
        <v>1</v>
      </c>
      <c r="R382" s="94" t="b">
        <v>0</v>
      </c>
      <c r="S382" s="94" t="b">
        <v>1</v>
      </c>
      <c r="T382" s="94" t="b">
        <v>0</v>
      </c>
      <c r="W382" s="25"/>
      <c r="X382" s="1757"/>
      <c r="AL382" s="254" t="str">
        <f>SUBSTITUTE(SUBSTITUTE(SUBSTITUTE("dpa"&amp;$B382&amp;$C382&amp;$D382&amp;$E382,".","_"),"(","_"),")","")</f>
        <v>dpa905_6</v>
      </c>
      <c r="AM382" s="254">
        <f>M382</f>
        <v>2</v>
      </c>
      <c r="AN382" s="254" t="str">
        <f>SUBSTITUTE(SUBSTITUTE(SUBSTITUTE("dpc"&amp;$B382&amp;$C382&amp;$D382&amp;$E382,".","_"),"(","_"),")","")</f>
        <v>dpc905_6</v>
      </c>
      <c r="AO382" s="254">
        <f>O382</f>
        <v>0</v>
      </c>
      <c r="AP382" s="254" t="str">
        <f>SUBSTITUTE(SUBSTITUTE(SUBSTITUTE("dch"&amp;$B382&amp;$C382&amp;$D382&amp;$E382,".","_"),"(","_"),")","")</f>
        <v>dch905_6</v>
      </c>
      <c r="AQ382" s="254" t="str">
        <f>IF(LEN(W382)=0,"",W382)</f>
        <v/>
      </c>
      <c r="AR382" s="254" t="str">
        <f>SUBSTITUTE(SUBSTITUTE(SUBSTITUTE("dnt"&amp;$B382&amp;$C382&amp;$D382&amp;$E382,".","_"),"(","_"),")","")</f>
        <v>dnt905_6</v>
      </c>
      <c r="AS382" s="254" t="str">
        <f>IF(LEN(X382)=0,"",X382)</f>
        <v/>
      </c>
    </row>
    <row r="383" spans="2:61" customFormat="1" x14ac:dyDescent="0.25">
      <c r="B383" s="679" t="s">
        <v>4548</v>
      </c>
      <c r="I383" s="679"/>
      <c r="J383" s="679"/>
      <c r="K383" s="679"/>
      <c r="L383" s="1785"/>
      <c r="M383" s="1767"/>
      <c r="N383" s="868"/>
      <c r="O383" s="1776"/>
      <c r="P383" s="868"/>
      <c r="Q383" s="868"/>
      <c r="R383" s="868"/>
      <c r="S383" s="868"/>
      <c r="T383" s="868"/>
      <c r="X383" s="1757"/>
    </row>
    <row r="384" spans="2:61" customFormat="1" x14ac:dyDescent="0.25">
      <c r="B384" s="679" t="s">
        <v>4548</v>
      </c>
      <c r="I384" s="679"/>
      <c r="J384" s="679"/>
      <c r="K384" s="679"/>
      <c r="L384" s="1785"/>
      <c r="M384" s="1767"/>
      <c r="N384" s="868"/>
      <c r="O384" s="1776"/>
      <c r="P384" s="868"/>
      <c r="Q384" s="868"/>
      <c r="R384" s="868"/>
      <c r="S384" s="868"/>
      <c r="T384" s="868"/>
      <c r="X384" s="1757"/>
    </row>
    <row r="385" spans="1:61" customFormat="1" ht="15.75" thickBot="1" x14ac:dyDescent="0.3">
      <c r="B385" s="679" t="s">
        <v>4548</v>
      </c>
      <c r="I385" s="679"/>
      <c r="J385" s="679"/>
      <c r="K385" s="679"/>
      <c r="L385" s="1785"/>
      <c r="M385" s="1768"/>
      <c r="N385" s="99"/>
      <c r="O385" s="1814"/>
      <c r="P385" s="99"/>
      <c r="Q385" s="99"/>
      <c r="R385" s="99"/>
      <c r="S385" s="99"/>
      <c r="T385" s="99"/>
      <c r="X385" s="1757"/>
      <c r="AX385" s="417"/>
      <c r="AY385" s="417"/>
    </row>
    <row r="386" spans="1:61" s="417" customFormat="1" ht="16.5" thickTop="1" thickBot="1" x14ac:dyDescent="0.3">
      <c r="A386" s="18"/>
      <c r="B386" s="18"/>
      <c r="C386" s="18"/>
      <c r="D386" s="18"/>
      <c r="E386" s="18"/>
      <c r="F386" s="18"/>
      <c r="G386" s="18"/>
      <c r="H386" s="18"/>
      <c r="I386" s="200" t="s">
        <v>3783</v>
      </c>
      <c r="J386" s="201"/>
      <c r="K386" s="201"/>
      <c r="L386" s="201"/>
      <c r="M386" s="202"/>
      <c r="N386" s="201"/>
      <c r="O386" s="203"/>
      <c r="P386" s="201"/>
      <c r="Q386" s="201"/>
      <c r="R386" s="201"/>
      <c r="S386" s="201"/>
      <c r="T386" s="201"/>
      <c r="U386" s="201"/>
      <c r="V386" s="201"/>
      <c r="W386" s="201"/>
      <c r="X386" s="261" t="s">
        <v>3784</v>
      </c>
      <c r="Y386" s="780"/>
      <c r="AA386" s="783"/>
      <c r="AX386" s="76"/>
      <c r="AY386" s="76"/>
      <c r="AZ386"/>
      <c r="BA386"/>
      <c r="BB386"/>
      <c r="BC386"/>
      <c r="BD386"/>
      <c r="BE386"/>
      <c r="BF386"/>
      <c r="BG386"/>
      <c r="BH386"/>
      <c r="BI386"/>
    </row>
    <row r="387" spans="1:61" ht="15.75" thickTop="1" x14ac:dyDescent="0.25">
      <c r="AZ387" s="417"/>
      <c r="BA387" s="417"/>
      <c r="BB387" s="417"/>
      <c r="BC387" s="417"/>
      <c r="BD387" s="417"/>
      <c r="BE387" s="417"/>
      <c r="BF387" s="417"/>
      <c r="BG387" s="417"/>
      <c r="BH387" s="417"/>
      <c r="BI387" s="417"/>
    </row>
  </sheetData>
  <sheetProtection algorithmName="SHA-512" hashValue="m1/haRCyXoE4EzhDML69sgY/UWfqON+36FehJEFtqT73PocIxPdHBumUdCxKwdoxbv8XNTm5iQl9sqyCHjpXdQ==" saltValue="FhKotySMRTRd6Zv8YRH5WQ==" spinCount="100000" sheet="1" objects="1" scenarios="1" selectLockedCells="1"/>
  <mergeCells count="296">
    <mergeCell ref="H1:H7"/>
    <mergeCell ref="X328:X331"/>
    <mergeCell ref="X332:X335"/>
    <mergeCell ref="X344:X348"/>
    <mergeCell ref="X349:X351"/>
    <mergeCell ref="X366:X370"/>
    <mergeCell ref="X371:X372"/>
    <mergeCell ref="X336:X340"/>
    <mergeCell ref="X230:X231"/>
    <mergeCell ref="X232:X234"/>
    <mergeCell ref="X235:X237"/>
    <mergeCell ref="X314:X315"/>
    <mergeCell ref="X316:X318"/>
    <mergeCell ref="X322:X323"/>
    <mergeCell ref="X324:X325"/>
    <mergeCell ref="X186:X187"/>
    <mergeCell ref="X188:X189"/>
    <mergeCell ref="X190:X192"/>
    <mergeCell ref="X193:X196"/>
    <mergeCell ref="X197:X200"/>
    <mergeCell ref="X201:X205"/>
    <mergeCell ref="X208:X209"/>
    <mergeCell ref="X140:X145"/>
    <mergeCell ref="X149:X153"/>
    <mergeCell ref="X155:X158"/>
    <mergeCell ref="X159:X163"/>
    <mergeCell ref="X168:X169"/>
    <mergeCell ref="X170:X173"/>
    <mergeCell ref="X176:X177"/>
    <mergeCell ref="X178:X179"/>
    <mergeCell ref="X184:X185"/>
    <mergeCell ref="X93:X95"/>
    <mergeCell ref="X96:X97"/>
    <mergeCell ref="X105:X114"/>
    <mergeCell ref="X115:X118"/>
    <mergeCell ref="X119:X124"/>
    <mergeCell ref="X125:X127"/>
    <mergeCell ref="X130:X131"/>
    <mergeCell ref="X133:X134"/>
    <mergeCell ref="X135:X139"/>
    <mergeCell ref="X164:X167"/>
    <mergeCell ref="X48:X50"/>
    <mergeCell ref="X51:X52"/>
    <mergeCell ref="X53:X54"/>
    <mergeCell ref="X58:X59"/>
    <mergeCell ref="X60:X61"/>
    <mergeCell ref="X62:X67"/>
    <mergeCell ref="X72:X76"/>
    <mergeCell ref="X77:X87"/>
    <mergeCell ref="X91:X92"/>
    <mergeCell ref="X12:X17"/>
    <mergeCell ref="X18:X20"/>
    <mergeCell ref="X23:X25"/>
    <mergeCell ref="X26:X28"/>
    <mergeCell ref="X29:X33"/>
    <mergeCell ref="X34:X36"/>
    <mergeCell ref="X37:X39"/>
    <mergeCell ref="X43:X45"/>
    <mergeCell ref="X46:X47"/>
    <mergeCell ref="M49:M50"/>
    <mergeCell ref="O43:O45"/>
    <mergeCell ref="O46:O47"/>
    <mergeCell ref="O48:O50"/>
    <mergeCell ref="O51:O52"/>
    <mergeCell ref="O53:O54"/>
    <mergeCell ref="O98:O104"/>
    <mergeCell ref="O119:O124"/>
    <mergeCell ref="O128:O129"/>
    <mergeCell ref="O58:O59"/>
    <mergeCell ref="O60:O61"/>
    <mergeCell ref="O62:O67"/>
    <mergeCell ref="O91:O92"/>
    <mergeCell ref="O93:O95"/>
    <mergeCell ref="M62:M67"/>
    <mergeCell ref="M69:M71"/>
    <mergeCell ref="M72:M76"/>
    <mergeCell ref="M81:M82"/>
    <mergeCell ref="M85:M86"/>
    <mergeCell ref="O69:O71"/>
    <mergeCell ref="I1:L1"/>
    <mergeCell ref="M1:W5"/>
    <mergeCell ref="I2:L2"/>
    <mergeCell ref="I3:L3"/>
    <mergeCell ref="I6:K7"/>
    <mergeCell ref="L6:L7"/>
    <mergeCell ref="M6:M7"/>
    <mergeCell ref="N6:N7"/>
    <mergeCell ref="P6:P7"/>
    <mergeCell ref="L12:L15"/>
    <mergeCell ref="L16:L17"/>
    <mergeCell ref="U6:U7"/>
    <mergeCell ref="V6:V7"/>
    <mergeCell ref="W6:W7"/>
    <mergeCell ref="L41:L42"/>
    <mergeCell ref="L43:L45"/>
    <mergeCell ref="L46:L47"/>
    <mergeCell ref="X4:X5"/>
    <mergeCell ref="Q6:Q7"/>
    <mergeCell ref="X6:X7"/>
    <mergeCell ref="R6:R7"/>
    <mergeCell ref="S6:S7"/>
    <mergeCell ref="T6:T7"/>
    <mergeCell ref="M12:M17"/>
    <mergeCell ref="I4:L4"/>
    <mergeCell ref="I5:L5"/>
    <mergeCell ref="O12:O17"/>
    <mergeCell ref="M18:M19"/>
    <mergeCell ref="M29:M33"/>
    <mergeCell ref="M34:M36"/>
    <mergeCell ref="O18:O19"/>
    <mergeCell ref="O34:O36"/>
    <mergeCell ref="M44:M45"/>
    <mergeCell ref="L316:L318"/>
    <mergeCell ref="L324:L325"/>
    <mergeCell ref="L48:L50"/>
    <mergeCell ref="L53:L54"/>
    <mergeCell ref="L51:L52"/>
    <mergeCell ref="L18:L19"/>
    <mergeCell ref="L21:L22"/>
    <mergeCell ref="L29:L33"/>
    <mergeCell ref="L81:L82"/>
    <mergeCell ref="L85:L86"/>
    <mergeCell ref="L88:L89"/>
    <mergeCell ref="L34:L36"/>
    <mergeCell ref="L58:L59"/>
    <mergeCell ref="L60:L61"/>
    <mergeCell ref="L62:L67"/>
    <mergeCell ref="L69:L71"/>
    <mergeCell ref="L72:L75"/>
    <mergeCell ref="L312:L313"/>
    <mergeCell ref="L314:L315"/>
    <mergeCell ref="L212:L214"/>
    <mergeCell ref="L219:L222"/>
    <mergeCell ref="L248:L255"/>
    <mergeCell ref="L256:L262"/>
    <mergeCell ref="L91:L92"/>
    <mergeCell ref="L366:L370"/>
    <mergeCell ref="L371:L372"/>
    <mergeCell ref="L349:L351"/>
    <mergeCell ref="M219:M222"/>
    <mergeCell ref="L225:L226"/>
    <mergeCell ref="L230:L231"/>
    <mergeCell ref="L193:L194"/>
    <mergeCell ref="L197:L198"/>
    <mergeCell ref="L206:L207"/>
    <mergeCell ref="L208:L209"/>
    <mergeCell ref="L210:L211"/>
    <mergeCell ref="M206:M207"/>
    <mergeCell ref="M223:M224"/>
    <mergeCell ref="M225:M226"/>
    <mergeCell ref="M230:M231"/>
    <mergeCell ref="M202:M203"/>
    <mergeCell ref="M204:M205"/>
    <mergeCell ref="M366:M370"/>
    <mergeCell ref="M371:M372"/>
    <mergeCell ref="L336:L337"/>
    <mergeCell ref="L322:L323"/>
    <mergeCell ref="L223:L224"/>
    <mergeCell ref="M329:M330"/>
    <mergeCell ref="M334:M335"/>
    <mergeCell ref="L93:L95"/>
    <mergeCell ref="L176:L177"/>
    <mergeCell ref="L186:L187"/>
    <mergeCell ref="L164:L167"/>
    <mergeCell ref="L119:L124"/>
    <mergeCell ref="L125:L127"/>
    <mergeCell ref="L170:L171"/>
    <mergeCell ref="L174:L175"/>
    <mergeCell ref="L137:L138"/>
    <mergeCell ref="L140:L145"/>
    <mergeCell ref="L146:L148"/>
    <mergeCell ref="L155:L157"/>
    <mergeCell ref="L128:L129"/>
    <mergeCell ref="L130:L131"/>
    <mergeCell ref="L135:L136"/>
    <mergeCell ref="L159:L163"/>
    <mergeCell ref="L168:L169"/>
    <mergeCell ref="L96:L97"/>
    <mergeCell ref="L98:L102"/>
    <mergeCell ref="L103:L104"/>
    <mergeCell ref="L117:L118"/>
    <mergeCell ref="L105:L108"/>
    <mergeCell ref="L149:L153"/>
    <mergeCell ref="M312:M313"/>
    <mergeCell ref="M322:M323"/>
    <mergeCell ref="M324:M325"/>
    <mergeCell ref="M149:M153"/>
    <mergeCell ref="M91:M92"/>
    <mergeCell ref="M93:M95"/>
    <mergeCell ref="M96:M97"/>
    <mergeCell ref="M98:M104"/>
    <mergeCell ref="M190:M192"/>
    <mergeCell ref="M193:M194"/>
    <mergeCell ref="M197:M198"/>
    <mergeCell ref="M159:M163"/>
    <mergeCell ref="M176:M177"/>
    <mergeCell ref="M178:M179"/>
    <mergeCell ref="M184:M185"/>
    <mergeCell ref="M188:M189"/>
    <mergeCell ref="M168:M169"/>
    <mergeCell ref="M186:M187"/>
    <mergeCell ref="M155:M157"/>
    <mergeCell ref="M119:M124"/>
    <mergeCell ref="M128:M129"/>
    <mergeCell ref="M135:M138"/>
    <mergeCell ref="M140:M145"/>
    <mergeCell ref="M164:M167"/>
    <mergeCell ref="O135:O138"/>
    <mergeCell ref="O349:O351"/>
    <mergeCell ref="O366:O370"/>
    <mergeCell ref="O371:O372"/>
    <mergeCell ref="O193:O194"/>
    <mergeCell ref="O219:O222"/>
    <mergeCell ref="O230:O231"/>
    <mergeCell ref="O232:O234"/>
    <mergeCell ref="O235:O237"/>
    <mergeCell ref="O312:O313"/>
    <mergeCell ref="O322:O323"/>
    <mergeCell ref="O336:O337"/>
    <mergeCell ref="O344:O348"/>
    <mergeCell ref="O206:O207"/>
    <mergeCell ref="O146:O148"/>
    <mergeCell ref="O140:O145"/>
    <mergeCell ref="O159:O163"/>
    <mergeCell ref="O170:O171"/>
    <mergeCell ref="O176:O177"/>
    <mergeCell ref="O178:O179"/>
    <mergeCell ref="O186:O187"/>
    <mergeCell ref="O190:O192"/>
    <mergeCell ref="O197:O198"/>
    <mergeCell ref="O164:O167"/>
    <mergeCell ref="M215:M217"/>
    <mergeCell ref="O215:O217"/>
    <mergeCell ref="X215:X217"/>
    <mergeCell ref="X219:X229"/>
    <mergeCell ref="L238:L240"/>
    <mergeCell ref="M232:M234"/>
    <mergeCell ref="M235:M237"/>
    <mergeCell ref="L178:L179"/>
    <mergeCell ref="L184:L185"/>
    <mergeCell ref="L232:L234"/>
    <mergeCell ref="L235:L237"/>
    <mergeCell ref="L190:L192"/>
    <mergeCell ref="X210:X211"/>
    <mergeCell ref="X212:X214"/>
    <mergeCell ref="L188:L189"/>
    <mergeCell ref="L215:L217"/>
    <mergeCell ref="L303:L304"/>
    <mergeCell ref="L305:L307"/>
    <mergeCell ref="L308:L309"/>
    <mergeCell ref="L310:L311"/>
    <mergeCell ref="X238:X246"/>
    <mergeCell ref="X310:X311"/>
    <mergeCell ref="X288:X309"/>
    <mergeCell ref="M238:M240"/>
    <mergeCell ref="L296:L298"/>
    <mergeCell ref="L299:L300"/>
    <mergeCell ref="L301:L302"/>
    <mergeCell ref="L263:L269"/>
    <mergeCell ref="L270:L274"/>
    <mergeCell ref="L275:L276"/>
    <mergeCell ref="L277:L280"/>
    <mergeCell ref="L281:L283"/>
    <mergeCell ref="L286:L287"/>
    <mergeCell ref="L290:L291"/>
    <mergeCell ref="L292:L293"/>
    <mergeCell ref="L294:L295"/>
    <mergeCell ref="M310:M311"/>
    <mergeCell ref="O310:O311"/>
    <mergeCell ref="L319:L321"/>
    <mergeCell ref="X319:X321"/>
    <mergeCell ref="L352:L353"/>
    <mergeCell ref="L354:L361"/>
    <mergeCell ref="M354:M355"/>
    <mergeCell ref="L362:L364"/>
    <mergeCell ref="M362:M363"/>
    <mergeCell ref="X354:X361"/>
    <mergeCell ref="X362:X364"/>
    <mergeCell ref="M344:M348"/>
    <mergeCell ref="M349:M351"/>
    <mergeCell ref="M336:M337"/>
    <mergeCell ref="L329:L330"/>
    <mergeCell ref="L334:L335"/>
    <mergeCell ref="L342:L343"/>
    <mergeCell ref="L344:L348"/>
    <mergeCell ref="L339:L340"/>
    <mergeCell ref="L375:L376"/>
    <mergeCell ref="L377:L381"/>
    <mergeCell ref="L382:L385"/>
    <mergeCell ref="M377:M379"/>
    <mergeCell ref="M382:M385"/>
    <mergeCell ref="O382:O385"/>
    <mergeCell ref="X375:X376"/>
    <mergeCell ref="X377:X379"/>
    <mergeCell ref="X382:X385"/>
    <mergeCell ref="O377:O379"/>
  </mergeCells>
  <conditionalFormatting sqref="X2">
    <cfRule type="expression" dxfId="3961" priority="380">
      <formula>$AG$3</formula>
    </cfRule>
  </conditionalFormatting>
  <conditionalFormatting sqref="X3">
    <cfRule type="expression" dxfId="3960" priority="381">
      <formula>$AI$3</formula>
    </cfRule>
  </conditionalFormatting>
  <conditionalFormatting sqref="W12">
    <cfRule type="expression" dxfId="3959" priority="367">
      <formula>OR($T$12 = TRUE, AND($W$12 = TRUE, $S$12 = FALSE))</formula>
    </cfRule>
    <cfRule type="expression" dxfId="3958" priority="368">
      <formula>$S$12 = FALSE</formula>
    </cfRule>
    <cfRule type="expression" dxfId="3957" priority="369">
      <formula>AND(IF($R$12,$W$12,TRUE),LEN(TRIM($W$12))&gt;0)</formula>
    </cfRule>
    <cfRule type="expression" dxfId="3956" priority="370">
      <formula>AND($R$12,$S$12)</formula>
    </cfRule>
  </conditionalFormatting>
  <conditionalFormatting sqref="W18">
    <cfRule type="expression" dxfId="3955" priority="363">
      <formula>OR($T$18 = TRUE, AND($W$18 = TRUE, $S$18 = FALSE))</formula>
    </cfRule>
    <cfRule type="expression" dxfId="3954" priority="364">
      <formula>$S$18 = FALSE</formula>
    </cfRule>
    <cfRule type="expression" dxfId="3953" priority="365">
      <formula>AND(IF($R$18,$W$18,TRUE),LEN(TRIM($W$18))&gt;0)</formula>
    </cfRule>
    <cfRule type="expression" dxfId="3952" priority="366">
      <formula>AND($R$18,$S$18)</formula>
    </cfRule>
  </conditionalFormatting>
  <conditionalFormatting sqref="W23">
    <cfRule type="expression" dxfId="3951" priority="359">
      <formula>OR($T$23 = TRUE, AND(LEN(TRIM($W$23))&gt;0, $S$23 = FALSE))</formula>
    </cfRule>
    <cfRule type="expression" dxfId="3950" priority="360">
      <formula>$S$23 = FALSE</formula>
    </cfRule>
    <cfRule type="expression" dxfId="3949" priority="361">
      <formula>AND($W$23&lt;&gt;"Not Met",LEN(TRIM($W$23))&gt;0)</formula>
    </cfRule>
    <cfRule type="expression" dxfId="3948" priority="362">
      <formula>AND($R$23,$S$23)</formula>
    </cfRule>
  </conditionalFormatting>
  <conditionalFormatting sqref="W26">
    <cfRule type="expression" dxfId="3947" priority="355">
      <formula>OR($T$26 = TRUE, AND(LEN(TRIM($W$26))&gt;0, $S$26 = FALSE))</formula>
    </cfRule>
    <cfRule type="expression" dxfId="3946" priority="356">
      <formula>$S$26 = FALSE</formula>
    </cfRule>
    <cfRule type="expression" dxfId="3945" priority="357">
      <formula>AND($W$26&lt;&gt;"Not Met",LEN(TRIM($W$26))&gt;0)</formula>
    </cfRule>
    <cfRule type="expression" dxfId="3944" priority="358">
      <formula>AND($R$26,$S$26)</formula>
    </cfRule>
  </conditionalFormatting>
  <conditionalFormatting sqref="W29">
    <cfRule type="expression" dxfId="3943" priority="351">
      <formula>OR($T$29 = TRUE, AND(LEN(TRIM($W$29))&gt;0, $S$29 = FALSE))</formula>
    </cfRule>
    <cfRule type="expression" dxfId="3942" priority="352">
      <formula>$S$29 = FALSE</formula>
    </cfRule>
    <cfRule type="expression" dxfId="3941" priority="353">
      <formula>AND($W$29&lt;&gt;"Not Met",LEN(TRIM($W$29))&gt;0)</formula>
    </cfRule>
    <cfRule type="expression" dxfId="3940" priority="354">
      <formula>AND($R$29,$S$29)</formula>
    </cfRule>
  </conditionalFormatting>
  <conditionalFormatting sqref="W34">
    <cfRule type="expression" dxfId="3939" priority="347">
      <formula>OR($T$34 = TRUE, AND($W$34 = TRUE, $S$34 = FALSE))</formula>
    </cfRule>
    <cfRule type="expression" dxfId="3938" priority="348">
      <formula>$S$34 = FALSE</formula>
    </cfRule>
    <cfRule type="expression" dxfId="3937" priority="349">
      <formula>AND(IF($R$34,$W$34,TRUE),LEN(TRIM($W$34))&gt;0)</formula>
    </cfRule>
    <cfRule type="expression" dxfId="3936" priority="350">
      <formula>AND($R$34,$S$34)</formula>
    </cfRule>
  </conditionalFormatting>
  <conditionalFormatting sqref="W37">
    <cfRule type="expression" dxfId="3935" priority="343">
      <formula>OR($T$37 = TRUE, AND(LEN(TRIM($W$37))&gt;0, $S$37 = FALSE))</formula>
    </cfRule>
    <cfRule type="expression" dxfId="3934" priority="344">
      <formula>$S$37 = FALSE</formula>
    </cfRule>
    <cfRule type="expression" dxfId="3933" priority="345">
      <formula>AND($W$37&lt;&gt;"Not Met",LEN(TRIM($W$37))&gt;0)</formula>
    </cfRule>
    <cfRule type="expression" dxfId="3932" priority="346">
      <formula>AND($R$37,$S$37)</formula>
    </cfRule>
  </conditionalFormatting>
  <conditionalFormatting sqref="W43">
    <cfRule type="expression" dxfId="3931" priority="339">
      <formula>OR($T$43 = TRUE, AND(LEN(TRIM($W$43))&gt;0, $S$43 = FALSE,$W$43&lt;&gt;"N/A"))</formula>
    </cfRule>
    <cfRule type="expression" dxfId="3930" priority="340">
      <formula>$S$43 = FALSE</formula>
    </cfRule>
    <cfRule type="expression" dxfId="3929" priority="341">
      <formula>AND($W$43&lt;&gt;"Not Met",LEN(TRIM($W$43))&gt;0)</formula>
    </cfRule>
    <cfRule type="expression" dxfId="3928" priority="342">
      <formula>AND($R$43,$S$43)</formula>
    </cfRule>
  </conditionalFormatting>
  <conditionalFormatting sqref="W46">
    <cfRule type="expression" dxfId="3927" priority="335">
      <formula>OR($T$46 = TRUE, AND(LEN(TRIM($W$46))&gt;0, $S$46 = FALSE,$W$46&lt;&gt;"N/A"))</formula>
    </cfRule>
    <cfRule type="expression" dxfId="3926" priority="336">
      <formula>$S$46 = FALSE</formula>
    </cfRule>
    <cfRule type="expression" dxfId="3925" priority="337">
      <formula>AND($W$46&lt;&gt;"Not Met",LEN(TRIM($W$46))&gt;0)</formula>
    </cfRule>
    <cfRule type="expression" dxfId="3924" priority="338">
      <formula>AND($R$46,$S$46)</formula>
    </cfRule>
  </conditionalFormatting>
  <conditionalFormatting sqref="W48">
    <cfRule type="expression" dxfId="3923" priority="331">
      <formula>OR($T$48 = TRUE, AND(LEN(TRIM($W$48))&gt;0, $S$48 = FALSE,$W$48&lt;&gt;"N/A"))</formula>
    </cfRule>
    <cfRule type="expression" dxfId="3922" priority="332">
      <formula>$S$48 = FALSE</formula>
    </cfRule>
    <cfRule type="expression" dxfId="3921" priority="333">
      <formula>AND($W$48&lt;&gt;"Not Met",LEN(TRIM($W$48))&gt;0)</formula>
    </cfRule>
    <cfRule type="expression" dxfId="3920" priority="334">
      <formula>AND($R$48,$S$48)</formula>
    </cfRule>
  </conditionalFormatting>
  <conditionalFormatting sqref="W51">
    <cfRule type="expression" dxfId="3919" priority="327">
      <formula>OR($T$51 = TRUE, AND(LEN(TRIM($W$51))&gt;0, $S$51 = FALSE,$W$51&lt;&gt;"N/A"))</formula>
    </cfRule>
    <cfRule type="expression" dxfId="3918" priority="328">
      <formula>$S$51 = FALSE</formula>
    </cfRule>
    <cfRule type="expression" dxfId="3917" priority="329">
      <formula>AND($W$51&lt;&gt;"Not Met",LEN(TRIM($W$51))&gt;0)</formula>
    </cfRule>
    <cfRule type="expression" dxfId="3916" priority="330">
      <formula>AND($R$51,$S$51)</formula>
    </cfRule>
  </conditionalFormatting>
  <conditionalFormatting sqref="W53">
    <cfRule type="expression" dxfId="3915" priority="323">
      <formula>OR($T$53 = TRUE, AND(LEN(TRIM($W$53))&gt;0, $S$53 = FALSE,$W$53&lt;&gt;"N/A"))</formula>
    </cfRule>
    <cfRule type="expression" dxfId="3914" priority="324">
      <formula>$S$53 = FALSE</formula>
    </cfRule>
    <cfRule type="expression" dxfId="3913" priority="325">
      <formula>AND($W$53&lt;&gt;"Not Met",LEN(TRIM($W$53))&gt;0)</formula>
    </cfRule>
    <cfRule type="expression" dxfId="3912" priority="326">
      <formula>AND($R$53,$S$53)</formula>
    </cfRule>
  </conditionalFormatting>
  <conditionalFormatting sqref="W55">
    <cfRule type="expression" dxfId="3911" priority="319">
      <formula>OR($T$55 = TRUE, AND($W$55 = TRUE, $S$55 = FALSE))</formula>
    </cfRule>
    <cfRule type="expression" dxfId="3910" priority="320">
      <formula>$S$55 = FALSE</formula>
    </cfRule>
    <cfRule type="expression" dxfId="3909" priority="321">
      <formula>AND(IF($R$55,$W$55,TRUE),LEN(TRIM($W$55))&gt;0)</formula>
    </cfRule>
    <cfRule type="expression" dxfId="3908" priority="322">
      <formula>AND($R$55,$S$55)</formula>
    </cfRule>
  </conditionalFormatting>
  <conditionalFormatting sqref="W68">
    <cfRule type="expression" dxfId="3907" priority="315">
      <formula>OR($T$68 = TRUE, AND($W$68 = TRUE, $S$68 = FALSE))</formula>
    </cfRule>
    <cfRule type="expression" dxfId="3906" priority="316">
      <formula>$S$68 = FALSE</formula>
    </cfRule>
    <cfRule type="expression" dxfId="3905" priority="317">
      <formula>AND(IF($R$68,$W$68,TRUE),LEN(TRIM($W$68))&gt;0)</formula>
    </cfRule>
    <cfRule type="expression" dxfId="3904" priority="318">
      <formula>AND($R$68,$S$68)</formula>
    </cfRule>
  </conditionalFormatting>
  <conditionalFormatting sqref="W58">
    <cfRule type="expression" dxfId="3903" priority="311">
      <formula>OR($T$58 = TRUE, AND(LEN(TRIM($W$58))&gt;0, $S$58 = FALSE))</formula>
    </cfRule>
    <cfRule type="expression" dxfId="3902" priority="312">
      <formula>$S$58 = FALSE</formula>
    </cfRule>
    <cfRule type="expression" dxfId="3901" priority="313">
      <formula>AND($W$58&lt;&gt;"Not Met",LEN(TRIM($W$58))&gt;0)</formula>
    </cfRule>
    <cfRule type="expression" dxfId="3900" priority="314">
      <formula>AND($R$58,$S$58)</formula>
    </cfRule>
  </conditionalFormatting>
  <conditionalFormatting sqref="W60">
    <cfRule type="expression" dxfId="3899" priority="307">
      <formula>OR($T$60 = TRUE, AND(LEN(TRIM($W$60))&gt;0, $S$60 = FALSE))</formula>
    </cfRule>
    <cfRule type="expression" dxfId="3898" priority="308">
      <formula>$S$60 = FALSE</formula>
    </cfRule>
    <cfRule type="expression" dxfId="3897" priority="309">
      <formula>AND($W$60&lt;&gt;"Not Met",LEN(TRIM($W$60))&gt;0)</formula>
    </cfRule>
    <cfRule type="expression" dxfId="3896" priority="310">
      <formula>AND($R$60,$S$60)</formula>
    </cfRule>
  </conditionalFormatting>
  <conditionalFormatting sqref="W62">
    <cfRule type="expression" dxfId="3895" priority="306">
      <formula>AND($R$62,$S$62)</formula>
    </cfRule>
  </conditionalFormatting>
  <conditionalFormatting sqref="W62">
    <cfRule type="expression" dxfId="3894" priority="305">
      <formula>AND(IF($R$62,$W$62,TRUE),LEN(TRIM($W$62))&gt;0)</formula>
    </cfRule>
  </conditionalFormatting>
  <conditionalFormatting sqref="W62">
    <cfRule type="expression" dxfId="3893" priority="304">
      <formula>$S$62 = FALSE</formula>
    </cfRule>
  </conditionalFormatting>
  <conditionalFormatting sqref="W62">
    <cfRule type="expression" dxfId="3892" priority="303">
      <formula>OR($T$62 = TRUE, AND($W$62 = TRUE, $S$62 = FALSE))</formula>
    </cfRule>
  </conditionalFormatting>
  <conditionalFormatting sqref="W72">
    <cfRule type="expression" dxfId="3891" priority="302">
      <formula>AND($R$72,$S$72)</formula>
    </cfRule>
  </conditionalFormatting>
  <conditionalFormatting sqref="W72">
    <cfRule type="expression" dxfId="3890" priority="301">
      <formula>AND($W$72&lt;&gt;"Not Met",LEN(TRIM($W$72))&gt;0)</formula>
    </cfRule>
  </conditionalFormatting>
  <conditionalFormatting sqref="W72">
    <cfRule type="expression" dxfId="3889" priority="300">
      <formula>$S$72 = FALSE</formula>
    </cfRule>
  </conditionalFormatting>
  <conditionalFormatting sqref="W72">
    <cfRule type="expression" dxfId="3888" priority="299">
      <formula>OR($T$72 = TRUE, AND(LEN(TRIM($W$72))&gt;0, $S$72 = FALSE))</formula>
    </cfRule>
  </conditionalFormatting>
  <conditionalFormatting sqref="W77">
    <cfRule type="expression" dxfId="3887" priority="298">
      <formula>AND($R$77,$S$77)</formula>
    </cfRule>
  </conditionalFormatting>
  <conditionalFormatting sqref="W77">
    <cfRule type="expression" dxfId="3886" priority="297">
      <formula>AND($W$77&lt;&gt;"Not Met",LEN(TRIM($W$77))&gt;0)</formula>
    </cfRule>
  </conditionalFormatting>
  <conditionalFormatting sqref="W77">
    <cfRule type="expression" dxfId="3885" priority="296">
      <formula>$S$77 = FALSE</formula>
    </cfRule>
  </conditionalFormatting>
  <conditionalFormatting sqref="W77">
    <cfRule type="expression" dxfId="3884" priority="295">
      <formula>OR($T$77 = TRUE, AND(LEN(TRIM($W$77))&gt;0, $S$77 = FALSE))</formula>
    </cfRule>
  </conditionalFormatting>
  <conditionalFormatting sqref="W78">
    <cfRule type="expression" dxfId="3883" priority="294">
      <formula>AND($R$78,$S$78)</formula>
    </cfRule>
  </conditionalFormatting>
  <conditionalFormatting sqref="W78">
    <cfRule type="expression" dxfId="3882" priority="293">
      <formula>AND($W$78&lt;&gt;"Not Met",LEN(TRIM($W$78))&gt;0)</formula>
    </cfRule>
  </conditionalFormatting>
  <conditionalFormatting sqref="W78">
    <cfRule type="expression" dxfId="3881" priority="292">
      <formula>$S$78 = FALSE</formula>
    </cfRule>
  </conditionalFormatting>
  <conditionalFormatting sqref="W78">
    <cfRule type="expression" dxfId="3880" priority="291">
      <formula>OR($T$78 = TRUE, AND(LEN(TRIM($W$78))&gt;0, $S$78 = FALSE))</formula>
    </cfRule>
  </conditionalFormatting>
  <conditionalFormatting sqref="W79">
    <cfRule type="expression" dxfId="3879" priority="290">
      <formula>AND($R$79,$S$79)</formula>
    </cfRule>
  </conditionalFormatting>
  <conditionalFormatting sqref="W79">
    <cfRule type="expression" dxfId="3878" priority="289">
      <formula>AND($W$79&lt;&gt;"Not Met",LEN(TRIM($W$79))&gt;0)</formula>
    </cfRule>
  </conditionalFormatting>
  <conditionalFormatting sqref="W79">
    <cfRule type="expression" dxfId="3877" priority="288">
      <formula>$S$79 = FALSE</formula>
    </cfRule>
  </conditionalFormatting>
  <conditionalFormatting sqref="W79">
    <cfRule type="expression" dxfId="3876" priority="287">
      <formula>OR($T$79 = TRUE, AND(LEN(TRIM($W$79))&gt;0, $S$79 = FALSE))</formula>
    </cfRule>
  </conditionalFormatting>
  <conditionalFormatting sqref="W80">
    <cfRule type="expression" dxfId="3875" priority="286">
      <formula>AND($R$80,$S$80)</formula>
    </cfRule>
  </conditionalFormatting>
  <conditionalFormatting sqref="W80">
    <cfRule type="expression" dxfId="3874" priority="285">
      <formula>AND($W$80&lt;&gt;"Not Met",LEN(TRIM($W$80))&gt;0)</formula>
    </cfRule>
  </conditionalFormatting>
  <conditionalFormatting sqref="W80">
    <cfRule type="expression" dxfId="3873" priority="284">
      <formula>$S$80 = FALSE</formula>
    </cfRule>
  </conditionalFormatting>
  <conditionalFormatting sqref="W80">
    <cfRule type="expression" dxfId="3872" priority="283">
      <formula>OR($T$80 = TRUE, AND(LEN(TRIM($W$80))&gt;0, $S$80 = FALSE))</formula>
    </cfRule>
  </conditionalFormatting>
  <conditionalFormatting sqref="W91">
    <cfRule type="expression" dxfId="3871" priority="282">
      <formula>AND($R$91,$S$91)</formula>
    </cfRule>
  </conditionalFormatting>
  <conditionalFormatting sqref="W91">
    <cfRule type="expression" dxfId="3870" priority="281">
      <formula>AND(IF($R$91,$W$91,TRUE),LEN(TRIM($W$91))&gt;0)</formula>
    </cfRule>
  </conditionalFormatting>
  <conditionalFormatting sqref="W91">
    <cfRule type="expression" dxfId="3869" priority="280">
      <formula>$S$91 = FALSE</formula>
    </cfRule>
  </conditionalFormatting>
  <conditionalFormatting sqref="W91">
    <cfRule type="expression" dxfId="3868" priority="279">
      <formula>OR($T$91 = TRUE, AND($W$91 = TRUE, $S$91 = FALSE))</formula>
    </cfRule>
  </conditionalFormatting>
  <conditionalFormatting sqref="W93">
    <cfRule type="expression" dxfId="3867" priority="278">
      <formula>AND($R$93,$S$93)</formula>
    </cfRule>
  </conditionalFormatting>
  <conditionalFormatting sqref="W93">
    <cfRule type="expression" dxfId="3866" priority="277">
      <formula>AND(IF($R$93,$W$93,TRUE),LEN(TRIM($W$93))&gt;0)</formula>
    </cfRule>
  </conditionalFormatting>
  <conditionalFormatting sqref="W93">
    <cfRule type="expression" dxfId="3865" priority="276">
      <formula>$S$93 = FALSE</formula>
    </cfRule>
  </conditionalFormatting>
  <conditionalFormatting sqref="W93">
    <cfRule type="expression" dxfId="3864" priority="275">
      <formula>OR($T$93 = TRUE, AND($W$93 = TRUE, $S$93 = FALSE))</formula>
    </cfRule>
  </conditionalFormatting>
  <conditionalFormatting sqref="W96">
    <cfRule type="expression" dxfId="3863" priority="274">
      <formula>AND($R$96,$S$96)</formula>
    </cfRule>
  </conditionalFormatting>
  <conditionalFormatting sqref="W96">
    <cfRule type="expression" dxfId="3862" priority="273">
      <formula>AND(IF($R$96,$W$96,TRUE),LEN(TRIM($W$96))&gt;0)</formula>
    </cfRule>
  </conditionalFormatting>
  <conditionalFormatting sqref="W96">
    <cfRule type="expression" dxfId="3861" priority="272">
      <formula>$S$96 = FALSE</formula>
    </cfRule>
  </conditionalFormatting>
  <conditionalFormatting sqref="W96">
    <cfRule type="expression" dxfId="3860" priority="271">
      <formula>OR($T$96 = TRUE, AND($W$96 = TRUE, $S$96 = FALSE))</formula>
    </cfRule>
  </conditionalFormatting>
  <conditionalFormatting sqref="W119">
    <cfRule type="expression" dxfId="3859" priority="270">
      <formula>AND($R$119,$S$119)</formula>
    </cfRule>
  </conditionalFormatting>
  <conditionalFormatting sqref="W119">
    <cfRule type="expression" dxfId="3858" priority="269">
      <formula>AND(IF($R$119,$W$119,TRUE),LEN(TRIM($W$119))&gt;0)</formula>
    </cfRule>
  </conditionalFormatting>
  <conditionalFormatting sqref="W119">
    <cfRule type="expression" dxfId="3857" priority="268">
      <formula>$S$119 = FALSE</formula>
    </cfRule>
  </conditionalFormatting>
  <conditionalFormatting sqref="W119">
    <cfRule type="expression" dxfId="3856" priority="267">
      <formula>OR($T$119 = TRUE, AND($W$119 = TRUE, $S$119 = FALSE))</formula>
    </cfRule>
  </conditionalFormatting>
  <conditionalFormatting sqref="W130">
    <cfRule type="expression" dxfId="3855" priority="266">
      <formula>AND($R$130,$S$130)</formula>
    </cfRule>
  </conditionalFormatting>
  <conditionalFormatting sqref="W130">
    <cfRule type="expression" dxfId="3854" priority="265">
      <formula>AND(IF($R$130,$W$130,TRUE),LEN(TRIM($W$130))&gt;0)</formula>
    </cfRule>
  </conditionalFormatting>
  <conditionalFormatting sqref="W130">
    <cfRule type="expression" dxfId="3853" priority="264">
      <formula>$S$130 = FALSE</formula>
    </cfRule>
  </conditionalFormatting>
  <conditionalFormatting sqref="W130">
    <cfRule type="expression" dxfId="3852" priority="263">
      <formula>OR($T$130 = TRUE, AND($W$130 = TRUE, $S$130 = FALSE))</formula>
    </cfRule>
  </conditionalFormatting>
  <conditionalFormatting sqref="W132">
    <cfRule type="expression" dxfId="3851" priority="262">
      <formula>AND($R$132,$S$132)</formula>
    </cfRule>
  </conditionalFormatting>
  <conditionalFormatting sqref="W132">
    <cfRule type="expression" dxfId="3850" priority="261">
      <formula>AND(IF($R$132,$W$132,TRUE),LEN(TRIM($W$132))&gt;0)</formula>
    </cfRule>
  </conditionalFormatting>
  <conditionalFormatting sqref="W132">
    <cfRule type="expression" dxfId="3849" priority="260">
      <formula>$S$132 = FALSE</formula>
    </cfRule>
  </conditionalFormatting>
  <conditionalFormatting sqref="W132">
    <cfRule type="expression" dxfId="3848" priority="259">
      <formula>OR($T$132 = TRUE, AND($W$132 = TRUE, $S$132 = FALSE))</formula>
    </cfRule>
  </conditionalFormatting>
  <conditionalFormatting sqref="W133">
    <cfRule type="expression" dxfId="3847" priority="258">
      <formula>AND($R$133,$S$133)</formula>
    </cfRule>
  </conditionalFormatting>
  <conditionalFormatting sqref="W133">
    <cfRule type="expression" dxfId="3846" priority="257">
      <formula>AND(IF($R$133,$W$133,TRUE),LEN(TRIM($W$133))&gt;0)</formula>
    </cfRule>
  </conditionalFormatting>
  <conditionalFormatting sqref="W133">
    <cfRule type="expression" dxfId="3845" priority="256">
      <formula>$S$133 = FALSE</formula>
    </cfRule>
  </conditionalFormatting>
  <conditionalFormatting sqref="W133">
    <cfRule type="expression" dxfId="3844" priority="255">
      <formula>OR($T$133 = TRUE, AND($W$133 = TRUE, $S$133 = FALSE))</formula>
    </cfRule>
  </conditionalFormatting>
  <conditionalFormatting sqref="W140">
    <cfRule type="expression" dxfId="3843" priority="254">
      <formula>AND($R$140,$S$140)</formula>
    </cfRule>
  </conditionalFormatting>
  <conditionalFormatting sqref="W140">
    <cfRule type="expression" dxfId="3842" priority="253">
      <formula>AND(IF($R$140,$W$140,TRUE),LEN(TRIM($W$140))&gt;0)</formula>
    </cfRule>
  </conditionalFormatting>
  <conditionalFormatting sqref="W140">
    <cfRule type="expression" dxfId="3841" priority="252">
      <formula>$S$140 = FALSE</formula>
    </cfRule>
  </conditionalFormatting>
  <conditionalFormatting sqref="W140">
    <cfRule type="expression" dxfId="3840" priority="251">
      <formula>OR($T$140 = TRUE, AND($W$140 = TRUE, $S$140 = FALSE))</formula>
    </cfRule>
  </conditionalFormatting>
  <conditionalFormatting sqref="W149">
    <cfRule type="expression" dxfId="3839" priority="250">
      <formula>AND($R$149,$S$149)</formula>
    </cfRule>
  </conditionalFormatting>
  <conditionalFormatting sqref="W149">
    <cfRule type="expression" dxfId="3838" priority="249">
      <formula>AND(IF($R$149,$W$149,TRUE),LEN(TRIM($W$149))&gt;0)</formula>
    </cfRule>
  </conditionalFormatting>
  <conditionalFormatting sqref="W149">
    <cfRule type="expression" dxfId="3837" priority="248">
      <formula>$S$149 = FALSE</formula>
    </cfRule>
  </conditionalFormatting>
  <conditionalFormatting sqref="W149">
    <cfRule type="expression" dxfId="3836" priority="247">
      <formula>OR($T$149 = TRUE, AND($W$149 = TRUE, $S$149 = FALSE))</formula>
    </cfRule>
  </conditionalFormatting>
  <conditionalFormatting sqref="W154">
    <cfRule type="expression" dxfId="3835" priority="246">
      <formula>AND($R$154,$S$154)</formula>
    </cfRule>
  </conditionalFormatting>
  <conditionalFormatting sqref="W154">
    <cfRule type="expression" dxfId="3834" priority="245">
      <formula>AND(IF($R$154,$W$154,TRUE),LEN(TRIM($W$154))&gt;0)</formula>
    </cfRule>
  </conditionalFormatting>
  <conditionalFormatting sqref="W154">
    <cfRule type="expression" dxfId="3833" priority="244">
      <formula>$S$154 = FALSE</formula>
    </cfRule>
  </conditionalFormatting>
  <conditionalFormatting sqref="W154">
    <cfRule type="expression" dxfId="3832" priority="243">
      <formula>OR($T$154 = TRUE, AND($W$154 = TRUE, $S$154 = FALSE))</formula>
    </cfRule>
  </conditionalFormatting>
  <conditionalFormatting sqref="W155">
    <cfRule type="expression" dxfId="3831" priority="242">
      <formula>AND($R$155,$S$155)</formula>
    </cfRule>
  </conditionalFormatting>
  <conditionalFormatting sqref="W155">
    <cfRule type="expression" dxfId="3830" priority="241">
      <formula>AND(IF($R$155,$W$155,TRUE),LEN(TRIM($W$155))&gt;0)</formula>
    </cfRule>
  </conditionalFormatting>
  <conditionalFormatting sqref="W155">
    <cfRule type="expression" dxfId="3829" priority="240">
      <formula>$S$155 = FALSE</formula>
    </cfRule>
  </conditionalFormatting>
  <conditionalFormatting sqref="W155">
    <cfRule type="expression" dxfId="3828" priority="239">
      <formula>OR($T$155 = TRUE, AND($W$155 = TRUE, $S$155 = FALSE))</formula>
    </cfRule>
  </conditionalFormatting>
  <conditionalFormatting sqref="W159">
    <cfRule type="expression" dxfId="3827" priority="238">
      <formula>AND($R$159,$S$159)</formula>
    </cfRule>
  </conditionalFormatting>
  <conditionalFormatting sqref="W159">
    <cfRule type="expression" dxfId="3826" priority="237">
      <formula>AND(IF($R$159,$W$159,TRUE),LEN(TRIM($W$159))&gt;0)</formula>
    </cfRule>
  </conditionalFormatting>
  <conditionalFormatting sqref="W159">
    <cfRule type="expression" dxfId="3825" priority="236">
      <formula>$S$159 = FALSE</formula>
    </cfRule>
  </conditionalFormatting>
  <conditionalFormatting sqref="W159">
    <cfRule type="expression" dxfId="3824" priority="235">
      <formula>OR($T$159 = TRUE, AND($W$159 = TRUE, $S$159 = FALSE))</formula>
    </cfRule>
  </conditionalFormatting>
  <conditionalFormatting sqref="W172">
    <cfRule type="expression" dxfId="3823" priority="230">
      <formula>AND($R$172,$S$172)</formula>
    </cfRule>
  </conditionalFormatting>
  <conditionalFormatting sqref="W172">
    <cfRule type="expression" dxfId="3822" priority="229">
      <formula>AND(IF($R$172,$W$172,TRUE),LEN(TRIM($W$172))&gt;0)</formula>
    </cfRule>
  </conditionalFormatting>
  <conditionalFormatting sqref="W172">
    <cfRule type="expression" dxfId="3821" priority="228">
      <formula>$S$172 = FALSE</formula>
    </cfRule>
  </conditionalFormatting>
  <conditionalFormatting sqref="W172">
    <cfRule type="expression" dxfId="3820" priority="227">
      <formula>OR($T$172 = TRUE, AND($W$172 = TRUE, $S$172 = FALSE))</formula>
    </cfRule>
  </conditionalFormatting>
  <conditionalFormatting sqref="W173">
    <cfRule type="expression" dxfId="3819" priority="226">
      <formula>AND($R$173,$S$173)</formula>
    </cfRule>
  </conditionalFormatting>
  <conditionalFormatting sqref="W173">
    <cfRule type="expression" dxfId="3818" priority="225">
      <formula>AND(IF($R$173,$W$173,TRUE),LEN(TRIM($W$173))&gt;0)</formula>
    </cfRule>
  </conditionalFormatting>
  <conditionalFormatting sqref="W173">
    <cfRule type="expression" dxfId="3817" priority="224">
      <formula>$S$173 = FALSE</formula>
    </cfRule>
  </conditionalFormatting>
  <conditionalFormatting sqref="W173">
    <cfRule type="expression" dxfId="3816" priority="223">
      <formula>OR($T$173 = TRUE, AND($W$173 = TRUE, $S$173 = FALSE))</formula>
    </cfRule>
  </conditionalFormatting>
  <conditionalFormatting sqref="W176">
    <cfRule type="expression" dxfId="3815" priority="222">
      <formula>AND($R$176,$S$176)</formula>
    </cfRule>
  </conditionalFormatting>
  <conditionalFormatting sqref="W176">
    <cfRule type="expression" dxfId="3814" priority="221">
      <formula>AND(IF($R$176,$W$176,TRUE),LEN(TRIM($W$176))&gt;0)</formula>
    </cfRule>
  </conditionalFormatting>
  <conditionalFormatting sqref="W176">
    <cfRule type="expression" dxfId="3813" priority="220">
      <formula>$S$176 = FALSE</formula>
    </cfRule>
  </conditionalFormatting>
  <conditionalFormatting sqref="W176">
    <cfRule type="expression" dxfId="3812" priority="219">
      <formula>OR($T$176 = TRUE, AND($W$176 = TRUE, $S$176 = FALSE))</formula>
    </cfRule>
  </conditionalFormatting>
  <conditionalFormatting sqref="W178">
    <cfRule type="expression" dxfId="3811" priority="218">
      <formula>AND($R$178,$S$178)</formula>
    </cfRule>
  </conditionalFormatting>
  <conditionalFormatting sqref="W178">
    <cfRule type="expression" dxfId="3810" priority="217">
      <formula>AND(IF($R$178,$W$178,TRUE),LEN(TRIM($W$178))&gt;0)</formula>
    </cfRule>
  </conditionalFormatting>
  <conditionalFormatting sqref="W178">
    <cfRule type="expression" dxfId="3809" priority="216">
      <formula>$S$178 = FALSE</formula>
    </cfRule>
  </conditionalFormatting>
  <conditionalFormatting sqref="W178">
    <cfRule type="expression" dxfId="3808" priority="215">
      <formula>OR($T$178 = TRUE, AND($W$178 = TRUE, $S$178 = FALSE))</formula>
    </cfRule>
  </conditionalFormatting>
  <conditionalFormatting sqref="W184">
    <cfRule type="expression" dxfId="3807" priority="214">
      <formula>AND($R$184,$S$184)</formula>
    </cfRule>
  </conditionalFormatting>
  <conditionalFormatting sqref="W184">
    <cfRule type="expression" dxfId="3806" priority="213">
      <formula>AND(IF($R$184,$W$184,TRUE),LEN(TRIM($W$184))&gt;0)</formula>
    </cfRule>
  </conditionalFormatting>
  <conditionalFormatting sqref="W184">
    <cfRule type="expression" dxfId="3805" priority="212">
      <formula>$S$184 = FALSE</formula>
    </cfRule>
  </conditionalFormatting>
  <conditionalFormatting sqref="W184">
    <cfRule type="expression" dxfId="3804" priority="211">
      <formula>OR($T$184 = TRUE, AND($W$184 = TRUE, $S$184 = FALSE))</formula>
    </cfRule>
  </conditionalFormatting>
  <conditionalFormatting sqref="W186">
    <cfRule type="expression" dxfId="3803" priority="210">
      <formula>AND($R$186,$S$186)</formula>
    </cfRule>
  </conditionalFormatting>
  <conditionalFormatting sqref="W186">
    <cfRule type="expression" dxfId="3802" priority="209">
      <formula>AND(IF($R$186,$W$186,TRUE),LEN(TRIM($W$186))&gt;0)</formula>
    </cfRule>
  </conditionalFormatting>
  <conditionalFormatting sqref="W186">
    <cfRule type="expression" dxfId="3801" priority="208">
      <formula>$S$186 = FALSE</formula>
    </cfRule>
  </conditionalFormatting>
  <conditionalFormatting sqref="W186">
    <cfRule type="expression" dxfId="3800" priority="207">
      <formula>OR($T$186 = TRUE, AND($W$186 = TRUE, $S$186 = FALSE))</formula>
    </cfRule>
  </conditionalFormatting>
  <conditionalFormatting sqref="W188">
    <cfRule type="expression" dxfId="3799" priority="206">
      <formula>AND($R$188,$S$188)</formula>
    </cfRule>
  </conditionalFormatting>
  <conditionalFormatting sqref="W188">
    <cfRule type="expression" dxfId="3798" priority="205">
      <formula>AND($W$188&lt;&gt;"Not Met",LEN(TRIM($W$188))&gt;0)</formula>
    </cfRule>
  </conditionalFormatting>
  <conditionalFormatting sqref="W188">
    <cfRule type="expression" dxfId="3797" priority="204">
      <formula>$S$188 = FALSE</formula>
    </cfRule>
  </conditionalFormatting>
  <conditionalFormatting sqref="W188">
    <cfRule type="expression" dxfId="3796" priority="203">
      <formula>OR($T$188 = TRUE, AND(LEN(TRIM($W$188))&gt;0, $S$188 = FALSE))</formula>
    </cfRule>
  </conditionalFormatting>
  <conditionalFormatting sqref="W190">
    <cfRule type="expression" dxfId="3795" priority="202">
      <formula>AND($R$190,$S$190)</formula>
    </cfRule>
  </conditionalFormatting>
  <conditionalFormatting sqref="W190">
    <cfRule type="expression" dxfId="3794" priority="201">
      <formula>AND(IF($R$190,$W$190,TRUE),LEN(TRIM($W$190))&gt;0)</formula>
    </cfRule>
  </conditionalFormatting>
  <conditionalFormatting sqref="W190">
    <cfRule type="expression" dxfId="3793" priority="200">
      <formula>$S$190 = FALSE</formula>
    </cfRule>
  </conditionalFormatting>
  <conditionalFormatting sqref="W190">
    <cfRule type="expression" dxfId="3792" priority="199">
      <formula>OR($T$190 = TRUE, AND($W$190 = TRUE, $S$190 = FALSE))</formula>
    </cfRule>
  </conditionalFormatting>
  <conditionalFormatting sqref="W197">
    <cfRule type="expression" dxfId="3791" priority="198">
      <formula>AND($R$197,$S$197)</formula>
    </cfRule>
  </conditionalFormatting>
  <conditionalFormatting sqref="W197">
    <cfRule type="expression" dxfId="3790" priority="197">
      <formula>AND(IF($R$197,$W$197,TRUE),LEN(TRIM($W$197))&gt;0)</formula>
    </cfRule>
  </conditionalFormatting>
  <conditionalFormatting sqref="W197">
    <cfRule type="expression" dxfId="3789" priority="196">
      <formula>$S$197 = FALSE</formula>
    </cfRule>
  </conditionalFormatting>
  <conditionalFormatting sqref="W197">
    <cfRule type="expression" dxfId="3788" priority="195">
      <formula>OR($T$197 = TRUE, AND($W$197 = TRUE, $S$197 = FALSE))</formula>
    </cfRule>
  </conditionalFormatting>
  <conditionalFormatting sqref="W208">
    <cfRule type="expression" dxfId="3787" priority="194">
      <formula>AND($R$208,$S$208)</formula>
    </cfRule>
  </conditionalFormatting>
  <conditionalFormatting sqref="W208">
    <cfRule type="expression" dxfId="3786" priority="193">
      <formula>AND(IF($R$208,$W$208,TRUE),LEN(TRIM($W$208))&gt;0)</formula>
    </cfRule>
  </conditionalFormatting>
  <conditionalFormatting sqref="W208">
    <cfRule type="expression" dxfId="3785" priority="192">
      <formula>$S$208 = FALSE</formula>
    </cfRule>
  </conditionalFormatting>
  <conditionalFormatting sqref="W208">
    <cfRule type="expression" dxfId="3784" priority="191">
      <formula>OR($T$208 = TRUE, AND($W$208 = TRUE, $S$208 = FALSE))</formula>
    </cfRule>
  </conditionalFormatting>
  <conditionalFormatting sqref="W210">
    <cfRule type="expression" dxfId="3783" priority="190">
      <formula>AND($R$210,$S$210)</formula>
    </cfRule>
  </conditionalFormatting>
  <conditionalFormatting sqref="W210">
    <cfRule type="expression" dxfId="3782" priority="189">
      <formula>AND(IF($R$210,$W$210,TRUE),LEN(TRIM($W$210))&gt;0)</formula>
    </cfRule>
  </conditionalFormatting>
  <conditionalFormatting sqref="W210">
    <cfRule type="expression" dxfId="3781" priority="188">
      <formula>$S$210 = FALSE</formula>
    </cfRule>
  </conditionalFormatting>
  <conditionalFormatting sqref="W210">
    <cfRule type="expression" dxfId="3780" priority="187">
      <formula>OR($T$210 = TRUE, AND($W$210 = TRUE, $S$210 = FALSE))</formula>
    </cfRule>
  </conditionalFormatting>
  <conditionalFormatting sqref="W212">
    <cfRule type="expression" dxfId="3779" priority="186">
      <formula>AND($R$212,$S$212)</formula>
    </cfRule>
  </conditionalFormatting>
  <conditionalFormatting sqref="W212">
    <cfRule type="expression" dxfId="3778" priority="185">
      <formula>AND(IF($R$212,$W$212,TRUE),LEN(TRIM($W$212))&gt;0)</formula>
    </cfRule>
  </conditionalFormatting>
  <conditionalFormatting sqref="W212">
    <cfRule type="expression" dxfId="3777" priority="184">
      <formula>$S$212 = FALSE</formula>
    </cfRule>
  </conditionalFormatting>
  <conditionalFormatting sqref="W212">
    <cfRule type="expression" dxfId="3776" priority="183">
      <formula>OR($T$212 = TRUE, AND($W$212 = TRUE, $S$212 = FALSE))</formula>
    </cfRule>
  </conditionalFormatting>
  <conditionalFormatting sqref="W219">
    <cfRule type="expression" dxfId="3775" priority="182">
      <formula>AND($R$219)</formula>
    </cfRule>
  </conditionalFormatting>
  <conditionalFormatting sqref="W219">
    <cfRule type="expression" dxfId="3774" priority="181">
      <formula>AND($W$219&lt;&gt;"Not Met",LEN(TRIM($W$219))&gt;0)</formula>
    </cfRule>
  </conditionalFormatting>
  <conditionalFormatting sqref="W219">
    <cfRule type="expression" dxfId="3773" priority="180">
      <formula>$S$219 = FALSE</formula>
    </cfRule>
  </conditionalFormatting>
  <conditionalFormatting sqref="W219">
    <cfRule type="expression" dxfId="3772" priority="179">
      <formula>OR($T$219 = TRUE, AND(LEN(TRIM($W$219))&gt;0, $S$219 = FALSE))</formula>
    </cfRule>
  </conditionalFormatting>
  <conditionalFormatting sqref="W230">
    <cfRule type="expression" dxfId="3771" priority="178">
      <formula>AND($R$230,$S$230)</formula>
    </cfRule>
  </conditionalFormatting>
  <conditionalFormatting sqref="W230">
    <cfRule type="expression" dxfId="3770" priority="177">
      <formula>AND(IF($R$230,$W$230,TRUE),LEN(TRIM($W$230))&gt;0)</formula>
    </cfRule>
  </conditionalFormatting>
  <conditionalFormatting sqref="W230">
    <cfRule type="expression" dxfId="3769" priority="176">
      <formula>$S$230 = FALSE</formula>
    </cfRule>
  </conditionalFormatting>
  <conditionalFormatting sqref="W230">
    <cfRule type="expression" dxfId="3768" priority="175">
      <formula>OR($T$230 = TRUE, AND($W$230 = TRUE, $S$230 = FALSE))</formula>
    </cfRule>
  </conditionalFormatting>
  <conditionalFormatting sqref="W232">
    <cfRule type="expression" dxfId="3767" priority="174">
      <formula>AND($R$232,$S$232)</formula>
    </cfRule>
  </conditionalFormatting>
  <conditionalFormatting sqref="W232">
    <cfRule type="expression" dxfId="3766" priority="173">
      <formula>AND(IF($R$232,$W$232,TRUE),LEN(TRIM($W$232))&gt;0)</formula>
    </cfRule>
  </conditionalFormatting>
  <conditionalFormatting sqref="W232">
    <cfRule type="expression" dxfId="3765" priority="172">
      <formula>$S$232 = FALSE</formula>
    </cfRule>
  </conditionalFormatting>
  <conditionalFormatting sqref="W232">
    <cfRule type="expression" dxfId="3764" priority="171">
      <formula>OR($T$232 = TRUE, AND($W$232 = TRUE, $S$232 = FALSE))</formula>
    </cfRule>
  </conditionalFormatting>
  <conditionalFormatting sqref="W235">
    <cfRule type="expression" dxfId="3763" priority="170">
      <formula>AND($R$235,$S$235)</formula>
    </cfRule>
  </conditionalFormatting>
  <conditionalFormatting sqref="W235">
    <cfRule type="expression" dxfId="3762" priority="169">
      <formula>AND(IF($R$235,$W$235,TRUE),LEN(TRIM($W$235))&gt;0)</formula>
    </cfRule>
  </conditionalFormatting>
  <conditionalFormatting sqref="W235">
    <cfRule type="expression" dxfId="3761" priority="168">
      <formula>$S$235 = FALSE</formula>
    </cfRule>
  </conditionalFormatting>
  <conditionalFormatting sqref="W235">
    <cfRule type="expression" dxfId="3760" priority="167">
      <formula>OR($T$235 = TRUE, AND($W$235 = TRUE, $S$235 = FALSE))</formula>
    </cfRule>
  </conditionalFormatting>
  <conditionalFormatting sqref="W314">
    <cfRule type="expression" dxfId="3759" priority="158">
      <formula>AND($R$314,$S$314)</formula>
    </cfRule>
  </conditionalFormatting>
  <conditionalFormatting sqref="W314">
    <cfRule type="expression" dxfId="3758" priority="157">
      <formula>AND(IF($R$314,$W$314,TRUE),LEN(TRIM($W$314))&gt;0)</formula>
    </cfRule>
  </conditionalFormatting>
  <conditionalFormatting sqref="W314">
    <cfRule type="expression" dxfId="3757" priority="156">
      <formula>$S$314 = FALSE</formula>
    </cfRule>
  </conditionalFormatting>
  <conditionalFormatting sqref="W314">
    <cfRule type="expression" dxfId="3756" priority="155">
      <formula>OR($T$314 = TRUE, AND($W$314 = TRUE, $S$314 = FALSE))</formula>
    </cfRule>
  </conditionalFormatting>
  <conditionalFormatting sqref="W316">
    <cfRule type="expression" dxfId="3755" priority="154">
      <formula>AND($R$316,$S$316)</formula>
    </cfRule>
  </conditionalFormatting>
  <conditionalFormatting sqref="W316">
    <cfRule type="expression" dxfId="3754" priority="153">
      <formula>AND(IF($R$316,$W$316,TRUE),LEN(TRIM($W$316))&gt;0)</formula>
    </cfRule>
  </conditionalFormatting>
  <conditionalFormatting sqref="W316">
    <cfRule type="expression" dxfId="3753" priority="152">
      <formula>$S$316 = FALSE</formula>
    </cfRule>
  </conditionalFormatting>
  <conditionalFormatting sqref="W316">
    <cfRule type="expression" dxfId="3752" priority="151">
      <formula>OR($T$316 = TRUE, AND($W$316 = TRUE, $S$316 = FALSE))</formula>
    </cfRule>
  </conditionalFormatting>
  <conditionalFormatting sqref="W322">
    <cfRule type="expression" dxfId="3751" priority="150">
      <formula>AND($R$322,$S$322)</formula>
    </cfRule>
  </conditionalFormatting>
  <conditionalFormatting sqref="W322">
    <cfRule type="expression" dxfId="3750" priority="149">
      <formula>AND(IF($R$322,$W$322,TRUE),LEN(TRIM($W$322))&gt;0)</formula>
    </cfRule>
  </conditionalFormatting>
  <conditionalFormatting sqref="W322">
    <cfRule type="expression" dxfId="3749" priority="148">
      <formula>$S$322 = FALSE</formula>
    </cfRule>
  </conditionalFormatting>
  <conditionalFormatting sqref="W322">
    <cfRule type="expression" dxfId="3748" priority="147">
      <formula>OR($T$322 = TRUE, AND($W$322 = TRUE, $S$322 = FALSE))</formula>
    </cfRule>
  </conditionalFormatting>
  <conditionalFormatting sqref="W324">
    <cfRule type="expression" dxfId="3747" priority="146">
      <formula>AND($R$324,$S$324)</formula>
    </cfRule>
  </conditionalFormatting>
  <conditionalFormatting sqref="W324">
    <cfRule type="expression" dxfId="3746" priority="145">
      <formula>AND(IF($R$324,$W$324,TRUE),LEN(TRIM($W$324))&gt;0)</formula>
    </cfRule>
  </conditionalFormatting>
  <conditionalFormatting sqref="W324">
    <cfRule type="expression" dxfId="3745" priority="144">
      <formula>$S$324 = FALSE</formula>
    </cfRule>
  </conditionalFormatting>
  <conditionalFormatting sqref="W324">
    <cfRule type="expression" dxfId="3744" priority="143">
      <formula>OR($T$324 = TRUE, AND($W$324 = TRUE, $S$324 = FALSE))</formula>
    </cfRule>
  </conditionalFormatting>
  <conditionalFormatting sqref="W328">
    <cfRule type="expression" dxfId="3743" priority="142">
      <formula>AND($R$328,$S$328)</formula>
    </cfRule>
  </conditionalFormatting>
  <conditionalFormatting sqref="W328">
    <cfRule type="expression" dxfId="3742" priority="141">
      <formula>AND($W$328&lt;&gt;"Not Met",LEN(TRIM($W$328))&gt;0)</formula>
    </cfRule>
  </conditionalFormatting>
  <conditionalFormatting sqref="W328">
    <cfRule type="expression" dxfId="3741" priority="140">
      <formula>$S$328 = FALSE</formula>
    </cfRule>
  </conditionalFormatting>
  <conditionalFormatting sqref="W328">
    <cfRule type="expression" dxfId="3740" priority="139">
      <formula>OR($T$328 = TRUE, AND(LEN(TRIM($W$328))&gt;0, $S$328 = FALSE))</formula>
    </cfRule>
  </conditionalFormatting>
  <conditionalFormatting sqref="W332">
    <cfRule type="expression" dxfId="3739" priority="138">
      <formula>AND($R$332,$S$332)</formula>
    </cfRule>
  </conditionalFormatting>
  <conditionalFormatting sqref="W332">
    <cfRule type="expression" dxfId="3738" priority="137">
      <formula>AND($W$332&lt;&gt;"Not Met",LEN(TRIM($W$332))&gt;0)</formula>
    </cfRule>
  </conditionalFormatting>
  <conditionalFormatting sqref="W332">
    <cfRule type="expression" dxfId="3737" priority="136">
      <formula>$S$332 = FALSE</formula>
    </cfRule>
  </conditionalFormatting>
  <conditionalFormatting sqref="W332">
    <cfRule type="expression" dxfId="3736" priority="135">
      <formula>OR($T$332 = TRUE, AND(LEN(TRIM($W$332))&gt;0, $S$332 = FALSE))</formula>
    </cfRule>
  </conditionalFormatting>
  <conditionalFormatting sqref="W338">
    <cfRule type="expression" dxfId="3735" priority="134">
      <formula>AND($R$338,$S$338)</formula>
    </cfRule>
  </conditionalFormatting>
  <conditionalFormatting sqref="W338">
    <cfRule type="expression" dxfId="3734" priority="133">
      <formula>AND(IF($R$338,$W$338,TRUE),LEN(TRIM($W$338))&gt;0)</formula>
    </cfRule>
  </conditionalFormatting>
  <conditionalFormatting sqref="W338">
    <cfRule type="expression" dxfId="3733" priority="132">
      <formula>$S$338 = FALSE</formula>
    </cfRule>
  </conditionalFormatting>
  <conditionalFormatting sqref="W338">
    <cfRule type="expression" dxfId="3732" priority="131">
      <formula>OR($T$338 = TRUE, AND($W$338 = TRUE, $S$338 = FALSE))</formula>
    </cfRule>
  </conditionalFormatting>
  <conditionalFormatting sqref="W339">
    <cfRule type="expression" dxfId="3731" priority="130">
      <formula>AND($R$339,$S$339)</formula>
    </cfRule>
  </conditionalFormatting>
  <conditionalFormatting sqref="W339">
    <cfRule type="expression" dxfId="3730" priority="129">
      <formula>AND(IF($R$339,$W$339,TRUE),LEN(TRIM($W$339))&gt;0)</formula>
    </cfRule>
  </conditionalFormatting>
  <conditionalFormatting sqref="W339">
    <cfRule type="expression" dxfId="3729" priority="128">
      <formula>$S$339 = FALSE</formula>
    </cfRule>
  </conditionalFormatting>
  <conditionalFormatting sqref="W339">
    <cfRule type="expression" dxfId="3728" priority="127">
      <formula>OR($T$339 = TRUE, AND($W$339 = TRUE, $S$339 = FALSE))</formula>
    </cfRule>
  </conditionalFormatting>
  <conditionalFormatting sqref="W344">
    <cfRule type="expression" dxfId="3727" priority="126">
      <formula>AND($R$344,$S$344)</formula>
    </cfRule>
  </conditionalFormatting>
  <conditionalFormatting sqref="W344">
    <cfRule type="expression" dxfId="3726" priority="125">
      <formula>AND(IF($R$344,$W$344,TRUE),LEN(TRIM($W$344))&gt;0)</formula>
    </cfRule>
  </conditionalFormatting>
  <conditionalFormatting sqref="W344">
    <cfRule type="expression" dxfId="3725" priority="124">
      <formula>$S$344 = FALSE</formula>
    </cfRule>
  </conditionalFormatting>
  <conditionalFormatting sqref="W344">
    <cfRule type="expression" dxfId="3724" priority="123">
      <formula>OR($T$344 = TRUE, AND($W$344 = TRUE, $S$344 = FALSE))</formula>
    </cfRule>
  </conditionalFormatting>
  <conditionalFormatting sqref="W349">
    <cfRule type="expression" dxfId="3723" priority="122">
      <formula>AND($R$349,$S$349)</formula>
    </cfRule>
  </conditionalFormatting>
  <conditionalFormatting sqref="W349">
    <cfRule type="expression" dxfId="3722" priority="121">
      <formula>AND(IF($R$349,$W$349,TRUE),LEN(TRIM($W$349))&gt;0)</formula>
    </cfRule>
  </conditionalFormatting>
  <conditionalFormatting sqref="W349">
    <cfRule type="expression" dxfId="3721" priority="120">
      <formula>$S$349 = FALSE</formula>
    </cfRule>
  </conditionalFormatting>
  <conditionalFormatting sqref="W349">
    <cfRule type="expression" dxfId="3720" priority="119">
      <formula>OR($T$349 = TRUE, AND($W$349 = TRUE, $S$349 = FALSE))</formula>
    </cfRule>
  </conditionalFormatting>
  <conditionalFormatting sqref="W366">
    <cfRule type="expression" dxfId="3719" priority="118">
      <formula>AND($R$366,$S$366)</formula>
    </cfRule>
  </conditionalFormatting>
  <conditionalFormatting sqref="W366">
    <cfRule type="expression" dxfId="3718" priority="117">
      <formula>AND(IF($R$366,$W$366,TRUE),LEN(TRIM($W$366))&gt;0)</formula>
    </cfRule>
  </conditionalFormatting>
  <conditionalFormatting sqref="W366">
    <cfRule type="expression" dxfId="3717" priority="116">
      <formula>$S$366 = FALSE</formula>
    </cfRule>
  </conditionalFormatting>
  <conditionalFormatting sqref="W366">
    <cfRule type="expression" dxfId="3716" priority="115">
      <formula>OR($T$366 = TRUE, AND($W$366 = TRUE, $S$366 = FALSE))</formula>
    </cfRule>
  </conditionalFormatting>
  <conditionalFormatting sqref="W371">
    <cfRule type="expression" dxfId="3715" priority="114">
      <formula>AND($R$371,$S$371)</formula>
    </cfRule>
  </conditionalFormatting>
  <conditionalFormatting sqref="W371">
    <cfRule type="expression" dxfId="3714" priority="113">
      <formula>AND(IF($R$371,$W$371,TRUE),LEN(TRIM($W$371))&gt;0)</formula>
    </cfRule>
  </conditionalFormatting>
  <conditionalFormatting sqref="W371">
    <cfRule type="expression" dxfId="3713" priority="112">
      <formula>$S$371 = FALSE</formula>
    </cfRule>
  </conditionalFormatting>
  <conditionalFormatting sqref="W371">
    <cfRule type="expression" dxfId="3712" priority="111">
      <formula>OR($T$371 = TRUE, AND($W$371 = TRUE, $S$371 = FALSE))</formula>
    </cfRule>
  </conditionalFormatting>
  <conditionalFormatting sqref="W105">
    <cfRule type="expression" dxfId="3711" priority="107">
      <formula>OR(T105 = TRUE, AND(LEN(TRIM(W105))&gt;0, S105 = FALSE))</formula>
    </cfRule>
    <cfRule type="notContainsBlanks" dxfId="3710" priority="110">
      <formula>LEN(TRIM(W105))&gt;0</formula>
    </cfRule>
  </conditionalFormatting>
  <conditionalFormatting sqref="W115">
    <cfRule type="expression" dxfId="3709" priority="105">
      <formula>OR(T115 = TRUE, AND(LEN(TRIM(W115))&gt;0, S115 = FALSE))</formula>
    </cfRule>
    <cfRule type="notContainsBlanks" dxfId="3708" priority="106">
      <formula>LEN(TRIM(W115))&gt;0</formula>
    </cfRule>
  </conditionalFormatting>
  <conditionalFormatting sqref="W116">
    <cfRule type="expression" dxfId="3707" priority="103">
      <formula>OR(T116 = TRUE, AND(LEN(TRIM(W116))&gt;0, S116 = FALSE))</formula>
    </cfRule>
    <cfRule type="notContainsBlanks" dxfId="3706" priority="104">
      <formula>LEN(TRIM(W116))&gt;0</formula>
    </cfRule>
  </conditionalFormatting>
  <conditionalFormatting sqref="W135">
    <cfRule type="expression" dxfId="3705" priority="102">
      <formula>AND($R$135,$S$135)</formula>
    </cfRule>
  </conditionalFormatting>
  <conditionalFormatting sqref="W135">
    <cfRule type="expression" dxfId="3704" priority="101">
      <formula>AND(IF($R$135,$W$135,TRUE),LEN(TRIM($W$135))&gt;0)</formula>
    </cfRule>
  </conditionalFormatting>
  <conditionalFormatting sqref="W135">
    <cfRule type="expression" dxfId="3703" priority="100">
      <formula>$S$135 = FALSE</formula>
    </cfRule>
  </conditionalFormatting>
  <conditionalFormatting sqref="W135">
    <cfRule type="expression" dxfId="3702" priority="99">
      <formula>OR($T$135 = TRUE, AND($W$135 = TRUE, $S$135 = FALSE))</formula>
    </cfRule>
  </conditionalFormatting>
  <conditionalFormatting sqref="W194">
    <cfRule type="expression" dxfId="3701" priority="98">
      <formula>AND(R194,S194)</formula>
    </cfRule>
  </conditionalFormatting>
  <conditionalFormatting sqref="W194">
    <cfRule type="expression" dxfId="3700" priority="97">
      <formula>AND(IF(R194,W194,TRUE),LEN(TRIM(W194))&gt;0)</formula>
    </cfRule>
  </conditionalFormatting>
  <conditionalFormatting sqref="W194">
    <cfRule type="expression" dxfId="3699" priority="96">
      <formula>S194 = FALSE</formula>
    </cfRule>
  </conditionalFormatting>
  <conditionalFormatting sqref="W194">
    <cfRule type="expression" dxfId="3698" priority="95">
      <formula>OR(T194 = TRUE, AND(W194 = TRUE, S194 = FALSE))</formula>
    </cfRule>
  </conditionalFormatting>
  <conditionalFormatting sqref="W196">
    <cfRule type="expression" dxfId="3697" priority="94">
      <formula>AND(R196,S196)</formula>
    </cfRule>
  </conditionalFormatting>
  <conditionalFormatting sqref="W196">
    <cfRule type="expression" dxfId="3696" priority="93">
      <formula>AND(IF(R196,W196,TRUE),LEN(TRIM(W196))&gt;0)</formula>
    </cfRule>
  </conditionalFormatting>
  <conditionalFormatting sqref="W196">
    <cfRule type="expression" dxfId="3695" priority="92">
      <formula>S196 = FALSE</formula>
    </cfRule>
  </conditionalFormatting>
  <conditionalFormatting sqref="W196">
    <cfRule type="expression" dxfId="3694" priority="91">
      <formula>OR(T196 = TRUE, AND(W196 = TRUE, S196 = FALSE))</formula>
    </cfRule>
  </conditionalFormatting>
  <conditionalFormatting sqref="W203">
    <cfRule type="expression" dxfId="3693" priority="90">
      <formula>AND(R203,S203)</formula>
    </cfRule>
  </conditionalFormatting>
  <conditionalFormatting sqref="W203">
    <cfRule type="expression" dxfId="3692" priority="89">
      <formula>AND(IF(R203,W203,TRUE),LEN(TRIM(W203))&gt;0)</formula>
    </cfRule>
  </conditionalFormatting>
  <conditionalFormatting sqref="W203">
    <cfRule type="expression" dxfId="3691" priority="88">
      <formula>S203 = FALSE</formula>
    </cfRule>
  </conditionalFormatting>
  <conditionalFormatting sqref="W203">
    <cfRule type="expression" dxfId="3690" priority="87">
      <formula>OR(T203 = TRUE, AND(W203 = TRUE, S203 = FALSE))</formula>
    </cfRule>
  </conditionalFormatting>
  <conditionalFormatting sqref="W205">
    <cfRule type="expression" dxfId="3689" priority="86">
      <formula>AND(R205,S205)</formula>
    </cfRule>
  </conditionalFormatting>
  <conditionalFormatting sqref="W205">
    <cfRule type="expression" dxfId="3688" priority="85">
      <formula>AND(IF(R205,W205,TRUE),LEN(TRIM(W205))&gt;0)</formula>
    </cfRule>
  </conditionalFormatting>
  <conditionalFormatting sqref="W205">
    <cfRule type="expression" dxfId="3687" priority="84">
      <formula>S205 = FALSE</formula>
    </cfRule>
  </conditionalFormatting>
  <conditionalFormatting sqref="W205">
    <cfRule type="expression" dxfId="3686" priority="83">
      <formula>OR(T205 = TRUE, AND(W205 = TRUE, S205 = FALSE))</formula>
    </cfRule>
  </conditionalFormatting>
  <conditionalFormatting sqref="X72:X76">
    <cfRule type="expression" dxfId="3685" priority="82">
      <formula>W72="N/A"</formula>
    </cfRule>
  </conditionalFormatting>
  <conditionalFormatting sqref="W168">
    <cfRule type="expression" dxfId="3684" priority="77">
      <formula>AND($R$168,$S$168)</formula>
    </cfRule>
  </conditionalFormatting>
  <conditionalFormatting sqref="W168">
    <cfRule type="expression" dxfId="3683" priority="76">
      <formula>AND($W$168&lt;&gt;"Not Met",LEN(TRIM($W$168))&gt;0)</formula>
    </cfRule>
  </conditionalFormatting>
  <conditionalFormatting sqref="W168">
    <cfRule type="expression" dxfId="3682" priority="75">
      <formula>$S$168 = FALSE</formula>
    </cfRule>
  </conditionalFormatting>
  <conditionalFormatting sqref="W168">
    <cfRule type="expression" dxfId="3681" priority="74">
      <formula>OR($T$168 = TRUE, AND(LEN(TRIM($W$168))&gt;0, $S$168 = FALSE))</formula>
    </cfRule>
  </conditionalFormatting>
  <conditionalFormatting sqref="I1">
    <cfRule type="expression" dxfId="3680" priority="70">
      <formula>$AG$1="Gold"</formula>
    </cfRule>
    <cfRule type="expression" dxfId="3679" priority="71">
      <formula>$AG$1="Silver"</formula>
    </cfRule>
    <cfRule type="expression" dxfId="3678" priority="72">
      <formula>$AG$1="Bronze"</formula>
    </cfRule>
    <cfRule type="expression" dxfId="3677" priority="73">
      <formula>$AG$1="Emerald"</formula>
    </cfRule>
  </conditionalFormatting>
  <conditionalFormatting sqref="X1">
    <cfRule type="expression" dxfId="3676" priority="69">
      <formula>startError</formula>
    </cfRule>
  </conditionalFormatting>
  <conditionalFormatting sqref="W164">
    <cfRule type="expression" dxfId="3675" priority="68">
      <formula>AND($R$164,$S$164)</formula>
    </cfRule>
  </conditionalFormatting>
  <conditionalFormatting sqref="W164">
    <cfRule type="expression" dxfId="3674" priority="67">
      <formula>AND(IF($R$164,$W$164,TRUE),LEN(TRIM($W$164))&gt;0)</formula>
    </cfRule>
  </conditionalFormatting>
  <conditionalFormatting sqref="W164">
    <cfRule type="expression" dxfId="3673" priority="66">
      <formula>$S$164 = FALSE</formula>
    </cfRule>
  </conditionalFormatting>
  <conditionalFormatting sqref="W164">
    <cfRule type="expression" dxfId="3672" priority="65">
      <formula>OR($T$164 = TRUE, AND($W$164 = TRUE, $S$164 = FALSE))</formula>
    </cfRule>
  </conditionalFormatting>
  <conditionalFormatting sqref="W215">
    <cfRule type="expression" dxfId="3671" priority="64">
      <formula>AND($R$215,$S$215)</formula>
    </cfRule>
  </conditionalFormatting>
  <conditionalFormatting sqref="W215">
    <cfRule type="expression" dxfId="3670" priority="63">
      <formula>AND(IF($R$215,$W$215,TRUE),LEN(TRIM($W$215))&gt;0)</formula>
    </cfRule>
  </conditionalFormatting>
  <conditionalFormatting sqref="W215">
    <cfRule type="expression" dxfId="3669" priority="62">
      <formula>$S$215 = FALSE</formula>
    </cfRule>
  </conditionalFormatting>
  <conditionalFormatting sqref="W215">
    <cfRule type="expression" dxfId="3668" priority="61">
      <formula>OR($T$215 = TRUE, AND($W$215 = TRUE, $S$215 = FALSE))</formula>
    </cfRule>
  </conditionalFormatting>
  <conditionalFormatting sqref="W238">
    <cfRule type="expression" dxfId="3667" priority="60">
      <formula>AND($R$238,$S$238)</formula>
    </cfRule>
  </conditionalFormatting>
  <conditionalFormatting sqref="W238">
    <cfRule type="expression" dxfId="3666" priority="59">
      <formula>AND($W$238&lt;&gt;"Not Met",LEN(TRIM($W$238))&gt;0)</formula>
    </cfRule>
  </conditionalFormatting>
  <conditionalFormatting sqref="W238">
    <cfRule type="expression" dxfId="3665" priority="58">
      <formula>$S$238 = FALSE</formula>
    </cfRule>
  </conditionalFormatting>
  <conditionalFormatting sqref="W238">
    <cfRule type="expression" dxfId="3664" priority="57">
      <formula>OR($T$238 = TRUE, AND(LEN(TRIM($W$238))&gt;0, $S$238 = FALSE))</formula>
    </cfRule>
  </conditionalFormatting>
  <conditionalFormatting sqref="W286">
    <cfRule type="expression" dxfId="3663" priority="44">
      <formula>AND($R$286,$S$286)</formula>
    </cfRule>
  </conditionalFormatting>
  <conditionalFormatting sqref="W286">
    <cfRule type="expression" dxfId="3662" priority="43">
      <formula>AND(IF($R$286,$W$286,TRUE),LEN(TRIM($W$286))&gt;0)</formula>
    </cfRule>
  </conditionalFormatting>
  <conditionalFormatting sqref="W286">
    <cfRule type="expression" dxfId="3661" priority="42">
      <formula>$S$286 = FALSE</formula>
    </cfRule>
  </conditionalFormatting>
  <conditionalFormatting sqref="W286">
    <cfRule type="expression" dxfId="3660" priority="41">
      <formula>OR($T$286 = TRUE, AND($W$286 = TRUE, $S$286 = FALSE))</formula>
    </cfRule>
  </conditionalFormatting>
  <conditionalFormatting sqref="W288">
    <cfRule type="expression" dxfId="3659" priority="40">
      <formula>AND($R$288,$S$288)</formula>
    </cfRule>
  </conditionalFormatting>
  <conditionalFormatting sqref="W288">
    <cfRule type="expression" dxfId="3658" priority="39">
      <formula>AND(IF($R$288,$W$288,TRUE),LEN(TRIM($W$288))&gt;0)</formula>
    </cfRule>
  </conditionalFormatting>
  <conditionalFormatting sqref="W288">
    <cfRule type="expression" dxfId="3657" priority="38">
      <formula>$S$288 = FALSE</formula>
    </cfRule>
  </conditionalFormatting>
  <conditionalFormatting sqref="W288">
    <cfRule type="expression" dxfId="3656" priority="37">
      <formula>OR($T$288 = TRUE, AND($W$288 = TRUE, $S$288 = FALSE))</formula>
    </cfRule>
  </conditionalFormatting>
  <conditionalFormatting sqref="W319">
    <cfRule type="expression" dxfId="3655" priority="32">
      <formula>AND($R$319,$S$319)</formula>
    </cfRule>
  </conditionalFormatting>
  <conditionalFormatting sqref="W319">
    <cfRule type="expression" dxfId="3654" priority="31">
      <formula>AND(IF($R$319,$W$319,TRUE),LEN(TRIM($W$319))&gt;0)</formula>
    </cfRule>
  </conditionalFormatting>
  <conditionalFormatting sqref="W319">
    <cfRule type="expression" dxfId="3653" priority="30">
      <formula>$S$319 = FALSE</formula>
    </cfRule>
  </conditionalFormatting>
  <conditionalFormatting sqref="W319">
    <cfRule type="expression" dxfId="3652" priority="29">
      <formula>OR($T$319 = TRUE, AND($W$319 = TRUE, $S$319 = FALSE))</formula>
    </cfRule>
  </conditionalFormatting>
  <conditionalFormatting sqref="W354">
    <cfRule type="expression" dxfId="3651" priority="28">
      <formula>AND($R$354,$S$354)</formula>
    </cfRule>
  </conditionalFormatting>
  <conditionalFormatting sqref="W354">
    <cfRule type="expression" dxfId="3650" priority="27">
      <formula>AND(IF($R$354,$W$354,TRUE),LEN(TRIM($W$354))&gt;0)</formula>
    </cfRule>
  </conditionalFormatting>
  <conditionalFormatting sqref="W354">
    <cfRule type="expression" dxfId="3649" priority="26">
      <formula>$S$354 = FALSE</formula>
    </cfRule>
  </conditionalFormatting>
  <conditionalFormatting sqref="W354">
    <cfRule type="expression" dxfId="3648" priority="25">
      <formula>OR($T$354 = TRUE, AND($W$354 = TRUE, $S$354 = FALSE))</formula>
    </cfRule>
  </conditionalFormatting>
  <conditionalFormatting sqref="W362">
    <cfRule type="expression" dxfId="3647" priority="24">
      <formula>AND($R$362,$S$362)</formula>
    </cfRule>
  </conditionalFormatting>
  <conditionalFormatting sqref="W362">
    <cfRule type="expression" dxfId="3646" priority="23">
      <formula>AND(IF($R$362,$W$362,TRUE),LEN(TRIM($W$362))&gt;0)</formula>
    </cfRule>
  </conditionalFormatting>
  <conditionalFormatting sqref="W362">
    <cfRule type="expression" dxfId="3645" priority="22">
      <formula>$S$362 = FALSE</formula>
    </cfRule>
  </conditionalFormatting>
  <conditionalFormatting sqref="W362">
    <cfRule type="expression" dxfId="3644" priority="21">
      <formula>OR($T$362 = TRUE, AND($W$362 = TRUE, $S$362 = FALSE))</formula>
    </cfRule>
  </conditionalFormatting>
  <conditionalFormatting sqref="W374">
    <cfRule type="expression" dxfId="3643" priority="20">
      <formula>AND($R$374,$S$374)</formula>
    </cfRule>
  </conditionalFormatting>
  <conditionalFormatting sqref="W374">
    <cfRule type="expression" dxfId="3642" priority="19">
      <formula>AND(IF($R$374,$W$374,TRUE),LEN(TRIM($W$374))&gt;0)</formula>
    </cfRule>
  </conditionalFormatting>
  <conditionalFormatting sqref="W374">
    <cfRule type="expression" dxfId="3641" priority="18">
      <formula>$S$374 = FALSE</formula>
    </cfRule>
  </conditionalFormatting>
  <conditionalFormatting sqref="W374">
    <cfRule type="expression" dxfId="3640" priority="17">
      <formula>OR($T$374 = TRUE, AND($W$374 = TRUE, $S$374 = FALSE))</formula>
    </cfRule>
  </conditionalFormatting>
  <conditionalFormatting sqref="W375">
    <cfRule type="expression" dxfId="3639" priority="16">
      <formula>AND($R$375,$S$375)</formula>
    </cfRule>
  </conditionalFormatting>
  <conditionalFormatting sqref="W375">
    <cfRule type="expression" dxfId="3638" priority="15">
      <formula>AND(IF($R$375,$W$375,TRUE),LEN(TRIM($W$375))&gt;0)</formula>
    </cfRule>
  </conditionalFormatting>
  <conditionalFormatting sqref="W375">
    <cfRule type="expression" dxfId="3637" priority="14">
      <formula>$S$375 = FALSE</formula>
    </cfRule>
  </conditionalFormatting>
  <conditionalFormatting sqref="W375">
    <cfRule type="expression" dxfId="3636" priority="13">
      <formula>OR($T$375 = TRUE, AND($W$375 = TRUE, $S$375 = FALSE))</formula>
    </cfRule>
  </conditionalFormatting>
  <conditionalFormatting sqref="W377">
    <cfRule type="expression" dxfId="3635" priority="12">
      <formula>AND($R$377,$S$377)</formula>
    </cfRule>
  </conditionalFormatting>
  <conditionalFormatting sqref="W377">
    <cfRule type="expression" dxfId="3634" priority="11">
      <formula>AND(IF($R$377,$W$377,TRUE),LEN(TRIM($W$377))&gt;0)</formula>
    </cfRule>
  </conditionalFormatting>
  <conditionalFormatting sqref="W377">
    <cfRule type="expression" dxfId="3633" priority="10">
      <formula>$S$377 = FALSE</formula>
    </cfRule>
  </conditionalFormatting>
  <conditionalFormatting sqref="W377">
    <cfRule type="expression" dxfId="3632" priority="9">
      <formula>OR($T$377 = TRUE, AND($W$377 = TRUE, $S$377 = FALSE))</formula>
    </cfRule>
  </conditionalFormatting>
  <conditionalFormatting sqref="W382">
    <cfRule type="expression" dxfId="3631" priority="8">
      <formula>AND($R$382,$S$382)</formula>
    </cfRule>
  </conditionalFormatting>
  <conditionalFormatting sqref="W382">
    <cfRule type="expression" dxfId="3630" priority="7">
      <formula>AND(IF($R$382,$W$382,TRUE),LEN(TRIM($W$382))&gt;0)</formula>
    </cfRule>
  </conditionalFormatting>
  <conditionalFormatting sqref="W382">
    <cfRule type="expression" dxfId="3629" priority="6">
      <formula>$S$382 = FALSE</formula>
    </cfRule>
  </conditionalFormatting>
  <conditionalFormatting sqref="W382">
    <cfRule type="expression" dxfId="3628" priority="5">
      <formula>OR($T$382 = TRUE, AND($W$382 = TRUE, $S$382 = FALSE))</formula>
    </cfRule>
  </conditionalFormatting>
  <conditionalFormatting sqref="W290">
    <cfRule type="expression" dxfId="3627" priority="4">
      <formula>AND(R290,S290)</formula>
    </cfRule>
  </conditionalFormatting>
  <conditionalFormatting sqref="W290">
    <cfRule type="expression" dxfId="3626" priority="3">
      <formula>AND(IF(R290,W290,TRUE),LEN(TRIM(W290))&gt;0)</formula>
    </cfRule>
  </conditionalFormatting>
  <conditionalFormatting sqref="W290">
    <cfRule type="expression" dxfId="3625" priority="2">
      <formula>S290 = FALSE</formula>
    </cfRule>
  </conditionalFormatting>
  <conditionalFormatting sqref="W290">
    <cfRule type="expression" dxfId="3624" priority="1">
      <formula>OR(T290 = TRUE, AND(W290 = TRUE, S290 = FALSE))</formula>
    </cfRule>
  </conditionalFormatting>
  <dataValidations count="28">
    <dataValidation type="list" allowBlank="1" showDropDown="1" showInputMessage="1" showErrorMessage="1" error="Use Checkbox" prompt="Use Checkbox" sqref="W12 W18 W34 W55 W371 W366 W349 W344 W338:W339 W324 W322 W316 W314 W215 W235 W232 W230 W212 W210 W208 W197 W190 W186 W184 W178 W176 W172:W173 W135 W159 W154:W155 W149 W140 W68 W130 W119 W96 W93 W91 W62 W132:W133 W164 W374:W375 W377 W288 W286 W319 W362 W354 W382" xr:uid="{00000000-0002-0000-0700-000000000000}">
      <formula1>TorF</formula1>
    </dataValidation>
    <dataValidation type="list" allowBlank="1" showInputMessage="1" showErrorMessage="1" error="Please use the dropdown." sqref="W23" xr:uid="{00000000-0002-0000-0700-000001000000}">
      <formula1>INDIRECT($U$23)</formula1>
    </dataValidation>
    <dataValidation type="list" allowBlank="1" showInputMessage="1" showErrorMessage="1" error="Please use the dropdown." sqref="W26" xr:uid="{00000000-0002-0000-0700-000002000000}">
      <formula1>INDIRECT($U$26)</formula1>
    </dataValidation>
    <dataValidation type="list" allowBlank="1" showInputMessage="1" showErrorMessage="1" error="Please use the dropdown." sqref="W29" xr:uid="{00000000-0002-0000-0700-000003000000}">
      <formula1>INDIRECT($U$29)</formula1>
    </dataValidation>
    <dataValidation type="list" allowBlank="1" showInputMessage="1" showErrorMessage="1" error="Please use the dropdown." sqref="W37" xr:uid="{00000000-0002-0000-0700-000004000000}">
      <formula1>INDIRECT($U$37)</formula1>
    </dataValidation>
    <dataValidation type="list" allowBlank="1" showInputMessage="1" showErrorMessage="1" error="Please use the dropdown." sqref="W43" xr:uid="{00000000-0002-0000-0700-000005000000}">
      <formula1>INDIRECT($U$43)</formula1>
    </dataValidation>
    <dataValidation type="list" allowBlank="1" showInputMessage="1" showErrorMessage="1" error="Please use the dropdown." sqref="W46" xr:uid="{00000000-0002-0000-0700-000006000000}">
      <formula1>INDIRECT($U$46)</formula1>
    </dataValidation>
    <dataValidation type="list" allowBlank="1" showInputMessage="1" showErrorMessage="1" error="Please use the dropdown." sqref="W48" xr:uid="{00000000-0002-0000-0700-000007000000}">
      <formula1>INDIRECT($U$48)</formula1>
    </dataValidation>
    <dataValidation type="list" allowBlank="1" showInputMessage="1" showErrorMessage="1" error="Please use the dropdown." sqref="W51" xr:uid="{00000000-0002-0000-0700-000008000000}">
      <formula1>INDIRECT($U$51)</formula1>
    </dataValidation>
    <dataValidation type="list" allowBlank="1" showInputMessage="1" showErrorMessage="1" error="Please use the dropdown." sqref="W53" xr:uid="{00000000-0002-0000-0700-000009000000}">
      <formula1>INDIRECT($U$53)</formula1>
    </dataValidation>
    <dataValidation type="list" allowBlank="1" showInputMessage="1" showErrorMessage="1" error="Please use the dropdown." sqref="W58" xr:uid="{00000000-0002-0000-0700-00000A000000}">
      <formula1>INDIRECT($U$58)</formula1>
    </dataValidation>
    <dataValidation type="list" allowBlank="1" showInputMessage="1" showErrorMessage="1" error="Please use the dropdown." sqref="W60" xr:uid="{00000000-0002-0000-0700-00000B000000}">
      <formula1>INDIRECT($U$60)</formula1>
    </dataValidation>
    <dataValidation type="list" allowBlank="1" showInputMessage="1" showErrorMessage="1" error="Please use the dropdown." sqref="W72" xr:uid="{00000000-0002-0000-0700-00000C000000}">
      <formula1>INDIRECT($U$72)</formula1>
    </dataValidation>
    <dataValidation type="list" allowBlank="1" showInputMessage="1" showErrorMessage="1" error="Please use the dropdown." sqref="W77" xr:uid="{00000000-0002-0000-0700-00000D000000}">
      <formula1>INDIRECT($U$77)</formula1>
    </dataValidation>
    <dataValidation type="list" allowBlank="1" showInputMessage="1" showErrorMessage="1" error="Please use the dropdown." sqref="W78" xr:uid="{00000000-0002-0000-0700-00000E000000}">
      <formula1>INDIRECT($U$78)</formula1>
    </dataValidation>
    <dataValidation type="list" allowBlank="1" showInputMessage="1" showErrorMessage="1" error="Please use the dropdown." sqref="W79" xr:uid="{00000000-0002-0000-0700-00000F000000}">
      <formula1>INDIRECT($U$79)</formula1>
    </dataValidation>
    <dataValidation type="list" allowBlank="1" showInputMessage="1" showErrorMessage="1" error="Please use the dropdown." sqref="W80" xr:uid="{00000000-0002-0000-0700-000010000000}">
      <formula1>INDIRECT($U$80)</formula1>
    </dataValidation>
    <dataValidation type="list" allowBlank="1" showInputMessage="1" showErrorMessage="1" error="Please use the dropdown." sqref="W188" xr:uid="{00000000-0002-0000-0700-000011000000}">
      <formula1>INDIRECT($U$188)</formula1>
    </dataValidation>
    <dataValidation type="list" allowBlank="1" showInputMessage="1" showErrorMessage="1" error="Please use the dropdown." sqref="W219" xr:uid="{00000000-0002-0000-0700-000012000000}">
      <formula1>INDIRECT($U$219)</formula1>
    </dataValidation>
    <dataValidation type="list" allowBlank="1" showInputMessage="1" showErrorMessage="1" error="Please use the dropdown." sqref="W328" xr:uid="{00000000-0002-0000-0700-000014000000}">
      <formula1>INDIRECT($U$328)</formula1>
    </dataValidation>
    <dataValidation type="list" allowBlank="1" showInputMessage="1" showErrorMessage="1" error="Please use the dropdown." sqref="W332" xr:uid="{00000000-0002-0000-0700-000015000000}">
      <formula1>INDIRECT($U$332)</formula1>
    </dataValidation>
    <dataValidation type="decimal" allowBlank="1" showDropDown="1" showInputMessage="1" showErrorMessage="1" error="Enter Percentage" prompt="Enter Percentage" sqref="W105 W115:W116" xr:uid="{00000000-0002-0000-0700-000016000000}">
      <formula1>0</formula1>
      <formula2>1</formula2>
    </dataValidation>
    <dataValidation type="whole" allowBlank="1" showDropDown="1" showInputMessage="1" showErrorMessage="1" error="Enter a whole number" prompt="Enter number of timers" sqref="W194" xr:uid="{00000000-0002-0000-0700-000017000000}">
      <formula1>0</formula1>
      <formula2>10</formula2>
    </dataValidation>
    <dataValidation type="whole" allowBlank="1" showDropDown="1" showInputMessage="1" showErrorMessage="1" error="Enter a whole number" prompt="Enter number of humidistats" sqref="W196" xr:uid="{00000000-0002-0000-0700-000018000000}">
      <formula1>0</formula1>
      <formula2>10</formula2>
    </dataValidation>
    <dataValidation type="list" allowBlank="1" showInputMessage="1" showErrorMessage="1" error="Please use the dropdown." sqref="W168" xr:uid="{00000000-0002-0000-0700-000019000000}">
      <formula1>INDIRECT($U$168)</formula1>
    </dataValidation>
    <dataValidation type="whole" allowBlank="1" showDropDown="1" showInputMessage="1" showErrorMessage="1" error="Enter a whole number" prompt="Enter number of fans" sqref="W203 W205" xr:uid="{00000000-0002-0000-0700-00001A000000}">
      <formula1>0</formula1>
      <formula2>10</formula2>
    </dataValidation>
    <dataValidation type="list" allowBlank="1" showInputMessage="1" showErrorMessage="1" error="Please use the dropdown." sqref="W238" xr:uid="{E9794D67-6DFA-494F-9A9D-3CB6916B6058}">
      <formula1>INDIRECT($U$238)</formula1>
    </dataValidation>
    <dataValidation type="decimal" allowBlank="1" showDropDown="1" showInputMessage="1" showErrorMessage="1" error="Enter a number" prompt="Enter Test Results" sqref="W290" xr:uid="{00FE5312-2CD7-40BC-8515-A03D190B2555}">
      <formula1>0</formula1>
      <formula2>10</formula2>
    </dataValidation>
  </dataValidations>
  <hyperlinks>
    <hyperlink ref="L134" location="'Table 901.9.1'!A1" display="See Table 901.9.1" xr:uid="{00000000-0004-0000-0700-000000000000}"/>
    <hyperlink ref="L139" location="'Table 901.9.2'!A1" display="See Table 901.9.2" xr:uid="{00000000-0004-0000-0700-000001000000}"/>
    <hyperlink ref="L158" location="'Table 901.10(3)'!A1" display="See Table 901.10(3)" xr:uid="{00000000-0004-0000-0700-000002000000}"/>
    <hyperlink ref="X386" location="'Ch10'!A1" display="CLICK TO PROCEED TO CHAPTER 10 &gt;&gt;" xr:uid="{00000000-0004-0000-0700-000003000000}"/>
  </hyperlinks>
  <pageMargins left="0.7" right="0.7" top="0.75" bottom="0.75" header="0.3" footer="0.3"/>
  <pageSetup scale="44" fitToHeight="0" orientation="portrait" r:id="rId1"/>
  <rowBreaks count="4" manualBreakCount="4">
    <brk id="97" max="16383" man="1"/>
    <brk id="179" max="16383" man="1"/>
    <brk id="237" max="16383" man="1"/>
    <brk id="3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locked="0" defaultSize="0" autoFill="0" autoLine="0" autoPict="0">
                <anchor moveWithCells="1" sizeWithCells="1">
                  <from>
                    <xdr:col>22</xdr:col>
                    <xdr:colOff>0</xdr:colOff>
                    <xdr:row>11</xdr:row>
                    <xdr:rowOff>0</xdr:rowOff>
                  </from>
                  <to>
                    <xdr:col>22</xdr:col>
                    <xdr:colOff>180975</xdr:colOff>
                    <xdr:row>11</xdr:row>
                    <xdr:rowOff>180975</xdr:rowOff>
                  </to>
                </anchor>
              </controlPr>
            </control>
          </mc:Choice>
        </mc:AlternateContent>
        <mc:AlternateContent xmlns:mc="http://schemas.openxmlformats.org/markup-compatibility/2006">
          <mc:Choice Requires="x14">
            <control shapeId="7172" r:id="rId5" name="Check Box 4">
              <controlPr locked="0" defaultSize="0" autoFill="0" autoLine="0" autoPict="0">
                <anchor moveWithCells="1" sizeWithCells="1">
                  <from>
                    <xdr:col>22</xdr:col>
                    <xdr:colOff>0</xdr:colOff>
                    <xdr:row>17</xdr:row>
                    <xdr:rowOff>0</xdr:rowOff>
                  </from>
                  <to>
                    <xdr:col>22</xdr:col>
                    <xdr:colOff>180975</xdr:colOff>
                    <xdr:row>17</xdr:row>
                    <xdr:rowOff>180975</xdr:rowOff>
                  </to>
                </anchor>
              </controlPr>
            </control>
          </mc:Choice>
        </mc:AlternateContent>
        <mc:AlternateContent xmlns:mc="http://schemas.openxmlformats.org/markup-compatibility/2006">
          <mc:Choice Requires="x14">
            <control shapeId="7174" r:id="rId6" name="Check Box 6">
              <controlPr locked="0" defaultSize="0" autoFill="0" autoLine="0" autoPict="0">
                <anchor moveWithCells="1" sizeWithCells="1">
                  <from>
                    <xdr:col>22</xdr:col>
                    <xdr:colOff>0</xdr:colOff>
                    <xdr:row>33</xdr:row>
                    <xdr:rowOff>0</xdr:rowOff>
                  </from>
                  <to>
                    <xdr:col>22</xdr:col>
                    <xdr:colOff>180975</xdr:colOff>
                    <xdr:row>33</xdr:row>
                    <xdr:rowOff>180975</xdr:rowOff>
                  </to>
                </anchor>
              </controlPr>
            </control>
          </mc:Choice>
        </mc:AlternateContent>
        <mc:AlternateContent xmlns:mc="http://schemas.openxmlformats.org/markup-compatibility/2006">
          <mc:Choice Requires="x14">
            <control shapeId="7177" r:id="rId7" name="Check Box 9">
              <controlPr locked="0" defaultSize="0" autoFill="0" autoLine="0" autoPict="0">
                <anchor moveWithCells="1" sizeWithCells="1">
                  <from>
                    <xdr:col>22</xdr:col>
                    <xdr:colOff>0</xdr:colOff>
                    <xdr:row>54</xdr:row>
                    <xdr:rowOff>0</xdr:rowOff>
                  </from>
                  <to>
                    <xdr:col>22</xdr:col>
                    <xdr:colOff>180975</xdr:colOff>
                    <xdr:row>54</xdr:row>
                    <xdr:rowOff>180975</xdr:rowOff>
                  </to>
                </anchor>
              </controlPr>
            </control>
          </mc:Choice>
        </mc:AlternateContent>
        <mc:AlternateContent xmlns:mc="http://schemas.openxmlformats.org/markup-compatibility/2006">
          <mc:Choice Requires="x14">
            <control shapeId="7182" r:id="rId8" name="Check Box 14">
              <controlPr locked="0" defaultSize="0" autoFill="0" autoLine="0" autoPict="0">
                <anchor moveWithCells="1" sizeWithCells="1">
                  <from>
                    <xdr:col>22</xdr:col>
                    <xdr:colOff>0</xdr:colOff>
                    <xdr:row>67</xdr:row>
                    <xdr:rowOff>0</xdr:rowOff>
                  </from>
                  <to>
                    <xdr:col>22</xdr:col>
                    <xdr:colOff>180975</xdr:colOff>
                    <xdr:row>67</xdr:row>
                    <xdr:rowOff>180975</xdr:rowOff>
                  </to>
                </anchor>
              </controlPr>
            </control>
          </mc:Choice>
        </mc:AlternateContent>
        <mc:AlternateContent xmlns:mc="http://schemas.openxmlformats.org/markup-compatibility/2006">
          <mc:Choice Requires="x14">
            <control shapeId="7184" r:id="rId9" name="Check Box 16">
              <controlPr locked="0" defaultSize="0" autoFill="0" autoLine="0" autoPict="0">
                <anchor moveWithCells="1" sizeWithCells="1">
                  <from>
                    <xdr:col>22</xdr:col>
                    <xdr:colOff>0</xdr:colOff>
                    <xdr:row>61</xdr:row>
                    <xdr:rowOff>0</xdr:rowOff>
                  </from>
                  <to>
                    <xdr:col>22</xdr:col>
                    <xdr:colOff>180975</xdr:colOff>
                    <xdr:row>61</xdr:row>
                    <xdr:rowOff>180975</xdr:rowOff>
                  </to>
                </anchor>
              </controlPr>
            </control>
          </mc:Choice>
        </mc:AlternateContent>
        <mc:AlternateContent xmlns:mc="http://schemas.openxmlformats.org/markup-compatibility/2006">
          <mc:Choice Requires="x14">
            <control shapeId="7187" r:id="rId10" name="Check Box 19">
              <controlPr locked="0" defaultSize="0" autoFill="0" autoLine="0" autoPict="0">
                <anchor moveWithCells="1" sizeWithCells="1">
                  <from>
                    <xdr:col>22</xdr:col>
                    <xdr:colOff>0</xdr:colOff>
                    <xdr:row>90</xdr:row>
                    <xdr:rowOff>0</xdr:rowOff>
                  </from>
                  <to>
                    <xdr:col>22</xdr:col>
                    <xdr:colOff>180975</xdr:colOff>
                    <xdr:row>90</xdr:row>
                    <xdr:rowOff>180975</xdr:rowOff>
                  </to>
                </anchor>
              </controlPr>
            </control>
          </mc:Choice>
        </mc:AlternateContent>
        <mc:AlternateContent xmlns:mc="http://schemas.openxmlformats.org/markup-compatibility/2006">
          <mc:Choice Requires="x14">
            <control shapeId="7188" r:id="rId11" name="Check Box 20">
              <controlPr locked="0" defaultSize="0" autoFill="0" autoLine="0" autoPict="0">
                <anchor moveWithCells="1" sizeWithCells="1">
                  <from>
                    <xdr:col>22</xdr:col>
                    <xdr:colOff>0</xdr:colOff>
                    <xdr:row>92</xdr:row>
                    <xdr:rowOff>0</xdr:rowOff>
                  </from>
                  <to>
                    <xdr:col>22</xdr:col>
                    <xdr:colOff>180975</xdr:colOff>
                    <xdr:row>92</xdr:row>
                    <xdr:rowOff>180975</xdr:rowOff>
                  </to>
                </anchor>
              </controlPr>
            </control>
          </mc:Choice>
        </mc:AlternateContent>
        <mc:AlternateContent xmlns:mc="http://schemas.openxmlformats.org/markup-compatibility/2006">
          <mc:Choice Requires="x14">
            <control shapeId="7189" r:id="rId12" name="Check Box 21">
              <controlPr locked="0" defaultSize="0" autoFill="0" autoLine="0" autoPict="0">
                <anchor moveWithCells="1" sizeWithCells="1">
                  <from>
                    <xdr:col>22</xdr:col>
                    <xdr:colOff>0</xdr:colOff>
                    <xdr:row>95</xdr:row>
                    <xdr:rowOff>0</xdr:rowOff>
                  </from>
                  <to>
                    <xdr:col>22</xdr:col>
                    <xdr:colOff>180975</xdr:colOff>
                    <xdr:row>95</xdr:row>
                    <xdr:rowOff>180975</xdr:rowOff>
                  </to>
                </anchor>
              </controlPr>
            </control>
          </mc:Choice>
        </mc:AlternateContent>
        <mc:AlternateContent xmlns:mc="http://schemas.openxmlformats.org/markup-compatibility/2006">
          <mc:Choice Requires="x14">
            <control shapeId="7191" r:id="rId13" name="Check Box 23">
              <controlPr locked="0" defaultSize="0" autoFill="0" autoLine="0" autoPict="0">
                <anchor moveWithCells="1" sizeWithCells="1">
                  <from>
                    <xdr:col>22</xdr:col>
                    <xdr:colOff>0</xdr:colOff>
                    <xdr:row>118</xdr:row>
                    <xdr:rowOff>0</xdr:rowOff>
                  </from>
                  <to>
                    <xdr:col>22</xdr:col>
                    <xdr:colOff>180975</xdr:colOff>
                    <xdr:row>118</xdr:row>
                    <xdr:rowOff>180975</xdr:rowOff>
                  </to>
                </anchor>
              </controlPr>
            </control>
          </mc:Choice>
        </mc:AlternateContent>
        <mc:AlternateContent xmlns:mc="http://schemas.openxmlformats.org/markup-compatibility/2006">
          <mc:Choice Requires="x14">
            <control shapeId="7192" r:id="rId14" name="Check Box 24">
              <controlPr locked="0" defaultSize="0" autoFill="0" autoLine="0" autoPict="0">
                <anchor moveWithCells="1" sizeWithCells="1">
                  <from>
                    <xdr:col>22</xdr:col>
                    <xdr:colOff>0</xdr:colOff>
                    <xdr:row>129</xdr:row>
                    <xdr:rowOff>0</xdr:rowOff>
                  </from>
                  <to>
                    <xdr:col>22</xdr:col>
                    <xdr:colOff>180975</xdr:colOff>
                    <xdr:row>129</xdr:row>
                    <xdr:rowOff>180975</xdr:rowOff>
                  </to>
                </anchor>
              </controlPr>
            </control>
          </mc:Choice>
        </mc:AlternateContent>
        <mc:AlternateContent xmlns:mc="http://schemas.openxmlformats.org/markup-compatibility/2006">
          <mc:Choice Requires="x14">
            <control shapeId="7193" r:id="rId15" name="Check Box 25">
              <controlPr locked="0" defaultSize="0" autoFill="0" autoLine="0" autoPict="0">
                <anchor moveWithCells="1" sizeWithCells="1">
                  <from>
                    <xdr:col>22</xdr:col>
                    <xdr:colOff>0</xdr:colOff>
                    <xdr:row>131</xdr:row>
                    <xdr:rowOff>0</xdr:rowOff>
                  </from>
                  <to>
                    <xdr:col>22</xdr:col>
                    <xdr:colOff>180975</xdr:colOff>
                    <xdr:row>131</xdr:row>
                    <xdr:rowOff>180975</xdr:rowOff>
                  </to>
                </anchor>
              </controlPr>
            </control>
          </mc:Choice>
        </mc:AlternateContent>
        <mc:AlternateContent xmlns:mc="http://schemas.openxmlformats.org/markup-compatibility/2006">
          <mc:Choice Requires="x14">
            <control shapeId="7194" r:id="rId16" name="Check Box 26">
              <controlPr locked="0" defaultSize="0" autoFill="0" autoLine="0" autoPict="0">
                <anchor moveWithCells="1" sizeWithCells="1">
                  <from>
                    <xdr:col>22</xdr:col>
                    <xdr:colOff>0</xdr:colOff>
                    <xdr:row>132</xdr:row>
                    <xdr:rowOff>0</xdr:rowOff>
                  </from>
                  <to>
                    <xdr:col>22</xdr:col>
                    <xdr:colOff>180975</xdr:colOff>
                    <xdr:row>132</xdr:row>
                    <xdr:rowOff>180975</xdr:rowOff>
                  </to>
                </anchor>
              </controlPr>
            </control>
          </mc:Choice>
        </mc:AlternateContent>
        <mc:AlternateContent xmlns:mc="http://schemas.openxmlformats.org/markup-compatibility/2006">
          <mc:Choice Requires="x14">
            <control shapeId="7195" r:id="rId17" name="Check Box 27">
              <controlPr locked="0" defaultSize="0" autoFill="0" autoLine="0" autoPict="0">
                <anchor moveWithCells="1" sizeWithCells="1">
                  <from>
                    <xdr:col>22</xdr:col>
                    <xdr:colOff>0</xdr:colOff>
                    <xdr:row>139</xdr:row>
                    <xdr:rowOff>0</xdr:rowOff>
                  </from>
                  <to>
                    <xdr:col>22</xdr:col>
                    <xdr:colOff>180975</xdr:colOff>
                    <xdr:row>139</xdr:row>
                    <xdr:rowOff>180975</xdr:rowOff>
                  </to>
                </anchor>
              </controlPr>
            </control>
          </mc:Choice>
        </mc:AlternateContent>
        <mc:AlternateContent xmlns:mc="http://schemas.openxmlformats.org/markup-compatibility/2006">
          <mc:Choice Requires="x14">
            <control shapeId="7196" r:id="rId18" name="Check Box 28">
              <controlPr locked="0" defaultSize="0" autoFill="0" autoLine="0" autoPict="0">
                <anchor moveWithCells="1" sizeWithCells="1">
                  <from>
                    <xdr:col>22</xdr:col>
                    <xdr:colOff>0</xdr:colOff>
                    <xdr:row>148</xdr:row>
                    <xdr:rowOff>0</xdr:rowOff>
                  </from>
                  <to>
                    <xdr:col>22</xdr:col>
                    <xdr:colOff>180975</xdr:colOff>
                    <xdr:row>148</xdr:row>
                    <xdr:rowOff>180975</xdr:rowOff>
                  </to>
                </anchor>
              </controlPr>
            </control>
          </mc:Choice>
        </mc:AlternateContent>
        <mc:AlternateContent xmlns:mc="http://schemas.openxmlformats.org/markup-compatibility/2006">
          <mc:Choice Requires="x14">
            <control shapeId="7197" r:id="rId19" name="Check Box 29">
              <controlPr locked="0" defaultSize="0" autoFill="0" autoLine="0" autoPict="0">
                <anchor moveWithCells="1" sizeWithCells="1">
                  <from>
                    <xdr:col>22</xdr:col>
                    <xdr:colOff>0</xdr:colOff>
                    <xdr:row>153</xdr:row>
                    <xdr:rowOff>0</xdr:rowOff>
                  </from>
                  <to>
                    <xdr:col>22</xdr:col>
                    <xdr:colOff>180975</xdr:colOff>
                    <xdr:row>153</xdr:row>
                    <xdr:rowOff>180975</xdr:rowOff>
                  </to>
                </anchor>
              </controlPr>
            </control>
          </mc:Choice>
        </mc:AlternateContent>
        <mc:AlternateContent xmlns:mc="http://schemas.openxmlformats.org/markup-compatibility/2006">
          <mc:Choice Requires="x14">
            <control shapeId="7198" r:id="rId20" name="Check Box 30">
              <controlPr locked="0" defaultSize="0" autoFill="0" autoLine="0" autoPict="0">
                <anchor moveWithCells="1" sizeWithCells="1">
                  <from>
                    <xdr:col>22</xdr:col>
                    <xdr:colOff>0</xdr:colOff>
                    <xdr:row>154</xdr:row>
                    <xdr:rowOff>0</xdr:rowOff>
                  </from>
                  <to>
                    <xdr:col>22</xdr:col>
                    <xdr:colOff>180975</xdr:colOff>
                    <xdr:row>154</xdr:row>
                    <xdr:rowOff>180975</xdr:rowOff>
                  </to>
                </anchor>
              </controlPr>
            </control>
          </mc:Choice>
        </mc:AlternateContent>
        <mc:AlternateContent xmlns:mc="http://schemas.openxmlformats.org/markup-compatibility/2006">
          <mc:Choice Requires="x14">
            <control shapeId="7199" r:id="rId21" name="Check Box 31">
              <controlPr locked="0" defaultSize="0" autoFill="0" autoLine="0" autoPict="0">
                <anchor moveWithCells="1" sizeWithCells="1">
                  <from>
                    <xdr:col>22</xdr:col>
                    <xdr:colOff>0</xdr:colOff>
                    <xdr:row>158</xdr:row>
                    <xdr:rowOff>0</xdr:rowOff>
                  </from>
                  <to>
                    <xdr:col>22</xdr:col>
                    <xdr:colOff>180975</xdr:colOff>
                    <xdr:row>158</xdr:row>
                    <xdr:rowOff>180975</xdr:rowOff>
                  </to>
                </anchor>
              </controlPr>
            </control>
          </mc:Choice>
        </mc:AlternateContent>
        <mc:AlternateContent xmlns:mc="http://schemas.openxmlformats.org/markup-compatibility/2006">
          <mc:Choice Requires="x14">
            <control shapeId="7201" r:id="rId22" name="Check Box 33">
              <controlPr locked="0" defaultSize="0" autoFill="0" autoLine="0" autoPict="0">
                <anchor moveWithCells="1" sizeWithCells="1">
                  <from>
                    <xdr:col>22</xdr:col>
                    <xdr:colOff>0</xdr:colOff>
                    <xdr:row>171</xdr:row>
                    <xdr:rowOff>0</xdr:rowOff>
                  </from>
                  <to>
                    <xdr:col>22</xdr:col>
                    <xdr:colOff>180975</xdr:colOff>
                    <xdr:row>171</xdr:row>
                    <xdr:rowOff>180975</xdr:rowOff>
                  </to>
                </anchor>
              </controlPr>
            </control>
          </mc:Choice>
        </mc:AlternateContent>
        <mc:AlternateContent xmlns:mc="http://schemas.openxmlformats.org/markup-compatibility/2006">
          <mc:Choice Requires="x14">
            <control shapeId="7202" r:id="rId23" name="Check Box 34">
              <controlPr locked="0" defaultSize="0" autoFill="0" autoLine="0" autoPict="0">
                <anchor moveWithCells="1" sizeWithCells="1">
                  <from>
                    <xdr:col>22</xdr:col>
                    <xdr:colOff>0</xdr:colOff>
                    <xdr:row>172</xdr:row>
                    <xdr:rowOff>0</xdr:rowOff>
                  </from>
                  <to>
                    <xdr:col>22</xdr:col>
                    <xdr:colOff>180975</xdr:colOff>
                    <xdr:row>172</xdr:row>
                    <xdr:rowOff>180975</xdr:rowOff>
                  </to>
                </anchor>
              </controlPr>
            </control>
          </mc:Choice>
        </mc:AlternateContent>
        <mc:AlternateContent xmlns:mc="http://schemas.openxmlformats.org/markup-compatibility/2006">
          <mc:Choice Requires="x14">
            <control shapeId="7203" r:id="rId24" name="Check Box 35">
              <controlPr locked="0" defaultSize="0" autoFill="0" autoLine="0" autoPict="0">
                <anchor moveWithCells="1" sizeWithCells="1">
                  <from>
                    <xdr:col>22</xdr:col>
                    <xdr:colOff>0</xdr:colOff>
                    <xdr:row>175</xdr:row>
                    <xdr:rowOff>0</xdr:rowOff>
                  </from>
                  <to>
                    <xdr:col>22</xdr:col>
                    <xdr:colOff>180975</xdr:colOff>
                    <xdr:row>175</xdr:row>
                    <xdr:rowOff>180975</xdr:rowOff>
                  </to>
                </anchor>
              </controlPr>
            </control>
          </mc:Choice>
        </mc:AlternateContent>
        <mc:AlternateContent xmlns:mc="http://schemas.openxmlformats.org/markup-compatibility/2006">
          <mc:Choice Requires="x14">
            <control shapeId="7204" r:id="rId25" name="Check Box 36">
              <controlPr locked="0" defaultSize="0" autoFill="0" autoLine="0" autoPict="0">
                <anchor moveWithCells="1" sizeWithCells="1">
                  <from>
                    <xdr:col>22</xdr:col>
                    <xdr:colOff>0</xdr:colOff>
                    <xdr:row>177</xdr:row>
                    <xdr:rowOff>0</xdr:rowOff>
                  </from>
                  <to>
                    <xdr:col>22</xdr:col>
                    <xdr:colOff>180975</xdr:colOff>
                    <xdr:row>177</xdr:row>
                    <xdr:rowOff>180975</xdr:rowOff>
                  </to>
                </anchor>
              </controlPr>
            </control>
          </mc:Choice>
        </mc:AlternateContent>
        <mc:AlternateContent xmlns:mc="http://schemas.openxmlformats.org/markup-compatibility/2006">
          <mc:Choice Requires="x14">
            <control shapeId="7205" r:id="rId26" name="Check Box 37">
              <controlPr locked="0" defaultSize="0" autoFill="0" autoLine="0" autoPict="0">
                <anchor moveWithCells="1" sizeWithCells="1">
                  <from>
                    <xdr:col>22</xdr:col>
                    <xdr:colOff>0</xdr:colOff>
                    <xdr:row>183</xdr:row>
                    <xdr:rowOff>0</xdr:rowOff>
                  </from>
                  <to>
                    <xdr:col>22</xdr:col>
                    <xdr:colOff>180975</xdr:colOff>
                    <xdr:row>183</xdr:row>
                    <xdr:rowOff>180975</xdr:rowOff>
                  </to>
                </anchor>
              </controlPr>
            </control>
          </mc:Choice>
        </mc:AlternateContent>
        <mc:AlternateContent xmlns:mc="http://schemas.openxmlformats.org/markup-compatibility/2006">
          <mc:Choice Requires="x14">
            <control shapeId="7206" r:id="rId27" name="Check Box 38">
              <controlPr locked="0" defaultSize="0" autoFill="0" autoLine="0" autoPict="0">
                <anchor moveWithCells="1" sizeWithCells="1">
                  <from>
                    <xdr:col>22</xdr:col>
                    <xdr:colOff>0</xdr:colOff>
                    <xdr:row>185</xdr:row>
                    <xdr:rowOff>0</xdr:rowOff>
                  </from>
                  <to>
                    <xdr:col>22</xdr:col>
                    <xdr:colOff>180975</xdr:colOff>
                    <xdr:row>185</xdr:row>
                    <xdr:rowOff>180975</xdr:rowOff>
                  </to>
                </anchor>
              </controlPr>
            </control>
          </mc:Choice>
        </mc:AlternateContent>
        <mc:AlternateContent xmlns:mc="http://schemas.openxmlformats.org/markup-compatibility/2006">
          <mc:Choice Requires="x14">
            <control shapeId="7207" r:id="rId28" name="Check Box 39">
              <controlPr locked="0" defaultSize="0" autoFill="0" autoLine="0" autoPict="0">
                <anchor moveWithCells="1" sizeWithCells="1">
                  <from>
                    <xdr:col>22</xdr:col>
                    <xdr:colOff>0</xdr:colOff>
                    <xdr:row>189</xdr:row>
                    <xdr:rowOff>0</xdr:rowOff>
                  </from>
                  <to>
                    <xdr:col>22</xdr:col>
                    <xdr:colOff>180975</xdr:colOff>
                    <xdr:row>189</xdr:row>
                    <xdr:rowOff>180975</xdr:rowOff>
                  </to>
                </anchor>
              </controlPr>
            </control>
          </mc:Choice>
        </mc:AlternateContent>
        <mc:AlternateContent xmlns:mc="http://schemas.openxmlformats.org/markup-compatibility/2006">
          <mc:Choice Requires="x14">
            <control shapeId="7208" r:id="rId29" name="Check Box 40">
              <controlPr locked="0" defaultSize="0" autoFill="0" autoLine="0" autoPict="0">
                <anchor moveWithCells="1" sizeWithCells="1">
                  <from>
                    <xdr:col>22</xdr:col>
                    <xdr:colOff>0</xdr:colOff>
                    <xdr:row>196</xdr:row>
                    <xdr:rowOff>0</xdr:rowOff>
                  </from>
                  <to>
                    <xdr:col>22</xdr:col>
                    <xdr:colOff>180975</xdr:colOff>
                    <xdr:row>196</xdr:row>
                    <xdr:rowOff>180975</xdr:rowOff>
                  </to>
                </anchor>
              </controlPr>
            </control>
          </mc:Choice>
        </mc:AlternateContent>
        <mc:AlternateContent xmlns:mc="http://schemas.openxmlformats.org/markup-compatibility/2006">
          <mc:Choice Requires="x14">
            <control shapeId="7209" r:id="rId30" name="Check Box 41">
              <controlPr locked="0" defaultSize="0" autoFill="0" autoLine="0" autoPict="0">
                <anchor moveWithCells="1" sizeWithCells="1">
                  <from>
                    <xdr:col>22</xdr:col>
                    <xdr:colOff>0</xdr:colOff>
                    <xdr:row>207</xdr:row>
                    <xdr:rowOff>0</xdr:rowOff>
                  </from>
                  <to>
                    <xdr:col>22</xdr:col>
                    <xdr:colOff>180975</xdr:colOff>
                    <xdr:row>207</xdr:row>
                    <xdr:rowOff>180975</xdr:rowOff>
                  </to>
                </anchor>
              </controlPr>
            </control>
          </mc:Choice>
        </mc:AlternateContent>
        <mc:AlternateContent xmlns:mc="http://schemas.openxmlformats.org/markup-compatibility/2006">
          <mc:Choice Requires="x14">
            <control shapeId="7210" r:id="rId31" name="Check Box 42">
              <controlPr locked="0" defaultSize="0" autoFill="0" autoLine="0" autoPict="0">
                <anchor moveWithCells="1" sizeWithCells="1">
                  <from>
                    <xdr:col>22</xdr:col>
                    <xdr:colOff>0</xdr:colOff>
                    <xdr:row>209</xdr:row>
                    <xdr:rowOff>0</xdr:rowOff>
                  </from>
                  <to>
                    <xdr:col>22</xdr:col>
                    <xdr:colOff>180975</xdr:colOff>
                    <xdr:row>209</xdr:row>
                    <xdr:rowOff>180975</xdr:rowOff>
                  </to>
                </anchor>
              </controlPr>
            </control>
          </mc:Choice>
        </mc:AlternateContent>
        <mc:AlternateContent xmlns:mc="http://schemas.openxmlformats.org/markup-compatibility/2006">
          <mc:Choice Requires="x14">
            <control shapeId="7211" r:id="rId32" name="Check Box 43">
              <controlPr locked="0" defaultSize="0" autoFill="0" autoLine="0" autoPict="0">
                <anchor moveWithCells="1" sizeWithCells="1">
                  <from>
                    <xdr:col>22</xdr:col>
                    <xdr:colOff>0</xdr:colOff>
                    <xdr:row>211</xdr:row>
                    <xdr:rowOff>0</xdr:rowOff>
                  </from>
                  <to>
                    <xdr:col>22</xdr:col>
                    <xdr:colOff>180975</xdr:colOff>
                    <xdr:row>211</xdr:row>
                    <xdr:rowOff>180975</xdr:rowOff>
                  </to>
                </anchor>
              </controlPr>
            </control>
          </mc:Choice>
        </mc:AlternateContent>
        <mc:AlternateContent xmlns:mc="http://schemas.openxmlformats.org/markup-compatibility/2006">
          <mc:Choice Requires="x14">
            <control shapeId="7212" r:id="rId33" name="Check Box 44">
              <controlPr locked="0" defaultSize="0" autoFill="0" autoLine="0" autoPict="0">
                <anchor moveWithCells="1" sizeWithCells="1">
                  <from>
                    <xdr:col>22</xdr:col>
                    <xdr:colOff>0</xdr:colOff>
                    <xdr:row>229</xdr:row>
                    <xdr:rowOff>0</xdr:rowOff>
                  </from>
                  <to>
                    <xdr:col>22</xdr:col>
                    <xdr:colOff>180975</xdr:colOff>
                    <xdr:row>229</xdr:row>
                    <xdr:rowOff>180975</xdr:rowOff>
                  </to>
                </anchor>
              </controlPr>
            </control>
          </mc:Choice>
        </mc:AlternateContent>
        <mc:AlternateContent xmlns:mc="http://schemas.openxmlformats.org/markup-compatibility/2006">
          <mc:Choice Requires="x14">
            <control shapeId="7213" r:id="rId34" name="Check Box 45">
              <controlPr locked="0" defaultSize="0" autoFill="0" autoLine="0" autoPict="0">
                <anchor moveWithCells="1" sizeWithCells="1">
                  <from>
                    <xdr:col>22</xdr:col>
                    <xdr:colOff>0</xdr:colOff>
                    <xdr:row>231</xdr:row>
                    <xdr:rowOff>0</xdr:rowOff>
                  </from>
                  <to>
                    <xdr:col>22</xdr:col>
                    <xdr:colOff>180975</xdr:colOff>
                    <xdr:row>231</xdr:row>
                    <xdr:rowOff>180975</xdr:rowOff>
                  </to>
                </anchor>
              </controlPr>
            </control>
          </mc:Choice>
        </mc:AlternateContent>
        <mc:AlternateContent xmlns:mc="http://schemas.openxmlformats.org/markup-compatibility/2006">
          <mc:Choice Requires="x14">
            <control shapeId="7214" r:id="rId35" name="Check Box 46">
              <controlPr locked="0" defaultSize="0" autoFill="0" autoLine="0" autoPict="0">
                <anchor moveWithCells="1" sizeWithCells="1">
                  <from>
                    <xdr:col>22</xdr:col>
                    <xdr:colOff>0</xdr:colOff>
                    <xdr:row>234</xdr:row>
                    <xdr:rowOff>0</xdr:rowOff>
                  </from>
                  <to>
                    <xdr:col>22</xdr:col>
                    <xdr:colOff>180975</xdr:colOff>
                    <xdr:row>234</xdr:row>
                    <xdr:rowOff>180975</xdr:rowOff>
                  </to>
                </anchor>
              </controlPr>
            </control>
          </mc:Choice>
        </mc:AlternateContent>
        <mc:AlternateContent xmlns:mc="http://schemas.openxmlformats.org/markup-compatibility/2006">
          <mc:Choice Requires="x14">
            <control shapeId="7216" r:id="rId36" name="Check Box 48">
              <controlPr locked="0" defaultSize="0" autoFill="0" autoLine="0" autoPict="0">
                <anchor moveWithCells="1" sizeWithCells="1">
                  <from>
                    <xdr:col>22</xdr:col>
                    <xdr:colOff>0</xdr:colOff>
                    <xdr:row>313</xdr:row>
                    <xdr:rowOff>0</xdr:rowOff>
                  </from>
                  <to>
                    <xdr:col>22</xdr:col>
                    <xdr:colOff>180975</xdr:colOff>
                    <xdr:row>313</xdr:row>
                    <xdr:rowOff>180975</xdr:rowOff>
                  </to>
                </anchor>
              </controlPr>
            </control>
          </mc:Choice>
        </mc:AlternateContent>
        <mc:AlternateContent xmlns:mc="http://schemas.openxmlformats.org/markup-compatibility/2006">
          <mc:Choice Requires="x14">
            <control shapeId="7217" r:id="rId37" name="Check Box 49">
              <controlPr locked="0" defaultSize="0" autoFill="0" autoLine="0" autoPict="0">
                <anchor moveWithCells="1" sizeWithCells="1">
                  <from>
                    <xdr:col>22</xdr:col>
                    <xdr:colOff>0</xdr:colOff>
                    <xdr:row>315</xdr:row>
                    <xdr:rowOff>0</xdr:rowOff>
                  </from>
                  <to>
                    <xdr:col>22</xdr:col>
                    <xdr:colOff>180975</xdr:colOff>
                    <xdr:row>315</xdr:row>
                    <xdr:rowOff>180975</xdr:rowOff>
                  </to>
                </anchor>
              </controlPr>
            </control>
          </mc:Choice>
        </mc:AlternateContent>
        <mc:AlternateContent xmlns:mc="http://schemas.openxmlformats.org/markup-compatibility/2006">
          <mc:Choice Requires="x14">
            <control shapeId="7218" r:id="rId38" name="Check Box 50">
              <controlPr locked="0" defaultSize="0" autoFill="0" autoLine="0" autoPict="0">
                <anchor moveWithCells="1" sizeWithCells="1">
                  <from>
                    <xdr:col>22</xdr:col>
                    <xdr:colOff>0</xdr:colOff>
                    <xdr:row>321</xdr:row>
                    <xdr:rowOff>0</xdr:rowOff>
                  </from>
                  <to>
                    <xdr:col>22</xdr:col>
                    <xdr:colOff>180975</xdr:colOff>
                    <xdr:row>321</xdr:row>
                    <xdr:rowOff>180975</xdr:rowOff>
                  </to>
                </anchor>
              </controlPr>
            </control>
          </mc:Choice>
        </mc:AlternateContent>
        <mc:AlternateContent xmlns:mc="http://schemas.openxmlformats.org/markup-compatibility/2006">
          <mc:Choice Requires="x14">
            <control shapeId="7219" r:id="rId39" name="Check Box 51">
              <controlPr locked="0" defaultSize="0" autoFill="0" autoLine="0" autoPict="0">
                <anchor moveWithCells="1" sizeWithCells="1">
                  <from>
                    <xdr:col>22</xdr:col>
                    <xdr:colOff>0</xdr:colOff>
                    <xdr:row>323</xdr:row>
                    <xdr:rowOff>0</xdr:rowOff>
                  </from>
                  <to>
                    <xdr:col>22</xdr:col>
                    <xdr:colOff>180975</xdr:colOff>
                    <xdr:row>323</xdr:row>
                    <xdr:rowOff>180975</xdr:rowOff>
                  </to>
                </anchor>
              </controlPr>
            </control>
          </mc:Choice>
        </mc:AlternateContent>
        <mc:AlternateContent xmlns:mc="http://schemas.openxmlformats.org/markup-compatibility/2006">
          <mc:Choice Requires="x14">
            <control shapeId="7221" r:id="rId40" name="Check Box 53">
              <controlPr locked="0" defaultSize="0" autoFill="0" autoLine="0" autoPict="0">
                <anchor moveWithCells="1" sizeWithCells="1">
                  <from>
                    <xdr:col>22</xdr:col>
                    <xdr:colOff>0</xdr:colOff>
                    <xdr:row>337</xdr:row>
                    <xdr:rowOff>0</xdr:rowOff>
                  </from>
                  <to>
                    <xdr:col>22</xdr:col>
                    <xdr:colOff>180975</xdr:colOff>
                    <xdr:row>337</xdr:row>
                    <xdr:rowOff>180975</xdr:rowOff>
                  </to>
                </anchor>
              </controlPr>
            </control>
          </mc:Choice>
        </mc:AlternateContent>
        <mc:AlternateContent xmlns:mc="http://schemas.openxmlformats.org/markup-compatibility/2006">
          <mc:Choice Requires="x14">
            <control shapeId="7222" r:id="rId41" name="Check Box 54">
              <controlPr locked="0" defaultSize="0" autoFill="0" autoLine="0" autoPict="0">
                <anchor moveWithCells="1" sizeWithCells="1">
                  <from>
                    <xdr:col>22</xdr:col>
                    <xdr:colOff>0</xdr:colOff>
                    <xdr:row>338</xdr:row>
                    <xdr:rowOff>0</xdr:rowOff>
                  </from>
                  <to>
                    <xdr:col>22</xdr:col>
                    <xdr:colOff>180975</xdr:colOff>
                    <xdr:row>338</xdr:row>
                    <xdr:rowOff>180975</xdr:rowOff>
                  </to>
                </anchor>
              </controlPr>
            </control>
          </mc:Choice>
        </mc:AlternateContent>
        <mc:AlternateContent xmlns:mc="http://schemas.openxmlformats.org/markup-compatibility/2006">
          <mc:Choice Requires="x14">
            <control shapeId="7223" r:id="rId42" name="Check Box 55">
              <controlPr locked="0" defaultSize="0" autoFill="0" autoLine="0" autoPict="0">
                <anchor moveWithCells="1" sizeWithCells="1">
                  <from>
                    <xdr:col>22</xdr:col>
                    <xdr:colOff>0</xdr:colOff>
                    <xdr:row>343</xdr:row>
                    <xdr:rowOff>0</xdr:rowOff>
                  </from>
                  <to>
                    <xdr:col>22</xdr:col>
                    <xdr:colOff>180975</xdr:colOff>
                    <xdr:row>343</xdr:row>
                    <xdr:rowOff>180975</xdr:rowOff>
                  </to>
                </anchor>
              </controlPr>
            </control>
          </mc:Choice>
        </mc:AlternateContent>
        <mc:AlternateContent xmlns:mc="http://schemas.openxmlformats.org/markup-compatibility/2006">
          <mc:Choice Requires="x14">
            <control shapeId="7224" r:id="rId43" name="Check Box 56">
              <controlPr locked="0" defaultSize="0" autoFill="0" autoLine="0" autoPict="0">
                <anchor moveWithCells="1" sizeWithCells="1">
                  <from>
                    <xdr:col>22</xdr:col>
                    <xdr:colOff>0</xdr:colOff>
                    <xdr:row>348</xdr:row>
                    <xdr:rowOff>0</xdr:rowOff>
                  </from>
                  <to>
                    <xdr:col>22</xdr:col>
                    <xdr:colOff>180975</xdr:colOff>
                    <xdr:row>348</xdr:row>
                    <xdr:rowOff>180975</xdr:rowOff>
                  </to>
                </anchor>
              </controlPr>
            </control>
          </mc:Choice>
        </mc:AlternateContent>
        <mc:AlternateContent xmlns:mc="http://schemas.openxmlformats.org/markup-compatibility/2006">
          <mc:Choice Requires="x14">
            <control shapeId="7225" r:id="rId44" name="Check Box 57">
              <controlPr locked="0" defaultSize="0" autoFill="0" autoLine="0" autoPict="0">
                <anchor moveWithCells="1" sizeWithCells="1">
                  <from>
                    <xdr:col>22</xdr:col>
                    <xdr:colOff>0</xdr:colOff>
                    <xdr:row>365</xdr:row>
                    <xdr:rowOff>0</xdr:rowOff>
                  </from>
                  <to>
                    <xdr:col>22</xdr:col>
                    <xdr:colOff>180975</xdr:colOff>
                    <xdr:row>365</xdr:row>
                    <xdr:rowOff>180975</xdr:rowOff>
                  </to>
                </anchor>
              </controlPr>
            </control>
          </mc:Choice>
        </mc:AlternateContent>
        <mc:AlternateContent xmlns:mc="http://schemas.openxmlformats.org/markup-compatibility/2006">
          <mc:Choice Requires="x14">
            <control shapeId="7226" r:id="rId45" name="Check Box 58">
              <controlPr locked="0" defaultSize="0" autoFill="0" autoLine="0" autoPict="0">
                <anchor moveWithCells="1" sizeWithCells="1">
                  <from>
                    <xdr:col>22</xdr:col>
                    <xdr:colOff>0</xdr:colOff>
                    <xdr:row>370</xdr:row>
                    <xdr:rowOff>0</xdr:rowOff>
                  </from>
                  <to>
                    <xdr:col>22</xdr:col>
                    <xdr:colOff>180975</xdr:colOff>
                    <xdr:row>370</xdr:row>
                    <xdr:rowOff>180975</xdr:rowOff>
                  </to>
                </anchor>
              </controlPr>
            </control>
          </mc:Choice>
        </mc:AlternateContent>
        <mc:AlternateContent xmlns:mc="http://schemas.openxmlformats.org/markup-compatibility/2006">
          <mc:Choice Requires="x14">
            <control shapeId="7230" r:id="rId46" name="Check Box 62">
              <controlPr locked="0" defaultSize="0" autoFill="0" autoLine="0" autoPict="0">
                <anchor moveWithCells="1" sizeWithCells="1">
                  <from>
                    <xdr:col>22</xdr:col>
                    <xdr:colOff>0</xdr:colOff>
                    <xdr:row>134</xdr:row>
                    <xdr:rowOff>0</xdr:rowOff>
                  </from>
                  <to>
                    <xdr:col>22</xdr:col>
                    <xdr:colOff>180975</xdr:colOff>
                    <xdr:row>134</xdr:row>
                    <xdr:rowOff>180975</xdr:rowOff>
                  </to>
                </anchor>
              </controlPr>
            </control>
          </mc:Choice>
        </mc:AlternateContent>
        <mc:AlternateContent xmlns:mc="http://schemas.openxmlformats.org/markup-compatibility/2006">
          <mc:Choice Requires="x14">
            <control shapeId="7232" r:id="rId47" name="Check Box 64">
              <controlPr locked="0" defaultSize="0" autoFill="0" autoLine="0" autoPict="0">
                <anchor moveWithCells="1" sizeWithCells="1">
                  <from>
                    <xdr:col>22</xdr:col>
                    <xdr:colOff>0</xdr:colOff>
                    <xdr:row>163</xdr:row>
                    <xdr:rowOff>0</xdr:rowOff>
                  </from>
                  <to>
                    <xdr:col>22</xdr:col>
                    <xdr:colOff>180975</xdr:colOff>
                    <xdr:row>163</xdr:row>
                    <xdr:rowOff>180975</xdr:rowOff>
                  </to>
                </anchor>
              </controlPr>
            </control>
          </mc:Choice>
        </mc:AlternateContent>
        <mc:AlternateContent xmlns:mc="http://schemas.openxmlformats.org/markup-compatibility/2006">
          <mc:Choice Requires="x14">
            <control shapeId="7234" r:id="rId48" name="Check Box 66">
              <controlPr locked="0" defaultSize="0" autoFill="0" autoLine="0" autoPict="0">
                <anchor moveWithCells="1" sizeWithCells="1">
                  <from>
                    <xdr:col>22</xdr:col>
                    <xdr:colOff>0</xdr:colOff>
                    <xdr:row>214</xdr:row>
                    <xdr:rowOff>0</xdr:rowOff>
                  </from>
                  <to>
                    <xdr:col>22</xdr:col>
                    <xdr:colOff>180975</xdr:colOff>
                    <xdr:row>214</xdr:row>
                    <xdr:rowOff>180975</xdr:rowOff>
                  </to>
                </anchor>
              </controlPr>
            </control>
          </mc:Choice>
        </mc:AlternateContent>
        <mc:AlternateContent xmlns:mc="http://schemas.openxmlformats.org/markup-compatibility/2006">
          <mc:Choice Requires="x14">
            <control shapeId="7239" r:id="rId49" name="Check Box 71">
              <controlPr locked="0" defaultSize="0" autoFill="0" autoLine="0" autoPict="0">
                <anchor moveWithCells="1" sizeWithCells="1">
                  <from>
                    <xdr:col>22</xdr:col>
                    <xdr:colOff>0</xdr:colOff>
                    <xdr:row>285</xdr:row>
                    <xdr:rowOff>0</xdr:rowOff>
                  </from>
                  <to>
                    <xdr:col>22</xdr:col>
                    <xdr:colOff>180975</xdr:colOff>
                    <xdr:row>285</xdr:row>
                    <xdr:rowOff>180975</xdr:rowOff>
                  </to>
                </anchor>
              </controlPr>
            </control>
          </mc:Choice>
        </mc:AlternateContent>
        <mc:AlternateContent xmlns:mc="http://schemas.openxmlformats.org/markup-compatibility/2006">
          <mc:Choice Requires="x14">
            <control shapeId="7240" r:id="rId50" name="Check Box 72">
              <controlPr locked="0" defaultSize="0" autoFill="0" autoLine="0" autoPict="0">
                <anchor moveWithCells="1" sizeWithCells="1">
                  <from>
                    <xdr:col>22</xdr:col>
                    <xdr:colOff>0</xdr:colOff>
                    <xdr:row>287</xdr:row>
                    <xdr:rowOff>0</xdr:rowOff>
                  </from>
                  <to>
                    <xdr:col>22</xdr:col>
                    <xdr:colOff>180975</xdr:colOff>
                    <xdr:row>287</xdr:row>
                    <xdr:rowOff>180975</xdr:rowOff>
                  </to>
                </anchor>
              </controlPr>
            </control>
          </mc:Choice>
        </mc:AlternateContent>
        <mc:AlternateContent xmlns:mc="http://schemas.openxmlformats.org/markup-compatibility/2006">
          <mc:Choice Requires="x14">
            <control shapeId="7245" r:id="rId51" name="Check Box 77">
              <controlPr locked="0" defaultSize="0" autoFill="0" autoLine="0" autoPict="0">
                <anchor moveWithCells="1" sizeWithCells="1">
                  <from>
                    <xdr:col>22</xdr:col>
                    <xdr:colOff>0</xdr:colOff>
                    <xdr:row>318</xdr:row>
                    <xdr:rowOff>0</xdr:rowOff>
                  </from>
                  <to>
                    <xdr:col>22</xdr:col>
                    <xdr:colOff>180975</xdr:colOff>
                    <xdr:row>318</xdr:row>
                    <xdr:rowOff>180975</xdr:rowOff>
                  </to>
                </anchor>
              </controlPr>
            </control>
          </mc:Choice>
        </mc:AlternateContent>
        <mc:AlternateContent xmlns:mc="http://schemas.openxmlformats.org/markup-compatibility/2006">
          <mc:Choice Requires="x14">
            <control shapeId="7247" r:id="rId52" name="Check Box 79">
              <controlPr locked="0" defaultSize="0" autoFill="0" autoLine="0" autoPict="0">
                <anchor moveWithCells="1" sizeWithCells="1">
                  <from>
                    <xdr:col>22</xdr:col>
                    <xdr:colOff>0</xdr:colOff>
                    <xdr:row>353</xdr:row>
                    <xdr:rowOff>0</xdr:rowOff>
                  </from>
                  <to>
                    <xdr:col>22</xdr:col>
                    <xdr:colOff>180975</xdr:colOff>
                    <xdr:row>353</xdr:row>
                    <xdr:rowOff>180975</xdr:rowOff>
                  </to>
                </anchor>
              </controlPr>
            </control>
          </mc:Choice>
        </mc:AlternateContent>
        <mc:AlternateContent xmlns:mc="http://schemas.openxmlformats.org/markup-compatibility/2006">
          <mc:Choice Requires="x14">
            <control shapeId="7248" r:id="rId53" name="Check Box 80">
              <controlPr locked="0" defaultSize="0" autoFill="0" autoLine="0" autoPict="0">
                <anchor moveWithCells="1" sizeWithCells="1">
                  <from>
                    <xdr:col>22</xdr:col>
                    <xdr:colOff>0</xdr:colOff>
                    <xdr:row>361</xdr:row>
                    <xdr:rowOff>0</xdr:rowOff>
                  </from>
                  <to>
                    <xdr:col>22</xdr:col>
                    <xdr:colOff>180975</xdr:colOff>
                    <xdr:row>361</xdr:row>
                    <xdr:rowOff>180975</xdr:rowOff>
                  </to>
                </anchor>
              </controlPr>
            </control>
          </mc:Choice>
        </mc:AlternateContent>
        <mc:AlternateContent xmlns:mc="http://schemas.openxmlformats.org/markup-compatibility/2006">
          <mc:Choice Requires="x14">
            <control shapeId="7250" r:id="rId54" name="Check Box 82">
              <controlPr locked="0" defaultSize="0" autoFill="0" autoLine="0" autoPict="0">
                <anchor moveWithCells="1" sizeWithCells="1">
                  <from>
                    <xdr:col>22</xdr:col>
                    <xdr:colOff>0</xdr:colOff>
                    <xdr:row>373</xdr:row>
                    <xdr:rowOff>0</xdr:rowOff>
                  </from>
                  <to>
                    <xdr:col>22</xdr:col>
                    <xdr:colOff>180975</xdr:colOff>
                    <xdr:row>373</xdr:row>
                    <xdr:rowOff>180975</xdr:rowOff>
                  </to>
                </anchor>
              </controlPr>
            </control>
          </mc:Choice>
        </mc:AlternateContent>
        <mc:AlternateContent xmlns:mc="http://schemas.openxmlformats.org/markup-compatibility/2006">
          <mc:Choice Requires="x14">
            <control shapeId="7251" r:id="rId55" name="Check Box 83">
              <controlPr locked="0" defaultSize="0" autoFill="0" autoLine="0" autoPict="0">
                <anchor moveWithCells="1" sizeWithCells="1">
                  <from>
                    <xdr:col>22</xdr:col>
                    <xdr:colOff>0</xdr:colOff>
                    <xdr:row>374</xdr:row>
                    <xdr:rowOff>0</xdr:rowOff>
                  </from>
                  <to>
                    <xdr:col>22</xdr:col>
                    <xdr:colOff>180975</xdr:colOff>
                    <xdr:row>374</xdr:row>
                    <xdr:rowOff>180975</xdr:rowOff>
                  </to>
                </anchor>
              </controlPr>
            </control>
          </mc:Choice>
        </mc:AlternateContent>
        <mc:AlternateContent xmlns:mc="http://schemas.openxmlformats.org/markup-compatibility/2006">
          <mc:Choice Requires="x14">
            <control shapeId="7252" r:id="rId56" name="Check Box 84">
              <controlPr locked="0" defaultSize="0" autoFill="0" autoLine="0" autoPict="0">
                <anchor moveWithCells="1" sizeWithCells="1">
                  <from>
                    <xdr:col>22</xdr:col>
                    <xdr:colOff>0</xdr:colOff>
                    <xdr:row>376</xdr:row>
                    <xdr:rowOff>0</xdr:rowOff>
                  </from>
                  <to>
                    <xdr:col>22</xdr:col>
                    <xdr:colOff>180975</xdr:colOff>
                    <xdr:row>376</xdr:row>
                    <xdr:rowOff>180975</xdr:rowOff>
                  </to>
                </anchor>
              </controlPr>
            </control>
          </mc:Choice>
        </mc:AlternateContent>
        <mc:AlternateContent xmlns:mc="http://schemas.openxmlformats.org/markup-compatibility/2006">
          <mc:Choice Requires="x14">
            <control shapeId="7253" r:id="rId57" name="Check Box 85">
              <controlPr locked="0" defaultSize="0" autoFill="0" autoLine="0" autoPict="0">
                <anchor moveWithCells="1" sizeWithCells="1">
                  <from>
                    <xdr:col>22</xdr:col>
                    <xdr:colOff>0</xdr:colOff>
                    <xdr:row>381</xdr:row>
                    <xdr:rowOff>0</xdr:rowOff>
                  </from>
                  <to>
                    <xdr:col>22</xdr:col>
                    <xdr:colOff>180975</xdr:colOff>
                    <xdr:row>381</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BI235"/>
  <sheetViews>
    <sheetView showGridLines="0" topLeftCell="H1" zoomScaleNormal="100" zoomScaleSheetLayoutView="80" workbookViewId="0">
      <pane ySplit="7" topLeftCell="A8" activePane="bottomLeft" state="frozen"/>
      <selection activeCell="E90" sqref="E90"/>
      <selection pane="bottomLeft" activeCell="W15" sqref="W15"/>
    </sheetView>
  </sheetViews>
  <sheetFormatPr defaultColWidth="9.140625" defaultRowHeight="15" x14ac:dyDescent="0.25"/>
  <cols>
    <col min="1" max="1" width="9.140625" style="18" hidden="1" customWidth="1"/>
    <col min="2" max="2" width="7.28515625" style="18" hidden="1" customWidth="1"/>
    <col min="3" max="7" width="3.85546875" style="18" hidden="1" customWidth="1"/>
    <col min="8" max="8" width="3.85546875" style="18" customWidth="1"/>
    <col min="9" max="9" width="10.42578125" style="76" customWidth="1"/>
    <col min="10" max="11" width="3.85546875" style="76" customWidth="1"/>
    <col min="12" max="12" width="71.7109375" style="76" customWidth="1"/>
    <col min="13" max="13" width="13.5703125" style="67" customWidth="1"/>
    <col min="14" max="14" width="7.7109375" style="76" hidden="1" customWidth="1"/>
    <col min="15" max="15" width="7.7109375" style="76" customWidth="1"/>
    <col min="16" max="21" width="8.85546875" style="76" hidden="1" customWidth="1"/>
    <col min="22" max="22" width="3" style="76" hidden="1" customWidth="1"/>
    <col min="23" max="23" width="21.42578125" style="76" customWidth="1"/>
    <col min="24" max="24" width="69" style="76" customWidth="1"/>
    <col min="25" max="25" width="14.28515625" style="780" hidden="1" customWidth="1"/>
    <col min="26" max="26" width="14.28515625" style="76" hidden="1" customWidth="1"/>
    <col min="27" max="27" width="14.28515625" style="783" hidden="1" customWidth="1"/>
    <col min="28" max="28" width="14.28515625" style="76" hidden="1" customWidth="1"/>
    <col min="29" max="29" width="8.5703125" style="76" hidden="1" customWidth="1"/>
    <col min="30" max="30" width="6.140625" style="76" hidden="1" customWidth="1"/>
    <col min="31" max="31" width="10.42578125" style="76" hidden="1" customWidth="1"/>
    <col min="32" max="32" width="14.7109375" style="76" hidden="1" customWidth="1"/>
    <col min="33" max="33" width="5.85546875" style="76" hidden="1" customWidth="1"/>
    <col min="34" max="34" width="9.7109375" style="76" hidden="1" customWidth="1"/>
    <col min="35" max="35" width="6.140625" style="76" hidden="1" customWidth="1"/>
    <col min="36" max="37" width="2.140625" style="76" hidden="1" customWidth="1"/>
    <col min="38" max="38" width="12.28515625" style="76" hidden="1" customWidth="1"/>
    <col min="39" max="39" width="10.5703125" style="76" hidden="1" customWidth="1"/>
    <col min="40" max="40" width="12.140625" style="76" hidden="1" customWidth="1"/>
    <col min="41" max="41" width="2.140625" style="76" hidden="1" customWidth="1"/>
    <col min="42" max="42" width="13.28515625" style="76" hidden="1" customWidth="1"/>
    <col min="43" max="43" width="2.140625" style="76" hidden="1" customWidth="1"/>
    <col min="44" max="44" width="13.140625" style="76" hidden="1" customWidth="1"/>
    <col min="45" max="49" width="2.140625" style="76" hidden="1" customWidth="1"/>
    <col min="50" max="50" width="36.140625" style="76" hidden="1" customWidth="1"/>
    <col min="51" max="51" width="13.140625" style="76" hidden="1" customWidth="1"/>
    <col min="52" max="54" width="2.140625" style="76" hidden="1" customWidth="1"/>
    <col min="55" max="55" width="7.7109375" style="76" hidden="1" customWidth="1"/>
    <col min="56" max="56" width="7.28515625" style="76" hidden="1" customWidth="1"/>
    <col min="57" max="57" width="6.5703125" style="76" hidden="1" customWidth="1"/>
    <col min="58" max="58" width="7.85546875" style="76" hidden="1" customWidth="1"/>
    <col min="59" max="59" width="6" style="76" hidden="1" customWidth="1"/>
    <col min="60" max="60" width="12.140625" style="76" hidden="1" customWidth="1"/>
    <col min="61" max="61" width="8" style="76" hidden="1" customWidth="1"/>
    <col min="62" max="62" width="9.140625" style="76" customWidth="1"/>
    <col min="63" max="16384" width="9.140625" style="76"/>
  </cols>
  <sheetData>
    <row r="1" spans="1:61" x14ac:dyDescent="0.25">
      <c r="H1" s="1805" t="s">
        <v>4090</v>
      </c>
      <c r="I1" s="1818" t="str">
        <f ca="1">IF(OR(AG3,AI3),"Errors on page, no Level reached","Current Chapter level: "&amp;AG1&amp;"                                            Total Points: "&amp;AG2)</f>
        <v>Errors on page, no Level reached</v>
      </c>
      <c r="J1" s="1818"/>
      <c r="K1" s="1818"/>
      <c r="L1" s="1818"/>
      <c r="M1" s="1806"/>
      <c r="N1" s="1806"/>
      <c r="O1" s="1806"/>
      <c r="P1" s="1806"/>
      <c r="Q1" s="1806"/>
      <c r="R1" s="1806"/>
      <c r="S1" s="1806"/>
      <c r="T1" s="1806"/>
      <c r="U1" s="1806"/>
      <c r="V1" s="1806"/>
      <c r="W1" s="1806"/>
      <c r="X1" s="2344" t="s">
        <v>4064</v>
      </c>
      <c r="AF1" s="75" t="s">
        <v>757</v>
      </c>
      <c r="AG1" s="330" t="str">
        <f ca="1">IF(OR(AG3,AI3),"None",Ch10Level)</f>
        <v>None</v>
      </c>
    </row>
    <row r="2" spans="1:61" x14ac:dyDescent="0.25">
      <c r="H2" s="1805"/>
      <c r="I2" s="1819" t="str">
        <f>"Points away from:  Bronze: "&amp;MAX(Points!C20-Ch10Points,0)&amp;",  Silver: "&amp;MAX(Points!D20-Ch10Points,0)&amp;",  Gold: "&amp;MAX(Points!E20-Ch10Points,0)&amp;",  Emerald: "&amp;MAX(Points!F20-Ch10Points,0)</f>
        <v>Points away from:  Bronze: 6,  Silver: 8,  Gold: 9,  Emerald: 10</v>
      </c>
      <c r="J2" s="1819"/>
      <c r="K2" s="1819"/>
      <c r="L2" s="1819"/>
      <c r="M2" s="1806"/>
      <c r="N2" s="1806"/>
      <c r="O2" s="1806"/>
      <c r="P2" s="1806"/>
      <c r="Q2" s="1806"/>
      <c r="R2" s="1806"/>
      <c r="S2" s="1806"/>
      <c r="T2" s="1806"/>
      <c r="U2" s="1806"/>
      <c r="V2" s="1806"/>
      <c r="W2" s="1806"/>
      <c r="X2" s="2344" t="s">
        <v>3505</v>
      </c>
      <c r="AF2" s="75" t="s">
        <v>758</v>
      </c>
      <c r="AG2" s="76">
        <f ca="1">INDIRECT(AF2)</f>
        <v>2</v>
      </c>
      <c r="AH2" s="76" t="s">
        <v>760</v>
      </c>
      <c r="AI2" s="76">
        <f ca="1">INDIRECT(AH2)</f>
        <v>6</v>
      </c>
    </row>
    <row r="3" spans="1:61" x14ac:dyDescent="0.25">
      <c r="H3" s="1805"/>
      <c r="I3" s="1819" t="str">
        <f>"Add'l pts earned above:  Bronze: "&amp; MAX(0,Ch10Points-Points!C20) &amp;",  Silver: " &amp; MAX(0,Ch10Points-Points!D20) &amp;",  Gold: " &amp; MAX(0,Ch10Points-Points!E20) &amp;",  Emerald: " &amp; MAX(0,Ch10Points-Points!F20)</f>
        <v>Add'l pts earned above:  Bronze: 0,  Silver: 0,  Gold: 0,  Emerald: 0</v>
      </c>
      <c r="J3" s="1819"/>
      <c r="K3" s="1819"/>
      <c r="L3" s="1819"/>
      <c r="M3" s="1806"/>
      <c r="N3" s="1806"/>
      <c r="O3" s="1806"/>
      <c r="P3" s="1806"/>
      <c r="Q3" s="1806"/>
      <c r="R3" s="1806"/>
      <c r="S3" s="1806"/>
      <c r="T3" s="1806"/>
      <c r="U3" s="1806"/>
      <c r="V3" s="1806"/>
      <c r="W3" s="1806"/>
      <c r="X3" s="2344" t="s">
        <v>3504</v>
      </c>
      <c r="AF3" s="75" t="s">
        <v>759</v>
      </c>
      <c r="AG3" s="76" t="b">
        <f ca="1">OR(AE:AE)</f>
        <v>1</v>
      </c>
      <c r="AH3" s="75" t="s">
        <v>761</v>
      </c>
      <c r="AI3" s="76" t="b">
        <f>OR(AD:AD)</f>
        <v>0</v>
      </c>
    </row>
    <row r="4" spans="1:61" x14ac:dyDescent="0.25">
      <c r="H4" s="1805"/>
      <c r="I4" s="1822" t="str">
        <f>"Total Chapter Points needed for:  Bronze: "&amp;Points!C20&amp;",  Silver: "&amp;Points!D20&amp;",  Gold: "&amp;Points!E20&amp;",  Emerald: "&amp;Points!F20</f>
        <v>Total Chapter Points needed for:  Bronze: 8,  Silver: 10,  Gold: 11,  Emerald: 12</v>
      </c>
      <c r="J4" s="1823"/>
      <c r="K4" s="1823"/>
      <c r="L4" s="1824"/>
      <c r="M4" s="1806"/>
      <c r="N4" s="1806"/>
      <c r="O4" s="1806"/>
      <c r="P4" s="1806"/>
      <c r="Q4" s="1806"/>
      <c r="R4" s="1806"/>
      <c r="S4" s="1806"/>
      <c r="T4" s="1806"/>
      <c r="U4" s="1806"/>
      <c r="V4" s="1806"/>
      <c r="W4" s="1806"/>
      <c r="X4" s="1703" t="s">
        <v>4877</v>
      </c>
      <c r="AF4" s="75"/>
      <c r="AH4" s="75"/>
    </row>
    <row r="5" spans="1:61" x14ac:dyDescent="0.25">
      <c r="H5" s="1805"/>
      <c r="I5" s="1825" t="str">
        <f>"Revision Date:  "&amp;TEXT('Info &amp; Intro'!E7,"m/d/yyyy")</f>
        <v>Revision Date:  9/6/2022</v>
      </c>
      <c r="J5" s="1826"/>
      <c r="K5" s="1826"/>
      <c r="L5" s="1827"/>
      <c r="M5" s="1806"/>
      <c r="N5" s="1806"/>
      <c r="O5" s="1806"/>
      <c r="P5" s="1806"/>
      <c r="Q5" s="1806"/>
      <c r="R5" s="1806"/>
      <c r="S5" s="1806"/>
      <c r="T5" s="1806"/>
      <c r="U5" s="1806"/>
      <c r="V5" s="1806"/>
      <c r="W5" s="1806"/>
      <c r="X5" s="1703"/>
      <c r="AF5" s="75"/>
      <c r="AH5" s="75"/>
    </row>
    <row r="6" spans="1:61" x14ac:dyDescent="0.25">
      <c r="H6" s="1805"/>
      <c r="I6" s="1828" t="s">
        <v>248</v>
      </c>
      <c r="J6" s="1829"/>
      <c r="K6" s="1830"/>
      <c r="L6" s="1810" t="s">
        <v>1113</v>
      </c>
      <c r="M6" s="1810" t="s">
        <v>249</v>
      </c>
      <c r="N6" s="1810"/>
      <c r="O6" s="35" t="s">
        <v>318</v>
      </c>
      <c r="P6" s="1810" t="s">
        <v>4103</v>
      </c>
      <c r="Q6" s="1810" t="s">
        <v>309</v>
      </c>
      <c r="R6" s="1810" t="s">
        <v>250</v>
      </c>
      <c r="S6" s="1810" t="s">
        <v>251</v>
      </c>
      <c r="T6" s="1810" t="s">
        <v>0</v>
      </c>
      <c r="U6" s="1810" t="s">
        <v>4104</v>
      </c>
      <c r="V6" s="1810"/>
      <c r="W6" s="1810" t="s">
        <v>252</v>
      </c>
      <c r="X6" s="1820" t="s">
        <v>1</v>
      </c>
      <c r="AC6" s="74" t="s">
        <v>307</v>
      </c>
      <c r="AD6" s="74" t="s">
        <v>0</v>
      </c>
      <c r="AE6" s="74" t="s">
        <v>306</v>
      </c>
    </row>
    <row r="7" spans="1:61" x14ac:dyDescent="0.25">
      <c r="H7" s="1805"/>
      <c r="I7" s="1828"/>
      <c r="J7" s="1829"/>
      <c r="K7" s="1830"/>
      <c r="L7" s="1811"/>
      <c r="M7" s="1811"/>
      <c r="N7" s="1811"/>
      <c r="O7" s="35" t="s">
        <v>319</v>
      </c>
      <c r="P7" s="1811"/>
      <c r="Q7" s="1811"/>
      <c r="R7" s="1811"/>
      <c r="S7" s="1811"/>
      <c r="T7" s="1811"/>
      <c r="U7" s="1811"/>
      <c r="V7" s="1811"/>
      <c r="W7" s="1811"/>
      <c r="X7" s="1821"/>
      <c r="AC7" s="74" t="s">
        <v>307</v>
      </c>
      <c r="AD7" s="74" t="s">
        <v>0</v>
      </c>
      <c r="AE7" s="74" t="s">
        <v>306</v>
      </c>
    </row>
    <row r="8" spans="1:61" s="752" customFormat="1" hidden="1" x14ac:dyDescent="0.25">
      <c r="A8" s="18"/>
      <c r="B8" s="18"/>
      <c r="C8" s="18"/>
      <c r="D8" s="18"/>
      <c r="E8" s="18"/>
      <c r="F8" s="18"/>
      <c r="G8" s="18"/>
      <c r="H8" s="18"/>
      <c r="I8" s="754"/>
      <c r="J8" s="754"/>
      <c r="K8" s="754"/>
      <c r="L8" s="753"/>
      <c r="M8" s="753"/>
      <c r="N8" s="753"/>
      <c r="O8" s="35"/>
      <c r="P8" s="753"/>
      <c r="Q8" s="753"/>
      <c r="R8" s="753"/>
      <c r="S8" s="753"/>
      <c r="T8" s="753"/>
      <c r="U8" s="753"/>
      <c r="V8" s="753"/>
      <c r="W8" s="753"/>
      <c r="X8" s="754"/>
      <c r="Y8" s="780"/>
      <c r="AA8" s="783"/>
      <c r="AC8" s="751"/>
      <c r="AD8" s="751"/>
      <c r="AE8" s="751"/>
    </row>
    <row r="9" spans="1:61" ht="18.75" x14ac:dyDescent="0.3">
      <c r="A9" s="18" t="s">
        <v>247</v>
      </c>
      <c r="B9" s="18" t="s">
        <v>247</v>
      </c>
      <c r="C9" s="18" t="s">
        <v>247</v>
      </c>
      <c r="D9" s="18" t="s">
        <v>247</v>
      </c>
      <c r="E9" s="18" t="s">
        <v>247</v>
      </c>
      <c r="F9" s="18" t="s">
        <v>247</v>
      </c>
      <c r="G9" s="18" t="s">
        <v>247</v>
      </c>
      <c r="H9" s="760"/>
      <c r="I9" s="22" t="s">
        <v>3372</v>
      </c>
      <c r="J9" s="22"/>
      <c r="K9" s="22"/>
      <c r="L9" s="23"/>
      <c r="M9" s="24"/>
      <c r="N9" s="76" t="s">
        <v>247</v>
      </c>
      <c r="O9" s="24"/>
      <c r="P9" s="76" t="s">
        <v>247</v>
      </c>
      <c r="Q9" s="76" t="s">
        <v>247</v>
      </c>
      <c r="R9" s="76" t="s">
        <v>247</v>
      </c>
      <c r="S9" s="76" t="s">
        <v>247</v>
      </c>
      <c r="T9" s="76" t="s">
        <v>247</v>
      </c>
      <c r="U9" s="76" t="s">
        <v>247</v>
      </c>
      <c r="V9" s="76" t="s">
        <v>247</v>
      </c>
      <c r="W9" s="23"/>
      <c r="X9" s="23"/>
      <c r="Y9" s="779" t="s">
        <v>247</v>
      </c>
      <c r="Z9" s="73" t="s">
        <v>247</v>
      </c>
      <c r="AA9" s="781" t="s">
        <v>247</v>
      </c>
      <c r="AB9" s="771" t="s">
        <v>247</v>
      </c>
      <c r="AC9" s="73" t="s">
        <v>247</v>
      </c>
      <c r="AD9" s="73" t="s">
        <v>247</v>
      </c>
      <c r="AE9" s="73" t="s">
        <v>247</v>
      </c>
      <c r="AF9" s="73" t="s">
        <v>247</v>
      </c>
      <c r="AG9" s="73" t="s">
        <v>247</v>
      </c>
      <c r="AH9" s="73" t="s">
        <v>247</v>
      </c>
      <c r="AI9" s="73" t="s">
        <v>247</v>
      </c>
      <c r="AJ9" s="73" t="s">
        <v>247</v>
      </c>
      <c r="AK9" s="73" t="s">
        <v>247</v>
      </c>
      <c r="AL9" s="73" t="s">
        <v>247</v>
      </c>
      <c r="AM9" s="73" t="s">
        <v>247</v>
      </c>
      <c r="AN9" s="73" t="s">
        <v>247</v>
      </c>
      <c r="AO9" s="73" t="s">
        <v>247</v>
      </c>
      <c r="AP9" s="73" t="s">
        <v>247</v>
      </c>
      <c r="AQ9" s="73" t="s">
        <v>247</v>
      </c>
      <c r="AR9" s="73" t="s">
        <v>247</v>
      </c>
      <c r="AS9" s="73" t="s">
        <v>247</v>
      </c>
      <c r="AT9" s="73" t="s">
        <v>247</v>
      </c>
      <c r="AU9" s="73" t="s">
        <v>247</v>
      </c>
      <c r="AV9" s="73" t="s">
        <v>247</v>
      </c>
      <c r="AW9" s="73" t="s">
        <v>247</v>
      </c>
      <c r="AX9" s="73" t="s">
        <v>247</v>
      </c>
      <c r="AY9" s="73" t="s">
        <v>247</v>
      </c>
      <c r="AZ9" s="73" t="s">
        <v>247</v>
      </c>
      <c r="BA9" s="73" t="s">
        <v>247</v>
      </c>
      <c r="BB9" s="73" t="s">
        <v>247</v>
      </c>
      <c r="BC9" s="73" t="s">
        <v>247</v>
      </c>
      <c r="BD9" s="73" t="s">
        <v>247</v>
      </c>
      <c r="BE9" s="73" t="s">
        <v>247</v>
      </c>
      <c r="BF9" s="73" t="s">
        <v>247</v>
      </c>
      <c r="BG9" s="73" t="s">
        <v>247</v>
      </c>
      <c r="BH9" s="73" t="s">
        <v>247</v>
      </c>
      <c r="BI9" s="771" t="s">
        <v>247</v>
      </c>
    </row>
    <row r="10" spans="1:61" x14ac:dyDescent="0.25">
      <c r="B10" s="679" t="s">
        <v>4077</v>
      </c>
      <c r="C10" s="21"/>
      <c r="D10" s="21"/>
      <c r="E10" s="21"/>
      <c r="F10" s="21"/>
      <c r="G10" s="21"/>
      <c r="H10" s="758"/>
      <c r="I10" s="238">
        <v>1001</v>
      </c>
      <c r="J10" s="129"/>
      <c r="K10" s="129"/>
      <c r="L10" s="1782" t="s">
        <v>3278</v>
      </c>
      <c r="M10" s="239"/>
      <c r="N10" s="94"/>
      <c r="O10" s="94"/>
      <c r="P10" s="94"/>
      <c r="Q10" s="94"/>
      <c r="R10" s="94"/>
      <c r="S10" s="94"/>
      <c r="T10" s="94"/>
      <c r="U10" s="94"/>
      <c r="V10" s="94"/>
      <c r="W10" s="94"/>
      <c r="X10" s="94"/>
      <c r="BI10" s="775"/>
    </row>
    <row r="11" spans="1:61" ht="15.75" thickBot="1" x14ac:dyDescent="0.3">
      <c r="B11" s="679" t="s">
        <v>4077</v>
      </c>
      <c r="C11" s="21"/>
      <c r="D11" s="21"/>
      <c r="E11" s="21"/>
      <c r="F11" s="21"/>
      <c r="G11" s="21"/>
      <c r="H11" s="758"/>
      <c r="I11" s="240"/>
      <c r="J11" s="240"/>
      <c r="K11" s="240"/>
      <c r="L11" s="1797"/>
      <c r="M11" s="241"/>
      <c r="N11" s="99"/>
      <c r="O11" s="99"/>
      <c r="P11" s="99"/>
      <c r="Q11" s="99"/>
      <c r="R11" s="99"/>
      <c r="S11" s="99"/>
      <c r="T11" s="99"/>
      <c r="U11" s="99"/>
      <c r="V11" s="99"/>
      <c r="W11" s="99"/>
      <c r="X11" s="99"/>
      <c r="AX11" s="75" t="str">
        <f>'Overview (Design)'!A10</f>
        <v>Builder Name:</v>
      </c>
      <c r="AY11" s="76">
        <f>'Overview (Design)'!G10</f>
        <v>0</v>
      </c>
      <c r="BI11" s="775"/>
    </row>
    <row r="12" spans="1:61" ht="15.75" thickTop="1" x14ac:dyDescent="0.25">
      <c r="B12" s="679">
        <v>1001.1</v>
      </c>
      <c r="C12" s="21"/>
      <c r="D12" s="21"/>
      <c r="E12" s="21"/>
      <c r="F12" s="21"/>
      <c r="G12" s="21"/>
      <c r="H12" s="758"/>
      <c r="I12" s="139">
        <v>1001.1</v>
      </c>
      <c r="J12" s="4"/>
      <c r="K12" s="4"/>
      <c r="L12" s="1796" t="s">
        <v>3279</v>
      </c>
      <c r="M12" s="1845" t="s">
        <v>3374</v>
      </c>
      <c r="N12" s="4"/>
      <c r="O12" s="1780">
        <f>MIN(IF(AND(COUNTIF(W15:W17,TRUE)=3,S15),ROUNDDOWN(COUNTIF(W21:W59,TRUE)/2,0),0),8)</f>
        <v>0</v>
      </c>
      <c r="AL12" s="254" t="str">
        <f>SUBSTITUTE(SUBSTITUTE(SUBSTITUTE("dpa"&amp;$B12&amp;$C12&amp;$D12&amp;$E12,".","_"),"(","_"),")","")</f>
        <v>dpa1001_1</v>
      </c>
      <c r="AM12" s="254" t="str">
        <f>M12</f>
        <v>1
8 Max</v>
      </c>
      <c r="AN12" s="254" t="str">
        <f>SUBSTITUTE(SUBSTITUTE(SUBSTITUTE("dpc"&amp;$B12&amp;$C12&amp;$D12&amp;$E12,".","_"),"(","_"),")","")</f>
        <v>dpc1001_1</v>
      </c>
      <c r="AO12" s="254">
        <f>O12</f>
        <v>0</v>
      </c>
      <c r="AX12" s="75" t="str">
        <f>'Overview (Design)'!A11</f>
        <v>Physical Address of Home:</v>
      </c>
      <c r="AY12" s="76">
        <f>'Overview (Design)'!G11</f>
        <v>0</v>
      </c>
      <c r="BI12" s="775"/>
    </row>
    <row r="13" spans="1:61" x14ac:dyDescent="0.25">
      <c r="B13" s="679">
        <v>1001.1</v>
      </c>
      <c r="C13" s="21"/>
      <c r="D13" s="21"/>
      <c r="E13" s="21"/>
      <c r="F13" s="21"/>
      <c r="G13" s="21"/>
      <c r="H13" s="758"/>
      <c r="I13" s="4"/>
      <c r="J13" s="4"/>
      <c r="K13" s="4"/>
      <c r="L13" s="1796"/>
      <c r="M13" s="1845"/>
      <c r="N13" s="4"/>
      <c r="O13" s="1780"/>
      <c r="AL13" s="254"/>
      <c r="AM13" s="254"/>
      <c r="AN13" s="254"/>
      <c r="AO13" s="254"/>
      <c r="AP13" s="254"/>
      <c r="AQ13" s="254"/>
      <c r="AR13" s="254"/>
      <c r="AS13" s="254"/>
      <c r="AX13" s="75" t="str">
        <f>'Overview (Design)'!A12</f>
        <v>Community/Lot #:</v>
      </c>
      <c r="AY13" s="76">
        <f>'Overview (Design)'!G12</f>
        <v>0</v>
      </c>
      <c r="BI13" s="775"/>
    </row>
    <row r="14" spans="1:61" x14ac:dyDescent="0.25">
      <c r="B14" s="679">
        <v>1001.1</v>
      </c>
      <c r="C14" s="21"/>
      <c r="D14" s="21"/>
      <c r="E14" s="21"/>
      <c r="F14" s="21"/>
      <c r="G14" s="21"/>
      <c r="H14" s="758"/>
      <c r="I14" s="4"/>
      <c r="J14" s="4"/>
      <c r="K14" s="4"/>
      <c r="L14" s="223" t="s">
        <v>3371</v>
      </c>
      <c r="M14" s="1845"/>
      <c r="N14" s="4"/>
      <c r="O14" s="1780"/>
      <c r="AX14" s="75" t="str">
        <f>'Overview (Design)'!A13</f>
        <v>City:</v>
      </c>
      <c r="AY14" s="76">
        <f>'Overview (Design)'!G13</f>
        <v>0</v>
      </c>
      <c r="BI14" s="775"/>
    </row>
    <row r="15" spans="1:61" x14ac:dyDescent="0.25">
      <c r="B15" s="679">
        <v>1001.1</v>
      </c>
      <c r="C15" s="21" t="s">
        <v>256</v>
      </c>
      <c r="D15" s="21"/>
      <c r="E15" s="21"/>
      <c r="F15" s="758"/>
      <c r="G15" s="21"/>
      <c r="H15" s="758"/>
      <c r="I15" s="4"/>
      <c r="J15" s="206" t="s">
        <v>256</v>
      </c>
      <c r="K15" s="210"/>
      <c r="L15" s="746" t="s">
        <v>3280</v>
      </c>
      <c r="M15" s="764" t="str">
        <f t="shared" ref="M15:M20" si="0">IF(R15,"Mandatory","N/A")</f>
        <v>Mandatory</v>
      </c>
      <c r="N15" s="4"/>
      <c r="O15" s="141"/>
      <c r="P15" s="76" t="b">
        <v>0</v>
      </c>
      <c r="Q15" s="76" t="b">
        <v>1</v>
      </c>
      <c r="R15" s="169" t="b">
        <f>S15</f>
        <v>1</v>
      </c>
      <c r="S15" s="169" t="b">
        <f>IF(AY19=INDEX(ddSingleOrMulti,1),TRUE,FALSE)</f>
        <v>1</v>
      </c>
      <c r="T15" s="94" t="b">
        <f>AND(NOT(S15),W15=TRUE)</f>
        <v>0</v>
      </c>
      <c r="W15" s="25"/>
      <c r="X15" s="170"/>
      <c r="AC15" s="169" t="b">
        <f>OR(AD15:AE15)</f>
        <v>1</v>
      </c>
      <c r="AD15" s="169" t="b">
        <f>T15</f>
        <v>0</v>
      </c>
      <c r="AE15" s="169" t="b">
        <f>AND(R15,NOT(W15=TRUE))</f>
        <v>1</v>
      </c>
      <c r="AL15" s="254" t="str">
        <f>SUBSTITUTE(SUBSTITUTE(SUBSTITUTE("dpa"&amp;$B15&amp;$C15&amp;$D15&amp;$E15,".","_"),"(","_"),")","")</f>
        <v>dpa1001_1_1</v>
      </c>
      <c r="AM15" s="254" t="str">
        <f>M15</f>
        <v>Mandatory</v>
      </c>
      <c r="AN15" s="254"/>
      <c r="AO15" s="254"/>
      <c r="AP15" s="254" t="str">
        <f>SUBSTITUTE(SUBSTITUTE(SUBSTITUTE("dch"&amp;$B15&amp;$C15&amp;$D15&amp;$E15,".","_"),"(","_"),")","")</f>
        <v>dch1001_1_1</v>
      </c>
      <c r="AQ15" s="254" t="str">
        <f>IF(LEN(W15)=0,"",W15)</f>
        <v/>
      </c>
      <c r="AR15" s="254" t="str">
        <f>SUBSTITUTE(SUBSTITUTE(SUBSTITUTE("dnt"&amp;$B15&amp;$C15&amp;$D15&amp;$E15,".","_"),"(","_"),")","")</f>
        <v>dnt1001_1_1</v>
      </c>
      <c r="AS15" s="254" t="str">
        <f>IF(LEN(X15)=0,"",X15)</f>
        <v/>
      </c>
      <c r="AX15" s="75" t="str">
        <f>'Overview (Design)'!A14</f>
        <v>State:</v>
      </c>
      <c r="AY15" s="76">
        <f>'Overview (Design)'!G14</f>
        <v>0</v>
      </c>
      <c r="BC15" s="76" t="str">
        <f>'Overview (Design)'!K14</f>
        <v>State</v>
      </c>
      <c r="BD15" s="76" t="str">
        <f>'Overview (Design)'!L14</f>
        <v>County</v>
      </c>
      <c r="BE15" s="76" t="str">
        <f>'Overview (Design)'!M14</f>
        <v>Radon</v>
      </c>
      <c r="BF15" s="76" t="str">
        <f>'Overview (Design)'!N14</f>
        <v>Climate</v>
      </c>
      <c r="BG15" s="76" t="str">
        <f>'Overview (Design)'!O14</f>
        <v>Moist</v>
      </c>
      <c r="BH15" s="76" t="str">
        <f>'Overview (Design)'!P14</f>
        <v>WarmHumid</v>
      </c>
      <c r="BI15" s="775" t="str">
        <f>'Overview (Design)'!Q14</f>
        <v>Tropical</v>
      </c>
    </row>
    <row r="16" spans="1:61" x14ac:dyDescent="0.25">
      <c r="B16" s="679">
        <v>1001.1</v>
      </c>
      <c r="C16" s="21" t="s">
        <v>258</v>
      </c>
      <c r="D16" s="21"/>
      <c r="E16" s="21"/>
      <c r="F16" s="758"/>
      <c r="G16" s="21"/>
      <c r="H16" s="758"/>
      <c r="I16" s="4"/>
      <c r="J16" s="207" t="s">
        <v>258</v>
      </c>
      <c r="K16" s="243"/>
      <c r="L16" s="280" t="s">
        <v>3281</v>
      </c>
      <c r="M16" s="765" t="str">
        <f t="shared" si="0"/>
        <v>Mandatory</v>
      </c>
      <c r="N16" s="4"/>
      <c r="O16" s="141"/>
      <c r="P16" s="633" t="b">
        <v>0</v>
      </c>
      <c r="Q16" s="633" t="b">
        <v>1</v>
      </c>
      <c r="R16" s="169" t="b">
        <f>S16</f>
        <v>1</v>
      </c>
      <c r="S16" s="169" t="b">
        <f>IF(AY19=INDEX(ddSingleOrMulti,1),TRUE,FALSE)</f>
        <v>1</v>
      </c>
      <c r="T16" s="94" t="b">
        <f>AND(NOT(S16),W16=TRUE)</f>
        <v>0</v>
      </c>
      <c r="W16" s="25"/>
      <c r="X16" s="170"/>
      <c r="AC16" s="169" t="b">
        <f>OR(AD16:AE16)</f>
        <v>1</v>
      </c>
      <c r="AD16" s="169" t="b">
        <f>T16</f>
        <v>0</v>
      </c>
      <c r="AE16" s="169" t="b">
        <f>AND(R16,NOT(W16=TRUE))</f>
        <v>1</v>
      </c>
      <c r="AL16" s="254" t="str">
        <f>SUBSTITUTE(SUBSTITUTE(SUBSTITUTE("dpa"&amp;$B16&amp;$C16&amp;$D16&amp;$E16,".","_"),"(","_"),")","")</f>
        <v>dpa1001_1_2</v>
      </c>
      <c r="AM16" s="254" t="str">
        <f>M16</f>
        <v>Mandatory</v>
      </c>
      <c r="AP16" s="254" t="str">
        <f>SUBSTITUTE(SUBSTITUTE(SUBSTITUTE("dch"&amp;$B16&amp;$C16&amp;$D16&amp;$E16,".","_"),"(","_"),")","")</f>
        <v>dch1001_1_2</v>
      </c>
      <c r="AQ16" s="254" t="str">
        <f>IF(LEN(W16)=0,"",W16)</f>
        <v/>
      </c>
      <c r="AR16" s="254" t="str">
        <f>SUBSTITUTE(SUBSTITUTE(SUBSTITUTE("dnt"&amp;$B16&amp;$C16&amp;$D16&amp;$E16,".","_"),"(","_"),")","")</f>
        <v>dnt1001_1_2</v>
      </c>
      <c r="AS16" s="254" t="str">
        <f>IF(LEN(X16)=0,"",X16)</f>
        <v/>
      </c>
      <c r="AX16" s="75" t="str">
        <f>'Overview (Design)'!A15</f>
        <v>County:</v>
      </c>
      <c r="AY16" s="76">
        <f>'Overview (Design)'!G15</f>
        <v>0</v>
      </c>
      <c r="BC16" s="76">
        <f>'Overview (Design)'!K15</f>
        <v>0</v>
      </c>
      <c r="BD16" s="76" t="str">
        <f>'Overview (Design)'!L15</f>
        <v/>
      </c>
      <c r="BE16" s="76" t="str">
        <f>'Overview (Design)'!M15</f>
        <v>!!</v>
      </c>
      <c r="BF16" s="76" t="str">
        <f>'Overview (Design)'!N15</f>
        <v>!!</v>
      </c>
      <c r="BG16" s="76" t="str">
        <f>'Overview (Design)'!O15</f>
        <v>!!</v>
      </c>
      <c r="BH16" s="76" t="str">
        <f>'Overview (Design)'!P15</f>
        <v>!!</v>
      </c>
      <c r="BI16" s="775" t="str">
        <f>'Overview (Design)'!Q15</f>
        <v>!!</v>
      </c>
    </row>
    <row r="17" spans="1:61" x14ac:dyDescent="0.25">
      <c r="B17" s="679">
        <v>1001.1</v>
      </c>
      <c r="C17" s="21" t="s">
        <v>260</v>
      </c>
      <c r="D17" s="21"/>
      <c r="E17" s="21"/>
      <c r="F17" s="758"/>
      <c r="G17" s="21"/>
      <c r="H17" s="758"/>
      <c r="I17" s="4"/>
      <c r="J17" s="209" t="s">
        <v>260</v>
      </c>
      <c r="K17" s="193"/>
      <c r="L17" s="1778" t="s">
        <v>3282</v>
      </c>
      <c r="M17" s="1872" t="str">
        <f t="shared" si="0"/>
        <v>Mandatory</v>
      </c>
      <c r="N17" s="4"/>
      <c r="O17" s="141"/>
      <c r="P17" s="633" t="b">
        <v>0</v>
      </c>
      <c r="Q17" s="633" t="b">
        <v>1</v>
      </c>
      <c r="R17" s="169" t="b">
        <f>S17</f>
        <v>1</v>
      </c>
      <c r="S17" s="169" t="b">
        <f>IF(AY19=INDEX(ddSingleOrMulti,1),TRUE,FALSE)</f>
        <v>1</v>
      </c>
      <c r="T17" s="94" t="b">
        <f>AND(NOT(S17),W17=TRUE)</f>
        <v>0</v>
      </c>
      <c r="W17" s="25"/>
      <c r="X17" s="1798"/>
      <c r="AC17" s="169" t="b">
        <f>OR(AD17:AE17)</f>
        <v>1</v>
      </c>
      <c r="AD17" s="169" t="b">
        <f>T17</f>
        <v>0</v>
      </c>
      <c r="AE17" s="169" t="b">
        <f>AND(R17,NOT(W17=TRUE))</f>
        <v>1</v>
      </c>
      <c r="AL17" s="254" t="str">
        <f>SUBSTITUTE(SUBSTITUTE(SUBSTITUTE("dpa"&amp;$B17&amp;$C17&amp;$D17&amp;$E17,".","_"),"(","_"),")","")</f>
        <v>dpa1001_1_3</v>
      </c>
      <c r="AM17" s="254" t="str">
        <f>M17</f>
        <v>Mandatory</v>
      </c>
      <c r="AP17" s="254" t="str">
        <f>SUBSTITUTE(SUBSTITUTE(SUBSTITUTE("dch"&amp;$B17&amp;$C17&amp;$D17&amp;$E17,".","_"),"(","_"),")","")</f>
        <v>dch1001_1_3</v>
      </c>
      <c r="AQ17" s="254" t="str">
        <f>IF(LEN(W17)=0,"",W17)</f>
        <v/>
      </c>
      <c r="AR17" s="254" t="str">
        <f>SUBSTITUTE(SUBSTITUTE(SUBSTITUTE("dnt"&amp;$B17&amp;$C17&amp;$D17&amp;$E17,".","_"),"(","_"),")","")</f>
        <v>dnt1001_1_3</v>
      </c>
      <c r="AS17" s="254" t="str">
        <f>IF(LEN(X17)=0,"",X17)</f>
        <v/>
      </c>
      <c r="AX17" s="75" t="str">
        <f>'Overview (Design)'!A16</f>
        <v>Zip:</v>
      </c>
      <c r="AY17" s="76">
        <f>'Overview (Design)'!G16</f>
        <v>0</v>
      </c>
    </row>
    <row r="18" spans="1:61" x14ac:dyDescent="0.25">
      <c r="B18" s="679">
        <v>1001.1</v>
      </c>
      <c r="C18" s="21" t="s">
        <v>260</v>
      </c>
      <c r="D18" s="21"/>
      <c r="E18" s="21"/>
      <c r="F18" s="758"/>
      <c r="G18" s="21"/>
      <c r="H18" s="758"/>
      <c r="I18" s="4"/>
      <c r="J18" s="183"/>
      <c r="K18" s="129"/>
      <c r="L18" s="1754"/>
      <c r="M18" s="1837" t="str">
        <f t="shared" si="0"/>
        <v>N/A</v>
      </c>
      <c r="N18" s="4"/>
      <c r="O18" s="141"/>
      <c r="X18" s="1799"/>
      <c r="AX18" s="75"/>
    </row>
    <row r="19" spans="1:61" x14ac:dyDescent="0.25">
      <c r="B19" s="679">
        <v>1001.1</v>
      </c>
      <c r="C19" s="21" t="s">
        <v>260</v>
      </c>
      <c r="D19" s="21"/>
      <c r="E19" s="21"/>
      <c r="F19" s="758"/>
      <c r="G19" s="21"/>
      <c r="H19" s="758"/>
      <c r="I19" s="4"/>
      <c r="J19" s="183"/>
      <c r="K19" s="129"/>
      <c r="L19" s="1754"/>
      <c r="M19" s="1837" t="str">
        <f t="shared" si="0"/>
        <v>N/A</v>
      </c>
      <c r="N19" s="4"/>
      <c r="O19" s="141"/>
      <c r="X19" s="1799"/>
      <c r="AX19" s="75" t="str">
        <f>'Overview (Design)'!A18</f>
        <v>Single-Family or Multifamily:</v>
      </c>
      <c r="AY19" s="76" t="str">
        <f>'Overview (Design)'!G18</f>
        <v>Single-Family</v>
      </c>
    </row>
    <row r="20" spans="1:61" x14ac:dyDescent="0.25">
      <c r="B20" s="679">
        <v>1001.1</v>
      </c>
      <c r="C20" s="21" t="s">
        <v>260</v>
      </c>
      <c r="D20" s="21"/>
      <c r="E20" s="21"/>
      <c r="F20" s="758"/>
      <c r="G20" s="21"/>
      <c r="H20" s="758"/>
      <c r="I20" s="4"/>
      <c r="J20" s="206"/>
      <c r="K20" s="210"/>
      <c r="L20" s="1755"/>
      <c r="M20" s="1844" t="str">
        <f t="shared" si="0"/>
        <v>N/A</v>
      </c>
      <c r="N20" s="4"/>
      <c r="O20" s="141"/>
      <c r="X20" s="1756"/>
      <c r="AX20" s="75" t="str">
        <f>'Overview (Design)'!A19</f>
        <v>Number of Units:</v>
      </c>
      <c r="AY20" s="76">
        <f>'Overview (Design)'!G19</f>
        <v>0</v>
      </c>
    </row>
    <row r="21" spans="1:61" x14ac:dyDescent="0.25">
      <c r="B21" s="679">
        <v>1001.1</v>
      </c>
      <c r="C21" s="21" t="s">
        <v>269</v>
      </c>
      <c r="D21" s="21"/>
      <c r="E21" s="21"/>
      <c r="F21" s="758"/>
      <c r="G21" s="21"/>
      <c r="H21" s="758"/>
      <c r="I21" s="4"/>
      <c r="J21" s="207" t="s">
        <v>269</v>
      </c>
      <c r="K21" s="243"/>
      <c r="L21" s="280" t="s">
        <v>3283</v>
      </c>
      <c r="M21" s="141"/>
      <c r="N21" s="4"/>
      <c r="O21" s="141"/>
      <c r="P21" s="633" t="b">
        <v>0</v>
      </c>
      <c r="Q21" s="633" t="b">
        <v>1</v>
      </c>
      <c r="R21" s="169" t="b">
        <v>0</v>
      </c>
      <c r="S21" s="169" t="b">
        <f>IF(AY19=INDEX(ddSingleOrMulti,1),TRUE,FALSE)</f>
        <v>1</v>
      </c>
      <c r="T21" s="94" t="b">
        <f>AND(NOT(S21),W21=TRUE)</f>
        <v>0</v>
      </c>
      <c r="W21" s="25"/>
      <c r="X21" s="170"/>
      <c r="AC21" s="169" t="b">
        <f>OR(AD21:AE21)</f>
        <v>0</v>
      </c>
      <c r="AD21" s="169" t="b">
        <f>T21</f>
        <v>0</v>
      </c>
      <c r="AP21" s="254" t="str">
        <f>SUBSTITUTE(SUBSTITUTE(SUBSTITUTE("dch"&amp;$B21&amp;$C21&amp;$D21&amp;$E21,".","_"),"(","_"),")","")</f>
        <v>dch1001_1_4</v>
      </c>
      <c r="AQ21" s="254" t="str">
        <f>IF(LEN(W21)=0,"",W21)</f>
        <v/>
      </c>
      <c r="AR21" s="254" t="str">
        <f>SUBSTITUTE(SUBSTITUTE(SUBSTITUTE("dnt"&amp;$B21&amp;$C21&amp;$D21&amp;$E21,".","_"),"(","_"),")","")</f>
        <v>dnt1001_1_4</v>
      </c>
      <c r="AS21" s="254" t="str">
        <f>IF(LEN(X21)=0,"",X21)</f>
        <v/>
      </c>
      <c r="AX21" s="1100" t="str">
        <f>'Overview (Design)'!A20</f>
        <v>Building includes commercial space pursuing Commercial Space certification?</v>
      </c>
      <c r="AY21" s="1101">
        <f>'Overview (Design)'!G20</f>
        <v>0</v>
      </c>
    </row>
    <row r="22" spans="1:61" x14ac:dyDescent="0.25">
      <c r="B22" s="679">
        <v>1001.1</v>
      </c>
      <c r="C22" s="21" t="s">
        <v>275</v>
      </c>
      <c r="D22" s="21"/>
      <c r="E22" s="21"/>
      <c r="F22" s="758"/>
      <c r="G22" s="21"/>
      <c r="H22" s="758"/>
      <c r="I22" s="4"/>
      <c r="J22" s="207" t="s">
        <v>275</v>
      </c>
      <c r="K22" s="243"/>
      <c r="L22" s="280" t="s">
        <v>3284</v>
      </c>
      <c r="M22" s="141"/>
      <c r="N22" s="4"/>
      <c r="O22" s="141"/>
      <c r="P22" s="633" t="b">
        <v>0</v>
      </c>
      <c r="Q22" s="633" t="b">
        <v>1</v>
      </c>
      <c r="R22" s="169" t="b">
        <v>0</v>
      </c>
      <c r="S22" s="169" t="b">
        <f>IF(AY19=INDEX(ddSingleOrMulti,1),TRUE,FALSE)</f>
        <v>1</v>
      </c>
      <c r="T22" s="94" t="b">
        <f>AND(NOT(S22),W22=TRUE)</f>
        <v>0</v>
      </c>
      <c r="W22" s="25"/>
      <c r="X22" s="170"/>
      <c r="AC22" s="169" t="b">
        <f>OR(AD22:AE22)</f>
        <v>0</v>
      </c>
      <c r="AD22" s="169" t="b">
        <f>T22</f>
        <v>0</v>
      </c>
      <c r="AP22" s="254" t="str">
        <f>SUBSTITUTE(SUBSTITUTE(SUBSTITUTE("dch"&amp;$B22&amp;$C22&amp;$D22&amp;$E22,".","_"),"(","_"),")","")</f>
        <v>dch1001_1_5</v>
      </c>
      <c r="AQ22" s="254" t="str">
        <f>IF(LEN(W22)=0,"",W22)</f>
        <v/>
      </c>
      <c r="AR22" s="254" t="str">
        <f>SUBSTITUTE(SUBSTITUTE(SUBSTITUTE("dnt"&amp;$B22&amp;$C22&amp;$D22&amp;$E22,".","_"),"(","_"),")","")</f>
        <v>dnt1001_1_5</v>
      </c>
      <c r="AS22" s="254" t="str">
        <f>IF(LEN(X22)=0,"",X22)</f>
        <v/>
      </c>
    </row>
    <row r="23" spans="1:61" x14ac:dyDescent="0.25">
      <c r="B23" s="679">
        <v>1001.1</v>
      </c>
      <c r="C23" s="21" t="s">
        <v>277</v>
      </c>
      <c r="D23" s="21"/>
      <c r="E23" s="21"/>
      <c r="F23" s="758"/>
      <c r="G23" s="21"/>
      <c r="H23" s="758"/>
      <c r="I23" s="4"/>
      <c r="J23" s="209" t="s">
        <v>277</v>
      </c>
      <c r="K23" s="193"/>
      <c r="L23" s="1778" t="s">
        <v>3285</v>
      </c>
      <c r="M23" s="141"/>
      <c r="N23" s="4"/>
      <c r="O23" s="141"/>
      <c r="P23" s="633" t="b">
        <v>0</v>
      </c>
      <c r="Q23" s="633" t="b">
        <v>1</v>
      </c>
      <c r="R23" s="169" t="b">
        <v>0</v>
      </c>
      <c r="S23" s="169" t="b">
        <f>IF(AY19=INDEX(ddSingleOrMulti,1),TRUE,FALSE)</f>
        <v>1</v>
      </c>
      <c r="T23" s="94" t="b">
        <f>AND(NOT(S23),W23=TRUE)</f>
        <v>0</v>
      </c>
      <c r="W23" s="25"/>
      <c r="X23" s="1757"/>
      <c r="AC23" s="169" t="b">
        <f>OR(AD23:AE23)</f>
        <v>0</v>
      </c>
      <c r="AD23" s="169" t="b">
        <f>T23</f>
        <v>0</v>
      </c>
      <c r="AP23" s="254" t="str">
        <f>SUBSTITUTE(SUBSTITUTE(SUBSTITUTE("dch"&amp;$B23&amp;$C23&amp;$D23&amp;$E23,".","_"),"(","_"),")","")</f>
        <v>dch1001_1_6</v>
      </c>
      <c r="AQ23" s="254" t="str">
        <f>IF(LEN(W23)=0,"",W23)</f>
        <v/>
      </c>
      <c r="AR23" s="254" t="str">
        <f>SUBSTITUTE(SUBSTITUTE(SUBSTITUTE("dnt"&amp;$B23&amp;$C23&amp;$D23&amp;$E23,".","_"),"(","_"),")","")</f>
        <v>dnt1001_1_6</v>
      </c>
      <c r="AS23" s="254" t="str">
        <f>IF(LEN(X23)=0,"",X23)</f>
        <v/>
      </c>
    </row>
    <row r="24" spans="1:61" x14ac:dyDescent="0.25">
      <c r="B24" s="679">
        <v>1001.1</v>
      </c>
      <c r="C24" s="21" t="s">
        <v>277</v>
      </c>
      <c r="D24" s="21"/>
      <c r="E24" s="21"/>
      <c r="F24" s="758"/>
      <c r="G24" s="21"/>
      <c r="H24" s="758"/>
      <c r="I24" s="4"/>
      <c r="J24" s="206"/>
      <c r="K24" s="210"/>
      <c r="L24" s="1755"/>
      <c r="M24" s="141"/>
      <c r="N24" s="4"/>
      <c r="O24" s="141"/>
      <c r="X24" s="1757"/>
      <c r="AX24" s="75" t="str">
        <f>'Overview (Design)'!A23</f>
        <v>Project Name:</v>
      </c>
      <c r="AY24" s="76">
        <f>'Overview (Design)'!G23</f>
        <v>0</v>
      </c>
    </row>
    <row r="25" spans="1:61" x14ac:dyDescent="0.25">
      <c r="B25" s="679">
        <v>1001.1</v>
      </c>
      <c r="C25" s="21" t="s">
        <v>383</v>
      </c>
      <c r="D25" s="21"/>
      <c r="E25" s="21"/>
      <c r="F25" s="758"/>
      <c r="G25" s="21"/>
      <c r="H25" s="758"/>
      <c r="I25" s="4"/>
      <c r="J25" s="209" t="s">
        <v>383</v>
      </c>
      <c r="K25" s="193"/>
      <c r="L25" s="1778" t="s">
        <v>3286</v>
      </c>
      <c r="M25" s="141"/>
      <c r="N25" s="4"/>
      <c r="O25" s="141"/>
      <c r="P25" s="633" t="b">
        <v>0</v>
      </c>
      <c r="Q25" s="633" t="b">
        <v>1</v>
      </c>
      <c r="R25" s="169" t="b">
        <v>0</v>
      </c>
      <c r="S25" s="169" t="b">
        <f>IF(AY19=INDEX(ddSingleOrMulti,1),TRUE,FALSE)</f>
        <v>1</v>
      </c>
      <c r="T25" s="94" t="b">
        <f>AND(NOT(S25),W25=TRUE)</f>
        <v>0</v>
      </c>
      <c r="W25" s="25"/>
      <c r="X25" s="1757"/>
      <c r="AC25" s="169" t="b">
        <f>OR(AD25:AE25)</f>
        <v>0</v>
      </c>
      <c r="AD25" s="169" t="b">
        <f>T25</f>
        <v>0</v>
      </c>
      <c r="AP25" s="254" t="str">
        <f>SUBSTITUTE(SUBSTITUTE(SUBSTITUTE("dch"&amp;$B25&amp;$C25&amp;$D25&amp;$E25,".","_"),"(","_"),")","")</f>
        <v>dch1001_1_7</v>
      </c>
      <c r="AQ25" s="254" t="str">
        <f>IF(LEN(W25)=0,"",W25)</f>
        <v/>
      </c>
      <c r="AR25" s="254" t="str">
        <f>SUBSTITUTE(SUBSTITUTE(SUBSTITUTE("dnt"&amp;$B25&amp;$C25&amp;$D25&amp;$E25,".","_"),"(","_"),")","")</f>
        <v>dnt1001_1_7</v>
      </c>
      <c r="AS25" s="254" t="str">
        <f>IF(LEN(X25)=0,"",X25)</f>
        <v/>
      </c>
      <c r="AX25" s="75"/>
    </row>
    <row r="26" spans="1:61" x14ac:dyDescent="0.25">
      <c r="B26" s="679">
        <v>1001.1</v>
      </c>
      <c r="C26" s="21" t="s">
        <v>383</v>
      </c>
      <c r="D26" s="21"/>
      <c r="E26" s="21"/>
      <c r="F26" s="758"/>
      <c r="G26" s="21"/>
      <c r="H26" s="758"/>
      <c r="I26" s="4"/>
      <c r="J26" s="206"/>
      <c r="K26" s="210"/>
      <c r="L26" s="1755"/>
      <c r="M26" s="141"/>
      <c r="N26" s="4"/>
      <c r="O26" s="141"/>
      <c r="X26" s="1757"/>
      <c r="AX26" s="75" t="str">
        <f>'Overview (Design)'!A25</f>
        <v>Above grade plane finished floor area:</v>
      </c>
      <c r="AY26" s="76">
        <f>'Overview (Design)'!G25</f>
        <v>0</v>
      </c>
    </row>
    <row r="27" spans="1:61" x14ac:dyDescent="0.25">
      <c r="B27" s="679">
        <v>1001.1</v>
      </c>
      <c r="C27" s="21" t="s">
        <v>428</v>
      </c>
      <c r="D27" s="21"/>
      <c r="E27" s="21"/>
      <c r="F27" s="758"/>
      <c r="G27" s="21"/>
      <c r="H27" s="758"/>
      <c r="I27" s="4"/>
      <c r="J27" s="207" t="s">
        <v>428</v>
      </c>
      <c r="K27" s="243"/>
      <c r="L27" s="280" t="s">
        <v>3287</v>
      </c>
      <c r="M27" s="141"/>
      <c r="N27" s="4"/>
      <c r="O27" s="141"/>
      <c r="P27" s="633" t="b">
        <v>0</v>
      </c>
      <c r="Q27" s="633" t="b">
        <v>1</v>
      </c>
      <c r="R27" s="169" t="b">
        <v>0</v>
      </c>
      <c r="S27" s="169" t="b">
        <f>IF(AY19=INDEX(ddSingleOrMulti,1),TRUE,FALSE)</f>
        <v>1</v>
      </c>
      <c r="T27" s="94" t="b">
        <f>AND(NOT(S27),W27=TRUE)</f>
        <v>0</v>
      </c>
      <c r="W27" s="25"/>
      <c r="X27" s="170"/>
      <c r="AC27" s="169" t="b">
        <f>OR(AD27:AE27)</f>
        <v>0</v>
      </c>
      <c r="AD27" s="169" t="b">
        <f>T27</f>
        <v>0</v>
      </c>
      <c r="AP27" s="254" t="str">
        <f>SUBSTITUTE(SUBSTITUTE(SUBSTITUTE("dch"&amp;$B27&amp;$C27&amp;$D27&amp;$E27,".","_"),"(","_"),")","")</f>
        <v>dch1001_1_8</v>
      </c>
      <c r="AQ27" s="254" t="str">
        <f>IF(LEN(W27)=0,"",W27)</f>
        <v/>
      </c>
      <c r="AR27" s="254" t="str">
        <f>SUBSTITUTE(SUBSTITUTE(SUBSTITUTE("dnt"&amp;$B27&amp;$C27&amp;$D27&amp;$E27,".","_"),"(","_"),")","")</f>
        <v>dnt1001_1_8</v>
      </c>
      <c r="AS27" s="254" t="str">
        <f>IF(LEN(X27)=0,"",X27)</f>
        <v/>
      </c>
      <c r="AX27" s="75" t="str">
        <f>'Overview (Design)'!A26</f>
        <v>Total conditioned floor area:</v>
      </c>
      <c r="AY27" s="76">
        <f>'Overview (Design)'!G26</f>
        <v>0</v>
      </c>
    </row>
    <row r="28" spans="1:61" ht="15" customHeight="1" x14ac:dyDescent="0.25">
      <c r="B28" s="679">
        <v>1001.1</v>
      </c>
      <c r="C28" s="21" t="s">
        <v>430</v>
      </c>
      <c r="D28" s="21"/>
      <c r="E28" s="21"/>
      <c r="F28" s="758"/>
      <c r="G28" s="21"/>
      <c r="H28" s="758"/>
      <c r="I28" s="4"/>
      <c r="J28" s="27" t="s">
        <v>430</v>
      </c>
      <c r="K28" s="4"/>
      <c r="L28" s="1760" t="s">
        <v>3288</v>
      </c>
      <c r="M28" s="1857" t="str">
        <f ca="1">IF(R28,"Mandatory per 902.2.1","N/A")</f>
        <v>N/A</v>
      </c>
      <c r="N28" s="4"/>
      <c r="O28" s="141"/>
      <c r="P28" s="633" t="b">
        <v>0</v>
      </c>
      <c r="Q28" s="633" t="b">
        <v>1</v>
      </c>
      <c r="R28" s="1" t="b">
        <f ca="1">AND(S28,OR('Ch9'!O219&gt;0,'Ch9'!R219))</f>
        <v>0</v>
      </c>
      <c r="S28" s="169" t="b">
        <f>IF(AY19=INDEX(ddSingleOrMulti,1),TRUE,FALSE)</f>
        <v>1</v>
      </c>
      <c r="T28" s="94" t="b">
        <f>AND(NOT(S28),W28=TRUE)</f>
        <v>0</v>
      </c>
      <c r="W28" s="25"/>
      <c r="X28" s="1798"/>
      <c r="AC28" s="169" t="b">
        <f ca="1">OR(AD28:AE28)</f>
        <v>0</v>
      </c>
      <c r="AD28" s="169" t="b">
        <f>T28</f>
        <v>0</v>
      </c>
      <c r="AE28" s="743" t="b">
        <f ca="1">AND(R28,NOT(W28=TRUE))</f>
        <v>0</v>
      </c>
      <c r="AL28" s="254" t="str">
        <f>SUBSTITUTE(SUBSTITUTE(SUBSTITUTE("dpa"&amp;$B28&amp;$C28&amp;$D28&amp;$E28,".","_"),"(","_"),")","")</f>
        <v>dpa1001_1_9</v>
      </c>
      <c r="AM28" s="254" t="str">
        <f ca="1">M28</f>
        <v>N/A</v>
      </c>
      <c r="AP28" s="254" t="str">
        <f>SUBSTITUTE(SUBSTITUTE(SUBSTITUTE("dch"&amp;$B28&amp;$C28&amp;$D28&amp;$E28,".","_"),"(","_"),")","")</f>
        <v>dch1001_1_9</v>
      </c>
      <c r="AQ28" s="254" t="str">
        <f>IF(LEN(W28)=0,"",W28)</f>
        <v/>
      </c>
      <c r="AR28" s="254" t="str">
        <f>SUBSTITUTE(SUBSTITUTE(SUBSTITUTE("dnt"&amp;$B28&amp;$C28&amp;$D28&amp;$E28,".","_"),"(","_"),")","")</f>
        <v>dnt1001_1_9</v>
      </c>
      <c r="AS28" s="254" t="str">
        <f>IF(LEN(X28)=0,"",X28)</f>
        <v/>
      </c>
      <c r="AX28" s="441" t="str">
        <f>'Overview (Design)'!A27</f>
        <v>Stories above grade:</v>
      </c>
      <c r="AY28" s="442">
        <f>'Overview (Design)'!G27</f>
        <v>0</v>
      </c>
    </row>
    <row r="29" spans="1:61" s="743" customFormat="1" ht="15" customHeight="1" x14ac:dyDescent="0.25">
      <c r="A29" s="18"/>
      <c r="B29" s="679">
        <v>1001.1</v>
      </c>
      <c r="C29" s="21" t="s">
        <v>430</v>
      </c>
      <c r="D29" s="21"/>
      <c r="E29" s="21"/>
      <c r="F29" s="758"/>
      <c r="G29" s="21"/>
      <c r="H29" s="758"/>
      <c r="I29" s="4"/>
      <c r="J29" s="27"/>
      <c r="K29" s="4"/>
      <c r="L29" s="1761"/>
      <c r="M29" s="1857"/>
      <c r="N29" s="4"/>
      <c r="O29" s="744"/>
      <c r="R29"/>
      <c r="T29" s="94"/>
      <c r="W29"/>
      <c r="X29" s="1756"/>
      <c r="Y29" s="780"/>
      <c r="AA29" s="783"/>
      <c r="AP29" s="254"/>
      <c r="AQ29" s="254"/>
      <c r="AR29" s="254"/>
      <c r="AS29" s="254"/>
      <c r="AX29" s="1605" t="str">
        <f>'Overview (Design)'!A28</f>
        <v>Project Elevation (ft. above sea level):</v>
      </c>
      <c r="AY29" s="1606">
        <f>'Overview (Design)'!G28</f>
        <v>0</v>
      </c>
      <c r="AZ29" s="1606"/>
      <c r="BA29" s="1606"/>
      <c r="BB29" s="1606"/>
      <c r="BC29" s="1606"/>
      <c r="BD29" s="1606"/>
      <c r="BE29" s="1606"/>
      <c r="BF29" s="1606"/>
      <c r="BG29" s="1606"/>
      <c r="BH29" s="1606"/>
      <c r="BI29" s="1606"/>
    </row>
    <row r="30" spans="1:61" ht="15" customHeight="1" x14ac:dyDescent="0.25">
      <c r="B30" s="679">
        <v>1001.1</v>
      </c>
      <c r="C30" s="21" t="s">
        <v>432</v>
      </c>
      <c r="D30" s="21"/>
      <c r="E30" s="21"/>
      <c r="F30" s="758"/>
      <c r="G30" s="21"/>
      <c r="H30" s="758"/>
      <c r="I30" s="4"/>
      <c r="J30" s="207" t="s">
        <v>432</v>
      </c>
      <c r="K30" s="243"/>
      <c r="L30" s="280" t="s">
        <v>3289</v>
      </c>
      <c r="M30" s="141"/>
      <c r="N30" s="4"/>
      <c r="O30" s="141"/>
      <c r="P30" s="633" t="b">
        <v>0</v>
      </c>
      <c r="Q30" s="633" t="b">
        <v>1</v>
      </c>
      <c r="R30" s="169" t="b">
        <v>0</v>
      </c>
      <c r="S30" s="169" t="b">
        <f>IF(AY19=INDEX(ddSingleOrMulti,1),TRUE,FALSE)</f>
        <v>1</v>
      </c>
      <c r="T30" s="94" t="b">
        <f>AND(NOT(S30),W30=TRUE)</f>
        <v>0</v>
      </c>
      <c r="W30" s="25"/>
      <c r="X30" s="170"/>
      <c r="AC30" s="169" t="b">
        <f>OR(AD30:AE30)</f>
        <v>0</v>
      </c>
      <c r="AD30" s="169" t="b">
        <f>T30</f>
        <v>0</v>
      </c>
      <c r="AP30" s="254" t="str">
        <f>SUBSTITUTE(SUBSTITUTE(SUBSTITUTE("dch"&amp;$B30&amp;$C30&amp;$D30&amp;$E30,".","_"),"(","_"),")","")</f>
        <v>dch1001_1_10</v>
      </c>
      <c r="AQ30" s="254" t="str">
        <f>IF(LEN(W30)=0,"",W30)</f>
        <v/>
      </c>
      <c r="AR30" s="254" t="str">
        <f>SUBSTITUTE(SUBSTITUTE(SUBSTITUTE("dnt"&amp;$B30&amp;$C30&amp;$D30&amp;$E30,".","_"),"(","_"),")","")</f>
        <v>dnt1001_1_10</v>
      </c>
      <c r="AS30" s="254" t="str">
        <f>IF(LEN(X30)=0,"",X30)</f>
        <v/>
      </c>
      <c r="AZ30" s="743"/>
      <c r="BA30" s="743"/>
      <c r="BB30" s="743"/>
      <c r="BC30" s="743"/>
      <c r="BD30" s="743"/>
      <c r="BE30" s="743"/>
      <c r="BF30" s="743"/>
      <c r="BG30" s="743"/>
      <c r="BH30" s="743"/>
      <c r="BI30" s="743"/>
    </row>
    <row r="31" spans="1:61" ht="15" customHeight="1" x14ac:dyDescent="0.25">
      <c r="B31" s="679">
        <v>1001.1</v>
      </c>
      <c r="C31" s="21" t="s">
        <v>434</v>
      </c>
      <c r="D31" s="21"/>
      <c r="E31" s="21"/>
      <c r="F31" s="758"/>
      <c r="G31" s="21"/>
      <c r="H31" s="758"/>
      <c r="I31" s="4"/>
      <c r="J31" s="27" t="s">
        <v>434</v>
      </c>
      <c r="K31" s="4"/>
      <c r="L31" s="749" t="s">
        <v>3290</v>
      </c>
      <c r="M31" s="141"/>
      <c r="N31" s="4"/>
      <c r="O31" s="141"/>
      <c r="P31" s="633" t="b">
        <v>0</v>
      </c>
      <c r="Q31" s="633" t="b">
        <v>1</v>
      </c>
      <c r="R31" s="169" t="b">
        <v>0</v>
      </c>
      <c r="S31" s="169" t="b">
        <f>IF(AY19=INDEX(ddSingleOrMulti,1),TRUE,FALSE)</f>
        <v>1</v>
      </c>
      <c r="T31" s="94" t="b">
        <f>AND(NOT(S31),W31=TRUE)</f>
        <v>0</v>
      </c>
      <c r="W31" s="25"/>
      <c r="X31" s="170"/>
      <c r="AC31" s="169" t="b">
        <f>OR(AD31:AE31)</f>
        <v>0</v>
      </c>
      <c r="AD31" s="169" t="b">
        <f>T31</f>
        <v>0</v>
      </c>
      <c r="AP31" s="254" t="str">
        <f>SUBSTITUTE(SUBSTITUTE(SUBSTITUTE("dch"&amp;$B31&amp;$C31&amp;$D31&amp;$E31,".","_"),"(","_"),")","")</f>
        <v>dch1001_1_11</v>
      </c>
      <c r="AQ31" s="254" t="str">
        <f>IF(LEN(W31)=0,"",W31)</f>
        <v/>
      </c>
      <c r="AR31" s="254" t="str">
        <f>SUBSTITUTE(SUBSTITUTE(SUBSTITUTE("dnt"&amp;$B31&amp;$C31&amp;$D31&amp;$E31,".","_"),"(","_"),")","")</f>
        <v>dnt1001_1_11</v>
      </c>
      <c r="AS31" s="254" t="str">
        <f>IF(LEN(X31)=0,"",X31)</f>
        <v/>
      </c>
      <c r="AX31" s="75" t="str">
        <f>'Overview (Design)'!A30</f>
        <v xml:space="preserve">Project Description (optional): </v>
      </c>
      <c r="AY31" s="76">
        <f>'Overview (Design)'!G30</f>
        <v>0</v>
      </c>
    </row>
    <row r="32" spans="1:61" ht="15" customHeight="1" x14ac:dyDescent="0.25">
      <c r="B32" s="679">
        <v>1001.1</v>
      </c>
      <c r="C32" s="21" t="s">
        <v>436</v>
      </c>
      <c r="D32" s="21"/>
      <c r="E32" s="21"/>
      <c r="F32" s="758"/>
      <c r="G32" s="21"/>
      <c r="H32" s="758"/>
      <c r="I32" s="4"/>
      <c r="J32" s="209" t="s">
        <v>436</v>
      </c>
      <c r="K32" s="193"/>
      <c r="L32" s="1778" t="s">
        <v>3291</v>
      </c>
      <c r="M32" s="141"/>
      <c r="N32" s="4"/>
      <c r="O32" s="141"/>
      <c r="P32" s="633" t="b">
        <v>0</v>
      </c>
      <c r="Q32" s="633" t="b">
        <v>1</v>
      </c>
      <c r="R32" s="169" t="b">
        <v>0</v>
      </c>
      <c r="S32" s="169" t="b">
        <f>IF(AY19=INDEX(ddSingleOrMulti,1),TRUE,FALSE)</f>
        <v>1</v>
      </c>
      <c r="T32" s="94" t="b">
        <f>AND(NOT(S32),W32=TRUE)</f>
        <v>0</v>
      </c>
      <c r="W32" s="25"/>
      <c r="X32" s="1757"/>
      <c r="AC32" s="169" t="b">
        <f>OR(AD32:AE32)</f>
        <v>0</v>
      </c>
      <c r="AD32" s="169" t="b">
        <f>T32</f>
        <v>0</v>
      </c>
      <c r="AP32" s="254" t="str">
        <f>SUBSTITUTE(SUBSTITUTE(SUBSTITUTE("dch"&amp;$B32&amp;$C32&amp;$D32&amp;$E32,".","_"),"(","_"),")","")</f>
        <v>dch1001_1_12</v>
      </c>
      <c r="AQ32" s="254" t="str">
        <f>IF(LEN(W32)=0,"",W32)</f>
        <v/>
      </c>
      <c r="AR32" s="254" t="str">
        <f>SUBSTITUTE(SUBSTITUTE(SUBSTITUTE("dnt"&amp;$B32&amp;$C32&amp;$D32&amp;$E32,".","_"),"(","_"),")","")</f>
        <v>dnt1001_1_12</v>
      </c>
      <c r="AS32" s="254" t="str">
        <f>IF(LEN(X32)=0,"",X32)</f>
        <v/>
      </c>
    </row>
    <row r="33" spans="2:51" x14ac:dyDescent="0.25">
      <c r="B33" s="679">
        <v>1001.1</v>
      </c>
      <c r="C33" s="21" t="s">
        <v>436</v>
      </c>
      <c r="D33" s="21"/>
      <c r="E33" s="21"/>
      <c r="F33" s="758"/>
      <c r="G33" s="21"/>
      <c r="H33" s="758"/>
      <c r="I33" s="4"/>
      <c r="J33" s="129"/>
      <c r="K33" s="129"/>
      <c r="L33" s="1754"/>
      <c r="M33" s="141"/>
      <c r="N33" s="4"/>
      <c r="O33" s="141"/>
      <c r="X33" s="1757"/>
      <c r="AX33" s="743"/>
      <c r="AY33" s="743"/>
    </row>
    <row r="34" spans="2:51" x14ac:dyDescent="0.25">
      <c r="B34" s="679">
        <v>1001.1</v>
      </c>
      <c r="C34" s="21" t="s">
        <v>436</v>
      </c>
      <c r="D34" s="21" t="s">
        <v>121</v>
      </c>
      <c r="E34" s="21"/>
      <c r="F34" s="758"/>
      <c r="G34" s="21"/>
      <c r="H34" s="758"/>
      <c r="I34" s="4"/>
      <c r="J34" s="129"/>
      <c r="K34" s="183" t="s">
        <v>121</v>
      </c>
      <c r="L34" s="745" t="s">
        <v>3292</v>
      </c>
      <c r="M34" s="141"/>
      <c r="N34" s="4"/>
      <c r="O34" s="141"/>
      <c r="X34" s="1757"/>
      <c r="AX34" s="75" t="str">
        <f>'Overview (Design)'!A32</f>
        <v>Foundation Type:</v>
      </c>
      <c r="AY34" s="76">
        <f>'Overview (Design)'!G32</f>
        <v>0</v>
      </c>
    </row>
    <row r="35" spans="2:51" x14ac:dyDescent="0.25">
      <c r="B35" s="679">
        <v>1001.1</v>
      </c>
      <c r="C35" s="21" t="s">
        <v>436</v>
      </c>
      <c r="D35" s="21" t="s">
        <v>122</v>
      </c>
      <c r="E35" s="21"/>
      <c r="F35" s="758"/>
      <c r="G35" s="21"/>
      <c r="H35" s="758"/>
      <c r="I35" s="4"/>
      <c r="J35" s="129"/>
      <c r="K35" s="183" t="s">
        <v>122</v>
      </c>
      <c r="L35" s="745" t="s">
        <v>3293</v>
      </c>
      <c r="M35" s="141"/>
      <c r="N35" s="4"/>
      <c r="O35" s="141"/>
      <c r="X35" s="1757"/>
      <c r="AX35" s="441"/>
      <c r="AY35" s="442"/>
    </row>
    <row r="36" spans="2:51" x14ac:dyDescent="0.25">
      <c r="B36" s="679">
        <v>1001.1</v>
      </c>
      <c r="C36" s="21" t="s">
        <v>436</v>
      </c>
      <c r="D36" s="21" t="s">
        <v>123</v>
      </c>
      <c r="E36" s="21"/>
      <c r="F36" s="758"/>
      <c r="G36" s="21"/>
      <c r="H36" s="758"/>
      <c r="I36" s="4"/>
      <c r="J36" s="129"/>
      <c r="K36" s="183" t="s">
        <v>123</v>
      </c>
      <c r="L36" s="1754" t="s">
        <v>3294</v>
      </c>
      <c r="M36" s="141"/>
      <c r="N36" s="4"/>
      <c r="O36" s="141"/>
      <c r="X36" s="1757"/>
      <c r="AX36" s="75" t="str">
        <f>'Overview (Design)'!A34</f>
        <v>Type of Heating System (main system):</v>
      </c>
      <c r="AY36" s="76">
        <f>'Overview (Design)'!G34</f>
        <v>0</v>
      </c>
    </row>
    <row r="37" spans="2:51" x14ac:dyDescent="0.25">
      <c r="B37" s="679">
        <v>1001.1</v>
      </c>
      <c r="C37" s="21" t="s">
        <v>436</v>
      </c>
      <c r="D37" s="21"/>
      <c r="E37" s="21"/>
      <c r="F37" s="758"/>
      <c r="G37" s="21"/>
      <c r="H37" s="758"/>
      <c r="I37" s="4"/>
      <c r="J37" s="210"/>
      <c r="K37" s="210"/>
      <c r="L37" s="1755"/>
      <c r="M37" s="141"/>
      <c r="N37" s="4"/>
      <c r="O37" s="141"/>
      <c r="X37" s="1757"/>
      <c r="AX37" s="75" t="str">
        <f>'Overview (Design)'!A35</f>
        <v>Type of Heating System (system 2):</v>
      </c>
      <c r="AY37" s="76">
        <f>'Overview (Design)'!G35</f>
        <v>0</v>
      </c>
    </row>
    <row r="38" spans="2:51" x14ac:dyDescent="0.25">
      <c r="B38" s="679">
        <v>1001.1</v>
      </c>
      <c r="C38" s="21" t="s">
        <v>3295</v>
      </c>
      <c r="D38" s="21"/>
      <c r="E38" s="21"/>
      <c r="F38" s="758"/>
      <c r="G38" s="21"/>
      <c r="H38" s="758"/>
      <c r="I38" s="4"/>
      <c r="J38" s="209" t="s">
        <v>3295</v>
      </c>
      <c r="K38" s="193"/>
      <c r="L38" s="1778" t="s">
        <v>3296</v>
      </c>
      <c r="M38" s="141"/>
      <c r="N38" s="4"/>
      <c r="O38" s="141"/>
      <c r="P38" s="633" t="b">
        <v>0</v>
      </c>
      <c r="Q38" s="633" t="b">
        <v>1</v>
      </c>
      <c r="R38" s="169" t="b">
        <v>0</v>
      </c>
      <c r="S38" s="169" t="b">
        <f>IF(AY19=INDEX(ddSingleOrMulti,1),TRUE,FALSE)</f>
        <v>1</v>
      </c>
      <c r="T38" s="94" t="b">
        <f>AND(NOT(S38),W38=TRUE)</f>
        <v>0</v>
      </c>
      <c r="W38" s="25"/>
      <c r="X38" s="1757"/>
      <c r="AC38" s="169" t="b">
        <f>OR(AD38:AE38)</f>
        <v>0</v>
      </c>
      <c r="AD38" s="169" t="b">
        <f>T38</f>
        <v>0</v>
      </c>
      <c r="AP38" s="254" t="str">
        <f>SUBSTITUTE(SUBSTITUTE(SUBSTITUTE("dch"&amp;$B38&amp;$C38&amp;$D38&amp;$E38,".","_"),"(","_"),")","")</f>
        <v>dch1001_1_13</v>
      </c>
      <c r="AQ38" s="254" t="str">
        <f>IF(LEN(W38)=0,"",W38)</f>
        <v/>
      </c>
      <c r="AR38" s="254" t="str">
        <f>SUBSTITUTE(SUBSTITUTE(SUBSTITUTE("dnt"&amp;$B38&amp;$C38&amp;$D38&amp;$E38,".","_"),"(","_"),")","")</f>
        <v>dnt1001_1_13</v>
      </c>
      <c r="AS38" s="254" t="str">
        <f>IF(LEN(X38)=0,"",X38)</f>
        <v/>
      </c>
      <c r="AX38" s="75" t="str">
        <f>'Overview (Design)'!A36</f>
        <v>Type of Heating System (system 3):</v>
      </c>
      <c r="AY38" s="76">
        <f>'Overview (Design)'!G36</f>
        <v>0</v>
      </c>
    </row>
    <row r="39" spans="2:51" x14ac:dyDescent="0.25">
      <c r="B39" s="679">
        <v>1001.1</v>
      </c>
      <c r="C39" s="21" t="s">
        <v>3295</v>
      </c>
      <c r="D39" s="21"/>
      <c r="E39" s="21"/>
      <c r="F39" s="758"/>
      <c r="G39" s="21"/>
      <c r="H39" s="758"/>
      <c r="I39" s="4"/>
      <c r="J39" s="129"/>
      <c r="K39" s="129"/>
      <c r="L39" s="1754"/>
      <c r="M39" s="141"/>
      <c r="N39" s="4"/>
      <c r="O39" s="141"/>
      <c r="X39" s="1757"/>
      <c r="AX39" s="75" t="str">
        <f>'Overview (Design)'!A37</f>
        <v>Primary Heating Fuel:</v>
      </c>
      <c r="AY39" s="76">
        <f>'Overview (Design)'!G37</f>
        <v>0</v>
      </c>
    </row>
    <row r="40" spans="2:51" x14ac:dyDescent="0.25">
      <c r="B40" s="679">
        <v>1001.1</v>
      </c>
      <c r="C40" s="21" t="s">
        <v>3295</v>
      </c>
      <c r="D40" s="21"/>
      <c r="E40" s="21"/>
      <c r="F40" s="758"/>
      <c r="G40" s="21"/>
      <c r="H40" s="758"/>
      <c r="I40" s="4"/>
      <c r="J40" s="129"/>
      <c r="K40" s="129"/>
      <c r="L40" s="1754"/>
      <c r="M40" s="141"/>
      <c r="N40" s="4"/>
      <c r="O40" s="141"/>
      <c r="X40" s="1757"/>
      <c r="AX40" s="441" t="str">
        <f>'Overview (Design)'!A38</f>
        <v>Heating Ducts:</v>
      </c>
      <c r="AY40" s="442">
        <f>'Overview (Design)'!G38</f>
        <v>0</v>
      </c>
    </row>
    <row r="41" spans="2:51" x14ac:dyDescent="0.25">
      <c r="B41" s="679">
        <v>1001.1</v>
      </c>
      <c r="C41" s="21" t="s">
        <v>3295</v>
      </c>
      <c r="D41" s="21"/>
      <c r="E41" s="21"/>
      <c r="F41" s="758"/>
      <c r="G41" s="21"/>
      <c r="H41" s="758"/>
      <c r="I41" s="4"/>
      <c r="J41" s="210"/>
      <c r="K41" s="210"/>
      <c r="L41" s="1755"/>
      <c r="M41" s="141"/>
      <c r="N41" s="4"/>
      <c r="O41" s="141"/>
      <c r="X41" s="1757"/>
      <c r="AX41" s="441" t="str">
        <f>'Overview (Design)'!A39</f>
        <v>Type of Cooling System (main system):</v>
      </c>
      <c r="AY41" s="442">
        <f>'Overview (Design)'!G39</f>
        <v>0</v>
      </c>
    </row>
    <row r="42" spans="2:51" x14ac:dyDescent="0.25">
      <c r="B42" s="679">
        <v>1001.1</v>
      </c>
      <c r="C42" s="21" t="s">
        <v>3297</v>
      </c>
      <c r="D42" s="21"/>
      <c r="E42" s="21"/>
      <c r="F42" s="758"/>
      <c r="G42" s="21"/>
      <c r="H42" s="758"/>
      <c r="I42" s="4"/>
      <c r="J42" s="209" t="s">
        <v>3297</v>
      </c>
      <c r="K42" s="193"/>
      <c r="L42" s="1778" t="s">
        <v>3298</v>
      </c>
      <c r="M42" s="141"/>
      <c r="N42" s="4"/>
      <c r="O42" s="141"/>
      <c r="P42" s="633" t="b">
        <v>0</v>
      </c>
      <c r="Q42" s="633" t="b">
        <v>1</v>
      </c>
      <c r="R42" s="169" t="b">
        <v>0</v>
      </c>
      <c r="S42" s="169" t="b">
        <f>IF(AY19=INDEX(ddSingleOrMulti,1),TRUE,FALSE)</f>
        <v>1</v>
      </c>
      <c r="T42" s="94" t="b">
        <f>AND(NOT(S42),W42=TRUE)</f>
        <v>0</v>
      </c>
      <c r="W42" s="25"/>
      <c r="X42" s="1757"/>
      <c r="AC42" s="169" t="b">
        <f>OR(AD42:AE42)</f>
        <v>0</v>
      </c>
      <c r="AD42" s="169" t="b">
        <f>T42</f>
        <v>0</v>
      </c>
      <c r="AP42" s="254" t="str">
        <f>SUBSTITUTE(SUBSTITUTE(SUBSTITUTE("dch"&amp;$B42&amp;$C42&amp;$D42&amp;$E42,".","_"),"(","_"),")","")</f>
        <v>dch1001_1_14</v>
      </c>
      <c r="AQ42" s="254" t="str">
        <f>IF(LEN(W42)=0,"",W42)</f>
        <v/>
      </c>
      <c r="AR42" s="254" t="str">
        <f>SUBSTITUTE(SUBSTITUTE(SUBSTITUTE("dnt"&amp;$B42&amp;$C42&amp;$D42&amp;$E42,".","_"),"(","_"),")","")</f>
        <v>dnt1001_1_14</v>
      </c>
      <c r="AS42" s="254" t="str">
        <f>IF(LEN(X42)=0,"",X42)</f>
        <v/>
      </c>
      <c r="AX42" s="441" t="str">
        <f>'Overview (Design)'!A40</f>
        <v>Type of Cooling System (system 2):</v>
      </c>
      <c r="AY42" s="442">
        <f>'Overview (Design)'!G40</f>
        <v>0</v>
      </c>
    </row>
    <row r="43" spans="2:51" x14ac:dyDescent="0.25">
      <c r="B43" s="679">
        <v>1001.1</v>
      </c>
      <c r="C43" s="21" t="s">
        <v>3297</v>
      </c>
      <c r="D43" s="21"/>
      <c r="E43" s="21"/>
      <c r="F43" s="758"/>
      <c r="G43" s="21"/>
      <c r="H43" s="758"/>
      <c r="I43" s="4"/>
      <c r="J43" s="210"/>
      <c r="K43" s="210"/>
      <c r="L43" s="1755"/>
      <c r="M43" s="141"/>
      <c r="N43" s="4"/>
      <c r="O43" s="141"/>
      <c r="X43" s="1757"/>
      <c r="AX43" s="441" t="str">
        <f>'Overview (Design)'!A41</f>
        <v>Type of Cooling System (system 3):</v>
      </c>
      <c r="AY43" s="442">
        <f>'Overview (Design)'!G41</f>
        <v>0</v>
      </c>
    </row>
    <row r="44" spans="2:51" x14ac:dyDescent="0.25">
      <c r="B44" s="679">
        <v>1001.1</v>
      </c>
      <c r="C44" s="21" t="s">
        <v>3299</v>
      </c>
      <c r="D44" s="21"/>
      <c r="E44" s="21"/>
      <c r="F44" s="758"/>
      <c r="G44" s="21"/>
      <c r="H44" s="758"/>
      <c r="I44" s="4"/>
      <c r="J44" s="209" t="s">
        <v>3299</v>
      </c>
      <c r="K44" s="193"/>
      <c r="L44" s="1778" t="s">
        <v>3300</v>
      </c>
      <c r="M44" s="141"/>
      <c r="N44" s="4"/>
      <c r="O44" s="141"/>
      <c r="P44" s="633" t="b">
        <v>0</v>
      </c>
      <c r="Q44" s="633" t="b">
        <v>1</v>
      </c>
      <c r="R44" s="169" t="b">
        <v>0</v>
      </c>
      <c r="S44" s="169" t="b">
        <f>IF(AY19=INDEX(ddSingleOrMulti,1),TRUE,FALSE)</f>
        <v>1</v>
      </c>
      <c r="T44" s="94" t="b">
        <f>AND(NOT(S44),W44=TRUE)</f>
        <v>0</v>
      </c>
      <c r="W44" s="25"/>
      <c r="X44" s="1757"/>
      <c r="AC44" s="169" t="b">
        <f>OR(AD44:AE44)</f>
        <v>0</v>
      </c>
      <c r="AD44" s="169" t="b">
        <f>T44</f>
        <v>0</v>
      </c>
      <c r="AP44" s="254" t="str">
        <f>SUBSTITUTE(SUBSTITUTE(SUBSTITUTE("dch"&amp;$B44&amp;$C44&amp;$D44&amp;$E44,".","_"),"(","_"),")","")</f>
        <v>dch1001_1_15</v>
      </c>
      <c r="AQ44" s="254" t="str">
        <f>IF(LEN(W44)=0,"",W44)</f>
        <v/>
      </c>
      <c r="AR44" s="254" t="str">
        <f>SUBSTITUTE(SUBSTITUTE(SUBSTITUTE("dnt"&amp;$B44&amp;$C44&amp;$D44&amp;$E44,".","_"),"(","_"),")","")</f>
        <v>dnt1001_1_15</v>
      </c>
      <c r="AS44" s="254" t="str">
        <f>IF(LEN(X44)=0,"",X44)</f>
        <v/>
      </c>
      <c r="AX44" s="441" t="str">
        <f>'Overview (Design)'!A42</f>
        <v>Cooling Ducts:</v>
      </c>
      <c r="AY44" s="442">
        <f>'Overview (Design)'!G42</f>
        <v>0</v>
      </c>
    </row>
    <row r="45" spans="2:51" x14ac:dyDescent="0.25">
      <c r="B45" s="679">
        <v>1001.1</v>
      </c>
      <c r="C45" s="21" t="s">
        <v>3299</v>
      </c>
      <c r="D45" s="21"/>
      <c r="E45" s="21"/>
      <c r="F45" s="758"/>
      <c r="G45" s="21"/>
      <c r="H45" s="758"/>
      <c r="I45" s="4"/>
      <c r="J45" s="210"/>
      <c r="K45" s="210"/>
      <c r="L45" s="1755"/>
      <c r="M45" s="141"/>
      <c r="N45" s="4"/>
      <c r="O45" s="141"/>
      <c r="X45" s="1757"/>
      <c r="AX45" s="441"/>
      <c r="AY45" s="442"/>
    </row>
    <row r="46" spans="2:51" x14ac:dyDescent="0.25">
      <c r="B46" s="679">
        <v>1001.1</v>
      </c>
      <c r="C46" s="21" t="s">
        <v>3301</v>
      </c>
      <c r="D46" s="21"/>
      <c r="E46" s="21"/>
      <c r="F46" s="758"/>
      <c r="G46" s="21"/>
      <c r="H46" s="758"/>
      <c r="I46" s="4"/>
      <c r="J46" s="207" t="s">
        <v>3301</v>
      </c>
      <c r="K46" s="243"/>
      <c r="L46" s="280" t="s">
        <v>3302</v>
      </c>
      <c r="M46" s="141"/>
      <c r="N46" s="4"/>
      <c r="O46" s="141"/>
      <c r="P46" s="633" t="b">
        <v>0</v>
      </c>
      <c r="Q46" s="633" t="b">
        <v>1</v>
      </c>
      <c r="R46" s="169" t="b">
        <v>0</v>
      </c>
      <c r="S46" s="169" t="b">
        <f>IF(AY19=INDEX(ddSingleOrMulti,1),TRUE,FALSE)</f>
        <v>1</v>
      </c>
      <c r="T46" s="94" t="b">
        <f>AND(NOT(S46),W46=TRUE)</f>
        <v>0</v>
      </c>
      <c r="W46" s="25"/>
      <c r="X46" s="170"/>
      <c r="AC46" s="169" t="b">
        <f>OR(AD46:AE46)</f>
        <v>0</v>
      </c>
      <c r="AD46" s="169" t="b">
        <f>T46</f>
        <v>0</v>
      </c>
      <c r="AP46" s="254" t="str">
        <f>SUBSTITUTE(SUBSTITUTE(SUBSTITUTE("dch"&amp;$B46&amp;$C46&amp;$D46&amp;$E46,".","_"),"(","_"),")","")</f>
        <v>dch1001_1_16</v>
      </c>
      <c r="AQ46" s="254" t="str">
        <f>IF(LEN(W46)=0,"",W46)</f>
        <v/>
      </c>
      <c r="AR46" s="254" t="str">
        <f>SUBSTITUTE(SUBSTITUTE(SUBSTITUTE("dnt"&amp;$B46&amp;$C46&amp;$D46&amp;$E46,".","_"),"(","_"),")","")</f>
        <v>dnt1001_1_16</v>
      </c>
      <c r="AS46" s="254" t="str">
        <f>IF(LEN(X46)=0,"",X46)</f>
        <v/>
      </c>
      <c r="AX46" s="441" t="str">
        <f>'Overview (Design)'!A44</f>
        <v>Maximum window and door SHGC:</v>
      </c>
      <c r="AY46" s="442">
        <f>'Overview (Design)'!G44</f>
        <v>0</v>
      </c>
    </row>
    <row r="47" spans="2:51" x14ac:dyDescent="0.25">
      <c r="B47" s="679">
        <v>1001.1</v>
      </c>
      <c r="C47" s="21" t="s">
        <v>3303</v>
      </c>
      <c r="D47" s="21"/>
      <c r="E47" s="21"/>
      <c r="F47" s="758"/>
      <c r="G47" s="21"/>
      <c r="H47" s="758"/>
      <c r="I47" s="4"/>
      <c r="J47" s="209" t="s">
        <v>3303</v>
      </c>
      <c r="K47" s="193"/>
      <c r="L47" s="1760" t="s">
        <v>3304</v>
      </c>
      <c r="M47" s="141"/>
      <c r="N47" s="4"/>
      <c r="O47" s="141"/>
      <c r="P47" s="633" t="b">
        <v>0</v>
      </c>
      <c r="Q47" s="633" t="b">
        <v>1</v>
      </c>
      <c r="R47" s="169" t="b">
        <v>0</v>
      </c>
      <c r="S47" s="169" t="b">
        <f>IF(AY19=INDEX(ddSingleOrMulti,1),TRUE,FALSE)</f>
        <v>1</v>
      </c>
      <c r="T47" s="94" t="b">
        <f>AND(NOT(S47),W47=TRUE)</f>
        <v>0</v>
      </c>
      <c r="W47" s="25"/>
      <c r="X47" s="1757"/>
      <c r="AC47" s="169" t="b">
        <f>OR(AD47:AE47)</f>
        <v>0</v>
      </c>
      <c r="AD47" s="169" t="b">
        <f>T47</f>
        <v>0</v>
      </c>
      <c r="AP47" s="254" t="str">
        <f>SUBSTITUTE(SUBSTITUTE(SUBSTITUTE("dch"&amp;$B47&amp;$C47&amp;$D47&amp;$E47,".","_"),"(","_"),")","")</f>
        <v>dch1001_1_17</v>
      </c>
      <c r="AQ47" s="254" t="str">
        <f>IF(LEN(W47)=0,"",W47)</f>
        <v/>
      </c>
      <c r="AR47" s="254" t="str">
        <f>SUBSTITUTE(SUBSTITUTE(SUBSTITUTE("dnt"&amp;$B47&amp;$C47&amp;$D47&amp;$E47,".","_"),"(","_"),")","")</f>
        <v>dnt1001_1_17</v>
      </c>
      <c r="AS47" s="254" t="str">
        <f>IF(LEN(X47)=0,"",X47)</f>
        <v/>
      </c>
      <c r="AX47" s="441" t="str">
        <f>'Overview (Design)'!A45</f>
        <v>Maximum skylight SHGC:</v>
      </c>
      <c r="AY47" s="442">
        <f>'Overview (Design)'!G45</f>
        <v>0</v>
      </c>
    </row>
    <row r="48" spans="2:51" x14ac:dyDescent="0.25">
      <c r="B48" s="679">
        <v>1001.1</v>
      </c>
      <c r="C48" s="21" t="s">
        <v>3303</v>
      </c>
      <c r="D48" s="21"/>
      <c r="E48" s="21"/>
      <c r="F48" s="758"/>
      <c r="G48" s="21"/>
      <c r="H48" s="758"/>
      <c r="I48" s="4"/>
      <c r="J48" s="206"/>
      <c r="K48" s="210"/>
      <c r="L48" s="1761"/>
      <c r="M48" s="141"/>
      <c r="N48" s="4"/>
      <c r="O48" s="141"/>
      <c r="X48" s="1757"/>
      <c r="AX48" s="441" t="str">
        <f>'Overview (Design)'!A46</f>
        <v>Maximum window and door U-value:</v>
      </c>
      <c r="AY48" s="442">
        <f>'Overview (Design)'!G46</f>
        <v>0</v>
      </c>
    </row>
    <row r="49" spans="2:51" x14ac:dyDescent="0.25">
      <c r="B49" s="679">
        <v>1001.1</v>
      </c>
      <c r="C49" s="21" t="s">
        <v>3305</v>
      </c>
      <c r="D49" s="21"/>
      <c r="E49" s="21"/>
      <c r="F49" s="758"/>
      <c r="G49" s="21"/>
      <c r="H49" s="758"/>
      <c r="I49" s="4"/>
      <c r="J49" s="209" t="s">
        <v>3305</v>
      </c>
      <c r="K49" s="193"/>
      <c r="L49" s="1778" t="s">
        <v>3306</v>
      </c>
      <c r="M49" s="141"/>
      <c r="N49" s="4"/>
      <c r="O49" s="141"/>
      <c r="P49" s="633" t="b">
        <v>0</v>
      </c>
      <c r="Q49" s="633" t="b">
        <v>1</v>
      </c>
      <c r="R49" s="169" t="b">
        <v>0</v>
      </c>
      <c r="S49" s="169" t="b">
        <f>IF(AY19=INDEX(ddSingleOrMulti,1),TRUE,FALSE)</f>
        <v>1</v>
      </c>
      <c r="T49" s="94" t="b">
        <f>AND(NOT(S49),W49=TRUE)</f>
        <v>0</v>
      </c>
      <c r="W49" s="25"/>
      <c r="X49" s="1757"/>
      <c r="AC49" s="169" t="b">
        <f>OR(AD49:AE49)</f>
        <v>0</v>
      </c>
      <c r="AD49" s="169" t="b">
        <f>T49</f>
        <v>0</v>
      </c>
      <c r="AP49" s="254" t="str">
        <f>SUBSTITUTE(SUBSTITUTE(SUBSTITUTE("dch"&amp;$B49&amp;$C49&amp;$D49&amp;$E49,".","_"),"(","_"),")","")</f>
        <v>dch1001_1_18</v>
      </c>
      <c r="AQ49" s="254" t="str">
        <f>IF(LEN(W49)=0,"",W49)</f>
        <v/>
      </c>
      <c r="AR49" s="254" t="str">
        <f>SUBSTITUTE(SUBSTITUTE(SUBSTITUTE("dnt"&amp;$B49&amp;$C49&amp;$D49&amp;$E49,".","_"),"(","_"),")","")</f>
        <v>dnt1001_1_18</v>
      </c>
      <c r="AS49" s="254" t="str">
        <f>IF(LEN(X49)=0,"",X49)</f>
        <v/>
      </c>
      <c r="AX49" s="441" t="str">
        <f>'Overview (Design)'!A47</f>
        <v>Maximum skylight U-value:</v>
      </c>
      <c r="AY49" s="442">
        <f>'Overview (Design)'!G47</f>
        <v>0</v>
      </c>
    </row>
    <row r="50" spans="2:51" x14ac:dyDescent="0.25">
      <c r="B50" s="679">
        <v>1001.1</v>
      </c>
      <c r="C50" s="21" t="s">
        <v>3305</v>
      </c>
      <c r="D50" s="21"/>
      <c r="E50" s="21"/>
      <c r="F50" s="758"/>
      <c r="G50" s="21"/>
      <c r="H50" s="758"/>
      <c r="I50" s="4"/>
      <c r="J50" s="210"/>
      <c r="K50" s="210"/>
      <c r="L50" s="1755"/>
      <c r="M50" s="141"/>
      <c r="N50" s="4"/>
      <c r="O50" s="141"/>
      <c r="X50" s="1757"/>
      <c r="AX50" s="75" t="str">
        <f>'Overview (Design)'!A48</f>
        <v>Renewable Energy:</v>
      </c>
      <c r="AY50" s="76">
        <f>'Overview (Design)'!G48</f>
        <v>0</v>
      </c>
    </row>
    <row r="51" spans="2:51" x14ac:dyDescent="0.25">
      <c r="B51" s="679">
        <v>1001.1</v>
      </c>
      <c r="C51" s="21" t="s">
        <v>3307</v>
      </c>
      <c r="D51" s="21"/>
      <c r="E51" s="21"/>
      <c r="F51" s="758"/>
      <c r="G51" s="21"/>
      <c r="H51" s="758"/>
      <c r="I51" s="4"/>
      <c r="J51" s="207" t="s">
        <v>3307</v>
      </c>
      <c r="K51" s="243"/>
      <c r="L51" s="280" t="s">
        <v>3308</v>
      </c>
      <c r="M51" s="141"/>
      <c r="N51" s="4"/>
      <c r="O51" s="141"/>
      <c r="P51" s="633" t="b">
        <v>0</v>
      </c>
      <c r="Q51" s="633" t="b">
        <v>1</v>
      </c>
      <c r="R51" s="169" t="b">
        <v>0</v>
      </c>
      <c r="S51" s="169" t="b">
        <f>IF(AY19=INDEX(ddSingleOrMulti,1),TRUE,FALSE)</f>
        <v>1</v>
      </c>
      <c r="T51" s="94" t="b">
        <f>AND(NOT(S51),W51=TRUE)</f>
        <v>0</v>
      </c>
      <c r="W51" s="25"/>
      <c r="X51" s="170"/>
      <c r="AC51" s="169" t="b">
        <f>OR(AD51:AE51)</f>
        <v>0</v>
      </c>
      <c r="AD51" s="169" t="b">
        <f>T51</f>
        <v>0</v>
      </c>
      <c r="AP51" s="254" t="str">
        <f>SUBSTITUTE(SUBSTITUTE(SUBSTITUTE("dch"&amp;$B51&amp;$C51&amp;$D51&amp;$E51,".","_"),"(","_"),")","")</f>
        <v>dch1001_1_19</v>
      </c>
      <c r="AQ51" s="254" t="str">
        <f>IF(LEN(W51)=0,"",W51)</f>
        <v/>
      </c>
      <c r="AR51" s="254" t="str">
        <f>SUBSTITUTE(SUBSTITUTE(SUBSTITUTE("dnt"&amp;$B51&amp;$C51&amp;$D51&amp;$E51,".","_"),"(","_"),")","")</f>
        <v>dnt1001_1_19</v>
      </c>
      <c r="AS51" s="254" t="str">
        <f>IF(LEN(X51)=0,"",X51)</f>
        <v/>
      </c>
      <c r="AX51" s="75" t="str">
        <f>'Overview (Design)'!A49</f>
        <v>Thermal Envelope Insulation:</v>
      </c>
      <c r="AY51" s="76">
        <f>'Overview (Design)'!G49</f>
        <v>0</v>
      </c>
    </row>
    <row r="52" spans="2:51" x14ac:dyDescent="0.25">
      <c r="B52" s="679">
        <v>1001.1</v>
      </c>
      <c r="C52" s="21" t="s">
        <v>3309</v>
      </c>
      <c r="D52" s="21"/>
      <c r="E52" s="21"/>
      <c r="F52" s="758"/>
      <c r="G52" s="21"/>
      <c r="H52" s="758"/>
      <c r="I52" s="4"/>
      <c r="J52" s="209" t="s">
        <v>3309</v>
      </c>
      <c r="K52" s="193"/>
      <c r="L52" s="1778" t="s">
        <v>3310</v>
      </c>
      <c r="M52" s="141"/>
      <c r="N52" s="4"/>
      <c r="O52" s="141"/>
      <c r="P52" s="633" t="b">
        <v>0</v>
      </c>
      <c r="Q52" s="633" t="b">
        <v>1</v>
      </c>
      <c r="R52" s="169" t="b">
        <v>0</v>
      </c>
      <c r="S52" s="169" t="b">
        <f>IF(AY19=INDEX(ddSingleOrMulti,1),TRUE,FALSE)</f>
        <v>1</v>
      </c>
      <c r="T52" s="94" t="b">
        <f>AND(NOT(S52),W52=TRUE)</f>
        <v>0</v>
      </c>
      <c r="W52" s="25"/>
      <c r="X52" s="1757"/>
      <c r="AC52" s="169" t="b">
        <f>OR(AD52:AE52)</f>
        <v>0</v>
      </c>
      <c r="AD52" s="169" t="b">
        <f>T52</f>
        <v>0</v>
      </c>
      <c r="AP52" s="254" t="str">
        <f>SUBSTITUTE(SUBSTITUTE(SUBSTITUTE("dch"&amp;$B52&amp;$C52&amp;$D52&amp;$E52,".","_"),"(","_"),")","")</f>
        <v>dch1001_1_20</v>
      </c>
      <c r="AQ52" s="254" t="str">
        <f>IF(LEN(W52)=0,"",W52)</f>
        <v/>
      </c>
      <c r="AR52" s="254" t="str">
        <f>SUBSTITUTE(SUBSTITUTE(SUBSTITUTE("dnt"&amp;$B52&amp;$C52&amp;$D52&amp;$E52,".","_"),"(","_"),")","")</f>
        <v>dnt1001_1_20</v>
      </c>
      <c r="AS52" s="254" t="str">
        <f>IF(LEN(X52)=0,"",X52)</f>
        <v/>
      </c>
      <c r="AX52" s="75" t="str">
        <f>'Overview (Design)'!A50</f>
        <v>Attic Type:</v>
      </c>
      <c r="AY52" s="76">
        <f>'Overview (Design)'!G50</f>
        <v>0</v>
      </c>
    </row>
    <row r="53" spans="2:51" x14ac:dyDescent="0.25">
      <c r="B53" s="679">
        <v>1001.1</v>
      </c>
      <c r="C53" s="21" t="s">
        <v>3309</v>
      </c>
      <c r="D53" s="21"/>
      <c r="E53" s="21"/>
      <c r="F53" s="758"/>
      <c r="G53" s="21"/>
      <c r="H53" s="758"/>
      <c r="I53" s="4"/>
      <c r="J53" s="210"/>
      <c r="K53" s="210"/>
      <c r="L53" s="1755"/>
      <c r="M53" s="141"/>
      <c r="N53" s="4"/>
      <c r="O53" s="141"/>
      <c r="X53" s="1757"/>
      <c r="AX53" s="75" t="str">
        <f>'Overview (Design)'!A51</f>
        <v>Attached Garage:</v>
      </c>
      <c r="AY53" s="76">
        <f>'Overview (Design)'!G51</f>
        <v>0</v>
      </c>
    </row>
    <row r="54" spans="2:51" x14ac:dyDescent="0.25">
      <c r="B54" s="679">
        <v>1001.1</v>
      </c>
      <c r="C54" s="21" t="s">
        <v>3311</v>
      </c>
      <c r="D54" s="21"/>
      <c r="E54" s="21"/>
      <c r="F54" s="758"/>
      <c r="G54" s="21"/>
      <c r="H54" s="758"/>
      <c r="I54" s="4"/>
      <c r="J54" s="209" t="s">
        <v>3311</v>
      </c>
      <c r="K54" s="193"/>
      <c r="L54" s="1778" t="s">
        <v>3312</v>
      </c>
      <c r="M54" s="141"/>
      <c r="N54" s="4"/>
      <c r="O54" s="141"/>
      <c r="P54" s="633" t="b">
        <v>0</v>
      </c>
      <c r="Q54" s="633" t="b">
        <v>1</v>
      </c>
      <c r="R54" s="169" t="b">
        <v>0</v>
      </c>
      <c r="S54" s="169" t="b">
        <f>IF(AY19=INDEX(ddSingleOrMulti,1),TRUE,FALSE)</f>
        <v>1</v>
      </c>
      <c r="T54" s="94" t="b">
        <f>AND(NOT(S54),W54=TRUE)</f>
        <v>0</v>
      </c>
      <c r="W54" s="25"/>
      <c r="X54" s="1757"/>
      <c r="AC54" s="169" t="b">
        <f>OR(AD54:AE54)</f>
        <v>0</v>
      </c>
      <c r="AD54" s="169" t="b">
        <f>T54</f>
        <v>0</v>
      </c>
      <c r="AP54" s="254" t="str">
        <f>SUBSTITUTE(SUBSTITUTE(SUBSTITUTE("dch"&amp;$B54&amp;$C54&amp;$D54&amp;$E54,".","_"),"(","_"),")","")</f>
        <v>dch1001_1_21</v>
      </c>
      <c r="AQ54" s="254" t="str">
        <f>IF(LEN(W54)=0,"",W54)</f>
        <v/>
      </c>
      <c r="AR54" s="254" t="str">
        <f>SUBSTITUTE(SUBSTITUTE(SUBSTITUTE("dnt"&amp;$B54&amp;$C54&amp;$D54&amp;$E54,".","_"),"(","_"),")","")</f>
        <v>dnt1001_1_21</v>
      </c>
      <c r="AS54" s="254" t="str">
        <f>IF(LEN(X54)=0,"",X54)</f>
        <v/>
      </c>
      <c r="AX54" s="75" t="str">
        <f>'Overview (Design)'!A52</f>
        <v>Recessed Lighting:</v>
      </c>
      <c r="AY54" s="76">
        <f>'Overview (Design)'!G52</f>
        <v>0</v>
      </c>
    </row>
    <row r="55" spans="2:51" x14ac:dyDescent="0.25">
      <c r="B55" s="679">
        <v>1001.1</v>
      </c>
      <c r="C55" s="21" t="s">
        <v>3311</v>
      </c>
      <c r="D55" s="21"/>
      <c r="E55" s="21"/>
      <c r="F55" s="758"/>
      <c r="G55" s="21"/>
      <c r="H55" s="758"/>
      <c r="I55" s="4"/>
      <c r="J55" s="210"/>
      <c r="K55" s="210"/>
      <c r="L55" s="1755"/>
      <c r="M55" s="141"/>
      <c r="N55" s="4"/>
      <c r="O55" s="141"/>
      <c r="X55" s="1757"/>
      <c r="AX55" s="75"/>
    </row>
    <row r="56" spans="2:51" x14ac:dyDescent="0.25">
      <c r="B56" s="679">
        <v>1001.1</v>
      </c>
      <c r="C56" s="21" t="s">
        <v>3313</v>
      </c>
      <c r="D56" s="21"/>
      <c r="E56" s="21"/>
      <c r="F56" s="758"/>
      <c r="G56" s="21"/>
      <c r="H56" s="758"/>
      <c r="I56" s="4"/>
      <c r="J56" s="209" t="s">
        <v>3313</v>
      </c>
      <c r="K56" s="193"/>
      <c r="L56" s="1778" t="s">
        <v>3314</v>
      </c>
      <c r="M56" s="141"/>
      <c r="N56" s="4"/>
      <c r="O56" s="141"/>
      <c r="P56" s="633" t="b">
        <v>0</v>
      </c>
      <c r="Q56" s="633" t="b">
        <v>1</v>
      </c>
      <c r="R56" s="169" t="b">
        <v>0</v>
      </c>
      <c r="S56" s="169" t="b">
        <f>IF(AY19=INDEX(ddSingleOrMulti,1),TRUE,FALSE)</f>
        <v>1</v>
      </c>
      <c r="T56" s="94" t="b">
        <f>AND(NOT(S56),W56=TRUE)</f>
        <v>0</v>
      </c>
      <c r="W56" s="25"/>
      <c r="X56" s="1757"/>
      <c r="AC56" s="169" t="b">
        <f>OR(AD56:AE56)</f>
        <v>0</v>
      </c>
      <c r="AD56" s="169" t="b">
        <f>T56</f>
        <v>0</v>
      </c>
      <c r="AP56" s="254" t="str">
        <f>SUBSTITUTE(SUBSTITUTE(SUBSTITUTE("dch"&amp;$B56&amp;$C56&amp;$D56&amp;$E56,".","_"),"(","_"),")","")</f>
        <v>dch1001_1_22</v>
      </c>
      <c r="AQ56" s="254" t="str">
        <f>IF(LEN(W56)=0,"",W56)</f>
        <v/>
      </c>
      <c r="AR56" s="254" t="str">
        <f>SUBSTITUTE(SUBSTITUTE(SUBSTITUTE("dnt"&amp;$B56&amp;$C56&amp;$D56&amp;$E56,".","_"),"(","_"),")","")</f>
        <v>dnt1001_1_22</v>
      </c>
      <c r="AS56" s="254" t="str">
        <f>IF(LEN(X56)=0,"",X56)</f>
        <v/>
      </c>
      <c r="AX56" s="75" t="str">
        <f>'Overview (Design)'!A54</f>
        <v>Special Design Features:</v>
      </c>
      <c r="AY56" s="76">
        <f>'Overview (Design)'!G54</f>
        <v>0</v>
      </c>
    </row>
    <row r="57" spans="2:51" x14ac:dyDescent="0.25">
      <c r="B57" s="679">
        <v>1001.1</v>
      </c>
      <c r="C57" s="21" t="s">
        <v>3313</v>
      </c>
      <c r="D57" s="21"/>
      <c r="E57" s="21"/>
      <c r="F57" s="758"/>
      <c r="G57" s="21"/>
      <c r="H57" s="758"/>
      <c r="I57" s="4"/>
      <c r="J57" s="210"/>
      <c r="K57" s="210"/>
      <c r="L57" s="1755"/>
      <c r="M57" s="141"/>
      <c r="N57" s="4"/>
      <c r="O57" s="141"/>
      <c r="X57" s="1757"/>
      <c r="AX57" s="75" t="str">
        <f>'Overview (Design)'!A55</f>
        <v>Passive Solar:</v>
      </c>
      <c r="AY57" s="76">
        <f>'Overview (Design)'!G55</f>
        <v>0</v>
      </c>
    </row>
    <row r="58" spans="2:51" x14ac:dyDescent="0.25">
      <c r="B58" s="679">
        <v>1001.1</v>
      </c>
      <c r="C58" s="21" t="s">
        <v>3315</v>
      </c>
      <c r="D58" s="21"/>
      <c r="E58" s="21"/>
      <c r="F58" s="758"/>
      <c r="G58" s="21"/>
      <c r="H58" s="758"/>
      <c r="I58" s="4"/>
      <c r="J58" s="207" t="s">
        <v>3315</v>
      </c>
      <c r="K58" s="243"/>
      <c r="L58" s="280" t="s">
        <v>3316</v>
      </c>
      <c r="M58" s="141"/>
      <c r="N58" s="4"/>
      <c r="O58" s="141"/>
      <c r="P58" s="633" t="b">
        <v>0</v>
      </c>
      <c r="Q58" s="633" t="b">
        <v>1</v>
      </c>
      <c r="R58" s="169" t="b">
        <v>0</v>
      </c>
      <c r="S58" s="169" t="b">
        <f>IF(AY19=INDEX(ddSingleOrMulti,1),TRUE,FALSE)</f>
        <v>1</v>
      </c>
      <c r="T58" s="94" t="b">
        <f>AND(NOT(S58),W58=TRUE)</f>
        <v>0</v>
      </c>
      <c r="W58" s="25"/>
      <c r="X58" s="170"/>
      <c r="AC58" s="169" t="b">
        <f>OR(AD58:AE58)</f>
        <v>0</v>
      </c>
      <c r="AD58" s="169" t="b">
        <f>T58</f>
        <v>0</v>
      </c>
      <c r="AP58" s="254" t="str">
        <f>SUBSTITUTE(SUBSTITUTE(SUBSTITUTE("dch"&amp;$B58&amp;$C58&amp;$D58&amp;$E58,".","_"),"(","_"),")","")</f>
        <v>dch1001_1_23</v>
      </c>
      <c r="AQ58" s="254" t="str">
        <f>IF(LEN(W58)=0,"",W58)</f>
        <v/>
      </c>
      <c r="AR58" s="254" t="str">
        <f>SUBSTITUTE(SUBSTITUTE(SUBSTITUTE("dnt"&amp;$B58&amp;$C58&amp;$D58&amp;$E58,".","_"),"(","_"),")","")</f>
        <v>dnt1001_1_23</v>
      </c>
      <c r="AS58" s="254" t="str">
        <f>IF(LEN(X58)=0,"",X58)</f>
        <v/>
      </c>
      <c r="AX58" s="75" t="str">
        <f>'Overview (Design)'!A56</f>
        <v>Mass Walls:</v>
      </c>
      <c r="AY58" s="76">
        <f>'Overview (Design)'!G56</f>
        <v>0</v>
      </c>
    </row>
    <row r="59" spans="2:51" ht="15.75" thickBot="1" x14ac:dyDescent="0.3">
      <c r="B59" s="679">
        <v>1001.1</v>
      </c>
      <c r="C59" s="21" t="s">
        <v>3317</v>
      </c>
      <c r="D59" s="21"/>
      <c r="E59" s="21"/>
      <c r="F59" s="758"/>
      <c r="G59" s="21"/>
      <c r="H59" s="758"/>
      <c r="I59" s="240"/>
      <c r="J59" s="190" t="s">
        <v>3317</v>
      </c>
      <c r="K59" s="240"/>
      <c r="L59" s="747" t="s">
        <v>3318</v>
      </c>
      <c r="M59" s="241"/>
      <c r="N59" s="240"/>
      <c r="O59" s="241"/>
      <c r="P59" s="633" t="b">
        <v>0</v>
      </c>
      <c r="Q59" s="633" t="b">
        <v>1</v>
      </c>
      <c r="R59" s="99" t="b">
        <v>0</v>
      </c>
      <c r="S59" s="99" t="b">
        <f>IF(AY19=INDEX(ddSingleOrMulti,1),TRUE,FALSE)</f>
        <v>1</v>
      </c>
      <c r="T59" s="99" t="b">
        <f>AND(NOT(S59),W59=TRUE)</f>
        <v>0</v>
      </c>
      <c r="U59" s="99"/>
      <c r="V59" s="99"/>
      <c r="W59" s="186"/>
      <c r="X59" s="171"/>
      <c r="AC59" s="169" t="b">
        <f>OR(AD59:AE59)</f>
        <v>0</v>
      </c>
      <c r="AD59" s="169" t="b">
        <f>T59</f>
        <v>0</v>
      </c>
      <c r="AP59" s="254" t="str">
        <f>SUBSTITUTE(SUBSTITUTE(SUBSTITUTE("dch"&amp;$B59&amp;$C59&amp;$D59&amp;$E59,".","_"),"(","_"),")","")</f>
        <v>dch1001_1_24</v>
      </c>
      <c r="AQ59" s="254" t="str">
        <f>IF(LEN(W59)=0,"",W59)</f>
        <v/>
      </c>
      <c r="AR59" s="254" t="str">
        <f>SUBSTITUTE(SUBSTITUTE(SUBSTITUTE("dnt"&amp;$B59&amp;$C59&amp;$D59&amp;$E59,".","_"),"(","_"),")","")</f>
        <v>dnt1001_1_24</v>
      </c>
      <c r="AS59" s="254" t="str">
        <f>IF(LEN(X59)=0,"",X59)</f>
        <v/>
      </c>
      <c r="AX59" s="75" t="str">
        <f>'Overview (Design)'!A57</f>
        <v>Radiant/Hydronic:</v>
      </c>
      <c r="AY59" s="76">
        <f>'Overview (Design)'!G57</f>
        <v>0</v>
      </c>
    </row>
    <row r="60" spans="2:51" ht="15.75" thickTop="1" x14ac:dyDescent="0.25">
      <c r="B60" s="679">
        <v>1001.2</v>
      </c>
      <c r="C60" s="21"/>
      <c r="D60" s="21"/>
      <c r="E60" s="21"/>
      <c r="F60" s="21" t="s">
        <v>4893</v>
      </c>
      <c r="G60" s="21"/>
      <c r="H60" s="758"/>
      <c r="I60" s="64">
        <v>1001.2</v>
      </c>
      <c r="J60" s="4"/>
      <c r="K60" s="4"/>
      <c r="L60" s="1796" t="s">
        <v>3319</v>
      </c>
      <c r="M60" s="1856" t="str">
        <f>IF(R60,"Mandatory","N/A")</f>
        <v>Mandatory</v>
      </c>
      <c r="N60" s="4"/>
      <c r="O60" s="1773">
        <f>M62*W60*S60</f>
        <v>0</v>
      </c>
      <c r="P60" s="633" t="b">
        <v>0</v>
      </c>
      <c r="Q60" s="633" t="b">
        <v>1</v>
      </c>
      <c r="R60" s="169" t="b">
        <f>S60</f>
        <v>1</v>
      </c>
      <c r="S60" s="169" t="b">
        <f>IF(AY19=INDEX(ddSingleOrMulti,1),TRUE,FALSE)</f>
        <v>1</v>
      </c>
      <c r="T60" s="94" t="b">
        <f>AND(NOT(S60),W60=TRUE)</f>
        <v>0</v>
      </c>
      <c r="W60" s="367"/>
      <c r="X60" s="1756"/>
      <c r="AC60" s="169" t="b">
        <f>OR(AD60:AE60)</f>
        <v>1</v>
      </c>
      <c r="AD60" s="169" t="b">
        <f>T60</f>
        <v>0</v>
      </c>
      <c r="AE60" s="169" t="b">
        <f>AND(R60,NOT(W60=TRUE))</f>
        <v>1</v>
      </c>
      <c r="AL60" s="36" t="str">
        <f>SUBSTITUTE(SUBSTITUTE(SUBSTITUTE("dpa"&amp;$B60&amp;$C60&amp;$D60&amp;$E60&amp;$F60,".","_"),"(","_"),")","")</f>
        <v>dpa1001_2_m</v>
      </c>
      <c r="AM60" s="254" t="str">
        <f>M60</f>
        <v>Mandatory</v>
      </c>
      <c r="AN60" s="254" t="str">
        <f>SUBSTITUTE(SUBSTITUTE(SUBSTITUTE("dpc"&amp;$B60&amp;$C60&amp;$D60&amp;$E60,".","_"),"(","_"),")","")</f>
        <v>dpc1001_2</v>
      </c>
      <c r="AO60" s="254">
        <f>O60</f>
        <v>0</v>
      </c>
      <c r="AP60" s="254" t="str">
        <f>SUBSTITUTE(SUBSTITUTE(SUBSTITUTE("dch"&amp;$B60&amp;$C60&amp;$D60&amp;$E60,".","_"),"(","_"),")","")</f>
        <v>dch1001_2</v>
      </c>
      <c r="AQ60" s="254" t="str">
        <f>IF(LEN(W60)=0,"",W60)</f>
        <v/>
      </c>
      <c r="AR60" s="254" t="str">
        <f>SUBSTITUTE(SUBSTITUTE(SUBSTITUTE("dnt"&amp;$B60&amp;$C60&amp;$D60&amp;$E60,".","_"),"(","_"),")","")</f>
        <v>dnt1001_2</v>
      </c>
      <c r="AS60" s="254" t="str">
        <f>IF(LEN(X60)=0,"",X60)</f>
        <v/>
      </c>
      <c r="AX60" s="75" t="str">
        <f>'Overview (Design)'!A58</f>
        <v>Tankless Water Heater:</v>
      </c>
      <c r="AY60" s="76">
        <f>'Overview (Design)'!G58</f>
        <v>0</v>
      </c>
    </row>
    <row r="61" spans="2:51" x14ac:dyDescent="0.25">
      <c r="B61" s="679">
        <v>1001.2</v>
      </c>
      <c r="C61" s="21"/>
      <c r="D61" s="21"/>
      <c r="E61" s="21"/>
      <c r="F61" s="21"/>
      <c r="G61" s="21"/>
      <c r="H61" s="758"/>
      <c r="I61" s="4"/>
      <c r="J61" s="4"/>
      <c r="K61" s="4"/>
      <c r="L61" s="1796"/>
      <c r="M61" s="1838"/>
      <c r="N61" s="4"/>
      <c r="O61" s="1780"/>
      <c r="X61" s="1757"/>
      <c r="AX61" s="75" t="str">
        <f>'Overview (Design)'!A59</f>
        <v>Composting Toilet:</v>
      </c>
      <c r="AY61" s="76">
        <f>'Overview (Design)'!G59</f>
        <v>0</v>
      </c>
    </row>
    <row r="62" spans="2:51" x14ac:dyDescent="0.25">
      <c r="B62" s="679">
        <v>1001.2</v>
      </c>
      <c r="C62" s="21"/>
      <c r="D62" s="21"/>
      <c r="E62" s="21"/>
      <c r="F62" s="21"/>
      <c r="G62" s="21"/>
      <c r="H62" s="758"/>
      <c r="I62" s="4"/>
      <c r="J62" s="4"/>
      <c r="K62" s="4"/>
      <c r="L62" s="1796"/>
      <c r="M62" s="1776">
        <v>8</v>
      </c>
      <c r="N62" s="4"/>
      <c r="O62" s="1780"/>
      <c r="X62" s="1757"/>
      <c r="AL62" s="254" t="str">
        <f>SUBSTITUTE(SUBSTITUTE(SUBSTITUTE("dpa"&amp;$B62&amp;$C62&amp;$D62&amp;$E62,".","_"),"(","_"),")","")</f>
        <v>dpa1001_2</v>
      </c>
      <c r="AM62" s="254">
        <f>M62</f>
        <v>8</v>
      </c>
      <c r="AX62" s="75"/>
    </row>
    <row r="63" spans="2:51" x14ac:dyDescent="0.25">
      <c r="B63" s="679">
        <v>1001.2</v>
      </c>
      <c r="C63" s="21"/>
      <c r="D63" s="21"/>
      <c r="E63" s="21"/>
      <c r="F63" s="21"/>
      <c r="G63" s="21"/>
      <c r="H63" s="758"/>
      <c r="I63" s="4"/>
      <c r="J63" s="4"/>
      <c r="K63" s="4"/>
      <c r="L63" s="1796"/>
      <c r="M63" s="1776"/>
      <c r="N63" s="4"/>
      <c r="O63" s="1780"/>
      <c r="X63" s="1757"/>
      <c r="AX63" s="75" t="str">
        <f>'Overview (Design)'!A61</f>
        <v>Local Energy Code:</v>
      </c>
      <c r="AY63" s="76">
        <f>'Overview (Design)'!G61</f>
        <v>0</v>
      </c>
    </row>
    <row r="64" spans="2:51" x14ac:dyDescent="0.25">
      <c r="B64" s="679">
        <v>1001.2</v>
      </c>
      <c r="C64" s="21" t="s">
        <v>256</v>
      </c>
      <c r="D64" s="21"/>
      <c r="E64" s="21"/>
      <c r="F64" s="21"/>
      <c r="G64" s="21"/>
      <c r="H64" s="758"/>
      <c r="I64" s="4"/>
      <c r="J64" s="183" t="s">
        <v>256</v>
      </c>
      <c r="K64" s="129"/>
      <c r="L64" s="245" t="s">
        <v>3320</v>
      </c>
      <c r="M64" s="141"/>
      <c r="N64" s="4"/>
      <c r="O64" s="141"/>
      <c r="X64" s="1757"/>
      <c r="AX64" s="75" t="str">
        <f>'Overview (Design)'!A62</f>
        <v>Local Building Code:</v>
      </c>
      <c r="AY64" s="76">
        <f>'Overview (Design)'!G62</f>
        <v>0</v>
      </c>
    </row>
    <row r="65" spans="1:61" x14ac:dyDescent="0.25">
      <c r="B65" s="679">
        <v>1001.2</v>
      </c>
      <c r="C65" s="21" t="s">
        <v>258</v>
      </c>
      <c r="D65" s="21"/>
      <c r="E65" s="21"/>
      <c r="F65" s="21"/>
      <c r="G65" s="21"/>
      <c r="H65" s="758"/>
      <c r="I65" s="4"/>
      <c r="J65" s="183" t="s">
        <v>258</v>
      </c>
      <c r="K65" s="129"/>
      <c r="L65" s="245" t="s">
        <v>3321</v>
      </c>
      <c r="M65" s="141"/>
      <c r="N65" s="4"/>
      <c r="O65" s="141"/>
      <c r="X65" s="1757"/>
    </row>
    <row r="66" spans="1:61" x14ac:dyDescent="0.25">
      <c r="B66" s="679">
        <v>1001.2</v>
      </c>
      <c r="C66" s="21" t="s">
        <v>260</v>
      </c>
      <c r="D66" s="21"/>
      <c r="E66" s="21"/>
      <c r="F66" s="21"/>
      <c r="G66" s="21"/>
      <c r="H66" s="758"/>
      <c r="I66" s="4"/>
      <c r="J66" s="183" t="s">
        <v>260</v>
      </c>
      <c r="K66" s="129"/>
      <c r="L66" s="245" t="s">
        <v>3322</v>
      </c>
      <c r="M66" s="141"/>
      <c r="N66" s="4"/>
      <c r="O66" s="141"/>
      <c r="X66" s="1757"/>
    </row>
    <row r="67" spans="1:61" x14ac:dyDescent="0.25">
      <c r="B67" s="679">
        <v>1001.2</v>
      </c>
      <c r="C67" s="21" t="s">
        <v>269</v>
      </c>
      <c r="D67" s="21"/>
      <c r="E67" s="21"/>
      <c r="F67" s="21"/>
      <c r="G67" s="21"/>
      <c r="H67" s="758"/>
      <c r="I67" s="4"/>
      <c r="J67" s="183" t="s">
        <v>269</v>
      </c>
      <c r="K67" s="129"/>
      <c r="L67" s="245" t="s">
        <v>3323</v>
      </c>
      <c r="M67" s="141"/>
      <c r="N67" s="4"/>
      <c r="O67" s="141"/>
      <c r="X67" s="1757"/>
    </row>
    <row r="68" spans="1:61" x14ac:dyDescent="0.25">
      <c r="B68" s="679">
        <v>1001.2</v>
      </c>
      <c r="C68" s="21" t="s">
        <v>275</v>
      </c>
      <c r="D68" s="21"/>
      <c r="E68" s="21"/>
      <c r="F68" s="21"/>
      <c r="G68" s="21"/>
      <c r="H68" s="758"/>
      <c r="I68" s="4"/>
      <c r="J68" s="183" t="s">
        <v>275</v>
      </c>
      <c r="K68" s="129"/>
      <c r="L68" s="245" t="s">
        <v>3324</v>
      </c>
      <c r="M68" s="141"/>
      <c r="N68" s="4"/>
      <c r="O68" s="141"/>
      <c r="X68" s="1757"/>
    </row>
    <row r="69" spans="1:61" x14ac:dyDescent="0.25">
      <c r="B69" s="679">
        <v>1001.2</v>
      </c>
      <c r="C69" s="21" t="s">
        <v>277</v>
      </c>
      <c r="D69" s="21"/>
      <c r="E69" s="21"/>
      <c r="F69" s="21"/>
      <c r="G69" s="21"/>
      <c r="H69" s="758"/>
      <c r="I69" s="4"/>
      <c r="J69" s="183" t="s">
        <v>277</v>
      </c>
      <c r="K69" s="129"/>
      <c r="L69" s="245" t="s">
        <v>3325</v>
      </c>
      <c r="M69" s="141"/>
      <c r="N69" s="4"/>
      <c r="O69" s="141"/>
      <c r="X69" s="1757"/>
    </row>
    <row r="70" spans="1:61" s="868" customFormat="1" x14ac:dyDescent="0.25">
      <c r="A70" s="18"/>
      <c r="B70" s="679">
        <v>1001.2</v>
      </c>
      <c r="C70" s="21" t="s">
        <v>383</v>
      </c>
      <c r="D70" s="21"/>
      <c r="E70" s="21"/>
      <c r="F70" s="21"/>
      <c r="G70" s="21"/>
      <c r="H70" s="758"/>
      <c r="I70" s="4"/>
      <c r="J70" s="27" t="s">
        <v>383</v>
      </c>
      <c r="K70" s="4"/>
      <c r="L70" s="895" t="s">
        <v>3326</v>
      </c>
      <c r="M70" s="887"/>
      <c r="N70" s="4"/>
      <c r="O70" s="874"/>
      <c r="X70" s="1757"/>
      <c r="AZ70" s="76"/>
      <c r="BA70" s="76"/>
      <c r="BB70" s="76"/>
      <c r="BC70" s="76"/>
      <c r="BD70" s="76"/>
      <c r="BE70" s="76"/>
      <c r="BF70" s="76"/>
      <c r="BG70" s="76"/>
      <c r="BH70" s="76"/>
      <c r="BI70" s="76"/>
    </row>
    <row r="71" spans="1:61" x14ac:dyDescent="0.25">
      <c r="B71" s="679">
        <v>1001.2</v>
      </c>
      <c r="C71" s="21" t="s">
        <v>428</v>
      </c>
      <c r="D71" s="21"/>
      <c r="E71" s="21"/>
      <c r="F71" s="21"/>
      <c r="G71" s="21"/>
      <c r="H71" s="758"/>
      <c r="I71" s="4"/>
      <c r="J71" s="667" t="s">
        <v>428</v>
      </c>
      <c r="K71" s="679"/>
      <c r="L71" s="885" t="s">
        <v>4550</v>
      </c>
      <c r="M71" s="887"/>
      <c r="N71" s="4"/>
      <c r="O71" s="141"/>
      <c r="X71" s="1757"/>
      <c r="AZ71" s="868"/>
      <c r="BA71" s="868"/>
      <c r="BB71" s="868"/>
      <c r="BC71" s="868"/>
      <c r="BD71" s="868"/>
      <c r="BE71" s="868"/>
      <c r="BF71" s="868"/>
      <c r="BG71" s="868"/>
      <c r="BH71" s="868"/>
      <c r="BI71" s="868"/>
    </row>
    <row r="72" spans="1:61" ht="18.75" x14ac:dyDescent="0.3">
      <c r="B72" s="679">
        <v>1002</v>
      </c>
      <c r="C72" s="21"/>
      <c r="D72" s="21"/>
      <c r="E72" s="21"/>
      <c r="F72" s="21"/>
      <c r="G72" s="21"/>
      <c r="H72" s="758"/>
      <c r="I72" s="14" t="s">
        <v>3327</v>
      </c>
      <c r="J72" s="23"/>
      <c r="K72" s="23"/>
      <c r="L72" s="228"/>
      <c r="M72" s="498"/>
      <c r="N72" s="508"/>
      <c r="O72" s="498"/>
      <c r="P72" s="23"/>
      <c r="Q72" s="23"/>
      <c r="R72" s="23"/>
      <c r="S72" s="23"/>
      <c r="T72" s="23"/>
      <c r="U72" s="23"/>
      <c r="V72" s="23"/>
      <c r="W72" s="23"/>
      <c r="X72" s="23"/>
    </row>
    <row r="73" spans="1:61" x14ac:dyDescent="0.25">
      <c r="B73" s="679" t="s">
        <v>4078</v>
      </c>
      <c r="C73" s="21"/>
      <c r="D73" s="21"/>
      <c r="E73" s="21"/>
      <c r="F73" s="21"/>
      <c r="G73" s="21"/>
      <c r="H73" s="758"/>
      <c r="I73" s="238">
        <v>1002</v>
      </c>
      <c r="J73" s="129"/>
      <c r="K73" s="129"/>
      <c r="L73" s="1782" t="s">
        <v>3328</v>
      </c>
      <c r="M73" s="239"/>
      <c r="N73" s="129"/>
      <c r="O73" s="239"/>
      <c r="P73" s="94"/>
      <c r="Q73" s="94"/>
      <c r="R73" s="94"/>
      <c r="S73" s="94"/>
      <c r="T73" s="94"/>
      <c r="U73" s="94"/>
      <c r="V73" s="94"/>
      <c r="W73" s="94"/>
      <c r="X73" s="94"/>
    </row>
    <row r="74" spans="1:61" x14ac:dyDescent="0.25">
      <c r="B74" s="679" t="s">
        <v>4078</v>
      </c>
      <c r="C74" s="21"/>
      <c r="D74" s="21"/>
      <c r="E74" s="21"/>
      <c r="F74" s="21"/>
      <c r="G74" s="21"/>
      <c r="H74" s="758"/>
      <c r="I74" s="129"/>
      <c r="J74" s="129"/>
      <c r="K74" s="129"/>
      <c r="L74" s="1782"/>
      <c r="M74" s="239"/>
      <c r="N74" s="129"/>
      <c r="O74" s="239"/>
      <c r="P74" s="94"/>
      <c r="Q74" s="94"/>
      <c r="R74" s="94"/>
      <c r="S74" s="94"/>
      <c r="T74" s="94"/>
      <c r="U74" s="94"/>
      <c r="V74" s="94"/>
      <c r="W74" s="94"/>
      <c r="X74" s="94"/>
    </row>
    <row r="75" spans="1:61" x14ac:dyDescent="0.25">
      <c r="B75" s="679" t="s">
        <v>4078</v>
      </c>
      <c r="C75" s="21"/>
      <c r="D75" s="21"/>
      <c r="E75" s="21"/>
      <c r="F75" s="21"/>
      <c r="G75" s="21"/>
      <c r="H75" s="758"/>
      <c r="I75" s="129"/>
      <c r="J75" s="129"/>
      <c r="K75" s="129"/>
      <c r="L75" s="1782"/>
      <c r="M75" s="239"/>
      <c r="N75" s="129"/>
      <c r="O75" s="239"/>
      <c r="P75" s="94"/>
      <c r="Q75" s="94"/>
      <c r="R75" s="94"/>
      <c r="S75" s="94"/>
      <c r="T75" s="94"/>
      <c r="U75" s="94"/>
      <c r="V75" s="94"/>
      <c r="W75" s="94"/>
      <c r="X75" s="94"/>
    </row>
    <row r="76" spans="1:61" x14ac:dyDescent="0.25">
      <c r="B76" s="679" t="s">
        <v>4078</v>
      </c>
      <c r="C76" s="21"/>
      <c r="D76" s="21"/>
      <c r="E76" s="21"/>
      <c r="F76" s="21"/>
      <c r="G76" s="21"/>
      <c r="H76" s="758"/>
      <c r="I76" s="129"/>
      <c r="J76" s="129"/>
      <c r="K76" s="129"/>
      <c r="L76" s="1782"/>
      <c r="M76" s="239"/>
      <c r="N76" s="129"/>
      <c r="O76" s="239"/>
      <c r="P76" s="94"/>
      <c r="Q76" s="94"/>
      <c r="R76" s="94"/>
      <c r="S76" s="94"/>
      <c r="T76" s="94"/>
      <c r="U76" s="94"/>
      <c r="V76" s="94"/>
      <c r="W76" s="94"/>
      <c r="X76" s="94"/>
    </row>
    <row r="77" spans="1:61" x14ac:dyDescent="0.25">
      <c r="B77" s="679" t="s">
        <v>4078</v>
      </c>
      <c r="C77" s="21"/>
      <c r="D77" s="21"/>
      <c r="E77" s="21"/>
      <c r="F77" s="21"/>
      <c r="G77" s="21"/>
      <c r="H77" s="758"/>
      <c r="I77" s="129"/>
      <c r="J77" s="129"/>
      <c r="K77" s="129"/>
      <c r="L77" s="1782"/>
      <c r="M77" s="239"/>
      <c r="N77" s="129"/>
      <c r="O77" s="239"/>
      <c r="P77" s="94"/>
      <c r="Q77" s="94"/>
      <c r="R77" s="94"/>
      <c r="S77" s="94"/>
      <c r="T77" s="94"/>
      <c r="U77" s="94"/>
      <c r="V77" s="94"/>
      <c r="W77" s="94"/>
      <c r="X77" s="94"/>
    </row>
    <row r="78" spans="1:61" ht="15.75" thickBot="1" x14ac:dyDescent="0.3">
      <c r="B78" s="679" t="s">
        <v>4078</v>
      </c>
      <c r="C78" s="21"/>
      <c r="D78" s="21"/>
      <c r="E78" s="21"/>
      <c r="F78" s="21"/>
      <c r="G78" s="21"/>
      <c r="H78" s="758"/>
      <c r="I78" s="240"/>
      <c r="J78" s="240"/>
      <c r="K78" s="240"/>
      <c r="L78" s="1797"/>
      <c r="M78" s="241"/>
      <c r="N78" s="240"/>
      <c r="O78" s="241"/>
      <c r="P78" s="99"/>
      <c r="Q78" s="99"/>
      <c r="R78" s="99"/>
      <c r="S78" s="99"/>
      <c r="T78" s="99"/>
      <c r="U78" s="99"/>
      <c r="V78" s="99"/>
      <c r="W78" s="99"/>
      <c r="X78" s="99"/>
    </row>
    <row r="79" spans="1:61" ht="15.75" thickTop="1" x14ac:dyDescent="0.25">
      <c r="B79" s="679">
        <v>1002.1</v>
      </c>
      <c r="C79" s="21"/>
      <c r="D79" s="21"/>
      <c r="E79" s="21"/>
      <c r="F79" s="21"/>
      <c r="G79" s="21"/>
      <c r="H79" s="758"/>
      <c r="I79" s="64">
        <v>1002.1</v>
      </c>
      <c r="J79" s="4"/>
      <c r="K79" s="4"/>
      <c r="L79" s="1796" t="s">
        <v>3375</v>
      </c>
      <c r="M79" s="1767">
        <v>1</v>
      </c>
      <c r="N79" s="4"/>
      <c r="O79" s="1948">
        <f>IF(AND(COUNTIF(W82:W88,TRUE)=3,COUNTIF(W90:W95,TRUE)&gt;1,S82),ROUNDDOWN(COUNTIF(W90:W95,TRUE)/2,0),0)</f>
        <v>0</v>
      </c>
      <c r="AL79" s="254" t="str">
        <f>SUBSTITUTE(SUBSTITUTE(SUBSTITUTE("dpa"&amp;$B79&amp;$C79&amp;$D79&amp;$E79,".","_"),"(","_"),")","")</f>
        <v>dpa1002_1</v>
      </c>
      <c r="AM79" s="254">
        <f>M79</f>
        <v>1</v>
      </c>
      <c r="AN79" s="254" t="str">
        <f>SUBSTITUTE(SUBSTITUTE(SUBSTITUTE("dpc"&amp;$B79&amp;$C79&amp;$D79&amp;$E79,".","_"),"(","_"),")","")</f>
        <v>dpc1002_1</v>
      </c>
      <c r="AO79" s="254">
        <f>O79</f>
        <v>0</v>
      </c>
    </row>
    <row r="80" spans="1:61" x14ac:dyDescent="0.25">
      <c r="B80" s="679">
        <v>1002.1</v>
      </c>
      <c r="C80" s="21"/>
      <c r="D80" s="21"/>
      <c r="E80" s="21"/>
      <c r="F80" s="21"/>
      <c r="G80" s="21"/>
      <c r="H80" s="758"/>
      <c r="I80" s="4"/>
      <c r="J80" s="4"/>
      <c r="K80" s="4"/>
      <c r="L80" s="1796"/>
      <c r="M80" s="1767"/>
      <c r="N80" s="4"/>
      <c r="O80" s="1948"/>
    </row>
    <row r="81" spans="2:45" x14ac:dyDescent="0.25">
      <c r="B81" s="679">
        <v>1002.1</v>
      </c>
      <c r="C81" s="21"/>
      <c r="D81" s="21"/>
      <c r="E81" s="21"/>
      <c r="F81" s="21"/>
      <c r="G81" s="21"/>
      <c r="H81" s="758"/>
      <c r="I81" s="4"/>
      <c r="J81" s="4"/>
      <c r="K81" s="4"/>
      <c r="L81" s="225" t="s">
        <v>3373</v>
      </c>
      <c r="M81" s="1767"/>
      <c r="N81" s="4"/>
      <c r="O81" s="1948"/>
    </row>
    <row r="82" spans="2:45" x14ac:dyDescent="0.25">
      <c r="B82" s="679">
        <v>1002.1</v>
      </c>
      <c r="C82" s="21" t="s">
        <v>256</v>
      </c>
      <c r="D82" s="21"/>
      <c r="E82" s="21"/>
      <c r="F82" s="21"/>
      <c r="G82" s="21"/>
      <c r="H82" s="758"/>
      <c r="I82" s="4"/>
      <c r="J82" s="27" t="s">
        <v>256</v>
      </c>
      <c r="K82" s="4"/>
      <c r="L82" s="1779" t="s">
        <v>3329</v>
      </c>
      <c r="M82" s="1838" t="str">
        <f t="shared" ref="M82:M89" si="1">IF(R82,"Mandatory","N/A")</f>
        <v>N/A</v>
      </c>
      <c r="N82" s="4"/>
      <c r="O82" s="141"/>
      <c r="P82" s="633" t="b">
        <v>0</v>
      </c>
      <c r="Q82" s="633" t="b">
        <v>1</v>
      </c>
      <c r="R82" s="169" t="b">
        <f>S82</f>
        <v>0</v>
      </c>
      <c r="S82" s="169" t="b">
        <f>IF(AY19=INDEX(ddSingleOrMulti,2),TRUE,FALSE)</f>
        <v>0</v>
      </c>
      <c r="T82" s="94" t="b">
        <f>AND(NOT(S82),W82=TRUE)</f>
        <v>0</v>
      </c>
      <c r="W82" s="25"/>
      <c r="X82" s="1757"/>
      <c r="AC82" s="169" t="b">
        <f>OR(AD82:AE82)</f>
        <v>0</v>
      </c>
      <c r="AD82" s="169" t="b">
        <f>T82</f>
        <v>0</v>
      </c>
      <c r="AE82" s="169" t="b">
        <f>AND(R82,O79&lt;1)</f>
        <v>0</v>
      </c>
      <c r="AL82" s="254" t="str">
        <f>SUBSTITUTE(SUBSTITUTE(SUBSTITUTE("dpa"&amp;$B82&amp;$C82&amp;$D82&amp;$E82,".","_"),"(","_"),")","")</f>
        <v>dpa1002_1_1</v>
      </c>
      <c r="AM82" s="254" t="str">
        <f>M82</f>
        <v>N/A</v>
      </c>
      <c r="AP82" s="254" t="str">
        <f>SUBSTITUTE(SUBSTITUTE(SUBSTITUTE("dch"&amp;$B82&amp;$C82&amp;$D82&amp;$E82,".","_"),"(","_"),")","")</f>
        <v>dch1002_1_1</v>
      </c>
      <c r="AQ82" s="254" t="str">
        <f>IF(LEN(W82)=0,"",W82)</f>
        <v/>
      </c>
      <c r="AR82" s="254" t="str">
        <f>SUBSTITUTE(SUBSTITUTE(SUBSTITUTE("dnt"&amp;$B82&amp;$C82&amp;$D82&amp;$E82,".","_"),"(","_"),")","")</f>
        <v>dnt1002_1_1</v>
      </c>
      <c r="AS82" s="254" t="str">
        <f>IF(LEN(X82)=0,"",X82)</f>
        <v/>
      </c>
    </row>
    <row r="83" spans="2:45" x14ac:dyDescent="0.25">
      <c r="B83" s="679">
        <v>1002.1</v>
      </c>
      <c r="C83" s="21" t="s">
        <v>256</v>
      </c>
      <c r="D83" s="21"/>
      <c r="E83" s="21"/>
      <c r="F83" s="21"/>
      <c r="G83" s="21"/>
      <c r="H83" s="758"/>
      <c r="I83" s="4"/>
      <c r="J83" s="27"/>
      <c r="K83" s="4"/>
      <c r="L83" s="1779"/>
      <c r="M83" s="1838" t="str">
        <f t="shared" si="1"/>
        <v>N/A</v>
      </c>
      <c r="N83" s="4"/>
      <c r="O83" s="141"/>
      <c r="X83" s="1757"/>
    </row>
    <row r="84" spans="2:45" x14ac:dyDescent="0.25">
      <c r="B84" s="679">
        <v>1002.1</v>
      </c>
      <c r="C84" s="21" t="s">
        <v>256</v>
      </c>
      <c r="D84" s="21"/>
      <c r="E84" s="21"/>
      <c r="F84" s="21"/>
      <c r="G84" s="21"/>
      <c r="H84" s="758"/>
      <c r="I84" s="4"/>
      <c r="J84" s="27"/>
      <c r="K84" s="4"/>
      <c r="L84" s="1779"/>
      <c r="M84" s="1838" t="str">
        <f t="shared" si="1"/>
        <v>N/A</v>
      </c>
      <c r="N84" s="4"/>
      <c r="O84" s="141"/>
      <c r="X84" s="1757"/>
    </row>
    <row r="85" spans="2:45" x14ac:dyDescent="0.25">
      <c r="B85" s="679">
        <v>1002.1</v>
      </c>
      <c r="C85" s="21" t="s">
        <v>258</v>
      </c>
      <c r="D85" s="21"/>
      <c r="E85" s="21"/>
      <c r="F85" s="21"/>
      <c r="G85" s="21"/>
      <c r="H85" s="758"/>
      <c r="I85" s="4"/>
      <c r="J85" s="209" t="s">
        <v>258</v>
      </c>
      <c r="K85" s="193"/>
      <c r="L85" s="1778" t="s">
        <v>3330</v>
      </c>
      <c r="M85" s="1872" t="str">
        <f t="shared" si="1"/>
        <v>N/A</v>
      </c>
      <c r="N85" s="4"/>
      <c r="O85" s="141"/>
      <c r="P85" s="633" t="b">
        <v>0</v>
      </c>
      <c r="Q85" s="633" t="b">
        <v>1</v>
      </c>
      <c r="R85" s="169" t="b">
        <f>S85</f>
        <v>0</v>
      </c>
      <c r="S85" s="169" t="b">
        <f>IF(AY19=INDEX(ddSingleOrMulti,2),TRUE,FALSE)</f>
        <v>0</v>
      </c>
      <c r="T85" s="94" t="b">
        <f>AND(NOT(S85),W85=TRUE)</f>
        <v>0</v>
      </c>
      <c r="W85" s="25"/>
      <c r="X85" s="1757"/>
      <c r="AC85" s="169" t="b">
        <f>OR(AD85:AE85)</f>
        <v>0</v>
      </c>
      <c r="AD85" s="169" t="b">
        <f>T85</f>
        <v>0</v>
      </c>
      <c r="AE85" s="169" t="b">
        <f>AND(R85,NOT(W85=TRUE))</f>
        <v>0</v>
      </c>
      <c r="AL85" s="254" t="str">
        <f>SUBSTITUTE(SUBSTITUTE(SUBSTITUTE("dpa"&amp;$B85&amp;$C85&amp;$D85&amp;$E85,".","_"),"(","_"),")","")</f>
        <v>dpa1002_1_2</v>
      </c>
      <c r="AM85" s="254" t="str">
        <f>M85</f>
        <v>N/A</v>
      </c>
      <c r="AP85" s="254" t="str">
        <f>SUBSTITUTE(SUBSTITUTE(SUBSTITUTE("dch"&amp;$B85&amp;$C85&amp;$D85&amp;$E85,".","_"),"(","_"),")","")</f>
        <v>dch1002_1_2</v>
      </c>
      <c r="AQ85" s="254" t="str">
        <f>IF(LEN(W85)=0,"",W85)</f>
        <v/>
      </c>
      <c r="AR85" s="254" t="str">
        <f>SUBSTITUTE(SUBSTITUTE(SUBSTITUTE("dnt"&amp;$B85&amp;$C85&amp;$D85&amp;$E85,".","_"),"(","_"),")","")</f>
        <v>dnt1002_1_2</v>
      </c>
      <c r="AS85" s="254" t="str">
        <f>IF(LEN(X85)=0,"",X85)</f>
        <v/>
      </c>
    </row>
    <row r="86" spans="2:45" x14ac:dyDescent="0.25">
      <c r="B86" s="679">
        <v>1002.1</v>
      </c>
      <c r="C86" s="21" t="s">
        <v>258</v>
      </c>
      <c r="D86" s="21"/>
      <c r="E86" s="21"/>
      <c r="F86" s="21"/>
      <c r="G86" s="21"/>
      <c r="H86" s="758"/>
      <c r="I86" s="4"/>
      <c r="J86" s="183"/>
      <c r="K86" s="129"/>
      <c r="L86" s="1754"/>
      <c r="M86" s="1837" t="str">
        <f t="shared" si="1"/>
        <v>N/A</v>
      </c>
      <c r="N86" s="4"/>
      <c r="O86" s="141"/>
      <c r="X86" s="1757"/>
    </row>
    <row r="87" spans="2:45" x14ac:dyDescent="0.25">
      <c r="B87" s="679">
        <v>1002.1</v>
      </c>
      <c r="C87" s="21" t="s">
        <v>258</v>
      </c>
      <c r="D87" s="21"/>
      <c r="E87" s="21"/>
      <c r="F87" s="21"/>
      <c r="G87" s="21"/>
      <c r="H87" s="758"/>
      <c r="I87" s="4"/>
      <c r="J87" s="206"/>
      <c r="K87" s="210"/>
      <c r="L87" s="1755"/>
      <c r="M87" s="1844" t="str">
        <f t="shared" si="1"/>
        <v>N/A</v>
      </c>
      <c r="N87" s="4"/>
      <c r="O87" s="141"/>
      <c r="X87" s="1757"/>
    </row>
    <row r="88" spans="2:45" x14ac:dyDescent="0.25">
      <c r="B88" s="679">
        <v>1002.1</v>
      </c>
      <c r="C88" s="21" t="s">
        <v>260</v>
      </c>
      <c r="D88" s="21"/>
      <c r="E88" s="21"/>
      <c r="F88" s="21"/>
      <c r="G88" s="21"/>
      <c r="H88" s="758"/>
      <c r="I88" s="4"/>
      <c r="J88" s="27" t="s">
        <v>260</v>
      </c>
      <c r="K88" s="4"/>
      <c r="L88" s="1779" t="s">
        <v>3331</v>
      </c>
      <c r="M88" s="1838" t="str">
        <f t="shared" si="1"/>
        <v>N/A</v>
      </c>
      <c r="N88" s="4"/>
      <c r="O88" s="141"/>
      <c r="P88" s="633" t="b">
        <v>0</v>
      </c>
      <c r="Q88" s="633" t="b">
        <v>1</v>
      </c>
      <c r="R88" s="169" t="b">
        <f>S88</f>
        <v>0</v>
      </c>
      <c r="S88" s="169" t="b">
        <f>IF(AY19=INDEX(ddSingleOrMulti,2),TRUE,FALSE)</f>
        <v>0</v>
      </c>
      <c r="T88" s="94" t="b">
        <f>AND(NOT(S88),W88=TRUE)</f>
        <v>0</v>
      </c>
      <c r="W88" s="25"/>
      <c r="X88" s="1757"/>
      <c r="AC88" s="169" t="b">
        <f>OR(AD88:AE88)</f>
        <v>0</v>
      </c>
      <c r="AD88" s="169" t="b">
        <f>T88</f>
        <v>0</v>
      </c>
      <c r="AE88" s="169" t="b">
        <f>AND(R88,NOT(W88=TRUE))</f>
        <v>0</v>
      </c>
      <c r="AL88" s="254" t="str">
        <f>SUBSTITUTE(SUBSTITUTE(SUBSTITUTE("dpa"&amp;$B88&amp;$C88&amp;$D88&amp;$E88,".","_"),"(","_"),")","")</f>
        <v>dpa1002_1_3</v>
      </c>
      <c r="AM88" s="254" t="str">
        <f>M88</f>
        <v>N/A</v>
      </c>
      <c r="AP88" s="254" t="str">
        <f>SUBSTITUTE(SUBSTITUTE(SUBSTITUTE("dch"&amp;$B88&amp;$C88&amp;$D88&amp;$E88,".","_"),"(","_"),")","")</f>
        <v>dch1002_1_3</v>
      </c>
      <c r="AQ88" s="254" t="str">
        <f>IF(LEN(W88)=0,"",W88)</f>
        <v/>
      </c>
      <c r="AR88" s="254" t="str">
        <f>SUBSTITUTE(SUBSTITUTE(SUBSTITUTE("dnt"&amp;$B88&amp;$C88&amp;$D88&amp;$E88,".","_"),"(","_"),")","")</f>
        <v>dnt1002_1_3</v>
      </c>
      <c r="AS88" s="254" t="str">
        <f>IF(LEN(X88)=0,"",X88)</f>
        <v/>
      </c>
    </row>
    <row r="89" spans="2:45" x14ac:dyDescent="0.25">
      <c r="B89" s="679">
        <v>1002.1</v>
      </c>
      <c r="C89" s="21" t="s">
        <v>260</v>
      </c>
      <c r="D89" s="21"/>
      <c r="E89" s="21"/>
      <c r="F89" s="21"/>
      <c r="G89" s="21"/>
      <c r="H89" s="758"/>
      <c r="I89" s="4"/>
      <c r="J89" s="27"/>
      <c r="K89" s="4"/>
      <c r="L89" s="1779"/>
      <c r="M89" s="1838" t="str">
        <f t="shared" si="1"/>
        <v>N/A</v>
      </c>
      <c r="N89" s="4"/>
      <c r="O89" s="141"/>
      <c r="X89" s="1757"/>
    </row>
    <row r="90" spans="2:45" x14ac:dyDescent="0.25">
      <c r="B90" s="679">
        <v>1002.1</v>
      </c>
      <c r="C90" s="21" t="s">
        <v>269</v>
      </c>
      <c r="D90" s="21"/>
      <c r="E90" s="21"/>
      <c r="F90" s="21"/>
      <c r="G90" s="21"/>
      <c r="H90" s="758"/>
      <c r="I90" s="4"/>
      <c r="J90" s="207" t="s">
        <v>269</v>
      </c>
      <c r="K90" s="243"/>
      <c r="L90" s="244" t="s">
        <v>3332</v>
      </c>
      <c r="M90" s="246"/>
      <c r="N90" s="4"/>
      <c r="O90" s="141"/>
      <c r="P90" s="633" t="b">
        <v>0</v>
      </c>
      <c r="Q90" s="633" t="b">
        <v>1</v>
      </c>
      <c r="R90" s="169" t="b">
        <v>0</v>
      </c>
      <c r="S90" s="169" t="b">
        <f>IF(AY19=INDEX(ddSingleOrMulti,2),TRUE,FALSE)</f>
        <v>0</v>
      </c>
      <c r="T90" s="94" t="b">
        <f>AND(NOT(S90),W90=TRUE)</f>
        <v>0</v>
      </c>
      <c r="W90" s="25"/>
      <c r="X90" s="170"/>
      <c r="AC90" s="169" t="b">
        <f>OR(AD90:AE90)</f>
        <v>0</v>
      </c>
      <c r="AD90" s="169" t="b">
        <f>T90</f>
        <v>0</v>
      </c>
      <c r="AP90" s="254" t="str">
        <f>SUBSTITUTE(SUBSTITUTE(SUBSTITUTE("dch"&amp;$B90&amp;$C90&amp;$D90&amp;$E90,".","_"),"(","_"),")","")</f>
        <v>dch1002_1_4</v>
      </c>
      <c r="AQ90" s="254" t="str">
        <f>IF(LEN(W90)=0,"",W90)</f>
        <v/>
      </c>
      <c r="AR90" s="254" t="str">
        <f>SUBSTITUTE(SUBSTITUTE(SUBSTITUTE("dnt"&amp;$B90&amp;$C90&amp;$D90&amp;$E90,".","_"),"(","_"),")","")</f>
        <v>dnt1002_1_4</v>
      </c>
      <c r="AS90" s="254" t="str">
        <f>IF(LEN(X90)=0,"",X90)</f>
        <v/>
      </c>
    </row>
    <row r="91" spans="2:45" x14ac:dyDescent="0.25">
      <c r="B91" s="679">
        <v>1002.1</v>
      </c>
      <c r="C91" s="21" t="s">
        <v>275</v>
      </c>
      <c r="D91" s="21"/>
      <c r="E91" s="21"/>
      <c r="F91" s="21"/>
      <c r="G91" s="21"/>
      <c r="H91" s="758"/>
      <c r="I91" s="4"/>
      <c r="J91" s="27" t="s">
        <v>275</v>
      </c>
      <c r="K91" s="4"/>
      <c r="L91" s="1779" t="s">
        <v>3333</v>
      </c>
      <c r="M91" s="239"/>
      <c r="N91" s="4"/>
      <c r="O91" s="141"/>
      <c r="P91" s="633" t="b">
        <v>0</v>
      </c>
      <c r="Q91" s="633" t="b">
        <v>1</v>
      </c>
      <c r="R91" s="169" t="b">
        <v>0</v>
      </c>
      <c r="S91" s="169" t="b">
        <f>IF(AY19=INDEX(ddSingleOrMulti,2),TRUE,FALSE)</f>
        <v>0</v>
      </c>
      <c r="T91" s="94" t="b">
        <f>AND(NOT(S91),W91=TRUE)</f>
        <v>0</v>
      </c>
      <c r="W91" s="25"/>
      <c r="X91" s="1757"/>
      <c r="AC91" s="169" t="b">
        <f>OR(AD91:AE91)</f>
        <v>0</v>
      </c>
      <c r="AD91" s="169" t="b">
        <f>T91</f>
        <v>0</v>
      </c>
      <c r="AP91" s="254" t="str">
        <f>SUBSTITUTE(SUBSTITUTE(SUBSTITUTE("dch"&amp;$B91&amp;$C91&amp;$D91&amp;$E91,".","_"),"(","_"),")","")</f>
        <v>dch1002_1_5</v>
      </c>
      <c r="AQ91" s="254" t="str">
        <f>IF(LEN(W91)=0,"",W91)</f>
        <v/>
      </c>
      <c r="AR91" s="254" t="str">
        <f>SUBSTITUTE(SUBSTITUTE(SUBSTITUTE("dnt"&amp;$B91&amp;$C91&amp;$D91&amp;$E91,".","_"),"(","_"),")","")</f>
        <v>dnt1002_1_5</v>
      </c>
      <c r="AS91" s="254" t="str">
        <f>IF(LEN(X91)=0,"",X91)</f>
        <v/>
      </c>
    </row>
    <row r="92" spans="2:45" x14ac:dyDescent="0.25">
      <c r="B92" s="679">
        <v>1002.1</v>
      </c>
      <c r="C92" s="21" t="s">
        <v>275</v>
      </c>
      <c r="D92" s="21"/>
      <c r="E92" s="21"/>
      <c r="F92" s="21"/>
      <c r="G92" s="21"/>
      <c r="H92" s="758"/>
      <c r="I92" s="4"/>
      <c r="J92" s="27"/>
      <c r="K92" s="4"/>
      <c r="L92" s="1779"/>
      <c r="M92" s="239"/>
      <c r="N92" s="4"/>
      <c r="O92" s="141"/>
      <c r="X92" s="1757"/>
    </row>
    <row r="93" spans="2:45" ht="15" customHeight="1" x14ac:dyDescent="0.25">
      <c r="B93" s="679">
        <v>1002.1</v>
      </c>
      <c r="C93" s="21" t="s">
        <v>277</v>
      </c>
      <c r="D93" s="21"/>
      <c r="E93" s="21"/>
      <c r="F93" s="21"/>
      <c r="G93" s="21"/>
      <c r="H93" s="758"/>
      <c r="I93" s="4"/>
      <c r="J93" s="207" t="s">
        <v>277</v>
      </c>
      <c r="K93" s="243"/>
      <c r="L93" s="244" t="s">
        <v>3290</v>
      </c>
      <c r="M93" s="239"/>
      <c r="N93" s="4"/>
      <c r="O93" s="141"/>
      <c r="P93" s="633" t="b">
        <v>0</v>
      </c>
      <c r="Q93" s="633" t="b">
        <v>1</v>
      </c>
      <c r="R93" s="169" t="b">
        <v>0</v>
      </c>
      <c r="S93" s="169" t="b">
        <f>IF(AY19=INDEX(ddSingleOrMulti,2),TRUE,FALSE)</f>
        <v>0</v>
      </c>
      <c r="T93" s="94" t="b">
        <f>AND(NOT(S93),W93=TRUE)</f>
        <v>0</v>
      </c>
      <c r="W93" s="25"/>
      <c r="X93" s="170"/>
      <c r="AC93" s="169" t="b">
        <f>OR(AD93:AE93)</f>
        <v>0</v>
      </c>
      <c r="AD93" s="169" t="b">
        <f>T93</f>
        <v>0</v>
      </c>
      <c r="AP93" s="254" t="str">
        <f>SUBSTITUTE(SUBSTITUTE(SUBSTITUTE("dch"&amp;$B93&amp;$C93&amp;$D93&amp;$E93,".","_"),"(","_"),")","")</f>
        <v>dch1002_1_6</v>
      </c>
      <c r="AQ93" s="254" t="str">
        <f>IF(LEN(W93)=0,"",W93)</f>
        <v/>
      </c>
      <c r="AR93" s="254" t="str">
        <f>SUBSTITUTE(SUBSTITUTE(SUBSTITUTE("dnt"&amp;$B93&amp;$C93&amp;$D93&amp;$E93,".","_"),"(","_"),")","")</f>
        <v>dnt1002_1_6</v>
      </c>
      <c r="AS93" s="254" t="str">
        <f>IF(LEN(X93)=0,"",X93)</f>
        <v/>
      </c>
    </row>
    <row r="94" spans="2:45" ht="15" customHeight="1" x14ac:dyDescent="0.25">
      <c r="B94" s="679">
        <v>1002.1</v>
      </c>
      <c r="C94" s="21" t="s">
        <v>383</v>
      </c>
      <c r="D94" s="21"/>
      <c r="E94" s="21"/>
      <c r="F94" s="21"/>
      <c r="G94" s="21"/>
      <c r="H94" s="758"/>
      <c r="I94" s="4"/>
      <c r="J94" s="207" t="s">
        <v>383</v>
      </c>
      <c r="K94" s="243"/>
      <c r="L94" s="244" t="s">
        <v>3334</v>
      </c>
      <c r="M94" s="239"/>
      <c r="N94" s="4"/>
      <c r="O94" s="141"/>
      <c r="P94" s="633" t="b">
        <v>0</v>
      </c>
      <c r="Q94" s="633" t="b">
        <v>1</v>
      </c>
      <c r="R94" s="169" t="b">
        <v>0</v>
      </c>
      <c r="S94" s="169" t="b">
        <f>IF(AY19=INDEX(ddSingleOrMulti,2),TRUE,FALSE)</f>
        <v>0</v>
      </c>
      <c r="T94" s="94" t="b">
        <f>AND(NOT(S94),W94=TRUE)</f>
        <v>0</v>
      </c>
      <c r="W94" s="25"/>
      <c r="X94" s="170"/>
      <c r="AC94" s="169" t="b">
        <f>OR(AD94:AE94)</f>
        <v>0</v>
      </c>
      <c r="AD94" s="169" t="b">
        <f>T94</f>
        <v>0</v>
      </c>
      <c r="AP94" s="254" t="str">
        <f>SUBSTITUTE(SUBSTITUTE(SUBSTITUTE("dch"&amp;$B94&amp;$C94&amp;$D94&amp;$E94,".","_"),"(","_"),")","")</f>
        <v>dch1002_1_7</v>
      </c>
      <c r="AQ94" s="254" t="str">
        <f>IF(LEN(W94)=0,"",W94)</f>
        <v/>
      </c>
      <c r="AR94" s="254" t="str">
        <f>SUBSTITUTE(SUBSTITUTE(SUBSTITUTE("dnt"&amp;$B94&amp;$C94&amp;$D94&amp;$E94,".","_"),"(","_"),")","")</f>
        <v>dnt1002_1_7</v>
      </c>
      <c r="AS94" s="254" t="str">
        <f>IF(LEN(X94)=0,"",X94)</f>
        <v/>
      </c>
    </row>
    <row r="95" spans="2:45" x14ac:dyDescent="0.25">
      <c r="B95" s="679">
        <v>1002.1</v>
      </c>
      <c r="C95" s="21" t="s">
        <v>428</v>
      </c>
      <c r="D95" s="21"/>
      <c r="E95" s="21"/>
      <c r="F95" s="21"/>
      <c r="G95" s="21"/>
      <c r="H95" s="758"/>
      <c r="I95" s="129"/>
      <c r="J95" s="183" t="s">
        <v>428</v>
      </c>
      <c r="K95" s="129"/>
      <c r="L95" s="1754" t="s">
        <v>3335</v>
      </c>
      <c r="M95" s="239"/>
      <c r="N95" s="129"/>
      <c r="O95" s="239"/>
      <c r="P95" s="633" t="b">
        <v>0</v>
      </c>
      <c r="Q95" s="633" t="b">
        <v>1</v>
      </c>
      <c r="R95" s="94" t="b">
        <v>0</v>
      </c>
      <c r="S95" s="94" t="b">
        <f>IF(AY19=INDEX(ddSingleOrMulti,2),TRUE,FALSE)</f>
        <v>0</v>
      </c>
      <c r="T95" s="94" t="b">
        <f>AND(NOT(S95),W95=TRUE)</f>
        <v>0</v>
      </c>
      <c r="U95" s="94"/>
      <c r="V95" s="94"/>
      <c r="W95" s="25"/>
      <c r="X95" s="1770"/>
      <c r="AC95" s="169" t="b">
        <f>OR(AD95:AE95)</f>
        <v>0</v>
      </c>
      <c r="AD95" s="169" t="b">
        <f>T95</f>
        <v>0</v>
      </c>
      <c r="AP95" s="254" t="str">
        <f>SUBSTITUTE(SUBSTITUTE(SUBSTITUTE("dch"&amp;$B95&amp;$C95&amp;$D95&amp;$E95,".","_"),"(","_"),")","")</f>
        <v>dch1002_1_8</v>
      </c>
      <c r="AQ95" s="254" t="str">
        <f>IF(LEN(W95)=0,"",W95)</f>
        <v/>
      </c>
      <c r="AR95" s="254" t="str">
        <f>SUBSTITUTE(SUBSTITUTE(SUBSTITUTE("dnt"&amp;$B95&amp;$C95&amp;$D95&amp;$E95,".","_"),"(","_"),")","")</f>
        <v>dnt1002_1_8</v>
      </c>
      <c r="AS95" s="254" t="str">
        <f>IF(LEN(X95)=0,"",X95)</f>
        <v/>
      </c>
    </row>
    <row r="96" spans="2:45" ht="15.75" thickBot="1" x14ac:dyDescent="0.3">
      <c r="B96" s="679">
        <v>1002.1</v>
      </c>
      <c r="C96" s="21" t="s">
        <v>428</v>
      </c>
      <c r="D96" s="21"/>
      <c r="E96" s="21"/>
      <c r="F96" s="21"/>
      <c r="G96" s="21"/>
      <c r="H96" s="758"/>
      <c r="I96" s="240"/>
      <c r="J96" s="240"/>
      <c r="K96" s="240"/>
      <c r="L96" s="1783"/>
      <c r="M96" s="241"/>
      <c r="N96" s="240"/>
      <c r="O96" s="241"/>
      <c r="P96" s="99"/>
      <c r="Q96" s="99"/>
      <c r="R96" s="99"/>
      <c r="S96" s="99"/>
      <c r="T96" s="99"/>
      <c r="U96" s="99"/>
      <c r="V96" s="99"/>
      <c r="W96" s="99"/>
      <c r="X96" s="1771"/>
    </row>
    <row r="97" spans="2:45" ht="15.75" thickTop="1" x14ac:dyDescent="0.25">
      <c r="B97" s="679">
        <v>1002.2</v>
      </c>
      <c r="C97" s="21"/>
      <c r="D97" s="21"/>
      <c r="E97" s="21"/>
      <c r="F97" s="21"/>
      <c r="G97" s="21"/>
      <c r="H97" s="758"/>
      <c r="I97" s="139">
        <v>1002.2</v>
      </c>
      <c r="J97" s="4"/>
      <c r="K97" s="4"/>
      <c r="L97" s="1796" t="s">
        <v>3376</v>
      </c>
      <c r="M97" s="1767">
        <v>1</v>
      </c>
      <c r="N97" s="4"/>
      <c r="O97" s="1948">
        <f>IF(AND(COUNTIF(W101:W103,TRUE)=2,COUNTIF(W106:W122,TRUE)&gt;2,S101),ROUNDDOWN(COUNTIF(W106:W122,TRUE)/2,0),0)</f>
        <v>0</v>
      </c>
      <c r="X97" s="169"/>
      <c r="AL97" s="254" t="str">
        <f>SUBSTITUTE(SUBSTITUTE(SUBSTITUTE("dpa"&amp;$B97&amp;$C97&amp;$D97&amp;$E97,".","_"),"(","_"),")","")</f>
        <v>dpa1002_2</v>
      </c>
      <c r="AM97" s="254">
        <f>M97</f>
        <v>1</v>
      </c>
      <c r="AN97" s="254" t="str">
        <f>SUBSTITUTE(SUBSTITUTE(SUBSTITUTE("dpc"&amp;$B97&amp;$C97&amp;$D97&amp;$E97,".","_"),"(","_"),")","")</f>
        <v>dpc1002_2</v>
      </c>
      <c r="AO97" s="254">
        <f>O97</f>
        <v>0</v>
      </c>
    </row>
    <row r="98" spans="2:45" x14ac:dyDescent="0.25">
      <c r="B98" s="679">
        <v>1002.2</v>
      </c>
      <c r="C98" s="21"/>
      <c r="D98" s="21"/>
      <c r="E98" s="21"/>
      <c r="F98" s="21"/>
      <c r="G98" s="21"/>
      <c r="H98" s="758"/>
      <c r="I98" s="4"/>
      <c r="J98" s="4"/>
      <c r="K98" s="4"/>
      <c r="L98" s="1796"/>
      <c r="M98" s="1767"/>
      <c r="N98" s="4"/>
      <c r="O98" s="1948"/>
      <c r="X98" s="169"/>
    </row>
    <row r="99" spans="2:45" x14ac:dyDescent="0.25">
      <c r="B99" s="679">
        <v>1002.2</v>
      </c>
      <c r="C99" s="21"/>
      <c r="D99" s="21"/>
      <c r="E99" s="21"/>
      <c r="F99" s="21"/>
      <c r="G99" s="21"/>
      <c r="H99" s="758"/>
      <c r="I99" s="4"/>
      <c r="J99" s="4"/>
      <c r="K99" s="4"/>
      <c r="L99" s="1796"/>
      <c r="M99" s="1767"/>
      <c r="N99" s="4"/>
      <c r="O99" s="1948"/>
      <c r="X99" s="169"/>
    </row>
    <row r="100" spans="2:45" x14ac:dyDescent="0.25">
      <c r="B100" s="679">
        <v>1002.2</v>
      </c>
      <c r="C100" s="21"/>
      <c r="D100" s="21"/>
      <c r="E100" s="21"/>
      <c r="F100" s="21"/>
      <c r="G100" s="21"/>
      <c r="H100" s="758"/>
      <c r="I100" s="4"/>
      <c r="J100" s="4"/>
      <c r="K100" s="4"/>
      <c r="L100" s="226" t="s">
        <v>3373</v>
      </c>
      <c r="M100" s="1767"/>
      <c r="N100" s="4"/>
      <c r="O100" s="1948"/>
      <c r="X100" s="169"/>
    </row>
    <row r="101" spans="2:45" x14ac:dyDescent="0.25">
      <c r="B101" s="679">
        <v>1002.2</v>
      </c>
      <c r="C101" s="21" t="s">
        <v>256</v>
      </c>
      <c r="D101" s="21"/>
      <c r="E101" s="21"/>
      <c r="F101" s="21"/>
      <c r="G101" s="21"/>
      <c r="H101" s="758"/>
      <c r="I101" s="4"/>
      <c r="J101" s="183" t="s">
        <v>256</v>
      </c>
      <c r="K101" s="129"/>
      <c r="L101" s="1754" t="s">
        <v>3336</v>
      </c>
      <c r="M101" s="1837" t="str">
        <f>IF(R101,"Mandatory","N/A")</f>
        <v>N/A</v>
      </c>
      <c r="N101" s="4"/>
      <c r="O101" s="141"/>
      <c r="P101" s="633" t="b">
        <v>0</v>
      </c>
      <c r="Q101" s="633" t="b">
        <v>1</v>
      </c>
      <c r="R101" s="169" t="b">
        <f>S101</f>
        <v>0</v>
      </c>
      <c r="S101" s="169" t="b">
        <f>IF(AY19=INDEX(ddSingleOrMulti,2),TRUE,FALSE)</f>
        <v>0</v>
      </c>
      <c r="T101" s="94" t="b">
        <f>AND(NOT(S101),W101=TRUE)</f>
        <v>0</v>
      </c>
      <c r="W101" s="25"/>
      <c r="X101" s="1757"/>
      <c r="AC101" s="169" t="b">
        <f>OR(AD101:AE101)</f>
        <v>0</v>
      </c>
      <c r="AD101" s="169" t="b">
        <f>T101</f>
        <v>0</v>
      </c>
      <c r="AE101" s="743" t="b">
        <f>AND(R101,NOT(W101=TRUE))</f>
        <v>0</v>
      </c>
      <c r="AL101" s="254" t="str">
        <f>SUBSTITUTE(SUBSTITUTE(SUBSTITUTE("dpa"&amp;$B101&amp;$C101&amp;$D101&amp;$E101,".","_"),"(","_"),")","")</f>
        <v>dpa1002_2_1</v>
      </c>
      <c r="AM101" s="254" t="str">
        <f>M101</f>
        <v>N/A</v>
      </c>
      <c r="AP101" s="254" t="str">
        <f>SUBSTITUTE(SUBSTITUTE(SUBSTITUTE("dch"&amp;$B101&amp;$C101&amp;$D101&amp;$E101,".","_"),"(","_"),")","")</f>
        <v>dch1002_2_1</v>
      </c>
      <c r="AQ101" s="254" t="str">
        <f>IF(LEN(W101)=0,"",W101)</f>
        <v/>
      </c>
      <c r="AR101" s="254" t="str">
        <f>SUBSTITUTE(SUBSTITUTE(SUBSTITUTE("dnt"&amp;$B101&amp;$C101&amp;$D101&amp;$E101,".","_"),"(","_"),")","")</f>
        <v>dnt1002_2_1</v>
      </c>
      <c r="AS101" s="254" t="str">
        <f>IF(LEN(X101)=0,"",X101)</f>
        <v/>
      </c>
    </row>
    <row r="102" spans="2:45" x14ac:dyDescent="0.25">
      <c r="B102" s="679">
        <v>1002.2</v>
      </c>
      <c r="C102" s="21" t="s">
        <v>256</v>
      </c>
      <c r="D102" s="21"/>
      <c r="E102" s="21"/>
      <c r="F102" s="21"/>
      <c r="G102" s="21"/>
      <c r="H102" s="758"/>
      <c r="I102" s="4"/>
      <c r="J102" s="206"/>
      <c r="K102" s="210"/>
      <c r="L102" s="1755"/>
      <c r="M102" s="1844" t="str">
        <f>IF(R102,"Mandatory","N/A")</f>
        <v>N/A</v>
      </c>
      <c r="N102" s="4"/>
      <c r="O102" s="141"/>
      <c r="X102" s="1757"/>
    </row>
    <row r="103" spans="2:45" x14ac:dyDescent="0.25">
      <c r="B103" s="679">
        <v>1002.2</v>
      </c>
      <c r="C103" s="21" t="s">
        <v>258</v>
      </c>
      <c r="D103" s="21"/>
      <c r="E103" s="21"/>
      <c r="F103" s="21"/>
      <c r="G103" s="21"/>
      <c r="H103" s="758"/>
      <c r="I103" s="4"/>
      <c r="J103" s="209" t="s">
        <v>258</v>
      </c>
      <c r="K103" s="193"/>
      <c r="L103" s="1778" t="s">
        <v>3337</v>
      </c>
      <c r="M103" s="1872" t="str">
        <f>IF(R103,"Mandatory","N/A")</f>
        <v>N/A</v>
      </c>
      <c r="N103" s="4"/>
      <c r="O103" s="141"/>
      <c r="P103" s="633" t="b">
        <v>0</v>
      </c>
      <c r="Q103" s="633" t="b">
        <v>1</v>
      </c>
      <c r="R103" s="169" t="b">
        <f>S103</f>
        <v>0</v>
      </c>
      <c r="S103" s="169" t="b">
        <f>IF(AY19=INDEX(ddSingleOrMulti,2),TRUE,FALSE)</f>
        <v>0</v>
      </c>
      <c r="T103" s="94" t="b">
        <f>AND(NOT(S103),W103=TRUE)</f>
        <v>0</v>
      </c>
      <c r="W103" s="25"/>
      <c r="X103" s="1757"/>
      <c r="AC103" s="169" t="b">
        <f>OR(AD103:AE103)</f>
        <v>0</v>
      </c>
      <c r="AD103" s="169" t="b">
        <f>T103</f>
        <v>0</v>
      </c>
      <c r="AE103" s="169" t="b">
        <f>AND(R103,NOT(W103=TRUE))</f>
        <v>0</v>
      </c>
      <c r="AL103" s="254" t="str">
        <f>SUBSTITUTE(SUBSTITUTE(SUBSTITUTE("dpa"&amp;$B103&amp;$C103&amp;$D103&amp;$E103,".","_"),"(","_"),")","")</f>
        <v>dpa1002_2_2</v>
      </c>
      <c r="AM103" s="254" t="str">
        <f>M103</f>
        <v>N/A</v>
      </c>
      <c r="AP103" s="254" t="str">
        <f>SUBSTITUTE(SUBSTITUTE(SUBSTITUTE("dch"&amp;$B103&amp;$C103&amp;$D103&amp;$E103,".","_"),"(","_"),")","")</f>
        <v>dch1002_2_2</v>
      </c>
      <c r="AQ103" s="254" t="str">
        <f>IF(LEN(W103)=0,"",W103)</f>
        <v/>
      </c>
      <c r="AR103" s="254" t="str">
        <f>SUBSTITUTE(SUBSTITUTE(SUBSTITUTE("dnt"&amp;$B103&amp;$C103&amp;$D103&amp;$E103,".","_"),"(","_"),")","")</f>
        <v>dnt1002_2_2</v>
      </c>
      <c r="AS103" s="254" t="str">
        <f>IF(LEN(X103)=0,"",X103)</f>
        <v/>
      </c>
    </row>
    <row r="104" spans="2:45" x14ac:dyDescent="0.25">
      <c r="B104" s="679">
        <v>1002.2</v>
      </c>
      <c r="C104" s="21" t="s">
        <v>258</v>
      </c>
      <c r="D104" s="21"/>
      <c r="E104" s="21"/>
      <c r="F104" s="21"/>
      <c r="G104" s="21"/>
      <c r="H104" s="758"/>
      <c r="I104" s="4"/>
      <c r="J104" s="183"/>
      <c r="K104" s="129"/>
      <c r="L104" s="1754"/>
      <c r="M104" s="1837" t="str">
        <f>IF(R104,"Mandatory","N/A")</f>
        <v>N/A</v>
      </c>
      <c r="N104" s="4"/>
      <c r="O104" s="141"/>
      <c r="X104" s="1757"/>
    </row>
    <row r="105" spans="2:45" x14ac:dyDescent="0.25">
      <c r="B105" s="679">
        <v>1002.2</v>
      </c>
      <c r="C105" s="21" t="s">
        <v>258</v>
      </c>
      <c r="D105" s="21"/>
      <c r="E105" s="21"/>
      <c r="F105" s="21"/>
      <c r="G105" s="21"/>
      <c r="H105" s="758"/>
      <c r="I105" s="4"/>
      <c r="J105" s="206"/>
      <c r="K105" s="210"/>
      <c r="L105" s="1755"/>
      <c r="M105" s="1844" t="str">
        <f>IF(R105,"Mandatory","N/A")</f>
        <v>N/A</v>
      </c>
      <c r="N105" s="4"/>
      <c r="O105" s="141"/>
      <c r="X105" s="1757"/>
    </row>
    <row r="106" spans="2:45" x14ac:dyDescent="0.25">
      <c r="B106" s="679">
        <v>1002.2</v>
      </c>
      <c r="C106" s="21" t="s">
        <v>260</v>
      </c>
      <c r="D106" s="21"/>
      <c r="E106" s="21"/>
      <c r="F106" s="21"/>
      <c r="G106" s="21"/>
      <c r="H106" s="758"/>
      <c r="I106" s="4"/>
      <c r="J106" s="209" t="s">
        <v>260</v>
      </c>
      <c r="K106" s="193"/>
      <c r="L106" s="1778" t="s">
        <v>3306</v>
      </c>
      <c r="M106" s="141"/>
      <c r="N106" s="4"/>
      <c r="O106" s="141"/>
      <c r="P106" s="633" t="b">
        <v>0</v>
      </c>
      <c r="Q106" s="633" t="b">
        <v>1</v>
      </c>
      <c r="R106" s="169" t="b">
        <v>0</v>
      </c>
      <c r="S106" s="169" t="b">
        <f>IF(AY19=INDEX(ddSingleOrMulti,2),TRUE,FALSE)</f>
        <v>0</v>
      </c>
      <c r="T106" s="94" t="b">
        <f>AND(NOT(S106),W106=TRUE)</f>
        <v>0</v>
      </c>
      <c r="W106" s="25"/>
      <c r="X106" s="1757"/>
      <c r="AC106" s="169" t="b">
        <f>OR(AD106:AE106)</f>
        <v>0</v>
      </c>
      <c r="AD106" s="169" t="b">
        <f>T106</f>
        <v>0</v>
      </c>
      <c r="AP106" s="254" t="str">
        <f>SUBSTITUTE(SUBSTITUTE(SUBSTITUTE("dch"&amp;$B106&amp;$C106&amp;$D106&amp;$E106,".","_"),"(","_"),")","")</f>
        <v>dch1002_2_3</v>
      </c>
      <c r="AQ106" s="254" t="str">
        <f>IF(LEN(W106)=0,"",W106)</f>
        <v/>
      </c>
      <c r="AR106" s="254" t="str">
        <f>SUBSTITUTE(SUBSTITUTE(SUBSTITUTE("dnt"&amp;$B106&amp;$C106&amp;$D106&amp;$E106,".","_"),"(","_"),")","")</f>
        <v>dnt1002_2_3</v>
      </c>
      <c r="AS106" s="254" t="str">
        <f>IF(LEN(X106)=0,"",X106)</f>
        <v/>
      </c>
    </row>
    <row r="107" spans="2:45" x14ac:dyDescent="0.25">
      <c r="B107" s="679">
        <v>1002.2</v>
      </c>
      <c r="C107" s="21" t="s">
        <v>260</v>
      </c>
      <c r="D107" s="21"/>
      <c r="E107" s="21"/>
      <c r="F107" s="21"/>
      <c r="G107" s="21"/>
      <c r="H107" s="758"/>
      <c r="I107" s="4"/>
      <c r="J107" s="210"/>
      <c r="K107" s="210"/>
      <c r="L107" s="1755"/>
      <c r="M107" s="141"/>
      <c r="N107" s="4"/>
      <c r="O107" s="141"/>
      <c r="X107" s="1757"/>
    </row>
    <row r="108" spans="2:45" x14ac:dyDescent="0.25">
      <c r="B108" s="679">
        <v>1002.2</v>
      </c>
      <c r="C108" s="21" t="s">
        <v>269</v>
      </c>
      <c r="D108" s="21"/>
      <c r="E108" s="21"/>
      <c r="F108" s="21"/>
      <c r="G108" s="21"/>
      <c r="H108" s="758"/>
      <c r="I108" s="4"/>
      <c r="J108" s="27" t="s">
        <v>269</v>
      </c>
      <c r="K108" s="4"/>
      <c r="L108" s="1779" t="s">
        <v>3338</v>
      </c>
      <c r="M108" s="141"/>
      <c r="N108" s="4"/>
      <c r="O108" s="141"/>
      <c r="P108" s="633" t="b">
        <v>0</v>
      </c>
      <c r="Q108" s="633" t="b">
        <v>1</v>
      </c>
      <c r="R108" s="169" t="b">
        <v>0</v>
      </c>
      <c r="S108" s="169" t="b">
        <f>IF(AY19=INDEX(ddSingleOrMulti,2),TRUE,FALSE)</f>
        <v>0</v>
      </c>
      <c r="T108" s="94" t="b">
        <f>AND(NOT(S108),W108=TRUE)</f>
        <v>0</v>
      </c>
      <c r="W108" s="25"/>
      <c r="X108" s="1757"/>
      <c r="AC108" s="169" t="b">
        <f>OR(AD108:AE108)</f>
        <v>0</v>
      </c>
      <c r="AD108" s="169" t="b">
        <f>T108</f>
        <v>0</v>
      </c>
      <c r="AP108" s="254" t="str">
        <f>SUBSTITUTE(SUBSTITUTE(SUBSTITUTE("dch"&amp;$B108&amp;$C108&amp;$D108&amp;$E108,".","_"),"(","_"),")","")</f>
        <v>dch1002_2_4</v>
      </c>
      <c r="AQ108" s="254" t="str">
        <f>IF(LEN(W108)=0,"",W108)</f>
        <v/>
      </c>
      <c r="AR108" s="254" t="str">
        <f>SUBSTITUTE(SUBSTITUTE(SUBSTITUTE("dnt"&amp;$B108&amp;$C108&amp;$D108&amp;$E108,".","_"),"(","_"),")","")</f>
        <v>dnt1002_2_4</v>
      </c>
      <c r="AS108" s="254" t="str">
        <f>IF(LEN(X108)=0,"",X108)</f>
        <v/>
      </c>
    </row>
    <row r="109" spans="2:45" x14ac:dyDescent="0.25">
      <c r="B109" s="679">
        <v>1002.2</v>
      </c>
      <c r="C109" s="21" t="s">
        <v>269</v>
      </c>
      <c r="D109" s="21"/>
      <c r="E109" s="21"/>
      <c r="F109" s="21"/>
      <c r="G109" s="21"/>
      <c r="H109" s="758"/>
      <c r="I109" s="4"/>
      <c r="J109" s="4"/>
      <c r="K109" s="4"/>
      <c r="L109" s="1779"/>
      <c r="M109" s="141"/>
      <c r="N109" s="4"/>
      <c r="O109" s="141"/>
      <c r="X109" s="1757"/>
    </row>
    <row r="110" spans="2:45" x14ac:dyDescent="0.25">
      <c r="B110" s="679">
        <v>1002.2</v>
      </c>
      <c r="C110" s="21" t="s">
        <v>269</v>
      </c>
      <c r="D110" s="21"/>
      <c r="E110" s="21"/>
      <c r="F110" s="21"/>
      <c r="G110" s="21"/>
      <c r="H110" s="758"/>
      <c r="I110" s="4"/>
      <c r="J110" s="4"/>
      <c r="K110" s="4"/>
      <c r="L110" s="1779"/>
      <c r="M110" s="141"/>
      <c r="N110" s="4"/>
      <c r="O110" s="141"/>
      <c r="X110" s="1757"/>
    </row>
    <row r="111" spans="2:45" x14ac:dyDescent="0.25">
      <c r="B111" s="679">
        <v>1002.2</v>
      </c>
      <c r="C111" s="21" t="s">
        <v>275</v>
      </c>
      <c r="D111" s="21"/>
      <c r="E111" s="21"/>
      <c r="F111" s="21"/>
      <c r="G111" s="21"/>
      <c r="H111" s="758"/>
      <c r="I111" s="4"/>
      <c r="J111" s="209" t="s">
        <v>275</v>
      </c>
      <c r="K111" s="193"/>
      <c r="L111" s="1778" t="s">
        <v>3339</v>
      </c>
      <c r="M111" s="141"/>
      <c r="N111" s="4"/>
      <c r="O111" s="141"/>
      <c r="P111" s="633" t="b">
        <v>0</v>
      </c>
      <c r="Q111" s="633" t="b">
        <v>1</v>
      </c>
      <c r="R111" s="169" t="b">
        <v>0</v>
      </c>
      <c r="S111" s="169" t="b">
        <f>IF(AY19=INDEX(ddSingleOrMulti,2),TRUE,FALSE)</f>
        <v>0</v>
      </c>
      <c r="T111" s="94" t="b">
        <f>AND(NOT(S111),W111=TRUE)</f>
        <v>0</v>
      </c>
      <c r="W111" s="25"/>
      <c r="X111" s="1757"/>
      <c r="AC111" s="169" t="b">
        <f>OR(AD111:AE111)</f>
        <v>0</v>
      </c>
      <c r="AD111" s="169" t="b">
        <f>T111</f>
        <v>0</v>
      </c>
      <c r="AP111" s="254" t="str">
        <f>SUBSTITUTE(SUBSTITUTE(SUBSTITUTE("dch"&amp;$B111&amp;$C111&amp;$D111&amp;$E111,".","_"),"(","_"),")","")</f>
        <v>dch1002_2_5</v>
      </c>
      <c r="AQ111" s="254" t="str">
        <f>IF(LEN(W111)=0,"",W111)</f>
        <v/>
      </c>
      <c r="AR111" s="254" t="str">
        <f>SUBSTITUTE(SUBSTITUTE(SUBSTITUTE("dnt"&amp;$B111&amp;$C111&amp;$D111&amp;$E111,".","_"),"(","_"),")","")</f>
        <v>dnt1002_2_5</v>
      </c>
      <c r="AS111" s="254" t="str">
        <f>IF(LEN(X111)=0,"",X111)</f>
        <v/>
      </c>
    </row>
    <row r="112" spans="2:45" x14ac:dyDescent="0.25">
      <c r="B112" s="679">
        <v>1002.2</v>
      </c>
      <c r="C112" s="21" t="s">
        <v>275</v>
      </c>
      <c r="D112" s="21"/>
      <c r="E112" s="21"/>
      <c r="F112" s="21"/>
      <c r="G112" s="21"/>
      <c r="H112" s="758"/>
      <c r="I112" s="4"/>
      <c r="J112" s="206"/>
      <c r="K112" s="210"/>
      <c r="L112" s="1755"/>
      <c r="M112" s="141"/>
      <c r="N112" s="4"/>
      <c r="O112" s="141"/>
      <c r="X112" s="1757"/>
    </row>
    <row r="113" spans="2:45" x14ac:dyDescent="0.25">
      <c r="B113" s="679">
        <v>1002.2</v>
      </c>
      <c r="C113" s="21" t="s">
        <v>277</v>
      </c>
      <c r="D113" s="21"/>
      <c r="E113" s="21"/>
      <c r="F113" s="21"/>
      <c r="G113" s="21"/>
      <c r="H113" s="758"/>
      <c r="I113" s="4"/>
      <c r="J113" s="27" t="s">
        <v>277</v>
      </c>
      <c r="K113" s="4"/>
      <c r="L113" s="749" t="s">
        <v>3289</v>
      </c>
      <c r="M113" s="141"/>
      <c r="N113" s="4"/>
      <c r="O113" s="141"/>
      <c r="P113" s="633" t="b">
        <v>0</v>
      </c>
      <c r="Q113" s="633" t="b">
        <v>1</v>
      </c>
      <c r="R113" s="169" t="b">
        <v>0</v>
      </c>
      <c r="S113" s="169" t="b">
        <f>IF(AY19=INDEX(ddSingleOrMulti,2),TRUE,FALSE)</f>
        <v>0</v>
      </c>
      <c r="T113" s="94" t="b">
        <f>AND(NOT(S113),W113=TRUE)</f>
        <v>0</v>
      </c>
      <c r="W113" s="25"/>
      <c r="X113" s="170"/>
      <c r="AC113" s="169" t="b">
        <f>OR(AD113:AE113)</f>
        <v>0</v>
      </c>
      <c r="AD113" s="169" t="b">
        <f>T113</f>
        <v>0</v>
      </c>
      <c r="AP113" s="254" t="str">
        <f>SUBSTITUTE(SUBSTITUTE(SUBSTITUTE("dch"&amp;$B113&amp;$C113&amp;$D113&amp;$E113,".","_"),"(","_"),")","")</f>
        <v>dch1002_2_6</v>
      </c>
      <c r="AQ113" s="254" t="str">
        <f>IF(LEN(W113)=0,"",W113)</f>
        <v/>
      </c>
      <c r="AR113" s="254" t="str">
        <f>SUBSTITUTE(SUBSTITUTE(SUBSTITUTE("dnt"&amp;$B113&amp;$C113&amp;$D113&amp;$E113,".","_"),"(","_"),")","")</f>
        <v>dnt1002_2_6</v>
      </c>
      <c r="AS113" s="254" t="str">
        <f>IF(LEN(X113)=0,"",X113)</f>
        <v/>
      </c>
    </row>
    <row r="114" spans="2:45" x14ac:dyDescent="0.25">
      <c r="B114" s="679">
        <v>1002.2</v>
      </c>
      <c r="C114" s="21" t="s">
        <v>383</v>
      </c>
      <c r="D114" s="21"/>
      <c r="E114" s="21"/>
      <c r="F114" s="21"/>
      <c r="G114" s="21"/>
      <c r="H114" s="758"/>
      <c r="I114" s="4"/>
      <c r="J114" s="209" t="s">
        <v>383</v>
      </c>
      <c r="K114" s="193"/>
      <c r="L114" s="1778" t="s">
        <v>3340</v>
      </c>
      <c r="M114" s="141"/>
      <c r="N114" s="4"/>
      <c r="O114" s="141"/>
      <c r="P114" s="633" t="b">
        <v>0</v>
      </c>
      <c r="Q114" s="633" t="b">
        <v>1</v>
      </c>
      <c r="R114" s="169" t="b">
        <v>0</v>
      </c>
      <c r="S114" s="169" t="b">
        <f>IF(AY19=INDEX(ddSingleOrMulti,2),TRUE,FALSE)</f>
        <v>0</v>
      </c>
      <c r="T114" s="94" t="b">
        <f>AND(NOT(S114),W114=TRUE)</f>
        <v>0</v>
      </c>
      <c r="W114" s="25"/>
      <c r="X114" s="1757"/>
      <c r="AC114" s="169" t="b">
        <f>OR(AD114:AE114)</f>
        <v>0</v>
      </c>
      <c r="AD114" s="169" t="b">
        <f>T114</f>
        <v>0</v>
      </c>
      <c r="AP114" s="254" t="str">
        <f>SUBSTITUTE(SUBSTITUTE(SUBSTITUTE("dch"&amp;$B114&amp;$C114&amp;$D114&amp;$E114,".","_"),"(","_"),")","")</f>
        <v>dch1002_2_7</v>
      </c>
      <c r="AQ114" s="254" t="str">
        <f>IF(LEN(W114)=0,"",W114)</f>
        <v/>
      </c>
      <c r="AR114" s="254" t="str">
        <f>SUBSTITUTE(SUBSTITUTE(SUBSTITUTE("dnt"&amp;$B114&amp;$C114&amp;$D114&amp;$E114,".","_"),"(","_"),")","")</f>
        <v>dnt1002_2_7</v>
      </c>
      <c r="AS114" s="254" t="str">
        <f>IF(LEN(X114)=0,"",X114)</f>
        <v/>
      </c>
    </row>
    <row r="115" spans="2:45" x14ac:dyDescent="0.25">
      <c r="B115" s="679">
        <v>1002.2</v>
      </c>
      <c r="C115" s="21" t="s">
        <v>383</v>
      </c>
      <c r="D115" s="21"/>
      <c r="E115" s="21"/>
      <c r="F115" s="21"/>
      <c r="G115" s="21"/>
      <c r="H115" s="758"/>
      <c r="I115" s="4"/>
      <c r="J115" s="210"/>
      <c r="K115" s="210"/>
      <c r="L115" s="1755"/>
      <c r="M115" s="141"/>
      <c r="N115" s="4"/>
      <c r="O115" s="141"/>
      <c r="X115" s="1757"/>
    </row>
    <row r="116" spans="2:45" x14ac:dyDescent="0.25">
      <c r="B116" s="679">
        <v>1002.2</v>
      </c>
      <c r="C116" s="21" t="s">
        <v>428</v>
      </c>
      <c r="D116" s="21"/>
      <c r="E116" s="21"/>
      <c r="F116" s="21"/>
      <c r="G116" s="21"/>
      <c r="H116" s="758"/>
      <c r="I116" s="4"/>
      <c r="J116" s="27" t="s">
        <v>428</v>
      </c>
      <c r="K116" s="4"/>
      <c r="L116" s="1841" t="s">
        <v>3304</v>
      </c>
      <c r="M116" s="141"/>
      <c r="N116" s="4"/>
      <c r="O116" s="141"/>
      <c r="P116" s="633" t="b">
        <v>0</v>
      </c>
      <c r="Q116" s="633" t="b">
        <v>1</v>
      </c>
      <c r="R116" s="169" t="b">
        <v>0</v>
      </c>
      <c r="S116" s="169" t="b">
        <f>IF(AY19=INDEX(ddSingleOrMulti,2),TRUE,FALSE)</f>
        <v>0</v>
      </c>
      <c r="T116" s="94" t="b">
        <f>AND(NOT(S116),W116=TRUE)</f>
        <v>0</v>
      </c>
      <c r="W116" s="25"/>
      <c r="X116" s="1757"/>
      <c r="AC116" s="169" t="b">
        <f>OR(AD116:AE116)</f>
        <v>0</v>
      </c>
      <c r="AD116" s="169" t="b">
        <f>T116</f>
        <v>0</v>
      </c>
      <c r="AP116" s="254" t="str">
        <f>SUBSTITUTE(SUBSTITUTE(SUBSTITUTE("dch"&amp;$B116&amp;$C116&amp;$D116&amp;$E116,".","_"),"(","_"),")","")</f>
        <v>dch1002_2_8</v>
      </c>
      <c r="AQ116" s="254" t="str">
        <f>IF(LEN(W116)=0,"",W116)</f>
        <v/>
      </c>
      <c r="AR116" s="254" t="str">
        <f>SUBSTITUTE(SUBSTITUTE(SUBSTITUTE("dnt"&amp;$B116&amp;$C116&amp;$D116&amp;$E116,".","_"),"(","_"),")","")</f>
        <v>dnt1002_2_8</v>
      </c>
      <c r="AS116" s="254" t="str">
        <f>IF(LEN(X116)=0,"",X116)</f>
        <v/>
      </c>
    </row>
    <row r="117" spans="2:45" x14ac:dyDescent="0.25">
      <c r="B117" s="679">
        <v>1002.2</v>
      </c>
      <c r="C117" s="21" t="s">
        <v>428</v>
      </c>
      <c r="D117" s="21"/>
      <c r="E117" s="21"/>
      <c r="F117" s="21"/>
      <c r="G117" s="21"/>
      <c r="H117" s="758"/>
      <c r="I117" s="4"/>
      <c r="J117" s="27"/>
      <c r="K117" s="4"/>
      <c r="L117" s="1841"/>
      <c r="M117" s="141"/>
      <c r="N117" s="4"/>
      <c r="O117" s="141"/>
      <c r="X117" s="1757"/>
    </row>
    <row r="118" spans="2:45" x14ac:dyDescent="0.25">
      <c r="B118" s="679">
        <v>1002.2</v>
      </c>
      <c r="C118" s="21" t="s">
        <v>430</v>
      </c>
      <c r="D118" s="21"/>
      <c r="E118" s="21"/>
      <c r="F118" s="21"/>
      <c r="G118" s="21"/>
      <c r="H118" s="758"/>
      <c r="I118" s="4"/>
      <c r="J118" s="209" t="s">
        <v>430</v>
      </c>
      <c r="K118" s="193"/>
      <c r="L118" s="748" t="s">
        <v>3341</v>
      </c>
      <c r="M118" s="141"/>
      <c r="N118" s="4"/>
      <c r="O118" s="141"/>
      <c r="P118" s="633" t="b">
        <v>0</v>
      </c>
      <c r="Q118" s="633" t="b">
        <v>1</v>
      </c>
      <c r="R118" s="169" t="b">
        <v>0</v>
      </c>
      <c r="S118" s="169" t="b">
        <f>IF(AY19=INDEX(ddSingleOrMulti,2),TRUE,FALSE)</f>
        <v>0</v>
      </c>
      <c r="T118" s="94" t="b">
        <f>AND(NOT(S118),W118=TRUE)</f>
        <v>0</v>
      </c>
      <c r="W118" s="25"/>
      <c r="X118" s="170"/>
      <c r="AC118" s="169" t="b">
        <f>OR(AD118:AE118)</f>
        <v>0</v>
      </c>
      <c r="AD118" s="169" t="b">
        <f>T118</f>
        <v>0</v>
      </c>
      <c r="AP118" s="254" t="str">
        <f>SUBSTITUTE(SUBSTITUTE(SUBSTITUTE("dch"&amp;$B118&amp;$C118&amp;$D118&amp;$E118,".","_"),"(","_"),")","")</f>
        <v>dch1002_2_9</v>
      </c>
      <c r="AQ118" s="254" t="str">
        <f>IF(LEN(W118)=0,"",W118)</f>
        <v/>
      </c>
      <c r="AR118" s="254" t="str">
        <f>SUBSTITUTE(SUBSTITUTE(SUBSTITUTE("dnt"&amp;$B118&amp;$C118&amp;$D118&amp;$E118,".","_"),"(","_"),")","")</f>
        <v>dnt1002_2_9</v>
      </c>
      <c r="AS118" s="254" t="str">
        <f>IF(LEN(X118)=0,"",X118)</f>
        <v/>
      </c>
    </row>
    <row r="119" spans="2:45" x14ac:dyDescent="0.25">
      <c r="B119" s="679">
        <v>1002.2</v>
      </c>
      <c r="C119" s="21" t="s">
        <v>432</v>
      </c>
      <c r="D119" s="21"/>
      <c r="E119" s="21"/>
      <c r="F119" s="21"/>
      <c r="G119" s="21"/>
      <c r="H119" s="758"/>
      <c r="I119" s="4"/>
      <c r="J119" s="209" t="s">
        <v>432</v>
      </c>
      <c r="K119" s="193"/>
      <c r="L119" s="1778" t="s">
        <v>3342</v>
      </c>
      <c r="M119" s="141"/>
      <c r="N119" s="4"/>
      <c r="O119" s="141"/>
      <c r="P119" s="633" t="b">
        <v>0</v>
      </c>
      <c r="Q119" s="633" t="b">
        <v>1</v>
      </c>
      <c r="R119" s="169" t="b">
        <v>0</v>
      </c>
      <c r="S119" s="169" t="b">
        <f>IF(AY19=INDEX(ddSingleOrMulti,2),TRUE,FALSE)</f>
        <v>0</v>
      </c>
      <c r="T119" s="94" t="b">
        <f>AND(NOT(S119),W119=TRUE)</f>
        <v>0</v>
      </c>
      <c r="W119" s="25"/>
      <c r="X119" s="1757"/>
      <c r="AC119" s="169" t="b">
        <f>OR(AD119:AE119)</f>
        <v>0</v>
      </c>
      <c r="AD119" s="169" t="b">
        <f>T119</f>
        <v>0</v>
      </c>
      <c r="AP119" s="254" t="str">
        <f>SUBSTITUTE(SUBSTITUTE(SUBSTITUTE("dch"&amp;$B119&amp;$C119&amp;$D119&amp;$E119,".","_"),"(","_"),")","")</f>
        <v>dch1002_2_10</v>
      </c>
      <c r="AQ119" s="254" t="str">
        <f>IF(LEN(W119)=0,"",W119)</f>
        <v/>
      </c>
      <c r="AR119" s="254" t="str">
        <f>SUBSTITUTE(SUBSTITUTE(SUBSTITUTE("dnt"&amp;$B119&amp;$C119&amp;$D119&amp;$E119,".","_"),"(","_"),")","")</f>
        <v>dnt1002_2_10</v>
      </c>
      <c r="AS119" s="254" t="str">
        <f>IF(LEN(X119)=0,"",X119)</f>
        <v/>
      </c>
    </row>
    <row r="120" spans="2:45" x14ac:dyDescent="0.25">
      <c r="B120" s="679">
        <v>1002.2</v>
      </c>
      <c r="C120" s="21" t="s">
        <v>432</v>
      </c>
      <c r="D120" s="21"/>
      <c r="E120" s="21"/>
      <c r="F120" s="21"/>
      <c r="G120" s="21"/>
      <c r="H120" s="758"/>
      <c r="I120" s="4"/>
      <c r="J120" s="183"/>
      <c r="K120" s="129"/>
      <c r="L120" s="1754"/>
      <c r="M120" s="141"/>
      <c r="N120" s="4"/>
      <c r="O120" s="141"/>
      <c r="X120" s="1757"/>
    </row>
    <row r="121" spans="2:45" x14ac:dyDescent="0.25">
      <c r="B121" s="679">
        <v>1002.2</v>
      </c>
      <c r="C121" s="21" t="s">
        <v>432</v>
      </c>
      <c r="D121" s="21"/>
      <c r="E121" s="21"/>
      <c r="F121" s="21"/>
      <c r="G121" s="21"/>
      <c r="H121" s="758"/>
      <c r="I121" s="4"/>
      <c r="J121" s="206"/>
      <c r="K121" s="210"/>
      <c r="L121" s="1755"/>
      <c r="M121" s="141"/>
      <c r="N121" s="4"/>
      <c r="O121" s="141"/>
      <c r="X121" s="1757"/>
    </row>
    <row r="122" spans="2:45" x14ac:dyDescent="0.25">
      <c r="B122" s="679">
        <v>1002.2</v>
      </c>
      <c r="C122" s="21" t="s">
        <v>434</v>
      </c>
      <c r="D122" s="21"/>
      <c r="E122" s="21"/>
      <c r="F122" s="21"/>
      <c r="G122" s="21"/>
      <c r="H122" s="758"/>
      <c r="I122" s="129"/>
      <c r="J122" s="183" t="s">
        <v>434</v>
      </c>
      <c r="K122" s="129"/>
      <c r="L122" s="1793" t="s">
        <v>3343</v>
      </c>
      <c r="M122" s="1857" t="str">
        <f ca="1">IF(R122,"Mandatory per 902.2.1","N/A")</f>
        <v>N/A</v>
      </c>
      <c r="N122" s="129"/>
      <c r="O122" s="239"/>
      <c r="P122" s="633" t="b">
        <v>0</v>
      </c>
      <c r="Q122" s="633" t="b">
        <v>1</v>
      </c>
      <c r="R122" s="197" t="b">
        <f ca="1">AND(S122,OR('Ch9'!O219&gt;0,'Ch9'!R219))</f>
        <v>0</v>
      </c>
      <c r="S122" s="94" t="b">
        <f>IF(AY19=INDEX(ddSingleOrMulti,2),TRUE,FALSE)</f>
        <v>0</v>
      </c>
      <c r="T122" s="94" t="b">
        <f>AND(NOT(S122),W122=TRUE)</f>
        <v>0</v>
      </c>
      <c r="U122" s="94"/>
      <c r="V122" s="94"/>
      <c r="W122" s="25"/>
      <c r="X122" s="1770"/>
      <c r="AC122" s="169" t="b">
        <f ca="1">OR(AD122:AE122)</f>
        <v>0</v>
      </c>
      <c r="AD122" s="169" t="b">
        <f>T122</f>
        <v>0</v>
      </c>
      <c r="AE122" s="743" t="b">
        <f ca="1">AND(R122,NOT(W122=TRUE))</f>
        <v>0</v>
      </c>
      <c r="AL122" s="254" t="str">
        <f>SUBSTITUTE(SUBSTITUTE(SUBSTITUTE("dpa"&amp;$B122&amp;$C122&amp;$D122&amp;$E122,".","_"),"(","_"),")","")</f>
        <v>dpa1002_2_11</v>
      </c>
      <c r="AM122" s="254" t="str">
        <f ca="1">M122</f>
        <v>N/A</v>
      </c>
      <c r="AP122" s="254" t="str">
        <f>SUBSTITUTE(SUBSTITUTE(SUBSTITUTE("dch"&amp;$B122&amp;$C122&amp;$D122&amp;$E122,".","_"),"(","_"),")","")</f>
        <v>dch1002_2_11</v>
      </c>
      <c r="AQ122" s="254" t="str">
        <f>IF(LEN(W122)=0,"",W122)</f>
        <v/>
      </c>
      <c r="AR122" s="254" t="str">
        <f>SUBSTITUTE(SUBSTITUTE(SUBSTITUTE("dnt"&amp;$B122&amp;$C122&amp;$D122&amp;$E122,".","_"),"(","_"),")","")</f>
        <v>dnt1002_2_11</v>
      </c>
      <c r="AS122" s="254" t="str">
        <f>IF(LEN(X122)=0,"",X122)</f>
        <v/>
      </c>
    </row>
    <row r="123" spans="2:45" ht="15.75" thickBot="1" x14ac:dyDescent="0.3">
      <c r="B123" s="679">
        <v>1002.2</v>
      </c>
      <c r="C123" s="21" t="s">
        <v>434</v>
      </c>
      <c r="D123" s="21"/>
      <c r="E123" s="21"/>
      <c r="F123" s="21"/>
      <c r="G123" s="21"/>
      <c r="H123" s="758"/>
      <c r="I123" s="240"/>
      <c r="J123" s="190"/>
      <c r="K123" s="240"/>
      <c r="L123" s="1842"/>
      <c r="M123" s="1949"/>
      <c r="N123" s="240"/>
      <c r="O123" s="241"/>
      <c r="P123" s="99"/>
      <c r="Q123" s="99"/>
      <c r="R123" s="99"/>
      <c r="S123" s="99"/>
      <c r="T123" s="99"/>
      <c r="U123" s="99"/>
      <c r="V123" s="99"/>
      <c r="W123" s="99"/>
      <c r="X123" s="1771"/>
    </row>
    <row r="124" spans="2:45" ht="15.75" thickTop="1" x14ac:dyDescent="0.25">
      <c r="B124" s="679">
        <v>1002.3</v>
      </c>
      <c r="C124" s="21"/>
      <c r="D124" s="21"/>
      <c r="E124" s="21"/>
      <c r="F124" s="21"/>
      <c r="G124" s="21"/>
      <c r="H124" s="758"/>
      <c r="I124" s="139">
        <v>1002.3</v>
      </c>
      <c r="J124" s="4"/>
      <c r="K124" s="4"/>
      <c r="L124" s="1796" t="s">
        <v>3377</v>
      </c>
      <c r="M124" s="1767">
        <v>1</v>
      </c>
      <c r="N124" s="4"/>
      <c r="O124" s="1948">
        <f>IF(AND(W128=TRUE,COUNTIF(W130:W150,TRUE)&gt;3,S128),ROUNDDOWN(COUNTIF(W130:W150,TRUE)/2,0),0)</f>
        <v>0</v>
      </c>
      <c r="AL124" s="254" t="str">
        <f>SUBSTITUTE(SUBSTITUTE(SUBSTITUTE("dpa"&amp;$B124&amp;$C124&amp;$D124&amp;$E124,".","_"),"(","_"),")","")</f>
        <v>dpa1002_3</v>
      </c>
      <c r="AM124" s="254">
        <f>M124</f>
        <v>1</v>
      </c>
      <c r="AN124" s="254" t="str">
        <f>SUBSTITUTE(SUBSTITUTE(SUBSTITUTE("dpc"&amp;$B124&amp;$C124&amp;$D124&amp;$E124,".","_"),"(","_"),")","")</f>
        <v>dpc1002_3</v>
      </c>
      <c r="AO124" s="254">
        <f>O124</f>
        <v>0</v>
      </c>
    </row>
    <row r="125" spans="2:45" x14ac:dyDescent="0.25">
      <c r="B125" s="679">
        <v>1002.3</v>
      </c>
      <c r="C125" s="21"/>
      <c r="D125" s="21"/>
      <c r="E125" s="21"/>
      <c r="F125" s="21"/>
      <c r="G125" s="21"/>
      <c r="H125" s="758"/>
      <c r="I125" s="4"/>
      <c r="J125" s="4"/>
      <c r="K125" s="4"/>
      <c r="L125" s="1796"/>
      <c r="M125" s="1767"/>
      <c r="N125" s="4"/>
      <c r="O125" s="1948"/>
    </row>
    <row r="126" spans="2:45" x14ac:dyDescent="0.25">
      <c r="B126" s="679">
        <v>1002.3</v>
      </c>
      <c r="C126" s="21"/>
      <c r="D126" s="21"/>
      <c r="E126" s="21"/>
      <c r="F126" s="21"/>
      <c r="G126" s="21"/>
      <c r="H126" s="758"/>
      <c r="I126" s="4"/>
      <c r="J126" s="4"/>
      <c r="K126" s="4"/>
      <c r="L126" s="1796"/>
      <c r="M126" s="1767"/>
      <c r="N126" s="4"/>
      <c r="O126" s="1948"/>
    </row>
    <row r="127" spans="2:45" x14ac:dyDescent="0.25">
      <c r="B127" s="679">
        <v>1002.3</v>
      </c>
      <c r="C127" s="21"/>
      <c r="D127" s="21"/>
      <c r="E127" s="21"/>
      <c r="F127" s="21"/>
      <c r="G127" s="21"/>
      <c r="H127" s="758"/>
      <c r="I127" s="4"/>
      <c r="J127" s="4"/>
      <c r="K127" s="4"/>
      <c r="L127" s="226" t="s">
        <v>3373</v>
      </c>
      <c r="M127" s="1767"/>
      <c r="N127" s="4"/>
      <c r="O127" s="1948"/>
    </row>
    <row r="128" spans="2:45" x14ac:dyDescent="0.25">
      <c r="B128" s="679">
        <v>1002.3</v>
      </c>
      <c r="C128" s="21" t="s">
        <v>256</v>
      </c>
      <c r="D128" s="21"/>
      <c r="E128" s="21"/>
      <c r="F128" s="758"/>
      <c r="G128" s="21"/>
      <c r="H128" s="758"/>
      <c r="I128" s="4"/>
      <c r="J128" s="183" t="s">
        <v>256</v>
      </c>
      <c r="K128" s="129"/>
      <c r="L128" s="1754" t="s">
        <v>3344</v>
      </c>
      <c r="M128" s="1837" t="str">
        <f>IF(R128,"Mandatory","N/A")</f>
        <v>N/A</v>
      </c>
      <c r="N128" s="4"/>
      <c r="O128" s="141"/>
      <c r="P128" s="633" t="b">
        <v>0</v>
      </c>
      <c r="Q128" s="633" t="b">
        <v>1</v>
      </c>
      <c r="R128" s="169" t="b">
        <f>S128</f>
        <v>0</v>
      </c>
      <c r="S128" s="169" t="b">
        <f>IF(AY19=INDEX(ddSingleOrMulti,2),TRUE,FALSE)</f>
        <v>0</v>
      </c>
      <c r="T128" s="94" t="b">
        <f>AND(NOT(S128),W128=TRUE)</f>
        <v>0</v>
      </c>
      <c r="W128" s="25"/>
      <c r="X128" s="1757"/>
      <c r="AC128" s="169" t="b">
        <f>OR(AD128:AE128)</f>
        <v>0</v>
      </c>
      <c r="AD128" s="169" t="b">
        <f>T128</f>
        <v>0</v>
      </c>
      <c r="AE128" s="169" t="b">
        <f>AND(R128,O124&lt;1)</f>
        <v>0</v>
      </c>
      <c r="AL128" s="254" t="str">
        <f>SUBSTITUTE(SUBSTITUTE(SUBSTITUTE("dpa"&amp;$B128&amp;$C128&amp;$D128&amp;$E128,".","_"),"(","_"),")","")</f>
        <v>dpa1002_3_1</v>
      </c>
      <c r="AM128" s="254" t="str">
        <f>M128</f>
        <v>N/A</v>
      </c>
      <c r="AP128" s="254" t="str">
        <f>SUBSTITUTE(SUBSTITUTE(SUBSTITUTE("dch"&amp;$B128&amp;$C128&amp;$D128&amp;$E128,".","_"),"(","_"),")","")</f>
        <v>dch1002_3_1</v>
      </c>
      <c r="AQ128" s="254" t="str">
        <f>IF(LEN(W128)=0,"",W128)</f>
        <v/>
      </c>
      <c r="AR128" s="254" t="str">
        <f>SUBSTITUTE(SUBSTITUTE(SUBSTITUTE("dnt"&amp;$B128&amp;$C128&amp;$D128&amp;$E128,".","_"),"(","_"),")","")</f>
        <v>dnt1002_3_1</v>
      </c>
      <c r="AS128" s="254" t="str">
        <f>IF(LEN(X128)=0,"",X128)</f>
        <v/>
      </c>
    </row>
    <row r="129" spans="2:45" x14ac:dyDescent="0.25">
      <c r="B129" s="679">
        <v>1002.3</v>
      </c>
      <c r="C129" s="21" t="s">
        <v>256</v>
      </c>
      <c r="D129" s="21"/>
      <c r="E129" s="21"/>
      <c r="F129" s="758"/>
      <c r="G129" s="21"/>
      <c r="H129" s="758"/>
      <c r="I129" s="4"/>
      <c r="J129" s="206"/>
      <c r="K129" s="210"/>
      <c r="L129" s="1755"/>
      <c r="M129" s="1844" t="str">
        <f>IF(R129,"Mandatory","N/A")</f>
        <v>N/A</v>
      </c>
      <c r="N129" s="4"/>
      <c r="O129" s="141"/>
      <c r="X129" s="1757"/>
    </row>
    <row r="130" spans="2:45" x14ac:dyDescent="0.25">
      <c r="B130" s="679">
        <v>1002.3</v>
      </c>
      <c r="C130" s="21" t="s">
        <v>258</v>
      </c>
      <c r="D130" s="21"/>
      <c r="E130" s="21"/>
      <c r="F130" s="758"/>
      <c r="G130" s="21"/>
      <c r="H130" s="758"/>
      <c r="I130" s="4"/>
      <c r="J130" s="209" t="s">
        <v>258</v>
      </c>
      <c r="K130" s="193"/>
      <c r="L130" s="1778" t="s">
        <v>3296</v>
      </c>
      <c r="M130" s="141"/>
      <c r="N130" s="4"/>
      <c r="O130" s="141"/>
      <c r="P130" s="633" t="b">
        <v>0</v>
      </c>
      <c r="Q130" s="633" t="b">
        <v>1</v>
      </c>
      <c r="R130" s="169" t="b">
        <v>0</v>
      </c>
      <c r="S130" s="169" t="b">
        <f>IF(AY19=INDEX(ddSingleOrMulti,2),TRUE,FALSE)</f>
        <v>0</v>
      </c>
      <c r="T130" s="94" t="b">
        <f>AND(NOT(S130),W130=TRUE)</f>
        <v>0</v>
      </c>
      <c r="W130" s="25"/>
      <c r="X130" s="1757"/>
      <c r="AC130" s="169" t="b">
        <f>OR(AD130:AE130)</f>
        <v>0</v>
      </c>
      <c r="AD130" s="169" t="b">
        <f>T130</f>
        <v>0</v>
      </c>
      <c r="AP130" s="254" t="str">
        <f>SUBSTITUTE(SUBSTITUTE(SUBSTITUTE("dch"&amp;$B130&amp;$C130&amp;$D130&amp;$E130,".","_"),"(","_"),")","")</f>
        <v>dch1002_3_2</v>
      </c>
      <c r="AQ130" s="254" t="str">
        <f>IF(LEN(W130)=0,"",W130)</f>
        <v/>
      </c>
      <c r="AR130" s="254" t="str">
        <f>SUBSTITUTE(SUBSTITUTE(SUBSTITUTE("dnt"&amp;$B130&amp;$C130&amp;$D130&amp;$E130,".","_"),"(","_"),")","")</f>
        <v>dnt1002_3_2</v>
      </c>
      <c r="AS130" s="254" t="str">
        <f>IF(LEN(X130)=0,"",X130)</f>
        <v/>
      </c>
    </row>
    <row r="131" spans="2:45" x14ac:dyDescent="0.25">
      <c r="B131" s="679">
        <v>1002.3</v>
      </c>
      <c r="C131" s="21" t="s">
        <v>258</v>
      </c>
      <c r="D131" s="21"/>
      <c r="E131" s="21"/>
      <c r="F131" s="758"/>
      <c r="G131" s="21"/>
      <c r="H131" s="758"/>
      <c r="I131" s="4"/>
      <c r="J131" s="129"/>
      <c r="K131" s="129"/>
      <c r="L131" s="1754"/>
      <c r="M131" s="141"/>
      <c r="N131" s="4"/>
      <c r="O131" s="141"/>
      <c r="X131" s="1757"/>
    </row>
    <row r="132" spans="2:45" x14ac:dyDescent="0.25">
      <c r="B132" s="679">
        <v>1002.3</v>
      </c>
      <c r="C132" s="21" t="s">
        <v>258</v>
      </c>
      <c r="D132" s="21"/>
      <c r="E132" s="21"/>
      <c r="F132" s="758"/>
      <c r="G132" s="21"/>
      <c r="H132" s="758"/>
      <c r="I132" s="4"/>
      <c r="J132" s="129"/>
      <c r="K132" s="129"/>
      <c r="L132" s="1754"/>
      <c r="M132" s="141"/>
      <c r="N132" s="4"/>
      <c r="O132" s="141"/>
      <c r="X132" s="1757"/>
    </row>
    <row r="133" spans="2:45" x14ac:dyDescent="0.25">
      <c r="B133" s="679">
        <v>1002.3</v>
      </c>
      <c r="C133" s="21" t="s">
        <v>258</v>
      </c>
      <c r="D133" s="21"/>
      <c r="E133" s="21"/>
      <c r="F133" s="758"/>
      <c r="G133" s="21"/>
      <c r="H133" s="758"/>
      <c r="I133" s="4"/>
      <c r="J133" s="210"/>
      <c r="K133" s="210"/>
      <c r="L133" s="1755"/>
      <c r="M133" s="141"/>
      <c r="N133" s="4"/>
      <c r="O133" s="141"/>
      <c r="X133" s="1757"/>
    </row>
    <row r="134" spans="2:45" x14ac:dyDescent="0.25">
      <c r="B134" s="679">
        <v>1002.3</v>
      </c>
      <c r="C134" s="21" t="s">
        <v>260</v>
      </c>
      <c r="D134" s="21"/>
      <c r="E134" s="21"/>
      <c r="F134" s="758"/>
      <c r="G134" s="21"/>
      <c r="H134" s="758"/>
      <c r="I134" s="4"/>
      <c r="J134" s="209" t="s">
        <v>260</v>
      </c>
      <c r="K134" s="193"/>
      <c r="L134" s="247" t="s">
        <v>3345</v>
      </c>
      <c r="M134" s="141"/>
      <c r="N134" s="4"/>
      <c r="O134" s="141"/>
      <c r="P134" s="633" t="b">
        <v>0</v>
      </c>
      <c r="Q134" s="633" t="b">
        <v>1</v>
      </c>
      <c r="R134" s="169" t="b">
        <v>0</v>
      </c>
      <c r="S134" s="169" t="b">
        <f>IF(AY19=INDEX(ddSingleOrMulti,2),TRUE,FALSE)</f>
        <v>0</v>
      </c>
      <c r="T134" s="94" t="b">
        <f>AND(NOT(S134),W134=TRUE)</f>
        <v>0</v>
      </c>
      <c r="W134" s="25"/>
      <c r="X134" s="1757"/>
      <c r="AC134" s="169" t="b">
        <f>OR(AD134:AE134)</f>
        <v>0</v>
      </c>
      <c r="AD134" s="169" t="b">
        <f>T134</f>
        <v>0</v>
      </c>
      <c r="AP134" s="254" t="str">
        <f>SUBSTITUTE(SUBSTITUTE(SUBSTITUTE("dch"&amp;$B134&amp;$C134&amp;$D134&amp;$E134,".","_"),"(","_"),")","")</f>
        <v>dch1002_3_3</v>
      </c>
      <c r="AQ134" s="254" t="str">
        <f>IF(LEN(W134)=0,"",W134)</f>
        <v/>
      </c>
      <c r="AR134" s="254" t="str">
        <f>SUBSTITUTE(SUBSTITUTE(SUBSTITUTE("dnt"&amp;$B134&amp;$C134&amp;$D134&amp;$E134,".","_"),"(","_"),")","")</f>
        <v>dnt1002_3_3</v>
      </c>
      <c r="AS134" s="254" t="str">
        <f>IF(LEN(X134)=0,"",X134)</f>
        <v/>
      </c>
    </row>
    <row r="135" spans="2:45" x14ac:dyDescent="0.25">
      <c r="B135" s="679">
        <v>1002.3</v>
      </c>
      <c r="C135" s="21" t="s">
        <v>260</v>
      </c>
      <c r="D135" s="21" t="s">
        <v>121</v>
      </c>
      <c r="E135" s="21"/>
      <c r="F135" s="758"/>
      <c r="G135" s="21"/>
      <c r="H135" s="758"/>
      <c r="I135" s="4"/>
      <c r="J135" s="129"/>
      <c r="K135" s="183" t="s">
        <v>121</v>
      </c>
      <c r="L135" s="245" t="s">
        <v>3346</v>
      </c>
      <c r="M135" s="141"/>
      <c r="N135" s="4"/>
      <c r="O135" s="141"/>
      <c r="X135" s="1757"/>
    </row>
    <row r="136" spans="2:45" x14ac:dyDescent="0.25">
      <c r="B136" s="679">
        <v>1002.3</v>
      </c>
      <c r="C136" s="21" t="s">
        <v>260</v>
      </c>
      <c r="D136" s="21" t="s">
        <v>122</v>
      </c>
      <c r="E136" s="21"/>
      <c r="F136" s="758"/>
      <c r="G136" s="21"/>
      <c r="H136" s="758"/>
      <c r="I136" s="4"/>
      <c r="J136" s="129"/>
      <c r="K136" s="183" t="s">
        <v>122</v>
      </c>
      <c r="L136" s="245" t="s">
        <v>3347</v>
      </c>
      <c r="M136" s="141"/>
      <c r="N136" s="4"/>
      <c r="O136" s="141"/>
      <c r="X136" s="1757"/>
    </row>
    <row r="137" spans="2:45" x14ac:dyDescent="0.25">
      <c r="B137" s="679">
        <v>1002.3</v>
      </c>
      <c r="C137" s="21" t="s">
        <v>260</v>
      </c>
      <c r="D137" s="21" t="s">
        <v>123</v>
      </c>
      <c r="E137" s="21"/>
      <c r="F137" s="758"/>
      <c r="G137" s="21"/>
      <c r="H137" s="758"/>
      <c r="I137" s="4"/>
      <c r="J137" s="129"/>
      <c r="K137" s="183" t="s">
        <v>123</v>
      </c>
      <c r="L137" s="245" t="s">
        <v>3348</v>
      </c>
      <c r="M137" s="141"/>
      <c r="N137" s="4"/>
      <c r="O137" s="141"/>
      <c r="X137" s="1757"/>
    </row>
    <row r="138" spans="2:45" x14ac:dyDescent="0.25">
      <c r="B138" s="679">
        <v>1002.3</v>
      </c>
      <c r="C138" s="21" t="s">
        <v>260</v>
      </c>
      <c r="D138" s="21" t="s">
        <v>401</v>
      </c>
      <c r="E138" s="21"/>
      <c r="F138" s="758"/>
      <c r="G138" s="21"/>
      <c r="H138" s="758"/>
      <c r="I138" s="4"/>
      <c r="J138" s="129"/>
      <c r="K138" s="183" t="s">
        <v>401</v>
      </c>
      <c r="L138" s="245" t="s">
        <v>3349</v>
      </c>
      <c r="M138" s="141"/>
      <c r="N138" s="4"/>
      <c r="O138" s="141"/>
      <c r="X138" s="1757"/>
    </row>
    <row r="139" spans="2:45" x14ac:dyDescent="0.25">
      <c r="B139" s="679">
        <v>1002.3</v>
      </c>
      <c r="C139" s="21" t="s">
        <v>260</v>
      </c>
      <c r="D139" s="21" t="s">
        <v>539</v>
      </c>
      <c r="E139" s="21"/>
      <c r="F139" s="758"/>
      <c r="G139" s="21"/>
      <c r="H139" s="758"/>
      <c r="I139" s="4"/>
      <c r="J139" s="129"/>
      <c r="K139" s="183" t="s">
        <v>539</v>
      </c>
      <c r="L139" s="245" t="s">
        <v>3350</v>
      </c>
      <c r="M139" s="141"/>
      <c r="N139" s="4"/>
      <c r="O139" s="141"/>
      <c r="X139" s="1757"/>
    </row>
    <row r="140" spans="2:45" x14ac:dyDescent="0.25">
      <c r="B140" s="679">
        <v>1002.3</v>
      </c>
      <c r="C140" s="21" t="s">
        <v>260</v>
      </c>
      <c r="D140" s="21" t="s">
        <v>604</v>
      </c>
      <c r="E140" s="21"/>
      <c r="F140" s="758"/>
      <c r="G140" s="21"/>
      <c r="H140" s="758"/>
      <c r="I140" s="4"/>
      <c r="J140" s="210"/>
      <c r="K140" s="206" t="s">
        <v>604</v>
      </c>
      <c r="L140" s="242" t="s">
        <v>3351</v>
      </c>
      <c r="M140" s="141"/>
      <c r="N140" s="4"/>
      <c r="O140" s="141"/>
      <c r="X140" s="1757"/>
    </row>
    <row r="141" spans="2:45" x14ac:dyDescent="0.25">
      <c r="B141" s="679">
        <v>1002.3</v>
      </c>
      <c r="C141" s="21" t="s">
        <v>269</v>
      </c>
      <c r="D141" s="21"/>
      <c r="E141" s="21"/>
      <c r="F141" s="758"/>
      <c r="G141" s="21"/>
      <c r="H141" s="758"/>
      <c r="I141" s="4"/>
      <c r="J141" s="27" t="s">
        <v>269</v>
      </c>
      <c r="K141" s="4"/>
      <c r="L141" s="1779" t="s">
        <v>3300</v>
      </c>
      <c r="M141" s="141"/>
      <c r="N141" s="4"/>
      <c r="O141" s="141"/>
      <c r="P141" s="633" t="b">
        <v>0</v>
      </c>
      <c r="Q141" s="633" t="b">
        <v>1</v>
      </c>
      <c r="R141" s="169" t="b">
        <v>0</v>
      </c>
      <c r="S141" s="169" t="b">
        <f>IF(AY19=INDEX(ddSingleOrMulti,2),TRUE,FALSE)</f>
        <v>0</v>
      </c>
      <c r="T141" s="94" t="b">
        <f>AND(NOT(S141),W141=TRUE)</f>
        <v>0</v>
      </c>
      <c r="W141" s="25"/>
      <c r="X141" s="1757"/>
      <c r="AC141" s="169" t="b">
        <f>OR(AD141:AE141)</f>
        <v>0</v>
      </c>
      <c r="AD141" s="169" t="b">
        <f>T141</f>
        <v>0</v>
      </c>
      <c r="AP141" s="254" t="str">
        <f>SUBSTITUTE(SUBSTITUTE(SUBSTITUTE("dch"&amp;$B141&amp;$C141&amp;$D141&amp;$E141,".","_"),"(","_"),")","")</f>
        <v>dch1002_3_4</v>
      </c>
      <c r="AQ141" s="254" t="str">
        <f>IF(LEN(W141)=0,"",W141)</f>
        <v/>
      </c>
      <c r="AR141" s="254" t="str">
        <f>SUBSTITUTE(SUBSTITUTE(SUBSTITUTE("dnt"&amp;$B141&amp;$C141&amp;$D141&amp;$E141,".","_"),"(","_"),")","")</f>
        <v>dnt1002_3_4</v>
      </c>
      <c r="AS141" s="254" t="str">
        <f>IF(LEN(X141)=0,"",X141)</f>
        <v/>
      </c>
    </row>
    <row r="142" spans="2:45" x14ac:dyDescent="0.25">
      <c r="B142" s="679">
        <v>1002.3</v>
      </c>
      <c r="C142" s="21" t="s">
        <v>269</v>
      </c>
      <c r="D142" s="21"/>
      <c r="E142" s="21"/>
      <c r="F142" s="758"/>
      <c r="G142" s="21"/>
      <c r="H142" s="758"/>
      <c r="I142" s="4"/>
      <c r="J142" s="4"/>
      <c r="K142" s="4"/>
      <c r="L142" s="1779"/>
      <c r="M142" s="141"/>
      <c r="N142" s="4"/>
      <c r="O142" s="141"/>
      <c r="X142" s="1757"/>
    </row>
    <row r="143" spans="2:45" x14ac:dyDescent="0.25">
      <c r="B143" s="679">
        <v>1002.3</v>
      </c>
      <c r="C143" s="21" t="s">
        <v>275</v>
      </c>
      <c r="D143" s="21"/>
      <c r="E143" s="21"/>
      <c r="F143" s="758"/>
      <c r="G143" s="21"/>
      <c r="H143" s="758"/>
      <c r="I143" s="4"/>
      <c r="J143" s="207" t="s">
        <v>275</v>
      </c>
      <c r="K143" s="243"/>
      <c r="L143" s="244" t="s">
        <v>3302</v>
      </c>
      <c r="M143" s="141"/>
      <c r="N143" s="4"/>
      <c r="O143" s="141"/>
      <c r="P143" s="633" t="b">
        <v>0</v>
      </c>
      <c r="Q143" s="633" t="b">
        <v>1</v>
      </c>
      <c r="R143" s="169" t="b">
        <v>0</v>
      </c>
      <c r="S143" s="169" t="b">
        <f>IF(AY19=INDEX(ddSingleOrMulti,2),TRUE,FALSE)</f>
        <v>0</v>
      </c>
      <c r="T143" s="94" t="b">
        <f>AND(NOT(S143),W143=TRUE)</f>
        <v>0</v>
      </c>
      <c r="W143" s="25"/>
      <c r="X143" s="170"/>
      <c r="AC143" s="169" t="b">
        <f>OR(AD143:AE143)</f>
        <v>0</v>
      </c>
      <c r="AD143" s="169" t="b">
        <f>T143</f>
        <v>0</v>
      </c>
      <c r="AP143" s="254" t="str">
        <f>SUBSTITUTE(SUBSTITUTE(SUBSTITUTE("dch"&amp;$B143&amp;$C143&amp;$D143&amp;$E143,".","_"),"(","_"),")","")</f>
        <v>dch1002_3_5</v>
      </c>
      <c r="AQ143" s="254" t="str">
        <f>IF(LEN(W143)=0,"",W143)</f>
        <v/>
      </c>
      <c r="AR143" s="254" t="str">
        <f>SUBSTITUTE(SUBSTITUTE(SUBSTITUTE("dnt"&amp;$B143&amp;$C143&amp;$D143&amp;$E143,".","_"),"(","_"),")","")</f>
        <v>dnt1002_3_5</v>
      </c>
      <c r="AS143" s="254" t="str">
        <f>IF(LEN(X143)=0,"",X143)</f>
        <v/>
      </c>
    </row>
    <row r="144" spans="2:45" x14ac:dyDescent="0.25">
      <c r="B144" s="679">
        <v>1002.3</v>
      </c>
      <c r="C144" s="21" t="s">
        <v>277</v>
      </c>
      <c r="D144" s="21"/>
      <c r="E144" s="21"/>
      <c r="F144" s="758"/>
      <c r="G144" s="21"/>
      <c r="H144" s="758"/>
      <c r="I144" s="4"/>
      <c r="J144" s="27" t="s">
        <v>277</v>
      </c>
      <c r="K144" s="4"/>
      <c r="L144" s="1779" t="s">
        <v>3352</v>
      </c>
      <c r="M144" s="141"/>
      <c r="N144" s="4"/>
      <c r="O144" s="141"/>
      <c r="P144" s="633" t="b">
        <v>0</v>
      </c>
      <c r="Q144" s="633" t="b">
        <v>1</v>
      </c>
      <c r="R144" s="169" t="b">
        <v>0</v>
      </c>
      <c r="S144" s="169" t="b">
        <f>IF(AY19=INDEX(ddSingleOrMulti,2),TRUE,FALSE)</f>
        <v>0</v>
      </c>
      <c r="T144" s="94" t="b">
        <f>AND(NOT(S144),W144=TRUE)</f>
        <v>0</v>
      </c>
      <c r="W144" s="25"/>
      <c r="X144" s="1757"/>
      <c r="AC144" s="169" t="b">
        <f>OR(AD144:AE144)</f>
        <v>0</v>
      </c>
      <c r="AD144" s="169" t="b">
        <f>T144</f>
        <v>0</v>
      </c>
      <c r="AP144" s="254" t="str">
        <f>SUBSTITUTE(SUBSTITUTE(SUBSTITUTE("dch"&amp;$B144&amp;$C144&amp;$D144&amp;$E144,".","_"),"(","_"),")","")</f>
        <v>dch1002_3_6</v>
      </c>
      <c r="AQ144" s="254" t="str">
        <f>IF(LEN(W144)=0,"",W144)</f>
        <v/>
      </c>
      <c r="AR144" s="254" t="str">
        <f>SUBSTITUTE(SUBSTITUTE(SUBSTITUTE("dnt"&amp;$B144&amp;$C144&amp;$D144&amp;$E144,".","_"),"(","_"),")","")</f>
        <v>dnt1002_3_6</v>
      </c>
      <c r="AS144" s="254" t="str">
        <f>IF(LEN(X144)=0,"",X144)</f>
        <v/>
      </c>
    </row>
    <row r="145" spans="2:61" x14ac:dyDescent="0.25">
      <c r="B145" s="679">
        <v>1002.3</v>
      </c>
      <c r="C145" s="21" t="s">
        <v>277</v>
      </c>
      <c r="D145" s="21"/>
      <c r="E145" s="21"/>
      <c r="F145" s="758"/>
      <c r="G145" s="21"/>
      <c r="H145" s="758"/>
      <c r="I145" s="4"/>
      <c r="J145" s="27"/>
      <c r="K145" s="4"/>
      <c r="L145" s="1779"/>
      <c r="M145" s="141"/>
      <c r="N145" s="4"/>
      <c r="O145" s="141"/>
      <c r="X145" s="1757"/>
    </row>
    <row r="146" spans="2:61" x14ac:dyDescent="0.25">
      <c r="B146" s="679">
        <v>1002.3</v>
      </c>
      <c r="C146" s="21" t="s">
        <v>383</v>
      </c>
      <c r="D146" s="21"/>
      <c r="E146" s="21"/>
      <c r="F146" s="758"/>
      <c r="G146" s="21"/>
      <c r="H146" s="758"/>
      <c r="I146" s="4"/>
      <c r="J146" s="207" t="s">
        <v>383</v>
      </c>
      <c r="K146" s="243"/>
      <c r="L146" s="244" t="s">
        <v>3308</v>
      </c>
      <c r="M146" s="141"/>
      <c r="N146" s="4"/>
      <c r="O146" s="141"/>
      <c r="P146" s="633" t="b">
        <v>0</v>
      </c>
      <c r="Q146" s="633" t="b">
        <v>1</v>
      </c>
      <c r="R146" s="169" t="b">
        <v>0</v>
      </c>
      <c r="S146" s="169" t="b">
        <f>IF(AY19=INDEX(ddSingleOrMulti,2),TRUE,FALSE)</f>
        <v>0</v>
      </c>
      <c r="T146" s="94" t="b">
        <f>AND(NOT(S146),W146=TRUE)</f>
        <v>0</v>
      </c>
      <c r="W146" s="25"/>
      <c r="X146" s="170"/>
      <c r="AC146" s="169" t="b">
        <f>OR(AD146:AE146)</f>
        <v>0</v>
      </c>
      <c r="AD146" s="169" t="b">
        <f>T146</f>
        <v>0</v>
      </c>
      <c r="AP146" s="254" t="str">
        <f>SUBSTITUTE(SUBSTITUTE(SUBSTITUTE("dch"&amp;$B146&amp;$C146&amp;$D146&amp;$E146,".","_"),"(","_"),")","")</f>
        <v>dch1002_3_7</v>
      </c>
      <c r="AQ146" s="254" t="str">
        <f>IF(LEN(W146)=0,"",W146)</f>
        <v/>
      </c>
      <c r="AR146" s="254" t="str">
        <f>SUBSTITUTE(SUBSTITUTE(SUBSTITUTE("dnt"&amp;$B146&amp;$C146&amp;$D146&amp;$E146,".","_"),"(","_"),")","")</f>
        <v>dnt1002_3_7</v>
      </c>
      <c r="AS146" s="254" t="str">
        <f>IF(LEN(X146)=0,"",X146)</f>
        <v/>
      </c>
    </row>
    <row r="147" spans="2:61" x14ac:dyDescent="0.25">
      <c r="B147" s="679">
        <v>1002.3</v>
      </c>
      <c r="C147" s="21" t="s">
        <v>428</v>
      </c>
      <c r="D147" s="21"/>
      <c r="E147" s="21"/>
      <c r="F147" s="758"/>
      <c r="G147" s="21"/>
      <c r="H147" s="758"/>
      <c r="I147" s="4"/>
      <c r="J147" s="27" t="s">
        <v>428</v>
      </c>
      <c r="K147" s="4"/>
      <c r="L147" s="224" t="s">
        <v>3353</v>
      </c>
      <c r="M147" s="141"/>
      <c r="N147" s="4"/>
      <c r="O147" s="141"/>
      <c r="P147" s="633" t="b">
        <v>0</v>
      </c>
      <c r="Q147" s="633" t="b">
        <v>1</v>
      </c>
      <c r="R147" s="169" t="b">
        <v>0</v>
      </c>
      <c r="S147" s="169" t="b">
        <f>IF(AY19=INDEX(ddSingleOrMulti,2),TRUE,FALSE)</f>
        <v>0</v>
      </c>
      <c r="T147" s="94" t="b">
        <f>AND(NOT(S147),W147=TRUE)</f>
        <v>0</v>
      </c>
      <c r="W147" s="25"/>
      <c r="X147" s="170"/>
      <c r="AC147" s="169" t="b">
        <f>OR(AD147:AE147)</f>
        <v>0</v>
      </c>
      <c r="AD147" s="169" t="b">
        <f>T147</f>
        <v>0</v>
      </c>
      <c r="AP147" s="254" t="str">
        <f>SUBSTITUTE(SUBSTITUTE(SUBSTITUTE("dch"&amp;$B147&amp;$C147&amp;$D147&amp;$E147,".","_"),"(","_"),")","")</f>
        <v>dch1002_3_8</v>
      </c>
      <c r="AQ147" s="254" t="str">
        <f>IF(LEN(W147)=0,"",W147)</f>
        <v/>
      </c>
      <c r="AR147" s="254" t="str">
        <f>SUBSTITUTE(SUBSTITUTE(SUBSTITUTE("dnt"&amp;$B147&amp;$C147&amp;$D147&amp;$E147,".","_"),"(","_"),")","")</f>
        <v>dnt1002_3_8</v>
      </c>
      <c r="AS147" s="254" t="str">
        <f>IF(LEN(X147)=0,"",X147)</f>
        <v/>
      </c>
    </row>
    <row r="148" spans="2:61" x14ac:dyDescent="0.25">
      <c r="B148" s="679">
        <v>1002.3</v>
      </c>
      <c r="C148" s="21" t="s">
        <v>430</v>
      </c>
      <c r="D148" s="21"/>
      <c r="E148" s="21"/>
      <c r="F148" s="758"/>
      <c r="G148" s="21"/>
      <c r="H148" s="758"/>
      <c r="I148" s="4"/>
      <c r="J148" s="207" t="s">
        <v>430</v>
      </c>
      <c r="K148" s="243"/>
      <c r="L148" s="244" t="s">
        <v>3354</v>
      </c>
      <c r="M148" s="141"/>
      <c r="N148" s="4"/>
      <c r="O148" s="141"/>
      <c r="P148" s="633" t="b">
        <v>0</v>
      </c>
      <c r="Q148" s="633" t="b">
        <v>1</v>
      </c>
      <c r="R148" s="169" t="b">
        <v>0</v>
      </c>
      <c r="S148" s="169" t="b">
        <f>IF(AY19=INDEX(ddSingleOrMulti,2),TRUE,FALSE)</f>
        <v>0</v>
      </c>
      <c r="T148" s="94" t="b">
        <f>AND(NOT(S148),W148=TRUE)</f>
        <v>0</v>
      </c>
      <c r="W148" s="25"/>
      <c r="X148" s="170"/>
      <c r="AC148" s="169" t="b">
        <f>OR(AD148:AE148)</f>
        <v>0</v>
      </c>
      <c r="AD148" s="169" t="b">
        <f>T148</f>
        <v>0</v>
      </c>
      <c r="AP148" s="254" t="str">
        <f>SUBSTITUTE(SUBSTITUTE(SUBSTITUTE("dch"&amp;$B148&amp;$C148&amp;$D148&amp;$E148,".","_"),"(","_"),")","")</f>
        <v>dch1002_3_9</v>
      </c>
      <c r="AQ148" s="254" t="str">
        <f>IF(LEN(W148)=0,"",W148)</f>
        <v/>
      </c>
      <c r="AR148" s="254" t="str">
        <f>SUBSTITUTE(SUBSTITUTE(SUBSTITUTE("dnt"&amp;$B148&amp;$C148&amp;$D148&amp;$E148,".","_"),"(","_"),")","")</f>
        <v>dnt1002_3_9</v>
      </c>
      <c r="AS148" s="254" t="str">
        <f>IF(LEN(X148)=0,"",X148)</f>
        <v/>
      </c>
    </row>
    <row r="149" spans="2:61" x14ac:dyDescent="0.25">
      <c r="B149" s="679">
        <v>1002.3</v>
      </c>
      <c r="C149" s="21" t="s">
        <v>432</v>
      </c>
      <c r="D149" s="21"/>
      <c r="E149" s="21"/>
      <c r="F149" s="758"/>
      <c r="G149" s="21"/>
      <c r="H149" s="758"/>
      <c r="I149" s="129"/>
      <c r="J149" s="207" t="s">
        <v>432</v>
      </c>
      <c r="K149" s="243"/>
      <c r="L149" s="244" t="s">
        <v>3355</v>
      </c>
      <c r="M149" s="887"/>
      <c r="N149" s="129"/>
      <c r="O149" s="887"/>
      <c r="P149" s="94" t="b">
        <v>0</v>
      </c>
      <c r="Q149" s="94" t="b">
        <v>1</v>
      </c>
      <c r="R149" s="94" t="b">
        <v>0</v>
      </c>
      <c r="S149" s="94" t="b">
        <f>IF(AY19=INDEX(ddSingleOrMulti,2),TRUE,FALSE)</f>
        <v>0</v>
      </c>
      <c r="T149" s="94" t="b">
        <f>AND(NOT(S149),W149=TRUE)</f>
        <v>0</v>
      </c>
      <c r="U149" s="94"/>
      <c r="V149" s="113"/>
      <c r="W149" s="360"/>
      <c r="X149" s="884"/>
      <c r="AC149" s="169" t="b">
        <f>OR(AD149:AE149)</f>
        <v>0</v>
      </c>
      <c r="AD149" s="169" t="b">
        <f>T149</f>
        <v>0</v>
      </c>
      <c r="AP149" s="254" t="str">
        <f>SUBSTITUTE(SUBSTITUTE(SUBSTITUTE("dch"&amp;$B149&amp;$C149&amp;$D149&amp;$E149,".","_"),"(","_"),")","")</f>
        <v>dch1002_3_10</v>
      </c>
      <c r="AQ149" s="254" t="str">
        <f>IF(LEN(W149)=0,"",W149)</f>
        <v/>
      </c>
      <c r="AR149" s="254" t="str">
        <f>SUBSTITUTE(SUBSTITUTE(SUBSTITUTE("dnt"&amp;$B149&amp;$C149&amp;$D149&amp;$E149,".","_"),"(","_"),")","")</f>
        <v>dnt1002_3_10</v>
      </c>
      <c r="AS149" s="254" t="str">
        <f>IF(LEN(X149)=0,"",X149)</f>
        <v/>
      </c>
    </row>
    <row r="150" spans="2:61" customFormat="1" x14ac:dyDescent="0.25">
      <c r="B150" s="679">
        <v>1002.3</v>
      </c>
      <c r="C150" s="21" t="s">
        <v>434</v>
      </c>
      <c r="D150" s="1130"/>
      <c r="E150" s="1130"/>
      <c r="F150" s="1130"/>
      <c r="J150" s="693" t="s">
        <v>434</v>
      </c>
      <c r="K150" s="966"/>
      <c r="L150" s="1946" t="s">
        <v>4551</v>
      </c>
      <c r="P150" s="94" t="b">
        <v>0</v>
      </c>
      <c r="Q150" s="94" t="b">
        <v>1</v>
      </c>
      <c r="R150" s="94" t="b">
        <v>0</v>
      </c>
      <c r="S150" s="868" t="b">
        <f>IF(AY19=INDEX(ddSingleOrMulti,2),TRUE,FALSE)</f>
        <v>0</v>
      </c>
      <c r="T150" s="94" t="b">
        <f>AND(NOT(S150),W150=TRUE)</f>
        <v>0</v>
      </c>
      <c r="W150" s="25"/>
      <c r="X150" s="1770"/>
      <c r="AP150" s="254" t="str">
        <f>SUBSTITUTE(SUBSTITUTE(SUBSTITUTE("dch"&amp;$B150&amp;$C150&amp;$D150&amp;$E150,".","_"),"(","_"),")","")</f>
        <v>dch1002_3_11</v>
      </c>
      <c r="AQ150" s="254" t="str">
        <f>IF(LEN(W150)=0,"",W150)</f>
        <v/>
      </c>
      <c r="AR150" s="254" t="str">
        <f>SUBSTITUTE(SUBSTITUTE(SUBSTITUTE("dnt"&amp;$B150&amp;$C150&amp;$D150&amp;$E150,".","_"),"(","_"),")","")</f>
        <v>dnt1002_3_11</v>
      </c>
      <c r="AS150" s="254" t="str">
        <f>IF(LEN(X150)=0,"",X150)</f>
        <v/>
      </c>
      <c r="AZ150" s="76"/>
      <c r="BA150" s="76"/>
      <c r="BB150" s="76"/>
      <c r="BC150" s="76"/>
      <c r="BD150" s="76"/>
      <c r="BE150" s="76"/>
      <c r="BF150" s="76"/>
      <c r="BG150" s="76"/>
      <c r="BH150" s="76"/>
      <c r="BI150" s="76"/>
    </row>
    <row r="151" spans="2:61" customFormat="1" ht="15.75" thickBot="1" x14ac:dyDescent="0.3">
      <c r="B151" s="679">
        <v>1002.3</v>
      </c>
      <c r="C151" s="21" t="s">
        <v>434</v>
      </c>
      <c r="D151" s="1130"/>
      <c r="E151" s="1130"/>
      <c r="F151" s="1130"/>
      <c r="I151" s="99"/>
      <c r="J151" s="681"/>
      <c r="K151" s="681"/>
      <c r="L151" s="1947"/>
      <c r="M151" s="99"/>
      <c r="N151" s="99"/>
      <c r="O151" s="99"/>
      <c r="P151" s="99"/>
      <c r="Q151" s="99"/>
      <c r="R151" s="99"/>
      <c r="S151" s="99"/>
      <c r="T151" s="99"/>
      <c r="U151" s="99"/>
      <c r="V151" s="99"/>
      <c r="W151" s="99"/>
      <c r="X151" s="1771"/>
    </row>
    <row r="152" spans="2:61" ht="15.75" thickTop="1" x14ac:dyDescent="0.25">
      <c r="B152" s="679">
        <v>1002.4</v>
      </c>
      <c r="C152" s="21"/>
      <c r="D152" s="21"/>
      <c r="E152" s="21"/>
      <c r="F152" s="21" t="s">
        <v>4893</v>
      </c>
      <c r="G152" s="21"/>
      <c r="H152" s="758"/>
      <c r="I152" s="139">
        <v>1002.4</v>
      </c>
      <c r="J152" s="4"/>
      <c r="K152" s="4"/>
      <c r="L152" s="1796" t="s">
        <v>3356</v>
      </c>
      <c r="M152" s="1856" t="str">
        <f>IF(R152,"Mandatory","N/A")</f>
        <v>N/A</v>
      </c>
      <c r="N152" s="4"/>
      <c r="O152" s="1773">
        <f>M154*W152*S152</f>
        <v>0</v>
      </c>
      <c r="P152" s="633" t="b">
        <v>0</v>
      </c>
      <c r="Q152" s="633" t="b">
        <v>1</v>
      </c>
      <c r="R152" s="169" t="b">
        <f>S152</f>
        <v>0</v>
      </c>
      <c r="S152" s="169" t="b">
        <f>IF(AY19=INDEX(ddSingleOrMulti,2),TRUE,FALSE)</f>
        <v>0</v>
      </c>
      <c r="T152" s="94" t="b">
        <f>AND(NOT(S152),W152=TRUE)</f>
        <v>0</v>
      </c>
      <c r="W152" s="117"/>
      <c r="X152" s="1815"/>
      <c r="AC152" s="169" t="b">
        <f>OR(AD152:AE152)</f>
        <v>0</v>
      </c>
      <c r="AD152" s="169" t="b">
        <f>T152</f>
        <v>0</v>
      </c>
      <c r="AE152" s="169" t="b">
        <f>AND(R152,NOT(W152=TRUE))</f>
        <v>0</v>
      </c>
      <c r="AL152" s="36" t="str">
        <f>SUBSTITUTE(SUBSTITUTE(SUBSTITUTE("dpa"&amp;$B152&amp;$C152&amp;$D152&amp;$E152&amp;$F152,".","_"),"(","_"),")","")</f>
        <v>dpa1002_4_m</v>
      </c>
      <c r="AM152" s="254" t="str">
        <f>M152</f>
        <v>N/A</v>
      </c>
      <c r="AN152" s="254" t="str">
        <f>SUBSTITUTE(SUBSTITUTE(SUBSTITUTE("dpc"&amp;$B152&amp;$C152&amp;$D152&amp;$E152,".","_"),"(","_"),")","")</f>
        <v>dpc1002_4</v>
      </c>
      <c r="AO152" s="254">
        <f>O152</f>
        <v>0</v>
      </c>
      <c r="AP152" s="254" t="str">
        <f>SUBSTITUTE(SUBSTITUTE(SUBSTITUTE("dch"&amp;$B152&amp;$C152&amp;$D152&amp;$E152,".","_"),"(","_"),")","")</f>
        <v>dch1002_4</v>
      </c>
      <c r="AQ152" s="254" t="str">
        <f>IF(LEN(W152)=0,"",W152)</f>
        <v/>
      </c>
      <c r="AR152" s="254" t="str">
        <f>SUBSTITUTE(SUBSTITUTE(SUBSTITUTE("dnt"&amp;$B152&amp;$C152&amp;$D152&amp;$E152,".","_"),"(","_"),")","")</f>
        <v>dnt1002_4</v>
      </c>
      <c r="AS152" s="254" t="str">
        <f>IF(LEN(X152)=0,"",X152)</f>
        <v/>
      </c>
      <c r="AZ152"/>
      <c r="BA152"/>
      <c r="BB152"/>
      <c r="BC152"/>
      <c r="BD152"/>
      <c r="BE152"/>
      <c r="BF152"/>
      <c r="BG152"/>
      <c r="BH152"/>
      <c r="BI152"/>
    </row>
    <row r="153" spans="2:61" x14ac:dyDescent="0.25">
      <c r="B153" s="679">
        <v>1002.4</v>
      </c>
      <c r="C153" s="21"/>
      <c r="D153" s="21"/>
      <c r="E153" s="21"/>
      <c r="F153" s="21"/>
      <c r="G153" s="21"/>
      <c r="H153" s="758"/>
      <c r="I153" s="4"/>
      <c r="J153" s="4"/>
      <c r="K153" s="4"/>
      <c r="L153" s="1796"/>
      <c r="M153" s="1838"/>
      <c r="N153" s="4"/>
      <c r="O153" s="1774"/>
      <c r="X153" s="1799"/>
    </row>
    <row r="154" spans="2:61" x14ac:dyDescent="0.25">
      <c r="B154" s="679">
        <v>1002.4</v>
      </c>
      <c r="C154" s="21"/>
      <c r="D154" s="21"/>
      <c r="E154" s="21"/>
      <c r="F154" s="21"/>
      <c r="G154" s="21"/>
      <c r="H154" s="758"/>
      <c r="I154" s="4"/>
      <c r="J154" s="4"/>
      <c r="K154" s="4"/>
      <c r="L154" s="1796"/>
      <c r="M154" s="1776">
        <v>8</v>
      </c>
      <c r="N154" s="4"/>
      <c r="O154" s="1774"/>
      <c r="X154" s="1799"/>
      <c r="AL154" s="254" t="str">
        <f>SUBSTITUTE(SUBSTITUTE(SUBSTITUTE("dpa"&amp;$B154&amp;$C154&amp;$D154&amp;$E154,".","_"),"(","_"),")","")</f>
        <v>dpa1002_4</v>
      </c>
      <c r="AM154" s="254">
        <f>M154</f>
        <v>8</v>
      </c>
    </row>
    <row r="155" spans="2:61" x14ac:dyDescent="0.25">
      <c r="B155" s="679">
        <v>1002.4</v>
      </c>
      <c r="C155" s="21"/>
      <c r="D155" s="21"/>
      <c r="E155" s="21"/>
      <c r="F155" s="21"/>
      <c r="G155" s="21"/>
      <c r="H155" s="758"/>
      <c r="I155" s="4"/>
      <c r="J155" s="4"/>
      <c r="K155" s="4"/>
      <c r="L155" s="1796"/>
      <c r="M155" s="1776"/>
      <c r="N155" s="4"/>
      <c r="O155" s="1774"/>
      <c r="X155" s="1799"/>
    </row>
    <row r="156" spans="2:61" x14ac:dyDescent="0.25">
      <c r="B156" s="679">
        <v>1002.4</v>
      </c>
      <c r="C156" s="21"/>
      <c r="D156" s="21"/>
      <c r="E156" s="21"/>
      <c r="F156" s="21"/>
      <c r="G156" s="21"/>
      <c r="H156" s="758"/>
      <c r="I156" s="4"/>
      <c r="J156" s="4"/>
      <c r="K156" s="4"/>
      <c r="L156" s="1796"/>
      <c r="M156" s="1776"/>
      <c r="N156" s="4"/>
      <c r="O156" s="1774"/>
      <c r="X156" s="1799"/>
    </row>
    <row r="157" spans="2:61" x14ac:dyDescent="0.25">
      <c r="B157" s="679">
        <v>1002.4</v>
      </c>
      <c r="C157" s="21" t="s">
        <v>256</v>
      </c>
      <c r="D157" s="21"/>
      <c r="E157" s="21"/>
      <c r="F157" s="21"/>
      <c r="G157" s="21"/>
      <c r="H157" s="758"/>
      <c r="I157" s="4"/>
      <c r="J157" s="27" t="s">
        <v>256</v>
      </c>
      <c r="K157" s="4"/>
      <c r="L157" s="224" t="s">
        <v>3346</v>
      </c>
      <c r="M157" s="141"/>
      <c r="N157" s="4"/>
      <c r="O157" s="141"/>
      <c r="X157" s="1799"/>
    </row>
    <row r="158" spans="2:61" x14ac:dyDescent="0.25">
      <c r="B158" s="679">
        <v>1002.4</v>
      </c>
      <c r="C158" s="21" t="s">
        <v>258</v>
      </c>
      <c r="D158" s="21"/>
      <c r="E158" s="21"/>
      <c r="F158" s="21"/>
      <c r="G158" s="21"/>
      <c r="H158" s="758"/>
      <c r="I158" s="4"/>
      <c r="J158" s="27" t="s">
        <v>258</v>
      </c>
      <c r="K158" s="4"/>
      <c r="L158" s="224" t="s">
        <v>3347</v>
      </c>
      <c r="M158" s="141"/>
      <c r="N158" s="4"/>
      <c r="O158" s="141"/>
      <c r="X158" s="1799"/>
    </row>
    <row r="159" spans="2:61" x14ac:dyDescent="0.25">
      <c r="B159" s="679">
        <v>1002.4</v>
      </c>
      <c r="C159" s="21" t="s">
        <v>260</v>
      </c>
      <c r="D159" s="21"/>
      <c r="E159" s="21"/>
      <c r="F159" s="21"/>
      <c r="G159" s="21"/>
      <c r="H159" s="758"/>
      <c r="I159" s="4"/>
      <c r="J159" s="27" t="s">
        <v>260</v>
      </c>
      <c r="K159" s="4"/>
      <c r="L159" s="224" t="s">
        <v>3348</v>
      </c>
      <c r="M159" s="141"/>
      <c r="N159" s="4"/>
      <c r="O159" s="141"/>
      <c r="X159" s="1799"/>
    </row>
    <row r="160" spans="2:61" x14ac:dyDescent="0.25">
      <c r="B160" s="679">
        <v>1002.4</v>
      </c>
      <c r="C160" s="21" t="s">
        <v>269</v>
      </c>
      <c r="D160" s="21"/>
      <c r="E160" s="21"/>
      <c r="F160" s="21"/>
      <c r="G160" s="21"/>
      <c r="H160" s="758"/>
      <c r="I160" s="4"/>
      <c r="J160" s="27" t="s">
        <v>269</v>
      </c>
      <c r="K160" s="4"/>
      <c r="L160" s="224" t="s">
        <v>3357</v>
      </c>
      <c r="M160" s="141"/>
      <c r="N160" s="4"/>
      <c r="O160" s="141"/>
      <c r="X160" s="1799"/>
    </row>
    <row r="161" spans="1:61" x14ac:dyDescent="0.25">
      <c r="B161" s="679">
        <v>1002.4</v>
      </c>
      <c r="C161" s="21" t="s">
        <v>275</v>
      </c>
      <c r="D161" s="21"/>
      <c r="E161" s="21"/>
      <c r="F161" s="21"/>
      <c r="G161" s="21"/>
      <c r="H161" s="758"/>
      <c r="I161" s="4"/>
      <c r="J161" s="27" t="s">
        <v>275</v>
      </c>
      <c r="K161" s="4"/>
      <c r="L161" s="224" t="s">
        <v>3358</v>
      </c>
      <c r="M161" s="141"/>
      <c r="N161" s="4"/>
      <c r="O161" s="141"/>
      <c r="X161" s="1799"/>
    </row>
    <row r="162" spans="1:61" x14ac:dyDescent="0.25">
      <c r="B162" s="679">
        <v>1002.4</v>
      </c>
      <c r="C162" s="21" t="s">
        <v>277</v>
      </c>
      <c r="D162" s="21"/>
      <c r="E162" s="21"/>
      <c r="F162" s="21"/>
      <c r="G162" s="21"/>
      <c r="H162" s="758"/>
      <c r="I162" s="4"/>
      <c r="J162" s="27" t="s">
        <v>277</v>
      </c>
      <c r="K162" s="4"/>
      <c r="L162" s="224" t="s">
        <v>3351</v>
      </c>
      <c r="M162" s="141"/>
      <c r="N162" s="4"/>
      <c r="O162" s="141"/>
      <c r="X162" s="1799"/>
    </row>
    <row r="163" spans="1:61" x14ac:dyDescent="0.25">
      <c r="B163" s="679">
        <v>1002.4</v>
      </c>
      <c r="C163" s="21" t="s">
        <v>383</v>
      </c>
      <c r="D163" s="21"/>
      <c r="E163" s="21"/>
      <c r="F163" s="21"/>
      <c r="G163" s="21"/>
      <c r="H163" s="758"/>
      <c r="I163" s="4"/>
      <c r="J163" s="27" t="s">
        <v>383</v>
      </c>
      <c r="K163" s="4"/>
      <c r="L163" s="224" t="s">
        <v>3359</v>
      </c>
      <c r="M163" s="141"/>
      <c r="N163" s="4"/>
      <c r="O163" s="141"/>
      <c r="X163" s="1799"/>
    </row>
    <row r="164" spans="1:61" s="868" customFormat="1" ht="15.75" thickBot="1" x14ac:dyDescent="0.3">
      <c r="A164" s="18"/>
      <c r="B164" s="679">
        <v>1002.4</v>
      </c>
      <c r="C164" s="21" t="s">
        <v>428</v>
      </c>
      <c r="D164" s="21"/>
      <c r="E164" s="21"/>
      <c r="F164" s="21"/>
      <c r="G164" s="21"/>
      <c r="H164" s="758"/>
      <c r="I164" s="240"/>
      <c r="J164" s="673" t="s">
        <v>428</v>
      </c>
      <c r="K164" s="681"/>
      <c r="L164" s="893" t="s">
        <v>4552</v>
      </c>
      <c r="M164" s="878"/>
      <c r="N164" s="240"/>
      <c r="O164" s="878"/>
      <c r="P164" s="99"/>
      <c r="Q164" s="99"/>
      <c r="R164" s="99"/>
      <c r="S164" s="99"/>
      <c r="T164" s="99"/>
      <c r="U164" s="99"/>
      <c r="V164" s="99"/>
      <c r="W164" s="99"/>
      <c r="X164" s="1800"/>
      <c r="AZ164" s="76"/>
      <c r="BA164" s="76"/>
      <c r="BB164" s="76"/>
      <c r="BC164" s="76"/>
      <c r="BD164" s="76"/>
      <c r="BE164" s="76"/>
      <c r="BF164" s="76"/>
      <c r="BG164" s="76"/>
      <c r="BH164" s="76"/>
      <c r="BI164" s="76"/>
    </row>
    <row r="165" spans="1:61" customFormat="1" ht="15.75" thickTop="1" x14ac:dyDescent="0.25">
      <c r="B165" s="679" t="s">
        <v>4553</v>
      </c>
      <c r="C165" s="679"/>
      <c r="D165" s="1130"/>
      <c r="E165" s="1130"/>
      <c r="I165" s="667" t="s">
        <v>4553</v>
      </c>
      <c r="J165" s="667"/>
      <c r="K165" s="679"/>
      <c r="L165" s="1884" t="s">
        <v>4555</v>
      </c>
      <c r="M165" s="1908" t="s">
        <v>4572</v>
      </c>
      <c r="N165" s="4"/>
      <c r="O165" s="1780">
        <f>ROUNDDOWN(COUNTIF(W167:W176,TRUE)/2,0)</f>
        <v>0</v>
      </c>
      <c r="P165" s="868"/>
      <c r="Q165" s="868"/>
      <c r="R165" s="868"/>
      <c r="S165" s="868"/>
      <c r="T165" s="868"/>
      <c r="AL165" s="254" t="str">
        <f>SUBSTITUTE(SUBSTITUTE(SUBSTITUTE("dpa"&amp;$B165&amp;$C165&amp;$D165&amp;$E165,".","_"),"(","_"),")","")</f>
        <v>dpa1002_5</v>
      </c>
      <c r="AM165" s="254" t="str">
        <f>M165</f>
        <v>1 per 2 items</v>
      </c>
      <c r="AN165" s="254" t="str">
        <f>SUBSTITUTE(SUBSTITUTE(SUBSTITUTE("dpc"&amp;$B165&amp;$C165&amp;$D165&amp;$E165,".","_"),"(","_"),")","")</f>
        <v>dpc1002_5</v>
      </c>
      <c r="AO165" s="254">
        <f>O165</f>
        <v>0</v>
      </c>
      <c r="AZ165" s="868"/>
      <c r="BA165" s="868"/>
      <c r="BB165" s="868"/>
      <c r="BC165" s="868"/>
      <c r="BD165" s="868"/>
      <c r="BE165" s="868"/>
      <c r="BF165" s="868"/>
      <c r="BG165" s="868"/>
      <c r="BH165" s="868"/>
      <c r="BI165" s="868"/>
    </row>
    <row r="166" spans="1:61" customFormat="1" x14ac:dyDescent="0.25">
      <c r="B166" s="679" t="s">
        <v>4553</v>
      </c>
      <c r="C166" s="679"/>
      <c r="D166" s="1130"/>
      <c r="E166" s="1130"/>
      <c r="I166" s="667"/>
      <c r="J166" s="667"/>
      <c r="K166" s="679"/>
      <c r="L166" s="1884"/>
      <c r="M166" s="1908"/>
      <c r="N166" s="4"/>
      <c r="O166" s="1780"/>
      <c r="P166" s="868"/>
      <c r="Q166" s="868"/>
      <c r="R166" s="868"/>
      <c r="S166" s="868"/>
      <c r="T166" s="868"/>
    </row>
    <row r="167" spans="1:61" customFormat="1" x14ac:dyDescent="0.25">
      <c r="B167" s="679" t="s">
        <v>4553</v>
      </c>
      <c r="C167" s="679" t="s">
        <v>256</v>
      </c>
      <c r="D167" s="1130"/>
      <c r="E167" s="1130"/>
      <c r="I167" s="667"/>
      <c r="J167" s="667" t="s">
        <v>256</v>
      </c>
      <c r="K167" s="679"/>
      <c r="L167" s="892" t="s">
        <v>4556</v>
      </c>
      <c r="M167" s="891" t="str">
        <f>IF(R167,"Mandatory","N/A")</f>
        <v>N/A</v>
      </c>
      <c r="N167" s="4"/>
      <c r="O167" s="874"/>
      <c r="P167" s="868" t="b">
        <v>0</v>
      </c>
      <c r="Q167" s="868" t="b">
        <v>1</v>
      </c>
      <c r="R167" s="868" t="b">
        <f>S167</f>
        <v>0</v>
      </c>
      <c r="S167" s="868" t="b">
        <f>IF(AY19=INDEX(ddSingleOrMulti,2),TRUE,FALSE)</f>
        <v>0</v>
      </c>
      <c r="T167" s="868" t="b">
        <f>AND(NOT(S167),W167=TRUE)</f>
        <v>0</v>
      </c>
      <c r="W167" s="25"/>
      <c r="X167" s="869"/>
      <c r="AC167" s="868" t="b">
        <f>OR(AD167:AE167)</f>
        <v>0</v>
      </c>
      <c r="AD167" s="868" t="b">
        <f>T167</f>
        <v>0</v>
      </c>
      <c r="AE167" s="868" t="b">
        <f>AND(R167,NOT(W167=TRUE))</f>
        <v>0</v>
      </c>
      <c r="AL167" s="254" t="str">
        <f>SUBSTITUTE(SUBSTITUTE(SUBSTITUTE("dpa"&amp;$B167&amp;$C167&amp;$D167&amp;$E167,".","_"),"(","_"),")","")</f>
        <v>dpa1002_5_1</v>
      </c>
      <c r="AM167" s="254" t="str">
        <f>M167</f>
        <v>N/A</v>
      </c>
      <c r="AP167" s="254" t="str">
        <f>SUBSTITUTE(SUBSTITUTE(SUBSTITUTE("dch"&amp;$B167&amp;$C167&amp;$D167&amp;$E167,".","_"),"(","_"),")","")</f>
        <v>dch1002_5_1</v>
      </c>
      <c r="AQ167" s="254" t="str">
        <f>IF(LEN(W167)=0,"",W167)</f>
        <v/>
      </c>
      <c r="AR167" s="254" t="str">
        <f>SUBSTITUTE(SUBSTITUTE(SUBSTITUTE("dnt"&amp;$B167&amp;$C167&amp;$D167&amp;$E167,".","_"),"(","_"),")","")</f>
        <v>dnt1002_5_1</v>
      </c>
      <c r="AS167" s="254" t="str">
        <f>IF(LEN(X167)=0,"",X167)</f>
        <v/>
      </c>
    </row>
    <row r="168" spans="1:61" customFormat="1" x14ac:dyDescent="0.25">
      <c r="B168" s="679" t="s">
        <v>4553</v>
      </c>
      <c r="C168" s="679" t="s">
        <v>258</v>
      </c>
      <c r="D168" s="1130"/>
      <c r="E168" s="1130"/>
      <c r="I168" s="667"/>
      <c r="J168" s="667" t="s">
        <v>258</v>
      </c>
      <c r="K168" s="679"/>
      <c r="L168" s="892" t="s">
        <v>4557</v>
      </c>
      <c r="M168" s="891" t="str">
        <f>IF(R168,"Mandatory","N/A")</f>
        <v>N/A</v>
      </c>
      <c r="N168" s="4"/>
      <c r="O168" s="874"/>
      <c r="P168" s="868" t="b">
        <v>0</v>
      </c>
      <c r="Q168" s="868" t="b">
        <v>1</v>
      </c>
      <c r="R168" s="868" t="b">
        <f>S168</f>
        <v>0</v>
      </c>
      <c r="S168" s="868" t="b">
        <f>IF(AY19=INDEX(ddSingleOrMulti,2),TRUE,FALSE)</f>
        <v>0</v>
      </c>
      <c r="T168" s="868" t="b">
        <f>AND(NOT(S168),W168=TRUE)</f>
        <v>0</v>
      </c>
      <c r="W168" s="25"/>
      <c r="X168" s="869"/>
      <c r="AC168" s="868" t="b">
        <f>OR(AD168:AE168)</f>
        <v>0</v>
      </c>
      <c r="AD168" s="868" t="b">
        <f>T168</f>
        <v>0</v>
      </c>
      <c r="AE168" s="868" t="b">
        <f>AND(R168,NOT(W168=TRUE))</f>
        <v>0</v>
      </c>
      <c r="AL168" s="254" t="str">
        <f>SUBSTITUTE(SUBSTITUTE(SUBSTITUTE("dpa"&amp;$B168&amp;$C168&amp;$D168&amp;$E168,".","_"),"(","_"),")","")</f>
        <v>dpa1002_5_2</v>
      </c>
      <c r="AM168" s="254" t="str">
        <f>M168</f>
        <v>N/A</v>
      </c>
      <c r="AP168" s="254" t="str">
        <f>SUBSTITUTE(SUBSTITUTE(SUBSTITUTE("dch"&amp;$B168&amp;$C168&amp;$D168&amp;$E168,".","_"),"(","_"),")","")</f>
        <v>dch1002_5_2</v>
      </c>
      <c r="AQ168" s="254" t="str">
        <f>IF(LEN(W168)=0,"",W168)</f>
        <v/>
      </c>
      <c r="AR168" s="254" t="str">
        <f>SUBSTITUTE(SUBSTITUTE(SUBSTITUTE("dnt"&amp;$B168&amp;$C168&amp;$D168&amp;$E168,".","_"),"(","_"),")","")</f>
        <v>dnt1002_5_2</v>
      </c>
      <c r="AS168" s="254" t="str">
        <f>IF(LEN(X168)=0,"",X168)</f>
        <v/>
      </c>
    </row>
    <row r="169" spans="1:61" customFormat="1" x14ac:dyDescent="0.25">
      <c r="B169" s="679" t="s">
        <v>4553</v>
      </c>
      <c r="C169" s="679" t="s">
        <v>260</v>
      </c>
      <c r="D169" s="1130"/>
      <c r="E169" s="1130"/>
      <c r="I169" s="667"/>
      <c r="J169" s="667" t="s">
        <v>260</v>
      </c>
      <c r="K169" s="679"/>
      <c r="L169" s="1841" t="s">
        <v>4558</v>
      </c>
      <c r="M169" s="891" t="str">
        <f>IF(R169,"Mandatory","N/A")</f>
        <v>N/A</v>
      </c>
      <c r="N169" s="4"/>
      <c r="O169" s="874"/>
      <c r="P169" s="868" t="b">
        <v>0</v>
      </c>
      <c r="Q169" s="868" t="b">
        <v>1</v>
      </c>
      <c r="R169" s="868" t="b">
        <f>S169</f>
        <v>0</v>
      </c>
      <c r="S169" s="868" t="b">
        <f>IF(AY19=INDEX(ddSingleOrMulti,2),TRUE,FALSE)</f>
        <v>0</v>
      </c>
      <c r="T169" s="868" t="b">
        <f>AND(NOT(S169),W169=TRUE)</f>
        <v>0</v>
      </c>
      <c r="W169" s="25"/>
      <c r="X169" s="1757"/>
      <c r="AC169" s="868" t="b">
        <f>OR(AD169:AE169)</f>
        <v>0</v>
      </c>
      <c r="AD169" s="868" t="b">
        <f>T169</f>
        <v>0</v>
      </c>
      <c r="AE169" s="868" t="b">
        <f>AND(R169,NOT(W169=TRUE))</f>
        <v>0</v>
      </c>
      <c r="AL169" s="254" t="str">
        <f>SUBSTITUTE(SUBSTITUTE(SUBSTITUTE("dpa"&amp;$B169&amp;$C169&amp;$D169&amp;$E169,".","_"),"(","_"),")","")</f>
        <v>dpa1002_5_3</v>
      </c>
      <c r="AM169" s="254" t="str">
        <f>M169</f>
        <v>N/A</v>
      </c>
      <c r="AP169" s="254" t="str">
        <f>SUBSTITUTE(SUBSTITUTE(SUBSTITUTE("dch"&amp;$B169&amp;$C169&amp;$D169&amp;$E169,".","_"),"(","_"),")","")</f>
        <v>dch1002_5_3</v>
      </c>
      <c r="AQ169" s="254" t="str">
        <f>IF(LEN(W169)=0,"",W169)</f>
        <v/>
      </c>
      <c r="AR169" s="254" t="str">
        <f>SUBSTITUTE(SUBSTITUTE(SUBSTITUTE("dnt"&amp;$B169&amp;$C169&amp;$D169&amp;$E169,".","_"),"(","_"),")","")</f>
        <v>dnt1002_5_3</v>
      </c>
      <c r="AS169" s="254" t="str">
        <f>IF(LEN(X169)=0,"",X169)</f>
        <v/>
      </c>
    </row>
    <row r="170" spans="1:61" customFormat="1" x14ac:dyDescent="0.25">
      <c r="B170" s="679" t="s">
        <v>4553</v>
      </c>
      <c r="C170" s="679" t="s">
        <v>260</v>
      </c>
      <c r="D170" s="1130"/>
      <c r="E170" s="1130"/>
      <c r="I170" s="667"/>
      <c r="J170" s="667"/>
      <c r="K170" s="679"/>
      <c r="L170" s="1841"/>
      <c r="M170" s="874"/>
      <c r="N170" s="4"/>
      <c r="O170" s="874"/>
      <c r="P170" s="868"/>
      <c r="Q170" s="868"/>
      <c r="R170" s="868"/>
      <c r="S170" s="868"/>
      <c r="T170" s="868"/>
      <c r="X170" s="1757"/>
    </row>
    <row r="171" spans="1:61" customFormat="1" x14ac:dyDescent="0.25">
      <c r="B171" s="679" t="s">
        <v>4553</v>
      </c>
      <c r="C171" s="679" t="s">
        <v>269</v>
      </c>
      <c r="D171" s="1130"/>
      <c r="E171" s="1130"/>
      <c r="I171" s="667"/>
      <c r="J171" s="667" t="s">
        <v>269</v>
      </c>
      <c r="K171" s="679"/>
      <c r="L171" s="892" t="s">
        <v>4559</v>
      </c>
      <c r="M171" s="874"/>
      <c r="N171" s="4"/>
      <c r="O171" s="874"/>
      <c r="P171" s="868" t="b">
        <v>0</v>
      </c>
      <c r="Q171" s="868" t="b">
        <v>1</v>
      </c>
      <c r="R171" s="868" t="b">
        <v>0</v>
      </c>
      <c r="S171" s="868" t="b">
        <f>IF(AY19=INDEX(ddSingleOrMulti,2),TRUE,FALSE)</f>
        <v>0</v>
      </c>
      <c r="T171" s="868" t="b">
        <f t="shared" ref="T171:T176" si="2">AND(NOT(S171),W171=TRUE)</f>
        <v>0</v>
      </c>
      <c r="W171" s="25"/>
      <c r="X171" s="869"/>
      <c r="AC171" s="868" t="b">
        <f t="shared" ref="AC171:AC176" si="3">OR(AD171:AE171)</f>
        <v>0</v>
      </c>
      <c r="AD171" s="868" t="b">
        <f t="shared" ref="AD171:AD176" si="4">T171</f>
        <v>0</v>
      </c>
      <c r="AP171" s="254" t="str">
        <f t="shared" ref="AP171:AP176" si="5">SUBSTITUTE(SUBSTITUTE(SUBSTITUTE("dch"&amp;$B171&amp;$C171&amp;$D171&amp;$E171,".","_"),"(","_"),")","")</f>
        <v>dch1002_5_4</v>
      </c>
      <c r="AQ171" s="254" t="str">
        <f t="shared" ref="AQ171:AQ176" si="6">IF(LEN(W171)=0,"",W171)</f>
        <v/>
      </c>
      <c r="AR171" s="254" t="str">
        <f t="shared" ref="AR171:AR176" si="7">SUBSTITUTE(SUBSTITUTE(SUBSTITUTE("dnt"&amp;$B171&amp;$C171&amp;$D171&amp;$E171,".","_"),"(","_"),")","")</f>
        <v>dnt1002_5_4</v>
      </c>
      <c r="AS171" s="254" t="str">
        <f t="shared" ref="AS171:AS176" si="8">IF(LEN(X171)=0,"",X171)</f>
        <v/>
      </c>
    </row>
    <row r="172" spans="1:61" customFormat="1" x14ac:dyDescent="0.25">
      <c r="B172" s="679" t="s">
        <v>4553</v>
      </c>
      <c r="C172" s="679" t="s">
        <v>275</v>
      </c>
      <c r="D172" s="1130"/>
      <c r="E172" s="1130"/>
      <c r="I172" s="667"/>
      <c r="J172" s="667" t="s">
        <v>275</v>
      </c>
      <c r="K172" s="679"/>
      <c r="L172" s="892" t="s">
        <v>4560</v>
      </c>
      <c r="M172" s="874"/>
      <c r="N172" s="4"/>
      <c r="O172" s="874"/>
      <c r="P172" s="868" t="b">
        <v>0</v>
      </c>
      <c r="Q172" s="868" t="b">
        <v>1</v>
      </c>
      <c r="R172" s="868" t="b">
        <v>0</v>
      </c>
      <c r="S172" s="868" t="b">
        <f>IF(AY19=INDEX(ddSingleOrMulti,2),TRUE,FALSE)</f>
        <v>0</v>
      </c>
      <c r="T172" s="868" t="b">
        <f t="shared" si="2"/>
        <v>0</v>
      </c>
      <c r="W172" s="25"/>
      <c r="X172" s="869"/>
      <c r="AC172" s="868" t="b">
        <f t="shared" si="3"/>
        <v>0</v>
      </c>
      <c r="AD172" s="868" t="b">
        <f t="shared" si="4"/>
        <v>0</v>
      </c>
      <c r="AP172" s="254" t="str">
        <f t="shared" si="5"/>
        <v>dch1002_5_5</v>
      </c>
      <c r="AQ172" s="254" t="str">
        <f t="shared" si="6"/>
        <v/>
      </c>
      <c r="AR172" s="254" t="str">
        <f t="shared" si="7"/>
        <v>dnt1002_5_5</v>
      </c>
      <c r="AS172" s="254" t="str">
        <f t="shared" si="8"/>
        <v/>
      </c>
    </row>
    <row r="173" spans="1:61" customFormat="1" x14ac:dyDescent="0.25">
      <c r="B173" s="679" t="s">
        <v>4553</v>
      </c>
      <c r="C173" s="679" t="s">
        <v>277</v>
      </c>
      <c r="D173" s="1130"/>
      <c r="E173" s="1130"/>
      <c r="I173" s="667"/>
      <c r="J173" s="667" t="s">
        <v>277</v>
      </c>
      <c r="K173" s="679"/>
      <c r="L173" s="892" t="s">
        <v>4561</v>
      </c>
      <c r="M173" s="874"/>
      <c r="N173" s="4"/>
      <c r="O173" s="874"/>
      <c r="P173" s="868" t="b">
        <v>0</v>
      </c>
      <c r="Q173" s="868" t="b">
        <v>1</v>
      </c>
      <c r="R173" s="868" t="b">
        <v>0</v>
      </c>
      <c r="S173" s="868" t="b">
        <f>IF(AY19=INDEX(ddSingleOrMulti,2),TRUE,FALSE)</f>
        <v>0</v>
      </c>
      <c r="T173" s="868" t="b">
        <f t="shared" si="2"/>
        <v>0</v>
      </c>
      <c r="W173" s="25"/>
      <c r="X173" s="869"/>
      <c r="AC173" s="868" t="b">
        <f t="shared" si="3"/>
        <v>0</v>
      </c>
      <c r="AD173" s="868" t="b">
        <f t="shared" si="4"/>
        <v>0</v>
      </c>
      <c r="AP173" s="254" t="str">
        <f t="shared" si="5"/>
        <v>dch1002_5_6</v>
      </c>
      <c r="AQ173" s="254" t="str">
        <f t="shared" si="6"/>
        <v/>
      </c>
      <c r="AR173" s="254" t="str">
        <f t="shared" si="7"/>
        <v>dnt1002_5_6</v>
      </c>
      <c r="AS173" s="254" t="str">
        <f t="shared" si="8"/>
        <v/>
      </c>
    </row>
    <row r="174" spans="1:61" customFormat="1" x14ac:dyDescent="0.25">
      <c r="B174" s="679" t="s">
        <v>4553</v>
      </c>
      <c r="C174" s="679" t="s">
        <v>383</v>
      </c>
      <c r="D174" s="1130"/>
      <c r="E174" s="1130"/>
      <c r="I174" s="667"/>
      <c r="J174" s="667" t="s">
        <v>383</v>
      </c>
      <c r="K174" s="679"/>
      <c r="L174" s="892" t="s">
        <v>4562</v>
      </c>
      <c r="M174" s="874"/>
      <c r="N174" s="4"/>
      <c r="O174" s="874"/>
      <c r="P174" s="868" t="b">
        <v>0</v>
      </c>
      <c r="Q174" s="868" t="b">
        <v>1</v>
      </c>
      <c r="R174" s="868" t="b">
        <v>0</v>
      </c>
      <c r="S174" s="868" t="b">
        <f>IF(AY19=INDEX(ddSingleOrMulti,2),TRUE,FALSE)</f>
        <v>0</v>
      </c>
      <c r="T174" s="868" t="b">
        <f t="shared" si="2"/>
        <v>0</v>
      </c>
      <c r="W174" s="25"/>
      <c r="X174" s="869"/>
      <c r="AC174" s="868" t="b">
        <f t="shared" si="3"/>
        <v>0</v>
      </c>
      <c r="AD174" s="868" t="b">
        <f t="shared" si="4"/>
        <v>0</v>
      </c>
      <c r="AP174" s="254" t="str">
        <f t="shared" si="5"/>
        <v>dch1002_5_7</v>
      </c>
      <c r="AQ174" s="254" t="str">
        <f t="shared" si="6"/>
        <v/>
      </c>
      <c r="AR174" s="254" t="str">
        <f t="shared" si="7"/>
        <v>dnt1002_5_7</v>
      </c>
      <c r="AS174" s="254" t="str">
        <f t="shared" si="8"/>
        <v/>
      </c>
    </row>
    <row r="175" spans="1:61" customFormat="1" x14ac:dyDescent="0.25">
      <c r="B175" s="679" t="s">
        <v>4553</v>
      </c>
      <c r="C175" s="679" t="s">
        <v>428</v>
      </c>
      <c r="D175" s="1130"/>
      <c r="E175" s="1130"/>
      <c r="I175" s="667"/>
      <c r="J175" s="667" t="s">
        <v>428</v>
      </c>
      <c r="K175" s="679"/>
      <c r="L175" s="892" t="s">
        <v>4563</v>
      </c>
      <c r="M175" s="874"/>
      <c r="N175" s="4"/>
      <c r="O175" s="874"/>
      <c r="P175" s="868" t="b">
        <v>0</v>
      </c>
      <c r="Q175" s="868" t="b">
        <v>1</v>
      </c>
      <c r="R175" s="868" t="b">
        <v>0</v>
      </c>
      <c r="S175" s="868" t="b">
        <f>IF(AY19=INDEX(ddSingleOrMulti,2),TRUE,FALSE)</f>
        <v>0</v>
      </c>
      <c r="T175" s="868" t="b">
        <f t="shared" si="2"/>
        <v>0</v>
      </c>
      <c r="W175" s="25"/>
      <c r="X175" s="869"/>
      <c r="AC175" s="868" t="b">
        <f t="shared" si="3"/>
        <v>0</v>
      </c>
      <c r="AD175" s="868" t="b">
        <f t="shared" si="4"/>
        <v>0</v>
      </c>
      <c r="AP175" s="254" t="str">
        <f t="shared" si="5"/>
        <v>dch1002_5_8</v>
      </c>
      <c r="AQ175" s="254" t="str">
        <f t="shared" si="6"/>
        <v/>
      </c>
      <c r="AR175" s="254" t="str">
        <f t="shared" si="7"/>
        <v>dnt1002_5_8</v>
      </c>
      <c r="AS175" s="254" t="str">
        <f t="shared" si="8"/>
        <v/>
      </c>
    </row>
    <row r="176" spans="1:61" customFormat="1" ht="15.75" thickBot="1" x14ac:dyDescent="0.3">
      <c r="B176" s="679" t="s">
        <v>4553</v>
      </c>
      <c r="C176" s="679" t="s">
        <v>430</v>
      </c>
      <c r="D176" s="1130"/>
      <c r="E176" s="1130"/>
      <c r="I176" s="673"/>
      <c r="J176" s="673" t="s">
        <v>430</v>
      </c>
      <c r="K176" s="681"/>
      <c r="L176" s="893" t="s">
        <v>4564</v>
      </c>
      <c r="M176" s="878"/>
      <c r="N176" s="240"/>
      <c r="O176" s="878"/>
      <c r="P176" s="99" t="b">
        <v>0</v>
      </c>
      <c r="Q176" s="99" t="b">
        <v>1</v>
      </c>
      <c r="R176" s="99" t="b">
        <v>0</v>
      </c>
      <c r="S176" s="99" t="b">
        <f>IF(AY19=INDEX(ddSingleOrMulti,2),TRUE,FALSE)</f>
        <v>0</v>
      </c>
      <c r="T176" s="99" t="b">
        <f t="shared" si="2"/>
        <v>0</v>
      </c>
      <c r="U176" s="99"/>
      <c r="V176" s="99"/>
      <c r="W176" s="100"/>
      <c r="X176" s="914"/>
      <c r="AC176" s="868" t="b">
        <f t="shared" si="3"/>
        <v>0</v>
      </c>
      <c r="AD176" s="868" t="b">
        <f t="shared" si="4"/>
        <v>0</v>
      </c>
      <c r="AP176" s="254" t="str">
        <f t="shared" si="5"/>
        <v>dch1002_5_9</v>
      </c>
      <c r="AQ176" s="254" t="str">
        <f t="shared" si="6"/>
        <v/>
      </c>
      <c r="AR176" s="254" t="str">
        <f t="shared" si="7"/>
        <v>dnt1002_5_9</v>
      </c>
      <c r="AS176" s="254" t="str">
        <f t="shared" si="8"/>
        <v/>
      </c>
    </row>
    <row r="177" spans="2:61" customFormat="1" ht="15.75" thickTop="1" x14ac:dyDescent="0.25">
      <c r="B177" s="679" t="s">
        <v>4554</v>
      </c>
      <c r="E177" s="679"/>
      <c r="I177" s="667" t="s">
        <v>4554</v>
      </c>
      <c r="J177" s="667"/>
      <c r="K177" s="679"/>
      <c r="L177" s="1884" t="s">
        <v>4565</v>
      </c>
      <c r="M177" s="1908" t="s">
        <v>4572</v>
      </c>
      <c r="N177" s="4"/>
      <c r="O177" s="1780">
        <f>ROUNDDOWN(COUNTIF(W181:W187,TRUE)/2,0)</f>
        <v>0</v>
      </c>
      <c r="P177" s="868"/>
      <c r="Q177" s="868"/>
      <c r="R177" s="868"/>
      <c r="S177" s="868"/>
      <c r="T177" s="868"/>
      <c r="AL177" s="254" t="str">
        <f>SUBSTITUTE(SUBSTITUTE(SUBSTITUTE("dpa"&amp;$B177&amp;$C177&amp;$D177&amp;$E177,".","_"),"(","_"),")","")</f>
        <v>dpa1002_6</v>
      </c>
      <c r="AM177" s="254" t="str">
        <f>M177</f>
        <v>1 per 2 items</v>
      </c>
      <c r="AN177" s="254" t="str">
        <f>SUBSTITUTE(SUBSTITUTE(SUBSTITUTE("dpc"&amp;$B177&amp;$C177&amp;$D177&amp;$E177,".","_"),"(","_"),")","")</f>
        <v>dpc1002_6</v>
      </c>
      <c r="AO177" s="254">
        <f>O177</f>
        <v>0</v>
      </c>
    </row>
    <row r="178" spans="2:61" customFormat="1" x14ac:dyDescent="0.25">
      <c r="B178" s="679" t="s">
        <v>4554</v>
      </c>
      <c r="E178" s="679"/>
      <c r="I178" s="667"/>
      <c r="J178" s="667"/>
      <c r="K178" s="679"/>
      <c r="L178" s="1884"/>
      <c r="M178" s="1908"/>
      <c r="N178" s="4"/>
      <c r="O178" s="1780"/>
      <c r="P178" s="868"/>
      <c r="Q178" s="868"/>
      <c r="R178" s="868"/>
      <c r="S178" s="868"/>
      <c r="T178" s="868"/>
    </row>
    <row r="179" spans="2:61" customFormat="1" x14ac:dyDescent="0.25">
      <c r="B179" s="679" t="s">
        <v>4554</v>
      </c>
      <c r="E179" s="679"/>
      <c r="I179" s="667"/>
      <c r="J179" s="667"/>
      <c r="K179" s="679"/>
      <c r="L179" s="1884"/>
      <c r="M179" s="1908"/>
      <c r="N179" s="4"/>
      <c r="O179" s="1780"/>
      <c r="P179" s="868"/>
      <c r="Q179" s="868"/>
      <c r="R179" s="868"/>
      <c r="S179" s="868"/>
      <c r="T179" s="868"/>
    </row>
    <row r="180" spans="2:61" customFormat="1" x14ac:dyDescent="0.25">
      <c r="B180" s="679" t="s">
        <v>4554</v>
      </c>
      <c r="E180" s="679"/>
      <c r="I180" s="667"/>
      <c r="J180" s="667"/>
      <c r="K180" s="679"/>
      <c r="L180" s="1884"/>
      <c r="M180" s="1908"/>
      <c r="N180" s="4"/>
      <c r="O180" s="1780"/>
      <c r="P180" s="868"/>
      <c r="Q180" s="868"/>
      <c r="R180" s="868"/>
      <c r="S180" s="868"/>
      <c r="T180" s="868"/>
    </row>
    <row r="181" spans="2:61" customFormat="1" x14ac:dyDescent="0.25">
      <c r="B181" s="679" t="s">
        <v>4554</v>
      </c>
      <c r="C181" s="679" t="s">
        <v>256</v>
      </c>
      <c r="D181" s="1130"/>
      <c r="E181" s="1130"/>
      <c r="I181" s="667"/>
      <c r="J181" s="667" t="s">
        <v>256</v>
      </c>
      <c r="K181" s="679"/>
      <c r="L181" s="892" t="s">
        <v>4566</v>
      </c>
      <c r="M181" s="874"/>
      <c r="N181" s="4"/>
      <c r="O181" s="874"/>
      <c r="P181" s="868" t="b">
        <v>0</v>
      </c>
      <c r="Q181" s="868" t="b">
        <v>1</v>
      </c>
      <c r="R181" s="868" t="b">
        <v>0</v>
      </c>
      <c r="S181" s="868" t="b">
        <f>IF(AY19=INDEX(ddSingleOrMulti,2),TRUE,FALSE)</f>
        <v>0</v>
      </c>
      <c r="T181" s="868" t="b">
        <f t="shared" ref="T181:T187" si="9">AND(NOT(S181),W181=TRUE)</f>
        <v>0</v>
      </c>
      <c r="W181" s="25"/>
      <c r="X181" s="869"/>
      <c r="AC181" s="868" t="b">
        <f t="shared" ref="AC181:AC187" si="10">OR(AD181:AE181)</f>
        <v>0</v>
      </c>
      <c r="AD181" s="868" t="b">
        <f t="shared" ref="AD181:AD187" si="11">T181</f>
        <v>0</v>
      </c>
      <c r="AP181" s="254" t="str">
        <f t="shared" ref="AP181:AP187" si="12">SUBSTITUTE(SUBSTITUTE(SUBSTITUTE("dch"&amp;$B181&amp;$C181&amp;$D181&amp;$E181,".","_"),"(","_"),")","")</f>
        <v>dch1002_6_1</v>
      </c>
      <c r="AQ181" s="254" t="str">
        <f t="shared" ref="AQ181:AQ187" si="13">IF(LEN(W181)=0,"",W181)</f>
        <v/>
      </c>
      <c r="AR181" s="254" t="str">
        <f t="shared" ref="AR181:AR187" si="14">SUBSTITUTE(SUBSTITUTE(SUBSTITUTE("dnt"&amp;$B181&amp;$C181&amp;$D181&amp;$E181,".","_"),"(","_"),")","")</f>
        <v>dnt1002_6_1</v>
      </c>
      <c r="AS181" s="254" t="str">
        <f t="shared" ref="AS181:AS187" si="15">IF(LEN(X181)=0,"",X181)</f>
        <v/>
      </c>
    </row>
    <row r="182" spans="2:61" customFormat="1" x14ac:dyDescent="0.25">
      <c r="B182" s="679" t="s">
        <v>4554</v>
      </c>
      <c r="C182" s="679" t="s">
        <v>258</v>
      </c>
      <c r="D182" s="1130"/>
      <c r="E182" s="1130"/>
      <c r="I182" s="667"/>
      <c r="J182" s="667" t="s">
        <v>258</v>
      </c>
      <c r="K182" s="679"/>
      <c r="L182" s="892" t="s">
        <v>4567</v>
      </c>
      <c r="M182" s="874"/>
      <c r="N182" s="4"/>
      <c r="O182" s="874"/>
      <c r="P182" s="868" t="b">
        <v>0</v>
      </c>
      <c r="Q182" s="868" t="b">
        <v>1</v>
      </c>
      <c r="R182" s="868" t="b">
        <v>0</v>
      </c>
      <c r="S182" s="868" t="b">
        <f>IF(AY19=INDEX(ddSingleOrMulti,2),TRUE,FALSE)</f>
        <v>0</v>
      </c>
      <c r="T182" s="868" t="b">
        <f t="shared" si="9"/>
        <v>0</v>
      </c>
      <c r="W182" s="25"/>
      <c r="X182" s="869"/>
      <c r="AC182" s="868" t="b">
        <f t="shared" si="10"/>
        <v>0</v>
      </c>
      <c r="AD182" s="868" t="b">
        <f t="shared" si="11"/>
        <v>0</v>
      </c>
      <c r="AP182" s="254" t="str">
        <f t="shared" si="12"/>
        <v>dch1002_6_2</v>
      </c>
      <c r="AQ182" s="254" t="str">
        <f t="shared" si="13"/>
        <v/>
      </c>
      <c r="AR182" s="254" t="str">
        <f t="shared" si="14"/>
        <v>dnt1002_6_2</v>
      </c>
      <c r="AS182" s="254" t="str">
        <f t="shared" si="15"/>
        <v/>
      </c>
    </row>
    <row r="183" spans="2:61" customFormat="1" x14ac:dyDescent="0.25">
      <c r="B183" s="679" t="s">
        <v>4554</v>
      </c>
      <c r="C183" s="679" t="s">
        <v>260</v>
      </c>
      <c r="D183" s="1130"/>
      <c r="E183" s="1130"/>
      <c r="I183" s="667"/>
      <c r="J183" s="667" t="s">
        <v>260</v>
      </c>
      <c r="K183" s="679"/>
      <c r="L183" s="892" t="s">
        <v>4568</v>
      </c>
      <c r="M183" s="874"/>
      <c r="N183" s="4"/>
      <c r="O183" s="874"/>
      <c r="P183" s="868" t="b">
        <v>0</v>
      </c>
      <c r="Q183" s="868" t="b">
        <v>1</v>
      </c>
      <c r="R183" s="868" t="b">
        <v>0</v>
      </c>
      <c r="S183" s="868" t="b">
        <f>IF(AY19=INDEX(ddSingleOrMulti,2),TRUE,FALSE)</f>
        <v>0</v>
      </c>
      <c r="T183" s="868" t="b">
        <f t="shared" si="9"/>
        <v>0</v>
      </c>
      <c r="W183" s="25"/>
      <c r="X183" s="869"/>
      <c r="AC183" s="868" t="b">
        <f t="shared" si="10"/>
        <v>0</v>
      </c>
      <c r="AD183" s="868" t="b">
        <f t="shared" si="11"/>
        <v>0</v>
      </c>
      <c r="AP183" s="254" t="str">
        <f t="shared" si="12"/>
        <v>dch1002_6_3</v>
      </c>
      <c r="AQ183" s="254" t="str">
        <f t="shared" si="13"/>
        <v/>
      </c>
      <c r="AR183" s="254" t="str">
        <f t="shared" si="14"/>
        <v>dnt1002_6_3</v>
      </c>
      <c r="AS183" s="254" t="str">
        <f t="shared" si="15"/>
        <v/>
      </c>
    </row>
    <row r="184" spans="2:61" customFormat="1" x14ac:dyDescent="0.25">
      <c r="B184" s="679" t="s">
        <v>4554</v>
      </c>
      <c r="C184" s="679" t="s">
        <v>269</v>
      </c>
      <c r="D184" s="1130"/>
      <c r="E184" s="1130"/>
      <c r="I184" s="667"/>
      <c r="J184" s="667" t="s">
        <v>269</v>
      </c>
      <c r="K184" s="679"/>
      <c r="L184" s="892" t="s">
        <v>4569</v>
      </c>
      <c r="M184" s="874"/>
      <c r="N184" s="4"/>
      <c r="O184" s="874"/>
      <c r="P184" s="868" t="b">
        <v>0</v>
      </c>
      <c r="Q184" s="868" t="b">
        <v>1</v>
      </c>
      <c r="R184" s="868" t="b">
        <v>0</v>
      </c>
      <c r="S184" s="868" t="b">
        <f>IF(AY19=INDEX(ddSingleOrMulti,2),TRUE,FALSE)</f>
        <v>0</v>
      </c>
      <c r="T184" s="868" t="b">
        <f t="shared" si="9"/>
        <v>0</v>
      </c>
      <c r="W184" s="25"/>
      <c r="X184" s="869"/>
      <c r="AC184" s="868" t="b">
        <f t="shared" si="10"/>
        <v>0</v>
      </c>
      <c r="AD184" s="868" t="b">
        <f t="shared" si="11"/>
        <v>0</v>
      </c>
      <c r="AP184" s="254" t="str">
        <f t="shared" si="12"/>
        <v>dch1002_6_4</v>
      </c>
      <c r="AQ184" s="254" t="str">
        <f t="shared" si="13"/>
        <v/>
      </c>
      <c r="AR184" s="254" t="str">
        <f t="shared" si="14"/>
        <v>dnt1002_6_4</v>
      </c>
      <c r="AS184" s="254" t="str">
        <f t="shared" si="15"/>
        <v/>
      </c>
    </row>
    <row r="185" spans="2:61" customFormat="1" x14ac:dyDescent="0.25">
      <c r="B185" s="679" t="s">
        <v>4554</v>
      </c>
      <c r="C185" s="679" t="s">
        <v>275</v>
      </c>
      <c r="D185" s="1130"/>
      <c r="E185" s="1130"/>
      <c r="I185" s="667"/>
      <c r="J185" s="667" t="s">
        <v>275</v>
      </c>
      <c r="K185" s="679"/>
      <c r="L185" s="892" t="s">
        <v>4570</v>
      </c>
      <c r="M185" s="874"/>
      <c r="N185" s="4"/>
      <c r="O185" s="874"/>
      <c r="P185" s="868" t="b">
        <v>0</v>
      </c>
      <c r="Q185" s="868" t="b">
        <v>1</v>
      </c>
      <c r="R185" s="868" t="b">
        <v>0</v>
      </c>
      <c r="S185" s="868" t="b">
        <f>IF(AY19=INDEX(ddSingleOrMulti,2),TRUE,FALSE)</f>
        <v>0</v>
      </c>
      <c r="T185" s="868" t="b">
        <f t="shared" si="9"/>
        <v>0</v>
      </c>
      <c r="W185" s="25"/>
      <c r="X185" s="869"/>
      <c r="AC185" s="868" t="b">
        <f t="shared" si="10"/>
        <v>0</v>
      </c>
      <c r="AD185" s="868" t="b">
        <f t="shared" si="11"/>
        <v>0</v>
      </c>
      <c r="AP185" s="254" t="str">
        <f t="shared" si="12"/>
        <v>dch1002_6_5</v>
      </c>
      <c r="AQ185" s="254" t="str">
        <f t="shared" si="13"/>
        <v/>
      </c>
      <c r="AR185" s="254" t="str">
        <f t="shared" si="14"/>
        <v>dnt1002_6_5</v>
      </c>
      <c r="AS185" s="254" t="str">
        <f t="shared" si="15"/>
        <v/>
      </c>
    </row>
    <row r="186" spans="2:61" customFormat="1" x14ac:dyDescent="0.25">
      <c r="B186" s="679" t="s">
        <v>4554</v>
      </c>
      <c r="C186" s="679" t="s">
        <v>277</v>
      </c>
      <c r="D186" s="1130"/>
      <c r="E186" s="1130"/>
      <c r="I186" s="667"/>
      <c r="J186" s="667" t="s">
        <v>277</v>
      </c>
      <c r="K186" s="679"/>
      <c r="L186" s="892" t="s">
        <v>3346</v>
      </c>
      <c r="M186" s="874"/>
      <c r="N186" s="4"/>
      <c r="O186" s="874"/>
      <c r="P186" s="868" t="b">
        <v>0</v>
      </c>
      <c r="Q186" s="868" t="b">
        <v>1</v>
      </c>
      <c r="R186" s="868" t="b">
        <v>0</v>
      </c>
      <c r="S186" s="868" t="b">
        <f>IF(AY19=INDEX(ddSingleOrMulti,2),TRUE,FALSE)</f>
        <v>0</v>
      </c>
      <c r="T186" s="868" t="b">
        <f t="shared" si="9"/>
        <v>0</v>
      </c>
      <c r="W186" s="25"/>
      <c r="X186" s="869"/>
      <c r="AC186" s="868" t="b">
        <f t="shared" si="10"/>
        <v>0</v>
      </c>
      <c r="AD186" s="868" t="b">
        <f t="shared" si="11"/>
        <v>0</v>
      </c>
      <c r="AP186" s="254" t="str">
        <f t="shared" si="12"/>
        <v>dch1002_6_6</v>
      </c>
      <c r="AQ186" s="254" t="str">
        <f t="shared" si="13"/>
        <v/>
      </c>
      <c r="AR186" s="254" t="str">
        <f t="shared" si="14"/>
        <v>dnt1002_6_6</v>
      </c>
      <c r="AS186" s="254" t="str">
        <f t="shared" si="15"/>
        <v/>
      </c>
    </row>
    <row r="187" spans="2:61" customFormat="1" x14ac:dyDescent="0.25">
      <c r="B187" s="679" t="s">
        <v>4554</v>
      </c>
      <c r="C187" s="679" t="s">
        <v>383</v>
      </c>
      <c r="D187" s="1130"/>
      <c r="E187" s="1130"/>
      <c r="I187" s="667"/>
      <c r="J187" s="667" t="s">
        <v>383</v>
      </c>
      <c r="K187" s="679"/>
      <c r="L187" s="892" t="s">
        <v>4571</v>
      </c>
      <c r="M187" s="868"/>
      <c r="N187" s="868"/>
      <c r="O187" s="868"/>
      <c r="P187" s="868" t="b">
        <v>0</v>
      </c>
      <c r="Q187" s="868" t="b">
        <v>1</v>
      </c>
      <c r="R187" s="868" t="b">
        <v>0</v>
      </c>
      <c r="S187" s="868" t="b">
        <f>IF(AY19=INDEX(ddSingleOrMulti,2),TRUE,FALSE)</f>
        <v>0</v>
      </c>
      <c r="T187" s="868" t="b">
        <f t="shared" si="9"/>
        <v>0</v>
      </c>
      <c r="W187" s="25"/>
      <c r="X187" s="869"/>
      <c r="AC187" s="868" t="b">
        <f t="shared" si="10"/>
        <v>0</v>
      </c>
      <c r="AD187" s="868" t="b">
        <f t="shared" si="11"/>
        <v>0</v>
      </c>
      <c r="AP187" s="254" t="str">
        <f t="shared" si="12"/>
        <v>dch1002_6_7</v>
      </c>
      <c r="AQ187" s="254" t="str">
        <f t="shared" si="13"/>
        <v/>
      </c>
      <c r="AR187" s="254" t="str">
        <f t="shared" si="14"/>
        <v>dnt1002_6_7</v>
      </c>
      <c r="AS187" s="254" t="str">
        <f t="shared" si="15"/>
        <v/>
      </c>
    </row>
    <row r="188" spans="2:61" ht="18.75" x14ac:dyDescent="0.3">
      <c r="B188" s="679">
        <v>1003</v>
      </c>
      <c r="C188" s="21"/>
      <c r="D188" s="21"/>
      <c r="E188" s="21"/>
      <c r="F188" s="21"/>
      <c r="G188" s="21"/>
      <c r="H188" s="758"/>
      <c r="I188" s="69" t="s">
        <v>3360</v>
      </c>
      <c r="J188" s="23"/>
      <c r="K188" s="23"/>
      <c r="L188" s="228"/>
      <c r="M188" s="498"/>
      <c r="N188" s="508"/>
      <c r="O188" s="498"/>
      <c r="P188" s="23"/>
      <c r="Q188" s="23"/>
      <c r="R188" s="23"/>
      <c r="S188" s="23"/>
      <c r="T188" s="23"/>
      <c r="U188" s="23"/>
      <c r="V188" s="23"/>
      <c r="W188" s="23"/>
      <c r="X188" s="23"/>
      <c r="AZ188"/>
      <c r="BA188"/>
      <c r="BB188"/>
      <c r="BC188"/>
      <c r="BD188"/>
      <c r="BE188"/>
      <c r="BF188"/>
      <c r="BG188"/>
      <c r="BH188"/>
      <c r="BI188"/>
    </row>
    <row r="189" spans="2:61" x14ac:dyDescent="0.25">
      <c r="B189" s="679" t="s">
        <v>3985</v>
      </c>
      <c r="C189" s="21"/>
      <c r="D189" s="21"/>
      <c r="E189" s="21"/>
      <c r="F189" s="21"/>
      <c r="G189" s="21"/>
      <c r="H189" s="758"/>
      <c r="I189" s="668" t="s">
        <v>3985</v>
      </c>
      <c r="J189" s="129"/>
      <c r="K189" s="129"/>
      <c r="L189" s="1782" t="s">
        <v>3361</v>
      </c>
      <c r="M189" s="915"/>
      <c r="N189" s="129"/>
      <c r="O189" s="915"/>
      <c r="P189" s="94"/>
      <c r="Q189" s="94"/>
      <c r="R189" s="94"/>
      <c r="S189" s="94"/>
      <c r="T189" s="94"/>
      <c r="U189" s="94"/>
      <c r="V189" s="94"/>
      <c r="W189" s="94"/>
      <c r="X189" s="94"/>
    </row>
    <row r="190" spans="2:61" x14ac:dyDescent="0.25">
      <c r="B190" s="679" t="s">
        <v>3985</v>
      </c>
      <c r="C190" s="21"/>
      <c r="D190" s="21"/>
      <c r="E190" s="21"/>
      <c r="F190" s="21"/>
      <c r="G190" s="21"/>
      <c r="H190" s="758"/>
      <c r="I190" s="941"/>
      <c r="J190" s="129"/>
      <c r="K190" s="129"/>
      <c r="L190" s="1782"/>
      <c r="M190" s="915"/>
      <c r="N190" s="129"/>
      <c r="O190" s="915"/>
      <c r="P190" s="94"/>
      <c r="Q190" s="94"/>
      <c r="R190" s="94"/>
      <c r="S190" s="94"/>
      <c r="T190" s="94"/>
      <c r="U190" s="94"/>
      <c r="V190" s="94"/>
      <c r="W190" s="94"/>
      <c r="X190" s="94"/>
    </row>
    <row r="191" spans="2:61" ht="15.75" thickBot="1" x14ac:dyDescent="0.3">
      <c r="B191" s="679" t="s">
        <v>3985</v>
      </c>
      <c r="C191" s="21"/>
      <c r="D191" s="21"/>
      <c r="E191" s="21"/>
      <c r="F191" s="21"/>
      <c r="G191" s="21"/>
      <c r="H191" s="758"/>
      <c r="I191" s="658"/>
      <c r="J191" s="240"/>
      <c r="K191" s="240"/>
      <c r="L191" s="1797"/>
      <c r="M191" s="922"/>
      <c r="N191" s="240"/>
      <c r="O191" s="922"/>
      <c r="P191" s="99"/>
      <c r="Q191" s="99"/>
      <c r="R191" s="99"/>
      <c r="S191" s="99"/>
      <c r="T191" s="99"/>
      <c r="U191" s="99"/>
      <c r="V191" s="99"/>
      <c r="W191" s="99"/>
      <c r="X191" s="99"/>
    </row>
    <row r="192" spans="2:61" ht="15.75" thickTop="1" x14ac:dyDescent="0.25">
      <c r="B192" s="679">
        <v>1003.1</v>
      </c>
      <c r="C192" s="21"/>
      <c r="D192" s="21"/>
      <c r="E192" s="21"/>
      <c r="F192" s="21"/>
      <c r="G192" s="21"/>
      <c r="H192" s="758"/>
      <c r="I192" s="139">
        <v>1003.1</v>
      </c>
      <c r="J192" s="4"/>
      <c r="K192" s="4"/>
      <c r="L192" s="227" t="s">
        <v>3362</v>
      </c>
      <c r="M192" s="428" t="s">
        <v>3363</v>
      </c>
      <c r="N192" s="4"/>
      <c r="O192" s="141">
        <f>MIN(2,COUNTIF(W193:W198,TRUE))</f>
        <v>0</v>
      </c>
      <c r="AL192" s="254" t="str">
        <f>SUBSTITUTE(SUBSTITUTE(SUBSTITUTE("dpa"&amp;$B192&amp;$C192&amp;$D192&amp;$E192,".","_"),"(","_"),")","")</f>
        <v>dpa1003_1</v>
      </c>
      <c r="AM192" s="254" t="str">
        <f>M192</f>
        <v>2 Max</v>
      </c>
      <c r="AN192" s="254" t="str">
        <f>SUBSTITUTE(SUBSTITUTE(SUBSTITUTE("dpc"&amp;$B192&amp;$C192&amp;$D192&amp;$E192,".","_"),"(","_"),")","")</f>
        <v>dpc1003_1</v>
      </c>
      <c r="AO192" s="254">
        <f>O192</f>
        <v>0</v>
      </c>
    </row>
    <row r="193" spans="2:45" x14ac:dyDescent="0.25">
      <c r="B193" s="679">
        <v>1003.1</v>
      </c>
      <c r="C193" s="21" t="s">
        <v>256</v>
      </c>
      <c r="D193" s="21"/>
      <c r="E193" s="21"/>
      <c r="F193" s="21"/>
      <c r="G193" s="21"/>
      <c r="H193" s="758"/>
      <c r="I193" s="165"/>
      <c r="J193" s="183" t="s">
        <v>256</v>
      </c>
      <c r="K193" s="129"/>
      <c r="L193" s="1782" t="s">
        <v>3364</v>
      </c>
      <c r="M193" s="1758">
        <v>1</v>
      </c>
      <c r="N193" s="4"/>
      <c r="O193" s="141"/>
      <c r="P193" s="76" t="b">
        <v>1</v>
      </c>
      <c r="Q193" s="633" t="b">
        <v>0</v>
      </c>
      <c r="R193" s="169" t="b">
        <v>0</v>
      </c>
      <c r="S193" s="169" t="b">
        <v>1</v>
      </c>
      <c r="T193" s="169" t="b">
        <v>0</v>
      </c>
      <c r="W193" s="25"/>
      <c r="X193" s="1757"/>
      <c r="AL193" s="254" t="str">
        <f>SUBSTITUTE(SUBSTITUTE(SUBSTITUTE("dpa"&amp;$B193&amp;$C193&amp;$D193&amp;$E193,".","_"),"(","_"),")","")</f>
        <v>dpa1003_1_1</v>
      </c>
      <c r="AM193" s="254">
        <f>M193</f>
        <v>1</v>
      </c>
      <c r="AP193" s="254" t="str">
        <f>SUBSTITUTE(SUBSTITUTE(SUBSTITUTE("dch"&amp;$B193&amp;$C193&amp;$D193&amp;$E193,".","_"),"(","_"),")","")</f>
        <v>dch1003_1_1</v>
      </c>
      <c r="AQ193" s="254" t="str">
        <f>IF(LEN(W193)=0,"",W193)</f>
        <v/>
      </c>
      <c r="AR193" s="254" t="str">
        <f>SUBSTITUTE(SUBSTITUTE(SUBSTITUTE("dnt"&amp;$B193&amp;$C193&amp;$D193&amp;$E193,".","_"),"(","_"),")","")</f>
        <v>dnt1003_1_1</v>
      </c>
      <c r="AS193" s="254" t="str">
        <f>IF(LEN(X193)=0,"",X193)</f>
        <v/>
      </c>
    </row>
    <row r="194" spans="2:45" x14ac:dyDescent="0.25">
      <c r="B194" s="679">
        <v>1003.1</v>
      </c>
      <c r="C194" s="21" t="s">
        <v>256</v>
      </c>
      <c r="D194" s="21"/>
      <c r="E194" s="21"/>
      <c r="F194" s="21"/>
      <c r="G194" s="21"/>
      <c r="H194" s="758"/>
      <c r="I194" s="165"/>
      <c r="J194" s="206"/>
      <c r="K194" s="210"/>
      <c r="L194" s="1843"/>
      <c r="M194" s="1759"/>
      <c r="N194" s="4"/>
      <c r="O194" s="141"/>
      <c r="X194" s="1757"/>
    </row>
    <row r="195" spans="2:45" x14ac:dyDescent="0.25">
      <c r="B195" s="679">
        <v>1003.1</v>
      </c>
      <c r="C195" s="21" t="s">
        <v>258</v>
      </c>
      <c r="D195" s="21"/>
      <c r="E195" s="21"/>
      <c r="F195" s="21"/>
      <c r="G195" s="21"/>
      <c r="H195" s="758"/>
      <c r="I195" s="165"/>
      <c r="J195" s="209" t="s">
        <v>258</v>
      </c>
      <c r="K195" s="193"/>
      <c r="L195" s="1864" t="s">
        <v>3365</v>
      </c>
      <c r="M195" s="1762">
        <v>1</v>
      </c>
      <c r="N195" s="4"/>
      <c r="O195" s="141"/>
      <c r="P195" s="633" t="b">
        <v>0</v>
      </c>
      <c r="Q195" s="633" t="b">
        <v>1</v>
      </c>
      <c r="R195" s="169" t="b">
        <v>0</v>
      </c>
      <c r="S195" s="169" t="b">
        <v>1</v>
      </c>
      <c r="T195" s="169" t="b">
        <v>0</v>
      </c>
      <c r="W195" s="25"/>
      <c r="X195" s="1757"/>
      <c r="AL195" s="254" t="str">
        <f>SUBSTITUTE(SUBSTITUTE(SUBSTITUTE("dpa"&amp;$B195&amp;$C195&amp;$D195&amp;$E195,".","_"),"(","_"),")","")</f>
        <v>dpa1003_1_2</v>
      </c>
      <c r="AM195" s="254">
        <f>M195</f>
        <v>1</v>
      </c>
      <c r="AP195" s="254" t="str">
        <f>SUBSTITUTE(SUBSTITUTE(SUBSTITUTE("dch"&amp;$B195&amp;$C195&amp;$D195&amp;$E195,".","_"),"(","_"),")","")</f>
        <v>dch1003_1_2</v>
      </c>
      <c r="AQ195" s="254" t="str">
        <f>IF(LEN(W195)=0,"",W195)</f>
        <v/>
      </c>
      <c r="AR195" s="254" t="str">
        <f>SUBSTITUTE(SUBSTITUTE(SUBSTITUTE("dnt"&amp;$B195&amp;$C195&amp;$D195&amp;$E195,".","_"),"(","_"),")","")</f>
        <v>dnt1003_1_2</v>
      </c>
      <c r="AS195" s="254" t="str">
        <f>IF(LEN(X195)=0,"",X195)</f>
        <v/>
      </c>
    </row>
    <row r="196" spans="2:45" x14ac:dyDescent="0.25">
      <c r="B196" s="679">
        <v>1003.1</v>
      </c>
      <c r="C196" s="21" t="s">
        <v>258</v>
      </c>
      <c r="D196" s="21"/>
      <c r="E196" s="21"/>
      <c r="F196" s="21"/>
      <c r="G196" s="21"/>
      <c r="H196" s="758"/>
      <c r="I196" s="165"/>
      <c r="J196" s="183"/>
      <c r="K196" s="129"/>
      <c r="L196" s="1782"/>
      <c r="M196" s="1758"/>
      <c r="N196" s="4"/>
      <c r="O196" s="141"/>
      <c r="X196" s="1757"/>
    </row>
    <row r="197" spans="2:45" x14ac:dyDescent="0.25">
      <c r="B197" s="679">
        <v>1003.1</v>
      </c>
      <c r="C197" s="21" t="s">
        <v>258</v>
      </c>
      <c r="D197" s="21"/>
      <c r="E197" s="21"/>
      <c r="F197" s="21"/>
      <c r="G197" s="21"/>
      <c r="H197" s="758"/>
      <c r="I197" s="165"/>
      <c r="J197" s="206"/>
      <c r="K197" s="210"/>
      <c r="L197" s="1843"/>
      <c r="M197" s="1759"/>
      <c r="N197" s="4"/>
      <c r="O197" s="141"/>
      <c r="X197" s="1757"/>
    </row>
    <row r="198" spans="2:45" x14ac:dyDescent="0.25">
      <c r="B198" s="679">
        <v>1003.1</v>
      </c>
      <c r="C198" s="21" t="s">
        <v>260</v>
      </c>
      <c r="D198" s="21"/>
      <c r="E198" s="21"/>
      <c r="F198" s="21"/>
      <c r="G198" s="21"/>
      <c r="H198" s="758"/>
      <c r="I198" s="165"/>
      <c r="J198" s="27" t="s">
        <v>260</v>
      </c>
      <c r="K198" s="4"/>
      <c r="L198" s="1796" t="s">
        <v>3366</v>
      </c>
      <c r="M198" s="1767">
        <v>1</v>
      </c>
      <c r="N198" s="4"/>
      <c r="O198" s="141"/>
      <c r="P198" s="633" t="b">
        <v>1</v>
      </c>
      <c r="Q198" s="633" t="b">
        <v>0</v>
      </c>
      <c r="R198" s="169" t="b">
        <v>0</v>
      </c>
      <c r="S198" s="169" t="b">
        <v>1</v>
      </c>
      <c r="T198" s="169" t="b">
        <v>0</v>
      </c>
      <c r="W198" s="25"/>
      <c r="X198" s="1757"/>
      <c r="AL198" s="254" t="str">
        <f>SUBSTITUTE(SUBSTITUTE(SUBSTITUTE("dpa"&amp;$B198&amp;$C198&amp;$D198&amp;$E198,".","_"),"(","_"),")","")</f>
        <v>dpa1003_1_3</v>
      </c>
      <c r="AM198" s="254">
        <f>M198</f>
        <v>1</v>
      </c>
      <c r="AP198" s="254" t="str">
        <f>SUBSTITUTE(SUBSTITUTE(SUBSTITUTE("dch"&amp;$B198&amp;$C198&amp;$D198&amp;$E198,".","_"),"(","_"),")","")</f>
        <v>dch1003_1_3</v>
      </c>
      <c r="AQ198" s="254" t="str">
        <f>IF(LEN(W198)=0,"",W198)</f>
        <v/>
      </c>
      <c r="AR198" s="254" t="str">
        <f>SUBSTITUTE(SUBSTITUTE(SUBSTITUTE("dnt"&amp;$B198&amp;$C198&amp;$D198&amp;$E198,".","_"),"(","_"),")","")</f>
        <v>dnt1003_1_3</v>
      </c>
      <c r="AS198" s="254" t="str">
        <f>IF(LEN(X198)=0,"",X198)</f>
        <v/>
      </c>
    </row>
    <row r="199" spans="2:45" x14ac:dyDescent="0.25">
      <c r="B199" s="679">
        <v>1003.1</v>
      </c>
      <c r="C199" s="21" t="s">
        <v>260</v>
      </c>
      <c r="D199" s="21"/>
      <c r="E199" s="21"/>
      <c r="F199" s="21"/>
      <c r="G199" s="21"/>
      <c r="H199" s="758"/>
      <c r="I199" s="165"/>
      <c r="J199" s="4"/>
      <c r="K199" s="4"/>
      <c r="L199" s="1796"/>
      <c r="M199" s="1767"/>
      <c r="N199" s="4"/>
      <c r="O199" s="141"/>
      <c r="X199" s="1757"/>
    </row>
    <row r="200" spans="2:45" x14ac:dyDescent="0.25">
      <c r="B200" s="679">
        <v>1003.1</v>
      </c>
      <c r="C200" s="21" t="s">
        <v>260</v>
      </c>
      <c r="D200" s="21"/>
      <c r="E200" s="21"/>
      <c r="F200" s="21"/>
      <c r="G200" s="21"/>
      <c r="H200" s="758"/>
      <c r="I200" s="165"/>
      <c r="J200" s="4"/>
      <c r="K200" s="4"/>
      <c r="L200" s="1796"/>
      <c r="M200" s="1767"/>
      <c r="N200" s="4"/>
      <c r="O200" s="141"/>
      <c r="X200" s="1757"/>
    </row>
    <row r="201" spans="2:45" ht="18.75" x14ac:dyDescent="0.3">
      <c r="B201" s="679">
        <v>1004</v>
      </c>
      <c r="C201" s="77"/>
      <c r="D201" s="77"/>
      <c r="E201" s="77"/>
      <c r="F201" s="77"/>
      <c r="G201" s="77"/>
      <c r="H201" s="761"/>
      <c r="I201" s="69" t="s">
        <v>3367</v>
      </c>
      <c r="J201" s="23"/>
      <c r="K201" s="23"/>
      <c r="L201" s="228"/>
      <c r="M201" s="498"/>
      <c r="N201" s="508"/>
      <c r="O201" s="498"/>
      <c r="P201" s="23"/>
      <c r="Q201" s="23"/>
      <c r="R201" s="23"/>
      <c r="S201" s="23"/>
      <c r="T201" s="23"/>
      <c r="U201" s="23"/>
      <c r="V201" s="23"/>
      <c r="W201" s="23"/>
      <c r="X201" s="23"/>
    </row>
    <row r="202" spans="2:45" x14ac:dyDescent="0.25">
      <c r="B202" s="679" t="s">
        <v>3986</v>
      </c>
      <c r="C202" s="21"/>
      <c r="D202" s="21"/>
      <c r="E202" s="21"/>
      <c r="F202" s="21"/>
      <c r="G202" s="21"/>
      <c r="H202" s="758"/>
      <c r="I202" s="668" t="s">
        <v>3986</v>
      </c>
      <c r="J202" s="129"/>
      <c r="K202" s="129"/>
      <c r="L202" s="1782" t="s">
        <v>3368</v>
      </c>
      <c r="M202" s="915"/>
      <c r="N202" s="129"/>
      <c r="O202" s="915"/>
      <c r="P202" s="94"/>
      <c r="Q202" s="94"/>
      <c r="R202" s="94"/>
      <c r="S202" s="94"/>
      <c r="T202" s="94"/>
      <c r="U202" s="94"/>
      <c r="V202" s="94"/>
      <c r="W202" s="94"/>
      <c r="X202" s="94"/>
    </row>
    <row r="203" spans="2:45" x14ac:dyDescent="0.25">
      <c r="B203" s="679" t="s">
        <v>3986</v>
      </c>
      <c r="C203" s="21"/>
      <c r="D203" s="21"/>
      <c r="E203" s="21"/>
      <c r="F203" s="21"/>
      <c r="G203" s="21"/>
      <c r="H203" s="758"/>
      <c r="I203" s="941"/>
      <c r="J203" s="129"/>
      <c r="K203" s="129"/>
      <c r="L203" s="1782"/>
      <c r="M203" s="915"/>
      <c r="N203" s="129"/>
      <c r="O203" s="915"/>
      <c r="P203" s="94"/>
      <c r="Q203" s="94"/>
      <c r="R203" s="94"/>
      <c r="S203" s="94"/>
      <c r="T203" s="94"/>
      <c r="U203" s="94"/>
      <c r="V203" s="94"/>
      <c r="W203" s="94"/>
      <c r="X203" s="94"/>
    </row>
    <row r="204" spans="2:45" x14ac:dyDescent="0.25">
      <c r="B204" s="679" t="s">
        <v>3986</v>
      </c>
      <c r="C204" s="21"/>
      <c r="D204" s="21"/>
      <c r="E204" s="21"/>
      <c r="F204" s="21"/>
      <c r="G204" s="21"/>
      <c r="H204" s="758"/>
      <c r="I204" s="941"/>
      <c r="J204" s="129"/>
      <c r="K204" s="129"/>
      <c r="L204" s="1782"/>
      <c r="M204" s="915"/>
      <c r="N204" s="129"/>
      <c r="O204" s="915"/>
      <c r="P204" s="94"/>
      <c r="Q204" s="94"/>
      <c r="R204" s="94"/>
      <c r="S204" s="94"/>
      <c r="T204" s="94"/>
      <c r="U204" s="94"/>
      <c r="V204" s="94"/>
      <c r="W204" s="94"/>
      <c r="X204" s="94"/>
    </row>
    <row r="205" spans="2:45" ht="15.75" thickBot="1" x14ac:dyDescent="0.3">
      <c r="B205" s="679" t="s">
        <v>3986</v>
      </c>
      <c r="C205" s="21"/>
      <c r="D205" s="21"/>
      <c r="E205" s="21"/>
      <c r="F205" s="21"/>
      <c r="G205" s="21"/>
      <c r="H205" s="758"/>
      <c r="I205" s="658"/>
      <c r="J205" s="240"/>
      <c r="K205" s="240"/>
      <c r="L205" s="1797"/>
      <c r="M205" s="922"/>
      <c r="N205" s="240"/>
      <c r="O205" s="922"/>
      <c r="P205" s="99"/>
      <c r="Q205" s="99"/>
      <c r="R205" s="99"/>
      <c r="S205" s="99"/>
      <c r="T205" s="99"/>
      <c r="U205" s="99"/>
      <c r="V205" s="99"/>
      <c r="W205" s="99"/>
      <c r="X205" s="99"/>
    </row>
    <row r="206" spans="2:45" ht="15.75" thickTop="1" x14ac:dyDescent="0.25">
      <c r="B206" s="679">
        <v>1004.1</v>
      </c>
      <c r="C206" s="21"/>
      <c r="D206" s="21"/>
      <c r="E206" s="21"/>
      <c r="F206" s="21"/>
      <c r="G206" s="21"/>
      <c r="H206" s="758"/>
      <c r="I206" s="139">
        <v>1004.1</v>
      </c>
      <c r="J206" s="4"/>
      <c r="K206" s="4"/>
      <c r="L206" s="1796" t="s">
        <v>3369</v>
      </c>
      <c r="M206" s="141"/>
      <c r="N206" s="4"/>
      <c r="O206" s="141"/>
    </row>
    <row r="207" spans="2:45" x14ac:dyDescent="0.25">
      <c r="B207" s="679">
        <v>1004.1</v>
      </c>
      <c r="C207" s="21"/>
      <c r="D207" s="21"/>
      <c r="E207" s="21"/>
      <c r="F207" s="21"/>
      <c r="G207" s="21"/>
      <c r="H207" s="758"/>
      <c r="I207" s="4"/>
      <c r="J207" s="4"/>
      <c r="K207" s="4"/>
      <c r="L207" s="1796"/>
      <c r="M207" s="141"/>
      <c r="N207" s="4"/>
      <c r="O207" s="141"/>
    </row>
    <row r="208" spans="2:45" x14ac:dyDescent="0.25">
      <c r="B208" s="679">
        <v>1004.1</v>
      </c>
      <c r="C208" s="21"/>
      <c r="D208" s="21"/>
      <c r="E208" s="21"/>
      <c r="F208" s="21"/>
      <c r="G208" s="21"/>
      <c r="H208" s="758"/>
      <c r="I208" s="4"/>
      <c r="J208" s="4"/>
      <c r="K208" s="4"/>
      <c r="L208" s="1796"/>
      <c r="M208" s="141"/>
      <c r="N208" s="4"/>
      <c r="O208" s="141"/>
    </row>
    <row r="209" spans="1:61" x14ac:dyDescent="0.25">
      <c r="B209" s="679">
        <v>1004.1</v>
      </c>
      <c r="C209" s="21"/>
      <c r="D209" s="21"/>
      <c r="E209" s="21"/>
      <c r="F209" s="21"/>
      <c r="G209" s="21"/>
      <c r="H209" s="758"/>
      <c r="I209" s="4"/>
      <c r="J209" s="4"/>
      <c r="K209" s="4"/>
      <c r="L209" s="1796"/>
      <c r="M209" s="141"/>
      <c r="N209" s="4"/>
      <c r="O209" s="141"/>
    </row>
    <row r="210" spans="1:61" x14ac:dyDescent="0.25">
      <c r="B210" s="679">
        <v>1004.1</v>
      </c>
      <c r="C210" s="21"/>
      <c r="D210" s="21"/>
      <c r="E210" s="21"/>
      <c r="F210" s="21"/>
      <c r="G210" s="21"/>
      <c r="H210" s="758"/>
      <c r="I210" s="4"/>
      <c r="J210" s="4"/>
      <c r="K210" s="4"/>
      <c r="L210" s="1796"/>
      <c r="M210" s="141"/>
      <c r="N210" s="4"/>
      <c r="O210" s="141"/>
    </row>
    <row r="211" spans="1:61" x14ac:dyDescent="0.25">
      <c r="B211" s="679">
        <v>1004.1</v>
      </c>
      <c r="C211" s="21" t="s">
        <v>256</v>
      </c>
      <c r="D211" s="21"/>
      <c r="E211" s="21"/>
      <c r="F211" s="21"/>
      <c r="G211" s="21"/>
      <c r="H211" s="758"/>
      <c r="I211" s="4"/>
      <c r="J211" s="183" t="s">
        <v>256</v>
      </c>
      <c r="K211" s="129"/>
      <c r="L211" s="1754" t="s">
        <v>3950</v>
      </c>
      <c r="M211" s="1758">
        <v>1</v>
      </c>
      <c r="N211" s="129"/>
      <c r="O211" s="1774">
        <f>M211*S211*W211</f>
        <v>0</v>
      </c>
      <c r="P211" s="76" t="b">
        <v>0</v>
      </c>
      <c r="Q211" s="633" t="b">
        <v>1</v>
      </c>
      <c r="R211" s="169" t="b">
        <v>0</v>
      </c>
      <c r="S211" s="169" t="b">
        <v>1</v>
      </c>
      <c r="T211" s="169" t="b">
        <v>0</v>
      </c>
      <c r="W211" s="25"/>
      <c r="X211" s="1757"/>
      <c r="AL211" s="254" t="str">
        <f>SUBSTITUTE(SUBSTITUTE(SUBSTITUTE("dpa"&amp;$B211&amp;$C211&amp;$D211&amp;$E211,".","_"),"(","_"),")","")</f>
        <v>dpa1004_1_1</v>
      </c>
      <c r="AM211" s="254">
        <f>M211</f>
        <v>1</v>
      </c>
      <c r="AN211" s="254" t="str">
        <f>SUBSTITUTE(SUBSTITUTE(SUBSTITUTE("dpc"&amp;$B211&amp;$C211&amp;$D211&amp;$E211,".","_"),"(","_"),")","")</f>
        <v>dpc1004_1_1</v>
      </c>
      <c r="AO211" s="254">
        <f>O211</f>
        <v>0</v>
      </c>
      <c r="AP211" s="254" t="str">
        <f>SUBSTITUTE(SUBSTITUTE(SUBSTITUTE("dch"&amp;$B211&amp;$C211&amp;$D211&amp;$E211,".","_"),"(","_"),")","")</f>
        <v>dch1004_1_1</v>
      </c>
      <c r="AQ211" s="254" t="str">
        <f>IF(LEN(W211)=0,"",W211)</f>
        <v/>
      </c>
      <c r="AR211" s="254" t="str">
        <f>SUBSTITUTE(SUBSTITUTE(SUBSTITUTE("dnt"&amp;$B211&amp;$C211&amp;$D211&amp;$E211,".","_"),"(","_"),")","")</f>
        <v>dnt1004_1_1</v>
      </c>
      <c r="AS211" s="254" t="str">
        <f>IF(LEN(X211)=0,"",X211)</f>
        <v/>
      </c>
    </row>
    <row r="212" spans="1:61" x14ac:dyDescent="0.25">
      <c r="B212" s="679">
        <v>1004.1</v>
      </c>
      <c r="C212" s="21" t="s">
        <v>256</v>
      </c>
      <c r="D212" s="21"/>
      <c r="E212" s="21"/>
      <c r="F212" s="21"/>
      <c r="G212" s="21"/>
      <c r="H212" s="758"/>
      <c r="I212" s="4"/>
      <c r="J212" s="206"/>
      <c r="K212" s="210"/>
      <c r="L212" s="1755"/>
      <c r="M212" s="1759"/>
      <c r="N212" s="210"/>
      <c r="O212" s="1764"/>
      <c r="X212" s="1757"/>
    </row>
    <row r="213" spans="1:61" x14ac:dyDescent="0.25">
      <c r="B213" s="679">
        <v>1004.1</v>
      </c>
      <c r="C213" s="21" t="s">
        <v>258</v>
      </c>
      <c r="D213" s="21"/>
      <c r="E213" s="21"/>
      <c r="F213" s="21"/>
      <c r="G213" s="21"/>
      <c r="H213" s="758"/>
      <c r="I213" s="4"/>
      <c r="J213" s="209" t="s">
        <v>258</v>
      </c>
      <c r="K213" s="193"/>
      <c r="L213" s="1778" t="s">
        <v>3370</v>
      </c>
      <c r="M213" s="1762">
        <v>3</v>
      </c>
      <c r="N213" s="193"/>
      <c r="O213" s="1763">
        <f>M213*S213*W213</f>
        <v>0</v>
      </c>
      <c r="P213" s="633" t="b">
        <v>0</v>
      </c>
      <c r="Q213" s="633" t="b">
        <v>1</v>
      </c>
      <c r="R213" s="169" t="b">
        <v>0</v>
      </c>
      <c r="S213" s="169" t="b">
        <v>1</v>
      </c>
      <c r="T213" s="169" t="b">
        <v>0</v>
      </c>
      <c r="W213" s="25"/>
      <c r="X213" s="1757"/>
      <c r="AL213" s="254" t="str">
        <f>SUBSTITUTE(SUBSTITUTE(SUBSTITUTE("dpa"&amp;$B213&amp;$C213&amp;$D213&amp;$E213,".","_"),"(","_"),")","")</f>
        <v>dpa1004_1_2</v>
      </c>
      <c r="AM213" s="254">
        <f>M213</f>
        <v>3</v>
      </c>
      <c r="AN213" s="254" t="str">
        <f>SUBSTITUTE(SUBSTITUTE(SUBSTITUTE("dpc"&amp;$B213&amp;$C213&amp;$D213&amp;$E213,".","_"),"(","_"),")","")</f>
        <v>dpc1004_1_2</v>
      </c>
      <c r="AO213" s="254">
        <f>O213</f>
        <v>0</v>
      </c>
      <c r="AP213" s="254" t="str">
        <f>SUBSTITUTE(SUBSTITUTE(SUBSTITUTE("dch"&amp;$B213&amp;$C213&amp;$D213&amp;$E213,".","_"),"(","_"),")","")</f>
        <v>dch1004_1_2</v>
      </c>
      <c r="AQ213" s="254" t="str">
        <f>IF(LEN(W213)=0,"",W213)</f>
        <v/>
      </c>
      <c r="AR213" s="254" t="str">
        <f>SUBSTITUTE(SUBSTITUTE(SUBSTITUTE("dnt"&amp;$B213&amp;$C213&amp;$D213&amp;$E213,".","_"),"(","_"),")","")</f>
        <v>dnt1004_1_2</v>
      </c>
      <c r="AS213" s="254" t="str">
        <f>IF(LEN(X213)=0,"",X213)</f>
        <v/>
      </c>
    </row>
    <row r="214" spans="1:61" x14ac:dyDescent="0.25">
      <c r="B214" s="679">
        <v>1004.1</v>
      </c>
      <c r="C214" s="21" t="s">
        <v>258</v>
      </c>
      <c r="D214" s="21"/>
      <c r="E214" s="21"/>
      <c r="F214" s="21"/>
      <c r="G214" s="21"/>
      <c r="H214" s="758"/>
      <c r="I214" s="4"/>
      <c r="J214" s="210"/>
      <c r="K214" s="210"/>
      <c r="L214" s="1755"/>
      <c r="M214" s="1759"/>
      <c r="N214" s="210"/>
      <c r="O214" s="1764"/>
      <c r="X214" s="1757"/>
    </row>
    <row r="215" spans="1:61" s="868" customFormat="1" ht="18.75" x14ac:dyDescent="0.3">
      <c r="A215" s="18"/>
      <c r="B215" s="679" t="s">
        <v>4573</v>
      </c>
      <c r="C215" s="21"/>
      <c r="D215" s="21"/>
      <c r="E215" s="21"/>
      <c r="F215" s="21"/>
      <c r="G215" s="21"/>
      <c r="H215" s="758"/>
      <c r="I215" s="69" t="s">
        <v>4574</v>
      </c>
      <c r="J215" s="79"/>
      <c r="K215" s="79"/>
      <c r="L215" s="84"/>
      <c r="M215" s="967"/>
      <c r="N215" s="968"/>
      <c r="O215" s="967"/>
      <c r="P215" s="23"/>
      <c r="Q215" s="23"/>
      <c r="R215" s="23"/>
      <c r="S215" s="23"/>
      <c r="T215" s="23"/>
      <c r="U215" s="23"/>
      <c r="V215" s="23"/>
      <c r="W215" s="23"/>
      <c r="X215" s="23"/>
      <c r="AZ215" s="76"/>
      <c r="BA215" s="76"/>
      <c r="BB215" s="76"/>
      <c r="BC215" s="76"/>
      <c r="BD215" s="76"/>
      <c r="BE215" s="76"/>
      <c r="BF215" s="76"/>
      <c r="BG215" s="76"/>
      <c r="BH215" s="76"/>
      <c r="BI215" s="76"/>
    </row>
    <row r="216" spans="1:61" s="868" customFormat="1" x14ac:dyDescent="0.25">
      <c r="A216" s="18"/>
      <c r="B216" s="679" t="s">
        <v>4575</v>
      </c>
      <c r="C216" s="21"/>
      <c r="D216" s="21"/>
      <c r="E216" s="21"/>
      <c r="F216" s="21"/>
      <c r="G216" s="21"/>
      <c r="H216" s="758"/>
      <c r="I216" s="679" t="s">
        <v>4575</v>
      </c>
      <c r="J216" s="679"/>
      <c r="K216" s="679"/>
      <c r="L216" s="894" t="s">
        <v>4576</v>
      </c>
      <c r="M216" s="888"/>
      <c r="N216" s="129"/>
      <c r="O216" s="887"/>
      <c r="X216"/>
    </row>
    <row r="217" spans="1:61" s="868" customFormat="1" x14ac:dyDescent="0.25">
      <c r="A217" s="18"/>
      <c r="B217" s="679" t="s">
        <v>4575</v>
      </c>
      <c r="C217" s="679" t="s">
        <v>256</v>
      </c>
      <c r="D217" s="21"/>
      <c r="E217" s="21"/>
      <c r="F217" s="21"/>
      <c r="G217" s="21"/>
      <c r="H217" s="758"/>
      <c r="I217" s="679"/>
      <c r="J217" s="680" t="s">
        <v>256</v>
      </c>
      <c r="K217" s="680"/>
      <c r="L217" s="1793" t="s">
        <v>4577</v>
      </c>
      <c r="M217" s="1926">
        <v>2</v>
      </c>
      <c r="N217" s="94"/>
      <c r="O217" s="1931">
        <f>M217*S217*W217</f>
        <v>0</v>
      </c>
      <c r="P217" s="94" t="b">
        <v>0</v>
      </c>
      <c r="Q217" s="94" t="b">
        <v>1</v>
      </c>
      <c r="R217" s="94" t="b">
        <v>0</v>
      </c>
      <c r="S217" s="94" t="b">
        <v>1</v>
      </c>
      <c r="T217" s="94" t="b">
        <v>0</v>
      </c>
      <c r="U217" s="94"/>
      <c r="V217" s="94"/>
      <c r="W217" s="25"/>
      <c r="X217" s="1757"/>
      <c r="AL217" s="254" t="str">
        <f>SUBSTITUTE(SUBSTITUTE(SUBSTITUTE("dpa"&amp;$B217&amp;$C217&amp;$D217&amp;$E217,".","_"),"(","_"),")","")</f>
        <v>dpa1005_1_1</v>
      </c>
      <c r="AM217" s="254">
        <f>M217</f>
        <v>2</v>
      </c>
      <c r="AN217" s="254" t="str">
        <f>SUBSTITUTE(SUBSTITUTE(SUBSTITUTE("dpc"&amp;$B217&amp;$C217&amp;$D217&amp;$E217,".","_"),"(","_"),")","")</f>
        <v>dpc1005_1_1</v>
      </c>
      <c r="AO217" s="254">
        <f>O217</f>
        <v>0</v>
      </c>
      <c r="AP217" s="254" t="str">
        <f>SUBSTITUTE(SUBSTITUTE(SUBSTITUTE("dch"&amp;$B217&amp;$C217&amp;$D217&amp;$E217,".","_"),"(","_"),")","")</f>
        <v>dch1005_1_1</v>
      </c>
      <c r="AQ217" s="254" t="str">
        <f>IF(LEN(W217)=0,"",W217)</f>
        <v/>
      </c>
      <c r="AR217" s="254" t="str">
        <f>SUBSTITUTE(SUBSTITUTE(SUBSTITUTE("dnt"&amp;$B217&amp;$C217&amp;$D217&amp;$E217,".","_"),"(","_"),")","")</f>
        <v>dnt1005_1_1</v>
      </c>
      <c r="AS217" s="254" t="str">
        <f>IF(LEN(X217)=0,"",X217)</f>
        <v/>
      </c>
    </row>
    <row r="218" spans="1:61" s="868" customFormat="1" x14ac:dyDescent="0.25">
      <c r="A218" s="18"/>
      <c r="B218" s="679" t="s">
        <v>4575</v>
      </c>
      <c r="C218" s="679" t="s">
        <v>256</v>
      </c>
      <c r="D218" s="21"/>
      <c r="E218" s="21"/>
      <c r="F218" s="21"/>
      <c r="G218" s="21"/>
      <c r="H218" s="758"/>
      <c r="I218" s="679"/>
      <c r="J218" s="680"/>
      <c r="K218" s="680"/>
      <c r="L218" s="1793"/>
      <c r="M218" s="1926"/>
      <c r="N218" s="94"/>
      <c r="O218" s="1931"/>
      <c r="P218" s="94"/>
      <c r="Q218" s="94"/>
      <c r="R218" s="94"/>
      <c r="S218" s="94"/>
      <c r="T218" s="94"/>
      <c r="U218" s="94"/>
      <c r="V218" s="94"/>
      <c r="X218" s="1757"/>
    </row>
    <row r="219" spans="1:61" s="868" customFormat="1" x14ac:dyDescent="0.25">
      <c r="A219" s="18"/>
      <c r="B219" s="679" t="s">
        <v>4575</v>
      </c>
      <c r="C219" s="679" t="s">
        <v>256</v>
      </c>
      <c r="D219" s="21"/>
      <c r="E219" s="21"/>
      <c r="F219" s="21"/>
      <c r="G219" s="21"/>
      <c r="H219" s="758"/>
      <c r="I219" s="679"/>
      <c r="J219" s="686"/>
      <c r="K219" s="686"/>
      <c r="L219" s="1761"/>
      <c r="M219" s="1909"/>
      <c r="N219" s="178"/>
      <c r="O219" s="1777"/>
      <c r="P219" s="178"/>
      <c r="Q219" s="178"/>
      <c r="R219" s="178"/>
      <c r="S219" s="178"/>
      <c r="T219" s="178"/>
      <c r="U219" s="178"/>
      <c r="V219" s="178"/>
      <c r="X219" s="1757"/>
    </row>
    <row r="220" spans="1:61" s="868" customFormat="1" x14ac:dyDescent="0.25">
      <c r="A220" s="18"/>
      <c r="B220" s="679" t="s">
        <v>4575</v>
      </c>
      <c r="C220" s="679" t="s">
        <v>258</v>
      </c>
      <c r="D220" s="21"/>
      <c r="E220" s="21"/>
      <c r="F220" s="21"/>
      <c r="G220" s="21"/>
      <c r="H220" s="758"/>
      <c r="I220" s="679"/>
      <c r="J220" s="680" t="s">
        <v>258</v>
      </c>
      <c r="K220" s="680"/>
      <c r="L220" s="1793" t="s">
        <v>4578</v>
      </c>
      <c r="M220" s="1926">
        <v>2</v>
      </c>
      <c r="N220" s="94"/>
      <c r="O220" s="1931">
        <f>M220*S220*W220</f>
        <v>0</v>
      </c>
      <c r="P220" s="94" t="b">
        <v>0</v>
      </c>
      <c r="Q220" s="94" t="b">
        <v>1</v>
      </c>
      <c r="R220" s="94" t="b">
        <v>0</v>
      </c>
      <c r="S220" s="94" t="b">
        <v>1</v>
      </c>
      <c r="T220" s="94" t="b">
        <v>0</v>
      </c>
      <c r="U220" s="94"/>
      <c r="V220" s="94"/>
      <c r="W220" s="360"/>
      <c r="X220" s="1757"/>
      <c r="AL220" s="254" t="str">
        <f>SUBSTITUTE(SUBSTITUTE(SUBSTITUTE("dpa"&amp;$B220&amp;$C220&amp;$D220&amp;$E220,".","_"),"(","_"),")","")</f>
        <v>dpa1005_1_2</v>
      </c>
      <c r="AM220" s="254">
        <f>M220</f>
        <v>2</v>
      </c>
      <c r="AN220" s="254" t="str">
        <f>SUBSTITUTE(SUBSTITUTE(SUBSTITUTE("dpc"&amp;$B220&amp;$C220&amp;$D220&amp;$E220,".","_"),"(","_"),")","")</f>
        <v>dpc1005_1_2</v>
      </c>
      <c r="AO220" s="254">
        <f>O220</f>
        <v>0</v>
      </c>
      <c r="AP220" s="254" t="str">
        <f>SUBSTITUTE(SUBSTITUTE(SUBSTITUTE("dch"&amp;$B220&amp;$C220&amp;$D220&amp;$E220,".","_"),"(","_"),")","")</f>
        <v>dch1005_1_2</v>
      </c>
      <c r="AQ220" s="254" t="str">
        <f>IF(LEN(W220)=0,"",W220)</f>
        <v/>
      </c>
      <c r="AR220" s="254" t="str">
        <f>SUBSTITUTE(SUBSTITUTE(SUBSTITUTE("dnt"&amp;$B220&amp;$C220&amp;$D220&amp;$E220,".","_"),"(","_"),")","")</f>
        <v>dnt1005_1_2</v>
      </c>
      <c r="AS220" s="254" t="str">
        <f>IF(LEN(X220)=0,"",X220)</f>
        <v/>
      </c>
    </row>
    <row r="221" spans="1:61" s="868" customFormat="1" x14ac:dyDescent="0.25">
      <c r="A221" s="18"/>
      <c r="B221" s="679" t="s">
        <v>4575</v>
      </c>
      <c r="C221" s="679" t="s">
        <v>258</v>
      </c>
      <c r="D221" s="21"/>
      <c r="E221" s="21"/>
      <c r="F221" s="21"/>
      <c r="G221" s="21"/>
      <c r="H221" s="758"/>
      <c r="I221" s="679"/>
      <c r="J221" s="680"/>
      <c r="K221" s="680"/>
      <c r="L221" s="1793"/>
      <c r="M221" s="1926"/>
      <c r="N221" s="94"/>
      <c r="O221" s="1931"/>
      <c r="P221" s="94"/>
      <c r="Q221" s="94"/>
      <c r="R221" s="94"/>
      <c r="S221" s="94"/>
      <c r="T221" s="94"/>
      <c r="U221" s="94"/>
      <c r="V221" s="94"/>
      <c r="W221" s="113"/>
      <c r="X221" s="1757"/>
    </row>
    <row r="222" spans="1:61" s="868" customFormat="1" x14ac:dyDescent="0.25">
      <c r="A222" s="18"/>
      <c r="B222" s="679" t="s">
        <v>4575</v>
      </c>
      <c r="C222" s="679" t="s">
        <v>258</v>
      </c>
      <c r="D222" s="21"/>
      <c r="E222" s="21"/>
      <c r="F222" s="21"/>
      <c r="G222" s="21"/>
      <c r="H222" s="758"/>
      <c r="I222" s="679"/>
      <c r="J222" s="680"/>
      <c r="K222" s="680"/>
      <c r="L222" s="1793"/>
      <c r="M222" s="1926"/>
      <c r="N222" s="94"/>
      <c r="O222" s="1931"/>
      <c r="P222" s="94"/>
      <c r="Q222" s="94"/>
      <c r="R222" s="94"/>
      <c r="S222" s="94"/>
      <c r="T222" s="94"/>
      <c r="U222" s="94"/>
      <c r="V222" s="94"/>
      <c r="W222" s="113"/>
      <c r="X222" s="1757"/>
    </row>
    <row r="223" spans="1:61" s="868" customFormat="1" x14ac:dyDescent="0.25">
      <c r="A223" s="18"/>
      <c r="B223" s="679" t="s">
        <v>4575</v>
      </c>
      <c r="C223" s="679" t="s">
        <v>258</v>
      </c>
      <c r="D223" s="21"/>
      <c r="E223" s="21"/>
      <c r="F223" s="21"/>
      <c r="G223" s="21"/>
      <c r="H223" s="758"/>
      <c r="I223" s="679"/>
      <c r="J223" s="686"/>
      <c r="K223" s="686"/>
      <c r="L223" s="1761"/>
      <c r="M223" s="1909"/>
      <c r="N223" s="178"/>
      <c r="O223" s="1777"/>
      <c r="P223" s="178"/>
      <c r="Q223" s="178"/>
      <c r="R223" s="178"/>
      <c r="S223" s="178"/>
      <c r="T223" s="178"/>
      <c r="U223" s="178"/>
      <c r="V223" s="178"/>
      <c r="W223" s="538"/>
      <c r="X223" s="1757"/>
    </row>
    <row r="224" spans="1:61" s="868" customFormat="1" x14ac:dyDescent="0.25">
      <c r="A224" s="18"/>
      <c r="B224" s="679" t="s">
        <v>4575</v>
      </c>
      <c r="C224" s="679" t="s">
        <v>260</v>
      </c>
      <c r="D224" s="21"/>
      <c r="E224" s="21"/>
      <c r="F224" s="21"/>
      <c r="G224" s="21"/>
      <c r="H224" s="758"/>
      <c r="I224" s="679"/>
      <c r="J224" s="679" t="s">
        <v>260</v>
      </c>
      <c r="K224" s="679"/>
      <c r="L224" s="1841" t="s">
        <v>4579</v>
      </c>
      <c r="M224" s="1908">
        <v>2</v>
      </c>
      <c r="N224" s="911"/>
      <c r="O224" s="1776">
        <f>M224*S224</f>
        <v>2</v>
      </c>
      <c r="P224" s="868" t="b">
        <v>0</v>
      </c>
      <c r="Q224" s="868" t="b">
        <v>1</v>
      </c>
      <c r="R224" s="868" t="b">
        <v>0</v>
      </c>
      <c r="S224" s="868" t="b">
        <v>1</v>
      </c>
      <c r="T224" s="868" t="b">
        <v>0</v>
      </c>
      <c r="W224" s="1699" t="s">
        <v>4580</v>
      </c>
      <c r="X224"/>
      <c r="AL224" s="254" t="str">
        <f>SUBSTITUTE(SUBSTITUTE(SUBSTITUTE("dpa"&amp;$B224&amp;$C224&amp;$D224&amp;$E224,".","_"),"(","_"),")","")</f>
        <v>dpa1005_1_3</v>
      </c>
      <c r="AM224" s="254">
        <f>M224</f>
        <v>2</v>
      </c>
      <c r="AN224" s="254" t="str">
        <f>SUBSTITUTE(SUBSTITUTE(SUBSTITUTE("dpc"&amp;$B224&amp;$C224&amp;$D224&amp;$E224,".","_"),"(","_"),")","")</f>
        <v>dpc1005_1_3</v>
      </c>
      <c r="AO224" s="254">
        <f>O224</f>
        <v>2</v>
      </c>
    </row>
    <row r="225" spans="1:61" s="868" customFormat="1" x14ac:dyDescent="0.25">
      <c r="A225" s="18"/>
      <c r="B225" s="679" t="s">
        <v>4575</v>
      </c>
      <c r="C225" s="679" t="s">
        <v>260</v>
      </c>
      <c r="D225" s="21"/>
      <c r="E225" s="21"/>
      <c r="F225" s="21"/>
      <c r="G225" s="21"/>
      <c r="H225" s="758"/>
      <c r="I225" s="679"/>
      <c r="J225" s="679"/>
      <c r="K225" s="679"/>
      <c r="L225" s="1841"/>
      <c r="M225" s="1908"/>
      <c r="N225" s="911"/>
      <c r="O225" s="1776"/>
      <c r="W225" s="1699"/>
      <c r="X225"/>
    </row>
    <row r="226" spans="1:61" s="868" customFormat="1" x14ac:dyDescent="0.25">
      <c r="A226" s="18"/>
      <c r="B226" s="679" t="s">
        <v>4575</v>
      </c>
      <c r="C226" s="679" t="s">
        <v>260</v>
      </c>
      <c r="D226" s="21"/>
      <c r="E226" s="21"/>
      <c r="F226" s="21"/>
      <c r="G226" s="21"/>
      <c r="H226" s="758"/>
      <c r="I226" s="679"/>
      <c r="J226" s="679"/>
      <c r="K226" s="679"/>
      <c r="L226" s="1841"/>
      <c r="M226" s="1908"/>
      <c r="N226" s="911"/>
      <c r="O226" s="1776"/>
      <c r="W226" s="1699"/>
      <c r="X226"/>
    </row>
    <row r="227" spans="1:61" s="868" customFormat="1" x14ac:dyDescent="0.25">
      <c r="A227" s="18"/>
      <c r="B227" s="679" t="s">
        <v>4575</v>
      </c>
      <c r="C227" s="679" t="s">
        <v>260</v>
      </c>
      <c r="D227" s="21"/>
      <c r="E227" s="21"/>
      <c r="F227" s="21"/>
      <c r="G227" s="21"/>
      <c r="H227" s="758"/>
      <c r="I227" s="4"/>
      <c r="J227" s="129"/>
      <c r="K227" s="129"/>
      <c r="L227" s="882"/>
      <c r="M227" s="930"/>
      <c r="N227" s="911"/>
      <c r="O227" s="925"/>
      <c r="W227" s="1699"/>
      <c r="X227"/>
    </row>
    <row r="228" spans="1:61" s="868" customFormat="1" x14ac:dyDescent="0.25">
      <c r="A228" s="18"/>
      <c r="B228" s="679" t="s">
        <v>4575</v>
      </c>
      <c r="C228" s="679" t="s">
        <v>260</v>
      </c>
      <c r="D228" s="21"/>
      <c r="E228" s="21"/>
      <c r="F228" s="21"/>
      <c r="G228" s="21"/>
      <c r="H228" s="758"/>
      <c r="I228" s="4"/>
      <c r="J228" s="129"/>
      <c r="K228" s="129"/>
      <c r="L228" s="882"/>
      <c r="M228" s="930"/>
      <c r="N228" s="911"/>
      <c r="O228" s="925"/>
      <c r="W228" s="1699"/>
      <c r="X228"/>
    </row>
    <row r="229" spans="1:61" s="868" customFormat="1" x14ac:dyDescent="0.25">
      <c r="A229" s="18"/>
      <c r="B229" s="679" t="s">
        <v>4575</v>
      </c>
      <c r="C229" s="679" t="s">
        <v>260</v>
      </c>
      <c r="D229" s="21"/>
      <c r="E229" s="21"/>
      <c r="F229" s="21"/>
      <c r="G229" s="21"/>
      <c r="H229" s="758"/>
      <c r="I229" s="4"/>
      <c r="J229" s="129"/>
      <c r="K229" s="129"/>
      <c r="L229" s="882"/>
      <c r="M229" s="930"/>
      <c r="N229" s="911"/>
      <c r="O229" s="925"/>
      <c r="W229" s="1699"/>
      <c r="X229"/>
    </row>
    <row r="230" spans="1:61" s="868" customFormat="1" x14ac:dyDescent="0.25">
      <c r="A230" s="18"/>
      <c r="B230" s="679" t="s">
        <v>4575</v>
      </c>
      <c r="C230" s="679" t="s">
        <v>260</v>
      </c>
      <c r="D230" s="21"/>
      <c r="E230" s="21"/>
      <c r="F230" s="21"/>
      <c r="G230" s="21"/>
      <c r="H230" s="758"/>
      <c r="I230" s="4"/>
      <c r="J230" s="129"/>
      <c r="K230" s="129"/>
      <c r="L230" s="882"/>
      <c r="M230" s="930"/>
      <c r="N230" s="911"/>
      <c r="O230" s="925"/>
      <c r="W230" s="1699"/>
      <c r="X230"/>
    </row>
    <row r="231" spans="1:61" s="868" customFormat="1" x14ac:dyDescent="0.25">
      <c r="A231" s="18"/>
      <c r="B231" s="679" t="s">
        <v>4575</v>
      </c>
      <c r="C231" s="679" t="s">
        <v>260</v>
      </c>
      <c r="D231" s="21"/>
      <c r="E231" s="21"/>
      <c r="F231" s="21"/>
      <c r="G231" s="21"/>
      <c r="H231" s="758"/>
      <c r="I231" s="4"/>
      <c r="J231" s="129"/>
      <c r="K231" s="129"/>
      <c r="L231" s="882"/>
      <c r="M231" s="930"/>
      <c r="N231" s="911"/>
      <c r="O231" s="925"/>
      <c r="W231" s="1699"/>
      <c r="X231"/>
    </row>
    <row r="232" spans="1:61" s="868" customFormat="1" x14ac:dyDescent="0.25">
      <c r="A232" s="18"/>
      <c r="B232" s="679" t="s">
        <v>4575</v>
      </c>
      <c r="C232" s="679" t="s">
        <v>260</v>
      </c>
      <c r="D232" s="21"/>
      <c r="E232" s="21"/>
      <c r="F232" s="21"/>
      <c r="G232" s="21"/>
      <c r="H232" s="758"/>
      <c r="I232" s="4"/>
      <c r="J232" s="129"/>
      <c r="K232" s="129"/>
      <c r="L232" s="882"/>
      <c r="M232" s="930"/>
      <c r="N232" s="911"/>
      <c r="O232" s="925"/>
      <c r="W232" s="1699"/>
      <c r="X232"/>
    </row>
    <row r="233" spans="1:61" s="868" customFormat="1" ht="15.75" thickBot="1" x14ac:dyDescent="0.3">
      <c r="A233" s="18"/>
      <c r="B233" s="679" t="s">
        <v>4575</v>
      </c>
      <c r="C233" s="679" t="s">
        <v>260</v>
      </c>
      <c r="D233" s="21"/>
      <c r="E233" s="21"/>
      <c r="F233" s="21"/>
      <c r="G233" s="21"/>
      <c r="H233" s="758"/>
      <c r="I233" s="4"/>
      <c r="J233" s="129"/>
      <c r="K233" s="129"/>
      <c r="L233" s="882"/>
      <c r="M233" s="931"/>
      <c r="N233" s="911"/>
      <c r="O233" s="926"/>
      <c r="W233" s="1945"/>
      <c r="X233"/>
    </row>
    <row r="234" spans="1:61" ht="16.5" thickTop="1" thickBot="1" x14ac:dyDescent="0.3">
      <c r="H234" s="760"/>
      <c r="I234" s="200" t="s">
        <v>3378</v>
      </c>
      <c r="J234" s="201"/>
      <c r="K234" s="201"/>
      <c r="L234" s="201"/>
      <c r="M234" s="202"/>
      <c r="N234" s="201"/>
      <c r="O234" s="203"/>
      <c r="P234" s="201"/>
      <c r="Q234" s="201"/>
      <c r="R234" s="201"/>
      <c r="S234" s="201"/>
      <c r="T234" s="201"/>
      <c r="U234" s="201"/>
      <c r="V234" s="201"/>
      <c r="W234" s="201"/>
      <c r="X234" s="204"/>
      <c r="AZ234" s="868"/>
      <c r="BA234" s="868"/>
      <c r="BB234" s="868"/>
      <c r="BC234" s="868"/>
      <c r="BD234" s="868"/>
      <c r="BE234" s="868"/>
      <c r="BF234" s="868"/>
      <c r="BG234" s="868"/>
      <c r="BH234" s="868"/>
      <c r="BI234" s="868"/>
    </row>
    <row r="235" spans="1:61" ht="15.75" thickTop="1" x14ac:dyDescent="0.25"/>
  </sheetData>
  <sheetProtection algorithmName="SHA-512" hashValue="DSIxMvbRAr8gkPpuqClhrKluu8P7olm/C4kKpwnfnC6wlqYqIRZBei6CflwHCgCChk2CS3fxmQZZtl6wuIY7lg==" saltValue="Q9OGcIVvLTrUK5sf+4Shrw==" spinCount="100000" sheet="1" objects="1" scenarios="1" selectLockedCells="1"/>
  <mergeCells count="160">
    <mergeCell ref="O124:O127"/>
    <mergeCell ref="O211:O212"/>
    <mergeCell ref="O213:O214"/>
    <mergeCell ref="M97:M100"/>
    <mergeCell ref="O97:O100"/>
    <mergeCell ref="X198:X200"/>
    <mergeCell ref="X211:X212"/>
    <mergeCell ref="X213:X214"/>
    <mergeCell ref="X95:X96"/>
    <mergeCell ref="M211:M212"/>
    <mergeCell ref="M213:M214"/>
    <mergeCell ref="M198:M200"/>
    <mergeCell ref="M195:M197"/>
    <mergeCell ref="M193:M194"/>
    <mergeCell ref="M101:M102"/>
    <mergeCell ref="M103:M105"/>
    <mergeCell ref="M128:M129"/>
    <mergeCell ref="M124:M127"/>
    <mergeCell ref="M122:M123"/>
    <mergeCell ref="X152:X164"/>
    <mergeCell ref="X119:X121"/>
    <mergeCell ref="X122:X123"/>
    <mergeCell ref="X128:X129"/>
    <mergeCell ref="X130:X133"/>
    <mergeCell ref="X56:X57"/>
    <mergeCell ref="H1:H7"/>
    <mergeCell ref="L28:L29"/>
    <mergeCell ref="M28:M29"/>
    <mergeCell ref="X82:X84"/>
    <mergeCell ref="O12:O14"/>
    <mergeCell ref="O79:O81"/>
    <mergeCell ref="L42:L43"/>
    <mergeCell ref="L44:L45"/>
    <mergeCell ref="L49:L50"/>
    <mergeCell ref="L52:L53"/>
    <mergeCell ref="L54:L55"/>
    <mergeCell ref="L56:L57"/>
    <mergeCell ref="L10:L11"/>
    <mergeCell ref="L12:L13"/>
    <mergeCell ref="L23:L24"/>
    <mergeCell ref="L25:L26"/>
    <mergeCell ref="M17:M20"/>
    <mergeCell ref="M12:M14"/>
    <mergeCell ref="L32:L33"/>
    <mergeCell ref="L36:L37"/>
    <mergeCell ref="L38:L41"/>
    <mergeCell ref="P6:P7"/>
    <mergeCell ref="I1:L1"/>
    <mergeCell ref="X134:X140"/>
    <mergeCell ref="X106:X107"/>
    <mergeCell ref="X108:X110"/>
    <mergeCell ref="X111:X112"/>
    <mergeCell ref="X114:X115"/>
    <mergeCell ref="X116:X117"/>
    <mergeCell ref="X17:X20"/>
    <mergeCell ref="X23:X24"/>
    <mergeCell ref="X25:X26"/>
    <mergeCell ref="X32:X37"/>
    <mergeCell ref="X38:X41"/>
    <mergeCell ref="X28:X29"/>
    <mergeCell ref="X85:X87"/>
    <mergeCell ref="X60:X71"/>
    <mergeCell ref="X42:X43"/>
    <mergeCell ref="X44:X45"/>
    <mergeCell ref="X47:X48"/>
    <mergeCell ref="X49:X50"/>
    <mergeCell ref="X52:X53"/>
    <mergeCell ref="X88:X89"/>
    <mergeCell ref="X91:X92"/>
    <mergeCell ref="X101:X102"/>
    <mergeCell ref="X103:X105"/>
    <mergeCell ref="X54:X55"/>
    <mergeCell ref="M1:W5"/>
    <mergeCell ref="I2:L2"/>
    <mergeCell ref="I3:L3"/>
    <mergeCell ref="V6:V7"/>
    <mergeCell ref="W6:W7"/>
    <mergeCell ref="L17:L20"/>
    <mergeCell ref="X4:X5"/>
    <mergeCell ref="Q6:Q7"/>
    <mergeCell ref="X6:X7"/>
    <mergeCell ref="R6:R7"/>
    <mergeCell ref="S6:S7"/>
    <mergeCell ref="T6:T7"/>
    <mergeCell ref="U6:U7"/>
    <mergeCell ref="I4:L4"/>
    <mergeCell ref="I5:L5"/>
    <mergeCell ref="I6:K7"/>
    <mergeCell ref="L6:L7"/>
    <mergeCell ref="M6:M7"/>
    <mergeCell ref="N6:N7"/>
    <mergeCell ref="L122:L123"/>
    <mergeCell ref="L116:L117"/>
    <mergeCell ref="L47:L48"/>
    <mergeCell ref="L152:L156"/>
    <mergeCell ref="L189:L191"/>
    <mergeCell ref="L193:L194"/>
    <mergeCell ref="L195:L197"/>
    <mergeCell ref="L198:L200"/>
    <mergeCell ref="L124:L126"/>
    <mergeCell ref="L128:L129"/>
    <mergeCell ref="L130:L133"/>
    <mergeCell ref="L101:L102"/>
    <mergeCell ref="L103:L105"/>
    <mergeCell ref="L141:L142"/>
    <mergeCell ref="L144:L145"/>
    <mergeCell ref="L106:L107"/>
    <mergeCell ref="L108:L110"/>
    <mergeCell ref="L111:L112"/>
    <mergeCell ref="L114:L115"/>
    <mergeCell ref="L119:L121"/>
    <mergeCell ref="L60:L63"/>
    <mergeCell ref="L73:L78"/>
    <mergeCell ref="L79:L80"/>
    <mergeCell ref="L169:L170"/>
    <mergeCell ref="M60:M61"/>
    <mergeCell ref="M62:M63"/>
    <mergeCell ref="O60:O63"/>
    <mergeCell ref="L150:L151"/>
    <mergeCell ref="X150:X151"/>
    <mergeCell ref="M152:M153"/>
    <mergeCell ref="M154:M156"/>
    <mergeCell ref="O152:O156"/>
    <mergeCell ref="L202:L205"/>
    <mergeCell ref="L82:L84"/>
    <mergeCell ref="L85:L87"/>
    <mergeCell ref="L88:L89"/>
    <mergeCell ref="L91:L92"/>
    <mergeCell ref="L95:L96"/>
    <mergeCell ref="L97:L99"/>
    <mergeCell ref="M82:M84"/>
    <mergeCell ref="M85:M87"/>
    <mergeCell ref="M88:M89"/>
    <mergeCell ref="M79:M81"/>
    <mergeCell ref="X141:X142"/>
    <mergeCell ref="X144:X145"/>
    <mergeCell ref="X193:X194"/>
    <mergeCell ref="X195:X197"/>
    <mergeCell ref="L165:L166"/>
    <mergeCell ref="L177:L180"/>
    <mergeCell ref="M165:M166"/>
    <mergeCell ref="O165:O166"/>
    <mergeCell ref="M177:M180"/>
    <mergeCell ref="O177:O180"/>
    <mergeCell ref="X169:X170"/>
    <mergeCell ref="L217:L219"/>
    <mergeCell ref="L206:L210"/>
    <mergeCell ref="L211:L212"/>
    <mergeCell ref="L213:L214"/>
    <mergeCell ref="X220:X223"/>
    <mergeCell ref="X217:X219"/>
    <mergeCell ref="L220:L223"/>
    <mergeCell ref="L224:L226"/>
    <mergeCell ref="M217:M219"/>
    <mergeCell ref="O217:O219"/>
    <mergeCell ref="M220:M223"/>
    <mergeCell ref="O220:O223"/>
    <mergeCell ref="W224:W233"/>
    <mergeCell ref="M224:M226"/>
    <mergeCell ref="O224:O226"/>
  </mergeCells>
  <conditionalFormatting sqref="X2">
    <cfRule type="expression" dxfId="3623" priority="814">
      <formula>$AG$3</formula>
    </cfRule>
  </conditionalFormatting>
  <conditionalFormatting sqref="X3">
    <cfRule type="expression" dxfId="3622" priority="815">
      <formula>$AI$3</formula>
    </cfRule>
  </conditionalFormatting>
  <conditionalFormatting sqref="O124:O127">
    <cfRule type="cellIs" dxfId="3621" priority="568" operator="greaterThan">
      <formula>0</formula>
    </cfRule>
  </conditionalFormatting>
  <conditionalFormatting sqref="O97:O100">
    <cfRule type="cellIs" dxfId="3620" priority="567" operator="greaterThan">
      <formula>0</formula>
    </cfRule>
  </conditionalFormatting>
  <conditionalFormatting sqref="O79:O81">
    <cfRule type="cellIs" dxfId="3619" priority="566" operator="greaterThan">
      <formula>0</formula>
    </cfRule>
  </conditionalFormatting>
  <conditionalFormatting sqref="W15">
    <cfRule type="expression" dxfId="3618" priority="318">
      <formula>OR($T$15 = TRUE, AND($W$15 = TRUE, $S$15 = FALSE))</formula>
    </cfRule>
    <cfRule type="expression" dxfId="3617" priority="319">
      <formula>$S$15 = FALSE</formula>
    </cfRule>
    <cfRule type="expression" dxfId="3616" priority="320">
      <formula>AND(IF($R$15,$W$15,TRUE),LEN(TRIM($W$15))&gt;0)</formula>
    </cfRule>
    <cfRule type="expression" dxfId="3615" priority="321">
      <formula>AND($R$15,$S$15)</formula>
    </cfRule>
  </conditionalFormatting>
  <conditionalFormatting sqref="W16">
    <cfRule type="expression" dxfId="3614" priority="314">
      <formula>OR($T$16 = TRUE, AND($W$16 = TRUE, $S$16 = FALSE))</formula>
    </cfRule>
    <cfRule type="expression" dxfId="3613" priority="315">
      <formula>$S$16 = FALSE</formula>
    </cfRule>
    <cfRule type="expression" dxfId="3612" priority="316">
      <formula>AND(IF($R$16,$W$16,TRUE),LEN(TRIM($W$16))&gt;0)</formula>
    </cfRule>
    <cfRule type="expression" dxfId="3611" priority="317">
      <formula>AND($R$16,$S$16)</formula>
    </cfRule>
  </conditionalFormatting>
  <conditionalFormatting sqref="W17">
    <cfRule type="expression" dxfId="3610" priority="310">
      <formula>OR($T$17 = TRUE, AND($W$17 = TRUE, $S$17 = FALSE))</formula>
    </cfRule>
    <cfRule type="expression" dxfId="3609" priority="311">
      <formula>$S$17 = FALSE</formula>
    </cfRule>
    <cfRule type="expression" dxfId="3608" priority="312">
      <formula>AND(IF($R$17,$W$17,TRUE),LEN(TRIM($W$17))&gt;0)</formula>
    </cfRule>
    <cfRule type="expression" dxfId="3607" priority="313">
      <formula>AND($R$17,$S$17)</formula>
    </cfRule>
  </conditionalFormatting>
  <conditionalFormatting sqref="W21">
    <cfRule type="expression" dxfId="3606" priority="309">
      <formula>AND($R$21,$S$21)</formula>
    </cfRule>
  </conditionalFormatting>
  <conditionalFormatting sqref="W21">
    <cfRule type="expression" dxfId="3605" priority="308">
      <formula>AND(IF($R$21,$W$21,TRUE),LEN(TRIM($W$21))&gt;0)</formula>
    </cfRule>
  </conditionalFormatting>
  <conditionalFormatting sqref="W21">
    <cfRule type="expression" dxfId="3604" priority="307">
      <formula>$S$21 = FALSE</formula>
    </cfRule>
  </conditionalFormatting>
  <conditionalFormatting sqref="W21">
    <cfRule type="expression" dxfId="3603" priority="306">
      <formula>OR($T$21 = TRUE, AND($W$21 = TRUE, $S$21 = FALSE))</formula>
    </cfRule>
  </conditionalFormatting>
  <conditionalFormatting sqref="W22">
    <cfRule type="expression" dxfId="3602" priority="305">
      <formula>AND($R$22,$S$22)</formula>
    </cfRule>
  </conditionalFormatting>
  <conditionalFormatting sqref="W22">
    <cfRule type="expression" dxfId="3601" priority="304">
      <formula>AND(IF($R$22,$W$22,TRUE),LEN(TRIM($W$22))&gt;0)</formula>
    </cfRule>
  </conditionalFormatting>
  <conditionalFormatting sqref="W22">
    <cfRule type="expression" dxfId="3600" priority="303">
      <formula>$S$22 = FALSE</formula>
    </cfRule>
  </conditionalFormatting>
  <conditionalFormatting sqref="W22">
    <cfRule type="expression" dxfId="3599" priority="302">
      <formula>OR($T$22 = TRUE, AND($W$22 = TRUE, $S$22 = FALSE))</formula>
    </cfRule>
  </conditionalFormatting>
  <conditionalFormatting sqref="W23">
    <cfRule type="expression" dxfId="3598" priority="301">
      <formula>AND($R$23,$S$23)</formula>
    </cfRule>
  </conditionalFormatting>
  <conditionalFormatting sqref="W23">
    <cfRule type="expression" dxfId="3597" priority="300">
      <formula>AND(IF($R$23,$W$23,TRUE),LEN(TRIM($W$23))&gt;0)</formula>
    </cfRule>
  </conditionalFormatting>
  <conditionalFormatting sqref="W23">
    <cfRule type="expression" dxfId="3596" priority="299">
      <formula>$S$23 = FALSE</formula>
    </cfRule>
  </conditionalFormatting>
  <conditionalFormatting sqref="W23">
    <cfRule type="expression" dxfId="3595" priority="298">
      <formula>OR($T$23 = TRUE, AND($W$23 = TRUE, $S$23 = FALSE))</formula>
    </cfRule>
  </conditionalFormatting>
  <conditionalFormatting sqref="W25">
    <cfRule type="expression" dxfId="3594" priority="297">
      <formula>AND($R$25,$S$25)</formula>
    </cfRule>
  </conditionalFormatting>
  <conditionalFormatting sqref="W25">
    <cfRule type="expression" dxfId="3593" priority="296">
      <formula>AND(IF($R$25,$W$25,TRUE),LEN(TRIM($W$25))&gt;0)</formula>
    </cfRule>
  </conditionalFormatting>
  <conditionalFormatting sqref="W25">
    <cfRule type="expression" dxfId="3592" priority="295">
      <formula>$S$25 = FALSE</formula>
    </cfRule>
  </conditionalFormatting>
  <conditionalFormatting sqref="W25">
    <cfRule type="expression" dxfId="3591" priority="294">
      <formula>OR($T$25 = TRUE, AND($W$25 = TRUE, $S$25 = FALSE))</formula>
    </cfRule>
  </conditionalFormatting>
  <conditionalFormatting sqref="W27">
    <cfRule type="expression" dxfId="3590" priority="293">
      <formula>AND($R$27,$S$27)</formula>
    </cfRule>
  </conditionalFormatting>
  <conditionalFormatting sqref="W27">
    <cfRule type="expression" dxfId="3589" priority="292">
      <formula>AND(IF($R$27,$W$27,TRUE),LEN(TRIM($W$27))&gt;0)</formula>
    </cfRule>
  </conditionalFormatting>
  <conditionalFormatting sqref="W27">
    <cfRule type="expression" dxfId="3588" priority="291">
      <formula>$S$27 = FALSE</formula>
    </cfRule>
  </conditionalFormatting>
  <conditionalFormatting sqref="W27">
    <cfRule type="expression" dxfId="3587" priority="290">
      <formula>OR($T$27 = TRUE, AND($W$27 = TRUE, $S$27 = FALSE))</formula>
    </cfRule>
  </conditionalFormatting>
  <conditionalFormatting sqref="W28">
    <cfRule type="expression" dxfId="3586" priority="289">
      <formula>AND($R$28,$S$28)</formula>
    </cfRule>
  </conditionalFormatting>
  <conditionalFormatting sqref="W28">
    <cfRule type="expression" dxfId="3585" priority="288">
      <formula>AND(IF($R$28,$W$28,TRUE),LEN(TRIM($W$28))&gt;0)</formula>
    </cfRule>
  </conditionalFormatting>
  <conditionalFormatting sqref="W28">
    <cfRule type="expression" dxfId="3584" priority="287">
      <formula>$S$28 = FALSE</formula>
    </cfRule>
  </conditionalFormatting>
  <conditionalFormatting sqref="W28">
    <cfRule type="expression" dxfId="3583" priority="286">
      <formula>OR($T$28 = TRUE, AND($W$28 = TRUE, $S$28 = FALSE))</formula>
    </cfRule>
  </conditionalFormatting>
  <conditionalFormatting sqref="W30">
    <cfRule type="expression" dxfId="3582" priority="285">
      <formula>AND($R$30,$S$30)</formula>
    </cfRule>
  </conditionalFormatting>
  <conditionalFormatting sqref="W30">
    <cfRule type="expression" dxfId="3581" priority="284">
      <formula>AND(IF($R$30,$W$30,TRUE),LEN(TRIM($W$30))&gt;0)</formula>
    </cfRule>
  </conditionalFormatting>
  <conditionalFormatting sqref="W30">
    <cfRule type="expression" dxfId="3580" priority="283">
      <formula>$S$30 = FALSE</formula>
    </cfRule>
  </conditionalFormatting>
  <conditionalFormatting sqref="W30">
    <cfRule type="expression" dxfId="3579" priority="282">
      <formula>OR($T$30 = TRUE, AND($W$30 = TRUE, $S$30 = FALSE))</formula>
    </cfRule>
  </conditionalFormatting>
  <conditionalFormatting sqref="W31">
    <cfRule type="expression" dxfId="3578" priority="281">
      <formula>AND($R$31,$S$31)</formula>
    </cfRule>
  </conditionalFormatting>
  <conditionalFormatting sqref="W31">
    <cfRule type="expression" dxfId="3577" priority="280">
      <formula>AND(IF($R$31,$W$31,TRUE),LEN(TRIM($W$31))&gt;0)</formula>
    </cfRule>
  </conditionalFormatting>
  <conditionalFormatting sqref="W31">
    <cfRule type="expression" dxfId="3576" priority="279">
      <formula>$S$31 = FALSE</formula>
    </cfRule>
  </conditionalFormatting>
  <conditionalFormatting sqref="W31">
    <cfRule type="expression" dxfId="3575" priority="278">
      <formula>OR($T$31 = TRUE, AND($W$31 = TRUE, $S$31 = FALSE))</formula>
    </cfRule>
  </conditionalFormatting>
  <conditionalFormatting sqref="W32">
    <cfRule type="expression" dxfId="3574" priority="277">
      <formula>AND($R$32,$S$32)</formula>
    </cfRule>
  </conditionalFormatting>
  <conditionalFormatting sqref="W32">
    <cfRule type="expression" dxfId="3573" priority="276">
      <formula>AND(IF($R$32,$W$32,TRUE),LEN(TRIM($W$32))&gt;0)</formula>
    </cfRule>
  </conditionalFormatting>
  <conditionalFormatting sqref="W32">
    <cfRule type="expression" dxfId="3572" priority="275">
      <formula>$S$32 = FALSE</formula>
    </cfRule>
  </conditionalFormatting>
  <conditionalFormatting sqref="W32">
    <cfRule type="expression" dxfId="3571" priority="274">
      <formula>OR($T$32 = TRUE, AND($W$32 = TRUE, $S$32 = FALSE))</formula>
    </cfRule>
  </conditionalFormatting>
  <conditionalFormatting sqref="W38">
    <cfRule type="expression" dxfId="3570" priority="273">
      <formula>AND($R$38,$S$38)</formula>
    </cfRule>
  </conditionalFormatting>
  <conditionalFormatting sqref="W38">
    <cfRule type="expression" dxfId="3569" priority="272">
      <formula>AND(IF($R$38,$W$38,TRUE),LEN(TRIM($W$38))&gt;0)</formula>
    </cfRule>
  </conditionalFormatting>
  <conditionalFormatting sqref="W38">
    <cfRule type="expression" dxfId="3568" priority="271">
      <formula>$S$38 = FALSE</formula>
    </cfRule>
  </conditionalFormatting>
  <conditionalFormatting sqref="W38">
    <cfRule type="expression" dxfId="3567" priority="270">
      <formula>OR($T$38 = TRUE, AND($W$38 = TRUE, $S$38 = FALSE))</formula>
    </cfRule>
  </conditionalFormatting>
  <conditionalFormatting sqref="W42">
    <cfRule type="expression" dxfId="3566" priority="269">
      <formula>AND($R$42,$S$42)</formula>
    </cfRule>
  </conditionalFormatting>
  <conditionalFormatting sqref="W42">
    <cfRule type="expression" dxfId="3565" priority="268">
      <formula>AND(IF($R$42,$W$42,TRUE),LEN(TRIM($W$42))&gt;0)</formula>
    </cfRule>
  </conditionalFormatting>
  <conditionalFormatting sqref="W42">
    <cfRule type="expression" dxfId="3564" priority="267">
      <formula>$S$42 = FALSE</formula>
    </cfRule>
  </conditionalFormatting>
  <conditionalFormatting sqref="W42">
    <cfRule type="expression" dxfId="3563" priority="266">
      <formula>OR($T$42 = TRUE, AND($W$42 = TRUE, $S$42 = FALSE))</formula>
    </cfRule>
  </conditionalFormatting>
  <conditionalFormatting sqref="W44">
    <cfRule type="expression" dxfId="3562" priority="265">
      <formula>AND($R$44,$S$44)</formula>
    </cfRule>
  </conditionalFormatting>
  <conditionalFormatting sqref="W44">
    <cfRule type="expression" dxfId="3561" priority="264">
      <formula>AND(IF($R$44,$W$44,TRUE),LEN(TRIM($W$44))&gt;0)</formula>
    </cfRule>
  </conditionalFormatting>
  <conditionalFormatting sqref="W44">
    <cfRule type="expression" dxfId="3560" priority="263">
      <formula>$S$44 = FALSE</formula>
    </cfRule>
  </conditionalFormatting>
  <conditionalFormatting sqref="W44">
    <cfRule type="expression" dxfId="3559" priority="262">
      <formula>OR($T$44 = TRUE, AND($W$44 = TRUE, $S$44 = FALSE))</formula>
    </cfRule>
  </conditionalFormatting>
  <conditionalFormatting sqref="W46">
    <cfRule type="expression" dxfId="3558" priority="261">
      <formula>AND($R$46,$S$46)</formula>
    </cfRule>
  </conditionalFormatting>
  <conditionalFormatting sqref="W46">
    <cfRule type="expression" dxfId="3557" priority="260">
      <formula>AND(IF($R$46,$W$46,TRUE),LEN(TRIM($W$46))&gt;0)</formula>
    </cfRule>
  </conditionalFormatting>
  <conditionalFormatting sqref="W46">
    <cfRule type="expression" dxfId="3556" priority="259">
      <formula>$S$46 = FALSE</formula>
    </cfRule>
  </conditionalFormatting>
  <conditionalFormatting sqref="W46">
    <cfRule type="expression" dxfId="3555" priority="258">
      <formula>OR($T$46 = TRUE, AND($W$46 = TRUE, $S$46 = FALSE))</formula>
    </cfRule>
  </conditionalFormatting>
  <conditionalFormatting sqref="W47">
    <cfRule type="expression" dxfId="3554" priority="257">
      <formula>AND($R$47,$S$47)</formula>
    </cfRule>
  </conditionalFormatting>
  <conditionalFormatting sqref="W47">
    <cfRule type="expression" dxfId="3553" priority="256">
      <formula>AND(IF($R$47,$W$47,TRUE),LEN(TRIM($W$47))&gt;0)</formula>
    </cfRule>
  </conditionalFormatting>
  <conditionalFormatting sqref="W47">
    <cfRule type="expression" dxfId="3552" priority="255">
      <formula>$S$47 = FALSE</formula>
    </cfRule>
  </conditionalFormatting>
  <conditionalFormatting sqref="W47">
    <cfRule type="expression" dxfId="3551" priority="254">
      <formula>OR($T$47 = TRUE, AND($W$47 = TRUE, $S$47 = FALSE))</formula>
    </cfRule>
  </conditionalFormatting>
  <conditionalFormatting sqref="W49">
    <cfRule type="expression" dxfId="3550" priority="253">
      <formula>AND($R$49,$S$49)</formula>
    </cfRule>
  </conditionalFormatting>
  <conditionalFormatting sqref="W49">
    <cfRule type="expression" dxfId="3549" priority="252">
      <formula>AND(IF($R$49,$W$49,TRUE),LEN(TRIM($W$49))&gt;0)</formula>
    </cfRule>
  </conditionalFormatting>
  <conditionalFormatting sqref="W49">
    <cfRule type="expression" dxfId="3548" priority="251">
      <formula>$S$49 = FALSE</formula>
    </cfRule>
  </conditionalFormatting>
  <conditionalFormatting sqref="W49">
    <cfRule type="expression" dxfId="3547" priority="250">
      <formula>OR($T$49 = TRUE, AND($W$49 = TRUE, $S$49 = FALSE))</formula>
    </cfRule>
  </conditionalFormatting>
  <conditionalFormatting sqref="W51">
    <cfRule type="expression" dxfId="3546" priority="249">
      <formula>AND($R$51,$S$51)</formula>
    </cfRule>
  </conditionalFormatting>
  <conditionalFormatting sqref="W51">
    <cfRule type="expression" dxfId="3545" priority="248">
      <formula>AND(IF($R$51,$W$51,TRUE),LEN(TRIM($W$51))&gt;0)</formula>
    </cfRule>
  </conditionalFormatting>
  <conditionalFormatting sqref="W51">
    <cfRule type="expression" dxfId="3544" priority="247">
      <formula>$S$51 = FALSE</formula>
    </cfRule>
  </conditionalFormatting>
  <conditionalFormatting sqref="W51">
    <cfRule type="expression" dxfId="3543" priority="246">
      <formula>OR($T$51 = TRUE, AND($W$51 = TRUE, $S$51 = FALSE))</formula>
    </cfRule>
  </conditionalFormatting>
  <conditionalFormatting sqref="W52">
    <cfRule type="expression" dxfId="3542" priority="245">
      <formula>AND($R$52,$S$52)</formula>
    </cfRule>
  </conditionalFormatting>
  <conditionalFormatting sqref="W52">
    <cfRule type="expression" dxfId="3541" priority="244">
      <formula>AND(IF($R$52,$W$52,TRUE),LEN(TRIM($W$52))&gt;0)</formula>
    </cfRule>
  </conditionalFormatting>
  <conditionalFormatting sqref="W52">
    <cfRule type="expression" dxfId="3540" priority="243">
      <formula>$S$52 = FALSE</formula>
    </cfRule>
  </conditionalFormatting>
  <conditionalFormatting sqref="W52">
    <cfRule type="expression" dxfId="3539" priority="242">
      <formula>OR($T$52 = TRUE, AND($W$52 = TRUE, $S$52 = FALSE))</formula>
    </cfRule>
  </conditionalFormatting>
  <conditionalFormatting sqref="W54">
    <cfRule type="expression" dxfId="3538" priority="241">
      <formula>AND($R$54,$S$54)</formula>
    </cfRule>
  </conditionalFormatting>
  <conditionalFormatting sqref="W54">
    <cfRule type="expression" dxfId="3537" priority="240">
      <formula>AND(IF($R$54,$W$54,TRUE),LEN(TRIM($W$54))&gt;0)</formula>
    </cfRule>
  </conditionalFormatting>
  <conditionalFormatting sqref="W54">
    <cfRule type="expression" dxfId="3536" priority="239">
      <formula>$S$54 = FALSE</formula>
    </cfRule>
  </conditionalFormatting>
  <conditionalFormatting sqref="W54">
    <cfRule type="expression" dxfId="3535" priority="238">
      <formula>OR($T$54 = TRUE, AND($W$54 = TRUE, $S$54 = FALSE))</formula>
    </cfRule>
  </conditionalFormatting>
  <conditionalFormatting sqref="W56">
    <cfRule type="expression" dxfId="3534" priority="237">
      <formula>AND($R$56,$S$56)</formula>
    </cfRule>
  </conditionalFormatting>
  <conditionalFormatting sqref="W56">
    <cfRule type="expression" dxfId="3533" priority="236">
      <formula>AND(IF($R$56,$W$56,TRUE),LEN(TRIM($W$56))&gt;0)</formula>
    </cfRule>
  </conditionalFormatting>
  <conditionalFormatting sqref="W56">
    <cfRule type="expression" dxfId="3532" priority="235">
      <formula>$S$56 = FALSE</formula>
    </cfRule>
  </conditionalFormatting>
  <conditionalFormatting sqref="W56">
    <cfRule type="expression" dxfId="3531" priority="234">
      <formula>OR($T$56 = TRUE, AND($W$56 = TRUE, $S$56 = FALSE))</formula>
    </cfRule>
  </conditionalFormatting>
  <conditionalFormatting sqref="W58">
    <cfRule type="expression" dxfId="3530" priority="233">
      <formula>AND($R$58,$S$58)</formula>
    </cfRule>
  </conditionalFormatting>
  <conditionalFormatting sqref="W58">
    <cfRule type="expression" dxfId="3529" priority="232">
      <formula>AND(IF($R$58,$W$58,TRUE),LEN(TRIM($W$58))&gt;0)</formula>
    </cfRule>
  </conditionalFormatting>
  <conditionalFormatting sqref="W58">
    <cfRule type="expression" dxfId="3528" priority="231">
      <formula>$S$58 = FALSE</formula>
    </cfRule>
  </conditionalFormatting>
  <conditionalFormatting sqref="W58">
    <cfRule type="expression" dxfId="3527" priority="230">
      <formula>OR($T$58 = TRUE, AND($W$58 = TRUE, $S$58 = FALSE))</formula>
    </cfRule>
  </conditionalFormatting>
  <conditionalFormatting sqref="W59">
    <cfRule type="expression" dxfId="3526" priority="229">
      <formula>AND($R$59,$S$59)</formula>
    </cfRule>
  </conditionalFormatting>
  <conditionalFormatting sqref="W59">
    <cfRule type="expression" dxfId="3525" priority="228">
      <formula>AND(IF($R$59,$W$59,TRUE),LEN(TRIM($W$59))&gt;0)</formula>
    </cfRule>
  </conditionalFormatting>
  <conditionalFormatting sqref="W59">
    <cfRule type="expression" dxfId="3524" priority="227">
      <formula>$S$59 = FALSE</formula>
    </cfRule>
  </conditionalFormatting>
  <conditionalFormatting sqref="W59">
    <cfRule type="expression" dxfId="3523" priority="226">
      <formula>OR($T$59 = TRUE, AND($W$59 = TRUE, $S$59 = FALSE))</formula>
    </cfRule>
  </conditionalFormatting>
  <conditionalFormatting sqref="W60">
    <cfRule type="expression" dxfId="3522" priority="225">
      <formula>AND($R$60,$S$60)</formula>
    </cfRule>
  </conditionalFormatting>
  <conditionalFormatting sqref="W60">
    <cfRule type="expression" dxfId="3521" priority="224">
      <formula>AND(IF($R$60,$W$60,TRUE),LEN(TRIM($W$60))&gt;0)</formula>
    </cfRule>
  </conditionalFormatting>
  <conditionalFormatting sqref="W60">
    <cfRule type="expression" dxfId="3520" priority="223">
      <formula>$S$60 = FALSE</formula>
    </cfRule>
  </conditionalFormatting>
  <conditionalFormatting sqref="W60">
    <cfRule type="expression" dxfId="3519" priority="222">
      <formula>OR($T$60 = TRUE, AND($W$60 = TRUE, $S$60 = FALSE))</formula>
    </cfRule>
  </conditionalFormatting>
  <conditionalFormatting sqref="W82">
    <cfRule type="expression" dxfId="3518" priority="221">
      <formula>AND($R$82,$S$82)</formula>
    </cfRule>
  </conditionalFormatting>
  <conditionalFormatting sqref="W82">
    <cfRule type="expression" dxfId="3517" priority="220">
      <formula>AND(IF($R$82,$W$82,TRUE),LEN(TRIM($W$82))&gt;0)</formula>
    </cfRule>
  </conditionalFormatting>
  <conditionalFormatting sqref="W82">
    <cfRule type="expression" dxfId="3516" priority="219">
      <formula>$S$82 = FALSE</formula>
    </cfRule>
  </conditionalFormatting>
  <conditionalFormatting sqref="W82">
    <cfRule type="expression" dxfId="3515" priority="218">
      <formula>OR($T$82 = TRUE, AND($W$82 = TRUE, $S$82 = FALSE))</formula>
    </cfRule>
  </conditionalFormatting>
  <conditionalFormatting sqref="W85">
    <cfRule type="expression" dxfId="3514" priority="217">
      <formula>AND($R$85,$S$85)</formula>
    </cfRule>
  </conditionalFormatting>
  <conditionalFormatting sqref="W85">
    <cfRule type="expression" dxfId="3513" priority="216">
      <formula>AND(IF($R$85,$W$85,TRUE),LEN(TRIM($W$85))&gt;0)</formula>
    </cfRule>
  </conditionalFormatting>
  <conditionalFormatting sqref="W85">
    <cfRule type="expression" dxfId="3512" priority="215">
      <formula>$S$85 = FALSE</formula>
    </cfRule>
  </conditionalFormatting>
  <conditionalFormatting sqref="W85">
    <cfRule type="expression" dxfId="3511" priority="214">
      <formula>OR($T$85 = TRUE, AND($W$85 = TRUE, $S$85 = FALSE))</formula>
    </cfRule>
  </conditionalFormatting>
  <conditionalFormatting sqref="W88">
    <cfRule type="expression" dxfId="3510" priority="213">
      <formula>AND($R$88,$S$88)</formula>
    </cfRule>
  </conditionalFormatting>
  <conditionalFormatting sqref="W88">
    <cfRule type="expression" dxfId="3509" priority="212">
      <formula>AND(IF($R$88,$W$88,TRUE),LEN(TRIM($W$88))&gt;0)</formula>
    </cfRule>
  </conditionalFormatting>
  <conditionalFormatting sqref="W88">
    <cfRule type="expression" dxfId="3508" priority="211">
      <formula>$S$88 = FALSE</formula>
    </cfRule>
  </conditionalFormatting>
  <conditionalFormatting sqref="W88">
    <cfRule type="expression" dxfId="3507" priority="210">
      <formula>OR($T$88 = TRUE, AND($W$88 = TRUE, $S$88 = FALSE))</formula>
    </cfRule>
  </conditionalFormatting>
  <conditionalFormatting sqref="W90">
    <cfRule type="expression" dxfId="3506" priority="209">
      <formula>AND($R$90,$S$90)</formula>
    </cfRule>
  </conditionalFormatting>
  <conditionalFormatting sqref="W90">
    <cfRule type="expression" dxfId="3505" priority="208">
      <formula>AND(IF($R$90,$W$90,TRUE),LEN(TRIM($W$90))&gt;0)</formula>
    </cfRule>
  </conditionalFormatting>
  <conditionalFormatting sqref="W90">
    <cfRule type="expression" dxfId="3504" priority="207">
      <formula>$S$90 = FALSE</formula>
    </cfRule>
  </conditionalFormatting>
  <conditionalFormatting sqref="W90">
    <cfRule type="expression" dxfId="3503" priority="206">
      <formula>OR($T$90 = TRUE, AND($W$90 = TRUE, $S$90 = FALSE))</formula>
    </cfRule>
  </conditionalFormatting>
  <conditionalFormatting sqref="W91">
    <cfRule type="expression" dxfId="3502" priority="205">
      <formula>AND($R$91,$S$91)</formula>
    </cfRule>
  </conditionalFormatting>
  <conditionalFormatting sqref="W91">
    <cfRule type="expression" dxfId="3501" priority="204">
      <formula>AND(IF($R$91,$W$91,TRUE),LEN(TRIM($W$91))&gt;0)</formula>
    </cfRule>
  </conditionalFormatting>
  <conditionalFormatting sqref="W91">
    <cfRule type="expression" dxfId="3500" priority="203">
      <formula>$S$91 = FALSE</formula>
    </cfRule>
  </conditionalFormatting>
  <conditionalFormatting sqref="W91">
    <cfRule type="expression" dxfId="3499" priority="202">
      <formula>OR($T$91 = TRUE, AND($W$91 = TRUE, $S$91 = FALSE))</formula>
    </cfRule>
  </conditionalFormatting>
  <conditionalFormatting sqref="W93">
    <cfRule type="expression" dxfId="3498" priority="201">
      <formula>AND($R$93,$S$93)</formula>
    </cfRule>
  </conditionalFormatting>
  <conditionalFormatting sqref="W93">
    <cfRule type="expression" dxfId="3497" priority="200">
      <formula>AND(IF($R$93,$W$93,TRUE),LEN(TRIM($W$93))&gt;0)</formula>
    </cfRule>
  </conditionalFormatting>
  <conditionalFormatting sqref="W93">
    <cfRule type="expression" dxfId="3496" priority="199">
      <formula>$S$93 = FALSE</formula>
    </cfRule>
  </conditionalFormatting>
  <conditionalFormatting sqref="W93">
    <cfRule type="expression" dxfId="3495" priority="198">
      <formula>OR($T$93 = TRUE, AND($W$93 = TRUE, $S$93 = FALSE))</formula>
    </cfRule>
  </conditionalFormatting>
  <conditionalFormatting sqref="W94">
    <cfRule type="expression" dxfId="3494" priority="197">
      <formula>AND($R$94,$S$94)</formula>
    </cfRule>
  </conditionalFormatting>
  <conditionalFormatting sqref="W94">
    <cfRule type="expression" dxfId="3493" priority="196">
      <formula>AND(IF($R$94,$W$94,TRUE),LEN(TRIM($W$94))&gt;0)</formula>
    </cfRule>
  </conditionalFormatting>
  <conditionalFormatting sqref="W94">
    <cfRule type="expression" dxfId="3492" priority="195">
      <formula>$S$94 = FALSE</formula>
    </cfRule>
  </conditionalFormatting>
  <conditionalFormatting sqref="W94">
    <cfRule type="expression" dxfId="3491" priority="194">
      <formula>OR($T$94 = TRUE, AND($W$94 = TRUE, $S$94 = FALSE))</formula>
    </cfRule>
  </conditionalFormatting>
  <conditionalFormatting sqref="W95">
    <cfRule type="expression" dxfId="3490" priority="193">
      <formula>AND($R$95,$S$95)</formula>
    </cfRule>
  </conditionalFormatting>
  <conditionalFormatting sqref="W95">
    <cfRule type="expression" dxfId="3489" priority="192">
      <formula>AND(IF($R$95,$W$95,TRUE),LEN(TRIM($W$95))&gt;0)</formula>
    </cfRule>
  </conditionalFormatting>
  <conditionalFormatting sqref="W95">
    <cfRule type="expression" dxfId="3488" priority="191">
      <formula>$S$95 = FALSE</formula>
    </cfRule>
  </conditionalFormatting>
  <conditionalFormatting sqref="W95">
    <cfRule type="expression" dxfId="3487" priority="190">
      <formula>OR($T$95 = TRUE, AND($W$95 = TRUE, $S$95 = FALSE))</formula>
    </cfRule>
  </conditionalFormatting>
  <conditionalFormatting sqref="W101">
    <cfRule type="expression" dxfId="3486" priority="189">
      <formula>AND($R$101,$S$101)</formula>
    </cfRule>
  </conditionalFormatting>
  <conditionalFormatting sqref="W101">
    <cfRule type="expression" dxfId="3485" priority="188">
      <formula>AND(IF($R$101,$W$101,TRUE),LEN(TRIM($W$101))&gt;0)</formula>
    </cfRule>
  </conditionalFormatting>
  <conditionalFormatting sqref="W101">
    <cfRule type="expression" dxfId="3484" priority="187">
      <formula>$S$101 = FALSE</formula>
    </cfRule>
  </conditionalFormatting>
  <conditionalFormatting sqref="W101">
    <cfRule type="expression" dxfId="3483" priority="186">
      <formula>OR($T$101 = TRUE, AND($W$101 = TRUE, $S$101 = FALSE))</formula>
    </cfRule>
  </conditionalFormatting>
  <conditionalFormatting sqref="W103">
    <cfRule type="expression" dxfId="3482" priority="185">
      <formula>AND($R$103,$S$103)</formula>
    </cfRule>
  </conditionalFormatting>
  <conditionalFormatting sqref="W103">
    <cfRule type="expression" dxfId="3481" priority="184">
      <formula>AND(IF($R$103,$W$103,TRUE),LEN(TRIM($W$103))&gt;0)</formula>
    </cfRule>
  </conditionalFormatting>
  <conditionalFormatting sqref="W103">
    <cfRule type="expression" dxfId="3480" priority="183">
      <formula>$S$103 = FALSE</formula>
    </cfRule>
  </conditionalFormatting>
  <conditionalFormatting sqref="W103">
    <cfRule type="expression" dxfId="3479" priority="182">
      <formula>OR($T$103 = TRUE, AND($W$103 = TRUE, $S$103 = FALSE))</formula>
    </cfRule>
  </conditionalFormatting>
  <conditionalFormatting sqref="W106">
    <cfRule type="expression" dxfId="3478" priority="181">
      <formula>AND($R$106,$S$106)</formula>
    </cfRule>
  </conditionalFormatting>
  <conditionalFormatting sqref="W106">
    <cfRule type="expression" dxfId="3477" priority="180">
      <formula>AND(IF($R$106,$W$106,TRUE),LEN(TRIM($W$106))&gt;0)</formula>
    </cfRule>
  </conditionalFormatting>
  <conditionalFormatting sqref="W106">
    <cfRule type="expression" dxfId="3476" priority="179">
      <formula>$S$106 = FALSE</formula>
    </cfRule>
  </conditionalFormatting>
  <conditionalFormatting sqref="W106">
    <cfRule type="expression" dxfId="3475" priority="178">
      <formula>OR($T$106 = TRUE, AND($W$106 = TRUE, $S$106 = FALSE))</formula>
    </cfRule>
  </conditionalFormatting>
  <conditionalFormatting sqref="W108">
    <cfRule type="expression" dxfId="3474" priority="177">
      <formula>AND($R$108,$S$108)</formula>
    </cfRule>
  </conditionalFormatting>
  <conditionalFormatting sqref="W108">
    <cfRule type="expression" dxfId="3473" priority="176">
      <formula>AND(IF($R$108,$W$108,TRUE),LEN(TRIM($W$108))&gt;0)</formula>
    </cfRule>
  </conditionalFormatting>
  <conditionalFormatting sqref="W108">
    <cfRule type="expression" dxfId="3472" priority="175">
      <formula>$S$108 = FALSE</formula>
    </cfRule>
  </conditionalFormatting>
  <conditionalFormatting sqref="W108">
    <cfRule type="expression" dxfId="3471" priority="174">
      <formula>OR($T$108 = TRUE, AND($W$108 = TRUE, $S$108 = FALSE))</formula>
    </cfRule>
  </conditionalFormatting>
  <conditionalFormatting sqref="W111">
    <cfRule type="expression" dxfId="3470" priority="173">
      <formula>AND($R$111,$S$111)</formula>
    </cfRule>
  </conditionalFormatting>
  <conditionalFormatting sqref="W111">
    <cfRule type="expression" dxfId="3469" priority="172">
      <formula>AND(IF($R$111,$W$111,TRUE),LEN(TRIM($W$111))&gt;0)</formula>
    </cfRule>
  </conditionalFormatting>
  <conditionalFormatting sqref="W111">
    <cfRule type="expression" dxfId="3468" priority="171">
      <formula>$S$111 = FALSE</formula>
    </cfRule>
  </conditionalFormatting>
  <conditionalFormatting sqref="W111">
    <cfRule type="expression" dxfId="3467" priority="170">
      <formula>OR($T$111 = TRUE, AND($W$111 = TRUE, $S$111 = FALSE))</formula>
    </cfRule>
  </conditionalFormatting>
  <conditionalFormatting sqref="W113">
    <cfRule type="expression" dxfId="3466" priority="169">
      <formula>AND($R$113,$S$113)</formula>
    </cfRule>
  </conditionalFormatting>
  <conditionalFormatting sqref="W113">
    <cfRule type="expression" dxfId="3465" priority="168">
      <formula>AND(IF($R$113,$W$113,TRUE),LEN(TRIM($W$113))&gt;0)</formula>
    </cfRule>
  </conditionalFormatting>
  <conditionalFormatting sqref="W113">
    <cfRule type="expression" dxfId="3464" priority="167">
      <formula>$S$113 = FALSE</formula>
    </cfRule>
  </conditionalFormatting>
  <conditionalFormatting sqref="W113">
    <cfRule type="expression" dxfId="3463" priority="166">
      <formula>OR($T$113 = TRUE, AND($W$113 = TRUE, $S$113 = FALSE))</formula>
    </cfRule>
  </conditionalFormatting>
  <conditionalFormatting sqref="W114">
    <cfRule type="expression" dxfId="3462" priority="165">
      <formula>AND($R$114,$S$114)</formula>
    </cfRule>
  </conditionalFormatting>
  <conditionalFormatting sqref="W114">
    <cfRule type="expression" dxfId="3461" priority="164">
      <formula>AND(IF($R$114,$W$114,TRUE),LEN(TRIM($W$114))&gt;0)</formula>
    </cfRule>
  </conditionalFormatting>
  <conditionalFormatting sqref="W114">
    <cfRule type="expression" dxfId="3460" priority="163">
      <formula>$S$114 = FALSE</formula>
    </cfRule>
  </conditionalFormatting>
  <conditionalFormatting sqref="W114">
    <cfRule type="expression" dxfId="3459" priority="162">
      <formula>OR($T$114 = TRUE, AND($W$114 = TRUE, $S$114 = FALSE))</formula>
    </cfRule>
  </conditionalFormatting>
  <conditionalFormatting sqref="W116">
    <cfRule type="expression" dxfId="3458" priority="161">
      <formula>AND($R$116,$S$116)</formula>
    </cfRule>
  </conditionalFormatting>
  <conditionalFormatting sqref="W116">
    <cfRule type="expression" dxfId="3457" priority="160">
      <formula>AND(IF($R$116,$W$116,TRUE),LEN(TRIM($W$116))&gt;0)</formula>
    </cfRule>
  </conditionalFormatting>
  <conditionalFormatting sqref="W116">
    <cfRule type="expression" dxfId="3456" priority="159">
      <formula>$S$116 = FALSE</formula>
    </cfRule>
  </conditionalFormatting>
  <conditionalFormatting sqref="W116">
    <cfRule type="expression" dxfId="3455" priority="158">
      <formula>OR($T$116 = TRUE, AND($W$116 = TRUE, $S$116 = FALSE))</formula>
    </cfRule>
  </conditionalFormatting>
  <conditionalFormatting sqref="W118">
    <cfRule type="expression" dxfId="3454" priority="157">
      <formula>AND($R$118,$S$118)</formula>
    </cfRule>
  </conditionalFormatting>
  <conditionalFormatting sqref="W118">
    <cfRule type="expression" dxfId="3453" priority="156">
      <formula>AND(IF($R$118,$W$118,TRUE),LEN(TRIM($W$118))&gt;0)</formula>
    </cfRule>
  </conditionalFormatting>
  <conditionalFormatting sqref="W118">
    <cfRule type="expression" dxfId="3452" priority="155">
      <formula>$S$118 = FALSE</formula>
    </cfRule>
  </conditionalFormatting>
  <conditionalFormatting sqref="W118">
    <cfRule type="expression" dxfId="3451" priority="154">
      <formula>OR($T$118 = TRUE, AND($W$118 = TRUE, $S$118 = FALSE))</formula>
    </cfRule>
  </conditionalFormatting>
  <conditionalFormatting sqref="W119">
    <cfRule type="expression" dxfId="3450" priority="153">
      <formula>AND($R$119,$S$119)</formula>
    </cfRule>
  </conditionalFormatting>
  <conditionalFormatting sqref="W119">
    <cfRule type="expression" dxfId="3449" priority="152">
      <formula>AND(IF($R$119,$W$119,TRUE),LEN(TRIM($W$119))&gt;0)</formula>
    </cfRule>
  </conditionalFormatting>
  <conditionalFormatting sqref="W119">
    <cfRule type="expression" dxfId="3448" priority="151">
      <formula>$S$119 = FALSE</formula>
    </cfRule>
  </conditionalFormatting>
  <conditionalFormatting sqref="W119">
    <cfRule type="expression" dxfId="3447" priority="150">
      <formula>OR($T$119 = TRUE, AND($W$119 = TRUE, $S$119 = FALSE))</formula>
    </cfRule>
  </conditionalFormatting>
  <conditionalFormatting sqref="W122">
    <cfRule type="expression" dxfId="3446" priority="149">
      <formula>AND($R$122,$S$122)</formula>
    </cfRule>
  </conditionalFormatting>
  <conditionalFormatting sqref="W122">
    <cfRule type="expression" dxfId="3445" priority="148">
      <formula>AND(IF($R$122,$W$122,TRUE),LEN(TRIM($W$122))&gt;0)</formula>
    </cfRule>
  </conditionalFormatting>
  <conditionalFormatting sqref="W122">
    <cfRule type="expression" dxfId="3444" priority="147">
      <formula>$S$122 = FALSE</formula>
    </cfRule>
  </conditionalFormatting>
  <conditionalFormatting sqref="W122">
    <cfRule type="expression" dxfId="3443" priority="146">
      <formula>OR($T$122 = TRUE, AND($W$122 = TRUE, $S$122 = FALSE))</formula>
    </cfRule>
  </conditionalFormatting>
  <conditionalFormatting sqref="W128">
    <cfRule type="expression" dxfId="3442" priority="145">
      <formula>AND($R$128,$S$128)</formula>
    </cfRule>
  </conditionalFormatting>
  <conditionalFormatting sqref="W128">
    <cfRule type="expression" dxfId="3441" priority="144">
      <formula>AND(IF($R$128,$W$128,TRUE),LEN(TRIM($W$128))&gt;0)</formula>
    </cfRule>
  </conditionalFormatting>
  <conditionalFormatting sqref="W128">
    <cfRule type="expression" dxfId="3440" priority="143">
      <formula>$S$128 = FALSE</formula>
    </cfRule>
  </conditionalFormatting>
  <conditionalFormatting sqref="W128">
    <cfRule type="expression" dxfId="3439" priority="142">
      <formula>OR($T$128 = TRUE, AND($W$128 = TRUE, $S$128 = FALSE))</formula>
    </cfRule>
  </conditionalFormatting>
  <conditionalFormatting sqref="W130">
    <cfRule type="expression" dxfId="3438" priority="141">
      <formula>AND($R$130,$S$130)</formula>
    </cfRule>
  </conditionalFormatting>
  <conditionalFormatting sqref="W130">
    <cfRule type="expression" dxfId="3437" priority="140">
      <formula>AND(IF($R$130,$W$130,TRUE),LEN(TRIM($W$130))&gt;0)</formula>
    </cfRule>
  </conditionalFormatting>
  <conditionalFormatting sqref="W130">
    <cfRule type="expression" dxfId="3436" priority="139">
      <formula>$S$130 = FALSE</formula>
    </cfRule>
  </conditionalFormatting>
  <conditionalFormatting sqref="W130">
    <cfRule type="expression" dxfId="3435" priority="138">
      <formula>OR($T$130 = TRUE, AND($W$130 = TRUE, $S$130 = FALSE))</formula>
    </cfRule>
  </conditionalFormatting>
  <conditionalFormatting sqref="W134">
    <cfRule type="expression" dxfId="3434" priority="137">
      <formula>AND($R$134,$S$134)</formula>
    </cfRule>
  </conditionalFormatting>
  <conditionalFormatting sqref="W134">
    <cfRule type="expression" dxfId="3433" priority="136">
      <formula>AND(IF($R$134,$W$134,TRUE),LEN(TRIM($W$134))&gt;0)</formula>
    </cfRule>
  </conditionalFormatting>
  <conditionalFormatting sqref="W134">
    <cfRule type="expression" dxfId="3432" priority="135">
      <formula>$S$134 = FALSE</formula>
    </cfRule>
  </conditionalFormatting>
  <conditionalFormatting sqref="W134">
    <cfRule type="expression" dxfId="3431" priority="134">
      <formula>OR($T$134 = TRUE, AND($W$134 = TRUE, $S$134 = FALSE))</formula>
    </cfRule>
  </conditionalFormatting>
  <conditionalFormatting sqref="W141">
    <cfRule type="expression" dxfId="3430" priority="133">
      <formula>AND($R$141,$S$141)</formula>
    </cfRule>
  </conditionalFormatting>
  <conditionalFormatting sqref="W141">
    <cfRule type="expression" dxfId="3429" priority="132">
      <formula>AND(IF($R$141,$W$141,TRUE),LEN(TRIM($W$141))&gt;0)</formula>
    </cfRule>
  </conditionalFormatting>
  <conditionalFormatting sqref="W141">
    <cfRule type="expression" dxfId="3428" priority="131">
      <formula>$S$141 = FALSE</formula>
    </cfRule>
  </conditionalFormatting>
  <conditionalFormatting sqref="W141">
    <cfRule type="expression" dxfId="3427" priority="130">
      <formula>OR($T$141 = TRUE, AND($W$141 = TRUE, $S$141 = FALSE))</formula>
    </cfRule>
  </conditionalFormatting>
  <conditionalFormatting sqref="W143">
    <cfRule type="expression" dxfId="3426" priority="129">
      <formula>AND($R$143,$S$143)</formula>
    </cfRule>
  </conditionalFormatting>
  <conditionalFormatting sqref="W143">
    <cfRule type="expression" dxfId="3425" priority="128">
      <formula>AND(IF($R$143,$W$143,TRUE),LEN(TRIM($W$143))&gt;0)</formula>
    </cfRule>
  </conditionalFormatting>
  <conditionalFormatting sqref="W143">
    <cfRule type="expression" dxfId="3424" priority="127">
      <formula>$S$143 = FALSE</formula>
    </cfRule>
  </conditionalFormatting>
  <conditionalFormatting sqref="W143">
    <cfRule type="expression" dxfId="3423" priority="126">
      <formula>OR($T$143 = TRUE, AND($W$143 = TRUE, $S$143 = FALSE))</formula>
    </cfRule>
  </conditionalFormatting>
  <conditionalFormatting sqref="W144">
    <cfRule type="expression" dxfId="3422" priority="125">
      <formula>AND($R$144,$S$144)</formula>
    </cfRule>
  </conditionalFormatting>
  <conditionalFormatting sqref="W144">
    <cfRule type="expression" dxfId="3421" priority="124">
      <formula>AND(IF($R$144,$W$144,TRUE),LEN(TRIM($W$144))&gt;0)</formula>
    </cfRule>
  </conditionalFormatting>
  <conditionalFormatting sqref="W144">
    <cfRule type="expression" dxfId="3420" priority="123">
      <formula>$S$144 = FALSE</formula>
    </cfRule>
  </conditionalFormatting>
  <conditionalFormatting sqref="W144">
    <cfRule type="expression" dxfId="3419" priority="122">
      <formula>OR($T$144 = TRUE, AND($W$144 = TRUE, $S$144 = FALSE))</formula>
    </cfRule>
  </conditionalFormatting>
  <conditionalFormatting sqref="W146">
    <cfRule type="expression" dxfId="3418" priority="121">
      <formula>AND($R$146,$S$146)</formula>
    </cfRule>
  </conditionalFormatting>
  <conditionalFormatting sqref="W146">
    <cfRule type="expression" dxfId="3417" priority="120">
      <formula>AND(IF($R$146,$W$146,TRUE),LEN(TRIM($W$146))&gt;0)</formula>
    </cfRule>
  </conditionalFormatting>
  <conditionalFormatting sqref="W146">
    <cfRule type="expression" dxfId="3416" priority="119">
      <formula>$S$146 = FALSE</formula>
    </cfRule>
  </conditionalFormatting>
  <conditionalFormatting sqref="W146">
    <cfRule type="expression" dxfId="3415" priority="118">
      <formula>OR($T$146 = TRUE, AND($W$146 = TRUE, $S$146 = FALSE))</formula>
    </cfRule>
  </conditionalFormatting>
  <conditionalFormatting sqref="W147">
    <cfRule type="expression" dxfId="3414" priority="117">
      <formula>AND($R$147,$S$147)</formula>
    </cfRule>
  </conditionalFormatting>
  <conditionalFormatting sqref="W147">
    <cfRule type="expression" dxfId="3413" priority="116">
      <formula>AND(IF($R$147,$W$147,TRUE),LEN(TRIM($W$147))&gt;0)</formula>
    </cfRule>
  </conditionalFormatting>
  <conditionalFormatting sqref="W147">
    <cfRule type="expression" dxfId="3412" priority="115">
      <formula>$S$147 = FALSE</formula>
    </cfRule>
  </conditionalFormatting>
  <conditionalFormatting sqref="W147">
    <cfRule type="expression" dxfId="3411" priority="114">
      <formula>OR($T$147 = TRUE, AND($W$147 = TRUE, $S$147 = FALSE))</formula>
    </cfRule>
  </conditionalFormatting>
  <conditionalFormatting sqref="W148">
    <cfRule type="expression" dxfId="3410" priority="113">
      <formula>AND($R$148,$S$148)</formula>
    </cfRule>
  </conditionalFormatting>
  <conditionalFormatting sqref="W148">
    <cfRule type="expression" dxfId="3409" priority="112">
      <formula>AND(IF($R$148,$W$148,TRUE),LEN(TRIM($W$148))&gt;0)</formula>
    </cfRule>
  </conditionalFormatting>
  <conditionalFormatting sqref="W148">
    <cfRule type="expression" dxfId="3408" priority="111">
      <formula>$S$148 = FALSE</formula>
    </cfRule>
  </conditionalFormatting>
  <conditionalFormatting sqref="W148">
    <cfRule type="expression" dxfId="3407" priority="110">
      <formula>OR($T$148 = TRUE, AND($W$148 = TRUE, $S$148 = FALSE))</formula>
    </cfRule>
  </conditionalFormatting>
  <conditionalFormatting sqref="W149">
    <cfRule type="expression" dxfId="3406" priority="109">
      <formula>AND($R$149,$S$149)</formula>
    </cfRule>
  </conditionalFormatting>
  <conditionalFormatting sqref="W149">
    <cfRule type="expression" dxfId="3405" priority="108">
      <formula>AND(IF($R$149,$W$149,TRUE),LEN(TRIM($W$149))&gt;0)</formula>
    </cfRule>
  </conditionalFormatting>
  <conditionalFormatting sqref="W149">
    <cfRule type="expression" dxfId="3404" priority="107">
      <formula>$S$149 = FALSE</formula>
    </cfRule>
  </conditionalFormatting>
  <conditionalFormatting sqref="W149">
    <cfRule type="expression" dxfId="3403" priority="106">
      <formula>OR($T$149 = TRUE, AND($W$149 = TRUE, $S$149 = FALSE))</formula>
    </cfRule>
  </conditionalFormatting>
  <conditionalFormatting sqref="W152">
    <cfRule type="expression" dxfId="3402" priority="105">
      <formula>AND($R$152,$S$152)</formula>
    </cfRule>
  </conditionalFormatting>
  <conditionalFormatting sqref="W152">
    <cfRule type="expression" dxfId="3401" priority="104">
      <formula>AND(IF($R$152,$W$152,TRUE),LEN(TRIM($W$152))&gt;0)</formula>
    </cfRule>
  </conditionalFormatting>
  <conditionalFormatting sqref="W152">
    <cfRule type="expression" dxfId="3400" priority="103">
      <formula>$S$152 = FALSE</formula>
    </cfRule>
  </conditionalFormatting>
  <conditionalFormatting sqref="W152">
    <cfRule type="expression" dxfId="3399" priority="102">
      <formula>OR($T$152 = TRUE, AND($W$152 = TRUE, $S$152 = FALSE))</formula>
    </cfRule>
  </conditionalFormatting>
  <conditionalFormatting sqref="W193">
    <cfRule type="expression" dxfId="3398" priority="98">
      <formula>OR($T$193 = TRUE, AND($W$193 = TRUE, $S$193 = FALSE))</formula>
    </cfRule>
    <cfRule type="expression" dxfId="3397" priority="99">
      <formula>$S$193 = FALSE</formula>
    </cfRule>
    <cfRule type="expression" dxfId="3396" priority="100">
      <formula>AND(IF($R$193,$W$193,TRUE),LEN(TRIM($W$193))&gt;0)</formula>
    </cfRule>
    <cfRule type="expression" dxfId="3395" priority="101">
      <formula>AND($R$193,$S$193)</formula>
    </cfRule>
  </conditionalFormatting>
  <conditionalFormatting sqref="W195">
    <cfRule type="expression" dxfId="3394" priority="94">
      <formula>OR($T$195 = TRUE, AND($W$195 = TRUE, $S$195 = FALSE))</formula>
    </cfRule>
    <cfRule type="expression" dxfId="3393" priority="95">
      <formula>$S$195 = FALSE</formula>
    </cfRule>
    <cfRule type="expression" dxfId="3392" priority="96">
      <formula>AND(IF($R$195,$W$195,TRUE),LEN(TRIM($W$195))&gt;0)</formula>
    </cfRule>
    <cfRule type="expression" dxfId="3391" priority="97">
      <formula>AND($R$195,$S$195)</formula>
    </cfRule>
  </conditionalFormatting>
  <conditionalFormatting sqref="W198">
    <cfRule type="expression" dxfId="3390" priority="90">
      <formula>OR($T$198 = TRUE, AND($W$198 = TRUE, $S$198 = FALSE))</formula>
    </cfRule>
    <cfRule type="expression" dxfId="3389" priority="91">
      <formula>$S$198 = FALSE</formula>
    </cfRule>
    <cfRule type="expression" dxfId="3388" priority="92">
      <formula>AND(IF($R$198,$W$198,TRUE),LEN(TRIM($W$198))&gt;0)</formula>
    </cfRule>
    <cfRule type="expression" dxfId="3387" priority="93">
      <formula>AND($R$198,$S$198)</formula>
    </cfRule>
  </conditionalFormatting>
  <conditionalFormatting sqref="W211">
    <cfRule type="expression" dxfId="3386" priority="89">
      <formula>AND($R$211,$S$211)</formula>
    </cfRule>
  </conditionalFormatting>
  <conditionalFormatting sqref="W211">
    <cfRule type="expression" dxfId="3385" priority="88">
      <formula>AND(IF($R$211,$W$211,TRUE),LEN(TRIM($W$211))&gt;0)</formula>
    </cfRule>
  </conditionalFormatting>
  <conditionalFormatting sqref="W211">
    <cfRule type="expression" dxfId="3384" priority="87">
      <formula>$S$211 = FALSE</formula>
    </cfRule>
  </conditionalFormatting>
  <conditionalFormatting sqref="W211">
    <cfRule type="expression" dxfId="3383" priority="86">
      <formula>OR($T$211 = TRUE, AND($W$211 = TRUE, $S$211 = FALSE))</formula>
    </cfRule>
  </conditionalFormatting>
  <conditionalFormatting sqref="W213">
    <cfRule type="expression" dxfId="3382" priority="85">
      <formula>AND($R$213,$S$213)</formula>
    </cfRule>
  </conditionalFormatting>
  <conditionalFormatting sqref="W213">
    <cfRule type="expression" dxfId="3381" priority="84">
      <formula>AND(IF($R$213,$W$213,TRUE),LEN(TRIM($W$213))&gt;0)</formula>
    </cfRule>
  </conditionalFormatting>
  <conditionalFormatting sqref="W213">
    <cfRule type="expression" dxfId="3380" priority="83">
      <formula>$S$213 = FALSE</formula>
    </cfRule>
  </conditionalFormatting>
  <conditionalFormatting sqref="W213">
    <cfRule type="expression" dxfId="3379" priority="82">
      <formula>OR($T$213 = TRUE, AND($W$213 = TRUE, $S$213 = FALSE))</formula>
    </cfRule>
  </conditionalFormatting>
  <conditionalFormatting sqref="I1">
    <cfRule type="expression" dxfId="3378" priority="78">
      <formula>$AG$1="Gold"</formula>
    </cfRule>
    <cfRule type="expression" dxfId="3377" priority="79">
      <formula>$AG$1="Silver"</formula>
    </cfRule>
    <cfRule type="expression" dxfId="3376" priority="80">
      <formula>$AG$1="Bronze"</formula>
    </cfRule>
    <cfRule type="expression" dxfId="3375" priority="81">
      <formula>$AG$1="Emerald"</formula>
    </cfRule>
  </conditionalFormatting>
  <conditionalFormatting sqref="X1">
    <cfRule type="expression" dxfId="3374" priority="77">
      <formula>startError</formula>
    </cfRule>
  </conditionalFormatting>
  <conditionalFormatting sqref="W150">
    <cfRule type="expression" dxfId="3373" priority="76">
      <formula>AND($R$150,$S$150)</formula>
    </cfRule>
  </conditionalFormatting>
  <conditionalFormatting sqref="W150">
    <cfRule type="expression" dxfId="3372" priority="75">
      <formula>AND(IF($R$150,$W$150,TRUE),LEN(TRIM($W$150))&gt;0)</formula>
    </cfRule>
  </conditionalFormatting>
  <conditionalFormatting sqref="W150">
    <cfRule type="expression" dxfId="3371" priority="74">
      <formula>$S$150 = FALSE</formula>
    </cfRule>
  </conditionalFormatting>
  <conditionalFormatting sqref="W150">
    <cfRule type="expression" dxfId="3370" priority="73">
      <formula>OR($T$150 = TRUE, AND($W$150 = TRUE, $S$150 = FALSE))</formula>
    </cfRule>
  </conditionalFormatting>
  <conditionalFormatting sqref="W167">
    <cfRule type="expression" dxfId="3369" priority="72">
      <formula>AND($R$167,$S$167)</formula>
    </cfRule>
  </conditionalFormatting>
  <conditionalFormatting sqref="W167">
    <cfRule type="expression" dxfId="3368" priority="71">
      <formula>AND(IF($R$167,$W$167,TRUE),LEN(TRIM($W$167))&gt;0)</formula>
    </cfRule>
  </conditionalFormatting>
  <conditionalFormatting sqref="W167">
    <cfRule type="expression" dxfId="3367" priority="70">
      <formula>$S$167 = FALSE</formula>
    </cfRule>
  </conditionalFormatting>
  <conditionalFormatting sqref="W167">
    <cfRule type="expression" dxfId="3366" priority="69">
      <formula>OR($T$167 = TRUE, AND($W$167 = TRUE, $S$167 = FALSE))</formula>
    </cfRule>
  </conditionalFormatting>
  <conditionalFormatting sqref="W168">
    <cfRule type="expression" dxfId="3365" priority="68">
      <formula>AND($R$168,$S$168)</formula>
    </cfRule>
  </conditionalFormatting>
  <conditionalFormatting sqref="W168">
    <cfRule type="expression" dxfId="3364" priority="67">
      <formula>AND(IF($R$168,$W$168,TRUE),LEN(TRIM($W$168))&gt;0)</formula>
    </cfRule>
  </conditionalFormatting>
  <conditionalFormatting sqref="W168">
    <cfRule type="expression" dxfId="3363" priority="66">
      <formula>$S$168 = FALSE</formula>
    </cfRule>
  </conditionalFormatting>
  <conditionalFormatting sqref="W168">
    <cfRule type="expression" dxfId="3362" priority="65">
      <formula>OR($T$168 = TRUE, AND($W$168 = TRUE, $S$168 = FALSE))</formula>
    </cfRule>
  </conditionalFormatting>
  <conditionalFormatting sqref="W169">
    <cfRule type="expression" dxfId="3361" priority="64">
      <formula>AND($R$169,$S$169)</formula>
    </cfRule>
  </conditionalFormatting>
  <conditionalFormatting sqref="W169">
    <cfRule type="expression" dxfId="3360" priority="63">
      <formula>AND(IF($R$169,$W$169,TRUE),LEN(TRIM($W$169))&gt;0)</formula>
    </cfRule>
  </conditionalFormatting>
  <conditionalFormatting sqref="W169">
    <cfRule type="expression" dxfId="3359" priority="62">
      <formula>$S$169 = FALSE</formula>
    </cfRule>
  </conditionalFormatting>
  <conditionalFormatting sqref="W169">
    <cfRule type="expression" dxfId="3358" priority="61">
      <formula>OR($T$169 = TRUE, AND($W$169 = TRUE, $S$169 = FALSE))</formula>
    </cfRule>
  </conditionalFormatting>
  <conditionalFormatting sqref="W171">
    <cfRule type="expression" dxfId="3357" priority="60">
      <formula>AND($R$171,$S$171)</formula>
    </cfRule>
  </conditionalFormatting>
  <conditionalFormatting sqref="W171">
    <cfRule type="expression" dxfId="3356" priority="59">
      <formula>AND(IF($R$171,$W$171,TRUE),LEN(TRIM($W$171))&gt;0)</formula>
    </cfRule>
  </conditionalFormatting>
  <conditionalFormatting sqref="W171">
    <cfRule type="expression" dxfId="3355" priority="58">
      <formula>$S$171 = FALSE</formula>
    </cfRule>
  </conditionalFormatting>
  <conditionalFormatting sqref="W171">
    <cfRule type="expression" dxfId="3354" priority="57">
      <formula>OR($T$171 = TRUE, AND($W$171 = TRUE, $S$171 = FALSE))</formula>
    </cfRule>
  </conditionalFormatting>
  <conditionalFormatting sqref="W172">
    <cfRule type="expression" dxfId="3353" priority="56">
      <formula>AND($R$172,$S$172)</formula>
    </cfRule>
  </conditionalFormatting>
  <conditionalFormatting sqref="W172">
    <cfRule type="expression" dxfId="3352" priority="55">
      <formula>AND(IF($R$172,$W$172,TRUE),LEN(TRIM($W$172))&gt;0)</formula>
    </cfRule>
  </conditionalFormatting>
  <conditionalFormatting sqref="W172">
    <cfRule type="expression" dxfId="3351" priority="54">
      <formula>$S$172 = FALSE</formula>
    </cfRule>
  </conditionalFormatting>
  <conditionalFormatting sqref="W172">
    <cfRule type="expression" dxfId="3350" priority="53">
      <formula>OR($T$172 = TRUE, AND($W$172 = TRUE, $S$172 = FALSE))</formula>
    </cfRule>
  </conditionalFormatting>
  <conditionalFormatting sqref="W173">
    <cfRule type="expression" dxfId="3349" priority="52">
      <formula>AND($R$173,$S$173)</formula>
    </cfRule>
  </conditionalFormatting>
  <conditionalFormatting sqref="W173">
    <cfRule type="expression" dxfId="3348" priority="51">
      <formula>AND(IF($R$173,$W$173,TRUE),LEN(TRIM($W$173))&gt;0)</formula>
    </cfRule>
  </conditionalFormatting>
  <conditionalFormatting sqref="W173">
    <cfRule type="expression" dxfId="3347" priority="50">
      <formula>$S$173 = FALSE</formula>
    </cfRule>
  </conditionalFormatting>
  <conditionalFormatting sqref="W173">
    <cfRule type="expression" dxfId="3346" priority="49">
      <formula>OR($T$173 = TRUE, AND($W$173 = TRUE, $S$173 = FALSE))</formula>
    </cfRule>
  </conditionalFormatting>
  <conditionalFormatting sqref="W174">
    <cfRule type="expression" dxfId="3345" priority="48">
      <formula>AND($R$174,$S$174)</formula>
    </cfRule>
  </conditionalFormatting>
  <conditionalFormatting sqref="W174">
    <cfRule type="expression" dxfId="3344" priority="47">
      <formula>AND(IF($R$174,$W$174,TRUE),LEN(TRIM($W$174))&gt;0)</formula>
    </cfRule>
  </conditionalFormatting>
  <conditionalFormatting sqref="W174">
    <cfRule type="expression" dxfId="3343" priority="46">
      <formula>$S$174 = FALSE</formula>
    </cfRule>
  </conditionalFormatting>
  <conditionalFormatting sqref="W174">
    <cfRule type="expression" dxfId="3342" priority="45">
      <formula>OR($T$174 = TRUE, AND($W$174 = TRUE, $S$174 = FALSE))</formula>
    </cfRule>
  </conditionalFormatting>
  <conditionalFormatting sqref="W175">
    <cfRule type="expression" dxfId="3341" priority="44">
      <formula>AND($R$175,$S$175)</formula>
    </cfRule>
  </conditionalFormatting>
  <conditionalFormatting sqref="W175">
    <cfRule type="expression" dxfId="3340" priority="43">
      <formula>AND(IF($R$175,$W$175,TRUE),LEN(TRIM($W$175))&gt;0)</formula>
    </cfRule>
  </conditionalFormatting>
  <conditionalFormatting sqref="W175">
    <cfRule type="expression" dxfId="3339" priority="42">
      <formula>$S$175 = FALSE</formula>
    </cfRule>
  </conditionalFormatting>
  <conditionalFormatting sqref="W175">
    <cfRule type="expression" dxfId="3338" priority="41">
      <formula>OR($T$175 = TRUE, AND($W$175 = TRUE, $S$175 = FALSE))</formula>
    </cfRule>
  </conditionalFormatting>
  <conditionalFormatting sqref="W176">
    <cfRule type="expression" dxfId="3337" priority="40">
      <formula>AND($R$176,$S$176)</formula>
    </cfRule>
  </conditionalFormatting>
  <conditionalFormatting sqref="W176">
    <cfRule type="expression" dxfId="3336" priority="39">
      <formula>AND(IF($R$176,$W$176,TRUE),LEN(TRIM($W$176))&gt;0)</formula>
    </cfRule>
  </conditionalFormatting>
  <conditionalFormatting sqref="W176">
    <cfRule type="expression" dxfId="3335" priority="38">
      <formula>$S$176 = FALSE</formula>
    </cfRule>
  </conditionalFormatting>
  <conditionalFormatting sqref="W176">
    <cfRule type="expression" dxfId="3334" priority="37">
      <formula>OR($T$176 = TRUE, AND($W$176 = TRUE, $S$176 = FALSE))</formula>
    </cfRule>
  </conditionalFormatting>
  <conditionalFormatting sqref="W181">
    <cfRule type="expression" dxfId="3333" priority="36">
      <formula>AND($R$181,$S$181)</formula>
    </cfRule>
  </conditionalFormatting>
  <conditionalFormatting sqref="W181">
    <cfRule type="expression" dxfId="3332" priority="35">
      <formula>AND(IF($R$181,$W$181,TRUE),LEN(TRIM($W$181))&gt;0)</formula>
    </cfRule>
  </conditionalFormatting>
  <conditionalFormatting sqref="W181">
    <cfRule type="expression" dxfId="3331" priority="34">
      <formula>$S$181 = FALSE</formula>
    </cfRule>
  </conditionalFormatting>
  <conditionalFormatting sqref="W181">
    <cfRule type="expression" dxfId="3330" priority="33">
      <formula>OR($T$181 = TRUE, AND($W$181 = TRUE, $S$181 = FALSE))</formula>
    </cfRule>
  </conditionalFormatting>
  <conditionalFormatting sqref="W182">
    <cfRule type="expression" dxfId="3329" priority="32">
      <formula>AND($R$182,$S$182)</formula>
    </cfRule>
  </conditionalFormatting>
  <conditionalFormatting sqref="W182">
    <cfRule type="expression" dxfId="3328" priority="31">
      <formula>AND(IF($R$182,$W$182,TRUE),LEN(TRIM($W$182))&gt;0)</formula>
    </cfRule>
  </conditionalFormatting>
  <conditionalFormatting sqref="W182">
    <cfRule type="expression" dxfId="3327" priority="30">
      <formula>$S$182 = FALSE</formula>
    </cfRule>
  </conditionalFormatting>
  <conditionalFormatting sqref="W182">
    <cfRule type="expression" dxfId="3326" priority="29">
      <formula>OR($T$182 = TRUE, AND($W$182 = TRUE, $S$182 = FALSE))</formula>
    </cfRule>
  </conditionalFormatting>
  <conditionalFormatting sqref="W183">
    <cfRule type="expression" dxfId="3325" priority="28">
      <formula>AND($R$183,$S$183)</formula>
    </cfRule>
  </conditionalFormatting>
  <conditionalFormatting sqref="W183">
    <cfRule type="expression" dxfId="3324" priority="27">
      <formula>AND(IF($R$183,$W$183,TRUE),LEN(TRIM($W$183))&gt;0)</formula>
    </cfRule>
  </conditionalFormatting>
  <conditionalFormatting sqref="W183">
    <cfRule type="expression" dxfId="3323" priority="26">
      <formula>$S$183 = FALSE</formula>
    </cfRule>
  </conditionalFormatting>
  <conditionalFormatting sqref="W183">
    <cfRule type="expression" dxfId="3322" priority="25">
      <formula>OR($T$183 = TRUE, AND($W$183 = TRUE, $S$183 = FALSE))</formula>
    </cfRule>
  </conditionalFormatting>
  <conditionalFormatting sqref="W184">
    <cfRule type="expression" dxfId="3321" priority="24">
      <formula>AND($R$184,$S$184)</formula>
    </cfRule>
  </conditionalFormatting>
  <conditionalFormatting sqref="W184">
    <cfRule type="expression" dxfId="3320" priority="23">
      <formula>AND(IF($R$184,$W$184,TRUE),LEN(TRIM($W$184))&gt;0)</formula>
    </cfRule>
  </conditionalFormatting>
  <conditionalFormatting sqref="W184">
    <cfRule type="expression" dxfId="3319" priority="22">
      <formula>$S$184 = FALSE</formula>
    </cfRule>
  </conditionalFormatting>
  <conditionalFormatting sqref="W184">
    <cfRule type="expression" dxfId="3318" priority="21">
      <formula>OR($T$184 = TRUE, AND($W$184 = TRUE, $S$184 = FALSE))</formula>
    </cfRule>
  </conditionalFormatting>
  <conditionalFormatting sqref="W185">
    <cfRule type="expression" dxfId="3317" priority="20">
      <formula>AND($R$185,$S$185)</formula>
    </cfRule>
  </conditionalFormatting>
  <conditionalFormatting sqref="W185">
    <cfRule type="expression" dxfId="3316" priority="19">
      <formula>AND(IF($R$185,$W$185,TRUE),LEN(TRIM($W$185))&gt;0)</formula>
    </cfRule>
  </conditionalFormatting>
  <conditionalFormatting sqref="W185">
    <cfRule type="expression" dxfId="3315" priority="18">
      <formula>$S$185 = FALSE</formula>
    </cfRule>
  </conditionalFormatting>
  <conditionalFormatting sqref="W185">
    <cfRule type="expression" dxfId="3314" priority="17">
      <formula>OR($T$185 = TRUE, AND($W$185 = TRUE, $S$185 = FALSE))</formula>
    </cfRule>
  </conditionalFormatting>
  <conditionalFormatting sqref="W186">
    <cfRule type="expression" dxfId="3313" priority="16">
      <formula>AND($R$186,$S$186)</formula>
    </cfRule>
  </conditionalFormatting>
  <conditionalFormatting sqref="W186">
    <cfRule type="expression" dxfId="3312" priority="15">
      <formula>AND(IF($R$186,$W$186,TRUE),LEN(TRIM($W$186))&gt;0)</formula>
    </cfRule>
  </conditionalFormatting>
  <conditionalFormatting sqref="W186">
    <cfRule type="expression" dxfId="3311" priority="14">
      <formula>$S$186 = FALSE</formula>
    </cfRule>
  </conditionalFormatting>
  <conditionalFormatting sqref="W186">
    <cfRule type="expression" dxfId="3310" priority="13">
      <formula>OR($T$186 = TRUE, AND($W$186 = TRUE, $S$186 = FALSE))</formula>
    </cfRule>
  </conditionalFormatting>
  <conditionalFormatting sqref="W187">
    <cfRule type="expression" dxfId="3309" priority="12">
      <formula>AND($R$187,$S$187)</formula>
    </cfRule>
  </conditionalFormatting>
  <conditionalFormatting sqref="W187">
    <cfRule type="expression" dxfId="3308" priority="11">
      <formula>AND(IF($R$187,$W$187,TRUE),LEN(TRIM($W$187))&gt;0)</formula>
    </cfRule>
  </conditionalFormatting>
  <conditionalFormatting sqref="W187">
    <cfRule type="expression" dxfId="3307" priority="10">
      <formula>$S$187 = FALSE</formula>
    </cfRule>
  </conditionalFormatting>
  <conditionalFormatting sqref="W187">
    <cfRule type="expression" dxfId="3306" priority="9">
      <formula>OR($T$187 = TRUE, AND($W$187 = TRUE, $S$187 = FALSE))</formula>
    </cfRule>
  </conditionalFormatting>
  <conditionalFormatting sqref="W220">
    <cfRule type="expression" dxfId="3305" priority="8">
      <formula>AND($R$220,$S$220)</formula>
    </cfRule>
  </conditionalFormatting>
  <conditionalFormatting sqref="W220">
    <cfRule type="expression" dxfId="3304" priority="7">
      <formula>AND(IF($R$220,$W$220,TRUE),LEN(TRIM($W$220))&gt;0)</formula>
    </cfRule>
  </conditionalFormatting>
  <conditionalFormatting sqref="W220">
    <cfRule type="expression" dxfId="3303" priority="6">
      <formula>$S$220 = FALSE</formula>
    </cfRule>
  </conditionalFormatting>
  <conditionalFormatting sqref="W220">
    <cfRule type="expression" dxfId="3302" priority="5">
      <formula>OR($T$220 = TRUE, AND($W$220 = TRUE, $S$220 = FALSE))</formula>
    </cfRule>
  </conditionalFormatting>
  <conditionalFormatting sqref="W217">
    <cfRule type="expression" dxfId="3301" priority="4">
      <formula>AND($R$217,$S$217)</formula>
    </cfRule>
  </conditionalFormatting>
  <conditionalFormatting sqref="W217">
    <cfRule type="expression" dxfId="3300" priority="3">
      <formula>AND(IF($R$217,$W$217,TRUE),LEN(TRIM($W$217))&gt;0)</formula>
    </cfRule>
  </conditionalFormatting>
  <conditionalFormatting sqref="W217">
    <cfRule type="expression" dxfId="3299" priority="2">
      <formula>$S$217 = FALSE</formula>
    </cfRule>
  </conditionalFormatting>
  <conditionalFormatting sqref="W217">
    <cfRule type="expression" dxfId="3298" priority="1">
      <formula>OR($T$217 = TRUE, AND($W$217 = TRUE, $S$217 = FALSE))</formula>
    </cfRule>
  </conditionalFormatting>
  <dataValidations count="1">
    <dataValidation type="list" allowBlank="1" showDropDown="1" showInputMessage="1" showErrorMessage="1" error="Use Checkbox" prompt="Use Checkbox" sqref="W213 W211 W198 W195 W193 W30:W32 W143:W144 W141 W134 W130 W128 W122 W118:W119 W116 W113:W114 W111 W108 W106 W103 W101 W93:W95 W90:W91 W88 W85 W82 W58:W60 W56 W54 W51:W52 W49 W46:W47 W44 W42 W38 W15:W17 W25 W21:W23 W27:W28 W152 W146:W150 W181:W187 W171:W176 W167:W169 W217 W220" xr:uid="{00000000-0002-0000-0800-000000000000}">
      <formula1>TorF</formula1>
    </dataValidation>
  </dataValidations>
  <pageMargins left="0.7" right="0.7" top="0.75" bottom="0.75" header="0.3" footer="0.3"/>
  <pageSetup scale="44" fitToHeight="0" orientation="portrait" r:id="rId1"/>
  <rowBreaks count="2" manualBreakCount="2">
    <brk id="96" max="23" man="1"/>
    <brk id="20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8316" r:id="rId4" name="Check Box 124">
              <controlPr locked="0" defaultSize="0" autoFill="0" autoLine="0" autoPict="0">
                <anchor moveWithCells="1" sizeWithCells="1">
                  <from>
                    <xdr:col>22</xdr:col>
                    <xdr:colOff>0</xdr:colOff>
                    <xdr:row>14</xdr:row>
                    <xdr:rowOff>0</xdr:rowOff>
                  </from>
                  <to>
                    <xdr:col>22</xdr:col>
                    <xdr:colOff>180975</xdr:colOff>
                    <xdr:row>14</xdr:row>
                    <xdr:rowOff>180975</xdr:rowOff>
                  </to>
                </anchor>
              </controlPr>
            </control>
          </mc:Choice>
        </mc:AlternateContent>
        <mc:AlternateContent xmlns:mc="http://schemas.openxmlformats.org/markup-compatibility/2006">
          <mc:Choice Requires="x14">
            <control shapeId="8317" r:id="rId5" name="Check Box 125">
              <controlPr locked="0" defaultSize="0" autoFill="0" autoLine="0" autoPict="0">
                <anchor moveWithCells="1" sizeWithCells="1">
                  <from>
                    <xdr:col>22</xdr:col>
                    <xdr:colOff>0</xdr:colOff>
                    <xdr:row>15</xdr:row>
                    <xdr:rowOff>0</xdr:rowOff>
                  </from>
                  <to>
                    <xdr:col>22</xdr:col>
                    <xdr:colOff>180975</xdr:colOff>
                    <xdr:row>15</xdr:row>
                    <xdr:rowOff>180975</xdr:rowOff>
                  </to>
                </anchor>
              </controlPr>
            </control>
          </mc:Choice>
        </mc:AlternateContent>
        <mc:AlternateContent xmlns:mc="http://schemas.openxmlformats.org/markup-compatibility/2006">
          <mc:Choice Requires="x14">
            <control shapeId="8318" r:id="rId6" name="Check Box 126">
              <controlPr locked="0" defaultSize="0" autoFill="0" autoLine="0" autoPict="0">
                <anchor moveWithCells="1" sizeWithCells="1">
                  <from>
                    <xdr:col>22</xdr:col>
                    <xdr:colOff>0</xdr:colOff>
                    <xdr:row>16</xdr:row>
                    <xdr:rowOff>0</xdr:rowOff>
                  </from>
                  <to>
                    <xdr:col>22</xdr:col>
                    <xdr:colOff>180975</xdr:colOff>
                    <xdr:row>16</xdr:row>
                    <xdr:rowOff>180975</xdr:rowOff>
                  </to>
                </anchor>
              </controlPr>
            </control>
          </mc:Choice>
        </mc:AlternateContent>
        <mc:AlternateContent xmlns:mc="http://schemas.openxmlformats.org/markup-compatibility/2006">
          <mc:Choice Requires="x14">
            <control shapeId="8319" r:id="rId7" name="Check Box 127">
              <controlPr locked="0" defaultSize="0" autoFill="0" autoLine="0" autoPict="0">
                <anchor moveWithCells="1" sizeWithCells="1">
                  <from>
                    <xdr:col>22</xdr:col>
                    <xdr:colOff>0</xdr:colOff>
                    <xdr:row>20</xdr:row>
                    <xdr:rowOff>0</xdr:rowOff>
                  </from>
                  <to>
                    <xdr:col>22</xdr:col>
                    <xdr:colOff>180975</xdr:colOff>
                    <xdr:row>20</xdr:row>
                    <xdr:rowOff>180975</xdr:rowOff>
                  </to>
                </anchor>
              </controlPr>
            </control>
          </mc:Choice>
        </mc:AlternateContent>
        <mc:AlternateContent xmlns:mc="http://schemas.openxmlformats.org/markup-compatibility/2006">
          <mc:Choice Requires="x14">
            <control shapeId="8320" r:id="rId8" name="Check Box 128">
              <controlPr locked="0" defaultSize="0" autoFill="0" autoLine="0" autoPict="0">
                <anchor moveWithCells="1" sizeWithCells="1">
                  <from>
                    <xdr:col>22</xdr:col>
                    <xdr:colOff>0</xdr:colOff>
                    <xdr:row>21</xdr:row>
                    <xdr:rowOff>0</xdr:rowOff>
                  </from>
                  <to>
                    <xdr:col>22</xdr:col>
                    <xdr:colOff>180975</xdr:colOff>
                    <xdr:row>21</xdr:row>
                    <xdr:rowOff>180975</xdr:rowOff>
                  </to>
                </anchor>
              </controlPr>
            </control>
          </mc:Choice>
        </mc:AlternateContent>
        <mc:AlternateContent xmlns:mc="http://schemas.openxmlformats.org/markup-compatibility/2006">
          <mc:Choice Requires="x14">
            <control shapeId="8321" r:id="rId9" name="Check Box 129">
              <controlPr locked="0" defaultSize="0" autoFill="0" autoLine="0" autoPict="0">
                <anchor moveWithCells="1" sizeWithCells="1">
                  <from>
                    <xdr:col>22</xdr:col>
                    <xdr:colOff>0</xdr:colOff>
                    <xdr:row>22</xdr:row>
                    <xdr:rowOff>0</xdr:rowOff>
                  </from>
                  <to>
                    <xdr:col>22</xdr:col>
                    <xdr:colOff>180975</xdr:colOff>
                    <xdr:row>22</xdr:row>
                    <xdr:rowOff>180975</xdr:rowOff>
                  </to>
                </anchor>
              </controlPr>
            </control>
          </mc:Choice>
        </mc:AlternateContent>
        <mc:AlternateContent xmlns:mc="http://schemas.openxmlformats.org/markup-compatibility/2006">
          <mc:Choice Requires="x14">
            <control shapeId="8322" r:id="rId10" name="Check Box 130">
              <controlPr locked="0" defaultSize="0" autoFill="0" autoLine="0" autoPict="0">
                <anchor moveWithCells="1" sizeWithCells="1">
                  <from>
                    <xdr:col>22</xdr:col>
                    <xdr:colOff>0</xdr:colOff>
                    <xdr:row>24</xdr:row>
                    <xdr:rowOff>0</xdr:rowOff>
                  </from>
                  <to>
                    <xdr:col>22</xdr:col>
                    <xdr:colOff>180975</xdr:colOff>
                    <xdr:row>24</xdr:row>
                    <xdr:rowOff>180975</xdr:rowOff>
                  </to>
                </anchor>
              </controlPr>
            </control>
          </mc:Choice>
        </mc:AlternateContent>
        <mc:AlternateContent xmlns:mc="http://schemas.openxmlformats.org/markup-compatibility/2006">
          <mc:Choice Requires="x14">
            <control shapeId="8323" r:id="rId11" name="Check Box 131">
              <controlPr locked="0" defaultSize="0" autoFill="0" autoLine="0" autoPict="0">
                <anchor moveWithCells="1" sizeWithCells="1">
                  <from>
                    <xdr:col>22</xdr:col>
                    <xdr:colOff>0</xdr:colOff>
                    <xdr:row>26</xdr:row>
                    <xdr:rowOff>0</xdr:rowOff>
                  </from>
                  <to>
                    <xdr:col>22</xdr:col>
                    <xdr:colOff>180975</xdr:colOff>
                    <xdr:row>26</xdr:row>
                    <xdr:rowOff>180975</xdr:rowOff>
                  </to>
                </anchor>
              </controlPr>
            </control>
          </mc:Choice>
        </mc:AlternateContent>
        <mc:AlternateContent xmlns:mc="http://schemas.openxmlformats.org/markup-compatibility/2006">
          <mc:Choice Requires="x14">
            <control shapeId="8324" r:id="rId12" name="Check Box 132">
              <controlPr locked="0" defaultSize="0" autoFill="0" autoLine="0" autoPict="0">
                <anchor moveWithCells="1" sizeWithCells="1">
                  <from>
                    <xdr:col>22</xdr:col>
                    <xdr:colOff>0</xdr:colOff>
                    <xdr:row>27</xdr:row>
                    <xdr:rowOff>0</xdr:rowOff>
                  </from>
                  <to>
                    <xdr:col>22</xdr:col>
                    <xdr:colOff>180975</xdr:colOff>
                    <xdr:row>27</xdr:row>
                    <xdr:rowOff>180975</xdr:rowOff>
                  </to>
                </anchor>
              </controlPr>
            </control>
          </mc:Choice>
        </mc:AlternateContent>
        <mc:AlternateContent xmlns:mc="http://schemas.openxmlformats.org/markup-compatibility/2006">
          <mc:Choice Requires="x14">
            <control shapeId="8325" r:id="rId13" name="Check Box 133">
              <controlPr locked="0" defaultSize="0" autoFill="0" autoLine="0" autoPict="0">
                <anchor moveWithCells="1" sizeWithCells="1">
                  <from>
                    <xdr:col>22</xdr:col>
                    <xdr:colOff>0</xdr:colOff>
                    <xdr:row>29</xdr:row>
                    <xdr:rowOff>0</xdr:rowOff>
                  </from>
                  <to>
                    <xdr:col>22</xdr:col>
                    <xdr:colOff>180975</xdr:colOff>
                    <xdr:row>29</xdr:row>
                    <xdr:rowOff>180975</xdr:rowOff>
                  </to>
                </anchor>
              </controlPr>
            </control>
          </mc:Choice>
        </mc:AlternateContent>
        <mc:AlternateContent xmlns:mc="http://schemas.openxmlformats.org/markup-compatibility/2006">
          <mc:Choice Requires="x14">
            <control shapeId="8326" r:id="rId14" name="Check Box 134">
              <controlPr locked="0" defaultSize="0" autoFill="0" autoLine="0" autoPict="0">
                <anchor moveWithCells="1" sizeWithCells="1">
                  <from>
                    <xdr:col>22</xdr:col>
                    <xdr:colOff>0</xdr:colOff>
                    <xdr:row>30</xdr:row>
                    <xdr:rowOff>0</xdr:rowOff>
                  </from>
                  <to>
                    <xdr:col>22</xdr:col>
                    <xdr:colOff>180975</xdr:colOff>
                    <xdr:row>30</xdr:row>
                    <xdr:rowOff>180975</xdr:rowOff>
                  </to>
                </anchor>
              </controlPr>
            </control>
          </mc:Choice>
        </mc:AlternateContent>
        <mc:AlternateContent xmlns:mc="http://schemas.openxmlformats.org/markup-compatibility/2006">
          <mc:Choice Requires="x14">
            <control shapeId="8327" r:id="rId15" name="Check Box 135">
              <controlPr locked="0" defaultSize="0" autoFill="0" autoLine="0" autoPict="0">
                <anchor moveWithCells="1" sizeWithCells="1">
                  <from>
                    <xdr:col>22</xdr:col>
                    <xdr:colOff>0</xdr:colOff>
                    <xdr:row>31</xdr:row>
                    <xdr:rowOff>0</xdr:rowOff>
                  </from>
                  <to>
                    <xdr:col>22</xdr:col>
                    <xdr:colOff>180975</xdr:colOff>
                    <xdr:row>31</xdr:row>
                    <xdr:rowOff>180975</xdr:rowOff>
                  </to>
                </anchor>
              </controlPr>
            </control>
          </mc:Choice>
        </mc:AlternateContent>
        <mc:AlternateContent xmlns:mc="http://schemas.openxmlformats.org/markup-compatibility/2006">
          <mc:Choice Requires="x14">
            <control shapeId="8328" r:id="rId16" name="Check Box 136">
              <controlPr locked="0" defaultSize="0" autoFill="0" autoLine="0" autoPict="0">
                <anchor moveWithCells="1" sizeWithCells="1">
                  <from>
                    <xdr:col>22</xdr:col>
                    <xdr:colOff>0</xdr:colOff>
                    <xdr:row>37</xdr:row>
                    <xdr:rowOff>0</xdr:rowOff>
                  </from>
                  <to>
                    <xdr:col>22</xdr:col>
                    <xdr:colOff>180975</xdr:colOff>
                    <xdr:row>37</xdr:row>
                    <xdr:rowOff>180975</xdr:rowOff>
                  </to>
                </anchor>
              </controlPr>
            </control>
          </mc:Choice>
        </mc:AlternateContent>
        <mc:AlternateContent xmlns:mc="http://schemas.openxmlformats.org/markup-compatibility/2006">
          <mc:Choice Requires="x14">
            <control shapeId="8329" r:id="rId17" name="Check Box 137">
              <controlPr locked="0" defaultSize="0" autoFill="0" autoLine="0" autoPict="0">
                <anchor moveWithCells="1" sizeWithCells="1">
                  <from>
                    <xdr:col>22</xdr:col>
                    <xdr:colOff>0</xdr:colOff>
                    <xdr:row>41</xdr:row>
                    <xdr:rowOff>0</xdr:rowOff>
                  </from>
                  <to>
                    <xdr:col>22</xdr:col>
                    <xdr:colOff>180975</xdr:colOff>
                    <xdr:row>41</xdr:row>
                    <xdr:rowOff>180975</xdr:rowOff>
                  </to>
                </anchor>
              </controlPr>
            </control>
          </mc:Choice>
        </mc:AlternateContent>
        <mc:AlternateContent xmlns:mc="http://schemas.openxmlformats.org/markup-compatibility/2006">
          <mc:Choice Requires="x14">
            <control shapeId="8330" r:id="rId18" name="Check Box 138">
              <controlPr locked="0" defaultSize="0" autoFill="0" autoLine="0" autoPict="0">
                <anchor moveWithCells="1" sizeWithCells="1">
                  <from>
                    <xdr:col>22</xdr:col>
                    <xdr:colOff>0</xdr:colOff>
                    <xdr:row>43</xdr:row>
                    <xdr:rowOff>0</xdr:rowOff>
                  </from>
                  <to>
                    <xdr:col>22</xdr:col>
                    <xdr:colOff>180975</xdr:colOff>
                    <xdr:row>43</xdr:row>
                    <xdr:rowOff>180975</xdr:rowOff>
                  </to>
                </anchor>
              </controlPr>
            </control>
          </mc:Choice>
        </mc:AlternateContent>
        <mc:AlternateContent xmlns:mc="http://schemas.openxmlformats.org/markup-compatibility/2006">
          <mc:Choice Requires="x14">
            <control shapeId="8331" r:id="rId19" name="Check Box 139">
              <controlPr locked="0" defaultSize="0" autoFill="0" autoLine="0" autoPict="0">
                <anchor moveWithCells="1" sizeWithCells="1">
                  <from>
                    <xdr:col>22</xdr:col>
                    <xdr:colOff>0</xdr:colOff>
                    <xdr:row>45</xdr:row>
                    <xdr:rowOff>0</xdr:rowOff>
                  </from>
                  <to>
                    <xdr:col>22</xdr:col>
                    <xdr:colOff>180975</xdr:colOff>
                    <xdr:row>45</xdr:row>
                    <xdr:rowOff>180975</xdr:rowOff>
                  </to>
                </anchor>
              </controlPr>
            </control>
          </mc:Choice>
        </mc:AlternateContent>
        <mc:AlternateContent xmlns:mc="http://schemas.openxmlformats.org/markup-compatibility/2006">
          <mc:Choice Requires="x14">
            <control shapeId="8332" r:id="rId20" name="Check Box 140">
              <controlPr locked="0" defaultSize="0" autoFill="0" autoLine="0" autoPict="0">
                <anchor moveWithCells="1" sizeWithCells="1">
                  <from>
                    <xdr:col>22</xdr:col>
                    <xdr:colOff>0</xdr:colOff>
                    <xdr:row>46</xdr:row>
                    <xdr:rowOff>0</xdr:rowOff>
                  </from>
                  <to>
                    <xdr:col>22</xdr:col>
                    <xdr:colOff>180975</xdr:colOff>
                    <xdr:row>46</xdr:row>
                    <xdr:rowOff>180975</xdr:rowOff>
                  </to>
                </anchor>
              </controlPr>
            </control>
          </mc:Choice>
        </mc:AlternateContent>
        <mc:AlternateContent xmlns:mc="http://schemas.openxmlformats.org/markup-compatibility/2006">
          <mc:Choice Requires="x14">
            <control shapeId="8333" r:id="rId21" name="Check Box 141">
              <controlPr locked="0" defaultSize="0" autoFill="0" autoLine="0" autoPict="0">
                <anchor moveWithCells="1" sizeWithCells="1">
                  <from>
                    <xdr:col>22</xdr:col>
                    <xdr:colOff>0</xdr:colOff>
                    <xdr:row>48</xdr:row>
                    <xdr:rowOff>0</xdr:rowOff>
                  </from>
                  <to>
                    <xdr:col>22</xdr:col>
                    <xdr:colOff>180975</xdr:colOff>
                    <xdr:row>48</xdr:row>
                    <xdr:rowOff>180975</xdr:rowOff>
                  </to>
                </anchor>
              </controlPr>
            </control>
          </mc:Choice>
        </mc:AlternateContent>
        <mc:AlternateContent xmlns:mc="http://schemas.openxmlformats.org/markup-compatibility/2006">
          <mc:Choice Requires="x14">
            <control shapeId="8334" r:id="rId22" name="Check Box 142">
              <controlPr locked="0" defaultSize="0" autoFill="0" autoLine="0" autoPict="0">
                <anchor moveWithCells="1" sizeWithCells="1">
                  <from>
                    <xdr:col>22</xdr:col>
                    <xdr:colOff>0</xdr:colOff>
                    <xdr:row>50</xdr:row>
                    <xdr:rowOff>0</xdr:rowOff>
                  </from>
                  <to>
                    <xdr:col>22</xdr:col>
                    <xdr:colOff>180975</xdr:colOff>
                    <xdr:row>50</xdr:row>
                    <xdr:rowOff>180975</xdr:rowOff>
                  </to>
                </anchor>
              </controlPr>
            </control>
          </mc:Choice>
        </mc:AlternateContent>
        <mc:AlternateContent xmlns:mc="http://schemas.openxmlformats.org/markup-compatibility/2006">
          <mc:Choice Requires="x14">
            <control shapeId="8335" r:id="rId23" name="Check Box 143">
              <controlPr locked="0" defaultSize="0" autoFill="0" autoLine="0" autoPict="0">
                <anchor moveWithCells="1" sizeWithCells="1">
                  <from>
                    <xdr:col>22</xdr:col>
                    <xdr:colOff>0</xdr:colOff>
                    <xdr:row>51</xdr:row>
                    <xdr:rowOff>0</xdr:rowOff>
                  </from>
                  <to>
                    <xdr:col>22</xdr:col>
                    <xdr:colOff>180975</xdr:colOff>
                    <xdr:row>51</xdr:row>
                    <xdr:rowOff>180975</xdr:rowOff>
                  </to>
                </anchor>
              </controlPr>
            </control>
          </mc:Choice>
        </mc:AlternateContent>
        <mc:AlternateContent xmlns:mc="http://schemas.openxmlformats.org/markup-compatibility/2006">
          <mc:Choice Requires="x14">
            <control shapeId="8336" r:id="rId24" name="Check Box 144">
              <controlPr locked="0" defaultSize="0" autoFill="0" autoLine="0" autoPict="0">
                <anchor moveWithCells="1" sizeWithCells="1">
                  <from>
                    <xdr:col>22</xdr:col>
                    <xdr:colOff>0</xdr:colOff>
                    <xdr:row>53</xdr:row>
                    <xdr:rowOff>0</xdr:rowOff>
                  </from>
                  <to>
                    <xdr:col>22</xdr:col>
                    <xdr:colOff>180975</xdr:colOff>
                    <xdr:row>53</xdr:row>
                    <xdr:rowOff>180975</xdr:rowOff>
                  </to>
                </anchor>
              </controlPr>
            </control>
          </mc:Choice>
        </mc:AlternateContent>
        <mc:AlternateContent xmlns:mc="http://schemas.openxmlformats.org/markup-compatibility/2006">
          <mc:Choice Requires="x14">
            <control shapeId="8337" r:id="rId25" name="Check Box 145">
              <controlPr locked="0" defaultSize="0" autoFill="0" autoLine="0" autoPict="0">
                <anchor moveWithCells="1" sizeWithCells="1">
                  <from>
                    <xdr:col>22</xdr:col>
                    <xdr:colOff>0</xdr:colOff>
                    <xdr:row>55</xdr:row>
                    <xdr:rowOff>0</xdr:rowOff>
                  </from>
                  <to>
                    <xdr:col>22</xdr:col>
                    <xdr:colOff>180975</xdr:colOff>
                    <xdr:row>55</xdr:row>
                    <xdr:rowOff>180975</xdr:rowOff>
                  </to>
                </anchor>
              </controlPr>
            </control>
          </mc:Choice>
        </mc:AlternateContent>
        <mc:AlternateContent xmlns:mc="http://schemas.openxmlformats.org/markup-compatibility/2006">
          <mc:Choice Requires="x14">
            <control shapeId="8338" r:id="rId26" name="Check Box 146">
              <controlPr locked="0" defaultSize="0" autoFill="0" autoLine="0" autoPict="0">
                <anchor moveWithCells="1" sizeWithCells="1">
                  <from>
                    <xdr:col>22</xdr:col>
                    <xdr:colOff>0</xdr:colOff>
                    <xdr:row>57</xdr:row>
                    <xdr:rowOff>0</xdr:rowOff>
                  </from>
                  <to>
                    <xdr:col>22</xdr:col>
                    <xdr:colOff>180975</xdr:colOff>
                    <xdr:row>57</xdr:row>
                    <xdr:rowOff>180975</xdr:rowOff>
                  </to>
                </anchor>
              </controlPr>
            </control>
          </mc:Choice>
        </mc:AlternateContent>
        <mc:AlternateContent xmlns:mc="http://schemas.openxmlformats.org/markup-compatibility/2006">
          <mc:Choice Requires="x14">
            <control shapeId="8339" r:id="rId27" name="Check Box 147">
              <controlPr locked="0" defaultSize="0" autoFill="0" autoLine="0" autoPict="0">
                <anchor moveWithCells="1" sizeWithCells="1">
                  <from>
                    <xdr:col>22</xdr:col>
                    <xdr:colOff>0</xdr:colOff>
                    <xdr:row>58</xdr:row>
                    <xdr:rowOff>0</xdr:rowOff>
                  </from>
                  <to>
                    <xdr:col>22</xdr:col>
                    <xdr:colOff>180975</xdr:colOff>
                    <xdr:row>58</xdr:row>
                    <xdr:rowOff>180975</xdr:rowOff>
                  </to>
                </anchor>
              </controlPr>
            </control>
          </mc:Choice>
        </mc:AlternateContent>
        <mc:AlternateContent xmlns:mc="http://schemas.openxmlformats.org/markup-compatibility/2006">
          <mc:Choice Requires="x14">
            <control shapeId="8340" r:id="rId28" name="Check Box 148">
              <controlPr locked="0" defaultSize="0" autoFill="0" autoLine="0" autoPict="0">
                <anchor moveWithCells="1" sizeWithCells="1">
                  <from>
                    <xdr:col>22</xdr:col>
                    <xdr:colOff>0</xdr:colOff>
                    <xdr:row>59</xdr:row>
                    <xdr:rowOff>0</xdr:rowOff>
                  </from>
                  <to>
                    <xdr:col>22</xdr:col>
                    <xdr:colOff>180975</xdr:colOff>
                    <xdr:row>59</xdr:row>
                    <xdr:rowOff>180975</xdr:rowOff>
                  </to>
                </anchor>
              </controlPr>
            </control>
          </mc:Choice>
        </mc:AlternateContent>
        <mc:AlternateContent xmlns:mc="http://schemas.openxmlformats.org/markup-compatibility/2006">
          <mc:Choice Requires="x14">
            <control shapeId="8341" r:id="rId29" name="Check Box 149">
              <controlPr locked="0" defaultSize="0" autoFill="0" autoLine="0" autoPict="0">
                <anchor moveWithCells="1" sizeWithCells="1">
                  <from>
                    <xdr:col>22</xdr:col>
                    <xdr:colOff>0</xdr:colOff>
                    <xdr:row>81</xdr:row>
                    <xdr:rowOff>0</xdr:rowOff>
                  </from>
                  <to>
                    <xdr:col>22</xdr:col>
                    <xdr:colOff>180975</xdr:colOff>
                    <xdr:row>81</xdr:row>
                    <xdr:rowOff>180975</xdr:rowOff>
                  </to>
                </anchor>
              </controlPr>
            </control>
          </mc:Choice>
        </mc:AlternateContent>
        <mc:AlternateContent xmlns:mc="http://schemas.openxmlformats.org/markup-compatibility/2006">
          <mc:Choice Requires="x14">
            <control shapeId="8342" r:id="rId30" name="Check Box 150">
              <controlPr locked="0" defaultSize="0" autoFill="0" autoLine="0" autoPict="0">
                <anchor moveWithCells="1" sizeWithCells="1">
                  <from>
                    <xdr:col>22</xdr:col>
                    <xdr:colOff>0</xdr:colOff>
                    <xdr:row>84</xdr:row>
                    <xdr:rowOff>0</xdr:rowOff>
                  </from>
                  <to>
                    <xdr:col>22</xdr:col>
                    <xdr:colOff>180975</xdr:colOff>
                    <xdr:row>84</xdr:row>
                    <xdr:rowOff>180975</xdr:rowOff>
                  </to>
                </anchor>
              </controlPr>
            </control>
          </mc:Choice>
        </mc:AlternateContent>
        <mc:AlternateContent xmlns:mc="http://schemas.openxmlformats.org/markup-compatibility/2006">
          <mc:Choice Requires="x14">
            <control shapeId="8343" r:id="rId31" name="Check Box 151">
              <controlPr locked="0" defaultSize="0" autoFill="0" autoLine="0" autoPict="0">
                <anchor moveWithCells="1" sizeWithCells="1">
                  <from>
                    <xdr:col>22</xdr:col>
                    <xdr:colOff>0</xdr:colOff>
                    <xdr:row>87</xdr:row>
                    <xdr:rowOff>0</xdr:rowOff>
                  </from>
                  <to>
                    <xdr:col>22</xdr:col>
                    <xdr:colOff>180975</xdr:colOff>
                    <xdr:row>87</xdr:row>
                    <xdr:rowOff>180975</xdr:rowOff>
                  </to>
                </anchor>
              </controlPr>
            </control>
          </mc:Choice>
        </mc:AlternateContent>
        <mc:AlternateContent xmlns:mc="http://schemas.openxmlformats.org/markup-compatibility/2006">
          <mc:Choice Requires="x14">
            <control shapeId="8344" r:id="rId32" name="Check Box 152">
              <controlPr locked="0" defaultSize="0" autoFill="0" autoLine="0" autoPict="0">
                <anchor moveWithCells="1" sizeWithCells="1">
                  <from>
                    <xdr:col>22</xdr:col>
                    <xdr:colOff>0</xdr:colOff>
                    <xdr:row>89</xdr:row>
                    <xdr:rowOff>0</xdr:rowOff>
                  </from>
                  <to>
                    <xdr:col>22</xdr:col>
                    <xdr:colOff>180975</xdr:colOff>
                    <xdr:row>89</xdr:row>
                    <xdr:rowOff>180975</xdr:rowOff>
                  </to>
                </anchor>
              </controlPr>
            </control>
          </mc:Choice>
        </mc:AlternateContent>
        <mc:AlternateContent xmlns:mc="http://schemas.openxmlformats.org/markup-compatibility/2006">
          <mc:Choice Requires="x14">
            <control shapeId="8345" r:id="rId33" name="Check Box 153">
              <controlPr locked="0" defaultSize="0" autoFill="0" autoLine="0" autoPict="0">
                <anchor moveWithCells="1" sizeWithCells="1">
                  <from>
                    <xdr:col>22</xdr:col>
                    <xdr:colOff>0</xdr:colOff>
                    <xdr:row>90</xdr:row>
                    <xdr:rowOff>0</xdr:rowOff>
                  </from>
                  <to>
                    <xdr:col>22</xdr:col>
                    <xdr:colOff>180975</xdr:colOff>
                    <xdr:row>90</xdr:row>
                    <xdr:rowOff>180975</xdr:rowOff>
                  </to>
                </anchor>
              </controlPr>
            </control>
          </mc:Choice>
        </mc:AlternateContent>
        <mc:AlternateContent xmlns:mc="http://schemas.openxmlformats.org/markup-compatibility/2006">
          <mc:Choice Requires="x14">
            <control shapeId="8346" r:id="rId34" name="Check Box 154">
              <controlPr locked="0" defaultSize="0" autoFill="0" autoLine="0" autoPict="0">
                <anchor moveWithCells="1" sizeWithCells="1">
                  <from>
                    <xdr:col>22</xdr:col>
                    <xdr:colOff>0</xdr:colOff>
                    <xdr:row>92</xdr:row>
                    <xdr:rowOff>0</xdr:rowOff>
                  </from>
                  <to>
                    <xdr:col>22</xdr:col>
                    <xdr:colOff>180975</xdr:colOff>
                    <xdr:row>92</xdr:row>
                    <xdr:rowOff>180975</xdr:rowOff>
                  </to>
                </anchor>
              </controlPr>
            </control>
          </mc:Choice>
        </mc:AlternateContent>
        <mc:AlternateContent xmlns:mc="http://schemas.openxmlformats.org/markup-compatibility/2006">
          <mc:Choice Requires="x14">
            <control shapeId="8347" r:id="rId35" name="Check Box 155">
              <controlPr locked="0" defaultSize="0" autoFill="0" autoLine="0" autoPict="0">
                <anchor moveWithCells="1" sizeWithCells="1">
                  <from>
                    <xdr:col>22</xdr:col>
                    <xdr:colOff>0</xdr:colOff>
                    <xdr:row>93</xdr:row>
                    <xdr:rowOff>0</xdr:rowOff>
                  </from>
                  <to>
                    <xdr:col>22</xdr:col>
                    <xdr:colOff>180975</xdr:colOff>
                    <xdr:row>93</xdr:row>
                    <xdr:rowOff>180975</xdr:rowOff>
                  </to>
                </anchor>
              </controlPr>
            </control>
          </mc:Choice>
        </mc:AlternateContent>
        <mc:AlternateContent xmlns:mc="http://schemas.openxmlformats.org/markup-compatibility/2006">
          <mc:Choice Requires="x14">
            <control shapeId="8348" r:id="rId36" name="Check Box 156">
              <controlPr locked="0" defaultSize="0" autoFill="0" autoLine="0" autoPict="0">
                <anchor moveWithCells="1" sizeWithCells="1">
                  <from>
                    <xdr:col>22</xdr:col>
                    <xdr:colOff>0</xdr:colOff>
                    <xdr:row>94</xdr:row>
                    <xdr:rowOff>0</xdr:rowOff>
                  </from>
                  <to>
                    <xdr:col>22</xdr:col>
                    <xdr:colOff>180975</xdr:colOff>
                    <xdr:row>94</xdr:row>
                    <xdr:rowOff>180975</xdr:rowOff>
                  </to>
                </anchor>
              </controlPr>
            </control>
          </mc:Choice>
        </mc:AlternateContent>
        <mc:AlternateContent xmlns:mc="http://schemas.openxmlformats.org/markup-compatibility/2006">
          <mc:Choice Requires="x14">
            <control shapeId="8349" r:id="rId37" name="Check Box 157">
              <controlPr locked="0" defaultSize="0" autoFill="0" autoLine="0" autoPict="0">
                <anchor moveWithCells="1" sizeWithCells="1">
                  <from>
                    <xdr:col>22</xdr:col>
                    <xdr:colOff>0</xdr:colOff>
                    <xdr:row>100</xdr:row>
                    <xdr:rowOff>0</xdr:rowOff>
                  </from>
                  <to>
                    <xdr:col>22</xdr:col>
                    <xdr:colOff>180975</xdr:colOff>
                    <xdr:row>100</xdr:row>
                    <xdr:rowOff>180975</xdr:rowOff>
                  </to>
                </anchor>
              </controlPr>
            </control>
          </mc:Choice>
        </mc:AlternateContent>
        <mc:AlternateContent xmlns:mc="http://schemas.openxmlformats.org/markup-compatibility/2006">
          <mc:Choice Requires="x14">
            <control shapeId="8350" r:id="rId38" name="Check Box 158">
              <controlPr locked="0" defaultSize="0" autoFill="0" autoLine="0" autoPict="0">
                <anchor moveWithCells="1" sizeWithCells="1">
                  <from>
                    <xdr:col>22</xdr:col>
                    <xdr:colOff>0</xdr:colOff>
                    <xdr:row>102</xdr:row>
                    <xdr:rowOff>0</xdr:rowOff>
                  </from>
                  <to>
                    <xdr:col>22</xdr:col>
                    <xdr:colOff>180975</xdr:colOff>
                    <xdr:row>102</xdr:row>
                    <xdr:rowOff>180975</xdr:rowOff>
                  </to>
                </anchor>
              </controlPr>
            </control>
          </mc:Choice>
        </mc:AlternateContent>
        <mc:AlternateContent xmlns:mc="http://schemas.openxmlformats.org/markup-compatibility/2006">
          <mc:Choice Requires="x14">
            <control shapeId="8351" r:id="rId39" name="Check Box 159">
              <controlPr locked="0" defaultSize="0" autoFill="0" autoLine="0" autoPict="0">
                <anchor moveWithCells="1" sizeWithCells="1">
                  <from>
                    <xdr:col>22</xdr:col>
                    <xdr:colOff>0</xdr:colOff>
                    <xdr:row>105</xdr:row>
                    <xdr:rowOff>0</xdr:rowOff>
                  </from>
                  <to>
                    <xdr:col>22</xdr:col>
                    <xdr:colOff>180975</xdr:colOff>
                    <xdr:row>105</xdr:row>
                    <xdr:rowOff>180975</xdr:rowOff>
                  </to>
                </anchor>
              </controlPr>
            </control>
          </mc:Choice>
        </mc:AlternateContent>
        <mc:AlternateContent xmlns:mc="http://schemas.openxmlformats.org/markup-compatibility/2006">
          <mc:Choice Requires="x14">
            <control shapeId="8352" r:id="rId40" name="Check Box 160">
              <controlPr locked="0" defaultSize="0" autoFill="0" autoLine="0" autoPict="0">
                <anchor moveWithCells="1" sizeWithCells="1">
                  <from>
                    <xdr:col>22</xdr:col>
                    <xdr:colOff>0</xdr:colOff>
                    <xdr:row>107</xdr:row>
                    <xdr:rowOff>0</xdr:rowOff>
                  </from>
                  <to>
                    <xdr:col>22</xdr:col>
                    <xdr:colOff>180975</xdr:colOff>
                    <xdr:row>107</xdr:row>
                    <xdr:rowOff>180975</xdr:rowOff>
                  </to>
                </anchor>
              </controlPr>
            </control>
          </mc:Choice>
        </mc:AlternateContent>
        <mc:AlternateContent xmlns:mc="http://schemas.openxmlformats.org/markup-compatibility/2006">
          <mc:Choice Requires="x14">
            <control shapeId="8353" r:id="rId41" name="Check Box 161">
              <controlPr locked="0" defaultSize="0" autoFill="0" autoLine="0" autoPict="0">
                <anchor moveWithCells="1" sizeWithCells="1">
                  <from>
                    <xdr:col>22</xdr:col>
                    <xdr:colOff>0</xdr:colOff>
                    <xdr:row>110</xdr:row>
                    <xdr:rowOff>0</xdr:rowOff>
                  </from>
                  <to>
                    <xdr:col>22</xdr:col>
                    <xdr:colOff>180975</xdr:colOff>
                    <xdr:row>110</xdr:row>
                    <xdr:rowOff>180975</xdr:rowOff>
                  </to>
                </anchor>
              </controlPr>
            </control>
          </mc:Choice>
        </mc:AlternateContent>
        <mc:AlternateContent xmlns:mc="http://schemas.openxmlformats.org/markup-compatibility/2006">
          <mc:Choice Requires="x14">
            <control shapeId="8354" r:id="rId42" name="Check Box 162">
              <controlPr locked="0" defaultSize="0" autoFill="0" autoLine="0" autoPict="0">
                <anchor moveWithCells="1" sizeWithCells="1">
                  <from>
                    <xdr:col>22</xdr:col>
                    <xdr:colOff>0</xdr:colOff>
                    <xdr:row>112</xdr:row>
                    <xdr:rowOff>0</xdr:rowOff>
                  </from>
                  <to>
                    <xdr:col>22</xdr:col>
                    <xdr:colOff>180975</xdr:colOff>
                    <xdr:row>112</xdr:row>
                    <xdr:rowOff>180975</xdr:rowOff>
                  </to>
                </anchor>
              </controlPr>
            </control>
          </mc:Choice>
        </mc:AlternateContent>
        <mc:AlternateContent xmlns:mc="http://schemas.openxmlformats.org/markup-compatibility/2006">
          <mc:Choice Requires="x14">
            <control shapeId="8355" r:id="rId43" name="Check Box 163">
              <controlPr locked="0" defaultSize="0" autoFill="0" autoLine="0" autoPict="0">
                <anchor moveWithCells="1" sizeWithCells="1">
                  <from>
                    <xdr:col>22</xdr:col>
                    <xdr:colOff>0</xdr:colOff>
                    <xdr:row>113</xdr:row>
                    <xdr:rowOff>0</xdr:rowOff>
                  </from>
                  <to>
                    <xdr:col>22</xdr:col>
                    <xdr:colOff>180975</xdr:colOff>
                    <xdr:row>113</xdr:row>
                    <xdr:rowOff>180975</xdr:rowOff>
                  </to>
                </anchor>
              </controlPr>
            </control>
          </mc:Choice>
        </mc:AlternateContent>
        <mc:AlternateContent xmlns:mc="http://schemas.openxmlformats.org/markup-compatibility/2006">
          <mc:Choice Requires="x14">
            <control shapeId="8356" r:id="rId44" name="Check Box 164">
              <controlPr locked="0" defaultSize="0" autoFill="0" autoLine="0" autoPict="0">
                <anchor moveWithCells="1" sizeWithCells="1">
                  <from>
                    <xdr:col>22</xdr:col>
                    <xdr:colOff>0</xdr:colOff>
                    <xdr:row>115</xdr:row>
                    <xdr:rowOff>0</xdr:rowOff>
                  </from>
                  <to>
                    <xdr:col>22</xdr:col>
                    <xdr:colOff>180975</xdr:colOff>
                    <xdr:row>115</xdr:row>
                    <xdr:rowOff>180975</xdr:rowOff>
                  </to>
                </anchor>
              </controlPr>
            </control>
          </mc:Choice>
        </mc:AlternateContent>
        <mc:AlternateContent xmlns:mc="http://schemas.openxmlformats.org/markup-compatibility/2006">
          <mc:Choice Requires="x14">
            <control shapeId="8357" r:id="rId45" name="Check Box 165">
              <controlPr locked="0" defaultSize="0" autoFill="0" autoLine="0" autoPict="0">
                <anchor moveWithCells="1" sizeWithCells="1">
                  <from>
                    <xdr:col>22</xdr:col>
                    <xdr:colOff>0</xdr:colOff>
                    <xdr:row>117</xdr:row>
                    <xdr:rowOff>0</xdr:rowOff>
                  </from>
                  <to>
                    <xdr:col>22</xdr:col>
                    <xdr:colOff>180975</xdr:colOff>
                    <xdr:row>117</xdr:row>
                    <xdr:rowOff>180975</xdr:rowOff>
                  </to>
                </anchor>
              </controlPr>
            </control>
          </mc:Choice>
        </mc:AlternateContent>
        <mc:AlternateContent xmlns:mc="http://schemas.openxmlformats.org/markup-compatibility/2006">
          <mc:Choice Requires="x14">
            <control shapeId="8358" r:id="rId46" name="Check Box 166">
              <controlPr locked="0" defaultSize="0" autoFill="0" autoLine="0" autoPict="0">
                <anchor moveWithCells="1" sizeWithCells="1">
                  <from>
                    <xdr:col>22</xdr:col>
                    <xdr:colOff>0</xdr:colOff>
                    <xdr:row>118</xdr:row>
                    <xdr:rowOff>0</xdr:rowOff>
                  </from>
                  <to>
                    <xdr:col>22</xdr:col>
                    <xdr:colOff>180975</xdr:colOff>
                    <xdr:row>118</xdr:row>
                    <xdr:rowOff>180975</xdr:rowOff>
                  </to>
                </anchor>
              </controlPr>
            </control>
          </mc:Choice>
        </mc:AlternateContent>
        <mc:AlternateContent xmlns:mc="http://schemas.openxmlformats.org/markup-compatibility/2006">
          <mc:Choice Requires="x14">
            <control shapeId="8359" r:id="rId47" name="Check Box 167">
              <controlPr locked="0" defaultSize="0" autoFill="0" autoLine="0" autoPict="0">
                <anchor moveWithCells="1" sizeWithCells="1">
                  <from>
                    <xdr:col>22</xdr:col>
                    <xdr:colOff>0</xdr:colOff>
                    <xdr:row>121</xdr:row>
                    <xdr:rowOff>0</xdr:rowOff>
                  </from>
                  <to>
                    <xdr:col>22</xdr:col>
                    <xdr:colOff>180975</xdr:colOff>
                    <xdr:row>121</xdr:row>
                    <xdr:rowOff>180975</xdr:rowOff>
                  </to>
                </anchor>
              </controlPr>
            </control>
          </mc:Choice>
        </mc:AlternateContent>
        <mc:AlternateContent xmlns:mc="http://schemas.openxmlformats.org/markup-compatibility/2006">
          <mc:Choice Requires="x14">
            <control shapeId="8360" r:id="rId48" name="Check Box 168">
              <controlPr locked="0" defaultSize="0" autoFill="0" autoLine="0" autoPict="0">
                <anchor moveWithCells="1" sizeWithCells="1">
                  <from>
                    <xdr:col>22</xdr:col>
                    <xdr:colOff>0</xdr:colOff>
                    <xdr:row>127</xdr:row>
                    <xdr:rowOff>0</xdr:rowOff>
                  </from>
                  <to>
                    <xdr:col>22</xdr:col>
                    <xdr:colOff>180975</xdr:colOff>
                    <xdr:row>127</xdr:row>
                    <xdr:rowOff>180975</xdr:rowOff>
                  </to>
                </anchor>
              </controlPr>
            </control>
          </mc:Choice>
        </mc:AlternateContent>
        <mc:AlternateContent xmlns:mc="http://schemas.openxmlformats.org/markup-compatibility/2006">
          <mc:Choice Requires="x14">
            <control shapeId="8361" r:id="rId49" name="Check Box 169">
              <controlPr locked="0" defaultSize="0" autoFill="0" autoLine="0" autoPict="0">
                <anchor moveWithCells="1" sizeWithCells="1">
                  <from>
                    <xdr:col>22</xdr:col>
                    <xdr:colOff>0</xdr:colOff>
                    <xdr:row>129</xdr:row>
                    <xdr:rowOff>0</xdr:rowOff>
                  </from>
                  <to>
                    <xdr:col>22</xdr:col>
                    <xdr:colOff>180975</xdr:colOff>
                    <xdr:row>129</xdr:row>
                    <xdr:rowOff>180975</xdr:rowOff>
                  </to>
                </anchor>
              </controlPr>
            </control>
          </mc:Choice>
        </mc:AlternateContent>
        <mc:AlternateContent xmlns:mc="http://schemas.openxmlformats.org/markup-compatibility/2006">
          <mc:Choice Requires="x14">
            <control shapeId="8362" r:id="rId50" name="Check Box 170">
              <controlPr locked="0" defaultSize="0" autoFill="0" autoLine="0" autoPict="0">
                <anchor moveWithCells="1" sizeWithCells="1">
                  <from>
                    <xdr:col>22</xdr:col>
                    <xdr:colOff>0</xdr:colOff>
                    <xdr:row>133</xdr:row>
                    <xdr:rowOff>0</xdr:rowOff>
                  </from>
                  <to>
                    <xdr:col>22</xdr:col>
                    <xdr:colOff>180975</xdr:colOff>
                    <xdr:row>133</xdr:row>
                    <xdr:rowOff>180975</xdr:rowOff>
                  </to>
                </anchor>
              </controlPr>
            </control>
          </mc:Choice>
        </mc:AlternateContent>
        <mc:AlternateContent xmlns:mc="http://schemas.openxmlformats.org/markup-compatibility/2006">
          <mc:Choice Requires="x14">
            <control shapeId="8363" r:id="rId51" name="Check Box 171">
              <controlPr locked="0" defaultSize="0" autoFill="0" autoLine="0" autoPict="0">
                <anchor moveWithCells="1" sizeWithCells="1">
                  <from>
                    <xdr:col>22</xdr:col>
                    <xdr:colOff>0</xdr:colOff>
                    <xdr:row>140</xdr:row>
                    <xdr:rowOff>0</xdr:rowOff>
                  </from>
                  <to>
                    <xdr:col>22</xdr:col>
                    <xdr:colOff>180975</xdr:colOff>
                    <xdr:row>140</xdr:row>
                    <xdr:rowOff>180975</xdr:rowOff>
                  </to>
                </anchor>
              </controlPr>
            </control>
          </mc:Choice>
        </mc:AlternateContent>
        <mc:AlternateContent xmlns:mc="http://schemas.openxmlformats.org/markup-compatibility/2006">
          <mc:Choice Requires="x14">
            <control shapeId="8364" r:id="rId52" name="Check Box 172">
              <controlPr locked="0" defaultSize="0" autoFill="0" autoLine="0" autoPict="0">
                <anchor moveWithCells="1" sizeWithCells="1">
                  <from>
                    <xdr:col>22</xdr:col>
                    <xdr:colOff>0</xdr:colOff>
                    <xdr:row>142</xdr:row>
                    <xdr:rowOff>0</xdr:rowOff>
                  </from>
                  <to>
                    <xdr:col>22</xdr:col>
                    <xdr:colOff>180975</xdr:colOff>
                    <xdr:row>142</xdr:row>
                    <xdr:rowOff>180975</xdr:rowOff>
                  </to>
                </anchor>
              </controlPr>
            </control>
          </mc:Choice>
        </mc:AlternateContent>
        <mc:AlternateContent xmlns:mc="http://schemas.openxmlformats.org/markup-compatibility/2006">
          <mc:Choice Requires="x14">
            <control shapeId="8365" r:id="rId53" name="Check Box 173">
              <controlPr locked="0" defaultSize="0" autoFill="0" autoLine="0" autoPict="0">
                <anchor moveWithCells="1" sizeWithCells="1">
                  <from>
                    <xdr:col>22</xdr:col>
                    <xdr:colOff>0</xdr:colOff>
                    <xdr:row>143</xdr:row>
                    <xdr:rowOff>0</xdr:rowOff>
                  </from>
                  <to>
                    <xdr:col>22</xdr:col>
                    <xdr:colOff>180975</xdr:colOff>
                    <xdr:row>143</xdr:row>
                    <xdr:rowOff>180975</xdr:rowOff>
                  </to>
                </anchor>
              </controlPr>
            </control>
          </mc:Choice>
        </mc:AlternateContent>
        <mc:AlternateContent xmlns:mc="http://schemas.openxmlformats.org/markup-compatibility/2006">
          <mc:Choice Requires="x14">
            <control shapeId="8366" r:id="rId54" name="Check Box 174">
              <controlPr locked="0" defaultSize="0" autoFill="0" autoLine="0" autoPict="0">
                <anchor moveWithCells="1" sizeWithCells="1">
                  <from>
                    <xdr:col>22</xdr:col>
                    <xdr:colOff>0</xdr:colOff>
                    <xdr:row>145</xdr:row>
                    <xdr:rowOff>0</xdr:rowOff>
                  </from>
                  <to>
                    <xdr:col>22</xdr:col>
                    <xdr:colOff>180975</xdr:colOff>
                    <xdr:row>145</xdr:row>
                    <xdr:rowOff>180975</xdr:rowOff>
                  </to>
                </anchor>
              </controlPr>
            </control>
          </mc:Choice>
        </mc:AlternateContent>
        <mc:AlternateContent xmlns:mc="http://schemas.openxmlformats.org/markup-compatibility/2006">
          <mc:Choice Requires="x14">
            <control shapeId="8367" r:id="rId55" name="Check Box 175">
              <controlPr locked="0" defaultSize="0" autoFill="0" autoLine="0" autoPict="0">
                <anchor moveWithCells="1" sizeWithCells="1">
                  <from>
                    <xdr:col>22</xdr:col>
                    <xdr:colOff>0</xdr:colOff>
                    <xdr:row>146</xdr:row>
                    <xdr:rowOff>0</xdr:rowOff>
                  </from>
                  <to>
                    <xdr:col>22</xdr:col>
                    <xdr:colOff>180975</xdr:colOff>
                    <xdr:row>146</xdr:row>
                    <xdr:rowOff>180975</xdr:rowOff>
                  </to>
                </anchor>
              </controlPr>
            </control>
          </mc:Choice>
        </mc:AlternateContent>
        <mc:AlternateContent xmlns:mc="http://schemas.openxmlformats.org/markup-compatibility/2006">
          <mc:Choice Requires="x14">
            <control shapeId="8368" r:id="rId56" name="Check Box 176">
              <controlPr locked="0" defaultSize="0" autoFill="0" autoLine="0" autoPict="0">
                <anchor moveWithCells="1" sizeWithCells="1">
                  <from>
                    <xdr:col>22</xdr:col>
                    <xdr:colOff>0</xdr:colOff>
                    <xdr:row>147</xdr:row>
                    <xdr:rowOff>0</xdr:rowOff>
                  </from>
                  <to>
                    <xdr:col>22</xdr:col>
                    <xdr:colOff>180975</xdr:colOff>
                    <xdr:row>147</xdr:row>
                    <xdr:rowOff>180975</xdr:rowOff>
                  </to>
                </anchor>
              </controlPr>
            </control>
          </mc:Choice>
        </mc:AlternateContent>
        <mc:AlternateContent xmlns:mc="http://schemas.openxmlformats.org/markup-compatibility/2006">
          <mc:Choice Requires="x14">
            <control shapeId="8369" r:id="rId57" name="Check Box 177">
              <controlPr locked="0" defaultSize="0" autoFill="0" autoLine="0" autoPict="0">
                <anchor moveWithCells="1" sizeWithCells="1">
                  <from>
                    <xdr:col>22</xdr:col>
                    <xdr:colOff>0</xdr:colOff>
                    <xdr:row>148</xdr:row>
                    <xdr:rowOff>0</xdr:rowOff>
                  </from>
                  <to>
                    <xdr:col>22</xdr:col>
                    <xdr:colOff>180975</xdr:colOff>
                    <xdr:row>148</xdr:row>
                    <xdr:rowOff>180975</xdr:rowOff>
                  </to>
                </anchor>
              </controlPr>
            </control>
          </mc:Choice>
        </mc:AlternateContent>
        <mc:AlternateContent xmlns:mc="http://schemas.openxmlformats.org/markup-compatibility/2006">
          <mc:Choice Requires="x14">
            <control shapeId="8370" r:id="rId58" name="Check Box 178">
              <controlPr locked="0" defaultSize="0" autoFill="0" autoLine="0" autoPict="0">
                <anchor moveWithCells="1" sizeWithCells="1">
                  <from>
                    <xdr:col>22</xdr:col>
                    <xdr:colOff>0</xdr:colOff>
                    <xdr:row>151</xdr:row>
                    <xdr:rowOff>0</xdr:rowOff>
                  </from>
                  <to>
                    <xdr:col>22</xdr:col>
                    <xdr:colOff>180975</xdr:colOff>
                    <xdr:row>151</xdr:row>
                    <xdr:rowOff>180975</xdr:rowOff>
                  </to>
                </anchor>
              </controlPr>
            </control>
          </mc:Choice>
        </mc:AlternateContent>
        <mc:AlternateContent xmlns:mc="http://schemas.openxmlformats.org/markup-compatibility/2006">
          <mc:Choice Requires="x14">
            <control shapeId="8371" r:id="rId59" name="Check Box 179">
              <controlPr locked="0" defaultSize="0" autoFill="0" autoLine="0" autoPict="0">
                <anchor moveWithCells="1" sizeWithCells="1">
                  <from>
                    <xdr:col>22</xdr:col>
                    <xdr:colOff>0</xdr:colOff>
                    <xdr:row>192</xdr:row>
                    <xdr:rowOff>0</xdr:rowOff>
                  </from>
                  <to>
                    <xdr:col>22</xdr:col>
                    <xdr:colOff>180975</xdr:colOff>
                    <xdr:row>192</xdr:row>
                    <xdr:rowOff>180975</xdr:rowOff>
                  </to>
                </anchor>
              </controlPr>
            </control>
          </mc:Choice>
        </mc:AlternateContent>
        <mc:AlternateContent xmlns:mc="http://schemas.openxmlformats.org/markup-compatibility/2006">
          <mc:Choice Requires="x14">
            <control shapeId="8372" r:id="rId60" name="Check Box 180">
              <controlPr locked="0" defaultSize="0" autoFill="0" autoLine="0" autoPict="0">
                <anchor moveWithCells="1" sizeWithCells="1">
                  <from>
                    <xdr:col>22</xdr:col>
                    <xdr:colOff>0</xdr:colOff>
                    <xdr:row>194</xdr:row>
                    <xdr:rowOff>0</xdr:rowOff>
                  </from>
                  <to>
                    <xdr:col>22</xdr:col>
                    <xdr:colOff>180975</xdr:colOff>
                    <xdr:row>194</xdr:row>
                    <xdr:rowOff>180975</xdr:rowOff>
                  </to>
                </anchor>
              </controlPr>
            </control>
          </mc:Choice>
        </mc:AlternateContent>
        <mc:AlternateContent xmlns:mc="http://schemas.openxmlformats.org/markup-compatibility/2006">
          <mc:Choice Requires="x14">
            <control shapeId="8373" r:id="rId61" name="Check Box 181">
              <controlPr locked="0" defaultSize="0" autoFill="0" autoLine="0" autoPict="0">
                <anchor moveWithCells="1" sizeWithCells="1">
                  <from>
                    <xdr:col>22</xdr:col>
                    <xdr:colOff>0</xdr:colOff>
                    <xdr:row>197</xdr:row>
                    <xdr:rowOff>0</xdr:rowOff>
                  </from>
                  <to>
                    <xdr:col>22</xdr:col>
                    <xdr:colOff>180975</xdr:colOff>
                    <xdr:row>197</xdr:row>
                    <xdr:rowOff>180975</xdr:rowOff>
                  </to>
                </anchor>
              </controlPr>
            </control>
          </mc:Choice>
        </mc:AlternateContent>
        <mc:AlternateContent xmlns:mc="http://schemas.openxmlformats.org/markup-compatibility/2006">
          <mc:Choice Requires="x14">
            <control shapeId="8374" r:id="rId62" name="Check Box 182">
              <controlPr locked="0" defaultSize="0" autoFill="0" autoLine="0" autoPict="0">
                <anchor moveWithCells="1" sizeWithCells="1">
                  <from>
                    <xdr:col>22</xdr:col>
                    <xdr:colOff>0</xdr:colOff>
                    <xdr:row>210</xdr:row>
                    <xdr:rowOff>0</xdr:rowOff>
                  </from>
                  <to>
                    <xdr:col>22</xdr:col>
                    <xdr:colOff>180975</xdr:colOff>
                    <xdr:row>210</xdr:row>
                    <xdr:rowOff>180975</xdr:rowOff>
                  </to>
                </anchor>
              </controlPr>
            </control>
          </mc:Choice>
        </mc:AlternateContent>
        <mc:AlternateContent xmlns:mc="http://schemas.openxmlformats.org/markup-compatibility/2006">
          <mc:Choice Requires="x14">
            <control shapeId="8375" r:id="rId63" name="Check Box 183">
              <controlPr locked="0" defaultSize="0" autoFill="0" autoLine="0" autoPict="0">
                <anchor moveWithCells="1" sizeWithCells="1">
                  <from>
                    <xdr:col>22</xdr:col>
                    <xdr:colOff>0</xdr:colOff>
                    <xdr:row>212</xdr:row>
                    <xdr:rowOff>0</xdr:rowOff>
                  </from>
                  <to>
                    <xdr:col>22</xdr:col>
                    <xdr:colOff>180975</xdr:colOff>
                    <xdr:row>212</xdr:row>
                    <xdr:rowOff>180975</xdr:rowOff>
                  </to>
                </anchor>
              </controlPr>
            </control>
          </mc:Choice>
        </mc:AlternateContent>
        <mc:AlternateContent xmlns:mc="http://schemas.openxmlformats.org/markup-compatibility/2006">
          <mc:Choice Requires="x14">
            <control shapeId="8377" r:id="rId64" name="Check Box 185">
              <controlPr locked="0" defaultSize="0" autoFill="0" autoLine="0" autoPict="0">
                <anchor moveWithCells="1" sizeWithCells="1">
                  <from>
                    <xdr:col>22</xdr:col>
                    <xdr:colOff>0</xdr:colOff>
                    <xdr:row>149</xdr:row>
                    <xdr:rowOff>0</xdr:rowOff>
                  </from>
                  <to>
                    <xdr:col>22</xdr:col>
                    <xdr:colOff>180975</xdr:colOff>
                    <xdr:row>149</xdr:row>
                    <xdr:rowOff>180975</xdr:rowOff>
                  </to>
                </anchor>
              </controlPr>
            </control>
          </mc:Choice>
        </mc:AlternateContent>
        <mc:AlternateContent xmlns:mc="http://schemas.openxmlformats.org/markup-compatibility/2006">
          <mc:Choice Requires="x14">
            <control shapeId="8379" r:id="rId65" name="Check Box 187">
              <controlPr locked="0" defaultSize="0" autoFill="0" autoLine="0" autoPict="0">
                <anchor moveWithCells="1" sizeWithCells="1">
                  <from>
                    <xdr:col>22</xdr:col>
                    <xdr:colOff>0</xdr:colOff>
                    <xdr:row>166</xdr:row>
                    <xdr:rowOff>0</xdr:rowOff>
                  </from>
                  <to>
                    <xdr:col>22</xdr:col>
                    <xdr:colOff>180975</xdr:colOff>
                    <xdr:row>166</xdr:row>
                    <xdr:rowOff>180975</xdr:rowOff>
                  </to>
                </anchor>
              </controlPr>
            </control>
          </mc:Choice>
        </mc:AlternateContent>
        <mc:AlternateContent xmlns:mc="http://schemas.openxmlformats.org/markup-compatibility/2006">
          <mc:Choice Requires="x14">
            <control shapeId="8380" r:id="rId66" name="Check Box 188">
              <controlPr locked="0" defaultSize="0" autoFill="0" autoLine="0" autoPict="0">
                <anchor moveWithCells="1" sizeWithCells="1">
                  <from>
                    <xdr:col>22</xdr:col>
                    <xdr:colOff>0</xdr:colOff>
                    <xdr:row>167</xdr:row>
                    <xdr:rowOff>0</xdr:rowOff>
                  </from>
                  <to>
                    <xdr:col>22</xdr:col>
                    <xdr:colOff>180975</xdr:colOff>
                    <xdr:row>167</xdr:row>
                    <xdr:rowOff>180975</xdr:rowOff>
                  </to>
                </anchor>
              </controlPr>
            </control>
          </mc:Choice>
        </mc:AlternateContent>
        <mc:AlternateContent xmlns:mc="http://schemas.openxmlformats.org/markup-compatibility/2006">
          <mc:Choice Requires="x14">
            <control shapeId="8381" r:id="rId67" name="Check Box 189">
              <controlPr locked="0" defaultSize="0" autoFill="0" autoLine="0" autoPict="0">
                <anchor moveWithCells="1" sizeWithCells="1">
                  <from>
                    <xdr:col>22</xdr:col>
                    <xdr:colOff>0</xdr:colOff>
                    <xdr:row>168</xdr:row>
                    <xdr:rowOff>0</xdr:rowOff>
                  </from>
                  <to>
                    <xdr:col>22</xdr:col>
                    <xdr:colOff>180975</xdr:colOff>
                    <xdr:row>168</xdr:row>
                    <xdr:rowOff>180975</xdr:rowOff>
                  </to>
                </anchor>
              </controlPr>
            </control>
          </mc:Choice>
        </mc:AlternateContent>
        <mc:AlternateContent xmlns:mc="http://schemas.openxmlformats.org/markup-compatibility/2006">
          <mc:Choice Requires="x14">
            <control shapeId="8382" r:id="rId68" name="Check Box 190">
              <controlPr locked="0" defaultSize="0" autoFill="0" autoLine="0" autoPict="0">
                <anchor moveWithCells="1" sizeWithCells="1">
                  <from>
                    <xdr:col>22</xdr:col>
                    <xdr:colOff>0</xdr:colOff>
                    <xdr:row>170</xdr:row>
                    <xdr:rowOff>0</xdr:rowOff>
                  </from>
                  <to>
                    <xdr:col>22</xdr:col>
                    <xdr:colOff>180975</xdr:colOff>
                    <xdr:row>170</xdr:row>
                    <xdr:rowOff>180975</xdr:rowOff>
                  </to>
                </anchor>
              </controlPr>
            </control>
          </mc:Choice>
        </mc:AlternateContent>
        <mc:AlternateContent xmlns:mc="http://schemas.openxmlformats.org/markup-compatibility/2006">
          <mc:Choice Requires="x14">
            <control shapeId="8383" r:id="rId69" name="Check Box 191">
              <controlPr locked="0" defaultSize="0" autoFill="0" autoLine="0" autoPict="0">
                <anchor moveWithCells="1" sizeWithCells="1">
                  <from>
                    <xdr:col>22</xdr:col>
                    <xdr:colOff>0</xdr:colOff>
                    <xdr:row>171</xdr:row>
                    <xdr:rowOff>0</xdr:rowOff>
                  </from>
                  <to>
                    <xdr:col>22</xdr:col>
                    <xdr:colOff>180975</xdr:colOff>
                    <xdr:row>171</xdr:row>
                    <xdr:rowOff>180975</xdr:rowOff>
                  </to>
                </anchor>
              </controlPr>
            </control>
          </mc:Choice>
        </mc:AlternateContent>
        <mc:AlternateContent xmlns:mc="http://schemas.openxmlformats.org/markup-compatibility/2006">
          <mc:Choice Requires="x14">
            <control shapeId="8384" r:id="rId70" name="Check Box 192">
              <controlPr locked="0" defaultSize="0" autoFill="0" autoLine="0" autoPict="0">
                <anchor moveWithCells="1" sizeWithCells="1">
                  <from>
                    <xdr:col>22</xdr:col>
                    <xdr:colOff>0</xdr:colOff>
                    <xdr:row>172</xdr:row>
                    <xdr:rowOff>0</xdr:rowOff>
                  </from>
                  <to>
                    <xdr:col>22</xdr:col>
                    <xdr:colOff>180975</xdr:colOff>
                    <xdr:row>172</xdr:row>
                    <xdr:rowOff>180975</xdr:rowOff>
                  </to>
                </anchor>
              </controlPr>
            </control>
          </mc:Choice>
        </mc:AlternateContent>
        <mc:AlternateContent xmlns:mc="http://schemas.openxmlformats.org/markup-compatibility/2006">
          <mc:Choice Requires="x14">
            <control shapeId="8385" r:id="rId71" name="Check Box 193">
              <controlPr locked="0" defaultSize="0" autoFill="0" autoLine="0" autoPict="0">
                <anchor moveWithCells="1" sizeWithCells="1">
                  <from>
                    <xdr:col>22</xdr:col>
                    <xdr:colOff>0</xdr:colOff>
                    <xdr:row>173</xdr:row>
                    <xdr:rowOff>0</xdr:rowOff>
                  </from>
                  <to>
                    <xdr:col>22</xdr:col>
                    <xdr:colOff>180975</xdr:colOff>
                    <xdr:row>173</xdr:row>
                    <xdr:rowOff>180975</xdr:rowOff>
                  </to>
                </anchor>
              </controlPr>
            </control>
          </mc:Choice>
        </mc:AlternateContent>
        <mc:AlternateContent xmlns:mc="http://schemas.openxmlformats.org/markup-compatibility/2006">
          <mc:Choice Requires="x14">
            <control shapeId="8386" r:id="rId72" name="Check Box 194">
              <controlPr locked="0" defaultSize="0" autoFill="0" autoLine="0" autoPict="0">
                <anchor moveWithCells="1" sizeWithCells="1">
                  <from>
                    <xdr:col>22</xdr:col>
                    <xdr:colOff>0</xdr:colOff>
                    <xdr:row>174</xdr:row>
                    <xdr:rowOff>0</xdr:rowOff>
                  </from>
                  <to>
                    <xdr:col>22</xdr:col>
                    <xdr:colOff>180975</xdr:colOff>
                    <xdr:row>174</xdr:row>
                    <xdr:rowOff>180975</xdr:rowOff>
                  </to>
                </anchor>
              </controlPr>
            </control>
          </mc:Choice>
        </mc:AlternateContent>
        <mc:AlternateContent xmlns:mc="http://schemas.openxmlformats.org/markup-compatibility/2006">
          <mc:Choice Requires="x14">
            <control shapeId="8387" r:id="rId73" name="Check Box 195">
              <controlPr locked="0" defaultSize="0" autoFill="0" autoLine="0" autoPict="0">
                <anchor moveWithCells="1" sizeWithCells="1">
                  <from>
                    <xdr:col>22</xdr:col>
                    <xdr:colOff>0</xdr:colOff>
                    <xdr:row>175</xdr:row>
                    <xdr:rowOff>0</xdr:rowOff>
                  </from>
                  <to>
                    <xdr:col>22</xdr:col>
                    <xdr:colOff>180975</xdr:colOff>
                    <xdr:row>175</xdr:row>
                    <xdr:rowOff>180975</xdr:rowOff>
                  </to>
                </anchor>
              </controlPr>
            </control>
          </mc:Choice>
        </mc:AlternateContent>
        <mc:AlternateContent xmlns:mc="http://schemas.openxmlformats.org/markup-compatibility/2006">
          <mc:Choice Requires="x14">
            <control shapeId="8388" r:id="rId74" name="Check Box 196">
              <controlPr locked="0" defaultSize="0" autoFill="0" autoLine="0" autoPict="0">
                <anchor moveWithCells="1" sizeWithCells="1">
                  <from>
                    <xdr:col>22</xdr:col>
                    <xdr:colOff>0</xdr:colOff>
                    <xdr:row>180</xdr:row>
                    <xdr:rowOff>0</xdr:rowOff>
                  </from>
                  <to>
                    <xdr:col>22</xdr:col>
                    <xdr:colOff>180975</xdr:colOff>
                    <xdr:row>180</xdr:row>
                    <xdr:rowOff>180975</xdr:rowOff>
                  </to>
                </anchor>
              </controlPr>
            </control>
          </mc:Choice>
        </mc:AlternateContent>
        <mc:AlternateContent xmlns:mc="http://schemas.openxmlformats.org/markup-compatibility/2006">
          <mc:Choice Requires="x14">
            <control shapeId="8389" r:id="rId75" name="Check Box 197">
              <controlPr locked="0" defaultSize="0" autoFill="0" autoLine="0" autoPict="0">
                <anchor moveWithCells="1" sizeWithCells="1">
                  <from>
                    <xdr:col>22</xdr:col>
                    <xdr:colOff>0</xdr:colOff>
                    <xdr:row>181</xdr:row>
                    <xdr:rowOff>0</xdr:rowOff>
                  </from>
                  <to>
                    <xdr:col>22</xdr:col>
                    <xdr:colOff>180975</xdr:colOff>
                    <xdr:row>181</xdr:row>
                    <xdr:rowOff>180975</xdr:rowOff>
                  </to>
                </anchor>
              </controlPr>
            </control>
          </mc:Choice>
        </mc:AlternateContent>
        <mc:AlternateContent xmlns:mc="http://schemas.openxmlformats.org/markup-compatibility/2006">
          <mc:Choice Requires="x14">
            <control shapeId="8390" r:id="rId76" name="Check Box 198">
              <controlPr locked="0" defaultSize="0" autoFill="0" autoLine="0" autoPict="0">
                <anchor moveWithCells="1" sizeWithCells="1">
                  <from>
                    <xdr:col>22</xdr:col>
                    <xdr:colOff>0</xdr:colOff>
                    <xdr:row>182</xdr:row>
                    <xdr:rowOff>0</xdr:rowOff>
                  </from>
                  <to>
                    <xdr:col>22</xdr:col>
                    <xdr:colOff>180975</xdr:colOff>
                    <xdr:row>182</xdr:row>
                    <xdr:rowOff>180975</xdr:rowOff>
                  </to>
                </anchor>
              </controlPr>
            </control>
          </mc:Choice>
        </mc:AlternateContent>
        <mc:AlternateContent xmlns:mc="http://schemas.openxmlformats.org/markup-compatibility/2006">
          <mc:Choice Requires="x14">
            <control shapeId="8391" r:id="rId77" name="Check Box 199">
              <controlPr locked="0" defaultSize="0" autoFill="0" autoLine="0" autoPict="0">
                <anchor moveWithCells="1" sizeWithCells="1">
                  <from>
                    <xdr:col>22</xdr:col>
                    <xdr:colOff>0</xdr:colOff>
                    <xdr:row>183</xdr:row>
                    <xdr:rowOff>0</xdr:rowOff>
                  </from>
                  <to>
                    <xdr:col>22</xdr:col>
                    <xdr:colOff>180975</xdr:colOff>
                    <xdr:row>183</xdr:row>
                    <xdr:rowOff>180975</xdr:rowOff>
                  </to>
                </anchor>
              </controlPr>
            </control>
          </mc:Choice>
        </mc:AlternateContent>
        <mc:AlternateContent xmlns:mc="http://schemas.openxmlformats.org/markup-compatibility/2006">
          <mc:Choice Requires="x14">
            <control shapeId="8392" r:id="rId78" name="Check Box 200">
              <controlPr locked="0" defaultSize="0" autoFill="0" autoLine="0" autoPict="0">
                <anchor moveWithCells="1" sizeWithCells="1">
                  <from>
                    <xdr:col>22</xdr:col>
                    <xdr:colOff>0</xdr:colOff>
                    <xdr:row>184</xdr:row>
                    <xdr:rowOff>0</xdr:rowOff>
                  </from>
                  <to>
                    <xdr:col>22</xdr:col>
                    <xdr:colOff>180975</xdr:colOff>
                    <xdr:row>184</xdr:row>
                    <xdr:rowOff>180975</xdr:rowOff>
                  </to>
                </anchor>
              </controlPr>
            </control>
          </mc:Choice>
        </mc:AlternateContent>
        <mc:AlternateContent xmlns:mc="http://schemas.openxmlformats.org/markup-compatibility/2006">
          <mc:Choice Requires="x14">
            <control shapeId="8393" r:id="rId79" name="Check Box 201">
              <controlPr locked="0" defaultSize="0" autoFill="0" autoLine="0" autoPict="0">
                <anchor moveWithCells="1" sizeWithCells="1">
                  <from>
                    <xdr:col>22</xdr:col>
                    <xdr:colOff>0</xdr:colOff>
                    <xdr:row>185</xdr:row>
                    <xdr:rowOff>0</xdr:rowOff>
                  </from>
                  <to>
                    <xdr:col>22</xdr:col>
                    <xdr:colOff>180975</xdr:colOff>
                    <xdr:row>185</xdr:row>
                    <xdr:rowOff>180975</xdr:rowOff>
                  </to>
                </anchor>
              </controlPr>
            </control>
          </mc:Choice>
        </mc:AlternateContent>
        <mc:AlternateContent xmlns:mc="http://schemas.openxmlformats.org/markup-compatibility/2006">
          <mc:Choice Requires="x14">
            <control shapeId="8394" r:id="rId80" name="Check Box 202">
              <controlPr locked="0" defaultSize="0" autoFill="0" autoLine="0" autoPict="0">
                <anchor moveWithCells="1" sizeWithCells="1">
                  <from>
                    <xdr:col>22</xdr:col>
                    <xdr:colOff>0</xdr:colOff>
                    <xdr:row>186</xdr:row>
                    <xdr:rowOff>0</xdr:rowOff>
                  </from>
                  <to>
                    <xdr:col>22</xdr:col>
                    <xdr:colOff>180975</xdr:colOff>
                    <xdr:row>186</xdr:row>
                    <xdr:rowOff>180975</xdr:rowOff>
                  </to>
                </anchor>
              </controlPr>
            </control>
          </mc:Choice>
        </mc:AlternateContent>
        <mc:AlternateContent xmlns:mc="http://schemas.openxmlformats.org/markup-compatibility/2006">
          <mc:Choice Requires="x14">
            <control shapeId="8396" r:id="rId81" name="Check Box 204">
              <controlPr locked="0" defaultSize="0" autoFill="0" autoLine="0" autoPict="0">
                <anchor moveWithCells="1" sizeWithCells="1">
                  <from>
                    <xdr:col>22</xdr:col>
                    <xdr:colOff>0</xdr:colOff>
                    <xdr:row>219</xdr:row>
                    <xdr:rowOff>0</xdr:rowOff>
                  </from>
                  <to>
                    <xdr:col>22</xdr:col>
                    <xdr:colOff>180975</xdr:colOff>
                    <xdr:row>219</xdr:row>
                    <xdr:rowOff>180975</xdr:rowOff>
                  </to>
                </anchor>
              </controlPr>
            </control>
          </mc:Choice>
        </mc:AlternateContent>
        <mc:AlternateContent xmlns:mc="http://schemas.openxmlformats.org/markup-compatibility/2006">
          <mc:Choice Requires="x14">
            <control shapeId="8397" r:id="rId82" name="Check Box 205">
              <controlPr locked="0" defaultSize="0" autoFill="0" autoLine="0" autoPict="0">
                <anchor moveWithCells="1" sizeWithCells="1">
                  <from>
                    <xdr:col>22</xdr:col>
                    <xdr:colOff>0</xdr:colOff>
                    <xdr:row>216</xdr:row>
                    <xdr:rowOff>0</xdr:rowOff>
                  </from>
                  <to>
                    <xdr:col>22</xdr:col>
                    <xdr:colOff>180975</xdr:colOff>
                    <xdr:row>216</xdr:row>
                    <xdr:rowOff>180975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6045</vt:i4>
      </vt:variant>
    </vt:vector>
  </HeadingPairs>
  <TitlesOfParts>
    <vt:vector size="6084" baseType="lpstr">
      <vt:lpstr>Info &amp; Intro</vt:lpstr>
      <vt:lpstr>Overview (Design)</vt:lpstr>
      <vt:lpstr>Ch5</vt:lpstr>
      <vt:lpstr>Ch6</vt:lpstr>
      <vt:lpstr>Ch7</vt:lpstr>
      <vt:lpstr>Ch8</vt:lpstr>
      <vt:lpstr>Ch9</vt:lpstr>
      <vt:lpstr>Ch10</vt:lpstr>
      <vt:lpstr>Req. Doc.</vt:lpstr>
      <vt:lpstr>Design Summ.</vt:lpstr>
      <vt:lpstr>Badges (Design)</vt:lpstr>
      <vt:lpstr>WaterSense (Design)</vt:lpstr>
      <vt:lpstr>Overview (Verification)</vt:lpstr>
      <vt:lpstr>Verification Report</vt:lpstr>
      <vt:lpstr>Badges (Verification)</vt:lpstr>
      <vt:lpstr>WaterSense (Verification)</vt:lpstr>
      <vt:lpstr>Rough Summary</vt:lpstr>
      <vt:lpstr>Final Summary</vt:lpstr>
      <vt:lpstr>Appendix B</vt:lpstr>
      <vt:lpstr>Table 602.1.12</vt:lpstr>
      <vt:lpstr>Table 604.1</vt:lpstr>
      <vt:lpstr>Table 610.1.2.1</vt:lpstr>
      <vt:lpstr>Table 610.1.2.2</vt:lpstr>
      <vt:lpstr>Figure 6(2)</vt:lpstr>
      <vt:lpstr>Figure 6(3)</vt:lpstr>
      <vt:lpstr>Table 701.4.3.2(2)</vt:lpstr>
      <vt:lpstr>Table 703.2.1(a)</vt:lpstr>
      <vt:lpstr>Table 703.2.1(b)</vt:lpstr>
      <vt:lpstr>Table 703.2.2</vt:lpstr>
      <vt:lpstr>Table 703.2.4</vt:lpstr>
      <vt:lpstr>Table 703.2.5.1</vt:lpstr>
      <vt:lpstr>Tables 703.2.5.2(a), (b) &amp; (c)</vt:lpstr>
      <vt:lpstr>Table 703.7.1(7)</vt:lpstr>
      <vt:lpstr>Table 801.1(1)</vt:lpstr>
      <vt:lpstr>Table 801.1(2)</vt:lpstr>
      <vt:lpstr>Table 901.9.1</vt:lpstr>
      <vt:lpstr>Table 901.9.2</vt:lpstr>
      <vt:lpstr>Table 901.10(3)</vt:lpstr>
      <vt:lpstr>Errata</vt:lpstr>
      <vt:lpstr>Ch10Add</vt:lpstr>
      <vt:lpstr>Ch10AddFinal</vt:lpstr>
      <vt:lpstr>Ch10AddGoal</vt:lpstr>
      <vt:lpstr>Ch10GLevFinal</vt:lpstr>
      <vt:lpstr>Ch10Level</vt:lpstr>
      <vt:lpstr>Ch10LevelFinal</vt:lpstr>
      <vt:lpstr>Ch10NLev</vt:lpstr>
      <vt:lpstr>Ch10Points</vt:lpstr>
      <vt:lpstr>Ch10PointsFinal</vt:lpstr>
      <vt:lpstr>Points!Ch5Add</vt:lpstr>
      <vt:lpstr>Ch5AddFinal</vt:lpstr>
      <vt:lpstr>Ch5AddGoal</vt:lpstr>
      <vt:lpstr>Ch5Error</vt:lpstr>
      <vt:lpstr>Ch5GLevFinal</vt:lpstr>
      <vt:lpstr>Points!Ch5Level</vt:lpstr>
      <vt:lpstr>Ch5LevelFinal</vt:lpstr>
      <vt:lpstr>Ch5MandError</vt:lpstr>
      <vt:lpstr>Points!Ch5NLev</vt:lpstr>
      <vt:lpstr>Points!Ch5Points</vt:lpstr>
      <vt:lpstr>Ch5PointsFinal</vt:lpstr>
      <vt:lpstr>Ch6Add</vt:lpstr>
      <vt:lpstr>Ch6AddFinal</vt:lpstr>
      <vt:lpstr>Ch6AddGoal</vt:lpstr>
      <vt:lpstr>Ch6GLevFinal</vt:lpstr>
      <vt:lpstr>Ch6Level</vt:lpstr>
      <vt:lpstr>Ch6LevelFinal</vt:lpstr>
      <vt:lpstr>Ch6NLev</vt:lpstr>
      <vt:lpstr>Ch6Points</vt:lpstr>
      <vt:lpstr>Ch6PointsFinal</vt:lpstr>
      <vt:lpstr>Ch7Add</vt:lpstr>
      <vt:lpstr>Ch7AddFinal</vt:lpstr>
      <vt:lpstr>Ch7AddGoal</vt:lpstr>
      <vt:lpstr>Ch7GLevFinal</vt:lpstr>
      <vt:lpstr>Ch7Level</vt:lpstr>
      <vt:lpstr>Ch7LevelFinal</vt:lpstr>
      <vt:lpstr>Ch7Max</vt:lpstr>
      <vt:lpstr>Ch7NLev</vt:lpstr>
      <vt:lpstr>Ch7Path</vt:lpstr>
      <vt:lpstr>Ch7Points</vt:lpstr>
      <vt:lpstr>Ch7PointsFinal</vt:lpstr>
      <vt:lpstr>Ch8Add</vt:lpstr>
      <vt:lpstr>Ch8AddFinal</vt:lpstr>
      <vt:lpstr>Ch8AddGoal</vt:lpstr>
      <vt:lpstr>Ch8GLevFinal</vt:lpstr>
      <vt:lpstr>Ch8Level</vt:lpstr>
      <vt:lpstr>Ch8LevelFinal</vt:lpstr>
      <vt:lpstr>Ch8Max</vt:lpstr>
      <vt:lpstr>Ch8NLev</vt:lpstr>
      <vt:lpstr>Ch8Points</vt:lpstr>
      <vt:lpstr>Ch8PointsFinal</vt:lpstr>
      <vt:lpstr>Ch9Add</vt:lpstr>
      <vt:lpstr>Ch9AddFinal</vt:lpstr>
      <vt:lpstr>Ch9AddGoal</vt:lpstr>
      <vt:lpstr>Ch9GLevFinal</vt:lpstr>
      <vt:lpstr>Ch9Level</vt:lpstr>
      <vt:lpstr>Ch9LevelFinal</vt:lpstr>
      <vt:lpstr>Ch9NLev</vt:lpstr>
      <vt:lpstr>Ch9Points</vt:lpstr>
      <vt:lpstr>Ch9PointsFinal</vt:lpstr>
      <vt:lpstr>codChapter10</vt:lpstr>
      <vt:lpstr>codChapter5</vt:lpstr>
      <vt:lpstr>codChapter6</vt:lpstr>
      <vt:lpstr>codChapter7</vt:lpstr>
      <vt:lpstr>codChapter8</vt:lpstr>
      <vt:lpstr>codChapter9</vt:lpstr>
      <vt:lpstr>dbState</vt:lpstr>
      <vt:lpstr>dch1001_1_1</vt:lpstr>
      <vt:lpstr>dch1001_1_10</vt:lpstr>
      <vt:lpstr>dch1001_1_11</vt:lpstr>
      <vt:lpstr>dch1001_1_12</vt:lpstr>
      <vt:lpstr>dch1001_1_13</vt:lpstr>
      <vt:lpstr>dch1001_1_14</vt:lpstr>
      <vt:lpstr>dch1001_1_15</vt:lpstr>
      <vt:lpstr>dch1001_1_16</vt:lpstr>
      <vt:lpstr>dch1001_1_17</vt:lpstr>
      <vt:lpstr>dch1001_1_18</vt:lpstr>
      <vt:lpstr>dch1001_1_19</vt:lpstr>
      <vt:lpstr>dch1001_1_2</vt:lpstr>
      <vt:lpstr>dch1001_1_20</vt:lpstr>
      <vt:lpstr>dch1001_1_21</vt:lpstr>
      <vt:lpstr>dch1001_1_22</vt:lpstr>
      <vt:lpstr>dch1001_1_23</vt:lpstr>
      <vt:lpstr>dch1001_1_24</vt:lpstr>
      <vt:lpstr>dch1001_1_3</vt:lpstr>
      <vt:lpstr>dch1001_1_4</vt:lpstr>
      <vt:lpstr>dch1001_1_5</vt:lpstr>
      <vt:lpstr>dch1001_1_6</vt:lpstr>
      <vt:lpstr>dch1001_1_7</vt:lpstr>
      <vt:lpstr>dch1001_1_8</vt:lpstr>
      <vt:lpstr>dch1001_1_9</vt:lpstr>
      <vt:lpstr>dch1001_2</vt:lpstr>
      <vt:lpstr>dch1002_1_1</vt:lpstr>
      <vt:lpstr>dch1002_1_2</vt:lpstr>
      <vt:lpstr>dch1002_1_3</vt:lpstr>
      <vt:lpstr>dch1002_1_4</vt:lpstr>
      <vt:lpstr>dch1002_1_5</vt:lpstr>
      <vt:lpstr>dch1002_1_6</vt:lpstr>
      <vt:lpstr>dch1002_1_7</vt:lpstr>
      <vt:lpstr>dch1002_1_8</vt:lpstr>
      <vt:lpstr>dch1002_2_1</vt:lpstr>
      <vt:lpstr>dch1002_2_10</vt:lpstr>
      <vt:lpstr>dch1002_2_11</vt:lpstr>
      <vt:lpstr>dch1002_2_2</vt:lpstr>
      <vt:lpstr>dch1002_2_3</vt:lpstr>
      <vt:lpstr>dch1002_2_4</vt:lpstr>
      <vt:lpstr>dch1002_2_5</vt:lpstr>
      <vt:lpstr>dch1002_2_6</vt:lpstr>
      <vt:lpstr>dch1002_2_7</vt:lpstr>
      <vt:lpstr>dch1002_2_8</vt:lpstr>
      <vt:lpstr>dch1002_2_9</vt:lpstr>
      <vt:lpstr>dch1002_3_1</vt:lpstr>
      <vt:lpstr>dch1002_3_10</vt:lpstr>
      <vt:lpstr>dch1002_3_11</vt:lpstr>
      <vt:lpstr>dch1002_3_2</vt:lpstr>
      <vt:lpstr>dch1002_3_3</vt:lpstr>
      <vt:lpstr>dch1002_3_4</vt:lpstr>
      <vt:lpstr>dch1002_3_5</vt:lpstr>
      <vt:lpstr>dch1002_3_6</vt:lpstr>
      <vt:lpstr>dch1002_3_7</vt:lpstr>
      <vt:lpstr>dch1002_3_8</vt:lpstr>
      <vt:lpstr>dch1002_3_9</vt:lpstr>
      <vt:lpstr>dch1002_4</vt:lpstr>
      <vt:lpstr>dch1002_5_1</vt:lpstr>
      <vt:lpstr>dch1002_5_2</vt:lpstr>
      <vt:lpstr>dch1002_5_3</vt:lpstr>
      <vt:lpstr>dch1002_5_4</vt:lpstr>
      <vt:lpstr>dch1002_5_5</vt:lpstr>
      <vt:lpstr>dch1002_5_6</vt:lpstr>
      <vt:lpstr>dch1002_5_7</vt:lpstr>
      <vt:lpstr>dch1002_5_8</vt:lpstr>
      <vt:lpstr>dch1002_5_9</vt:lpstr>
      <vt:lpstr>dch1002_6_1</vt:lpstr>
      <vt:lpstr>dch1002_6_2</vt:lpstr>
      <vt:lpstr>dch1002_6_3</vt:lpstr>
      <vt:lpstr>dch1002_6_4</vt:lpstr>
      <vt:lpstr>dch1002_6_5</vt:lpstr>
      <vt:lpstr>dch1002_6_6</vt:lpstr>
      <vt:lpstr>dch1002_6_7</vt:lpstr>
      <vt:lpstr>dch1003_1_1</vt:lpstr>
      <vt:lpstr>dch1003_1_2</vt:lpstr>
      <vt:lpstr>dch1003_1_3</vt:lpstr>
      <vt:lpstr>dch1004_1_1</vt:lpstr>
      <vt:lpstr>dch1004_1_2</vt:lpstr>
      <vt:lpstr>dch1005_1_1</vt:lpstr>
      <vt:lpstr>dch1005_1_2</vt:lpstr>
      <vt:lpstr>dch501_1_1</vt:lpstr>
      <vt:lpstr>dch501_1_2_a</vt:lpstr>
      <vt:lpstr>dch501_1_2_b</vt:lpstr>
      <vt:lpstr>dch501_1_2_c</vt:lpstr>
      <vt:lpstr>dch501_2_1</vt:lpstr>
      <vt:lpstr>dch501_2_2</vt:lpstr>
      <vt:lpstr>dch501_2_3</vt:lpstr>
      <vt:lpstr>dch501_2_4</vt:lpstr>
      <vt:lpstr>dch501_2_4_1</vt:lpstr>
      <vt:lpstr>dch501_2_5</vt:lpstr>
      <vt:lpstr>dch501_2_6</vt:lpstr>
      <vt:lpstr>dch501_2_6_d</vt:lpstr>
      <vt:lpstr>dch501_2_7</vt:lpstr>
      <vt:lpstr>dch501_2_8</vt:lpstr>
      <vt:lpstr>dch502_1</vt:lpstr>
      <vt:lpstr>dch503_1_1</vt:lpstr>
      <vt:lpstr>dch503_1_2</vt:lpstr>
      <vt:lpstr>dch503_1_3</vt:lpstr>
      <vt:lpstr>dch503_1_4</vt:lpstr>
      <vt:lpstr>dch503_1_5</vt:lpstr>
      <vt:lpstr>dch503_1_6</vt:lpstr>
      <vt:lpstr>dch503_1_7</vt:lpstr>
      <vt:lpstr>dch503_1_8</vt:lpstr>
      <vt:lpstr>dch503_2</vt:lpstr>
      <vt:lpstr>dch503_2_1</vt:lpstr>
      <vt:lpstr>dch503_2_2</vt:lpstr>
      <vt:lpstr>dch503_2_3</vt:lpstr>
      <vt:lpstr>dch503_2_4</vt:lpstr>
      <vt:lpstr>dch503_2_5</vt:lpstr>
      <vt:lpstr>dch503_3_1</vt:lpstr>
      <vt:lpstr>dch503_3_2_a</vt:lpstr>
      <vt:lpstr>dch503_3_2_b</vt:lpstr>
      <vt:lpstr>dch503_3_2_c</vt:lpstr>
      <vt:lpstr>dch503_3_2_d</vt:lpstr>
      <vt:lpstr>dch503_3_3</vt:lpstr>
      <vt:lpstr>dch503_4_1</vt:lpstr>
      <vt:lpstr>dch503_4_2</vt:lpstr>
      <vt:lpstr>dch503_4_3</vt:lpstr>
      <vt:lpstr>dch503_4_4</vt:lpstr>
      <vt:lpstr>dch503_4_4_c_1</vt:lpstr>
      <vt:lpstr>dch503_4_5</vt:lpstr>
      <vt:lpstr>dch503_5</vt:lpstr>
      <vt:lpstr>dch503_5_1</vt:lpstr>
      <vt:lpstr>dch503_5_10</vt:lpstr>
      <vt:lpstr>dch503_5_11</vt:lpstr>
      <vt:lpstr>dch503_5_12</vt:lpstr>
      <vt:lpstr>dch503_5_13</vt:lpstr>
      <vt:lpstr>dch503_5_2</vt:lpstr>
      <vt:lpstr>dch503_5_3</vt:lpstr>
      <vt:lpstr>dch503_5_4</vt:lpstr>
      <vt:lpstr>dch503_5_5</vt:lpstr>
      <vt:lpstr>dch503_5_6</vt:lpstr>
      <vt:lpstr>dch503_5_7</vt:lpstr>
      <vt:lpstr>dch503_5_8</vt:lpstr>
      <vt:lpstr>dch503_5_9</vt:lpstr>
      <vt:lpstr>dch503_6_1</vt:lpstr>
      <vt:lpstr>dch503_6_2</vt:lpstr>
      <vt:lpstr>dch503_6_3</vt:lpstr>
      <vt:lpstr>dch503_6_4</vt:lpstr>
      <vt:lpstr>dch503_7</vt:lpstr>
      <vt:lpstr>dch503_8</vt:lpstr>
      <vt:lpstr>dch504_1</vt:lpstr>
      <vt:lpstr>dch504_2_1</vt:lpstr>
      <vt:lpstr>dch504_2_2</vt:lpstr>
      <vt:lpstr>dch504_2_3</vt:lpstr>
      <vt:lpstr>dch504_3_1</vt:lpstr>
      <vt:lpstr>dch504_3_2</vt:lpstr>
      <vt:lpstr>dch504_3_3</vt:lpstr>
      <vt:lpstr>dch504_3_4</vt:lpstr>
      <vt:lpstr>dch504_3_5</vt:lpstr>
      <vt:lpstr>dch504_3_6</vt:lpstr>
      <vt:lpstr>dch504_3_7</vt:lpstr>
      <vt:lpstr>dch504_3_8a</vt:lpstr>
      <vt:lpstr>dch504_3_8b</vt:lpstr>
      <vt:lpstr>dch504_3_8c</vt:lpstr>
      <vt:lpstr>dch504_3_8d</vt:lpstr>
      <vt:lpstr>dch504_3_8e</vt:lpstr>
      <vt:lpstr>dch504_3_8f</vt:lpstr>
      <vt:lpstr>dch504_3_9</vt:lpstr>
      <vt:lpstr>dch505_1_1</vt:lpstr>
      <vt:lpstr>dch505_1_2</vt:lpstr>
      <vt:lpstr>dch505_1_3</vt:lpstr>
      <vt:lpstr>dch505_10_a</vt:lpstr>
      <vt:lpstr>dch505_10_b</vt:lpstr>
      <vt:lpstr>dch505_10_c</vt:lpstr>
      <vt:lpstr>dch505_2_1_a</vt:lpstr>
      <vt:lpstr>dch505_2_1_b</vt:lpstr>
      <vt:lpstr>dch505_2_1_c</vt:lpstr>
      <vt:lpstr>dch505_2_2</vt:lpstr>
      <vt:lpstr>dch505_3_1</vt:lpstr>
      <vt:lpstr>dch505_4_1</vt:lpstr>
      <vt:lpstr>dch505_5_a</vt:lpstr>
      <vt:lpstr>dch505_5_b</vt:lpstr>
      <vt:lpstr>dch505_5_c</vt:lpstr>
      <vt:lpstr>dch505_5_d</vt:lpstr>
      <vt:lpstr>dch505_6</vt:lpstr>
      <vt:lpstr>dch505_7</vt:lpstr>
      <vt:lpstr>dch505_8</vt:lpstr>
      <vt:lpstr>dch505_9_a</vt:lpstr>
      <vt:lpstr>dch505_9_b</vt:lpstr>
      <vt:lpstr>dch505_9_c</vt:lpstr>
      <vt:lpstr>dch601_2_1</vt:lpstr>
      <vt:lpstr>dch601_2_2</vt:lpstr>
      <vt:lpstr>dch601_2_3</vt:lpstr>
      <vt:lpstr>dch601_3_1</vt:lpstr>
      <vt:lpstr>dch601_3_2</vt:lpstr>
      <vt:lpstr>dch601_3_3</vt:lpstr>
      <vt:lpstr>dch601_3_4</vt:lpstr>
      <vt:lpstr>dch601_3_5</vt:lpstr>
      <vt:lpstr>dch601_4</vt:lpstr>
      <vt:lpstr>dch601_5_1</vt:lpstr>
      <vt:lpstr>dch601_5_2</vt:lpstr>
      <vt:lpstr>dch601_5_3</vt:lpstr>
      <vt:lpstr>dch601_5_4</vt:lpstr>
      <vt:lpstr>dch601_5_5</vt:lpstr>
      <vt:lpstr>dch601_7_a</vt:lpstr>
      <vt:lpstr>dch601_7_b</vt:lpstr>
      <vt:lpstr>dch601_7_c</vt:lpstr>
      <vt:lpstr>dch601_7_d</vt:lpstr>
      <vt:lpstr>dch601_7_e</vt:lpstr>
      <vt:lpstr>dch601_8</vt:lpstr>
      <vt:lpstr>dch602_1_1_1</vt:lpstr>
      <vt:lpstr>dch602_1_1_2</vt:lpstr>
      <vt:lpstr>dch602_1_10</vt:lpstr>
      <vt:lpstr>dch602_1_11</vt:lpstr>
      <vt:lpstr>dch602_1_12</vt:lpstr>
      <vt:lpstr>dch602_1_13</vt:lpstr>
      <vt:lpstr>dch602_1_14_1</vt:lpstr>
      <vt:lpstr>dch602_1_14_2</vt:lpstr>
      <vt:lpstr>dch602_1_14_3</vt:lpstr>
      <vt:lpstr>dch602_1_15</vt:lpstr>
      <vt:lpstr>dch602_1_2__1</vt:lpstr>
      <vt:lpstr>dch602_1_2__2</vt:lpstr>
      <vt:lpstr>dch602_1_3_1</vt:lpstr>
      <vt:lpstr>dch602_1_3_2</vt:lpstr>
      <vt:lpstr>dch602_1_4_1_1</vt:lpstr>
      <vt:lpstr>dch602_1_4_1_2</vt:lpstr>
      <vt:lpstr>dch602_1_4_2_1</vt:lpstr>
      <vt:lpstr>dch602_1_4_2_2</vt:lpstr>
      <vt:lpstr>dch602_1_5</vt:lpstr>
      <vt:lpstr>dch602_1_5_1</vt:lpstr>
      <vt:lpstr>dch602_1_5_2</vt:lpstr>
      <vt:lpstr>dch602_1_6_1</vt:lpstr>
      <vt:lpstr>dch602_1_6_2</vt:lpstr>
      <vt:lpstr>dch602_1_6_3</vt:lpstr>
      <vt:lpstr>dch602_1_7_1_1</vt:lpstr>
      <vt:lpstr>dch602_1_7_1_2</vt:lpstr>
      <vt:lpstr>dch602_1_7_1_3</vt:lpstr>
      <vt:lpstr>dch602_1_7_2</vt:lpstr>
      <vt:lpstr>dch602_1_7_3</vt:lpstr>
      <vt:lpstr>dch602_1_8</vt:lpstr>
      <vt:lpstr>dch602_1_9_1</vt:lpstr>
      <vt:lpstr>dch602_1_9_2</vt:lpstr>
      <vt:lpstr>dch602_1_9_3</vt:lpstr>
      <vt:lpstr>dch602_1_9_4</vt:lpstr>
      <vt:lpstr>dch602_1_9_5</vt:lpstr>
      <vt:lpstr>dch602_1_9_6</vt:lpstr>
      <vt:lpstr>dch602_1_9_7</vt:lpstr>
      <vt:lpstr>dch602_2_1</vt:lpstr>
      <vt:lpstr>dch602_2_2</vt:lpstr>
      <vt:lpstr>dch602_2_3</vt:lpstr>
      <vt:lpstr>dch602_3</vt:lpstr>
      <vt:lpstr>dch602_4_1</vt:lpstr>
      <vt:lpstr>dch602_4_2</vt:lpstr>
      <vt:lpstr>dch602_4_3</vt:lpstr>
      <vt:lpstr>dch603_1</vt:lpstr>
      <vt:lpstr>dch603_2</vt:lpstr>
      <vt:lpstr>dch603_3</vt:lpstr>
      <vt:lpstr>dch604_1a</vt:lpstr>
      <vt:lpstr>dch604_1b</vt:lpstr>
      <vt:lpstr>dch604_1c</vt:lpstr>
      <vt:lpstr>dch604_1d</vt:lpstr>
      <vt:lpstr>dch605_1</vt:lpstr>
      <vt:lpstr>dch605_2</vt:lpstr>
      <vt:lpstr>dch605_2_2</vt:lpstr>
      <vt:lpstr>dch605_3</vt:lpstr>
      <vt:lpstr>dch605_4_2_a</vt:lpstr>
      <vt:lpstr>dch605_4_2_b</vt:lpstr>
      <vt:lpstr>dch605_4_2_c</vt:lpstr>
      <vt:lpstr>dch605_4_2_d</vt:lpstr>
      <vt:lpstr>dch605_4_2_e</vt:lpstr>
      <vt:lpstr>dch605_4_2_f</vt:lpstr>
      <vt:lpstr>dch605_4_2_g</vt:lpstr>
      <vt:lpstr>dch605_4_2_h</vt:lpstr>
      <vt:lpstr>dch605_4_2_i</vt:lpstr>
      <vt:lpstr>dch606_1_a</vt:lpstr>
      <vt:lpstr>dch606_1_b</vt:lpstr>
      <vt:lpstr>dch606_1_c</vt:lpstr>
      <vt:lpstr>dch606_1_d</vt:lpstr>
      <vt:lpstr>dch606_1_e</vt:lpstr>
      <vt:lpstr>dch606_1_f</vt:lpstr>
      <vt:lpstr>dch606_1_g</vt:lpstr>
      <vt:lpstr>dch606_1_h</vt:lpstr>
      <vt:lpstr>dch606_2_1a</vt:lpstr>
      <vt:lpstr>dch606_2_1b</vt:lpstr>
      <vt:lpstr>dch606_2_2a</vt:lpstr>
      <vt:lpstr>dch606_2_2b</vt:lpstr>
      <vt:lpstr>dch606_3</vt:lpstr>
      <vt:lpstr>dch607_1_1</vt:lpstr>
      <vt:lpstr>dch607_1_2</vt:lpstr>
      <vt:lpstr>dch607_2</vt:lpstr>
      <vt:lpstr>dch608_1</vt:lpstr>
      <vt:lpstr>dch609_1_1</vt:lpstr>
      <vt:lpstr>dch609_1_2</vt:lpstr>
      <vt:lpstr>dch610_1_1_1</vt:lpstr>
      <vt:lpstr>dch610_1_1_2</vt:lpstr>
      <vt:lpstr>dch610_1_1_3</vt:lpstr>
      <vt:lpstr>dch610_1_2_1a</vt:lpstr>
      <vt:lpstr>dch610_1_2_1b</vt:lpstr>
      <vt:lpstr>dch610_1_2_2_f</vt:lpstr>
      <vt:lpstr>dch610_1_2_2a</vt:lpstr>
      <vt:lpstr>dch610_1_2_2b</vt:lpstr>
      <vt:lpstr>dch610_1_2_2c</vt:lpstr>
      <vt:lpstr>dch611_1_1</vt:lpstr>
      <vt:lpstr>dch611_1_2</vt:lpstr>
      <vt:lpstr>dch612_1</vt:lpstr>
      <vt:lpstr>dch612_2_1</vt:lpstr>
      <vt:lpstr>dch612_2_2</vt:lpstr>
      <vt:lpstr>dch612_2_3</vt:lpstr>
      <vt:lpstr>dch612_2_4</vt:lpstr>
      <vt:lpstr>dch612_2_5</vt:lpstr>
      <vt:lpstr>dch612_2_6</vt:lpstr>
      <vt:lpstr>dch612_2_7</vt:lpstr>
      <vt:lpstr>dch612_3_1</vt:lpstr>
      <vt:lpstr>dch612_3_2</vt:lpstr>
      <vt:lpstr>dch612_3_3</vt:lpstr>
      <vt:lpstr>dch612_3_4</vt:lpstr>
      <vt:lpstr>dch612_3_5</vt:lpstr>
      <vt:lpstr>dch612_3_6</vt:lpstr>
      <vt:lpstr>dch612_3_7</vt:lpstr>
      <vt:lpstr>dch612_3_8</vt:lpstr>
      <vt:lpstr>dch612_3_9</vt:lpstr>
      <vt:lpstr>dch613_1</vt:lpstr>
      <vt:lpstr>dch701_1</vt:lpstr>
      <vt:lpstr>dch701_1_</vt:lpstr>
      <vt:lpstr>dch701_1_4</vt:lpstr>
      <vt:lpstr>dch701_1_4_</vt:lpstr>
      <vt:lpstr>dch701_1_6_1</vt:lpstr>
      <vt:lpstr>dch701_1_6_2</vt:lpstr>
      <vt:lpstr>dch701_1_6_3</vt:lpstr>
      <vt:lpstr>dch701_1_6_4</vt:lpstr>
      <vt:lpstr>dch701_1_6_5</vt:lpstr>
      <vt:lpstr>dch701_1_6_6_a</vt:lpstr>
      <vt:lpstr>dch701_1_6_6_b</vt:lpstr>
      <vt:lpstr>dch701_1_6_6_c</vt:lpstr>
      <vt:lpstr>dch701_1_6_7_a</vt:lpstr>
      <vt:lpstr>dch701_1_6_7_b</vt:lpstr>
      <vt:lpstr>dch701_1_6_7_c</vt:lpstr>
      <vt:lpstr>dch701_1_6_8</vt:lpstr>
      <vt:lpstr>dch701_1_6_9</vt:lpstr>
      <vt:lpstr>dch701_3</vt:lpstr>
      <vt:lpstr>dch701_4_1</vt:lpstr>
      <vt:lpstr>dch701_4_1_1</vt:lpstr>
      <vt:lpstr>dch701_4_1_2</vt:lpstr>
      <vt:lpstr>dch701_4_2_2</vt:lpstr>
      <vt:lpstr>dch701_4_2_3</vt:lpstr>
      <vt:lpstr>dch701_4_3_1</vt:lpstr>
      <vt:lpstr>dch701_4_3_1_a</vt:lpstr>
      <vt:lpstr>dch701_4_3_1_b</vt:lpstr>
      <vt:lpstr>dch701_4_3_1_c</vt:lpstr>
      <vt:lpstr>dch701_4_3_1_d</vt:lpstr>
      <vt:lpstr>dch701_4_3_1_e</vt:lpstr>
      <vt:lpstr>dch701_4_3_1_f</vt:lpstr>
      <vt:lpstr>dch701_4_3_1_g</vt:lpstr>
      <vt:lpstr>dch701_4_3_1_h</vt:lpstr>
      <vt:lpstr>dch701_4_3_1_i</vt:lpstr>
      <vt:lpstr>dch701_4_3_1_j</vt:lpstr>
      <vt:lpstr>dch701_4_3_1_k</vt:lpstr>
      <vt:lpstr>dch701_4_3_1_l</vt:lpstr>
      <vt:lpstr>dch701_4_3_1_m</vt:lpstr>
      <vt:lpstr>dch701_4_3_2_1</vt:lpstr>
      <vt:lpstr>dch701_4_3_2_1_</vt:lpstr>
      <vt:lpstr>dch701_4_3_2_2</vt:lpstr>
      <vt:lpstr>dch701_4_3_2e</vt:lpstr>
      <vt:lpstr>dch701_4_3_4</vt:lpstr>
      <vt:lpstr>dch701_4_3_5</vt:lpstr>
      <vt:lpstr>dch701_4_4_1</vt:lpstr>
      <vt:lpstr>dch701_4_4_2</vt:lpstr>
      <vt:lpstr>dch701_4_5</vt:lpstr>
      <vt:lpstr>dch702_2_1</vt:lpstr>
      <vt:lpstr>dch702_2_2</vt:lpstr>
      <vt:lpstr>dch703_1_1</vt:lpstr>
      <vt:lpstr>dch703_1_2</vt:lpstr>
      <vt:lpstr>dch703_1_3</vt:lpstr>
      <vt:lpstr>dch703_1_3_1</vt:lpstr>
      <vt:lpstr>dch703_1_3_2</vt:lpstr>
      <vt:lpstr>dch703_2_1</vt:lpstr>
      <vt:lpstr>dch703_2_1_2</vt:lpstr>
      <vt:lpstr>dch703_2_2</vt:lpstr>
      <vt:lpstr>dch703_2_3</vt:lpstr>
      <vt:lpstr>dch703_2_5_1</vt:lpstr>
      <vt:lpstr>dch703_2_5_1_1</vt:lpstr>
      <vt:lpstr>dch703_2_5_2</vt:lpstr>
      <vt:lpstr>dch703_2_5_2_1</vt:lpstr>
      <vt:lpstr>dch703_3_0_1</vt:lpstr>
      <vt:lpstr>dch703_3_0_2</vt:lpstr>
      <vt:lpstr>dch703_3_1</vt:lpstr>
      <vt:lpstr>dch703_3_2__1_1</vt:lpstr>
      <vt:lpstr>dch703_3_2__2_1</vt:lpstr>
      <vt:lpstr>dch703_3_2__3_1</vt:lpstr>
      <vt:lpstr>dch703_3_2__4_1</vt:lpstr>
      <vt:lpstr>dch703_3_3__1_1</vt:lpstr>
      <vt:lpstr>dch703_3_3__2</vt:lpstr>
      <vt:lpstr>dch703_3_3__3</vt:lpstr>
      <vt:lpstr>dch703_3_4_1_1</vt:lpstr>
      <vt:lpstr>dch703_3_4_1_6</vt:lpstr>
      <vt:lpstr>dch703_3_4_2</vt:lpstr>
      <vt:lpstr>dch703_3_5</vt:lpstr>
      <vt:lpstr>dch703_3_6</vt:lpstr>
      <vt:lpstr>dch703_3_7_1</vt:lpstr>
      <vt:lpstr>dch703_3_7_2</vt:lpstr>
      <vt:lpstr>dch703_3_8</vt:lpstr>
      <vt:lpstr>dch703_4_1</vt:lpstr>
      <vt:lpstr>dch703_4_2</vt:lpstr>
      <vt:lpstr>dch703_4_3_1</vt:lpstr>
      <vt:lpstr>dch703_4_3_2</vt:lpstr>
      <vt:lpstr>dch703_4_3_3</vt:lpstr>
      <vt:lpstr>dch703_4_4</vt:lpstr>
      <vt:lpstr>dch703_5_1</vt:lpstr>
      <vt:lpstr>dch703_5_1_1</vt:lpstr>
      <vt:lpstr>dch703_5_1_1_a</vt:lpstr>
      <vt:lpstr>dch703_5_1_2</vt:lpstr>
      <vt:lpstr>dch703_5_1_2_a</vt:lpstr>
      <vt:lpstr>dch703_5_1_3</vt:lpstr>
      <vt:lpstr>dch703_5_2</vt:lpstr>
      <vt:lpstr>dch703_5_3</vt:lpstr>
      <vt:lpstr>dch703_5_4</vt:lpstr>
      <vt:lpstr>dch703_5_5</vt:lpstr>
      <vt:lpstr>dch703_5_5_a</vt:lpstr>
      <vt:lpstr>dch703_6_1_1</vt:lpstr>
      <vt:lpstr>dch703_6_1_2</vt:lpstr>
      <vt:lpstr>dch703_6_1_3</vt:lpstr>
      <vt:lpstr>dch703_6_2__1</vt:lpstr>
      <vt:lpstr>dch703_6_2__2</vt:lpstr>
      <vt:lpstr>dch703_6_2__3</vt:lpstr>
      <vt:lpstr>dch703_7_1</vt:lpstr>
      <vt:lpstr>dch703_7_2</vt:lpstr>
      <vt:lpstr>dch703_7_3_1_a</vt:lpstr>
      <vt:lpstr>dch703_7_3_1_b</vt:lpstr>
      <vt:lpstr>dch703_7_3_1_c</vt:lpstr>
      <vt:lpstr>dch703_7_3_1_d</vt:lpstr>
      <vt:lpstr>dch703_7_3_2</vt:lpstr>
      <vt:lpstr>dch703_7_3_3</vt:lpstr>
      <vt:lpstr>dch703_7_3_4</vt:lpstr>
      <vt:lpstr>dch703_7_3_5_a</vt:lpstr>
      <vt:lpstr>dch703_7_3_5_b</vt:lpstr>
      <vt:lpstr>dch703_7_3_6</vt:lpstr>
      <vt:lpstr>dch703_7_4</vt:lpstr>
      <vt:lpstr>dch704_2_1</vt:lpstr>
      <vt:lpstr>dch704_2_2</vt:lpstr>
      <vt:lpstr>dch705_2_1_1</vt:lpstr>
      <vt:lpstr>dch705_2_1_2</vt:lpstr>
      <vt:lpstr>dch705_2_1_3_1</vt:lpstr>
      <vt:lpstr>dch705_2_1_3_2</vt:lpstr>
      <vt:lpstr>dch705_2_1_4</vt:lpstr>
      <vt:lpstr>dch705_2_2</vt:lpstr>
      <vt:lpstr>dch705_2_3</vt:lpstr>
      <vt:lpstr>dch705_2_4</vt:lpstr>
      <vt:lpstr>dch705_3</vt:lpstr>
      <vt:lpstr>dch705_4</vt:lpstr>
      <vt:lpstr>dch705_5_1_1</vt:lpstr>
      <vt:lpstr>dch705_5_1_2</vt:lpstr>
      <vt:lpstr>dch705_5_2</vt:lpstr>
      <vt:lpstr>dch705_5_3_1</vt:lpstr>
      <vt:lpstr>dch705_5_3_2</vt:lpstr>
      <vt:lpstr>dch705_6_2_1_1_1</vt:lpstr>
      <vt:lpstr>dch705_6_2_1_1_2</vt:lpstr>
      <vt:lpstr>dch705_6_2_1_2</vt:lpstr>
      <vt:lpstr>dch705_6_2_2_1</vt:lpstr>
      <vt:lpstr>dch705_6_2_2_2</vt:lpstr>
      <vt:lpstr>dch705_6_2_3</vt:lpstr>
      <vt:lpstr>dch705_6_3</vt:lpstr>
      <vt:lpstr>dch705_6_3_1</vt:lpstr>
      <vt:lpstr>dch705_6_4_1</vt:lpstr>
      <vt:lpstr>dch705_6_4_2</vt:lpstr>
      <vt:lpstr>dch705_7</vt:lpstr>
      <vt:lpstr>dch706_1_1</vt:lpstr>
      <vt:lpstr>dch706_1_2</vt:lpstr>
      <vt:lpstr>dch706_1_3</vt:lpstr>
      <vt:lpstr>dch706_1_4</vt:lpstr>
      <vt:lpstr>dch706_1_5</vt:lpstr>
      <vt:lpstr>dch706_10</vt:lpstr>
      <vt:lpstr>dch706_11</vt:lpstr>
      <vt:lpstr>dch706_12</vt:lpstr>
      <vt:lpstr>dch706_13</vt:lpstr>
      <vt:lpstr>dch706_14_1</vt:lpstr>
      <vt:lpstr>dch706_14_2</vt:lpstr>
      <vt:lpstr>dch706_15_1</vt:lpstr>
      <vt:lpstr>dch706_15_2</vt:lpstr>
      <vt:lpstr>dch706_2_1</vt:lpstr>
      <vt:lpstr>dch706_2_2</vt:lpstr>
      <vt:lpstr>dch706_3_1</vt:lpstr>
      <vt:lpstr>dch706_3_2</vt:lpstr>
      <vt:lpstr>dch706_3_3</vt:lpstr>
      <vt:lpstr>dch706_3_4</vt:lpstr>
      <vt:lpstr>dch706_3_5</vt:lpstr>
      <vt:lpstr>dch706_3_6</vt:lpstr>
      <vt:lpstr>dch706_3_7</vt:lpstr>
      <vt:lpstr>dch706_3_8</vt:lpstr>
      <vt:lpstr>dch706_4_1_1</vt:lpstr>
      <vt:lpstr>dch706_4_1_2</vt:lpstr>
      <vt:lpstr>dch706_4_2</vt:lpstr>
      <vt:lpstr>dch706_5_1</vt:lpstr>
      <vt:lpstr>dch706_5_2</vt:lpstr>
      <vt:lpstr>dch706_5_3</vt:lpstr>
      <vt:lpstr>dch706_6</vt:lpstr>
      <vt:lpstr>dch706_7_1</vt:lpstr>
      <vt:lpstr>dch706_7_2</vt:lpstr>
      <vt:lpstr>dch706_8</vt:lpstr>
      <vt:lpstr>dch706_9</vt:lpstr>
      <vt:lpstr>dch801_1</vt:lpstr>
      <vt:lpstr>dch802_1</vt:lpstr>
      <vt:lpstr>dch802_1_6</vt:lpstr>
      <vt:lpstr>dch802_10_1</vt:lpstr>
      <vt:lpstr>dch802_10_1_1</vt:lpstr>
      <vt:lpstr>dch802_2_1</vt:lpstr>
      <vt:lpstr>dch802_2_2</vt:lpstr>
      <vt:lpstr>dch802_3_1_a</vt:lpstr>
      <vt:lpstr>dch802_3_1_b</vt:lpstr>
      <vt:lpstr>dch802_3_2_a</vt:lpstr>
      <vt:lpstr>dch802_3_2_b</vt:lpstr>
      <vt:lpstr>dch802_4_1</vt:lpstr>
      <vt:lpstr>dch802_4_2</vt:lpstr>
      <vt:lpstr>dch802_4_3</vt:lpstr>
      <vt:lpstr>dch802_5_1a</vt:lpstr>
      <vt:lpstr>dch802_5_1b</vt:lpstr>
      <vt:lpstr>dch802_5_2</vt:lpstr>
      <vt:lpstr>dch802_5_3</vt:lpstr>
      <vt:lpstr>dch802_5_4_2</vt:lpstr>
      <vt:lpstr>dch802_5_4_3</vt:lpstr>
      <vt:lpstr>dch802_5_4_4_a</vt:lpstr>
      <vt:lpstr>dch802_5_4_4_b</vt:lpstr>
      <vt:lpstr>dch802_5_4_4_c</vt:lpstr>
      <vt:lpstr>dch802_6_1</vt:lpstr>
      <vt:lpstr>dch802_6_2</vt:lpstr>
      <vt:lpstr>dch802_6_3_1</vt:lpstr>
      <vt:lpstr>dch802_6_3_2</vt:lpstr>
      <vt:lpstr>dch802_6_3_3</vt:lpstr>
      <vt:lpstr>dch802_6_4_1</vt:lpstr>
      <vt:lpstr>dch802_6_4_2</vt:lpstr>
      <vt:lpstr>dch802_6_5_1</vt:lpstr>
      <vt:lpstr>dch802_6_5_2</vt:lpstr>
      <vt:lpstr>dch802_6_5_3</vt:lpstr>
      <vt:lpstr>dch802_6_5_4</vt:lpstr>
      <vt:lpstr>dch802_6_5_5</vt:lpstr>
      <vt:lpstr>dch802_7_1</vt:lpstr>
      <vt:lpstr>dch802_7_2_1</vt:lpstr>
      <vt:lpstr>dch802_7_2_2</vt:lpstr>
      <vt:lpstr>dch802_8</vt:lpstr>
      <vt:lpstr>dch802_9_1</vt:lpstr>
      <vt:lpstr>dch802_9_2</vt:lpstr>
      <vt:lpstr>dch803_1_1</vt:lpstr>
      <vt:lpstr>dch803_1_2</vt:lpstr>
      <vt:lpstr>dch803_2</vt:lpstr>
      <vt:lpstr>dch803_3</vt:lpstr>
      <vt:lpstr>dch803_4</vt:lpstr>
      <vt:lpstr>dch803_5</vt:lpstr>
      <vt:lpstr>dch803_6</vt:lpstr>
      <vt:lpstr>dch804_2</vt:lpstr>
      <vt:lpstr>dch901_1_1</vt:lpstr>
      <vt:lpstr>dch901_1_2</vt:lpstr>
      <vt:lpstr>dch901_1_3_1</vt:lpstr>
      <vt:lpstr>dch901_1_3_2</vt:lpstr>
      <vt:lpstr>dch901_1_4</vt:lpstr>
      <vt:lpstr>dch901_1_5</vt:lpstr>
      <vt:lpstr>dch901_1_6</vt:lpstr>
      <vt:lpstr>dch901_10_1</vt:lpstr>
      <vt:lpstr>dch901_10_2</vt:lpstr>
      <vt:lpstr>dch901_10_3</vt:lpstr>
      <vt:lpstr>dch901_11</vt:lpstr>
      <vt:lpstr>dch901_12</vt:lpstr>
      <vt:lpstr>dch901_13</vt:lpstr>
      <vt:lpstr>dch901_14_1</vt:lpstr>
      <vt:lpstr>dch901_14_2</vt:lpstr>
      <vt:lpstr>dch901_15_1</vt:lpstr>
      <vt:lpstr>dch901_15_2</vt:lpstr>
      <vt:lpstr>dch901_2_1_1</vt:lpstr>
      <vt:lpstr>dch901_2_1_2</vt:lpstr>
      <vt:lpstr>dch901_2_1_3</vt:lpstr>
      <vt:lpstr>dch901_2_1_4</vt:lpstr>
      <vt:lpstr>dch901_2_1_5</vt:lpstr>
      <vt:lpstr>dch901_2_2</vt:lpstr>
      <vt:lpstr>dch901_3_1_a</vt:lpstr>
      <vt:lpstr>dch901_3_1_b</vt:lpstr>
      <vt:lpstr>dch901_3_1_c</vt:lpstr>
      <vt:lpstr>dch901_3_2</vt:lpstr>
      <vt:lpstr>dch901_4_1</vt:lpstr>
      <vt:lpstr>dch901_4_a</vt:lpstr>
      <vt:lpstr>dch901_4_b</vt:lpstr>
      <vt:lpstr>dch901_4_c</vt:lpstr>
      <vt:lpstr>dch901_4_d</vt:lpstr>
      <vt:lpstr>dch901_5_1</vt:lpstr>
      <vt:lpstr>dch901_5_2</vt:lpstr>
      <vt:lpstr>dch901_6</vt:lpstr>
      <vt:lpstr>dch901_7_1</vt:lpstr>
      <vt:lpstr>dch901_7_2</vt:lpstr>
      <vt:lpstr>dch901_7_3</vt:lpstr>
      <vt:lpstr>dch901_8</vt:lpstr>
      <vt:lpstr>dch901_9_1_1</vt:lpstr>
      <vt:lpstr>dch901_9_1_2</vt:lpstr>
      <vt:lpstr>dch901_9_1_3</vt:lpstr>
      <vt:lpstr>dch901_9_2</vt:lpstr>
      <vt:lpstr>dch901_9_3</vt:lpstr>
      <vt:lpstr>dch902_1_1</vt:lpstr>
      <vt:lpstr>dch902_1_1_a</vt:lpstr>
      <vt:lpstr>dch902_1_2</vt:lpstr>
      <vt:lpstr>dch902_1_2_</vt:lpstr>
      <vt:lpstr>dch902_1_2_2</vt:lpstr>
      <vt:lpstr>dch902_1_3</vt:lpstr>
      <vt:lpstr>dch902_1_3_</vt:lpstr>
      <vt:lpstr>dch902_1_4_1</vt:lpstr>
      <vt:lpstr>dch902_1_4_2</vt:lpstr>
      <vt:lpstr>dch902_1_5_1</vt:lpstr>
      <vt:lpstr>dch902_1_5_2</vt:lpstr>
      <vt:lpstr>dch902_1_5_3</vt:lpstr>
      <vt:lpstr>dch902_1_6</vt:lpstr>
      <vt:lpstr>dch902_2_1</vt:lpstr>
      <vt:lpstr>dch902_2_2</vt:lpstr>
      <vt:lpstr>dch902_2_3</vt:lpstr>
      <vt:lpstr>dch902_2_4</vt:lpstr>
      <vt:lpstr>dch902_3</vt:lpstr>
      <vt:lpstr>dch902_3_2</vt:lpstr>
      <vt:lpstr>dch902_3_2_1</vt:lpstr>
      <vt:lpstr>dch902_3_2_1_b</vt:lpstr>
      <vt:lpstr>dch902_4_1</vt:lpstr>
      <vt:lpstr>dch902_4_2</vt:lpstr>
      <vt:lpstr>dch902_4_3</vt:lpstr>
      <vt:lpstr>dch902_5</vt:lpstr>
      <vt:lpstr>dch902_6</vt:lpstr>
      <vt:lpstr>dch903_1</vt:lpstr>
      <vt:lpstr>dch903_2</vt:lpstr>
      <vt:lpstr>dch903_3_1</vt:lpstr>
      <vt:lpstr>dch903_3_2</vt:lpstr>
      <vt:lpstr>dch904_1</vt:lpstr>
      <vt:lpstr>dch904_2</vt:lpstr>
      <vt:lpstr>dch904_3_1</vt:lpstr>
      <vt:lpstr>dch904_3_2</vt:lpstr>
      <vt:lpstr>dch905_1</vt:lpstr>
      <vt:lpstr>dch905_2</vt:lpstr>
      <vt:lpstr>dch905_3_1</vt:lpstr>
      <vt:lpstr>dch905_3_2</vt:lpstr>
      <vt:lpstr>dch905_4</vt:lpstr>
      <vt:lpstr>dch905_6</vt:lpstr>
      <vt:lpstr>dd13_102_1</vt:lpstr>
      <vt:lpstr>dd13_104_1_1</vt:lpstr>
      <vt:lpstr>dd13_104_1_2</vt:lpstr>
      <vt:lpstr>dd13_104_1_3</vt:lpstr>
      <vt:lpstr>dd13_104_1_4</vt:lpstr>
      <vt:lpstr>dd13_104_1_5_1</vt:lpstr>
      <vt:lpstr>dd13_104_1_5_10</vt:lpstr>
      <vt:lpstr>dd13_104_1_5_11</vt:lpstr>
      <vt:lpstr>dd13_104_1_5_12</vt:lpstr>
      <vt:lpstr>dd13_104_1_5_2</vt:lpstr>
      <vt:lpstr>dd13_104_1_5_3</vt:lpstr>
      <vt:lpstr>dd13_104_1_5_4</vt:lpstr>
      <vt:lpstr>dd13_104_1_5_5</vt:lpstr>
      <vt:lpstr>dd13_104_1_5_6</vt:lpstr>
      <vt:lpstr>dd13_104_1_5_7</vt:lpstr>
      <vt:lpstr>dd13_104_1_5_8</vt:lpstr>
      <vt:lpstr>dd13_104_1_5_9</vt:lpstr>
      <vt:lpstr>dd13_104_1_6</vt:lpstr>
      <vt:lpstr>dd13_104_1_7</vt:lpstr>
      <vt:lpstr>dd13_105_10</vt:lpstr>
      <vt:lpstr>dd13_105_11</vt:lpstr>
      <vt:lpstr>dd13_105_11_1</vt:lpstr>
      <vt:lpstr>dd13_105_11_2</vt:lpstr>
      <vt:lpstr>dd13_105_11_3</vt:lpstr>
      <vt:lpstr>dd13_105_12</vt:lpstr>
      <vt:lpstr>dd13_105_3_1</vt:lpstr>
      <vt:lpstr>dd13_105_3_10</vt:lpstr>
      <vt:lpstr>dd13_105_3_11</vt:lpstr>
      <vt:lpstr>dd13_105_3_12</vt:lpstr>
      <vt:lpstr>dd13_105_3_2</vt:lpstr>
      <vt:lpstr>dd13_105_3_3</vt:lpstr>
      <vt:lpstr>dd13_105_3_4</vt:lpstr>
      <vt:lpstr>dd13_105_3_5</vt:lpstr>
      <vt:lpstr>dd13_105_3_6</vt:lpstr>
      <vt:lpstr>dd13_105_3_7</vt:lpstr>
      <vt:lpstr>dd13_105_3_8</vt:lpstr>
      <vt:lpstr>dd13_105_3_9</vt:lpstr>
      <vt:lpstr>dd13_105_4</vt:lpstr>
      <vt:lpstr>dd13_106_3_1</vt:lpstr>
      <vt:lpstr>dd13_106_3_2</vt:lpstr>
      <vt:lpstr>dd13_106_3_3</vt:lpstr>
      <vt:lpstr>dd13_106_3_4</vt:lpstr>
      <vt:lpstr>dd13_106_4_1</vt:lpstr>
      <vt:lpstr>dd13_106_4_2</vt:lpstr>
      <vt:lpstr>dd13_106_4_3</vt:lpstr>
      <vt:lpstr>dd13_106_4_4</vt:lpstr>
      <vt:lpstr>dd13_106_5_1</vt:lpstr>
      <vt:lpstr>dd13_106_5_2</vt:lpstr>
      <vt:lpstr>dd13_106_5_3</vt:lpstr>
      <vt:lpstr>dd13_106_6</vt:lpstr>
      <vt:lpstr>dd13_107_1_1</vt:lpstr>
      <vt:lpstr>dd13_107_4</vt:lpstr>
      <vt:lpstr>dd13_107_4_1</vt:lpstr>
      <vt:lpstr>dd13_107_4_2</vt:lpstr>
      <vt:lpstr>dd13_107_4_2_1</vt:lpstr>
      <vt:lpstr>dd13_107_4_2_2</vt:lpstr>
      <vt:lpstr>dd13_107_4_2_3</vt:lpstr>
      <vt:lpstr>dd13_107_4_3</vt:lpstr>
      <vt:lpstr>dd13_107_4_4</vt:lpstr>
      <vt:lpstr>dd13_107_6_1</vt:lpstr>
      <vt:lpstr>dd13_107_6_2</vt:lpstr>
      <vt:lpstr>dd501_2_4_1</vt:lpstr>
      <vt:lpstr>dd501_2_6</vt:lpstr>
      <vt:lpstr>dd503_2_3</vt:lpstr>
      <vt:lpstr>dd503_4_3</vt:lpstr>
      <vt:lpstr>dd503_4_4</vt:lpstr>
      <vt:lpstr>dd503_5</vt:lpstr>
      <vt:lpstr>dd503_5_1</vt:lpstr>
      <vt:lpstr>dd503_5_6</vt:lpstr>
      <vt:lpstr>dd503_7</vt:lpstr>
      <vt:lpstr>dd503_8</vt:lpstr>
      <vt:lpstr>dd505_1_3</vt:lpstr>
      <vt:lpstr>dd505_3</vt:lpstr>
      <vt:lpstr>dd601_6</vt:lpstr>
      <vt:lpstr>dd601_7_a</vt:lpstr>
      <vt:lpstr>dd601_7_b</vt:lpstr>
      <vt:lpstr>dd601_7_c</vt:lpstr>
      <vt:lpstr>dd601_7_d</vt:lpstr>
      <vt:lpstr>dd601_7_e</vt:lpstr>
      <vt:lpstr>dd602_1_1_1</vt:lpstr>
      <vt:lpstr>dd602_1_10</vt:lpstr>
      <vt:lpstr>dd602_1_11</vt:lpstr>
      <vt:lpstr>dd602_1_13</vt:lpstr>
      <vt:lpstr>dd602_1_14_1</vt:lpstr>
      <vt:lpstr>dd602_1_4_1_2</vt:lpstr>
      <vt:lpstr>dd602_1_4_2_2</vt:lpstr>
      <vt:lpstr>dd602_1_5</vt:lpstr>
      <vt:lpstr>dd602_1_7_1_2</vt:lpstr>
      <vt:lpstr>dd602_1_8</vt:lpstr>
      <vt:lpstr>dd602_1_9_5</vt:lpstr>
      <vt:lpstr>dd606_1_a</vt:lpstr>
      <vt:lpstr>dd606_1_b</vt:lpstr>
      <vt:lpstr>dd606_1_c</vt:lpstr>
      <vt:lpstr>dd606_1_d</vt:lpstr>
      <vt:lpstr>dd606_1_e</vt:lpstr>
      <vt:lpstr>dd606_1_f</vt:lpstr>
      <vt:lpstr>dd606_1_g</vt:lpstr>
      <vt:lpstr>dd606_1_h</vt:lpstr>
      <vt:lpstr>dd606_2_1a</vt:lpstr>
      <vt:lpstr>dd606_2_1b</vt:lpstr>
      <vt:lpstr>dd606_2_2a</vt:lpstr>
      <vt:lpstr>dd606_2_2b</vt:lpstr>
      <vt:lpstr>dd606_3</vt:lpstr>
      <vt:lpstr>dd608_1</vt:lpstr>
      <vt:lpstr>dd609_1_1</vt:lpstr>
      <vt:lpstr>dd609_1_2</vt:lpstr>
      <vt:lpstr>dd610_1_2_1a</vt:lpstr>
      <vt:lpstr>dd610_1_2_1b</vt:lpstr>
      <vt:lpstr>dd610_1_2_2_f</vt:lpstr>
      <vt:lpstr>dd610_1_2_2a</vt:lpstr>
      <vt:lpstr>dd610_1_2_2b</vt:lpstr>
      <vt:lpstr>dd610_1_2_2c</vt:lpstr>
      <vt:lpstr>dd612_1</vt:lpstr>
      <vt:lpstr>dd612_3_9</vt:lpstr>
      <vt:lpstr>dd613_1</vt:lpstr>
      <vt:lpstr>dd701_1</vt:lpstr>
      <vt:lpstr>dd701_1_</vt:lpstr>
      <vt:lpstr>dd701_1_4</vt:lpstr>
      <vt:lpstr>dd701_1_6_2</vt:lpstr>
      <vt:lpstr>dd701_1_6_4</vt:lpstr>
      <vt:lpstr>dd701_4_1_2</vt:lpstr>
      <vt:lpstr>dd701_4_3_1_a</vt:lpstr>
      <vt:lpstr>dd701_4_3_1_b</vt:lpstr>
      <vt:lpstr>dd701_4_3_1_c</vt:lpstr>
      <vt:lpstr>dd701_4_3_1_d</vt:lpstr>
      <vt:lpstr>dd701_4_3_1_e</vt:lpstr>
      <vt:lpstr>dd701_4_3_1_f</vt:lpstr>
      <vt:lpstr>dd701_4_3_1_g</vt:lpstr>
      <vt:lpstr>dd701_4_3_1_h</vt:lpstr>
      <vt:lpstr>dd701_4_3_1_i</vt:lpstr>
      <vt:lpstr>dd701_4_3_1_j</vt:lpstr>
      <vt:lpstr>dd701_4_3_1_k</vt:lpstr>
      <vt:lpstr>dd701_4_3_1_l</vt:lpstr>
      <vt:lpstr>dd701_4_3_1_m</vt:lpstr>
      <vt:lpstr>dd701_4_3_5</vt:lpstr>
      <vt:lpstr>dd703_1_3</vt:lpstr>
      <vt:lpstr>dd703_2_5_1</vt:lpstr>
      <vt:lpstr>dd703_2_5_1_1</vt:lpstr>
      <vt:lpstr>dd703_2_5_2</vt:lpstr>
      <vt:lpstr>dd703_2_5_2_1</vt:lpstr>
      <vt:lpstr>dd703_3_0_1</vt:lpstr>
      <vt:lpstr>dd703_3_0_2</vt:lpstr>
      <vt:lpstr>dd703_4_4</vt:lpstr>
      <vt:lpstr>dd703_5_1</vt:lpstr>
      <vt:lpstr>dd703_5_1_1</vt:lpstr>
      <vt:lpstr>dd703_5_1_2</vt:lpstr>
      <vt:lpstr>dd703_5_5</vt:lpstr>
      <vt:lpstr>dd705_2_1_1</vt:lpstr>
      <vt:lpstr>dd705_2_1_3_1</vt:lpstr>
      <vt:lpstr>dd705_2_1_3_2</vt:lpstr>
      <vt:lpstr>dd705_2_1_4</vt:lpstr>
      <vt:lpstr>dd705_6_2_3</vt:lpstr>
      <vt:lpstr>dd706_13</vt:lpstr>
      <vt:lpstr>dd706_2_2</vt:lpstr>
      <vt:lpstr>dd801_1</vt:lpstr>
      <vt:lpstr>dd802_1</vt:lpstr>
      <vt:lpstr>dd802_10_1</vt:lpstr>
      <vt:lpstr>dd802_2_2</vt:lpstr>
      <vt:lpstr>dd802_4_1</vt:lpstr>
      <vt:lpstr>dd802_4_2</vt:lpstr>
      <vt:lpstr>dd802_4_3</vt:lpstr>
      <vt:lpstr>dd802_5_1a</vt:lpstr>
      <vt:lpstr>dd802_5_1b</vt:lpstr>
      <vt:lpstr>dd802_5_2</vt:lpstr>
      <vt:lpstr>dd802_5_3</vt:lpstr>
      <vt:lpstr>dd802_5_4_2</vt:lpstr>
      <vt:lpstr>dd802_5_4_4_a</vt:lpstr>
      <vt:lpstr>dd802_6_1</vt:lpstr>
      <vt:lpstr>dd802_7_1</vt:lpstr>
      <vt:lpstr>dd802_7_2_1</vt:lpstr>
      <vt:lpstr>dd802_9_1</vt:lpstr>
      <vt:lpstr>dd802_9_2</vt:lpstr>
      <vt:lpstr>dd803_1_1</vt:lpstr>
      <vt:lpstr>dd803_3</vt:lpstr>
      <vt:lpstr>dd901_1_3_1</vt:lpstr>
      <vt:lpstr>dd901_1_3_2</vt:lpstr>
      <vt:lpstr>dd901_1_4</vt:lpstr>
      <vt:lpstr>dd901_1_6</vt:lpstr>
      <vt:lpstr>dd901_13</vt:lpstr>
      <vt:lpstr>dd901_2_1_1_m</vt:lpstr>
      <vt:lpstr>dd901_2_1_2_m</vt:lpstr>
      <vt:lpstr>dd901_2_1_3_m</vt:lpstr>
      <vt:lpstr>dd901_2_1_4_m</vt:lpstr>
      <vt:lpstr>dd901_2_1_5_m</vt:lpstr>
      <vt:lpstr>dd901_3_1_a_m</vt:lpstr>
      <vt:lpstr>dd901_3_1_b_m</vt:lpstr>
      <vt:lpstr>dd901_4_1</vt:lpstr>
      <vt:lpstr>dd901_4_a</vt:lpstr>
      <vt:lpstr>dd901_4_b</vt:lpstr>
      <vt:lpstr>dd901_4_c</vt:lpstr>
      <vt:lpstr>dd901_4_d</vt:lpstr>
      <vt:lpstr>dd902_1_2</vt:lpstr>
      <vt:lpstr>dd902_2_1</vt:lpstr>
      <vt:lpstr>dd902_3</vt:lpstr>
      <vt:lpstr>dd903_1</vt:lpstr>
      <vt:lpstr>dd903_2</vt:lpstr>
      <vt:lpstr>ddAltBronze</vt:lpstr>
      <vt:lpstr>ddAltSilver</vt:lpstr>
      <vt:lpstr>ddAttachedGarage</vt:lpstr>
      <vt:lpstr>ddAttic</vt:lpstr>
      <vt:lpstr>ddBuildingCode</vt:lpstr>
      <vt:lpstr>ddBuildingCodeMF</vt:lpstr>
      <vt:lpstr>ddCDucts</vt:lpstr>
      <vt:lpstr>ddCommercial</vt:lpstr>
      <vt:lpstr>ddCool1</vt:lpstr>
      <vt:lpstr>ddCool2</vt:lpstr>
      <vt:lpstr>ddCool3</vt:lpstr>
      <vt:lpstr>ddCToilet</vt:lpstr>
      <vt:lpstr>ddEnergyCode</vt:lpstr>
      <vt:lpstr>ddFoundation</vt:lpstr>
      <vt:lpstr>ddFuel</vt:lpstr>
      <vt:lpstr>ddHDucts</vt:lpstr>
      <vt:lpstr>ddHeat1</vt:lpstr>
      <vt:lpstr>ddHeat2</vt:lpstr>
      <vt:lpstr>ddHeat3</vt:lpstr>
      <vt:lpstr>ddMassWalls</vt:lpstr>
      <vt:lpstr>ddMetNotMetNA</vt:lpstr>
      <vt:lpstr>ddPassiveSolar</vt:lpstr>
      <vt:lpstr>ddRadiantHydronic</vt:lpstr>
      <vt:lpstr>ddRecessedLighting</vt:lpstr>
      <vt:lpstr>ddRenewable</vt:lpstr>
      <vt:lpstr>ddSingleOrMulti</vt:lpstr>
      <vt:lpstr>ddTEInsulation</vt:lpstr>
      <vt:lpstr>ddTLWH</vt:lpstr>
      <vt:lpstr>ddWellnessException</vt:lpstr>
      <vt:lpstr>ddWS1</vt:lpstr>
      <vt:lpstr>desBadges703_7_2</vt:lpstr>
      <vt:lpstr>desBadges802_10_1_1</vt:lpstr>
      <vt:lpstr>desBadges802_6_4_1</vt:lpstr>
      <vt:lpstr>desBadges802_6_5_5</vt:lpstr>
      <vt:lpstr>desBadges803_3_1</vt:lpstr>
      <vt:lpstr>desBadges901_1_1</vt:lpstr>
      <vt:lpstr>desBadges901_1_5</vt:lpstr>
      <vt:lpstr>desBadges903_3</vt:lpstr>
      <vt:lpstr>desBadgesBuildingVent</vt:lpstr>
      <vt:lpstr>desBadgesElectricAC</vt:lpstr>
      <vt:lpstr>desBadgesElectricHeat</vt:lpstr>
      <vt:lpstr>desBadgesFloorRVal</vt:lpstr>
      <vt:lpstr>desBadgesGasBoiler</vt:lpstr>
      <vt:lpstr>desBadgesGEDHPHeating</vt:lpstr>
      <vt:lpstr>desBadgesGEHHPCooling</vt:lpstr>
      <vt:lpstr>desBadgesGeothermalEfficiency</vt:lpstr>
      <vt:lpstr>desBadgesGeothermalFieldArea</vt:lpstr>
      <vt:lpstr>desBadgesGeothermalPower</vt:lpstr>
      <vt:lpstr>desBadgesGeothermalResTemp</vt:lpstr>
      <vt:lpstr>desBadgesGeothermalSurfaceTemp</vt:lpstr>
      <vt:lpstr>desBadgesGeothermalWells</vt:lpstr>
      <vt:lpstr>desBadgesGroundSourceHP</vt:lpstr>
      <vt:lpstr>desBadgesOilBoiler</vt:lpstr>
      <vt:lpstr>desBadgesOilFurnace</vt:lpstr>
      <vt:lpstr>desBadgesPropane</vt:lpstr>
      <vt:lpstr>desBadgesRadiant</vt:lpstr>
      <vt:lpstr>desBadgesResilienceAdditional</vt:lpstr>
      <vt:lpstr>desBadgesRoofRVal</vt:lpstr>
      <vt:lpstr>desBadgesSHGC</vt:lpstr>
      <vt:lpstr>desBadgesSmartAdd</vt:lpstr>
      <vt:lpstr>desBadgesSolarThermalArea</vt:lpstr>
      <vt:lpstr>desBadgesSolarThermalEfficiency</vt:lpstr>
      <vt:lpstr>desBadgesSolarThermalHeatingRate</vt:lpstr>
      <vt:lpstr>desBadgesSolarThermalSlope</vt:lpstr>
      <vt:lpstr>desBadgesSolarThermalTankVolume</vt:lpstr>
      <vt:lpstr>desBadgesSpotVent</vt:lpstr>
      <vt:lpstr>desBadgesWallRVal</vt:lpstr>
      <vt:lpstr>desBadgesWaterSourceHC</vt:lpstr>
      <vt:lpstr>desBadgesWellnessException</vt:lpstr>
      <vt:lpstr>desBadgesWindowUVal</vt:lpstr>
      <vt:lpstr>desBadgesWindowWallRatio</vt:lpstr>
      <vt:lpstr>desGoalLevel</vt:lpstr>
      <vt:lpstr>desWaterSenseClothesWasher</vt:lpstr>
      <vt:lpstr>desWaterSenseDishwasher</vt:lpstr>
      <vt:lpstr>desWaterSenseIrrigation</vt:lpstr>
      <vt:lpstr>desWaterSenseLavFaucet</vt:lpstr>
      <vt:lpstr>desWaterSenseLeaks1</vt:lpstr>
      <vt:lpstr>desWaterSenseLeaks2</vt:lpstr>
      <vt:lpstr>desWaterSenseLeaks3</vt:lpstr>
      <vt:lpstr>desWaterSenseLeaks4</vt:lpstr>
      <vt:lpstr>desWaterSenseLeaks5</vt:lpstr>
      <vt:lpstr>desWaterSenseLeaks6</vt:lpstr>
      <vt:lpstr>desWaterSenseLeaks7</vt:lpstr>
      <vt:lpstr>desWaterSenseLeaks8</vt:lpstr>
      <vt:lpstr>desWaterSenseOptionA</vt:lpstr>
      <vt:lpstr>desWaterSenseShowerheads</vt:lpstr>
      <vt:lpstr>desWaterSenseToilet</vt:lpstr>
      <vt:lpstr>dnt1001_1_1</vt:lpstr>
      <vt:lpstr>dnt1001_1_10</vt:lpstr>
      <vt:lpstr>dnt1001_1_11</vt:lpstr>
      <vt:lpstr>dnt1001_1_12</vt:lpstr>
      <vt:lpstr>dnt1001_1_13</vt:lpstr>
      <vt:lpstr>dnt1001_1_14</vt:lpstr>
      <vt:lpstr>dnt1001_1_15</vt:lpstr>
      <vt:lpstr>dnt1001_1_16</vt:lpstr>
      <vt:lpstr>dnt1001_1_17</vt:lpstr>
      <vt:lpstr>dnt1001_1_18</vt:lpstr>
      <vt:lpstr>dnt1001_1_19</vt:lpstr>
      <vt:lpstr>dnt1001_1_2</vt:lpstr>
      <vt:lpstr>dnt1001_1_20</vt:lpstr>
      <vt:lpstr>dnt1001_1_21</vt:lpstr>
      <vt:lpstr>dnt1001_1_22</vt:lpstr>
      <vt:lpstr>dnt1001_1_23</vt:lpstr>
      <vt:lpstr>dnt1001_1_24</vt:lpstr>
      <vt:lpstr>dnt1001_1_3</vt:lpstr>
      <vt:lpstr>dnt1001_1_4</vt:lpstr>
      <vt:lpstr>dnt1001_1_5</vt:lpstr>
      <vt:lpstr>dnt1001_1_6</vt:lpstr>
      <vt:lpstr>dnt1001_1_7</vt:lpstr>
      <vt:lpstr>dnt1001_1_8</vt:lpstr>
      <vt:lpstr>dnt1001_1_9</vt:lpstr>
      <vt:lpstr>dnt1001_2</vt:lpstr>
      <vt:lpstr>dnt1002_1_1</vt:lpstr>
      <vt:lpstr>dnt1002_1_2</vt:lpstr>
      <vt:lpstr>dnt1002_1_3</vt:lpstr>
      <vt:lpstr>dnt1002_1_4</vt:lpstr>
      <vt:lpstr>dnt1002_1_5</vt:lpstr>
      <vt:lpstr>dnt1002_1_6</vt:lpstr>
      <vt:lpstr>dnt1002_1_7</vt:lpstr>
      <vt:lpstr>dnt1002_1_8</vt:lpstr>
      <vt:lpstr>dnt1002_2_1</vt:lpstr>
      <vt:lpstr>dnt1002_2_10</vt:lpstr>
      <vt:lpstr>dnt1002_2_11</vt:lpstr>
      <vt:lpstr>dnt1002_2_2</vt:lpstr>
      <vt:lpstr>dnt1002_2_3</vt:lpstr>
      <vt:lpstr>dnt1002_2_4</vt:lpstr>
      <vt:lpstr>dnt1002_2_5</vt:lpstr>
      <vt:lpstr>dnt1002_2_6</vt:lpstr>
      <vt:lpstr>dnt1002_2_7</vt:lpstr>
      <vt:lpstr>dnt1002_2_8</vt:lpstr>
      <vt:lpstr>dnt1002_2_9</vt:lpstr>
      <vt:lpstr>dnt1002_3_1</vt:lpstr>
      <vt:lpstr>dnt1002_3_10</vt:lpstr>
      <vt:lpstr>dnt1002_3_11</vt:lpstr>
      <vt:lpstr>dnt1002_3_2</vt:lpstr>
      <vt:lpstr>dnt1002_3_3</vt:lpstr>
      <vt:lpstr>dnt1002_3_4</vt:lpstr>
      <vt:lpstr>dnt1002_3_5</vt:lpstr>
      <vt:lpstr>dnt1002_3_6</vt:lpstr>
      <vt:lpstr>dnt1002_3_7</vt:lpstr>
      <vt:lpstr>dnt1002_3_8</vt:lpstr>
      <vt:lpstr>dnt1002_3_9</vt:lpstr>
      <vt:lpstr>dnt1002_4</vt:lpstr>
      <vt:lpstr>dnt1002_5_1</vt:lpstr>
      <vt:lpstr>dnt1002_5_2</vt:lpstr>
      <vt:lpstr>dnt1002_5_3</vt:lpstr>
      <vt:lpstr>dnt1002_5_4</vt:lpstr>
      <vt:lpstr>dnt1002_5_5</vt:lpstr>
      <vt:lpstr>dnt1002_5_6</vt:lpstr>
      <vt:lpstr>dnt1002_5_7</vt:lpstr>
      <vt:lpstr>dnt1002_5_8</vt:lpstr>
      <vt:lpstr>dnt1002_5_9</vt:lpstr>
      <vt:lpstr>dnt1002_6_1</vt:lpstr>
      <vt:lpstr>dnt1002_6_2</vt:lpstr>
      <vt:lpstr>dnt1002_6_3</vt:lpstr>
      <vt:lpstr>dnt1002_6_4</vt:lpstr>
      <vt:lpstr>dnt1002_6_5</vt:lpstr>
      <vt:lpstr>dnt1002_6_6</vt:lpstr>
      <vt:lpstr>dnt1002_6_7</vt:lpstr>
      <vt:lpstr>dnt1003_1_1</vt:lpstr>
      <vt:lpstr>dnt1003_1_2</vt:lpstr>
      <vt:lpstr>dnt1003_1_3</vt:lpstr>
      <vt:lpstr>dnt1004_1_1</vt:lpstr>
      <vt:lpstr>dnt1004_1_2</vt:lpstr>
      <vt:lpstr>dnt1005_1_1</vt:lpstr>
      <vt:lpstr>dnt1005_1_2</vt:lpstr>
      <vt:lpstr>dnt501_1</vt:lpstr>
      <vt:lpstr>dnt501_2</vt:lpstr>
      <vt:lpstr>dnt501_2_1</vt:lpstr>
      <vt:lpstr>dnt501_2_2</vt:lpstr>
      <vt:lpstr>dnt501_2_3</vt:lpstr>
      <vt:lpstr>dnt501_2_4</vt:lpstr>
      <vt:lpstr>dnt501_2_4_1</vt:lpstr>
      <vt:lpstr>dnt501_2_5</vt:lpstr>
      <vt:lpstr>dnt501_2_6</vt:lpstr>
      <vt:lpstr>dnt501_2_6_d</vt:lpstr>
      <vt:lpstr>dnt501_2_7</vt:lpstr>
      <vt:lpstr>dnt501_2_8</vt:lpstr>
      <vt:lpstr>dnt502_1</vt:lpstr>
      <vt:lpstr>dnt503_0</vt:lpstr>
      <vt:lpstr>dnt503_1</vt:lpstr>
      <vt:lpstr>dnt503_2</vt:lpstr>
      <vt:lpstr>dnt503_3</vt:lpstr>
      <vt:lpstr>dnt503_4</vt:lpstr>
      <vt:lpstr>dnt503_4_1</vt:lpstr>
      <vt:lpstr>dnt503_4_2</vt:lpstr>
      <vt:lpstr>dnt503_4_3</vt:lpstr>
      <vt:lpstr>dnt503_4_4</vt:lpstr>
      <vt:lpstr>dnt503_4_4_c_1</vt:lpstr>
      <vt:lpstr>dnt503_4_5</vt:lpstr>
      <vt:lpstr>dnt503_5</vt:lpstr>
      <vt:lpstr>dnt503_5_1</vt:lpstr>
      <vt:lpstr>dnt503_5_10</vt:lpstr>
      <vt:lpstr>dnt503_5_11</vt:lpstr>
      <vt:lpstr>dnt503_5_12</vt:lpstr>
      <vt:lpstr>dnt503_5_13</vt:lpstr>
      <vt:lpstr>dnt503_5_2</vt:lpstr>
      <vt:lpstr>dnt503_5_3</vt:lpstr>
      <vt:lpstr>dnt503_5_4</vt:lpstr>
      <vt:lpstr>dnt503_5_5</vt:lpstr>
      <vt:lpstr>dnt503_5_6</vt:lpstr>
      <vt:lpstr>dnt503_5_7</vt:lpstr>
      <vt:lpstr>dnt503_5_8</vt:lpstr>
      <vt:lpstr>dnt503_5_9</vt:lpstr>
      <vt:lpstr>dnt503_6</vt:lpstr>
      <vt:lpstr>dnt503_7</vt:lpstr>
      <vt:lpstr>dnt503_8</vt:lpstr>
      <vt:lpstr>dnt504_1</vt:lpstr>
      <vt:lpstr>dnt504_2</vt:lpstr>
      <vt:lpstr>dnt504_3</vt:lpstr>
      <vt:lpstr>dnt504_3_1</vt:lpstr>
      <vt:lpstr>dnt504_3_2</vt:lpstr>
      <vt:lpstr>dnt504_3_3</vt:lpstr>
      <vt:lpstr>dnt504_3_4</vt:lpstr>
      <vt:lpstr>dnt504_3_5</vt:lpstr>
      <vt:lpstr>dnt504_3_6</vt:lpstr>
      <vt:lpstr>dnt504_3_7</vt:lpstr>
      <vt:lpstr>dnt504_3_8</vt:lpstr>
      <vt:lpstr>dnt504_3_9</vt:lpstr>
      <vt:lpstr>dnt505_1_1</vt:lpstr>
      <vt:lpstr>dnt505_1_2</vt:lpstr>
      <vt:lpstr>dnt505_1_3</vt:lpstr>
      <vt:lpstr>dnt505_10_a</vt:lpstr>
      <vt:lpstr>dnt505_10_b</vt:lpstr>
      <vt:lpstr>dnt505_10_c</vt:lpstr>
      <vt:lpstr>dnt505_2_1</vt:lpstr>
      <vt:lpstr>dnt505_2_2</vt:lpstr>
      <vt:lpstr>dnt505_3</vt:lpstr>
      <vt:lpstr>dnt505_4_1</vt:lpstr>
      <vt:lpstr>dnt505_5_a</vt:lpstr>
      <vt:lpstr>dnt505_5_b</vt:lpstr>
      <vt:lpstr>dnt505_5_c</vt:lpstr>
      <vt:lpstr>dnt505_5_d</vt:lpstr>
      <vt:lpstr>dnt505_6</vt:lpstr>
      <vt:lpstr>dnt505_7</vt:lpstr>
      <vt:lpstr>dnt505_8</vt:lpstr>
      <vt:lpstr>dnt505_9_a</vt:lpstr>
      <vt:lpstr>dnt505_9_b</vt:lpstr>
      <vt:lpstr>dnt505_9_c</vt:lpstr>
      <vt:lpstr>dnt601_1</vt:lpstr>
      <vt:lpstr>dnt601_2_1</vt:lpstr>
      <vt:lpstr>dnt601_2_2</vt:lpstr>
      <vt:lpstr>dnt601_2_3</vt:lpstr>
      <vt:lpstr>dnt601_3_1</vt:lpstr>
      <vt:lpstr>dnt601_3_2</vt:lpstr>
      <vt:lpstr>dnt601_3_3</vt:lpstr>
      <vt:lpstr>dnt601_3_4</vt:lpstr>
      <vt:lpstr>dnt601_3_5</vt:lpstr>
      <vt:lpstr>dnt601_4</vt:lpstr>
      <vt:lpstr>dnt601_5_1</vt:lpstr>
      <vt:lpstr>dnt601_5_2</vt:lpstr>
      <vt:lpstr>dnt601_5_3</vt:lpstr>
      <vt:lpstr>dnt601_5_4</vt:lpstr>
      <vt:lpstr>dnt601_5_5</vt:lpstr>
      <vt:lpstr>dnt601_6</vt:lpstr>
      <vt:lpstr>dnt601_7</vt:lpstr>
      <vt:lpstr>dnt601_8</vt:lpstr>
      <vt:lpstr>dnt602_1_1_1</vt:lpstr>
      <vt:lpstr>dnt602_1_1_2</vt:lpstr>
      <vt:lpstr>dnt602_1_10</vt:lpstr>
      <vt:lpstr>dnt602_1_11</vt:lpstr>
      <vt:lpstr>dnt602_1_12</vt:lpstr>
      <vt:lpstr>dnt602_1_13</vt:lpstr>
      <vt:lpstr>dnt602_1_14_1</vt:lpstr>
      <vt:lpstr>dnt602_1_14_2</vt:lpstr>
      <vt:lpstr>dnt602_1_14_3</vt:lpstr>
      <vt:lpstr>dnt602_1_15</vt:lpstr>
      <vt:lpstr>dnt602_1_2</vt:lpstr>
      <vt:lpstr>dnt602_1_3_1</vt:lpstr>
      <vt:lpstr>dnt602_1_3_2</vt:lpstr>
      <vt:lpstr>dnt602_1_4_1_1</vt:lpstr>
      <vt:lpstr>dnt602_1_4_1_2</vt:lpstr>
      <vt:lpstr>dnt602_1_4_2_1</vt:lpstr>
      <vt:lpstr>dnt602_1_4_2_2</vt:lpstr>
      <vt:lpstr>dnt602_1_5</vt:lpstr>
      <vt:lpstr>dnt602_1_6_1</vt:lpstr>
      <vt:lpstr>dnt602_1_7_1_1</vt:lpstr>
      <vt:lpstr>dnt602_1_7_1_2</vt:lpstr>
      <vt:lpstr>dnt602_1_7_1_3</vt:lpstr>
      <vt:lpstr>dnt602_1_7_2</vt:lpstr>
      <vt:lpstr>dnt602_1_7_3</vt:lpstr>
      <vt:lpstr>dnt602_1_8</vt:lpstr>
      <vt:lpstr>dnt602_1_9_1</vt:lpstr>
      <vt:lpstr>dnt602_1_9_2</vt:lpstr>
      <vt:lpstr>dnt602_1_9_3</vt:lpstr>
      <vt:lpstr>dnt602_1_9_4</vt:lpstr>
      <vt:lpstr>dnt602_1_9_5</vt:lpstr>
      <vt:lpstr>dnt602_1_9_6</vt:lpstr>
      <vt:lpstr>dnt602_1_9_7</vt:lpstr>
      <vt:lpstr>dnt602_2_1</vt:lpstr>
      <vt:lpstr>dnt602_2_2</vt:lpstr>
      <vt:lpstr>dnt602_2_3</vt:lpstr>
      <vt:lpstr>dnt602_3</vt:lpstr>
      <vt:lpstr>dnt602_4_1</vt:lpstr>
      <vt:lpstr>dnt602_4_2</vt:lpstr>
      <vt:lpstr>dnt602_4_3</vt:lpstr>
      <vt:lpstr>dnt603_1</vt:lpstr>
      <vt:lpstr>dnt603_2</vt:lpstr>
      <vt:lpstr>dnt603_3</vt:lpstr>
      <vt:lpstr>dnt604_1a</vt:lpstr>
      <vt:lpstr>dnt604_1b</vt:lpstr>
      <vt:lpstr>dnt604_1c</vt:lpstr>
      <vt:lpstr>dnt604_1d</vt:lpstr>
      <vt:lpstr>dnt605_1</vt:lpstr>
      <vt:lpstr>dnt605_2</vt:lpstr>
      <vt:lpstr>dnt605_3</vt:lpstr>
      <vt:lpstr>dnt605_4_2_a</vt:lpstr>
      <vt:lpstr>dnt605_4_2_h</vt:lpstr>
      <vt:lpstr>dnt605_4_2_i</vt:lpstr>
      <vt:lpstr>dnt606_1_a</vt:lpstr>
      <vt:lpstr>dnt606_2_1a</vt:lpstr>
      <vt:lpstr>dnt606_2_1b</vt:lpstr>
      <vt:lpstr>dnt606_2_2a</vt:lpstr>
      <vt:lpstr>dnt606_2_2b</vt:lpstr>
      <vt:lpstr>dnt606_3</vt:lpstr>
      <vt:lpstr>dnt607_1_1</vt:lpstr>
      <vt:lpstr>dnt607_1_2</vt:lpstr>
      <vt:lpstr>dnt607_2</vt:lpstr>
      <vt:lpstr>dnt608_1</vt:lpstr>
      <vt:lpstr>dnt609_1_1</vt:lpstr>
      <vt:lpstr>dnt609_1_2</vt:lpstr>
      <vt:lpstr>dnt610_1</vt:lpstr>
      <vt:lpstr>dnt610_1_1_1</vt:lpstr>
      <vt:lpstr>dnt610_1_1_2</vt:lpstr>
      <vt:lpstr>dnt610_1_1_3</vt:lpstr>
      <vt:lpstr>dnt610_1_2_1</vt:lpstr>
      <vt:lpstr>dnt610_1_2_1_e</vt:lpstr>
      <vt:lpstr>dnt610_1_2_2_e</vt:lpstr>
      <vt:lpstr>dnt610_1_2_2a</vt:lpstr>
      <vt:lpstr>dnt610_1_2_2b</vt:lpstr>
      <vt:lpstr>dnt610_1_2_2c</vt:lpstr>
      <vt:lpstr>dnt611_1_1</vt:lpstr>
      <vt:lpstr>dnt611_1_2</vt:lpstr>
      <vt:lpstr>dnt612_1</vt:lpstr>
      <vt:lpstr>dnt612_2_1</vt:lpstr>
      <vt:lpstr>dnt612_2_2</vt:lpstr>
      <vt:lpstr>dnt612_2_3</vt:lpstr>
      <vt:lpstr>dnt612_2_4</vt:lpstr>
      <vt:lpstr>dnt612_2_5</vt:lpstr>
      <vt:lpstr>dnt612_2_6</vt:lpstr>
      <vt:lpstr>dnt612_2_7</vt:lpstr>
      <vt:lpstr>dnt612_3_1</vt:lpstr>
      <vt:lpstr>dnt612_3_2</vt:lpstr>
      <vt:lpstr>dnt612_3_3</vt:lpstr>
      <vt:lpstr>dnt612_3_4</vt:lpstr>
      <vt:lpstr>dnt612_3_5</vt:lpstr>
      <vt:lpstr>dnt612_3_6</vt:lpstr>
      <vt:lpstr>dnt612_3_7</vt:lpstr>
      <vt:lpstr>dnt612_3_8</vt:lpstr>
      <vt:lpstr>dnt612_3_9</vt:lpstr>
      <vt:lpstr>dnt613_1</vt:lpstr>
      <vt:lpstr>dnt701_1_</vt:lpstr>
      <vt:lpstr>dnt701_1_1</vt:lpstr>
      <vt:lpstr>dnt701_1_2</vt:lpstr>
      <vt:lpstr>dnt701_1_3</vt:lpstr>
      <vt:lpstr>dnt701_1_4</vt:lpstr>
      <vt:lpstr>dnt701_1_6_1</vt:lpstr>
      <vt:lpstr>dnt701_1_6_2</vt:lpstr>
      <vt:lpstr>dnt701_1_6_3</vt:lpstr>
      <vt:lpstr>dnt701_1_6_4</vt:lpstr>
      <vt:lpstr>dnt701_1_6_5</vt:lpstr>
      <vt:lpstr>dnt701_1_6_6_a</vt:lpstr>
      <vt:lpstr>dnt701_1_6_6_b</vt:lpstr>
      <vt:lpstr>dnt701_1_6_6_c</vt:lpstr>
      <vt:lpstr>dnt701_1_6_7_a</vt:lpstr>
      <vt:lpstr>dnt701_1_6_7_b</vt:lpstr>
      <vt:lpstr>dnt701_1_6_7_c</vt:lpstr>
      <vt:lpstr>dnt701_1_6_8</vt:lpstr>
      <vt:lpstr>dnt701_1_6_9</vt:lpstr>
      <vt:lpstr>dnt701_3</vt:lpstr>
      <vt:lpstr>dnt701_4_1</vt:lpstr>
      <vt:lpstr>dnt701_4_1_1</vt:lpstr>
      <vt:lpstr>dnt701_4_1_2</vt:lpstr>
      <vt:lpstr>dnt701_4_2_2</vt:lpstr>
      <vt:lpstr>dnt701_4_2_3</vt:lpstr>
      <vt:lpstr>dnt701_4_3_1</vt:lpstr>
      <vt:lpstr>dnt701_4_3_1_a</vt:lpstr>
      <vt:lpstr>dnt701_4_3_1_b</vt:lpstr>
      <vt:lpstr>dnt701_4_3_1_c</vt:lpstr>
      <vt:lpstr>dnt701_4_3_1_d</vt:lpstr>
      <vt:lpstr>dnt701_4_3_1_e</vt:lpstr>
      <vt:lpstr>dnt701_4_3_1_f</vt:lpstr>
      <vt:lpstr>dnt701_4_3_1_g</vt:lpstr>
      <vt:lpstr>dnt701_4_3_1_h</vt:lpstr>
      <vt:lpstr>dnt701_4_3_1_i</vt:lpstr>
      <vt:lpstr>dnt701_4_3_1_j</vt:lpstr>
      <vt:lpstr>dnt701_4_3_1_k</vt:lpstr>
      <vt:lpstr>dnt701_4_3_1_l</vt:lpstr>
      <vt:lpstr>dnt701_4_3_1_m</vt:lpstr>
      <vt:lpstr>dnt701_4_3_2_1_</vt:lpstr>
      <vt:lpstr>dnt701_4_3_2_1_1</vt:lpstr>
      <vt:lpstr>dnt701_4_3_2_1_2</vt:lpstr>
      <vt:lpstr>dnt701_4_3_2_1_3</vt:lpstr>
      <vt:lpstr>dnt701_4_3_2_1_4</vt:lpstr>
      <vt:lpstr>dnt701_4_3_2_1_5</vt:lpstr>
      <vt:lpstr>dnt701_4_3_2_1_6</vt:lpstr>
      <vt:lpstr>dnt701_4_3_2_1_7</vt:lpstr>
      <vt:lpstr>dnt701_4_3_2_1_8</vt:lpstr>
      <vt:lpstr>dnt701_4_3_2_1_9</vt:lpstr>
      <vt:lpstr>dnt701_4_3_2_1_a</vt:lpstr>
      <vt:lpstr>dnt701_4_3_2_1_b</vt:lpstr>
      <vt:lpstr>dnt701_4_3_2_1_c</vt:lpstr>
      <vt:lpstr>dnt701_4_3_2_1_d</vt:lpstr>
      <vt:lpstr>dnt701_4_3_2_1_e</vt:lpstr>
      <vt:lpstr>dnt701_4_3_2_1_f</vt:lpstr>
      <vt:lpstr>dnt701_4_3_2_1_g</vt:lpstr>
      <vt:lpstr>dnt701_4_3_2_1_h</vt:lpstr>
      <vt:lpstr>dnt701_4_3_2_2</vt:lpstr>
      <vt:lpstr>dnt701_4_3_2e</vt:lpstr>
      <vt:lpstr>dnt701_4_3_3</vt:lpstr>
      <vt:lpstr>dnt701_4_3_4</vt:lpstr>
      <vt:lpstr>dnt701_4_3_5</vt:lpstr>
      <vt:lpstr>dnt701_4_4_1</vt:lpstr>
      <vt:lpstr>dnt701_4_4_2</vt:lpstr>
      <vt:lpstr>dnt701_4_5</vt:lpstr>
      <vt:lpstr>dnt702_2_1</vt:lpstr>
      <vt:lpstr>dnt702_2_2</vt:lpstr>
      <vt:lpstr>dnt702_2_2_m</vt:lpstr>
      <vt:lpstr>dnt702_2_3</vt:lpstr>
      <vt:lpstr>dnt703_1_1</vt:lpstr>
      <vt:lpstr>dnt703_1_2</vt:lpstr>
      <vt:lpstr>dnt703_1_3</vt:lpstr>
      <vt:lpstr>dnt703_2_1</vt:lpstr>
      <vt:lpstr>dnt703_2_2</vt:lpstr>
      <vt:lpstr>dnt703_2_3</vt:lpstr>
      <vt:lpstr>dnt703_2_4</vt:lpstr>
      <vt:lpstr>dnt703_2_5_1</vt:lpstr>
      <vt:lpstr>dnt703_2_5_1_1</vt:lpstr>
      <vt:lpstr>dnt703_2_5_2</vt:lpstr>
      <vt:lpstr>dnt703_2_5_2_1</vt:lpstr>
      <vt:lpstr>dnt703_3_0_1</vt:lpstr>
      <vt:lpstr>dnt703_3_0_2</vt:lpstr>
      <vt:lpstr>dnt703_3_1</vt:lpstr>
      <vt:lpstr>dnt703_3_2__1</vt:lpstr>
      <vt:lpstr>dnt703_3_2__2</vt:lpstr>
      <vt:lpstr>dnt703_3_2__3</vt:lpstr>
      <vt:lpstr>dnt703_3_2__4</vt:lpstr>
      <vt:lpstr>dnt703_3_3__1</vt:lpstr>
      <vt:lpstr>dnt703_3_3__2</vt:lpstr>
      <vt:lpstr>dnt703_3_3__3</vt:lpstr>
      <vt:lpstr>dnt703_3_4_1</vt:lpstr>
      <vt:lpstr>dnt703_3_4_1_6</vt:lpstr>
      <vt:lpstr>dnt703_3_4_2</vt:lpstr>
      <vt:lpstr>dnt703_3_5</vt:lpstr>
      <vt:lpstr>dnt703_3_6</vt:lpstr>
      <vt:lpstr>dnt703_3_7_1</vt:lpstr>
      <vt:lpstr>dnt703_3_8</vt:lpstr>
      <vt:lpstr>dnt703_4_1</vt:lpstr>
      <vt:lpstr>dnt703_4_2</vt:lpstr>
      <vt:lpstr>dnt703_4_3_1</vt:lpstr>
      <vt:lpstr>dnt703_4_3_2</vt:lpstr>
      <vt:lpstr>dnt703_4_3_3</vt:lpstr>
      <vt:lpstr>dnt703_4_4</vt:lpstr>
      <vt:lpstr>dnt703_5_1</vt:lpstr>
      <vt:lpstr>dnt703_5_2</vt:lpstr>
      <vt:lpstr>dnt703_5_3</vt:lpstr>
      <vt:lpstr>dnt703_5_4</vt:lpstr>
      <vt:lpstr>dnt703_5_5</vt:lpstr>
      <vt:lpstr>dnt703_6_1_1</vt:lpstr>
      <vt:lpstr>dnt703_6_1_2</vt:lpstr>
      <vt:lpstr>dnt703_6_1_3</vt:lpstr>
      <vt:lpstr>dnt703_6_2__1</vt:lpstr>
      <vt:lpstr>dnt703_6_2__2</vt:lpstr>
      <vt:lpstr>dnt703_6_2__3</vt:lpstr>
      <vt:lpstr>dnt703_7_1_1</vt:lpstr>
      <vt:lpstr>dnt703_7_1_2</vt:lpstr>
      <vt:lpstr>dnt703_7_1_3</vt:lpstr>
      <vt:lpstr>dnt703_7_1_4</vt:lpstr>
      <vt:lpstr>dnt703_7_1_5</vt:lpstr>
      <vt:lpstr>dnt703_7_1_6_a</vt:lpstr>
      <vt:lpstr>dnt703_7_1_6_b</vt:lpstr>
      <vt:lpstr>dnt703_7_1_6_c</vt:lpstr>
      <vt:lpstr>dnt703_7_1_7</vt:lpstr>
      <vt:lpstr>dnt703_7_1_8</vt:lpstr>
      <vt:lpstr>dnt703_7_1_9</vt:lpstr>
      <vt:lpstr>dnt703_7_1_9_m</vt:lpstr>
      <vt:lpstr>dnt703_7_2</vt:lpstr>
      <vt:lpstr>dnt703_7_3_1_a</vt:lpstr>
      <vt:lpstr>dnt703_7_3_1_b</vt:lpstr>
      <vt:lpstr>dnt703_7_3_1_c</vt:lpstr>
      <vt:lpstr>dnt703_7_3_1_d</vt:lpstr>
      <vt:lpstr>dnt703_7_3_2</vt:lpstr>
      <vt:lpstr>dnt703_7_3_3</vt:lpstr>
      <vt:lpstr>dnt703_7_3_4</vt:lpstr>
      <vt:lpstr>dnt703_7_3_5_a</vt:lpstr>
      <vt:lpstr>dnt703_7_3_5_b</vt:lpstr>
      <vt:lpstr>dnt703_7_3_6</vt:lpstr>
      <vt:lpstr>dnt703_7_4_1</vt:lpstr>
      <vt:lpstr>dnt703_7_4_2_a</vt:lpstr>
      <vt:lpstr>dnt703_7_4_2_b</vt:lpstr>
      <vt:lpstr>dnt703_7_4_2_c</vt:lpstr>
      <vt:lpstr>dnt703_7_4_3</vt:lpstr>
      <vt:lpstr>dnt704_1</vt:lpstr>
      <vt:lpstr>dnt705_2_1_1</vt:lpstr>
      <vt:lpstr>dnt705_2_1_2</vt:lpstr>
      <vt:lpstr>dnt705_2_1_3_1</vt:lpstr>
      <vt:lpstr>dnt705_2_1_3_2</vt:lpstr>
      <vt:lpstr>dnt705_2_1_4</vt:lpstr>
      <vt:lpstr>dnt705_2_2</vt:lpstr>
      <vt:lpstr>dnt705_2_3</vt:lpstr>
      <vt:lpstr>dnt705_2_4</vt:lpstr>
      <vt:lpstr>dnt705_3</vt:lpstr>
      <vt:lpstr>dnt705_4</vt:lpstr>
      <vt:lpstr>dnt705_5_1_1</vt:lpstr>
      <vt:lpstr>dnt705_5_1_2</vt:lpstr>
      <vt:lpstr>dnt705_5_2</vt:lpstr>
      <vt:lpstr>dnt705_5_2_1</vt:lpstr>
      <vt:lpstr>dnt705_5_2_2</vt:lpstr>
      <vt:lpstr>dnt705_5_2_3</vt:lpstr>
      <vt:lpstr>dnt705_5_2_4</vt:lpstr>
      <vt:lpstr>dnt705_5_2_5</vt:lpstr>
      <vt:lpstr>dnt705_5_2_6</vt:lpstr>
      <vt:lpstr>dnt705_5_3_1</vt:lpstr>
      <vt:lpstr>dnt705_5_3_2</vt:lpstr>
      <vt:lpstr>dnt705_6_1</vt:lpstr>
      <vt:lpstr>dnt705_6_2_1_1_1</vt:lpstr>
      <vt:lpstr>dnt705_6_2_1_2</vt:lpstr>
      <vt:lpstr>dnt705_6_2_2_1</vt:lpstr>
      <vt:lpstr>dnt705_6_2_2_2</vt:lpstr>
      <vt:lpstr>dnt705_6_2_3</vt:lpstr>
      <vt:lpstr>dnt705_6_3_a</vt:lpstr>
      <vt:lpstr>dnt705_6_3_b</vt:lpstr>
      <vt:lpstr>dnt705_6_3_c</vt:lpstr>
      <vt:lpstr>dnt705_6_3_d</vt:lpstr>
      <vt:lpstr>dnt705_6_3_e</vt:lpstr>
      <vt:lpstr>dnt705_6_3_f</vt:lpstr>
      <vt:lpstr>dnt705_6_3_g</vt:lpstr>
      <vt:lpstr>dnt705_6_4_1</vt:lpstr>
      <vt:lpstr>dnt705_6_4_2</vt:lpstr>
      <vt:lpstr>dnt705_7</vt:lpstr>
      <vt:lpstr>dnt706_1_1</vt:lpstr>
      <vt:lpstr>dnt706_1_2</vt:lpstr>
      <vt:lpstr>dnt706_1_3</vt:lpstr>
      <vt:lpstr>dnt706_1_4</vt:lpstr>
      <vt:lpstr>dnt706_1_5</vt:lpstr>
      <vt:lpstr>dnt706_10</vt:lpstr>
      <vt:lpstr>dnt706_11</vt:lpstr>
      <vt:lpstr>dnt706_12</vt:lpstr>
      <vt:lpstr>dnt706_13</vt:lpstr>
      <vt:lpstr>dnt706_14_1</vt:lpstr>
      <vt:lpstr>dnt706_14_2</vt:lpstr>
      <vt:lpstr>dnt706_15_1</vt:lpstr>
      <vt:lpstr>dnt706_15_2</vt:lpstr>
      <vt:lpstr>dnt706_2_1</vt:lpstr>
      <vt:lpstr>dnt706_2_2</vt:lpstr>
      <vt:lpstr>dnt706_3</vt:lpstr>
      <vt:lpstr>dnt706_3_1</vt:lpstr>
      <vt:lpstr>dnt706_3_2</vt:lpstr>
      <vt:lpstr>dnt706_3_3</vt:lpstr>
      <vt:lpstr>dnt706_3_4</vt:lpstr>
      <vt:lpstr>dnt706_3_5</vt:lpstr>
      <vt:lpstr>dnt706_3_6</vt:lpstr>
      <vt:lpstr>dnt706_3_7</vt:lpstr>
      <vt:lpstr>dnt706_3_8</vt:lpstr>
      <vt:lpstr>dnt706_4_1_1</vt:lpstr>
      <vt:lpstr>dnt706_4_1_2</vt:lpstr>
      <vt:lpstr>dnt706_4_2</vt:lpstr>
      <vt:lpstr>dnt706_5</vt:lpstr>
      <vt:lpstr>dnt706_6</vt:lpstr>
      <vt:lpstr>dnt706_7_1</vt:lpstr>
      <vt:lpstr>dnt706_7_2</vt:lpstr>
      <vt:lpstr>dnt706_8</vt:lpstr>
      <vt:lpstr>dnt706_9</vt:lpstr>
      <vt:lpstr>dnt801_1</vt:lpstr>
      <vt:lpstr>dnt802_1_1</vt:lpstr>
      <vt:lpstr>dnt802_1_5</vt:lpstr>
      <vt:lpstr>dnt802_1_6</vt:lpstr>
      <vt:lpstr>dnt802_10_1</vt:lpstr>
      <vt:lpstr>dnt802_10_1_1</vt:lpstr>
      <vt:lpstr>dnt802_2_1</vt:lpstr>
      <vt:lpstr>dnt802_2_2</vt:lpstr>
      <vt:lpstr>dnt802_3_1_a</vt:lpstr>
      <vt:lpstr>dnt802_3_1_b</vt:lpstr>
      <vt:lpstr>dnt802_3_2_a</vt:lpstr>
      <vt:lpstr>dnt802_3_2_b</vt:lpstr>
      <vt:lpstr>dnt802_4_1</vt:lpstr>
      <vt:lpstr>dnt802_4_2</vt:lpstr>
      <vt:lpstr>dnt802_4_3</vt:lpstr>
      <vt:lpstr>dnt802_5_1a</vt:lpstr>
      <vt:lpstr>dnt802_5_2</vt:lpstr>
      <vt:lpstr>dnt802_5_3</vt:lpstr>
      <vt:lpstr>dnt802_5_4_1</vt:lpstr>
      <vt:lpstr>dnt802_5_4_2</vt:lpstr>
      <vt:lpstr>dnt802_5_4_3</vt:lpstr>
      <vt:lpstr>dnt802_5_4_4_a</vt:lpstr>
      <vt:lpstr>dnt802_5_4_4_b</vt:lpstr>
      <vt:lpstr>dnt802_5_4_4_c</vt:lpstr>
      <vt:lpstr>dnt802_6_1</vt:lpstr>
      <vt:lpstr>dnt802_6_2</vt:lpstr>
      <vt:lpstr>dnt802_6_3_1</vt:lpstr>
      <vt:lpstr>dnt802_6_3_2</vt:lpstr>
      <vt:lpstr>dnt802_6_3_3</vt:lpstr>
      <vt:lpstr>dnt802_6_4_1</vt:lpstr>
      <vt:lpstr>dnt802_6_4_2</vt:lpstr>
      <vt:lpstr>dnt802_6_5_1</vt:lpstr>
      <vt:lpstr>dnt802_6_5_2</vt:lpstr>
      <vt:lpstr>dnt802_6_5_3</vt:lpstr>
      <vt:lpstr>dnt802_6_5_4</vt:lpstr>
      <vt:lpstr>dnt802_6_5_5</vt:lpstr>
      <vt:lpstr>dnt802_7_1</vt:lpstr>
      <vt:lpstr>dnt802_7_2_1</vt:lpstr>
      <vt:lpstr>dnt802_7_2_2</vt:lpstr>
      <vt:lpstr>dnt802_8</vt:lpstr>
      <vt:lpstr>dnt802_9_1</vt:lpstr>
      <vt:lpstr>dnt802_9_2</vt:lpstr>
      <vt:lpstr>dnt803_1_1</vt:lpstr>
      <vt:lpstr>dnt803_1_2</vt:lpstr>
      <vt:lpstr>dnt803_2</vt:lpstr>
      <vt:lpstr>dnt803_3</vt:lpstr>
      <vt:lpstr>dnt803_4</vt:lpstr>
      <vt:lpstr>dnt803_5</vt:lpstr>
      <vt:lpstr>dnt803_6</vt:lpstr>
      <vt:lpstr>dnt804_2</vt:lpstr>
      <vt:lpstr>dnt901_1_1</vt:lpstr>
      <vt:lpstr>dnt901_1_2</vt:lpstr>
      <vt:lpstr>dnt901_1_3_1</vt:lpstr>
      <vt:lpstr>dnt901_1_3_2</vt:lpstr>
      <vt:lpstr>dnt901_1_4</vt:lpstr>
      <vt:lpstr>dnt901_1_5</vt:lpstr>
      <vt:lpstr>dnt901_1_6</vt:lpstr>
      <vt:lpstr>dnt901_10_1</vt:lpstr>
      <vt:lpstr>dnt901_10_2</vt:lpstr>
      <vt:lpstr>dnt901_10_3</vt:lpstr>
      <vt:lpstr>dnt901_11</vt:lpstr>
      <vt:lpstr>dnt901_12</vt:lpstr>
      <vt:lpstr>dnt901_13</vt:lpstr>
      <vt:lpstr>dnt901_14</vt:lpstr>
      <vt:lpstr>dnt901_15_1</vt:lpstr>
      <vt:lpstr>dnt901_15_2</vt:lpstr>
      <vt:lpstr>dnt901_2_1_1</vt:lpstr>
      <vt:lpstr>dnt901_2_1_2</vt:lpstr>
      <vt:lpstr>dnt901_2_1_3</vt:lpstr>
      <vt:lpstr>dnt901_2_1_4</vt:lpstr>
      <vt:lpstr>dnt901_2_1_5</vt:lpstr>
      <vt:lpstr>dnt901_2_2</vt:lpstr>
      <vt:lpstr>dnt901_3_1_a</vt:lpstr>
      <vt:lpstr>dnt901_3_1_b</vt:lpstr>
      <vt:lpstr>dnt901_3_1_c</vt:lpstr>
      <vt:lpstr>dnt901_3_2</vt:lpstr>
      <vt:lpstr>dnt901_4_1</vt:lpstr>
      <vt:lpstr>dnt901_4_a</vt:lpstr>
      <vt:lpstr>dnt901_5_1</vt:lpstr>
      <vt:lpstr>dnt901_5_2</vt:lpstr>
      <vt:lpstr>dnt901_6</vt:lpstr>
      <vt:lpstr>dnt901_7_1</vt:lpstr>
      <vt:lpstr>dnt901_7_2</vt:lpstr>
      <vt:lpstr>dnt901_8</vt:lpstr>
      <vt:lpstr>dnt901_9</vt:lpstr>
      <vt:lpstr>dnt901_9_1_1</vt:lpstr>
      <vt:lpstr>dnt901_9_1_2</vt:lpstr>
      <vt:lpstr>dnt901_9_1_3</vt:lpstr>
      <vt:lpstr>dnt901_9_2</vt:lpstr>
      <vt:lpstr>dnt901_9_3</vt:lpstr>
      <vt:lpstr>dnt902_1_1</vt:lpstr>
      <vt:lpstr>dnt902_1_1_a</vt:lpstr>
      <vt:lpstr>dnt902_1_2</vt:lpstr>
      <vt:lpstr>dnt902_1_2_</vt:lpstr>
      <vt:lpstr>dnt902_1_3</vt:lpstr>
      <vt:lpstr>dnt902_1_3_</vt:lpstr>
      <vt:lpstr>dnt902_1_4</vt:lpstr>
      <vt:lpstr>dnt902_1_5_1</vt:lpstr>
      <vt:lpstr>dnt902_1_5_2</vt:lpstr>
      <vt:lpstr>dnt902_1_5_3</vt:lpstr>
      <vt:lpstr>dnt902_1_6</vt:lpstr>
      <vt:lpstr>dnt902_2_1</vt:lpstr>
      <vt:lpstr>dnt902_2_2</vt:lpstr>
      <vt:lpstr>dnt902_2_3</vt:lpstr>
      <vt:lpstr>dnt902_2_4</vt:lpstr>
      <vt:lpstr>dnt902_3</vt:lpstr>
      <vt:lpstr>dnt902_3_1</vt:lpstr>
      <vt:lpstr>dnt902_3_2_1</vt:lpstr>
      <vt:lpstr>dnt902_3_2_2</vt:lpstr>
      <vt:lpstr>dnt902_4_1</vt:lpstr>
      <vt:lpstr>dnt902_4_2</vt:lpstr>
      <vt:lpstr>dnt902_4_3</vt:lpstr>
      <vt:lpstr>dnt902_5</vt:lpstr>
      <vt:lpstr>dnt902_6</vt:lpstr>
      <vt:lpstr>dnt903_1</vt:lpstr>
      <vt:lpstr>dnt903_2</vt:lpstr>
      <vt:lpstr>dnt903_3</vt:lpstr>
      <vt:lpstr>dnt904_1</vt:lpstr>
      <vt:lpstr>dnt904_2</vt:lpstr>
      <vt:lpstr>dnt904_3_1</vt:lpstr>
      <vt:lpstr>dnt904_3_2</vt:lpstr>
      <vt:lpstr>dnt905_1</vt:lpstr>
      <vt:lpstr>dnt905_2</vt:lpstr>
      <vt:lpstr>dnt905_3_1</vt:lpstr>
      <vt:lpstr>dnt905_3_2</vt:lpstr>
      <vt:lpstr>dnt905_4</vt:lpstr>
      <vt:lpstr>dnt905_6</vt:lpstr>
      <vt:lpstr>dntBadgesAirLeakage</vt:lpstr>
      <vt:lpstr>dntBadgesAirSealing</vt:lpstr>
      <vt:lpstr>dntBadgesBatteryStorage</vt:lpstr>
      <vt:lpstr>dntBadgesBuildingVent</vt:lpstr>
      <vt:lpstr>dntBadgesDaylighting</vt:lpstr>
      <vt:lpstr>dntBadgesElectricAC</vt:lpstr>
      <vt:lpstr>dntBadgesElectricHeat</vt:lpstr>
      <vt:lpstr>dntBadgesEnergyCredits</vt:lpstr>
      <vt:lpstr>dntBadgesExteriorShading</vt:lpstr>
      <vt:lpstr>dntBadgesFloorRVal</vt:lpstr>
      <vt:lpstr>dntBadgesGasBoiler</vt:lpstr>
      <vt:lpstr>dntBadgesGEDHPHeating</vt:lpstr>
      <vt:lpstr>dntBadgesGEHHPCooling</vt:lpstr>
      <vt:lpstr>dntBadgesGeothermalPower</vt:lpstr>
      <vt:lpstr>dntBadgesGroundSourceHP</vt:lpstr>
      <vt:lpstr>dntBadgesHVACDesc</vt:lpstr>
      <vt:lpstr>dntBadgesLightingDesign</vt:lpstr>
      <vt:lpstr>dntBadgesLightingType</vt:lpstr>
      <vt:lpstr>dntBadgesOccSensor</vt:lpstr>
      <vt:lpstr>dntBadgesOilBoiler</vt:lpstr>
      <vt:lpstr>dntBadgesOilFurnace</vt:lpstr>
      <vt:lpstr>dntBadgesPropane</vt:lpstr>
      <vt:lpstr>dntBadgesRadiant</vt:lpstr>
      <vt:lpstr>dntBadgesResilienceAdditional</vt:lpstr>
      <vt:lpstr>dntBadgesResilienceSect1</vt:lpstr>
      <vt:lpstr>dntBadgesResilienceSect2</vt:lpstr>
      <vt:lpstr>dntBadgesRoofRVal</vt:lpstr>
      <vt:lpstr>dntBadgesSHGC</vt:lpstr>
      <vt:lpstr>dntBadgesSmartAdd</vt:lpstr>
      <vt:lpstr>dntBadgesSmartSect1</vt:lpstr>
      <vt:lpstr>dntBadgesSmartSect2</vt:lpstr>
      <vt:lpstr>dntBadgesSmartSect3</vt:lpstr>
      <vt:lpstr>dntBadgesSmartSect4</vt:lpstr>
      <vt:lpstr>dntBadgesSolar</vt:lpstr>
      <vt:lpstr>dntBadgesSolarThermalArea</vt:lpstr>
      <vt:lpstr>dntBadgesSpotVent</vt:lpstr>
      <vt:lpstr>dntBadgesWallDesc</vt:lpstr>
      <vt:lpstr>dntBadgesWallRVal</vt:lpstr>
      <vt:lpstr>dntBadgesWaterSourceHC</vt:lpstr>
      <vt:lpstr>dntBadgesWellnessSect1</vt:lpstr>
      <vt:lpstr>dntBadgesWellnessSect2</vt:lpstr>
      <vt:lpstr>dntBadgesWellnessSect3</vt:lpstr>
      <vt:lpstr>dntBadgesWellnessSect4</vt:lpstr>
      <vt:lpstr>dntBadgesWellnessSect5</vt:lpstr>
      <vt:lpstr>dntBadgesWellnessSect6</vt:lpstr>
      <vt:lpstr>dntBadgesWellnessSect7</vt:lpstr>
      <vt:lpstr>dntBadgesWellnessSect8</vt:lpstr>
      <vt:lpstr>dntBadgesWellnessSect9</vt:lpstr>
      <vt:lpstr>dntBadgesWind</vt:lpstr>
      <vt:lpstr>dntBadgesWindowDesc</vt:lpstr>
      <vt:lpstr>dntBadgesWindowUVal</vt:lpstr>
      <vt:lpstr>dntBadgesWindowWallRatio</vt:lpstr>
      <vt:lpstr>dntWaterSenseClothesWasher</vt:lpstr>
      <vt:lpstr>dntWaterSenseDishwasher</vt:lpstr>
      <vt:lpstr>dntWaterSenseIrrigation</vt:lpstr>
      <vt:lpstr>dntWaterSenseLavFaucet</vt:lpstr>
      <vt:lpstr>dntWaterSenseLeaks1</vt:lpstr>
      <vt:lpstr>dntWaterSenseLeaks2</vt:lpstr>
      <vt:lpstr>dntWaterSenseLeaks3</vt:lpstr>
      <vt:lpstr>dntWaterSenseLeaks4</vt:lpstr>
      <vt:lpstr>dntWaterSenseLeaks5</vt:lpstr>
      <vt:lpstr>dntWaterSenseLeaks6</vt:lpstr>
      <vt:lpstr>dntWaterSenseLeaks7</vt:lpstr>
      <vt:lpstr>dntWaterSenseLeaks8</vt:lpstr>
      <vt:lpstr>dntWaterSenseOptionA</vt:lpstr>
      <vt:lpstr>dntWaterSenseShowerheads</vt:lpstr>
      <vt:lpstr>dntWaterSenseToilet</vt:lpstr>
      <vt:lpstr>dpa1001_1</vt:lpstr>
      <vt:lpstr>dpa1001_1_1</vt:lpstr>
      <vt:lpstr>dpa1001_1_2</vt:lpstr>
      <vt:lpstr>dpa1001_1_3</vt:lpstr>
      <vt:lpstr>dpa1001_1_9</vt:lpstr>
      <vt:lpstr>dpa1001_2</vt:lpstr>
      <vt:lpstr>dpa1001_2_m</vt:lpstr>
      <vt:lpstr>dpa1002_1</vt:lpstr>
      <vt:lpstr>dpa1002_1_1</vt:lpstr>
      <vt:lpstr>dpa1002_1_2</vt:lpstr>
      <vt:lpstr>dpa1002_1_3</vt:lpstr>
      <vt:lpstr>dpa1002_2</vt:lpstr>
      <vt:lpstr>dpa1002_2_1</vt:lpstr>
      <vt:lpstr>dpa1002_2_11</vt:lpstr>
      <vt:lpstr>dpa1002_2_2</vt:lpstr>
      <vt:lpstr>dpa1002_3</vt:lpstr>
      <vt:lpstr>dpa1002_3_1</vt:lpstr>
      <vt:lpstr>dpa1002_4</vt:lpstr>
      <vt:lpstr>dpa1002_4_m</vt:lpstr>
      <vt:lpstr>dpa1002_5</vt:lpstr>
      <vt:lpstr>dpa1002_5_1</vt:lpstr>
      <vt:lpstr>dpa1002_5_2</vt:lpstr>
      <vt:lpstr>dpa1002_5_3</vt:lpstr>
      <vt:lpstr>dpa1002_6</vt:lpstr>
      <vt:lpstr>dpa1003_1</vt:lpstr>
      <vt:lpstr>dpa1003_1_1</vt:lpstr>
      <vt:lpstr>dpa1003_1_2</vt:lpstr>
      <vt:lpstr>dpa1003_1_3</vt:lpstr>
      <vt:lpstr>dpa1004_1_1</vt:lpstr>
      <vt:lpstr>dpa1004_1_2</vt:lpstr>
      <vt:lpstr>dpa1005_1_1</vt:lpstr>
      <vt:lpstr>dpa1005_1_2</vt:lpstr>
      <vt:lpstr>dpa1005_1_3</vt:lpstr>
      <vt:lpstr>dpa501_1</vt:lpstr>
      <vt:lpstr>dpa501_1_2_a</vt:lpstr>
      <vt:lpstr>dpa501_1_2_b</vt:lpstr>
      <vt:lpstr>dpa501_1_2_c</vt:lpstr>
      <vt:lpstr>dpa501_2_1</vt:lpstr>
      <vt:lpstr>dpa501_2_2</vt:lpstr>
      <vt:lpstr>dpa501_2_3</vt:lpstr>
      <vt:lpstr>dpa501_2_4</vt:lpstr>
      <vt:lpstr>dpa501_2_4_1_a</vt:lpstr>
      <vt:lpstr>dpa501_2_4_1_b</vt:lpstr>
      <vt:lpstr>dpa501_2_5</vt:lpstr>
      <vt:lpstr>dpa501_2_6_a</vt:lpstr>
      <vt:lpstr>dpa501_2_6_b</vt:lpstr>
      <vt:lpstr>dpa501_2_6_c</vt:lpstr>
      <vt:lpstr>dpa501_2_6_d</vt:lpstr>
      <vt:lpstr>dpa501_2_7</vt:lpstr>
      <vt:lpstr>dpa501_2_8</vt:lpstr>
      <vt:lpstr>dpa502_1</vt:lpstr>
      <vt:lpstr>dpa503_1_1</vt:lpstr>
      <vt:lpstr>dpa503_1_2</vt:lpstr>
      <vt:lpstr>dpa503_1_3</vt:lpstr>
      <vt:lpstr>dpa503_1_4</vt:lpstr>
      <vt:lpstr>dpa503_1_5</vt:lpstr>
      <vt:lpstr>dpa503_1_6</vt:lpstr>
      <vt:lpstr>dpa503_1_7</vt:lpstr>
      <vt:lpstr>dpa503_1_8</vt:lpstr>
      <vt:lpstr>dpa503_2_1</vt:lpstr>
      <vt:lpstr>dpa503_2_2</vt:lpstr>
      <vt:lpstr>dpa503_2_3_a</vt:lpstr>
      <vt:lpstr>dpa503_2_3_b</vt:lpstr>
      <vt:lpstr>dpa503_2_3_c</vt:lpstr>
      <vt:lpstr>dpa503_2_4</vt:lpstr>
      <vt:lpstr>dpa503_2_5</vt:lpstr>
      <vt:lpstr>dpa503_3_1</vt:lpstr>
      <vt:lpstr>dpa503_3_2</vt:lpstr>
      <vt:lpstr>dpa503_3_3</vt:lpstr>
      <vt:lpstr>dpa503_4_1</vt:lpstr>
      <vt:lpstr>dpa503_4_2</vt:lpstr>
      <vt:lpstr>dpa503_4_3_a</vt:lpstr>
      <vt:lpstr>dpa503_4_3_b</vt:lpstr>
      <vt:lpstr>dpa503_4_3_c</vt:lpstr>
      <vt:lpstr>dpa503_4_4_a</vt:lpstr>
      <vt:lpstr>dpa503_4_4_b</vt:lpstr>
      <vt:lpstr>dpa503_4_4_c</vt:lpstr>
      <vt:lpstr>dpa503_4_4_c_1</vt:lpstr>
      <vt:lpstr>dpa503_4_5</vt:lpstr>
      <vt:lpstr>dpa503_5_1_a</vt:lpstr>
      <vt:lpstr>dpa503_5_1_b</vt:lpstr>
      <vt:lpstr>dpa503_5_1_c</vt:lpstr>
      <vt:lpstr>dpa503_5_1_d</vt:lpstr>
      <vt:lpstr>dpa503_5_10</vt:lpstr>
      <vt:lpstr>dpa503_5_11</vt:lpstr>
      <vt:lpstr>dpa503_5_12</vt:lpstr>
      <vt:lpstr>dpa503_5_13</vt:lpstr>
      <vt:lpstr>dpa503_5_2</vt:lpstr>
      <vt:lpstr>dpa503_5_3</vt:lpstr>
      <vt:lpstr>dpa503_5_4</vt:lpstr>
      <vt:lpstr>dpa503_5_5</vt:lpstr>
      <vt:lpstr>dpa503_5_6_a</vt:lpstr>
      <vt:lpstr>dpa503_5_6_b</vt:lpstr>
      <vt:lpstr>dpa503_5_6_c</vt:lpstr>
      <vt:lpstr>dpa503_5_6_d</vt:lpstr>
      <vt:lpstr>dpa503_5_7</vt:lpstr>
      <vt:lpstr>dpa503_5_8</vt:lpstr>
      <vt:lpstr>dpa503_5_9</vt:lpstr>
      <vt:lpstr>dpa503_6_1</vt:lpstr>
      <vt:lpstr>dpa503_6_2</vt:lpstr>
      <vt:lpstr>dpa503_6_3</vt:lpstr>
      <vt:lpstr>dpa503_6_4</vt:lpstr>
      <vt:lpstr>dpa503_7</vt:lpstr>
      <vt:lpstr>dpa503_8</vt:lpstr>
      <vt:lpstr>dpa503_8_1</vt:lpstr>
      <vt:lpstr>dpa504_1</vt:lpstr>
      <vt:lpstr>dpa504_2_1</vt:lpstr>
      <vt:lpstr>dpa504_2_2</vt:lpstr>
      <vt:lpstr>dpa504_2_3</vt:lpstr>
      <vt:lpstr>dpa504_3_1</vt:lpstr>
      <vt:lpstr>dpa504_3_2</vt:lpstr>
      <vt:lpstr>dpa504_3_3</vt:lpstr>
      <vt:lpstr>dpa504_3_4</vt:lpstr>
      <vt:lpstr>dpa504_3_5</vt:lpstr>
      <vt:lpstr>dpa504_3_6</vt:lpstr>
      <vt:lpstr>dpa504_3_7</vt:lpstr>
      <vt:lpstr>dpa504_3_8</vt:lpstr>
      <vt:lpstr>dpa504_3_9</vt:lpstr>
      <vt:lpstr>dpa505_1_1</vt:lpstr>
      <vt:lpstr>dpa505_1_2</vt:lpstr>
      <vt:lpstr>dpa505_1_3_a</vt:lpstr>
      <vt:lpstr>dpa505_1_3_b</vt:lpstr>
      <vt:lpstr>dpa505_1_3_c</vt:lpstr>
      <vt:lpstr>dpa505_10_a</vt:lpstr>
      <vt:lpstr>dpa505_10_b</vt:lpstr>
      <vt:lpstr>dpa505_10_c</vt:lpstr>
      <vt:lpstr>dpa505_2_1</vt:lpstr>
      <vt:lpstr>dpa505_2_2</vt:lpstr>
      <vt:lpstr>dpa505_3_1</vt:lpstr>
      <vt:lpstr>dpa505_3_2</vt:lpstr>
      <vt:lpstr>dpa505_3_3</vt:lpstr>
      <vt:lpstr>dpa505_3_4</vt:lpstr>
      <vt:lpstr>dpa505_3_5</vt:lpstr>
      <vt:lpstr>dpa505_4_1</vt:lpstr>
      <vt:lpstr>dpa505_5_a</vt:lpstr>
      <vt:lpstr>dpa505_5_b</vt:lpstr>
      <vt:lpstr>dpa505_5_c</vt:lpstr>
      <vt:lpstr>dpa505_5_d</vt:lpstr>
      <vt:lpstr>dpa505_6</vt:lpstr>
      <vt:lpstr>dpa505_7</vt:lpstr>
      <vt:lpstr>dpa505_8</vt:lpstr>
      <vt:lpstr>dpa505_9_a</vt:lpstr>
      <vt:lpstr>dpa505_9_b</vt:lpstr>
      <vt:lpstr>dpa505_9_c</vt:lpstr>
      <vt:lpstr>dpa601_1_1</vt:lpstr>
      <vt:lpstr>dpa601_1_2</vt:lpstr>
      <vt:lpstr>dpa601_1_3</vt:lpstr>
      <vt:lpstr>dpa601_1_4</vt:lpstr>
      <vt:lpstr>dpa601_1_5</vt:lpstr>
      <vt:lpstr>dpa601_2_1</vt:lpstr>
      <vt:lpstr>dpa601_2_2</vt:lpstr>
      <vt:lpstr>dpa601_2_3</vt:lpstr>
      <vt:lpstr>dpa601_3_1</vt:lpstr>
      <vt:lpstr>dpa601_3_2</vt:lpstr>
      <vt:lpstr>dpa601_3_3</vt:lpstr>
      <vt:lpstr>dpa601_3_4</vt:lpstr>
      <vt:lpstr>dpa601_3_5</vt:lpstr>
      <vt:lpstr>dpa601_4</vt:lpstr>
      <vt:lpstr>dpa601_5</vt:lpstr>
      <vt:lpstr>dpa601_5_1</vt:lpstr>
      <vt:lpstr>dpa601_5_2</vt:lpstr>
      <vt:lpstr>dpa601_5_3</vt:lpstr>
      <vt:lpstr>dpa601_5_4</vt:lpstr>
      <vt:lpstr>dpa601_5_5</vt:lpstr>
      <vt:lpstr>dpa601_6</vt:lpstr>
      <vt:lpstr>dpa601_6_1</vt:lpstr>
      <vt:lpstr>dpa601_6_2</vt:lpstr>
      <vt:lpstr>dpa601_7</vt:lpstr>
      <vt:lpstr>dpa601_7_1</vt:lpstr>
      <vt:lpstr>dpa601_7_2</vt:lpstr>
      <vt:lpstr>dpa601_7_3</vt:lpstr>
      <vt:lpstr>dpa601_8</vt:lpstr>
      <vt:lpstr>dpa602_1_1_1</vt:lpstr>
      <vt:lpstr>dpa602_1_1_2</vt:lpstr>
      <vt:lpstr>dpa602_1_10</vt:lpstr>
      <vt:lpstr>dpa602_1_11</vt:lpstr>
      <vt:lpstr>dpa602_1_12</vt:lpstr>
      <vt:lpstr>dpa602_1_13</vt:lpstr>
      <vt:lpstr>dpa602_1_14_1</vt:lpstr>
      <vt:lpstr>dpa602_1_14_2</vt:lpstr>
      <vt:lpstr>dpa602_1_14_3</vt:lpstr>
      <vt:lpstr>dpa602_1_15</vt:lpstr>
      <vt:lpstr>dpa602_1_2</vt:lpstr>
      <vt:lpstr>dpa602_1_3_1</vt:lpstr>
      <vt:lpstr>dpa602_1_3_2</vt:lpstr>
      <vt:lpstr>dpa602_1_4_1_1</vt:lpstr>
      <vt:lpstr>dpa602_1_4_1_2</vt:lpstr>
      <vt:lpstr>dpa602_1_4_2_1</vt:lpstr>
      <vt:lpstr>dpa602_1_4_2_2</vt:lpstr>
      <vt:lpstr>dpa602_1_5_1</vt:lpstr>
      <vt:lpstr>dpa602_1_5_2</vt:lpstr>
      <vt:lpstr>dpa602_1_6_1</vt:lpstr>
      <vt:lpstr>dpa602_1_6_2</vt:lpstr>
      <vt:lpstr>dpa602_1_6_3</vt:lpstr>
      <vt:lpstr>dpa602_1_7_1_1</vt:lpstr>
      <vt:lpstr>dpa602_1_7_1_2</vt:lpstr>
      <vt:lpstr>dpa602_1_7_1_3</vt:lpstr>
      <vt:lpstr>dpa602_1_7_2</vt:lpstr>
      <vt:lpstr>dpa602_1_7_3</vt:lpstr>
      <vt:lpstr>dpa602_1_8</vt:lpstr>
      <vt:lpstr>dpa602_1_9_1</vt:lpstr>
      <vt:lpstr>dpa602_1_9_2</vt:lpstr>
      <vt:lpstr>dpa602_1_9_3</vt:lpstr>
      <vt:lpstr>dpa602_1_9_4</vt:lpstr>
      <vt:lpstr>dpa602_1_9_5_a</vt:lpstr>
      <vt:lpstr>dpa602_1_9_5_b</vt:lpstr>
      <vt:lpstr>dpa602_1_9_6</vt:lpstr>
      <vt:lpstr>dpa602_1_9_7</vt:lpstr>
      <vt:lpstr>dpa602_2</vt:lpstr>
      <vt:lpstr>dpa602_3</vt:lpstr>
      <vt:lpstr>dpa602_4_1</vt:lpstr>
      <vt:lpstr>dpa602_4_2</vt:lpstr>
      <vt:lpstr>dpa602_4_3</vt:lpstr>
      <vt:lpstr>dpa603_1</vt:lpstr>
      <vt:lpstr>dpa603_2</vt:lpstr>
      <vt:lpstr>dpa603_3</vt:lpstr>
      <vt:lpstr>dpa604_1a</vt:lpstr>
      <vt:lpstr>dpa605_1</vt:lpstr>
      <vt:lpstr>dpa605_2</vt:lpstr>
      <vt:lpstr>dpa605_3</vt:lpstr>
      <vt:lpstr>dpa605_4</vt:lpstr>
      <vt:lpstr>dpa605_4_1</vt:lpstr>
      <vt:lpstr>dpa605_4_2</vt:lpstr>
      <vt:lpstr>dpa606_1_1</vt:lpstr>
      <vt:lpstr>dpa606_1_2</vt:lpstr>
      <vt:lpstr>dpa606_1_3</vt:lpstr>
      <vt:lpstr>dpa606_2_1a</vt:lpstr>
      <vt:lpstr>dpa606_2_2a</vt:lpstr>
      <vt:lpstr>dpa606_3</vt:lpstr>
      <vt:lpstr>dpa607_1_1</vt:lpstr>
      <vt:lpstr>dpa607_1_2</vt:lpstr>
      <vt:lpstr>dpa607_2</vt:lpstr>
      <vt:lpstr>dpa608_1</vt:lpstr>
      <vt:lpstr>dpa609_1</vt:lpstr>
      <vt:lpstr>dpa609_1_1</vt:lpstr>
      <vt:lpstr>dpa609_1_2</vt:lpstr>
      <vt:lpstr>dpa610_1_1_1</vt:lpstr>
      <vt:lpstr>dpa610_1_1_2</vt:lpstr>
      <vt:lpstr>dpa610_1_1_3</vt:lpstr>
      <vt:lpstr>dpa610_1_2</vt:lpstr>
      <vt:lpstr>dpa610_1_2_1</vt:lpstr>
      <vt:lpstr>dpa610_1_2_2a</vt:lpstr>
      <vt:lpstr>dpa611_1</vt:lpstr>
      <vt:lpstr>dpa612_1</vt:lpstr>
      <vt:lpstr>dpa612_2</vt:lpstr>
      <vt:lpstr>dpa612_2_1</vt:lpstr>
      <vt:lpstr>dpa612_2_2</vt:lpstr>
      <vt:lpstr>dpa612_2_3</vt:lpstr>
      <vt:lpstr>dpa612_2_4</vt:lpstr>
      <vt:lpstr>dpa612_2_5</vt:lpstr>
      <vt:lpstr>dpa612_2_6</vt:lpstr>
      <vt:lpstr>dpa612_2_7</vt:lpstr>
      <vt:lpstr>dpa612_3</vt:lpstr>
      <vt:lpstr>dpa612_3_1</vt:lpstr>
      <vt:lpstr>dpa612_3_2</vt:lpstr>
      <vt:lpstr>dpa612_3_3</vt:lpstr>
      <vt:lpstr>dpa612_3_4</vt:lpstr>
      <vt:lpstr>dpa612_3_5</vt:lpstr>
      <vt:lpstr>dpa612_3_6</vt:lpstr>
      <vt:lpstr>dpa612_3_7</vt:lpstr>
      <vt:lpstr>dpa612_3_8</vt:lpstr>
      <vt:lpstr>dpa612_3_9</vt:lpstr>
      <vt:lpstr>dpa613_1_a</vt:lpstr>
      <vt:lpstr>dpa613_1_b</vt:lpstr>
      <vt:lpstr>dpa613_1_c</vt:lpstr>
      <vt:lpstr>dpa613_1_d</vt:lpstr>
      <vt:lpstr>dpa613_1_e</vt:lpstr>
      <vt:lpstr>dpa613_1_f</vt:lpstr>
      <vt:lpstr>dpa701_1_6_1</vt:lpstr>
      <vt:lpstr>dpa701_1_6_2</vt:lpstr>
      <vt:lpstr>dpa701_1_6_3</vt:lpstr>
      <vt:lpstr>dpa701_1_6_4</vt:lpstr>
      <vt:lpstr>dpa701_1_6_5</vt:lpstr>
      <vt:lpstr>dpa701_1_6_6_a</vt:lpstr>
      <vt:lpstr>dpa701_1_6_6_b</vt:lpstr>
      <vt:lpstr>dpa701_1_6_6_c</vt:lpstr>
      <vt:lpstr>dpa701_1_6_7_a</vt:lpstr>
      <vt:lpstr>dpa701_1_6_7_b</vt:lpstr>
      <vt:lpstr>dpa701_1_6_7_c</vt:lpstr>
      <vt:lpstr>dpa701_1_6_8</vt:lpstr>
      <vt:lpstr>dpa701_1_6_9</vt:lpstr>
      <vt:lpstr>dpa701_4_1</vt:lpstr>
      <vt:lpstr>dpa701_4_1_1</vt:lpstr>
      <vt:lpstr>dpa701_4_1_2</vt:lpstr>
      <vt:lpstr>dpa701_4_2_2</vt:lpstr>
      <vt:lpstr>dpa701_4_2_3</vt:lpstr>
      <vt:lpstr>dpa701_4_3_1</vt:lpstr>
      <vt:lpstr>dpa701_4_3_2</vt:lpstr>
      <vt:lpstr>dpa701_4_3_2_1</vt:lpstr>
      <vt:lpstr>dpa701_4_3_4</vt:lpstr>
      <vt:lpstr>dpa701_4_3_5</vt:lpstr>
      <vt:lpstr>dpa701_4_4</vt:lpstr>
      <vt:lpstr>dpa701_4_5</vt:lpstr>
      <vt:lpstr>dpa702_2_1</vt:lpstr>
      <vt:lpstr>dpa702_2_2</vt:lpstr>
      <vt:lpstr>dpa703_1</vt:lpstr>
      <vt:lpstr>dpa703_1_1</vt:lpstr>
      <vt:lpstr>dpa703_1_2</vt:lpstr>
      <vt:lpstr>dpa703_1_3</vt:lpstr>
      <vt:lpstr>dpa703_2_1</vt:lpstr>
      <vt:lpstr>dpa703_2_2</vt:lpstr>
      <vt:lpstr>dpa703_2_3</vt:lpstr>
      <vt:lpstr>dpa703_2_4</vt:lpstr>
      <vt:lpstr>dpa703_2_5_1</vt:lpstr>
      <vt:lpstr>dpa703_2_5_2</vt:lpstr>
      <vt:lpstr>dpa703_2_5_2_a</vt:lpstr>
      <vt:lpstr>dpa703_2_5_2_b</vt:lpstr>
      <vt:lpstr>dpa703_2_5_2_c</vt:lpstr>
      <vt:lpstr>dpa703_3_1</vt:lpstr>
      <vt:lpstr>dpa703_3_2__1_1</vt:lpstr>
      <vt:lpstr>dpa703_3_2__1_2</vt:lpstr>
      <vt:lpstr>dpa703_3_2__1_3</vt:lpstr>
      <vt:lpstr>dpa703_3_2__1_4</vt:lpstr>
      <vt:lpstr>dpa703_3_2__1_5</vt:lpstr>
      <vt:lpstr>dpa703_3_2__2_1</vt:lpstr>
      <vt:lpstr>dpa703_3_2__2_2</vt:lpstr>
      <vt:lpstr>dpa703_3_2__3_1</vt:lpstr>
      <vt:lpstr>dpa703_3_2__3_2</vt:lpstr>
      <vt:lpstr>dpa703_3_2__3_3</vt:lpstr>
      <vt:lpstr>dpa703_3_2__3_4</vt:lpstr>
      <vt:lpstr>dpa703_3_2__4_1</vt:lpstr>
      <vt:lpstr>dpa703_3_2__4_2</vt:lpstr>
      <vt:lpstr>dpa703_3_3__1_1</vt:lpstr>
      <vt:lpstr>dpa703_3_3__1_2</vt:lpstr>
      <vt:lpstr>dpa703_3_3__1_3</vt:lpstr>
      <vt:lpstr>dpa703_3_3__1_4</vt:lpstr>
      <vt:lpstr>dpa703_3_3__1_5</vt:lpstr>
      <vt:lpstr>dpa703_3_3__2</vt:lpstr>
      <vt:lpstr>dpa703_3_3__3</vt:lpstr>
      <vt:lpstr>dpa703_3_4_1_1</vt:lpstr>
      <vt:lpstr>dpa703_3_4_1_2</vt:lpstr>
      <vt:lpstr>dpa703_3_4_1_3</vt:lpstr>
      <vt:lpstr>dpa703_3_4_1_4</vt:lpstr>
      <vt:lpstr>dpa703_3_4_1_5</vt:lpstr>
      <vt:lpstr>dpa703_3_4_1_6</vt:lpstr>
      <vt:lpstr>dpa703_3_4_2</vt:lpstr>
      <vt:lpstr>dpa703_3_5</vt:lpstr>
      <vt:lpstr>dpa703_3_6_1</vt:lpstr>
      <vt:lpstr>dpa703_3_6_2</vt:lpstr>
      <vt:lpstr>dpa703_3_6_3</vt:lpstr>
      <vt:lpstr>dpa703_3_7_1</vt:lpstr>
      <vt:lpstr>dpa703_3_8</vt:lpstr>
      <vt:lpstr>dpa703_4_1</vt:lpstr>
      <vt:lpstr>dpa703_4_2</vt:lpstr>
      <vt:lpstr>dpa703_4_3</vt:lpstr>
      <vt:lpstr>dpa703_4_4_1</vt:lpstr>
      <vt:lpstr>dpa703_4_4_2</vt:lpstr>
      <vt:lpstr>dpa703_4_4_3</vt:lpstr>
      <vt:lpstr>dpa703_5_1_1_a_1</vt:lpstr>
      <vt:lpstr>dpa703_5_1_1_a_2</vt:lpstr>
      <vt:lpstr>dpa703_5_1_1_b</vt:lpstr>
      <vt:lpstr>dpa703_5_1_1_c_1</vt:lpstr>
      <vt:lpstr>dpa703_5_1_1_c_2</vt:lpstr>
      <vt:lpstr>dpa703_5_1_1_d_1</vt:lpstr>
      <vt:lpstr>dpa703_5_1_1_d_2</vt:lpstr>
      <vt:lpstr>dpa703_5_1_1_e_1</vt:lpstr>
      <vt:lpstr>dpa703_5_1_1_e_2</vt:lpstr>
      <vt:lpstr>dpa703_5_1_2_a_1</vt:lpstr>
      <vt:lpstr>dpa703_5_1_2_a_2</vt:lpstr>
      <vt:lpstr>dpa703_5_1_2_a_3</vt:lpstr>
      <vt:lpstr>dpa703_5_1_2_a_4</vt:lpstr>
      <vt:lpstr>dpa703_5_1_2_a_5</vt:lpstr>
      <vt:lpstr>dpa703_5_1_2_a_6</vt:lpstr>
      <vt:lpstr>dpa703_5_1_2_a_7</vt:lpstr>
      <vt:lpstr>dpa703_5_1_2_b_1</vt:lpstr>
      <vt:lpstr>dpa703_5_1_2_b_2</vt:lpstr>
      <vt:lpstr>dpa703_5_1_2_b_3</vt:lpstr>
      <vt:lpstr>dpa703_5_1_2_b_4</vt:lpstr>
      <vt:lpstr>dpa703_5_1_2_c</vt:lpstr>
      <vt:lpstr>dpa703_5_1_2_d</vt:lpstr>
      <vt:lpstr>dpa703_5_1_2_e</vt:lpstr>
      <vt:lpstr>dpa703_5_1_3</vt:lpstr>
      <vt:lpstr>dpa703_5_2</vt:lpstr>
      <vt:lpstr>dpa703_5_3</vt:lpstr>
      <vt:lpstr>dpa703_5_4</vt:lpstr>
      <vt:lpstr>dpa703_5_5_a_1</vt:lpstr>
      <vt:lpstr>dpa703_5_5_a_2</vt:lpstr>
      <vt:lpstr>dpa703_5_5_a_3</vt:lpstr>
      <vt:lpstr>dpa703_5_5_a_4</vt:lpstr>
      <vt:lpstr>dpa703_5_5_a_5</vt:lpstr>
      <vt:lpstr>dpa703_5_5_b_1</vt:lpstr>
      <vt:lpstr>dpa703_5_5_b_2</vt:lpstr>
      <vt:lpstr>dpa703_5_5_b_3</vt:lpstr>
      <vt:lpstr>dpa703_5_5_b_4</vt:lpstr>
      <vt:lpstr>dpa703_5_5_b_5</vt:lpstr>
      <vt:lpstr>dpa703_6_1_1</vt:lpstr>
      <vt:lpstr>dpa703_6_1_2</vt:lpstr>
      <vt:lpstr>dpa703_6_1_3</vt:lpstr>
      <vt:lpstr>dpa703_6_2__1</vt:lpstr>
      <vt:lpstr>dpa703_6_2__2</vt:lpstr>
      <vt:lpstr>dpa703_6_2__3</vt:lpstr>
      <vt:lpstr>dpa703_7_1</vt:lpstr>
      <vt:lpstr>dpa703_7_2</vt:lpstr>
      <vt:lpstr>dpa703_7_3_1</vt:lpstr>
      <vt:lpstr>dpa703_7_3_2</vt:lpstr>
      <vt:lpstr>dpa703_7_4</vt:lpstr>
      <vt:lpstr>dpa705_2_1_1_1</vt:lpstr>
      <vt:lpstr>dpa705_2_1_1_2</vt:lpstr>
      <vt:lpstr>dpa705_2_1_2</vt:lpstr>
      <vt:lpstr>dpa705_2_1_3_1_a</vt:lpstr>
      <vt:lpstr>dpa705_2_1_3_1_b</vt:lpstr>
      <vt:lpstr>dpa705_2_1_3_2_a</vt:lpstr>
      <vt:lpstr>dpa705_2_1_3_2_b</vt:lpstr>
      <vt:lpstr>dpa705_2_1_4_1</vt:lpstr>
      <vt:lpstr>dpa705_2_1_4_2</vt:lpstr>
      <vt:lpstr>dpa705_2_2</vt:lpstr>
      <vt:lpstr>dpa705_2_3</vt:lpstr>
      <vt:lpstr>dpa705_2_4</vt:lpstr>
      <vt:lpstr>dpa705_3</vt:lpstr>
      <vt:lpstr>dpa705_4</vt:lpstr>
      <vt:lpstr>dpa705_5_1_1</vt:lpstr>
      <vt:lpstr>dpa705_5_1_2</vt:lpstr>
      <vt:lpstr>dpa705_5_2</vt:lpstr>
      <vt:lpstr>dpa705_5_3_1</vt:lpstr>
      <vt:lpstr>dpa705_5_3_2</vt:lpstr>
      <vt:lpstr>dpa705_6_1</vt:lpstr>
      <vt:lpstr>dpa705_6_2_1_1_1</vt:lpstr>
      <vt:lpstr>dpa705_6_2_1_2</vt:lpstr>
      <vt:lpstr>dpa705_6_2_2_1</vt:lpstr>
      <vt:lpstr>dpa705_6_2_2_2</vt:lpstr>
      <vt:lpstr>dpa705_6_2_3_1</vt:lpstr>
      <vt:lpstr>dpa705_6_2_3_2</vt:lpstr>
      <vt:lpstr>dpa705_6_3</vt:lpstr>
      <vt:lpstr>dpa705_6_4_1</vt:lpstr>
      <vt:lpstr>dpa705_6_4_2</vt:lpstr>
      <vt:lpstr>dpa705_7</vt:lpstr>
      <vt:lpstr>dpa706_1</vt:lpstr>
      <vt:lpstr>dpa706_1_1</vt:lpstr>
      <vt:lpstr>dpa706_1_2</vt:lpstr>
      <vt:lpstr>dpa706_1_3</vt:lpstr>
      <vt:lpstr>dpa706_1_4</vt:lpstr>
      <vt:lpstr>dpa706_1_5</vt:lpstr>
      <vt:lpstr>dpa706_10</vt:lpstr>
      <vt:lpstr>dpa706_11</vt:lpstr>
      <vt:lpstr>dpa706_12</vt:lpstr>
      <vt:lpstr>dpa706_13_1</vt:lpstr>
      <vt:lpstr>dpa706_13_2</vt:lpstr>
      <vt:lpstr>dpa706_14_1</vt:lpstr>
      <vt:lpstr>dpa706_14_2</vt:lpstr>
      <vt:lpstr>dpa706_15_1</vt:lpstr>
      <vt:lpstr>dpa706_15_2</vt:lpstr>
      <vt:lpstr>dpa706_2_1</vt:lpstr>
      <vt:lpstr>dpa706_2_2_a</vt:lpstr>
      <vt:lpstr>dpa706_2_2_b</vt:lpstr>
      <vt:lpstr>dpa706_3_a</vt:lpstr>
      <vt:lpstr>dpa706_3_b</vt:lpstr>
      <vt:lpstr>dpa706_4_1_1</vt:lpstr>
      <vt:lpstr>dpa706_4_1_2</vt:lpstr>
      <vt:lpstr>dpa706_4_2</vt:lpstr>
      <vt:lpstr>dpa706_5_1</vt:lpstr>
      <vt:lpstr>dpa706_5_2</vt:lpstr>
      <vt:lpstr>dpa706_5_3</vt:lpstr>
      <vt:lpstr>dpa706_6</vt:lpstr>
      <vt:lpstr>dpa706_7_1</vt:lpstr>
      <vt:lpstr>dpa706_7_2</vt:lpstr>
      <vt:lpstr>dpa706_8</vt:lpstr>
      <vt:lpstr>dpa706_9</vt:lpstr>
      <vt:lpstr>dpa802_1_1</vt:lpstr>
      <vt:lpstr>dpa802_1_2</vt:lpstr>
      <vt:lpstr>dpa802_1_3</vt:lpstr>
      <vt:lpstr>dpa802_1_4</vt:lpstr>
      <vt:lpstr>dpa802_1_4_a</vt:lpstr>
      <vt:lpstr>dpa802_1_5</vt:lpstr>
      <vt:lpstr>dpa802_1_6</vt:lpstr>
      <vt:lpstr>dpa802_10_1</vt:lpstr>
      <vt:lpstr>dpa802_10_1_1</vt:lpstr>
      <vt:lpstr>dpa802_2_1</vt:lpstr>
      <vt:lpstr>dpa802_2_2</vt:lpstr>
      <vt:lpstr>dpa802_2_3</vt:lpstr>
      <vt:lpstr>dpa802_3_1_a</vt:lpstr>
      <vt:lpstr>dpa802_3_1_b</vt:lpstr>
      <vt:lpstr>dpa802_3_2_a</vt:lpstr>
      <vt:lpstr>dpa802_3_2_b</vt:lpstr>
      <vt:lpstr>dpa802_4_1</vt:lpstr>
      <vt:lpstr>dpa802_4_1_1</vt:lpstr>
      <vt:lpstr>dpa802_4_1_2</vt:lpstr>
      <vt:lpstr>dpa802_4_2_a</vt:lpstr>
      <vt:lpstr>dpa802_4_2_b</vt:lpstr>
      <vt:lpstr>dpa802_4_3</vt:lpstr>
      <vt:lpstr>dpa802_5_1_1</vt:lpstr>
      <vt:lpstr>dpa802_5_1_2</vt:lpstr>
      <vt:lpstr>dpa802_5_1_3</vt:lpstr>
      <vt:lpstr>dpa802_5_1_4</vt:lpstr>
      <vt:lpstr>dpa802_5_1_5</vt:lpstr>
      <vt:lpstr>dpa802_5_2_1</vt:lpstr>
      <vt:lpstr>dpa802_5_2_2</vt:lpstr>
      <vt:lpstr>dpa802_5_3</vt:lpstr>
      <vt:lpstr>dpa802_5_4_2</vt:lpstr>
      <vt:lpstr>dpa802_5_4_3</vt:lpstr>
      <vt:lpstr>dpa802_5_4_4_a</vt:lpstr>
      <vt:lpstr>dpa802_5_4_4_b</vt:lpstr>
      <vt:lpstr>dpa802_5_4_4_c</vt:lpstr>
      <vt:lpstr>dpa802_6_1</vt:lpstr>
      <vt:lpstr>dpa802_6_2</vt:lpstr>
      <vt:lpstr>dpa802_6_3_1</vt:lpstr>
      <vt:lpstr>dpa802_6_3_2</vt:lpstr>
      <vt:lpstr>dpa802_6_3_3</vt:lpstr>
      <vt:lpstr>dpa802_6_4_1</vt:lpstr>
      <vt:lpstr>dpa802_6_4_2</vt:lpstr>
      <vt:lpstr>dpa802_6_5_1</vt:lpstr>
      <vt:lpstr>dpa802_6_5_2</vt:lpstr>
      <vt:lpstr>dpa802_6_5_3</vt:lpstr>
      <vt:lpstr>dpa802_6_5_4</vt:lpstr>
      <vt:lpstr>dpa802_6_5_5</vt:lpstr>
      <vt:lpstr>dpa802_7_1_1</vt:lpstr>
      <vt:lpstr>dpa802_7_1_2_a</vt:lpstr>
      <vt:lpstr>dpa802_7_1_2_b</vt:lpstr>
      <vt:lpstr>dpa802_7_1_2_c</vt:lpstr>
      <vt:lpstr>dpa802_7_1_2_d</vt:lpstr>
      <vt:lpstr>dpa802_7_2_1</vt:lpstr>
      <vt:lpstr>dpa802_7_2_2</vt:lpstr>
      <vt:lpstr>dpa802_8</vt:lpstr>
      <vt:lpstr>dpa802_9_1_1</vt:lpstr>
      <vt:lpstr>dpa802_9_1_2</vt:lpstr>
      <vt:lpstr>dpa802_9_2_1</vt:lpstr>
      <vt:lpstr>dpa802_9_2_2</vt:lpstr>
      <vt:lpstr>dpa803_1_1</vt:lpstr>
      <vt:lpstr>dpa803_1_2</vt:lpstr>
      <vt:lpstr>dpa803_2</vt:lpstr>
      <vt:lpstr>dpa803_3</vt:lpstr>
      <vt:lpstr>dpa803_4</vt:lpstr>
      <vt:lpstr>dpa803_5</vt:lpstr>
      <vt:lpstr>dpa803_6</vt:lpstr>
      <vt:lpstr>dpa901_1_1</vt:lpstr>
      <vt:lpstr>dpa901_1_2</vt:lpstr>
      <vt:lpstr>dpa901_1_3_1_a</vt:lpstr>
      <vt:lpstr>dpa901_1_3_1_b</vt:lpstr>
      <vt:lpstr>dpa901_1_3_2_a</vt:lpstr>
      <vt:lpstr>dpa901_1_3_2_b</vt:lpstr>
      <vt:lpstr>dpa901_1_4</vt:lpstr>
      <vt:lpstr>dpa901_1_5</vt:lpstr>
      <vt:lpstr>dpa901_1_6_1</vt:lpstr>
      <vt:lpstr>dpa901_1_6_2</vt:lpstr>
      <vt:lpstr>dpa901_10_1</vt:lpstr>
      <vt:lpstr>dpa901_10_2</vt:lpstr>
      <vt:lpstr>dpa901_10_3</vt:lpstr>
      <vt:lpstr>dpa901_11</vt:lpstr>
      <vt:lpstr>dpa901_12</vt:lpstr>
      <vt:lpstr>dpa901_13</vt:lpstr>
      <vt:lpstr>dpa901_14_1</vt:lpstr>
      <vt:lpstr>dpa901_14_2</vt:lpstr>
      <vt:lpstr>dpa901_15_1</vt:lpstr>
      <vt:lpstr>dpa901_15_2</vt:lpstr>
      <vt:lpstr>dpa901_2_1_1</vt:lpstr>
      <vt:lpstr>dpa901_2_1_1_m</vt:lpstr>
      <vt:lpstr>dpa901_2_1_2</vt:lpstr>
      <vt:lpstr>dpa901_2_1_2_m</vt:lpstr>
      <vt:lpstr>dpa901_2_1_3</vt:lpstr>
      <vt:lpstr>dpa901_2_1_3_m</vt:lpstr>
      <vt:lpstr>dpa901_2_1_4</vt:lpstr>
      <vt:lpstr>dpa901_2_1_4_m</vt:lpstr>
      <vt:lpstr>dpa901_2_1_5</vt:lpstr>
      <vt:lpstr>dpa901_2_1_5_m</vt:lpstr>
      <vt:lpstr>dpa901_2_2</vt:lpstr>
      <vt:lpstr>dpa901_3_1_a</vt:lpstr>
      <vt:lpstr>dpa901_3_1_a_m</vt:lpstr>
      <vt:lpstr>dpa901_3_1_b</vt:lpstr>
      <vt:lpstr>dpa901_3_1_b_m</vt:lpstr>
      <vt:lpstr>dpa901_3_1_c</vt:lpstr>
      <vt:lpstr>dpa901_3_2</vt:lpstr>
      <vt:lpstr>dpa901_4</vt:lpstr>
      <vt:lpstr>dpa901_4_1</vt:lpstr>
      <vt:lpstr>dpa901_4_2</vt:lpstr>
      <vt:lpstr>dpa901_4_3</vt:lpstr>
      <vt:lpstr>dpa901_4_4</vt:lpstr>
      <vt:lpstr>dpa901_4_5</vt:lpstr>
      <vt:lpstr>dpa901_4_6</vt:lpstr>
      <vt:lpstr>dpa901_5_1</vt:lpstr>
      <vt:lpstr>dpa901_5_2</vt:lpstr>
      <vt:lpstr>dpa901_6</vt:lpstr>
      <vt:lpstr>dpa901_7</vt:lpstr>
      <vt:lpstr>dpa901_8</vt:lpstr>
      <vt:lpstr>dpa901_9_1</vt:lpstr>
      <vt:lpstr>dpa901_9_2</vt:lpstr>
      <vt:lpstr>dpa901_9_3</vt:lpstr>
      <vt:lpstr>dpa902_1_1</vt:lpstr>
      <vt:lpstr>dpa902_1_1_a</vt:lpstr>
      <vt:lpstr>dpa902_1_2</vt:lpstr>
      <vt:lpstr>dpa902_1_2_</vt:lpstr>
      <vt:lpstr>dpa902_1_2_1</vt:lpstr>
      <vt:lpstr>dpa902_1_2_2</vt:lpstr>
      <vt:lpstr>dpa902_1_3</vt:lpstr>
      <vt:lpstr>dpa902_1_3_</vt:lpstr>
      <vt:lpstr>dpa902_1_4</vt:lpstr>
      <vt:lpstr>dpa902_1_4_1</vt:lpstr>
      <vt:lpstr>dpa902_1_4_2</vt:lpstr>
      <vt:lpstr>dpa902_1_5</vt:lpstr>
      <vt:lpstr>dpa902_1_6</vt:lpstr>
      <vt:lpstr>dpa902_2_1</vt:lpstr>
      <vt:lpstr>dpa902_2_1_1</vt:lpstr>
      <vt:lpstr>dpa902_2_1_2</vt:lpstr>
      <vt:lpstr>dpa902_2_1_3</vt:lpstr>
      <vt:lpstr>dpa902_2_1_4</vt:lpstr>
      <vt:lpstr>dpa902_2_1_5</vt:lpstr>
      <vt:lpstr>dpa902_2_2</vt:lpstr>
      <vt:lpstr>dpa902_2_3</vt:lpstr>
      <vt:lpstr>dpa902_2_4</vt:lpstr>
      <vt:lpstr>dpa902_3</vt:lpstr>
      <vt:lpstr>dpa902_3_1_a</vt:lpstr>
      <vt:lpstr>dpa902_3_1_b</vt:lpstr>
      <vt:lpstr>dpa902_3_2</vt:lpstr>
      <vt:lpstr>dpa902_3_2_1</vt:lpstr>
      <vt:lpstr>dpa902_3_2_2</vt:lpstr>
      <vt:lpstr>dpa902_3_2_a</vt:lpstr>
      <vt:lpstr>dpa902_3_2_b</vt:lpstr>
      <vt:lpstr>dpa902_4</vt:lpstr>
      <vt:lpstr>dpa902_5</vt:lpstr>
      <vt:lpstr>dpa902_6</vt:lpstr>
      <vt:lpstr>dpa903_1_1_1</vt:lpstr>
      <vt:lpstr>dpa903_1_2_2</vt:lpstr>
      <vt:lpstr>dpa903_2_1</vt:lpstr>
      <vt:lpstr>dpa903_2_2</vt:lpstr>
      <vt:lpstr>dpa903_3</vt:lpstr>
      <vt:lpstr>dpa904_1</vt:lpstr>
      <vt:lpstr>dpa904_2</vt:lpstr>
      <vt:lpstr>dpa904_3_1</vt:lpstr>
      <vt:lpstr>dpa904_3_2</vt:lpstr>
      <vt:lpstr>dpa905_1</vt:lpstr>
      <vt:lpstr>dpa905_2</vt:lpstr>
      <vt:lpstr>dpa905_3</vt:lpstr>
      <vt:lpstr>dpa905_4</vt:lpstr>
      <vt:lpstr>dpa905_6</vt:lpstr>
      <vt:lpstr>dpc1001_1</vt:lpstr>
      <vt:lpstr>dpc1001_2</vt:lpstr>
      <vt:lpstr>dpc1002_1</vt:lpstr>
      <vt:lpstr>dpc1002_2</vt:lpstr>
      <vt:lpstr>dpc1002_3</vt:lpstr>
      <vt:lpstr>dpc1002_4</vt:lpstr>
      <vt:lpstr>dpc1002_5</vt:lpstr>
      <vt:lpstr>dpc1002_6</vt:lpstr>
      <vt:lpstr>dpc1003_1</vt:lpstr>
      <vt:lpstr>dpc1004_1_1</vt:lpstr>
      <vt:lpstr>dpc1004_1_2</vt:lpstr>
      <vt:lpstr>dpc1005_1_1</vt:lpstr>
      <vt:lpstr>dpc1005_1_2</vt:lpstr>
      <vt:lpstr>dpc1005_1_3</vt:lpstr>
      <vt:lpstr>dpc501_1</vt:lpstr>
      <vt:lpstr>dpc501_2_1</vt:lpstr>
      <vt:lpstr>dpc501_2_2</vt:lpstr>
      <vt:lpstr>dpc501_2_3</vt:lpstr>
      <vt:lpstr>dpc501_2_4</vt:lpstr>
      <vt:lpstr>dpc501_2_4_1</vt:lpstr>
      <vt:lpstr>dpc501_2_5</vt:lpstr>
      <vt:lpstr>dpc501_2_6</vt:lpstr>
      <vt:lpstr>dpc501_2_6_d</vt:lpstr>
      <vt:lpstr>dpc501_2_7</vt:lpstr>
      <vt:lpstr>dpc501_2_8</vt:lpstr>
      <vt:lpstr>dpc502_1</vt:lpstr>
      <vt:lpstr>dpc503_1_1</vt:lpstr>
      <vt:lpstr>dpc503_1_2</vt:lpstr>
      <vt:lpstr>dpc503_1_3</vt:lpstr>
      <vt:lpstr>dpc503_1_4</vt:lpstr>
      <vt:lpstr>dpc503_1_5</vt:lpstr>
      <vt:lpstr>dpc503_1_6</vt:lpstr>
      <vt:lpstr>dpc503_1_7</vt:lpstr>
      <vt:lpstr>dpc503_1_8</vt:lpstr>
      <vt:lpstr>dpc503_2_1</vt:lpstr>
      <vt:lpstr>dpc503_2_2</vt:lpstr>
      <vt:lpstr>dpc503_2_3</vt:lpstr>
      <vt:lpstr>dpc503_2_4</vt:lpstr>
      <vt:lpstr>dpc503_2_5</vt:lpstr>
      <vt:lpstr>dpc503_3_1</vt:lpstr>
      <vt:lpstr>dpc503_3_2</vt:lpstr>
      <vt:lpstr>dpc503_3_3</vt:lpstr>
      <vt:lpstr>dpc503_4_1</vt:lpstr>
      <vt:lpstr>dpc503_4_2</vt:lpstr>
      <vt:lpstr>dpc503_4_3</vt:lpstr>
      <vt:lpstr>dpc503_4_4</vt:lpstr>
      <vt:lpstr>dpc503_4_4_c_1</vt:lpstr>
      <vt:lpstr>dpc503_4_5</vt:lpstr>
      <vt:lpstr>dpc503_5_1</vt:lpstr>
      <vt:lpstr>dpc503_5_10</vt:lpstr>
      <vt:lpstr>dpc503_5_11</vt:lpstr>
      <vt:lpstr>dpc503_5_12</vt:lpstr>
      <vt:lpstr>dpc503_5_13</vt:lpstr>
      <vt:lpstr>dpc503_5_2</vt:lpstr>
      <vt:lpstr>dpc503_5_3</vt:lpstr>
      <vt:lpstr>dpc503_5_4</vt:lpstr>
      <vt:lpstr>dpc503_5_5</vt:lpstr>
      <vt:lpstr>dpc503_5_6</vt:lpstr>
      <vt:lpstr>dpc503_5_7</vt:lpstr>
      <vt:lpstr>dpc503_5_8</vt:lpstr>
      <vt:lpstr>dpc503_5_9</vt:lpstr>
      <vt:lpstr>dpc503_6</vt:lpstr>
      <vt:lpstr>dpc503_7</vt:lpstr>
      <vt:lpstr>dpc503_8</vt:lpstr>
      <vt:lpstr>dpc504_1</vt:lpstr>
      <vt:lpstr>dpc504_2_1</vt:lpstr>
      <vt:lpstr>dpc504_2_2</vt:lpstr>
      <vt:lpstr>dpc504_2_3</vt:lpstr>
      <vt:lpstr>dpc504_3_1</vt:lpstr>
      <vt:lpstr>dpc504_3_2</vt:lpstr>
      <vt:lpstr>dpc504_3_3</vt:lpstr>
      <vt:lpstr>dpc504_3_4</vt:lpstr>
      <vt:lpstr>dpc504_3_5</vt:lpstr>
      <vt:lpstr>dpc504_3_6</vt:lpstr>
      <vt:lpstr>dpc504_3_7</vt:lpstr>
      <vt:lpstr>dpc504_3_8</vt:lpstr>
      <vt:lpstr>dpc504_3_9</vt:lpstr>
      <vt:lpstr>dpc505_1_1</vt:lpstr>
      <vt:lpstr>dpc505_1_2</vt:lpstr>
      <vt:lpstr>dpc505_1_3</vt:lpstr>
      <vt:lpstr>dpc505_10_a</vt:lpstr>
      <vt:lpstr>dpc505_10_b</vt:lpstr>
      <vt:lpstr>dpc505_10_c</vt:lpstr>
      <vt:lpstr>dpc505_2_1</vt:lpstr>
      <vt:lpstr>dpc505_2_2</vt:lpstr>
      <vt:lpstr>dpc505_3</vt:lpstr>
      <vt:lpstr>dpc505_4_1</vt:lpstr>
      <vt:lpstr>dpc505_5_a</vt:lpstr>
      <vt:lpstr>dpc505_5_b</vt:lpstr>
      <vt:lpstr>dpc505_5_c</vt:lpstr>
      <vt:lpstr>dpc505_5_d</vt:lpstr>
      <vt:lpstr>dpc505_6</vt:lpstr>
      <vt:lpstr>dpc505_7</vt:lpstr>
      <vt:lpstr>dpc505_8</vt:lpstr>
      <vt:lpstr>dpc505_9_a</vt:lpstr>
      <vt:lpstr>dpc505_9_b</vt:lpstr>
      <vt:lpstr>dpc505_9_c</vt:lpstr>
      <vt:lpstr>dpc601_1</vt:lpstr>
      <vt:lpstr>dpc601_2_1</vt:lpstr>
      <vt:lpstr>dpc601_2_2</vt:lpstr>
      <vt:lpstr>dpc601_2_3</vt:lpstr>
      <vt:lpstr>dpc601_3_1</vt:lpstr>
      <vt:lpstr>dpc601_3_2</vt:lpstr>
      <vt:lpstr>dpc601_3_3</vt:lpstr>
      <vt:lpstr>dpc601_3_4</vt:lpstr>
      <vt:lpstr>dpc601_3_5</vt:lpstr>
      <vt:lpstr>dpc601_4</vt:lpstr>
      <vt:lpstr>dpc601_5_1</vt:lpstr>
      <vt:lpstr>dpc601_5_2</vt:lpstr>
      <vt:lpstr>dpc601_5_3</vt:lpstr>
      <vt:lpstr>dpc601_5_4</vt:lpstr>
      <vt:lpstr>dpc601_5_5</vt:lpstr>
      <vt:lpstr>dpc601_6</vt:lpstr>
      <vt:lpstr>dpc601_7</vt:lpstr>
      <vt:lpstr>dpc601_8</vt:lpstr>
      <vt:lpstr>dpc602_1_1_2</vt:lpstr>
      <vt:lpstr>dpc602_1_10</vt:lpstr>
      <vt:lpstr>dpc602_1_12</vt:lpstr>
      <vt:lpstr>dpc602_1_14_1</vt:lpstr>
      <vt:lpstr>dpc602_1_14_2</vt:lpstr>
      <vt:lpstr>dpc602_1_14_3</vt:lpstr>
      <vt:lpstr>dpc602_1_15</vt:lpstr>
      <vt:lpstr>dpc602_1_2</vt:lpstr>
      <vt:lpstr>dpc602_1_3_2</vt:lpstr>
      <vt:lpstr>dpc602_1_4_1_1</vt:lpstr>
      <vt:lpstr>dpc602_1_4_2_1</vt:lpstr>
      <vt:lpstr>dpc602_1_5_1</vt:lpstr>
      <vt:lpstr>dpc602_1_5_2</vt:lpstr>
      <vt:lpstr>dpc602_1_6_1</vt:lpstr>
      <vt:lpstr>dpc602_1_6_2</vt:lpstr>
      <vt:lpstr>dpc602_1_6_3</vt:lpstr>
      <vt:lpstr>dpc602_1_7_1_1</vt:lpstr>
      <vt:lpstr>dpc602_1_7_1_2</vt:lpstr>
      <vt:lpstr>dpc602_1_7_1_3</vt:lpstr>
      <vt:lpstr>dpc602_1_7_2</vt:lpstr>
      <vt:lpstr>dpc602_1_7_3</vt:lpstr>
      <vt:lpstr>dpc602_1_9_2</vt:lpstr>
      <vt:lpstr>dpc602_1_9_3</vt:lpstr>
      <vt:lpstr>dpc602_1_9_4</vt:lpstr>
      <vt:lpstr>dpc602_1_9_5</vt:lpstr>
      <vt:lpstr>dpc602_1_9_6</vt:lpstr>
      <vt:lpstr>dpc602_1_9_7</vt:lpstr>
      <vt:lpstr>dpc602_2</vt:lpstr>
      <vt:lpstr>dpc602_3</vt:lpstr>
      <vt:lpstr>dpc602_4_2</vt:lpstr>
      <vt:lpstr>dpc602_4_3</vt:lpstr>
      <vt:lpstr>dpc603_1</vt:lpstr>
      <vt:lpstr>dpc603_2</vt:lpstr>
      <vt:lpstr>dpc603_3</vt:lpstr>
      <vt:lpstr>dpc604_1a</vt:lpstr>
      <vt:lpstr>dpc605_2</vt:lpstr>
      <vt:lpstr>dpc605_3</vt:lpstr>
      <vt:lpstr>dpc605_4</vt:lpstr>
      <vt:lpstr>dpc606_1</vt:lpstr>
      <vt:lpstr>dpc606_2_1a</vt:lpstr>
      <vt:lpstr>dpc606_2_2a</vt:lpstr>
      <vt:lpstr>dpc606_3</vt:lpstr>
      <vt:lpstr>dpc607_1_1</vt:lpstr>
      <vt:lpstr>dpc607_1_2</vt:lpstr>
      <vt:lpstr>dpc607_2</vt:lpstr>
      <vt:lpstr>dpc608_1</vt:lpstr>
      <vt:lpstr>dpc609_1</vt:lpstr>
      <vt:lpstr>dpc610_1_1_1</vt:lpstr>
      <vt:lpstr>dpc610_1_1_2</vt:lpstr>
      <vt:lpstr>dpc610_1_1_3</vt:lpstr>
      <vt:lpstr>dpc610_1_2</vt:lpstr>
      <vt:lpstr>dpc611_1</vt:lpstr>
      <vt:lpstr>dpc612_1</vt:lpstr>
      <vt:lpstr>dpc612_2</vt:lpstr>
      <vt:lpstr>dpc612_3</vt:lpstr>
      <vt:lpstr>dpc613_1</vt:lpstr>
      <vt:lpstr>dpc701_1_4</vt:lpstr>
      <vt:lpstr>dpc702_2_2</vt:lpstr>
      <vt:lpstr>dpc703_1</vt:lpstr>
      <vt:lpstr>dpc703_2_1</vt:lpstr>
      <vt:lpstr>dpc703_2_2</vt:lpstr>
      <vt:lpstr>dpc703_2_3</vt:lpstr>
      <vt:lpstr>dpc703_2_4</vt:lpstr>
      <vt:lpstr>dpc703_2_5_2</vt:lpstr>
      <vt:lpstr>dpc703_3_1</vt:lpstr>
      <vt:lpstr>dpc703_3_2__1</vt:lpstr>
      <vt:lpstr>dpc703_3_2__2</vt:lpstr>
      <vt:lpstr>dpc703_3_2__3</vt:lpstr>
      <vt:lpstr>dpc703_3_2__4</vt:lpstr>
      <vt:lpstr>dpc703_3_3__1</vt:lpstr>
      <vt:lpstr>dpc703_3_3__2</vt:lpstr>
      <vt:lpstr>dpc703_3_3__3</vt:lpstr>
      <vt:lpstr>dpc703_3_4_1</vt:lpstr>
      <vt:lpstr>dpc703_3_4_1_6</vt:lpstr>
      <vt:lpstr>dpc703_3_4_2</vt:lpstr>
      <vt:lpstr>dpc703_3_5</vt:lpstr>
      <vt:lpstr>dpc703_3_6</vt:lpstr>
      <vt:lpstr>dpc703_3_7_1</vt:lpstr>
      <vt:lpstr>dpc703_3_8</vt:lpstr>
      <vt:lpstr>dpc703_4_1</vt:lpstr>
      <vt:lpstr>dpc703_4_2</vt:lpstr>
      <vt:lpstr>dpc703_4_3</vt:lpstr>
      <vt:lpstr>dpc703_4_4</vt:lpstr>
      <vt:lpstr>dpc703_5_1_1_a</vt:lpstr>
      <vt:lpstr>dpc703_5_1_1_b</vt:lpstr>
      <vt:lpstr>dpc703_5_1_1_d</vt:lpstr>
      <vt:lpstr>dpc703_5_1_1_e</vt:lpstr>
      <vt:lpstr>dpc703_5_1_2_a</vt:lpstr>
      <vt:lpstr>dpc703_5_1_2_b</vt:lpstr>
      <vt:lpstr>dpc703_5_1_2_c</vt:lpstr>
      <vt:lpstr>dpc703_5_1_2_d</vt:lpstr>
      <vt:lpstr>dpc703_5_1_2_e</vt:lpstr>
      <vt:lpstr>dpc703_5_1_3</vt:lpstr>
      <vt:lpstr>dpc703_5_2</vt:lpstr>
      <vt:lpstr>dpc703_5_3</vt:lpstr>
      <vt:lpstr>dpc703_5_4</vt:lpstr>
      <vt:lpstr>dpc703_5_5_a</vt:lpstr>
      <vt:lpstr>dpc703_5_5_b</vt:lpstr>
      <vt:lpstr>dpc703_6_1_1</vt:lpstr>
      <vt:lpstr>dpc703_6_1_2</vt:lpstr>
      <vt:lpstr>dpc703_6_1_3</vt:lpstr>
      <vt:lpstr>dpc703_6_2__1</vt:lpstr>
      <vt:lpstr>dpc703_6_2__2</vt:lpstr>
      <vt:lpstr>dpc703_6_2__3</vt:lpstr>
      <vt:lpstr>dpc703_7_1</vt:lpstr>
      <vt:lpstr>dpc703_7_2</vt:lpstr>
      <vt:lpstr>dpc703_7_3</vt:lpstr>
      <vt:lpstr>dpc703_7_4</vt:lpstr>
      <vt:lpstr>dpc704_1</vt:lpstr>
      <vt:lpstr>dpc705_2_1_1</vt:lpstr>
      <vt:lpstr>dpc705_2_1_2</vt:lpstr>
      <vt:lpstr>dpc705_2_1_3_1</vt:lpstr>
      <vt:lpstr>dpc705_2_1_3_2</vt:lpstr>
      <vt:lpstr>dpc705_2_1_4</vt:lpstr>
      <vt:lpstr>dpc705_2_2</vt:lpstr>
      <vt:lpstr>dpc705_2_3</vt:lpstr>
      <vt:lpstr>dpc705_2_4</vt:lpstr>
      <vt:lpstr>dpc705_3</vt:lpstr>
      <vt:lpstr>dpc705_4</vt:lpstr>
      <vt:lpstr>dpc705_5_1_1</vt:lpstr>
      <vt:lpstr>dpc705_5_1_2</vt:lpstr>
      <vt:lpstr>dpc705_5_2</vt:lpstr>
      <vt:lpstr>dpc705_5_3_1</vt:lpstr>
      <vt:lpstr>dpc705_5_3_2</vt:lpstr>
      <vt:lpstr>dpc705_6_1</vt:lpstr>
      <vt:lpstr>dpc705_6_2_1_1_1</vt:lpstr>
      <vt:lpstr>dpc705_6_2_1_2</vt:lpstr>
      <vt:lpstr>dpc705_6_2_2_1</vt:lpstr>
      <vt:lpstr>dpc705_6_2_2_2</vt:lpstr>
      <vt:lpstr>dpc705_6_2_3</vt:lpstr>
      <vt:lpstr>dpc705_6_3</vt:lpstr>
      <vt:lpstr>dpc705_6_4_1</vt:lpstr>
      <vt:lpstr>dpc705_6_4_2</vt:lpstr>
      <vt:lpstr>dpc705_7</vt:lpstr>
      <vt:lpstr>dpc706_1</vt:lpstr>
      <vt:lpstr>dpc706_10</vt:lpstr>
      <vt:lpstr>dpc706_11</vt:lpstr>
      <vt:lpstr>dpc706_12</vt:lpstr>
      <vt:lpstr>dpc706_13</vt:lpstr>
      <vt:lpstr>dpc706_14_1</vt:lpstr>
      <vt:lpstr>dpc706_14_2</vt:lpstr>
      <vt:lpstr>dpc706_15_1</vt:lpstr>
      <vt:lpstr>dpc706_15_2</vt:lpstr>
      <vt:lpstr>dpc706_2_1</vt:lpstr>
      <vt:lpstr>dpc706_2_2</vt:lpstr>
      <vt:lpstr>dpc706_3</vt:lpstr>
      <vt:lpstr>dpc706_4_1_1</vt:lpstr>
      <vt:lpstr>dpc706_4_1_2</vt:lpstr>
      <vt:lpstr>dpc706_4_2</vt:lpstr>
      <vt:lpstr>dpc706_5_1</vt:lpstr>
      <vt:lpstr>dpc706_5_2</vt:lpstr>
      <vt:lpstr>dpc706_5_3</vt:lpstr>
      <vt:lpstr>dpc706_6</vt:lpstr>
      <vt:lpstr>dpc706_7_1</vt:lpstr>
      <vt:lpstr>dpc706_7_2</vt:lpstr>
      <vt:lpstr>dpc706_8</vt:lpstr>
      <vt:lpstr>dpc706_9</vt:lpstr>
      <vt:lpstr>dpc802_1</vt:lpstr>
      <vt:lpstr>dpc802_1_6</vt:lpstr>
      <vt:lpstr>dpc802_10_1_1</vt:lpstr>
      <vt:lpstr>dpc802_2_1</vt:lpstr>
      <vt:lpstr>dpc802_2_2</vt:lpstr>
      <vt:lpstr>dpc802_3_1_a</vt:lpstr>
      <vt:lpstr>dpc802_3_1_b</vt:lpstr>
      <vt:lpstr>dpc802_3_2_a</vt:lpstr>
      <vt:lpstr>dpc802_3_2_b</vt:lpstr>
      <vt:lpstr>dpc802_4_1</vt:lpstr>
      <vt:lpstr>dpc802_4_2</vt:lpstr>
      <vt:lpstr>dpc802_4_3</vt:lpstr>
      <vt:lpstr>dpc802_5_1a</vt:lpstr>
      <vt:lpstr>dpc802_5_2</vt:lpstr>
      <vt:lpstr>dpc802_5_3</vt:lpstr>
      <vt:lpstr>dpc802_5_4_2</vt:lpstr>
      <vt:lpstr>dpc802_5_4_3</vt:lpstr>
      <vt:lpstr>dpc802_5_4_4_a</vt:lpstr>
      <vt:lpstr>dpc802_5_4_4_b</vt:lpstr>
      <vt:lpstr>dpc802_5_4_4_c</vt:lpstr>
      <vt:lpstr>dpc802_6_2</vt:lpstr>
      <vt:lpstr>dpc802_6_3_1</vt:lpstr>
      <vt:lpstr>dpc802_6_3_2</vt:lpstr>
      <vt:lpstr>dpc802_6_3_3</vt:lpstr>
      <vt:lpstr>dpc802_6_4_1</vt:lpstr>
      <vt:lpstr>dpc802_6_4_2</vt:lpstr>
      <vt:lpstr>dpc802_6_5_1</vt:lpstr>
      <vt:lpstr>dpc802_6_5_2</vt:lpstr>
      <vt:lpstr>dpc802_6_5_3</vt:lpstr>
      <vt:lpstr>dpc802_6_5_4</vt:lpstr>
      <vt:lpstr>dpc802_6_5_5</vt:lpstr>
      <vt:lpstr>dpc802_7_1</vt:lpstr>
      <vt:lpstr>dpc802_7_2</vt:lpstr>
      <vt:lpstr>dpc802_8</vt:lpstr>
      <vt:lpstr>dpc802_9_1</vt:lpstr>
      <vt:lpstr>dpc802_9_2</vt:lpstr>
      <vt:lpstr>dpc803_1</vt:lpstr>
      <vt:lpstr>dpc803_2</vt:lpstr>
      <vt:lpstr>dpc803_3</vt:lpstr>
      <vt:lpstr>dpc803_4</vt:lpstr>
      <vt:lpstr>dpc803_5</vt:lpstr>
      <vt:lpstr>dpc803_6</vt:lpstr>
      <vt:lpstr>dpc804_3</vt:lpstr>
      <vt:lpstr>dpc901_1_1</vt:lpstr>
      <vt:lpstr>dpc901_1_2</vt:lpstr>
      <vt:lpstr>dpc901_1_3_1</vt:lpstr>
      <vt:lpstr>dpc901_1_3_2</vt:lpstr>
      <vt:lpstr>dpc901_1_5</vt:lpstr>
      <vt:lpstr>dpc901_1_6</vt:lpstr>
      <vt:lpstr>dpc901_10</vt:lpstr>
      <vt:lpstr>dpc901_11</vt:lpstr>
      <vt:lpstr>dpc901_12</vt:lpstr>
      <vt:lpstr>dpc901_14</vt:lpstr>
      <vt:lpstr>dpc901_15_1</vt:lpstr>
      <vt:lpstr>dpc901_15_2</vt:lpstr>
      <vt:lpstr>dpc901_2_1_1</vt:lpstr>
      <vt:lpstr>dpc901_2_1_2</vt:lpstr>
      <vt:lpstr>dpc901_2_1_3</vt:lpstr>
      <vt:lpstr>dpc901_2_1_4</vt:lpstr>
      <vt:lpstr>dpc901_2_1_5</vt:lpstr>
      <vt:lpstr>dpc901_2_2</vt:lpstr>
      <vt:lpstr>dpc901_3_1_a</vt:lpstr>
      <vt:lpstr>dpc901_3_1_b</vt:lpstr>
      <vt:lpstr>dpc901_3_1_c</vt:lpstr>
      <vt:lpstr>dpc901_3_2</vt:lpstr>
      <vt:lpstr>dpc901_4</vt:lpstr>
      <vt:lpstr>dpc901_5_1</vt:lpstr>
      <vt:lpstr>dpc901_5_2</vt:lpstr>
      <vt:lpstr>dpc901_7</vt:lpstr>
      <vt:lpstr>dpc901_8</vt:lpstr>
      <vt:lpstr>dpc901_9_1</vt:lpstr>
      <vt:lpstr>dpc901_9_2</vt:lpstr>
      <vt:lpstr>dpc901_9_3</vt:lpstr>
      <vt:lpstr>dpc902_1_1_a</vt:lpstr>
      <vt:lpstr>dpc902_1_2_</vt:lpstr>
      <vt:lpstr>dpc902_1_3</vt:lpstr>
      <vt:lpstr>dpc902_1_3_</vt:lpstr>
      <vt:lpstr>dpc902_1_4</vt:lpstr>
      <vt:lpstr>dpc902_1_5</vt:lpstr>
      <vt:lpstr>dpc902_1_6</vt:lpstr>
      <vt:lpstr>dpc902_2_1</vt:lpstr>
      <vt:lpstr>dpc902_2_2</vt:lpstr>
      <vt:lpstr>dpc902_2_3</vt:lpstr>
      <vt:lpstr>dpc902_2_4</vt:lpstr>
      <vt:lpstr>dpc902_3_1</vt:lpstr>
      <vt:lpstr>dpc902_3_2</vt:lpstr>
      <vt:lpstr>dpc902_3_2_1</vt:lpstr>
      <vt:lpstr>dpc902_3_2_2</vt:lpstr>
      <vt:lpstr>dpc902_4</vt:lpstr>
      <vt:lpstr>dpc902_5</vt:lpstr>
      <vt:lpstr>dpc903_1</vt:lpstr>
      <vt:lpstr>dpc903_2</vt:lpstr>
      <vt:lpstr>dpc903_3</vt:lpstr>
      <vt:lpstr>dpc904_1</vt:lpstr>
      <vt:lpstr>dpc904_2</vt:lpstr>
      <vt:lpstr>dpc905_1</vt:lpstr>
      <vt:lpstr>dpc905_2</vt:lpstr>
      <vt:lpstr>dpc905_3</vt:lpstr>
      <vt:lpstr>dpc905_4</vt:lpstr>
      <vt:lpstr>dpc905_6</vt:lpstr>
      <vt:lpstr>dstAGFloorArea</vt:lpstr>
      <vt:lpstr>dstAttachedGarage</vt:lpstr>
      <vt:lpstr>dstAttic</vt:lpstr>
      <vt:lpstr>dstBatch</vt:lpstr>
      <vt:lpstr>dstBuilderName</vt:lpstr>
      <vt:lpstr>dstBuildingCode</vt:lpstr>
      <vt:lpstr>dstCDucts</vt:lpstr>
      <vt:lpstr>dstCity</vt:lpstr>
      <vt:lpstr>dstCommercial</vt:lpstr>
      <vt:lpstr>dstCool1</vt:lpstr>
      <vt:lpstr>dstCool2</vt:lpstr>
      <vt:lpstr>dstCool3</vt:lpstr>
      <vt:lpstr>dstCounty</vt:lpstr>
      <vt:lpstr>dstCToilet</vt:lpstr>
      <vt:lpstr>dstDesigner</vt:lpstr>
      <vt:lpstr>dstElevation</vt:lpstr>
      <vt:lpstr>dstEnergyCode</vt:lpstr>
      <vt:lpstr>dstFloors</vt:lpstr>
      <vt:lpstr>dstFoundation</vt:lpstr>
      <vt:lpstr>dstFuel</vt:lpstr>
      <vt:lpstr>dstHDucts</vt:lpstr>
      <vt:lpstr>dstHeat1</vt:lpstr>
      <vt:lpstr>dstHeat2</vt:lpstr>
      <vt:lpstr>dstHeat3</vt:lpstr>
      <vt:lpstr>dstHomeAddress</vt:lpstr>
      <vt:lpstr>dstLot</vt:lpstr>
      <vt:lpstr>dstMassWalls</vt:lpstr>
      <vt:lpstr>dstPassiveSolar</vt:lpstr>
      <vt:lpstr>dstProjectDesc</vt:lpstr>
      <vt:lpstr>dstProjectName</vt:lpstr>
      <vt:lpstr>dstRadiantHydronic</vt:lpstr>
      <vt:lpstr>dstRecessedLighting</vt:lpstr>
      <vt:lpstr>dstRenewable</vt:lpstr>
      <vt:lpstr>dstSingleOrMulti</vt:lpstr>
      <vt:lpstr>dstsSHGC</vt:lpstr>
      <vt:lpstr>dstState</vt:lpstr>
      <vt:lpstr>dstsUV</vt:lpstr>
      <vt:lpstr>dstTCFloorArea</vt:lpstr>
      <vt:lpstr>dstTEInsulation</vt:lpstr>
      <vt:lpstr>dstTLWH</vt:lpstr>
      <vt:lpstr>dstUnits</vt:lpstr>
      <vt:lpstr>dstwdSHGC</vt:lpstr>
      <vt:lpstr>dstwdUV</vt:lpstr>
      <vt:lpstr>dstZIP</vt:lpstr>
      <vt:lpstr>fsgBatchSubmissionCity1</vt:lpstr>
      <vt:lpstr>fsgBatchSubmissionCity10</vt:lpstr>
      <vt:lpstr>fsgBatchSubmissionCity11</vt:lpstr>
      <vt:lpstr>fsgBatchSubmissionCity12</vt:lpstr>
      <vt:lpstr>fsgBatchSubmissionCity13</vt:lpstr>
      <vt:lpstr>fsgBatchSubmissionCity14</vt:lpstr>
      <vt:lpstr>fsgBatchSubmissionCity15</vt:lpstr>
      <vt:lpstr>fsgBatchSubmissionCity16</vt:lpstr>
      <vt:lpstr>fsgBatchSubmissionCity17</vt:lpstr>
      <vt:lpstr>fsgBatchSubmissionCity18</vt:lpstr>
      <vt:lpstr>fsgBatchSubmissionCity19</vt:lpstr>
      <vt:lpstr>fsgBatchSubmissionCity2</vt:lpstr>
      <vt:lpstr>fsgBatchSubmissionCity20</vt:lpstr>
      <vt:lpstr>fsgBatchSubmissionCity21</vt:lpstr>
      <vt:lpstr>fsgBatchSubmissionCity22</vt:lpstr>
      <vt:lpstr>fsgBatchSubmissionCity23</vt:lpstr>
      <vt:lpstr>fsgBatchSubmissionCity24</vt:lpstr>
      <vt:lpstr>fsgBatchSubmissionCity25</vt:lpstr>
      <vt:lpstr>fsgBatchSubmissionCity26</vt:lpstr>
      <vt:lpstr>fsgBatchSubmissionCity27</vt:lpstr>
      <vt:lpstr>fsgBatchSubmissionCity28</vt:lpstr>
      <vt:lpstr>fsgBatchSubmissionCity29</vt:lpstr>
      <vt:lpstr>fsgBatchSubmissionCity3</vt:lpstr>
      <vt:lpstr>fsgBatchSubmissionCity30</vt:lpstr>
      <vt:lpstr>fsgBatchSubmissionCity31</vt:lpstr>
      <vt:lpstr>fsgBatchSubmissionCity32</vt:lpstr>
      <vt:lpstr>fsgBatchSubmissionCity33</vt:lpstr>
      <vt:lpstr>fsgBatchSubmissionCity34</vt:lpstr>
      <vt:lpstr>fsgBatchSubmissionCity35</vt:lpstr>
      <vt:lpstr>fsgBatchSubmissionCity36</vt:lpstr>
      <vt:lpstr>fsgBatchSubmissionCity37</vt:lpstr>
      <vt:lpstr>fsgBatchSubmissionCity38</vt:lpstr>
      <vt:lpstr>fsgBatchSubmissionCity39</vt:lpstr>
      <vt:lpstr>fsgBatchSubmissionCity4</vt:lpstr>
      <vt:lpstr>fsgBatchSubmissionCity40</vt:lpstr>
      <vt:lpstr>fsgBatchSubmissionCity41</vt:lpstr>
      <vt:lpstr>fsgBatchSubmissionCity42</vt:lpstr>
      <vt:lpstr>fsgBatchSubmissionCity43</vt:lpstr>
      <vt:lpstr>fsgBatchSubmissionCity44</vt:lpstr>
      <vt:lpstr>fsgBatchSubmissionCity45</vt:lpstr>
      <vt:lpstr>fsgBatchSubmissionCity46</vt:lpstr>
      <vt:lpstr>fsgBatchSubmissionCity47</vt:lpstr>
      <vt:lpstr>fsgBatchSubmissionCity48</vt:lpstr>
      <vt:lpstr>fsgBatchSubmissionCity49</vt:lpstr>
      <vt:lpstr>fsgBatchSubmissionCity5</vt:lpstr>
      <vt:lpstr>fsgBatchSubmissionCity50</vt:lpstr>
      <vt:lpstr>fsgBatchSubmissionCity6</vt:lpstr>
      <vt:lpstr>fsgBatchSubmissionCity7</vt:lpstr>
      <vt:lpstr>fsgBatchSubmissionCity8</vt:lpstr>
      <vt:lpstr>fsgBatchSubmissionCity9</vt:lpstr>
      <vt:lpstr>fsgBatchSubmissionFinalAddress1</vt:lpstr>
      <vt:lpstr>fsgBatchSubmissionFinalAddress10</vt:lpstr>
      <vt:lpstr>fsgBatchSubmissionFinalAddress11</vt:lpstr>
      <vt:lpstr>fsgBatchSubmissionFinalAddress12</vt:lpstr>
      <vt:lpstr>fsgBatchSubmissionFinalAddress13</vt:lpstr>
      <vt:lpstr>fsgBatchSubmissionFinalAddress14</vt:lpstr>
      <vt:lpstr>fsgBatchSubmissionFinalAddress15</vt:lpstr>
      <vt:lpstr>fsgBatchSubmissionFinalAddress16</vt:lpstr>
      <vt:lpstr>fsgBatchSubmissionFinalAddress17</vt:lpstr>
      <vt:lpstr>fsgBatchSubmissionFinalAddress18</vt:lpstr>
      <vt:lpstr>fsgBatchSubmissionFinalAddress19</vt:lpstr>
      <vt:lpstr>fsgBatchSubmissionFinalAddress2</vt:lpstr>
      <vt:lpstr>fsgBatchSubmissionFinalAddress20</vt:lpstr>
      <vt:lpstr>fsgBatchSubmissionFinalAddress21</vt:lpstr>
      <vt:lpstr>fsgBatchSubmissionFinalAddress22</vt:lpstr>
      <vt:lpstr>fsgBatchSubmissionFinalAddress23</vt:lpstr>
      <vt:lpstr>fsgBatchSubmissionFinalAddress24</vt:lpstr>
      <vt:lpstr>fsgBatchSubmissionFinalAddress25</vt:lpstr>
      <vt:lpstr>fsgBatchSubmissionFinalAddress26</vt:lpstr>
      <vt:lpstr>fsgBatchSubmissionFinalAddress27</vt:lpstr>
      <vt:lpstr>fsgBatchSubmissionFinalAddress28</vt:lpstr>
      <vt:lpstr>fsgBatchSubmissionFinalAddress29</vt:lpstr>
      <vt:lpstr>fsgBatchSubmissionFinalAddress3</vt:lpstr>
      <vt:lpstr>fsgBatchSubmissionFinalAddress30</vt:lpstr>
      <vt:lpstr>fsgBatchSubmissionFinalAddress31</vt:lpstr>
      <vt:lpstr>fsgBatchSubmissionFinalAddress32</vt:lpstr>
      <vt:lpstr>fsgBatchSubmissionFinalAddress33</vt:lpstr>
      <vt:lpstr>fsgBatchSubmissionFinalAddress34</vt:lpstr>
      <vt:lpstr>fsgBatchSubmissionFinalAddress35</vt:lpstr>
      <vt:lpstr>fsgBatchSubmissionFinalAddress36</vt:lpstr>
      <vt:lpstr>fsgBatchSubmissionFinalAddress37</vt:lpstr>
      <vt:lpstr>fsgBatchSubmissionFinalAddress38</vt:lpstr>
      <vt:lpstr>fsgBatchSubmissionFinalAddress39</vt:lpstr>
      <vt:lpstr>fsgBatchSubmissionFinalAddress4</vt:lpstr>
      <vt:lpstr>fsgBatchSubmissionFinalAddress40</vt:lpstr>
      <vt:lpstr>fsgBatchSubmissionFinalAddress41</vt:lpstr>
      <vt:lpstr>fsgBatchSubmissionFinalAddress42</vt:lpstr>
      <vt:lpstr>fsgBatchSubmissionFinalAddress43</vt:lpstr>
      <vt:lpstr>fsgBatchSubmissionFinalAddress44</vt:lpstr>
      <vt:lpstr>fsgBatchSubmissionFinalAddress45</vt:lpstr>
      <vt:lpstr>fsgBatchSubmissionFinalAddress46</vt:lpstr>
      <vt:lpstr>fsgBatchSubmissionFinalAddress47</vt:lpstr>
      <vt:lpstr>fsgBatchSubmissionFinalAddress48</vt:lpstr>
      <vt:lpstr>fsgBatchSubmissionFinalAddress49</vt:lpstr>
      <vt:lpstr>fsgBatchSubmissionFinalAddress5</vt:lpstr>
      <vt:lpstr>fsgBatchSubmissionFinalAddress50</vt:lpstr>
      <vt:lpstr>fsgBatchSubmissionFinalAddress6</vt:lpstr>
      <vt:lpstr>fsgBatchSubmissionFinalAddress7</vt:lpstr>
      <vt:lpstr>fsgBatchSubmissionFinalAddress8</vt:lpstr>
      <vt:lpstr>fsgBatchSubmissionFinalAddress9</vt:lpstr>
      <vt:lpstr>fsgBatchSubmissionFinalWRI1</vt:lpstr>
      <vt:lpstr>fsgBatchSubmissionFinalWRI10</vt:lpstr>
      <vt:lpstr>fsgBatchSubmissionFinalWRI11</vt:lpstr>
      <vt:lpstr>fsgBatchSubmissionFinalWRI12</vt:lpstr>
      <vt:lpstr>fsgBatchSubmissionFinalWRI13</vt:lpstr>
      <vt:lpstr>fsgBatchSubmissionFinalWRI14</vt:lpstr>
      <vt:lpstr>fsgBatchSubmissionFinalWRI15</vt:lpstr>
      <vt:lpstr>fsgBatchSubmissionFinalWRI16</vt:lpstr>
      <vt:lpstr>fsgBatchSubmissionFinalWRI17</vt:lpstr>
      <vt:lpstr>fsgBatchSubmissionFinalWRI18</vt:lpstr>
      <vt:lpstr>fsgBatchSubmissionFinalWRI19</vt:lpstr>
      <vt:lpstr>fsgBatchSubmissionFinalWRI2</vt:lpstr>
      <vt:lpstr>fsgBatchSubmissionFinalWRI20</vt:lpstr>
      <vt:lpstr>fsgBatchSubmissionFinalWRI21</vt:lpstr>
      <vt:lpstr>fsgBatchSubmissionFinalWRI22</vt:lpstr>
      <vt:lpstr>fsgBatchSubmissionFinalWRI23</vt:lpstr>
      <vt:lpstr>fsgBatchSubmissionFinalWRI24</vt:lpstr>
      <vt:lpstr>fsgBatchSubmissionFinalWRI25</vt:lpstr>
      <vt:lpstr>fsgBatchSubmissionFinalWRI26</vt:lpstr>
      <vt:lpstr>fsgBatchSubmissionFinalWRI27</vt:lpstr>
      <vt:lpstr>fsgBatchSubmissionFinalWRI28</vt:lpstr>
      <vt:lpstr>fsgBatchSubmissionFinalWRI29</vt:lpstr>
      <vt:lpstr>fsgBatchSubmissionFinalWRI3</vt:lpstr>
      <vt:lpstr>fsgBatchSubmissionFinalWRI30</vt:lpstr>
      <vt:lpstr>fsgBatchSubmissionFinalWRI31</vt:lpstr>
      <vt:lpstr>fsgBatchSubmissionFinalWRI32</vt:lpstr>
      <vt:lpstr>fsgBatchSubmissionFinalWRI33</vt:lpstr>
      <vt:lpstr>fsgBatchSubmissionFinalWRI34</vt:lpstr>
      <vt:lpstr>fsgBatchSubmissionFinalWRI35</vt:lpstr>
      <vt:lpstr>fsgBatchSubmissionFinalWRI36</vt:lpstr>
      <vt:lpstr>fsgBatchSubmissionFinalWRI37</vt:lpstr>
      <vt:lpstr>fsgBatchSubmissionFinalWRI38</vt:lpstr>
      <vt:lpstr>fsgBatchSubmissionFinalWRI39</vt:lpstr>
      <vt:lpstr>fsgBatchSubmissionFinalWRI4</vt:lpstr>
      <vt:lpstr>fsgBatchSubmissionFinalWRI40</vt:lpstr>
      <vt:lpstr>fsgBatchSubmissionFinalWRI41</vt:lpstr>
      <vt:lpstr>fsgBatchSubmissionFinalWRI42</vt:lpstr>
      <vt:lpstr>fsgBatchSubmissionFinalWRI43</vt:lpstr>
      <vt:lpstr>fsgBatchSubmissionFinalWRI44</vt:lpstr>
      <vt:lpstr>fsgBatchSubmissionFinalWRI45</vt:lpstr>
      <vt:lpstr>fsgBatchSubmissionFinalWRI46</vt:lpstr>
      <vt:lpstr>fsgBatchSubmissionFinalWRI47</vt:lpstr>
      <vt:lpstr>fsgBatchSubmissionFinalWRI48</vt:lpstr>
      <vt:lpstr>fsgBatchSubmissionFinalWRI49</vt:lpstr>
      <vt:lpstr>fsgBatchSubmissionFinalWRI5</vt:lpstr>
      <vt:lpstr>fsgBatchSubmissionFinalWRI50</vt:lpstr>
      <vt:lpstr>fsgBatchSubmissionFinalWRI6</vt:lpstr>
      <vt:lpstr>fsgBatchSubmissionFinalWRI7</vt:lpstr>
      <vt:lpstr>fsgBatchSubmissionFinalWRI8</vt:lpstr>
      <vt:lpstr>fsgBatchSubmissionFinalWRI9</vt:lpstr>
      <vt:lpstr>fsgBatchSubmissionInspectionDate1</vt:lpstr>
      <vt:lpstr>fsgBatchSubmissionInspectionDate10</vt:lpstr>
      <vt:lpstr>fsgBatchSubmissionInspectionDate11</vt:lpstr>
      <vt:lpstr>fsgBatchSubmissionInspectionDate12</vt:lpstr>
      <vt:lpstr>fsgBatchSubmissionInspectionDate13</vt:lpstr>
      <vt:lpstr>fsgBatchSubmissionInspectionDate14</vt:lpstr>
      <vt:lpstr>fsgBatchSubmissionInspectionDate15</vt:lpstr>
      <vt:lpstr>fsgBatchSubmissionInspectionDate16</vt:lpstr>
      <vt:lpstr>fsgBatchSubmissionInspectionDate17</vt:lpstr>
      <vt:lpstr>fsgBatchSubmissionInspectionDate18</vt:lpstr>
      <vt:lpstr>fsgBatchSubmissionInspectionDate19</vt:lpstr>
      <vt:lpstr>fsgBatchSubmissionInspectionDate2</vt:lpstr>
      <vt:lpstr>fsgBatchSubmissionInspectionDate20</vt:lpstr>
      <vt:lpstr>fsgBatchSubmissionInspectionDate21</vt:lpstr>
      <vt:lpstr>fsgBatchSubmissionInspectionDate22</vt:lpstr>
      <vt:lpstr>fsgBatchSubmissionInspectionDate23</vt:lpstr>
      <vt:lpstr>fsgBatchSubmissionInspectionDate24</vt:lpstr>
      <vt:lpstr>fsgBatchSubmissionInspectionDate25</vt:lpstr>
      <vt:lpstr>fsgBatchSubmissionInspectionDate26</vt:lpstr>
      <vt:lpstr>fsgBatchSubmissionInspectionDate27</vt:lpstr>
      <vt:lpstr>fsgBatchSubmissionInspectionDate28</vt:lpstr>
      <vt:lpstr>fsgBatchSubmissionInspectionDate29</vt:lpstr>
      <vt:lpstr>fsgBatchSubmissionInspectionDate3</vt:lpstr>
      <vt:lpstr>fsgBatchSubmissionInspectionDate30</vt:lpstr>
      <vt:lpstr>fsgBatchSubmissionInspectionDate31</vt:lpstr>
      <vt:lpstr>fsgBatchSubmissionInspectionDate32</vt:lpstr>
      <vt:lpstr>fsgBatchSubmissionInspectionDate33</vt:lpstr>
      <vt:lpstr>fsgBatchSubmissionInspectionDate34</vt:lpstr>
      <vt:lpstr>fsgBatchSubmissionInspectionDate35</vt:lpstr>
      <vt:lpstr>fsgBatchSubmissionInspectionDate36</vt:lpstr>
      <vt:lpstr>fsgBatchSubmissionInspectionDate37</vt:lpstr>
      <vt:lpstr>fsgBatchSubmissionInspectionDate38</vt:lpstr>
      <vt:lpstr>fsgBatchSubmissionInspectionDate39</vt:lpstr>
      <vt:lpstr>fsgBatchSubmissionInspectionDate4</vt:lpstr>
      <vt:lpstr>fsgBatchSubmissionInspectionDate40</vt:lpstr>
      <vt:lpstr>fsgBatchSubmissionInspectionDate41</vt:lpstr>
      <vt:lpstr>fsgBatchSubmissionInspectionDate42</vt:lpstr>
      <vt:lpstr>fsgBatchSubmissionInspectionDate43</vt:lpstr>
      <vt:lpstr>fsgBatchSubmissionInspectionDate44</vt:lpstr>
      <vt:lpstr>fsgBatchSubmissionInspectionDate45</vt:lpstr>
      <vt:lpstr>fsgBatchSubmissionInspectionDate46</vt:lpstr>
      <vt:lpstr>fsgBatchSubmissionInspectionDate47</vt:lpstr>
      <vt:lpstr>fsgBatchSubmissionInspectionDate48</vt:lpstr>
      <vt:lpstr>fsgBatchSubmissionInspectionDate49</vt:lpstr>
      <vt:lpstr>fsgBatchSubmissionInspectionDate5</vt:lpstr>
      <vt:lpstr>fsgBatchSubmissionInspectionDate50</vt:lpstr>
      <vt:lpstr>fsgBatchSubmissionInspectionDate6</vt:lpstr>
      <vt:lpstr>fsgBatchSubmissionInspectionDate7</vt:lpstr>
      <vt:lpstr>fsgBatchSubmissionInspectionDate8</vt:lpstr>
      <vt:lpstr>fsgBatchSubmissionInspectionDate9</vt:lpstr>
      <vt:lpstr>fsgBatchSubmissionProjectID1</vt:lpstr>
      <vt:lpstr>fsgBatchSubmissionProjectID10</vt:lpstr>
      <vt:lpstr>fsgBatchSubmissionProjectID11</vt:lpstr>
      <vt:lpstr>fsgBatchSubmissionProjectID12</vt:lpstr>
      <vt:lpstr>fsgBatchSubmissionProjectID13</vt:lpstr>
      <vt:lpstr>fsgBatchSubmissionProjectID14</vt:lpstr>
      <vt:lpstr>fsgBatchSubmissionProjectID15</vt:lpstr>
      <vt:lpstr>fsgBatchSubmissionProjectID16</vt:lpstr>
      <vt:lpstr>fsgBatchSubmissionProjectID17</vt:lpstr>
      <vt:lpstr>fsgBatchSubmissionProjectID18</vt:lpstr>
      <vt:lpstr>fsgBatchSubmissionProjectID19</vt:lpstr>
      <vt:lpstr>fsgBatchSubmissionProjectID2</vt:lpstr>
      <vt:lpstr>fsgBatchSubmissionProjectID20</vt:lpstr>
      <vt:lpstr>fsgBatchSubmissionProjectID21</vt:lpstr>
      <vt:lpstr>fsgBatchSubmissionProjectID22</vt:lpstr>
      <vt:lpstr>fsgBatchSubmissionProjectID23</vt:lpstr>
      <vt:lpstr>fsgBatchSubmissionProjectID24</vt:lpstr>
      <vt:lpstr>fsgBatchSubmissionProjectID25</vt:lpstr>
      <vt:lpstr>fsgBatchSubmissionProjectID26</vt:lpstr>
      <vt:lpstr>fsgBatchSubmissionProjectID27</vt:lpstr>
      <vt:lpstr>fsgBatchSubmissionProjectID28</vt:lpstr>
      <vt:lpstr>fsgBatchSubmissionProjectID29</vt:lpstr>
      <vt:lpstr>fsgBatchSubmissionProjectID3</vt:lpstr>
      <vt:lpstr>fsgBatchSubmissionProjectID30</vt:lpstr>
      <vt:lpstr>fsgBatchSubmissionProjectID31</vt:lpstr>
      <vt:lpstr>fsgBatchSubmissionProjectID32</vt:lpstr>
      <vt:lpstr>fsgBatchSubmissionProjectID33</vt:lpstr>
      <vt:lpstr>fsgBatchSubmissionProjectID34</vt:lpstr>
      <vt:lpstr>fsgBatchSubmissionProjectID35</vt:lpstr>
      <vt:lpstr>fsgBatchSubmissionProjectID36</vt:lpstr>
      <vt:lpstr>fsgBatchSubmissionProjectID37</vt:lpstr>
      <vt:lpstr>fsgBatchSubmissionProjectID38</vt:lpstr>
      <vt:lpstr>fsgBatchSubmissionProjectID39</vt:lpstr>
      <vt:lpstr>fsgBatchSubmissionProjectID4</vt:lpstr>
      <vt:lpstr>fsgBatchSubmissionProjectID40</vt:lpstr>
      <vt:lpstr>fsgBatchSubmissionProjectID41</vt:lpstr>
      <vt:lpstr>fsgBatchSubmissionProjectID42</vt:lpstr>
      <vt:lpstr>fsgBatchSubmissionProjectID43</vt:lpstr>
      <vt:lpstr>fsgBatchSubmissionProjectID44</vt:lpstr>
      <vt:lpstr>fsgBatchSubmissionProjectID45</vt:lpstr>
      <vt:lpstr>fsgBatchSubmissionProjectID46</vt:lpstr>
      <vt:lpstr>fsgBatchSubmissionProjectID47</vt:lpstr>
      <vt:lpstr>fsgBatchSubmissionProjectID48</vt:lpstr>
      <vt:lpstr>fsgBatchSubmissionProjectID49</vt:lpstr>
      <vt:lpstr>fsgBatchSubmissionProjectID5</vt:lpstr>
      <vt:lpstr>fsgBatchSubmissionProjectID50</vt:lpstr>
      <vt:lpstr>fsgBatchSubmissionProjectID6</vt:lpstr>
      <vt:lpstr>fsgBatchSubmissionProjectID7</vt:lpstr>
      <vt:lpstr>fsgBatchSubmissionProjectID8</vt:lpstr>
      <vt:lpstr>fsgBatchSubmissionProjectID9</vt:lpstr>
      <vt:lpstr>fsgBatchSubmissionZIP1</vt:lpstr>
      <vt:lpstr>fsgBatchSubmissionZIP10</vt:lpstr>
      <vt:lpstr>fsgBatchSubmissionZIP11</vt:lpstr>
      <vt:lpstr>fsgBatchSubmissionZIP12</vt:lpstr>
      <vt:lpstr>fsgBatchSubmissionZIP13</vt:lpstr>
      <vt:lpstr>fsgBatchSubmissionZIP14</vt:lpstr>
      <vt:lpstr>fsgBatchSubmissionZIP15</vt:lpstr>
      <vt:lpstr>fsgBatchSubmissionZIP16</vt:lpstr>
      <vt:lpstr>fsgBatchSubmissionZIP17</vt:lpstr>
      <vt:lpstr>fsgBatchSubmissionZIP18</vt:lpstr>
      <vt:lpstr>fsgBatchSubmissionZIP19</vt:lpstr>
      <vt:lpstr>fsgBatchSubmissionZIP2</vt:lpstr>
      <vt:lpstr>fsgBatchSubmissionZIP20</vt:lpstr>
      <vt:lpstr>fsgBatchSubmissionZIP21</vt:lpstr>
      <vt:lpstr>fsgBatchSubmissionZIP22</vt:lpstr>
      <vt:lpstr>fsgBatchSubmissionZIP23</vt:lpstr>
      <vt:lpstr>fsgBatchSubmissionZIP24</vt:lpstr>
      <vt:lpstr>fsgBatchSubmissionZIP25</vt:lpstr>
      <vt:lpstr>fsgBatchSubmissionZIP26</vt:lpstr>
      <vt:lpstr>fsgBatchSubmissionZIP27</vt:lpstr>
      <vt:lpstr>fsgBatchSubmissionZIP28</vt:lpstr>
      <vt:lpstr>fsgBatchSubmissionZIP29</vt:lpstr>
      <vt:lpstr>fsgBatchSubmissionZIP3</vt:lpstr>
      <vt:lpstr>fsgBatchSubmissionZIP30</vt:lpstr>
      <vt:lpstr>fsgBatchSubmissionZIP31</vt:lpstr>
      <vt:lpstr>fsgBatchSubmissionZIP32</vt:lpstr>
      <vt:lpstr>fsgBatchSubmissionZIP33</vt:lpstr>
      <vt:lpstr>fsgBatchSubmissionZIP34</vt:lpstr>
      <vt:lpstr>fsgBatchSubmissionZIP35</vt:lpstr>
      <vt:lpstr>fsgBatchSubmissionZIP36</vt:lpstr>
      <vt:lpstr>fsgBatchSubmissionZIP37</vt:lpstr>
      <vt:lpstr>fsgBatchSubmissionZIP38</vt:lpstr>
      <vt:lpstr>fsgBatchSubmissionZIP39</vt:lpstr>
      <vt:lpstr>fsgBatchSubmissionZIP4</vt:lpstr>
      <vt:lpstr>fsgBatchSubmissionZIP40</vt:lpstr>
      <vt:lpstr>fsgBatchSubmissionZIP41</vt:lpstr>
      <vt:lpstr>fsgBatchSubmissionZIP42</vt:lpstr>
      <vt:lpstr>fsgBatchSubmissionZIP43</vt:lpstr>
      <vt:lpstr>fsgBatchSubmissionZIP44</vt:lpstr>
      <vt:lpstr>fsgBatchSubmissionZIP45</vt:lpstr>
      <vt:lpstr>fsgBatchSubmissionZIP46</vt:lpstr>
      <vt:lpstr>fsgBatchSubmissionZIP47</vt:lpstr>
      <vt:lpstr>fsgBatchSubmissionZIP48</vt:lpstr>
      <vt:lpstr>fsgBatchSubmissionZIP49</vt:lpstr>
      <vt:lpstr>fsgBatchSubmissionZIP5</vt:lpstr>
      <vt:lpstr>fsgBatchSubmissionZIP50</vt:lpstr>
      <vt:lpstr>fsgBatchSubmissionZIP6</vt:lpstr>
      <vt:lpstr>fsgBatchSubmissionZIP7</vt:lpstr>
      <vt:lpstr>fsgBatchSubmissionZIP8</vt:lpstr>
      <vt:lpstr>fsgBatchSubmissionZIP9</vt:lpstr>
      <vt:lpstr>fsgBuilderComments</vt:lpstr>
      <vt:lpstr>fsgBuilderDate</vt:lpstr>
      <vt:lpstr>fsgBuilderEmail</vt:lpstr>
      <vt:lpstr>fsgBuilderName</vt:lpstr>
      <vt:lpstr>fsgBuilderPhone</vt:lpstr>
      <vt:lpstr>fsgSampleDate1</vt:lpstr>
      <vt:lpstr>fsgSampleDate10</vt:lpstr>
      <vt:lpstr>fsgSampleDate11</vt:lpstr>
      <vt:lpstr>fsgSampleDate12</vt:lpstr>
      <vt:lpstr>fsgSampleDate13</vt:lpstr>
      <vt:lpstr>fsgSampleDate14</vt:lpstr>
      <vt:lpstr>fsgSampleDate15</vt:lpstr>
      <vt:lpstr>fsgSampleDate16</vt:lpstr>
      <vt:lpstr>fsgSampleDate2</vt:lpstr>
      <vt:lpstr>fsgSampleDate3</vt:lpstr>
      <vt:lpstr>fsgSampleDate4</vt:lpstr>
      <vt:lpstr>fsgSampleDate5</vt:lpstr>
      <vt:lpstr>fsgSampleDate6</vt:lpstr>
      <vt:lpstr>fsgSampleDate7</vt:lpstr>
      <vt:lpstr>fsgSampleDate8</vt:lpstr>
      <vt:lpstr>fsgSampleDate9</vt:lpstr>
      <vt:lpstr>fsgSampleNotes1</vt:lpstr>
      <vt:lpstr>fsgSampleNotes10</vt:lpstr>
      <vt:lpstr>fsgSampleNotes11</vt:lpstr>
      <vt:lpstr>fsgSampleNotes12</vt:lpstr>
      <vt:lpstr>fsgSampleNotes13</vt:lpstr>
      <vt:lpstr>fsgSampleNotes14</vt:lpstr>
      <vt:lpstr>fsgSampleNotes15</vt:lpstr>
      <vt:lpstr>fsgSampleNotes16</vt:lpstr>
      <vt:lpstr>fsgSampleNotes2</vt:lpstr>
      <vt:lpstr>fsgSampleNotes3</vt:lpstr>
      <vt:lpstr>fsgSampleNotes4</vt:lpstr>
      <vt:lpstr>fsgSampleNotes5</vt:lpstr>
      <vt:lpstr>fsgSampleNotes6</vt:lpstr>
      <vt:lpstr>fsgSampleNotes7</vt:lpstr>
      <vt:lpstr>fsgSampleNotes8</vt:lpstr>
      <vt:lpstr>fsgSampleNotes9</vt:lpstr>
      <vt:lpstr>fsgSampleUnitsAvailable1</vt:lpstr>
      <vt:lpstr>fsgSampleUnitsAvailable10</vt:lpstr>
      <vt:lpstr>fsgSampleUnitsAvailable11</vt:lpstr>
      <vt:lpstr>fsgSampleUnitsAvailable12</vt:lpstr>
      <vt:lpstr>fsgSampleUnitsAvailable13</vt:lpstr>
      <vt:lpstr>fsgSampleUnitsAvailable14</vt:lpstr>
      <vt:lpstr>fsgSampleUnitsAvailable15</vt:lpstr>
      <vt:lpstr>fsgSampleUnitsAvailable16</vt:lpstr>
      <vt:lpstr>fsgSampleUnitsAvailable2</vt:lpstr>
      <vt:lpstr>fsgSampleUnitsAvailable3</vt:lpstr>
      <vt:lpstr>fsgSampleUnitsAvailable4</vt:lpstr>
      <vt:lpstr>fsgSampleUnitsAvailable5</vt:lpstr>
      <vt:lpstr>fsgSampleUnitsAvailable6</vt:lpstr>
      <vt:lpstr>fsgSampleUnitsAvailable7</vt:lpstr>
      <vt:lpstr>fsgSampleUnitsAvailable8</vt:lpstr>
      <vt:lpstr>fsgSampleUnitsAvailable9</vt:lpstr>
      <vt:lpstr>fsgSampleUnitsInspected1</vt:lpstr>
      <vt:lpstr>fsgSampleUnitsInspected10</vt:lpstr>
      <vt:lpstr>fsgSampleUnitsInspected11</vt:lpstr>
      <vt:lpstr>fsgSampleUnitsInspected12</vt:lpstr>
      <vt:lpstr>fsgSampleUnitsInspected13</vt:lpstr>
      <vt:lpstr>fsgSampleUnitsInspected14</vt:lpstr>
      <vt:lpstr>fsgSampleUnitsInspected15</vt:lpstr>
      <vt:lpstr>fsgSampleUnitsInspected16</vt:lpstr>
      <vt:lpstr>fsgSampleUnitsInspected2</vt:lpstr>
      <vt:lpstr>fsgSampleUnitsInspected3</vt:lpstr>
      <vt:lpstr>fsgSampleUnitsInspected4</vt:lpstr>
      <vt:lpstr>fsgSampleUnitsInspected5</vt:lpstr>
      <vt:lpstr>fsgSampleUnitsInspected6</vt:lpstr>
      <vt:lpstr>fsgSampleUnitsInspected7</vt:lpstr>
      <vt:lpstr>fsgSampleUnitsInspected8</vt:lpstr>
      <vt:lpstr>fsgSampleUnitsInspected9</vt:lpstr>
      <vt:lpstr>fsgTeamVerifierElementsVerified1</vt:lpstr>
      <vt:lpstr>fsgTeamVerifierElementsVerified2</vt:lpstr>
      <vt:lpstr>fsgTeamVerifierElementsVerified3</vt:lpstr>
      <vt:lpstr>fsgTeamVerifierElementsVerified4</vt:lpstr>
      <vt:lpstr>fsgTeamVerifierElementsVerified5</vt:lpstr>
      <vt:lpstr>fsgTeamVerifierInspectionDate1</vt:lpstr>
      <vt:lpstr>fsgTeamVerifierInspectionDate2</vt:lpstr>
      <vt:lpstr>fsgTeamVerifierInspectionDate3</vt:lpstr>
      <vt:lpstr>fsgTeamVerifierInspectionDate4</vt:lpstr>
      <vt:lpstr>fsgTeamVerifierInspectionDate5</vt:lpstr>
      <vt:lpstr>fsgTeamVerifierName1</vt:lpstr>
      <vt:lpstr>fsgTeamVerifierName2</vt:lpstr>
      <vt:lpstr>fsgTeamVerifierName3</vt:lpstr>
      <vt:lpstr>fsgTeamVerifierName4</vt:lpstr>
      <vt:lpstr>fsgTeamVerifierName5</vt:lpstr>
      <vt:lpstr>fsgTeamVerifierRole1</vt:lpstr>
      <vt:lpstr>fsgTeamVerifierRole2</vt:lpstr>
      <vt:lpstr>fsgTeamVerifierRole3</vt:lpstr>
      <vt:lpstr>fsgTeamVerifierRole4</vt:lpstr>
      <vt:lpstr>fsgTeamVerifierRole5</vt:lpstr>
      <vt:lpstr>fsgVerifierComments</vt:lpstr>
      <vt:lpstr>fsgVerifierDate</vt:lpstr>
      <vt:lpstr>fsgVerifierEmail</vt:lpstr>
      <vt:lpstr>fsgVerifierEndTime</vt:lpstr>
      <vt:lpstr>fsgVerifierName</vt:lpstr>
      <vt:lpstr>fsgVerifierPhone</vt:lpstr>
      <vt:lpstr>fsgVerifierStartTime</vt:lpstr>
      <vt:lpstr>GoalLevel</vt:lpstr>
      <vt:lpstr>hid802.3.2</vt:lpstr>
      <vt:lpstr>hid802.3.2ver</vt:lpstr>
      <vt:lpstr>'Badges (Design)'!hidBadgeMandatoryMsg</vt:lpstr>
      <vt:lpstr>'Badges (Verification)'!hidBadgeMandatoryMsg</vt:lpstr>
      <vt:lpstr>'WaterSense (Design)'!hidBadgeMandatoryMsg</vt:lpstr>
      <vt:lpstr>'WaterSense (Verification)'!hidBadgeMandatoryMsg</vt:lpstr>
      <vt:lpstr>'Badges (Design)'!hidBadgeOverviewMsg</vt:lpstr>
      <vt:lpstr>'Badges (Verification)'!hidBadgeOverviewMsg</vt:lpstr>
      <vt:lpstr>'WaterSense (Design)'!hidBadgeOverviewMsg</vt:lpstr>
      <vt:lpstr>'WaterSense (Verification)'!hidBadgeOverviewMsg</vt:lpstr>
      <vt:lpstr>hidCh10ErrorsMsg</vt:lpstr>
      <vt:lpstr>hidCh10MandatoryMsg</vt:lpstr>
      <vt:lpstr>hidCh10OverviewMsg</vt:lpstr>
      <vt:lpstr>hidCh5ErrorsMsg</vt:lpstr>
      <vt:lpstr>hidCh5MandatoryMsg</vt:lpstr>
      <vt:lpstr>hidCh5OverviewMsg</vt:lpstr>
      <vt:lpstr>hidCh6ErrorsMsg</vt:lpstr>
      <vt:lpstr>hidCh6MandatoryMsg</vt:lpstr>
      <vt:lpstr>hidCh6OverviewMsg</vt:lpstr>
      <vt:lpstr>hidCh7ErrorsMsg</vt:lpstr>
      <vt:lpstr>hidCh7MandatoryMsg</vt:lpstr>
      <vt:lpstr>hidCh7OverviewMsg</vt:lpstr>
      <vt:lpstr>hidCh8ErrorsMsg</vt:lpstr>
      <vt:lpstr>hidCh8MandatoryMsg</vt:lpstr>
      <vt:lpstr>hidCh8OverviewMsg</vt:lpstr>
      <vt:lpstr>hidCh9ErrorsMsg</vt:lpstr>
      <vt:lpstr>hidCh9MandatoryMsg</vt:lpstr>
      <vt:lpstr>hidCh9OverviewMsg</vt:lpstr>
      <vt:lpstr>hidCity</vt:lpstr>
      <vt:lpstr>hidCityInstruction</vt:lpstr>
      <vt:lpstr>'WaterSense (Design)'!hidDesBadgesErrorsMsg</vt:lpstr>
      <vt:lpstr>hidDesBadgesErrorsMsg</vt:lpstr>
      <vt:lpstr>'WaterSense (Design)'!hidDesBadgesMandatoryMsg</vt:lpstr>
      <vt:lpstr>hidDesBadgesMandatoryMsg</vt:lpstr>
      <vt:lpstr>'WaterSense (Design)'!hidDesBadgesOverviewMsg</vt:lpstr>
      <vt:lpstr>hidDesBadgesOverviewMsg</vt:lpstr>
      <vt:lpstr>hidElevationWarning</vt:lpstr>
      <vt:lpstr>hidElevationWarning2</vt:lpstr>
      <vt:lpstr>hidElevationWarning3</vt:lpstr>
      <vt:lpstr>hidElevationWarning4</vt:lpstr>
      <vt:lpstr>hidFinalSamp1</vt:lpstr>
      <vt:lpstr>hidFinalSamp2</vt:lpstr>
      <vt:lpstr>hidFSMandatoryMsg</vt:lpstr>
      <vt:lpstr>hidFSOverviewMsg</vt:lpstr>
      <vt:lpstr>hidIDInstruction</vt:lpstr>
      <vt:lpstr>hidODClimateFormula</vt:lpstr>
      <vt:lpstr>hidODClimateLabel</vt:lpstr>
      <vt:lpstr>hidODCommercial</vt:lpstr>
      <vt:lpstr>hidODCountyFormula</vt:lpstr>
      <vt:lpstr>hidODCountyLabel</vt:lpstr>
      <vt:lpstr>hidODMoistFormula</vt:lpstr>
      <vt:lpstr>hidODMoistLabel</vt:lpstr>
      <vt:lpstr>hidODNumberUnitsLabel</vt:lpstr>
      <vt:lpstr>hidODProjectNameLabel</vt:lpstr>
      <vt:lpstr>hidODStateFormula</vt:lpstr>
      <vt:lpstr>hidODStateLabel</vt:lpstr>
      <vt:lpstr>hidODTropicalFormula</vt:lpstr>
      <vt:lpstr>hidODTropicalLabel</vt:lpstr>
      <vt:lpstr>hidODWarmFormula</vt:lpstr>
      <vt:lpstr>hidODWarmLabel</vt:lpstr>
      <vt:lpstr>hidOVClimateFormula</vt:lpstr>
      <vt:lpstr>hidOVClimateLabel</vt:lpstr>
      <vt:lpstr>hidOVCommercial</vt:lpstr>
      <vt:lpstr>hidOVCountyFormula</vt:lpstr>
      <vt:lpstr>hidOVCountyLabel</vt:lpstr>
      <vt:lpstr>hidOVMoistFormula</vt:lpstr>
      <vt:lpstr>hidOVMoistLabel</vt:lpstr>
      <vt:lpstr>hidOVNumberUnitsLabel</vt:lpstr>
      <vt:lpstr>hidOVProjectNameLabel</vt:lpstr>
      <vt:lpstr>hidOVStateFormula</vt:lpstr>
      <vt:lpstr>hidOVStateLabel</vt:lpstr>
      <vt:lpstr>hidOVTropicalFormula</vt:lpstr>
      <vt:lpstr>hidOVTropicalLabel</vt:lpstr>
      <vt:lpstr>hidOVWarmFormula</vt:lpstr>
      <vt:lpstr>hidOVWarmLabel</vt:lpstr>
      <vt:lpstr>hidRoughCommNote</vt:lpstr>
      <vt:lpstr>hidRoughSamp1</vt:lpstr>
      <vt:lpstr>hidRoughSamp2</vt:lpstr>
      <vt:lpstr>hidRSMandatoryMsg</vt:lpstr>
      <vt:lpstr>hidRSOverviewMsg</vt:lpstr>
      <vt:lpstr>'WaterSense (Verification)'!hidVerBadgesErrorsMsg</vt:lpstr>
      <vt:lpstr>hidVerBadgesErrorsMsg</vt:lpstr>
      <vt:lpstr>'WaterSense (Verification)'!hidVerBadgesMandatoryMsg</vt:lpstr>
      <vt:lpstr>hidVerBadgesMandatoryMsg</vt:lpstr>
      <vt:lpstr>'WaterSense (Verification)'!hidVerBadgesOverviewMsg</vt:lpstr>
      <vt:lpstr>hidVerBadgesOverviewMsg</vt:lpstr>
      <vt:lpstr>hidVRErrorsMsg</vt:lpstr>
      <vt:lpstr>hidVRMandatoryMsg</vt:lpstr>
      <vt:lpstr>hidVROverviewMsg</vt:lpstr>
      <vt:lpstr>hidZip</vt:lpstr>
      <vt:lpstr>hidZIPInstruction</vt:lpstr>
      <vt:lpstr>hyptarg1</vt:lpstr>
      <vt:lpstr>hyptarg2</vt:lpstr>
      <vt:lpstr>hyptarg3</vt:lpstr>
      <vt:lpstr>hyptarg4</vt:lpstr>
      <vt:lpstr>hyptarg5</vt:lpstr>
      <vt:lpstr>hyptarg6</vt:lpstr>
      <vt:lpstr>hyptarg7.1</vt:lpstr>
      <vt:lpstr>hyptarg7.2</vt:lpstr>
      <vt:lpstr>hyptarg7.26</vt:lpstr>
      <vt:lpstr>hyptarg7.3</vt:lpstr>
      <vt:lpstr>hyptarg7.4</vt:lpstr>
      <vt:lpstr>hyptarg7.5</vt:lpstr>
      <vt:lpstr>hyptarg8.1</vt:lpstr>
      <vt:lpstr>hyptarg9.1</vt:lpstr>
      <vt:lpstr>hyptarg9.2</vt:lpstr>
      <vt:lpstr>hyptarg9.3</vt:lpstr>
      <vt:lpstr>Intro</vt:lpstr>
      <vt:lpstr>MFIntro</vt:lpstr>
      <vt:lpstr>'Badges (Design)'!Print_Area</vt:lpstr>
      <vt:lpstr>'Badges (Verification)'!Print_Area</vt:lpstr>
      <vt:lpstr>'Ch10'!Print_Area</vt:lpstr>
      <vt:lpstr>'Ch5'!Print_Area</vt:lpstr>
      <vt:lpstr>'Ch6'!Print_Area</vt:lpstr>
      <vt:lpstr>'Ch8'!Print_Area</vt:lpstr>
      <vt:lpstr>'Design Summ.'!Print_Area</vt:lpstr>
      <vt:lpstr>'Overview (Design)'!Print_Area</vt:lpstr>
      <vt:lpstr>'Overview (Verification)'!Print_Area</vt:lpstr>
      <vt:lpstr>'Verification Report'!Print_Area</vt:lpstr>
      <vt:lpstr>'WaterSense (Design)'!Print_Area</vt:lpstr>
      <vt:lpstr>'WaterSense (Verification)'!Print_Area</vt:lpstr>
      <vt:lpstr>'Badges (Design)'!ReportType</vt:lpstr>
      <vt:lpstr>'Badges (Verification)'!ReportType</vt:lpstr>
      <vt:lpstr>'Verification Report'!ReportType</vt:lpstr>
      <vt:lpstr>'WaterSense (Design)'!ReportType</vt:lpstr>
      <vt:lpstr>'WaterSense (Verification)'!ReportType</vt:lpstr>
      <vt:lpstr>ReportType</vt:lpstr>
      <vt:lpstr>ReportTypeRes</vt:lpstr>
      <vt:lpstr>rsgBatchSubmissionCity1</vt:lpstr>
      <vt:lpstr>rsgBatchSubmissionCity10</vt:lpstr>
      <vt:lpstr>rsgBatchSubmissionCity11</vt:lpstr>
      <vt:lpstr>rsgBatchSubmissionCity12</vt:lpstr>
      <vt:lpstr>rsgBatchSubmissionCity13</vt:lpstr>
      <vt:lpstr>rsgBatchSubmissionCity14</vt:lpstr>
      <vt:lpstr>rsgBatchSubmissionCity15</vt:lpstr>
      <vt:lpstr>rsgBatchSubmissionCity16</vt:lpstr>
      <vt:lpstr>rsgBatchSubmissionCity17</vt:lpstr>
      <vt:lpstr>rsgBatchSubmissionCity18</vt:lpstr>
      <vt:lpstr>rsgBatchSubmissionCity19</vt:lpstr>
      <vt:lpstr>rsgBatchSubmissionCity2</vt:lpstr>
      <vt:lpstr>rsgBatchSubmissionCity20</vt:lpstr>
      <vt:lpstr>rsgBatchSubmissionCity21</vt:lpstr>
      <vt:lpstr>rsgBatchSubmissionCity22</vt:lpstr>
      <vt:lpstr>rsgBatchSubmissionCity23</vt:lpstr>
      <vt:lpstr>rsgBatchSubmissionCity24</vt:lpstr>
      <vt:lpstr>rsgBatchSubmissionCity25</vt:lpstr>
      <vt:lpstr>rsgBatchSubmissionCity26</vt:lpstr>
      <vt:lpstr>rsgBatchSubmissionCity27</vt:lpstr>
      <vt:lpstr>rsgBatchSubmissionCity28</vt:lpstr>
      <vt:lpstr>rsgBatchSubmissionCity29</vt:lpstr>
      <vt:lpstr>rsgBatchSubmissionCity3</vt:lpstr>
      <vt:lpstr>rsgBatchSubmissionCity30</vt:lpstr>
      <vt:lpstr>rsgBatchSubmissionCity31</vt:lpstr>
      <vt:lpstr>rsgBatchSubmissionCity32</vt:lpstr>
      <vt:lpstr>rsgBatchSubmissionCity33</vt:lpstr>
      <vt:lpstr>rsgBatchSubmissionCity34</vt:lpstr>
      <vt:lpstr>rsgBatchSubmissionCity35</vt:lpstr>
      <vt:lpstr>rsgBatchSubmissionCity36</vt:lpstr>
      <vt:lpstr>rsgBatchSubmissionCity37</vt:lpstr>
      <vt:lpstr>rsgBatchSubmissionCity38</vt:lpstr>
      <vt:lpstr>rsgBatchSubmissionCity39</vt:lpstr>
      <vt:lpstr>rsgBatchSubmissionCity4</vt:lpstr>
      <vt:lpstr>rsgBatchSubmissionCity40</vt:lpstr>
      <vt:lpstr>rsgBatchSubmissionCity41</vt:lpstr>
      <vt:lpstr>rsgBatchSubmissionCity42</vt:lpstr>
      <vt:lpstr>rsgBatchSubmissionCity43</vt:lpstr>
      <vt:lpstr>rsgBatchSubmissionCity44</vt:lpstr>
      <vt:lpstr>rsgBatchSubmissionCity45</vt:lpstr>
      <vt:lpstr>rsgBatchSubmissionCity46</vt:lpstr>
      <vt:lpstr>rsgBatchSubmissionCity47</vt:lpstr>
      <vt:lpstr>rsgBatchSubmissionCity48</vt:lpstr>
      <vt:lpstr>rsgBatchSubmissionCity49</vt:lpstr>
      <vt:lpstr>rsgBatchSubmissionCity5</vt:lpstr>
      <vt:lpstr>rsgBatchSubmissionCity50</vt:lpstr>
      <vt:lpstr>rsgBatchSubmissionCity6</vt:lpstr>
      <vt:lpstr>rsgBatchSubmissionCity7</vt:lpstr>
      <vt:lpstr>rsgBatchSubmissionCity8</vt:lpstr>
      <vt:lpstr>rsgBatchSubmissionCity9</vt:lpstr>
      <vt:lpstr>rsgBatchSubmissionInspectionDate1</vt:lpstr>
      <vt:lpstr>rsgBatchSubmissionInspectionDate10</vt:lpstr>
      <vt:lpstr>rsgBatchSubmissionInspectionDate11</vt:lpstr>
      <vt:lpstr>rsgBatchSubmissionInspectionDate12</vt:lpstr>
      <vt:lpstr>rsgBatchSubmissionInspectionDate13</vt:lpstr>
      <vt:lpstr>rsgBatchSubmissionInspectionDate14</vt:lpstr>
      <vt:lpstr>rsgBatchSubmissionInspectionDate15</vt:lpstr>
      <vt:lpstr>rsgBatchSubmissionInspectionDate16</vt:lpstr>
      <vt:lpstr>rsgBatchSubmissionInspectionDate17</vt:lpstr>
      <vt:lpstr>rsgBatchSubmissionInspectionDate18</vt:lpstr>
      <vt:lpstr>rsgBatchSubmissionInspectionDate19</vt:lpstr>
      <vt:lpstr>rsgBatchSubmissionInspectionDate2</vt:lpstr>
      <vt:lpstr>rsgBatchSubmissionInspectionDate20</vt:lpstr>
      <vt:lpstr>rsgBatchSubmissionInspectionDate21</vt:lpstr>
      <vt:lpstr>rsgBatchSubmissionInspectionDate22</vt:lpstr>
      <vt:lpstr>rsgBatchSubmissionInspectionDate23</vt:lpstr>
      <vt:lpstr>rsgBatchSubmissionInspectionDate24</vt:lpstr>
      <vt:lpstr>rsgBatchSubmissionInspectionDate25</vt:lpstr>
      <vt:lpstr>rsgBatchSubmissionInspectionDate26</vt:lpstr>
      <vt:lpstr>rsgBatchSubmissionInspectionDate27</vt:lpstr>
      <vt:lpstr>rsgBatchSubmissionInspectionDate28</vt:lpstr>
      <vt:lpstr>rsgBatchSubmissionInspectionDate29</vt:lpstr>
      <vt:lpstr>rsgBatchSubmissionInspectionDate3</vt:lpstr>
      <vt:lpstr>rsgBatchSubmissionInspectionDate30</vt:lpstr>
      <vt:lpstr>rsgBatchSubmissionInspectionDate31</vt:lpstr>
      <vt:lpstr>rsgBatchSubmissionInspectionDate32</vt:lpstr>
      <vt:lpstr>rsgBatchSubmissionInspectionDate33</vt:lpstr>
      <vt:lpstr>rsgBatchSubmissionInspectionDate34</vt:lpstr>
      <vt:lpstr>rsgBatchSubmissionInspectionDate35</vt:lpstr>
      <vt:lpstr>rsgBatchSubmissionInspectionDate36</vt:lpstr>
      <vt:lpstr>rsgBatchSubmissionInspectionDate37</vt:lpstr>
      <vt:lpstr>rsgBatchSubmissionInspectionDate38</vt:lpstr>
      <vt:lpstr>rsgBatchSubmissionInspectionDate39</vt:lpstr>
      <vt:lpstr>rsgBatchSubmissionInspectionDate4</vt:lpstr>
      <vt:lpstr>rsgBatchSubmissionInspectionDate40</vt:lpstr>
      <vt:lpstr>rsgBatchSubmissionInspectionDate41</vt:lpstr>
      <vt:lpstr>rsgBatchSubmissionInspectionDate42</vt:lpstr>
      <vt:lpstr>rsgBatchSubmissionInspectionDate43</vt:lpstr>
      <vt:lpstr>rsgBatchSubmissionInspectionDate44</vt:lpstr>
      <vt:lpstr>rsgBatchSubmissionInspectionDate45</vt:lpstr>
      <vt:lpstr>rsgBatchSubmissionInspectionDate46</vt:lpstr>
      <vt:lpstr>rsgBatchSubmissionInspectionDate47</vt:lpstr>
      <vt:lpstr>rsgBatchSubmissionInspectionDate48</vt:lpstr>
      <vt:lpstr>rsgBatchSubmissionInspectionDate49</vt:lpstr>
      <vt:lpstr>rsgBatchSubmissionInspectionDate5</vt:lpstr>
      <vt:lpstr>rsgBatchSubmissionInspectionDate50</vt:lpstr>
      <vt:lpstr>rsgBatchSubmissionInspectionDate6</vt:lpstr>
      <vt:lpstr>rsgBatchSubmissionInspectionDate7</vt:lpstr>
      <vt:lpstr>rsgBatchSubmissionInspectionDate8</vt:lpstr>
      <vt:lpstr>rsgBatchSubmissionInspectionDate9</vt:lpstr>
      <vt:lpstr>rsgBatchSubmissionProjectID1</vt:lpstr>
      <vt:lpstr>rsgBatchSubmissionProjectID10</vt:lpstr>
      <vt:lpstr>rsgBatchSubmissionProjectID11</vt:lpstr>
      <vt:lpstr>rsgBatchSubmissionProjectID12</vt:lpstr>
      <vt:lpstr>rsgBatchSubmissionProjectID13</vt:lpstr>
      <vt:lpstr>rsgBatchSubmissionProjectID14</vt:lpstr>
      <vt:lpstr>rsgBatchSubmissionProjectID15</vt:lpstr>
      <vt:lpstr>rsgBatchSubmissionProjectID16</vt:lpstr>
      <vt:lpstr>rsgBatchSubmissionProjectID17</vt:lpstr>
      <vt:lpstr>rsgBatchSubmissionProjectID18</vt:lpstr>
      <vt:lpstr>rsgBatchSubmissionProjectID19</vt:lpstr>
      <vt:lpstr>rsgBatchSubmissionProjectID2</vt:lpstr>
      <vt:lpstr>rsgBatchSubmissionProjectID20</vt:lpstr>
      <vt:lpstr>rsgBatchSubmissionProjectID21</vt:lpstr>
      <vt:lpstr>rsgBatchSubmissionProjectID22</vt:lpstr>
      <vt:lpstr>rsgBatchSubmissionProjectID23</vt:lpstr>
      <vt:lpstr>rsgBatchSubmissionProjectID24</vt:lpstr>
      <vt:lpstr>rsgBatchSubmissionProjectID25</vt:lpstr>
      <vt:lpstr>rsgBatchSubmissionProjectID26</vt:lpstr>
      <vt:lpstr>rsgBatchSubmissionProjectID27</vt:lpstr>
      <vt:lpstr>rsgBatchSubmissionProjectID28</vt:lpstr>
      <vt:lpstr>rsgBatchSubmissionProjectID29</vt:lpstr>
      <vt:lpstr>rsgBatchSubmissionProjectID3</vt:lpstr>
      <vt:lpstr>rsgBatchSubmissionProjectID30</vt:lpstr>
      <vt:lpstr>rsgBatchSubmissionProjectID31</vt:lpstr>
      <vt:lpstr>rsgBatchSubmissionProjectID32</vt:lpstr>
      <vt:lpstr>rsgBatchSubmissionProjectID33</vt:lpstr>
      <vt:lpstr>rsgBatchSubmissionProjectID34</vt:lpstr>
      <vt:lpstr>rsgBatchSubmissionProjectID35</vt:lpstr>
      <vt:lpstr>rsgBatchSubmissionProjectID36</vt:lpstr>
      <vt:lpstr>rsgBatchSubmissionProjectID37</vt:lpstr>
      <vt:lpstr>rsgBatchSubmissionProjectID38</vt:lpstr>
      <vt:lpstr>rsgBatchSubmissionProjectID39</vt:lpstr>
      <vt:lpstr>rsgBatchSubmissionProjectID4</vt:lpstr>
      <vt:lpstr>rsgBatchSubmissionProjectID40</vt:lpstr>
      <vt:lpstr>rsgBatchSubmissionProjectID41</vt:lpstr>
      <vt:lpstr>rsgBatchSubmissionProjectID42</vt:lpstr>
      <vt:lpstr>rsgBatchSubmissionProjectID43</vt:lpstr>
      <vt:lpstr>rsgBatchSubmissionProjectID44</vt:lpstr>
      <vt:lpstr>rsgBatchSubmissionProjectID45</vt:lpstr>
      <vt:lpstr>rsgBatchSubmissionProjectID46</vt:lpstr>
      <vt:lpstr>rsgBatchSubmissionProjectID47</vt:lpstr>
      <vt:lpstr>rsgBatchSubmissionProjectID48</vt:lpstr>
      <vt:lpstr>rsgBatchSubmissionProjectID49</vt:lpstr>
      <vt:lpstr>rsgBatchSubmissionProjectID5</vt:lpstr>
      <vt:lpstr>rsgBatchSubmissionProjectID50</vt:lpstr>
      <vt:lpstr>rsgBatchSubmissionProjectID6</vt:lpstr>
      <vt:lpstr>rsgBatchSubmissionProjectID7</vt:lpstr>
      <vt:lpstr>rsgBatchSubmissionProjectID8</vt:lpstr>
      <vt:lpstr>rsgBatchSubmissionProjectID9</vt:lpstr>
      <vt:lpstr>rsgBatchSubmissionRoughAddress1</vt:lpstr>
      <vt:lpstr>rsgBatchSubmissionRoughAddress10</vt:lpstr>
      <vt:lpstr>rsgBatchSubmissionRoughAddress11</vt:lpstr>
      <vt:lpstr>rsgBatchSubmissionRoughAddress12</vt:lpstr>
      <vt:lpstr>rsgBatchSubmissionRoughAddress13</vt:lpstr>
      <vt:lpstr>rsgBatchSubmissionRoughAddress14</vt:lpstr>
      <vt:lpstr>rsgBatchSubmissionRoughAddress15</vt:lpstr>
      <vt:lpstr>rsgBatchSubmissionRoughAddress16</vt:lpstr>
      <vt:lpstr>rsgBatchSubmissionRoughAddress17</vt:lpstr>
      <vt:lpstr>rsgBatchSubmissionRoughAddress18</vt:lpstr>
      <vt:lpstr>rsgBatchSubmissionRoughAddress19</vt:lpstr>
      <vt:lpstr>rsgBatchSubmissionRoughAddress2</vt:lpstr>
      <vt:lpstr>rsgBatchSubmissionRoughAddress20</vt:lpstr>
      <vt:lpstr>rsgBatchSubmissionRoughAddress21</vt:lpstr>
      <vt:lpstr>rsgBatchSubmissionRoughAddress22</vt:lpstr>
      <vt:lpstr>rsgBatchSubmissionRoughAddress23</vt:lpstr>
      <vt:lpstr>rsgBatchSubmissionRoughAddress24</vt:lpstr>
      <vt:lpstr>rsgBatchSubmissionRoughAddress25</vt:lpstr>
      <vt:lpstr>rsgBatchSubmissionRoughAddress26</vt:lpstr>
      <vt:lpstr>rsgBatchSubmissionRoughAddress27</vt:lpstr>
      <vt:lpstr>rsgBatchSubmissionRoughAddress28</vt:lpstr>
      <vt:lpstr>rsgBatchSubmissionRoughAddress29</vt:lpstr>
      <vt:lpstr>rsgBatchSubmissionRoughAddress3</vt:lpstr>
      <vt:lpstr>rsgBatchSubmissionRoughAddress30</vt:lpstr>
      <vt:lpstr>rsgBatchSubmissionRoughAddress31</vt:lpstr>
      <vt:lpstr>rsgBatchSubmissionRoughAddress32</vt:lpstr>
      <vt:lpstr>rsgBatchSubmissionRoughAddress33</vt:lpstr>
      <vt:lpstr>rsgBatchSubmissionRoughAddress34</vt:lpstr>
      <vt:lpstr>rsgBatchSubmissionRoughAddress35</vt:lpstr>
      <vt:lpstr>rsgBatchSubmissionRoughAddress36</vt:lpstr>
      <vt:lpstr>rsgBatchSubmissionRoughAddress37</vt:lpstr>
      <vt:lpstr>rsgBatchSubmissionRoughAddress38</vt:lpstr>
      <vt:lpstr>rsgBatchSubmissionRoughAddress39</vt:lpstr>
      <vt:lpstr>rsgBatchSubmissionRoughAddress4</vt:lpstr>
      <vt:lpstr>rsgBatchSubmissionRoughAddress40</vt:lpstr>
      <vt:lpstr>rsgBatchSubmissionRoughAddress41</vt:lpstr>
      <vt:lpstr>rsgBatchSubmissionRoughAddress42</vt:lpstr>
      <vt:lpstr>rsgBatchSubmissionRoughAddress43</vt:lpstr>
      <vt:lpstr>rsgBatchSubmissionRoughAddress44</vt:lpstr>
      <vt:lpstr>rsgBatchSubmissionRoughAddress45</vt:lpstr>
      <vt:lpstr>rsgBatchSubmissionRoughAddress46</vt:lpstr>
      <vt:lpstr>rsgBatchSubmissionRoughAddress47</vt:lpstr>
      <vt:lpstr>rsgBatchSubmissionRoughAddress48</vt:lpstr>
      <vt:lpstr>rsgBatchSubmissionRoughAddress49</vt:lpstr>
      <vt:lpstr>rsgBatchSubmissionRoughAddress5</vt:lpstr>
      <vt:lpstr>rsgBatchSubmissionRoughAddress50</vt:lpstr>
      <vt:lpstr>rsgBatchSubmissionRoughAddress6</vt:lpstr>
      <vt:lpstr>rsgBatchSubmissionRoughAddress7</vt:lpstr>
      <vt:lpstr>rsgBatchSubmissionRoughAddress8</vt:lpstr>
      <vt:lpstr>rsgBatchSubmissionRoughAddress9</vt:lpstr>
      <vt:lpstr>rsgBatchSubmissionZIP1</vt:lpstr>
      <vt:lpstr>rsgBatchSubmissionZIP10</vt:lpstr>
      <vt:lpstr>rsgBatchSubmissionZIP11</vt:lpstr>
      <vt:lpstr>rsgBatchSubmissionZIP12</vt:lpstr>
      <vt:lpstr>rsgBatchSubmissionZIP13</vt:lpstr>
      <vt:lpstr>rsgBatchSubmissionZIP14</vt:lpstr>
      <vt:lpstr>rsgBatchSubmissionZIP15</vt:lpstr>
      <vt:lpstr>rsgBatchSubmissionZIP16</vt:lpstr>
      <vt:lpstr>rsgBatchSubmissionZIP17</vt:lpstr>
      <vt:lpstr>rsgBatchSubmissionZIP18</vt:lpstr>
      <vt:lpstr>rsgBatchSubmissionZIP19</vt:lpstr>
      <vt:lpstr>rsgBatchSubmissionZIP2</vt:lpstr>
      <vt:lpstr>rsgBatchSubmissionZIP20</vt:lpstr>
      <vt:lpstr>rsgBatchSubmissionZIP21</vt:lpstr>
      <vt:lpstr>rsgBatchSubmissionZIP22</vt:lpstr>
      <vt:lpstr>rsgBatchSubmissionZIP23</vt:lpstr>
      <vt:lpstr>rsgBatchSubmissionZIP24</vt:lpstr>
      <vt:lpstr>rsgBatchSubmissionZIP25</vt:lpstr>
      <vt:lpstr>rsgBatchSubmissionZIP26</vt:lpstr>
      <vt:lpstr>rsgBatchSubmissionZIP27</vt:lpstr>
      <vt:lpstr>rsgBatchSubmissionZIP28</vt:lpstr>
      <vt:lpstr>rsgBatchSubmissionZIP29</vt:lpstr>
      <vt:lpstr>rsgBatchSubmissionZIP3</vt:lpstr>
      <vt:lpstr>rsgBatchSubmissionZIP30</vt:lpstr>
      <vt:lpstr>rsgBatchSubmissionZIP31</vt:lpstr>
      <vt:lpstr>rsgBatchSubmissionZIP32</vt:lpstr>
      <vt:lpstr>rsgBatchSubmissionZIP33</vt:lpstr>
      <vt:lpstr>rsgBatchSubmissionZIP34</vt:lpstr>
      <vt:lpstr>rsgBatchSubmissionZIP35</vt:lpstr>
      <vt:lpstr>rsgBatchSubmissionZIP36</vt:lpstr>
      <vt:lpstr>rsgBatchSubmissionZIP37</vt:lpstr>
      <vt:lpstr>rsgBatchSubmissionZIP38</vt:lpstr>
      <vt:lpstr>rsgBatchSubmissionZIP39</vt:lpstr>
      <vt:lpstr>rsgBatchSubmissionZIP4</vt:lpstr>
      <vt:lpstr>rsgBatchSubmissionZIP40</vt:lpstr>
      <vt:lpstr>rsgBatchSubmissionZIP41</vt:lpstr>
      <vt:lpstr>rsgBatchSubmissionZIP42</vt:lpstr>
      <vt:lpstr>rsgBatchSubmissionZIP43</vt:lpstr>
      <vt:lpstr>rsgBatchSubmissionZIP44</vt:lpstr>
      <vt:lpstr>rsgBatchSubmissionZIP45</vt:lpstr>
      <vt:lpstr>rsgBatchSubmissionZIP46</vt:lpstr>
      <vt:lpstr>rsgBatchSubmissionZIP47</vt:lpstr>
      <vt:lpstr>rsgBatchSubmissionZIP48</vt:lpstr>
      <vt:lpstr>rsgBatchSubmissionZIP49</vt:lpstr>
      <vt:lpstr>rsgBatchSubmissionZIP5</vt:lpstr>
      <vt:lpstr>rsgBatchSubmissionZIP50</vt:lpstr>
      <vt:lpstr>rsgBatchSubmissionZIP6</vt:lpstr>
      <vt:lpstr>rsgBatchSubmissionZIP7</vt:lpstr>
      <vt:lpstr>rsgBatchSubmissionZIP8</vt:lpstr>
      <vt:lpstr>rsgBatchSubmissionZIP9</vt:lpstr>
      <vt:lpstr>rsgBuilderComments</vt:lpstr>
      <vt:lpstr>rsgBuilderDate</vt:lpstr>
      <vt:lpstr>rsgBuilderEmail</vt:lpstr>
      <vt:lpstr>rsgBuilderName</vt:lpstr>
      <vt:lpstr>rsgBuilderPhone</vt:lpstr>
      <vt:lpstr>rsgSampleDate1</vt:lpstr>
      <vt:lpstr>rsgSampleDate10</vt:lpstr>
      <vt:lpstr>rsgSampleDate11</vt:lpstr>
      <vt:lpstr>rsgSampleDate12</vt:lpstr>
      <vt:lpstr>rsgSampleDate13</vt:lpstr>
      <vt:lpstr>rsgSampleDate14</vt:lpstr>
      <vt:lpstr>rsgSampleDate15</vt:lpstr>
      <vt:lpstr>rsgSampleDate16</vt:lpstr>
      <vt:lpstr>rsgSampleDate2</vt:lpstr>
      <vt:lpstr>rsgSampleDate3</vt:lpstr>
      <vt:lpstr>rsgSampleDate4</vt:lpstr>
      <vt:lpstr>rsgSampleDate5</vt:lpstr>
      <vt:lpstr>rsgSampleDate6</vt:lpstr>
      <vt:lpstr>rsgSampleDate7</vt:lpstr>
      <vt:lpstr>rsgSampleDate8</vt:lpstr>
      <vt:lpstr>rsgSampleDate9</vt:lpstr>
      <vt:lpstr>rsgSampleNotes1</vt:lpstr>
      <vt:lpstr>rsgSampleNotes10</vt:lpstr>
      <vt:lpstr>rsgSampleNotes11</vt:lpstr>
      <vt:lpstr>rsgSampleNotes12</vt:lpstr>
      <vt:lpstr>rsgSampleNotes13</vt:lpstr>
      <vt:lpstr>rsgSampleNotes14</vt:lpstr>
      <vt:lpstr>rsgSampleNotes15</vt:lpstr>
      <vt:lpstr>rsgSampleNotes16</vt:lpstr>
      <vt:lpstr>rsgSampleNotes2</vt:lpstr>
      <vt:lpstr>rsgSampleNotes3</vt:lpstr>
      <vt:lpstr>rsgSampleNotes4</vt:lpstr>
      <vt:lpstr>rsgSampleNotes5</vt:lpstr>
      <vt:lpstr>rsgSampleNotes6</vt:lpstr>
      <vt:lpstr>rsgSampleNotes7</vt:lpstr>
      <vt:lpstr>rsgSampleNotes8</vt:lpstr>
      <vt:lpstr>rsgSampleNotes9</vt:lpstr>
      <vt:lpstr>rsgSampleUnitsAvailable1</vt:lpstr>
      <vt:lpstr>rsgSampleUnitsAvailable10</vt:lpstr>
      <vt:lpstr>rsgSampleUnitsAvailable11</vt:lpstr>
      <vt:lpstr>rsgSampleUnitsAvailable12</vt:lpstr>
      <vt:lpstr>rsgSampleUnitsAvailable13</vt:lpstr>
      <vt:lpstr>rsgSampleUnitsAvailable14</vt:lpstr>
      <vt:lpstr>rsgSampleUnitsAvailable15</vt:lpstr>
      <vt:lpstr>rsgSampleUnitsAvailable16</vt:lpstr>
      <vt:lpstr>rsgSampleUnitsAvailable2</vt:lpstr>
      <vt:lpstr>rsgSampleUnitsAvailable3</vt:lpstr>
      <vt:lpstr>rsgSampleUnitsAvailable4</vt:lpstr>
      <vt:lpstr>rsgSampleUnitsAvailable5</vt:lpstr>
      <vt:lpstr>rsgSampleUnitsAvailable6</vt:lpstr>
      <vt:lpstr>rsgSampleUnitsAvailable7</vt:lpstr>
      <vt:lpstr>rsgSampleUnitsAvailable8</vt:lpstr>
      <vt:lpstr>rsgSampleUnitsAvailable9</vt:lpstr>
      <vt:lpstr>rsgSampleUnitsInspected1</vt:lpstr>
      <vt:lpstr>rsgSampleUnitsInspected10</vt:lpstr>
      <vt:lpstr>rsgSampleUnitsInspected11</vt:lpstr>
      <vt:lpstr>rsgSampleUnitsInspected12</vt:lpstr>
      <vt:lpstr>rsgSampleUnitsInspected13</vt:lpstr>
      <vt:lpstr>rsgSampleUnitsInspected14</vt:lpstr>
      <vt:lpstr>rsgSampleUnitsInspected15</vt:lpstr>
      <vt:lpstr>rsgSampleUnitsInspected16</vt:lpstr>
      <vt:lpstr>rsgSampleUnitsInspected2</vt:lpstr>
      <vt:lpstr>rsgSampleUnitsInspected3</vt:lpstr>
      <vt:lpstr>rsgSampleUnitsInspected4</vt:lpstr>
      <vt:lpstr>rsgSampleUnitsInspected5</vt:lpstr>
      <vt:lpstr>rsgSampleUnitsInspected6</vt:lpstr>
      <vt:lpstr>rsgSampleUnitsInspected7</vt:lpstr>
      <vt:lpstr>rsgSampleUnitsInspected8</vt:lpstr>
      <vt:lpstr>rsgSampleUnitsInspected9</vt:lpstr>
      <vt:lpstr>rsgTeamVerifierElementsVerified1</vt:lpstr>
      <vt:lpstr>rsgTeamVerifierElementsVerified2</vt:lpstr>
      <vt:lpstr>rsgTeamVerifierElementsVerified3</vt:lpstr>
      <vt:lpstr>rsgTeamVerifierElementsVerified4</vt:lpstr>
      <vt:lpstr>rsgTeamVerifierElementsVerified5</vt:lpstr>
      <vt:lpstr>rsgTeamVerifierInspectionDate1</vt:lpstr>
      <vt:lpstr>rsgTeamVerifierInspectionDate2</vt:lpstr>
      <vt:lpstr>rsgTeamVerifierInspectionDate3</vt:lpstr>
      <vt:lpstr>rsgTeamVerifierInspectionDate4</vt:lpstr>
      <vt:lpstr>rsgTeamVerifierInspectionDate5</vt:lpstr>
      <vt:lpstr>rsgTeamVerifierName1</vt:lpstr>
      <vt:lpstr>rsgTeamVerifierName2</vt:lpstr>
      <vt:lpstr>rsgTeamVerifierName3</vt:lpstr>
      <vt:lpstr>rsgTeamVerifierName4</vt:lpstr>
      <vt:lpstr>rsgTeamVerifierName5</vt:lpstr>
      <vt:lpstr>rsgTeamVerifierRole1</vt:lpstr>
      <vt:lpstr>rsgTeamVerifierRole2</vt:lpstr>
      <vt:lpstr>rsgTeamVerifierRole3</vt:lpstr>
      <vt:lpstr>rsgTeamVerifierRole4</vt:lpstr>
      <vt:lpstr>rsgTeamVerifierRole5</vt:lpstr>
      <vt:lpstr>rsgVerifierComments</vt:lpstr>
      <vt:lpstr>rsgVerifierDate</vt:lpstr>
      <vt:lpstr>rsgVerifierEmail</vt:lpstr>
      <vt:lpstr>rsgVerifierEndTime</vt:lpstr>
      <vt:lpstr>rsgVerifierName</vt:lpstr>
      <vt:lpstr>rsgVerifierPhone</vt:lpstr>
      <vt:lpstr>rsgVerifierStartTime</vt:lpstr>
      <vt:lpstr>SFIntro</vt:lpstr>
      <vt:lpstr>startError</vt:lpstr>
      <vt:lpstr>TorF</vt:lpstr>
      <vt:lpstr>vch1001_1_1</vt:lpstr>
      <vt:lpstr>vch1001_1_10</vt:lpstr>
      <vt:lpstr>vch1001_1_11</vt:lpstr>
      <vt:lpstr>vch1001_1_12</vt:lpstr>
      <vt:lpstr>vch1001_1_13</vt:lpstr>
      <vt:lpstr>vch1001_1_14</vt:lpstr>
      <vt:lpstr>vch1001_1_15</vt:lpstr>
      <vt:lpstr>vch1001_1_16</vt:lpstr>
      <vt:lpstr>vch1001_1_17</vt:lpstr>
      <vt:lpstr>vch1001_1_18</vt:lpstr>
      <vt:lpstr>vch1001_1_19</vt:lpstr>
      <vt:lpstr>vch1001_1_2</vt:lpstr>
      <vt:lpstr>vch1001_1_20</vt:lpstr>
      <vt:lpstr>vch1001_1_21</vt:lpstr>
      <vt:lpstr>vch1001_1_22</vt:lpstr>
      <vt:lpstr>vch1001_1_23</vt:lpstr>
      <vt:lpstr>vch1001_1_24</vt:lpstr>
      <vt:lpstr>vch1001_1_3</vt:lpstr>
      <vt:lpstr>vch1001_1_4</vt:lpstr>
      <vt:lpstr>vch1001_1_5</vt:lpstr>
      <vt:lpstr>vch1001_1_6</vt:lpstr>
      <vt:lpstr>vch1001_1_7</vt:lpstr>
      <vt:lpstr>vch1001_1_8</vt:lpstr>
      <vt:lpstr>vch1001_1_9</vt:lpstr>
      <vt:lpstr>vch1001_2</vt:lpstr>
      <vt:lpstr>vch1002_1_1</vt:lpstr>
      <vt:lpstr>vch1002_1_2</vt:lpstr>
      <vt:lpstr>vch1002_1_3</vt:lpstr>
      <vt:lpstr>vch1002_1_4</vt:lpstr>
      <vt:lpstr>vch1002_1_5</vt:lpstr>
      <vt:lpstr>vch1002_1_6</vt:lpstr>
      <vt:lpstr>vch1002_1_7</vt:lpstr>
      <vt:lpstr>vch1002_1_8</vt:lpstr>
      <vt:lpstr>vch1002_2_1</vt:lpstr>
      <vt:lpstr>vch1002_2_10</vt:lpstr>
      <vt:lpstr>vch1002_2_11</vt:lpstr>
      <vt:lpstr>vch1002_2_2</vt:lpstr>
      <vt:lpstr>vch1002_2_3</vt:lpstr>
      <vt:lpstr>vch1002_2_4</vt:lpstr>
      <vt:lpstr>vch1002_2_5</vt:lpstr>
      <vt:lpstr>vch1002_2_6</vt:lpstr>
      <vt:lpstr>vch1002_2_7</vt:lpstr>
      <vt:lpstr>vch1002_2_8</vt:lpstr>
      <vt:lpstr>vch1002_2_9</vt:lpstr>
      <vt:lpstr>vch1002_3_1</vt:lpstr>
      <vt:lpstr>vch1002_3_10</vt:lpstr>
      <vt:lpstr>vch1002_3_11</vt:lpstr>
      <vt:lpstr>vch1002_3_2</vt:lpstr>
      <vt:lpstr>vch1002_3_3</vt:lpstr>
      <vt:lpstr>vch1002_3_4</vt:lpstr>
      <vt:lpstr>vch1002_3_5</vt:lpstr>
      <vt:lpstr>vch1002_3_6</vt:lpstr>
      <vt:lpstr>vch1002_3_7</vt:lpstr>
      <vt:lpstr>vch1002_3_8</vt:lpstr>
      <vt:lpstr>vch1002_3_9</vt:lpstr>
      <vt:lpstr>vch1002_4</vt:lpstr>
      <vt:lpstr>vch1002_5_1</vt:lpstr>
      <vt:lpstr>vch1002_5_2</vt:lpstr>
      <vt:lpstr>vch1002_5_3</vt:lpstr>
      <vt:lpstr>vch1002_5_4</vt:lpstr>
      <vt:lpstr>vch1002_5_5</vt:lpstr>
      <vt:lpstr>vch1002_5_6</vt:lpstr>
      <vt:lpstr>vch1002_5_7</vt:lpstr>
      <vt:lpstr>vch1002_5_8</vt:lpstr>
      <vt:lpstr>vch1002_5_9</vt:lpstr>
      <vt:lpstr>vch1002_6_1</vt:lpstr>
      <vt:lpstr>vch1002_6_2</vt:lpstr>
      <vt:lpstr>vch1002_6_3</vt:lpstr>
      <vt:lpstr>vch1002_6_4</vt:lpstr>
      <vt:lpstr>vch1002_6_5</vt:lpstr>
      <vt:lpstr>vch1002_6_6</vt:lpstr>
      <vt:lpstr>vch1002_6_7</vt:lpstr>
      <vt:lpstr>vch1003_1_1</vt:lpstr>
      <vt:lpstr>vch1003_1_2</vt:lpstr>
      <vt:lpstr>vch1003_1_3</vt:lpstr>
      <vt:lpstr>vch1004_1_1</vt:lpstr>
      <vt:lpstr>vch1004_1_2</vt:lpstr>
      <vt:lpstr>vch1005_1_1</vt:lpstr>
      <vt:lpstr>vch1005_1_2</vt:lpstr>
      <vt:lpstr>vch501_1_1</vt:lpstr>
      <vt:lpstr>vch501_1_2_a</vt:lpstr>
      <vt:lpstr>vch501_1_2_b</vt:lpstr>
      <vt:lpstr>vch501_1_2_c</vt:lpstr>
      <vt:lpstr>vch501_2_1</vt:lpstr>
      <vt:lpstr>vch501_2_2</vt:lpstr>
      <vt:lpstr>vch501_2_3</vt:lpstr>
      <vt:lpstr>vch501_2_4</vt:lpstr>
      <vt:lpstr>vch501_2_4_1</vt:lpstr>
      <vt:lpstr>vch501_2_5</vt:lpstr>
      <vt:lpstr>vch501_2_6</vt:lpstr>
      <vt:lpstr>vch501_2_6_d</vt:lpstr>
      <vt:lpstr>vch501_2_7</vt:lpstr>
      <vt:lpstr>vch501_2_8</vt:lpstr>
      <vt:lpstr>vch502_1</vt:lpstr>
      <vt:lpstr>vch503_1_1</vt:lpstr>
      <vt:lpstr>vch503_1_2</vt:lpstr>
      <vt:lpstr>vch503_1_3</vt:lpstr>
      <vt:lpstr>vch503_1_4</vt:lpstr>
      <vt:lpstr>vch503_1_5</vt:lpstr>
      <vt:lpstr>vch503_1_6</vt:lpstr>
      <vt:lpstr>vch503_1_7</vt:lpstr>
      <vt:lpstr>vch503_1_8</vt:lpstr>
      <vt:lpstr>vch503_2</vt:lpstr>
      <vt:lpstr>vch503_2_1</vt:lpstr>
      <vt:lpstr>vch503_2_2</vt:lpstr>
      <vt:lpstr>vch503_2_3</vt:lpstr>
      <vt:lpstr>vch503_2_4</vt:lpstr>
      <vt:lpstr>vch503_2_5</vt:lpstr>
      <vt:lpstr>vch503_3_1</vt:lpstr>
      <vt:lpstr>vch503_3_2_a</vt:lpstr>
      <vt:lpstr>vch503_3_2_b</vt:lpstr>
      <vt:lpstr>vch503_3_2_c</vt:lpstr>
      <vt:lpstr>vch503_3_2_d</vt:lpstr>
      <vt:lpstr>vch503_3_3</vt:lpstr>
      <vt:lpstr>vch503_4_1</vt:lpstr>
      <vt:lpstr>vch503_4_2</vt:lpstr>
      <vt:lpstr>vch503_4_3</vt:lpstr>
      <vt:lpstr>vch503_4_4</vt:lpstr>
      <vt:lpstr>vch503_4_4_c_1</vt:lpstr>
      <vt:lpstr>vch503_4_5</vt:lpstr>
      <vt:lpstr>vch503_5</vt:lpstr>
      <vt:lpstr>vch503_5_1</vt:lpstr>
      <vt:lpstr>vch503_5_10</vt:lpstr>
      <vt:lpstr>vch503_5_11</vt:lpstr>
      <vt:lpstr>vch503_5_12</vt:lpstr>
      <vt:lpstr>vch503_5_13</vt:lpstr>
      <vt:lpstr>vch503_5_2</vt:lpstr>
      <vt:lpstr>vch503_5_3</vt:lpstr>
      <vt:lpstr>vch503_5_4</vt:lpstr>
      <vt:lpstr>vch503_5_5</vt:lpstr>
      <vt:lpstr>vch503_5_6</vt:lpstr>
      <vt:lpstr>vch503_5_7</vt:lpstr>
      <vt:lpstr>vch503_5_8</vt:lpstr>
      <vt:lpstr>vch503_5_9</vt:lpstr>
      <vt:lpstr>vch503_6_1</vt:lpstr>
      <vt:lpstr>vch503_6_2</vt:lpstr>
      <vt:lpstr>vch503_6_3</vt:lpstr>
      <vt:lpstr>vch503_6_4</vt:lpstr>
      <vt:lpstr>vch503_7</vt:lpstr>
      <vt:lpstr>vch503_8</vt:lpstr>
      <vt:lpstr>vch504_1</vt:lpstr>
      <vt:lpstr>vch504_2_1</vt:lpstr>
      <vt:lpstr>vch504_2_2</vt:lpstr>
      <vt:lpstr>vch504_2_3</vt:lpstr>
      <vt:lpstr>vch504_3_1</vt:lpstr>
      <vt:lpstr>vch504_3_2</vt:lpstr>
      <vt:lpstr>vch504_3_3</vt:lpstr>
      <vt:lpstr>vch504_3_4</vt:lpstr>
      <vt:lpstr>vch504_3_5</vt:lpstr>
      <vt:lpstr>vch504_3_6</vt:lpstr>
      <vt:lpstr>vch504_3_7</vt:lpstr>
      <vt:lpstr>vch504_3_8a</vt:lpstr>
      <vt:lpstr>vch504_3_8b</vt:lpstr>
      <vt:lpstr>vch504_3_8c</vt:lpstr>
      <vt:lpstr>vch504_3_8d</vt:lpstr>
      <vt:lpstr>vch504_3_8e</vt:lpstr>
      <vt:lpstr>vch504_3_8f</vt:lpstr>
      <vt:lpstr>vch504_3_9</vt:lpstr>
      <vt:lpstr>vch505_1_1</vt:lpstr>
      <vt:lpstr>vch505_1_2</vt:lpstr>
      <vt:lpstr>vch505_1_3</vt:lpstr>
      <vt:lpstr>vch505_10_a</vt:lpstr>
      <vt:lpstr>vch505_10_b</vt:lpstr>
      <vt:lpstr>vch505_10_c</vt:lpstr>
      <vt:lpstr>vch505_2_1_a</vt:lpstr>
      <vt:lpstr>vch505_2_1_b</vt:lpstr>
      <vt:lpstr>vch505_2_1_c</vt:lpstr>
      <vt:lpstr>vch505_2_2</vt:lpstr>
      <vt:lpstr>vch505_3_1</vt:lpstr>
      <vt:lpstr>vch505_4_1</vt:lpstr>
      <vt:lpstr>vch505_5_a</vt:lpstr>
      <vt:lpstr>vch505_5_b</vt:lpstr>
      <vt:lpstr>vch505_5_c</vt:lpstr>
      <vt:lpstr>vch505_5_d</vt:lpstr>
      <vt:lpstr>vch505_6</vt:lpstr>
      <vt:lpstr>vch505_7</vt:lpstr>
      <vt:lpstr>vch505_8</vt:lpstr>
      <vt:lpstr>vch505_9_a</vt:lpstr>
      <vt:lpstr>vch505_9_b</vt:lpstr>
      <vt:lpstr>vch505_9_c</vt:lpstr>
      <vt:lpstr>vch601_2_1</vt:lpstr>
      <vt:lpstr>vch601_2_2</vt:lpstr>
      <vt:lpstr>vch601_2_3</vt:lpstr>
      <vt:lpstr>vch601_3_1</vt:lpstr>
      <vt:lpstr>vch601_3_2</vt:lpstr>
      <vt:lpstr>vch601_3_3</vt:lpstr>
      <vt:lpstr>vch601_3_4</vt:lpstr>
      <vt:lpstr>vch601_3_5</vt:lpstr>
      <vt:lpstr>vch601_4</vt:lpstr>
      <vt:lpstr>vch601_5_1</vt:lpstr>
      <vt:lpstr>vch601_5_2</vt:lpstr>
      <vt:lpstr>vch601_5_3</vt:lpstr>
      <vt:lpstr>vch601_5_4</vt:lpstr>
      <vt:lpstr>vch601_5_5</vt:lpstr>
      <vt:lpstr>vch601_7_a</vt:lpstr>
      <vt:lpstr>vch601_7_b</vt:lpstr>
      <vt:lpstr>vch601_7_c</vt:lpstr>
      <vt:lpstr>vch601_7_d</vt:lpstr>
      <vt:lpstr>vch601_7_e</vt:lpstr>
      <vt:lpstr>vch601_8</vt:lpstr>
      <vt:lpstr>vch602_1_1_1</vt:lpstr>
      <vt:lpstr>vch602_1_1_2</vt:lpstr>
      <vt:lpstr>vch602_1_10</vt:lpstr>
      <vt:lpstr>vch602_1_11</vt:lpstr>
      <vt:lpstr>vch602_1_12</vt:lpstr>
      <vt:lpstr>vch602_1_13</vt:lpstr>
      <vt:lpstr>vch602_1_14_1</vt:lpstr>
      <vt:lpstr>vch602_1_14_2</vt:lpstr>
      <vt:lpstr>vch602_1_14_3</vt:lpstr>
      <vt:lpstr>vch602_1_15</vt:lpstr>
      <vt:lpstr>vch602_1_2__1</vt:lpstr>
      <vt:lpstr>vch602_1_2__2</vt:lpstr>
      <vt:lpstr>vch602_1_3_1</vt:lpstr>
      <vt:lpstr>vch602_1_3_2</vt:lpstr>
      <vt:lpstr>vch602_1_4_1_1</vt:lpstr>
      <vt:lpstr>vch602_1_4_1_2</vt:lpstr>
      <vt:lpstr>vch602_1_4_2_1</vt:lpstr>
      <vt:lpstr>vch602_1_4_2_2</vt:lpstr>
      <vt:lpstr>vch602_1_5</vt:lpstr>
      <vt:lpstr>vch602_1_5_1</vt:lpstr>
      <vt:lpstr>vch602_1_5_2</vt:lpstr>
      <vt:lpstr>vch602_1_6_1</vt:lpstr>
      <vt:lpstr>vch602_1_6_2</vt:lpstr>
      <vt:lpstr>vch602_1_6_3</vt:lpstr>
      <vt:lpstr>vch602_1_7_1_1</vt:lpstr>
      <vt:lpstr>vch602_1_7_1_2</vt:lpstr>
      <vt:lpstr>vch602_1_7_1_3</vt:lpstr>
      <vt:lpstr>vch602_1_7_2</vt:lpstr>
      <vt:lpstr>vch602_1_7_3</vt:lpstr>
      <vt:lpstr>vch602_1_8</vt:lpstr>
      <vt:lpstr>vch602_1_9_1</vt:lpstr>
      <vt:lpstr>vch602_1_9_2</vt:lpstr>
      <vt:lpstr>vch602_1_9_3</vt:lpstr>
      <vt:lpstr>vch602_1_9_4</vt:lpstr>
      <vt:lpstr>vch602_1_9_5</vt:lpstr>
      <vt:lpstr>vch602_1_9_6</vt:lpstr>
      <vt:lpstr>vch602_1_9_7</vt:lpstr>
      <vt:lpstr>vch602_2_1</vt:lpstr>
      <vt:lpstr>vch602_2_2</vt:lpstr>
      <vt:lpstr>vch602_2_3</vt:lpstr>
      <vt:lpstr>vch602_3</vt:lpstr>
      <vt:lpstr>vch602_4_1</vt:lpstr>
      <vt:lpstr>vch602_4_2</vt:lpstr>
      <vt:lpstr>vch602_4_3</vt:lpstr>
      <vt:lpstr>vch603_1</vt:lpstr>
      <vt:lpstr>vch603_2</vt:lpstr>
      <vt:lpstr>vch603_3</vt:lpstr>
      <vt:lpstr>vch604_1a</vt:lpstr>
      <vt:lpstr>vch604_1b</vt:lpstr>
      <vt:lpstr>vch604_1c</vt:lpstr>
      <vt:lpstr>vch604_1d</vt:lpstr>
      <vt:lpstr>vch605_1</vt:lpstr>
      <vt:lpstr>vch605_2</vt:lpstr>
      <vt:lpstr>vch605_2_2</vt:lpstr>
      <vt:lpstr>vch605_3</vt:lpstr>
      <vt:lpstr>vch605_4_2_a</vt:lpstr>
      <vt:lpstr>vch605_4_2_b</vt:lpstr>
      <vt:lpstr>vch605_4_2_c</vt:lpstr>
      <vt:lpstr>vch605_4_2_d</vt:lpstr>
      <vt:lpstr>vch605_4_2_e</vt:lpstr>
      <vt:lpstr>vch605_4_2_f</vt:lpstr>
      <vt:lpstr>vch605_4_2_g</vt:lpstr>
      <vt:lpstr>vch605_4_2_h</vt:lpstr>
      <vt:lpstr>vch605_4_2_i</vt:lpstr>
      <vt:lpstr>vch606_1_a</vt:lpstr>
      <vt:lpstr>vch606_1_b</vt:lpstr>
      <vt:lpstr>vch606_1_c</vt:lpstr>
      <vt:lpstr>vch606_1_d</vt:lpstr>
      <vt:lpstr>vch606_1_e</vt:lpstr>
      <vt:lpstr>vch606_1_f</vt:lpstr>
      <vt:lpstr>vch606_1_g</vt:lpstr>
      <vt:lpstr>vch606_1_h</vt:lpstr>
      <vt:lpstr>vch606_2_1a</vt:lpstr>
      <vt:lpstr>vch606_2_1b</vt:lpstr>
      <vt:lpstr>vch606_2_2a</vt:lpstr>
      <vt:lpstr>vch606_2_2b</vt:lpstr>
      <vt:lpstr>vch606_3</vt:lpstr>
      <vt:lpstr>vch607_1_1</vt:lpstr>
      <vt:lpstr>vch607_1_2</vt:lpstr>
      <vt:lpstr>vch607_2</vt:lpstr>
      <vt:lpstr>vch608_1</vt:lpstr>
      <vt:lpstr>vch609_1_1</vt:lpstr>
      <vt:lpstr>vch609_1_2</vt:lpstr>
      <vt:lpstr>vch610_1_1_1</vt:lpstr>
      <vt:lpstr>vch610_1_1_2</vt:lpstr>
      <vt:lpstr>vch610_1_1_3</vt:lpstr>
      <vt:lpstr>vch610_1_2_1a</vt:lpstr>
      <vt:lpstr>vch610_1_2_1b</vt:lpstr>
      <vt:lpstr>vch610_1_2_2_f</vt:lpstr>
      <vt:lpstr>vch610_1_2_2a</vt:lpstr>
      <vt:lpstr>vch610_1_2_2b</vt:lpstr>
      <vt:lpstr>vch610_1_2_2c</vt:lpstr>
      <vt:lpstr>vch611_1_1</vt:lpstr>
      <vt:lpstr>vch611_1_2</vt:lpstr>
      <vt:lpstr>vch612_1</vt:lpstr>
      <vt:lpstr>vch612_2_1</vt:lpstr>
      <vt:lpstr>vch612_2_2</vt:lpstr>
      <vt:lpstr>vch612_2_3</vt:lpstr>
      <vt:lpstr>vch612_2_4</vt:lpstr>
      <vt:lpstr>vch612_2_5</vt:lpstr>
      <vt:lpstr>vch612_2_6</vt:lpstr>
      <vt:lpstr>vch612_2_7</vt:lpstr>
      <vt:lpstr>vch612_3_1</vt:lpstr>
      <vt:lpstr>vch612_3_2</vt:lpstr>
      <vt:lpstr>vch612_3_3</vt:lpstr>
      <vt:lpstr>vch612_3_4</vt:lpstr>
      <vt:lpstr>vch612_3_5</vt:lpstr>
      <vt:lpstr>vch612_3_6</vt:lpstr>
      <vt:lpstr>vch612_3_7</vt:lpstr>
      <vt:lpstr>vch612_3_8</vt:lpstr>
      <vt:lpstr>vch612_3_9</vt:lpstr>
      <vt:lpstr>vch613_1</vt:lpstr>
      <vt:lpstr>vch701_1</vt:lpstr>
      <vt:lpstr>vch701_1_</vt:lpstr>
      <vt:lpstr>vch701_1_4</vt:lpstr>
      <vt:lpstr>vch701_1_4_</vt:lpstr>
      <vt:lpstr>vch701_1_6_1</vt:lpstr>
      <vt:lpstr>vch701_1_6_2</vt:lpstr>
      <vt:lpstr>vch701_1_6_3</vt:lpstr>
      <vt:lpstr>vch701_1_6_4</vt:lpstr>
      <vt:lpstr>vch701_1_6_5</vt:lpstr>
      <vt:lpstr>vch701_1_6_6_a</vt:lpstr>
      <vt:lpstr>vch701_1_6_6_b</vt:lpstr>
      <vt:lpstr>vch701_1_6_6_c</vt:lpstr>
      <vt:lpstr>vch701_1_6_7_a</vt:lpstr>
      <vt:lpstr>vch701_1_6_7_b</vt:lpstr>
      <vt:lpstr>vch701_1_6_7_c</vt:lpstr>
      <vt:lpstr>vch701_1_6_8</vt:lpstr>
      <vt:lpstr>vch701_1_6_9</vt:lpstr>
      <vt:lpstr>vch701_3</vt:lpstr>
      <vt:lpstr>vch701_4_1</vt:lpstr>
      <vt:lpstr>vch701_4_1_1</vt:lpstr>
      <vt:lpstr>vch701_4_1_2</vt:lpstr>
      <vt:lpstr>vch701_4_2_2</vt:lpstr>
      <vt:lpstr>vch701_4_2_3</vt:lpstr>
      <vt:lpstr>vch701_4_3_1</vt:lpstr>
      <vt:lpstr>vch701_4_3_1_a</vt:lpstr>
      <vt:lpstr>vch701_4_3_1_b</vt:lpstr>
      <vt:lpstr>vch701_4_3_1_c</vt:lpstr>
      <vt:lpstr>vch701_4_3_1_d</vt:lpstr>
      <vt:lpstr>vch701_4_3_1_e</vt:lpstr>
      <vt:lpstr>vch701_4_3_1_f</vt:lpstr>
      <vt:lpstr>vch701_4_3_1_g</vt:lpstr>
      <vt:lpstr>vch701_4_3_1_h</vt:lpstr>
      <vt:lpstr>vch701_4_3_1_i</vt:lpstr>
      <vt:lpstr>vch701_4_3_1_j</vt:lpstr>
      <vt:lpstr>vch701_4_3_1_k</vt:lpstr>
      <vt:lpstr>vch701_4_3_1_l</vt:lpstr>
      <vt:lpstr>vch701_4_3_1_m</vt:lpstr>
      <vt:lpstr>vch701_4_3_2_1</vt:lpstr>
      <vt:lpstr>vch701_4_3_2_1_</vt:lpstr>
      <vt:lpstr>vch701_4_3_2_2</vt:lpstr>
      <vt:lpstr>vch701_4_3_2e</vt:lpstr>
      <vt:lpstr>vch701_4_3_4</vt:lpstr>
      <vt:lpstr>vch701_4_3_5</vt:lpstr>
      <vt:lpstr>vch701_4_4_1</vt:lpstr>
      <vt:lpstr>vch701_4_4_2</vt:lpstr>
      <vt:lpstr>vch701_4_5</vt:lpstr>
      <vt:lpstr>vch702_2_1</vt:lpstr>
      <vt:lpstr>vch702_2_2</vt:lpstr>
      <vt:lpstr>vch703_1_1</vt:lpstr>
      <vt:lpstr>vch703_1_2</vt:lpstr>
      <vt:lpstr>vch703_1_3</vt:lpstr>
      <vt:lpstr>vch703_1_3_1</vt:lpstr>
      <vt:lpstr>vch703_1_3_2</vt:lpstr>
      <vt:lpstr>vch703_2_1</vt:lpstr>
      <vt:lpstr>vch703_2_1_2</vt:lpstr>
      <vt:lpstr>vch703_2_2</vt:lpstr>
      <vt:lpstr>vch703_2_3</vt:lpstr>
      <vt:lpstr>vch703_2_5_1</vt:lpstr>
      <vt:lpstr>vch703_2_5_1_1</vt:lpstr>
      <vt:lpstr>vch703_2_5_2</vt:lpstr>
      <vt:lpstr>vch703_2_5_2_1</vt:lpstr>
      <vt:lpstr>vch703_3_0_1</vt:lpstr>
      <vt:lpstr>vch703_3_0_2</vt:lpstr>
      <vt:lpstr>vch703_3_1</vt:lpstr>
      <vt:lpstr>vch703_3_2__1_1</vt:lpstr>
      <vt:lpstr>vch703_3_2__2_1</vt:lpstr>
      <vt:lpstr>vch703_3_2__3_1</vt:lpstr>
      <vt:lpstr>vch703_3_2__4_1</vt:lpstr>
      <vt:lpstr>vch703_3_3__1_1</vt:lpstr>
      <vt:lpstr>vch703_3_3__2</vt:lpstr>
      <vt:lpstr>vch703_3_3__3</vt:lpstr>
      <vt:lpstr>vch703_3_4_1_1</vt:lpstr>
      <vt:lpstr>vch703_3_4_1_6</vt:lpstr>
      <vt:lpstr>vch703_3_4_2</vt:lpstr>
      <vt:lpstr>vch703_3_5</vt:lpstr>
      <vt:lpstr>vch703_3_6</vt:lpstr>
      <vt:lpstr>vch703_3_7_1</vt:lpstr>
      <vt:lpstr>vch703_3_7_2</vt:lpstr>
      <vt:lpstr>vch703_3_8</vt:lpstr>
      <vt:lpstr>vch703_4_1</vt:lpstr>
      <vt:lpstr>vch703_4_2</vt:lpstr>
      <vt:lpstr>vch703_4_3_1</vt:lpstr>
      <vt:lpstr>vch703_4_3_2</vt:lpstr>
      <vt:lpstr>vch703_4_3_3</vt:lpstr>
      <vt:lpstr>vch703_4_4</vt:lpstr>
      <vt:lpstr>vch703_5_1</vt:lpstr>
      <vt:lpstr>vch703_5_1_1</vt:lpstr>
      <vt:lpstr>vch703_5_1_1_a</vt:lpstr>
      <vt:lpstr>vch703_5_1_2</vt:lpstr>
      <vt:lpstr>vch703_5_1_2_a</vt:lpstr>
      <vt:lpstr>vch703_5_1_3</vt:lpstr>
      <vt:lpstr>vch703_5_2</vt:lpstr>
      <vt:lpstr>vch703_5_3</vt:lpstr>
      <vt:lpstr>vch703_5_4</vt:lpstr>
      <vt:lpstr>vch703_5_5</vt:lpstr>
      <vt:lpstr>vch703_5_5_a</vt:lpstr>
      <vt:lpstr>vch703_6_1_1</vt:lpstr>
      <vt:lpstr>vch703_6_1_2</vt:lpstr>
      <vt:lpstr>vch703_6_1_3</vt:lpstr>
      <vt:lpstr>vch703_6_2__1</vt:lpstr>
      <vt:lpstr>vch703_6_2__2</vt:lpstr>
      <vt:lpstr>vch703_6_2__3</vt:lpstr>
      <vt:lpstr>vch703_7_1</vt:lpstr>
      <vt:lpstr>vch703_7_2</vt:lpstr>
      <vt:lpstr>vch703_7_3_1_a</vt:lpstr>
      <vt:lpstr>vch703_7_3_1_b</vt:lpstr>
      <vt:lpstr>vch703_7_3_1_c</vt:lpstr>
      <vt:lpstr>vch703_7_3_1_d</vt:lpstr>
      <vt:lpstr>vch703_7_3_2</vt:lpstr>
      <vt:lpstr>vch703_7_3_3</vt:lpstr>
      <vt:lpstr>vch703_7_3_4</vt:lpstr>
      <vt:lpstr>vch703_7_3_5_a</vt:lpstr>
      <vt:lpstr>vch703_7_3_5_b</vt:lpstr>
      <vt:lpstr>vch703_7_3_6</vt:lpstr>
      <vt:lpstr>vch703_7_4</vt:lpstr>
      <vt:lpstr>vch704_2_1</vt:lpstr>
      <vt:lpstr>vch704_2_2</vt:lpstr>
      <vt:lpstr>vch705_2_1_1</vt:lpstr>
      <vt:lpstr>vch705_2_1_2</vt:lpstr>
      <vt:lpstr>vch705_2_1_3_1</vt:lpstr>
      <vt:lpstr>vch705_2_1_3_2</vt:lpstr>
      <vt:lpstr>vch705_2_1_4</vt:lpstr>
      <vt:lpstr>vch705_2_2</vt:lpstr>
      <vt:lpstr>vch705_2_3</vt:lpstr>
      <vt:lpstr>vch705_2_4</vt:lpstr>
      <vt:lpstr>vch705_3</vt:lpstr>
      <vt:lpstr>vch705_4</vt:lpstr>
      <vt:lpstr>vch705_5_1_1</vt:lpstr>
      <vt:lpstr>vch705_5_1_2</vt:lpstr>
      <vt:lpstr>vch705_5_2</vt:lpstr>
      <vt:lpstr>vch705_5_3_1</vt:lpstr>
      <vt:lpstr>vch705_5_3_2</vt:lpstr>
      <vt:lpstr>vch705_6_2_1_1_1</vt:lpstr>
      <vt:lpstr>vch705_6_2_1_1_2</vt:lpstr>
      <vt:lpstr>vch705_6_2_1_2</vt:lpstr>
      <vt:lpstr>vch705_6_2_2_1</vt:lpstr>
      <vt:lpstr>vch705_6_2_2_2</vt:lpstr>
      <vt:lpstr>vch705_6_2_3</vt:lpstr>
      <vt:lpstr>vch705_6_3</vt:lpstr>
      <vt:lpstr>vch705_6_3_1</vt:lpstr>
      <vt:lpstr>vch705_6_4_1</vt:lpstr>
      <vt:lpstr>vch705_6_4_2</vt:lpstr>
      <vt:lpstr>vch705_7</vt:lpstr>
      <vt:lpstr>vch706_1_1</vt:lpstr>
      <vt:lpstr>vch706_1_2</vt:lpstr>
      <vt:lpstr>vch706_1_3</vt:lpstr>
      <vt:lpstr>vch706_1_4</vt:lpstr>
      <vt:lpstr>vch706_1_5</vt:lpstr>
      <vt:lpstr>vch706_10</vt:lpstr>
      <vt:lpstr>vch706_11</vt:lpstr>
      <vt:lpstr>vch706_12</vt:lpstr>
      <vt:lpstr>vch706_13</vt:lpstr>
      <vt:lpstr>vch706_14_1</vt:lpstr>
      <vt:lpstr>vch706_14_2</vt:lpstr>
      <vt:lpstr>vch706_15_1</vt:lpstr>
      <vt:lpstr>vch706_15_2</vt:lpstr>
      <vt:lpstr>vch706_2_1</vt:lpstr>
      <vt:lpstr>vch706_2_2</vt:lpstr>
      <vt:lpstr>vch706_3_1</vt:lpstr>
      <vt:lpstr>vch706_3_2</vt:lpstr>
      <vt:lpstr>vch706_3_3</vt:lpstr>
      <vt:lpstr>vch706_3_4</vt:lpstr>
      <vt:lpstr>vch706_3_5</vt:lpstr>
      <vt:lpstr>vch706_3_6</vt:lpstr>
      <vt:lpstr>vch706_3_7</vt:lpstr>
      <vt:lpstr>vch706_3_8</vt:lpstr>
      <vt:lpstr>vch706_4_1_1</vt:lpstr>
      <vt:lpstr>vch706_4_1_2</vt:lpstr>
      <vt:lpstr>vch706_4_2</vt:lpstr>
      <vt:lpstr>vch706_5_1</vt:lpstr>
      <vt:lpstr>vch706_5_2</vt:lpstr>
      <vt:lpstr>vch706_5_3</vt:lpstr>
      <vt:lpstr>vch706_6</vt:lpstr>
      <vt:lpstr>vch706_7_1</vt:lpstr>
      <vt:lpstr>vch706_7_2</vt:lpstr>
      <vt:lpstr>vch706_8</vt:lpstr>
      <vt:lpstr>vch706_9</vt:lpstr>
      <vt:lpstr>vch801_1</vt:lpstr>
      <vt:lpstr>vch802_1</vt:lpstr>
      <vt:lpstr>vch802_1_6</vt:lpstr>
      <vt:lpstr>vch802_10_1</vt:lpstr>
      <vt:lpstr>vch802_10_1_1</vt:lpstr>
      <vt:lpstr>vch802_2_1</vt:lpstr>
      <vt:lpstr>vch802_2_2</vt:lpstr>
      <vt:lpstr>vch802_3_1_a</vt:lpstr>
      <vt:lpstr>vch802_3_1_b</vt:lpstr>
      <vt:lpstr>vch802_3_2_a</vt:lpstr>
      <vt:lpstr>vch802_3_2_b</vt:lpstr>
      <vt:lpstr>vch802_4_1</vt:lpstr>
      <vt:lpstr>vch802_4_2</vt:lpstr>
      <vt:lpstr>vch802_4_3</vt:lpstr>
      <vt:lpstr>vch802_5_1a</vt:lpstr>
      <vt:lpstr>vch802_5_1b</vt:lpstr>
      <vt:lpstr>vch802_5_2</vt:lpstr>
      <vt:lpstr>vch802_5_3</vt:lpstr>
      <vt:lpstr>vch802_5_4_2</vt:lpstr>
      <vt:lpstr>vch802_5_4_3</vt:lpstr>
      <vt:lpstr>vch802_5_4_4_a</vt:lpstr>
      <vt:lpstr>vch802_5_4_4_b</vt:lpstr>
      <vt:lpstr>vch802_5_4_4_c</vt:lpstr>
      <vt:lpstr>vch802_6_1</vt:lpstr>
      <vt:lpstr>vch802_6_2</vt:lpstr>
      <vt:lpstr>vch802_6_3_1</vt:lpstr>
      <vt:lpstr>vch802_6_3_2</vt:lpstr>
      <vt:lpstr>vch802_6_3_3</vt:lpstr>
      <vt:lpstr>vch802_6_4_1</vt:lpstr>
      <vt:lpstr>vch802_6_4_2</vt:lpstr>
      <vt:lpstr>vch802_6_5_1</vt:lpstr>
      <vt:lpstr>vch802_6_5_2</vt:lpstr>
      <vt:lpstr>vch802_6_5_3</vt:lpstr>
      <vt:lpstr>vch802_6_5_4</vt:lpstr>
      <vt:lpstr>vch802_6_5_5</vt:lpstr>
      <vt:lpstr>vch802_7_1</vt:lpstr>
      <vt:lpstr>vch802_7_2_1</vt:lpstr>
      <vt:lpstr>vch802_7_2_2</vt:lpstr>
      <vt:lpstr>vch802_8</vt:lpstr>
      <vt:lpstr>vch802_9_1</vt:lpstr>
      <vt:lpstr>vch802_9_2</vt:lpstr>
      <vt:lpstr>vch803_1_1</vt:lpstr>
      <vt:lpstr>vch803_1_2</vt:lpstr>
      <vt:lpstr>vch803_2</vt:lpstr>
      <vt:lpstr>vch803_3</vt:lpstr>
      <vt:lpstr>vch803_4</vt:lpstr>
      <vt:lpstr>vch803_5</vt:lpstr>
      <vt:lpstr>vch803_6</vt:lpstr>
      <vt:lpstr>vch804_2</vt:lpstr>
      <vt:lpstr>vch901_1_1</vt:lpstr>
      <vt:lpstr>vch901_1_2</vt:lpstr>
      <vt:lpstr>vch901_1_3_1</vt:lpstr>
      <vt:lpstr>vch901_1_3_2</vt:lpstr>
      <vt:lpstr>vch901_1_4</vt:lpstr>
      <vt:lpstr>vch901_1_5</vt:lpstr>
      <vt:lpstr>vch901_1_6</vt:lpstr>
      <vt:lpstr>vch901_10_1</vt:lpstr>
      <vt:lpstr>vch901_10_2</vt:lpstr>
      <vt:lpstr>vch901_10_3</vt:lpstr>
      <vt:lpstr>vch901_11</vt:lpstr>
      <vt:lpstr>vch901_12</vt:lpstr>
      <vt:lpstr>vch901_13</vt:lpstr>
      <vt:lpstr>vch901_14_1</vt:lpstr>
      <vt:lpstr>vch901_14_2</vt:lpstr>
      <vt:lpstr>vch901_15_1</vt:lpstr>
      <vt:lpstr>vch901_15_2</vt:lpstr>
      <vt:lpstr>vch901_2_1_1</vt:lpstr>
      <vt:lpstr>vch901_2_1_2</vt:lpstr>
      <vt:lpstr>vch901_2_1_3</vt:lpstr>
      <vt:lpstr>vch901_2_1_4</vt:lpstr>
      <vt:lpstr>vch901_2_1_5</vt:lpstr>
      <vt:lpstr>vch901_2_2</vt:lpstr>
      <vt:lpstr>vch901_3_1_a</vt:lpstr>
      <vt:lpstr>vch901_3_1_b</vt:lpstr>
      <vt:lpstr>vch901_3_1_c</vt:lpstr>
      <vt:lpstr>vch901_3_2</vt:lpstr>
      <vt:lpstr>vch901_4_1</vt:lpstr>
      <vt:lpstr>vch901_4_a</vt:lpstr>
      <vt:lpstr>vch901_4_b</vt:lpstr>
      <vt:lpstr>vch901_4_c</vt:lpstr>
      <vt:lpstr>vch901_4_d</vt:lpstr>
      <vt:lpstr>vch901_5_1</vt:lpstr>
      <vt:lpstr>vch901_5_2</vt:lpstr>
      <vt:lpstr>vch901_6</vt:lpstr>
      <vt:lpstr>vch901_7_1</vt:lpstr>
      <vt:lpstr>vch901_7_2</vt:lpstr>
      <vt:lpstr>vch901_7_3</vt:lpstr>
      <vt:lpstr>vch901_8</vt:lpstr>
      <vt:lpstr>vch901_9_1_1</vt:lpstr>
      <vt:lpstr>vch901_9_1_2</vt:lpstr>
      <vt:lpstr>vch901_9_1_3</vt:lpstr>
      <vt:lpstr>vch901_9_2</vt:lpstr>
      <vt:lpstr>vch901_9_3</vt:lpstr>
      <vt:lpstr>vch902_1_1</vt:lpstr>
      <vt:lpstr>vch902_1_1_a</vt:lpstr>
      <vt:lpstr>vch902_1_2</vt:lpstr>
      <vt:lpstr>vch902_1_2_</vt:lpstr>
      <vt:lpstr>vch902_1_2_2</vt:lpstr>
      <vt:lpstr>vch902_1_3</vt:lpstr>
      <vt:lpstr>vch902_1_3_</vt:lpstr>
      <vt:lpstr>vch902_1_4_1</vt:lpstr>
      <vt:lpstr>vch902_1_4_2</vt:lpstr>
      <vt:lpstr>vch902_1_5_1</vt:lpstr>
      <vt:lpstr>vch902_1_5_2</vt:lpstr>
      <vt:lpstr>vch902_1_5_3</vt:lpstr>
      <vt:lpstr>vch902_1_6</vt:lpstr>
      <vt:lpstr>vch902_2_1</vt:lpstr>
      <vt:lpstr>vch902_2_2</vt:lpstr>
      <vt:lpstr>vch902_2_3</vt:lpstr>
      <vt:lpstr>vch902_2_4</vt:lpstr>
      <vt:lpstr>vch902_3</vt:lpstr>
      <vt:lpstr>vch902_3_2</vt:lpstr>
      <vt:lpstr>vch902_3_2_1</vt:lpstr>
      <vt:lpstr>vch902_3_2_1_b</vt:lpstr>
      <vt:lpstr>vch902_4_1</vt:lpstr>
      <vt:lpstr>vch902_4_2</vt:lpstr>
      <vt:lpstr>vch902_4_3</vt:lpstr>
      <vt:lpstr>vch902_5</vt:lpstr>
      <vt:lpstr>vch902_6</vt:lpstr>
      <vt:lpstr>vch903_1</vt:lpstr>
      <vt:lpstr>vch903_2</vt:lpstr>
      <vt:lpstr>vch903_3_1</vt:lpstr>
      <vt:lpstr>vch903_3_2</vt:lpstr>
      <vt:lpstr>vch904_1</vt:lpstr>
      <vt:lpstr>vch904_2</vt:lpstr>
      <vt:lpstr>vch904_3_1</vt:lpstr>
      <vt:lpstr>vch904_3_2</vt:lpstr>
      <vt:lpstr>vch905_1</vt:lpstr>
      <vt:lpstr>vch905_2</vt:lpstr>
      <vt:lpstr>vch905_3_1</vt:lpstr>
      <vt:lpstr>vch905_3_2</vt:lpstr>
      <vt:lpstr>vch905_4</vt:lpstr>
      <vt:lpstr>vch905_6</vt:lpstr>
      <vt:lpstr>vchWaterSenseClothesWasher</vt:lpstr>
      <vt:lpstr>vchWaterSenseDishwasher</vt:lpstr>
      <vt:lpstr>vchWaterSenseIrrigation</vt:lpstr>
      <vt:lpstr>vchWaterSenseLavFaucet</vt:lpstr>
      <vt:lpstr>vchWaterSenseLeaks1</vt:lpstr>
      <vt:lpstr>vchWaterSenseLeaks2</vt:lpstr>
      <vt:lpstr>vchWaterSenseLeaks3</vt:lpstr>
      <vt:lpstr>vchWaterSenseLeaks4</vt:lpstr>
      <vt:lpstr>vchWaterSenseLeaks5</vt:lpstr>
      <vt:lpstr>vchWaterSenseLeaks6</vt:lpstr>
      <vt:lpstr>vchWaterSenseLeaks7</vt:lpstr>
      <vt:lpstr>vchWaterSenseLeaks8</vt:lpstr>
      <vt:lpstr>vchWaterSenseOptionA</vt:lpstr>
      <vt:lpstr>vchWaterSenseShowerheads</vt:lpstr>
      <vt:lpstr>vchWaterSenseToilet</vt:lpstr>
      <vt:lpstr>verAGFloorArea</vt:lpstr>
      <vt:lpstr>verAttachedGarage</vt:lpstr>
      <vt:lpstr>verAttic</vt:lpstr>
      <vt:lpstr>verBadges703_7_2</vt:lpstr>
      <vt:lpstr>verBadges802_10_1_1</vt:lpstr>
      <vt:lpstr>verBadges802_6_4_1</vt:lpstr>
      <vt:lpstr>verBadges802_6_5_5</vt:lpstr>
      <vt:lpstr>verBadges803_3_1</vt:lpstr>
      <vt:lpstr>verBadges901_1_1</vt:lpstr>
      <vt:lpstr>verBadges901_1_3</vt:lpstr>
      <vt:lpstr>verBadges903_3</vt:lpstr>
      <vt:lpstr>verBadgesBuildingVent</vt:lpstr>
      <vt:lpstr>verBadgesElectricAC</vt:lpstr>
      <vt:lpstr>verBadgesElectricHeat</vt:lpstr>
      <vt:lpstr>verBadgesFloorRVal</vt:lpstr>
      <vt:lpstr>verBadgesGasBoiler</vt:lpstr>
      <vt:lpstr>verBadgesGEDHPHeating</vt:lpstr>
      <vt:lpstr>verBadgesGEHHPCooling</vt:lpstr>
      <vt:lpstr>verBadgesGeothermalEfficiency</vt:lpstr>
      <vt:lpstr>verBadgesGeothermalFieldArea</vt:lpstr>
      <vt:lpstr>verBadgesGeothermalPower</vt:lpstr>
      <vt:lpstr>verBadgesGeothermalResTemp</vt:lpstr>
      <vt:lpstr>verBadgesGeothermalSurfaceTemp</vt:lpstr>
      <vt:lpstr>verBadgesGeothermalWells</vt:lpstr>
      <vt:lpstr>verBadgesGroundSourceHP</vt:lpstr>
      <vt:lpstr>verBadgesOilBoiler</vt:lpstr>
      <vt:lpstr>verBadgesOilFurnace</vt:lpstr>
      <vt:lpstr>verBadgesPropane</vt:lpstr>
      <vt:lpstr>verBadgesRadiant</vt:lpstr>
      <vt:lpstr>verBadgesResilienceAdditional</vt:lpstr>
      <vt:lpstr>verBadgesRoofRVal</vt:lpstr>
      <vt:lpstr>verBadgesSHGC</vt:lpstr>
      <vt:lpstr>verBadgesSmartAdd</vt:lpstr>
      <vt:lpstr>verBadgesSolarThermalArea</vt:lpstr>
      <vt:lpstr>verBadgesSolarThermalEfficiency</vt:lpstr>
      <vt:lpstr>verBadgesSolarThermalHeatingRate</vt:lpstr>
      <vt:lpstr>verBadgesSolarThermalSlope</vt:lpstr>
      <vt:lpstr>verBadgesSolarThermalTankVolume</vt:lpstr>
      <vt:lpstr>verBadgesSpotVent</vt:lpstr>
      <vt:lpstr>verBadgesVerifierComments</vt:lpstr>
      <vt:lpstr>verBadgesVerifierDate</vt:lpstr>
      <vt:lpstr>verBadgesVerifierEmail</vt:lpstr>
      <vt:lpstr>verBadgesVerifierEndTime</vt:lpstr>
      <vt:lpstr>verBadgesVerifierName</vt:lpstr>
      <vt:lpstr>verBadgesVerifierPhone</vt:lpstr>
      <vt:lpstr>verBadgesVerifierSign</vt:lpstr>
      <vt:lpstr>verBadgesVerifierStartTime</vt:lpstr>
      <vt:lpstr>verBadgesWallRVal</vt:lpstr>
      <vt:lpstr>verBadgesWaterSourceHC</vt:lpstr>
      <vt:lpstr>verBadgesWellnessException</vt:lpstr>
      <vt:lpstr>verBadgesWindowUVal</vt:lpstr>
      <vt:lpstr>verBadgesWindowWallRatio</vt:lpstr>
      <vt:lpstr>verBuilderName</vt:lpstr>
      <vt:lpstr>verBuildingCode</vt:lpstr>
      <vt:lpstr>verBuildingCodeOther</vt:lpstr>
      <vt:lpstr>verCDucts</vt:lpstr>
      <vt:lpstr>verCity</vt:lpstr>
      <vt:lpstr>verCommercial</vt:lpstr>
      <vt:lpstr>verCool1</vt:lpstr>
      <vt:lpstr>verCool1Other</vt:lpstr>
      <vt:lpstr>verCool2</vt:lpstr>
      <vt:lpstr>verCool2Other</vt:lpstr>
      <vt:lpstr>verCool3</vt:lpstr>
      <vt:lpstr>verCool3Other</vt:lpstr>
      <vt:lpstr>verCounty</vt:lpstr>
      <vt:lpstr>verCToilet</vt:lpstr>
      <vt:lpstr>verElevation</vt:lpstr>
      <vt:lpstr>verEnergyCode</vt:lpstr>
      <vt:lpstr>verEnergyCodeOther</vt:lpstr>
      <vt:lpstr>verFloors</vt:lpstr>
      <vt:lpstr>verFoundation</vt:lpstr>
      <vt:lpstr>verFuel</vt:lpstr>
      <vt:lpstr>verFuelother</vt:lpstr>
      <vt:lpstr>verGoalLevel</vt:lpstr>
      <vt:lpstr>verHDucts</vt:lpstr>
      <vt:lpstr>verHomeAddress</vt:lpstr>
      <vt:lpstr>verHVAC1</vt:lpstr>
      <vt:lpstr>verHVAC1Other</vt:lpstr>
      <vt:lpstr>verHVAC2</vt:lpstr>
      <vt:lpstr>verHVAC2Other</vt:lpstr>
      <vt:lpstr>verHVAC3</vt:lpstr>
      <vt:lpstr>verHVAC3Other</vt:lpstr>
      <vt:lpstr>verLot</vt:lpstr>
      <vt:lpstr>verMassWalls</vt:lpstr>
      <vt:lpstr>verPassiveSolar</vt:lpstr>
      <vt:lpstr>verProjectDesc</vt:lpstr>
      <vt:lpstr>verProjectID</vt:lpstr>
      <vt:lpstr>verProjectName</vt:lpstr>
      <vt:lpstr>verRadiantHydronic</vt:lpstr>
      <vt:lpstr>verRecessedLighting</vt:lpstr>
      <vt:lpstr>verRenewable</vt:lpstr>
      <vt:lpstr>verRenewableOther</vt:lpstr>
      <vt:lpstr>verSingleOrMulti</vt:lpstr>
      <vt:lpstr>VersionDate</vt:lpstr>
      <vt:lpstr>VersionNum</vt:lpstr>
      <vt:lpstr>versSHGC</vt:lpstr>
      <vt:lpstr>verStartError</vt:lpstr>
      <vt:lpstr>verState</vt:lpstr>
      <vt:lpstr>versUV</vt:lpstr>
      <vt:lpstr>verTCFloorArea</vt:lpstr>
      <vt:lpstr>verTEInsulation</vt:lpstr>
      <vt:lpstr>verTEInsulationOther</vt:lpstr>
      <vt:lpstr>verTLWH</vt:lpstr>
      <vt:lpstr>verUnits</vt:lpstr>
      <vt:lpstr>verwdSHGC</vt:lpstr>
      <vt:lpstr>verwdUV</vt:lpstr>
      <vt:lpstr>verZIP</vt:lpstr>
      <vt:lpstr>vnt1001_1_1</vt:lpstr>
      <vt:lpstr>vnt1001_1_10</vt:lpstr>
      <vt:lpstr>vnt1001_1_11</vt:lpstr>
      <vt:lpstr>vnt1001_1_12</vt:lpstr>
      <vt:lpstr>vnt1001_1_13</vt:lpstr>
      <vt:lpstr>vnt1001_1_14</vt:lpstr>
      <vt:lpstr>vnt1001_1_15</vt:lpstr>
      <vt:lpstr>vnt1001_1_16</vt:lpstr>
      <vt:lpstr>vnt1001_1_17</vt:lpstr>
      <vt:lpstr>vnt1001_1_18</vt:lpstr>
      <vt:lpstr>vnt1001_1_19</vt:lpstr>
      <vt:lpstr>vnt1001_1_2</vt:lpstr>
      <vt:lpstr>vnt1001_1_20</vt:lpstr>
      <vt:lpstr>vnt1001_1_21</vt:lpstr>
      <vt:lpstr>vnt1001_1_22</vt:lpstr>
      <vt:lpstr>vnt1001_1_23</vt:lpstr>
      <vt:lpstr>vnt1001_1_24</vt:lpstr>
      <vt:lpstr>vnt1001_1_3</vt:lpstr>
      <vt:lpstr>vnt1001_1_4</vt:lpstr>
      <vt:lpstr>vnt1001_1_5</vt:lpstr>
      <vt:lpstr>vnt1001_1_6</vt:lpstr>
      <vt:lpstr>vnt1001_1_7</vt:lpstr>
      <vt:lpstr>vnt1001_1_8</vt:lpstr>
      <vt:lpstr>vnt1001_1_9</vt:lpstr>
      <vt:lpstr>vnt1001_2</vt:lpstr>
      <vt:lpstr>vnt1002_1_1</vt:lpstr>
      <vt:lpstr>vnt1002_1_2</vt:lpstr>
      <vt:lpstr>vnt1002_1_3</vt:lpstr>
      <vt:lpstr>vnt1002_1_4</vt:lpstr>
      <vt:lpstr>vnt1002_1_5</vt:lpstr>
      <vt:lpstr>vnt1002_1_6</vt:lpstr>
      <vt:lpstr>vnt1002_1_7</vt:lpstr>
      <vt:lpstr>vnt1002_1_8</vt:lpstr>
      <vt:lpstr>vnt1002_2_1</vt:lpstr>
      <vt:lpstr>vnt1002_2_10</vt:lpstr>
      <vt:lpstr>vnt1002_2_11</vt:lpstr>
      <vt:lpstr>vnt1002_2_2</vt:lpstr>
      <vt:lpstr>vnt1002_2_3</vt:lpstr>
      <vt:lpstr>vnt1002_2_4</vt:lpstr>
      <vt:lpstr>vnt1002_2_5</vt:lpstr>
      <vt:lpstr>vnt1002_2_6</vt:lpstr>
      <vt:lpstr>vnt1002_2_7</vt:lpstr>
      <vt:lpstr>vnt1002_2_8</vt:lpstr>
      <vt:lpstr>vnt1002_2_9</vt:lpstr>
      <vt:lpstr>vnt1002_3_1</vt:lpstr>
      <vt:lpstr>vnt1002_3_10</vt:lpstr>
      <vt:lpstr>vnt1002_3_11</vt:lpstr>
      <vt:lpstr>vnt1002_3_2</vt:lpstr>
      <vt:lpstr>vnt1002_3_3</vt:lpstr>
      <vt:lpstr>vnt1002_3_4</vt:lpstr>
      <vt:lpstr>vnt1002_3_5</vt:lpstr>
      <vt:lpstr>vnt1002_3_6</vt:lpstr>
      <vt:lpstr>vnt1002_3_7</vt:lpstr>
      <vt:lpstr>vnt1002_3_8</vt:lpstr>
      <vt:lpstr>vnt1002_3_9</vt:lpstr>
      <vt:lpstr>vnt1002_4</vt:lpstr>
      <vt:lpstr>vnt1002_5_1</vt:lpstr>
      <vt:lpstr>vnt1002_5_2</vt:lpstr>
      <vt:lpstr>vnt1002_5_3</vt:lpstr>
      <vt:lpstr>vnt1002_5_4</vt:lpstr>
      <vt:lpstr>vnt1002_5_5</vt:lpstr>
      <vt:lpstr>vnt1002_5_6</vt:lpstr>
      <vt:lpstr>vnt1002_5_7</vt:lpstr>
      <vt:lpstr>vnt1002_5_8</vt:lpstr>
      <vt:lpstr>vnt1002_5_9</vt:lpstr>
      <vt:lpstr>vnt1002_6_1</vt:lpstr>
      <vt:lpstr>vnt1002_6_2</vt:lpstr>
      <vt:lpstr>vnt1002_6_3</vt:lpstr>
      <vt:lpstr>vnt1002_6_4</vt:lpstr>
      <vt:lpstr>vnt1002_6_5</vt:lpstr>
      <vt:lpstr>vnt1002_6_6</vt:lpstr>
      <vt:lpstr>vnt1002_6_7</vt:lpstr>
      <vt:lpstr>vnt1003_1_1</vt:lpstr>
      <vt:lpstr>vnt1003_1_2</vt:lpstr>
      <vt:lpstr>vnt1003_1_3</vt:lpstr>
      <vt:lpstr>vnt1004_1_1</vt:lpstr>
      <vt:lpstr>vnt1004_1_2</vt:lpstr>
      <vt:lpstr>vnt1005_1_1</vt:lpstr>
      <vt:lpstr>vnt1005_1_2</vt:lpstr>
      <vt:lpstr>vnt501_1</vt:lpstr>
      <vt:lpstr>vnt501_2</vt:lpstr>
      <vt:lpstr>vnt501_2_1</vt:lpstr>
      <vt:lpstr>vnt501_2_2</vt:lpstr>
      <vt:lpstr>vnt501_2_3</vt:lpstr>
      <vt:lpstr>vnt501_2_4</vt:lpstr>
      <vt:lpstr>vnt501_2_4_1</vt:lpstr>
      <vt:lpstr>vnt501_2_5</vt:lpstr>
      <vt:lpstr>vnt501_2_6</vt:lpstr>
      <vt:lpstr>vnt501_2_6_d</vt:lpstr>
      <vt:lpstr>vnt501_2_7</vt:lpstr>
      <vt:lpstr>vnt501_2_8</vt:lpstr>
      <vt:lpstr>vnt502_1</vt:lpstr>
      <vt:lpstr>vnt503_0</vt:lpstr>
      <vt:lpstr>vnt503_1</vt:lpstr>
      <vt:lpstr>vnt503_2</vt:lpstr>
      <vt:lpstr>vnt503_3</vt:lpstr>
      <vt:lpstr>vnt503_4</vt:lpstr>
      <vt:lpstr>vnt503_4_1</vt:lpstr>
      <vt:lpstr>vnt503_4_2</vt:lpstr>
      <vt:lpstr>vnt503_4_3</vt:lpstr>
      <vt:lpstr>vnt503_4_4</vt:lpstr>
      <vt:lpstr>vnt503_4_4_c_1</vt:lpstr>
      <vt:lpstr>vnt503_4_5</vt:lpstr>
      <vt:lpstr>vnt503_5</vt:lpstr>
      <vt:lpstr>vnt503_5_1</vt:lpstr>
      <vt:lpstr>vnt503_5_10</vt:lpstr>
      <vt:lpstr>vnt503_5_11</vt:lpstr>
      <vt:lpstr>vnt503_5_12</vt:lpstr>
      <vt:lpstr>vnt503_5_13</vt:lpstr>
      <vt:lpstr>vnt503_5_2</vt:lpstr>
      <vt:lpstr>vnt503_5_3</vt:lpstr>
      <vt:lpstr>vnt503_5_4</vt:lpstr>
      <vt:lpstr>vnt503_5_5</vt:lpstr>
      <vt:lpstr>vnt503_5_6</vt:lpstr>
      <vt:lpstr>vnt503_5_7</vt:lpstr>
      <vt:lpstr>vnt503_5_8</vt:lpstr>
      <vt:lpstr>vnt503_5_9</vt:lpstr>
      <vt:lpstr>vnt503_6</vt:lpstr>
      <vt:lpstr>vnt503_7</vt:lpstr>
      <vt:lpstr>vnt503_8</vt:lpstr>
      <vt:lpstr>vnt504_1</vt:lpstr>
      <vt:lpstr>vnt504_2</vt:lpstr>
      <vt:lpstr>vnt504_3</vt:lpstr>
      <vt:lpstr>vnt504_3_1</vt:lpstr>
      <vt:lpstr>vnt504_3_2</vt:lpstr>
      <vt:lpstr>vnt504_3_3</vt:lpstr>
      <vt:lpstr>vnt504_3_4</vt:lpstr>
      <vt:lpstr>vnt504_3_5</vt:lpstr>
      <vt:lpstr>vnt504_3_6</vt:lpstr>
      <vt:lpstr>vnt504_3_7</vt:lpstr>
      <vt:lpstr>vnt504_3_8</vt:lpstr>
      <vt:lpstr>vnt504_3_9</vt:lpstr>
      <vt:lpstr>vnt505_1_1</vt:lpstr>
      <vt:lpstr>vnt505_1_2</vt:lpstr>
      <vt:lpstr>vnt505_1_3</vt:lpstr>
      <vt:lpstr>vnt505_10_a</vt:lpstr>
      <vt:lpstr>vnt505_10_b</vt:lpstr>
      <vt:lpstr>vnt505_10_c</vt:lpstr>
      <vt:lpstr>vnt505_2_1</vt:lpstr>
      <vt:lpstr>vnt505_2_2</vt:lpstr>
      <vt:lpstr>vnt505_3</vt:lpstr>
      <vt:lpstr>vnt505_4_1</vt:lpstr>
      <vt:lpstr>vnt505_5_a</vt:lpstr>
      <vt:lpstr>vnt505_5_b</vt:lpstr>
      <vt:lpstr>vnt505_5_c</vt:lpstr>
      <vt:lpstr>vnt505_5_d</vt:lpstr>
      <vt:lpstr>vnt505_6</vt:lpstr>
      <vt:lpstr>vnt505_7</vt:lpstr>
      <vt:lpstr>vnt505_8</vt:lpstr>
      <vt:lpstr>vnt505_9_a</vt:lpstr>
      <vt:lpstr>vnt505_9_b</vt:lpstr>
      <vt:lpstr>vnt505_9_c</vt:lpstr>
      <vt:lpstr>vnt601_1</vt:lpstr>
      <vt:lpstr>vnt601_2_1</vt:lpstr>
      <vt:lpstr>vnt601_2_2</vt:lpstr>
      <vt:lpstr>vnt601_2_3</vt:lpstr>
      <vt:lpstr>vnt601_3_1</vt:lpstr>
      <vt:lpstr>vnt601_3_2</vt:lpstr>
      <vt:lpstr>vnt601_3_3</vt:lpstr>
      <vt:lpstr>vnt601_3_4</vt:lpstr>
      <vt:lpstr>vnt601_3_5</vt:lpstr>
      <vt:lpstr>vnt601_4</vt:lpstr>
      <vt:lpstr>vnt601_5_1</vt:lpstr>
      <vt:lpstr>vnt601_5_2</vt:lpstr>
      <vt:lpstr>vnt601_5_3</vt:lpstr>
      <vt:lpstr>vnt601_5_4</vt:lpstr>
      <vt:lpstr>vnt601_5_5</vt:lpstr>
      <vt:lpstr>vnt601_6</vt:lpstr>
      <vt:lpstr>vnt601_7</vt:lpstr>
      <vt:lpstr>vnt601_8</vt:lpstr>
      <vt:lpstr>vnt602_1_1_1</vt:lpstr>
      <vt:lpstr>vnt602_1_1_2</vt:lpstr>
      <vt:lpstr>vnt602_1_10</vt:lpstr>
      <vt:lpstr>vnt602_1_11</vt:lpstr>
      <vt:lpstr>vnt602_1_12</vt:lpstr>
      <vt:lpstr>vnt602_1_13</vt:lpstr>
      <vt:lpstr>vnt602_1_14_1</vt:lpstr>
      <vt:lpstr>vnt602_1_14_2</vt:lpstr>
      <vt:lpstr>vnt602_1_14_3</vt:lpstr>
      <vt:lpstr>vnt602_1_15</vt:lpstr>
      <vt:lpstr>vnt602_1_2</vt:lpstr>
      <vt:lpstr>vnt602_1_3_1</vt:lpstr>
      <vt:lpstr>vnt602_1_3_2</vt:lpstr>
      <vt:lpstr>vnt602_1_4_1_1</vt:lpstr>
      <vt:lpstr>vnt602_1_4_1_2</vt:lpstr>
      <vt:lpstr>vnt602_1_4_2_1</vt:lpstr>
      <vt:lpstr>vnt602_1_4_2_2</vt:lpstr>
      <vt:lpstr>vnt602_1_5</vt:lpstr>
      <vt:lpstr>vnt602_1_6_1</vt:lpstr>
      <vt:lpstr>vnt602_1_7_1_1</vt:lpstr>
      <vt:lpstr>vnt602_1_7_1_2</vt:lpstr>
      <vt:lpstr>vnt602_1_7_1_3</vt:lpstr>
      <vt:lpstr>vnt602_1_7_2</vt:lpstr>
      <vt:lpstr>vnt602_1_7_3</vt:lpstr>
      <vt:lpstr>vnt602_1_8</vt:lpstr>
      <vt:lpstr>vnt602_1_9_1</vt:lpstr>
      <vt:lpstr>vnt602_1_9_2</vt:lpstr>
      <vt:lpstr>vnt602_1_9_3</vt:lpstr>
      <vt:lpstr>vnt602_1_9_4</vt:lpstr>
      <vt:lpstr>vnt602_1_9_5</vt:lpstr>
      <vt:lpstr>vnt602_1_9_6</vt:lpstr>
      <vt:lpstr>vnt602_1_9_7</vt:lpstr>
      <vt:lpstr>vnt602_2_1</vt:lpstr>
      <vt:lpstr>vnt602_2_2</vt:lpstr>
      <vt:lpstr>vnt602_2_3</vt:lpstr>
      <vt:lpstr>vnt602_3</vt:lpstr>
      <vt:lpstr>vnt602_4_1</vt:lpstr>
      <vt:lpstr>vnt602_4_2</vt:lpstr>
      <vt:lpstr>vnt602_4_3</vt:lpstr>
      <vt:lpstr>vnt603_1</vt:lpstr>
      <vt:lpstr>vnt603_2</vt:lpstr>
      <vt:lpstr>vnt603_3</vt:lpstr>
      <vt:lpstr>vnt604_1a</vt:lpstr>
      <vt:lpstr>vnt604_1b</vt:lpstr>
      <vt:lpstr>vnt604_1c</vt:lpstr>
      <vt:lpstr>vnt604_1d</vt:lpstr>
      <vt:lpstr>vnt605_1</vt:lpstr>
      <vt:lpstr>vnt605_2</vt:lpstr>
      <vt:lpstr>vnt605_3</vt:lpstr>
      <vt:lpstr>vnt605_4_2_a</vt:lpstr>
      <vt:lpstr>vnt605_4_2_h</vt:lpstr>
      <vt:lpstr>vnt605_4_2_i</vt:lpstr>
      <vt:lpstr>vnt606_1_a</vt:lpstr>
      <vt:lpstr>vnt606_2_1a</vt:lpstr>
      <vt:lpstr>vnt606_2_1b</vt:lpstr>
      <vt:lpstr>vnt606_2_2a</vt:lpstr>
      <vt:lpstr>vnt606_2_2b</vt:lpstr>
      <vt:lpstr>vnt606_3</vt:lpstr>
      <vt:lpstr>vnt607_1_1</vt:lpstr>
      <vt:lpstr>vnt607_1_2</vt:lpstr>
      <vt:lpstr>vnt607_2</vt:lpstr>
      <vt:lpstr>vnt608_1</vt:lpstr>
      <vt:lpstr>vnt609_1_1</vt:lpstr>
      <vt:lpstr>vnt609_1_2</vt:lpstr>
      <vt:lpstr>vnt610_1</vt:lpstr>
      <vt:lpstr>vnt610_1_1_1</vt:lpstr>
      <vt:lpstr>vnt610_1_1_2</vt:lpstr>
      <vt:lpstr>vnt610_1_1_3</vt:lpstr>
      <vt:lpstr>vnt610_1_2_1</vt:lpstr>
      <vt:lpstr>vnt610_1_2_1_e</vt:lpstr>
      <vt:lpstr>vnt610_1_2_2_e</vt:lpstr>
      <vt:lpstr>vnt610_1_2_2a</vt:lpstr>
      <vt:lpstr>vnt610_1_2_2b</vt:lpstr>
      <vt:lpstr>vnt610_1_2_2c</vt:lpstr>
      <vt:lpstr>vnt611_1_1</vt:lpstr>
      <vt:lpstr>vnt611_1_2</vt:lpstr>
      <vt:lpstr>vnt612_1</vt:lpstr>
      <vt:lpstr>vnt612_2_1</vt:lpstr>
      <vt:lpstr>vnt612_2_2</vt:lpstr>
      <vt:lpstr>vnt612_2_3</vt:lpstr>
      <vt:lpstr>vnt612_2_4</vt:lpstr>
      <vt:lpstr>vnt612_2_5</vt:lpstr>
      <vt:lpstr>vnt612_2_6</vt:lpstr>
      <vt:lpstr>vnt612_2_7</vt:lpstr>
      <vt:lpstr>vnt612_3_1</vt:lpstr>
      <vt:lpstr>vnt612_3_2</vt:lpstr>
      <vt:lpstr>vnt612_3_3</vt:lpstr>
      <vt:lpstr>vnt612_3_4</vt:lpstr>
      <vt:lpstr>vnt612_3_5</vt:lpstr>
      <vt:lpstr>vnt612_3_6</vt:lpstr>
      <vt:lpstr>vnt612_3_7</vt:lpstr>
      <vt:lpstr>vnt612_3_8</vt:lpstr>
      <vt:lpstr>vnt612_3_9</vt:lpstr>
      <vt:lpstr>vnt613_1</vt:lpstr>
      <vt:lpstr>vnt701_1_</vt:lpstr>
      <vt:lpstr>vnt701_1_1</vt:lpstr>
      <vt:lpstr>vnt701_1_2</vt:lpstr>
      <vt:lpstr>vnt701_1_3</vt:lpstr>
      <vt:lpstr>vnt701_1_4</vt:lpstr>
      <vt:lpstr>vnt701_1_6_1</vt:lpstr>
      <vt:lpstr>vnt701_1_6_2</vt:lpstr>
      <vt:lpstr>vnt701_1_6_3</vt:lpstr>
      <vt:lpstr>vnt701_1_6_4</vt:lpstr>
      <vt:lpstr>vnt701_1_6_5</vt:lpstr>
      <vt:lpstr>vnt701_1_6_6_a</vt:lpstr>
      <vt:lpstr>vnt701_1_6_6_b</vt:lpstr>
      <vt:lpstr>vnt701_1_6_6_c</vt:lpstr>
      <vt:lpstr>vnt701_1_6_7_a</vt:lpstr>
      <vt:lpstr>vnt701_1_6_7_b</vt:lpstr>
      <vt:lpstr>vnt701_1_6_7_c</vt:lpstr>
      <vt:lpstr>vnt701_1_6_8</vt:lpstr>
      <vt:lpstr>vnt701_1_6_9</vt:lpstr>
      <vt:lpstr>vnt701_3</vt:lpstr>
      <vt:lpstr>vnt701_4_1</vt:lpstr>
      <vt:lpstr>vnt701_4_1_1</vt:lpstr>
      <vt:lpstr>vnt701_4_1_2</vt:lpstr>
      <vt:lpstr>vnt701_4_2_2</vt:lpstr>
      <vt:lpstr>vnt701_4_2_3</vt:lpstr>
      <vt:lpstr>vnt701_4_3_1</vt:lpstr>
      <vt:lpstr>vnt701_4_3_1_a</vt:lpstr>
      <vt:lpstr>vnt701_4_3_1_b</vt:lpstr>
      <vt:lpstr>vnt701_4_3_1_c</vt:lpstr>
      <vt:lpstr>vnt701_4_3_1_d</vt:lpstr>
      <vt:lpstr>vnt701_4_3_1_e</vt:lpstr>
      <vt:lpstr>vnt701_4_3_1_f</vt:lpstr>
      <vt:lpstr>vnt701_4_3_1_g</vt:lpstr>
      <vt:lpstr>vnt701_4_3_1_h</vt:lpstr>
      <vt:lpstr>vnt701_4_3_1_i</vt:lpstr>
      <vt:lpstr>vnt701_4_3_1_j</vt:lpstr>
      <vt:lpstr>vnt701_4_3_1_k</vt:lpstr>
      <vt:lpstr>vnt701_4_3_1_l</vt:lpstr>
      <vt:lpstr>vnt701_4_3_1_m</vt:lpstr>
      <vt:lpstr>vnt701_4_3_2_1_</vt:lpstr>
      <vt:lpstr>vnt701_4_3_2_1_1</vt:lpstr>
      <vt:lpstr>vnt701_4_3_2_1_2</vt:lpstr>
      <vt:lpstr>vnt701_4_3_2_1_3</vt:lpstr>
      <vt:lpstr>vnt701_4_3_2_1_4</vt:lpstr>
      <vt:lpstr>vnt701_4_3_2_1_5</vt:lpstr>
      <vt:lpstr>vnt701_4_3_2_1_6</vt:lpstr>
      <vt:lpstr>vnt701_4_3_2_1_7</vt:lpstr>
      <vt:lpstr>vnt701_4_3_2_1_8</vt:lpstr>
      <vt:lpstr>vnt701_4_3_2_1_9</vt:lpstr>
      <vt:lpstr>vnt701_4_3_2_1_a</vt:lpstr>
      <vt:lpstr>vnt701_4_3_2_1_b</vt:lpstr>
      <vt:lpstr>vnt701_4_3_2_1_c</vt:lpstr>
      <vt:lpstr>vnt701_4_3_2_1_d</vt:lpstr>
      <vt:lpstr>vnt701_4_3_2_1_e</vt:lpstr>
      <vt:lpstr>vnt701_4_3_2_1_f</vt:lpstr>
      <vt:lpstr>vnt701_4_3_2_1_g</vt:lpstr>
      <vt:lpstr>vnt701_4_3_2_1_h</vt:lpstr>
      <vt:lpstr>vnt701_4_3_2_2</vt:lpstr>
      <vt:lpstr>vnt701_4_3_2e</vt:lpstr>
      <vt:lpstr>vnt701_4_3_3</vt:lpstr>
      <vt:lpstr>vnt701_4_3_4</vt:lpstr>
      <vt:lpstr>vnt701_4_3_5</vt:lpstr>
      <vt:lpstr>vnt701_4_4_1</vt:lpstr>
      <vt:lpstr>vnt701_4_4_2</vt:lpstr>
      <vt:lpstr>vnt701_4_5</vt:lpstr>
      <vt:lpstr>vnt702_2_1</vt:lpstr>
      <vt:lpstr>vnt702_2_2</vt:lpstr>
      <vt:lpstr>vnt702_2_2_m</vt:lpstr>
      <vt:lpstr>vnt702_2_3</vt:lpstr>
      <vt:lpstr>vnt703_1_1</vt:lpstr>
      <vt:lpstr>vnt703_1_2</vt:lpstr>
      <vt:lpstr>vnt703_1_3</vt:lpstr>
      <vt:lpstr>vnt703_2_1</vt:lpstr>
      <vt:lpstr>vnt703_2_2</vt:lpstr>
      <vt:lpstr>vnt703_2_3</vt:lpstr>
      <vt:lpstr>vnt703_2_4</vt:lpstr>
      <vt:lpstr>vnt703_2_5_1</vt:lpstr>
      <vt:lpstr>vnt703_2_5_1_1</vt:lpstr>
      <vt:lpstr>vnt703_2_5_2</vt:lpstr>
      <vt:lpstr>vnt703_2_5_2_1</vt:lpstr>
      <vt:lpstr>vnt703_3_0_1</vt:lpstr>
      <vt:lpstr>vnt703_3_0_2</vt:lpstr>
      <vt:lpstr>vnt703_3_1</vt:lpstr>
      <vt:lpstr>vnt703_3_2__1</vt:lpstr>
      <vt:lpstr>vnt703_3_2__2</vt:lpstr>
      <vt:lpstr>vnt703_3_2__3</vt:lpstr>
      <vt:lpstr>vnt703_3_2__4</vt:lpstr>
      <vt:lpstr>vnt703_3_3__1</vt:lpstr>
      <vt:lpstr>vnt703_3_3__2</vt:lpstr>
      <vt:lpstr>vnt703_3_3__3</vt:lpstr>
      <vt:lpstr>vnt703_3_4_1</vt:lpstr>
      <vt:lpstr>vnt703_3_4_1_6</vt:lpstr>
      <vt:lpstr>vnt703_3_4_2</vt:lpstr>
      <vt:lpstr>vnt703_3_5</vt:lpstr>
      <vt:lpstr>vnt703_3_6</vt:lpstr>
      <vt:lpstr>vnt703_3_7_1</vt:lpstr>
      <vt:lpstr>vnt703_3_8</vt:lpstr>
      <vt:lpstr>vnt703_4_1</vt:lpstr>
      <vt:lpstr>vnt703_4_2</vt:lpstr>
      <vt:lpstr>vnt703_4_3_1</vt:lpstr>
      <vt:lpstr>vnt703_4_3_2</vt:lpstr>
      <vt:lpstr>vnt703_4_3_3</vt:lpstr>
      <vt:lpstr>vnt703_4_4</vt:lpstr>
      <vt:lpstr>vnt703_5_1</vt:lpstr>
      <vt:lpstr>vnt703_5_2</vt:lpstr>
      <vt:lpstr>vnt703_5_3</vt:lpstr>
      <vt:lpstr>vnt703_5_4</vt:lpstr>
      <vt:lpstr>vnt703_5_5</vt:lpstr>
      <vt:lpstr>vnt703_6_1_1</vt:lpstr>
      <vt:lpstr>vnt703_6_1_2</vt:lpstr>
      <vt:lpstr>vnt703_6_1_3</vt:lpstr>
      <vt:lpstr>vnt703_6_2__1</vt:lpstr>
      <vt:lpstr>vnt703_6_2__2</vt:lpstr>
      <vt:lpstr>vnt703_6_2__3</vt:lpstr>
      <vt:lpstr>vnt703_7_1_1</vt:lpstr>
      <vt:lpstr>vnt703_7_1_2</vt:lpstr>
      <vt:lpstr>vnt703_7_1_3</vt:lpstr>
      <vt:lpstr>vnt703_7_1_4</vt:lpstr>
      <vt:lpstr>vnt703_7_1_5</vt:lpstr>
      <vt:lpstr>vnt703_7_1_6_a</vt:lpstr>
      <vt:lpstr>vnt703_7_1_6_b</vt:lpstr>
      <vt:lpstr>vnt703_7_1_6_c</vt:lpstr>
      <vt:lpstr>vnt703_7_1_7</vt:lpstr>
      <vt:lpstr>vnt703_7_1_8</vt:lpstr>
      <vt:lpstr>vnt703_7_1_9</vt:lpstr>
      <vt:lpstr>vnt703_7_1_9_m</vt:lpstr>
      <vt:lpstr>vnt703_7_2</vt:lpstr>
      <vt:lpstr>vnt703_7_3_1_a</vt:lpstr>
      <vt:lpstr>vnt703_7_3_1_b</vt:lpstr>
      <vt:lpstr>vnt703_7_3_1_c</vt:lpstr>
      <vt:lpstr>vnt703_7_3_1_d</vt:lpstr>
      <vt:lpstr>vnt703_7_3_2</vt:lpstr>
      <vt:lpstr>vnt703_7_3_3</vt:lpstr>
      <vt:lpstr>vnt703_7_3_4</vt:lpstr>
      <vt:lpstr>vnt703_7_3_5_a</vt:lpstr>
      <vt:lpstr>vnt703_7_3_5_b</vt:lpstr>
      <vt:lpstr>vnt703_7_3_6</vt:lpstr>
      <vt:lpstr>vnt703_7_4_1</vt:lpstr>
      <vt:lpstr>vnt703_7_4_2_a</vt:lpstr>
      <vt:lpstr>vnt703_7_4_2_b</vt:lpstr>
      <vt:lpstr>vnt703_7_4_2_c</vt:lpstr>
      <vt:lpstr>vnt703_7_4_3</vt:lpstr>
      <vt:lpstr>vnt704_1</vt:lpstr>
      <vt:lpstr>vnt705_2_1_1</vt:lpstr>
      <vt:lpstr>vnt705_2_1_2</vt:lpstr>
      <vt:lpstr>vnt705_2_1_3_1</vt:lpstr>
      <vt:lpstr>vnt705_2_1_3_2</vt:lpstr>
      <vt:lpstr>vnt705_2_1_4</vt:lpstr>
      <vt:lpstr>vnt705_2_2</vt:lpstr>
      <vt:lpstr>vnt705_2_3</vt:lpstr>
      <vt:lpstr>vnt705_2_4</vt:lpstr>
      <vt:lpstr>vnt705_3</vt:lpstr>
      <vt:lpstr>vnt705_4</vt:lpstr>
      <vt:lpstr>vnt705_5_1_1</vt:lpstr>
      <vt:lpstr>vnt705_5_1_2</vt:lpstr>
      <vt:lpstr>vnt705_5_2</vt:lpstr>
      <vt:lpstr>vnt705_5_2_1</vt:lpstr>
      <vt:lpstr>vnt705_5_2_2</vt:lpstr>
      <vt:lpstr>vnt705_5_2_3</vt:lpstr>
      <vt:lpstr>vnt705_5_2_4</vt:lpstr>
      <vt:lpstr>vnt705_5_2_5</vt:lpstr>
      <vt:lpstr>vnt705_5_2_6</vt:lpstr>
      <vt:lpstr>vnt705_5_3_1</vt:lpstr>
      <vt:lpstr>vnt705_5_3_2</vt:lpstr>
      <vt:lpstr>vnt705_6_1</vt:lpstr>
      <vt:lpstr>vnt705_6_2_1_1_1</vt:lpstr>
      <vt:lpstr>vnt705_6_2_1_2</vt:lpstr>
      <vt:lpstr>vnt705_6_2_2_1</vt:lpstr>
      <vt:lpstr>vnt705_6_2_2_2</vt:lpstr>
      <vt:lpstr>vnt705_6_2_3</vt:lpstr>
      <vt:lpstr>vnt705_6_3_a</vt:lpstr>
      <vt:lpstr>vnt705_6_3_b</vt:lpstr>
      <vt:lpstr>vnt705_6_3_c</vt:lpstr>
      <vt:lpstr>vnt705_6_3_d</vt:lpstr>
      <vt:lpstr>vnt705_6_3_e</vt:lpstr>
      <vt:lpstr>vnt705_6_3_f</vt:lpstr>
      <vt:lpstr>vnt705_6_3_g</vt:lpstr>
      <vt:lpstr>vnt705_6_4_1</vt:lpstr>
      <vt:lpstr>vnt705_6_4_2</vt:lpstr>
      <vt:lpstr>vnt705_7</vt:lpstr>
      <vt:lpstr>vnt706_1_1</vt:lpstr>
      <vt:lpstr>vnt706_1_2</vt:lpstr>
      <vt:lpstr>vnt706_1_3</vt:lpstr>
      <vt:lpstr>vnt706_1_4</vt:lpstr>
      <vt:lpstr>vnt706_1_5</vt:lpstr>
      <vt:lpstr>vnt706_10</vt:lpstr>
      <vt:lpstr>vnt706_11</vt:lpstr>
      <vt:lpstr>vnt706_12</vt:lpstr>
      <vt:lpstr>vnt706_13</vt:lpstr>
      <vt:lpstr>vnt706_14_1</vt:lpstr>
      <vt:lpstr>vnt706_14_2</vt:lpstr>
      <vt:lpstr>vnt706_15_1</vt:lpstr>
      <vt:lpstr>vnt706_15_2</vt:lpstr>
      <vt:lpstr>vnt706_2_1</vt:lpstr>
      <vt:lpstr>vnt706_2_2</vt:lpstr>
      <vt:lpstr>vnt706_3</vt:lpstr>
      <vt:lpstr>vnt706_3_1</vt:lpstr>
      <vt:lpstr>vnt706_3_2</vt:lpstr>
      <vt:lpstr>vnt706_3_3</vt:lpstr>
      <vt:lpstr>vnt706_3_4</vt:lpstr>
      <vt:lpstr>vnt706_3_5</vt:lpstr>
      <vt:lpstr>vnt706_3_6</vt:lpstr>
      <vt:lpstr>vnt706_3_7</vt:lpstr>
      <vt:lpstr>vnt706_3_8</vt:lpstr>
      <vt:lpstr>vnt706_4_1_1</vt:lpstr>
      <vt:lpstr>vnt706_4_1_2</vt:lpstr>
      <vt:lpstr>vnt706_4_2</vt:lpstr>
      <vt:lpstr>vnt706_5</vt:lpstr>
      <vt:lpstr>vnt706_6</vt:lpstr>
      <vt:lpstr>vnt706_7_1</vt:lpstr>
      <vt:lpstr>vnt706_7_2</vt:lpstr>
      <vt:lpstr>vnt706_8</vt:lpstr>
      <vt:lpstr>vnt706_9</vt:lpstr>
      <vt:lpstr>vnt801_1</vt:lpstr>
      <vt:lpstr>vnt802_1_1</vt:lpstr>
      <vt:lpstr>vnt802_1_5</vt:lpstr>
      <vt:lpstr>vnt802_1_6</vt:lpstr>
      <vt:lpstr>vnt802_10_1</vt:lpstr>
      <vt:lpstr>vnt802_10_1_1</vt:lpstr>
      <vt:lpstr>vnt802_2_1</vt:lpstr>
      <vt:lpstr>vnt802_2_2</vt:lpstr>
      <vt:lpstr>vnt802_3_1_a</vt:lpstr>
      <vt:lpstr>vnt802_3_1_b</vt:lpstr>
      <vt:lpstr>vnt802_3_2_a</vt:lpstr>
      <vt:lpstr>vnt802_3_2_b</vt:lpstr>
      <vt:lpstr>vnt802_4_1</vt:lpstr>
      <vt:lpstr>vnt802_4_2</vt:lpstr>
      <vt:lpstr>vnt802_4_3</vt:lpstr>
      <vt:lpstr>vnt802_5_1a</vt:lpstr>
      <vt:lpstr>vnt802_5_2</vt:lpstr>
      <vt:lpstr>vnt802_5_3</vt:lpstr>
      <vt:lpstr>vnt802_5_4_1</vt:lpstr>
      <vt:lpstr>vnt802_5_4_2</vt:lpstr>
      <vt:lpstr>vnt802_5_4_3</vt:lpstr>
      <vt:lpstr>vnt802_5_4_4_a</vt:lpstr>
      <vt:lpstr>vnt802_5_4_4_b</vt:lpstr>
      <vt:lpstr>vnt802_5_4_4_c</vt:lpstr>
      <vt:lpstr>vnt802_6_1</vt:lpstr>
      <vt:lpstr>vnt802_6_2</vt:lpstr>
      <vt:lpstr>vnt802_6_3_1</vt:lpstr>
      <vt:lpstr>vnt802_6_3_2</vt:lpstr>
      <vt:lpstr>vnt802_6_3_3</vt:lpstr>
      <vt:lpstr>vnt802_6_4_1</vt:lpstr>
      <vt:lpstr>vnt802_6_4_2</vt:lpstr>
      <vt:lpstr>vnt802_6_5_1</vt:lpstr>
      <vt:lpstr>vnt802_6_5_2</vt:lpstr>
      <vt:lpstr>vnt802_6_5_3</vt:lpstr>
      <vt:lpstr>vnt802_6_5_4</vt:lpstr>
      <vt:lpstr>vnt802_6_5_5</vt:lpstr>
      <vt:lpstr>vnt802_7_1</vt:lpstr>
      <vt:lpstr>vnt802_7_2_1</vt:lpstr>
      <vt:lpstr>vnt802_7_2_2</vt:lpstr>
      <vt:lpstr>vnt802_8</vt:lpstr>
      <vt:lpstr>vnt802_9_1</vt:lpstr>
      <vt:lpstr>vnt802_9_2</vt:lpstr>
      <vt:lpstr>vnt803_1_1</vt:lpstr>
      <vt:lpstr>vnt803_1_2</vt:lpstr>
      <vt:lpstr>vnt803_2</vt:lpstr>
      <vt:lpstr>vnt803_3</vt:lpstr>
      <vt:lpstr>vnt803_4</vt:lpstr>
      <vt:lpstr>vnt803_5</vt:lpstr>
      <vt:lpstr>vnt803_6</vt:lpstr>
      <vt:lpstr>vnt804_2</vt:lpstr>
      <vt:lpstr>vnt901_1_1</vt:lpstr>
      <vt:lpstr>vnt901_1_2</vt:lpstr>
      <vt:lpstr>vnt901_1_3_1</vt:lpstr>
      <vt:lpstr>vnt901_1_3_2</vt:lpstr>
      <vt:lpstr>vnt901_1_4</vt:lpstr>
      <vt:lpstr>vnt901_1_5</vt:lpstr>
      <vt:lpstr>vnt901_1_6</vt:lpstr>
      <vt:lpstr>vnt901_10_1</vt:lpstr>
      <vt:lpstr>vnt901_10_2</vt:lpstr>
      <vt:lpstr>vnt901_10_3</vt:lpstr>
      <vt:lpstr>vnt901_11</vt:lpstr>
      <vt:lpstr>vnt901_12</vt:lpstr>
      <vt:lpstr>vnt901_13</vt:lpstr>
      <vt:lpstr>vnt901_14</vt:lpstr>
      <vt:lpstr>vnt901_15_1</vt:lpstr>
      <vt:lpstr>vnt901_15_2</vt:lpstr>
      <vt:lpstr>vnt901_2_1_1</vt:lpstr>
      <vt:lpstr>vnt901_2_1_2</vt:lpstr>
      <vt:lpstr>vnt901_2_1_3</vt:lpstr>
      <vt:lpstr>vnt901_2_1_4</vt:lpstr>
      <vt:lpstr>vnt901_2_1_5</vt:lpstr>
      <vt:lpstr>vnt901_2_2</vt:lpstr>
      <vt:lpstr>vnt901_3_1_a</vt:lpstr>
      <vt:lpstr>vnt901_3_1_b</vt:lpstr>
      <vt:lpstr>vnt901_3_1_c</vt:lpstr>
      <vt:lpstr>vnt901_3_2</vt:lpstr>
      <vt:lpstr>vnt901_4_1</vt:lpstr>
      <vt:lpstr>vnt901_4_a</vt:lpstr>
      <vt:lpstr>vnt901_5_1</vt:lpstr>
      <vt:lpstr>vnt901_5_2</vt:lpstr>
      <vt:lpstr>vnt901_6</vt:lpstr>
      <vt:lpstr>vnt901_7_1</vt:lpstr>
      <vt:lpstr>vnt901_7_2</vt:lpstr>
      <vt:lpstr>vnt901_8</vt:lpstr>
      <vt:lpstr>vnt901_9</vt:lpstr>
      <vt:lpstr>vnt901_9_1_1</vt:lpstr>
      <vt:lpstr>vnt901_9_1_2</vt:lpstr>
      <vt:lpstr>vnt901_9_1_3</vt:lpstr>
      <vt:lpstr>vnt901_9_2</vt:lpstr>
      <vt:lpstr>vnt901_9_3</vt:lpstr>
      <vt:lpstr>vnt902_1_1</vt:lpstr>
      <vt:lpstr>vnt902_1_1_a</vt:lpstr>
      <vt:lpstr>vnt902_1_2</vt:lpstr>
      <vt:lpstr>vnt902_1_2_</vt:lpstr>
      <vt:lpstr>vnt902_1_3</vt:lpstr>
      <vt:lpstr>vnt902_1_3_</vt:lpstr>
      <vt:lpstr>vnt902_1_4</vt:lpstr>
      <vt:lpstr>vnt902_1_5_1</vt:lpstr>
      <vt:lpstr>vnt902_1_5_2</vt:lpstr>
      <vt:lpstr>vnt902_1_5_3</vt:lpstr>
      <vt:lpstr>vnt902_1_6</vt:lpstr>
      <vt:lpstr>vnt902_2_1</vt:lpstr>
      <vt:lpstr>vnt902_2_2</vt:lpstr>
      <vt:lpstr>vnt902_2_3</vt:lpstr>
      <vt:lpstr>vnt902_2_4</vt:lpstr>
      <vt:lpstr>vnt902_3</vt:lpstr>
      <vt:lpstr>vnt902_3_1</vt:lpstr>
      <vt:lpstr>vnt902_3_2_1</vt:lpstr>
      <vt:lpstr>vnt902_3_2_2</vt:lpstr>
      <vt:lpstr>vnt902_4_1</vt:lpstr>
      <vt:lpstr>vnt902_4_2</vt:lpstr>
      <vt:lpstr>vnt902_4_3</vt:lpstr>
      <vt:lpstr>vnt902_5</vt:lpstr>
      <vt:lpstr>vnt902_6</vt:lpstr>
      <vt:lpstr>vnt903_1</vt:lpstr>
      <vt:lpstr>vnt903_2</vt:lpstr>
      <vt:lpstr>vnt903_3</vt:lpstr>
      <vt:lpstr>vnt904_1</vt:lpstr>
      <vt:lpstr>vnt904_2</vt:lpstr>
      <vt:lpstr>vnt904_3_1</vt:lpstr>
      <vt:lpstr>vnt904_3_2</vt:lpstr>
      <vt:lpstr>vnt905_1</vt:lpstr>
      <vt:lpstr>vnt905_2</vt:lpstr>
      <vt:lpstr>vnt905_3_1</vt:lpstr>
      <vt:lpstr>vnt905_3_2</vt:lpstr>
      <vt:lpstr>vnt905_4</vt:lpstr>
      <vt:lpstr>vnt905_6</vt:lpstr>
      <vt:lpstr>vntBadgesAirLeakage</vt:lpstr>
      <vt:lpstr>vntBadgesAirSealing</vt:lpstr>
      <vt:lpstr>vntBadgesBatteryStorage</vt:lpstr>
      <vt:lpstr>vntBadgesBuildingVent</vt:lpstr>
      <vt:lpstr>vntBadgesDaylighting</vt:lpstr>
      <vt:lpstr>vntBadgesElectricAC</vt:lpstr>
      <vt:lpstr>vntBadgesElectricHeat</vt:lpstr>
      <vt:lpstr>vntBadgesEnergyCredits</vt:lpstr>
      <vt:lpstr>vntBadgesExteriorShading</vt:lpstr>
      <vt:lpstr>vntBadgesFloorRVal</vt:lpstr>
      <vt:lpstr>vntBadgesGasBoiler</vt:lpstr>
      <vt:lpstr>vntBadgesGEDHPHeating</vt:lpstr>
      <vt:lpstr>vntBadgesGEHHPCooling</vt:lpstr>
      <vt:lpstr>vntBadgesGeothermalPower</vt:lpstr>
      <vt:lpstr>vntBadgesGroundSourceHP</vt:lpstr>
      <vt:lpstr>vntBadgesHVACDesc</vt:lpstr>
      <vt:lpstr>vntBadgesLightingDesign</vt:lpstr>
      <vt:lpstr>vntBadgesLightingType</vt:lpstr>
      <vt:lpstr>vntBadgesOccSensor</vt:lpstr>
      <vt:lpstr>vntBadgesOilBoiler</vt:lpstr>
      <vt:lpstr>vntBadgesOilFurnace</vt:lpstr>
      <vt:lpstr>vntBadgesPropane</vt:lpstr>
      <vt:lpstr>vntBadgesRadiant</vt:lpstr>
      <vt:lpstr>vntBadgesResilienceAdditional</vt:lpstr>
      <vt:lpstr>vntBadgesResilienceSect1</vt:lpstr>
      <vt:lpstr>vntBadgesResilienceSect2</vt:lpstr>
      <vt:lpstr>vntBadgesRoofRVal</vt:lpstr>
      <vt:lpstr>vntBadgesSHGC</vt:lpstr>
      <vt:lpstr>vntBadgesSmartAdd</vt:lpstr>
      <vt:lpstr>vntBadgesSmartSect1</vt:lpstr>
      <vt:lpstr>vntBadgesSmartSect2</vt:lpstr>
      <vt:lpstr>vntBadgesSmartSect3</vt:lpstr>
      <vt:lpstr>vntBadgesSmartSect4</vt:lpstr>
      <vt:lpstr>vntBadgesSolar</vt:lpstr>
      <vt:lpstr>vntBadgesSolarThermalArea</vt:lpstr>
      <vt:lpstr>vntBadgesSpotVent</vt:lpstr>
      <vt:lpstr>vntBadgesWallDesc</vt:lpstr>
      <vt:lpstr>vntBadgesWallRVal</vt:lpstr>
      <vt:lpstr>vntBadgesWaterSourceHC</vt:lpstr>
      <vt:lpstr>vntBadgesWellnessSect1</vt:lpstr>
      <vt:lpstr>vntBadgesWellnessSect2</vt:lpstr>
      <vt:lpstr>vntBadgesWellnessSect3</vt:lpstr>
      <vt:lpstr>vntBadgesWellnessSect4</vt:lpstr>
      <vt:lpstr>vntBadgesWellnessSect5</vt:lpstr>
      <vt:lpstr>vntBadgesWellnessSect6</vt:lpstr>
      <vt:lpstr>vntBadgesWellnessSect7</vt:lpstr>
      <vt:lpstr>vntBadgesWellnessSect8</vt:lpstr>
      <vt:lpstr>vntBadgesWellnessSect9</vt:lpstr>
      <vt:lpstr>vntBadgesWind</vt:lpstr>
      <vt:lpstr>vntBadgesWindowDesc</vt:lpstr>
      <vt:lpstr>vntBadgesWindowUVal</vt:lpstr>
      <vt:lpstr>vntBadgesWindowWallRatio</vt:lpstr>
      <vt:lpstr>vntWaterSenseClothesWasher</vt:lpstr>
      <vt:lpstr>vntWaterSenseDishwasher</vt:lpstr>
      <vt:lpstr>vntWaterSenseIrrigation</vt:lpstr>
      <vt:lpstr>vntWaterSenseLavFaucet</vt:lpstr>
      <vt:lpstr>vntWaterSenseLeaks1</vt:lpstr>
      <vt:lpstr>vntWaterSenseLeaks2</vt:lpstr>
      <vt:lpstr>vntWaterSenseLeaks3</vt:lpstr>
      <vt:lpstr>vntWaterSenseLeaks4</vt:lpstr>
      <vt:lpstr>vntWaterSenseLeaks5</vt:lpstr>
      <vt:lpstr>vntWaterSenseLeaks6</vt:lpstr>
      <vt:lpstr>vntWaterSenseLeaks7</vt:lpstr>
      <vt:lpstr>vntWaterSenseLeaks8</vt:lpstr>
      <vt:lpstr>vntWaterSenseOptionA</vt:lpstr>
      <vt:lpstr>vntWaterSenseShowerheads</vt:lpstr>
      <vt:lpstr>vntWaterSenseToilet</vt:lpstr>
      <vt:lpstr>vpa1001_1</vt:lpstr>
      <vt:lpstr>vpa1001_1_1</vt:lpstr>
      <vt:lpstr>vpa1001_1_2</vt:lpstr>
      <vt:lpstr>vpa1001_1_3</vt:lpstr>
      <vt:lpstr>vpa1001_1_9</vt:lpstr>
      <vt:lpstr>vpa1001_2</vt:lpstr>
      <vt:lpstr>vpa1001_2_m</vt:lpstr>
      <vt:lpstr>vpa1002_1</vt:lpstr>
      <vt:lpstr>vpa1002_1_1</vt:lpstr>
      <vt:lpstr>vpa1002_1_2</vt:lpstr>
      <vt:lpstr>vpa1002_1_3</vt:lpstr>
      <vt:lpstr>vpa1002_2</vt:lpstr>
      <vt:lpstr>vpa1002_2_1</vt:lpstr>
      <vt:lpstr>vpa1002_2_11</vt:lpstr>
      <vt:lpstr>vpa1002_2_2</vt:lpstr>
      <vt:lpstr>vpa1002_3</vt:lpstr>
      <vt:lpstr>vpa1002_3_1</vt:lpstr>
      <vt:lpstr>vpa1002_4</vt:lpstr>
      <vt:lpstr>vpa1002_4_m</vt:lpstr>
      <vt:lpstr>vpa1002_5</vt:lpstr>
      <vt:lpstr>vpa1002_5_1</vt:lpstr>
      <vt:lpstr>vpa1002_5_2</vt:lpstr>
      <vt:lpstr>vpa1002_5_3</vt:lpstr>
      <vt:lpstr>vpa1002_6</vt:lpstr>
      <vt:lpstr>vpa1003_1</vt:lpstr>
      <vt:lpstr>vpa1003_1_1</vt:lpstr>
      <vt:lpstr>vpa1003_1_2</vt:lpstr>
      <vt:lpstr>vpa1003_1_3</vt:lpstr>
      <vt:lpstr>vpa1004_1_1</vt:lpstr>
      <vt:lpstr>vpa1004_1_2</vt:lpstr>
      <vt:lpstr>vpa1005_1_1</vt:lpstr>
      <vt:lpstr>vpa1005_1_2</vt:lpstr>
      <vt:lpstr>vpa1005_1_3</vt:lpstr>
      <vt:lpstr>vpa501_1</vt:lpstr>
      <vt:lpstr>vpa501_1_2_a</vt:lpstr>
      <vt:lpstr>vpa501_1_2_b</vt:lpstr>
      <vt:lpstr>vpa501_1_2_c</vt:lpstr>
      <vt:lpstr>vpa501_2_1</vt:lpstr>
      <vt:lpstr>vpa501_2_2</vt:lpstr>
      <vt:lpstr>vpa501_2_3</vt:lpstr>
      <vt:lpstr>vpa501_2_4</vt:lpstr>
      <vt:lpstr>vpa501_2_4_1_a</vt:lpstr>
      <vt:lpstr>vpa501_2_4_1_b</vt:lpstr>
      <vt:lpstr>vpa501_2_5</vt:lpstr>
      <vt:lpstr>vpa501_2_6_a</vt:lpstr>
      <vt:lpstr>vpa501_2_6_b</vt:lpstr>
      <vt:lpstr>vpa501_2_6_c</vt:lpstr>
      <vt:lpstr>vpa501_2_6_d</vt:lpstr>
      <vt:lpstr>vpa501_2_7</vt:lpstr>
      <vt:lpstr>vpa501_2_8</vt:lpstr>
      <vt:lpstr>vpa502_1</vt:lpstr>
      <vt:lpstr>vpa503_1_1</vt:lpstr>
      <vt:lpstr>vpa503_1_2</vt:lpstr>
      <vt:lpstr>vpa503_1_3</vt:lpstr>
      <vt:lpstr>vpa503_1_4</vt:lpstr>
      <vt:lpstr>vpa503_1_5</vt:lpstr>
      <vt:lpstr>vpa503_1_6</vt:lpstr>
      <vt:lpstr>vpa503_1_7</vt:lpstr>
      <vt:lpstr>vpa503_1_8</vt:lpstr>
      <vt:lpstr>vpa503_2_1</vt:lpstr>
      <vt:lpstr>vpa503_2_2</vt:lpstr>
      <vt:lpstr>vpa503_2_3_a</vt:lpstr>
      <vt:lpstr>vpa503_2_3_b</vt:lpstr>
      <vt:lpstr>vpa503_2_3_c</vt:lpstr>
      <vt:lpstr>vpa503_2_4</vt:lpstr>
      <vt:lpstr>vpa503_2_5</vt:lpstr>
      <vt:lpstr>vpa503_3_1</vt:lpstr>
      <vt:lpstr>vpa503_3_2</vt:lpstr>
      <vt:lpstr>vpa503_3_3</vt:lpstr>
      <vt:lpstr>vpa503_4_1</vt:lpstr>
      <vt:lpstr>vpa503_4_2</vt:lpstr>
      <vt:lpstr>vpa503_4_3_a</vt:lpstr>
      <vt:lpstr>vpa503_4_3_b</vt:lpstr>
      <vt:lpstr>vpa503_4_3_c</vt:lpstr>
      <vt:lpstr>vpa503_4_4_a</vt:lpstr>
      <vt:lpstr>vpa503_4_4_b</vt:lpstr>
      <vt:lpstr>vpa503_4_4_c</vt:lpstr>
      <vt:lpstr>vpa503_4_4_c_1</vt:lpstr>
      <vt:lpstr>vpa503_4_5</vt:lpstr>
      <vt:lpstr>vpa503_5_1_a</vt:lpstr>
      <vt:lpstr>vpa503_5_1_b</vt:lpstr>
      <vt:lpstr>vpa503_5_1_c</vt:lpstr>
      <vt:lpstr>vpa503_5_1_d</vt:lpstr>
      <vt:lpstr>vpa503_5_10</vt:lpstr>
      <vt:lpstr>vpa503_5_11</vt:lpstr>
      <vt:lpstr>vpa503_5_12</vt:lpstr>
      <vt:lpstr>vpa503_5_13</vt:lpstr>
      <vt:lpstr>vpa503_5_2</vt:lpstr>
      <vt:lpstr>vpa503_5_3</vt:lpstr>
      <vt:lpstr>vpa503_5_4</vt:lpstr>
      <vt:lpstr>vpa503_5_5</vt:lpstr>
      <vt:lpstr>vpa503_5_6_a</vt:lpstr>
      <vt:lpstr>vpa503_5_6_b</vt:lpstr>
      <vt:lpstr>vpa503_5_6_c</vt:lpstr>
      <vt:lpstr>vpa503_5_6_d</vt:lpstr>
      <vt:lpstr>vpa503_5_7</vt:lpstr>
      <vt:lpstr>vpa503_5_8</vt:lpstr>
      <vt:lpstr>vpa503_5_9</vt:lpstr>
      <vt:lpstr>vpa503_6_1</vt:lpstr>
      <vt:lpstr>vpa503_6_2</vt:lpstr>
      <vt:lpstr>vpa503_6_3</vt:lpstr>
      <vt:lpstr>vpa503_6_4</vt:lpstr>
      <vt:lpstr>vpa503_7</vt:lpstr>
      <vt:lpstr>vpa503_8</vt:lpstr>
      <vt:lpstr>vpa503_8_1</vt:lpstr>
      <vt:lpstr>vpa504_1</vt:lpstr>
      <vt:lpstr>vpa504_2_1</vt:lpstr>
      <vt:lpstr>vpa504_2_2</vt:lpstr>
      <vt:lpstr>vpa504_2_3</vt:lpstr>
      <vt:lpstr>vpa504_3_1</vt:lpstr>
      <vt:lpstr>vpa504_3_2</vt:lpstr>
      <vt:lpstr>vpa504_3_3</vt:lpstr>
      <vt:lpstr>vpa504_3_4</vt:lpstr>
      <vt:lpstr>vpa504_3_5</vt:lpstr>
      <vt:lpstr>vpa504_3_6</vt:lpstr>
      <vt:lpstr>vpa504_3_7</vt:lpstr>
      <vt:lpstr>vpa504_3_8</vt:lpstr>
      <vt:lpstr>vpa504_3_9</vt:lpstr>
      <vt:lpstr>vpa505_1_1</vt:lpstr>
      <vt:lpstr>vpa505_1_2</vt:lpstr>
      <vt:lpstr>vpa505_1_3_a</vt:lpstr>
      <vt:lpstr>vpa505_1_3_b</vt:lpstr>
      <vt:lpstr>vpa505_1_3_c</vt:lpstr>
      <vt:lpstr>vpa505_10_a</vt:lpstr>
      <vt:lpstr>vpa505_10_b</vt:lpstr>
      <vt:lpstr>vpa505_10_c</vt:lpstr>
      <vt:lpstr>vpa505_2_1</vt:lpstr>
      <vt:lpstr>vpa505_2_2</vt:lpstr>
      <vt:lpstr>vpa505_3_1</vt:lpstr>
      <vt:lpstr>vpa505_3_2</vt:lpstr>
      <vt:lpstr>vpa505_3_3</vt:lpstr>
      <vt:lpstr>vpa505_3_4</vt:lpstr>
      <vt:lpstr>vpa505_3_5</vt:lpstr>
      <vt:lpstr>vpa505_4_1</vt:lpstr>
      <vt:lpstr>vpa505_5_a</vt:lpstr>
      <vt:lpstr>vpa505_5_b</vt:lpstr>
      <vt:lpstr>vpa505_5_c</vt:lpstr>
      <vt:lpstr>vpa505_5_d</vt:lpstr>
      <vt:lpstr>vpa505_6</vt:lpstr>
      <vt:lpstr>vpa505_7</vt:lpstr>
      <vt:lpstr>vpa505_8</vt:lpstr>
      <vt:lpstr>vpa505_9_a</vt:lpstr>
      <vt:lpstr>vpa505_9_b</vt:lpstr>
      <vt:lpstr>vpa505_9_c</vt:lpstr>
      <vt:lpstr>vpa601_1_1</vt:lpstr>
      <vt:lpstr>vpa601_1_2</vt:lpstr>
      <vt:lpstr>vpa601_1_3</vt:lpstr>
      <vt:lpstr>vpa601_1_4</vt:lpstr>
      <vt:lpstr>vpa601_1_5</vt:lpstr>
      <vt:lpstr>vpa601_2_1</vt:lpstr>
      <vt:lpstr>vpa601_2_2</vt:lpstr>
      <vt:lpstr>vpa601_2_3</vt:lpstr>
      <vt:lpstr>vpa601_3_1</vt:lpstr>
      <vt:lpstr>vpa601_3_2</vt:lpstr>
      <vt:lpstr>vpa601_3_3</vt:lpstr>
      <vt:lpstr>vpa601_3_4</vt:lpstr>
      <vt:lpstr>vpa601_3_5</vt:lpstr>
      <vt:lpstr>vpa601_4</vt:lpstr>
      <vt:lpstr>vpa601_5</vt:lpstr>
      <vt:lpstr>vpa601_5_1</vt:lpstr>
      <vt:lpstr>vpa601_5_2</vt:lpstr>
      <vt:lpstr>vpa601_5_3</vt:lpstr>
      <vt:lpstr>vpa601_5_4</vt:lpstr>
      <vt:lpstr>vpa601_5_5</vt:lpstr>
      <vt:lpstr>vpa601_6</vt:lpstr>
      <vt:lpstr>vpa601_6_1</vt:lpstr>
      <vt:lpstr>vpa601_6_2</vt:lpstr>
      <vt:lpstr>vpa601_7</vt:lpstr>
      <vt:lpstr>vpa601_7_1</vt:lpstr>
      <vt:lpstr>vpa601_7_2</vt:lpstr>
      <vt:lpstr>vpa601_7_3</vt:lpstr>
      <vt:lpstr>vpa601_8</vt:lpstr>
      <vt:lpstr>vpa602_1_1_1</vt:lpstr>
      <vt:lpstr>vpa602_1_1_2</vt:lpstr>
      <vt:lpstr>vpa602_1_10</vt:lpstr>
      <vt:lpstr>vpa602_1_11</vt:lpstr>
      <vt:lpstr>vpa602_1_12</vt:lpstr>
      <vt:lpstr>vpa602_1_13</vt:lpstr>
      <vt:lpstr>vpa602_1_14_1</vt:lpstr>
      <vt:lpstr>vpa602_1_14_2</vt:lpstr>
      <vt:lpstr>vpa602_1_14_3</vt:lpstr>
      <vt:lpstr>vpa602_1_15</vt:lpstr>
      <vt:lpstr>vpa602_1_2</vt:lpstr>
      <vt:lpstr>vpa602_1_3_1</vt:lpstr>
      <vt:lpstr>vpa602_1_3_2</vt:lpstr>
      <vt:lpstr>vpa602_1_4_1_1</vt:lpstr>
      <vt:lpstr>vpa602_1_4_1_2</vt:lpstr>
      <vt:lpstr>vpa602_1_4_2_1</vt:lpstr>
      <vt:lpstr>vpa602_1_4_2_2</vt:lpstr>
      <vt:lpstr>vpa602_1_5_1</vt:lpstr>
      <vt:lpstr>vpa602_1_5_2</vt:lpstr>
      <vt:lpstr>vpa602_1_6_1</vt:lpstr>
      <vt:lpstr>vpa602_1_6_2</vt:lpstr>
      <vt:lpstr>vpa602_1_6_3</vt:lpstr>
      <vt:lpstr>vpa602_1_7_1_1</vt:lpstr>
      <vt:lpstr>vpa602_1_7_1_2</vt:lpstr>
      <vt:lpstr>vpa602_1_7_1_3</vt:lpstr>
      <vt:lpstr>vpa602_1_7_2</vt:lpstr>
      <vt:lpstr>vpa602_1_7_3</vt:lpstr>
      <vt:lpstr>vpa602_1_8</vt:lpstr>
      <vt:lpstr>vpa602_1_9_1</vt:lpstr>
      <vt:lpstr>vpa602_1_9_2</vt:lpstr>
      <vt:lpstr>vpa602_1_9_3</vt:lpstr>
      <vt:lpstr>vpa602_1_9_4</vt:lpstr>
      <vt:lpstr>vpa602_1_9_5_a</vt:lpstr>
      <vt:lpstr>vpa602_1_9_5_b</vt:lpstr>
      <vt:lpstr>vpa602_1_9_6</vt:lpstr>
      <vt:lpstr>vpa602_1_9_7</vt:lpstr>
      <vt:lpstr>vpa602_2</vt:lpstr>
      <vt:lpstr>vpa602_3</vt:lpstr>
      <vt:lpstr>vpa602_4_1</vt:lpstr>
      <vt:lpstr>vpa602_4_2</vt:lpstr>
      <vt:lpstr>vpa602_4_3</vt:lpstr>
      <vt:lpstr>vpa603_1</vt:lpstr>
      <vt:lpstr>vpa603_2</vt:lpstr>
      <vt:lpstr>vpa603_3</vt:lpstr>
      <vt:lpstr>vpa604_1a</vt:lpstr>
      <vt:lpstr>vpa605_1</vt:lpstr>
      <vt:lpstr>vpa605_2</vt:lpstr>
      <vt:lpstr>vpa605_3</vt:lpstr>
      <vt:lpstr>vpa605_4</vt:lpstr>
      <vt:lpstr>vpa605_4_1</vt:lpstr>
      <vt:lpstr>vpa605_4_2</vt:lpstr>
      <vt:lpstr>vpa606_1_1</vt:lpstr>
      <vt:lpstr>vpa606_1_2</vt:lpstr>
      <vt:lpstr>vpa606_1_3</vt:lpstr>
      <vt:lpstr>vpa606_2_1a</vt:lpstr>
      <vt:lpstr>vpa606_2_2a</vt:lpstr>
      <vt:lpstr>vpa606_3</vt:lpstr>
      <vt:lpstr>vpa607_1_1</vt:lpstr>
      <vt:lpstr>vpa607_1_2</vt:lpstr>
      <vt:lpstr>vpa607_2</vt:lpstr>
      <vt:lpstr>vpa608_1</vt:lpstr>
      <vt:lpstr>vpa609_1</vt:lpstr>
      <vt:lpstr>vpa609_1_1</vt:lpstr>
      <vt:lpstr>vpa609_1_2</vt:lpstr>
      <vt:lpstr>vpa610_1_1_1</vt:lpstr>
      <vt:lpstr>vpa610_1_1_2</vt:lpstr>
      <vt:lpstr>vpa610_1_1_3</vt:lpstr>
      <vt:lpstr>vpa610_1_2</vt:lpstr>
      <vt:lpstr>vpa610_1_2_1</vt:lpstr>
      <vt:lpstr>vpa610_1_2_2a</vt:lpstr>
      <vt:lpstr>vpa611_1</vt:lpstr>
      <vt:lpstr>vpa612_1</vt:lpstr>
      <vt:lpstr>vpa612_2</vt:lpstr>
      <vt:lpstr>vpa612_2_1</vt:lpstr>
      <vt:lpstr>vpa612_2_2</vt:lpstr>
      <vt:lpstr>vpa612_2_3</vt:lpstr>
      <vt:lpstr>vpa612_2_4</vt:lpstr>
      <vt:lpstr>vpa612_2_5</vt:lpstr>
      <vt:lpstr>vpa612_2_6</vt:lpstr>
      <vt:lpstr>vpa612_2_7</vt:lpstr>
      <vt:lpstr>vpa612_3</vt:lpstr>
      <vt:lpstr>vpa612_3_1</vt:lpstr>
      <vt:lpstr>vpa612_3_2</vt:lpstr>
      <vt:lpstr>vpa612_3_3</vt:lpstr>
      <vt:lpstr>vpa612_3_4</vt:lpstr>
      <vt:lpstr>vpa612_3_5</vt:lpstr>
      <vt:lpstr>vpa612_3_6</vt:lpstr>
      <vt:lpstr>vpa612_3_7</vt:lpstr>
      <vt:lpstr>vpa612_3_8</vt:lpstr>
      <vt:lpstr>vpa612_3_9</vt:lpstr>
      <vt:lpstr>vpa613_1_a</vt:lpstr>
      <vt:lpstr>vpa613_1_b</vt:lpstr>
      <vt:lpstr>vpa613_1_c</vt:lpstr>
      <vt:lpstr>vpa613_1_d</vt:lpstr>
      <vt:lpstr>vpa613_1_e</vt:lpstr>
      <vt:lpstr>vpa613_1_f</vt:lpstr>
      <vt:lpstr>vpa701_1_6_1</vt:lpstr>
      <vt:lpstr>vpa701_1_6_2</vt:lpstr>
      <vt:lpstr>vpa701_1_6_3</vt:lpstr>
      <vt:lpstr>vpa701_1_6_4</vt:lpstr>
      <vt:lpstr>vpa701_1_6_5</vt:lpstr>
      <vt:lpstr>vpa701_1_6_6_a</vt:lpstr>
      <vt:lpstr>vpa701_1_6_6_b</vt:lpstr>
      <vt:lpstr>vpa701_1_6_6_c</vt:lpstr>
      <vt:lpstr>vpa701_1_6_7_a</vt:lpstr>
      <vt:lpstr>vpa701_1_6_7_b</vt:lpstr>
      <vt:lpstr>vpa701_1_6_7_c</vt:lpstr>
      <vt:lpstr>vpa701_1_6_8</vt:lpstr>
      <vt:lpstr>vpa701_1_6_9</vt:lpstr>
      <vt:lpstr>vpa701_4_1</vt:lpstr>
      <vt:lpstr>vpa701_4_1_1</vt:lpstr>
      <vt:lpstr>vpa701_4_1_2</vt:lpstr>
      <vt:lpstr>vpa701_4_2_2</vt:lpstr>
      <vt:lpstr>vpa701_4_2_3</vt:lpstr>
      <vt:lpstr>vpa701_4_3_1</vt:lpstr>
      <vt:lpstr>vpa701_4_3_2</vt:lpstr>
      <vt:lpstr>vpa701_4_3_2_1</vt:lpstr>
      <vt:lpstr>vpa701_4_3_4</vt:lpstr>
      <vt:lpstr>vpa701_4_3_5</vt:lpstr>
      <vt:lpstr>vpa701_4_4</vt:lpstr>
      <vt:lpstr>vpa701_4_5</vt:lpstr>
      <vt:lpstr>vpa702_2_1</vt:lpstr>
      <vt:lpstr>vpa702_2_2</vt:lpstr>
      <vt:lpstr>vpa703_1</vt:lpstr>
      <vt:lpstr>vpa703_1_1</vt:lpstr>
      <vt:lpstr>vpa703_1_2</vt:lpstr>
      <vt:lpstr>vpa703_1_3</vt:lpstr>
      <vt:lpstr>vpa703_2_1</vt:lpstr>
      <vt:lpstr>vpa703_2_2</vt:lpstr>
      <vt:lpstr>vpa703_2_3</vt:lpstr>
      <vt:lpstr>vpa703_2_4</vt:lpstr>
      <vt:lpstr>vpa703_2_5_1</vt:lpstr>
      <vt:lpstr>vpa703_2_5_2</vt:lpstr>
      <vt:lpstr>vpa703_2_5_2_a</vt:lpstr>
      <vt:lpstr>vpa703_2_5_2_b</vt:lpstr>
      <vt:lpstr>vpa703_2_5_2_c</vt:lpstr>
      <vt:lpstr>vpa703_3_1</vt:lpstr>
      <vt:lpstr>vpa703_3_2__1_1</vt:lpstr>
      <vt:lpstr>vpa703_3_2__1_2</vt:lpstr>
      <vt:lpstr>vpa703_3_2__1_3</vt:lpstr>
      <vt:lpstr>vpa703_3_2__1_4</vt:lpstr>
      <vt:lpstr>vpa703_3_2__1_5</vt:lpstr>
      <vt:lpstr>vpa703_3_2__2_1</vt:lpstr>
      <vt:lpstr>vpa703_3_2__2_2</vt:lpstr>
      <vt:lpstr>vpa703_3_2__3_1</vt:lpstr>
      <vt:lpstr>vpa703_3_2__3_2</vt:lpstr>
      <vt:lpstr>vpa703_3_2__3_3</vt:lpstr>
      <vt:lpstr>vpa703_3_2__3_4</vt:lpstr>
      <vt:lpstr>vpa703_3_2__4_1</vt:lpstr>
      <vt:lpstr>vpa703_3_2__4_2</vt:lpstr>
      <vt:lpstr>vpa703_3_3__1_1</vt:lpstr>
      <vt:lpstr>vpa703_3_3__1_2</vt:lpstr>
      <vt:lpstr>vpa703_3_3__1_3</vt:lpstr>
      <vt:lpstr>vpa703_3_3__1_4</vt:lpstr>
      <vt:lpstr>vpa703_3_3__1_5</vt:lpstr>
      <vt:lpstr>vpa703_3_3__2</vt:lpstr>
      <vt:lpstr>vpa703_3_3__3</vt:lpstr>
      <vt:lpstr>vpa703_3_4_1_1</vt:lpstr>
      <vt:lpstr>vpa703_3_4_1_2</vt:lpstr>
      <vt:lpstr>vpa703_3_4_1_3</vt:lpstr>
      <vt:lpstr>vpa703_3_4_1_4</vt:lpstr>
      <vt:lpstr>vpa703_3_4_1_5</vt:lpstr>
      <vt:lpstr>vpa703_3_4_1_6</vt:lpstr>
      <vt:lpstr>vpa703_3_4_2</vt:lpstr>
      <vt:lpstr>vpa703_3_5</vt:lpstr>
      <vt:lpstr>vpa703_3_6_1</vt:lpstr>
      <vt:lpstr>vpa703_3_6_2</vt:lpstr>
      <vt:lpstr>vpa703_3_6_3</vt:lpstr>
      <vt:lpstr>vpa703_3_7_1</vt:lpstr>
      <vt:lpstr>vpa703_3_8</vt:lpstr>
      <vt:lpstr>vpa703_4_1</vt:lpstr>
      <vt:lpstr>vpa703_4_2</vt:lpstr>
      <vt:lpstr>vpa703_4_3</vt:lpstr>
      <vt:lpstr>vpa703_4_4_1</vt:lpstr>
      <vt:lpstr>vpa703_4_4_2</vt:lpstr>
      <vt:lpstr>vpa703_4_4_3</vt:lpstr>
      <vt:lpstr>vpa703_5_1_1_a_1</vt:lpstr>
      <vt:lpstr>vpa703_5_1_1_a_2</vt:lpstr>
      <vt:lpstr>vpa703_5_1_1_b</vt:lpstr>
      <vt:lpstr>vpa703_5_1_1_c_1</vt:lpstr>
      <vt:lpstr>vpa703_5_1_1_c_2</vt:lpstr>
      <vt:lpstr>vpa703_5_1_1_d_1</vt:lpstr>
      <vt:lpstr>vpa703_5_1_1_d_2</vt:lpstr>
      <vt:lpstr>vpa703_5_1_1_e_1</vt:lpstr>
      <vt:lpstr>vpa703_5_1_1_e_2</vt:lpstr>
      <vt:lpstr>vpa703_5_1_2_a_1</vt:lpstr>
      <vt:lpstr>vpa703_5_1_2_a_2</vt:lpstr>
      <vt:lpstr>vpa703_5_1_2_a_3</vt:lpstr>
      <vt:lpstr>vpa703_5_1_2_a_4</vt:lpstr>
      <vt:lpstr>vpa703_5_1_2_a_5</vt:lpstr>
      <vt:lpstr>vpa703_5_1_2_a_6</vt:lpstr>
      <vt:lpstr>vpa703_5_1_2_a_7</vt:lpstr>
      <vt:lpstr>vpa703_5_1_2_b_1</vt:lpstr>
      <vt:lpstr>vpa703_5_1_2_b_2</vt:lpstr>
      <vt:lpstr>vpa703_5_1_2_b_3</vt:lpstr>
      <vt:lpstr>vpa703_5_1_2_b_4</vt:lpstr>
      <vt:lpstr>vpa703_5_1_2_c</vt:lpstr>
      <vt:lpstr>vpa703_5_1_2_d</vt:lpstr>
      <vt:lpstr>vpa703_5_1_2_e</vt:lpstr>
      <vt:lpstr>vpa703_5_1_3</vt:lpstr>
      <vt:lpstr>vpa703_5_2</vt:lpstr>
      <vt:lpstr>vpa703_5_3</vt:lpstr>
      <vt:lpstr>vpa703_5_4</vt:lpstr>
      <vt:lpstr>vpa703_5_5_a_1</vt:lpstr>
      <vt:lpstr>vpa703_5_5_a_2</vt:lpstr>
      <vt:lpstr>vpa703_5_5_a_3</vt:lpstr>
      <vt:lpstr>vpa703_5_5_a_4</vt:lpstr>
      <vt:lpstr>vpa703_5_5_a_5</vt:lpstr>
      <vt:lpstr>vpa703_5_5_b_1</vt:lpstr>
      <vt:lpstr>vpa703_5_5_b_2</vt:lpstr>
      <vt:lpstr>vpa703_5_5_b_3</vt:lpstr>
      <vt:lpstr>vpa703_5_5_b_4</vt:lpstr>
      <vt:lpstr>vpa703_5_5_b_5</vt:lpstr>
      <vt:lpstr>vpa703_6_1_1</vt:lpstr>
      <vt:lpstr>vpa703_6_1_2</vt:lpstr>
      <vt:lpstr>vpa703_6_1_3</vt:lpstr>
      <vt:lpstr>vpa703_6_2__1</vt:lpstr>
      <vt:lpstr>vpa703_6_2__2</vt:lpstr>
      <vt:lpstr>vpa703_6_2__3</vt:lpstr>
      <vt:lpstr>vpa703_7_1</vt:lpstr>
      <vt:lpstr>vpa703_7_2</vt:lpstr>
      <vt:lpstr>vpa703_7_3_1</vt:lpstr>
      <vt:lpstr>vpa703_7_3_2</vt:lpstr>
      <vt:lpstr>vpa703_7_4</vt:lpstr>
      <vt:lpstr>vpa705_2_1_1_1</vt:lpstr>
      <vt:lpstr>vpa705_2_1_1_2</vt:lpstr>
      <vt:lpstr>vpa705_2_1_2</vt:lpstr>
      <vt:lpstr>vpa705_2_1_3_1_a</vt:lpstr>
      <vt:lpstr>vpa705_2_1_3_1_b</vt:lpstr>
      <vt:lpstr>vpa705_2_1_3_2_a</vt:lpstr>
      <vt:lpstr>vpa705_2_1_3_2_b</vt:lpstr>
      <vt:lpstr>vpa705_2_1_4_1</vt:lpstr>
      <vt:lpstr>vpa705_2_1_4_2</vt:lpstr>
      <vt:lpstr>vpa705_2_2</vt:lpstr>
      <vt:lpstr>vpa705_2_3</vt:lpstr>
      <vt:lpstr>vpa705_2_4</vt:lpstr>
      <vt:lpstr>vpa705_3</vt:lpstr>
      <vt:lpstr>vpa705_4</vt:lpstr>
      <vt:lpstr>vpa705_5_1_1</vt:lpstr>
      <vt:lpstr>vpa705_5_1_2</vt:lpstr>
      <vt:lpstr>vpa705_5_2</vt:lpstr>
      <vt:lpstr>vpa705_5_3_1</vt:lpstr>
      <vt:lpstr>vpa705_5_3_2</vt:lpstr>
      <vt:lpstr>vpa705_6_1</vt:lpstr>
      <vt:lpstr>vpa705_6_2_1_1_1</vt:lpstr>
      <vt:lpstr>vpa705_6_2_1_2</vt:lpstr>
      <vt:lpstr>vpa705_6_2_2_1</vt:lpstr>
      <vt:lpstr>vpa705_6_2_2_2</vt:lpstr>
      <vt:lpstr>vpa705_6_2_3_1</vt:lpstr>
      <vt:lpstr>vpa705_6_2_3_2</vt:lpstr>
      <vt:lpstr>vpa705_6_3</vt:lpstr>
      <vt:lpstr>vpa705_6_4_1</vt:lpstr>
      <vt:lpstr>vpa705_6_4_2</vt:lpstr>
      <vt:lpstr>vpa705_7</vt:lpstr>
      <vt:lpstr>vpa706_1</vt:lpstr>
      <vt:lpstr>vpa706_1_1</vt:lpstr>
      <vt:lpstr>vpa706_1_2</vt:lpstr>
      <vt:lpstr>vpa706_1_3</vt:lpstr>
      <vt:lpstr>vpa706_1_4</vt:lpstr>
      <vt:lpstr>vpa706_1_5</vt:lpstr>
      <vt:lpstr>vpa706_10</vt:lpstr>
      <vt:lpstr>vpa706_11</vt:lpstr>
      <vt:lpstr>vpa706_12</vt:lpstr>
      <vt:lpstr>vpa706_13_1</vt:lpstr>
      <vt:lpstr>vpa706_13_2</vt:lpstr>
      <vt:lpstr>vpa706_14_1</vt:lpstr>
      <vt:lpstr>vpa706_14_2</vt:lpstr>
      <vt:lpstr>vpa706_15_1</vt:lpstr>
      <vt:lpstr>vpa706_15_2</vt:lpstr>
      <vt:lpstr>vpa706_2_1</vt:lpstr>
      <vt:lpstr>vpa706_2_2_a</vt:lpstr>
      <vt:lpstr>vpa706_2_2_b</vt:lpstr>
      <vt:lpstr>vpa706_3_a</vt:lpstr>
      <vt:lpstr>vpa706_3_b</vt:lpstr>
      <vt:lpstr>vpa706_4_1_1</vt:lpstr>
      <vt:lpstr>vpa706_4_1_2</vt:lpstr>
      <vt:lpstr>vpa706_4_2</vt:lpstr>
      <vt:lpstr>vpa706_5_1</vt:lpstr>
      <vt:lpstr>vpa706_5_2</vt:lpstr>
      <vt:lpstr>vpa706_5_3</vt:lpstr>
      <vt:lpstr>vpa706_6</vt:lpstr>
      <vt:lpstr>vpa706_7_1</vt:lpstr>
      <vt:lpstr>vpa706_7_2</vt:lpstr>
      <vt:lpstr>vpa706_8</vt:lpstr>
      <vt:lpstr>vpa706_9</vt:lpstr>
      <vt:lpstr>vpa802_1_1</vt:lpstr>
      <vt:lpstr>vpa802_1_2</vt:lpstr>
      <vt:lpstr>vpa802_1_3</vt:lpstr>
      <vt:lpstr>vpa802_1_4</vt:lpstr>
      <vt:lpstr>vpa802_1_4_a</vt:lpstr>
      <vt:lpstr>vpa802_1_5</vt:lpstr>
      <vt:lpstr>vpa802_1_6</vt:lpstr>
      <vt:lpstr>vpa802_10_1</vt:lpstr>
      <vt:lpstr>vpa802_10_1_1</vt:lpstr>
      <vt:lpstr>vpa802_2_1</vt:lpstr>
      <vt:lpstr>vpa802_2_2</vt:lpstr>
      <vt:lpstr>vpa802_2_3</vt:lpstr>
      <vt:lpstr>vpa802_3_1_a</vt:lpstr>
      <vt:lpstr>vpa802_3_1_b</vt:lpstr>
      <vt:lpstr>vpa802_3_2_a</vt:lpstr>
      <vt:lpstr>vpa802_3_2_b</vt:lpstr>
      <vt:lpstr>vpa802_4_1</vt:lpstr>
      <vt:lpstr>vpa802_4_1_1</vt:lpstr>
      <vt:lpstr>vpa802_4_1_2</vt:lpstr>
      <vt:lpstr>vpa802_4_2_a</vt:lpstr>
      <vt:lpstr>vpa802_4_2_b</vt:lpstr>
      <vt:lpstr>vpa802_4_3</vt:lpstr>
      <vt:lpstr>vpa802_5_1_1</vt:lpstr>
      <vt:lpstr>vpa802_5_1_2</vt:lpstr>
      <vt:lpstr>vpa802_5_1_3</vt:lpstr>
      <vt:lpstr>vpa802_5_1_4</vt:lpstr>
      <vt:lpstr>vpa802_5_1_5</vt:lpstr>
      <vt:lpstr>vpa802_5_2_1</vt:lpstr>
      <vt:lpstr>vpa802_5_2_2</vt:lpstr>
      <vt:lpstr>vpa802_5_3</vt:lpstr>
      <vt:lpstr>vpa802_5_4_2</vt:lpstr>
      <vt:lpstr>vpa802_5_4_3</vt:lpstr>
      <vt:lpstr>vpa802_5_4_4_a</vt:lpstr>
      <vt:lpstr>vpa802_5_4_4_b</vt:lpstr>
      <vt:lpstr>vpa802_5_4_4_c</vt:lpstr>
      <vt:lpstr>vpa802_6_1</vt:lpstr>
      <vt:lpstr>vpa802_6_2</vt:lpstr>
      <vt:lpstr>vpa802_6_3_1</vt:lpstr>
      <vt:lpstr>vpa802_6_3_2</vt:lpstr>
      <vt:lpstr>vpa802_6_3_3</vt:lpstr>
      <vt:lpstr>vpa802_6_4_1</vt:lpstr>
      <vt:lpstr>vpa802_6_4_2</vt:lpstr>
      <vt:lpstr>vpa802_6_5_1</vt:lpstr>
      <vt:lpstr>vpa802_6_5_2</vt:lpstr>
      <vt:lpstr>vpa802_6_5_3</vt:lpstr>
      <vt:lpstr>vpa802_6_5_4</vt:lpstr>
      <vt:lpstr>vpa802_6_5_5</vt:lpstr>
      <vt:lpstr>vpa802_7_1_1</vt:lpstr>
      <vt:lpstr>vpa802_7_1_2_a</vt:lpstr>
      <vt:lpstr>vpa802_7_1_2_b</vt:lpstr>
      <vt:lpstr>vpa802_7_1_2_c</vt:lpstr>
      <vt:lpstr>vpa802_7_1_2_d</vt:lpstr>
      <vt:lpstr>vpa802_7_2_1</vt:lpstr>
      <vt:lpstr>vpa802_7_2_2</vt:lpstr>
      <vt:lpstr>vpa802_8</vt:lpstr>
      <vt:lpstr>vpa802_9_1_1</vt:lpstr>
      <vt:lpstr>vpa802_9_1_2</vt:lpstr>
      <vt:lpstr>vpa802_9_2_1</vt:lpstr>
      <vt:lpstr>vpa802_9_2_2</vt:lpstr>
      <vt:lpstr>vpa803_1_1</vt:lpstr>
      <vt:lpstr>vpa803_1_2</vt:lpstr>
      <vt:lpstr>vpa803_2</vt:lpstr>
      <vt:lpstr>vpa803_3</vt:lpstr>
      <vt:lpstr>vpa803_4</vt:lpstr>
      <vt:lpstr>vpa803_5</vt:lpstr>
      <vt:lpstr>vpa803_6</vt:lpstr>
      <vt:lpstr>vpa901_1_1</vt:lpstr>
      <vt:lpstr>vpa901_1_2</vt:lpstr>
      <vt:lpstr>vpa901_1_3_1_a</vt:lpstr>
      <vt:lpstr>vpa901_1_3_1_b</vt:lpstr>
      <vt:lpstr>vpa901_1_3_2_a</vt:lpstr>
      <vt:lpstr>vpa901_1_3_2_b</vt:lpstr>
      <vt:lpstr>vpa901_1_4</vt:lpstr>
      <vt:lpstr>vpa901_1_5</vt:lpstr>
      <vt:lpstr>vpa901_1_6_1</vt:lpstr>
      <vt:lpstr>vpa901_1_6_2</vt:lpstr>
      <vt:lpstr>vpa901_10_1</vt:lpstr>
      <vt:lpstr>vpa901_10_2</vt:lpstr>
      <vt:lpstr>vpa901_10_3</vt:lpstr>
      <vt:lpstr>vpa901_11</vt:lpstr>
      <vt:lpstr>vpa901_12</vt:lpstr>
      <vt:lpstr>vpa901_13</vt:lpstr>
      <vt:lpstr>vpa901_14_1</vt:lpstr>
      <vt:lpstr>vpa901_14_2</vt:lpstr>
      <vt:lpstr>vpa901_15_1</vt:lpstr>
      <vt:lpstr>vpa901_15_2</vt:lpstr>
      <vt:lpstr>vpa901_2_1_1</vt:lpstr>
      <vt:lpstr>vpa901_2_1_1_m</vt:lpstr>
      <vt:lpstr>vpa901_2_1_2</vt:lpstr>
      <vt:lpstr>vpa901_2_1_2_m</vt:lpstr>
      <vt:lpstr>vpa901_2_1_3</vt:lpstr>
      <vt:lpstr>vpa901_2_1_3_m</vt:lpstr>
      <vt:lpstr>vpa901_2_1_4</vt:lpstr>
      <vt:lpstr>vpa901_2_1_4_m</vt:lpstr>
      <vt:lpstr>vpa901_2_1_5</vt:lpstr>
      <vt:lpstr>vpa901_2_1_5_m</vt:lpstr>
      <vt:lpstr>vpa901_2_2</vt:lpstr>
      <vt:lpstr>vpa901_3_1_a</vt:lpstr>
      <vt:lpstr>vpa901_3_1_a_m</vt:lpstr>
      <vt:lpstr>vpa901_3_1_b</vt:lpstr>
      <vt:lpstr>vpa901_3_1_b_m</vt:lpstr>
      <vt:lpstr>vpa901_3_1_c</vt:lpstr>
      <vt:lpstr>vpa901_3_2</vt:lpstr>
      <vt:lpstr>vpa901_4</vt:lpstr>
      <vt:lpstr>vpa901_4_1</vt:lpstr>
      <vt:lpstr>vpa901_4_2</vt:lpstr>
      <vt:lpstr>vpa901_4_3</vt:lpstr>
      <vt:lpstr>vpa901_4_4</vt:lpstr>
      <vt:lpstr>vpa901_4_5</vt:lpstr>
      <vt:lpstr>vpa901_4_6</vt:lpstr>
      <vt:lpstr>vpa901_5_1</vt:lpstr>
      <vt:lpstr>vpa901_5_2</vt:lpstr>
      <vt:lpstr>vpa901_6</vt:lpstr>
      <vt:lpstr>vpa901_7</vt:lpstr>
      <vt:lpstr>vpa901_8</vt:lpstr>
      <vt:lpstr>vpa901_9_1</vt:lpstr>
      <vt:lpstr>vpa901_9_2</vt:lpstr>
      <vt:lpstr>vpa901_9_3</vt:lpstr>
      <vt:lpstr>vpa902_1_1</vt:lpstr>
      <vt:lpstr>vpa902_1_1_a</vt:lpstr>
      <vt:lpstr>vpa902_1_2</vt:lpstr>
      <vt:lpstr>vpa902_1_2_</vt:lpstr>
      <vt:lpstr>vpa902_1_2_1</vt:lpstr>
      <vt:lpstr>vpa902_1_2_2</vt:lpstr>
      <vt:lpstr>vpa902_1_3</vt:lpstr>
      <vt:lpstr>vpa902_1_3_</vt:lpstr>
      <vt:lpstr>vpa902_1_4</vt:lpstr>
      <vt:lpstr>vpa902_1_4_1</vt:lpstr>
      <vt:lpstr>vpa902_1_4_2</vt:lpstr>
      <vt:lpstr>vpa902_1_5</vt:lpstr>
      <vt:lpstr>vpa902_1_6</vt:lpstr>
      <vt:lpstr>vpa902_2_1</vt:lpstr>
      <vt:lpstr>vpa902_2_1_1</vt:lpstr>
      <vt:lpstr>vpa902_2_1_2</vt:lpstr>
      <vt:lpstr>vpa902_2_1_3</vt:lpstr>
      <vt:lpstr>vpa902_2_1_4</vt:lpstr>
      <vt:lpstr>vpa902_2_1_5</vt:lpstr>
      <vt:lpstr>vpa902_2_2</vt:lpstr>
      <vt:lpstr>vpa902_2_3</vt:lpstr>
      <vt:lpstr>vpa902_2_4</vt:lpstr>
      <vt:lpstr>vpa902_3</vt:lpstr>
      <vt:lpstr>vpa902_3_1_a</vt:lpstr>
      <vt:lpstr>vpa902_3_1_b</vt:lpstr>
      <vt:lpstr>vpa902_3_2</vt:lpstr>
      <vt:lpstr>vpa902_3_2_1</vt:lpstr>
      <vt:lpstr>vpa902_3_2_2</vt:lpstr>
      <vt:lpstr>vpa902_3_2_a</vt:lpstr>
      <vt:lpstr>vpa902_3_2_b</vt:lpstr>
      <vt:lpstr>vpa902_4</vt:lpstr>
      <vt:lpstr>vpa902_5</vt:lpstr>
      <vt:lpstr>vpa902_6</vt:lpstr>
      <vt:lpstr>vpa903_1_1_1</vt:lpstr>
      <vt:lpstr>vpa903_1_2_2</vt:lpstr>
      <vt:lpstr>vpa903_2_1</vt:lpstr>
      <vt:lpstr>vpa903_2_2</vt:lpstr>
      <vt:lpstr>vpa903_3</vt:lpstr>
      <vt:lpstr>vpa904_1</vt:lpstr>
      <vt:lpstr>vpa904_2</vt:lpstr>
      <vt:lpstr>vpa904_3_1</vt:lpstr>
      <vt:lpstr>vpa904_3_2</vt:lpstr>
      <vt:lpstr>vpa905_1</vt:lpstr>
      <vt:lpstr>vpa905_2</vt:lpstr>
      <vt:lpstr>vpa905_3</vt:lpstr>
      <vt:lpstr>vpa905_4</vt:lpstr>
      <vt:lpstr>vpa905_6</vt:lpstr>
      <vt:lpstr>vpc1001_1</vt:lpstr>
      <vt:lpstr>vpc1001_2</vt:lpstr>
      <vt:lpstr>vpc1002_1</vt:lpstr>
      <vt:lpstr>vpc1002_2</vt:lpstr>
      <vt:lpstr>vpc1002_3</vt:lpstr>
      <vt:lpstr>vpc1002_4</vt:lpstr>
      <vt:lpstr>vpc1002_5</vt:lpstr>
      <vt:lpstr>vpc1002_6</vt:lpstr>
      <vt:lpstr>vpc1003_1</vt:lpstr>
      <vt:lpstr>vpc1004_1_1</vt:lpstr>
      <vt:lpstr>vpc1004_1_2</vt:lpstr>
      <vt:lpstr>vpc1005_1_1</vt:lpstr>
      <vt:lpstr>vpc1005_1_2</vt:lpstr>
      <vt:lpstr>vpc1005_1_3</vt:lpstr>
      <vt:lpstr>vpc501_1</vt:lpstr>
      <vt:lpstr>vpc501_2_1</vt:lpstr>
      <vt:lpstr>vpc501_2_2</vt:lpstr>
      <vt:lpstr>vpc501_2_3</vt:lpstr>
      <vt:lpstr>vpc501_2_4</vt:lpstr>
      <vt:lpstr>vpc501_2_4_1</vt:lpstr>
      <vt:lpstr>vpc501_2_5</vt:lpstr>
      <vt:lpstr>vpc501_2_6</vt:lpstr>
      <vt:lpstr>vpc501_2_6_d</vt:lpstr>
      <vt:lpstr>vpc501_2_7</vt:lpstr>
      <vt:lpstr>vpc501_2_8</vt:lpstr>
      <vt:lpstr>vpc502_1</vt:lpstr>
      <vt:lpstr>vpc503_1_1</vt:lpstr>
      <vt:lpstr>vpc503_1_2</vt:lpstr>
      <vt:lpstr>vpc503_1_3</vt:lpstr>
      <vt:lpstr>vpc503_1_4</vt:lpstr>
      <vt:lpstr>vpc503_1_5</vt:lpstr>
      <vt:lpstr>vpc503_1_6</vt:lpstr>
      <vt:lpstr>vpc503_1_7</vt:lpstr>
      <vt:lpstr>vpc503_1_8</vt:lpstr>
      <vt:lpstr>vpc503_2_1</vt:lpstr>
      <vt:lpstr>vpc503_2_2</vt:lpstr>
      <vt:lpstr>vpc503_2_3</vt:lpstr>
      <vt:lpstr>vpc503_2_4</vt:lpstr>
      <vt:lpstr>vpc503_2_5</vt:lpstr>
      <vt:lpstr>vpc503_3_1</vt:lpstr>
      <vt:lpstr>vpc503_3_2</vt:lpstr>
      <vt:lpstr>vpc503_3_3</vt:lpstr>
      <vt:lpstr>vpc503_4_1</vt:lpstr>
      <vt:lpstr>vpc503_4_2</vt:lpstr>
      <vt:lpstr>vpc503_4_3</vt:lpstr>
      <vt:lpstr>vpc503_4_4</vt:lpstr>
      <vt:lpstr>vpc503_4_4_c_1</vt:lpstr>
      <vt:lpstr>vpc503_4_5</vt:lpstr>
      <vt:lpstr>vpc503_5_1</vt:lpstr>
      <vt:lpstr>vpc503_5_10</vt:lpstr>
      <vt:lpstr>vpc503_5_11</vt:lpstr>
      <vt:lpstr>vpc503_5_12</vt:lpstr>
      <vt:lpstr>vpc503_5_13</vt:lpstr>
      <vt:lpstr>vpc503_5_2</vt:lpstr>
      <vt:lpstr>vpc503_5_3</vt:lpstr>
      <vt:lpstr>vpc503_5_4</vt:lpstr>
      <vt:lpstr>vpc503_5_5</vt:lpstr>
      <vt:lpstr>vpc503_5_6</vt:lpstr>
      <vt:lpstr>vpc503_5_7</vt:lpstr>
      <vt:lpstr>vpc503_5_8</vt:lpstr>
      <vt:lpstr>vpc503_5_9</vt:lpstr>
      <vt:lpstr>vpc503_6</vt:lpstr>
      <vt:lpstr>vpc503_7</vt:lpstr>
      <vt:lpstr>vpc503_8</vt:lpstr>
      <vt:lpstr>vpc504_1</vt:lpstr>
      <vt:lpstr>vpc504_2_1</vt:lpstr>
      <vt:lpstr>vpc504_2_2</vt:lpstr>
      <vt:lpstr>vpc504_2_3</vt:lpstr>
      <vt:lpstr>vpc504_3_1</vt:lpstr>
      <vt:lpstr>vpc504_3_2</vt:lpstr>
      <vt:lpstr>vpc504_3_3</vt:lpstr>
      <vt:lpstr>vpc504_3_4</vt:lpstr>
      <vt:lpstr>vpc504_3_5</vt:lpstr>
      <vt:lpstr>vpc504_3_6</vt:lpstr>
      <vt:lpstr>vpc504_3_7</vt:lpstr>
      <vt:lpstr>vpc504_3_8</vt:lpstr>
      <vt:lpstr>vpc504_3_9</vt:lpstr>
      <vt:lpstr>vpc505_1_1</vt:lpstr>
      <vt:lpstr>vpc505_1_2</vt:lpstr>
      <vt:lpstr>vpc505_1_3</vt:lpstr>
      <vt:lpstr>vpc505_10_a</vt:lpstr>
      <vt:lpstr>vpc505_10_b</vt:lpstr>
      <vt:lpstr>vpc505_10_c</vt:lpstr>
      <vt:lpstr>vpc505_2_1</vt:lpstr>
      <vt:lpstr>vpc505_2_2</vt:lpstr>
      <vt:lpstr>vpc505_3</vt:lpstr>
      <vt:lpstr>vpc505_4_1</vt:lpstr>
      <vt:lpstr>vpc505_5_a</vt:lpstr>
      <vt:lpstr>vpc505_5_b</vt:lpstr>
      <vt:lpstr>vpc505_5_c</vt:lpstr>
      <vt:lpstr>vpc505_5_d</vt:lpstr>
      <vt:lpstr>vpc505_6</vt:lpstr>
      <vt:lpstr>vpc505_7</vt:lpstr>
      <vt:lpstr>vpc505_8</vt:lpstr>
      <vt:lpstr>vpc505_9_a</vt:lpstr>
      <vt:lpstr>vpc505_9_b</vt:lpstr>
      <vt:lpstr>vpc505_9_c</vt:lpstr>
      <vt:lpstr>vpc601_1</vt:lpstr>
      <vt:lpstr>vpc601_2_1</vt:lpstr>
      <vt:lpstr>vpc601_2_2</vt:lpstr>
      <vt:lpstr>vpc601_2_3</vt:lpstr>
      <vt:lpstr>vpc601_3_1</vt:lpstr>
      <vt:lpstr>vpc601_3_2</vt:lpstr>
      <vt:lpstr>vpc601_3_3</vt:lpstr>
      <vt:lpstr>vpc601_3_4</vt:lpstr>
      <vt:lpstr>vpc601_3_5</vt:lpstr>
      <vt:lpstr>vpc601_4</vt:lpstr>
      <vt:lpstr>vpc601_5_1</vt:lpstr>
      <vt:lpstr>vpc601_5_2</vt:lpstr>
      <vt:lpstr>vpc601_5_3</vt:lpstr>
      <vt:lpstr>vpc601_5_4</vt:lpstr>
      <vt:lpstr>vpc601_5_5</vt:lpstr>
      <vt:lpstr>vpc601_6</vt:lpstr>
      <vt:lpstr>vpc601_7</vt:lpstr>
      <vt:lpstr>vpc601_8</vt:lpstr>
      <vt:lpstr>vpc602_1_1_2</vt:lpstr>
      <vt:lpstr>vpc602_1_10</vt:lpstr>
      <vt:lpstr>vpc602_1_12</vt:lpstr>
      <vt:lpstr>vpc602_1_14_1</vt:lpstr>
      <vt:lpstr>vpc602_1_14_2</vt:lpstr>
      <vt:lpstr>vpc602_1_14_3</vt:lpstr>
      <vt:lpstr>vpc602_1_15</vt:lpstr>
      <vt:lpstr>vpc602_1_2</vt:lpstr>
      <vt:lpstr>vpc602_1_3_2</vt:lpstr>
      <vt:lpstr>vpc602_1_4_1_1</vt:lpstr>
      <vt:lpstr>vpc602_1_4_2_1</vt:lpstr>
      <vt:lpstr>vpc602_1_5_1</vt:lpstr>
      <vt:lpstr>vpc602_1_5_2</vt:lpstr>
      <vt:lpstr>vpc602_1_6_1</vt:lpstr>
      <vt:lpstr>vpc602_1_6_2</vt:lpstr>
      <vt:lpstr>vpc602_1_6_3</vt:lpstr>
      <vt:lpstr>vpc602_1_7_1_1</vt:lpstr>
      <vt:lpstr>vpc602_1_7_1_2</vt:lpstr>
      <vt:lpstr>vpc602_1_7_1_3</vt:lpstr>
      <vt:lpstr>vpc602_1_7_2</vt:lpstr>
      <vt:lpstr>vpc602_1_7_3</vt:lpstr>
      <vt:lpstr>vpc602_1_9_2</vt:lpstr>
      <vt:lpstr>vpc602_1_9_3</vt:lpstr>
      <vt:lpstr>vpc602_1_9_4</vt:lpstr>
      <vt:lpstr>vpc602_1_9_5</vt:lpstr>
      <vt:lpstr>vpc602_1_9_6</vt:lpstr>
      <vt:lpstr>vpc602_1_9_7</vt:lpstr>
      <vt:lpstr>vpc602_2</vt:lpstr>
      <vt:lpstr>vpc602_3</vt:lpstr>
      <vt:lpstr>vpc602_4_2</vt:lpstr>
      <vt:lpstr>vpc602_4_3</vt:lpstr>
      <vt:lpstr>vpc603_1</vt:lpstr>
      <vt:lpstr>vpc603_2</vt:lpstr>
      <vt:lpstr>vpc603_3</vt:lpstr>
      <vt:lpstr>vpc604_1a</vt:lpstr>
      <vt:lpstr>vpc605_2</vt:lpstr>
      <vt:lpstr>vpc605_3</vt:lpstr>
      <vt:lpstr>vpc605_4</vt:lpstr>
      <vt:lpstr>vpc606_1</vt:lpstr>
      <vt:lpstr>vpc606_2_1a</vt:lpstr>
      <vt:lpstr>vpc606_2_2a</vt:lpstr>
      <vt:lpstr>vpc606_3</vt:lpstr>
      <vt:lpstr>vpc607_1_1</vt:lpstr>
      <vt:lpstr>vpc607_1_2</vt:lpstr>
      <vt:lpstr>vpc607_2</vt:lpstr>
      <vt:lpstr>vpc608_1</vt:lpstr>
      <vt:lpstr>vpc609_1</vt:lpstr>
      <vt:lpstr>vpc610_1_1_1</vt:lpstr>
      <vt:lpstr>vpc610_1_1_2</vt:lpstr>
      <vt:lpstr>vpc610_1_1_3</vt:lpstr>
      <vt:lpstr>vpc610_1_2</vt:lpstr>
      <vt:lpstr>vpc611_1</vt:lpstr>
      <vt:lpstr>vpc612_1</vt:lpstr>
      <vt:lpstr>vpc612_2</vt:lpstr>
      <vt:lpstr>vpc612_3</vt:lpstr>
      <vt:lpstr>vpc613_1</vt:lpstr>
      <vt:lpstr>vpc701_1_4</vt:lpstr>
      <vt:lpstr>vpc702_2_2</vt:lpstr>
      <vt:lpstr>vpc703_1</vt:lpstr>
      <vt:lpstr>vpc703_2_1</vt:lpstr>
      <vt:lpstr>vpc703_2_2</vt:lpstr>
      <vt:lpstr>vpc703_2_3</vt:lpstr>
      <vt:lpstr>vpc703_2_4</vt:lpstr>
      <vt:lpstr>vpc703_2_5_2</vt:lpstr>
      <vt:lpstr>vpc703_3_1</vt:lpstr>
      <vt:lpstr>vpc703_3_2__1</vt:lpstr>
      <vt:lpstr>vpc703_3_2__2</vt:lpstr>
      <vt:lpstr>vpc703_3_2__3</vt:lpstr>
      <vt:lpstr>vpc703_3_2__4</vt:lpstr>
      <vt:lpstr>vpc703_3_3__1</vt:lpstr>
      <vt:lpstr>vpc703_3_3__2</vt:lpstr>
      <vt:lpstr>vpc703_3_3__3</vt:lpstr>
      <vt:lpstr>vpc703_3_4_1</vt:lpstr>
      <vt:lpstr>vpc703_3_4_1_6</vt:lpstr>
      <vt:lpstr>vpc703_3_4_2</vt:lpstr>
      <vt:lpstr>vpc703_3_5</vt:lpstr>
      <vt:lpstr>vpc703_3_6</vt:lpstr>
      <vt:lpstr>vpc703_3_7_1</vt:lpstr>
      <vt:lpstr>vpc703_3_8</vt:lpstr>
      <vt:lpstr>vpc703_4_1</vt:lpstr>
      <vt:lpstr>vpc703_4_2</vt:lpstr>
      <vt:lpstr>vpc703_4_3</vt:lpstr>
      <vt:lpstr>vpc703_4_4</vt:lpstr>
      <vt:lpstr>vpc703_5_1_1_a</vt:lpstr>
      <vt:lpstr>vpc703_5_1_1_b</vt:lpstr>
      <vt:lpstr>vpc703_5_1_1_d</vt:lpstr>
      <vt:lpstr>vpc703_5_1_1_e</vt:lpstr>
      <vt:lpstr>vpc703_5_1_2_a</vt:lpstr>
      <vt:lpstr>vpc703_5_1_2_b</vt:lpstr>
      <vt:lpstr>vpc703_5_1_2_c</vt:lpstr>
      <vt:lpstr>vpc703_5_1_2_d</vt:lpstr>
      <vt:lpstr>vpc703_5_1_2_e</vt:lpstr>
      <vt:lpstr>vpc703_5_1_3</vt:lpstr>
      <vt:lpstr>vpc703_5_2</vt:lpstr>
      <vt:lpstr>vpc703_5_3</vt:lpstr>
      <vt:lpstr>vpc703_5_4</vt:lpstr>
      <vt:lpstr>vpc703_5_5_a</vt:lpstr>
      <vt:lpstr>vpc703_5_5_b</vt:lpstr>
      <vt:lpstr>vpc703_6_1_1</vt:lpstr>
      <vt:lpstr>vpc703_6_1_2</vt:lpstr>
      <vt:lpstr>vpc703_6_1_3</vt:lpstr>
      <vt:lpstr>vpc703_6_2__1</vt:lpstr>
      <vt:lpstr>vpc703_6_2__2</vt:lpstr>
      <vt:lpstr>vpc703_6_2__3</vt:lpstr>
      <vt:lpstr>vpc703_7_1</vt:lpstr>
      <vt:lpstr>vpc703_7_2</vt:lpstr>
      <vt:lpstr>vpc703_7_3</vt:lpstr>
      <vt:lpstr>vpc703_7_4</vt:lpstr>
      <vt:lpstr>vpc704_1</vt:lpstr>
      <vt:lpstr>vpc705_2_1_1</vt:lpstr>
      <vt:lpstr>vpc705_2_1_2</vt:lpstr>
      <vt:lpstr>vpc705_2_1_3_1</vt:lpstr>
      <vt:lpstr>vpc705_2_1_3_2</vt:lpstr>
      <vt:lpstr>vpc705_2_1_4</vt:lpstr>
      <vt:lpstr>vpc705_2_2</vt:lpstr>
      <vt:lpstr>vpc705_2_3</vt:lpstr>
      <vt:lpstr>vpc705_2_4</vt:lpstr>
      <vt:lpstr>vpc705_3</vt:lpstr>
      <vt:lpstr>vpc705_4</vt:lpstr>
      <vt:lpstr>vpc705_5_1_1</vt:lpstr>
      <vt:lpstr>vpc705_5_1_2</vt:lpstr>
      <vt:lpstr>vpc705_5_2</vt:lpstr>
      <vt:lpstr>vpc705_5_3_1</vt:lpstr>
      <vt:lpstr>vpc705_5_3_2</vt:lpstr>
      <vt:lpstr>vpc705_6_1</vt:lpstr>
      <vt:lpstr>vpc705_6_2_1_1_1</vt:lpstr>
      <vt:lpstr>vpc705_6_2_1_2</vt:lpstr>
      <vt:lpstr>vpc705_6_2_2_1</vt:lpstr>
      <vt:lpstr>vpc705_6_2_2_2</vt:lpstr>
      <vt:lpstr>vpc705_6_2_3</vt:lpstr>
      <vt:lpstr>vpc705_6_3</vt:lpstr>
      <vt:lpstr>vpc705_6_4_1</vt:lpstr>
      <vt:lpstr>vpc705_6_4_2</vt:lpstr>
      <vt:lpstr>vpc705_7</vt:lpstr>
      <vt:lpstr>vpc706_1</vt:lpstr>
      <vt:lpstr>vpc706_10</vt:lpstr>
      <vt:lpstr>vpc706_11</vt:lpstr>
      <vt:lpstr>vpc706_12</vt:lpstr>
      <vt:lpstr>vpc706_13</vt:lpstr>
      <vt:lpstr>vpc706_14_1</vt:lpstr>
      <vt:lpstr>vpc706_14_2</vt:lpstr>
      <vt:lpstr>vpc706_15_1</vt:lpstr>
      <vt:lpstr>vpc706_15_2</vt:lpstr>
      <vt:lpstr>vpc706_2_1</vt:lpstr>
      <vt:lpstr>vpc706_2_2</vt:lpstr>
      <vt:lpstr>vpc706_3</vt:lpstr>
      <vt:lpstr>vpc706_4_1_1</vt:lpstr>
      <vt:lpstr>vpc706_4_1_2</vt:lpstr>
      <vt:lpstr>vpc706_4_2</vt:lpstr>
      <vt:lpstr>vpc706_5_1</vt:lpstr>
      <vt:lpstr>vpc706_5_2</vt:lpstr>
      <vt:lpstr>vpc706_5_3</vt:lpstr>
      <vt:lpstr>vpc706_6</vt:lpstr>
      <vt:lpstr>vpc706_7_1</vt:lpstr>
      <vt:lpstr>vpc706_7_2</vt:lpstr>
      <vt:lpstr>vpc706_8</vt:lpstr>
      <vt:lpstr>vpc706_9</vt:lpstr>
      <vt:lpstr>vpc802_1</vt:lpstr>
      <vt:lpstr>vpc802_1_6</vt:lpstr>
      <vt:lpstr>vpc802_10_1_1</vt:lpstr>
      <vt:lpstr>vpc802_2_1</vt:lpstr>
      <vt:lpstr>vpc802_2_2</vt:lpstr>
      <vt:lpstr>vpc802_3_1_a</vt:lpstr>
      <vt:lpstr>vpc802_3_1_b</vt:lpstr>
      <vt:lpstr>vpc802_3_2_a</vt:lpstr>
      <vt:lpstr>vpc802_3_2_b</vt:lpstr>
      <vt:lpstr>vpc802_4_1</vt:lpstr>
      <vt:lpstr>vpc802_4_2</vt:lpstr>
      <vt:lpstr>vpc802_4_3</vt:lpstr>
      <vt:lpstr>vpc802_5_1a</vt:lpstr>
      <vt:lpstr>vpc802_5_2</vt:lpstr>
      <vt:lpstr>vpc802_5_3</vt:lpstr>
      <vt:lpstr>vpc802_5_4_2</vt:lpstr>
      <vt:lpstr>vpc802_5_4_3</vt:lpstr>
      <vt:lpstr>vpc802_5_4_4_a</vt:lpstr>
      <vt:lpstr>vpc802_5_4_4_b</vt:lpstr>
      <vt:lpstr>vpc802_5_4_4_c</vt:lpstr>
      <vt:lpstr>vpc802_6_2</vt:lpstr>
      <vt:lpstr>vpc802_6_3_1</vt:lpstr>
      <vt:lpstr>vpc802_6_3_2</vt:lpstr>
      <vt:lpstr>vpc802_6_3_3</vt:lpstr>
      <vt:lpstr>vpc802_6_4_1</vt:lpstr>
      <vt:lpstr>vpc802_6_4_2</vt:lpstr>
      <vt:lpstr>vpc802_6_5_1</vt:lpstr>
      <vt:lpstr>vpc802_6_5_2</vt:lpstr>
      <vt:lpstr>vpc802_6_5_3</vt:lpstr>
      <vt:lpstr>vpc802_6_5_4</vt:lpstr>
      <vt:lpstr>vpc802_6_5_5</vt:lpstr>
      <vt:lpstr>vpc802_7_1</vt:lpstr>
      <vt:lpstr>vpc802_7_2</vt:lpstr>
      <vt:lpstr>vpc802_8</vt:lpstr>
      <vt:lpstr>vpc802_9_1</vt:lpstr>
      <vt:lpstr>vpc802_9_2</vt:lpstr>
      <vt:lpstr>vpc803_1</vt:lpstr>
      <vt:lpstr>vpc803_2</vt:lpstr>
      <vt:lpstr>vpc803_3</vt:lpstr>
      <vt:lpstr>vpc803_4</vt:lpstr>
      <vt:lpstr>vpc803_5</vt:lpstr>
      <vt:lpstr>vpc803_6</vt:lpstr>
      <vt:lpstr>vpc804_3</vt:lpstr>
      <vt:lpstr>vpc901_1_1</vt:lpstr>
      <vt:lpstr>vpc901_1_2</vt:lpstr>
      <vt:lpstr>vpc901_1_3_1</vt:lpstr>
      <vt:lpstr>vpc901_1_3_2</vt:lpstr>
      <vt:lpstr>vpc901_1_5</vt:lpstr>
      <vt:lpstr>vpc901_1_6</vt:lpstr>
      <vt:lpstr>vpc901_10</vt:lpstr>
      <vt:lpstr>vpc901_11</vt:lpstr>
      <vt:lpstr>vpc901_12</vt:lpstr>
      <vt:lpstr>vpc901_14</vt:lpstr>
      <vt:lpstr>vpc901_15_1</vt:lpstr>
      <vt:lpstr>vpc901_15_2</vt:lpstr>
      <vt:lpstr>vpc901_2_1_1</vt:lpstr>
      <vt:lpstr>vpc901_2_1_2</vt:lpstr>
      <vt:lpstr>vpc901_2_1_3</vt:lpstr>
      <vt:lpstr>vpc901_2_1_4</vt:lpstr>
      <vt:lpstr>vpc901_2_1_5</vt:lpstr>
      <vt:lpstr>vpc901_2_2</vt:lpstr>
      <vt:lpstr>vpc901_3_1_a</vt:lpstr>
      <vt:lpstr>vpc901_3_1_b</vt:lpstr>
      <vt:lpstr>vpc901_3_1_c</vt:lpstr>
      <vt:lpstr>vpc901_3_2</vt:lpstr>
      <vt:lpstr>vpc901_4</vt:lpstr>
      <vt:lpstr>vpc901_5_1</vt:lpstr>
      <vt:lpstr>vpc901_5_2</vt:lpstr>
      <vt:lpstr>vpc901_7</vt:lpstr>
      <vt:lpstr>vpc901_8</vt:lpstr>
      <vt:lpstr>vpc901_9_1</vt:lpstr>
      <vt:lpstr>vpc901_9_2</vt:lpstr>
      <vt:lpstr>vpc901_9_3</vt:lpstr>
      <vt:lpstr>vpc902_1_1_a</vt:lpstr>
      <vt:lpstr>vpc902_1_2_</vt:lpstr>
      <vt:lpstr>vpc902_1_3</vt:lpstr>
      <vt:lpstr>vpc902_1_3_</vt:lpstr>
      <vt:lpstr>vpc902_1_4</vt:lpstr>
      <vt:lpstr>vpc902_1_5</vt:lpstr>
      <vt:lpstr>vpc902_1_6</vt:lpstr>
      <vt:lpstr>vpc902_2_1</vt:lpstr>
      <vt:lpstr>vpc902_2_2</vt:lpstr>
      <vt:lpstr>vpc902_2_3</vt:lpstr>
      <vt:lpstr>vpc902_2_4</vt:lpstr>
      <vt:lpstr>vpc902_3_1</vt:lpstr>
      <vt:lpstr>vpc902_3_2</vt:lpstr>
      <vt:lpstr>vpc902_3_2_1</vt:lpstr>
      <vt:lpstr>vpc902_3_2_2</vt:lpstr>
      <vt:lpstr>vpc902_4</vt:lpstr>
      <vt:lpstr>vpc902_5</vt:lpstr>
      <vt:lpstr>vpc903_1</vt:lpstr>
      <vt:lpstr>vpc903_2</vt:lpstr>
      <vt:lpstr>vpc903_3</vt:lpstr>
      <vt:lpstr>vpc904_1</vt:lpstr>
      <vt:lpstr>vpc904_2</vt:lpstr>
      <vt:lpstr>vpc905_1</vt:lpstr>
      <vt:lpstr>vpc905_2</vt:lpstr>
      <vt:lpstr>vpc905_3</vt:lpstr>
      <vt:lpstr>vpc905_4</vt:lpstr>
      <vt:lpstr>vpc905_6</vt:lpstr>
      <vt:lpstr>vscAGFloorArea</vt:lpstr>
      <vt:lpstr>vscAttachedGarage</vt:lpstr>
      <vt:lpstr>vscAttic</vt:lpstr>
      <vt:lpstr>vscBuilderName</vt:lpstr>
      <vt:lpstr>vscBuildingCode</vt:lpstr>
      <vt:lpstr>vscCDucts</vt:lpstr>
      <vt:lpstr>vscCity</vt:lpstr>
      <vt:lpstr>vscCommercial</vt:lpstr>
      <vt:lpstr>vscCool1</vt:lpstr>
      <vt:lpstr>vscCool2</vt:lpstr>
      <vt:lpstr>vscCool3</vt:lpstr>
      <vt:lpstr>vscCounty</vt:lpstr>
      <vt:lpstr>vscCToilet</vt:lpstr>
      <vt:lpstr>vscEnergyCode</vt:lpstr>
      <vt:lpstr>vscFloors</vt:lpstr>
      <vt:lpstr>vscFoundation</vt:lpstr>
      <vt:lpstr>vscFuel</vt:lpstr>
      <vt:lpstr>vscHDucts</vt:lpstr>
      <vt:lpstr>vscHomeAddress</vt:lpstr>
      <vt:lpstr>vscHVAC1</vt:lpstr>
      <vt:lpstr>vscHVAC2</vt:lpstr>
      <vt:lpstr>vscHVAC3</vt:lpstr>
      <vt:lpstr>vscLot</vt:lpstr>
      <vt:lpstr>vscMassWalls</vt:lpstr>
      <vt:lpstr>vscPassiveSolar</vt:lpstr>
      <vt:lpstr>vscProjectDesc</vt:lpstr>
      <vt:lpstr>vscProjectName</vt:lpstr>
      <vt:lpstr>vscRadiantHydronic</vt:lpstr>
      <vt:lpstr>vscRecessedLighting</vt:lpstr>
      <vt:lpstr>vscRenewable</vt:lpstr>
      <vt:lpstr>vscSingleOrMulti</vt:lpstr>
      <vt:lpstr>vscsSHGC</vt:lpstr>
      <vt:lpstr>vscState</vt:lpstr>
      <vt:lpstr>vscsUV</vt:lpstr>
      <vt:lpstr>vscTCFloorArea</vt:lpstr>
      <vt:lpstr>vscTEInsulation</vt:lpstr>
      <vt:lpstr>vscTLWH</vt:lpstr>
      <vt:lpstr>vscUnits</vt:lpstr>
      <vt:lpstr>vscwdSHGC</vt:lpstr>
      <vt:lpstr>vscwdUV</vt:lpstr>
      <vt:lpstr>vscZIP</vt:lpstr>
      <vt:lpstr>vsfAGFloorArea</vt:lpstr>
      <vt:lpstr>vsfAttachedGarage</vt:lpstr>
      <vt:lpstr>vsfAttic</vt:lpstr>
      <vt:lpstr>vsfBuilderName</vt:lpstr>
      <vt:lpstr>vsfBuildingCode</vt:lpstr>
      <vt:lpstr>vsfCDucts</vt:lpstr>
      <vt:lpstr>vsfCity</vt:lpstr>
      <vt:lpstr>vsfCommercial</vt:lpstr>
      <vt:lpstr>vsfCool1</vt:lpstr>
      <vt:lpstr>vsfCool2</vt:lpstr>
      <vt:lpstr>vsfCool3</vt:lpstr>
      <vt:lpstr>vsfCounty</vt:lpstr>
      <vt:lpstr>vsfCToilet</vt:lpstr>
      <vt:lpstr>vsfElevation</vt:lpstr>
      <vt:lpstr>vsfEnergyCode</vt:lpstr>
      <vt:lpstr>vsfFloors</vt:lpstr>
      <vt:lpstr>vsfFoundation</vt:lpstr>
      <vt:lpstr>vsfFuel</vt:lpstr>
      <vt:lpstr>vsfHDucts</vt:lpstr>
      <vt:lpstr>vsfHomeAddress</vt:lpstr>
      <vt:lpstr>vsfHVAC1</vt:lpstr>
      <vt:lpstr>vsfHVAC2</vt:lpstr>
      <vt:lpstr>vsfHVAC3</vt:lpstr>
      <vt:lpstr>vsfLot</vt:lpstr>
      <vt:lpstr>vsfMassWalls</vt:lpstr>
      <vt:lpstr>vsfPassiveSolar</vt:lpstr>
      <vt:lpstr>vsfProjectDesc</vt:lpstr>
      <vt:lpstr>vsfProjectID</vt:lpstr>
      <vt:lpstr>vsfProjectName</vt:lpstr>
      <vt:lpstr>vsfRadiantHydronic</vt:lpstr>
      <vt:lpstr>vsfRecessedLighting</vt:lpstr>
      <vt:lpstr>vsfRenewable</vt:lpstr>
      <vt:lpstr>vsfSingleOrMulti</vt:lpstr>
      <vt:lpstr>vsfsSHGC</vt:lpstr>
      <vt:lpstr>vsfState</vt:lpstr>
      <vt:lpstr>vsfsUV</vt:lpstr>
      <vt:lpstr>vsfTCFloorArea</vt:lpstr>
      <vt:lpstr>vsfTEInsulation</vt:lpstr>
      <vt:lpstr>vsfTLWH</vt:lpstr>
      <vt:lpstr>vsfUnits</vt:lpstr>
      <vt:lpstr>vsfwdSHGC</vt:lpstr>
      <vt:lpstr>vsfwdUV</vt:lpstr>
      <vt:lpstr>vsfZIP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Stair</dc:creator>
  <cp:lastModifiedBy>Matt</cp:lastModifiedBy>
  <cp:lastPrinted>2020-08-20T01:37:18Z</cp:lastPrinted>
  <dcterms:created xsi:type="dcterms:W3CDTF">2015-10-15T15:17:45Z</dcterms:created>
  <dcterms:modified xsi:type="dcterms:W3CDTF">2022-09-06T18:02:40Z</dcterms:modified>
</cp:coreProperties>
</file>